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SS-NAS01\Public\New Public\報數\"/>
    </mc:Choice>
  </mc:AlternateContent>
  <xr:revisionPtr revIDLastSave="0" documentId="13_ncr:1_{534A7AF3-BBB0-4BD5-A816-E6918A9BD018}" xr6:coauthVersionLast="47" xr6:coauthVersionMax="47" xr10:uidLastSave="{00000000-0000-0000-0000-000000000000}"/>
  <bookViews>
    <workbookView xWindow="-120" yWindow="-120" windowWidth="29040" windowHeight="15720" tabRatio="805" xr2:uid="{D1D793DD-32B7-448C-AEB0-C568A3131FDB}"/>
  </bookViews>
  <sheets>
    <sheet name="Roster" sheetId="11" r:id="rId1"/>
    <sheet name="editable-sales-form" sheetId="2" r:id="rId2"/>
    <sheet name="Apps import" sheetId="29" r:id="rId3"/>
    <sheet name="Remarks" sheetId="30" r:id="rId4"/>
    <sheet name="三國演義" sheetId="42" r:id="rId5"/>
    <sheet name="3月Target" sheetId="33" r:id="rId6"/>
    <sheet name="Name" sheetId="49" r:id="rId7"/>
    <sheet name="Ref-List" sheetId="25" r:id="rId8"/>
    <sheet name="Aeon KH" sheetId="52" r:id="rId9"/>
    <sheet name="工作表3" sheetId="53" r:id="rId10"/>
    <sheet name="工作表1" sheetId="54" r:id="rId11"/>
    <sheet name="工作表2" sheetId="51" r:id="rId12"/>
    <sheet name="Broadway S17 Demo" sheetId="55" r:id="rId13"/>
    <sheet name="Yata" sheetId="4" state="hidden" r:id="rId14"/>
    <sheet name="Suning" sheetId="5" state="hidden" r:id="rId15"/>
    <sheet name="Broadway" sheetId="3" state="hidden" r:id="rId16"/>
    <sheet name="TOT" sheetId="16" state="hidden" r:id="rId17"/>
  </sheets>
  <definedNames>
    <definedName name="_xlnm._FilterDatabase" localSheetId="15" hidden="1">Broadway!$A$1:$I$38</definedName>
    <definedName name="_xlnm._FilterDatabase" localSheetId="12" hidden="1">'Broadway S17 Demo'!$I$1:$U$79</definedName>
    <definedName name="_xlnm._FilterDatabase" localSheetId="1" hidden="1">'editable-sales-form'!$S$2:$T$5502</definedName>
    <definedName name="_xlnm._FilterDatabase" localSheetId="7" hidden="1">'Ref-List'!$A$1:$K$279</definedName>
    <definedName name="_xlnm._FilterDatabase" localSheetId="0" hidden="1">Roster!$AI$4:$AL$69</definedName>
    <definedName name="_xlnm._FilterDatabase" localSheetId="14" hidden="1">Suning!$A$1:$I$86</definedName>
    <definedName name="_xlnm.Print_Area" localSheetId="1">'editable-sales-form'!#REF!</definedName>
  </definedNames>
  <calcPr calcId="191029"/>
  <pivotCaches>
    <pivotCache cacheId="0" r:id="rId18"/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2" l="1"/>
  <c r="J41" i="30" l="1"/>
  <c r="A74" i="42"/>
  <c r="A75" i="42"/>
  <c r="A76" i="42"/>
  <c r="A78" i="42"/>
  <c r="A79" i="42"/>
  <c r="A80" i="42"/>
  <c r="A81" i="42"/>
  <c r="A82" i="42"/>
  <c r="A83" i="42"/>
  <c r="A84" i="42"/>
  <c r="AI66" i="11" l="1" a="1"/>
  <c r="AI66" i="11" s="1"/>
  <c r="AK66" i="11" s="1" a="1"/>
  <c r="AK66" i="11" s="1"/>
  <c r="AI67" i="11" a="1"/>
  <c r="AI67" i="11" s="1"/>
  <c r="AK67" i="11" s="1" a="1"/>
  <c r="AK67" i="11" s="1"/>
  <c r="AI68" i="11" a="1"/>
  <c r="AI68" i="11" s="1"/>
  <c r="AK68" i="11" s="1" a="1"/>
  <c r="AK68" i="11" s="1"/>
  <c r="J31" i="30"/>
  <c r="J32" i="30"/>
  <c r="J33" i="30"/>
  <c r="J34" i="30"/>
  <c r="J30" i="30"/>
  <c r="AJ68" i="11" l="1" a="1"/>
  <c r="AJ68" i="11" s="1"/>
  <c r="AJ67" i="11" a="1"/>
  <c r="AJ67" i="11" s="1"/>
  <c r="AJ66" i="11" a="1"/>
  <c r="AJ66" i="11" s="1"/>
  <c r="F60" i="51"/>
  <c r="F59" i="51"/>
  <c r="J49" i="42"/>
  <c r="J50" i="42"/>
  <c r="J15" i="42"/>
  <c r="J21" i="42"/>
  <c r="J22" i="42"/>
  <c r="J24" i="42"/>
  <c r="J25" i="42"/>
  <c r="J26" i="42"/>
  <c r="J27" i="42"/>
  <c r="J32" i="42"/>
  <c r="J34" i="42"/>
  <c r="J45" i="42"/>
  <c r="J46" i="42"/>
  <c r="J47" i="42"/>
  <c r="D5126" i="2" l="1"/>
  <c r="E5126" i="2"/>
  <c r="D5015" i="2" l="1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G5015" i="2"/>
  <c r="G5016" i="2"/>
  <c r="H5016" i="2" s="1"/>
  <c r="G5017" i="2"/>
  <c r="R5017" i="2" s="1"/>
  <c r="G5018" i="2"/>
  <c r="H5018" i="2" s="1"/>
  <c r="G5019" i="2"/>
  <c r="H5019" i="2" s="1"/>
  <c r="G5020" i="2"/>
  <c r="H5020" i="2" s="1"/>
  <c r="G5021" i="2"/>
  <c r="G5022" i="2"/>
  <c r="H5022" i="2" s="1"/>
  <c r="G5023" i="2"/>
  <c r="J5023" i="2" s="1"/>
  <c r="G5024" i="2"/>
  <c r="R5024" i="2" s="1"/>
  <c r="G5025" i="2"/>
  <c r="G5026" i="2"/>
  <c r="H5026" i="2" s="1"/>
  <c r="G5027" i="2"/>
  <c r="H5027" i="2" s="1"/>
  <c r="G5028" i="2"/>
  <c r="H5028" i="2" s="1"/>
  <c r="G5029" i="2"/>
  <c r="G5030" i="2"/>
  <c r="R5030" i="2" s="1"/>
  <c r="G5031" i="2"/>
  <c r="U5031" i="2" s="1"/>
  <c r="G5032" i="2"/>
  <c r="H5032" i="2" s="1"/>
  <c r="G5033" i="2"/>
  <c r="G5034" i="2"/>
  <c r="H5034" i="2" s="1"/>
  <c r="G5035" i="2"/>
  <c r="H5035" i="2" s="1"/>
  <c r="G5036" i="2"/>
  <c r="S5036" i="2" s="1"/>
  <c r="T5036" i="2" s="1"/>
  <c r="G5037" i="2"/>
  <c r="R5037" i="2" s="1"/>
  <c r="G5038" i="2"/>
  <c r="H5038" i="2" s="1"/>
  <c r="G5039" i="2"/>
  <c r="H5039" i="2" s="1"/>
  <c r="G5040" i="2"/>
  <c r="J5040" i="2" s="1"/>
  <c r="G5041" i="2"/>
  <c r="G5042" i="2"/>
  <c r="H5042" i="2" s="1"/>
  <c r="G5043" i="2"/>
  <c r="H5043" i="2" s="1"/>
  <c r="G5044" i="2"/>
  <c r="R5044" i="2" s="1"/>
  <c r="G5045" i="2"/>
  <c r="G5046" i="2"/>
  <c r="U5046" i="2" s="1"/>
  <c r="G5047" i="2"/>
  <c r="I5047" i="2" s="1"/>
  <c r="G5048" i="2"/>
  <c r="J5048" i="2" s="1"/>
  <c r="G5049" i="2"/>
  <c r="H5049" i="2" s="1"/>
  <c r="G5050" i="2"/>
  <c r="G5051" i="2"/>
  <c r="H5051" i="2" s="1"/>
  <c r="G5052" i="2"/>
  <c r="R5052" i="2" s="1"/>
  <c r="G5053" i="2"/>
  <c r="G5054" i="2"/>
  <c r="G5055" i="2"/>
  <c r="I5055" i="2" s="1"/>
  <c r="G5056" i="2"/>
  <c r="S5056" i="2" s="1"/>
  <c r="T5056" i="2" s="1"/>
  <c r="G5057" i="2"/>
  <c r="G5058" i="2"/>
  <c r="U5058" i="2" s="1"/>
  <c r="G5059" i="2"/>
  <c r="U5059" i="2" s="1"/>
  <c r="G5060" i="2"/>
  <c r="J5060" i="2" s="1"/>
  <c r="G5061" i="2"/>
  <c r="S5061" i="2" s="1"/>
  <c r="T5061" i="2" s="1"/>
  <c r="G5062" i="2"/>
  <c r="G5063" i="2"/>
  <c r="H5063" i="2" s="1"/>
  <c r="G5064" i="2"/>
  <c r="J5064" i="2" s="1"/>
  <c r="G5065" i="2"/>
  <c r="G5066" i="2"/>
  <c r="G5067" i="2"/>
  <c r="S5067" i="2" s="1"/>
  <c r="T5067" i="2" s="1"/>
  <c r="G5068" i="2"/>
  <c r="U5068" i="2" s="1"/>
  <c r="G5069" i="2"/>
  <c r="G5070" i="2"/>
  <c r="G5071" i="2"/>
  <c r="G5072" i="2"/>
  <c r="S5072" i="2" s="1"/>
  <c r="T5072" i="2" s="1"/>
  <c r="G5073" i="2"/>
  <c r="G5074" i="2"/>
  <c r="G5075" i="2"/>
  <c r="U5075" i="2" s="1"/>
  <c r="G5076" i="2"/>
  <c r="S5076" i="2" s="1"/>
  <c r="T5076" i="2" s="1"/>
  <c r="G5077" i="2"/>
  <c r="G5078" i="2"/>
  <c r="G5079" i="2"/>
  <c r="G5080" i="2"/>
  <c r="J5080" i="2" s="1"/>
  <c r="G5081" i="2"/>
  <c r="U5081" i="2" s="1"/>
  <c r="G5082" i="2"/>
  <c r="H5082" i="2" s="1"/>
  <c r="G5083" i="2"/>
  <c r="J5083" i="2" s="1"/>
  <c r="G5084" i="2"/>
  <c r="S5084" i="2" s="1"/>
  <c r="T5084" i="2" s="1"/>
  <c r="G5085" i="2"/>
  <c r="R5085" i="2" s="1"/>
  <c r="G5086" i="2"/>
  <c r="U5086" i="2" s="1"/>
  <c r="G5087" i="2"/>
  <c r="I5087" i="2" s="1"/>
  <c r="G5088" i="2"/>
  <c r="S5088" i="2" s="1"/>
  <c r="T5088" i="2" s="1"/>
  <c r="G5089" i="2"/>
  <c r="G5090" i="2"/>
  <c r="G5091" i="2"/>
  <c r="J5091" i="2" s="1"/>
  <c r="G5092" i="2"/>
  <c r="S5092" i="2" s="1"/>
  <c r="T5092" i="2" s="1"/>
  <c r="G5093" i="2"/>
  <c r="G5094" i="2"/>
  <c r="G5095" i="2"/>
  <c r="G5096" i="2"/>
  <c r="J5096" i="2" s="1"/>
  <c r="G5097" i="2"/>
  <c r="S5097" i="2" s="1"/>
  <c r="T5097" i="2" s="1"/>
  <c r="G5098" i="2"/>
  <c r="G5099" i="2"/>
  <c r="I5099" i="2" s="1"/>
  <c r="G5100" i="2"/>
  <c r="R5100" i="2" s="1"/>
  <c r="G5101" i="2"/>
  <c r="G5102" i="2"/>
  <c r="S5102" i="2" s="1"/>
  <c r="T5102" i="2" s="1"/>
  <c r="G5103" i="2"/>
  <c r="I5103" i="2" s="1"/>
  <c r="G5104" i="2"/>
  <c r="R5104" i="2" s="1"/>
  <c r="G5105" i="2"/>
  <c r="R5105" i="2" s="1"/>
  <c r="G5106" i="2"/>
  <c r="G5107" i="2"/>
  <c r="H5107" i="2" s="1"/>
  <c r="G5108" i="2"/>
  <c r="S5108" i="2" s="1"/>
  <c r="T5108" i="2" s="1"/>
  <c r="G5109" i="2"/>
  <c r="H5109" i="2" s="1"/>
  <c r="G5110" i="2"/>
  <c r="G5111" i="2"/>
  <c r="R5111" i="2" s="1"/>
  <c r="G5112" i="2"/>
  <c r="J5112" i="2" s="1"/>
  <c r="G5113" i="2"/>
  <c r="S5113" i="2" s="1"/>
  <c r="T5113" i="2" s="1"/>
  <c r="G5114" i="2"/>
  <c r="U5114" i="2" s="1"/>
  <c r="G5115" i="2"/>
  <c r="J5115" i="2" s="1"/>
  <c r="G5116" i="2"/>
  <c r="S5116" i="2" s="1"/>
  <c r="T5116" i="2" s="1"/>
  <c r="G5117" i="2"/>
  <c r="S5117" i="2" s="1"/>
  <c r="T5117" i="2" s="1"/>
  <c r="G5118" i="2"/>
  <c r="S5118" i="2" s="1"/>
  <c r="T5118" i="2" s="1"/>
  <c r="G5119" i="2"/>
  <c r="I5119" i="2" s="1"/>
  <c r="G5120" i="2"/>
  <c r="U5120" i="2" s="1"/>
  <c r="G5121" i="2"/>
  <c r="H5121" i="2" s="1"/>
  <c r="G5122" i="2"/>
  <c r="G5123" i="2"/>
  <c r="J5123" i="2" s="1"/>
  <c r="G5124" i="2"/>
  <c r="J5124" i="2" s="1"/>
  <c r="G5125" i="2"/>
  <c r="G5126" i="2"/>
  <c r="H5126" i="2" s="1"/>
  <c r="G5127" i="2"/>
  <c r="H5127" i="2" s="1"/>
  <c r="G5128" i="2"/>
  <c r="U5128" i="2" s="1"/>
  <c r="G5129" i="2"/>
  <c r="G5130" i="2"/>
  <c r="S5130" i="2" s="1"/>
  <c r="T5130" i="2" s="1"/>
  <c r="G5131" i="2"/>
  <c r="G5132" i="2"/>
  <c r="U5132" i="2" s="1"/>
  <c r="G5133" i="2"/>
  <c r="R5133" i="2" s="1"/>
  <c r="G5134" i="2"/>
  <c r="S5134" i="2" s="1"/>
  <c r="T5134" i="2" s="1"/>
  <c r="G5135" i="2"/>
  <c r="R5135" i="2" s="1"/>
  <c r="G5136" i="2"/>
  <c r="R5136" i="2" s="1"/>
  <c r="G5137" i="2"/>
  <c r="G5138" i="2"/>
  <c r="S5138" i="2" s="1"/>
  <c r="T5138" i="2" s="1"/>
  <c r="G5139" i="2"/>
  <c r="G5140" i="2"/>
  <c r="J5140" i="2" s="1"/>
  <c r="G5141" i="2"/>
  <c r="U5141" i="2" s="1"/>
  <c r="G5142" i="2"/>
  <c r="G5143" i="2"/>
  <c r="G5144" i="2"/>
  <c r="U5144" i="2" s="1"/>
  <c r="G5145" i="2"/>
  <c r="G5146" i="2"/>
  <c r="G5147" i="2"/>
  <c r="G5148" i="2"/>
  <c r="S5148" i="2" s="1"/>
  <c r="T5148" i="2" s="1"/>
  <c r="G5149" i="2"/>
  <c r="U5149" i="2" s="1"/>
  <c r="G5150" i="2"/>
  <c r="U5150" i="2" s="1"/>
  <c r="G5151" i="2"/>
  <c r="G5152" i="2"/>
  <c r="R5152" i="2" s="1"/>
  <c r="G5153" i="2"/>
  <c r="J5153" i="2" s="1"/>
  <c r="G5154" i="2"/>
  <c r="S5154" i="2" s="1"/>
  <c r="T5154" i="2" s="1"/>
  <c r="G5155" i="2"/>
  <c r="J5155" i="2" s="1"/>
  <c r="G5156" i="2"/>
  <c r="J5156" i="2" s="1"/>
  <c r="G5157" i="2"/>
  <c r="G5158" i="2"/>
  <c r="U5158" i="2" s="1"/>
  <c r="G5159" i="2"/>
  <c r="I5159" i="2" s="1"/>
  <c r="G5160" i="2"/>
  <c r="G5161" i="2"/>
  <c r="G5162" i="2"/>
  <c r="G5163" i="2"/>
  <c r="G5164" i="2"/>
  <c r="J5164" i="2" s="1"/>
  <c r="G5165" i="2"/>
  <c r="G5166" i="2"/>
  <c r="U5166" i="2" s="1"/>
  <c r="G5167" i="2"/>
  <c r="R5167" i="2" s="1"/>
  <c r="G5168" i="2"/>
  <c r="R5168" i="2" s="1"/>
  <c r="G5169" i="2"/>
  <c r="R5169" i="2" s="1"/>
  <c r="G5170" i="2"/>
  <c r="U5170" i="2" s="1"/>
  <c r="G5171" i="2"/>
  <c r="G5172" i="2"/>
  <c r="U5172" i="2" s="1"/>
  <c r="G5173" i="2"/>
  <c r="G5174" i="2"/>
  <c r="U5174" i="2" s="1"/>
  <c r="G5175" i="2"/>
  <c r="G5176" i="2"/>
  <c r="S5176" i="2" s="1"/>
  <c r="T5176" i="2" s="1"/>
  <c r="G5177" i="2"/>
  <c r="G5178" i="2"/>
  <c r="U5178" i="2" s="1"/>
  <c r="G5179" i="2"/>
  <c r="G5180" i="2"/>
  <c r="J5180" i="2" s="1"/>
  <c r="G5181" i="2"/>
  <c r="G5182" i="2"/>
  <c r="U5182" i="2" s="1"/>
  <c r="G5183" i="2"/>
  <c r="I5183" i="2" s="1"/>
  <c r="G5184" i="2"/>
  <c r="U5184" i="2" s="1"/>
  <c r="G5185" i="2"/>
  <c r="S5185" i="2" s="1"/>
  <c r="T5185" i="2" s="1"/>
  <c r="G5186" i="2"/>
  <c r="U5186" i="2" s="1"/>
  <c r="G5187" i="2"/>
  <c r="J5187" i="2" s="1"/>
  <c r="G5188" i="2"/>
  <c r="S5188" i="2" s="1"/>
  <c r="T5188" i="2" s="1"/>
  <c r="G5189" i="2"/>
  <c r="R5189" i="2" s="1"/>
  <c r="G5190" i="2"/>
  <c r="U5190" i="2" s="1"/>
  <c r="G5191" i="2"/>
  <c r="G5192" i="2"/>
  <c r="J5192" i="2" s="1"/>
  <c r="G5193" i="2"/>
  <c r="G5194" i="2"/>
  <c r="U5194" i="2" s="1"/>
  <c r="G5195" i="2"/>
  <c r="G5196" i="2"/>
  <c r="J5196" i="2" s="1"/>
  <c r="G5197" i="2"/>
  <c r="G5198" i="2"/>
  <c r="G5199" i="2"/>
  <c r="G5200" i="2"/>
  <c r="U5200" i="2" s="1"/>
  <c r="G5201" i="2"/>
  <c r="H5201" i="2" s="1"/>
  <c r="G5202" i="2"/>
  <c r="U5202" i="2" s="1"/>
  <c r="G5203" i="2"/>
  <c r="G5204" i="2"/>
  <c r="G5205" i="2"/>
  <c r="G5206" i="2"/>
  <c r="S5206" i="2" s="1"/>
  <c r="T5206" i="2" s="1"/>
  <c r="G5207" i="2"/>
  <c r="G5208" i="2"/>
  <c r="J5208" i="2" s="1"/>
  <c r="G5209" i="2"/>
  <c r="R5209" i="2" s="1"/>
  <c r="G5210" i="2"/>
  <c r="S5210" i="2" s="1"/>
  <c r="T5210" i="2" s="1"/>
  <c r="G5211" i="2"/>
  <c r="G5212" i="2"/>
  <c r="R5212" i="2" s="1"/>
  <c r="G5213" i="2"/>
  <c r="G5214" i="2"/>
  <c r="G5215" i="2"/>
  <c r="G5216" i="2"/>
  <c r="S5216" i="2" s="1"/>
  <c r="T5216" i="2" s="1"/>
  <c r="G5217" i="2"/>
  <c r="G5218" i="2"/>
  <c r="S5218" i="2" s="1"/>
  <c r="T5218" i="2" s="1"/>
  <c r="G5219" i="2"/>
  <c r="I5219" i="2" s="1"/>
  <c r="G5220" i="2"/>
  <c r="U5220" i="2" s="1"/>
  <c r="G5221" i="2"/>
  <c r="G5222" i="2"/>
  <c r="S5222" i="2" s="1"/>
  <c r="T5222" i="2" s="1"/>
  <c r="G5223" i="2"/>
  <c r="G5224" i="2"/>
  <c r="J5224" i="2" s="1"/>
  <c r="G5225" i="2"/>
  <c r="G5226" i="2"/>
  <c r="G5227" i="2"/>
  <c r="G5228" i="2"/>
  <c r="S5228" i="2" s="1"/>
  <c r="T5228" i="2" s="1"/>
  <c r="G5229" i="2"/>
  <c r="U5229" i="2" s="1"/>
  <c r="G5230" i="2"/>
  <c r="G5231" i="2"/>
  <c r="G5232" i="2"/>
  <c r="J5232" i="2" s="1"/>
  <c r="G5233" i="2"/>
  <c r="I5233" i="2" s="1"/>
  <c r="G5234" i="2"/>
  <c r="S5234" i="2" s="1"/>
  <c r="T5234" i="2" s="1"/>
  <c r="G5235" i="2"/>
  <c r="G5236" i="2"/>
  <c r="U5236" i="2" s="1"/>
  <c r="G5237" i="2"/>
  <c r="S5237" i="2" s="1"/>
  <c r="T5237" i="2" s="1"/>
  <c r="G5238" i="2"/>
  <c r="S5238" i="2" s="1"/>
  <c r="T5238" i="2" s="1"/>
  <c r="G5239" i="2"/>
  <c r="G5240" i="2"/>
  <c r="R5240" i="2" s="1"/>
  <c r="G5241" i="2"/>
  <c r="G5242" i="2"/>
  <c r="G5243" i="2"/>
  <c r="G5244" i="2"/>
  <c r="S5244" i="2" s="1"/>
  <c r="T5244" i="2" s="1"/>
  <c r="G5245" i="2"/>
  <c r="U5245" i="2" s="1"/>
  <c r="G5246" i="2"/>
  <c r="G5247" i="2"/>
  <c r="G5248" i="2"/>
  <c r="J5248" i="2" s="1"/>
  <c r="G5249" i="2"/>
  <c r="G5250" i="2"/>
  <c r="G5251" i="2"/>
  <c r="G5252" i="2"/>
  <c r="S5252" i="2" s="1"/>
  <c r="T5252" i="2" s="1"/>
  <c r="G5253" i="2"/>
  <c r="U5253" i="2" s="1"/>
  <c r="G5254" i="2"/>
  <c r="R5254" i="2" s="1"/>
  <c r="G5255" i="2"/>
  <c r="G5256" i="2"/>
  <c r="G5257" i="2"/>
  <c r="G5258" i="2"/>
  <c r="G5259" i="2"/>
  <c r="G5260" i="2"/>
  <c r="S5260" i="2" s="1"/>
  <c r="T5260" i="2" s="1"/>
  <c r="G5261" i="2"/>
  <c r="U5261" i="2" s="1"/>
  <c r="G5262" i="2"/>
  <c r="U5262" i="2" s="1"/>
  <c r="G5263" i="2"/>
  <c r="G5264" i="2"/>
  <c r="S5264" i="2" s="1"/>
  <c r="T5264" i="2" s="1"/>
  <c r="G5265" i="2"/>
  <c r="G5266" i="2"/>
  <c r="R5266" i="2" s="1"/>
  <c r="G5267" i="2"/>
  <c r="G5268" i="2"/>
  <c r="S5268" i="2" s="1"/>
  <c r="T5268" i="2" s="1"/>
  <c r="G5269" i="2"/>
  <c r="J5269" i="2" s="1"/>
  <c r="G5270" i="2"/>
  <c r="G5271" i="2"/>
  <c r="G5272" i="2"/>
  <c r="S5272" i="2" s="1"/>
  <c r="T5272" i="2" s="1"/>
  <c r="G5273" i="2"/>
  <c r="G5274" i="2"/>
  <c r="U5274" i="2" s="1"/>
  <c r="G5275" i="2"/>
  <c r="G5276" i="2"/>
  <c r="U5276" i="2" s="1"/>
  <c r="G5277" i="2"/>
  <c r="R5277" i="2" s="1"/>
  <c r="G5278" i="2"/>
  <c r="G5279" i="2"/>
  <c r="G5280" i="2"/>
  <c r="S5280" i="2" s="1"/>
  <c r="T5280" i="2" s="1"/>
  <c r="G5281" i="2"/>
  <c r="G5282" i="2"/>
  <c r="R5282" i="2" s="1"/>
  <c r="G5283" i="2"/>
  <c r="G5284" i="2"/>
  <c r="U5284" i="2" s="1"/>
  <c r="G5285" i="2"/>
  <c r="G5286" i="2"/>
  <c r="R5286" i="2" s="1"/>
  <c r="G5287" i="2"/>
  <c r="G5288" i="2"/>
  <c r="S5288" i="2" s="1"/>
  <c r="T5288" i="2" s="1"/>
  <c r="G5289" i="2"/>
  <c r="U5289" i="2" s="1"/>
  <c r="G5290" i="2"/>
  <c r="U5290" i="2" s="1"/>
  <c r="G5291" i="2"/>
  <c r="G5292" i="2"/>
  <c r="S5292" i="2" s="1"/>
  <c r="T5292" i="2" s="1"/>
  <c r="G5293" i="2"/>
  <c r="R5293" i="2" s="1"/>
  <c r="G5294" i="2"/>
  <c r="U5294" i="2" s="1"/>
  <c r="G5295" i="2"/>
  <c r="S5295" i="2" s="1"/>
  <c r="T5295" i="2" s="1"/>
  <c r="G5296" i="2"/>
  <c r="U5296" i="2" s="1"/>
  <c r="G5297" i="2"/>
  <c r="U5297" i="2" s="1"/>
  <c r="G5298" i="2"/>
  <c r="G5299" i="2"/>
  <c r="G5300" i="2"/>
  <c r="S5300" i="2" s="1"/>
  <c r="T5300" i="2" s="1"/>
  <c r="G5301" i="2"/>
  <c r="S5301" i="2" s="1"/>
  <c r="T5301" i="2" s="1"/>
  <c r="G5302" i="2"/>
  <c r="R5302" i="2" s="1"/>
  <c r="G5303" i="2"/>
  <c r="G5304" i="2"/>
  <c r="S5304" i="2" s="1"/>
  <c r="T5304" i="2" s="1"/>
  <c r="G5305" i="2"/>
  <c r="U5305" i="2" s="1"/>
  <c r="G5306" i="2"/>
  <c r="U5306" i="2" s="1"/>
  <c r="G5307" i="2"/>
  <c r="G5308" i="2"/>
  <c r="U5308" i="2" s="1"/>
  <c r="G5309" i="2"/>
  <c r="G5310" i="2"/>
  <c r="U5310" i="2" s="1"/>
  <c r="G5311" i="2"/>
  <c r="G5312" i="2"/>
  <c r="G5313" i="2"/>
  <c r="U5313" i="2" s="1"/>
  <c r="G5314" i="2"/>
  <c r="J5314" i="2" s="1"/>
  <c r="G5315" i="2"/>
  <c r="G5316" i="2"/>
  <c r="S5316" i="2" s="1"/>
  <c r="T5316" i="2" s="1"/>
  <c r="G5317" i="2"/>
  <c r="J5317" i="2" s="1"/>
  <c r="G5318" i="2"/>
  <c r="R5318" i="2" s="1"/>
  <c r="G5319" i="2"/>
  <c r="G5320" i="2"/>
  <c r="S5320" i="2" s="1"/>
  <c r="T5320" i="2" s="1"/>
  <c r="G5321" i="2"/>
  <c r="G5322" i="2"/>
  <c r="G5323" i="2"/>
  <c r="G5324" i="2"/>
  <c r="U5324" i="2" s="1"/>
  <c r="G5325" i="2"/>
  <c r="J5325" i="2" s="1"/>
  <c r="G5326" i="2"/>
  <c r="U5326" i="2" s="1"/>
  <c r="G5327" i="2"/>
  <c r="G5328" i="2"/>
  <c r="S5328" i="2" s="1"/>
  <c r="T5328" i="2" s="1"/>
  <c r="G5329" i="2"/>
  <c r="G5330" i="2"/>
  <c r="J5330" i="2" s="1"/>
  <c r="G5331" i="2"/>
  <c r="G5332" i="2"/>
  <c r="S5332" i="2" s="1"/>
  <c r="T5332" i="2" s="1"/>
  <c r="G5333" i="2"/>
  <c r="U5333" i="2" s="1"/>
  <c r="G5334" i="2"/>
  <c r="R5334" i="2" s="1"/>
  <c r="G5335" i="2"/>
  <c r="G5336" i="2"/>
  <c r="S5336" i="2" s="1"/>
  <c r="T5336" i="2" s="1"/>
  <c r="G5337" i="2"/>
  <c r="G5338" i="2"/>
  <c r="G5339" i="2"/>
  <c r="G5340" i="2"/>
  <c r="S5340" i="2" s="1"/>
  <c r="T5340" i="2" s="1"/>
  <c r="G5341" i="2"/>
  <c r="U5341" i="2" s="1"/>
  <c r="G5342" i="2"/>
  <c r="U5342" i="2" s="1"/>
  <c r="G5343" i="2"/>
  <c r="G5344" i="2"/>
  <c r="U5344" i="2" s="1"/>
  <c r="G5345" i="2"/>
  <c r="G5346" i="2"/>
  <c r="R5346" i="2" s="1"/>
  <c r="G5347" i="2"/>
  <c r="G5348" i="2"/>
  <c r="S5348" i="2" s="1"/>
  <c r="T5348" i="2" s="1"/>
  <c r="G5349" i="2"/>
  <c r="I5349" i="2" s="1"/>
  <c r="G5350" i="2"/>
  <c r="R5350" i="2" s="1"/>
  <c r="G5351" i="2"/>
  <c r="G5352" i="2"/>
  <c r="U5352" i="2" s="1"/>
  <c r="G5353" i="2"/>
  <c r="G5354" i="2"/>
  <c r="G5355" i="2"/>
  <c r="G5356" i="2"/>
  <c r="S5356" i="2" s="1"/>
  <c r="T5356" i="2" s="1"/>
  <c r="G5357" i="2"/>
  <c r="S5357" i="2" s="1"/>
  <c r="T5357" i="2" s="1"/>
  <c r="G5358" i="2"/>
  <c r="U5358" i="2" s="1"/>
  <c r="G5359" i="2"/>
  <c r="S5359" i="2" s="1"/>
  <c r="T5359" i="2" s="1"/>
  <c r="G5360" i="2"/>
  <c r="S5360" i="2" s="1"/>
  <c r="T5360" i="2" s="1"/>
  <c r="G5361" i="2"/>
  <c r="G5362" i="2"/>
  <c r="R5362" i="2" s="1"/>
  <c r="G5363" i="2"/>
  <c r="G5364" i="2"/>
  <c r="S5364" i="2" s="1"/>
  <c r="T5364" i="2" s="1"/>
  <c r="G5365" i="2"/>
  <c r="U5365" i="2" s="1"/>
  <c r="G5366" i="2"/>
  <c r="R5366" i="2" s="1"/>
  <c r="G5367" i="2"/>
  <c r="G5368" i="2"/>
  <c r="G5369" i="2"/>
  <c r="G5370" i="2"/>
  <c r="G5371" i="2"/>
  <c r="G5372" i="2"/>
  <c r="S5372" i="2" s="1"/>
  <c r="T5372" i="2" s="1"/>
  <c r="G5373" i="2"/>
  <c r="U5373" i="2" s="1"/>
  <c r="G5374" i="2"/>
  <c r="U5374" i="2" s="1"/>
  <c r="G5375" i="2"/>
  <c r="G5376" i="2"/>
  <c r="S5376" i="2" s="1"/>
  <c r="T5376" i="2" s="1"/>
  <c r="G5377" i="2"/>
  <c r="G5378" i="2"/>
  <c r="R5378" i="2" s="1"/>
  <c r="G5379" i="2"/>
  <c r="G5380" i="2"/>
  <c r="S5380" i="2" s="1"/>
  <c r="T5380" i="2" s="1"/>
  <c r="G5381" i="2"/>
  <c r="H5381" i="2" s="1"/>
  <c r="G5382" i="2"/>
  <c r="G5383" i="2"/>
  <c r="G5384" i="2"/>
  <c r="S5384" i="2" s="1"/>
  <c r="T5384" i="2" s="1"/>
  <c r="G5385" i="2"/>
  <c r="U5385" i="2" s="1"/>
  <c r="G5386" i="2"/>
  <c r="G5387" i="2"/>
  <c r="G5388" i="2"/>
  <c r="S5388" i="2" s="1"/>
  <c r="T5388" i="2" s="1"/>
  <c r="G5389" i="2"/>
  <c r="J5389" i="2" s="1"/>
  <c r="G5390" i="2"/>
  <c r="G5391" i="2"/>
  <c r="G5392" i="2"/>
  <c r="U5392" i="2" s="1"/>
  <c r="G5393" i="2"/>
  <c r="R5393" i="2" s="1"/>
  <c r="G5394" i="2"/>
  <c r="G5395" i="2"/>
  <c r="G5396" i="2"/>
  <c r="S5396" i="2" s="1"/>
  <c r="T5396" i="2" s="1"/>
  <c r="G5397" i="2"/>
  <c r="G5398" i="2"/>
  <c r="U5398" i="2" s="1"/>
  <c r="G5399" i="2"/>
  <c r="G5400" i="2"/>
  <c r="U5400" i="2" s="1"/>
  <c r="G5401" i="2"/>
  <c r="U5401" i="2" s="1"/>
  <c r="G5402" i="2"/>
  <c r="G5403" i="2"/>
  <c r="S5403" i="2" s="1"/>
  <c r="T5403" i="2" s="1"/>
  <c r="G5404" i="2"/>
  <c r="S5404" i="2" s="1"/>
  <c r="T5404" i="2" s="1"/>
  <c r="G5405" i="2"/>
  <c r="S5405" i="2" s="1"/>
  <c r="T5405" i="2" s="1"/>
  <c r="G5406" i="2"/>
  <c r="G5407" i="2"/>
  <c r="G5408" i="2"/>
  <c r="S5408" i="2" s="1"/>
  <c r="T5408" i="2" s="1"/>
  <c r="G5409" i="2"/>
  <c r="U5409" i="2" s="1"/>
  <c r="G5410" i="2"/>
  <c r="U5410" i="2" s="1"/>
  <c r="G5411" i="2"/>
  <c r="G5412" i="2"/>
  <c r="G5413" i="2"/>
  <c r="G5414" i="2"/>
  <c r="S5414" i="2" s="1"/>
  <c r="T5414" i="2" s="1"/>
  <c r="G5415" i="2"/>
  <c r="G5416" i="2"/>
  <c r="S5416" i="2" s="1"/>
  <c r="T5416" i="2" s="1"/>
  <c r="G5417" i="2"/>
  <c r="U5417" i="2" s="1"/>
  <c r="G5418" i="2"/>
  <c r="G5419" i="2"/>
  <c r="R5419" i="2" s="1"/>
  <c r="G5420" i="2"/>
  <c r="U5420" i="2" s="1"/>
  <c r="G5421" i="2"/>
  <c r="U5421" i="2" s="1"/>
  <c r="G5422" i="2"/>
  <c r="G5423" i="2"/>
  <c r="J5423" i="2" s="1"/>
  <c r="G5424" i="2"/>
  <c r="U5424" i="2" s="1"/>
  <c r="G5425" i="2"/>
  <c r="U5425" i="2" s="1"/>
  <c r="G5426" i="2"/>
  <c r="S5426" i="2" s="1"/>
  <c r="T5426" i="2" s="1"/>
  <c r="G5427" i="2"/>
  <c r="J5427" i="2" s="1"/>
  <c r="G5428" i="2"/>
  <c r="S5428" i="2" s="1"/>
  <c r="T5428" i="2" s="1"/>
  <c r="G5429" i="2"/>
  <c r="G5430" i="2"/>
  <c r="G5431" i="2"/>
  <c r="G5432" i="2"/>
  <c r="S5432" i="2" s="1"/>
  <c r="T5432" i="2" s="1"/>
  <c r="G5433" i="2"/>
  <c r="U5433" i="2" s="1"/>
  <c r="G5434" i="2"/>
  <c r="G5435" i="2"/>
  <c r="G5436" i="2"/>
  <c r="S5436" i="2" s="1"/>
  <c r="T5436" i="2" s="1"/>
  <c r="G5437" i="2"/>
  <c r="S5437" i="2" s="1"/>
  <c r="T5437" i="2" s="1"/>
  <c r="G5438" i="2"/>
  <c r="G5439" i="2"/>
  <c r="G5440" i="2"/>
  <c r="U5440" i="2" s="1"/>
  <c r="G5441" i="2"/>
  <c r="U5441" i="2" s="1"/>
  <c r="G5442" i="2"/>
  <c r="G5443" i="2"/>
  <c r="G5444" i="2"/>
  <c r="U5444" i="2" s="1"/>
  <c r="G5445" i="2"/>
  <c r="S5445" i="2" s="1"/>
  <c r="T5445" i="2" s="1"/>
  <c r="G5446" i="2"/>
  <c r="U5446" i="2" s="1"/>
  <c r="G5447" i="2"/>
  <c r="G5448" i="2"/>
  <c r="U5448" i="2" s="1"/>
  <c r="G5449" i="2"/>
  <c r="S5449" i="2" s="1"/>
  <c r="T5449" i="2" s="1"/>
  <c r="G5450" i="2"/>
  <c r="G5451" i="2"/>
  <c r="G5452" i="2"/>
  <c r="G5453" i="2"/>
  <c r="H5453" i="2" s="1"/>
  <c r="G5454" i="2"/>
  <c r="G5455" i="2"/>
  <c r="R5455" i="2" s="1"/>
  <c r="G5456" i="2"/>
  <c r="S5456" i="2" s="1"/>
  <c r="T5456" i="2" s="1"/>
  <c r="G5457" i="2"/>
  <c r="G5458" i="2"/>
  <c r="I5458" i="2" s="1"/>
  <c r="G5459" i="2"/>
  <c r="G5460" i="2"/>
  <c r="S5460" i="2" s="1"/>
  <c r="T5460" i="2" s="1"/>
  <c r="G5461" i="2"/>
  <c r="G5462" i="2"/>
  <c r="S5462" i="2" s="1"/>
  <c r="T5462" i="2" s="1"/>
  <c r="G5463" i="2"/>
  <c r="G5464" i="2"/>
  <c r="S5464" i="2" s="1"/>
  <c r="T5464" i="2" s="1"/>
  <c r="G5465" i="2"/>
  <c r="G5466" i="2"/>
  <c r="G5467" i="2"/>
  <c r="R5467" i="2" s="1"/>
  <c r="G5468" i="2"/>
  <c r="S5468" i="2" s="1"/>
  <c r="T5468" i="2" s="1"/>
  <c r="G5469" i="2"/>
  <c r="R5469" i="2" s="1"/>
  <c r="G5470" i="2"/>
  <c r="G5471" i="2"/>
  <c r="R5471" i="2" s="1"/>
  <c r="G5472" i="2"/>
  <c r="U5472" i="2" s="1"/>
  <c r="G5473" i="2"/>
  <c r="G5474" i="2"/>
  <c r="R5474" i="2" s="1"/>
  <c r="G5475" i="2"/>
  <c r="G5476" i="2"/>
  <c r="S5476" i="2" s="1"/>
  <c r="T5476" i="2" s="1"/>
  <c r="G5477" i="2"/>
  <c r="U5477" i="2" s="1"/>
  <c r="G5478" i="2"/>
  <c r="S5478" i="2" s="1"/>
  <c r="T5478" i="2" s="1"/>
  <c r="G5479" i="2"/>
  <c r="R5479" i="2" s="1"/>
  <c r="G5480" i="2"/>
  <c r="G5481" i="2"/>
  <c r="S5481" i="2" s="1"/>
  <c r="T5481" i="2" s="1"/>
  <c r="G5482" i="2"/>
  <c r="G5483" i="2"/>
  <c r="G5484" i="2"/>
  <c r="S5484" i="2" s="1"/>
  <c r="T5484" i="2" s="1"/>
  <c r="G5485" i="2"/>
  <c r="S5485" i="2" s="1"/>
  <c r="T5485" i="2" s="1"/>
  <c r="G5486" i="2"/>
  <c r="G5487" i="2"/>
  <c r="G5488" i="2"/>
  <c r="S5488" i="2" s="1"/>
  <c r="T5488" i="2" s="1"/>
  <c r="G5489" i="2"/>
  <c r="U5489" i="2" s="1"/>
  <c r="G5490" i="2"/>
  <c r="I5490" i="2" s="1"/>
  <c r="G5491" i="2"/>
  <c r="J5491" i="2" s="1"/>
  <c r="G5492" i="2"/>
  <c r="U5492" i="2" s="1"/>
  <c r="G5493" i="2"/>
  <c r="H5493" i="2" s="1"/>
  <c r="G5494" i="2"/>
  <c r="U5494" i="2" s="1"/>
  <c r="G5495" i="2"/>
  <c r="R5495" i="2" s="1"/>
  <c r="G5496" i="2"/>
  <c r="G5497" i="2"/>
  <c r="G5498" i="2"/>
  <c r="G5499" i="2"/>
  <c r="R5499" i="2" s="1"/>
  <c r="G5500" i="2"/>
  <c r="S5500" i="2" s="1"/>
  <c r="T5500" i="2" s="1"/>
  <c r="G5501" i="2"/>
  <c r="R5501" i="2" s="1"/>
  <c r="G5502" i="2"/>
  <c r="U5502" i="2" s="1"/>
  <c r="H5015" i="2"/>
  <c r="H5021" i="2"/>
  <c r="H5031" i="2"/>
  <c r="H5047" i="2"/>
  <c r="I5015" i="2"/>
  <c r="I5019" i="2"/>
  <c r="I5023" i="2"/>
  <c r="I5042" i="2"/>
  <c r="J5015" i="2"/>
  <c r="J5016" i="2"/>
  <c r="J5019" i="2"/>
  <c r="J5027" i="2"/>
  <c r="J5030" i="2"/>
  <c r="J5031" i="2"/>
  <c r="J5035" i="2"/>
  <c r="J5047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R5015" i="2"/>
  <c r="R5019" i="2"/>
  <c r="R5023" i="2"/>
  <c r="R5025" i="2"/>
  <c r="R5027" i="2"/>
  <c r="R5031" i="2"/>
  <c r="S5015" i="2"/>
  <c r="T5015" i="2" s="1"/>
  <c r="S5024" i="2"/>
  <c r="T5024" i="2" s="1"/>
  <c r="S5031" i="2"/>
  <c r="T5031" i="2" s="1"/>
  <c r="S5043" i="2"/>
  <c r="T5043" i="2" s="1"/>
  <c r="S5047" i="2"/>
  <c r="T5047" i="2" s="1"/>
  <c r="U5015" i="2"/>
  <c r="U5021" i="2"/>
  <c r="U5023" i="2"/>
  <c r="U5024" i="2"/>
  <c r="U5027" i="2"/>
  <c r="U5043" i="2"/>
  <c r="U5047" i="2"/>
  <c r="U5091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L1" i="2"/>
  <c r="D5014" i="2"/>
  <c r="E5014" i="2"/>
  <c r="G5014" i="2"/>
  <c r="H5014" i="2" s="1"/>
  <c r="N5014" i="2"/>
  <c r="W5014" i="2"/>
  <c r="D5013" i="2"/>
  <c r="E5013" i="2"/>
  <c r="G5013" i="2"/>
  <c r="H5013" i="2" s="1"/>
  <c r="N5013" i="2"/>
  <c r="W5013" i="2"/>
  <c r="D5012" i="2"/>
  <c r="E5012" i="2"/>
  <c r="G5012" i="2"/>
  <c r="H5012" i="2" s="1"/>
  <c r="N5012" i="2"/>
  <c r="W5012" i="2"/>
  <c r="U5067" i="2" l="1"/>
  <c r="S5055" i="2"/>
  <c r="T5055" i="2" s="1"/>
  <c r="R5064" i="2"/>
  <c r="U5209" i="2"/>
  <c r="U5280" i="2"/>
  <c r="S5051" i="2"/>
  <c r="T5051" i="2" s="1"/>
  <c r="I5051" i="2"/>
  <c r="U5063" i="2"/>
  <c r="R5051" i="2"/>
  <c r="H5059" i="2"/>
  <c r="U5123" i="2"/>
  <c r="U5055" i="2"/>
  <c r="S5063" i="2"/>
  <c r="T5063" i="2" s="1"/>
  <c r="J5051" i="2"/>
  <c r="H5055" i="2"/>
  <c r="U5051" i="2"/>
  <c r="U5164" i="2"/>
  <c r="S5037" i="2"/>
  <c r="T5037" i="2" s="1"/>
  <c r="U5038" i="2"/>
  <c r="J5022" i="2"/>
  <c r="U5393" i="2"/>
  <c r="U5469" i="2"/>
  <c r="U5325" i="2"/>
  <c r="S5477" i="2"/>
  <c r="T5477" i="2" s="1"/>
  <c r="S5333" i="2"/>
  <c r="T5333" i="2" s="1"/>
  <c r="R5192" i="2"/>
  <c r="U5453" i="2"/>
  <c r="U5349" i="2"/>
  <c r="U5269" i="2"/>
  <c r="S5344" i="2"/>
  <c r="T5344" i="2" s="1"/>
  <c r="S5209" i="2"/>
  <c r="T5209" i="2" s="1"/>
  <c r="U5468" i="2"/>
  <c r="S5022" i="2"/>
  <c r="T5022" i="2" s="1"/>
  <c r="U5254" i="2"/>
  <c r="U5364" i="2"/>
  <c r="U5286" i="2"/>
  <c r="U5018" i="2"/>
  <c r="S5492" i="2"/>
  <c r="T5492" i="2" s="1"/>
  <c r="U5328" i="2"/>
  <c r="S5420" i="2"/>
  <c r="T5420" i="2" s="1"/>
  <c r="U5488" i="2"/>
  <c r="U5348" i="2"/>
  <c r="U5304" i="2"/>
  <c r="U5264" i="2"/>
  <c r="S5472" i="2"/>
  <c r="T5472" i="2" s="1"/>
  <c r="S5324" i="2"/>
  <c r="T5324" i="2" s="1"/>
  <c r="S5248" i="2"/>
  <c r="T5248" i="2" s="1"/>
  <c r="S5172" i="2"/>
  <c r="T5172" i="2" s="1"/>
  <c r="U5140" i="2"/>
  <c r="R5140" i="2"/>
  <c r="U5192" i="2"/>
  <c r="S5444" i="2"/>
  <c r="T5444" i="2" s="1"/>
  <c r="S5224" i="2"/>
  <c r="T5224" i="2" s="1"/>
  <c r="S5140" i="2"/>
  <c r="T5140" i="2" s="1"/>
  <c r="R5216" i="2"/>
  <c r="U5404" i="2"/>
  <c r="U5212" i="2"/>
  <c r="S5392" i="2"/>
  <c r="T5392" i="2" s="1"/>
  <c r="S5276" i="2"/>
  <c r="T5276" i="2" s="1"/>
  <c r="S5196" i="2"/>
  <c r="T5196" i="2" s="1"/>
  <c r="U5476" i="2"/>
  <c r="U5456" i="2"/>
  <c r="U5436" i="2"/>
  <c r="U5380" i="2"/>
  <c r="U5356" i="2"/>
  <c r="U5336" i="2"/>
  <c r="U5320" i="2"/>
  <c r="U5292" i="2"/>
  <c r="U5064" i="2"/>
  <c r="S5308" i="2"/>
  <c r="T5308" i="2" s="1"/>
  <c r="S5232" i="2"/>
  <c r="T5232" i="2" s="1"/>
  <c r="S5156" i="2"/>
  <c r="T5156" i="2" s="1"/>
  <c r="S5128" i="2"/>
  <c r="T5128" i="2" s="1"/>
  <c r="R5232" i="2"/>
  <c r="R5200" i="2"/>
  <c r="R5176" i="2"/>
  <c r="R5156" i="2"/>
  <c r="U5252" i="2"/>
  <c r="U5224" i="2"/>
  <c r="U5180" i="2"/>
  <c r="U5500" i="2"/>
  <c r="U5428" i="2"/>
  <c r="U5408" i="2"/>
  <c r="U5388" i="2"/>
  <c r="U5376" i="2"/>
  <c r="U5332" i="2"/>
  <c r="U5316" i="2"/>
  <c r="U5268" i="2"/>
  <c r="U5248" i="2"/>
  <c r="U5196" i="2"/>
  <c r="U5048" i="2"/>
  <c r="S5448" i="2"/>
  <c r="T5448" i="2" s="1"/>
  <c r="S5424" i="2"/>
  <c r="T5424" i="2" s="1"/>
  <c r="S5400" i="2"/>
  <c r="T5400" i="2" s="1"/>
  <c r="S5284" i="2"/>
  <c r="T5284" i="2" s="1"/>
  <c r="S5208" i="2"/>
  <c r="T5208" i="2" s="1"/>
  <c r="R5224" i="2"/>
  <c r="R5196" i="2"/>
  <c r="U5484" i="2"/>
  <c r="U5460" i="2"/>
  <c r="U5416" i="2"/>
  <c r="U5396" i="2"/>
  <c r="U5384" i="2"/>
  <c r="U5360" i="2"/>
  <c r="U5300" i="2"/>
  <c r="U5232" i="2"/>
  <c r="U5156" i="2"/>
  <c r="S5440" i="2"/>
  <c r="T5440" i="2" s="1"/>
  <c r="S5192" i="2"/>
  <c r="T5192" i="2" s="1"/>
  <c r="S5164" i="2"/>
  <c r="T5164" i="2" s="1"/>
  <c r="S5132" i="2"/>
  <c r="T5132" i="2" s="1"/>
  <c r="S5064" i="2"/>
  <c r="T5064" i="2" s="1"/>
  <c r="S5048" i="2"/>
  <c r="T5048" i="2" s="1"/>
  <c r="R5180" i="2"/>
  <c r="R5164" i="2"/>
  <c r="J5442" i="2"/>
  <c r="S5442" i="2"/>
  <c r="T5442" i="2" s="1"/>
  <c r="R5382" i="2"/>
  <c r="U5382" i="2"/>
  <c r="U5318" i="2"/>
  <c r="R5461" i="2"/>
  <c r="U5461" i="2"/>
  <c r="U5226" i="2"/>
  <c r="S5226" i="2"/>
  <c r="T5226" i="2" s="1"/>
  <c r="U5478" i="2"/>
  <c r="S5412" i="2"/>
  <c r="T5412" i="2" s="1"/>
  <c r="U5412" i="2"/>
  <c r="S5256" i="2"/>
  <c r="T5256" i="2" s="1"/>
  <c r="U5256" i="2"/>
  <c r="J5228" i="2"/>
  <c r="U5228" i="2"/>
  <c r="J5204" i="2"/>
  <c r="R5204" i="2"/>
  <c r="U5204" i="2"/>
  <c r="J5184" i="2"/>
  <c r="S5184" i="2"/>
  <c r="T5184" i="2" s="1"/>
  <c r="J5176" i="2"/>
  <c r="U5176" i="2"/>
  <c r="J5172" i="2"/>
  <c r="R5172" i="2"/>
  <c r="J5160" i="2"/>
  <c r="R5160" i="2"/>
  <c r="U5160" i="2"/>
  <c r="J5152" i="2"/>
  <c r="S5152" i="2"/>
  <c r="T5152" i="2" s="1"/>
  <c r="J5144" i="2"/>
  <c r="R5144" i="2"/>
  <c r="J5136" i="2"/>
  <c r="U5136" i="2"/>
  <c r="J5134" i="2"/>
  <c r="S5496" i="2"/>
  <c r="T5496" i="2" s="1"/>
  <c r="U5496" i="2"/>
  <c r="S5480" i="2"/>
  <c r="T5480" i="2" s="1"/>
  <c r="U5480" i="2"/>
  <c r="S5452" i="2"/>
  <c r="T5452" i="2" s="1"/>
  <c r="U5452" i="2"/>
  <c r="S5368" i="2"/>
  <c r="T5368" i="2" s="1"/>
  <c r="U5368" i="2"/>
  <c r="S5312" i="2"/>
  <c r="T5312" i="2" s="1"/>
  <c r="U5312" i="2"/>
  <c r="J5244" i="2"/>
  <c r="U5244" i="2"/>
  <c r="J5240" i="2"/>
  <c r="S5240" i="2"/>
  <c r="T5240" i="2" s="1"/>
  <c r="J5236" i="2"/>
  <c r="R5236" i="2"/>
  <c r="J5220" i="2"/>
  <c r="R5220" i="2"/>
  <c r="J5216" i="2"/>
  <c r="U5216" i="2"/>
  <c r="J5212" i="2"/>
  <c r="S5212" i="2"/>
  <c r="T5212" i="2" s="1"/>
  <c r="J5200" i="2"/>
  <c r="S5200" i="2"/>
  <c r="T5200" i="2" s="1"/>
  <c r="J5188" i="2"/>
  <c r="R5188" i="2"/>
  <c r="J5168" i="2"/>
  <c r="S5168" i="2"/>
  <c r="T5168" i="2" s="1"/>
  <c r="J5148" i="2"/>
  <c r="U5148" i="2"/>
  <c r="U5464" i="2"/>
  <c r="U5432" i="2"/>
  <c r="U5414" i="2"/>
  <c r="U5372" i="2"/>
  <c r="U5350" i="2"/>
  <c r="U5340" i="2"/>
  <c r="U5288" i="2"/>
  <c r="U5272" i="2"/>
  <c r="U5260" i="2"/>
  <c r="U5240" i="2"/>
  <c r="U5222" i="2"/>
  <c r="U5208" i="2"/>
  <c r="U5188" i="2"/>
  <c r="U5168" i="2"/>
  <c r="U5152" i="2"/>
  <c r="S5389" i="2"/>
  <c r="T5389" i="2" s="1"/>
  <c r="S5352" i="2"/>
  <c r="T5352" i="2" s="1"/>
  <c r="S5296" i="2"/>
  <c r="T5296" i="2" s="1"/>
  <c r="S5236" i="2"/>
  <c r="T5236" i="2" s="1"/>
  <c r="S5220" i="2"/>
  <c r="T5220" i="2" s="1"/>
  <c r="S5204" i="2"/>
  <c r="T5204" i="2" s="1"/>
  <c r="S5180" i="2"/>
  <c r="T5180" i="2" s="1"/>
  <c r="S5160" i="2"/>
  <c r="T5160" i="2" s="1"/>
  <c r="S5136" i="2"/>
  <c r="T5136" i="2" s="1"/>
  <c r="R5401" i="2"/>
  <c r="R5228" i="2"/>
  <c r="R5208" i="2"/>
  <c r="R5184" i="2"/>
  <c r="R5148" i="2"/>
  <c r="S5096" i="2"/>
  <c r="T5096" i="2" s="1"/>
  <c r="S5144" i="2"/>
  <c r="T5144" i="2" s="1"/>
  <c r="U5501" i="2"/>
  <c r="U5493" i="2"/>
  <c r="U5485" i="2"/>
  <c r="U5381" i="2"/>
  <c r="U5357" i="2"/>
  <c r="U5237" i="2"/>
  <c r="U5201" i="2"/>
  <c r="U5133" i="2"/>
  <c r="S5501" i="2"/>
  <c r="T5501" i="2" s="1"/>
  <c r="S5469" i="2"/>
  <c r="T5469" i="2" s="1"/>
  <c r="S5381" i="2"/>
  <c r="T5381" i="2" s="1"/>
  <c r="S5325" i="2"/>
  <c r="T5325" i="2" s="1"/>
  <c r="S5201" i="2"/>
  <c r="T5201" i="2" s="1"/>
  <c r="R5237" i="2"/>
  <c r="J5497" i="2"/>
  <c r="S5497" i="2"/>
  <c r="T5497" i="2" s="1"/>
  <c r="H5377" i="2"/>
  <c r="J5377" i="2"/>
  <c r="H5373" i="2"/>
  <c r="R5373" i="2"/>
  <c r="S5373" i="2"/>
  <c r="T5373" i="2" s="1"/>
  <c r="H5369" i="2"/>
  <c r="S5369" i="2"/>
  <c r="T5369" i="2" s="1"/>
  <c r="H5365" i="2"/>
  <c r="R5365" i="2"/>
  <c r="J5365" i="2"/>
  <c r="S5365" i="2"/>
  <c r="T5365" i="2" s="1"/>
  <c r="J5361" i="2"/>
  <c r="I5361" i="2"/>
  <c r="S5361" i="2"/>
  <c r="T5361" i="2" s="1"/>
  <c r="J5357" i="2"/>
  <c r="R5357" i="2"/>
  <c r="H5353" i="2"/>
  <c r="S5353" i="2"/>
  <c r="T5353" i="2" s="1"/>
  <c r="H5345" i="2"/>
  <c r="S5345" i="2"/>
  <c r="T5345" i="2" s="1"/>
  <c r="I5341" i="2"/>
  <c r="R5341" i="2"/>
  <c r="H5337" i="2"/>
  <c r="S5337" i="2"/>
  <c r="T5337" i="2" s="1"/>
  <c r="I5333" i="2"/>
  <c r="R5333" i="2"/>
  <c r="I5329" i="2"/>
  <c r="H5329" i="2"/>
  <c r="S5329" i="2"/>
  <c r="T5329" i="2" s="1"/>
  <c r="H5325" i="2"/>
  <c r="R5325" i="2"/>
  <c r="H5321" i="2"/>
  <c r="S5321" i="2"/>
  <c r="T5321" i="2" s="1"/>
  <c r="S5229" i="2"/>
  <c r="T5229" i="2" s="1"/>
  <c r="J5229" i="2"/>
  <c r="J5225" i="2"/>
  <c r="I5225" i="2"/>
  <c r="H5221" i="2"/>
  <c r="S5221" i="2"/>
  <c r="T5221" i="2" s="1"/>
  <c r="U5221" i="2"/>
  <c r="R5221" i="2"/>
  <c r="I5217" i="2"/>
  <c r="R5217" i="2"/>
  <c r="H5213" i="2"/>
  <c r="S5213" i="2"/>
  <c r="T5213" i="2" s="1"/>
  <c r="U5213" i="2"/>
  <c r="R5213" i="2"/>
  <c r="J5205" i="2"/>
  <c r="R5205" i="2"/>
  <c r="S5205" i="2"/>
  <c r="T5205" i="2" s="1"/>
  <c r="U5205" i="2"/>
  <c r="H5101" i="2"/>
  <c r="R5101" i="2"/>
  <c r="S5101" i="2"/>
  <c r="T5101" i="2" s="1"/>
  <c r="J5089" i="2"/>
  <c r="U5089" i="2"/>
  <c r="R5089" i="2"/>
  <c r="S5089" i="2"/>
  <c r="T5089" i="2" s="1"/>
  <c r="H5073" i="2"/>
  <c r="R5073" i="2"/>
  <c r="S5073" i="2"/>
  <c r="T5073" i="2" s="1"/>
  <c r="U5073" i="2"/>
  <c r="H5069" i="2"/>
  <c r="S5069" i="2"/>
  <c r="T5069" i="2" s="1"/>
  <c r="U5069" i="2"/>
  <c r="H5065" i="2"/>
  <c r="J5065" i="2"/>
  <c r="S5065" i="2"/>
  <c r="T5065" i="2" s="1"/>
  <c r="R5065" i="2"/>
  <c r="H5057" i="2"/>
  <c r="I5057" i="2"/>
  <c r="H5053" i="2"/>
  <c r="R5053" i="2"/>
  <c r="S5053" i="2"/>
  <c r="T5053" i="2" s="1"/>
  <c r="U5053" i="2"/>
  <c r="J5053" i="2"/>
  <c r="I5045" i="2"/>
  <c r="J5045" i="2"/>
  <c r="U5045" i="2"/>
  <c r="S5045" i="2"/>
  <c r="T5045" i="2" s="1"/>
  <c r="R5045" i="2"/>
  <c r="H5041" i="2"/>
  <c r="J5041" i="2"/>
  <c r="S5041" i="2"/>
  <c r="T5041" i="2" s="1"/>
  <c r="H5037" i="2"/>
  <c r="U5037" i="2"/>
  <c r="I5033" i="2"/>
  <c r="J5033" i="2"/>
  <c r="H5033" i="2"/>
  <c r="R5029" i="2"/>
  <c r="S5029" i="2"/>
  <c r="T5029" i="2" s="1"/>
  <c r="I5029" i="2"/>
  <c r="J5029" i="2"/>
  <c r="H5029" i="2"/>
  <c r="U5029" i="2"/>
  <c r="H5025" i="2"/>
  <c r="U5025" i="2"/>
  <c r="J5025" i="2"/>
  <c r="S5025" i="2"/>
  <c r="T5025" i="2" s="1"/>
  <c r="S5021" i="2"/>
  <c r="T5021" i="2" s="1"/>
  <c r="J5021" i="2"/>
  <c r="I5021" i="2"/>
  <c r="R5021" i="2"/>
  <c r="J5465" i="2"/>
  <c r="S5465" i="2"/>
  <c r="T5465" i="2" s="1"/>
  <c r="H5445" i="2"/>
  <c r="R5445" i="2"/>
  <c r="H5441" i="2"/>
  <c r="S5441" i="2"/>
  <c r="T5441" i="2" s="1"/>
  <c r="I5429" i="2"/>
  <c r="S5429" i="2"/>
  <c r="T5429" i="2" s="1"/>
  <c r="R5429" i="2"/>
  <c r="H5385" i="2"/>
  <c r="S5385" i="2"/>
  <c r="T5385" i="2" s="1"/>
  <c r="H5313" i="2"/>
  <c r="S5313" i="2"/>
  <c r="T5313" i="2" s="1"/>
  <c r="J5313" i="2"/>
  <c r="H5309" i="2"/>
  <c r="R5309" i="2"/>
  <c r="I5305" i="2"/>
  <c r="S5305" i="2"/>
  <c r="T5305" i="2" s="1"/>
  <c r="J5301" i="2"/>
  <c r="R5301" i="2"/>
  <c r="H5297" i="2"/>
  <c r="S5297" i="2"/>
  <c r="T5297" i="2" s="1"/>
  <c r="R5297" i="2"/>
  <c r="I5293" i="2"/>
  <c r="S5293" i="2"/>
  <c r="T5293" i="2" s="1"/>
  <c r="H5289" i="2"/>
  <c r="R5289" i="2"/>
  <c r="S5289" i="2"/>
  <c r="T5289" i="2" s="1"/>
  <c r="I5285" i="2"/>
  <c r="R5285" i="2"/>
  <c r="S5285" i="2"/>
  <c r="T5285" i="2" s="1"/>
  <c r="H5281" i="2"/>
  <c r="J5281" i="2"/>
  <c r="U5281" i="2"/>
  <c r="R5281" i="2"/>
  <c r="S5281" i="2"/>
  <c r="T5281" i="2" s="1"/>
  <c r="J5277" i="2"/>
  <c r="S5277" i="2"/>
  <c r="T5277" i="2" s="1"/>
  <c r="H5273" i="2"/>
  <c r="U5273" i="2"/>
  <c r="R5273" i="2"/>
  <c r="J5273" i="2"/>
  <c r="S5273" i="2"/>
  <c r="T5273" i="2" s="1"/>
  <c r="I5269" i="2"/>
  <c r="S5269" i="2"/>
  <c r="T5269" i="2" s="1"/>
  <c r="H5265" i="2"/>
  <c r="I5265" i="2"/>
  <c r="R5265" i="2"/>
  <c r="U5265" i="2"/>
  <c r="S5265" i="2"/>
  <c r="T5265" i="2" s="1"/>
  <c r="H5261" i="2"/>
  <c r="J5261" i="2"/>
  <c r="S5261" i="2"/>
  <c r="T5261" i="2" s="1"/>
  <c r="H5257" i="2"/>
  <c r="U5257" i="2"/>
  <c r="R5257" i="2"/>
  <c r="S5257" i="2"/>
  <c r="T5257" i="2" s="1"/>
  <c r="H5253" i="2"/>
  <c r="S5253" i="2"/>
  <c r="T5253" i="2" s="1"/>
  <c r="J5249" i="2"/>
  <c r="I5249" i="2"/>
  <c r="S5249" i="2"/>
  <c r="T5249" i="2" s="1"/>
  <c r="I5245" i="2"/>
  <c r="J5245" i="2"/>
  <c r="R5245" i="2"/>
  <c r="S5245" i="2"/>
  <c r="T5245" i="2" s="1"/>
  <c r="H5245" i="2"/>
  <c r="H5241" i="2"/>
  <c r="S5241" i="2"/>
  <c r="T5241" i="2" s="1"/>
  <c r="H5233" i="2"/>
  <c r="R5233" i="2"/>
  <c r="S5233" i="2"/>
  <c r="T5233" i="2" s="1"/>
  <c r="H5193" i="2"/>
  <c r="R5193" i="2"/>
  <c r="J5177" i="2"/>
  <c r="U5177" i="2"/>
  <c r="J5169" i="2"/>
  <c r="U5169" i="2"/>
  <c r="S5169" i="2"/>
  <c r="T5169" i="2" s="1"/>
  <c r="J5157" i="2"/>
  <c r="S5157" i="2"/>
  <c r="T5157" i="2" s="1"/>
  <c r="R5157" i="2"/>
  <c r="U5145" i="2"/>
  <c r="R5145" i="2"/>
  <c r="S5145" i="2"/>
  <c r="T5145" i="2" s="1"/>
  <c r="H5141" i="2"/>
  <c r="S5141" i="2"/>
  <c r="T5141" i="2" s="1"/>
  <c r="R5141" i="2"/>
  <c r="I5137" i="2"/>
  <c r="U5137" i="2"/>
  <c r="J5137" i="2"/>
  <c r="R5137" i="2"/>
  <c r="S5137" i="2"/>
  <c r="T5137" i="2" s="1"/>
  <c r="I5133" i="2"/>
  <c r="S5133" i="2"/>
  <c r="T5133" i="2" s="1"/>
  <c r="J5129" i="2"/>
  <c r="U5129" i="2"/>
  <c r="R5129" i="2"/>
  <c r="H5105" i="2"/>
  <c r="S5105" i="2"/>
  <c r="T5105" i="2" s="1"/>
  <c r="U5105" i="2"/>
  <c r="I5093" i="2"/>
  <c r="R5093" i="2"/>
  <c r="S5093" i="2"/>
  <c r="T5093" i="2" s="1"/>
  <c r="U5093" i="2"/>
  <c r="I5081" i="2"/>
  <c r="H5081" i="2"/>
  <c r="J5081" i="2"/>
  <c r="I5077" i="2"/>
  <c r="R5077" i="2"/>
  <c r="S5077" i="2"/>
  <c r="T5077" i="2" s="1"/>
  <c r="U5077" i="2"/>
  <c r="H5077" i="2"/>
  <c r="U5497" i="2"/>
  <c r="U5481" i="2"/>
  <c r="U5445" i="2"/>
  <c r="U5437" i="2"/>
  <c r="U5429" i="2"/>
  <c r="U5377" i="2"/>
  <c r="U5369" i="2"/>
  <c r="U5361" i="2"/>
  <c r="U5353" i="2"/>
  <c r="U5317" i="2"/>
  <c r="U5309" i="2"/>
  <c r="U5301" i="2"/>
  <c r="U5293" i="2"/>
  <c r="U5277" i="2"/>
  <c r="U5249" i="2"/>
  <c r="U5241" i="2"/>
  <c r="U5233" i="2"/>
  <c r="U5225" i="2"/>
  <c r="U5217" i="2"/>
  <c r="S5453" i="2"/>
  <c r="T5453" i="2" s="1"/>
  <c r="S5341" i="2"/>
  <c r="T5341" i="2" s="1"/>
  <c r="S5309" i="2"/>
  <c r="T5309" i="2" s="1"/>
  <c r="S5217" i="2"/>
  <c r="T5217" i="2" s="1"/>
  <c r="S5129" i="2"/>
  <c r="T5129" i="2" s="1"/>
  <c r="R5349" i="2"/>
  <c r="R5249" i="2"/>
  <c r="J5441" i="2"/>
  <c r="J5217" i="2"/>
  <c r="J5093" i="2"/>
  <c r="I5141" i="2"/>
  <c r="I5041" i="2"/>
  <c r="R5489" i="2"/>
  <c r="S5489" i="2"/>
  <c r="T5489" i="2" s="1"/>
  <c r="H5485" i="2"/>
  <c r="R5485" i="2"/>
  <c r="J5473" i="2"/>
  <c r="S5473" i="2"/>
  <c r="T5473" i="2" s="1"/>
  <c r="R5457" i="2"/>
  <c r="S5457" i="2"/>
  <c r="T5457" i="2" s="1"/>
  <c r="R5433" i="2"/>
  <c r="S5433" i="2"/>
  <c r="T5433" i="2" s="1"/>
  <c r="H5425" i="2"/>
  <c r="S5425" i="2"/>
  <c r="T5425" i="2" s="1"/>
  <c r="J5421" i="2"/>
  <c r="S5421" i="2"/>
  <c r="T5421" i="2" s="1"/>
  <c r="H5417" i="2"/>
  <c r="S5417" i="2"/>
  <c r="T5417" i="2" s="1"/>
  <c r="J5413" i="2"/>
  <c r="S5413" i="2"/>
  <c r="T5413" i="2" s="1"/>
  <c r="R5409" i="2"/>
  <c r="S5409" i="2"/>
  <c r="T5409" i="2" s="1"/>
  <c r="H5401" i="2"/>
  <c r="S5401" i="2"/>
  <c r="T5401" i="2" s="1"/>
  <c r="H5397" i="2"/>
  <c r="S5397" i="2"/>
  <c r="T5397" i="2" s="1"/>
  <c r="J5197" i="2"/>
  <c r="S5197" i="2"/>
  <c r="T5197" i="2" s="1"/>
  <c r="U5197" i="2"/>
  <c r="H5189" i="2"/>
  <c r="S5189" i="2"/>
  <c r="T5189" i="2" s="1"/>
  <c r="U5189" i="2"/>
  <c r="I5185" i="2"/>
  <c r="U5185" i="2"/>
  <c r="I5181" i="2"/>
  <c r="S5181" i="2"/>
  <c r="T5181" i="2" s="1"/>
  <c r="J5181" i="2"/>
  <c r="R5181" i="2"/>
  <c r="U5181" i="2"/>
  <c r="R5173" i="2"/>
  <c r="S5173" i="2"/>
  <c r="T5173" i="2" s="1"/>
  <c r="I5173" i="2"/>
  <c r="U5173" i="2"/>
  <c r="H5165" i="2"/>
  <c r="J5165" i="2"/>
  <c r="S5165" i="2"/>
  <c r="T5165" i="2" s="1"/>
  <c r="R5165" i="2"/>
  <c r="U5165" i="2"/>
  <c r="H5161" i="2"/>
  <c r="R5161" i="2"/>
  <c r="U5161" i="2"/>
  <c r="S5161" i="2"/>
  <c r="T5161" i="2" s="1"/>
  <c r="H5153" i="2"/>
  <c r="U5153" i="2"/>
  <c r="R5153" i="2"/>
  <c r="S5153" i="2"/>
  <c r="T5153" i="2" s="1"/>
  <c r="J5149" i="2"/>
  <c r="S5149" i="2"/>
  <c r="T5149" i="2" s="1"/>
  <c r="R5149" i="2"/>
  <c r="J5125" i="2"/>
  <c r="R5125" i="2"/>
  <c r="S5125" i="2"/>
  <c r="T5125" i="2" s="1"/>
  <c r="J5121" i="2"/>
  <c r="U5121" i="2"/>
  <c r="I5121" i="2"/>
  <c r="R5121" i="2"/>
  <c r="S5121" i="2"/>
  <c r="T5121" i="2" s="1"/>
  <c r="J5117" i="2"/>
  <c r="I5117" i="2"/>
  <c r="H5117" i="2"/>
  <c r="U5117" i="2"/>
  <c r="H5097" i="2"/>
  <c r="U5097" i="2"/>
  <c r="J5097" i="2"/>
  <c r="H5085" i="2"/>
  <c r="J5085" i="2"/>
  <c r="U5085" i="2"/>
  <c r="U5473" i="2"/>
  <c r="U5465" i="2"/>
  <c r="U5457" i="2"/>
  <c r="U5449" i="2"/>
  <c r="U5413" i="2"/>
  <c r="U5405" i="2"/>
  <c r="U5397" i="2"/>
  <c r="U5389" i="2"/>
  <c r="U5345" i="2"/>
  <c r="U5337" i="2"/>
  <c r="U5329" i="2"/>
  <c r="U5321" i="2"/>
  <c r="U5285" i="2"/>
  <c r="U5193" i="2"/>
  <c r="U5157" i="2"/>
  <c r="U5125" i="2"/>
  <c r="U5041" i="2"/>
  <c r="S5493" i="2"/>
  <c r="T5493" i="2" s="1"/>
  <c r="S5461" i="2"/>
  <c r="T5461" i="2" s="1"/>
  <c r="S5349" i="2"/>
  <c r="T5349" i="2" s="1"/>
  <c r="S5317" i="2"/>
  <c r="T5317" i="2" s="1"/>
  <c r="S5225" i="2"/>
  <c r="T5225" i="2" s="1"/>
  <c r="S5193" i="2"/>
  <c r="T5193" i="2" s="1"/>
  <c r="S5085" i="2"/>
  <c r="T5085" i="2" s="1"/>
  <c r="R5473" i="2"/>
  <c r="R5317" i="2"/>
  <c r="R5229" i="2"/>
  <c r="J5077" i="2"/>
  <c r="J5037" i="2"/>
  <c r="I5053" i="2"/>
  <c r="H5045" i="2"/>
  <c r="R5244" i="2"/>
  <c r="S5454" i="2"/>
  <c r="T5454" i="2" s="1"/>
  <c r="U5454" i="2"/>
  <c r="R5450" i="2"/>
  <c r="S5450" i="2"/>
  <c r="T5450" i="2" s="1"/>
  <c r="U5450" i="2"/>
  <c r="R5446" i="2"/>
  <c r="S5446" i="2"/>
  <c r="T5446" i="2" s="1"/>
  <c r="R5438" i="2"/>
  <c r="S5438" i="2"/>
  <c r="T5438" i="2" s="1"/>
  <c r="U5438" i="2"/>
  <c r="S5434" i="2"/>
  <c r="T5434" i="2" s="1"/>
  <c r="U5434" i="2"/>
  <c r="R5430" i="2"/>
  <c r="S5430" i="2"/>
  <c r="T5430" i="2" s="1"/>
  <c r="S5422" i="2"/>
  <c r="T5422" i="2" s="1"/>
  <c r="U5422" i="2"/>
  <c r="S5418" i="2"/>
  <c r="T5418" i="2" s="1"/>
  <c r="U5418" i="2"/>
  <c r="R5406" i="2"/>
  <c r="S5406" i="2"/>
  <c r="T5406" i="2" s="1"/>
  <c r="U5406" i="2"/>
  <c r="J5402" i="2"/>
  <c r="S5402" i="2"/>
  <c r="T5402" i="2" s="1"/>
  <c r="U5402" i="2"/>
  <c r="J5394" i="2"/>
  <c r="R5394" i="2"/>
  <c r="J5386" i="2"/>
  <c r="U5386" i="2"/>
  <c r="I5298" i="2"/>
  <c r="R5298" i="2"/>
  <c r="J5258" i="2"/>
  <c r="U5258" i="2"/>
  <c r="H5250" i="2"/>
  <c r="R5250" i="2"/>
  <c r="U5246" i="2"/>
  <c r="S5246" i="2"/>
  <c r="T5246" i="2" s="1"/>
  <c r="H5242" i="2"/>
  <c r="J5242" i="2"/>
  <c r="U5242" i="2"/>
  <c r="U5162" i="2"/>
  <c r="I5162" i="2"/>
  <c r="S5146" i="2"/>
  <c r="T5146" i="2" s="1"/>
  <c r="U5146" i="2"/>
  <c r="J5142" i="2"/>
  <c r="S5142" i="2"/>
  <c r="T5142" i="2" s="1"/>
  <c r="H5114" i="2"/>
  <c r="S5114" i="2"/>
  <c r="T5114" i="2" s="1"/>
  <c r="R5110" i="2"/>
  <c r="U5110" i="2"/>
  <c r="H5106" i="2"/>
  <c r="R5106" i="2"/>
  <c r="S5106" i="2"/>
  <c r="T5106" i="2" s="1"/>
  <c r="R5098" i="2"/>
  <c r="S5098" i="2"/>
  <c r="T5098" i="2" s="1"/>
  <c r="I5094" i="2"/>
  <c r="R5094" i="2"/>
  <c r="U5094" i="2"/>
  <c r="J5094" i="2"/>
  <c r="H5090" i="2"/>
  <c r="U5090" i="2"/>
  <c r="R5090" i="2"/>
  <c r="S5090" i="2"/>
  <c r="T5090" i="2" s="1"/>
  <c r="H5086" i="2"/>
  <c r="R5086" i="2"/>
  <c r="H5078" i="2"/>
  <c r="U5078" i="2"/>
  <c r="R5078" i="2"/>
  <c r="H5074" i="2"/>
  <c r="J5074" i="2"/>
  <c r="H5070" i="2"/>
  <c r="I5070" i="2"/>
  <c r="S5070" i="2"/>
  <c r="T5070" i="2" s="1"/>
  <c r="U5070" i="2"/>
  <c r="H5066" i="2"/>
  <c r="I5066" i="2"/>
  <c r="J5066" i="2"/>
  <c r="R5066" i="2"/>
  <c r="S5066" i="2"/>
  <c r="T5066" i="2" s="1"/>
  <c r="H5062" i="2"/>
  <c r="J5062" i="2"/>
  <c r="H5058" i="2"/>
  <c r="J5058" i="2"/>
  <c r="S5058" i="2"/>
  <c r="T5058" i="2" s="1"/>
  <c r="H5054" i="2"/>
  <c r="U5054" i="2"/>
  <c r="I5054" i="2"/>
  <c r="H5050" i="2"/>
  <c r="R5050" i="2"/>
  <c r="I5050" i="2"/>
  <c r="S5050" i="2"/>
  <c r="T5050" i="2" s="1"/>
  <c r="R5046" i="2"/>
  <c r="H5046" i="2"/>
  <c r="J5046" i="2"/>
  <c r="I5046" i="2"/>
  <c r="I5370" i="2"/>
  <c r="U5370" i="2"/>
  <c r="J5278" i="2"/>
  <c r="U5278" i="2"/>
  <c r="H5214" i="2"/>
  <c r="U5214" i="2"/>
  <c r="S5214" i="2"/>
  <c r="T5214" i="2" s="1"/>
  <c r="H5198" i="2"/>
  <c r="U5198" i="2"/>
  <c r="I5134" i="2"/>
  <c r="U5134" i="2"/>
  <c r="U5490" i="2"/>
  <c r="U5458" i="2"/>
  <c r="U5426" i="2"/>
  <c r="U5394" i="2"/>
  <c r="U5362" i="2"/>
  <c r="U5330" i="2"/>
  <c r="U5298" i="2"/>
  <c r="U5266" i="2"/>
  <c r="U5234" i="2"/>
  <c r="U5138" i="2"/>
  <c r="R5058" i="2"/>
  <c r="J5218" i="2"/>
  <c r="S5470" i="2"/>
  <c r="T5470" i="2" s="1"/>
  <c r="U5470" i="2"/>
  <c r="J5466" i="2"/>
  <c r="S5466" i="2"/>
  <c r="T5466" i="2" s="1"/>
  <c r="U5466" i="2"/>
  <c r="R5390" i="2"/>
  <c r="U5390" i="2"/>
  <c r="J5338" i="2"/>
  <c r="U5338" i="2"/>
  <c r="I5338" i="2"/>
  <c r="I5270" i="2"/>
  <c r="R5270" i="2"/>
  <c r="U5230" i="2"/>
  <c r="S5230" i="2"/>
  <c r="T5230" i="2" s="1"/>
  <c r="H5210" i="2"/>
  <c r="U5210" i="2"/>
  <c r="U5462" i="2"/>
  <c r="U5430" i="2"/>
  <c r="U5366" i="2"/>
  <c r="U5334" i="2"/>
  <c r="U5302" i="2"/>
  <c r="U5270" i="2"/>
  <c r="U5238" i="2"/>
  <c r="U5206" i="2"/>
  <c r="U5142" i="2"/>
  <c r="U5102" i="2"/>
  <c r="U5062" i="2"/>
  <c r="S5474" i="2"/>
  <c r="T5474" i="2" s="1"/>
  <c r="S5410" i="2"/>
  <c r="T5410" i="2" s="1"/>
  <c r="S5110" i="2"/>
  <c r="T5110" i="2" s="1"/>
  <c r="S5046" i="2"/>
  <c r="T5046" i="2" s="1"/>
  <c r="R5070" i="2"/>
  <c r="R5498" i="2"/>
  <c r="S5498" i="2"/>
  <c r="T5498" i="2" s="1"/>
  <c r="U5498" i="2"/>
  <c r="R5494" i="2"/>
  <c r="S5494" i="2"/>
  <c r="T5494" i="2" s="1"/>
  <c r="S5486" i="2"/>
  <c r="T5486" i="2" s="1"/>
  <c r="U5486" i="2"/>
  <c r="S5482" i="2"/>
  <c r="T5482" i="2" s="1"/>
  <c r="U5482" i="2"/>
  <c r="J5354" i="2"/>
  <c r="U5354" i="2"/>
  <c r="I5322" i="2"/>
  <c r="U5322" i="2"/>
  <c r="H5202" i="2"/>
  <c r="I5202" i="2"/>
  <c r="S5122" i="2"/>
  <c r="T5122" i="2" s="1"/>
  <c r="U5122" i="2"/>
  <c r="U5474" i="2"/>
  <c r="U5442" i="2"/>
  <c r="U5378" i="2"/>
  <c r="U5346" i="2"/>
  <c r="U5314" i="2"/>
  <c r="U5282" i="2"/>
  <c r="U5250" i="2"/>
  <c r="U5218" i="2"/>
  <c r="U5154" i="2"/>
  <c r="U5098" i="2"/>
  <c r="U5066" i="2"/>
  <c r="S5502" i="2"/>
  <c r="T5502" i="2" s="1"/>
  <c r="S5458" i="2"/>
  <c r="T5458" i="2" s="1"/>
  <c r="S5242" i="2"/>
  <c r="T5242" i="2" s="1"/>
  <c r="S5150" i="2"/>
  <c r="T5150" i="2" s="1"/>
  <c r="R5102" i="2"/>
  <c r="J5090" i="2"/>
  <c r="J5078" i="2"/>
  <c r="I5058" i="2"/>
  <c r="S5038" i="2"/>
  <c r="T5038" i="2" s="1"/>
  <c r="R5042" i="2"/>
  <c r="R5018" i="2"/>
  <c r="J5042" i="2"/>
  <c r="J5034" i="2"/>
  <c r="U5026" i="2"/>
  <c r="U5022" i="2"/>
  <c r="S5018" i="2"/>
  <c r="T5018" i="2" s="1"/>
  <c r="R5425" i="2"/>
  <c r="R5385" i="2"/>
  <c r="R5038" i="2"/>
  <c r="R5022" i="2"/>
  <c r="J5409" i="2"/>
  <c r="I5038" i="2"/>
  <c r="U5042" i="2"/>
  <c r="U5034" i="2"/>
  <c r="S5042" i="2"/>
  <c r="T5042" i="2" s="1"/>
  <c r="S5034" i="2"/>
  <c r="T5034" i="2" s="1"/>
  <c r="R5493" i="2"/>
  <c r="R5417" i="2"/>
  <c r="J5453" i="2"/>
  <c r="J5018" i="2"/>
  <c r="I5441" i="2"/>
  <c r="I5018" i="2"/>
  <c r="H5030" i="2"/>
  <c r="R5487" i="2"/>
  <c r="J5487" i="2"/>
  <c r="J5483" i="2"/>
  <c r="R5483" i="2"/>
  <c r="H5475" i="2"/>
  <c r="J5475" i="2"/>
  <c r="R5475" i="2"/>
  <c r="H5471" i="2"/>
  <c r="I5471" i="2"/>
  <c r="J5471" i="2"/>
  <c r="H5463" i="2"/>
  <c r="I5463" i="2"/>
  <c r="R5463" i="2"/>
  <c r="H5459" i="2"/>
  <c r="R5459" i="2"/>
  <c r="J5459" i="2"/>
  <c r="H5451" i="2"/>
  <c r="R5451" i="2"/>
  <c r="J5451" i="2"/>
  <c r="H5447" i="2"/>
  <c r="R5447" i="2"/>
  <c r="H5443" i="2"/>
  <c r="J5443" i="2"/>
  <c r="R5443" i="2"/>
  <c r="I5443" i="2"/>
  <c r="H5439" i="2"/>
  <c r="J5439" i="2"/>
  <c r="R5439" i="2"/>
  <c r="R5435" i="2"/>
  <c r="J5435" i="2"/>
  <c r="H5431" i="2"/>
  <c r="I5431" i="2"/>
  <c r="R5431" i="2"/>
  <c r="H5423" i="2"/>
  <c r="R5423" i="2"/>
  <c r="H5415" i="2"/>
  <c r="R5415" i="2"/>
  <c r="J5411" i="2"/>
  <c r="I5411" i="2"/>
  <c r="H5407" i="2"/>
  <c r="J5407" i="2"/>
  <c r="R5407" i="2"/>
  <c r="H5399" i="2"/>
  <c r="R5399" i="2"/>
  <c r="H5395" i="2"/>
  <c r="J5395" i="2"/>
  <c r="S5395" i="2"/>
  <c r="T5395" i="2" s="1"/>
  <c r="R5395" i="2"/>
  <c r="H5391" i="2"/>
  <c r="J5391" i="2"/>
  <c r="R5391" i="2"/>
  <c r="S5391" i="2"/>
  <c r="T5391" i="2" s="1"/>
  <c r="H5387" i="2"/>
  <c r="J5387" i="2"/>
  <c r="R5387" i="2"/>
  <c r="H5383" i="2"/>
  <c r="I5383" i="2"/>
  <c r="R5383" i="2"/>
  <c r="S5383" i="2"/>
  <c r="T5383" i="2" s="1"/>
  <c r="H5379" i="2"/>
  <c r="I5379" i="2"/>
  <c r="S5379" i="2"/>
  <c r="T5379" i="2" s="1"/>
  <c r="R5379" i="2"/>
  <c r="H5375" i="2"/>
  <c r="R5375" i="2"/>
  <c r="J5375" i="2"/>
  <c r="H5371" i="2"/>
  <c r="I5371" i="2"/>
  <c r="J5371" i="2"/>
  <c r="S5371" i="2"/>
  <c r="T5371" i="2" s="1"/>
  <c r="R5371" i="2"/>
  <c r="H5367" i="2"/>
  <c r="R5367" i="2"/>
  <c r="I5367" i="2"/>
  <c r="S5367" i="2"/>
  <c r="T5367" i="2" s="1"/>
  <c r="I5363" i="2"/>
  <c r="J5363" i="2"/>
  <c r="R5363" i="2"/>
  <c r="S5363" i="2"/>
  <c r="T5363" i="2" s="1"/>
  <c r="H5359" i="2"/>
  <c r="R5359" i="2"/>
  <c r="I5359" i="2"/>
  <c r="I5355" i="2"/>
  <c r="J5355" i="2"/>
  <c r="S5355" i="2"/>
  <c r="T5355" i="2" s="1"/>
  <c r="H5355" i="2"/>
  <c r="R5355" i="2"/>
  <c r="H5351" i="2"/>
  <c r="R5351" i="2"/>
  <c r="S5351" i="2"/>
  <c r="T5351" i="2" s="1"/>
  <c r="H5347" i="2"/>
  <c r="R5347" i="2"/>
  <c r="J5347" i="2"/>
  <c r="S5347" i="2"/>
  <c r="T5347" i="2" s="1"/>
  <c r="H5343" i="2"/>
  <c r="R5343" i="2"/>
  <c r="J5343" i="2"/>
  <c r="I5339" i="2"/>
  <c r="J5339" i="2"/>
  <c r="S5339" i="2"/>
  <c r="T5339" i="2" s="1"/>
  <c r="R5339" i="2"/>
  <c r="H5335" i="2"/>
  <c r="R5335" i="2"/>
  <c r="S5335" i="2"/>
  <c r="T5335" i="2" s="1"/>
  <c r="H5331" i="2"/>
  <c r="R5331" i="2"/>
  <c r="I5331" i="2"/>
  <c r="J5331" i="2"/>
  <c r="S5331" i="2"/>
  <c r="T5331" i="2" s="1"/>
  <c r="H5327" i="2"/>
  <c r="I5327" i="2"/>
  <c r="J5327" i="2"/>
  <c r="R5327" i="2"/>
  <c r="I5323" i="2"/>
  <c r="J5323" i="2"/>
  <c r="H5323" i="2"/>
  <c r="S5323" i="2"/>
  <c r="T5323" i="2" s="1"/>
  <c r="R5323" i="2"/>
  <c r="H5319" i="2"/>
  <c r="R5319" i="2"/>
  <c r="S5319" i="2"/>
  <c r="T5319" i="2" s="1"/>
  <c r="H5315" i="2"/>
  <c r="I5315" i="2"/>
  <c r="R5315" i="2"/>
  <c r="J5315" i="2"/>
  <c r="S5315" i="2"/>
  <c r="T5315" i="2" s="1"/>
  <c r="H5311" i="2"/>
  <c r="J5311" i="2"/>
  <c r="R5311" i="2"/>
  <c r="H5307" i="2"/>
  <c r="J5307" i="2"/>
  <c r="S5307" i="2"/>
  <c r="T5307" i="2" s="1"/>
  <c r="I5307" i="2"/>
  <c r="R5307" i="2"/>
  <c r="H5303" i="2"/>
  <c r="R5303" i="2"/>
  <c r="I5303" i="2"/>
  <c r="S5303" i="2"/>
  <c r="T5303" i="2" s="1"/>
  <c r="I5299" i="2"/>
  <c r="R5299" i="2"/>
  <c r="S5299" i="2"/>
  <c r="T5299" i="2" s="1"/>
  <c r="H5295" i="2"/>
  <c r="J5295" i="2"/>
  <c r="I5295" i="2"/>
  <c r="R5295" i="2"/>
  <c r="H5291" i="2"/>
  <c r="R5291" i="2"/>
  <c r="S5291" i="2"/>
  <c r="T5291" i="2" s="1"/>
  <c r="J5291" i="2"/>
  <c r="H5287" i="2"/>
  <c r="S5287" i="2"/>
  <c r="T5287" i="2" s="1"/>
  <c r="R5287" i="2"/>
  <c r="H5283" i="2"/>
  <c r="I5283" i="2"/>
  <c r="J5283" i="2"/>
  <c r="R5283" i="2"/>
  <c r="S5283" i="2"/>
  <c r="T5283" i="2" s="1"/>
  <c r="H5279" i="2"/>
  <c r="J5279" i="2"/>
  <c r="R5279" i="2"/>
  <c r="I5275" i="2"/>
  <c r="J5275" i="2"/>
  <c r="R5275" i="2"/>
  <c r="S5275" i="2"/>
  <c r="T5275" i="2" s="1"/>
  <c r="H5271" i="2"/>
  <c r="S5271" i="2"/>
  <c r="T5271" i="2" s="1"/>
  <c r="R5271" i="2"/>
  <c r="H5267" i="2"/>
  <c r="J5267" i="2"/>
  <c r="I5267" i="2"/>
  <c r="R5267" i="2"/>
  <c r="S5267" i="2"/>
  <c r="T5267" i="2" s="1"/>
  <c r="H5263" i="2"/>
  <c r="U5263" i="2"/>
  <c r="J5263" i="2"/>
  <c r="I5263" i="2"/>
  <c r="R5263" i="2"/>
  <c r="H5259" i="2"/>
  <c r="R5259" i="2"/>
  <c r="S5259" i="2"/>
  <c r="T5259" i="2" s="1"/>
  <c r="U5259" i="2"/>
  <c r="J5255" i="2"/>
  <c r="I5255" i="2"/>
  <c r="R5255" i="2"/>
  <c r="U5255" i="2"/>
  <c r="S5255" i="2"/>
  <c r="T5255" i="2" s="1"/>
  <c r="H5251" i="2"/>
  <c r="J5251" i="2"/>
  <c r="R5251" i="2"/>
  <c r="U5251" i="2"/>
  <c r="I5251" i="2"/>
  <c r="S5251" i="2"/>
  <c r="T5251" i="2" s="1"/>
  <c r="I5247" i="2"/>
  <c r="R5247" i="2"/>
  <c r="U5247" i="2"/>
  <c r="J5247" i="2"/>
  <c r="H5243" i="2"/>
  <c r="J5243" i="2"/>
  <c r="U5243" i="2"/>
  <c r="H5239" i="2"/>
  <c r="I5239" i="2"/>
  <c r="U5239" i="2"/>
  <c r="R5239" i="2"/>
  <c r="H5235" i="2"/>
  <c r="R5235" i="2"/>
  <c r="U5235" i="2"/>
  <c r="J5235" i="2"/>
  <c r="H5231" i="2"/>
  <c r="J5231" i="2"/>
  <c r="I5231" i="2"/>
  <c r="R5231" i="2"/>
  <c r="U5231" i="2"/>
  <c r="H5227" i="2"/>
  <c r="J5227" i="2"/>
  <c r="R5227" i="2"/>
  <c r="U5227" i="2"/>
  <c r="I5227" i="2"/>
  <c r="H5223" i="2"/>
  <c r="R5223" i="2"/>
  <c r="U5223" i="2"/>
  <c r="H5219" i="2"/>
  <c r="J5219" i="2"/>
  <c r="U5219" i="2"/>
  <c r="R5219" i="2"/>
  <c r="I5215" i="2"/>
  <c r="J5215" i="2"/>
  <c r="R5215" i="2"/>
  <c r="U5215" i="2"/>
  <c r="H5215" i="2"/>
  <c r="H5211" i="2"/>
  <c r="U5211" i="2"/>
  <c r="J5211" i="2"/>
  <c r="R5211" i="2"/>
  <c r="H5207" i="2"/>
  <c r="U5207" i="2"/>
  <c r="I5207" i="2"/>
  <c r="H5203" i="2"/>
  <c r="I5203" i="2"/>
  <c r="J5203" i="2"/>
  <c r="R5203" i="2"/>
  <c r="U5203" i="2"/>
  <c r="H5199" i="2"/>
  <c r="R5199" i="2"/>
  <c r="I5199" i="2"/>
  <c r="S5199" i="2"/>
  <c r="T5199" i="2" s="1"/>
  <c r="J5199" i="2"/>
  <c r="U5199" i="2"/>
  <c r="H5195" i="2"/>
  <c r="J5195" i="2"/>
  <c r="R5195" i="2"/>
  <c r="U5195" i="2"/>
  <c r="S5195" i="2"/>
  <c r="T5195" i="2" s="1"/>
  <c r="U5499" i="2"/>
  <c r="U5495" i="2"/>
  <c r="U5491" i="2"/>
  <c r="U5487" i="2"/>
  <c r="U5483" i="2"/>
  <c r="U5479" i="2"/>
  <c r="U5475" i="2"/>
  <c r="U5471" i="2"/>
  <c r="U5467" i="2"/>
  <c r="U5463" i="2"/>
  <c r="U5459" i="2"/>
  <c r="U5455" i="2"/>
  <c r="U5451" i="2"/>
  <c r="U5447" i="2"/>
  <c r="U5443" i="2"/>
  <c r="U5439" i="2"/>
  <c r="U5435" i="2"/>
  <c r="U5431" i="2"/>
  <c r="U5427" i="2"/>
  <c r="U5423" i="2"/>
  <c r="U5419" i="2"/>
  <c r="U5415" i="2"/>
  <c r="U5411" i="2"/>
  <c r="U5407" i="2"/>
  <c r="U5403" i="2"/>
  <c r="U5399" i="2"/>
  <c r="U5395" i="2"/>
  <c r="U5391" i="2"/>
  <c r="U5387" i="2"/>
  <c r="U5383" i="2"/>
  <c r="U5379" i="2"/>
  <c r="U5375" i="2"/>
  <c r="U5371" i="2"/>
  <c r="U5367" i="2"/>
  <c r="U5363" i="2"/>
  <c r="U5359" i="2"/>
  <c r="U5355" i="2"/>
  <c r="U5351" i="2"/>
  <c r="U5347" i="2"/>
  <c r="U5343" i="2"/>
  <c r="U5339" i="2"/>
  <c r="U5335" i="2"/>
  <c r="U5331" i="2"/>
  <c r="U5327" i="2"/>
  <c r="U5323" i="2"/>
  <c r="U5319" i="2"/>
  <c r="U5315" i="2"/>
  <c r="U5311" i="2"/>
  <c r="U5307" i="2"/>
  <c r="U5303" i="2"/>
  <c r="U5299" i="2"/>
  <c r="U5295" i="2"/>
  <c r="U5291" i="2"/>
  <c r="U5287" i="2"/>
  <c r="U5283" i="2"/>
  <c r="U5279" i="2"/>
  <c r="U5275" i="2"/>
  <c r="U5271" i="2"/>
  <c r="U5267" i="2"/>
  <c r="S5387" i="2"/>
  <c r="T5387" i="2" s="1"/>
  <c r="S5343" i="2"/>
  <c r="T5343" i="2" s="1"/>
  <c r="S5279" i="2"/>
  <c r="T5279" i="2" s="1"/>
  <c r="J5499" i="2"/>
  <c r="I5243" i="2"/>
  <c r="S5327" i="2"/>
  <c r="T5327" i="2" s="1"/>
  <c r="S5263" i="2"/>
  <c r="T5263" i="2" s="1"/>
  <c r="J5359" i="2"/>
  <c r="J5299" i="2"/>
  <c r="I5319" i="2"/>
  <c r="H5247" i="2"/>
  <c r="S5475" i="2"/>
  <c r="T5475" i="2" s="1"/>
  <c r="S5471" i="2"/>
  <c r="T5471" i="2" s="1"/>
  <c r="S5467" i="2"/>
  <c r="T5467" i="2" s="1"/>
  <c r="S5463" i="2"/>
  <c r="T5463" i="2" s="1"/>
  <c r="S5459" i="2"/>
  <c r="T5459" i="2" s="1"/>
  <c r="S5455" i="2"/>
  <c r="T5455" i="2" s="1"/>
  <c r="S5451" i="2"/>
  <c r="T5451" i="2" s="1"/>
  <c r="S5447" i="2"/>
  <c r="T5447" i="2" s="1"/>
  <c r="S5443" i="2"/>
  <c r="T5443" i="2" s="1"/>
  <c r="S5439" i="2"/>
  <c r="T5439" i="2" s="1"/>
  <c r="S5435" i="2"/>
  <c r="T5435" i="2" s="1"/>
  <c r="S5431" i="2"/>
  <c r="T5431" i="2" s="1"/>
  <c r="S5427" i="2"/>
  <c r="T5427" i="2" s="1"/>
  <c r="S5423" i="2"/>
  <c r="T5423" i="2" s="1"/>
  <c r="S5419" i="2"/>
  <c r="T5419" i="2" s="1"/>
  <c r="S5415" i="2"/>
  <c r="T5415" i="2" s="1"/>
  <c r="S5411" i="2"/>
  <c r="T5411" i="2" s="1"/>
  <c r="S5407" i="2"/>
  <c r="T5407" i="2" s="1"/>
  <c r="S5399" i="2"/>
  <c r="T5399" i="2" s="1"/>
  <c r="S5375" i="2"/>
  <c r="T5375" i="2" s="1"/>
  <c r="S5311" i="2"/>
  <c r="T5311" i="2" s="1"/>
  <c r="S5247" i="2"/>
  <c r="T5247" i="2" s="1"/>
  <c r="S5243" i="2"/>
  <c r="T5243" i="2" s="1"/>
  <c r="S5239" i="2"/>
  <c r="T5239" i="2" s="1"/>
  <c r="S5235" i="2"/>
  <c r="T5235" i="2" s="1"/>
  <c r="S5231" i="2"/>
  <c r="T5231" i="2" s="1"/>
  <c r="S5227" i="2"/>
  <c r="T5227" i="2" s="1"/>
  <c r="S5223" i="2"/>
  <c r="T5223" i="2" s="1"/>
  <c r="S5219" i="2"/>
  <c r="T5219" i="2" s="1"/>
  <c r="S5215" i="2"/>
  <c r="T5215" i="2" s="1"/>
  <c r="S5211" i="2"/>
  <c r="T5211" i="2" s="1"/>
  <c r="S5207" i="2"/>
  <c r="T5207" i="2" s="1"/>
  <c r="S5203" i="2"/>
  <c r="T5203" i="2" s="1"/>
  <c r="R5243" i="2"/>
  <c r="R5207" i="2"/>
  <c r="J5379" i="2"/>
  <c r="J5259" i="2"/>
  <c r="J5191" i="2"/>
  <c r="S5191" i="2"/>
  <c r="T5191" i="2" s="1"/>
  <c r="H5191" i="2"/>
  <c r="I5191" i="2"/>
  <c r="R5191" i="2"/>
  <c r="U5191" i="2"/>
  <c r="H5187" i="2"/>
  <c r="I5187" i="2"/>
  <c r="R5187" i="2"/>
  <c r="U5187" i="2"/>
  <c r="S5187" i="2"/>
  <c r="T5187" i="2" s="1"/>
  <c r="H5183" i="2"/>
  <c r="J5183" i="2"/>
  <c r="R5183" i="2"/>
  <c r="S5183" i="2"/>
  <c r="T5183" i="2" s="1"/>
  <c r="U5183" i="2"/>
  <c r="H5179" i="2"/>
  <c r="J5179" i="2"/>
  <c r="S5179" i="2"/>
  <c r="T5179" i="2" s="1"/>
  <c r="U5179" i="2"/>
  <c r="R5179" i="2"/>
  <c r="H5175" i="2"/>
  <c r="I5175" i="2"/>
  <c r="R5175" i="2"/>
  <c r="U5175" i="2"/>
  <c r="S5175" i="2"/>
  <c r="T5175" i="2" s="1"/>
  <c r="I5171" i="2"/>
  <c r="R5171" i="2"/>
  <c r="S5171" i="2"/>
  <c r="T5171" i="2" s="1"/>
  <c r="H5171" i="2"/>
  <c r="U5171" i="2"/>
  <c r="J5171" i="2"/>
  <c r="H5167" i="2"/>
  <c r="J5167" i="2"/>
  <c r="U5167" i="2"/>
  <c r="I5167" i="2"/>
  <c r="S5167" i="2"/>
  <c r="T5167" i="2" s="1"/>
  <c r="H5163" i="2"/>
  <c r="R5163" i="2"/>
  <c r="S5163" i="2"/>
  <c r="T5163" i="2" s="1"/>
  <c r="J5163" i="2"/>
  <c r="U5163" i="2"/>
  <c r="H5159" i="2"/>
  <c r="S5159" i="2"/>
  <c r="T5159" i="2" s="1"/>
  <c r="U5159" i="2"/>
  <c r="R5159" i="2"/>
  <c r="H5155" i="2"/>
  <c r="I5155" i="2"/>
  <c r="R5155" i="2"/>
  <c r="S5155" i="2"/>
  <c r="T5155" i="2" s="1"/>
  <c r="U5155" i="2"/>
  <c r="H5151" i="2"/>
  <c r="S5151" i="2"/>
  <c r="T5151" i="2" s="1"/>
  <c r="U5151" i="2"/>
  <c r="J5151" i="2"/>
  <c r="R5151" i="2"/>
  <c r="I5151" i="2"/>
  <c r="I5147" i="2"/>
  <c r="H5147" i="2"/>
  <c r="R5147" i="2"/>
  <c r="J5147" i="2"/>
  <c r="S5147" i="2"/>
  <c r="T5147" i="2" s="1"/>
  <c r="U5147" i="2"/>
  <c r="H5143" i="2"/>
  <c r="I5143" i="2"/>
  <c r="S5143" i="2"/>
  <c r="T5143" i="2" s="1"/>
  <c r="R5143" i="2"/>
  <c r="U5143" i="2"/>
  <c r="H5139" i="2"/>
  <c r="I5139" i="2"/>
  <c r="J5139" i="2"/>
  <c r="R5139" i="2"/>
  <c r="S5139" i="2"/>
  <c r="T5139" i="2" s="1"/>
  <c r="U5139" i="2"/>
  <c r="H5135" i="2"/>
  <c r="J5135" i="2"/>
  <c r="S5135" i="2"/>
  <c r="T5135" i="2" s="1"/>
  <c r="I5135" i="2"/>
  <c r="U5135" i="2"/>
  <c r="H5131" i="2"/>
  <c r="J5131" i="2"/>
  <c r="S5131" i="2"/>
  <c r="T5131" i="2" s="1"/>
  <c r="U5131" i="2"/>
  <c r="R5131" i="2"/>
  <c r="U5111" i="2"/>
  <c r="S5119" i="2"/>
  <c r="T5119" i="2" s="1"/>
  <c r="S5087" i="2"/>
  <c r="T5087" i="2" s="1"/>
  <c r="I5123" i="2"/>
  <c r="U5119" i="2"/>
  <c r="R5091" i="2"/>
  <c r="S5083" i="2"/>
  <c r="T5083" i="2" s="1"/>
  <c r="H5123" i="2"/>
  <c r="R5123" i="2"/>
  <c r="S5123" i="2"/>
  <c r="T5123" i="2" s="1"/>
  <c r="R5119" i="2"/>
  <c r="H5119" i="2"/>
  <c r="J5119" i="2"/>
  <c r="I5111" i="2"/>
  <c r="H5111" i="2"/>
  <c r="S5111" i="2"/>
  <c r="T5111" i="2" s="1"/>
  <c r="H5099" i="2"/>
  <c r="S5099" i="2"/>
  <c r="T5099" i="2" s="1"/>
  <c r="U5095" i="2"/>
  <c r="I5095" i="2"/>
  <c r="J5095" i="2"/>
  <c r="S5095" i="2"/>
  <c r="T5095" i="2" s="1"/>
  <c r="I5091" i="2"/>
  <c r="S5091" i="2"/>
  <c r="T5091" i="2" s="1"/>
  <c r="I5079" i="2"/>
  <c r="J5079" i="2"/>
  <c r="S5079" i="2"/>
  <c r="T5079" i="2" s="1"/>
  <c r="H5079" i="2"/>
  <c r="R5079" i="2"/>
  <c r="H5071" i="2"/>
  <c r="R5071" i="2"/>
  <c r="H5067" i="2"/>
  <c r="J5067" i="2"/>
  <c r="R5067" i="2"/>
  <c r="I5067" i="2"/>
  <c r="H5429" i="2"/>
  <c r="R5063" i="2"/>
  <c r="J5493" i="2"/>
  <c r="J5063" i="2"/>
  <c r="I5063" i="2"/>
  <c r="S5177" i="2"/>
  <c r="T5177" i="2" s="1"/>
  <c r="R5177" i="2"/>
  <c r="U5130" i="2"/>
  <c r="I5127" i="2"/>
  <c r="S5127" i="2"/>
  <c r="T5127" i="2" s="1"/>
  <c r="R5127" i="2"/>
  <c r="U5127" i="2"/>
  <c r="S5490" i="2"/>
  <c r="T5490" i="2" s="1"/>
  <c r="S5393" i="2"/>
  <c r="T5393" i="2" s="1"/>
  <c r="S5377" i="2"/>
  <c r="T5377" i="2" s="1"/>
  <c r="R5497" i="2"/>
  <c r="R5453" i="2"/>
  <c r="R5413" i="2"/>
  <c r="R5377" i="2"/>
  <c r="R5369" i="2"/>
  <c r="R5361" i="2"/>
  <c r="R5353" i="2"/>
  <c r="R5345" i="2"/>
  <c r="R5337" i="2"/>
  <c r="R5329" i="2"/>
  <c r="R5321" i="2"/>
  <c r="R5313" i="2"/>
  <c r="R5305" i="2"/>
  <c r="R5269" i="2"/>
  <c r="R5261" i="2"/>
  <c r="R5253" i="2"/>
  <c r="R5241" i="2"/>
  <c r="R5225" i="2"/>
  <c r="R5185" i="2"/>
  <c r="J5337" i="2"/>
  <c r="J5293" i="2"/>
  <c r="I5451" i="2"/>
  <c r="I5423" i="2"/>
  <c r="I5153" i="2"/>
  <c r="H5413" i="2"/>
  <c r="H5205" i="2"/>
  <c r="H5137" i="2"/>
  <c r="R5441" i="2"/>
  <c r="R5397" i="2"/>
  <c r="R5381" i="2"/>
  <c r="J5485" i="2"/>
  <c r="J5429" i="2"/>
  <c r="J5401" i="2"/>
  <c r="J5345" i="2"/>
  <c r="I5493" i="2"/>
  <c r="I5273" i="2"/>
  <c r="I5241" i="2"/>
  <c r="I5193" i="2"/>
  <c r="J5478" i="2"/>
  <c r="R5478" i="2"/>
  <c r="H5470" i="2"/>
  <c r="R5470" i="2"/>
  <c r="H5462" i="2"/>
  <c r="R5462" i="2"/>
  <c r="J5418" i="2"/>
  <c r="R5418" i="2"/>
  <c r="H5246" i="2"/>
  <c r="J5246" i="2"/>
  <c r="I5238" i="2"/>
  <c r="H5238" i="2"/>
  <c r="J5238" i="2"/>
  <c r="H5234" i="2"/>
  <c r="I5234" i="2"/>
  <c r="H5230" i="2"/>
  <c r="J5230" i="2"/>
  <c r="H5226" i="2"/>
  <c r="I5226" i="2"/>
  <c r="H5222" i="2"/>
  <c r="J5222" i="2"/>
  <c r="H5218" i="2"/>
  <c r="I5218" i="2"/>
  <c r="H5206" i="2"/>
  <c r="I5206" i="2"/>
  <c r="J5206" i="2"/>
  <c r="H5194" i="2"/>
  <c r="I5194" i="2"/>
  <c r="H5190" i="2"/>
  <c r="J5190" i="2"/>
  <c r="H5186" i="2"/>
  <c r="R5186" i="2"/>
  <c r="H5182" i="2"/>
  <c r="R5182" i="2"/>
  <c r="H5178" i="2"/>
  <c r="R5178" i="2"/>
  <c r="H5174" i="2"/>
  <c r="R5174" i="2"/>
  <c r="H5170" i="2"/>
  <c r="R5170" i="2"/>
  <c r="H5166" i="2"/>
  <c r="R5166" i="2"/>
  <c r="H5162" i="2"/>
  <c r="R5162" i="2"/>
  <c r="I5158" i="2"/>
  <c r="J5158" i="2"/>
  <c r="R5158" i="2"/>
  <c r="H5154" i="2"/>
  <c r="R5154" i="2"/>
  <c r="H5150" i="2"/>
  <c r="J5150" i="2"/>
  <c r="R5150" i="2"/>
  <c r="H5146" i="2"/>
  <c r="R5146" i="2"/>
  <c r="H5142" i="2"/>
  <c r="R5142" i="2"/>
  <c r="H5138" i="2"/>
  <c r="J5138" i="2"/>
  <c r="R5138" i="2"/>
  <c r="H5134" i="2"/>
  <c r="R5134" i="2"/>
  <c r="H5130" i="2"/>
  <c r="I5130" i="2"/>
  <c r="H5122" i="2"/>
  <c r="R5122" i="2"/>
  <c r="H5118" i="2"/>
  <c r="J5118" i="2"/>
  <c r="H5102" i="2"/>
  <c r="I5102" i="2"/>
  <c r="H5098" i="2"/>
  <c r="J5098" i="2"/>
  <c r="R5330" i="2"/>
  <c r="J5462" i="2"/>
  <c r="J5270" i="2"/>
  <c r="J5210" i="2"/>
  <c r="J5166" i="2"/>
  <c r="J5110" i="2"/>
  <c r="I5210" i="2"/>
  <c r="I5098" i="2"/>
  <c r="R5314" i="2"/>
  <c r="R5130" i="2"/>
  <c r="J5366" i="2"/>
  <c r="J5234" i="2"/>
  <c r="J5226" i="2"/>
  <c r="J5174" i="2"/>
  <c r="J5130" i="2"/>
  <c r="J5106" i="2"/>
  <c r="I5222" i="2"/>
  <c r="I5182" i="2"/>
  <c r="I5150" i="2"/>
  <c r="H5110" i="2"/>
  <c r="R5490" i="2"/>
  <c r="R5458" i="2"/>
  <c r="R5246" i="2"/>
  <c r="R5242" i="2"/>
  <c r="R5238" i="2"/>
  <c r="R5234" i="2"/>
  <c r="R5230" i="2"/>
  <c r="R5226" i="2"/>
  <c r="R5222" i="2"/>
  <c r="R5218" i="2"/>
  <c r="R5214" i="2"/>
  <c r="R5210" i="2"/>
  <c r="R5206" i="2"/>
  <c r="J5470" i="2"/>
  <c r="J5214" i="2"/>
  <c r="J5182" i="2"/>
  <c r="J5102" i="2"/>
  <c r="I5242" i="2"/>
  <c r="I5166" i="2"/>
  <c r="I5154" i="2"/>
  <c r="I5146" i="2"/>
  <c r="I5122" i="2"/>
  <c r="I5110" i="2"/>
  <c r="I5467" i="2"/>
  <c r="J5467" i="2"/>
  <c r="H5455" i="2"/>
  <c r="J5455" i="2"/>
  <c r="H5435" i="2"/>
  <c r="I5435" i="2"/>
  <c r="H5427" i="2"/>
  <c r="R5427" i="2"/>
  <c r="H5419" i="2"/>
  <c r="J5419" i="2"/>
  <c r="H5411" i="2"/>
  <c r="R5411" i="2"/>
  <c r="H5403" i="2"/>
  <c r="J5403" i="2"/>
  <c r="R5403" i="2"/>
  <c r="I5485" i="2"/>
  <c r="I5453" i="2"/>
  <c r="I5395" i="2"/>
  <c r="I5347" i="2"/>
  <c r="I5074" i="2"/>
  <c r="H5361" i="2"/>
  <c r="H5299" i="2"/>
  <c r="H5094" i="2"/>
  <c r="R5126" i="2"/>
  <c r="S5126" i="2"/>
  <c r="T5126" i="2" s="1"/>
  <c r="J5126" i="2"/>
  <c r="U5126" i="2"/>
  <c r="I5126" i="2"/>
  <c r="H5502" i="2"/>
  <c r="R5502" i="2"/>
  <c r="H5498" i="2"/>
  <c r="J5498" i="2"/>
  <c r="I5486" i="2"/>
  <c r="R5486" i="2"/>
  <c r="H5482" i="2"/>
  <c r="J5482" i="2"/>
  <c r="R5482" i="2"/>
  <c r="H5458" i="2"/>
  <c r="J5458" i="2"/>
  <c r="H5450" i="2"/>
  <c r="J5450" i="2"/>
  <c r="H5438" i="2"/>
  <c r="J5438" i="2"/>
  <c r="H5434" i="2"/>
  <c r="R5434" i="2"/>
  <c r="J5434" i="2"/>
  <c r="H5430" i="2"/>
  <c r="I5430" i="2"/>
  <c r="J5430" i="2"/>
  <c r="H5422" i="2"/>
  <c r="J5422" i="2"/>
  <c r="R5422" i="2"/>
  <c r="H5414" i="2"/>
  <c r="R5414" i="2"/>
  <c r="J5414" i="2"/>
  <c r="I5414" i="2"/>
  <c r="H5410" i="2"/>
  <c r="I5410" i="2"/>
  <c r="R5410" i="2"/>
  <c r="H5406" i="2"/>
  <c r="J5406" i="2"/>
  <c r="H5402" i="2"/>
  <c r="R5402" i="2"/>
  <c r="H5398" i="2"/>
  <c r="S5398" i="2"/>
  <c r="T5398" i="2" s="1"/>
  <c r="J5398" i="2"/>
  <c r="R5398" i="2"/>
  <c r="I5398" i="2"/>
  <c r="H5394" i="2"/>
  <c r="S5394" i="2"/>
  <c r="T5394" i="2" s="1"/>
  <c r="H5390" i="2"/>
  <c r="S5390" i="2"/>
  <c r="T5390" i="2" s="1"/>
  <c r="H5386" i="2"/>
  <c r="I5386" i="2"/>
  <c r="S5386" i="2"/>
  <c r="T5386" i="2" s="1"/>
  <c r="R5386" i="2"/>
  <c r="H5382" i="2"/>
  <c r="S5382" i="2"/>
  <c r="T5382" i="2" s="1"/>
  <c r="H5378" i="2"/>
  <c r="S5378" i="2"/>
  <c r="T5378" i="2" s="1"/>
  <c r="J5378" i="2"/>
  <c r="H5374" i="2"/>
  <c r="R5374" i="2"/>
  <c r="S5374" i="2"/>
  <c r="T5374" i="2" s="1"/>
  <c r="J5374" i="2"/>
  <c r="H5370" i="2"/>
  <c r="J5370" i="2"/>
  <c r="S5370" i="2"/>
  <c r="T5370" i="2" s="1"/>
  <c r="R5370" i="2"/>
  <c r="H5366" i="2"/>
  <c r="S5366" i="2"/>
  <c r="T5366" i="2" s="1"/>
  <c r="I5366" i="2"/>
  <c r="H5362" i="2"/>
  <c r="J5362" i="2"/>
  <c r="S5362" i="2"/>
  <c r="T5362" i="2" s="1"/>
  <c r="H5358" i="2"/>
  <c r="R5358" i="2"/>
  <c r="S5358" i="2"/>
  <c r="T5358" i="2" s="1"/>
  <c r="J5358" i="2"/>
  <c r="H5354" i="2"/>
  <c r="S5354" i="2"/>
  <c r="T5354" i="2" s="1"/>
  <c r="R5354" i="2"/>
  <c r="I5354" i="2"/>
  <c r="H5350" i="2"/>
  <c r="S5350" i="2"/>
  <c r="T5350" i="2" s="1"/>
  <c r="I5350" i="2"/>
  <c r="J5350" i="2"/>
  <c r="H5346" i="2"/>
  <c r="J5346" i="2"/>
  <c r="S5346" i="2"/>
  <c r="T5346" i="2" s="1"/>
  <c r="H5342" i="2"/>
  <c r="R5342" i="2"/>
  <c r="S5342" i="2"/>
  <c r="T5342" i="2" s="1"/>
  <c r="J5342" i="2"/>
  <c r="H5338" i="2"/>
  <c r="S5338" i="2"/>
  <c r="T5338" i="2" s="1"/>
  <c r="R5338" i="2"/>
  <c r="H5334" i="2"/>
  <c r="S5334" i="2"/>
  <c r="T5334" i="2" s="1"/>
  <c r="J5334" i="2"/>
  <c r="I5334" i="2"/>
  <c r="H5330" i="2"/>
  <c r="S5330" i="2"/>
  <c r="T5330" i="2" s="1"/>
  <c r="H5326" i="2"/>
  <c r="R5326" i="2"/>
  <c r="S5326" i="2"/>
  <c r="T5326" i="2" s="1"/>
  <c r="J5326" i="2"/>
  <c r="H5322" i="2"/>
  <c r="S5322" i="2"/>
  <c r="T5322" i="2" s="1"/>
  <c r="R5322" i="2"/>
  <c r="J5322" i="2"/>
  <c r="H5318" i="2"/>
  <c r="S5318" i="2"/>
  <c r="T5318" i="2" s="1"/>
  <c r="J5318" i="2"/>
  <c r="H5314" i="2"/>
  <c r="S5314" i="2"/>
  <c r="T5314" i="2" s="1"/>
  <c r="H5310" i="2"/>
  <c r="J5310" i="2"/>
  <c r="R5310" i="2"/>
  <c r="S5310" i="2"/>
  <c r="T5310" i="2" s="1"/>
  <c r="H5306" i="2"/>
  <c r="S5306" i="2"/>
  <c r="T5306" i="2" s="1"/>
  <c r="I5306" i="2"/>
  <c r="R5306" i="2"/>
  <c r="J5306" i="2"/>
  <c r="H5302" i="2"/>
  <c r="S5302" i="2"/>
  <c r="T5302" i="2" s="1"/>
  <c r="J5302" i="2"/>
  <c r="H5298" i="2"/>
  <c r="S5298" i="2"/>
  <c r="T5298" i="2" s="1"/>
  <c r="J5298" i="2"/>
  <c r="H5294" i="2"/>
  <c r="J5294" i="2"/>
  <c r="R5294" i="2"/>
  <c r="S5294" i="2"/>
  <c r="T5294" i="2" s="1"/>
  <c r="H5290" i="2"/>
  <c r="S5290" i="2"/>
  <c r="T5290" i="2" s="1"/>
  <c r="I5290" i="2"/>
  <c r="J5290" i="2"/>
  <c r="R5290" i="2"/>
  <c r="H5286" i="2"/>
  <c r="I5286" i="2"/>
  <c r="J5286" i="2"/>
  <c r="S5286" i="2"/>
  <c r="T5286" i="2" s="1"/>
  <c r="H5282" i="2"/>
  <c r="S5282" i="2"/>
  <c r="T5282" i="2" s="1"/>
  <c r="I5282" i="2"/>
  <c r="J5282" i="2"/>
  <c r="H5278" i="2"/>
  <c r="R5278" i="2"/>
  <c r="S5278" i="2"/>
  <c r="T5278" i="2" s="1"/>
  <c r="H5274" i="2"/>
  <c r="S5274" i="2"/>
  <c r="T5274" i="2" s="1"/>
  <c r="I5274" i="2"/>
  <c r="J5274" i="2"/>
  <c r="R5274" i="2"/>
  <c r="H5270" i="2"/>
  <c r="S5270" i="2"/>
  <c r="T5270" i="2" s="1"/>
  <c r="H5266" i="2"/>
  <c r="J5266" i="2"/>
  <c r="S5266" i="2"/>
  <c r="T5266" i="2" s="1"/>
  <c r="I5266" i="2"/>
  <c r="H5262" i="2"/>
  <c r="R5262" i="2"/>
  <c r="S5262" i="2"/>
  <c r="T5262" i="2" s="1"/>
  <c r="J5262" i="2"/>
  <c r="H5258" i="2"/>
  <c r="S5258" i="2"/>
  <c r="T5258" i="2" s="1"/>
  <c r="R5258" i="2"/>
  <c r="I5258" i="2"/>
  <c r="H5254" i="2"/>
  <c r="S5254" i="2"/>
  <c r="T5254" i="2" s="1"/>
  <c r="J5254" i="2"/>
  <c r="J5494" i="2"/>
  <c r="J5486" i="2"/>
  <c r="J5502" i="2"/>
  <c r="I5402" i="2"/>
  <c r="I5314" i="2"/>
  <c r="I5250" i="2"/>
  <c r="I5377" i="2"/>
  <c r="I5317" i="2"/>
  <c r="I5257" i="2"/>
  <c r="H5333" i="2"/>
  <c r="H5285" i="2"/>
  <c r="S5250" i="2"/>
  <c r="T5250" i="2" s="1"/>
  <c r="J5250" i="2"/>
  <c r="H5494" i="2"/>
  <c r="I5494" i="2"/>
  <c r="H5490" i="2"/>
  <c r="J5490" i="2"/>
  <c r="H5478" i="2"/>
  <c r="I5478" i="2"/>
  <c r="H5474" i="2"/>
  <c r="J5474" i="2"/>
  <c r="H5466" i="2"/>
  <c r="R5466" i="2"/>
  <c r="H5454" i="2"/>
  <c r="J5454" i="2"/>
  <c r="R5454" i="2"/>
  <c r="H5446" i="2"/>
  <c r="J5446" i="2"/>
  <c r="H5442" i="2"/>
  <c r="I5442" i="2"/>
  <c r="R5442" i="2"/>
  <c r="H5426" i="2"/>
  <c r="J5426" i="2"/>
  <c r="R5426" i="2"/>
  <c r="H5418" i="2"/>
  <c r="I5418" i="2"/>
  <c r="H5477" i="2"/>
  <c r="R5477" i="2"/>
  <c r="I5461" i="2"/>
  <c r="J5461" i="2"/>
  <c r="H5437" i="2"/>
  <c r="R5437" i="2"/>
  <c r="H5433" i="2"/>
  <c r="I5433" i="2"/>
  <c r="J5433" i="2"/>
  <c r="H5421" i="2"/>
  <c r="R5421" i="2"/>
  <c r="H5409" i="2"/>
  <c r="I5409" i="2"/>
  <c r="H5405" i="2"/>
  <c r="R5405" i="2"/>
  <c r="I5397" i="2"/>
  <c r="J5397" i="2"/>
  <c r="I5393" i="2"/>
  <c r="H5393" i="2"/>
  <c r="H5389" i="2"/>
  <c r="R5389" i="2"/>
  <c r="I5498" i="2"/>
  <c r="I5434" i="2"/>
  <c r="H5461" i="2"/>
  <c r="J5410" i="2"/>
  <c r="J5390" i="2"/>
  <c r="J5382" i="2"/>
  <c r="J5369" i="2"/>
  <c r="J5333" i="2"/>
  <c r="J5305" i="2"/>
  <c r="I5455" i="2"/>
  <c r="I5391" i="2"/>
  <c r="I5378" i="2"/>
  <c r="I5369" i="2"/>
  <c r="I5346" i="2"/>
  <c r="I5330" i="2"/>
  <c r="I5318" i="2"/>
  <c r="I5309" i="2"/>
  <c r="I5302" i="2"/>
  <c r="I5289" i="2"/>
  <c r="I5281" i="2"/>
  <c r="I5261" i="2"/>
  <c r="I5254" i="2"/>
  <c r="I5221" i="2"/>
  <c r="I5213" i="2"/>
  <c r="I5205" i="2"/>
  <c r="H5349" i="2"/>
  <c r="H5317" i="2"/>
  <c r="H5249" i="2"/>
  <c r="H5225" i="2"/>
  <c r="R5202" i="2"/>
  <c r="R5198" i="2"/>
  <c r="R5194" i="2"/>
  <c r="R5190" i="2"/>
  <c r="J5198" i="2"/>
  <c r="I5186" i="2"/>
  <c r="I5178" i="2"/>
  <c r="R5201" i="2"/>
  <c r="R5197" i="2"/>
  <c r="J5202" i="2"/>
  <c r="J5186" i="2"/>
  <c r="J5170" i="2"/>
  <c r="J5154" i="2"/>
  <c r="I5198" i="2"/>
  <c r="I5170" i="2"/>
  <c r="I5138" i="2"/>
  <c r="H5158" i="2"/>
  <c r="S5202" i="2"/>
  <c r="T5202" i="2" s="1"/>
  <c r="S5198" i="2"/>
  <c r="T5198" i="2" s="1"/>
  <c r="S5194" i="2"/>
  <c r="T5194" i="2" s="1"/>
  <c r="S5190" i="2"/>
  <c r="T5190" i="2" s="1"/>
  <c r="S5186" i="2"/>
  <c r="T5186" i="2" s="1"/>
  <c r="S5182" i="2"/>
  <c r="T5182" i="2" s="1"/>
  <c r="S5178" i="2"/>
  <c r="T5178" i="2" s="1"/>
  <c r="S5174" i="2"/>
  <c r="T5174" i="2" s="1"/>
  <c r="S5170" i="2"/>
  <c r="T5170" i="2" s="1"/>
  <c r="S5166" i="2"/>
  <c r="T5166" i="2" s="1"/>
  <c r="S5162" i="2"/>
  <c r="T5162" i="2" s="1"/>
  <c r="S5158" i="2"/>
  <c r="T5158" i="2" s="1"/>
  <c r="J5201" i="2"/>
  <c r="J5194" i="2"/>
  <c r="J5178" i="2"/>
  <c r="J5162" i="2"/>
  <c r="J5146" i="2"/>
  <c r="I5197" i="2"/>
  <c r="I5190" i="2"/>
  <c r="I5174" i="2"/>
  <c r="I5142" i="2"/>
  <c r="I5447" i="2"/>
  <c r="H5501" i="2"/>
  <c r="I5501" i="2"/>
  <c r="J5501" i="2"/>
  <c r="H5497" i="2"/>
  <c r="I5497" i="2"/>
  <c r="H5489" i="2"/>
  <c r="I5489" i="2"/>
  <c r="J5489" i="2"/>
  <c r="H5481" i="2"/>
  <c r="R5481" i="2"/>
  <c r="I5481" i="2"/>
  <c r="J5481" i="2"/>
  <c r="I5477" i="2"/>
  <c r="J5477" i="2"/>
  <c r="H5473" i="2"/>
  <c r="I5473" i="2"/>
  <c r="H5469" i="2"/>
  <c r="I5469" i="2"/>
  <c r="J5469" i="2"/>
  <c r="H5465" i="2"/>
  <c r="I5465" i="2"/>
  <c r="R5465" i="2"/>
  <c r="H5457" i="2"/>
  <c r="I5457" i="2"/>
  <c r="J5457" i="2"/>
  <c r="H5449" i="2"/>
  <c r="I5449" i="2"/>
  <c r="J5449" i="2"/>
  <c r="R5449" i="2"/>
  <c r="I5445" i="2"/>
  <c r="J5445" i="2"/>
  <c r="J5417" i="2"/>
  <c r="J5405" i="2"/>
  <c r="J5393" i="2"/>
  <c r="J5381" i="2"/>
  <c r="J5353" i="2"/>
  <c r="J5341" i="2"/>
  <c r="J5329" i="2"/>
  <c r="J5289" i="2"/>
  <c r="J5265" i="2"/>
  <c r="J5253" i="2"/>
  <c r="J5241" i="2"/>
  <c r="J5233" i="2"/>
  <c r="J5221" i="2"/>
  <c r="J5189" i="2"/>
  <c r="I5437" i="2"/>
  <c r="I5421" i="2"/>
  <c r="I5413" i="2"/>
  <c r="I5405" i="2"/>
  <c r="I5389" i="2"/>
  <c r="I5381" i="2"/>
  <c r="I5373" i="2"/>
  <c r="I5337" i="2"/>
  <c r="I5321" i="2"/>
  <c r="I5165" i="2"/>
  <c r="I5129" i="2"/>
  <c r="H5341" i="2"/>
  <c r="H5305" i="2"/>
  <c r="H5269" i="2"/>
  <c r="H5217" i="2"/>
  <c r="H5197" i="2"/>
  <c r="H5129" i="2"/>
  <c r="H5093" i="2"/>
  <c r="J5437" i="2"/>
  <c r="J5425" i="2"/>
  <c r="J5385" i="2"/>
  <c r="J5373" i="2"/>
  <c r="J5349" i="2"/>
  <c r="J5321" i="2"/>
  <c r="J5309" i="2"/>
  <c r="J5297" i="2"/>
  <c r="J5285" i="2"/>
  <c r="J5257" i="2"/>
  <c r="J5213" i="2"/>
  <c r="J5193" i="2"/>
  <c r="J5161" i="2"/>
  <c r="J5141" i="2"/>
  <c r="I5425" i="2"/>
  <c r="I5417" i="2"/>
  <c r="I5401" i="2"/>
  <c r="I5385" i="2"/>
  <c r="I5365" i="2"/>
  <c r="I5353" i="2"/>
  <c r="I5345" i="2"/>
  <c r="I5325" i="2"/>
  <c r="I5313" i="2"/>
  <c r="I5297" i="2"/>
  <c r="I5253" i="2"/>
  <c r="I5201" i="2"/>
  <c r="I5189" i="2"/>
  <c r="I5161" i="2"/>
  <c r="I5101" i="2"/>
  <c r="H5293" i="2"/>
  <c r="H5181" i="2"/>
  <c r="H5357" i="2"/>
  <c r="I5357" i="2"/>
  <c r="H5301" i="2"/>
  <c r="I5301" i="2"/>
  <c r="H5277" i="2"/>
  <c r="I5277" i="2"/>
  <c r="H5237" i="2"/>
  <c r="I5237" i="2"/>
  <c r="J5237" i="2"/>
  <c r="H5229" i="2"/>
  <c r="I5229" i="2"/>
  <c r="H5209" i="2"/>
  <c r="I5209" i="2"/>
  <c r="J5209" i="2"/>
  <c r="H5185" i="2"/>
  <c r="J5185" i="2"/>
  <c r="H5177" i="2"/>
  <c r="I5177" i="2"/>
  <c r="H5173" i="2"/>
  <c r="J5173" i="2"/>
  <c r="H5169" i="2"/>
  <c r="I5169" i="2"/>
  <c r="H5157" i="2"/>
  <c r="I5157" i="2"/>
  <c r="H5149" i="2"/>
  <c r="I5149" i="2"/>
  <c r="H5145" i="2"/>
  <c r="I5145" i="2"/>
  <c r="J5145" i="2"/>
  <c r="H5133" i="2"/>
  <c r="J5133" i="2"/>
  <c r="I5125" i="2"/>
  <c r="H5125" i="2"/>
  <c r="J5113" i="2"/>
  <c r="H5113" i="2"/>
  <c r="I5113" i="2"/>
  <c r="I5105" i="2"/>
  <c r="J5105" i="2"/>
  <c r="H5089" i="2"/>
  <c r="I5089" i="2"/>
  <c r="J5073" i="2"/>
  <c r="J5057" i="2"/>
  <c r="I5069" i="2"/>
  <c r="I5025" i="2"/>
  <c r="I5073" i="2"/>
  <c r="H5499" i="2"/>
  <c r="S5499" i="2"/>
  <c r="T5499" i="2" s="1"/>
  <c r="I5499" i="2"/>
  <c r="I5495" i="2"/>
  <c r="S5495" i="2"/>
  <c r="T5495" i="2" s="1"/>
  <c r="I5491" i="2"/>
  <c r="R5491" i="2"/>
  <c r="S5491" i="2"/>
  <c r="T5491" i="2" s="1"/>
  <c r="H5491" i="2"/>
  <c r="H5487" i="2"/>
  <c r="S5487" i="2"/>
  <c r="T5487" i="2" s="1"/>
  <c r="I5487" i="2"/>
  <c r="H5483" i="2"/>
  <c r="S5483" i="2"/>
  <c r="T5483" i="2" s="1"/>
  <c r="I5483" i="2"/>
  <c r="H5479" i="2"/>
  <c r="S5479" i="2"/>
  <c r="T5479" i="2" s="1"/>
  <c r="I5482" i="2"/>
  <c r="I5475" i="2"/>
  <c r="I5466" i="2"/>
  <c r="I5459" i="2"/>
  <c r="I5446" i="2"/>
  <c r="I5426" i="2"/>
  <c r="I5419" i="2"/>
  <c r="I5407" i="2"/>
  <c r="I5399" i="2"/>
  <c r="I5394" i="2"/>
  <c r="I5387" i="2"/>
  <c r="I5382" i="2"/>
  <c r="I5362" i="2"/>
  <c r="I5343" i="2"/>
  <c r="I5335" i="2"/>
  <c r="I5291" i="2"/>
  <c r="I5279" i="2"/>
  <c r="I5271" i="2"/>
  <c r="I5259" i="2"/>
  <c r="H5467" i="2"/>
  <c r="H5363" i="2"/>
  <c r="H5339" i="2"/>
  <c r="H5275" i="2"/>
  <c r="H5255" i="2"/>
  <c r="H5495" i="2"/>
  <c r="J5495" i="2"/>
  <c r="J5479" i="2"/>
  <c r="J5463" i="2"/>
  <c r="J5447" i="2"/>
  <c r="J5431" i="2"/>
  <c r="J5415" i="2"/>
  <c r="J5399" i="2"/>
  <c r="J5383" i="2"/>
  <c r="J5367" i="2"/>
  <c r="J5351" i="2"/>
  <c r="J5335" i="2"/>
  <c r="J5319" i="2"/>
  <c r="J5303" i="2"/>
  <c r="J5287" i="2"/>
  <c r="J5271" i="2"/>
  <c r="J5239" i="2"/>
  <c r="J5223" i="2"/>
  <c r="J5207" i="2"/>
  <c r="J5175" i="2"/>
  <c r="J5159" i="2"/>
  <c r="J5143" i="2"/>
  <c r="J5127" i="2"/>
  <c r="I5479" i="2"/>
  <c r="I5474" i="2"/>
  <c r="I5462" i="2"/>
  <c r="I5450" i="2"/>
  <c r="I5439" i="2"/>
  <c r="I5427" i="2"/>
  <c r="I5415" i="2"/>
  <c r="I5403" i="2"/>
  <c r="I5375" i="2"/>
  <c r="I5351" i="2"/>
  <c r="I5311" i="2"/>
  <c r="I5287" i="2"/>
  <c r="I5235" i="2"/>
  <c r="I5223" i="2"/>
  <c r="I5211" i="2"/>
  <c r="I5195" i="2"/>
  <c r="I5179" i="2"/>
  <c r="I5163" i="2"/>
  <c r="I5131" i="2"/>
  <c r="H5095" i="2"/>
  <c r="H5486" i="2"/>
  <c r="I5502" i="2"/>
  <c r="I5470" i="2"/>
  <c r="I5454" i="2"/>
  <c r="I5438" i="2"/>
  <c r="I5422" i="2"/>
  <c r="I5406" i="2"/>
  <c r="I5390" i="2"/>
  <c r="I5374" i="2"/>
  <c r="I5358" i="2"/>
  <c r="I5342" i="2"/>
  <c r="I5326" i="2"/>
  <c r="I5310" i="2"/>
  <c r="I5294" i="2"/>
  <c r="I5278" i="2"/>
  <c r="I5262" i="2"/>
  <c r="I5246" i="2"/>
  <c r="I5230" i="2"/>
  <c r="I5214" i="2"/>
  <c r="J5082" i="2"/>
  <c r="I5082" i="2"/>
  <c r="U5118" i="2"/>
  <c r="U5082" i="2"/>
  <c r="S5082" i="2"/>
  <c r="T5082" i="2" s="1"/>
  <c r="H5500" i="2"/>
  <c r="I5500" i="2"/>
  <c r="J5500" i="2"/>
  <c r="R5500" i="2"/>
  <c r="H5496" i="2"/>
  <c r="I5496" i="2"/>
  <c r="J5496" i="2"/>
  <c r="R5496" i="2"/>
  <c r="H5492" i="2"/>
  <c r="I5492" i="2"/>
  <c r="J5492" i="2"/>
  <c r="R5492" i="2"/>
  <c r="H5488" i="2"/>
  <c r="I5488" i="2"/>
  <c r="J5488" i="2"/>
  <c r="R5488" i="2"/>
  <c r="H5484" i="2"/>
  <c r="I5484" i="2"/>
  <c r="J5484" i="2"/>
  <c r="R5484" i="2"/>
  <c r="H5480" i="2"/>
  <c r="I5480" i="2"/>
  <c r="J5480" i="2"/>
  <c r="R5480" i="2"/>
  <c r="H5476" i="2"/>
  <c r="I5476" i="2"/>
  <c r="J5476" i="2"/>
  <c r="R5476" i="2"/>
  <c r="H5472" i="2"/>
  <c r="I5472" i="2"/>
  <c r="J5472" i="2"/>
  <c r="R5472" i="2"/>
  <c r="H5468" i="2"/>
  <c r="I5468" i="2"/>
  <c r="J5468" i="2"/>
  <c r="R5468" i="2"/>
  <c r="H5464" i="2"/>
  <c r="I5464" i="2"/>
  <c r="J5464" i="2"/>
  <c r="R5464" i="2"/>
  <c r="H5460" i="2"/>
  <c r="I5460" i="2"/>
  <c r="J5460" i="2"/>
  <c r="R5460" i="2"/>
  <c r="H5456" i="2"/>
  <c r="I5456" i="2"/>
  <c r="J5456" i="2"/>
  <c r="R5456" i="2"/>
  <c r="H5452" i="2"/>
  <c r="I5452" i="2"/>
  <c r="J5452" i="2"/>
  <c r="R5452" i="2"/>
  <c r="H5448" i="2"/>
  <c r="I5448" i="2"/>
  <c r="J5448" i="2"/>
  <c r="R5448" i="2"/>
  <c r="H5444" i="2"/>
  <c r="I5444" i="2"/>
  <c r="J5444" i="2"/>
  <c r="R5444" i="2"/>
  <c r="H5440" i="2"/>
  <c r="I5440" i="2"/>
  <c r="J5440" i="2"/>
  <c r="R5440" i="2"/>
  <c r="H5436" i="2"/>
  <c r="I5436" i="2"/>
  <c r="J5436" i="2"/>
  <c r="R5436" i="2"/>
  <c r="H5432" i="2"/>
  <c r="I5432" i="2"/>
  <c r="J5432" i="2"/>
  <c r="R5432" i="2"/>
  <c r="H5428" i="2"/>
  <c r="I5428" i="2"/>
  <c r="J5428" i="2"/>
  <c r="R5428" i="2"/>
  <c r="H5424" i="2"/>
  <c r="I5424" i="2"/>
  <c r="J5424" i="2"/>
  <c r="R5424" i="2"/>
  <c r="H5420" i="2"/>
  <c r="I5420" i="2"/>
  <c r="J5420" i="2"/>
  <c r="R5420" i="2"/>
  <c r="H5416" i="2"/>
  <c r="I5416" i="2"/>
  <c r="J5416" i="2"/>
  <c r="R5416" i="2"/>
  <c r="H5412" i="2"/>
  <c r="I5412" i="2"/>
  <c r="J5412" i="2"/>
  <c r="R5412" i="2"/>
  <c r="H5408" i="2"/>
  <c r="I5408" i="2"/>
  <c r="J5408" i="2"/>
  <c r="R5408" i="2"/>
  <c r="H5404" i="2"/>
  <c r="I5404" i="2"/>
  <c r="J5404" i="2"/>
  <c r="R5404" i="2"/>
  <c r="H5400" i="2"/>
  <c r="I5400" i="2"/>
  <c r="J5400" i="2"/>
  <c r="R5400" i="2"/>
  <c r="H5396" i="2"/>
  <c r="I5396" i="2"/>
  <c r="J5396" i="2"/>
  <c r="R5396" i="2"/>
  <c r="H5392" i="2"/>
  <c r="I5392" i="2"/>
  <c r="J5392" i="2"/>
  <c r="R5392" i="2"/>
  <c r="H5388" i="2"/>
  <c r="I5388" i="2"/>
  <c r="J5388" i="2"/>
  <c r="R5388" i="2"/>
  <c r="H5384" i="2"/>
  <c r="I5384" i="2"/>
  <c r="J5384" i="2"/>
  <c r="R5384" i="2"/>
  <c r="H5380" i="2"/>
  <c r="I5380" i="2"/>
  <c r="J5380" i="2"/>
  <c r="R5380" i="2"/>
  <c r="H5376" i="2"/>
  <c r="I5376" i="2"/>
  <c r="J5376" i="2"/>
  <c r="R5376" i="2"/>
  <c r="H5372" i="2"/>
  <c r="I5372" i="2"/>
  <c r="J5372" i="2"/>
  <c r="R5372" i="2"/>
  <c r="H5368" i="2"/>
  <c r="I5368" i="2"/>
  <c r="J5368" i="2"/>
  <c r="R5368" i="2"/>
  <c r="H5364" i="2"/>
  <c r="I5364" i="2"/>
  <c r="J5364" i="2"/>
  <c r="R5364" i="2"/>
  <c r="H5360" i="2"/>
  <c r="I5360" i="2"/>
  <c r="J5360" i="2"/>
  <c r="R5360" i="2"/>
  <c r="H5356" i="2"/>
  <c r="I5356" i="2"/>
  <c r="J5356" i="2"/>
  <c r="R5356" i="2"/>
  <c r="H5352" i="2"/>
  <c r="I5352" i="2"/>
  <c r="J5352" i="2"/>
  <c r="R5352" i="2"/>
  <c r="H5348" i="2"/>
  <c r="I5348" i="2"/>
  <c r="J5348" i="2"/>
  <c r="R5348" i="2"/>
  <c r="H5344" i="2"/>
  <c r="I5344" i="2"/>
  <c r="J5344" i="2"/>
  <c r="R5344" i="2"/>
  <c r="J5340" i="2"/>
  <c r="R5340" i="2"/>
  <c r="J5336" i="2"/>
  <c r="R5336" i="2"/>
  <c r="J5332" i="2"/>
  <c r="R5332" i="2"/>
  <c r="J5328" i="2"/>
  <c r="R5328" i="2"/>
  <c r="J5324" i="2"/>
  <c r="R5324" i="2"/>
  <c r="J5320" i="2"/>
  <c r="R5320" i="2"/>
  <c r="J5316" i="2"/>
  <c r="R5316" i="2"/>
  <c r="J5312" i="2"/>
  <c r="R5312" i="2"/>
  <c r="J5308" i="2"/>
  <c r="R5308" i="2"/>
  <c r="J5304" i="2"/>
  <c r="R5304" i="2"/>
  <c r="J5300" i="2"/>
  <c r="R5300" i="2"/>
  <c r="J5296" i="2"/>
  <c r="R5296" i="2"/>
  <c r="J5292" i="2"/>
  <c r="R5292" i="2"/>
  <c r="J5288" i="2"/>
  <c r="R5288" i="2"/>
  <c r="J5284" i="2"/>
  <c r="R5284" i="2"/>
  <c r="J5280" i="2"/>
  <c r="R5280" i="2"/>
  <c r="J5276" i="2"/>
  <c r="R5276" i="2"/>
  <c r="J5272" i="2"/>
  <c r="R5272" i="2"/>
  <c r="J5268" i="2"/>
  <c r="R5268" i="2"/>
  <c r="J5264" i="2"/>
  <c r="R5264" i="2"/>
  <c r="J5260" i="2"/>
  <c r="R5260" i="2"/>
  <c r="J5256" i="2"/>
  <c r="R5256" i="2"/>
  <c r="J5252" i="2"/>
  <c r="R5252" i="2"/>
  <c r="J5132" i="2"/>
  <c r="R5132" i="2"/>
  <c r="J5128" i="2"/>
  <c r="R5128" i="2"/>
  <c r="R5248" i="2"/>
  <c r="H5024" i="2"/>
  <c r="J5024" i="2"/>
  <c r="I5024" i="2"/>
  <c r="R5124" i="2"/>
  <c r="U5124" i="2"/>
  <c r="S5124" i="2"/>
  <c r="T5124" i="2" s="1"/>
  <c r="J5122" i="2"/>
  <c r="J5120" i="2"/>
  <c r="S5120" i="2"/>
  <c r="T5120" i="2" s="1"/>
  <c r="R5120" i="2"/>
  <c r="R5118" i="2"/>
  <c r="I5118" i="2"/>
  <c r="R5117" i="2"/>
  <c r="U5116" i="2"/>
  <c r="R5116" i="2"/>
  <c r="J5116" i="2"/>
  <c r="R5115" i="2"/>
  <c r="S5115" i="2"/>
  <c r="T5115" i="2" s="1"/>
  <c r="I5115" i="2"/>
  <c r="H5115" i="2"/>
  <c r="U5115" i="2"/>
  <c r="J5114" i="2"/>
  <c r="I5114" i="2"/>
  <c r="R5114" i="2"/>
  <c r="U5113" i="2"/>
  <c r="R5113" i="2"/>
  <c r="S5112" i="2"/>
  <c r="T5112" i="2" s="1"/>
  <c r="R5112" i="2"/>
  <c r="U5112" i="2"/>
  <c r="J5111" i="2"/>
  <c r="R5109" i="2"/>
  <c r="J5109" i="2"/>
  <c r="U5109" i="2"/>
  <c r="I5109" i="2"/>
  <c r="S5109" i="2"/>
  <c r="T5109" i="2" s="1"/>
  <c r="J5108" i="2"/>
  <c r="R5108" i="2"/>
  <c r="U5108" i="2"/>
  <c r="R5107" i="2"/>
  <c r="S5107" i="2"/>
  <c r="T5107" i="2" s="1"/>
  <c r="U5103" i="2"/>
  <c r="S5103" i="2"/>
  <c r="T5103" i="2" s="1"/>
  <c r="R5103" i="2"/>
  <c r="J5103" i="2"/>
  <c r="H5103" i="2"/>
  <c r="U5107" i="2"/>
  <c r="J5107" i="2"/>
  <c r="I5107" i="2"/>
  <c r="I5106" i="2"/>
  <c r="U5106" i="2"/>
  <c r="J5104" i="2"/>
  <c r="S5104" i="2"/>
  <c r="T5104" i="2" s="1"/>
  <c r="U5104" i="2"/>
  <c r="U5101" i="2"/>
  <c r="J5101" i="2"/>
  <c r="U5100" i="2"/>
  <c r="J5100" i="2"/>
  <c r="S5100" i="2"/>
  <c r="T5100" i="2" s="1"/>
  <c r="R5099" i="2"/>
  <c r="J5099" i="2"/>
  <c r="U5099" i="2"/>
  <c r="R5097" i="2"/>
  <c r="I5097" i="2"/>
  <c r="U5096" i="2"/>
  <c r="R5096" i="2"/>
  <c r="R5095" i="2"/>
  <c r="S5094" i="2"/>
  <c r="T5094" i="2" s="1"/>
  <c r="R5092" i="2"/>
  <c r="J5092" i="2"/>
  <c r="U5092" i="2"/>
  <c r="H5091" i="2"/>
  <c r="I5090" i="2"/>
  <c r="U5088" i="2"/>
  <c r="R5088" i="2"/>
  <c r="J5088" i="2"/>
  <c r="R5087" i="2"/>
  <c r="H5087" i="2"/>
  <c r="U5087" i="2"/>
  <c r="J5087" i="2"/>
  <c r="S5086" i="2"/>
  <c r="T5086" i="2" s="1"/>
  <c r="J5086" i="2"/>
  <c r="I5086" i="2"/>
  <c r="I5085" i="2"/>
  <c r="R5084" i="2"/>
  <c r="J5084" i="2"/>
  <c r="U5084" i="2"/>
  <c r="H5083" i="2"/>
  <c r="I5083" i="2"/>
  <c r="U5083" i="2"/>
  <c r="R5083" i="2"/>
  <c r="R5082" i="2"/>
  <c r="S5081" i="2"/>
  <c r="T5081" i="2" s="1"/>
  <c r="R5081" i="2"/>
  <c r="R5080" i="2"/>
  <c r="U5080" i="2"/>
  <c r="S5080" i="2"/>
  <c r="T5080" i="2" s="1"/>
  <c r="U5079" i="2"/>
  <c r="I5078" i="2"/>
  <c r="S5078" i="2"/>
  <c r="T5078" i="2" s="1"/>
  <c r="U5076" i="2"/>
  <c r="R5076" i="2"/>
  <c r="J5076" i="2"/>
  <c r="S5075" i="2"/>
  <c r="T5075" i="2" s="1"/>
  <c r="R5075" i="2"/>
  <c r="I5075" i="2"/>
  <c r="H5075" i="2"/>
  <c r="J5075" i="2"/>
  <c r="U5074" i="2"/>
  <c r="S5074" i="2"/>
  <c r="T5074" i="2" s="1"/>
  <c r="R5074" i="2"/>
  <c r="J5072" i="2"/>
  <c r="R5072" i="2"/>
  <c r="U5072" i="2"/>
  <c r="S5071" i="2"/>
  <c r="T5071" i="2" s="1"/>
  <c r="U5071" i="2"/>
  <c r="J5071" i="2"/>
  <c r="I5071" i="2"/>
  <c r="J5070" i="2"/>
  <c r="R5069" i="2"/>
  <c r="J5069" i="2"/>
  <c r="S5068" i="2"/>
  <c r="T5068" i="2" s="1"/>
  <c r="R5068" i="2"/>
  <c r="J5068" i="2"/>
  <c r="U5065" i="2"/>
  <c r="I5065" i="2"/>
  <c r="S5062" i="2"/>
  <c r="T5062" i="2" s="1"/>
  <c r="I5062" i="2"/>
  <c r="R5062" i="2"/>
  <c r="J5061" i="2"/>
  <c r="H5061" i="2"/>
  <c r="U5061" i="2"/>
  <c r="R5061" i="2"/>
  <c r="I5061" i="2"/>
  <c r="S5060" i="2"/>
  <c r="T5060" i="2" s="1"/>
  <c r="U5060" i="2"/>
  <c r="R5060" i="2"/>
  <c r="S5059" i="2"/>
  <c r="T5059" i="2" s="1"/>
  <c r="I5059" i="2"/>
  <c r="R5059" i="2"/>
  <c r="J5059" i="2"/>
  <c r="S5057" i="2"/>
  <c r="T5057" i="2" s="1"/>
  <c r="U5057" i="2"/>
  <c r="R5057" i="2"/>
  <c r="R5056" i="2"/>
  <c r="U5056" i="2"/>
  <c r="J5056" i="2"/>
  <c r="R5055" i="2"/>
  <c r="J5055" i="2"/>
  <c r="R5054" i="2"/>
  <c r="S5054" i="2"/>
  <c r="T5054" i="2" s="1"/>
  <c r="J5054" i="2"/>
  <c r="J5052" i="2"/>
  <c r="U5052" i="2"/>
  <c r="S5052" i="2"/>
  <c r="T5052" i="2" s="1"/>
  <c r="U5050" i="2"/>
  <c r="J5050" i="2"/>
  <c r="I5049" i="2"/>
  <c r="S5049" i="2"/>
  <c r="T5049" i="2" s="1"/>
  <c r="J5049" i="2"/>
  <c r="U5049" i="2"/>
  <c r="R5049" i="2"/>
  <c r="R5048" i="2"/>
  <c r="R5047" i="2"/>
  <c r="S5044" i="2"/>
  <c r="T5044" i="2" s="1"/>
  <c r="U5044" i="2"/>
  <c r="J5044" i="2"/>
  <c r="R5043" i="2"/>
  <c r="J5043" i="2"/>
  <c r="I5043" i="2"/>
  <c r="R5041" i="2"/>
  <c r="U5040" i="2"/>
  <c r="R5040" i="2"/>
  <c r="S5040" i="2"/>
  <c r="T5040" i="2" s="1"/>
  <c r="J5039" i="2"/>
  <c r="U5039" i="2"/>
  <c r="S5039" i="2"/>
  <c r="T5039" i="2" s="1"/>
  <c r="R5039" i="2"/>
  <c r="I5039" i="2"/>
  <c r="J5038" i="2"/>
  <c r="I5037" i="2"/>
  <c r="R5036" i="2"/>
  <c r="U5036" i="2"/>
  <c r="J5036" i="2"/>
  <c r="S5035" i="2"/>
  <c r="T5035" i="2" s="1"/>
  <c r="U5035" i="2"/>
  <c r="I5035" i="2"/>
  <c r="R5035" i="2"/>
  <c r="R5034" i="2"/>
  <c r="I5034" i="2"/>
  <c r="U5033" i="2"/>
  <c r="R5033" i="2"/>
  <c r="S5033" i="2"/>
  <c r="T5033" i="2" s="1"/>
  <c r="S5032" i="2"/>
  <c r="T5032" i="2" s="1"/>
  <c r="R5032" i="2"/>
  <c r="J5032" i="2"/>
  <c r="U5032" i="2"/>
  <c r="I5031" i="2"/>
  <c r="S5030" i="2"/>
  <c r="T5030" i="2" s="1"/>
  <c r="I5030" i="2"/>
  <c r="U5030" i="2"/>
  <c r="J5028" i="2"/>
  <c r="S5028" i="2"/>
  <c r="T5028" i="2" s="1"/>
  <c r="R5028" i="2"/>
  <c r="U5028" i="2"/>
  <c r="I5028" i="2"/>
  <c r="S5027" i="2"/>
  <c r="T5027" i="2" s="1"/>
  <c r="I5027" i="2"/>
  <c r="J5026" i="2"/>
  <c r="I5026" i="2"/>
  <c r="S5026" i="2"/>
  <c r="T5026" i="2" s="1"/>
  <c r="R5026" i="2"/>
  <c r="H5023" i="2"/>
  <c r="S5023" i="2"/>
  <c r="T5023" i="2" s="1"/>
  <c r="I5014" i="2"/>
  <c r="S5014" i="2"/>
  <c r="T5014" i="2" s="1"/>
  <c r="H5340" i="2"/>
  <c r="I5340" i="2"/>
  <c r="H5336" i="2"/>
  <c r="I5336" i="2"/>
  <c r="H5332" i="2"/>
  <c r="I5332" i="2"/>
  <c r="H5328" i="2"/>
  <c r="I5328" i="2"/>
  <c r="H5324" i="2"/>
  <c r="I5324" i="2"/>
  <c r="H5320" i="2"/>
  <c r="I5320" i="2"/>
  <c r="H5316" i="2"/>
  <c r="I5316" i="2"/>
  <c r="H5312" i="2"/>
  <c r="I5312" i="2"/>
  <c r="H5308" i="2"/>
  <c r="I5308" i="2"/>
  <c r="H5304" i="2"/>
  <c r="I5304" i="2"/>
  <c r="H5300" i="2"/>
  <c r="I5300" i="2"/>
  <c r="H5296" i="2"/>
  <c r="I5296" i="2"/>
  <c r="H5292" i="2"/>
  <c r="I5292" i="2"/>
  <c r="H5288" i="2"/>
  <c r="I5288" i="2"/>
  <c r="H5284" i="2"/>
  <c r="I5284" i="2"/>
  <c r="H5280" i="2"/>
  <c r="I5280" i="2"/>
  <c r="H5276" i="2"/>
  <c r="I5276" i="2"/>
  <c r="H5272" i="2"/>
  <c r="I5272" i="2"/>
  <c r="H5268" i="2"/>
  <c r="I5268" i="2"/>
  <c r="H5264" i="2"/>
  <c r="I5264" i="2"/>
  <c r="H5260" i="2"/>
  <c r="I5260" i="2"/>
  <c r="H5256" i="2"/>
  <c r="I5256" i="2"/>
  <c r="H5252" i="2"/>
  <c r="I5252" i="2"/>
  <c r="H5248" i="2"/>
  <c r="I5248" i="2"/>
  <c r="H5244" i="2"/>
  <c r="I5244" i="2"/>
  <c r="H5240" i="2"/>
  <c r="I5240" i="2"/>
  <c r="H5236" i="2"/>
  <c r="I5236" i="2"/>
  <c r="H5232" i="2"/>
  <c r="I5232" i="2"/>
  <c r="H5228" i="2"/>
  <c r="I5228" i="2"/>
  <c r="H5224" i="2"/>
  <c r="I5224" i="2"/>
  <c r="H5220" i="2"/>
  <c r="I5220" i="2"/>
  <c r="H5216" i="2"/>
  <c r="I5216" i="2"/>
  <c r="H5212" i="2"/>
  <c r="I5212" i="2"/>
  <c r="H5208" i="2"/>
  <c r="I5208" i="2"/>
  <c r="H5204" i="2"/>
  <c r="I5204" i="2"/>
  <c r="H5200" i="2"/>
  <c r="I5200" i="2"/>
  <c r="H5196" i="2"/>
  <c r="I5196" i="2"/>
  <c r="H5192" i="2"/>
  <c r="I5192" i="2"/>
  <c r="H5188" i="2"/>
  <c r="I5188" i="2"/>
  <c r="H5184" i="2"/>
  <c r="I5184" i="2"/>
  <c r="H5180" i="2"/>
  <c r="I5180" i="2"/>
  <c r="H5176" i="2"/>
  <c r="I5176" i="2"/>
  <c r="H5172" i="2"/>
  <c r="I5172" i="2"/>
  <c r="H5168" i="2"/>
  <c r="I5168" i="2"/>
  <c r="H5164" i="2"/>
  <c r="I5164" i="2"/>
  <c r="H5160" i="2"/>
  <c r="I5160" i="2"/>
  <c r="H5156" i="2"/>
  <c r="I5156" i="2"/>
  <c r="H5152" i="2"/>
  <c r="I5152" i="2"/>
  <c r="H5148" i="2"/>
  <c r="I5148" i="2"/>
  <c r="H5144" i="2"/>
  <c r="I5144" i="2"/>
  <c r="H5140" i="2"/>
  <c r="I5140" i="2"/>
  <c r="H5136" i="2"/>
  <c r="I5136" i="2"/>
  <c r="H5132" i="2"/>
  <c r="I5132" i="2"/>
  <c r="H5128" i="2"/>
  <c r="I5128" i="2"/>
  <c r="H5124" i="2"/>
  <c r="I5124" i="2"/>
  <c r="H5120" i="2"/>
  <c r="I5120" i="2"/>
  <c r="H5116" i="2"/>
  <c r="I5116" i="2"/>
  <c r="H5112" i="2"/>
  <c r="I5112" i="2"/>
  <c r="H5108" i="2"/>
  <c r="I5108" i="2"/>
  <c r="H5104" i="2"/>
  <c r="I5104" i="2"/>
  <c r="H5100" i="2"/>
  <c r="I5100" i="2"/>
  <c r="H5096" i="2"/>
  <c r="I5096" i="2"/>
  <c r="H5092" i="2"/>
  <c r="I5092" i="2"/>
  <c r="H5088" i="2"/>
  <c r="I5088" i="2"/>
  <c r="H5084" i="2"/>
  <c r="I5084" i="2"/>
  <c r="H5080" i="2"/>
  <c r="I5080" i="2"/>
  <c r="H5076" i="2"/>
  <c r="I5076" i="2"/>
  <c r="H5072" i="2"/>
  <c r="I5072" i="2"/>
  <c r="H5068" i="2"/>
  <c r="I5068" i="2"/>
  <c r="H5064" i="2"/>
  <c r="I5064" i="2"/>
  <c r="H5060" i="2"/>
  <c r="I5060" i="2"/>
  <c r="H5056" i="2"/>
  <c r="I5056" i="2"/>
  <c r="H5052" i="2"/>
  <c r="I5052" i="2"/>
  <c r="H5048" i="2"/>
  <c r="I5048" i="2"/>
  <c r="H5044" i="2"/>
  <c r="I5044" i="2"/>
  <c r="H5040" i="2"/>
  <c r="I5040" i="2"/>
  <c r="H5036" i="2"/>
  <c r="I5036" i="2"/>
  <c r="I5032" i="2"/>
  <c r="I5022" i="2"/>
  <c r="I5020" i="2"/>
  <c r="R5020" i="2"/>
  <c r="J5020" i="2"/>
  <c r="U5020" i="2"/>
  <c r="S5020" i="2"/>
  <c r="T5020" i="2" s="1"/>
  <c r="S5019" i="2"/>
  <c r="T5019" i="2" s="1"/>
  <c r="U5019" i="2"/>
  <c r="J5017" i="2"/>
  <c r="U5017" i="2"/>
  <c r="H5017" i="2"/>
  <c r="I5017" i="2"/>
  <c r="S5017" i="2"/>
  <c r="T5017" i="2" s="1"/>
  <c r="S5016" i="2"/>
  <c r="T5016" i="2" s="1"/>
  <c r="R5016" i="2"/>
  <c r="I5016" i="2"/>
  <c r="U5016" i="2"/>
  <c r="U5014" i="2"/>
  <c r="J5014" i="2"/>
  <c r="R5014" i="2"/>
  <c r="U5013" i="2"/>
  <c r="J5013" i="2"/>
  <c r="U5012" i="2"/>
  <c r="S5013" i="2"/>
  <c r="T5013" i="2" s="1"/>
  <c r="I5013" i="2"/>
  <c r="R5013" i="2"/>
  <c r="J5012" i="2"/>
  <c r="S5012" i="2"/>
  <c r="T5012" i="2" s="1"/>
  <c r="I5012" i="2"/>
  <c r="R5012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G4948" i="2"/>
  <c r="H4948" i="2" s="1"/>
  <c r="G4949" i="2"/>
  <c r="H4949" i="2" s="1"/>
  <c r="G4950" i="2"/>
  <c r="G4951" i="2"/>
  <c r="G4952" i="2"/>
  <c r="G4953" i="2"/>
  <c r="G4954" i="2"/>
  <c r="G4955" i="2"/>
  <c r="J4955" i="2" s="1"/>
  <c r="G4956" i="2"/>
  <c r="G4957" i="2"/>
  <c r="J4957" i="2" s="1"/>
  <c r="G4958" i="2"/>
  <c r="G4959" i="2"/>
  <c r="J4959" i="2" s="1"/>
  <c r="G4960" i="2"/>
  <c r="G4961" i="2"/>
  <c r="J4961" i="2" s="1"/>
  <c r="G4962" i="2"/>
  <c r="G4963" i="2"/>
  <c r="J4963" i="2" s="1"/>
  <c r="G4964" i="2"/>
  <c r="G4965" i="2"/>
  <c r="J4965" i="2" s="1"/>
  <c r="G4966" i="2"/>
  <c r="G4967" i="2"/>
  <c r="J4967" i="2" s="1"/>
  <c r="G4968" i="2"/>
  <c r="G4969" i="2"/>
  <c r="G4970" i="2"/>
  <c r="G4971" i="2"/>
  <c r="J4971" i="2" s="1"/>
  <c r="G4972" i="2"/>
  <c r="G4973" i="2"/>
  <c r="G4974" i="2"/>
  <c r="G4975" i="2"/>
  <c r="J4975" i="2" s="1"/>
  <c r="G4976" i="2"/>
  <c r="G4977" i="2"/>
  <c r="J4977" i="2" s="1"/>
  <c r="G4978" i="2"/>
  <c r="G4979" i="2"/>
  <c r="J4979" i="2" s="1"/>
  <c r="G4980" i="2"/>
  <c r="G4981" i="2"/>
  <c r="J4981" i="2" s="1"/>
  <c r="G4982" i="2"/>
  <c r="G4983" i="2"/>
  <c r="G4984" i="2"/>
  <c r="G4985" i="2"/>
  <c r="G4986" i="2"/>
  <c r="G4987" i="2"/>
  <c r="J4987" i="2" s="1"/>
  <c r="G4988" i="2"/>
  <c r="G4989" i="2"/>
  <c r="G4990" i="2"/>
  <c r="G4991" i="2"/>
  <c r="G4992" i="2"/>
  <c r="G4993" i="2"/>
  <c r="J4993" i="2" s="1"/>
  <c r="G4994" i="2"/>
  <c r="G4995" i="2"/>
  <c r="G4996" i="2"/>
  <c r="G4997" i="2"/>
  <c r="G4998" i="2"/>
  <c r="G4999" i="2"/>
  <c r="J4999" i="2" s="1"/>
  <c r="G5000" i="2"/>
  <c r="G5001" i="2"/>
  <c r="G5002" i="2"/>
  <c r="G5003" i="2"/>
  <c r="G5004" i="2"/>
  <c r="G5005" i="2"/>
  <c r="J5005" i="2" s="1"/>
  <c r="G5006" i="2"/>
  <c r="G5007" i="2"/>
  <c r="G5008" i="2"/>
  <c r="G5009" i="2"/>
  <c r="G5010" i="2"/>
  <c r="G5011" i="2"/>
  <c r="J5011" i="2" s="1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J4948" i="2" l="1"/>
  <c r="I4948" i="2"/>
  <c r="H5009" i="2"/>
  <c r="I5009" i="2"/>
  <c r="H5003" i="2"/>
  <c r="I5003" i="2"/>
  <c r="H4997" i="2"/>
  <c r="I4997" i="2"/>
  <c r="H4991" i="2"/>
  <c r="I4991" i="2"/>
  <c r="H4985" i="2"/>
  <c r="I4985" i="2"/>
  <c r="H4973" i="2"/>
  <c r="I4973" i="2"/>
  <c r="H5008" i="2"/>
  <c r="I5008" i="2"/>
  <c r="H5004" i="2"/>
  <c r="I5004" i="2"/>
  <c r="H5000" i="2"/>
  <c r="I5000" i="2"/>
  <c r="H4996" i="2"/>
  <c r="I4996" i="2"/>
  <c r="H4992" i="2"/>
  <c r="I4992" i="2"/>
  <c r="H4986" i="2"/>
  <c r="I4986" i="2"/>
  <c r="H4982" i="2"/>
  <c r="I4982" i="2"/>
  <c r="H4978" i="2"/>
  <c r="I4978" i="2"/>
  <c r="H4974" i="2"/>
  <c r="I4974" i="2"/>
  <c r="H4968" i="2"/>
  <c r="I4968" i="2"/>
  <c r="H4962" i="2"/>
  <c r="I4962" i="2"/>
  <c r="H4958" i="2"/>
  <c r="I4958" i="2"/>
  <c r="H4954" i="2"/>
  <c r="I4954" i="2"/>
  <c r="H4953" i="2"/>
  <c r="J4953" i="2"/>
  <c r="I4953" i="2"/>
  <c r="H5007" i="2"/>
  <c r="I5007" i="2"/>
  <c r="H5001" i="2"/>
  <c r="I5001" i="2"/>
  <c r="H4995" i="2"/>
  <c r="I4995" i="2"/>
  <c r="H4989" i="2"/>
  <c r="I4989" i="2"/>
  <c r="H4983" i="2"/>
  <c r="I4983" i="2"/>
  <c r="H4969" i="2"/>
  <c r="I4969" i="2"/>
  <c r="H5010" i="2"/>
  <c r="I5010" i="2"/>
  <c r="H5006" i="2"/>
  <c r="I5006" i="2"/>
  <c r="H5002" i="2"/>
  <c r="I5002" i="2"/>
  <c r="H4998" i="2"/>
  <c r="I4998" i="2"/>
  <c r="H4994" i="2"/>
  <c r="I4994" i="2"/>
  <c r="H4990" i="2"/>
  <c r="I4990" i="2"/>
  <c r="H4988" i="2"/>
  <c r="I4988" i="2"/>
  <c r="H4984" i="2"/>
  <c r="I4984" i="2"/>
  <c r="H4980" i="2"/>
  <c r="I4980" i="2"/>
  <c r="H4976" i="2"/>
  <c r="I4976" i="2"/>
  <c r="H4972" i="2"/>
  <c r="I4972" i="2"/>
  <c r="H4970" i="2"/>
  <c r="I4970" i="2"/>
  <c r="H4966" i="2"/>
  <c r="I4966" i="2"/>
  <c r="H4964" i="2"/>
  <c r="I4964" i="2"/>
  <c r="H4960" i="2"/>
  <c r="I4960" i="2"/>
  <c r="H4956" i="2"/>
  <c r="I4956" i="2"/>
  <c r="J5009" i="2"/>
  <c r="J5007" i="2"/>
  <c r="J5003" i="2"/>
  <c r="J5001" i="2"/>
  <c r="J4997" i="2"/>
  <c r="J4995" i="2"/>
  <c r="J4991" i="2"/>
  <c r="J4989" i="2"/>
  <c r="J4985" i="2"/>
  <c r="J4983" i="2"/>
  <c r="J4973" i="2"/>
  <c r="J4969" i="2"/>
  <c r="H4952" i="2"/>
  <c r="J4952" i="2"/>
  <c r="I4952" i="2"/>
  <c r="H5011" i="2"/>
  <c r="I5011" i="2"/>
  <c r="H5005" i="2"/>
  <c r="I5005" i="2"/>
  <c r="H4999" i="2"/>
  <c r="I4999" i="2"/>
  <c r="H4993" i="2"/>
  <c r="I4993" i="2"/>
  <c r="H4987" i="2"/>
  <c r="I4987" i="2"/>
  <c r="H4981" i="2"/>
  <c r="I4981" i="2"/>
  <c r="H4979" i="2"/>
  <c r="I4979" i="2"/>
  <c r="H4977" i="2"/>
  <c r="I4977" i="2"/>
  <c r="H4975" i="2"/>
  <c r="I4975" i="2"/>
  <c r="H4971" i="2"/>
  <c r="I4971" i="2"/>
  <c r="H4967" i="2"/>
  <c r="I4967" i="2"/>
  <c r="H4965" i="2"/>
  <c r="I4965" i="2"/>
  <c r="H4963" i="2"/>
  <c r="I4963" i="2"/>
  <c r="H4959" i="2"/>
  <c r="I4959" i="2"/>
  <c r="H4955" i="2"/>
  <c r="I4955" i="2"/>
  <c r="H4951" i="2"/>
  <c r="J4951" i="2"/>
  <c r="I4951" i="2"/>
  <c r="H4961" i="2"/>
  <c r="I4961" i="2"/>
  <c r="H4957" i="2"/>
  <c r="I4957" i="2"/>
  <c r="J5010" i="2"/>
  <c r="J5008" i="2"/>
  <c r="J5006" i="2"/>
  <c r="J5004" i="2"/>
  <c r="J5002" i="2"/>
  <c r="J5000" i="2"/>
  <c r="J4998" i="2"/>
  <c r="J4996" i="2"/>
  <c r="J4994" i="2"/>
  <c r="J4992" i="2"/>
  <c r="J4990" i="2"/>
  <c r="J4988" i="2"/>
  <c r="J4986" i="2"/>
  <c r="J4984" i="2"/>
  <c r="J4982" i="2"/>
  <c r="J4980" i="2"/>
  <c r="J4978" i="2"/>
  <c r="J4976" i="2"/>
  <c r="J4974" i="2"/>
  <c r="J4972" i="2"/>
  <c r="J4970" i="2"/>
  <c r="J4968" i="2"/>
  <c r="J4966" i="2"/>
  <c r="J4964" i="2"/>
  <c r="J4962" i="2"/>
  <c r="J4960" i="2"/>
  <c r="J4958" i="2"/>
  <c r="J4956" i="2"/>
  <c r="J4954" i="2"/>
  <c r="H4950" i="2"/>
  <c r="J4950" i="2"/>
  <c r="I4950" i="2"/>
  <c r="I4949" i="2"/>
  <c r="J4949" i="2"/>
  <c r="D4768" i="2" l="1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G4768" i="2"/>
  <c r="J4768" i="2" s="1"/>
  <c r="G4769" i="2"/>
  <c r="I4769" i="2" s="1"/>
  <c r="G4770" i="2"/>
  <c r="H4770" i="2" s="1"/>
  <c r="G4771" i="2"/>
  <c r="I4771" i="2" s="1"/>
  <c r="G4772" i="2"/>
  <c r="H4772" i="2" s="1"/>
  <c r="G4773" i="2"/>
  <c r="I4773" i="2" s="1"/>
  <c r="G4774" i="2"/>
  <c r="H4774" i="2" s="1"/>
  <c r="G4775" i="2"/>
  <c r="H4775" i="2" s="1"/>
  <c r="G4776" i="2"/>
  <c r="H4776" i="2" s="1"/>
  <c r="G4777" i="2"/>
  <c r="I4777" i="2" s="1"/>
  <c r="G4778" i="2"/>
  <c r="H4778" i="2" s="1"/>
  <c r="G4779" i="2"/>
  <c r="H4779" i="2" s="1"/>
  <c r="G4780" i="2"/>
  <c r="H4780" i="2" s="1"/>
  <c r="G4781" i="2"/>
  <c r="I4781" i="2" s="1"/>
  <c r="G4782" i="2"/>
  <c r="H4782" i="2" s="1"/>
  <c r="G4783" i="2"/>
  <c r="H4783" i="2" s="1"/>
  <c r="G4784" i="2"/>
  <c r="H4784" i="2" s="1"/>
  <c r="G4785" i="2"/>
  <c r="I4785" i="2" s="1"/>
  <c r="G4786" i="2"/>
  <c r="H4786" i="2" s="1"/>
  <c r="G4787" i="2"/>
  <c r="H4787" i="2" s="1"/>
  <c r="G4788" i="2"/>
  <c r="H4788" i="2" s="1"/>
  <c r="G4789" i="2"/>
  <c r="I4789" i="2" s="1"/>
  <c r="G4790" i="2"/>
  <c r="H4790" i="2" s="1"/>
  <c r="G4791" i="2"/>
  <c r="H4791" i="2" s="1"/>
  <c r="G4792" i="2"/>
  <c r="H4792" i="2" s="1"/>
  <c r="G4793" i="2"/>
  <c r="I4793" i="2" s="1"/>
  <c r="G4794" i="2"/>
  <c r="H4794" i="2" s="1"/>
  <c r="G4795" i="2"/>
  <c r="H4795" i="2" s="1"/>
  <c r="G4796" i="2"/>
  <c r="H4796" i="2" s="1"/>
  <c r="G4797" i="2"/>
  <c r="I4797" i="2" s="1"/>
  <c r="G4798" i="2"/>
  <c r="H4798" i="2" s="1"/>
  <c r="G4799" i="2"/>
  <c r="H4799" i="2" s="1"/>
  <c r="G4800" i="2"/>
  <c r="H4800" i="2" s="1"/>
  <c r="G4801" i="2"/>
  <c r="I4801" i="2" s="1"/>
  <c r="G4802" i="2"/>
  <c r="H4802" i="2" s="1"/>
  <c r="G4803" i="2"/>
  <c r="J4803" i="2" s="1"/>
  <c r="G4804" i="2"/>
  <c r="H4804" i="2" s="1"/>
  <c r="G4805" i="2"/>
  <c r="I4805" i="2" s="1"/>
  <c r="G4806" i="2"/>
  <c r="H4806" i="2" s="1"/>
  <c r="G4807" i="2"/>
  <c r="J4807" i="2" s="1"/>
  <c r="G4808" i="2"/>
  <c r="H4808" i="2" s="1"/>
  <c r="G4809" i="2"/>
  <c r="I4809" i="2" s="1"/>
  <c r="G4810" i="2"/>
  <c r="H4810" i="2" s="1"/>
  <c r="G4811" i="2"/>
  <c r="H4811" i="2" s="1"/>
  <c r="G4812" i="2"/>
  <c r="H4812" i="2" s="1"/>
  <c r="G4813" i="2"/>
  <c r="I4813" i="2" s="1"/>
  <c r="G4814" i="2"/>
  <c r="H4814" i="2" s="1"/>
  <c r="G4815" i="2"/>
  <c r="H4815" i="2" s="1"/>
  <c r="G4816" i="2"/>
  <c r="H4816" i="2" s="1"/>
  <c r="G4817" i="2"/>
  <c r="I4817" i="2" s="1"/>
  <c r="G4818" i="2"/>
  <c r="H4818" i="2" s="1"/>
  <c r="G4819" i="2"/>
  <c r="H4819" i="2" s="1"/>
  <c r="G4820" i="2"/>
  <c r="H4820" i="2" s="1"/>
  <c r="G4821" i="2"/>
  <c r="I4821" i="2" s="1"/>
  <c r="G4822" i="2"/>
  <c r="H4822" i="2" s="1"/>
  <c r="G4823" i="2"/>
  <c r="H4823" i="2" s="1"/>
  <c r="G4824" i="2"/>
  <c r="H4824" i="2" s="1"/>
  <c r="G4825" i="2"/>
  <c r="G4826" i="2"/>
  <c r="H4826" i="2" s="1"/>
  <c r="G4827" i="2"/>
  <c r="H4827" i="2" s="1"/>
  <c r="G4828" i="2"/>
  <c r="H4828" i="2" s="1"/>
  <c r="G4829" i="2"/>
  <c r="I4829" i="2" s="1"/>
  <c r="G4830" i="2"/>
  <c r="H4830" i="2" s="1"/>
  <c r="G4831" i="2"/>
  <c r="H4831" i="2" s="1"/>
  <c r="G4832" i="2"/>
  <c r="H4832" i="2" s="1"/>
  <c r="G4833" i="2"/>
  <c r="I4833" i="2" s="1"/>
  <c r="G4834" i="2"/>
  <c r="H4834" i="2" s="1"/>
  <c r="G4835" i="2"/>
  <c r="H4835" i="2" s="1"/>
  <c r="G4836" i="2"/>
  <c r="H4836" i="2" s="1"/>
  <c r="G4837" i="2"/>
  <c r="I4837" i="2" s="1"/>
  <c r="G4838" i="2"/>
  <c r="H4838" i="2" s="1"/>
  <c r="G4839" i="2"/>
  <c r="H4839" i="2" s="1"/>
  <c r="G4840" i="2"/>
  <c r="H4840" i="2" s="1"/>
  <c r="G4841" i="2"/>
  <c r="I4841" i="2" s="1"/>
  <c r="G4842" i="2"/>
  <c r="H4842" i="2" s="1"/>
  <c r="G4843" i="2"/>
  <c r="H4843" i="2" s="1"/>
  <c r="G4844" i="2"/>
  <c r="R4844" i="2" s="1"/>
  <c r="G4845" i="2"/>
  <c r="I4845" i="2" s="1"/>
  <c r="G4846" i="2"/>
  <c r="H4846" i="2" s="1"/>
  <c r="G4847" i="2"/>
  <c r="H4847" i="2" s="1"/>
  <c r="G4848" i="2"/>
  <c r="H4848" i="2" s="1"/>
  <c r="G4849" i="2"/>
  <c r="I4849" i="2" s="1"/>
  <c r="G4850" i="2"/>
  <c r="H4850" i="2" s="1"/>
  <c r="G4851" i="2"/>
  <c r="H4851" i="2" s="1"/>
  <c r="G4852" i="2"/>
  <c r="H4852" i="2" s="1"/>
  <c r="G4853" i="2"/>
  <c r="I4853" i="2" s="1"/>
  <c r="G4854" i="2"/>
  <c r="H4854" i="2" s="1"/>
  <c r="G4855" i="2"/>
  <c r="H4855" i="2" s="1"/>
  <c r="G4856" i="2"/>
  <c r="H4856" i="2" s="1"/>
  <c r="G4857" i="2"/>
  <c r="H4857" i="2" s="1"/>
  <c r="G4858" i="2"/>
  <c r="H4858" i="2" s="1"/>
  <c r="G4859" i="2"/>
  <c r="R4859" i="2" s="1"/>
  <c r="G4860" i="2"/>
  <c r="I4860" i="2" s="1"/>
  <c r="G4861" i="2"/>
  <c r="H4861" i="2" s="1"/>
  <c r="G4862" i="2"/>
  <c r="H4862" i="2" s="1"/>
  <c r="G4863" i="2"/>
  <c r="I4863" i="2" s="1"/>
  <c r="G4864" i="2"/>
  <c r="S4864" i="2" s="1"/>
  <c r="T4864" i="2" s="1"/>
  <c r="G4865" i="2"/>
  <c r="R4865" i="2" s="1"/>
  <c r="G4866" i="2"/>
  <c r="H4866" i="2" s="1"/>
  <c r="G4867" i="2"/>
  <c r="J4867" i="2" s="1"/>
  <c r="G4868" i="2"/>
  <c r="R4868" i="2" s="1"/>
  <c r="G4869" i="2"/>
  <c r="H4869" i="2" s="1"/>
  <c r="G4870" i="2"/>
  <c r="H4870" i="2" s="1"/>
  <c r="G4871" i="2"/>
  <c r="I4871" i="2" s="1"/>
  <c r="G4872" i="2"/>
  <c r="S4872" i="2" s="1"/>
  <c r="T4872" i="2" s="1"/>
  <c r="G4873" i="2"/>
  <c r="H4873" i="2" s="1"/>
  <c r="G4874" i="2"/>
  <c r="H4874" i="2" s="1"/>
  <c r="G4875" i="2"/>
  <c r="R4875" i="2" s="1"/>
  <c r="G4876" i="2"/>
  <c r="S4876" i="2" s="1"/>
  <c r="T4876" i="2" s="1"/>
  <c r="G4877" i="2"/>
  <c r="H4877" i="2" s="1"/>
  <c r="G4878" i="2"/>
  <c r="H4878" i="2" s="1"/>
  <c r="G4879" i="2"/>
  <c r="H4879" i="2" s="1"/>
  <c r="G4880" i="2"/>
  <c r="S4880" i="2" s="1"/>
  <c r="T4880" i="2" s="1"/>
  <c r="G4881" i="2"/>
  <c r="H4881" i="2" s="1"/>
  <c r="G4882" i="2"/>
  <c r="H4882" i="2" s="1"/>
  <c r="G4883" i="2"/>
  <c r="R4883" i="2" s="1"/>
  <c r="G4884" i="2"/>
  <c r="R4884" i="2" s="1"/>
  <c r="G4885" i="2"/>
  <c r="H4885" i="2" s="1"/>
  <c r="G4886" i="2"/>
  <c r="H4886" i="2" s="1"/>
  <c r="G4887" i="2"/>
  <c r="I4887" i="2" s="1"/>
  <c r="G4888" i="2"/>
  <c r="R4888" i="2" s="1"/>
  <c r="G4889" i="2"/>
  <c r="R4889" i="2" s="1"/>
  <c r="G4890" i="2"/>
  <c r="H4890" i="2" s="1"/>
  <c r="G4891" i="2"/>
  <c r="R4891" i="2" s="1"/>
  <c r="G4892" i="2"/>
  <c r="U4892" i="2" s="1"/>
  <c r="G4893" i="2"/>
  <c r="S4893" i="2" s="1"/>
  <c r="T4893" i="2" s="1"/>
  <c r="G4894" i="2"/>
  <c r="H4894" i="2" s="1"/>
  <c r="G4895" i="2"/>
  <c r="R4895" i="2" s="1"/>
  <c r="G4896" i="2"/>
  <c r="I4896" i="2" s="1"/>
  <c r="G4897" i="2"/>
  <c r="S4897" i="2" s="1"/>
  <c r="T4897" i="2" s="1"/>
  <c r="G4898" i="2"/>
  <c r="H4898" i="2" s="1"/>
  <c r="G4899" i="2"/>
  <c r="I4899" i="2" s="1"/>
  <c r="G4900" i="2"/>
  <c r="S4900" i="2" s="1"/>
  <c r="T4900" i="2" s="1"/>
  <c r="G4901" i="2"/>
  <c r="R4901" i="2" s="1"/>
  <c r="G4902" i="2"/>
  <c r="H4902" i="2" s="1"/>
  <c r="G4903" i="2"/>
  <c r="J4903" i="2" s="1"/>
  <c r="G4904" i="2"/>
  <c r="U4904" i="2" s="1"/>
  <c r="G4905" i="2"/>
  <c r="S4905" i="2" s="1"/>
  <c r="T4905" i="2" s="1"/>
  <c r="G4906" i="2"/>
  <c r="H4906" i="2" s="1"/>
  <c r="G4907" i="2"/>
  <c r="R4907" i="2" s="1"/>
  <c r="G4908" i="2"/>
  <c r="J4908" i="2" s="1"/>
  <c r="G4909" i="2"/>
  <c r="S4909" i="2" s="1"/>
  <c r="T4909" i="2" s="1"/>
  <c r="G4910" i="2"/>
  <c r="H4910" i="2" s="1"/>
  <c r="G4911" i="2"/>
  <c r="H4911" i="2" s="1"/>
  <c r="G4912" i="2"/>
  <c r="H4912" i="2" s="1"/>
  <c r="G4913" i="2"/>
  <c r="S4913" i="2" s="1"/>
  <c r="T4913" i="2" s="1"/>
  <c r="G4914" i="2"/>
  <c r="H4914" i="2" s="1"/>
  <c r="G4915" i="2"/>
  <c r="H4915" i="2" s="1"/>
  <c r="G4916" i="2"/>
  <c r="H4916" i="2" s="1"/>
  <c r="G4917" i="2"/>
  <c r="R4917" i="2" s="1"/>
  <c r="G4918" i="2"/>
  <c r="H4918" i="2" s="1"/>
  <c r="G4919" i="2"/>
  <c r="S4919" i="2" s="1"/>
  <c r="T4919" i="2" s="1"/>
  <c r="G4920" i="2"/>
  <c r="I4920" i="2" s="1"/>
  <c r="G4921" i="2"/>
  <c r="S4921" i="2" s="1"/>
  <c r="T4921" i="2" s="1"/>
  <c r="G4922" i="2"/>
  <c r="H4922" i="2" s="1"/>
  <c r="G4923" i="2"/>
  <c r="I4923" i="2" s="1"/>
  <c r="G4924" i="2"/>
  <c r="U4924" i="2" s="1"/>
  <c r="G4925" i="2"/>
  <c r="R4925" i="2" s="1"/>
  <c r="G4926" i="2"/>
  <c r="H4926" i="2" s="1"/>
  <c r="G4927" i="2"/>
  <c r="H4927" i="2" s="1"/>
  <c r="G4928" i="2"/>
  <c r="J4928" i="2" s="1"/>
  <c r="G4929" i="2"/>
  <c r="R4929" i="2" s="1"/>
  <c r="G4930" i="2"/>
  <c r="H4930" i="2" s="1"/>
  <c r="G4931" i="2"/>
  <c r="S4931" i="2" s="1"/>
  <c r="T4931" i="2" s="1"/>
  <c r="G4932" i="2"/>
  <c r="I4932" i="2" s="1"/>
  <c r="G4933" i="2"/>
  <c r="R4933" i="2" s="1"/>
  <c r="G4934" i="2"/>
  <c r="H4934" i="2" s="1"/>
  <c r="G4935" i="2"/>
  <c r="J4935" i="2" s="1"/>
  <c r="G4936" i="2"/>
  <c r="I4936" i="2" s="1"/>
  <c r="G4937" i="2"/>
  <c r="S4937" i="2" s="1"/>
  <c r="T4937" i="2" s="1"/>
  <c r="G4938" i="2"/>
  <c r="H4938" i="2" s="1"/>
  <c r="G4939" i="2"/>
  <c r="S4939" i="2" s="1"/>
  <c r="T4939" i="2" s="1"/>
  <c r="G4940" i="2"/>
  <c r="U4940" i="2" s="1"/>
  <c r="G4941" i="2"/>
  <c r="R4941" i="2" s="1"/>
  <c r="G4942" i="2"/>
  <c r="H4942" i="2" s="1"/>
  <c r="G4943" i="2"/>
  <c r="H4943" i="2" s="1"/>
  <c r="G4944" i="2"/>
  <c r="J4944" i="2" s="1"/>
  <c r="G4945" i="2"/>
  <c r="R4945" i="2" s="1"/>
  <c r="G4946" i="2"/>
  <c r="H4946" i="2" s="1"/>
  <c r="G4947" i="2"/>
  <c r="S4947" i="2" s="1"/>
  <c r="T4947" i="2" s="1"/>
  <c r="R4949" i="2"/>
  <c r="S4953" i="2"/>
  <c r="T4953" i="2" s="1"/>
  <c r="U4955" i="2"/>
  <c r="R4956" i="2"/>
  <c r="S4958" i="2"/>
  <c r="T4958" i="2" s="1"/>
  <c r="S4960" i="2"/>
  <c r="T4960" i="2" s="1"/>
  <c r="S4962" i="2"/>
  <c r="T4962" i="2" s="1"/>
  <c r="U4963" i="2"/>
  <c r="R4964" i="2"/>
  <c r="U4968" i="2"/>
  <c r="U4971" i="2"/>
  <c r="R4972" i="2"/>
  <c r="S4974" i="2"/>
  <c r="T4974" i="2" s="1"/>
  <c r="S4976" i="2"/>
  <c r="T4976" i="2" s="1"/>
  <c r="U4979" i="2"/>
  <c r="R4980" i="2"/>
  <c r="U4984" i="2"/>
  <c r="S4986" i="2"/>
  <c r="T4986" i="2" s="1"/>
  <c r="R4988" i="2"/>
  <c r="S4992" i="2"/>
  <c r="T4992" i="2" s="1"/>
  <c r="S4994" i="2"/>
  <c r="T4994" i="2" s="1"/>
  <c r="R4996" i="2"/>
  <c r="R4998" i="2"/>
  <c r="U5000" i="2"/>
  <c r="R5004" i="2"/>
  <c r="S5008" i="2"/>
  <c r="T5008" i="2" s="1"/>
  <c r="I4770" i="2"/>
  <c r="I4782" i="2"/>
  <c r="I4806" i="2"/>
  <c r="I4810" i="2"/>
  <c r="I4814" i="2"/>
  <c r="I4818" i="2"/>
  <c r="J4776" i="2"/>
  <c r="J4782" i="2"/>
  <c r="J4790" i="2"/>
  <c r="J4806" i="2"/>
  <c r="J4814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R4790" i="2"/>
  <c r="R4798" i="2"/>
  <c r="R4806" i="2"/>
  <c r="R4814" i="2"/>
  <c r="S4770" i="2"/>
  <c r="T4770" i="2" s="1"/>
  <c r="S4771" i="2"/>
  <c r="T4771" i="2" s="1"/>
  <c r="S4782" i="2"/>
  <c r="T4782" i="2" s="1"/>
  <c r="S4818" i="2"/>
  <c r="T4818" i="2" s="1"/>
  <c r="S5001" i="2"/>
  <c r="T5001" i="2" s="1"/>
  <c r="U4770" i="2"/>
  <c r="U4794" i="2"/>
  <c r="U4802" i="2"/>
  <c r="U4806" i="2"/>
  <c r="U4814" i="2"/>
  <c r="U4969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G4754" i="2"/>
  <c r="H4754" i="2" s="1"/>
  <c r="G4755" i="2"/>
  <c r="I4755" i="2" s="1"/>
  <c r="G4756" i="2"/>
  <c r="H4756" i="2" s="1"/>
  <c r="G4757" i="2"/>
  <c r="H4757" i="2" s="1"/>
  <c r="G4758" i="2"/>
  <c r="H4758" i="2" s="1"/>
  <c r="G4759" i="2"/>
  <c r="J4759" i="2" s="1"/>
  <c r="G4760" i="2"/>
  <c r="J4760" i="2" s="1"/>
  <c r="G4761" i="2"/>
  <c r="H4761" i="2" s="1"/>
  <c r="G4762" i="2"/>
  <c r="H4762" i="2" s="1"/>
  <c r="G4763" i="2"/>
  <c r="H4763" i="2" s="1"/>
  <c r="G4764" i="2"/>
  <c r="H4764" i="2" s="1"/>
  <c r="G4765" i="2"/>
  <c r="H4765" i="2" s="1"/>
  <c r="G4766" i="2"/>
  <c r="H4766" i="2" s="1"/>
  <c r="G4767" i="2"/>
  <c r="I4767" i="2" s="1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E1" i="54"/>
  <c r="F3" i="54"/>
  <c r="F4" i="54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2" i="54"/>
  <c r="F73" i="54"/>
  <c r="F74" i="54"/>
  <c r="F75" i="54"/>
  <c r="F76" i="54"/>
  <c r="F77" i="54"/>
  <c r="F78" i="54"/>
  <c r="F79" i="54"/>
  <c r="F80" i="54"/>
  <c r="F81" i="54"/>
  <c r="F82" i="54"/>
  <c r="F83" i="54"/>
  <c r="F84" i="54"/>
  <c r="F85" i="54"/>
  <c r="F86" i="54"/>
  <c r="F87" i="54"/>
  <c r="F88" i="54"/>
  <c r="F89" i="54"/>
  <c r="F90" i="54"/>
  <c r="F91" i="54"/>
  <c r="F92" i="54"/>
  <c r="F93" i="54"/>
  <c r="F94" i="54"/>
  <c r="F95" i="54"/>
  <c r="F96" i="54"/>
  <c r="F97" i="54"/>
  <c r="F98" i="54"/>
  <c r="F99" i="54"/>
  <c r="F100" i="54"/>
  <c r="F101" i="54"/>
  <c r="F102" i="54"/>
  <c r="F103" i="54"/>
  <c r="F104" i="54"/>
  <c r="F105" i="54"/>
  <c r="F106" i="54"/>
  <c r="F107" i="54"/>
  <c r="F108" i="54"/>
  <c r="F109" i="54"/>
  <c r="F110" i="54"/>
  <c r="F111" i="54"/>
  <c r="F112" i="54"/>
  <c r="F113" i="54"/>
  <c r="F114" i="54"/>
  <c r="F115" i="54"/>
  <c r="F116" i="54"/>
  <c r="F117" i="54"/>
  <c r="F118" i="54"/>
  <c r="F119" i="54"/>
  <c r="F120" i="54"/>
  <c r="F121" i="54"/>
  <c r="F122" i="54"/>
  <c r="F123" i="54"/>
  <c r="F124" i="54"/>
  <c r="F125" i="54"/>
  <c r="F126" i="54"/>
  <c r="F127" i="54"/>
  <c r="F128" i="54"/>
  <c r="F129" i="54"/>
  <c r="F130" i="54"/>
  <c r="D1" i="54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G4605" i="2"/>
  <c r="H4605" i="2" s="1"/>
  <c r="G4606" i="2"/>
  <c r="J4606" i="2" s="1"/>
  <c r="G4607" i="2"/>
  <c r="J4607" i="2" s="1"/>
  <c r="G4608" i="2"/>
  <c r="G4609" i="2"/>
  <c r="J4609" i="2" s="1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I4690" i="2" s="1"/>
  <c r="G4691" i="2"/>
  <c r="I4691" i="2" s="1"/>
  <c r="G4692" i="2"/>
  <c r="I4692" i="2" s="1"/>
  <c r="G4693" i="2"/>
  <c r="I4693" i="2" s="1"/>
  <c r="G4694" i="2"/>
  <c r="I4694" i="2" s="1"/>
  <c r="G4695" i="2"/>
  <c r="I4695" i="2" s="1"/>
  <c r="G4696" i="2"/>
  <c r="I4696" i="2" s="1"/>
  <c r="G4697" i="2"/>
  <c r="I4697" i="2" s="1"/>
  <c r="G4698" i="2"/>
  <c r="I4698" i="2" s="1"/>
  <c r="G4699" i="2"/>
  <c r="I4699" i="2" s="1"/>
  <c r="G4700" i="2"/>
  <c r="I4700" i="2" s="1"/>
  <c r="G4701" i="2"/>
  <c r="I4701" i="2" s="1"/>
  <c r="G4702" i="2"/>
  <c r="I4702" i="2" s="1"/>
  <c r="G4703" i="2"/>
  <c r="I4703" i="2" s="1"/>
  <c r="G4704" i="2"/>
  <c r="I4704" i="2" s="1"/>
  <c r="G4705" i="2"/>
  <c r="I4705" i="2" s="1"/>
  <c r="G4706" i="2"/>
  <c r="I4706" i="2" s="1"/>
  <c r="G4707" i="2"/>
  <c r="I4707" i="2" s="1"/>
  <c r="G4708" i="2"/>
  <c r="I4708" i="2" s="1"/>
  <c r="G4709" i="2"/>
  <c r="I4709" i="2" s="1"/>
  <c r="G4710" i="2"/>
  <c r="I4710" i="2" s="1"/>
  <c r="G4711" i="2"/>
  <c r="I4711" i="2" s="1"/>
  <c r="G4712" i="2"/>
  <c r="I4712" i="2" s="1"/>
  <c r="G4713" i="2"/>
  <c r="I4713" i="2" s="1"/>
  <c r="G4714" i="2"/>
  <c r="I4714" i="2" s="1"/>
  <c r="G4715" i="2"/>
  <c r="I4715" i="2" s="1"/>
  <c r="G4716" i="2"/>
  <c r="I4716" i="2" s="1"/>
  <c r="G4717" i="2"/>
  <c r="I4717" i="2" s="1"/>
  <c r="G4718" i="2"/>
  <c r="I4718" i="2" s="1"/>
  <c r="G4719" i="2"/>
  <c r="I4719" i="2" s="1"/>
  <c r="G4720" i="2"/>
  <c r="I4720" i="2" s="1"/>
  <c r="G4721" i="2"/>
  <c r="I4721" i="2" s="1"/>
  <c r="G4722" i="2"/>
  <c r="I4722" i="2" s="1"/>
  <c r="G4723" i="2"/>
  <c r="I4723" i="2" s="1"/>
  <c r="G4724" i="2"/>
  <c r="I4724" i="2" s="1"/>
  <c r="G4725" i="2"/>
  <c r="I4725" i="2" s="1"/>
  <c r="G4726" i="2"/>
  <c r="I4726" i="2" s="1"/>
  <c r="G4727" i="2"/>
  <c r="I4727" i="2" s="1"/>
  <c r="G4728" i="2"/>
  <c r="I4728" i="2" s="1"/>
  <c r="G4729" i="2"/>
  <c r="I4729" i="2" s="1"/>
  <c r="G4730" i="2"/>
  <c r="I4730" i="2" s="1"/>
  <c r="G4731" i="2"/>
  <c r="I4731" i="2" s="1"/>
  <c r="G4732" i="2"/>
  <c r="I4732" i="2" s="1"/>
  <c r="G4733" i="2"/>
  <c r="J4733" i="2" s="1"/>
  <c r="G4734" i="2"/>
  <c r="J4734" i="2" s="1"/>
  <c r="G4735" i="2"/>
  <c r="J4735" i="2" s="1"/>
  <c r="G4736" i="2"/>
  <c r="J4736" i="2" s="1"/>
  <c r="G4737" i="2"/>
  <c r="J4737" i="2" s="1"/>
  <c r="G4738" i="2"/>
  <c r="J4738" i="2" s="1"/>
  <c r="G4739" i="2"/>
  <c r="J4739" i="2" s="1"/>
  <c r="G4740" i="2"/>
  <c r="J4740" i="2" s="1"/>
  <c r="G4741" i="2"/>
  <c r="J4741" i="2" s="1"/>
  <c r="G4742" i="2"/>
  <c r="J4742" i="2" s="1"/>
  <c r="G4743" i="2"/>
  <c r="J4743" i="2" s="1"/>
  <c r="G4744" i="2"/>
  <c r="J4744" i="2" s="1"/>
  <c r="G4745" i="2"/>
  <c r="J4745" i="2" s="1"/>
  <c r="G4746" i="2"/>
  <c r="J4746" i="2" s="1"/>
  <c r="G4747" i="2"/>
  <c r="J4747" i="2" s="1"/>
  <c r="G4748" i="2"/>
  <c r="J4748" i="2" s="1"/>
  <c r="G4749" i="2"/>
  <c r="J4749" i="2" s="1"/>
  <c r="G4750" i="2"/>
  <c r="J4750" i="2" s="1"/>
  <c r="G4751" i="2"/>
  <c r="J4751" i="2" s="1"/>
  <c r="G4752" i="2"/>
  <c r="J4752" i="2" s="1"/>
  <c r="G4753" i="2"/>
  <c r="J4753" i="2" s="1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S4838" i="2" l="1"/>
  <c r="T4838" i="2" s="1"/>
  <c r="S4824" i="2"/>
  <c r="T4824" i="2" s="1"/>
  <c r="R4828" i="2"/>
  <c r="U4871" i="2"/>
  <c r="U4823" i="2"/>
  <c r="R4811" i="2"/>
  <c r="J4823" i="2"/>
  <c r="S4811" i="2"/>
  <c r="T4811" i="2" s="1"/>
  <c r="I4803" i="2"/>
  <c r="S4918" i="2"/>
  <c r="T4918" i="2" s="1"/>
  <c r="R4918" i="2"/>
  <c r="I4918" i="2"/>
  <c r="U4922" i="2"/>
  <c r="J4902" i="2"/>
  <c r="U4847" i="2"/>
  <c r="S4835" i="2"/>
  <c r="T4835" i="2" s="1"/>
  <c r="S4807" i="2"/>
  <c r="T4807" i="2" s="1"/>
  <c r="R4827" i="2"/>
  <c r="J4847" i="2"/>
  <c r="I4823" i="2"/>
  <c r="I4811" i="2"/>
  <c r="I4795" i="2"/>
  <c r="H4771" i="2"/>
  <c r="U4835" i="2"/>
  <c r="U4811" i="2"/>
  <c r="S4787" i="2"/>
  <c r="T4787" i="2" s="1"/>
  <c r="R4815" i="2"/>
  <c r="J4835" i="2"/>
  <c r="J4811" i="2"/>
  <c r="U4831" i="2"/>
  <c r="U4807" i="2"/>
  <c r="U4771" i="2"/>
  <c r="S4847" i="2"/>
  <c r="T4847" i="2" s="1"/>
  <c r="R4847" i="2"/>
  <c r="J4827" i="2"/>
  <c r="J4771" i="2"/>
  <c r="I4815" i="2"/>
  <c r="I4779" i="2"/>
  <c r="U4938" i="2"/>
  <c r="U4866" i="2"/>
  <c r="U4834" i="2"/>
  <c r="S4922" i="2"/>
  <c r="T4922" i="2" s="1"/>
  <c r="S4830" i="2"/>
  <c r="T4830" i="2" s="1"/>
  <c r="R4922" i="2"/>
  <c r="R4830" i="2"/>
  <c r="R4822" i="2"/>
  <c r="J4926" i="2"/>
  <c r="I4826" i="2"/>
  <c r="U4874" i="2"/>
  <c r="U4838" i="2"/>
  <c r="U4830" i="2"/>
  <c r="S4942" i="2"/>
  <c r="T4942" i="2" s="1"/>
  <c r="S4910" i="2"/>
  <c r="T4910" i="2" s="1"/>
  <c r="S4822" i="2"/>
  <c r="T4822" i="2" s="1"/>
  <c r="R4942" i="2"/>
  <c r="J4898" i="2"/>
  <c r="J4834" i="2"/>
  <c r="I4834" i="2"/>
  <c r="U4826" i="2"/>
  <c r="S4926" i="2"/>
  <c r="T4926" i="2" s="1"/>
  <c r="S4878" i="2"/>
  <c r="T4878" i="2" s="1"/>
  <c r="S4834" i="2"/>
  <c r="T4834" i="2" s="1"/>
  <c r="R4926" i="2"/>
  <c r="R4834" i="2"/>
  <c r="R4826" i="2"/>
  <c r="J4946" i="2"/>
  <c r="J4878" i="2"/>
  <c r="J4830" i="2"/>
  <c r="I4830" i="2"/>
  <c r="S4844" i="2"/>
  <c r="T4844" i="2" s="1"/>
  <c r="U4883" i="2"/>
  <c r="I4879" i="2"/>
  <c r="S4883" i="2"/>
  <c r="T4883" i="2" s="1"/>
  <c r="J4864" i="2"/>
  <c r="S4973" i="2"/>
  <c r="T4973" i="2" s="1"/>
  <c r="R5009" i="2"/>
  <c r="R4977" i="2"/>
  <c r="U4989" i="2"/>
  <c r="R4954" i="2"/>
  <c r="U5005" i="2"/>
  <c r="U4985" i="2"/>
  <c r="U4961" i="2"/>
  <c r="U4950" i="2"/>
  <c r="U4934" i="2"/>
  <c r="S4997" i="2"/>
  <c r="T4997" i="2" s="1"/>
  <c r="S4969" i="2"/>
  <c r="T4969" i="2" s="1"/>
  <c r="S4934" i="2"/>
  <c r="T4934" i="2" s="1"/>
  <c r="R4993" i="2"/>
  <c r="R4965" i="2"/>
  <c r="R4934" i="2"/>
  <c r="J4942" i="2"/>
  <c r="U5001" i="2"/>
  <c r="U4977" i="2"/>
  <c r="U4957" i="2"/>
  <c r="U4946" i="2"/>
  <c r="U4930" i="2"/>
  <c r="S4985" i="2"/>
  <c r="T4985" i="2" s="1"/>
  <c r="S4965" i="2"/>
  <c r="T4965" i="2" s="1"/>
  <c r="S4950" i="2"/>
  <c r="T4950" i="2" s="1"/>
  <c r="S4930" i="2"/>
  <c r="T4930" i="2" s="1"/>
  <c r="R4989" i="2"/>
  <c r="R4961" i="2"/>
  <c r="R4950" i="2"/>
  <c r="J4934" i="2"/>
  <c r="I4946" i="2"/>
  <c r="U4997" i="2"/>
  <c r="U4973" i="2"/>
  <c r="U4942" i="2"/>
  <c r="S4981" i="2"/>
  <c r="T4981" i="2" s="1"/>
  <c r="S4957" i="2"/>
  <c r="T4957" i="2" s="1"/>
  <c r="S4946" i="2"/>
  <c r="T4946" i="2" s="1"/>
  <c r="R4981" i="2"/>
  <c r="R4946" i="2"/>
  <c r="J4930" i="2"/>
  <c r="I4934" i="2"/>
  <c r="U4843" i="2"/>
  <c r="U4954" i="2"/>
  <c r="R5005" i="2"/>
  <c r="U4982" i="2"/>
  <c r="I4943" i="2"/>
  <c r="R4986" i="2"/>
  <c r="I4935" i="2"/>
  <c r="S4924" i="2"/>
  <c r="T4924" i="2" s="1"/>
  <c r="S4908" i="2"/>
  <c r="T4908" i="2" s="1"/>
  <c r="S4928" i="2"/>
  <c r="T4928" i="2" s="1"/>
  <c r="U4948" i="2"/>
  <c r="J4936" i="2"/>
  <c r="U5009" i="2"/>
  <c r="U4993" i="2"/>
  <c r="U4981" i="2"/>
  <c r="U4965" i="2"/>
  <c r="S5009" i="2"/>
  <c r="T5009" i="2" s="1"/>
  <c r="S4993" i="2"/>
  <c r="T4993" i="2" s="1"/>
  <c r="S4977" i="2"/>
  <c r="T4977" i="2" s="1"/>
  <c r="S4961" i="2"/>
  <c r="T4961" i="2" s="1"/>
  <c r="R5001" i="2"/>
  <c r="R4973" i="2"/>
  <c r="R4957" i="2"/>
  <c r="R4938" i="2"/>
  <c r="J4938" i="2"/>
  <c r="I4942" i="2"/>
  <c r="S5005" i="2"/>
  <c r="T5005" i="2" s="1"/>
  <c r="S4989" i="2"/>
  <c r="T4989" i="2" s="1"/>
  <c r="R4997" i="2"/>
  <c r="R4985" i="2"/>
  <c r="R4969" i="2"/>
  <c r="U4988" i="2"/>
  <c r="R4953" i="2"/>
  <c r="U4996" i="2"/>
  <c r="S4944" i="2"/>
  <c r="T4944" i="2" s="1"/>
  <c r="I4944" i="2"/>
  <c r="S4938" i="2"/>
  <c r="T4938" i="2" s="1"/>
  <c r="I4938" i="2"/>
  <c r="S4936" i="2"/>
  <c r="T4936" i="2" s="1"/>
  <c r="U4932" i="2"/>
  <c r="S4932" i="2"/>
  <c r="T4932" i="2" s="1"/>
  <c r="H4931" i="2"/>
  <c r="R4930" i="2"/>
  <c r="I4930" i="2"/>
  <c r="I4928" i="2"/>
  <c r="U4926" i="2"/>
  <c r="I4926" i="2"/>
  <c r="R4923" i="2"/>
  <c r="J4922" i="2"/>
  <c r="I4922" i="2"/>
  <c r="S4920" i="2"/>
  <c r="T4920" i="2" s="1"/>
  <c r="U4918" i="2"/>
  <c r="J4918" i="2"/>
  <c r="U4986" i="2"/>
  <c r="U4958" i="2"/>
  <c r="S4871" i="2"/>
  <c r="T4871" i="2" s="1"/>
  <c r="R5002" i="2"/>
  <c r="R4970" i="2"/>
  <c r="R4939" i="2"/>
  <c r="J4919" i="2"/>
  <c r="I4939" i="2"/>
  <c r="I4931" i="2"/>
  <c r="I4851" i="2"/>
  <c r="H4947" i="2"/>
  <c r="U5006" i="2"/>
  <c r="U4998" i="2"/>
  <c r="U4990" i="2"/>
  <c r="U4974" i="2"/>
  <c r="U4966" i="2"/>
  <c r="U4947" i="2"/>
  <c r="U4939" i="2"/>
  <c r="R5010" i="2"/>
  <c r="R4978" i="2"/>
  <c r="R4947" i="2"/>
  <c r="R4879" i="2"/>
  <c r="J4947" i="2"/>
  <c r="J4939" i="2"/>
  <c r="J4871" i="2"/>
  <c r="I4835" i="2"/>
  <c r="H4939" i="2"/>
  <c r="U5002" i="2"/>
  <c r="U4970" i="2"/>
  <c r="U4943" i="2"/>
  <c r="U4935" i="2"/>
  <c r="S4839" i="2"/>
  <c r="T4839" i="2" s="1"/>
  <c r="R4994" i="2"/>
  <c r="R4962" i="2"/>
  <c r="R4931" i="2"/>
  <c r="R4835" i="2"/>
  <c r="J4943" i="2"/>
  <c r="J4851" i="2"/>
  <c r="I4855" i="2"/>
  <c r="H4923" i="2"/>
  <c r="U4980" i="2"/>
  <c r="U4972" i="2"/>
  <c r="R4992" i="2"/>
  <c r="U4964" i="2"/>
  <c r="U4956" i="2"/>
  <c r="R5008" i="2"/>
  <c r="J4920" i="2"/>
  <c r="U5004" i="2"/>
  <c r="S4940" i="2"/>
  <c r="T4940" i="2" s="1"/>
  <c r="R4937" i="2"/>
  <c r="H4904" i="2"/>
  <c r="S5007" i="2"/>
  <c r="T5007" i="2" s="1"/>
  <c r="S4999" i="2"/>
  <c r="T4999" i="2" s="1"/>
  <c r="S4991" i="2"/>
  <c r="T4991" i="2" s="1"/>
  <c r="S4983" i="2"/>
  <c r="T4983" i="2" s="1"/>
  <c r="S4975" i="2"/>
  <c r="T4975" i="2" s="1"/>
  <c r="S4967" i="2"/>
  <c r="T4967" i="2" s="1"/>
  <c r="S4959" i="2"/>
  <c r="T4959" i="2" s="1"/>
  <c r="S4952" i="2"/>
  <c r="T4952" i="2" s="1"/>
  <c r="S5011" i="2"/>
  <c r="T5011" i="2" s="1"/>
  <c r="S5003" i="2"/>
  <c r="T5003" i="2" s="1"/>
  <c r="S4995" i="2"/>
  <c r="T4995" i="2" s="1"/>
  <c r="S4987" i="2"/>
  <c r="T4987" i="2" s="1"/>
  <c r="S4979" i="2"/>
  <c r="T4979" i="2" s="1"/>
  <c r="S4971" i="2"/>
  <c r="T4971" i="2" s="1"/>
  <c r="S4963" i="2"/>
  <c r="T4963" i="2" s="1"/>
  <c r="S4955" i="2"/>
  <c r="T4955" i="2" s="1"/>
  <c r="S4948" i="2"/>
  <c r="T4948" i="2" s="1"/>
  <c r="R4960" i="2"/>
  <c r="R4976" i="2"/>
  <c r="R4921" i="2"/>
  <c r="U5008" i="2"/>
  <c r="U4992" i="2"/>
  <c r="U4976" i="2"/>
  <c r="U4960" i="2"/>
  <c r="U4951" i="2"/>
  <c r="U4931" i="2"/>
  <c r="U4923" i="2"/>
  <c r="U4915" i="2"/>
  <c r="S5004" i="2"/>
  <c r="T5004" i="2" s="1"/>
  <c r="S5000" i="2"/>
  <c r="T5000" i="2" s="1"/>
  <c r="S4996" i="2"/>
  <c r="T4996" i="2" s="1"/>
  <c r="S4988" i="2"/>
  <c r="T4988" i="2" s="1"/>
  <c r="S4984" i="2"/>
  <c r="T4984" i="2" s="1"/>
  <c r="S4980" i="2"/>
  <c r="T4980" i="2" s="1"/>
  <c r="S4972" i="2"/>
  <c r="T4972" i="2" s="1"/>
  <c r="S4968" i="2"/>
  <c r="T4968" i="2" s="1"/>
  <c r="S4964" i="2"/>
  <c r="T4964" i="2" s="1"/>
  <c r="S4956" i="2"/>
  <c r="T4956" i="2" s="1"/>
  <c r="S4949" i="2"/>
  <c r="T4949" i="2" s="1"/>
  <c r="S4945" i="2"/>
  <c r="T4945" i="2" s="1"/>
  <c r="S4941" i="2"/>
  <c r="T4941" i="2" s="1"/>
  <c r="S4933" i="2"/>
  <c r="T4933" i="2" s="1"/>
  <c r="S4929" i="2"/>
  <c r="T4929" i="2" s="1"/>
  <c r="S4925" i="2"/>
  <c r="T4925" i="2" s="1"/>
  <c r="R5006" i="2"/>
  <c r="R4990" i="2"/>
  <c r="R4974" i="2"/>
  <c r="R4958" i="2"/>
  <c r="R4951" i="2"/>
  <c r="R4935" i="2"/>
  <c r="R4919" i="2"/>
  <c r="J4931" i="2"/>
  <c r="J4923" i="2"/>
  <c r="I4947" i="2"/>
  <c r="I4927" i="2"/>
  <c r="I4919" i="2"/>
  <c r="H4935" i="2"/>
  <c r="H4919" i="2"/>
  <c r="R5000" i="2"/>
  <c r="R4984" i="2"/>
  <c r="R4968" i="2"/>
  <c r="U5010" i="2"/>
  <c r="U4994" i="2"/>
  <c r="U4978" i="2"/>
  <c r="U4962" i="2"/>
  <c r="U4927" i="2"/>
  <c r="U4919" i="2"/>
  <c r="S5010" i="2"/>
  <c r="T5010" i="2" s="1"/>
  <c r="S5006" i="2"/>
  <c r="T5006" i="2" s="1"/>
  <c r="S5002" i="2"/>
  <c r="T5002" i="2" s="1"/>
  <c r="S4998" i="2"/>
  <c r="T4998" i="2" s="1"/>
  <c r="S4990" i="2"/>
  <c r="T4990" i="2" s="1"/>
  <c r="S4982" i="2"/>
  <c r="T4982" i="2" s="1"/>
  <c r="S4978" i="2"/>
  <c r="T4978" i="2" s="1"/>
  <c r="S4970" i="2"/>
  <c r="T4970" i="2" s="1"/>
  <c r="S4966" i="2"/>
  <c r="T4966" i="2" s="1"/>
  <c r="S4954" i="2"/>
  <c r="T4954" i="2" s="1"/>
  <c r="S4951" i="2"/>
  <c r="T4951" i="2" s="1"/>
  <c r="S4943" i="2"/>
  <c r="T4943" i="2" s="1"/>
  <c r="S4935" i="2"/>
  <c r="T4935" i="2" s="1"/>
  <c r="S4927" i="2"/>
  <c r="T4927" i="2" s="1"/>
  <c r="S4923" i="2"/>
  <c r="T4923" i="2" s="1"/>
  <c r="R4982" i="2"/>
  <c r="R4966" i="2"/>
  <c r="R4943" i="2"/>
  <c r="R4927" i="2"/>
  <c r="J4927" i="2"/>
  <c r="I4915" i="2"/>
  <c r="I4847" i="2"/>
  <c r="H4875" i="2"/>
  <c r="U4944" i="2"/>
  <c r="U4928" i="2"/>
  <c r="U4852" i="2"/>
  <c r="U4836" i="2"/>
  <c r="U4824" i="2"/>
  <c r="S4828" i="2"/>
  <c r="T4828" i="2" s="1"/>
  <c r="R5011" i="2"/>
  <c r="R5007" i="2"/>
  <c r="R5003" i="2"/>
  <c r="R4999" i="2"/>
  <c r="R4995" i="2"/>
  <c r="R4991" i="2"/>
  <c r="R4987" i="2"/>
  <c r="R4983" i="2"/>
  <c r="R4979" i="2"/>
  <c r="R4975" i="2"/>
  <c r="R4971" i="2"/>
  <c r="R4967" i="2"/>
  <c r="R4963" i="2"/>
  <c r="R4959" i="2"/>
  <c r="R4955" i="2"/>
  <c r="R4952" i="2"/>
  <c r="R4948" i="2"/>
  <c r="R4944" i="2"/>
  <c r="R4940" i="2"/>
  <c r="R4936" i="2"/>
  <c r="R4932" i="2"/>
  <c r="R4928" i="2"/>
  <c r="R4924" i="2"/>
  <c r="R4920" i="2"/>
  <c r="R4892" i="2"/>
  <c r="R4824" i="2"/>
  <c r="J4932" i="2"/>
  <c r="J4836" i="2"/>
  <c r="J4816" i="2"/>
  <c r="I4940" i="2"/>
  <c r="I4924" i="2"/>
  <c r="I4856" i="2"/>
  <c r="I4848" i="2"/>
  <c r="I4828" i="2"/>
  <c r="H4940" i="2"/>
  <c r="H4932" i="2"/>
  <c r="H4924" i="2"/>
  <c r="H4908" i="2"/>
  <c r="U4952" i="2"/>
  <c r="U4936" i="2"/>
  <c r="U4920" i="2"/>
  <c r="U4888" i="2"/>
  <c r="U4828" i="2"/>
  <c r="S4904" i="2"/>
  <c r="T4904" i="2" s="1"/>
  <c r="S4860" i="2"/>
  <c r="T4860" i="2" s="1"/>
  <c r="S4840" i="2"/>
  <c r="T4840" i="2" s="1"/>
  <c r="R4856" i="2"/>
  <c r="R4800" i="2"/>
  <c r="J4940" i="2"/>
  <c r="J4924" i="2"/>
  <c r="J4888" i="2"/>
  <c r="J4856" i="2"/>
  <c r="J4844" i="2"/>
  <c r="J4824" i="2"/>
  <c r="I4852" i="2"/>
  <c r="I4844" i="2"/>
  <c r="I4832" i="2"/>
  <c r="I4824" i="2"/>
  <c r="H4944" i="2"/>
  <c r="H4936" i="2"/>
  <c r="H4928" i="2"/>
  <c r="H4920" i="2"/>
  <c r="U5011" i="2"/>
  <c r="U5007" i="2"/>
  <c r="U5003" i="2"/>
  <c r="U4999" i="2"/>
  <c r="U4995" i="2"/>
  <c r="U4991" i="2"/>
  <c r="U4987" i="2"/>
  <c r="U4983" i="2"/>
  <c r="U4975" i="2"/>
  <c r="U4967" i="2"/>
  <c r="U4959" i="2"/>
  <c r="U4856" i="2"/>
  <c r="U4832" i="2"/>
  <c r="S4856" i="2"/>
  <c r="T4856" i="2" s="1"/>
  <c r="S4820" i="2"/>
  <c r="T4820" i="2" s="1"/>
  <c r="S4800" i="2"/>
  <c r="T4800" i="2" s="1"/>
  <c r="R4904" i="2"/>
  <c r="R4852" i="2"/>
  <c r="R4832" i="2"/>
  <c r="J4852" i="2"/>
  <c r="J4840" i="2"/>
  <c r="J4832" i="2"/>
  <c r="I4836" i="2"/>
  <c r="U4906" i="2"/>
  <c r="J4904" i="2"/>
  <c r="I4904" i="2"/>
  <c r="R4902" i="2"/>
  <c r="U4902" i="2"/>
  <c r="S4899" i="2"/>
  <c r="T4899" i="2" s="1"/>
  <c r="S4898" i="2"/>
  <c r="T4898" i="2" s="1"/>
  <c r="I4898" i="2"/>
  <c r="I4894" i="2"/>
  <c r="J4891" i="2"/>
  <c r="I4891" i="2"/>
  <c r="S4891" i="2"/>
  <c r="T4891" i="2" s="1"/>
  <c r="S4917" i="2"/>
  <c r="T4917" i="2" s="1"/>
  <c r="U4916" i="2"/>
  <c r="S4916" i="2"/>
  <c r="T4916" i="2" s="1"/>
  <c r="R4916" i="2"/>
  <c r="I4916" i="2"/>
  <c r="J4916" i="2"/>
  <c r="S4915" i="2"/>
  <c r="T4915" i="2" s="1"/>
  <c r="R4915" i="2"/>
  <c r="J4915" i="2"/>
  <c r="J4914" i="2"/>
  <c r="U4914" i="2"/>
  <c r="R4914" i="2"/>
  <c r="I4914" i="2"/>
  <c r="S4914" i="2"/>
  <c r="T4914" i="2" s="1"/>
  <c r="R4913" i="2"/>
  <c r="S4912" i="2"/>
  <c r="T4912" i="2" s="1"/>
  <c r="U4912" i="2"/>
  <c r="R4912" i="2"/>
  <c r="J4912" i="2"/>
  <c r="I4912" i="2"/>
  <c r="S4911" i="2"/>
  <c r="T4911" i="2" s="1"/>
  <c r="J4911" i="2"/>
  <c r="R4911" i="2"/>
  <c r="I4911" i="2"/>
  <c r="U4911" i="2"/>
  <c r="U4910" i="2"/>
  <c r="J4910" i="2"/>
  <c r="R4910" i="2"/>
  <c r="I4910" i="2"/>
  <c r="R4909" i="2"/>
  <c r="R4908" i="2"/>
  <c r="I4908" i="2"/>
  <c r="U4908" i="2"/>
  <c r="S4907" i="2"/>
  <c r="T4907" i="2" s="1"/>
  <c r="H4907" i="2"/>
  <c r="J4907" i="2"/>
  <c r="I4907" i="2"/>
  <c r="U4907" i="2"/>
  <c r="J4906" i="2"/>
  <c r="S4906" i="2"/>
  <c r="T4906" i="2" s="1"/>
  <c r="R4906" i="2"/>
  <c r="I4906" i="2"/>
  <c r="R4905" i="2"/>
  <c r="U4903" i="2"/>
  <c r="S4903" i="2"/>
  <c r="T4903" i="2" s="1"/>
  <c r="I4903" i="2"/>
  <c r="H4903" i="2"/>
  <c r="R4903" i="2"/>
  <c r="I4902" i="2"/>
  <c r="S4902" i="2"/>
  <c r="T4902" i="2" s="1"/>
  <c r="S4901" i="2"/>
  <c r="T4901" i="2" s="1"/>
  <c r="U4900" i="2"/>
  <c r="R4900" i="2"/>
  <c r="I4900" i="2"/>
  <c r="J4900" i="2"/>
  <c r="H4900" i="2"/>
  <c r="R4899" i="2"/>
  <c r="H4899" i="2"/>
  <c r="U4899" i="2"/>
  <c r="J4899" i="2"/>
  <c r="R4898" i="2"/>
  <c r="U4898" i="2"/>
  <c r="R4897" i="2"/>
  <c r="H4896" i="2"/>
  <c r="R4896" i="2"/>
  <c r="J4896" i="2"/>
  <c r="U4896" i="2"/>
  <c r="S4896" i="2"/>
  <c r="T4896" i="2" s="1"/>
  <c r="J4895" i="2"/>
  <c r="U4895" i="2"/>
  <c r="H4895" i="2"/>
  <c r="I4895" i="2"/>
  <c r="S4895" i="2"/>
  <c r="T4895" i="2" s="1"/>
  <c r="J4894" i="2"/>
  <c r="U4894" i="2"/>
  <c r="S4894" i="2"/>
  <c r="T4894" i="2" s="1"/>
  <c r="R4894" i="2"/>
  <c r="R4893" i="2"/>
  <c r="S4892" i="2"/>
  <c r="T4892" i="2" s="1"/>
  <c r="H4892" i="2"/>
  <c r="J4892" i="2"/>
  <c r="I4892" i="2"/>
  <c r="U4891" i="2"/>
  <c r="H4891" i="2"/>
  <c r="U4890" i="2"/>
  <c r="S4890" i="2"/>
  <c r="T4890" i="2" s="1"/>
  <c r="R4890" i="2"/>
  <c r="J4890" i="2"/>
  <c r="I4890" i="2"/>
  <c r="S4889" i="2"/>
  <c r="T4889" i="2" s="1"/>
  <c r="S4888" i="2"/>
  <c r="T4888" i="2" s="1"/>
  <c r="I4888" i="2"/>
  <c r="H4888" i="2"/>
  <c r="S4887" i="2"/>
  <c r="T4887" i="2" s="1"/>
  <c r="R4887" i="2"/>
  <c r="U4886" i="2"/>
  <c r="I4883" i="2"/>
  <c r="U4882" i="2"/>
  <c r="I4882" i="2"/>
  <c r="U4879" i="2"/>
  <c r="R4878" i="2"/>
  <c r="R4876" i="2"/>
  <c r="J4875" i="2"/>
  <c r="S4868" i="2"/>
  <c r="T4868" i="2" s="1"/>
  <c r="U4868" i="2"/>
  <c r="I4864" i="2"/>
  <c r="I4862" i="2"/>
  <c r="J4860" i="2"/>
  <c r="I4858" i="2"/>
  <c r="U4953" i="2"/>
  <c r="U4949" i="2"/>
  <c r="H4945" i="2"/>
  <c r="I4945" i="2"/>
  <c r="J4945" i="2"/>
  <c r="U4945" i="2"/>
  <c r="H4941" i="2"/>
  <c r="I4941" i="2"/>
  <c r="J4941" i="2"/>
  <c r="U4941" i="2"/>
  <c r="H4937" i="2"/>
  <c r="I4937" i="2"/>
  <c r="J4937" i="2"/>
  <c r="U4937" i="2"/>
  <c r="H4933" i="2"/>
  <c r="I4933" i="2"/>
  <c r="J4933" i="2"/>
  <c r="U4933" i="2"/>
  <c r="H4929" i="2"/>
  <c r="I4929" i="2"/>
  <c r="J4929" i="2"/>
  <c r="U4929" i="2"/>
  <c r="H4925" i="2"/>
  <c r="I4925" i="2"/>
  <c r="J4925" i="2"/>
  <c r="U4925" i="2"/>
  <c r="H4921" i="2"/>
  <c r="I4921" i="2"/>
  <c r="J4921" i="2"/>
  <c r="U4921" i="2"/>
  <c r="H4917" i="2"/>
  <c r="I4917" i="2"/>
  <c r="J4917" i="2"/>
  <c r="U4917" i="2"/>
  <c r="H4913" i="2"/>
  <c r="I4913" i="2"/>
  <c r="J4913" i="2"/>
  <c r="U4913" i="2"/>
  <c r="H4909" i="2"/>
  <c r="I4909" i="2"/>
  <c r="J4909" i="2"/>
  <c r="U4909" i="2"/>
  <c r="H4905" i="2"/>
  <c r="I4905" i="2"/>
  <c r="J4905" i="2"/>
  <c r="U4905" i="2"/>
  <c r="H4901" i="2"/>
  <c r="I4901" i="2"/>
  <c r="J4901" i="2"/>
  <c r="U4901" i="2"/>
  <c r="H4897" i="2"/>
  <c r="I4897" i="2"/>
  <c r="J4897" i="2"/>
  <c r="U4897" i="2"/>
  <c r="H4893" i="2"/>
  <c r="I4893" i="2"/>
  <c r="J4893" i="2"/>
  <c r="U4893" i="2"/>
  <c r="H4889" i="2"/>
  <c r="I4889" i="2"/>
  <c r="J4889" i="2"/>
  <c r="U4889" i="2"/>
  <c r="I4825" i="2"/>
  <c r="R4825" i="2"/>
  <c r="I4757" i="2"/>
  <c r="H4887" i="2"/>
  <c r="J4887" i="2"/>
  <c r="U4887" i="2"/>
  <c r="S4886" i="2"/>
  <c r="T4886" i="2" s="1"/>
  <c r="J4886" i="2"/>
  <c r="I4886" i="2"/>
  <c r="R4886" i="2"/>
  <c r="S4885" i="2"/>
  <c r="T4885" i="2" s="1"/>
  <c r="R4885" i="2"/>
  <c r="J4885" i="2"/>
  <c r="U4885" i="2"/>
  <c r="I4885" i="2"/>
  <c r="U4884" i="2"/>
  <c r="H4884" i="2"/>
  <c r="S4884" i="2"/>
  <c r="T4884" i="2" s="1"/>
  <c r="J4884" i="2"/>
  <c r="I4884" i="2"/>
  <c r="J4883" i="2"/>
  <c r="H4883" i="2"/>
  <c r="J4882" i="2"/>
  <c r="S4882" i="2"/>
  <c r="T4882" i="2" s="1"/>
  <c r="R4882" i="2"/>
  <c r="U4881" i="2"/>
  <c r="R4881" i="2"/>
  <c r="J4881" i="2"/>
  <c r="S4881" i="2"/>
  <c r="T4881" i="2" s="1"/>
  <c r="I4881" i="2"/>
  <c r="R4880" i="2"/>
  <c r="H4880" i="2"/>
  <c r="J4880" i="2"/>
  <c r="I4880" i="2"/>
  <c r="U4880" i="2"/>
  <c r="S4879" i="2"/>
  <c r="T4879" i="2" s="1"/>
  <c r="J4879" i="2"/>
  <c r="U4878" i="2"/>
  <c r="I4878" i="2"/>
  <c r="J4877" i="2"/>
  <c r="U4877" i="2"/>
  <c r="S4877" i="2"/>
  <c r="T4877" i="2" s="1"/>
  <c r="R4877" i="2"/>
  <c r="I4877" i="2"/>
  <c r="I4876" i="2"/>
  <c r="H4876" i="2"/>
  <c r="U4876" i="2"/>
  <c r="J4876" i="2"/>
  <c r="S4875" i="2"/>
  <c r="T4875" i="2" s="1"/>
  <c r="I4875" i="2"/>
  <c r="U4875" i="2"/>
  <c r="R4874" i="2"/>
  <c r="J4874" i="2"/>
  <c r="I4874" i="2"/>
  <c r="S4874" i="2"/>
  <c r="T4874" i="2" s="1"/>
  <c r="J4873" i="2"/>
  <c r="I4873" i="2"/>
  <c r="U4873" i="2"/>
  <c r="S4873" i="2"/>
  <c r="T4873" i="2" s="1"/>
  <c r="R4873" i="2"/>
  <c r="R4872" i="2"/>
  <c r="I4872" i="2"/>
  <c r="U4872" i="2"/>
  <c r="J4872" i="2"/>
  <c r="H4872" i="2"/>
  <c r="R4871" i="2"/>
  <c r="H4871" i="2"/>
  <c r="U4870" i="2"/>
  <c r="R4870" i="2"/>
  <c r="J4870" i="2"/>
  <c r="I4870" i="2"/>
  <c r="S4870" i="2"/>
  <c r="T4870" i="2" s="1"/>
  <c r="U4869" i="2"/>
  <c r="R4869" i="2"/>
  <c r="S4869" i="2"/>
  <c r="T4869" i="2" s="1"/>
  <c r="J4869" i="2"/>
  <c r="I4869" i="2"/>
  <c r="J4868" i="2"/>
  <c r="I4868" i="2"/>
  <c r="H4868" i="2"/>
  <c r="S4867" i="2"/>
  <c r="T4867" i="2" s="1"/>
  <c r="I4867" i="2"/>
  <c r="R4867" i="2"/>
  <c r="U4867" i="2"/>
  <c r="H4867" i="2"/>
  <c r="S4866" i="2"/>
  <c r="T4866" i="2" s="1"/>
  <c r="I4866" i="2"/>
  <c r="R4866" i="2"/>
  <c r="J4866" i="2"/>
  <c r="S4865" i="2"/>
  <c r="T4865" i="2" s="1"/>
  <c r="J4865" i="2"/>
  <c r="U4865" i="2"/>
  <c r="H4865" i="2"/>
  <c r="I4865" i="2"/>
  <c r="R4864" i="2"/>
  <c r="H4864" i="2"/>
  <c r="U4864" i="2"/>
  <c r="U4863" i="2"/>
  <c r="J4863" i="2"/>
  <c r="H4863" i="2"/>
  <c r="S4863" i="2"/>
  <c r="T4863" i="2" s="1"/>
  <c r="R4863" i="2"/>
  <c r="S4862" i="2"/>
  <c r="T4862" i="2" s="1"/>
  <c r="U4862" i="2"/>
  <c r="R4862" i="2"/>
  <c r="J4862" i="2"/>
  <c r="J4861" i="2"/>
  <c r="R4861" i="2"/>
  <c r="I4861" i="2"/>
  <c r="U4861" i="2"/>
  <c r="S4861" i="2"/>
  <c r="T4861" i="2" s="1"/>
  <c r="R4860" i="2"/>
  <c r="H4860" i="2"/>
  <c r="U4860" i="2"/>
  <c r="H4859" i="2"/>
  <c r="S4859" i="2"/>
  <c r="T4859" i="2" s="1"/>
  <c r="U4859" i="2"/>
  <c r="J4859" i="2"/>
  <c r="I4859" i="2"/>
  <c r="U4858" i="2"/>
  <c r="S4858" i="2"/>
  <c r="T4858" i="2" s="1"/>
  <c r="R4858" i="2"/>
  <c r="J4858" i="2"/>
  <c r="R4857" i="2"/>
  <c r="J4857" i="2"/>
  <c r="U4857" i="2"/>
  <c r="S4857" i="2"/>
  <c r="T4857" i="2" s="1"/>
  <c r="I4857" i="2"/>
  <c r="S4855" i="2"/>
  <c r="T4855" i="2" s="1"/>
  <c r="J4855" i="2"/>
  <c r="U4855" i="2"/>
  <c r="R4855" i="2"/>
  <c r="J4854" i="2"/>
  <c r="I4854" i="2"/>
  <c r="R4854" i="2"/>
  <c r="U4854" i="2"/>
  <c r="S4854" i="2"/>
  <c r="T4854" i="2" s="1"/>
  <c r="S4853" i="2"/>
  <c r="T4853" i="2" s="1"/>
  <c r="J4853" i="2"/>
  <c r="R4853" i="2"/>
  <c r="U4853" i="2"/>
  <c r="S4852" i="2"/>
  <c r="T4852" i="2" s="1"/>
  <c r="U4851" i="2"/>
  <c r="S4851" i="2"/>
  <c r="T4851" i="2" s="1"/>
  <c r="R4851" i="2"/>
  <c r="I4850" i="2"/>
  <c r="J4850" i="2"/>
  <c r="U4850" i="2"/>
  <c r="R4850" i="2"/>
  <c r="S4850" i="2"/>
  <c r="T4850" i="2" s="1"/>
  <c r="S4849" i="2"/>
  <c r="T4849" i="2" s="1"/>
  <c r="R4849" i="2"/>
  <c r="U4849" i="2"/>
  <c r="J4849" i="2"/>
  <c r="S4848" i="2"/>
  <c r="T4848" i="2" s="1"/>
  <c r="U4848" i="2"/>
  <c r="R4848" i="2"/>
  <c r="J4848" i="2"/>
  <c r="I4846" i="2"/>
  <c r="U4846" i="2"/>
  <c r="J4846" i="2"/>
  <c r="R4846" i="2"/>
  <c r="S4846" i="2"/>
  <c r="T4846" i="2" s="1"/>
  <c r="J4845" i="2"/>
  <c r="U4845" i="2"/>
  <c r="S4845" i="2"/>
  <c r="T4845" i="2" s="1"/>
  <c r="R4845" i="2"/>
  <c r="H4844" i="2"/>
  <c r="S4767" i="2"/>
  <c r="T4767" i="2" s="1"/>
  <c r="H4755" i="2"/>
  <c r="U4761" i="2"/>
  <c r="S4761" i="2"/>
  <c r="T4761" i="2" s="1"/>
  <c r="I4765" i="2"/>
  <c r="U4757" i="2"/>
  <c r="S4757" i="2"/>
  <c r="T4757" i="2" s="1"/>
  <c r="I4761" i="2"/>
  <c r="U4765" i="2"/>
  <c r="S4765" i="2"/>
  <c r="T4765" i="2" s="1"/>
  <c r="U4844" i="2"/>
  <c r="S4843" i="2"/>
  <c r="T4843" i="2" s="1"/>
  <c r="R4843" i="2"/>
  <c r="J4843" i="2"/>
  <c r="I4843" i="2"/>
  <c r="S4842" i="2"/>
  <c r="T4842" i="2" s="1"/>
  <c r="I4842" i="2"/>
  <c r="U4842" i="2"/>
  <c r="R4842" i="2"/>
  <c r="J4842" i="2"/>
  <c r="R4841" i="2"/>
  <c r="U4841" i="2"/>
  <c r="S4841" i="2"/>
  <c r="T4841" i="2" s="1"/>
  <c r="J4841" i="2"/>
  <c r="R4840" i="2"/>
  <c r="I4840" i="2"/>
  <c r="U4840" i="2"/>
  <c r="I4839" i="2"/>
  <c r="U4839" i="2"/>
  <c r="R4839" i="2"/>
  <c r="J4839" i="2"/>
  <c r="R4838" i="2"/>
  <c r="I4838" i="2"/>
  <c r="J4838" i="2"/>
  <c r="S4837" i="2"/>
  <c r="T4837" i="2" s="1"/>
  <c r="J4837" i="2"/>
  <c r="U4837" i="2"/>
  <c r="R4837" i="2"/>
  <c r="H4837" i="2"/>
  <c r="S4836" i="2"/>
  <c r="T4836" i="2" s="1"/>
  <c r="R4836" i="2"/>
  <c r="R4833" i="2"/>
  <c r="J4833" i="2"/>
  <c r="U4833" i="2"/>
  <c r="S4833" i="2"/>
  <c r="T4833" i="2" s="1"/>
  <c r="H4833" i="2"/>
  <c r="S4832" i="2"/>
  <c r="T4832" i="2" s="1"/>
  <c r="R4831" i="2"/>
  <c r="S4831" i="2"/>
  <c r="T4831" i="2" s="1"/>
  <c r="J4831" i="2"/>
  <c r="I4831" i="2"/>
  <c r="U4829" i="2"/>
  <c r="S4829" i="2"/>
  <c r="T4829" i="2" s="1"/>
  <c r="R4829" i="2"/>
  <c r="J4829" i="2"/>
  <c r="J4828" i="2"/>
  <c r="U4827" i="2"/>
  <c r="S4827" i="2"/>
  <c r="T4827" i="2" s="1"/>
  <c r="I4827" i="2"/>
  <c r="S4826" i="2"/>
  <c r="T4826" i="2" s="1"/>
  <c r="J4826" i="2"/>
  <c r="U4825" i="2"/>
  <c r="S4825" i="2"/>
  <c r="T4825" i="2" s="1"/>
  <c r="J4825" i="2"/>
  <c r="S4823" i="2"/>
  <c r="T4823" i="2" s="1"/>
  <c r="R4823" i="2"/>
  <c r="I4822" i="2"/>
  <c r="U4822" i="2"/>
  <c r="J4822" i="2"/>
  <c r="R4821" i="2"/>
  <c r="J4821" i="2"/>
  <c r="U4821" i="2"/>
  <c r="S4821" i="2"/>
  <c r="T4821" i="2" s="1"/>
  <c r="R4820" i="2"/>
  <c r="U4820" i="2"/>
  <c r="J4820" i="2"/>
  <c r="I4820" i="2"/>
  <c r="U4819" i="2"/>
  <c r="S4819" i="2"/>
  <c r="T4819" i="2" s="1"/>
  <c r="J4819" i="2"/>
  <c r="I4819" i="2"/>
  <c r="R4819" i="2"/>
  <c r="J4818" i="2"/>
  <c r="U4818" i="2"/>
  <c r="R4818" i="2"/>
  <c r="R4817" i="2"/>
  <c r="J4817" i="2"/>
  <c r="S4817" i="2"/>
  <c r="T4817" i="2" s="1"/>
  <c r="U4817" i="2"/>
  <c r="I4816" i="2"/>
  <c r="U4816" i="2"/>
  <c r="S4816" i="2"/>
  <c r="T4816" i="2" s="1"/>
  <c r="R4816" i="2"/>
  <c r="S4815" i="2"/>
  <c r="T4815" i="2" s="1"/>
  <c r="U4815" i="2"/>
  <c r="J4815" i="2"/>
  <c r="S4814" i="2"/>
  <c r="T4814" i="2" s="1"/>
  <c r="J4813" i="2"/>
  <c r="R4813" i="2"/>
  <c r="U4813" i="2"/>
  <c r="S4813" i="2"/>
  <c r="T4813" i="2" s="1"/>
  <c r="U4812" i="2"/>
  <c r="J4812" i="2"/>
  <c r="I4812" i="2"/>
  <c r="S4812" i="2"/>
  <c r="T4812" i="2" s="1"/>
  <c r="R4812" i="2"/>
  <c r="S4810" i="2"/>
  <c r="T4810" i="2" s="1"/>
  <c r="U4810" i="2"/>
  <c r="R4810" i="2"/>
  <c r="J4810" i="2"/>
  <c r="S4809" i="2"/>
  <c r="T4809" i="2" s="1"/>
  <c r="U4808" i="2"/>
  <c r="J4808" i="2"/>
  <c r="I4808" i="2"/>
  <c r="S4808" i="2"/>
  <c r="T4808" i="2" s="1"/>
  <c r="R4808" i="2"/>
  <c r="S4806" i="2"/>
  <c r="T4806" i="2" s="1"/>
  <c r="S4805" i="2"/>
  <c r="T4805" i="2" s="1"/>
  <c r="U4804" i="2"/>
  <c r="S4804" i="2"/>
  <c r="T4804" i="2" s="1"/>
  <c r="I4804" i="2"/>
  <c r="R4804" i="2"/>
  <c r="J4804" i="2"/>
  <c r="S4803" i="2"/>
  <c r="T4803" i="2" s="1"/>
  <c r="U4803" i="2"/>
  <c r="H4803" i="2"/>
  <c r="J4802" i="2"/>
  <c r="S4802" i="2"/>
  <c r="T4802" i="2" s="1"/>
  <c r="R4802" i="2"/>
  <c r="I4802" i="2"/>
  <c r="S4801" i="2"/>
  <c r="T4801" i="2" s="1"/>
  <c r="I4800" i="2"/>
  <c r="U4800" i="2"/>
  <c r="J4800" i="2"/>
  <c r="S4799" i="2"/>
  <c r="T4799" i="2" s="1"/>
  <c r="U4799" i="2"/>
  <c r="I4798" i="2"/>
  <c r="U4798" i="2"/>
  <c r="S4798" i="2"/>
  <c r="T4798" i="2" s="1"/>
  <c r="J4798" i="2"/>
  <c r="R4796" i="2"/>
  <c r="J4796" i="2"/>
  <c r="I4796" i="2"/>
  <c r="U4796" i="2"/>
  <c r="I4792" i="2"/>
  <c r="S4790" i="2"/>
  <c r="T4790" i="2" s="1"/>
  <c r="I4790" i="2"/>
  <c r="I4788" i="2"/>
  <c r="U4787" i="2"/>
  <c r="J4787" i="2"/>
  <c r="R4786" i="2"/>
  <c r="I4786" i="2"/>
  <c r="R4779" i="2"/>
  <c r="U4779" i="2"/>
  <c r="U4775" i="2"/>
  <c r="R4772" i="2"/>
  <c r="U4809" i="2"/>
  <c r="U4805" i="2"/>
  <c r="U4801" i="2"/>
  <c r="S4779" i="2"/>
  <c r="T4779" i="2" s="1"/>
  <c r="R4807" i="2"/>
  <c r="R4803" i="2"/>
  <c r="R4799" i="2"/>
  <c r="R4787" i="2"/>
  <c r="J4809" i="2"/>
  <c r="J4805" i="2"/>
  <c r="J4801" i="2"/>
  <c r="J4779" i="2"/>
  <c r="I4807" i="2"/>
  <c r="H4807" i="2"/>
  <c r="H4801" i="2"/>
  <c r="H4805" i="2"/>
  <c r="R4809" i="2"/>
  <c r="R4805" i="2"/>
  <c r="R4801" i="2"/>
  <c r="J4799" i="2"/>
  <c r="I4799" i="2"/>
  <c r="J4797" i="2"/>
  <c r="U4797" i="2"/>
  <c r="R4797" i="2"/>
  <c r="S4797" i="2"/>
  <c r="T4797" i="2" s="1"/>
  <c r="S4796" i="2"/>
  <c r="T4796" i="2" s="1"/>
  <c r="U4795" i="2"/>
  <c r="S4795" i="2"/>
  <c r="T4795" i="2" s="1"/>
  <c r="R4795" i="2"/>
  <c r="J4795" i="2"/>
  <c r="S4794" i="2"/>
  <c r="T4794" i="2" s="1"/>
  <c r="I4794" i="2"/>
  <c r="R4794" i="2"/>
  <c r="J4794" i="2"/>
  <c r="U4793" i="2"/>
  <c r="S4793" i="2"/>
  <c r="T4793" i="2" s="1"/>
  <c r="J4793" i="2"/>
  <c r="R4793" i="2"/>
  <c r="J4792" i="2"/>
  <c r="R4792" i="2"/>
  <c r="U4792" i="2"/>
  <c r="S4792" i="2"/>
  <c r="T4792" i="2" s="1"/>
  <c r="U4791" i="2"/>
  <c r="S4791" i="2"/>
  <c r="T4791" i="2" s="1"/>
  <c r="R4791" i="2"/>
  <c r="J4791" i="2"/>
  <c r="I4791" i="2"/>
  <c r="U4790" i="2"/>
  <c r="J4789" i="2"/>
  <c r="U4789" i="2"/>
  <c r="S4789" i="2"/>
  <c r="T4789" i="2" s="1"/>
  <c r="R4789" i="2"/>
  <c r="U4788" i="2"/>
  <c r="R4788" i="2"/>
  <c r="S4788" i="2"/>
  <c r="T4788" i="2" s="1"/>
  <c r="J4788" i="2"/>
  <c r="I4787" i="2"/>
  <c r="U4786" i="2"/>
  <c r="S4786" i="2"/>
  <c r="T4786" i="2" s="1"/>
  <c r="J4786" i="2"/>
  <c r="U4785" i="2"/>
  <c r="J4785" i="2"/>
  <c r="S4785" i="2"/>
  <c r="T4785" i="2" s="1"/>
  <c r="R4785" i="2"/>
  <c r="R4784" i="2"/>
  <c r="J4784" i="2"/>
  <c r="U4784" i="2"/>
  <c r="S4784" i="2"/>
  <c r="T4784" i="2" s="1"/>
  <c r="I4784" i="2"/>
  <c r="R4783" i="2"/>
  <c r="J4783" i="2"/>
  <c r="I4783" i="2"/>
  <c r="U4783" i="2"/>
  <c r="S4783" i="2"/>
  <c r="T4783" i="2" s="1"/>
  <c r="R4782" i="2"/>
  <c r="U4782" i="2"/>
  <c r="R4781" i="2"/>
  <c r="S4781" i="2"/>
  <c r="T4781" i="2" s="1"/>
  <c r="U4781" i="2"/>
  <c r="J4781" i="2"/>
  <c r="U4780" i="2"/>
  <c r="I4780" i="2"/>
  <c r="S4780" i="2"/>
  <c r="T4780" i="2" s="1"/>
  <c r="R4780" i="2"/>
  <c r="J4780" i="2"/>
  <c r="R4778" i="2"/>
  <c r="U4778" i="2"/>
  <c r="J4778" i="2"/>
  <c r="S4778" i="2"/>
  <c r="T4778" i="2" s="1"/>
  <c r="I4778" i="2"/>
  <c r="U4777" i="2"/>
  <c r="R4777" i="2"/>
  <c r="S4777" i="2"/>
  <c r="T4777" i="2" s="1"/>
  <c r="J4777" i="2"/>
  <c r="U4776" i="2"/>
  <c r="S4776" i="2"/>
  <c r="T4776" i="2" s="1"/>
  <c r="I4776" i="2"/>
  <c r="R4776" i="2"/>
  <c r="I4775" i="2"/>
  <c r="S4775" i="2"/>
  <c r="T4775" i="2" s="1"/>
  <c r="R4775" i="2"/>
  <c r="J4775" i="2"/>
  <c r="U4774" i="2"/>
  <c r="R4774" i="2"/>
  <c r="S4774" i="2"/>
  <c r="T4774" i="2" s="1"/>
  <c r="J4774" i="2"/>
  <c r="I4774" i="2"/>
  <c r="S4773" i="2"/>
  <c r="T4773" i="2" s="1"/>
  <c r="J4773" i="2"/>
  <c r="R4773" i="2"/>
  <c r="U4773" i="2"/>
  <c r="H4773" i="2"/>
  <c r="S4772" i="2"/>
  <c r="T4772" i="2" s="1"/>
  <c r="U4772" i="2"/>
  <c r="J4772" i="2"/>
  <c r="I4772" i="2"/>
  <c r="R4771" i="2"/>
  <c r="R4770" i="2"/>
  <c r="J4770" i="2"/>
  <c r="H4769" i="2"/>
  <c r="J4769" i="2"/>
  <c r="S4769" i="2"/>
  <c r="T4769" i="2" s="1"/>
  <c r="R4769" i="2"/>
  <c r="U4769" i="2"/>
  <c r="S4768" i="2"/>
  <c r="T4768" i="2" s="1"/>
  <c r="H4768" i="2"/>
  <c r="U4768" i="2"/>
  <c r="I4768" i="2"/>
  <c r="R4768" i="2"/>
  <c r="R4763" i="2"/>
  <c r="J4767" i="2"/>
  <c r="H4849" i="2"/>
  <c r="H4817" i="2"/>
  <c r="H4785" i="2"/>
  <c r="S4763" i="2"/>
  <c r="T4763" i="2" s="1"/>
  <c r="R4755" i="2"/>
  <c r="J4755" i="2"/>
  <c r="H4767" i="2"/>
  <c r="H4853" i="2"/>
  <c r="H4821" i="2"/>
  <c r="H4789" i="2"/>
  <c r="J4756" i="2"/>
  <c r="U4764" i="2"/>
  <c r="U4760" i="2"/>
  <c r="U4756" i="2"/>
  <c r="S4756" i="2"/>
  <c r="T4756" i="2" s="1"/>
  <c r="J4764" i="2"/>
  <c r="I4760" i="2"/>
  <c r="I4756" i="2"/>
  <c r="H4760" i="2"/>
  <c r="R4764" i="2"/>
  <c r="R4756" i="2"/>
  <c r="U4767" i="2"/>
  <c r="U4763" i="2"/>
  <c r="U4759" i="2"/>
  <c r="U4755" i="2"/>
  <c r="S4760" i="2"/>
  <c r="T4760" i="2" s="1"/>
  <c r="S4755" i="2"/>
  <c r="T4755" i="2" s="1"/>
  <c r="R4760" i="2"/>
  <c r="I4759" i="2"/>
  <c r="H4759" i="2"/>
  <c r="H4841" i="2"/>
  <c r="H4825" i="2"/>
  <c r="H4809" i="2"/>
  <c r="H4793" i="2"/>
  <c r="H4777" i="2"/>
  <c r="U4766" i="2"/>
  <c r="U4762" i="2"/>
  <c r="U4758" i="2"/>
  <c r="U4754" i="2"/>
  <c r="S4764" i="2"/>
  <c r="T4764" i="2" s="1"/>
  <c r="S4759" i="2"/>
  <c r="T4759" i="2" s="1"/>
  <c r="S4754" i="2"/>
  <c r="T4754" i="2" s="1"/>
  <c r="R4759" i="2"/>
  <c r="I4762" i="2"/>
  <c r="I4758" i="2"/>
  <c r="I4754" i="2"/>
  <c r="H4845" i="2"/>
  <c r="H4829" i="2"/>
  <c r="H4813" i="2"/>
  <c r="H4797" i="2"/>
  <c r="H4781" i="2"/>
  <c r="S4766" i="2"/>
  <c r="T4766" i="2" s="1"/>
  <c r="S4762" i="2"/>
  <c r="T4762" i="2" s="1"/>
  <c r="S4758" i="2"/>
  <c r="T4758" i="2" s="1"/>
  <c r="J4763" i="2"/>
  <c r="I4764" i="2"/>
  <c r="R4767" i="2"/>
  <c r="I4763" i="2"/>
  <c r="I4766" i="2"/>
  <c r="R4765" i="2"/>
  <c r="R4761" i="2"/>
  <c r="R4757" i="2"/>
  <c r="J4765" i="2"/>
  <c r="J4761" i="2"/>
  <c r="J4757" i="2"/>
  <c r="R4766" i="2"/>
  <c r="R4762" i="2"/>
  <c r="R4758" i="2"/>
  <c r="R4754" i="2"/>
  <c r="J4766" i="2"/>
  <c r="J4762" i="2"/>
  <c r="J4758" i="2"/>
  <c r="J4754" i="2"/>
  <c r="H4736" i="2"/>
  <c r="I4733" i="2"/>
  <c r="F1" i="54"/>
  <c r="I4753" i="2"/>
  <c r="I4749" i="2"/>
  <c r="I4736" i="2"/>
  <c r="I4740" i="2"/>
  <c r="H4751" i="2"/>
  <c r="I4744" i="2"/>
  <c r="H4740" i="2"/>
  <c r="I4737" i="2"/>
  <c r="J4605" i="2"/>
  <c r="I4752" i="2"/>
  <c r="I4748" i="2"/>
  <c r="H4744" i="2"/>
  <c r="I4741" i="2"/>
  <c r="H4752" i="2"/>
  <c r="H4748" i="2"/>
  <c r="I4745" i="2"/>
  <c r="H4747" i="2"/>
  <c r="H4743" i="2"/>
  <c r="H4739" i="2"/>
  <c r="H4735" i="2"/>
  <c r="H4687" i="2"/>
  <c r="I4687" i="2"/>
  <c r="J4687" i="2"/>
  <c r="H4683" i="2"/>
  <c r="I4683" i="2"/>
  <c r="J4683" i="2"/>
  <c r="H4679" i="2"/>
  <c r="I4679" i="2"/>
  <c r="J4679" i="2"/>
  <c r="H4675" i="2"/>
  <c r="I4675" i="2"/>
  <c r="J4675" i="2"/>
  <c r="H4671" i="2"/>
  <c r="I4671" i="2"/>
  <c r="J4671" i="2"/>
  <c r="H4667" i="2"/>
  <c r="I4667" i="2"/>
  <c r="J4667" i="2"/>
  <c r="H4663" i="2"/>
  <c r="I4663" i="2"/>
  <c r="J4663" i="2"/>
  <c r="H4659" i="2"/>
  <c r="I4659" i="2"/>
  <c r="J4659" i="2"/>
  <c r="H4655" i="2"/>
  <c r="I4655" i="2"/>
  <c r="J4655" i="2"/>
  <c r="H4651" i="2"/>
  <c r="I4651" i="2"/>
  <c r="J4651" i="2"/>
  <c r="H4647" i="2"/>
  <c r="I4647" i="2"/>
  <c r="J4647" i="2"/>
  <c r="H4643" i="2"/>
  <c r="I4643" i="2"/>
  <c r="J4643" i="2"/>
  <c r="H4639" i="2"/>
  <c r="I4639" i="2"/>
  <c r="J4639" i="2"/>
  <c r="H4635" i="2"/>
  <c r="I4635" i="2"/>
  <c r="J4635" i="2"/>
  <c r="H4631" i="2"/>
  <c r="I4631" i="2"/>
  <c r="J4631" i="2"/>
  <c r="H4627" i="2"/>
  <c r="I4627" i="2"/>
  <c r="J4627" i="2"/>
  <c r="H4623" i="2"/>
  <c r="I4623" i="2"/>
  <c r="J4623" i="2"/>
  <c r="H4619" i="2"/>
  <c r="I4619" i="2"/>
  <c r="J4619" i="2"/>
  <c r="H4615" i="2"/>
  <c r="I4615" i="2"/>
  <c r="J4615" i="2"/>
  <c r="H4611" i="2"/>
  <c r="I4611" i="2"/>
  <c r="J4611" i="2"/>
  <c r="H4618" i="2"/>
  <c r="I4618" i="2"/>
  <c r="J4618" i="2"/>
  <c r="H4614" i="2"/>
  <c r="I4614" i="2"/>
  <c r="J4614" i="2"/>
  <c r="H4610" i="2"/>
  <c r="I4610" i="2"/>
  <c r="J4610" i="2"/>
  <c r="H4630" i="2"/>
  <c r="I4630" i="2"/>
  <c r="J4630" i="2"/>
  <c r="H4622" i="2"/>
  <c r="I4622" i="2"/>
  <c r="J4622" i="2"/>
  <c r="H4753" i="2"/>
  <c r="I4750" i="2"/>
  <c r="H4749" i="2"/>
  <c r="I4746" i="2"/>
  <c r="H4745" i="2"/>
  <c r="I4742" i="2"/>
  <c r="H4741" i="2"/>
  <c r="I4738" i="2"/>
  <c r="H4737" i="2"/>
  <c r="I4734" i="2"/>
  <c r="H4733" i="2"/>
  <c r="H4689" i="2"/>
  <c r="I4689" i="2"/>
  <c r="J4689" i="2"/>
  <c r="H4685" i="2"/>
  <c r="I4685" i="2"/>
  <c r="J4685" i="2"/>
  <c r="H4681" i="2"/>
  <c r="I4681" i="2"/>
  <c r="J4681" i="2"/>
  <c r="H4677" i="2"/>
  <c r="I4677" i="2"/>
  <c r="J4677" i="2"/>
  <c r="H4673" i="2"/>
  <c r="I4673" i="2"/>
  <c r="J4673" i="2"/>
  <c r="H4669" i="2"/>
  <c r="I4669" i="2"/>
  <c r="J4669" i="2"/>
  <c r="H4665" i="2"/>
  <c r="I4665" i="2"/>
  <c r="J4665" i="2"/>
  <c r="H4661" i="2"/>
  <c r="I4661" i="2"/>
  <c r="J4661" i="2"/>
  <c r="H4657" i="2"/>
  <c r="I4657" i="2"/>
  <c r="J4657" i="2"/>
  <c r="H4653" i="2"/>
  <c r="I4653" i="2"/>
  <c r="J4653" i="2"/>
  <c r="H4649" i="2"/>
  <c r="I4649" i="2"/>
  <c r="J4649" i="2"/>
  <c r="H4645" i="2"/>
  <c r="I4645" i="2"/>
  <c r="J4645" i="2"/>
  <c r="H4641" i="2"/>
  <c r="I4641" i="2"/>
  <c r="J4641" i="2"/>
  <c r="H4637" i="2"/>
  <c r="I4637" i="2"/>
  <c r="J4637" i="2"/>
  <c r="H4633" i="2"/>
  <c r="I4633" i="2"/>
  <c r="J4633" i="2"/>
  <c r="H4629" i="2"/>
  <c r="I4629" i="2"/>
  <c r="J4629" i="2"/>
  <c r="H4625" i="2"/>
  <c r="I4625" i="2"/>
  <c r="J4625" i="2"/>
  <c r="H4621" i="2"/>
  <c r="I4621" i="2"/>
  <c r="J4621" i="2"/>
  <c r="H4617" i="2"/>
  <c r="I4617" i="2"/>
  <c r="J4617" i="2"/>
  <c r="H4613" i="2"/>
  <c r="I4613" i="2"/>
  <c r="J4613" i="2"/>
  <c r="J4732" i="2"/>
  <c r="H4732" i="2"/>
  <c r="J4730" i="2"/>
  <c r="H4730" i="2"/>
  <c r="J4728" i="2"/>
  <c r="H4728" i="2"/>
  <c r="J4726" i="2"/>
  <c r="H4726" i="2"/>
  <c r="J4724" i="2"/>
  <c r="H4724" i="2"/>
  <c r="J4722" i="2"/>
  <c r="H4722" i="2"/>
  <c r="J4720" i="2"/>
  <c r="H4720" i="2"/>
  <c r="J4718" i="2"/>
  <c r="H4718" i="2"/>
  <c r="J4716" i="2"/>
  <c r="H4716" i="2"/>
  <c r="J4714" i="2"/>
  <c r="H4714" i="2"/>
  <c r="J4712" i="2"/>
  <c r="H4712" i="2"/>
  <c r="J4710" i="2"/>
  <c r="H4710" i="2"/>
  <c r="J4708" i="2"/>
  <c r="H4708" i="2"/>
  <c r="J4706" i="2"/>
  <c r="H4706" i="2"/>
  <c r="J4704" i="2"/>
  <c r="H4704" i="2"/>
  <c r="J4702" i="2"/>
  <c r="H4702" i="2"/>
  <c r="J4700" i="2"/>
  <c r="H4700" i="2"/>
  <c r="J4698" i="2"/>
  <c r="H4698" i="2"/>
  <c r="J4696" i="2"/>
  <c r="H4696" i="2"/>
  <c r="J4694" i="2"/>
  <c r="H4694" i="2"/>
  <c r="J4692" i="2"/>
  <c r="H4692" i="2"/>
  <c r="J4690" i="2"/>
  <c r="H4690" i="2"/>
  <c r="H4686" i="2"/>
  <c r="I4686" i="2"/>
  <c r="J4686" i="2"/>
  <c r="H4682" i="2"/>
  <c r="I4682" i="2"/>
  <c r="J4682" i="2"/>
  <c r="H4678" i="2"/>
  <c r="I4678" i="2"/>
  <c r="J4678" i="2"/>
  <c r="H4674" i="2"/>
  <c r="I4674" i="2"/>
  <c r="J4674" i="2"/>
  <c r="H4670" i="2"/>
  <c r="I4670" i="2"/>
  <c r="J4670" i="2"/>
  <c r="H4666" i="2"/>
  <c r="I4666" i="2"/>
  <c r="J4666" i="2"/>
  <c r="H4662" i="2"/>
  <c r="I4662" i="2"/>
  <c r="J4662" i="2"/>
  <c r="H4658" i="2"/>
  <c r="I4658" i="2"/>
  <c r="J4658" i="2"/>
  <c r="H4654" i="2"/>
  <c r="I4654" i="2"/>
  <c r="J4654" i="2"/>
  <c r="H4650" i="2"/>
  <c r="I4650" i="2"/>
  <c r="J4650" i="2"/>
  <c r="H4646" i="2"/>
  <c r="I4646" i="2"/>
  <c r="J4646" i="2"/>
  <c r="H4642" i="2"/>
  <c r="I4642" i="2"/>
  <c r="J4642" i="2"/>
  <c r="H4638" i="2"/>
  <c r="I4638" i="2"/>
  <c r="J4638" i="2"/>
  <c r="H4634" i="2"/>
  <c r="I4634" i="2"/>
  <c r="J4634" i="2"/>
  <c r="H4626" i="2"/>
  <c r="I4626" i="2"/>
  <c r="J4626" i="2"/>
  <c r="I4751" i="2"/>
  <c r="H4750" i="2"/>
  <c r="I4747" i="2"/>
  <c r="H4746" i="2"/>
  <c r="I4743" i="2"/>
  <c r="H4742" i="2"/>
  <c r="I4739" i="2"/>
  <c r="H4738" i="2"/>
  <c r="I4735" i="2"/>
  <c r="H4734" i="2"/>
  <c r="J4731" i="2"/>
  <c r="H4731" i="2"/>
  <c r="J4729" i="2"/>
  <c r="H4729" i="2"/>
  <c r="J4727" i="2"/>
  <c r="H4727" i="2"/>
  <c r="J4725" i="2"/>
  <c r="H4725" i="2"/>
  <c r="J4723" i="2"/>
  <c r="H4723" i="2"/>
  <c r="J4721" i="2"/>
  <c r="H4721" i="2"/>
  <c r="J4719" i="2"/>
  <c r="H4719" i="2"/>
  <c r="J4717" i="2"/>
  <c r="H4717" i="2"/>
  <c r="J4715" i="2"/>
  <c r="H4715" i="2"/>
  <c r="J4713" i="2"/>
  <c r="H4713" i="2"/>
  <c r="J4711" i="2"/>
  <c r="H4711" i="2"/>
  <c r="J4709" i="2"/>
  <c r="H4709" i="2"/>
  <c r="J4707" i="2"/>
  <c r="H4707" i="2"/>
  <c r="J4705" i="2"/>
  <c r="H4705" i="2"/>
  <c r="J4703" i="2"/>
  <c r="H4703" i="2"/>
  <c r="J4701" i="2"/>
  <c r="H4701" i="2"/>
  <c r="J4699" i="2"/>
  <c r="H4699" i="2"/>
  <c r="J4697" i="2"/>
  <c r="H4697" i="2"/>
  <c r="J4695" i="2"/>
  <c r="H4695" i="2"/>
  <c r="J4693" i="2"/>
  <c r="H4693" i="2"/>
  <c r="J4691" i="2"/>
  <c r="H4691" i="2"/>
  <c r="H4688" i="2"/>
  <c r="I4688" i="2"/>
  <c r="J4688" i="2"/>
  <c r="H4684" i="2"/>
  <c r="I4684" i="2"/>
  <c r="J4684" i="2"/>
  <c r="H4680" i="2"/>
  <c r="I4680" i="2"/>
  <c r="J4680" i="2"/>
  <c r="H4676" i="2"/>
  <c r="I4676" i="2"/>
  <c r="J4676" i="2"/>
  <c r="H4672" i="2"/>
  <c r="I4672" i="2"/>
  <c r="J4672" i="2"/>
  <c r="H4668" i="2"/>
  <c r="I4668" i="2"/>
  <c r="J4668" i="2"/>
  <c r="H4664" i="2"/>
  <c r="I4664" i="2"/>
  <c r="J4664" i="2"/>
  <c r="H4660" i="2"/>
  <c r="I4660" i="2"/>
  <c r="J4660" i="2"/>
  <c r="H4656" i="2"/>
  <c r="I4656" i="2"/>
  <c r="J4656" i="2"/>
  <c r="H4652" i="2"/>
  <c r="I4652" i="2"/>
  <c r="J4652" i="2"/>
  <c r="H4648" i="2"/>
  <c r="I4648" i="2"/>
  <c r="J4648" i="2"/>
  <c r="H4644" i="2"/>
  <c r="I4644" i="2"/>
  <c r="J4644" i="2"/>
  <c r="H4640" i="2"/>
  <c r="I4640" i="2"/>
  <c r="J4640" i="2"/>
  <c r="H4636" i="2"/>
  <c r="I4636" i="2"/>
  <c r="J4636" i="2"/>
  <c r="H4632" i="2"/>
  <c r="I4632" i="2"/>
  <c r="J4632" i="2"/>
  <c r="H4628" i="2"/>
  <c r="I4628" i="2"/>
  <c r="J4628" i="2"/>
  <c r="H4624" i="2"/>
  <c r="I4624" i="2"/>
  <c r="J4624" i="2"/>
  <c r="H4620" i="2"/>
  <c r="I4620" i="2"/>
  <c r="J4620" i="2"/>
  <c r="H4616" i="2"/>
  <c r="I4616" i="2"/>
  <c r="J4616" i="2"/>
  <c r="H4612" i="2"/>
  <c r="I4612" i="2"/>
  <c r="J4612" i="2"/>
  <c r="H4608" i="2"/>
  <c r="I4608" i="2"/>
  <c r="J4608" i="2"/>
  <c r="H4606" i="2"/>
  <c r="I4606" i="2"/>
  <c r="H4609" i="2"/>
  <c r="I4609" i="2"/>
  <c r="H4607" i="2"/>
  <c r="I4607" i="2"/>
  <c r="I4605" i="2"/>
  <c r="I37" i="53"/>
  <c r="E14" i="53"/>
  <c r="E10" i="53"/>
  <c r="E9" i="53"/>
  <c r="T21" i="53"/>
  <c r="W22" i="53"/>
  <c r="J5" i="53"/>
  <c r="J6" i="53"/>
  <c r="J7" i="53"/>
  <c r="J8" i="53"/>
  <c r="J9" i="53"/>
  <c r="J10" i="53"/>
  <c r="J11" i="53"/>
  <c r="J12" i="53"/>
  <c r="J13" i="53"/>
  <c r="J14" i="53"/>
  <c r="J15" i="53"/>
  <c r="J16" i="53"/>
  <c r="J17" i="53"/>
  <c r="J18" i="53"/>
  <c r="J4" i="53"/>
  <c r="V7" i="52"/>
  <c r="V8" i="52"/>
  <c r="V9" i="52"/>
  <c r="V10" i="52"/>
  <c r="V11" i="52"/>
  <c r="V12" i="52"/>
  <c r="V13" i="52"/>
  <c r="V14" i="52"/>
  <c r="V15" i="52"/>
  <c r="V16" i="52"/>
  <c r="V17" i="52"/>
  <c r="V18" i="52"/>
  <c r="V19" i="52"/>
  <c r="V20" i="52"/>
  <c r="V21" i="52"/>
  <c r="V22" i="52"/>
  <c r="V23" i="52"/>
  <c r="V24" i="52"/>
  <c r="V25" i="52"/>
  <c r="V26" i="52"/>
  <c r="V27" i="52"/>
  <c r="V28" i="52"/>
  <c r="V29" i="52"/>
  <c r="V30" i="52"/>
  <c r="V31" i="52"/>
  <c r="V32" i="52"/>
  <c r="V33" i="52"/>
  <c r="V34" i="52"/>
  <c r="V35" i="52"/>
  <c r="V36" i="52"/>
  <c r="V37" i="52"/>
  <c r="V38" i="52"/>
  <c r="V39" i="52"/>
  <c r="V40" i="52"/>
  <c r="V41" i="52"/>
  <c r="V42" i="52"/>
  <c r="V43" i="52"/>
  <c r="V44" i="52"/>
  <c r="V45" i="52"/>
  <c r="V46" i="52"/>
  <c r="V47" i="52"/>
  <c r="V48" i="52"/>
  <c r="V49" i="52"/>
  <c r="V50" i="52"/>
  <c r="V51" i="52"/>
  <c r="V52" i="52"/>
  <c r="V53" i="52"/>
  <c r="V54" i="52"/>
  <c r="V55" i="52"/>
  <c r="V56" i="52"/>
  <c r="V57" i="52"/>
  <c r="V58" i="52"/>
  <c r="V59" i="52"/>
  <c r="V60" i="52"/>
  <c r="V61" i="52"/>
  <c r="V62" i="52"/>
  <c r="V63" i="52"/>
  <c r="V64" i="52"/>
  <c r="V65" i="52"/>
  <c r="V66" i="52"/>
  <c r="V67" i="52"/>
  <c r="V68" i="52"/>
  <c r="V69" i="52"/>
  <c r="V70" i="52"/>
  <c r="V71" i="52"/>
  <c r="V72" i="52"/>
  <c r="V73" i="52"/>
  <c r="V74" i="52"/>
  <c r="V75" i="52"/>
  <c r="V76" i="52"/>
  <c r="V77" i="52"/>
  <c r="V78" i="52"/>
  <c r="V6" i="52"/>
  <c r="O16" i="52"/>
  <c r="N27" i="52"/>
  <c r="K12" i="52"/>
  <c r="L19" i="52"/>
  <c r="M17" i="52"/>
  <c r="M6" i="52"/>
  <c r="K14" i="52" s="1"/>
  <c r="K7" i="52"/>
  <c r="M7" i="52" s="1"/>
  <c r="K8" i="52" l="1"/>
  <c r="M8" i="52" s="1"/>
  <c r="M9" i="52" s="1"/>
  <c r="N4477" i="2" l="1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G4477" i="2"/>
  <c r="H4477" i="2" s="1"/>
  <c r="G4478" i="2"/>
  <c r="J4478" i="2" s="1"/>
  <c r="G4479" i="2"/>
  <c r="J4479" i="2" s="1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I4562" i="2" s="1"/>
  <c r="G4563" i="2"/>
  <c r="I4563" i="2" s="1"/>
  <c r="G4564" i="2"/>
  <c r="I4564" i="2" s="1"/>
  <c r="G4565" i="2"/>
  <c r="I4565" i="2" s="1"/>
  <c r="G4566" i="2"/>
  <c r="I4566" i="2" s="1"/>
  <c r="G4567" i="2"/>
  <c r="I4567" i="2" s="1"/>
  <c r="G4568" i="2"/>
  <c r="I4568" i="2" s="1"/>
  <c r="G4569" i="2"/>
  <c r="I4569" i="2" s="1"/>
  <c r="G4570" i="2"/>
  <c r="I4570" i="2" s="1"/>
  <c r="G4571" i="2"/>
  <c r="I4571" i="2" s="1"/>
  <c r="G4572" i="2"/>
  <c r="I4572" i="2" s="1"/>
  <c r="G4573" i="2"/>
  <c r="J4573" i="2" s="1"/>
  <c r="G4574" i="2"/>
  <c r="J4574" i="2" s="1"/>
  <c r="G4575" i="2"/>
  <c r="J4575" i="2" s="1"/>
  <c r="G4576" i="2"/>
  <c r="J4576" i="2" s="1"/>
  <c r="G4577" i="2"/>
  <c r="J4577" i="2" s="1"/>
  <c r="G4578" i="2"/>
  <c r="J4578" i="2" s="1"/>
  <c r="G4579" i="2"/>
  <c r="J4579" i="2" s="1"/>
  <c r="G4580" i="2"/>
  <c r="J4580" i="2" s="1"/>
  <c r="G4581" i="2"/>
  <c r="J4581" i="2" s="1"/>
  <c r="G4582" i="2"/>
  <c r="J4582" i="2" s="1"/>
  <c r="G4583" i="2"/>
  <c r="J4583" i="2" s="1"/>
  <c r="G4584" i="2"/>
  <c r="J4584" i="2" s="1"/>
  <c r="G4585" i="2"/>
  <c r="J4585" i="2" s="1"/>
  <c r="G4586" i="2"/>
  <c r="G4587" i="2"/>
  <c r="J4587" i="2" s="1"/>
  <c r="G4588" i="2"/>
  <c r="J4588" i="2" s="1"/>
  <c r="G4589" i="2"/>
  <c r="J4589" i="2" s="1"/>
  <c r="G4590" i="2"/>
  <c r="G4591" i="2"/>
  <c r="J4591" i="2" s="1"/>
  <c r="G4592" i="2"/>
  <c r="J4592" i="2" s="1"/>
  <c r="G4593" i="2"/>
  <c r="J4593" i="2" s="1"/>
  <c r="G4594" i="2"/>
  <c r="G4595" i="2"/>
  <c r="J4595" i="2" s="1"/>
  <c r="G4596" i="2"/>
  <c r="J4596" i="2" s="1"/>
  <c r="G4597" i="2"/>
  <c r="J4597" i="2" s="1"/>
  <c r="G4598" i="2"/>
  <c r="G4599" i="2"/>
  <c r="J4599" i="2" s="1"/>
  <c r="G4600" i="2"/>
  <c r="J4600" i="2" s="1"/>
  <c r="G4601" i="2"/>
  <c r="J4601" i="2" s="1"/>
  <c r="G4602" i="2"/>
  <c r="G4603" i="2"/>
  <c r="J4603" i="2" s="1"/>
  <c r="G4604" i="2"/>
  <c r="J4604" i="2" s="1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I4576" i="2" l="1"/>
  <c r="H4576" i="2"/>
  <c r="I4573" i="2"/>
  <c r="I4592" i="2"/>
  <c r="H4592" i="2"/>
  <c r="I4589" i="2"/>
  <c r="I4596" i="2"/>
  <c r="I4580" i="2"/>
  <c r="I4600" i="2"/>
  <c r="H4596" i="2"/>
  <c r="I4593" i="2"/>
  <c r="I4584" i="2"/>
  <c r="H4580" i="2"/>
  <c r="I4577" i="2"/>
  <c r="J4477" i="2"/>
  <c r="I4604" i="2"/>
  <c r="H4600" i="2"/>
  <c r="I4597" i="2"/>
  <c r="I4588" i="2"/>
  <c r="H4584" i="2"/>
  <c r="I4581" i="2"/>
  <c r="H4604" i="2"/>
  <c r="I4601" i="2"/>
  <c r="H4588" i="2"/>
  <c r="I4585" i="2"/>
  <c r="H4603" i="2"/>
  <c r="H4599" i="2"/>
  <c r="H4595" i="2"/>
  <c r="H4591" i="2"/>
  <c r="H4587" i="2"/>
  <c r="H4583" i="2"/>
  <c r="H4579" i="2"/>
  <c r="H4575" i="2"/>
  <c r="J4602" i="2"/>
  <c r="H4602" i="2"/>
  <c r="I4602" i="2"/>
  <c r="J4598" i="2"/>
  <c r="H4598" i="2"/>
  <c r="I4598" i="2"/>
  <c r="J4594" i="2"/>
  <c r="H4594" i="2"/>
  <c r="I4594" i="2"/>
  <c r="J4590" i="2"/>
  <c r="H4590" i="2"/>
  <c r="I4590" i="2"/>
  <c r="J4586" i="2"/>
  <c r="H4586" i="2"/>
  <c r="I4586" i="2"/>
  <c r="H4559" i="2"/>
  <c r="I4559" i="2"/>
  <c r="J4559" i="2"/>
  <c r="H4555" i="2"/>
  <c r="I4555" i="2"/>
  <c r="J4555" i="2"/>
  <c r="H4551" i="2"/>
  <c r="I4551" i="2"/>
  <c r="J4551" i="2"/>
  <c r="H4547" i="2"/>
  <c r="I4547" i="2"/>
  <c r="J4547" i="2"/>
  <c r="H4543" i="2"/>
  <c r="I4543" i="2"/>
  <c r="J4543" i="2"/>
  <c r="H4539" i="2"/>
  <c r="I4539" i="2"/>
  <c r="J4539" i="2"/>
  <c r="H4535" i="2"/>
  <c r="I4535" i="2"/>
  <c r="J4535" i="2"/>
  <c r="H4531" i="2"/>
  <c r="I4531" i="2"/>
  <c r="J4531" i="2"/>
  <c r="H4527" i="2"/>
  <c r="I4527" i="2"/>
  <c r="J4527" i="2"/>
  <c r="H4523" i="2"/>
  <c r="I4523" i="2"/>
  <c r="J4523" i="2"/>
  <c r="H4519" i="2"/>
  <c r="I4519" i="2"/>
  <c r="J4519" i="2"/>
  <c r="H4515" i="2"/>
  <c r="I4515" i="2"/>
  <c r="J4515" i="2"/>
  <c r="H4511" i="2"/>
  <c r="I4511" i="2"/>
  <c r="J4511" i="2"/>
  <c r="H4507" i="2"/>
  <c r="I4507" i="2"/>
  <c r="J4507" i="2"/>
  <c r="H4503" i="2"/>
  <c r="I4503" i="2"/>
  <c r="J4503" i="2"/>
  <c r="H4499" i="2"/>
  <c r="I4499" i="2"/>
  <c r="J4499" i="2"/>
  <c r="H4495" i="2"/>
  <c r="I4495" i="2"/>
  <c r="J4495" i="2"/>
  <c r="H4491" i="2"/>
  <c r="I4491" i="2"/>
  <c r="J4491" i="2"/>
  <c r="H4487" i="2"/>
  <c r="I4487" i="2"/>
  <c r="J4487" i="2"/>
  <c r="H4483" i="2"/>
  <c r="I4483" i="2"/>
  <c r="J4483" i="2"/>
  <c r="J4572" i="2"/>
  <c r="H4572" i="2"/>
  <c r="J4570" i="2"/>
  <c r="H4570" i="2"/>
  <c r="J4568" i="2"/>
  <c r="H4568" i="2"/>
  <c r="J4566" i="2"/>
  <c r="H4566" i="2"/>
  <c r="J4564" i="2"/>
  <c r="H4564" i="2"/>
  <c r="J4562" i="2"/>
  <c r="H4562" i="2"/>
  <c r="H4558" i="2"/>
  <c r="I4558" i="2"/>
  <c r="J4558" i="2"/>
  <c r="H4554" i="2"/>
  <c r="I4554" i="2"/>
  <c r="J4554" i="2"/>
  <c r="H4550" i="2"/>
  <c r="I4550" i="2"/>
  <c r="J4550" i="2"/>
  <c r="H4546" i="2"/>
  <c r="I4546" i="2"/>
  <c r="J4546" i="2"/>
  <c r="H4542" i="2"/>
  <c r="I4542" i="2"/>
  <c r="J4542" i="2"/>
  <c r="H4538" i="2"/>
  <c r="I4538" i="2"/>
  <c r="J4538" i="2"/>
  <c r="H4534" i="2"/>
  <c r="I4534" i="2"/>
  <c r="J4534" i="2"/>
  <c r="H4530" i="2"/>
  <c r="I4530" i="2"/>
  <c r="J4530" i="2"/>
  <c r="H4526" i="2"/>
  <c r="I4526" i="2"/>
  <c r="J4526" i="2"/>
  <c r="H4522" i="2"/>
  <c r="I4522" i="2"/>
  <c r="J4522" i="2"/>
  <c r="H4518" i="2"/>
  <c r="I4518" i="2"/>
  <c r="J4518" i="2"/>
  <c r="H4514" i="2"/>
  <c r="I4514" i="2"/>
  <c r="J4514" i="2"/>
  <c r="H4510" i="2"/>
  <c r="I4510" i="2"/>
  <c r="J4510" i="2"/>
  <c r="H4506" i="2"/>
  <c r="I4506" i="2"/>
  <c r="J4506" i="2"/>
  <c r="H4502" i="2"/>
  <c r="I4502" i="2"/>
  <c r="J4502" i="2"/>
  <c r="H4498" i="2"/>
  <c r="I4498" i="2"/>
  <c r="J4498" i="2"/>
  <c r="H4494" i="2"/>
  <c r="I4494" i="2"/>
  <c r="J4494" i="2"/>
  <c r="H4490" i="2"/>
  <c r="I4490" i="2"/>
  <c r="J4490" i="2"/>
  <c r="H4486" i="2"/>
  <c r="I4486" i="2"/>
  <c r="J4486" i="2"/>
  <c r="H4482" i="2"/>
  <c r="I4482" i="2"/>
  <c r="J4482" i="2"/>
  <c r="H4601" i="2"/>
  <c r="H4597" i="2"/>
  <c r="H4593" i="2"/>
  <c r="H4589" i="2"/>
  <c r="H4585" i="2"/>
  <c r="I4582" i="2"/>
  <c r="H4581" i="2"/>
  <c r="I4578" i="2"/>
  <c r="H4577" i="2"/>
  <c r="I4574" i="2"/>
  <c r="H4573" i="2"/>
  <c r="H4561" i="2"/>
  <c r="I4561" i="2"/>
  <c r="J4561" i="2"/>
  <c r="H4557" i="2"/>
  <c r="I4557" i="2"/>
  <c r="J4557" i="2"/>
  <c r="H4553" i="2"/>
  <c r="I4553" i="2"/>
  <c r="J4553" i="2"/>
  <c r="H4549" i="2"/>
  <c r="I4549" i="2"/>
  <c r="J4549" i="2"/>
  <c r="H4545" i="2"/>
  <c r="I4545" i="2"/>
  <c r="J4545" i="2"/>
  <c r="H4541" i="2"/>
  <c r="I4541" i="2"/>
  <c r="J4541" i="2"/>
  <c r="H4537" i="2"/>
  <c r="I4537" i="2"/>
  <c r="J4537" i="2"/>
  <c r="H4533" i="2"/>
  <c r="I4533" i="2"/>
  <c r="J4533" i="2"/>
  <c r="H4529" i="2"/>
  <c r="I4529" i="2"/>
  <c r="J4529" i="2"/>
  <c r="H4525" i="2"/>
  <c r="I4525" i="2"/>
  <c r="J4525" i="2"/>
  <c r="H4521" i="2"/>
  <c r="I4521" i="2"/>
  <c r="J4521" i="2"/>
  <c r="H4517" i="2"/>
  <c r="I4517" i="2"/>
  <c r="J4517" i="2"/>
  <c r="H4513" i="2"/>
  <c r="I4513" i="2"/>
  <c r="J4513" i="2"/>
  <c r="H4509" i="2"/>
  <c r="I4509" i="2"/>
  <c r="J4509" i="2"/>
  <c r="H4505" i="2"/>
  <c r="I4505" i="2"/>
  <c r="J4505" i="2"/>
  <c r="H4501" i="2"/>
  <c r="I4501" i="2"/>
  <c r="J4501" i="2"/>
  <c r="H4497" i="2"/>
  <c r="I4497" i="2"/>
  <c r="J4497" i="2"/>
  <c r="H4493" i="2"/>
  <c r="I4493" i="2"/>
  <c r="J4493" i="2"/>
  <c r="H4489" i="2"/>
  <c r="I4489" i="2"/>
  <c r="J4489" i="2"/>
  <c r="H4485" i="2"/>
  <c r="I4485" i="2"/>
  <c r="J4485" i="2"/>
  <c r="H4481" i="2"/>
  <c r="I4481" i="2"/>
  <c r="J4481" i="2"/>
  <c r="I4603" i="2"/>
  <c r="I4599" i="2"/>
  <c r="I4595" i="2"/>
  <c r="I4591" i="2"/>
  <c r="I4587" i="2"/>
  <c r="I4583" i="2"/>
  <c r="H4582" i="2"/>
  <c r="I4579" i="2"/>
  <c r="H4578" i="2"/>
  <c r="I4575" i="2"/>
  <c r="H4574" i="2"/>
  <c r="J4571" i="2"/>
  <c r="H4571" i="2"/>
  <c r="J4569" i="2"/>
  <c r="H4569" i="2"/>
  <c r="J4567" i="2"/>
  <c r="H4567" i="2"/>
  <c r="J4565" i="2"/>
  <c r="H4565" i="2"/>
  <c r="J4563" i="2"/>
  <c r="H4563" i="2"/>
  <c r="H4560" i="2"/>
  <c r="I4560" i="2"/>
  <c r="J4560" i="2"/>
  <c r="H4556" i="2"/>
  <c r="I4556" i="2"/>
  <c r="J4556" i="2"/>
  <c r="H4552" i="2"/>
  <c r="I4552" i="2"/>
  <c r="J4552" i="2"/>
  <c r="H4548" i="2"/>
  <c r="I4548" i="2"/>
  <c r="J4548" i="2"/>
  <c r="H4544" i="2"/>
  <c r="I4544" i="2"/>
  <c r="J4544" i="2"/>
  <c r="H4540" i="2"/>
  <c r="I4540" i="2"/>
  <c r="J4540" i="2"/>
  <c r="H4536" i="2"/>
  <c r="I4536" i="2"/>
  <c r="J4536" i="2"/>
  <c r="H4532" i="2"/>
  <c r="I4532" i="2"/>
  <c r="J4532" i="2"/>
  <c r="H4528" i="2"/>
  <c r="I4528" i="2"/>
  <c r="J4528" i="2"/>
  <c r="H4524" i="2"/>
  <c r="I4524" i="2"/>
  <c r="J4524" i="2"/>
  <c r="H4520" i="2"/>
  <c r="I4520" i="2"/>
  <c r="J4520" i="2"/>
  <c r="H4516" i="2"/>
  <c r="I4516" i="2"/>
  <c r="J4516" i="2"/>
  <c r="H4512" i="2"/>
  <c r="I4512" i="2"/>
  <c r="J4512" i="2"/>
  <c r="H4508" i="2"/>
  <c r="I4508" i="2"/>
  <c r="J4508" i="2"/>
  <c r="H4504" i="2"/>
  <c r="I4504" i="2"/>
  <c r="J4504" i="2"/>
  <c r="H4500" i="2"/>
  <c r="I4500" i="2"/>
  <c r="J4500" i="2"/>
  <c r="H4496" i="2"/>
  <c r="I4496" i="2"/>
  <c r="J4496" i="2"/>
  <c r="H4492" i="2"/>
  <c r="I4492" i="2"/>
  <c r="J4492" i="2"/>
  <c r="H4488" i="2"/>
  <c r="I4488" i="2"/>
  <c r="J4488" i="2"/>
  <c r="H4484" i="2"/>
  <c r="I4484" i="2"/>
  <c r="J4484" i="2"/>
  <c r="H4480" i="2"/>
  <c r="I4480" i="2"/>
  <c r="J4480" i="2"/>
  <c r="H4478" i="2"/>
  <c r="I4478" i="2"/>
  <c r="H4479" i="2"/>
  <c r="I4479" i="2"/>
  <c r="I4477" i="2"/>
  <c r="AG18" i="11"/>
  <c r="AH18" i="11" s="1"/>
  <c r="AI18" i="11" a="1"/>
  <c r="AI18" i="11" s="1"/>
  <c r="AG19" i="11"/>
  <c r="AH19" i="11" s="1"/>
  <c r="AI19" i="11" a="1"/>
  <c r="AI19" i="11" s="1"/>
  <c r="AJ18" i="11" l="1" a="1"/>
  <c r="AJ18" i="11" s="1"/>
  <c r="AK18" i="11" a="1"/>
  <c r="AK18" i="11" s="1"/>
  <c r="AJ19" i="11" a="1"/>
  <c r="AJ19" i="11" s="1"/>
  <c r="AK19" i="11" a="1"/>
  <c r="AK19" i="11" s="1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G4275" i="2"/>
  <c r="H4275" i="2" s="1"/>
  <c r="G4276" i="2"/>
  <c r="I4276" i="2" s="1"/>
  <c r="G4277" i="2"/>
  <c r="H4277" i="2" s="1"/>
  <c r="G4278" i="2"/>
  <c r="U4278" i="2" s="1"/>
  <c r="G4279" i="2"/>
  <c r="H4279" i="2" s="1"/>
  <c r="G4280" i="2"/>
  <c r="I4280" i="2" s="1"/>
  <c r="G4281" i="2"/>
  <c r="G4282" i="2"/>
  <c r="J4282" i="2" s="1"/>
  <c r="G4283" i="2"/>
  <c r="H4283" i="2" s="1"/>
  <c r="G4284" i="2"/>
  <c r="I4284" i="2" s="1"/>
  <c r="G4285" i="2"/>
  <c r="I4285" i="2" s="1"/>
  <c r="G4286" i="2"/>
  <c r="I4286" i="2" s="1"/>
  <c r="G4287" i="2"/>
  <c r="H4287" i="2" s="1"/>
  <c r="G4288" i="2"/>
  <c r="I4288" i="2" s="1"/>
  <c r="G4289" i="2"/>
  <c r="H4289" i="2" s="1"/>
  <c r="G4290" i="2"/>
  <c r="J4290" i="2" s="1"/>
  <c r="G4291" i="2"/>
  <c r="H4291" i="2" s="1"/>
  <c r="G4292" i="2"/>
  <c r="I4292" i="2" s="1"/>
  <c r="G4293" i="2"/>
  <c r="I4293" i="2" s="1"/>
  <c r="G4294" i="2"/>
  <c r="I4294" i="2" s="1"/>
  <c r="G4295" i="2"/>
  <c r="H4295" i="2" s="1"/>
  <c r="G4296" i="2"/>
  <c r="I4296" i="2" s="1"/>
  <c r="G4297" i="2"/>
  <c r="R4297" i="2" s="1"/>
  <c r="G4298" i="2"/>
  <c r="S4298" i="2" s="1"/>
  <c r="T4298" i="2" s="1"/>
  <c r="G4299" i="2"/>
  <c r="H4299" i="2" s="1"/>
  <c r="G4300" i="2"/>
  <c r="I4300" i="2" s="1"/>
  <c r="G4301" i="2"/>
  <c r="H4301" i="2" s="1"/>
  <c r="G4302" i="2"/>
  <c r="I4302" i="2" s="1"/>
  <c r="G4303" i="2"/>
  <c r="H4303" i="2" s="1"/>
  <c r="G4304" i="2"/>
  <c r="I4304" i="2" s="1"/>
  <c r="G4305" i="2"/>
  <c r="R4305" i="2" s="1"/>
  <c r="G4306" i="2"/>
  <c r="H4306" i="2" s="1"/>
  <c r="G4307" i="2"/>
  <c r="H4307" i="2" s="1"/>
  <c r="G4308" i="2"/>
  <c r="I4308" i="2" s="1"/>
  <c r="G4309" i="2"/>
  <c r="S4309" i="2" s="1"/>
  <c r="T4309" i="2" s="1"/>
  <c r="G4310" i="2"/>
  <c r="J4310" i="2" s="1"/>
  <c r="G4311" i="2"/>
  <c r="H4311" i="2" s="1"/>
  <c r="G4312" i="2"/>
  <c r="I4312" i="2" s="1"/>
  <c r="G4313" i="2"/>
  <c r="J4313" i="2" s="1"/>
  <c r="G4314" i="2"/>
  <c r="S4314" i="2" s="1"/>
  <c r="T4314" i="2" s="1"/>
  <c r="G4315" i="2"/>
  <c r="H4315" i="2" s="1"/>
  <c r="G4316" i="2"/>
  <c r="I4316" i="2" s="1"/>
  <c r="G4317" i="2"/>
  <c r="H4317" i="2" s="1"/>
  <c r="G4318" i="2"/>
  <c r="I4318" i="2" s="1"/>
  <c r="G4319" i="2"/>
  <c r="H4319" i="2" s="1"/>
  <c r="G4320" i="2"/>
  <c r="I4320" i="2" s="1"/>
  <c r="G4321" i="2"/>
  <c r="R4321" i="2" s="1"/>
  <c r="G4322" i="2"/>
  <c r="H4322" i="2" s="1"/>
  <c r="G4323" i="2"/>
  <c r="H4323" i="2" s="1"/>
  <c r="G4324" i="2"/>
  <c r="I4324" i="2" s="1"/>
  <c r="G4325" i="2"/>
  <c r="R4325" i="2" s="1"/>
  <c r="G4326" i="2"/>
  <c r="S4326" i="2" s="1"/>
  <c r="T4326" i="2" s="1"/>
  <c r="G4327" i="2"/>
  <c r="H4327" i="2" s="1"/>
  <c r="G4328" i="2"/>
  <c r="I4328" i="2" s="1"/>
  <c r="G4329" i="2"/>
  <c r="R4329" i="2" s="1"/>
  <c r="G4330" i="2"/>
  <c r="R4330" i="2" s="1"/>
  <c r="G4331" i="2"/>
  <c r="H4331" i="2" s="1"/>
  <c r="G4332" i="2"/>
  <c r="I4332" i="2" s="1"/>
  <c r="G4333" i="2"/>
  <c r="J4333" i="2" s="1"/>
  <c r="G4334" i="2"/>
  <c r="I4334" i="2" s="1"/>
  <c r="G4335" i="2"/>
  <c r="H4335" i="2" s="1"/>
  <c r="G4336" i="2"/>
  <c r="I4336" i="2" s="1"/>
  <c r="G4337" i="2"/>
  <c r="R4337" i="2" s="1"/>
  <c r="G4338" i="2"/>
  <c r="S4338" i="2" s="1"/>
  <c r="T4338" i="2" s="1"/>
  <c r="G4339" i="2"/>
  <c r="H4339" i="2" s="1"/>
  <c r="G4340" i="2"/>
  <c r="I4340" i="2" s="1"/>
  <c r="G4341" i="2"/>
  <c r="H4341" i="2" s="1"/>
  <c r="G4342" i="2"/>
  <c r="H4342" i="2" s="1"/>
  <c r="G4343" i="2"/>
  <c r="H4343" i="2" s="1"/>
  <c r="G4344" i="2"/>
  <c r="I4344" i="2" s="1"/>
  <c r="G4345" i="2"/>
  <c r="J4345" i="2" s="1"/>
  <c r="G4346" i="2"/>
  <c r="R4346" i="2" s="1"/>
  <c r="G4347" i="2"/>
  <c r="H4347" i="2" s="1"/>
  <c r="G4348" i="2"/>
  <c r="I4348" i="2" s="1"/>
  <c r="G4349" i="2"/>
  <c r="H4349" i="2" s="1"/>
  <c r="G4350" i="2"/>
  <c r="I4350" i="2" s="1"/>
  <c r="G4351" i="2"/>
  <c r="H4351" i="2" s="1"/>
  <c r="G4352" i="2"/>
  <c r="I4352" i="2" s="1"/>
  <c r="G4353" i="2"/>
  <c r="H4353" i="2" s="1"/>
  <c r="G4354" i="2"/>
  <c r="J4354" i="2" s="1"/>
  <c r="G4355" i="2"/>
  <c r="H4355" i="2" s="1"/>
  <c r="G4356" i="2"/>
  <c r="I4356" i="2" s="1"/>
  <c r="G4357" i="2"/>
  <c r="H4357" i="2" s="1"/>
  <c r="G4358" i="2"/>
  <c r="I4358" i="2" s="1"/>
  <c r="G4359" i="2"/>
  <c r="H4359" i="2" s="1"/>
  <c r="G4360" i="2"/>
  <c r="I4360" i="2" s="1"/>
  <c r="G4361" i="2"/>
  <c r="J4361" i="2" s="1"/>
  <c r="G4362" i="2"/>
  <c r="H4362" i="2" s="1"/>
  <c r="G4363" i="2"/>
  <c r="H4363" i="2" s="1"/>
  <c r="G4364" i="2"/>
  <c r="I4364" i="2" s="1"/>
  <c r="G4365" i="2"/>
  <c r="J4365" i="2" s="1"/>
  <c r="G4366" i="2"/>
  <c r="S4366" i="2" s="1"/>
  <c r="T4366" i="2" s="1"/>
  <c r="G4367" i="2"/>
  <c r="G4368" i="2"/>
  <c r="I4368" i="2" s="1"/>
  <c r="G4369" i="2"/>
  <c r="R4369" i="2" s="1"/>
  <c r="G4370" i="2"/>
  <c r="H4370" i="2" s="1"/>
  <c r="G4371" i="2"/>
  <c r="H4371" i="2" s="1"/>
  <c r="G4372" i="2"/>
  <c r="I4372" i="2" s="1"/>
  <c r="G4373" i="2"/>
  <c r="S4373" i="2" s="1"/>
  <c r="T4373" i="2" s="1"/>
  <c r="G4374" i="2"/>
  <c r="I4374" i="2" s="1"/>
  <c r="G4375" i="2"/>
  <c r="G4376" i="2"/>
  <c r="I4376" i="2" s="1"/>
  <c r="G4377" i="2"/>
  <c r="H4377" i="2" s="1"/>
  <c r="G4378" i="2"/>
  <c r="U4378" i="2" s="1"/>
  <c r="G4379" i="2"/>
  <c r="R4379" i="2" s="1"/>
  <c r="G4380" i="2"/>
  <c r="I4380" i="2" s="1"/>
  <c r="G4381" i="2"/>
  <c r="H4381" i="2" s="1"/>
  <c r="G4382" i="2"/>
  <c r="J4382" i="2" s="1"/>
  <c r="G4383" i="2"/>
  <c r="H4383" i="2" s="1"/>
  <c r="G4384" i="2"/>
  <c r="I4384" i="2" s="1"/>
  <c r="G4385" i="2"/>
  <c r="H4385" i="2" s="1"/>
  <c r="G4386" i="2"/>
  <c r="H4386" i="2" s="1"/>
  <c r="G4387" i="2"/>
  <c r="H4387" i="2" s="1"/>
  <c r="G4388" i="2"/>
  <c r="I4388" i="2" s="1"/>
  <c r="G4389" i="2"/>
  <c r="H4389" i="2" s="1"/>
  <c r="G4390" i="2"/>
  <c r="U4390" i="2" s="1"/>
  <c r="G4391" i="2"/>
  <c r="H4391" i="2" s="1"/>
  <c r="G4392" i="2"/>
  <c r="I4392" i="2" s="1"/>
  <c r="G4393" i="2"/>
  <c r="I4393" i="2" s="1"/>
  <c r="G4394" i="2"/>
  <c r="I4394" i="2" s="1"/>
  <c r="G4395" i="2"/>
  <c r="S4395" i="2" s="1"/>
  <c r="T4395" i="2" s="1"/>
  <c r="G4396" i="2"/>
  <c r="I4396" i="2" s="1"/>
  <c r="G4397" i="2"/>
  <c r="J4397" i="2" s="1"/>
  <c r="G4398" i="2"/>
  <c r="I4398" i="2" s="1"/>
  <c r="G4399" i="2"/>
  <c r="H4399" i="2" s="1"/>
  <c r="G4400" i="2"/>
  <c r="I4400" i="2" s="1"/>
  <c r="G4401" i="2"/>
  <c r="R4401" i="2" s="1"/>
  <c r="G4402" i="2"/>
  <c r="I4402" i="2" s="1"/>
  <c r="G4403" i="2"/>
  <c r="H4403" i="2" s="1"/>
  <c r="G4404" i="2"/>
  <c r="I4404" i="2" s="1"/>
  <c r="G4405" i="2"/>
  <c r="I4405" i="2" s="1"/>
  <c r="G4406" i="2"/>
  <c r="H4406" i="2" s="1"/>
  <c r="G4407" i="2"/>
  <c r="R4407" i="2" s="1"/>
  <c r="G4408" i="2"/>
  <c r="I4408" i="2" s="1"/>
  <c r="G4409" i="2"/>
  <c r="I4409" i="2" s="1"/>
  <c r="G4410" i="2"/>
  <c r="S4410" i="2" s="1"/>
  <c r="T4410" i="2" s="1"/>
  <c r="G4411" i="2"/>
  <c r="R4411" i="2" s="1"/>
  <c r="G4412" i="2"/>
  <c r="I4412" i="2" s="1"/>
  <c r="G4413" i="2"/>
  <c r="U4413" i="2" s="1"/>
  <c r="G4414" i="2"/>
  <c r="H4414" i="2" s="1"/>
  <c r="G4415" i="2"/>
  <c r="H4415" i="2" s="1"/>
  <c r="G4416" i="2"/>
  <c r="I4416" i="2" s="1"/>
  <c r="G4417" i="2"/>
  <c r="H4417" i="2" s="1"/>
  <c r="G4418" i="2"/>
  <c r="I4418" i="2" s="1"/>
  <c r="G4419" i="2"/>
  <c r="H4419" i="2" s="1"/>
  <c r="G4420" i="2"/>
  <c r="I4420" i="2" s="1"/>
  <c r="G4421" i="2"/>
  <c r="H4421" i="2" s="1"/>
  <c r="G4422" i="2"/>
  <c r="R4422" i="2" s="1"/>
  <c r="G4423" i="2"/>
  <c r="H4423" i="2" s="1"/>
  <c r="G4424" i="2"/>
  <c r="I4424" i="2" s="1"/>
  <c r="G4425" i="2"/>
  <c r="H4425" i="2" s="1"/>
  <c r="G4426" i="2"/>
  <c r="I4426" i="2" s="1"/>
  <c r="G4427" i="2"/>
  <c r="G4428" i="2"/>
  <c r="I4428" i="2" s="1"/>
  <c r="G4429" i="2"/>
  <c r="H4429" i="2" s="1"/>
  <c r="G4430" i="2"/>
  <c r="R4430" i="2" s="1"/>
  <c r="G4431" i="2"/>
  <c r="J4431" i="2" s="1"/>
  <c r="G4432" i="2"/>
  <c r="I4432" i="2" s="1"/>
  <c r="G4433" i="2"/>
  <c r="H4433" i="2" s="1"/>
  <c r="G4434" i="2"/>
  <c r="U4434" i="2" s="1"/>
  <c r="G4435" i="2"/>
  <c r="H4435" i="2" s="1"/>
  <c r="G4436" i="2"/>
  <c r="I4436" i="2" s="1"/>
  <c r="G4437" i="2"/>
  <c r="H4437" i="2" s="1"/>
  <c r="G4438" i="2"/>
  <c r="J4438" i="2" s="1"/>
  <c r="G4439" i="2"/>
  <c r="J4439" i="2" s="1"/>
  <c r="G4440" i="2"/>
  <c r="I4440" i="2" s="1"/>
  <c r="G4441" i="2"/>
  <c r="I4441" i="2" s="1"/>
  <c r="G4442" i="2"/>
  <c r="R4442" i="2" s="1"/>
  <c r="G4443" i="2"/>
  <c r="U4443" i="2" s="1"/>
  <c r="G4444" i="2"/>
  <c r="I4444" i="2" s="1"/>
  <c r="G4445" i="2"/>
  <c r="I4445" i="2" s="1"/>
  <c r="G4446" i="2"/>
  <c r="G4447" i="2"/>
  <c r="H4447" i="2" s="1"/>
  <c r="G4448" i="2"/>
  <c r="I4448" i="2" s="1"/>
  <c r="G4449" i="2"/>
  <c r="J4449" i="2" s="1"/>
  <c r="G4450" i="2"/>
  <c r="R4450" i="2" s="1"/>
  <c r="G4451" i="2"/>
  <c r="H4451" i="2" s="1"/>
  <c r="G4452" i="2"/>
  <c r="R4452" i="2" s="1"/>
  <c r="G4453" i="2"/>
  <c r="H4453" i="2" s="1"/>
  <c r="G4454" i="2"/>
  <c r="I4454" i="2" s="1"/>
  <c r="G4455" i="2"/>
  <c r="H4455" i="2" s="1"/>
  <c r="G4456" i="2"/>
  <c r="I4456" i="2" s="1"/>
  <c r="G4457" i="2"/>
  <c r="H4457" i="2" s="1"/>
  <c r="G4458" i="2"/>
  <c r="U4458" i="2" s="1"/>
  <c r="G4459" i="2"/>
  <c r="R4459" i="2" s="1"/>
  <c r="G4460" i="2"/>
  <c r="I4460" i="2" s="1"/>
  <c r="G4461" i="2"/>
  <c r="H4461" i="2" s="1"/>
  <c r="G4462" i="2"/>
  <c r="U4462" i="2" s="1"/>
  <c r="G4463" i="2"/>
  <c r="S4463" i="2" s="1"/>
  <c r="T4463" i="2" s="1"/>
  <c r="G4464" i="2"/>
  <c r="I4464" i="2" s="1"/>
  <c r="G4465" i="2"/>
  <c r="R4465" i="2" s="1"/>
  <c r="G4466" i="2"/>
  <c r="U4466" i="2" s="1"/>
  <c r="G4467" i="2"/>
  <c r="H4467" i="2" s="1"/>
  <c r="G4468" i="2"/>
  <c r="I4468" i="2" s="1"/>
  <c r="G4469" i="2"/>
  <c r="J4469" i="2" s="1"/>
  <c r="G4470" i="2"/>
  <c r="U4470" i="2" s="1"/>
  <c r="G4471" i="2"/>
  <c r="H4471" i="2" s="1"/>
  <c r="G4472" i="2"/>
  <c r="I4472" i="2" s="1"/>
  <c r="G4473" i="2"/>
  <c r="S4473" i="2" s="1"/>
  <c r="T4473" i="2" s="1"/>
  <c r="G4474" i="2"/>
  <c r="G4475" i="2"/>
  <c r="H4475" i="2" s="1"/>
  <c r="G4476" i="2"/>
  <c r="H4476" i="2" s="1"/>
  <c r="R4743" i="2"/>
  <c r="R4744" i="2"/>
  <c r="H4281" i="2"/>
  <c r="H4333" i="2"/>
  <c r="I4281" i="2"/>
  <c r="I4301" i="2"/>
  <c r="I4317" i="2"/>
  <c r="I4321" i="2"/>
  <c r="I4341" i="2"/>
  <c r="J4281" i="2"/>
  <c r="J4285" i="2"/>
  <c r="J4337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R4281" i="2"/>
  <c r="R4285" i="2"/>
  <c r="R4289" i="2"/>
  <c r="R4301" i="2"/>
  <c r="R4477" i="2"/>
  <c r="R4479" i="2"/>
  <c r="R4480" i="2"/>
  <c r="R4481" i="2"/>
  <c r="R4483" i="2"/>
  <c r="R4484" i="2"/>
  <c r="R4485" i="2"/>
  <c r="R4487" i="2"/>
  <c r="R4488" i="2"/>
  <c r="R4489" i="2"/>
  <c r="R4491" i="2"/>
  <c r="R4492" i="2"/>
  <c r="R4493" i="2"/>
  <c r="R4495" i="2"/>
  <c r="R4496" i="2"/>
  <c r="R4497" i="2"/>
  <c r="R4499" i="2"/>
  <c r="R4500" i="2"/>
  <c r="R4501" i="2"/>
  <c r="R4503" i="2"/>
  <c r="R4504" i="2"/>
  <c r="R4505" i="2"/>
  <c r="R4507" i="2"/>
  <c r="R4508" i="2"/>
  <c r="R4509" i="2"/>
  <c r="R4511" i="2"/>
  <c r="R4512" i="2"/>
  <c r="R4513" i="2"/>
  <c r="R4515" i="2"/>
  <c r="R4516" i="2"/>
  <c r="R4517" i="2"/>
  <c r="R4519" i="2"/>
  <c r="R4520" i="2"/>
  <c r="R4521" i="2"/>
  <c r="R4523" i="2"/>
  <c r="R4524" i="2"/>
  <c r="R4525" i="2"/>
  <c r="R4527" i="2"/>
  <c r="R4528" i="2"/>
  <c r="R4529" i="2"/>
  <c r="R4531" i="2"/>
  <c r="R4532" i="2"/>
  <c r="R4533" i="2"/>
  <c r="R4535" i="2"/>
  <c r="R4536" i="2"/>
  <c r="R4537" i="2"/>
  <c r="R4539" i="2"/>
  <c r="R4540" i="2"/>
  <c r="R4541" i="2"/>
  <c r="R4543" i="2"/>
  <c r="R4544" i="2"/>
  <c r="R4545" i="2"/>
  <c r="R4547" i="2"/>
  <c r="R4548" i="2"/>
  <c r="R4549" i="2"/>
  <c r="R4551" i="2"/>
  <c r="R4552" i="2"/>
  <c r="R4553" i="2"/>
  <c r="R4555" i="2"/>
  <c r="R4556" i="2"/>
  <c r="R4557" i="2"/>
  <c r="R4559" i="2"/>
  <c r="R4560" i="2"/>
  <c r="R4561" i="2"/>
  <c r="R4563" i="2"/>
  <c r="R4564" i="2"/>
  <c r="R4565" i="2"/>
  <c r="R4567" i="2"/>
  <c r="R4568" i="2"/>
  <c r="R4569" i="2"/>
  <c r="R4571" i="2"/>
  <c r="R4572" i="2"/>
  <c r="R4573" i="2"/>
  <c r="R4575" i="2"/>
  <c r="R4576" i="2"/>
  <c r="R4577" i="2"/>
  <c r="R4579" i="2"/>
  <c r="R4580" i="2"/>
  <c r="R4581" i="2"/>
  <c r="R4583" i="2"/>
  <c r="R4584" i="2"/>
  <c r="R4585" i="2"/>
  <c r="R4587" i="2"/>
  <c r="R4588" i="2"/>
  <c r="R4589" i="2"/>
  <c r="R4591" i="2"/>
  <c r="R4592" i="2"/>
  <c r="R4593" i="2"/>
  <c r="R4595" i="2"/>
  <c r="R4596" i="2"/>
  <c r="R4597" i="2"/>
  <c r="R4599" i="2"/>
  <c r="R4600" i="2"/>
  <c r="R4601" i="2"/>
  <c r="R4603" i="2"/>
  <c r="R4604" i="2"/>
  <c r="R4605" i="2"/>
  <c r="R4607" i="2"/>
  <c r="R4608" i="2"/>
  <c r="R4609" i="2"/>
  <c r="R4611" i="2"/>
  <c r="R4612" i="2"/>
  <c r="R4613" i="2"/>
  <c r="R4615" i="2"/>
  <c r="R4616" i="2"/>
  <c r="R4617" i="2"/>
  <c r="R4619" i="2"/>
  <c r="R4620" i="2"/>
  <c r="R4621" i="2"/>
  <c r="R4623" i="2"/>
  <c r="R4624" i="2"/>
  <c r="R4625" i="2"/>
  <c r="R4627" i="2"/>
  <c r="R4628" i="2"/>
  <c r="R4629" i="2"/>
  <c r="R4631" i="2"/>
  <c r="R4632" i="2"/>
  <c r="R4633" i="2"/>
  <c r="R4635" i="2"/>
  <c r="R4636" i="2"/>
  <c r="R4637" i="2"/>
  <c r="R4639" i="2"/>
  <c r="R4640" i="2"/>
  <c r="R4641" i="2"/>
  <c r="R4643" i="2"/>
  <c r="R4644" i="2"/>
  <c r="R4645" i="2"/>
  <c r="R4647" i="2"/>
  <c r="R4648" i="2"/>
  <c r="R4649" i="2"/>
  <c r="R4651" i="2"/>
  <c r="R4652" i="2"/>
  <c r="R4653" i="2"/>
  <c r="R4655" i="2"/>
  <c r="R4656" i="2"/>
  <c r="R4657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40" i="2"/>
  <c r="R4741" i="2"/>
  <c r="R4745" i="2"/>
  <c r="R4748" i="2"/>
  <c r="R4749" i="2"/>
  <c r="R4752" i="2"/>
  <c r="R4753" i="2"/>
  <c r="S4281" i="2"/>
  <c r="T4281" i="2" s="1"/>
  <c r="S4285" i="2"/>
  <c r="T4285" i="2" s="1"/>
  <c r="S4289" i="2"/>
  <c r="T4289" i="2" s="1"/>
  <c r="S4301" i="2"/>
  <c r="T4301" i="2" s="1"/>
  <c r="S4477" i="2"/>
  <c r="T4477" i="2" s="1"/>
  <c r="S4478" i="2"/>
  <c r="T4478" i="2" s="1"/>
  <c r="S4480" i="2"/>
  <c r="T4480" i="2" s="1"/>
  <c r="S4481" i="2"/>
  <c r="T4481" i="2" s="1"/>
  <c r="S4482" i="2"/>
  <c r="T4482" i="2" s="1"/>
  <c r="S4484" i="2"/>
  <c r="T4484" i="2" s="1"/>
  <c r="S4485" i="2"/>
  <c r="T4485" i="2" s="1"/>
  <c r="S4488" i="2"/>
  <c r="T4488" i="2" s="1"/>
  <c r="S4489" i="2"/>
  <c r="T4489" i="2" s="1"/>
  <c r="S4490" i="2"/>
  <c r="T4490" i="2" s="1"/>
  <c r="S4492" i="2"/>
  <c r="T4492" i="2" s="1"/>
  <c r="S4493" i="2"/>
  <c r="T4493" i="2" s="1"/>
  <c r="S4494" i="2"/>
  <c r="T4494" i="2" s="1"/>
  <c r="S4496" i="2"/>
  <c r="T4496" i="2" s="1"/>
  <c r="S4497" i="2"/>
  <c r="T4497" i="2" s="1"/>
  <c r="S4498" i="2"/>
  <c r="T4498" i="2" s="1"/>
  <c r="S4500" i="2"/>
  <c r="T4500" i="2" s="1"/>
  <c r="S4501" i="2"/>
  <c r="T4501" i="2" s="1"/>
  <c r="S4504" i="2"/>
  <c r="T4504" i="2" s="1"/>
  <c r="S4505" i="2"/>
  <c r="T4505" i="2" s="1"/>
  <c r="S4506" i="2"/>
  <c r="T4506" i="2" s="1"/>
  <c r="S4508" i="2"/>
  <c r="T4508" i="2" s="1"/>
  <c r="S4509" i="2"/>
  <c r="T4509" i="2" s="1"/>
  <c r="S4510" i="2"/>
  <c r="T4510" i="2" s="1"/>
  <c r="S4512" i="2"/>
  <c r="T4512" i="2" s="1"/>
  <c r="S4513" i="2"/>
  <c r="T4513" i="2" s="1"/>
  <c r="S4514" i="2"/>
  <c r="T4514" i="2" s="1"/>
  <c r="S4516" i="2"/>
  <c r="T4516" i="2" s="1"/>
  <c r="S4517" i="2"/>
  <c r="T4517" i="2" s="1"/>
  <c r="S4520" i="2"/>
  <c r="T4520" i="2" s="1"/>
  <c r="S4521" i="2"/>
  <c r="T4521" i="2" s="1"/>
  <c r="S4522" i="2"/>
  <c r="T4522" i="2" s="1"/>
  <c r="S4524" i="2"/>
  <c r="T4524" i="2" s="1"/>
  <c r="S4525" i="2"/>
  <c r="T4525" i="2" s="1"/>
  <c r="S4526" i="2"/>
  <c r="T4526" i="2" s="1"/>
  <c r="S4528" i="2"/>
  <c r="T4528" i="2" s="1"/>
  <c r="S4529" i="2"/>
  <c r="T4529" i="2" s="1"/>
  <c r="S4530" i="2"/>
  <c r="T4530" i="2" s="1"/>
  <c r="S4532" i="2"/>
  <c r="T4532" i="2" s="1"/>
  <c r="S4533" i="2"/>
  <c r="T4533" i="2" s="1"/>
  <c r="S4536" i="2"/>
  <c r="T4536" i="2" s="1"/>
  <c r="S4537" i="2"/>
  <c r="T4537" i="2" s="1"/>
  <c r="S4538" i="2"/>
  <c r="T4538" i="2" s="1"/>
  <c r="S4540" i="2"/>
  <c r="T4540" i="2" s="1"/>
  <c r="S4541" i="2"/>
  <c r="T4541" i="2" s="1"/>
  <c r="S4542" i="2"/>
  <c r="T4542" i="2" s="1"/>
  <c r="S4544" i="2"/>
  <c r="T4544" i="2" s="1"/>
  <c r="S4545" i="2"/>
  <c r="T4545" i="2" s="1"/>
  <c r="S4546" i="2"/>
  <c r="T4546" i="2" s="1"/>
  <c r="S4548" i="2"/>
  <c r="T4548" i="2" s="1"/>
  <c r="S4549" i="2"/>
  <c r="T4549" i="2" s="1"/>
  <c r="S4552" i="2"/>
  <c r="T4552" i="2" s="1"/>
  <c r="S4553" i="2"/>
  <c r="T4553" i="2" s="1"/>
  <c r="S4554" i="2"/>
  <c r="T4554" i="2" s="1"/>
  <c r="S4556" i="2"/>
  <c r="T4556" i="2" s="1"/>
  <c r="S4557" i="2"/>
  <c r="T4557" i="2" s="1"/>
  <c r="S4558" i="2"/>
  <c r="T4558" i="2" s="1"/>
  <c r="S4560" i="2"/>
  <c r="T4560" i="2" s="1"/>
  <c r="S4561" i="2"/>
  <c r="T4561" i="2" s="1"/>
  <c r="S4562" i="2"/>
  <c r="T4562" i="2" s="1"/>
  <c r="S4564" i="2"/>
  <c r="T4564" i="2" s="1"/>
  <c r="S4565" i="2"/>
  <c r="T4565" i="2" s="1"/>
  <c r="S4568" i="2"/>
  <c r="T4568" i="2" s="1"/>
  <c r="S4569" i="2"/>
  <c r="T4569" i="2" s="1"/>
  <c r="S4570" i="2"/>
  <c r="T4570" i="2" s="1"/>
  <c r="S4572" i="2"/>
  <c r="T4572" i="2" s="1"/>
  <c r="S4573" i="2"/>
  <c r="T4573" i="2" s="1"/>
  <c r="S4574" i="2"/>
  <c r="T4574" i="2" s="1"/>
  <c r="S4576" i="2"/>
  <c r="T4576" i="2" s="1"/>
  <c r="S4577" i="2"/>
  <c r="T4577" i="2" s="1"/>
  <c r="S4578" i="2"/>
  <c r="T4578" i="2" s="1"/>
  <c r="S4580" i="2"/>
  <c r="T4580" i="2" s="1"/>
  <c r="S4581" i="2"/>
  <c r="T4581" i="2" s="1"/>
  <c r="S4584" i="2"/>
  <c r="T4584" i="2" s="1"/>
  <c r="S4585" i="2"/>
  <c r="T4585" i="2" s="1"/>
  <c r="S4586" i="2"/>
  <c r="T4586" i="2" s="1"/>
  <c r="S4588" i="2"/>
  <c r="T4588" i="2" s="1"/>
  <c r="S4589" i="2"/>
  <c r="T4589" i="2" s="1"/>
  <c r="S4590" i="2"/>
  <c r="T4590" i="2" s="1"/>
  <c r="S4592" i="2"/>
  <c r="T4592" i="2" s="1"/>
  <c r="S4593" i="2"/>
  <c r="T4593" i="2" s="1"/>
  <c r="S4594" i="2"/>
  <c r="T4594" i="2" s="1"/>
  <c r="S4596" i="2"/>
  <c r="T4596" i="2" s="1"/>
  <c r="S4597" i="2"/>
  <c r="T4597" i="2" s="1"/>
  <c r="S4600" i="2"/>
  <c r="T4600" i="2" s="1"/>
  <c r="S4601" i="2"/>
  <c r="T4601" i="2" s="1"/>
  <c r="S4602" i="2"/>
  <c r="T4602" i="2" s="1"/>
  <c r="S4604" i="2"/>
  <c r="T4604" i="2" s="1"/>
  <c r="S4605" i="2"/>
  <c r="T4605" i="2" s="1"/>
  <c r="S4606" i="2"/>
  <c r="T4606" i="2" s="1"/>
  <c r="S4608" i="2"/>
  <c r="T4608" i="2" s="1"/>
  <c r="S4609" i="2"/>
  <c r="T4609" i="2" s="1"/>
  <c r="S4610" i="2"/>
  <c r="T4610" i="2" s="1"/>
  <c r="S4612" i="2"/>
  <c r="T4612" i="2" s="1"/>
  <c r="S4613" i="2"/>
  <c r="T4613" i="2" s="1"/>
  <c r="S4616" i="2"/>
  <c r="T4616" i="2" s="1"/>
  <c r="S4617" i="2"/>
  <c r="T4617" i="2" s="1"/>
  <c r="S4618" i="2"/>
  <c r="T4618" i="2" s="1"/>
  <c r="S4620" i="2"/>
  <c r="T4620" i="2" s="1"/>
  <c r="S4621" i="2"/>
  <c r="T4621" i="2" s="1"/>
  <c r="S4622" i="2"/>
  <c r="T4622" i="2" s="1"/>
  <c r="S4624" i="2"/>
  <c r="T4624" i="2" s="1"/>
  <c r="S4625" i="2"/>
  <c r="T4625" i="2" s="1"/>
  <c r="S4626" i="2"/>
  <c r="T4626" i="2" s="1"/>
  <c r="S4628" i="2"/>
  <c r="T4628" i="2" s="1"/>
  <c r="S4629" i="2"/>
  <c r="T4629" i="2" s="1"/>
  <c r="S4632" i="2"/>
  <c r="T4632" i="2" s="1"/>
  <c r="S4633" i="2"/>
  <c r="T4633" i="2" s="1"/>
  <c r="S4634" i="2"/>
  <c r="T4634" i="2" s="1"/>
  <c r="S4636" i="2"/>
  <c r="T4636" i="2" s="1"/>
  <c r="S4637" i="2"/>
  <c r="T4637" i="2" s="1"/>
  <c r="S4638" i="2"/>
  <c r="T4638" i="2" s="1"/>
  <c r="S4640" i="2"/>
  <c r="T4640" i="2" s="1"/>
  <c r="S4641" i="2"/>
  <c r="T4641" i="2" s="1"/>
  <c r="S4642" i="2"/>
  <c r="T4642" i="2" s="1"/>
  <c r="S4644" i="2"/>
  <c r="T4644" i="2" s="1"/>
  <c r="S4645" i="2"/>
  <c r="T4645" i="2" s="1"/>
  <c r="S4648" i="2"/>
  <c r="T4648" i="2" s="1"/>
  <c r="S4649" i="2"/>
  <c r="T4649" i="2" s="1"/>
  <c r="S4650" i="2"/>
  <c r="T4650" i="2" s="1"/>
  <c r="S4652" i="2"/>
  <c r="T4652" i="2" s="1"/>
  <c r="S4653" i="2"/>
  <c r="T4653" i="2" s="1"/>
  <c r="S4654" i="2"/>
  <c r="T4654" i="2" s="1"/>
  <c r="S4656" i="2"/>
  <c r="T4656" i="2" s="1"/>
  <c r="S4657" i="2"/>
  <c r="T4657" i="2" s="1"/>
  <c r="S4658" i="2"/>
  <c r="T4658" i="2" s="1"/>
  <c r="S4660" i="2"/>
  <c r="T4660" i="2" s="1"/>
  <c r="S4661" i="2"/>
  <c r="T4661" i="2" s="1"/>
  <c r="S4664" i="2"/>
  <c r="T4664" i="2" s="1"/>
  <c r="S4665" i="2"/>
  <c r="T4665" i="2" s="1"/>
  <c r="S4666" i="2"/>
  <c r="T4666" i="2" s="1"/>
  <c r="S4668" i="2"/>
  <c r="T4668" i="2" s="1"/>
  <c r="S4669" i="2"/>
  <c r="T4669" i="2" s="1"/>
  <c r="S4670" i="2"/>
  <c r="T4670" i="2" s="1"/>
  <c r="S4672" i="2"/>
  <c r="T4672" i="2" s="1"/>
  <c r="S4673" i="2"/>
  <c r="T4673" i="2" s="1"/>
  <c r="S4674" i="2"/>
  <c r="T4674" i="2" s="1"/>
  <c r="S4676" i="2"/>
  <c r="T4676" i="2" s="1"/>
  <c r="S4677" i="2"/>
  <c r="T4677" i="2" s="1"/>
  <c r="S4680" i="2"/>
  <c r="T4680" i="2" s="1"/>
  <c r="S4681" i="2"/>
  <c r="T4681" i="2" s="1"/>
  <c r="S4682" i="2"/>
  <c r="T4682" i="2" s="1"/>
  <c r="S4684" i="2"/>
  <c r="T4684" i="2" s="1"/>
  <c r="S4685" i="2"/>
  <c r="T4685" i="2" s="1"/>
  <c r="S4686" i="2"/>
  <c r="T4686" i="2" s="1"/>
  <c r="S4688" i="2"/>
  <c r="T4688" i="2" s="1"/>
  <c r="S4689" i="2"/>
  <c r="T4689" i="2" s="1"/>
  <c r="S4690" i="2"/>
  <c r="T4690" i="2" s="1"/>
  <c r="S4692" i="2"/>
  <c r="T4692" i="2" s="1"/>
  <c r="S4693" i="2"/>
  <c r="T4693" i="2" s="1"/>
  <c r="S4696" i="2"/>
  <c r="T4696" i="2" s="1"/>
  <c r="S4697" i="2"/>
  <c r="T4697" i="2" s="1"/>
  <c r="S4698" i="2"/>
  <c r="T4698" i="2" s="1"/>
  <c r="S4700" i="2"/>
  <c r="T4700" i="2" s="1"/>
  <c r="S4701" i="2"/>
  <c r="T4701" i="2" s="1"/>
  <c r="S4702" i="2"/>
  <c r="T4702" i="2" s="1"/>
  <c r="S4704" i="2"/>
  <c r="T4704" i="2" s="1"/>
  <c r="S4705" i="2"/>
  <c r="T4705" i="2" s="1"/>
  <c r="S4706" i="2"/>
  <c r="T4706" i="2" s="1"/>
  <c r="S4708" i="2"/>
  <c r="T4708" i="2" s="1"/>
  <c r="S4709" i="2"/>
  <c r="T4709" i="2" s="1"/>
  <c r="S4712" i="2"/>
  <c r="T4712" i="2" s="1"/>
  <c r="S4713" i="2"/>
  <c r="T4713" i="2" s="1"/>
  <c r="S4714" i="2"/>
  <c r="T4714" i="2" s="1"/>
  <c r="S4716" i="2"/>
  <c r="T4716" i="2" s="1"/>
  <c r="S4717" i="2"/>
  <c r="T4717" i="2" s="1"/>
  <c r="S4718" i="2"/>
  <c r="T4718" i="2" s="1"/>
  <c r="S4720" i="2"/>
  <c r="T4720" i="2" s="1"/>
  <c r="S4721" i="2"/>
  <c r="T4721" i="2" s="1"/>
  <c r="S4722" i="2"/>
  <c r="T4722" i="2" s="1"/>
  <c r="S4724" i="2"/>
  <c r="T4724" i="2" s="1"/>
  <c r="S4725" i="2"/>
  <c r="T4725" i="2" s="1"/>
  <c r="S4728" i="2"/>
  <c r="T4728" i="2" s="1"/>
  <c r="S4729" i="2"/>
  <c r="T4729" i="2" s="1"/>
  <c r="S4730" i="2"/>
  <c r="T4730" i="2" s="1"/>
  <c r="S4732" i="2"/>
  <c r="T4732" i="2" s="1"/>
  <c r="S4733" i="2"/>
  <c r="T4733" i="2" s="1"/>
  <c r="S4734" i="2"/>
  <c r="T4734" i="2" s="1"/>
  <c r="S4736" i="2"/>
  <c r="T4736" i="2" s="1"/>
  <c r="S4737" i="2"/>
  <c r="T4737" i="2" s="1"/>
  <c r="S4738" i="2"/>
  <c r="T4738" i="2" s="1"/>
  <c r="S4740" i="2"/>
  <c r="T4740" i="2" s="1"/>
  <c r="S4741" i="2"/>
  <c r="T4741" i="2" s="1"/>
  <c r="S4744" i="2"/>
  <c r="T4744" i="2" s="1"/>
  <c r="S4745" i="2"/>
  <c r="T4745" i="2" s="1"/>
  <c r="S4746" i="2"/>
  <c r="T4746" i="2" s="1"/>
  <c r="S4748" i="2"/>
  <c r="T4748" i="2" s="1"/>
  <c r="S4749" i="2"/>
  <c r="T4749" i="2" s="1"/>
  <c r="S4750" i="2"/>
  <c r="T4750" i="2" s="1"/>
  <c r="S4752" i="2"/>
  <c r="T4752" i="2" s="1"/>
  <c r="S4753" i="2"/>
  <c r="T4753" i="2" s="1"/>
  <c r="U4281" i="2"/>
  <c r="U4285" i="2"/>
  <c r="U4293" i="2"/>
  <c r="U4301" i="2"/>
  <c r="U4306" i="2"/>
  <c r="U4321" i="2"/>
  <c r="U4326" i="2"/>
  <c r="U4333" i="2"/>
  <c r="U4341" i="2"/>
  <c r="U4361" i="2"/>
  <c r="U4477" i="2"/>
  <c r="U4480" i="2"/>
  <c r="U4481" i="2"/>
  <c r="U4482" i="2"/>
  <c r="U4484" i="2"/>
  <c r="U4485" i="2"/>
  <c r="U4486" i="2"/>
  <c r="U4488" i="2"/>
  <c r="U4489" i="2"/>
  <c r="U4490" i="2"/>
  <c r="U4492" i="2"/>
  <c r="U4493" i="2"/>
  <c r="U4496" i="2"/>
  <c r="U4497" i="2"/>
  <c r="U4498" i="2"/>
  <c r="U4500" i="2"/>
  <c r="U4501" i="2"/>
  <c r="U4502" i="2"/>
  <c r="U4504" i="2"/>
  <c r="U4505" i="2"/>
  <c r="U4506" i="2"/>
  <c r="U4508" i="2"/>
  <c r="U4509" i="2"/>
  <c r="U4512" i="2"/>
  <c r="U4513" i="2"/>
  <c r="U4514" i="2"/>
  <c r="U4516" i="2"/>
  <c r="U4517" i="2"/>
  <c r="U4518" i="2"/>
  <c r="U4520" i="2"/>
  <c r="U4521" i="2"/>
  <c r="U4522" i="2"/>
  <c r="U4524" i="2"/>
  <c r="U4525" i="2"/>
  <c r="U4528" i="2"/>
  <c r="U4529" i="2"/>
  <c r="U4530" i="2"/>
  <c r="U4532" i="2"/>
  <c r="U4533" i="2"/>
  <c r="U4534" i="2"/>
  <c r="U4536" i="2"/>
  <c r="U4537" i="2"/>
  <c r="U4538" i="2"/>
  <c r="U4540" i="2"/>
  <c r="U4541" i="2"/>
  <c r="U4544" i="2"/>
  <c r="U4545" i="2"/>
  <c r="U4546" i="2"/>
  <c r="U4548" i="2"/>
  <c r="U4549" i="2"/>
  <c r="U4550" i="2"/>
  <c r="U4552" i="2"/>
  <c r="U4553" i="2"/>
  <c r="U4554" i="2"/>
  <c r="U4556" i="2"/>
  <c r="U4557" i="2"/>
  <c r="U4560" i="2"/>
  <c r="U4561" i="2"/>
  <c r="U4562" i="2"/>
  <c r="U4564" i="2"/>
  <c r="U4565" i="2"/>
  <c r="U4566" i="2"/>
  <c r="U4568" i="2"/>
  <c r="U4569" i="2"/>
  <c r="U4570" i="2"/>
  <c r="U4572" i="2"/>
  <c r="U4573" i="2"/>
  <c r="U4576" i="2"/>
  <c r="U4577" i="2"/>
  <c r="U4578" i="2"/>
  <c r="U4580" i="2"/>
  <c r="U4581" i="2"/>
  <c r="U4582" i="2"/>
  <c r="U4584" i="2"/>
  <c r="U4585" i="2"/>
  <c r="U4586" i="2"/>
  <c r="U4588" i="2"/>
  <c r="U4589" i="2"/>
  <c r="U4592" i="2"/>
  <c r="U4593" i="2"/>
  <c r="U4594" i="2"/>
  <c r="U4596" i="2"/>
  <c r="U4597" i="2"/>
  <c r="U4598" i="2"/>
  <c r="U4600" i="2"/>
  <c r="U4601" i="2"/>
  <c r="U4602" i="2"/>
  <c r="U4604" i="2"/>
  <c r="U4605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S4353" i="2" l="1"/>
  <c r="T4353" i="2" s="1"/>
  <c r="R4349" i="2"/>
  <c r="S4321" i="2"/>
  <c r="T4321" i="2" s="1"/>
  <c r="R4341" i="2"/>
  <c r="I4305" i="2"/>
  <c r="H4329" i="2"/>
  <c r="U4369" i="2"/>
  <c r="R4310" i="2"/>
  <c r="U4353" i="2"/>
  <c r="U4325" i="2"/>
  <c r="J4329" i="2"/>
  <c r="I4333" i="2"/>
  <c r="H4313" i="2"/>
  <c r="U4310" i="2"/>
  <c r="U4290" i="2"/>
  <c r="S4310" i="2"/>
  <c r="T4310" i="2" s="1"/>
  <c r="R4286" i="2"/>
  <c r="H4310" i="2"/>
  <c r="J4286" i="2"/>
  <c r="S4287" i="2"/>
  <c r="T4287" i="2" s="1"/>
  <c r="S4279" i="2"/>
  <c r="T4279" i="2" s="1"/>
  <c r="R4287" i="2"/>
  <c r="U4357" i="2"/>
  <c r="U4329" i="2"/>
  <c r="U4317" i="2"/>
  <c r="S4341" i="2"/>
  <c r="T4341" i="2" s="1"/>
  <c r="S4305" i="2"/>
  <c r="T4305" i="2" s="1"/>
  <c r="S4286" i="2"/>
  <c r="T4286" i="2" s="1"/>
  <c r="R4333" i="2"/>
  <c r="R4290" i="2"/>
  <c r="J4357" i="2"/>
  <c r="J4325" i="2"/>
  <c r="I4329" i="2"/>
  <c r="I4313" i="2"/>
  <c r="H4325" i="2"/>
  <c r="H4305" i="2"/>
  <c r="S4329" i="2"/>
  <c r="T4329" i="2" s="1"/>
  <c r="J4341" i="2"/>
  <c r="J4321" i="2"/>
  <c r="I4361" i="2"/>
  <c r="I4325" i="2"/>
  <c r="I4310" i="2"/>
  <c r="H4361" i="2"/>
  <c r="H4321" i="2"/>
  <c r="U4283" i="2"/>
  <c r="R4283" i="2"/>
  <c r="J4287" i="2"/>
  <c r="U4287" i="2"/>
  <c r="S4275" i="2"/>
  <c r="T4275" i="2" s="1"/>
  <c r="R4279" i="2"/>
  <c r="U4319" i="2"/>
  <c r="R4275" i="2"/>
  <c r="I4287" i="2"/>
  <c r="H4302" i="2"/>
  <c r="S4302" i="2"/>
  <c r="T4302" i="2" s="1"/>
  <c r="R4361" i="2"/>
  <c r="S4361" i="2"/>
  <c r="T4361" i="2" s="1"/>
  <c r="I4353" i="2"/>
  <c r="R4302" i="2"/>
  <c r="U4405" i="2"/>
  <c r="R4397" i="2"/>
  <c r="J4405" i="2"/>
  <c r="S4397" i="2"/>
  <c r="T4397" i="2" s="1"/>
  <c r="S4369" i="2"/>
  <c r="T4369" i="2" s="1"/>
  <c r="J4373" i="2"/>
  <c r="I4373" i="2"/>
  <c r="U4445" i="2"/>
  <c r="U4322" i="2"/>
  <c r="R4338" i="2"/>
  <c r="U4334" i="2"/>
  <c r="U4318" i="2"/>
  <c r="J4318" i="2"/>
  <c r="U4346" i="2"/>
  <c r="U4358" i="2"/>
  <c r="U4342" i="2"/>
  <c r="S4318" i="2"/>
  <c r="T4318" i="2" s="1"/>
  <c r="R4326" i="2"/>
  <c r="J4326" i="2"/>
  <c r="U4469" i="2"/>
  <c r="J4338" i="2"/>
  <c r="I4338" i="2"/>
  <c r="S4461" i="2"/>
  <c r="T4461" i="2" s="1"/>
  <c r="R4457" i="2"/>
  <c r="I4453" i="2"/>
  <c r="H4465" i="2"/>
  <c r="S4445" i="2"/>
  <c r="T4445" i="2" s="1"/>
  <c r="R4437" i="2"/>
  <c r="J4473" i="2"/>
  <c r="I4421" i="2"/>
  <c r="I4357" i="2"/>
  <c r="H4409" i="2"/>
  <c r="S4417" i="2"/>
  <c r="T4417" i="2" s="1"/>
  <c r="R4417" i="2"/>
  <c r="J4437" i="2"/>
  <c r="I4401" i="2"/>
  <c r="H4373" i="2"/>
  <c r="H4318" i="2"/>
  <c r="S4322" i="2"/>
  <c r="T4322" i="2" s="1"/>
  <c r="R4334" i="2"/>
  <c r="R4318" i="2"/>
  <c r="J4330" i="2"/>
  <c r="U4457" i="2"/>
  <c r="U4441" i="2"/>
  <c r="U4401" i="2"/>
  <c r="U4365" i="2"/>
  <c r="S4457" i="2"/>
  <c r="T4457" i="2" s="1"/>
  <c r="S4437" i="2"/>
  <c r="T4437" i="2" s="1"/>
  <c r="S4413" i="2"/>
  <c r="T4413" i="2" s="1"/>
  <c r="S4385" i="2"/>
  <c r="T4385" i="2" s="1"/>
  <c r="S4365" i="2"/>
  <c r="T4365" i="2" s="1"/>
  <c r="R4453" i="2"/>
  <c r="R4429" i="2"/>
  <c r="R4413" i="2"/>
  <c r="R4385" i="2"/>
  <c r="J4457" i="2"/>
  <c r="J4421" i="2"/>
  <c r="J4401" i="2"/>
  <c r="J4369" i="2"/>
  <c r="I4437" i="2"/>
  <c r="I4417" i="2"/>
  <c r="I4397" i="2"/>
  <c r="I4369" i="2"/>
  <c r="H4449" i="2"/>
  <c r="H4405" i="2"/>
  <c r="H4369" i="2"/>
  <c r="U4453" i="2"/>
  <c r="U4437" i="2"/>
  <c r="U4385" i="2"/>
  <c r="S4453" i="2"/>
  <c r="T4453" i="2" s="1"/>
  <c r="S4425" i="2"/>
  <c r="T4425" i="2" s="1"/>
  <c r="S4405" i="2"/>
  <c r="T4405" i="2" s="1"/>
  <c r="S4381" i="2"/>
  <c r="T4381" i="2" s="1"/>
  <c r="R4469" i="2"/>
  <c r="R4449" i="2"/>
  <c r="R4425" i="2"/>
  <c r="R4409" i="2"/>
  <c r="R4373" i="2"/>
  <c r="J4453" i="2"/>
  <c r="J4417" i="2"/>
  <c r="J4385" i="2"/>
  <c r="I4473" i="2"/>
  <c r="I4429" i="2"/>
  <c r="I4413" i="2"/>
  <c r="I4385" i="2"/>
  <c r="I4365" i="2"/>
  <c r="H4441" i="2"/>
  <c r="H4401" i="2"/>
  <c r="H4365" i="2"/>
  <c r="R4365" i="2"/>
  <c r="U4473" i="2"/>
  <c r="U4449" i="2"/>
  <c r="U4417" i="2"/>
  <c r="U4373" i="2"/>
  <c r="S4469" i="2"/>
  <c r="T4469" i="2" s="1"/>
  <c r="S4449" i="2"/>
  <c r="T4449" i="2" s="1"/>
  <c r="S4421" i="2"/>
  <c r="T4421" i="2" s="1"/>
  <c r="S4401" i="2"/>
  <c r="T4401" i="2" s="1"/>
  <c r="R4461" i="2"/>
  <c r="R4445" i="2"/>
  <c r="R4421" i="2"/>
  <c r="R4405" i="2"/>
  <c r="J4445" i="2"/>
  <c r="J4409" i="2"/>
  <c r="J4381" i="2"/>
  <c r="I4465" i="2"/>
  <c r="I4425" i="2"/>
  <c r="I4381" i="2"/>
  <c r="H4413" i="2"/>
  <c r="H4397" i="2"/>
  <c r="H4473" i="2"/>
  <c r="U4335" i="2"/>
  <c r="U4371" i="2"/>
  <c r="U4359" i="2"/>
  <c r="I4362" i="2"/>
  <c r="I4346" i="2"/>
  <c r="I4330" i="2"/>
  <c r="H4334" i="2"/>
  <c r="H4326" i="2"/>
  <c r="S4334" i="2"/>
  <c r="T4334" i="2" s="1"/>
  <c r="R4366" i="2"/>
  <c r="J4334" i="2"/>
  <c r="I4326" i="2"/>
  <c r="H4346" i="2"/>
  <c r="H4330" i="2"/>
  <c r="I4438" i="2"/>
  <c r="R4387" i="2"/>
  <c r="S4439" i="2"/>
  <c r="T4439" i="2" s="1"/>
  <c r="S4351" i="2"/>
  <c r="T4351" i="2" s="1"/>
  <c r="I4379" i="2"/>
  <c r="S4452" i="2"/>
  <c r="T4452" i="2" s="1"/>
  <c r="U4444" i="2"/>
  <c r="R4360" i="2"/>
  <c r="U4403" i="2"/>
  <c r="U4339" i="2"/>
  <c r="J4355" i="2"/>
  <c r="I4359" i="2"/>
  <c r="I4351" i="2"/>
  <c r="I4311" i="2"/>
  <c r="U4411" i="2"/>
  <c r="S4363" i="2"/>
  <c r="T4363" i="2" s="1"/>
  <c r="S4323" i="2"/>
  <c r="T4323" i="2" s="1"/>
  <c r="R4359" i="2"/>
  <c r="R4339" i="2"/>
  <c r="J4359" i="2"/>
  <c r="J4339" i="2"/>
  <c r="J4323" i="2"/>
  <c r="I4355" i="2"/>
  <c r="U4379" i="2"/>
  <c r="U4323" i="2"/>
  <c r="S4411" i="2"/>
  <c r="T4411" i="2" s="1"/>
  <c r="S4371" i="2"/>
  <c r="T4371" i="2" s="1"/>
  <c r="S4339" i="2"/>
  <c r="T4339" i="2" s="1"/>
  <c r="R4403" i="2"/>
  <c r="R4351" i="2"/>
  <c r="I4371" i="2"/>
  <c r="I4339" i="2"/>
  <c r="I4323" i="2"/>
  <c r="S4454" i="2"/>
  <c r="T4454" i="2" s="1"/>
  <c r="S4390" i="2"/>
  <c r="T4390" i="2" s="1"/>
  <c r="S4362" i="2"/>
  <c r="T4362" i="2" s="1"/>
  <c r="S4462" i="2"/>
  <c r="T4462" i="2" s="1"/>
  <c r="J4366" i="2"/>
  <c r="I4406" i="2"/>
  <c r="I4390" i="2"/>
  <c r="U4398" i="2"/>
  <c r="R4390" i="2"/>
  <c r="R4374" i="2"/>
  <c r="I4370" i="2"/>
  <c r="S4444" i="2"/>
  <c r="T4444" i="2" s="1"/>
  <c r="H4454" i="2"/>
  <c r="U4426" i="2"/>
  <c r="U4402" i="2"/>
  <c r="S4458" i="2"/>
  <c r="T4458" i="2" s="1"/>
  <c r="S4434" i="2"/>
  <c r="T4434" i="2" s="1"/>
  <c r="S4406" i="2"/>
  <c r="T4406" i="2" s="1"/>
  <c r="S4358" i="2"/>
  <c r="T4358" i="2" s="1"/>
  <c r="S4342" i="2"/>
  <c r="T4342" i="2" s="1"/>
  <c r="R4458" i="2"/>
  <c r="R4406" i="2"/>
  <c r="R4370" i="2"/>
  <c r="R4362" i="2"/>
  <c r="R4354" i="2"/>
  <c r="R4342" i="2"/>
  <c r="J4414" i="2"/>
  <c r="J4390" i="2"/>
  <c r="J4370" i="2"/>
  <c r="J4346" i="2"/>
  <c r="I4382" i="2"/>
  <c r="I4366" i="2"/>
  <c r="U4450" i="2"/>
  <c r="U4422" i="2"/>
  <c r="U4406" i="2"/>
  <c r="U4382" i="2"/>
  <c r="U4370" i="2"/>
  <c r="U4362" i="2"/>
  <c r="S4466" i="2"/>
  <c r="T4466" i="2" s="1"/>
  <c r="S4450" i="2"/>
  <c r="T4450" i="2" s="1"/>
  <c r="S4442" i="2"/>
  <c r="T4442" i="2" s="1"/>
  <c r="S4426" i="2"/>
  <c r="T4426" i="2" s="1"/>
  <c r="S4414" i="2"/>
  <c r="T4414" i="2" s="1"/>
  <c r="S4382" i="2"/>
  <c r="T4382" i="2" s="1"/>
  <c r="S4370" i="2"/>
  <c r="T4370" i="2" s="1"/>
  <c r="R4426" i="2"/>
  <c r="R4418" i="2"/>
  <c r="R4394" i="2"/>
  <c r="J4454" i="2"/>
  <c r="J4410" i="2"/>
  <c r="J4402" i="2"/>
  <c r="J4342" i="2"/>
  <c r="H4430" i="2"/>
  <c r="H4390" i="2"/>
  <c r="H4366" i="2"/>
  <c r="H4358" i="2"/>
  <c r="U4454" i="2"/>
  <c r="U4414" i="2"/>
  <c r="U4366" i="2"/>
  <c r="S4398" i="2"/>
  <c r="T4398" i="2" s="1"/>
  <c r="S4386" i="2"/>
  <c r="T4386" i="2" s="1"/>
  <c r="S4346" i="2"/>
  <c r="T4346" i="2" s="1"/>
  <c r="R4414" i="2"/>
  <c r="R4398" i="2"/>
  <c r="J4406" i="2"/>
  <c r="J4394" i="2"/>
  <c r="J4362" i="2"/>
  <c r="I4378" i="2"/>
  <c r="I4354" i="2"/>
  <c r="I4342" i="2"/>
  <c r="H4410" i="2"/>
  <c r="H4398" i="2"/>
  <c r="S4431" i="2"/>
  <c r="T4431" i="2" s="1"/>
  <c r="R4467" i="2"/>
  <c r="I4469" i="2"/>
  <c r="I4449" i="2"/>
  <c r="H4469" i="2"/>
  <c r="U4459" i="2"/>
  <c r="U4439" i="2"/>
  <c r="R4473" i="2"/>
  <c r="J4451" i="2"/>
  <c r="I4457" i="2"/>
  <c r="H4445" i="2"/>
  <c r="U4467" i="2"/>
  <c r="U4451" i="2"/>
  <c r="R4750" i="2"/>
  <c r="S4742" i="2"/>
  <c r="T4742" i="2" s="1"/>
  <c r="S4726" i="2"/>
  <c r="T4726" i="2" s="1"/>
  <c r="S4710" i="2"/>
  <c r="T4710" i="2" s="1"/>
  <c r="S4694" i="2"/>
  <c r="T4694" i="2" s="1"/>
  <c r="S4678" i="2"/>
  <c r="T4678" i="2" s="1"/>
  <c r="S4662" i="2"/>
  <c r="T4662" i="2" s="1"/>
  <c r="R4658" i="2"/>
  <c r="R4654" i="2"/>
  <c r="R4650" i="2"/>
  <c r="S4646" i="2"/>
  <c r="T4646" i="2" s="1"/>
  <c r="R4646" i="2"/>
  <c r="R4642" i="2"/>
  <c r="R4638" i="2"/>
  <c r="R4634" i="2"/>
  <c r="S4630" i="2"/>
  <c r="T4630" i="2" s="1"/>
  <c r="R4630" i="2"/>
  <c r="R4626" i="2"/>
  <c r="R4622" i="2"/>
  <c r="R4618" i="2"/>
  <c r="S4614" i="2"/>
  <c r="T4614" i="2" s="1"/>
  <c r="R4614" i="2"/>
  <c r="R4610" i="2"/>
  <c r="U4606" i="2"/>
  <c r="R4606" i="2"/>
  <c r="R4602" i="2"/>
  <c r="S4598" i="2"/>
  <c r="T4598" i="2" s="1"/>
  <c r="R4598" i="2"/>
  <c r="R4594" i="2"/>
  <c r="U4590" i="2"/>
  <c r="R4590" i="2"/>
  <c r="R4586" i="2"/>
  <c r="S4582" i="2"/>
  <c r="T4582" i="2" s="1"/>
  <c r="R4582" i="2"/>
  <c r="R4578" i="2"/>
  <c r="U4574" i="2"/>
  <c r="R4574" i="2"/>
  <c r="R4570" i="2"/>
  <c r="S4566" i="2"/>
  <c r="T4566" i="2" s="1"/>
  <c r="R4566" i="2"/>
  <c r="R4562" i="2"/>
  <c r="U4558" i="2"/>
  <c r="R4558" i="2"/>
  <c r="R4554" i="2"/>
  <c r="S4550" i="2"/>
  <c r="T4550" i="2" s="1"/>
  <c r="R4550" i="2"/>
  <c r="R4546" i="2"/>
  <c r="U4542" i="2"/>
  <c r="R4542" i="2"/>
  <c r="R4538" i="2"/>
  <c r="S4534" i="2"/>
  <c r="T4534" i="2" s="1"/>
  <c r="R4534" i="2"/>
  <c r="R4530" i="2"/>
  <c r="U4526" i="2"/>
  <c r="R4526" i="2"/>
  <c r="R4522" i="2"/>
  <c r="S4518" i="2"/>
  <c r="T4518" i="2" s="1"/>
  <c r="R4518" i="2"/>
  <c r="R4514" i="2"/>
  <c r="U4510" i="2"/>
  <c r="R4510" i="2"/>
  <c r="R4506" i="2"/>
  <c r="S4502" i="2"/>
  <c r="T4502" i="2" s="1"/>
  <c r="R4502" i="2"/>
  <c r="R4498" i="2"/>
  <c r="U4494" i="2"/>
  <c r="R4494" i="2"/>
  <c r="R4490" i="2"/>
  <c r="S4486" i="2"/>
  <c r="T4486" i="2" s="1"/>
  <c r="R4486" i="2"/>
  <c r="R4482" i="2"/>
  <c r="U4478" i="2"/>
  <c r="R4478" i="2"/>
  <c r="J4474" i="2"/>
  <c r="R4474" i="2"/>
  <c r="I4474" i="2"/>
  <c r="H4474" i="2"/>
  <c r="I4470" i="2"/>
  <c r="J4470" i="2"/>
  <c r="R4470" i="2"/>
  <c r="H4466" i="2"/>
  <c r="J4466" i="2"/>
  <c r="I4466" i="2"/>
  <c r="J4462" i="2"/>
  <c r="H4462" i="2"/>
  <c r="H4458" i="2"/>
  <c r="J4458" i="2"/>
  <c r="J4450" i="2"/>
  <c r="I4450" i="2"/>
  <c r="J4446" i="2"/>
  <c r="S4446" i="2"/>
  <c r="T4446" i="2" s="1"/>
  <c r="U4446" i="2"/>
  <c r="H4446" i="2"/>
  <c r="H4438" i="2"/>
  <c r="R4438" i="2"/>
  <c r="R4434" i="2"/>
  <c r="H4434" i="2"/>
  <c r="I4434" i="2"/>
  <c r="J4434" i="2"/>
  <c r="S4430" i="2"/>
  <c r="T4430" i="2" s="1"/>
  <c r="U4430" i="2"/>
  <c r="I4430" i="2"/>
  <c r="J4430" i="2"/>
  <c r="H4422" i="2"/>
  <c r="I4422" i="2"/>
  <c r="S4418" i="2"/>
  <c r="T4418" i="2" s="1"/>
  <c r="J4418" i="2"/>
  <c r="R4466" i="2"/>
  <c r="R4454" i="2"/>
  <c r="S4459" i="2"/>
  <c r="T4459" i="2" s="1"/>
  <c r="R4475" i="2"/>
  <c r="R4439" i="2"/>
  <c r="R4431" i="2"/>
  <c r="J4471" i="2"/>
  <c r="R4751" i="2"/>
  <c r="U4607" i="2"/>
  <c r="U4603" i="2"/>
  <c r="U4599" i="2"/>
  <c r="U4595" i="2"/>
  <c r="U4591" i="2"/>
  <c r="U4587" i="2"/>
  <c r="U4583" i="2"/>
  <c r="U4579" i="2"/>
  <c r="U4575" i="2"/>
  <c r="U4571" i="2"/>
  <c r="U4567" i="2"/>
  <c r="U4563" i="2"/>
  <c r="U4559" i="2"/>
  <c r="U4555" i="2"/>
  <c r="U4551" i="2"/>
  <c r="U4547" i="2"/>
  <c r="U4543" i="2"/>
  <c r="U4539" i="2"/>
  <c r="U4535" i="2"/>
  <c r="U4531" i="2"/>
  <c r="U4527" i="2"/>
  <c r="U4523" i="2"/>
  <c r="U4519" i="2"/>
  <c r="U4515" i="2"/>
  <c r="U4511" i="2"/>
  <c r="U4507" i="2"/>
  <c r="U4503" i="2"/>
  <c r="U4499" i="2"/>
  <c r="U4495" i="2"/>
  <c r="U4491" i="2"/>
  <c r="U4487" i="2"/>
  <c r="U4483" i="2"/>
  <c r="U4479" i="2"/>
  <c r="H4463" i="2"/>
  <c r="R4463" i="2"/>
  <c r="U4463" i="2"/>
  <c r="J4463" i="2"/>
  <c r="H4459" i="2"/>
  <c r="J4459" i="2"/>
  <c r="H4443" i="2"/>
  <c r="J4443" i="2"/>
  <c r="H4439" i="2"/>
  <c r="I4439" i="2"/>
  <c r="H4431" i="2"/>
  <c r="I4431" i="2"/>
  <c r="H4427" i="2"/>
  <c r="I4427" i="2"/>
  <c r="J4427" i="2"/>
  <c r="H4411" i="2"/>
  <c r="J4411" i="2"/>
  <c r="H4407" i="2"/>
  <c r="S4407" i="2"/>
  <c r="T4407" i="2" s="1"/>
  <c r="J4407" i="2"/>
  <c r="H4395" i="2"/>
  <c r="I4395" i="2"/>
  <c r="H4379" i="2"/>
  <c r="S4379" i="2"/>
  <c r="T4379" i="2" s="1"/>
  <c r="H4375" i="2"/>
  <c r="I4375" i="2"/>
  <c r="J4375" i="2"/>
  <c r="H4367" i="2"/>
  <c r="J4367" i="2"/>
  <c r="R4747" i="2"/>
  <c r="J4447" i="2"/>
  <c r="J4387" i="2"/>
  <c r="I4423" i="2"/>
  <c r="I4403" i="2"/>
  <c r="S4751" i="2"/>
  <c r="T4751" i="2" s="1"/>
  <c r="S4747" i="2"/>
  <c r="T4747" i="2" s="1"/>
  <c r="S4743" i="2"/>
  <c r="T4743" i="2" s="1"/>
  <c r="S4739" i="2"/>
  <c r="T4739" i="2" s="1"/>
  <c r="S4735" i="2"/>
  <c r="T4735" i="2" s="1"/>
  <c r="S4731" i="2"/>
  <c r="T4731" i="2" s="1"/>
  <c r="S4727" i="2"/>
  <c r="T4727" i="2" s="1"/>
  <c r="S4723" i="2"/>
  <c r="T4723" i="2" s="1"/>
  <c r="S4719" i="2"/>
  <c r="T4719" i="2" s="1"/>
  <c r="S4715" i="2"/>
  <c r="T4715" i="2" s="1"/>
  <c r="S4711" i="2"/>
  <c r="T4711" i="2" s="1"/>
  <c r="S4707" i="2"/>
  <c r="T4707" i="2" s="1"/>
  <c r="S4703" i="2"/>
  <c r="T4703" i="2" s="1"/>
  <c r="S4699" i="2"/>
  <c r="T4699" i="2" s="1"/>
  <c r="S4695" i="2"/>
  <c r="T4695" i="2" s="1"/>
  <c r="S4691" i="2"/>
  <c r="T4691" i="2" s="1"/>
  <c r="S4687" i="2"/>
  <c r="T4687" i="2" s="1"/>
  <c r="S4683" i="2"/>
  <c r="T4683" i="2" s="1"/>
  <c r="S4679" i="2"/>
  <c r="T4679" i="2" s="1"/>
  <c r="S4675" i="2"/>
  <c r="T4675" i="2" s="1"/>
  <c r="S4671" i="2"/>
  <c r="T4671" i="2" s="1"/>
  <c r="S4667" i="2"/>
  <c r="T4667" i="2" s="1"/>
  <c r="S4663" i="2"/>
  <c r="T4663" i="2" s="1"/>
  <c r="S4659" i="2"/>
  <c r="T4659" i="2" s="1"/>
  <c r="S4655" i="2"/>
  <c r="T4655" i="2" s="1"/>
  <c r="S4651" i="2"/>
  <c r="T4651" i="2" s="1"/>
  <c r="S4647" i="2"/>
  <c r="T4647" i="2" s="1"/>
  <c r="S4643" i="2"/>
  <c r="T4643" i="2" s="1"/>
  <c r="S4639" i="2"/>
  <c r="T4639" i="2" s="1"/>
  <c r="S4635" i="2"/>
  <c r="T4635" i="2" s="1"/>
  <c r="S4631" i="2"/>
  <c r="T4631" i="2" s="1"/>
  <c r="S4627" i="2"/>
  <c r="T4627" i="2" s="1"/>
  <c r="S4623" i="2"/>
  <c r="T4623" i="2" s="1"/>
  <c r="S4619" i="2"/>
  <c r="T4619" i="2" s="1"/>
  <c r="S4615" i="2"/>
  <c r="T4615" i="2" s="1"/>
  <c r="S4611" i="2"/>
  <c r="T4611" i="2" s="1"/>
  <c r="S4607" i="2"/>
  <c r="T4607" i="2" s="1"/>
  <c r="S4603" i="2"/>
  <c r="T4603" i="2" s="1"/>
  <c r="S4599" i="2"/>
  <c r="T4599" i="2" s="1"/>
  <c r="S4595" i="2"/>
  <c r="T4595" i="2" s="1"/>
  <c r="S4591" i="2"/>
  <c r="T4591" i="2" s="1"/>
  <c r="S4587" i="2"/>
  <c r="T4587" i="2" s="1"/>
  <c r="S4583" i="2"/>
  <c r="T4583" i="2" s="1"/>
  <c r="S4579" i="2"/>
  <c r="T4579" i="2" s="1"/>
  <c r="S4575" i="2"/>
  <c r="T4575" i="2" s="1"/>
  <c r="S4571" i="2"/>
  <c r="T4571" i="2" s="1"/>
  <c r="S4567" i="2"/>
  <c r="T4567" i="2" s="1"/>
  <c r="S4563" i="2"/>
  <c r="T4563" i="2" s="1"/>
  <c r="S4559" i="2"/>
  <c r="T4559" i="2" s="1"/>
  <c r="S4555" i="2"/>
  <c r="T4555" i="2" s="1"/>
  <c r="S4551" i="2"/>
  <c r="T4551" i="2" s="1"/>
  <c r="S4547" i="2"/>
  <c r="T4547" i="2" s="1"/>
  <c r="S4543" i="2"/>
  <c r="T4543" i="2" s="1"/>
  <c r="S4539" i="2"/>
  <c r="T4539" i="2" s="1"/>
  <c r="S4535" i="2"/>
  <c r="T4535" i="2" s="1"/>
  <c r="S4531" i="2"/>
  <c r="T4531" i="2" s="1"/>
  <c r="S4527" i="2"/>
  <c r="T4527" i="2" s="1"/>
  <c r="S4523" i="2"/>
  <c r="T4523" i="2" s="1"/>
  <c r="S4519" i="2"/>
  <c r="T4519" i="2" s="1"/>
  <c r="S4515" i="2"/>
  <c r="T4515" i="2" s="1"/>
  <c r="S4511" i="2"/>
  <c r="T4511" i="2" s="1"/>
  <c r="S4507" i="2"/>
  <c r="T4507" i="2" s="1"/>
  <c r="S4503" i="2"/>
  <c r="T4503" i="2" s="1"/>
  <c r="S4499" i="2"/>
  <c r="T4499" i="2" s="1"/>
  <c r="S4495" i="2"/>
  <c r="T4495" i="2" s="1"/>
  <c r="S4491" i="2"/>
  <c r="T4491" i="2" s="1"/>
  <c r="S4487" i="2"/>
  <c r="T4487" i="2" s="1"/>
  <c r="S4483" i="2"/>
  <c r="T4483" i="2" s="1"/>
  <c r="S4479" i="2"/>
  <c r="T4479" i="2" s="1"/>
  <c r="S4467" i="2"/>
  <c r="T4467" i="2" s="1"/>
  <c r="S4443" i="2"/>
  <c r="T4443" i="2" s="1"/>
  <c r="S4435" i="2"/>
  <c r="T4435" i="2" s="1"/>
  <c r="J4467" i="2"/>
  <c r="J4363" i="2"/>
  <c r="I4363" i="2"/>
  <c r="R4363" i="2"/>
  <c r="I4458" i="2"/>
  <c r="R4739" i="2"/>
  <c r="R4746" i="2"/>
  <c r="R4742" i="2"/>
  <c r="R4738" i="2"/>
  <c r="I4459" i="2"/>
  <c r="I4451" i="2"/>
  <c r="H4470" i="2"/>
  <c r="H4450" i="2"/>
  <c r="I4452" i="2"/>
  <c r="J4452" i="2"/>
  <c r="H4444" i="2"/>
  <c r="J4444" i="2"/>
  <c r="U4476" i="2"/>
  <c r="J4476" i="2"/>
  <c r="S4476" i="2"/>
  <c r="T4476" i="2" s="1"/>
  <c r="R4476" i="2"/>
  <c r="I4476" i="2"/>
  <c r="U4475" i="2"/>
  <c r="S4475" i="2"/>
  <c r="T4475" i="2" s="1"/>
  <c r="J4475" i="2"/>
  <c r="I4475" i="2"/>
  <c r="U4474" i="2"/>
  <c r="S4474" i="2"/>
  <c r="T4474" i="2" s="1"/>
  <c r="S4472" i="2"/>
  <c r="T4472" i="2" s="1"/>
  <c r="J4472" i="2"/>
  <c r="R4472" i="2"/>
  <c r="U4472" i="2"/>
  <c r="I4471" i="2"/>
  <c r="U4471" i="2"/>
  <c r="S4471" i="2"/>
  <c r="T4471" i="2" s="1"/>
  <c r="R4471" i="2"/>
  <c r="S4470" i="2"/>
  <c r="T4470" i="2" s="1"/>
  <c r="U4468" i="2"/>
  <c r="J4468" i="2"/>
  <c r="S4468" i="2"/>
  <c r="T4468" i="2" s="1"/>
  <c r="R4468" i="2"/>
  <c r="I4467" i="2"/>
  <c r="U4465" i="2"/>
  <c r="J4465" i="2"/>
  <c r="S4465" i="2"/>
  <c r="T4465" i="2" s="1"/>
  <c r="U4464" i="2"/>
  <c r="R4464" i="2"/>
  <c r="J4464" i="2"/>
  <c r="H4464" i="2"/>
  <c r="S4464" i="2"/>
  <c r="T4464" i="2" s="1"/>
  <c r="I4463" i="2"/>
  <c r="R4462" i="2"/>
  <c r="I4462" i="2"/>
  <c r="U4461" i="2"/>
  <c r="J4461" i="2"/>
  <c r="I4461" i="2"/>
  <c r="J4460" i="2"/>
  <c r="H4460" i="2"/>
  <c r="U4460" i="2"/>
  <c r="S4460" i="2"/>
  <c r="T4460" i="2" s="1"/>
  <c r="R4460" i="2"/>
  <c r="S4456" i="2"/>
  <c r="T4456" i="2" s="1"/>
  <c r="R4456" i="2"/>
  <c r="U4456" i="2"/>
  <c r="J4456" i="2"/>
  <c r="U4455" i="2"/>
  <c r="S4455" i="2"/>
  <c r="T4455" i="2" s="1"/>
  <c r="R4455" i="2"/>
  <c r="J4455" i="2"/>
  <c r="I4455" i="2"/>
  <c r="U4452" i="2"/>
  <c r="R4451" i="2"/>
  <c r="S4451" i="2"/>
  <c r="T4451" i="2" s="1"/>
  <c r="S4448" i="2"/>
  <c r="T4448" i="2" s="1"/>
  <c r="J4448" i="2"/>
  <c r="U4448" i="2"/>
  <c r="R4448" i="2"/>
  <c r="H4448" i="2"/>
  <c r="R4447" i="2"/>
  <c r="S4447" i="2"/>
  <c r="T4447" i="2" s="1"/>
  <c r="I4447" i="2"/>
  <c r="U4447" i="2"/>
  <c r="I4446" i="2"/>
  <c r="R4446" i="2"/>
  <c r="R4444" i="2"/>
  <c r="R4443" i="2"/>
  <c r="I4443" i="2"/>
  <c r="U4442" i="2"/>
  <c r="I4442" i="2"/>
  <c r="J4442" i="2"/>
  <c r="H4442" i="2"/>
  <c r="S4441" i="2"/>
  <c r="T4441" i="2" s="1"/>
  <c r="R4441" i="2"/>
  <c r="J4441" i="2"/>
  <c r="R4440" i="2"/>
  <c r="U4440" i="2"/>
  <c r="J4440" i="2"/>
  <c r="S4440" i="2"/>
  <c r="T4440" i="2" s="1"/>
  <c r="U4438" i="2"/>
  <c r="S4438" i="2"/>
  <c r="T4438" i="2" s="1"/>
  <c r="U4436" i="2"/>
  <c r="R4436" i="2"/>
  <c r="S4436" i="2"/>
  <c r="T4436" i="2" s="1"/>
  <c r="J4436" i="2"/>
  <c r="U4435" i="2"/>
  <c r="J4435" i="2"/>
  <c r="R4435" i="2"/>
  <c r="I4435" i="2"/>
  <c r="U4433" i="2"/>
  <c r="I4433" i="2"/>
  <c r="S4433" i="2"/>
  <c r="T4433" i="2" s="1"/>
  <c r="R4433" i="2"/>
  <c r="J4433" i="2"/>
  <c r="H4432" i="2"/>
  <c r="U4432" i="2"/>
  <c r="S4432" i="2"/>
  <c r="T4432" i="2" s="1"/>
  <c r="J4432" i="2"/>
  <c r="R4432" i="2"/>
  <c r="U4431" i="2"/>
  <c r="J4429" i="2"/>
  <c r="U4429" i="2"/>
  <c r="S4429" i="2"/>
  <c r="T4429" i="2" s="1"/>
  <c r="J4428" i="2"/>
  <c r="U4428" i="2"/>
  <c r="R4428" i="2"/>
  <c r="H4428" i="2"/>
  <c r="S4428" i="2"/>
  <c r="T4428" i="2" s="1"/>
  <c r="S4427" i="2"/>
  <c r="T4427" i="2" s="1"/>
  <c r="R4427" i="2"/>
  <c r="U4427" i="2"/>
  <c r="H4426" i="2"/>
  <c r="J4426" i="2"/>
  <c r="U4425" i="2"/>
  <c r="J4425" i="2"/>
  <c r="S4424" i="2"/>
  <c r="T4424" i="2" s="1"/>
  <c r="U4424" i="2"/>
  <c r="R4424" i="2"/>
  <c r="J4424" i="2"/>
  <c r="J4423" i="2"/>
  <c r="R4423" i="2"/>
  <c r="U4423" i="2"/>
  <c r="S4423" i="2"/>
  <c r="T4423" i="2" s="1"/>
  <c r="S4422" i="2"/>
  <c r="T4422" i="2" s="1"/>
  <c r="J4422" i="2"/>
  <c r="U4421" i="2"/>
  <c r="U4420" i="2"/>
  <c r="J4420" i="2"/>
  <c r="S4420" i="2"/>
  <c r="T4420" i="2" s="1"/>
  <c r="R4420" i="2"/>
  <c r="I4419" i="2"/>
  <c r="S4419" i="2"/>
  <c r="T4419" i="2" s="1"/>
  <c r="J4419" i="2"/>
  <c r="R4419" i="2"/>
  <c r="U4419" i="2"/>
  <c r="H4418" i="2"/>
  <c r="U4418" i="2"/>
  <c r="S4416" i="2"/>
  <c r="T4416" i="2" s="1"/>
  <c r="U4416" i="2"/>
  <c r="H4416" i="2"/>
  <c r="R4416" i="2"/>
  <c r="J4416" i="2"/>
  <c r="S4415" i="2"/>
  <c r="T4415" i="2" s="1"/>
  <c r="U4415" i="2"/>
  <c r="J4415" i="2"/>
  <c r="R4415" i="2"/>
  <c r="I4415" i="2"/>
  <c r="I4414" i="2"/>
  <c r="J4413" i="2"/>
  <c r="U4412" i="2"/>
  <c r="S4412" i="2"/>
  <c r="T4412" i="2" s="1"/>
  <c r="J4412" i="2"/>
  <c r="R4412" i="2"/>
  <c r="H4412" i="2"/>
  <c r="I4411" i="2"/>
  <c r="U4410" i="2"/>
  <c r="R4410" i="2"/>
  <c r="I4410" i="2"/>
  <c r="U4409" i="2"/>
  <c r="S4409" i="2"/>
  <c r="T4409" i="2" s="1"/>
  <c r="R4408" i="2"/>
  <c r="S4408" i="2"/>
  <c r="T4408" i="2" s="1"/>
  <c r="J4408" i="2"/>
  <c r="U4408" i="2"/>
  <c r="U4407" i="2"/>
  <c r="I4407" i="2"/>
  <c r="R4404" i="2"/>
  <c r="U4404" i="2"/>
  <c r="J4404" i="2"/>
  <c r="S4404" i="2"/>
  <c r="T4404" i="2" s="1"/>
  <c r="J4403" i="2"/>
  <c r="S4403" i="2"/>
  <c r="T4403" i="2" s="1"/>
  <c r="R4402" i="2"/>
  <c r="H4402" i="2"/>
  <c r="S4402" i="2"/>
  <c r="T4402" i="2" s="1"/>
  <c r="S4400" i="2"/>
  <c r="T4400" i="2" s="1"/>
  <c r="U4400" i="2"/>
  <c r="R4400" i="2"/>
  <c r="J4400" i="2"/>
  <c r="H4400" i="2"/>
  <c r="S4399" i="2"/>
  <c r="T4399" i="2" s="1"/>
  <c r="U4399" i="2"/>
  <c r="R4399" i="2"/>
  <c r="J4399" i="2"/>
  <c r="I4399" i="2"/>
  <c r="J4398" i="2"/>
  <c r="U4397" i="2"/>
  <c r="U4396" i="2"/>
  <c r="S4396" i="2"/>
  <c r="T4396" i="2" s="1"/>
  <c r="J4396" i="2"/>
  <c r="H4396" i="2"/>
  <c r="R4396" i="2"/>
  <c r="R4395" i="2"/>
  <c r="J4395" i="2"/>
  <c r="U4395" i="2"/>
  <c r="H4394" i="2"/>
  <c r="S4394" i="2"/>
  <c r="T4394" i="2" s="1"/>
  <c r="U4394" i="2"/>
  <c r="U4393" i="2"/>
  <c r="H4393" i="2"/>
  <c r="S4393" i="2"/>
  <c r="T4393" i="2" s="1"/>
  <c r="R4393" i="2"/>
  <c r="J4393" i="2"/>
  <c r="S4392" i="2"/>
  <c r="T4392" i="2" s="1"/>
  <c r="U4392" i="2"/>
  <c r="J4392" i="2"/>
  <c r="R4392" i="2"/>
  <c r="J4391" i="2"/>
  <c r="U4391" i="2"/>
  <c r="S4391" i="2"/>
  <c r="T4391" i="2" s="1"/>
  <c r="I4391" i="2"/>
  <c r="R4391" i="2"/>
  <c r="R4389" i="2"/>
  <c r="U4389" i="2"/>
  <c r="J4389" i="2"/>
  <c r="S4389" i="2"/>
  <c r="T4389" i="2" s="1"/>
  <c r="I4389" i="2"/>
  <c r="R4388" i="2"/>
  <c r="J4388" i="2"/>
  <c r="U4388" i="2"/>
  <c r="S4388" i="2"/>
  <c r="T4388" i="2" s="1"/>
  <c r="U4387" i="2"/>
  <c r="I4387" i="2"/>
  <c r="S4387" i="2"/>
  <c r="T4387" i="2" s="1"/>
  <c r="U4386" i="2"/>
  <c r="R4386" i="2"/>
  <c r="I4386" i="2"/>
  <c r="J4386" i="2"/>
  <c r="S4384" i="2"/>
  <c r="T4384" i="2" s="1"/>
  <c r="J4384" i="2"/>
  <c r="H4384" i="2"/>
  <c r="U4384" i="2"/>
  <c r="R4384" i="2"/>
  <c r="J4383" i="2"/>
  <c r="I4383" i="2"/>
  <c r="R4383" i="2"/>
  <c r="S4383" i="2"/>
  <c r="T4383" i="2" s="1"/>
  <c r="U4383" i="2"/>
  <c r="H4382" i="2"/>
  <c r="R4382" i="2"/>
  <c r="U4381" i="2"/>
  <c r="R4381" i="2"/>
  <c r="R4380" i="2"/>
  <c r="U4380" i="2"/>
  <c r="J4380" i="2"/>
  <c r="H4380" i="2"/>
  <c r="S4380" i="2"/>
  <c r="T4380" i="2" s="1"/>
  <c r="J4379" i="2"/>
  <c r="S4378" i="2"/>
  <c r="T4378" i="2" s="1"/>
  <c r="J4378" i="2"/>
  <c r="R4378" i="2"/>
  <c r="H4378" i="2"/>
  <c r="R4377" i="2"/>
  <c r="J4377" i="2"/>
  <c r="I4377" i="2"/>
  <c r="U4377" i="2"/>
  <c r="S4377" i="2"/>
  <c r="T4377" i="2" s="1"/>
  <c r="U4376" i="2"/>
  <c r="R4376" i="2"/>
  <c r="S4376" i="2"/>
  <c r="T4376" i="2" s="1"/>
  <c r="J4376" i="2"/>
  <c r="S4375" i="2"/>
  <c r="T4375" i="2" s="1"/>
  <c r="R4375" i="2"/>
  <c r="U4375" i="2"/>
  <c r="U4374" i="2"/>
  <c r="J4374" i="2"/>
  <c r="H4374" i="2"/>
  <c r="S4374" i="2"/>
  <c r="T4374" i="2" s="1"/>
  <c r="R4372" i="2"/>
  <c r="U4372" i="2"/>
  <c r="S4372" i="2"/>
  <c r="T4372" i="2" s="1"/>
  <c r="J4372" i="2"/>
  <c r="R4371" i="2"/>
  <c r="J4371" i="2"/>
  <c r="S4368" i="2"/>
  <c r="T4368" i="2" s="1"/>
  <c r="H4368" i="2"/>
  <c r="J4368" i="2"/>
  <c r="U4368" i="2"/>
  <c r="R4368" i="2"/>
  <c r="S4367" i="2"/>
  <c r="T4367" i="2" s="1"/>
  <c r="R4367" i="2"/>
  <c r="I4367" i="2"/>
  <c r="U4367" i="2"/>
  <c r="S4364" i="2"/>
  <c r="T4364" i="2" s="1"/>
  <c r="J4364" i="2"/>
  <c r="R4364" i="2"/>
  <c r="U4364" i="2"/>
  <c r="H4364" i="2"/>
  <c r="U4363" i="2"/>
  <c r="U4360" i="2"/>
  <c r="S4360" i="2"/>
  <c r="T4360" i="2" s="1"/>
  <c r="J4360" i="2"/>
  <c r="S4359" i="2"/>
  <c r="T4359" i="2" s="1"/>
  <c r="R4358" i="2"/>
  <c r="J4358" i="2"/>
  <c r="S4357" i="2"/>
  <c r="T4357" i="2" s="1"/>
  <c r="R4357" i="2"/>
  <c r="S4356" i="2"/>
  <c r="T4356" i="2" s="1"/>
  <c r="R4356" i="2"/>
  <c r="U4356" i="2"/>
  <c r="J4356" i="2"/>
  <c r="U4355" i="2"/>
  <c r="R4355" i="2"/>
  <c r="S4355" i="2"/>
  <c r="T4355" i="2" s="1"/>
  <c r="U4354" i="2"/>
  <c r="S4354" i="2"/>
  <c r="T4354" i="2" s="1"/>
  <c r="H4354" i="2"/>
  <c r="R4353" i="2"/>
  <c r="J4353" i="2"/>
  <c r="S4352" i="2"/>
  <c r="T4352" i="2" s="1"/>
  <c r="R4352" i="2"/>
  <c r="J4352" i="2"/>
  <c r="U4352" i="2"/>
  <c r="H4352" i="2"/>
  <c r="U4351" i="2"/>
  <c r="J4351" i="2"/>
  <c r="R4350" i="2"/>
  <c r="S4350" i="2"/>
  <c r="T4350" i="2" s="1"/>
  <c r="H4350" i="2"/>
  <c r="U4350" i="2"/>
  <c r="J4350" i="2"/>
  <c r="S4349" i="2"/>
  <c r="T4349" i="2" s="1"/>
  <c r="J4349" i="2"/>
  <c r="U4349" i="2"/>
  <c r="I4349" i="2"/>
  <c r="U4348" i="2"/>
  <c r="R4348" i="2"/>
  <c r="J4348" i="2"/>
  <c r="S4348" i="2"/>
  <c r="T4348" i="2" s="1"/>
  <c r="H4348" i="2"/>
  <c r="U4347" i="2"/>
  <c r="I4347" i="2"/>
  <c r="S4347" i="2"/>
  <c r="T4347" i="2" s="1"/>
  <c r="R4347" i="2"/>
  <c r="J4347" i="2"/>
  <c r="U4345" i="2"/>
  <c r="S4345" i="2"/>
  <c r="T4345" i="2" s="1"/>
  <c r="R4345" i="2"/>
  <c r="I4345" i="2"/>
  <c r="H4345" i="2"/>
  <c r="R4344" i="2"/>
  <c r="S4344" i="2"/>
  <c r="T4344" i="2" s="1"/>
  <c r="J4344" i="2"/>
  <c r="U4344" i="2"/>
  <c r="J4343" i="2"/>
  <c r="I4343" i="2"/>
  <c r="R4343" i="2"/>
  <c r="U4343" i="2"/>
  <c r="S4343" i="2"/>
  <c r="T4343" i="2" s="1"/>
  <c r="U4340" i="2"/>
  <c r="S4340" i="2"/>
  <c r="T4340" i="2" s="1"/>
  <c r="R4340" i="2"/>
  <c r="J4340" i="2"/>
  <c r="U4338" i="2"/>
  <c r="H4338" i="2"/>
  <c r="I4337" i="2"/>
  <c r="H4337" i="2"/>
  <c r="U4337" i="2"/>
  <c r="S4337" i="2"/>
  <c r="T4337" i="2" s="1"/>
  <c r="R4336" i="2"/>
  <c r="S4336" i="2"/>
  <c r="T4336" i="2" s="1"/>
  <c r="H4336" i="2"/>
  <c r="J4336" i="2"/>
  <c r="U4336" i="2"/>
  <c r="J4335" i="2"/>
  <c r="S4335" i="2"/>
  <c r="T4335" i="2" s="1"/>
  <c r="R4335" i="2"/>
  <c r="I4335" i="2"/>
  <c r="S4333" i="2"/>
  <c r="T4333" i="2" s="1"/>
  <c r="R4332" i="2"/>
  <c r="J4332" i="2"/>
  <c r="U4332" i="2"/>
  <c r="S4332" i="2"/>
  <c r="T4332" i="2" s="1"/>
  <c r="H4332" i="2"/>
  <c r="S4331" i="2"/>
  <c r="T4331" i="2" s="1"/>
  <c r="U4331" i="2"/>
  <c r="J4331" i="2"/>
  <c r="R4331" i="2"/>
  <c r="I4331" i="2"/>
  <c r="U4330" i="2"/>
  <c r="S4330" i="2"/>
  <c r="T4330" i="2" s="1"/>
  <c r="S4328" i="2"/>
  <c r="T4328" i="2" s="1"/>
  <c r="J4328" i="2"/>
  <c r="U4328" i="2"/>
  <c r="R4328" i="2"/>
  <c r="R4327" i="2"/>
  <c r="J4327" i="2"/>
  <c r="I4327" i="2"/>
  <c r="U4327" i="2"/>
  <c r="S4327" i="2"/>
  <c r="T4327" i="2" s="1"/>
  <c r="S4325" i="2"/>
  <c r="T4325" i="2" s="1"/>
  <c r="U4324" i="2"/>
  <c r="S4324" i="2"/>
  <c r="T4324" i="2" s="1"/>
  <c r="R4324" i="2"/>
  <c r="J4324" i="2"/>
  <c r="R4323" i="2"/>
  <c r="R4322" i="2"/>
  <c r="J4322" i="2"/>
  <c r="I4322" i="2"/>
  <c r="H4320" i="2"/>
  <c r="S4320" i="2"/>
  <c r="T4320" i="2" s="1"/>
  <c r="J4320" i="2"/>
  <c r="R4320" i="2"/>
  <c r="U4320" i="2"/>
  <c r="R4319" i="2"/>
  <c r="J4319" i="2"/>
  <c r="S4319" i="2"/>
  <c r="T4319" i="2" s="1"/>
  <c r="I4319" i="2"/>
  <c r="S4317" i="2"/>
  <c r="T4317" i="2" s="1"/>
  <c r="R4317" i="2"/>
  <c r="J4317" i="2"/>
  <c r="H4316" i="2"/>
  <c r="S4316" i="2"/>
  <c r="T4316" i="2" s="1"/>
  <c r="J4316" i="2"/>
  <c r="U4316" i="2"/>
  <c r="R4316" i="2"/>
  <c r="R4315" i="2"/>
  <c r="U4315" i="2"/>
  <c r="S4315" i="2"/>
  <c r="T4315" i="2" s="1"/>
  <c r="J4315" i="2"/>
  <c r="I4315" i="2"/>
  <c r="U4314" i="2"/>
  <c r="J4314" i="2"/>
  <c r="H4314" i="2"/>
  <c r="R4314" i="2"/>
  <c r="I4314" i="2"/>
  <c r="U4313" i="2"/>
  <c r="S4313" i="2"/>
  <c r="T4313" i="2" s="1"/>
  <c r="R4313" i="2"/>
  <c r="U4312" i="2"/>
  <c r="J4312" i="2"/>
  <c r="R4312" i="2"/>
  <c r="S4312" i="2"/>
  <c r="T4312" i="2" s="1"/>
  <c r="S4311" i="2"/>
  <c r="T4311" i="2" s="1"/>
  <c r="J4311" i="2"/>
  <c r="U4311" i="2"/>
  <c r="R4311" i="2"/>
  <c r="H4309" i="2"/>
  <c r="U4309" i="2"/>
  <c r="R4309" i="2"/>
  <c r="J4309" i="2"/>
  <c r="I4309" i="2"/>
  <c r="R4308" i="2"/>
  <c r="J4308" i="2"/>
  <c r="U4308" i="2"/>
  <c r="S4308" i="2"/>
  <c r="T4308" i="2" s="1"/>
  <c r="I4307" i="2"/>
  <c r="U4307" i="2"/>
  <c r="S4307" i="2"/>
  <c r="T4307" i="2" s="1"/>
  <c r="R4307" i="2"/>
  <c r="J4307" i="2"/>
  <c r="S4306" i="2"/>
  <c r="T4306" i="2" s="1"/>
  <c r="J4306" i="2"/>
  <c r="R4306" i="2"/>
  <c r="I4306" i="2"/>
  <c r="U4305" i="2"/>
  <c r="J4305" i="2"/>
  <c r="S4304" i="2"/>
  <c r="T4304" i="2" s="1"/>
  <c r="U4304" i="2"/>
  <c r="R4304" i="2"/>
  <c r="J4304" i="2"/>
  <c r="H4304" i="2"/>
  <c r="U4303" i="2"/>
  <c r="S4303" i="2"/>
  <c r="T4303" i="2" s="1"/>
  <c r="R4303" i="2"/>
  <c r="J4303" i="2"/>
  <c r="I4303" i="2"/>
  <c r="U4302" i="2"/>
  <c r="J4302" i="2"/>
  <c r="J4301" i="2"/>
  <c r="J4300" i="2"/>
  <c r="S4300" i="2"/>
  <c r="T4300" i="2" s="1"/>
  <c r="R4300" i="2"/>
  <c r="H4300" i="2"/>
  <c r="U4300" i="2"/>
  <c r="R4299" i="2"/>
  <c r="S4299" i="2"/>
  <c r="T4299" i="2" s="1"/>
  <c r="I4299" i="2"/>
  <c r="U4299" i="2"/>
  <c r="J4299" i="2"/>
  <c r="U4298" i="2"/>
  <c r="R4298" i="2"/>
  <c r="J4298" i="2"/>
  <c r="I4298" i="2"/>
  <c r="H4298" i="2"/>
  <c r="J4297" i="2"/>
  <c r="I4297" i="2"/>
  <c r="U4297" i="2"/>
  <c r="H4297" i="2"/>
  <c r="S4297" i="2"/>
  <c r="T4297" i="2" s="1"/>
  <c r="S4296" i="2"/>
  <c r="T4296" i="2" s="1"/>
  <c r="R4296" i="2"/>
  <c r="U4296" i="2"/>
  <c r="J4296" i="2"/>
  <c r="I4295" i="2"/>
  <c r="S4295" i="2"/>
  <c r="T4295" i="2" s="1"/>
  <c r="J4295" i="2"/>
  <c r="U4295" i="2"/>
  <c r="R4295" i="2"/>
  <c r="R4294" i="2"/>
  <c r="U4294" i="2"/>
  <c r="S4294" i="2"/>
  <c r="T4294" i="2" s="1"/>
  <c r="H4294" i="2"/>
  <c r="J4294" i="2"/>
  <c r="S4293" i="2"/>
  <c r="T4293" i="2" s="1"/>
  <c r="R4293" i="2"/>
  <c r="H4293" i="2"/>
  <c r="J4293" i="2"/>
  <c r="U4292" i="2"/>
  <c r="J4292" i="2"/>
  <c r="R4292" i="2"/>
  <c r="S4292" i="2"/>
  <c r="T4292" i="2" s="1"/>
  <c r="S4291" i="2"/>
  <c r="T4291" i="2" s="1"/>
  <c r="R4291" i="2"/>
  <c r="I4291" i="2"/>
  <c r="U4291" i="2"/>
  <c r="J4291" i="2"/>
  <c r="S4290" i="2"/>
  <c r="T4290" i="2" s="1"/>
  <c r="I4290" i="2"/>
  <c r="H4290" i="2"/>
  <c r="U4289" i="2"/>
  <c r="I4289" i="2"/>
  <c r="J4289" i="2"/>
  <c r="R4288" i="2"/>
  <c r="J4288" i="2"/>
  <c r="S4288" i="2"/>
  <c r="T4288" i="2" s="1"/>
  <c r="H4288" i="2"/>
  <c r="U4288" i="2"/>
  <c r="U4286" i="2"/>
  <c r="H4286" i="2"/>
  <c r="H4285" i="2"/>
  <c r="S4284" i="2"/>
  <c r="T4284" i="2" s="1"/>
  <c r="R4284" i="2"/>
  <c r="H4284" i="2"/>
  <c r="U4284" i="2"/>
  <c r="J4284" i="2"/>
  <c r="J4283" i="2"/>
  <c r="S4283" i="2"/>
  <c r="T4283" i="2" s="1"/>
  <c r="I4283" i="2"/>
  <c r="U4282" i="2"/>
  <c r="I4282" i="2"/>
  <c r="R4282" i="2"/>
  <c r="H4282" i="2"/>
  <c r="S4282" i="2"/>
  <c r="T4282" i="2" s="1"/>
  <c r="S4280" i="2"/>
  <c r="T4280" i="2" s="1"/>
  <c r="R4280" i="2"/>
  <c r="J4280" i="2"/>
  <c r="U4280" i="2"/>
  <c r="U4279" i="2"/>
  <c r="I4279" i="2"/>
  <c r="J4279" i="2"/>
  <c r="S4278" i="2"/>
  <c r="T4278" i="2" s="1"/>
  <c r="I4278" i="2"/>
  <c r="R4278" i="2"/>
  <c r="J4278" i="2"/>
  <c r="H4278" i="2"/>
  <c r="J4277" i="2"/>
  <c r="S4277" i="2"/>
  <c r="T4277" i="2" s="1"/>
  <c r="I4277" i="2"/>
  <c r="U4277" i="2"/>
  <c r="R4277" i="2"/>
  <c r="U4276" i="2"/>
  <c r="R4276" i="2"/>
  <c r="S4276" i="2"/>
  <c r="T4276" i="2" s="1"/>
  <c r="J4276" i="2"/>
  <c r="J4275" i="2"/>
  <c r="U4275" i="2"/>
  <c r="I4275" i="2"/>
  <c r="H4468" i="2"/>
  <c r="H4452" i="2"/>
  <c r="H4436" i="2"/>
  <c r="H4420" i="2"/>
  <c r="H4404" i="2"/>
  <c r="H4388" i="2"/>
  <c r="H4372" i="2"/>
  <c r="H4356" i="2"/>
  <c r="H4340" i="2"/>
  <c r="H4324" i="2"/>
  <c r="H4308" i="2"/>
  <c r="H4292" i="2"/>
  <c r="H4276" i="2"/>
  <c r="H4472" i="2"/>
  <c r="H4456" i="2"/>
  <c r="H4440" i="2"/>
  <c r="H4424" i="2"/>
  <c r="H4408" i="2"/>
  <c r="H4392" i="2"/>
  <c r="H4376" i="2"/>
  <c r="H4360" i="2"/>
  <c r="H4344" i="2"/>
  <c r="H4328" i="2"/>
  <c r="H4312" i="2"/>
  <c r="H4296" i="2"/>
  <c r="H4280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G3698" i="2"/>
  <c r="J3698" i="2" s="1"/>
  <c r="G3699" i="2"/>
  <c r="I3699" i="2" s="1"/>
  <c r="G3700" i="2"/>
  <c r="H3700" i="2" s="1"/>
  <c r="G3701" i="2"/>
  <c r="H3701" i="2" s="1"/>
  <c r="G3702" i="2"/>
  <c r="H3702" i="2" s="1"/>
  <c r="G3703" i="2"/>
  <c r="H3703" i="2" s="1"/>
  <c r="G3704" i="2"/>
  <c r="H3704" i="2" s="1"/>
  <c r="G3705" i="2"/>
  <c r="H3705" i="2" s="1"/>
  <c r="G3706" i="2"/>
  <c r="R3706" i="2" s="1"/>
  <c r="G3707" i="2"/>
  <c r="J3707" i="2" s="1"/>
  <c r="G3708" i="2"/>
  <c r="J3708" i="2" s="1"/>
  <c r="G3709" i="2"/>
  <c r="H3709" i="2" s="1"/>
  <c r="G3710" i="2"/>
  <c r="H3710" i="2" s="1"/>
  <c r="G3711" i="2"/>
  <c r="H3711" i="2" s="1"/>
  <c r="G3712" i="2"/>
  <c r="H3712" i="2" s="1"/>
  <c r="G3713" i="2"/>
  <c r="H3713" i="2" s="1"/>
  <c r="G3714" i="2"/>
  <c r="I3714" i="2" s="1"/>
  <c r="G3715" i="2"/>
  <c r="J3715" i="2" s="1"/>
  <c r="G3716" i="2"/>
  <c r="J3716" i="2" s="1"/>
  <c r="G3717" i="2"/>
  <c r="H3717" i="2" s="1"/>
  <c r="G3718" i="2"/>
  <c r="U3718" i="2" s="1"/>
  <c r="G3719" i="2"/>
  <c r="H3719" i="2" s="1"/>
  <c r="G3720" i="2"/>
  <c r="H3720" i="2" s="1"/>
  <c r="G3721" i="2"/>
  <c r="H3721" i="2" s="1"/>
  <c r="G3722" i="2"/>
  <c r="R3722" i="2" s="1"/>
  <c r="G3723" i="2"/>
  <c r="J3723" i="2" s="1"/>
  <c r="G3724" i="2"/>
  <c r="J3724" i="2" s="1"/>
  <c r="G3725" i="2"/>
  <c r="H3725" i="2" s="1"/>
  <c r="G3726" i="2"/>
  <c r="U3726" i="2" s="1"/>
  <c r="G3727" i="2"/>
  <c r="H3727" i="2" s="1"/>
  <c r="G3728" i="2"/>
  <c r="H3728" i="2" s="1"/>
  <c r="G3729" i="2"/>
  <c r="H3729" i="2" s="1"/>
  <c r="G3730" i="2"/>
  <c r="S3730" i="2" s="1"/>
  <c r="T3730" i="2" s="1"/>
  <c r="G3731" i="2"/>
  <c r="S3731" i="2" s="1"/>
  <c r="T3731" i="2" s="1"/>
  <c r="G3732" i="2"/>
  <c r="I3732" i="2" s="1"/>
  <c r="G3733" i="2"/>
  <c r="H3733" i="2" s="1"/>
  <c r="G3734" i="2"/>
  <c r="U3734" i="2" s="1"/>
  <c r="G3735" i="2"/>
  <c r="I3735" i="2" s="1"/>
  <c r="G3736" i="2"/>
  <c r="H3736" i="2" s="1"/>
  <c r="G3737" i="2"/>
  <c r="H3737" i="2" s="1"/>
  <c r="G3738" i="2"/>
  <c r="J3738" i="2" s="1"/>
  <c r="G3739" i="2"/>
  <c r="G3740" i="2"/>
  <c r="R3740" i="2" s="1"/>
  <c r="G3741" i="2"/>
  <c r="H3741" i="2" s="1"/>
  <c r="G3742" i="2"/>
  <c r="I3742" i="2" s="1"/>
  <c r="G3743" i="2"/>
  <c r="H3743" i="2" s="1"/>
  <c r="G3744" i="2"/>
  <c r="H3744" i="2" s="1"/>
  <c r="G3745" i="2"/>
  <c r="H3745" i="2" s="1"/>
  <c r="G3746" i="2"/>
  <c r="R3746" i="2" s="1"/>
  <c r="G3747" i="2"/>
  <c r="R3747" i="2" s="1"/>
  <c r="G3748" i="2"/>
  <c r="U3748" i="2" s="1"/>
  <c r="G3749" i="2"/>
  <c r="H3749" i="2" s="1"/>
  <c r="G3750" i="2"/>
  <c r="H3750" i="2" s="1"/>
  <c r="G3751" i="2"/>
  <c r="I3751" i="2" s="1"/>
  <c r="G3752" i="2"/>
  <c r="H3752" i="2" s="1"/>
  <c r="G3753" i="2"/>
  <c r="H3753" i="2" s="1"/>
  <c r="G3754" i="2"/>
  <c r="U3754" i="2" s="1"/>
  <c r="G3755" i="2"/>
  <c r="R3755" i="2" s="1"/>
  <c r="G3756" i="2"/>
  <c r="S3756" i="2" s="1"/>
  <c r="T3756" i="2" s="1"/>
  <c r="G3757" i="2"/>
  <c r="H3757" i="2" s="1"/>
  <c r="G3758" i="2"/>
  <c r="H3758" i="2" s="1"/>
  <c r="G3759" i="2"/>
  <c r="H3759" i="2" s="1"/>
  <c r="G3760" i="2"/>
  <c r="H3760" i="2" s="1"/>
  <c r="G3761" i="2"/>
  <c r="H3761" i="2" s="1"/>
  <c r="G3762" i="2"/>
  <c r="R3762" i="2" s="1"/>
  <c r="G3763" i="2"/>
  <c r="R3763" i="2" s="1"/>
  <c r="G3764" i="2"/>
  <c r="J3764" i="2" s="1"/>
  <c r="G3765" i="2"/>
  <c r="H3765" i="2" s="1"/>
  <c r="G3766" i="2"/>
  <c r="U3766" i="2" s="1"/>
  <c r="G3767" i="2"/>
  <c r="H3767" i="2" s="1"/>
  <c r="G3768" i="2"/>
  <c r="H3768" i="2" s="1"/>
  <c r="G3769" i="2"/>
  <c r="H3769" i="2" s="1"/>
  <c r="G3770" i="2"/>
  <c r="S3770" i="2" s="1"/>
  <c r="T3770" i="2" s="1"/>
  <c r="G3771" i="2"/>
  <c r="S3771" i="2" s="1"/>
  <c r="T3771" i="2" s="1"/>
  <c r="G3772" i="2"/>
  <c r="J3772" i="2" s="1"/>
  <c r="G3773" i="2"/>
  <c r="H3773" i="2" s="1"/>
  <c r="G3774" i="2"/>
  <c r="R3774" i="2" s="1"/>
  <c r="G3775" i="2"/>
  <c r="H3775" i="2" s="1"/>
  <c r="G3776" i="2"/>
  <c r="H3776" i="2" s="1"/>
  <c r="G3777" i="2"/>
  <c r="H3777" i="2" s="1"/>
  <c r="G3778" i="2"/>
  <c r="R3778" i="2" s="1"/>
  <c r="G3779" i="2"/>
  <c r="U3779" i="2" s="1"/>
  <c r="G3780" i="2"/>
  <c r="J3780" i="2" s="1"/>
  <c r="G3781" i="2"/>
  <c r="H3781" i="2" s="1"/>
  <c r="G3782" i="2"/>
  <c r="J3782" i="2" s="1"/>
  <c r="G3783" i="2"/>
  <c r="I3783" i="2" s="1"/>
  <c r="G3784" i="2"/>
  <c r="H3784" i="2" s="1"/>
  <c r="G3785" i="2"/>
  <c r="H3785" i="2" s="1"/>
  <c r="G3786" i="2"/>
  <c r="U3786" i="2" s="1"/>
  <c r="G3787" i="2"/>
  <c r="R3787" i="2" s="1"/>
  <c r="G3788" i="2"/>
  <c r="R3788" i="2" s="1"/>
  <c r="G3789" i="2"/>
  <c r="H3789" i="2" s="1"/>
  <c r="G3790" i="2"/>
  <c r="S3790" i="2" s="1"/>
  <c r="T3790" i="2" s="1"/>
  <c r="G3791" i="2"/>
  <c r="I3791" i="2" s="1"/>
  <c r="G3792" i="2"/>
  <c r="S3792" i="2" s="1"/>
  <c r="T3792" i="2" s="1"/>
  <c r="G3793" i="2"/>
  <c r="H3793" i="2" s="1"/>
  <c r="G3794" i="2"/>
  <c r="S3794" i="2" s="1"/>
  <c r="T3794" i="2" s="1"/>
  <c r="G3795" i="2"/>
  <c r="R3795" i="2" s="1"/>
  <c r="G3796" i="2"/>
  <c r="S3796" i="2" s="1"/>
  <c r="T3796" i="2" s="1"/>
  <c r="G3797" i="2"/>
  <c r="H3797" i="2" s="1"/>
  <c r="G3798" i="2"/>
  <c r="S3798" i="2" s="1"/>
  <c r="T3798" i="2" s="1"/>
  <c r="G3799" i="2"/>
  <c r="H3799" i="2" s="1"/>
  <c r="G3800" i="2"/>
  <c r="H3800" i="2" s="1"/>
  <c r="G3801" i="2"/>
  <c r="H3801" i="2" s="1"/>
  <c r="G3802" i="2"/>
  <c r="H3802" i="2" s="1"/>
  <c r="G3803" i="2"/>
  <c r="J3803" i="2" s="1"/>
  <c r="G3804" i="2"/>
  <c r="J3804" i="2" s="1"/>
  <c r="G3805" i="2"/>
  <c r="H3805" i="2" s="1"/>
  <c r="G3806" i="2"/>
  <c r="I3806" i="2" s="1"/>
  <c r="G3807" i="2"/>
  <c r="H3807" i="2" s="1"/>
  <c r="G3808" i="2"/>
  <c r="H3808" i="2" s="1"/>
  <c r="G3809" i="2"/>
  <c r="U3809" i="2" s="1"/>
  <c r="G3810" i="2"/>
  <c r="J3810" i="2" s="1"/>
  <c r="G3811" i="2"/>
  <c r="J3811" i="2" s="1"/>
  <c r="G3812" i="2"/>
  <c r="H3812" i="2" s="1"/>
  <c r="G3813" i="2"/>
  <c r="R3813" i="2" s="1"/>
  <c r="G3814" i="2"/>
  <c r="I3814" i="2" s="1"/>
  <c r="G3815" i="2"/>
  <c r="U3815" i="2" s="1"/>
  <c r="G3816" i="2"/>
  <c r="H3816" i="2" s="1"/>
  <c r="G3817" i="2"/>
  <c r="I3817" i="2" s="1"/>
  <c r="G3818" i="2"/>
  <c r="H3818" i="2" s="1"/>
  <c r="G3819" i="2"/>
  <c r="H3819" i="2" s="1"/>
  <c r="G3820" i="2"/>
  <c r="H3820" i="2" s="1"/>
  <c r="G3821" i="2"/>
  <c r="S3821" i="2" s="1"/>
  <c r="T3821" i="2" s="1"/>
  <c r="G3822" i="2"/>
  <c r="U3822" i="2" s="1"/>
  <c r="G3823" i="2"/>
  <c r="U3823" i="2" s="1"/>
  <c r="G3824" i="2"/>
  <c r="H3824" i="2" s="1"/>
  <c r="G3825" i="2"/>
  <c r="H3825" i="2" s="1"/>
  <c r="G3826" i="2"/>
  <c r="U3826" i="2" s="1"/>
  <c r="G3827" i="2"/>
  <c r="H3827" i="2" s="1"/>
  <c r="G3828" i="2"/>
  <c r="H3828" i="2" s="1"/>
  <c r="G3829" i="2"/>
  <c r="J3829" i="2" s="1"/>
  <c r="G3830" i="2"/>
  <c r="J3830" i="2" s="1"/>
  <c r="G3831" i="2"/>
  <c r="J3831" i="2" s="1"/>
  <c r="G3832" i="2"/>
  <c r="H3832" i="2" s="1"/>
  <c r="G3833" i="2"/>
  <c r="I3833" i="2" s="1"/>
  <c r="G3834" i="2"/>
  <c r="H3834" i="2" s="1"/>
  <c r="G3835" i="2"/>
  <c r="H3835" i="2" s="1"/>
  <c r="G3836" i="2"/>
  <c r="H3836" i="2" s="1"/>
  <c r="G3837" i="2"/>
  <c r="I3837" i="2" s="1"/>
  <c r="G3838" i="2"/>
  <c r="H3838" i="2" s="1"/>
  <c r="G3839" i="2"/>
  <c r="H3839" i="2" s="1"/>
  <c r="G3840" i="2"/>
  <c r="H3840" i="2" s="1"/>
  <c r="G3841" i="2"/>
  <c r="R3841" i="2" s="1"/>
  <c r="G3842" i="2"/>
  <c r="H3842" i="2" s="1"/>
  <c r="G3843" i="2"/>
  <c r="R3843" i="2" s="1"/>
  <c r="G3844" i="2"/>
  <c r="H3844" i="2" s="1"/>
  <c r="G3845" i="2"/>
  <c r="J3845" i="2" s="1"/>
  <c r="G3846" i="2"/>
  <c r="J3846" i="2" s="1"/>
  <c r="G3847" i="2"/>
  <c r="S3847" i="2" s="1"/>
  <c r="T3847" i="2" s="1"/>
  <c r="G3848" i="2"/>
  <c r="H3848" i="2" s="1"/>
  <c r="G3849" i="2"/>
  <c r="I3849" i="2" s="1"/>
  <c r="G3850" i="2"/>
  <c r="R3850" i="2" s="1"/>
  <c r="G3851" i="2"/>
  <c r="I3851" i="2" s="1"/>
  <c r="G3852" i="2"/>
  <c r="H3852" i="2" s="1"/>
  <c r="G3853" i="2"/>
  <c r="I3853" i="2" s="1"/>
  <c r="G3854" i="2"/>
  <c r="H3854" i="2" s="1"/>
  <c r="G3855" i="2"/>
  <c r="H3855" i="2" s="1"/>
  <c r="G3856" i="2"/>
  <c r="H3856" i="2" s="1"/>
  <c r="G3857" i="2"/>
  <c r="I3857" i="2" s="1"/>
  <c r="G3858" i="2"/>
  <c r="H3858" i="2" s="1"/>
  <c r="G3859" i="2"/>
  <c r="H3859" i="2" s="1"/>
  <c r="G3860" i="2"/>
  <c r="H3860" i="2" s="1"/>
  <c r="G3861" i="2"/>
  <c r="J3861" i="2" s="1"/>
  <c r="G3862" i="2"/>
  <c r="H3862" i="2" s="1"/>
  <c r="G3863" i="2"/>
  <c r="H3863" i="2" s="1"/>
  <c r="G3864" i="2"/>
  <c r="H3864" i="2" s="1"/>
  <c r="G3865" i="2"/>
  <c r="I3865" i="2" s="1"/>
  <c r="G3866" i="2"/>
  <c r="H3866" i="2" s="1"/>
  <c r="G3867" i="2"/>
  <c r="H3867" i="2" s="1"/>
  <c r="G3868" i="2"/>
  <c r="H3868" i="2" s="1"/>
  <c r="G3869" i="2"/>
  <c r="I3869" i="2" s="1"/>
  <c r="G3870" i="2"/>
  <c r="H3870" i="2" s="1"/>
  <c r="G3871" i="2"/>
  <c r="H3871" i="2" s="1"/>
  <c r="G3872" i="2"/>
  <c r="H3872" i="2" s="1"/>
  <c r="G3873" i="2"/>
  <c r="I3873" i="2" s="1"/>
  <c r="G3874" i="2"/>
  <c r="H3874" i="2" s="1"/>
  <c r="G3875" i="2"/>
  <c r="H3875" i="2" s="1"/>
  <c r="G3876" i="2"/>
  <c r="H3876" i="2" s="1"/>
  <c r="G3877" i="2"/>
  <c r="J3877" i="2" s="1"/>
  <c r="G3878" i="2"/>
  <c r="H3878" i="2" s="1"/>
  <c r="G3879" i="2"/>
  <c r="H3879" i="2" s="1"/>
  <c r="G3880" i="2"/>
  <c r="H3880" i="2" s="1"/>
  <c r="G3881" i="2"/>
  <c r="I3881" i="2" s="1"/>
  <c r="G3882" i="2"/>
  <c r="I3882" i="2" s="1"/>
  <c r="G3883" i="2"/>
  <c r="H3883" i="2" s="1"/>
  <c r="G3884" i="2"/>
  <c r="H3884" i="2" s="1"/>
  <c r="G3885" i="2"/>
  <c r="I3885" i="2" s="1"/>
  <c r="G3886" i="2"/>
  <c r="J3886" i="2" s="1"/>
  <c r="G3887" i="2"/>
  <c r="H3887" i="2" s="1"/>
  <c r="G3888" i="2"/>
  <c r="H3888" i="2" s="1"/>
  <c r="G3889" i="2"/>
  <c r="I3889" i="2" s="1"/>
  <c r="G3890" i="2"/>
  <c r="I3890" i="2" s="1"/>
  <c r="G3891" i="2"/>
  <c r="I3891" i="2" s="1"/>
  <c r="G3892" i="2"/>
  <c r="H3892" i="2" s="1"/>
  <c r="G3893" i="2"/>
  <c r="R3893" i="2" s="1"/>
  <c r="G3894" i="2"/>
  <c r="H3894" i="2" s="1"/>
  <c r="G3895" i="2"/>
  <c r="H3895" i="2" s="1"/>
  <c r="G3896" i="2"/>
  <c r="H3896" i="2" s="1"/>
  <c r="G3897" i="2"/>
  <c r="I3897" i="2" s="1"/>
  <c r="G3898" i="2"/>
  <c r="H3898" i="2" s="1"/>
  <c r="G3899" i="2"/>
  <c r="H3899" i="2" s="1"/>
  <c r="G3900" i="2"/>
  <c r="H3900" i="2" s="1"/>
  <c r="G3901" i="2"/>
  <c r="I3901" i="2" s="1"/>
  <c r="G3902" i="2"/>
  <c r="H3902" i="2" s="1"/>
  <c r="G3903" i="2"/>
  <c r="H3903" i="2" s="1"/>
  <c r="G3904" i="2"/>
  <c r="H3904" i="2" s="1"/>
  <c r="G3905" i="2"/>
  <c r="I3905" i="2" s="1"/>
  <c r="G3906" i="2"/>
  <c r="H3906" i="2" s="1"/>
  <c r="G3907" i="2"/>
  <c r="H3907" i="2" s="1"/>
  <c r="G3908" i="2"/>
  <c r="H3908" i="2" s="1"/>
  <c r="G3909" i="2"/>
  <c r="S3909" i="2" s="1"/>
  <c r="T3909" i="2" s="1"/>
  <c r="G3910" i="2"/>
  <c r="H3910" i="2" s="1"/>
  <c r="G3911" i="2"/>
  <c r="H3911" i="2" s="1"/>
  <c r="G3912" i="2"/>
  <c r="H3912" i="2" s="1"/>
  <c r="G3913" i="2"/>
  <c r="I3913" i="2" s="1"/>
  <c r="G3914" i="2"/>
  <c r="H3914" i="2" s="1"/>
  <c r="G3915" i="2"/>
  <c r="H3915" i="2" s="1"/>
  <c r="G3916" i="2"/>
  <c r="H3916" i="2" s="1"/>
  <c r="G3917" i="2"/>
  <c r="I3917" i="2" s="1"/>
  <c r="G3918" i="2"/>
  <c r="H3918" i="2" s="1"/>
  <c r="G3919" i="2"/>
  <c r="H3919" i="2" s="1"/>
  <c r="G3920" i="2"/>
  <c r="H3920" i="2" s="1"/>
  <c r="G3921" i="2"/>
  <c r="I3921" i="2" s="1"/>
  <c r="G3922" i="2"/>
  <c r="H3922" i="2" s="1"/>
  <c r="G3923" i="2"/>
  <c r="H3923" i="2" s="1"/>
  <c r="G3924" i="2"/>
  <c r="H3924" i="2" s="1"/>
  <c r="G3925" i="2"/>
  <c r="J3925" i="2" s="1"/>
  <c r="G3926" i="2"/>
  <c r="H3926" i="2" s="1"/>
  <c r="G3927" i="2"/>
  <c r="H3927" i="2" s="1"/>
  <c r="G3928" i="2"/>
  <c r="H3928" i="2" s="1"/>
  <c r="G3929" i="2"/>
  <c r="I3929" i="2" s="1"/>
  <c r="G3930" i="2"/>
  <c r="H3930" i="2" s="1"/>
  <c r="G3931" i="2"/>
  <c r="H3931" i="2" s="1"/>
  <c r="G3932" i="2"/>
  <c r="H3932" i="2" s="1"/>
  <c r="G3933" i="2"/>
  <c r="I3933" i="2" s="1"/>
  <c r="G3934" i="2"/>
  <c r="H3934" i="2" s="1"/>
  <c r="G3935" i="2"/>
  <c r="H3935" i="2" s="1"/>
  <c r="G3936" i="2"/>
  <c r="H3936" i="2" s="1"/>
  <c r="G3937" i="2"/>
  <c r="I3937" i="2" s="1"/>
  <c r="G3938" i="2"/>
  <c r="H3938" i="2" s="1"/>
  <c r="G3939" i="2"/>
  <c r="H3939" i="2" s="1"/>
  <c r="G3940" i="2"/>
  <c r="H3940" i="2" s="1"/>
  <c r="G3941" i="2"/>
  <c r="S3941" i="2" s="1"/>
  <c r="T3941" i="2" s="1"/>
  <c r="G3942" i="2"/>
  <c r="H3942" i="2" s="1"/>
  <c r="G3943" i="2"/>
  <c r="U3943" i="2" s="1"/>
  <c r="G3944" i="2"/>
  <c r="H3944" i="2" s="1"/>
  <c r="G3945" i="2"/>
  <c r="I3945" i="2" s="1"/>
  <c r="G3946" i="2"/>
  <c r="I3946" i="2" s="1"/>
  <c r="G3947" i="2"/>
  <c r="H3947" i="2" s="1"/>
  <c r="G3948" i="2"/>
  <c r="H3948" i="2" s="1"/>
  <c r="G3949" i="2"/>
  <c r="I3949" i="2" s="1"/>
  <c r="G3950" i="2"/>
  <c r="H3950" i="2" s="1"/>
  <c r="G3951" i="2"/>
  <c r="I3951" i="2" s="1"/>
  <c r="G3952" i="2"/>
  <c r="H3952" i="2" s="1"/>
  <c r="G3953" i="2"/>
  <c r="I3953" i="2" s="1"/>
  <c r="G3954" i="2"/>
  <c r="J3954" i="2" s="1"/>
  <c r="G3955" i="2"/>
  <c r="J3955" i="2" s="1"/>
  <c r="G3956" i="2"/>
  <c r="H3956" i="2" s="1"/>
  <c r="G3957" i="2"/>
  <c r="U3957" i="2" s="1"/>
  <c r="G3958" i="2"/>
  <c r="U3958" i="2" s="1"/>
  <c r="G3959" i="2"/>
  <c r="U3959" i="2" s="1"/>
  <c r="G3960" i="2"/>
  <c r="H3960" i="2" s="1"/>
  <c r="G3961" i="2"/>
  <c r="S3961" i="2" s="1"/>
  <c r="T3961" i="2" s="1"/>
  <c r="G3962" i="2"/>
  <c r="I3962" i="2" s="1"/>
  <c r="G3963" i="2"/>
  <c r="U3963" i="2" s="1"/>
  <c r="G3964" i="2"/>
  <c r="H3964" i="2" s="1"/>
  <c r="G3965" i="2"/>
  <c r="R3965" i="2" s="1"/>
  <c r="G3966" i="2"/>
  <c r="H3966" i="2" s="1"/>
  <c r="G3967" i="2"/>
  <c r="I3967" i="2" s="1"/>
  <c r="G3968" i="2"/>
  <c r="H3968" i="2" s="1"/>
  <c r="G3969" i="2"/>
  <c r="U3969" i="2" s="1"/>
  <c r="G3970" i="2"/>
  <c r="H3970" i="2" s="1"/>
  <c r="G3971" i="2"/>
  <c r="I3971" i="2" s="1"/>
  <c r="G3972" i="2"/>
  <c r="H3972" i="2" s="1"/>
  <c r="G3973" i="2"/>
  <c r="J3973" i="2" s="1"/>
  <c r="G3974" i="2"/>
  <c r="H3974" i="2" s="1"/>
  <c r="G3975" i="2"/>
  <c r="R3975" i="2" s="1"/>
  <c r="G3976" i="2"/>
  <c r="H3976" i="2" s="1"/>
  <c r="G3977" i="2"/>
  <c r="I3977" i="2" s="1"/>
  <c r="G3978" i="2"/>
  <c r="H3978" i="2" s="1"/>
  <c r="G3979" i="2"/>
  <c r="R3979" i="2" s="1"/>
  <c r="G3980" i="2"/>
  <c r="H3980" i="2" s="1"/>
  <c r="G3981" i="2"/>
  <c r="J3981" i="2" s="1"/>
  <c r="G3982" i="2"/>
  <c r="H3982" i="2" s="1"/>
  <c r="G3983" i="2"/>
  <c r="I3983" i="2" s="1"/>
  <c r="G3984" i="2"/>
  <c r="H3984" i="2" s="1"/>
  <c r="G3985" i="2"/>
  <c r="J3985" i="2" s="1"/>
  <c r="G3986" i="2"/>
  <c r="H3986" i="2" s="1"/>
  <c r="G3987" i="2"/>
  <c r="J3987" i="2" s="1"/>
  <c r="G3988" i="2"/>
  <c r="H3988" i="2" s="1"/>
  <c r="G3989" i="2"/>
  <c r="R3989" i="2" s="1"/>
  <c r="G3990" i="2"/>
  <c r="H3990" i="2" s="1"/>
  <c r="G3991" i="2"/>
  <c r="R3991" i="2" s="1"/>
  <c r="G3992" i="2"/>
  <c r="H3992" i="2" s="1"/>
  <c r="G3993" i="2"/>
  <c r="R3993" i="2" s="1"/>
  <c r="G3994" i="2"/>
  <c r="H3994" i="2" s="1"/>
  <c r="G3995" i="2"/>
  <c r="S3995" i="2" s="1"/>
  <c r="T3995" i="2" s="1"/>
  <c r="G3996" i="2"/>
  <c r="H3996" i="2" s="1"/>
  <c r="G3997" i="2"/>
  <c r="J3997" i="2" s="1"/>
  <c r="G3998" i="2"/>
  <c r="H3998" i="2" s="1"/>
  <c r="G3999" i="2"/>
  <c r="I3999" i="2" s="1"/>
  <c r="G4000" i="2"/>
  <c r="H4000" i="2" s="1"/>
  <c r="G4001" i="2"/>
  <c r="I4001" i="2" s="1"/>
  <c r="G4002" i="2"/>
  <c r="H4002" i="2" s="1"/>
  <c r="G4003" i="2"/>
  <c r="I4003" i="2" s="1"/>
  <c r="G4004" i="2"/>
  <c r="H4004" i="2" s="1"/>
  <c r="G4005" i="2"/>
  <c r="R4005" i="2" s="1"/>
  <c r="G4006" i="2"/>
  <c r="H4006" i="2" s="1"/>
  <c r="G4007" i="2"/>
  <c r="U4007" i="2" s="1"/>
  <c r="G4008" i="2"/>
  <c r="H4008" i="2" s="1"/>
  <c r="G4009" i="2"/>
  <c r="I4009" i="2" s="1"/>
  <c r="G4010" i="2"/>
  <c r="J4010" i="2" s="1"/>
  <c r="G4011" i="2"/>
  <c r="R4011" i="2" s="1"/>
  <c r="G4012" i="2"/>
  <c r="H4012" i="2" s="1"/>
  <c r="G4013" i="2"/>
  <c r="I4013" i="2" s="1"/>
  <c r="G4014" i="2"/>
  <c r="J4014" i="2" s="1"/>
  <c r="G4015" i="2"/>
  <c r="I4015" i="2" s="1"/>
  <c r="G4016" i="2"/>
  <c r="H4016" i="2" s="1"/>
  <c r="G4017" i="2"/>
  <c r="R4017" i="2" s="1"/>
  <c r="G4018" i="2"/>
  <c r="H4018" i="2" s="1"/>
  <c r="G4019" i="2"/>
  <c r="I4019" i="2" s="1"/>
  <c r="G4020" i="2"/>
  <c r="H4020" i="2" s="1"/>
  <c r="G4021" i="2"/>
  <c r="R4021" i="2" s="1"/>
  <c r="G4022" i="2"/>
  <c r="H4022" i="2" s="1"/>
  <c r="G4023" i="2"/>
  <c r="S4023" i="2" s="1"/>
  <c r="T4023" i="2" s="1"/>
  <c r="G4024" i="2"/>
  <c r="H4024" i="2" s="1"/>
  <c r="G4025" i="2"/>
  <c r="U4025" i="2" s="1"/>
  <c r="G4026" i="2"/>
  <c r="H4026" i="2" s="1"/>
  <c r="G4027" i="2"/>
  <c r="R4027" i="2" s="1"/>
  <c r="G4028" i="2"/>
  <c r="H4028" i="2" s="1"/>
  <c r="G4029" i="2"/>
  <c r="U4029" i="2" s="1"/>
  <c r="G4030" i="2"/>
  <c r="H4030" i="2" s="1"/>
  <c r="G4031" i="2"/>
  <c r="I4031" i="2" s="1"/>
  <c r="G4032" i="2"/>
  <c r="H4032" i="2" s="1"/>
  <c r="G4033" i="2"/>
  <c r="R4033" i="2" s="1"/>
  <c r="G4034" i="2"/>
  <c r="H4034" i="2" s="1"/>
  <c r="G4035" i="2"/>
  <c r="I4035" i="2" s="1"/>
  <c r="G4036" i="2"/>
  <c r="H4036" i="2" s="1"/>
  <c r="G4037" i="2"/>
  <c r="S4037" i="2" s="1"/>
  <c r="T4037" i="2" s="1"/>
  <c r="G4038" i="2"/>
  <c r="H4038" i="2" s="1"/>
  <c r="G4039" i="2"/>
  <c r="U4039" i="2" s="1"/>
  <c r="G4040" i="2"/>
  <c r="H4040" i="2" s="1"/>
  <c r="G4041" i="2"/>
  <c r="S4041" i="2" s="1"/>
  <c r="T4041" i="2" s="1"/>
  <c r="G4042" i="2"/>
  <c r="H4042" i="2" s="1"/>
  <c r="G4043" i="2"/>
  <c r="S4043" i="2" s="1"/>
  <c r="T4043" i="2" s="1"/>
  <c r="G4044" i="2"/>
  <c r="H4044" i="2" s="1"/>
  <c r="G4045" i="2"/>
  <c r="R4045" i="2" s="1"/>
  <c r="G4046" i="2"/>
  <c r="H4046" i="2" s="1"/>
  <c r="G4047" i="2"/>
  <c r="I4047" i="2" s="1"/>
  <c r="G4048" i="2"/>
  <c r="H4048" i="2" s="1"/>
  <c r="G4049" i="2"/>
  <c r="J4049" i="2" s="1"/>
  <c r="G4050" i="2"/>
  <c r="H4050" i="2" s="1"/>
  <c r="G4051" i="2"/>
  <c r="I4051" i="2" s="1"/>
  <c r="G4052" i="2"/>
  <c r="H4052" i="2" s="1"/>
  <c r="G4053" i="2"/>
  <c r="J4053" i="2" s="1"/>
  <c r="G4054" i="2"/>
  <c r="H4054" i="2" s="1"/>
  <c r="G4055" i="2"/>
  <c r="R4055" i="2" s="1"/>
  <c r="G4056" i="2"/>
  <c r="H4056" i="2" s="1"/>
  <c r="G4057" i="2"/>
  <c r="I4057" i="2" s="1"/>
  <c r="G4058" i="2"/>
  <c r="H4058" i="2" s="1"/>
  <c r="G4059" i="2"/>
  <c r="U4059" i="2" s="1"/>
  <c r="G4060" i="2"/>
  <c r="H4060" i="2" s="1"/>
  <c r="G4061" i="2"/>
  <c r="U4061" i="2" s="1"/>
  <c r="G4062" i="2"/>
  <c r="H4062" i="2" s="1"/>
  <c r="G4063" i="2"/>
  <c r="I4063" i="2" s="1"/>
  <c r="G4064" i="2"/>
  <c r="H4064" i="2" s="1"/>
  <c r="G4065" i="2"/>
  <c r="I4065" i="2" s="1"/>
  <c r="G4066" i="2"/>
  <c r="H4066" i="2" s="1"/>
  <c r="G4067" i="2"/>
  <c r="I4067" i="2" s="1"/>
  <c r="G4068" i="2"/>
  <c r="H4068" i="2" s="1"/>
  <c r="G4069" i="2"/>
  <c r="R4069" i="2" s="1"/>
  <c r="G4070" i="2"/>
  <c r="H4070" i="2" s="1"/>
  <c r="G4071" i="2"/>
  <c r="S4071" i="2" s="1"/>
  <c r="T4071" i="2" s="1"/>
  <c r="G4072" i="2"/>
  <c r="H4072" i="2" s="1"/>
  <c r="G4073" i="2"/>
  <c r="I4073" i="2" s="1"/>
  <c r="G4074" i="2"/>
  <c r="H4074" i="2" s="1"/>
  <c r="G4075" i="2"/>
  <c r="U4075" i="2" s="1"/>
  <c r="G4076" i="2"/>
  <c r="H4076" i="2" s="1"/>
  <c r="G4077" i="2"/>
  <c r="S4077" i="2" s="1"/>
  <c r="T4077" i="2" s="1"/>
  <c r="G4078" i="2"/>
  <c r="I4078" i="2" s="1"/>
  <c r="G4079" i="2"/>
  <c r="I4079" i="2" s="1"/>
  <c r="G4080" i="2"/>
  <c r="H4080" i="2" s="1"/>
  <c r="G4081" i="2"/>
  <c r="R4081" i="2" s="1"/>
  <c r="G4082" i="2"/>
  <c r="R4082" i="2" s="1"/>
  <c r="G4083" i="2"/>
  <c r="I4083" i="2" s="1"/>
  <c r="G4084" i="2"/>
  <c r="H4084" i="2" s="1"/>
  <c r="G4085" i="2"/>
  <c r="S4085" i="2" s="1"/>
  <c r="T4085" i="2" s="1"/>
  <c r="G4086" i="2"/>
  <c r="H4086" i="2" s="1"/>
  <c r="G4087" i="2"/>
  <c r="R4087" i="2" s="1"/>
  <c r="G4088" i="2"/>
  <c r="H4088" i="2" s="1"/>
  <c r="G4089" i="2"/>
  <c r="R4089" i="2" s="1"/>
  <c r="G4090" i="2"/>
  <c r="R4090" i="2" s="1"/>
  <c r="G4091" i="2"/>
  <c r="S4091" i="2" s="1"/>
  <c r="T4091" i="2" s="1"/>
  <c r="G4092" i="2"/>
  <c r="H4092" i="2" s="1"/>
  <c r="G4093" i="2"/>
  <c r="J4093" i="2" s="1"/>
  <c r="G4094" i="2"/>
  <c r="U4094" i="2" s="1"/>
  <c r="G4095" i="2"/>
  <c r="I4095" i="2" s="1"/>
  <c r="G4096" i="2"/>
  <c r="H4096" i="2" s="1"/>
  <c r="G4097" i="2"/>
  <c r="S4097" i="2" s="1"/>
  <c r="T4097" i="2" s="1"/>
  <c r="G4098" i="2"/>
  <c r="H4098" i="2" s="1"/>
  <c r="G4099" i="2"/>
  <c r="I4099" i="2" s="1"/>
  <c r="G4100" i="2"/>
  <c r="H4100" i="2" s="1"/>
  <c r="G4101" i="2"/>
  <c r="J4101" i="2" s="1"/>
  <c r="G4102" i="2"/>
  <c r="J4102" i="2" s="1"/>
  <c r="G4103" i="2"/>
  <c r="U4103" i="2" s="1"/>
  <c r="G4104" i="2"/>
  <c r="H4104" i="2" s="1"/>
  <c r="G4105" i="2"/>
  <c r="R4105" i="2" s="1"/>
  <c r="G4106" i="2"/>
  <c r="H4106" i="2" s="1"/>
  <c r="G4107" i="2"/>
  <c r="R4107" i="2" s="1"/>
  <c r="G4108" i="2"/>
  <c r="H4108" i="2" s="1"/>
  <c r="G4109" i="2"/>
  <c r="J4109" i="2" s="1"/>
  <c r="G4110" i="2"/>
  <c r="H4110" i="2" s="1"/>
  <c r="G4111" i="2"/>
  <c r="I4111" i="2" s="1"/>
  <c r="G4112" i="2"/>
  <c r="H4112" i="2" s="1"/>
  <c r="G4113" i="2"/>
  <c r="J4113" i="2" s="1"/>
  <c r="G4114" i="2"/>
  <c r="I4114" i="2" s="1"/>
  <c r="G4115" i="2"/>
  <c r="J4115" i="2" s="1"/>
  <c r="G4116" i="2"/>
  <c r="H4116" i="2" s="1"/>
  <c r="G4117" i="2"/>
  <c r="R4117" i="2" s="1"/>
  <c r="G4118" i="2"/>
  <c r="I4118" i="2" s="1"/>
  <c r="G4119" i="2"/>
  <c r="R4119" i="2" s="1"/>
  <c r="G4120" i="2"/>
  <c r="H4120" i="2" s="1"/>
  <c r="G4121" i="2"/>
  <c r="J4121" i="2" s="1"/>
  <c r="G4122" i="2"/>
  <c r="H4122" i="2" s="1"/>
  <c r="G4123" i="2"/>
  <c r="S4123" i="2" s="1"/>
  <c r="T4123" i="2" s="1"/>
  <c r="G4124" i="2"/>
  <c r="H4124" i="2" s="1"/>
  <c r="G4125" i="2"/>
  <c r="R4125" i="2" s="1"/>
  <c r="G4126" i="2"/>
  <c r="H4126" i="2" s="1"/>
  <c r="G4127" i="2"/>
  <c r="I4127" i="2" s="1"/>
  <c r="G4128" i="2"/>
  <c r="H4128" i="2" s="1"/>
  <c r="G4129" i="2"/>
  <c r="I4129" i="2" s="1"/>
  <c r="G4130" i="2"/>
  <c r="H4130" i="2" s="1"/>
  <c r="G4131" i="2"/>
  <c r="S4131" i="2" s="1"/>
  <c r="T4131" i="2" s="1"/>
  <c r="G4132" i="2"/>
  <c r="H4132" i="2" s="1"/>
  <c r="G4133" i="2"/>
  <c r="U4133" i="2" s="1"/>
  <c r="G4134" i="2"/>
  <c r="H4134" i="2" s="1"/>
  <c r="G4135" i="2"/>
  <c r="R4135" i="2" s="1"/>
  <c r="G4136" i="2"/>
  <c r="H4136" i="2" s="1"/>
  <c r="G4137" i="2"/>
  <c r="I4137" i="2" s="1"/>
  <c r="G4138" i="2"/>
  <c r="H4138" i="2" s="1"/>
  <c r="G4139" i="2"/>
  <c r="U4139" i="2" s="1"/>
  <c r="G4140" i="2"/>
  <c r="H4140" i="2" s="1"/>
  <c r="G4141" i="2"/>
  <c r="I4141" i="2" s="1"/>
  <c r="G4142" i="2"/>
  <c r="H4142" i="2" s="1"/>
  <c r="G4143" i="2"/>
  <c r="H4143" i="2" s="1"/>
  <c r="G4144" i="2"/>
  <c r="H4144" i="2" s="1"/>
  <c r="G4145" i="2"/>
  <c r="J4145" i="2" s="1"/>
  <c r="G4146" i="2"/>
  <c r="H4146" i="2" s="1"/>
  <c r="G4147" i="2"/>
  <c r="H4147" i="2" s="1"/>
  <c r="G4148" i="2"/>
  <c r="H4148" i="2" s="1"/>
  <c r="G4149" i="2"/>
  <c r="S4149" i="2" s="1"/>
  <c r="T4149" i="2" s="1"/>
  <c r="G4150" i="2"/>
  <c r="H4150" i="2" s="1"/>
  <c r="G4151" i="2"/>
  <c r="U4151" i="2" s="1"/>
  <c r="G4152" i="2"/>
  <c r="H4152" i="2" s="1"/>
  <c r="G4153" i="2"/>
  <c r="U4153" i="2" s="1"/>
  <c r="G4154" i="2"/>
  <c r="H4154" i="2" s="1"/>
  <c r="G4155" i="2"/>
  <c r="J4155" i="2" s="1"/>
  <c r="G4156" i="2"/>
  <c r="H4156" i="2" s="1"/>
  <c r="G4157" i="2"/>
  <c r="U4157" i="2" s="1"/>
  <c r="G4158" i="2"/>
  <c r="H4158" i="2" s="1"/>
  <c r="G4159" i="2"/>
  <c r="H4159" i="2" s="1"/>
  <c r="G4160" i="2"/>
  <c r="H4160" i="2" s="1"/>
  <c r="G4161" i="2"/>
  <c r="J4161" i="2" s="1"/>
  <c r="G4162" i="2"/>
  <c r="H4162" i="2" s="1"/>
  <c r="G4163" i="2"/>
  <c r="H4163" i="2" s="1"/>
  <c r="G4164" i="2"/>
  <c r="H4164" i="2" s="1"/>
  <c r="G4165" i="2"/>
  <c r="R4165" i="2" s="1"/>
  <c r="G4166" i="2"/>
  <c r="H4166" i="2" s="1"/>
  <c r="G4167" i="2"/>
  <c r="J4167" i="2" s="1"/>
  <c r="G4168" i="2"/>
  <c r="H4168" i="2" s="1"/>
  <c r="G4169" i="2"/>
  <c r="R4169" i="2" s="1"/>
  <c r="G4170" i="2"/>
  <c r="H4170" i="2" s="1"/>
  <c r="G4171" i="2"/>
  <c r="J4171" i="2" s="1"/>
  <c r="G4172" i="2"/>
  <c r="H4172" i="2" s="1"/>
  <c r="G4173" i="2"/>
  <c r="R4173" i="2" s="1"/>
  <c r="G4174" i="2"/>
  <c r="H4174" i="2" s="1"/>
  <c r="G4175" i="2"/>
  <c r="H4175" i="2" s="1"/>
  <c r="G4176" i="2"/>
  <c r="H4176" i="2" s="1"/>
  <c r="G4177" i="2"/>
  <c r="R4177" i="2" s="1"/>
  <c r="G4178" i="2"/>
  <c r="H4178" i="2" s="1"/>
  <c r="G4179" i="2"/>
  <c r="H4179" i="2" s="1"/>
  <c r="G4180" i="2"/>
  <c r="H4180" i="2" s="1"/>
  <c r="G4181" i="2"/>
  <c r="S4181" i="2" s="1"/>
  <c r="T4181" i="2" s="1"/>
  <c r="G4182" i="2"/>
  <c r="H4182" i="2" s="1"/>
  <c r="G4183" i="2"/>
  <c r="U4183" i="2" s="1"/>
  <c r="G4184" i="2"/>
  <c r="H4184" i="2" s="1"/>
  <c r="G4185" i="2"/>
  <c r="I4185" i="2" s="1"/>
  <c r="G4186" i="2"/>
  <c r="J4186" i="2" s="1"/>
  <c r="G4187" i="2"/>
  <c r="J4187" i="2" s="1"/>
  <c r="G4188" i="2"/>
  <c r="H4188" i="2" s="1"/>
  <c r="G4189" i="2"/>
  <c r="R4189" i="2" s="1"/>
  <c r="G4190" i="2"/>
  <c r="H4190" i="2" s="1"/>
  <c r="G4191" i="2"/>
  <c r="H4191" i="2" s="1"/>
  <c r="G4192" i="2"/>
  <c r="H4192" i="2" s="1"/>
  <c r="G4193" i="2"/>
  <c r="J4193" i="2" s="1"/>
  <c r="G4194" i="2"/>
  <c r="R4194" i="2" s="1"/>
  <c r="G4195" i="2"/>
  <c r="H4195" i="2" s="1"/>
  <c r="G4196" i="2"/>
  <c r="H4196" i="2" s="1"/>
  <c r="G4197" i="2"/>
  <c r="S4197" i="2" s="1"/>
  <c r="T4197" i="2" s="1"/>
  <c r="G4198" i="2"/>
  <c r="R4198" i="2" s="1"/>
  <c r="G4199" i="2"/>
  <c r="J4199" i="2" s="1"/>
  <c r="G4200" i="2"/>
  <c r="H4200" i="2" s="1"/>
  <c r="G4201" i="2"/>
  <c r="I4201" i="2" s="1"/>
  <c r="G4202" i="2"/>
  <c r="H4202" i="2" s="1"/>
  <c r="G4203" i="2"/>
  <c r="J4203" i="2" s="1"/>
  <c r="G4204" i="2"/>
  <c r="H4204" i="2" s="1"/>
  <c r="G4205" i="2"/>
  <c r="R4205" i="2" s="1"/>
  <c r="G4206" i="2"/>
  <c r="R4206" i="2" s="1"/>
  <c r="G4207" i="2"/>
  <c r="H4207" i="2" s="1"/>
  <c r="G4208" i="2"/>
  <c r="H4208" i="2" s="1"/>
  <c r="G4209" i="2"/>
  <c r="J4209" i="2" s="1"/>
  <c r="G4210" i="2"/>
  <c r="S4210" i="2" s="1"/>
  <c r="T4210" i="2" s="1"/>
  <c r="G4211" i="2"/>
  <c r="H4211" i="2" s="1"/>
  <c r="G4212" i="2"/>
  <c r="H4212" i="2" s="1"/>
  <c r="G4213" i="2"/>
  <c r="R4213" i="2" s="1"/>
  <c r="G4214" i="2"/>
  <c r="S4214" i="2" s="1"/>
  <c r="T4214" i="2" s="1"/>
  <c r="G4215" i="2"/>
  <c r="J4215" i="2" s="1"/>
  <c r="G4216" i="2"/>
  <c r="H4216" i="2" s="1"/>
  <c r="G4217" i="2"/>
  <c r="R4217" i="2" s="1"/>
  <c r="G4218" i="2"/>
  <c r="R4218" i="2" s="1"/>
  <c r="G4219" i="2"/>
  <c r="J4219" i="2" s="1"/>
  <c r="G4220" i="2"/>
  <c r="H4220" i="2" s="1"/>
  <c r="G4221" i="2"/>
  <c r="S4221" i="2" s="1"/>
  <c r="T4221" i="2" s="1"/>
  <c r="G4222" i="2"/>
  <c r="H4222" i="2" s="1"/>
  <c r="G4223" i="2"/>
  <c r="H4223" i="2" s="1"/>
  <c r="G4224" i="2"/>
  <c r="H4224" i="2" s="1"/>
  <c r="G4225" i="2"/>
  <c r="R4225" i="2" s="1"/>
  <c r="G4226" i="2"/>
  <c r="I4226" i="2" s="1"/>
  <c r="G4227" i="2"/>
  <c r="H4227" i="2" s="1"/>
  <c r="G4228" i="2"/>
  <c r="H4228" i="2" s="1"/>
  <c r="G4229" i="2"/>
  <c r="S4229" i="2" s="1"/>
  <c r="T4229" i="2" s="1"/>
  <c r="G4230" i="2"/>
  <c r="H4230" i="2" s="1"/>
  <c r="G4231" i="2"/>
  <c r="J4231" i="2" s="1"/>
  <c r="G4232" i="2"/>
  <c r="H4232" i="2" s="1"/>
  <c r="G4233" i="2"/>
  <c r="J4233" i="2" s="1"/>
  <c r="G4234" i="2"/>
  <c r="H4234" i="2" s="1"/>
  <c r="G4235" i="2"/>
  <c r="J4235" i="2" s="1"/>
  <c r="G4236" i="2"/>
  <c r="H4236" i="2" s="1"/>
  <c r="G4237" i="2"/>
  <c r="S4237" i="2" s="1"/>
  <c r="T4237" i="2" s="1"/>
  <c r="G4238" i="2"/>
  <c r="H4238" i="2" s="1"/>
  <c r="G4239" i="2"/>
  <c r="H4239" i="2" s="1"/>
  <c r="G4240" i="2"/>
  <c r="H4240" i="2" s="1"/>
  <c r="G4241" i="2"/>
  <c r="R4241" i="2" s="1"/>
  <c r="G4242" i="2"/>
  <c r="H4242" i="2" s="1"/>
  <c r="G4243" i="2"/>
  <c r="H4243" i="2" s="1"/>
  <c r="G4244" i="2"/>
  <c r="H4244" i="2" s="1"/>
  <c r="G4245" i="2"/>
  <c r="S4245" i="2" s="1"/>
  <c r="T4245" i="2" s="1"/>
  <c r="G4246" i="2"/>
  <c r="I4246" i="2" s="1"/>
  <c r="G4247" i="2"/>
  <c r="S4247" i="2" s="1"/>
  <c r="T4247" i="2" s="1"/>
  <c r="G4248" i="2"/>
  <c r="H4248" i="2" s="1"/>
  <c r="G4249" i="2"/>
  <c r="H4249" i="2" s="1"/>
  <c r="G4250" i="2"/>
  <c r="H4250" i="2" s="1"/>
  <c r="G4251" i="2"/>
  <c r="J4251" i="2" s="1"/>
  <c r="G4252" i="2"/>
  <c r="H4252" i="2" s="1"/>
  <c r="G4253" i="2"/>
  <c r="H4253" i="2" s="1"/>
  <c r="G4254" i="2"/>
  <c r="H4254" i="2" s="1"/>
  <c r="G4255" i="2"/>
  <c r="U4255" i="2" s="1"/>
  <c r="G4256" i="2"/>
  <c r="H4256" i="2" s="1"/>
  <c r="G4257" i="2"/>
  <c r="H4257" i="2" s="1"/>
  <c r="G4258" i="2"/>
  <c r="H4258" i="2" s="1"/>
  <c r="G4259" i="2"/>
  <c r="S4259" i="2" s="1"/>
  <c r="T4259" i="2" s="1"/>
  <c r="G4260" i="2"/>
  <c r="H4260" i="2" s="1"/>
  <c r="G4261" i="2"/>
  <c r="H4261" i="2" s="1"/>
  <c r="G4262" i="2"/>
  <c r="H4262" i="2" s="1"/>
  <c r="G4263" i="2"/>
  <c r="J4263" i="2" s="1"/>
  <c r="G4264" i="2"/>
  <c r="H4264" i="2" s="1"/>
  <c r="G4265" i="2"/>
  <c r="H4265" i="2" s="1"/>
  <c r="G4266" i="2"/>
  <c r="J4266" i="2" s="1"/>
  <c r="G4267" i="2"/>
  <c r="J4267" i="2" s="1"/>
  <c r="G4268" i="2"/>
  <c r="H4268" i="2" s="1"/>
  <c r="G4269" i="2"/>
  <c r="H4269" i="2" s="1"/>
  <c r="G4270" i="2"/>
  <c r="H4270" i="2" s="1"/>
  <c r="G4271" i="2"/>
  <c r="J4271" i="2" s="1"/>
  <c r="G4272" i="2"/>
  <c r="H4272" i="2" s="1"/>
  <c r="G4273" i="2"/>
  <c r="H4273" i="2" s="1"/>
  <c r="G4274" i="2"/>
  <c r="I4274" i="2" s="1"/>
  <c r="H3699" i="2"/>
  <c r="H3707" i="2"/>
  <c r="H3708" i="2"/>
  <c r="H3715" i="2"/>
  <c r="H3716" i="2"/>
  <c r="H3723" i="2"/>
  <c r="H3724" i="2"/>
  <c r="H3731" i="2"/>
  <c r="H3732" i="2"/>
  <c r="H3735" i="2"/>
  <c r="H3739" i="2"/>
  <c r="H3740" i="2"/>
  <c r="H3747" i="2"/>
  <c r="H3748" i="2"/>
  <c r="H3751" i="2"/>
  <c r="H3755" i="2"/>
  <c r="H3756" i="2"/>
  <c r="H3763" i="2"/>
  <c r="H3771" i="2"/>
  <c r="H3779" i="2"/>
  <c r="H3783" i="2"/>
  <c r="H3787" i="2"/>
  <c r="H3788" i="2"/>
  <c r="H3795" i="2"/>
  <c r="H3803" i="2"/>
  <c r="H3811" i="2"/>
  <c r="H3843" i="2"/>
  <c r="I3701" i="2"/>
  <c r="I3703" i="2"/>
  <c r="I3707" i="2"/>
  <c r="I3708" i="2"/>
  <c r="I3709" i="2"/>
  <c r="I3711" i="2"/>
  <c r="I3712" i="2"/>
  <c r="I3715" i="2"/>
  <c r="I3717" i="2"/>
  <c r="I3719" i="2"/>
  <c r="I3723" i="2"/>
  <c r="I3724" i="2"/>
  <c r="I3727" i="2"/>
  <c r="I3731" i="2"/>
  <c r="I3739" i="2"/>
  <c r="I3743" i="2"/>
  <c r="I3747" i="2"/>
  <c r="I3755" i="2"/>
  <c r="I3756" i="2"/>
  <c r="I3759" i="2"/>
  <c r="I3763" i="2"/>
  <c r="I3767" i="2"/>
  <c r="I3771" i="2"/>
  <c r="I3774" i="2"/>
  <c r="I3775" i="2"/>
  <c r="I3779" i="2"/>
  <c r="I3780" i="2"/>
  <c r="I3781" i="2"/>
  <c r="I3787" i="2"/>
  <c r="I3795" i="2"/>
  <c r="I3798" i="2"/>
  <c r="I3799" i="2"/>
  <c r="I3803" i="2"/>
  <c r="I3804" i="2"/>
  <c r="I3811" i="2"/>
  <c r="I3823" i="2"/>
  <c r="I3827" i="2"/>
  <c r="I3831" i="2"/>
  <c r="I3835" i="2"/>
  <c r="I3875" i="2"/>
  <c r="I3896" i="2"/>
  <c r="J3699" i="2"/>
  <c r="J3701" i="2"/>
  <c r="J3702" i="2"/>
  <c r="J3703" i="2"/>
  <c r="J3705" i="2"/>
  <c r="J3711" i="2"/>
  <c r="J3712" i="2"/>
  <c r="J3719" i="2"/>
  <c r="J3721" i="2"/>
  <c r="J3727" i="2"/>
  <c r="J3732" i="2"/>
  <c r="J3733" i="2"/>
  <c r="J3736" i="2"/>
  <c r="J3739" i="2"/>
  <c r="J3747" i="2"/>
  <c r="J3748" i="2"/>
  <c r="J3749" i="2"/>
  <c r="J3752" i="2"/>
  <c r="J3756" i="2"/>
  <c r="J3757" i="2"/>
  <c r="J3759" i="2"/>
  <c r="J3763" i="2"/>
  <c r="J3767" i="2"/>
  <c r="J3771" i="2"/>
  <c r="J3775" i="2"/>
  <c r="J3777" i="2"/>
  <c r="J3779" i="2"/>
  <c r="J3787" i="2"/>
  <c r="J3793" i="2"/>
  <c r="J3799" i="2"/>
  <c r="J3813" i="2"/>
  <c r="J3815" i="2"/>
  <c r="J3819" i="2"/>
  <c r="J3821" i="2"/>
  <c r="J3827" i="2"/>
  <c r="J3863" i="2"/>
  <c r="J3872" i="2"/>
  <c r="J3887" i="2"/>
  <c r="J3896" i="2"/>
  <c r="J3908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R3700" i="2"/>
  <c r="R3703" i="2"/>
  <c r="R3707" i="2"/>
  <c r="R3712" i="2"/>
  <c r="R3713" i="2"/>
  <c r="R3715" i="2"/>
  <c r="R3720" i="2"/>
  <c r="R3723" i="2"/>
  <c r="R3728" i="2"/>
  <c r="R3732" i="2"/>
  <c r="R3736" i="2"/>
  <c r="R3739" i="2"/>
  <c r="R3744" i="2"/>
  <c r="R3748" i="2"/>
  <c r="R3749" i="2"/>
  <c r="R3750" i="2"/>
  <c r="R3752" i="2"/>
  <c r="R3757" i="2"/>
  <c r="R3759" i="2"/>
  <c r="R3775" i="2"/>
  <c r="R3779" i="2"/>
  <c r="R3783" i="2"/>
  <c r="R3796" i="2"/>
  <c r="R3803" i="2"/>
  <c r="R3819" i="2"/>
  <c r="R3823" i="2"/>
  <c r="R3825" i="2"/>
  <c r="R3826" i="2"/>
  <c r="R3840" i="2"/>
  <c r="R3847" i="2"/>
  <c r="R3896" i="2"/>
  <c r="R3951" i="2"/>
  <c r="S3704" i="2"/>
  <c r="T3704" i="2" s="1"/>
  <c r="S3707" i="2"/>
  <c r="T3707" i="2" s="1"/>
  <c r="S3709" i="2"/>
  <c r="T3709" i="2" s="1"/>
  <c r="S3711" i="2"/>
  <c r="T3711" i="2" s="1"/>
  <c r="S3712" i="2"/>
  <c r="T3712" i="2" s="1"/>
  <c r="S3716" i="2"/>
  <c r="T3716" i="2" s="1"/>
  <c r="S3720" i="2"/>
  <c r="T3720" i="2" s="1"/>
  <c r="S3724" i="2"/>
  <c r="T3724" i="2" s="1"/>
  <c r="S3726" i="2"/>
  <c r="T3726" i="2" s="1"/>
  <c r="S3728" i="2"/>
  <c r="T3728" i="2" s="1"/>
  <c r="S3732" i="2"/>
  <c r="T3732" i="2" s="1"/>
  <c r="S3734" i="2"/>
  <c r="T3734" i="2" s="1"/>
  <c r="S3739" i="2"/>
  <c r="T3739" i="2" s="1"/>
  <c r="S3741" i="2"/>
  <c r="T3741" i="2" s="1"/>
  <c r="S3743" i="2"/>
  <c r="T3743" i="2" s="1"/>
  <c r="S3753" i="2"/>
  <c r="T3753" i="2" s="1"/>
  <c r="S3755" i="2"/>
  <c r="T3755" i="2" s="1"/>
  <c r="S3759" i="2"/>
  <c r="T3759" i="2" s="1"/>
  <c r="S3763" i="2"/>
  <c r="T3763" i="2" s="1"/>
  <c r="S3768" i="2"/>
  <c r="T3768" i="2" s="1"/>
  <c r="S3776" i="2"/>
  <c r="T3776" i="2" s="1"/>
  <c r="S3779" i="2"/>
  <c r="T3779" i="2" s="1"/>
  <c r="S3795" i="2"/>
  <c r="T3795" i="2" s="1"/>
  <c r="S3802" i="2"/>
  <c r="T3802" i="2" s="1"/>
  <c r="S3807" i="2"/>
  <c r="T3807" i="2" s="1"/>
  <c r="S3823" i="2"/>
  <c r="T3823" i="2" s="1"/>
  <c r="S3827" i="2"/>
  <c r="T3827" i="2" s="1"/>
  <c r="S3843" i="2"/>
  <c r="T3843" i="2" s="1"/>
  <c r="S3855" i="2"/>
  <c r="T3855" i="2" s="1"/>
  <c r="S3888" i="2"/>
  <c r="T3888" i="2" s="1"/>
  <c r="S3947" i="2"/>
  <c r="T3947" i="2" s="1"/>
  <c r="U3701" i="2"/>
  <c r="U3703" i="2"/>
  <c r="U3704" i="2"/>
  <c r="U3707" i="2"/>
  <c r="U3708" i="2"/>
  <c r="U3709" i="2"/>
  <c r="U3711" i="2"/>
  <c r="U3712" i="2"/>
  <c r="U3727" i="2"/>
  <c r="U3728" i="2"/>
  <c r="U3730" i="2"/>
  <c r="U3731" i="2"/>
  <c r="U3732" i="2"/>
  <c r="U3736" i="2"/>
  <c r="U3738" i="2"/>
  <c r="U3739" i="2"/>
  <c r="U3740" i="2"/>
  <c r="U3745" i="2"/>
  <c r="U3746" i="2"/>
  <c r="U3760" i="2"/>
  <c r="U3763" i="2"/>
  <c r="U3767" i="2"/>
  <c r="U3784" i="2"/>
  <c r="U3787" i="2"/>
  <c r="U3791" i="2"/>
  <c r="U3803" i="2"/>
  <c r="U3816" i="2"/>
  <c r="U3825" i="2"/>
  <c r="U3827" i="2"/>
  <c r="U3843" i="2"/>
  <c r="U3847" i="2"/>
  <c r="U3851" i="2"/>
  <c r="U3868" i="2"/>
  <c r="U3883" i="2"/>
  <c r="U3884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G3483" i="2"/>
  <c r="H3483" i="2" s="1"/>
  <c r="G3484" i="2"/>
  <c r="U3484" i="2" s="1"/>
  <c r="G3485" i="2"/>
  <c r="S3485" i="2" s="1"/>
  <c r="T3485" i="2" s="1"/>
  <c r="G3486" i="2"/>
  <c r="U3486" i="2" s="1"/>
  <c r="G3487" i="2"/>
  <c r="H3487" i="2" s="1"/>
  <c r="G3488" i="2"/>
  <c r="U3488" i="2" s="1"/>
  <c r="G3489" i="2"/>
  <c r="I3489" i="2" s="1"/>
  <c r="G3490" i="2"/>
  <c r="I3490" i="2" s="1"/>
  <c r="G3491" i="2"/>
  <c r="H3491" i="2" s="1"/>
  <c r="G3492" i="2"/>
  <c r="H3492" i="2" s="1"/>
  <c r="G3493" i="2"/>
  <c r="J3493" i="2" s="1"/>
  <c r="G3494" i="2"/>
  <c r="H3494" i="2" s="1"/>
  <c r="G3495" i="2"/>
  <c r="H3495" i="2" s="1"/>
  <c r="G3496" i="2"/>
  <c r="H3496" i="2" s="1"/>
  <c r="G3497" i="2"/>
  <c r="U3497" i="2" s="1"/>
  <c r="G3498" i="2"/>
  <c r="H3498" i="2" s="1"/>
  <c r="G3499" i="2"/>
  <c r="H3499" i="2" s="1"/>
  <c r="G3500" i="2"/>
  <c r="H3500" i="2" s="1"/>
  <c r="G3501" i="2"/>
  <c r="H3501" i="2" s="1"/>
  <c r="G3502" i="2"/>
  <c r="H3502" i="2" s="1"/>
  <c r="G3503" i="2"/>
  <c r="H3503" i="2" s="1"/>
  <c r="G3504" i="2"/>
  <c r="U3504" i="2" s="1"/>
  <c r="G3505" i="2"/>
  <c r="J3505" i="2" s="1"/>
  <c r="G3506" i="2"/>
  <c r="J3506" i="2" s="1"/>
  <c r="G3507" i="2"/>
  <c r="I3507" i="2" s="1"/>
  <c r="G3508" i="2"/>
  <c r="U3508" i="2" s="1"/>
  <c r="G3509" i="2"/>
  <c r="R3509" i="2" s="1"/>
  <c r="G3510" i="2"/>
  <c r="H3510" i="2" s="1"/>
  <c r="G3511" i="2"/>
  <c r="I3511" i="2" s="1"/>
  <c r="G3512" i="2"/>
  <c r="U3512" i="2" s="1"/>
  <c r="G3513" i="2"/>
  <c r="J3513" i="2" s="1"/>
  <c r="G3514" i="2"/>
  <c r="S3514" i="2" s="1"/>
  <c r="T3514" i="2" s="1"/>
  <c r="G3515" i="2"/>
  <c r="I3515" i="2" s="1"/>
  <c r="G3516" i="2"/>
  <c r="U3516" i="2" s="1"/>
  <c r="G3517" i="2"/>
  <c r="R3517" i="2" s="1"/>
  <c r="G3518" i="2"/>
  <c r="R3518" i="2" s="1"/>
  <c r="G3519" i="2"/>
  <c r="I3519" i="2" s="1"/>
  <c r="G3520" i="2"/>
  <c r="U3520" i="2" s="1"/>
  <c r="G3521" i="2"/>
  <c r="J3521" i="2" s="1"/>
  <c r="G3522" i="2"/>
  <c r="H3522" i="2" s="1"/>
  <c r="G3523" i="2"/>
  <c r="I3523" i="2" s="1"/>
  <c r="G3524" i="2"/>
  <c r="U3524" i="2" s="1"/>
  <c r="G3525" i="2"/>
  <c r="S3525" i="2" s="1"/>
  <c r="T3525" i="2" s="1"/>
  <c r="G3526" i="2"/>
  <c r="I3526" i="2" s="1"/>
  <c r="G3527" i="2"/>
  <c r="I3527" i="2" s="1"/>
  <c r="G3528" i="2"/>
  <c r="U3528" i="2" s="1"/>
  <c r="G3529" i="2"/>
  <c r="I3529" i="2" s="1"/>
  <c r="G3530" i="2"/>
  <c r="H3530" i="2" s="1"/>
  <c r="G3531" i="2"/>
  <c r="I3531" i="2" s="1"/>
  <c r="G3532" i="2"/>
  <c r="U3532" i="2" s="1"/>
  <c r="G3533" i="2"/>
  <c r="R3533" i="2" s="1"/>
  <c r="G3534" i="2"/>
  <c r="J3534" i="2" s="1"/>
  <c r="G3535" i="2"/>
  <c r="R3535" i="2" s="1"/>
  <c r="G3536" i="2"/>
  <c r="U3536" i="2" s="1"/>
  <c r="G3537" i="2"/>
  <c r="J3537" i="2" s="1"/>
  <c r="G3538" i="2"/>
  <c r="R3538" i="2" s="1"/>
  <c r="G3539" i="2"/>
  <c r="U3539" i="2" s="1"/>
  <c r="G3540" i="2"/>
  <c r="U3540" i="2" s="1"/>
  <c r="G3541" i="2"/>
  <c r="R3541" i="2" s="1"/>
  <c r="G3542" i="2"/>
  <c r="I3542" i="2" s="1"/>
  <c r="G3543" i="2"/>
  <c r="S3543" i="2" s="1"/>
  <c r="T3543" i="2" s="1"/>
  <c r="G3544" i="2"/>
  <c r="U3544" i="2" s="1"/>
  <c r="G3545" i="2"/>
  <c r="S3545" i="2" s="1"/>
  <c r="T3545" i="2" s="1"/>
  <c r="G3546" i="2"/>
  <c r="J3546" i="2" s="1"/>
  <c r="G3547" i="2"/>
  <c r="U3547" i="2" s="1"/>
  <c r="G3548" i="2"/>
  <c r="U3548" i="2" s="1"/>
  <c r="G3549" i="2"/>
  <c r="R3549" i="2" s="1"/>
  <c r="G3550" i="2"/>
  <c r="J3550" i="2" s="1"/>
  <c r="G3551" i="2"/>
  <c r="U3551" i="2" s="1"/>
  <c r="G3552" i="2"/>
  <c r="U3552" i="2" s="1"/>
  <c r="G3553" i="2"/>
  <c r="J3553" i="2" s="1"/>
  <c r="G3554" i="2"/>
  <c r="S3554" i="2" s="1"/>
  <c r="T3554" i="2" s="1"/>
  <c r="G3555" i="2"/>
  <c r="J3555" i="2" s="1"/>
  <c r="G3556" i="2"/>
  <c r="U3556" i="2" s="1"/>
  <c r="G3557" i="2"/>
  <c r="S3557" i="2" s="1"/>
  <c r="T3557" i="2" s="1"/>
  <c r="G3558" i="2"/>
  <c r="R3558" i="2" s="1"/>
  <c r="G3559" i="2"/>
  <c r="R3559" i="2" s="1"/>
  <c r="G3560" i="2"/>
  <c r="U3560" i="2" s="1"/>
  <c r="G3561" i="2"/>
  <c r="J3561" i="2" s="1"/>
  <c r="G3562" i="2"/>
  <c r="H3562" i="2" s="1"/>
  <c r="G3563" i="2"/>
  <c r="J3563" i="2" s="1"/>
  <c r="G3564" i="2"/>
  <c r="U3564" i="2" s="1"/>
  <c r="G3565" i="2"/>
  <c r="R3565" i="2" s="1"/>
  <c r="G3566" i="2"/>
  <c r="H3566" i="2" s="1"/>
  <c r="G3567" i="2"/>
  <c r="U3567" i="2" s="1"/>
  <c r="G3568" i="2"/>
  <c r="R3568" i="2" s="1"/>
  <c r="G3569" i="2"/>
  <c r="R3569" i="2" s="1"/>
  <c r="G3570" i="2"/>
  <c r="H3570" i="2" s="1"/>
  <c r="G3571" i="2"/>
  <c r="I3571" i="2" s="1"/>
  <c r="G3572" i="2"/>
  <c r="J3572" i="2" s="1"/>
  <c r="G3573" i="2"/>
  <c r="S3573" i="2" s="1"/>
  <c r="T3573" i="2" s="1"/>
  <c r="G3574" i="2"/>
  <c r="I3574" i="2" s="1"/>
  <c r="G3575" i="2"/>
  <c r="S3575" i="2" s="1"/>
  <c r="T3575" i="2" s="1"/>
  <c r="G3576" i="2"/>
  <c r="R3576" i="2" s="1"/>
  <c r="G3577" i="2"/>
  <c r="H3577" i="2" s="1"/>
  <c r="G3578" i="2"/>
  <c r="H3578" i="2" s="1"/>
  <c r="G3579" i="2"/>
  <c r="J3579" i="2" s="1"/>
  <c r="G3580" i="2"/>
  <c r="R3580" i="2" s="1"/>
  <c r="G3581" i="2"/>
  <c r="R3581" i="2" s="1"/>
  <c r="G3582" i="2"/>
  <c r="H3582" i="2" s="1"/>
  <c r="G3583" i="2"/>
  <c r="S3583" i="2" s="1"/>
  <c r="T3583" i="2" s="1"/>
  <c r="G3584" i="2"/>
  <c r="R3584" i="2" s="1"/>
  <c r="G3585" i="2"/>
  <c r="R3585" i="2" s="1"/>
  <c r="G3586" i="2"/>
  <c r="R3586" i="2" s="1"/>
  <c r="G3587" i="2"/>
  <c r="I3587" i="2" s="1"/>
  <c r="G3588" i="2"/>
  <c r="R3588" i="2" s="1"/>
  <c r="G3589" i="2"/>
  <c r="S3589" i="2" s="1"/>
  <c r="T3589" i="2" s="1"/>
  <c r="G3590" i="2"/>
  <c r="H3590" i="2" s="1"/>
  <c r="G3591" i="2"/>
  <c r="U3591" i="2" s="1"/>
  <c r="G3592" i="2"/>
  <c r="R3592" i="2" s="1"/>
  <c r="G3593" i="2"/>
  <c r="H3593" i="2" s="1"/>
  <c r="G3594" i="2"/>
  <c r="H3594" i="2" s="1"/>
  <c r="G3595" i="2"/>
  <c r="J3595" i="2" s="1"/>
  <c r="G3596" i="2"/>
  <c r="R3596" i="2" s="1"/>
  <c r="G3597" i="2"/>
  <c r="R3597" i="2" s="1"/>
  <c r="G3598" i="2"/>
  <c r="H3598" i="2" s="1"/>
  <c r="G3599" i="2"/>
  <c r="U3599" i="2" s="1"/>
  <c r="G3600" i="2"/>
  <c r="R3600" i="2" s="1"/>
  <c r="G3601" i="2"/>
  <c r="R3601" i="2" s="1"/>
  <c r="G3602" i="2"/>
  <c r="I3602" i="2" s="1"/>
  <c r="G3603" i="2"/>
  <c r="I3603" i="2" s="1"/>
  <c r="G3604" i="2"/>
  <c r="I3604" i="2" s="1"/>
  <c r="G3605" i="2"/>
  <c r="S3605" i="2" s="1"/>
  <c r="T3605" i="2" s="1"/>
  <c r="G3606" i="2"/>
  <c r="S3606" i="2" s="1"/>
  <c r="T3606" i="2" s="1"/>
  <c r="G3607" i="2"/>
  <c r="R3607" i="2" s="1"/>
  <c r="G3608" i="2"/>
  <c r="R3608" i="2" s="1"/>
  <c r="G3609" i="2"/>
  <c r="H3609" i="2" s="1"/>
  <c r="G3610" i="2"/>
  <c r="R3610" i="2" s="1"/>
  <c r="G3611" i="2"/>
  <c r="J3611" i="2" s="1"/>
  <c r="G3612" i="2"/>
  <c r="R3612" i="2" s="1"/>
  <c r="G3613" i="2"/>
  <c r="R3613" i="2" s="1"/>
  <c r="G3614" i="2"/>
  <c r="U3614" i="2" s="1"/>
  <c r="G3615" i="2"/>
  <c r="S3615" i="2" s="1"/>
  <c r="T3615" i="2" s="1"/>
  <c r="G3616" i="2"/>
  <c r="R3616" i="2" s="1"/>
  <c r="G3617" i="2"/>
  <c r="R3617" i="2" s="1"/>
  <c r="G3618" i="2"/>
  <c r="R3618" i="2" s="1"/>
  <c r="G3619" i="2"/>
  <c r="I3619" i="2" s="1"/>
  <c r="G3620" i="2"/>
  <c r="R3620" i="2" s="1"/>
  <c r="G3621" i="2"/>
  <c r="S3621" i="2" s="1"/>
  <c r="T3621" i="2" s="1"/>
  <c r="G3622" i="2"/>
  <c r="U3622" i="2" s="1"/>
  <c r="G3623" i="2"/>
  <c r="S3623" i="2" s="1"/>
  <c r="T3623" i="2" s="1"/>
  <c r="G3624" i="2"/>
  <c r="R3624" i="2" s="1"/>
  <c r="G3625" i="2"/>
  <c r="H3625" i="2" s="1"/>
  <c r="G3626" i="2"/>
  <c r="J3626" i="2" s="1"/>
  <c r="G3627" i="2"/>
  <c r="U3627" i="2" s="1"/>
  <c r="G3628" i="2"/>
  <c r="R3628" i="2" s="1"/>
  <c r="G3629" i="2"/>
  <c r="R3629" i="2" s="1"/>
  <c r="G3630" i="2"/>
  <c r="I3630" i="2" s="1"/>
  <c r="G3631" i="2"/>
  <c r="R3631" i="2" s="1"/>
  <c r="G3632" i="2"/>
  <c r="R3632" i="2" s="1"/>
  <c r="G3633" i="2"/>
  <c r="R3633" i="2" s="1"/>
  <c r="G3634" i="2"/>
  <c r="R3634" i="2" s="1"/>
  <c r="G3635" i="2"/>
  <c r="I3635" i="2" s="1"/>
  <c r="G3636" i="2"/>
  <c r="R3636" i="2" s="1"/>
  <c r="G3637" i="2"/>
  <c r="S3637" i="2" s="1"/>
  <c r="T3637" i="2" s="1"/>
  <c r="G3638" i="2"/>
  <c r="I3638" i="2" s="1"/>
  <c r="G3639" i="2"/>
  <c r="R3639" i="2" s="1"/>
  <c r="G3640" i="2"/>
  <c r="R3640" i="2" s="1"/>
  <c r="G3641" i="2"/>
  <c r="H3641" i="2" s="1"/>
  <c r="G3642" i="2"/>
  <c r="J3642" i="2" s="1"/>
  <c r="G3643" i="2"/>
  <c r="R3643" i="2" s="1"/>
  <c r="G3644" i="2"/>
  <c r="R3644" i="2" s="1"/>
  <c r="G3645" i="2"/>
  <c r="R3645" i="2" s="1"/>
  <c r="G3646" i="2"/>
  <c r="J3646" i="2" s="1"/>
  <c r="G3647" i="2"/>
  <c r="U3647" i="2" s="1"/>
  <c r="G3648" i="2"/>
  <c r="R3648" i="2" s="1"/>
  <c r="G3649" i="2"/>
  <c r="R3649" i="2" s="1"/>
  <c r="G3650" i="2"/>
  <c r="H3650" i="2" s="1"/>
  <c r="G3651" i="2"/>
  <c r="H3651" i="2" s="1"/>
  <c r="G3652" i="2"/>
  <c r="R3652" i="2" s="1"/>
  <c r="G3653" i="2"/>
  <c r="S3653" i="2" s="1"/>
  <c r="T3653" i="2" s="1"/>
  <c r="G3654" i="2"/>
  <c r="U3654" i="2" s="1"/>
  <c r="G3655" i="2"/>
  <c r="S3655" i="2" s="1"/>
  <c r="T3655" i="2" s="1"/>
  <c r="G3656" i="2"/>
  <c r="R3656" i="2" s="1"/>
  <c r="G3657" i="2"/>
  <c r="H3657" i="2" s="1"/>
  <c r="G3658" i="2"/>
  <c r="I3658" i="2" s="1"/>
  <c r="G3659" i="2"/>
  <c r="J3659" i="2" s="1"/>
  <c r="G3660" i="2"/>
  <c r="R3660" i="2" s="1"/>
  <c r="G3661" i="2"/>
  <c r="R3661" i="2" s="1"/>
  <c r="G3662" i="2"/>
  <c r="H3662" i="2" s="1"/>
  <c r="G3663" i="2"/>
  <c r="H3663" i="2" s="1"/>
  <c r="G3664" i="2"/>
  <c r="R3664" i="2" s="1"/>
  <c r="G3665" i="2"/>
  <c r="I3665" i="2" s="1"/>
  <c r="G3666" i="2"/>
  <c r="R3666" i="2" s="1"/>
  <c r="G3667" i="2"/>
  <c r="H3667" i="2" s="1"/>
  <c r="G3668" i="2"/>
  <c r="R3668" i="2" s="1"/>
  <c r="G3669" i="2"/>
  <c r="I3669" i="2" s="1"/>
  <c r="G3670" i="2"/>
  <c r="I3670" i="2" s="1"/>
  <c r="G3671" i="2"/>
  <c r="R3671" i="2" s="1"/>
  <c r="G3672" i="2"/>
  <c r="R3672" i="2" s="1"/>
  <c r="G3673" i="2"/>
  <c r="H3673" i="2" s="1"/>
  <c r="G3674" i="2"/>
  <c r="R3674" i="2" s="1"/>
  <c r="G3675" i="2"/>
  <c r="J3675" i="2" s="1"/>
  <c r="G3676" i="2"/>
  <c r="R3676" i="2" s="1"/>
  <c r="G3677" i="2"/>
  <c r="R3677" i="2" s="1"/>
  <c r="G3678" i="2"/>
  <c r="J3678" i="2" s="1"/>
  <c r="G3679" i="2"/>
  <c r="U3679" i="2" s="1"/>
  <c r="G3680" i="2"/>
  <c r="R3680" i="2" s="1"/>
  <c r="G3681" i="2"/>
  <c r="R3681" i="2" s="1"/>
  <c r="G3682" i="2"/>
  <c r="J3682" i="2" s="1"/>
  <c r="G3683" i="2"/>
  <c r="H3683" i="2" s="1"/>
  <c r="G3684" i="2"/>
  <c r="R3684" i="2" s="1"/>
  <c r="G3685" i="2"/>
  <c r="S3685" i="2" s="1"/>
  <c r="T3685" i="2" s="1"/>
  <c r="G3686" i="2"/>
  <c r="R3686" i="2" s="1"/>
  <c r="G3687" i="2"/>
  <c r="R3687" i="2" s="1"/>
  <c r="G3688" i="2"/>
  <c r="R3688" i="2" s="1"/>
  <c r="G3689" i="2"/>
  <c r="H3689" i="2" s="1"/>
  <c r="G3690" i="2"/>
  <c r="H3690" i="2" s="1"/>
  <c r="G3691" i="2"/>
  <c r="R3691" i="2" s="1"/>
  <c r="G3692" i="2"/>
  <c r="R3692" i="2" s="1"/>
  <c r="G3693" i="2"/>
  <c r="S3693" i="2" s="1"/>
  <c r="T3693" i="2" s="1"/>
  <c r="G3694" i="2"/>
  <c r="H3694" i="2" s="1"/>
  <c r="G3695" i="2"/>
  <c r="R3695" i="2" s="1"/>
  <c r="G3696" i="2"/>
  <c r="R3696" i="2" s="1"/>
  <c r="G3697" i="2"/>
  <c r="R3697" i="2" s="1"/>
  <c r="H3486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U352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U3897" i="2" l="1"/>
  <c r="U3805" i="2"/>
  <c r="U3789" i="2"/>
  <c r="S3837" i="2"/>
  <c r="T3837" i="2" s="1"/>
  <c r="S3765" i="2"/>
  <c r="T3765" i="2" s="1"/>
  <c r="J3825" i="2"/>
  <c r="J3769" i="2"/>
  <c r="I3813" i="2"/>
  <c r="I3765" i="2"/>
  <c r="U3801" i="2"/>
  <c r="S3849" i="2"/>
  <c r="T3849" i="2" s="1"/>
  <c r="S3825" i="2"/>
  <c r="T3825" i="2" s="1"/>
  <c r="S3769" i="2"/>
  <c r="T3769" i="2" s="1"/>
  <c r="S3749" i="2"/>
  <c r="T3749" i="2" s="1"/>
  <c r="R3733" i="2"/>
  <c r="J3809" i="2"/>
  <c r="J3789" i="2"/>
  <c r="I3797" i="2"/>
  <c r="I3753" i="2"/>
  <c r="I3725" i="2"/>
  <c r="H3809" i="2"/>
  <c r="U3941" i="2"/>
  <c r="U3829" i="2"/>
  <c r="U3813" i="2"/>
  <c r="U3769" i="2"/>
  <c r="U3749" i="2"/>
  <c r="S3793" i="2"/>
  <c r="T3793" i="2" s="1"/>
  <c r="S3757" i="2"/>
  <c r="T3757" i="2" s="1"/>
  <c r="S3733" i="2"/>
  <c r="T3733" i="2" s="1"/>
  <c r="R3837" i="2"/>
  <c r="R3821" i="2"/>
  <c r="R3789" i="2"/>
  <c r="R3765" i="2"/>
  <c r="R3741" i="2"/>
  <c r="J3817" i="2"/>
  <c r="J3801" i="2"/>
  <c r="J3761" i="2"/>
  <c r="I3821" i="2"/>
  <c r="I3757" i="2"/>
  <c r="I3749" i="2"/>
  <c r="I3733" i="2"/>
  <c r="H3849" i="2"/>
  <c r="U3905" i="2"/>
  <c r="U3837" i="2"/>
  <c r="U3817" i="2"/>
  <c r="S3829" i="2"/>
  <c r="T3829" i="2" s="1"/>
  <c r="S3813" i="2"/>
  <c r="T3813" i="2" s="1"/>
  <c r="R3957" i="2"/>
  <c r="J3917" i="2"/>
  <c r="J3889" i="2"/>
  <c r="J3833" i="2"/>
  <c r="I3825" i="2"/>
  <c r="H3821" i="2"/>
  <c r="J3905" i="2"/>
  <c r="R3758" i="2"/>
  <c r="J3710" i="2"/>
  <c r="I3734" i="2"/>
  <c r="I3726" i="2"/>
  <c r="I3722" i="2"/>
  <c r="U3806" i="2"/>
  <c r="U3758" i="2"/>
  <c r="R3718" i="2"/>
  <c r="R3710" i="2"/>
  <c r="J3870" i="2"/>
  <c r="J3718" i="2"/>
  <c r="I3746" i="2"/>
  <c r="I3698" i="2"/>
  <c r="U3698" i="2"/>
  <c r="S3782" i="2"/>
  <c r="T3782" i="2" s="1"/>
  <c r="S3746" i="2"/>
  <c r="T3746" i="2" s="1"/>
  <c r="S3738" i="2"/>
  <c r="T3738" i="2" s="1"/>
  <c r="S3718" i="2"/>
  <c r="T3718" i="2" s="1"/>
  <c r="R3734" i="2"/>
  <c r="R3726" i="2"/>
  <c r="J3734" i="2"/>
  <c r="J3726" i="2"/>
  <c r="I3766" i="2"/>
  <c r="I3750" i="2"/>
  <c r="I3710" i="2"/>
  <c r="I3706" i="2"/>
  <c r="H3886" i="2"/>
  <c r="H3774" i="2"/>
  <c r="H3698" i="2"/>
  <c r="R3914" i="2"/>
  <c r="R3937" i="2"/>
  <c r="J3933" i="2"/>
  <c r="U3867" i="2"/>
  <c r="S3863" i="2"/>
  <c r="T3863" i="2" s="1"/>
  <c r="R3851" i="2"/>
  <c r="R3827" i="2"/>
  <c r="J3835" i="2"/>
  <c r="J3823" i="2"/>
  <c r="I3855" i="2"/>
  <c r="H3851" i="2"/>
  <c r="H3823" i="2"/>
  <c r="S3867" i="2"/>
  <c r="T3867" i="2" s="1"/>
  <c r="R3943" i="2"/>
  <c r="R3863" i="2"/>
  <c r="J3875" i="2"/>
  <c r="J3847" i="2"/>
  <c r="I3863" i="2"/>
  <c r="H3831" i="2"/>
  <c r="U3952" i="2"/>
  <c r="J3924" i="2"/>
  <c r="U3902" i="2"/>
  <c r="U3870" i="2"/>
  <c r="U3750" i="2"/>
  <c r="U3710" i="2"/>
  <c r="S3710" i="2"/>
  <c r="T3710" i="2" s="1"/>
  <c r="S3702" i="2"/>
  <c r="T3702" i="2" s="1"/>
  <c r="R3786" i="2"/>
  <c r="R3766" i="2"/>
  <c r="R3738" i="2"/>
  <c r="J3982" i="2"/>
  <c r="J3798" i="2"/>
  <c r="J3786" i="2"/>
  <c r="J3746" i="2"/>
  <c r="J3722" i="2"/>
  <c r="J3714" i="2"/>
  <c r="J3706" i="2"/>
  <c r="I3702" i="2"/>
  <c r="H3754" i="2"/>
  <c r="H3746" i="2"/>
  <c r="H3738" i="2"/>
  <c r="H3730" i="2"/>
  <c r="H3722" i="2"/>
  <c r="H3714" i="2"/>
  <c r="H3706" i="2"/>
  <c r="U3802" i="2"/>
  <c r="U3722" i="2"/>
  <c r="S3910" i="2"/>
  <c r="T3910" i="2" s="1"/>
  <c r="S3722" i="2"/>
  <c r="T3722" i="2" s="1"/>
  <c r="S3714" i="2"/>
  <c r="T3714" i="2" s="1"/>
  <c r="S3698" i="2"/>
  <c r="T3698" i="2" s="1"/>
  <c r="R3798" i="2"/>
  <c r="R3730" i="2"/>
  <c r="J3806" i="2"/>
  <c r="I3862" i="2"/>
  <c r="I3790" i="2"/>
  <c r="I3762" i="2"/>
  <c r="I3738" i="2"/>
  <c r="I3730" i="2"/>
  <c r="I3718" i="2"/>
  <c r="H3762" i="2"/>
  <c r="H3742" i="2"/>
  <c r="H3726" i="2"/>
  <c r="H3718" i="2"/>
  <c r="U3838" i="2"/>
  <c r="R4026" i="2"/>
  <c r="U4050" i="2"/>
  <c r="U3914" i="2"/>
  <c r="U3778" i="2"/>
  <c r="S3766" i="2"/>
  <c r="T3766" i="2" s="1"/>
  <c r="S3758" i="2"/>
  <c r="T3758" i="2" s="1"/>
  <c r="S3750" i="2"/>
  <c r="T3750" i="2" s="1"/>
  <c r="R3962" i="2"/>
  <c r="R3882" i="2"/>
  <c r="R3854" i="2"/>
  <c r="R3794" i="2"/>
  <c r="R3754" i="2"/>
  <c r="J4022" i="2"/>
  <c r="J3854" i="2"/>
  <c r="J3822" i="2"/>
  <c r="J3790" i="2"/>
  <c r="J3774" i="2"/>
  <c r="J3766" i="2"/>
  <c r="J3758" i="2"/>
  <c r="J3750" i="2"/>
  <c r="I3866" i="2"/>
  <c r="I3842" i="2"/>
  <c r="I3802" i="2"/>
  <c r="I3786" i="2"/>
  <c r="I3758" i="2"/>
  <c r="I3754" i="2"/>
  <c r="U4002" i="2"/>
  <c r="U3842" i="2"/>
  <c r="U3774" i="2"/>
  <c r="S3930" i="2"/>
  <c r="T3930" i="2" s="1"/>
  <c r="S3838" i="2"/>
  <c r="T3838" i="2" s="1"/>
  <c r="S3806" i="2"/>
  <c r="T3806" i="2" s="1"/>
  <c r="S3786" i="2"/>
  <c r="T3786" i="2" s="1"/>
  <c r="S3774" i="2"/>
  <c r="T3774" i="2" s="1"/>
  <c r="R3918" i="2"/>
  <c r="R3866" i="2"/>
  <c r="R3822" i="2"/>
  <c r="R3802" i="2"/>
  <c r="R3790" i="2"/>
  <c r="J4018" i="2"/>
  <c r="J3918" i="2"/>
  <c r="J3906" i="2"/>
  <c r="J3826" i="2"/>
  <c r="J3778" i="2"/>
  <c r="I3810" i="2"/>
  <c r="I3794" i="2"/>
  <c r="I3782" i="2"/>
  <c r="I3778" i="2"/>
  <c r="I3770" i="2"/>
  <c r="H3850" i="2"/>
  <c r="H3830" i="2"/>
  <c r="H3810" i="2"/>
  <c r="H3798" i="2"/>
  <c r="H3766" i="2"/>
  <c r="U3846" i="2"/>
  <c r="U3818" i="2"/>
  <c r="S3994" i="2"/>
  <c r="T3994" i="2" s="1"/>
  <c r="R4018" i="2"/>
  <c r="R3862" i="2"/>
  <c r="J3910" i="2"/>
  <c r="J3902" i="2"/>
  <c r="J3878" i="2"/>
  <c r="H3882" i="2"/>
  <c r="H3806" i="2"/>
  <c r="U3904" i="2"/>
  <c r="U3896" i="2"/>
  <c r="U3848" i="2"/>
  <c r="U3832" i="2"/>
  <c r="U3824" i="2"/>
  <c r="U3792" i="2"/>
  <c r="S3960" i="2"/>
  <c r="T3960" i="2" s="1"/>
  <c r="S3924" i="2"/>
  <c r="T3924" i="2" s="1"/>
  <c r="S3880" i="2"/>
  <c r="T3880" i="2" s="1"/>
  <c r="S3820" i="2"/>
  <c r="T3820" i="2" s="1"/>
  <c r="R3892" i="2"/>
  <c r="R3880" i="2"/>
  <c r="R3784" i="2"/>
  <c r="J3892" i="2"/>
  <c r="J3880" i="2"/>
  <c r="J3832" i="2"/>
  <c r="J3824" i="2"/>
  <c r="J3792" i="2"/>
  <c r="I3948" i="2"/>
  <c r="I3892" i="2"/>
  <c r="I3872" i="2"/>
  <c r="I3856" i="2"/>
  <c r="I3832" i="2"/>
  <c r="I3824" i="2"/>
  <c r="I3812" i="2"/>
  <c r="I3792" i="2"/>
  <c r="I3772" i="2"/>
  <c r="H3796" i="2"/>
  <c r="H3764" i="2"/>
  <c r="U3924" i="2"/>
  <c r="U3892" i="2"/>
  <c r="U3872" i="2"/>
  <c r="U3864" i="2"/>
  <c r="U3840" i="2"/>
  <c r="U3812" i="2"/>
  <c r="U3780" i="2"/>
  <c r="U3768" i="2"/>
  <c r="S3876" i="2"/>
  <c r="T3876" i="2" s="1"/>
  <c r="R3908" i="2"/>
  <c r="R3888" i="2"/>
  <c r="R3872" i="2"/>
  <c r="R3860" i="2"/>
  <c r="R3832" i="2"/>
  <c r="R3824" i="2"/>
  <c r="R3800" i="2"/>
  <c r="R3772" i="2"/>
  <c r="J3840" i="2"/>
  <c r="J3808" i="2"/>
  <c r="I3928" i="2"/>
  <c r="I3888" i="2"/>
  <c r="I3796" i="2"/>
  <c r="H3804" i="2"/>
  <c r="H3772" i="2"/>
  <c r="U3976" i="2"/>
  <c r="U3900" i="2"/>
  <c r="U3888" i="2"/>
  <c r="U3852" i="2"/>
  <c r="U3808" i="2"/>
  <c r="U3752" i="2"/>
  <c r="S3932" i="2"/>
  <c r="T3932" i="2" s="1"/>
  <c r="S3900" i="2"/>
  <c r="T3900" i="2" s="1"/>
  <c r="S3868" i="2"/>
  <c r="T3868" i="2" s="1"/>
  <c r="S3832" i="2"/>
  <c r="T3832" i="2" s="1"/>
  <c r="S3824" i="2"/>
  <c r="T3824" i="2" s="1"/>
  <c r="S3808" i="2"/>
  <c r="T3808" i="2" s="1"/>
  <c r="S3780" i="2"/>
  <c r="T3780" i="2" s="1"/>
  <c r="S3748" i="2"/>
  <c r="T3748" i="2" s="1"/>
  <c r="R3924" i="2"/>
  <c r="R3900" i="2"/>
  <c r="R3884" i="2"/>
  <c r="R3856" i="2"/>
  <c r="R3844" i="2"/>
  <c r="R3816" i="2"/>
  <c r="R3780" i="2"/>
  <c r="J3888" i="2"/>
  <c r="J3860" i="2"/>
  <c r="J3796" i="2"/>
  <c r="J3740" i="2"/>
  <c r="I3912" i="2"/>
  <c r="I3880" i="2"/>
  <c r="I3788" i="2"/>
  <c r="I3764" i="2"/>
  <c r="I3748" i="2"/>
  <c r="I3716" i="2"/>
  <c r="H3792" i="2"/>
  <c r="H3780" i="2"/>
  <c r="S4022" i="2"/>
  <c r="T4022" i="2" s="1"/>
  <c r="R3978" i="2"/>
  <c r="R3946" i="2"/>
  <c r="J4034" i="2"/>
  <c r="R4074" i="2"/>
  <c r="J4021" i="2"/>
  <c r="U3997" i="2"/>
  <c r="S3929" i="2"/>
  <c r="T3929" i="2" s="1"/>
  <c r="R3917" i="2"/>
  <c r="J4037" i="2"/>
  <c r="U4073" i="2"/>
  <c r="U3929" i="2"/>
  <c r="U3869" i="2"/>
  <c r="S3873" i="2"/>
  <c r="T3873" i="2" s="1"/>
  <c r="R3929" i="2"/>
  <c r="R3857" i="2"/>
  <c r="J3965" i="2"/>
  <c r="J3869" i="2"/>
  <c r="H3885" i="2"/>
  <c r="U4049" i="2"/>
  <c r="U3973" i="2"/>
  <c r="U3877" i="2"/>
  <c r="S4049" i="2"/>
  <c r="T4049" i="2" s="1"/>
  <c r="S3993" i="2"/>
  <c r="T3993" i="2" s="1"/>
  <c r="S3913" i="2"/>
  <c r="T3913" i="2" s="1"/>
  <c r="S3869" i="2"/>
  <c r="T3869" i="2" s="1"/>
  <c r="S3861" i="2"/>
  <c r="T3861" i="2" s="1"/>
  <c r="R3973" i="2"/>
  <c r="R3909" i="2"/>
  <c r="J4029" i="2"/>
  <c r="J3993" i="2"/>
  <c r="J3953" i="2"/>
  <c r="J3921" i="2"/>
  <c r="J3873" i="2"/>
  <c r="S4029" i="2"/>
  <c r="T4029" i="2" s="1"/>
  <c r="S3977" i="2"/>
  <c r="T3977" i="2" s="1"/>
  <c r="S3877" i="2"/>
  <c r="T3877" i="2" s="1"/>
  <c r="R4025" i="2"/>
  <c r="R3877" i="2"/>
  <c r="J4061" i="2"/>
  <c r="J3989" i="2"/>
  <c r="J3937" i="2"/>
  <c r="U3996" i="2"/>
  <c r="R3952" i="2"/>
  <c r="J3956" i="2"/>
  <c r="J3940" i="2"/>
  <c r="J3932" i="2"/>
  <c r="I3960" i="2"/>
  <c r="I3932" i="2"/>
  <c r="I3916" i="2"/>
  <c r="R3948" i="2"/>
  <c r="R3936" i="2"/>
  <c r="J3952" i="2"/>
  <c r="J3936" i="2"/>
  <c r="J3916" i="2"/>
  <c r="I3940" i="2"/>
  <c r="I3924" i="2"/>
  <c r="I3908" i="2"/>
  <c r="U3960" i="2"/>
  <c r="S3940" i="2"/>
  <c r="T3940" i="2" s="1"/>
  <c r="R3984" i="2"/>
  <c r="J3948" i="2"/>
  <c r="J3920" i="2"/>
  <c r="J3912" i="2"/>
  <c r="I3936" i="2"/>
  <c r="I3920" i="2"/>
  <c r="I3900" i="2"/>
  <c r="I4004" i="2"/>
  <c r="U4048" i="2"/>
  <c r="I3984" i="2"/>
  <c r="U4149" i="2"/>
  <c r="S4081" i="2"/>
  <c r="T4081" i="2" s="1"/>
  <c r="J4045" i="2"/>
  <c r="S4056" i="2"/>
  <c r="T4056" i="2" s="1"/>
  <c r="U4077" i="2"/>
  <c r="S3997" i="2"/>
  <c r="T3997" i="2" s="1"/>
  <c r="S3969" i="2"/>
  <c r="T3969" i="2" s="1"/>
  <c r="R4041" i="2"/>
  <c r="R3997" i="2"/>
  <c r="R3949" i="2"/>
  <c r="J4089" i="2"/>
  <c r="J3969" i="2"/>
  <c r="H3949" i="2"/>
  <c r="S4093" i="2"/>
  <c r="T4093" i="2" s="1"/>
  <c r="R3998" i="2"/>
  <c r="U4030" i="2"/>
  <c r="S4002" i="2"/>
  <c r="T4002" i="2" s="1"/>
  <c r="R4094" i="2"/>
  <c r="J3998" i="2"/>
  <c r="H3962" i="2"/>
  <c r="S4101" i="2"/>
  <c r="T4101" i="2" s="1"/>
  <c r="U4125" i="2"/>
  <c r="S4125" i="2"/>
  <c r="T4125" i="2" s="1"/>
  <c r="S4099" i="2"/>
  <c r="T4099" i="2" s="1"/>
  <c r="S4063" i="2"/>
  <c r="T4063" i="2" s="1"/>
  <c r="U4115" i="2"/>
  <c r="U4179" i="2"/>
  <c r="S4117" i="2"/>
  <c r="T4117" i="2" s="1"/>
  <c r="S4087" i="2"/>
  <c r="T4087" i="2" s="1"/>
  <c r="R4085" i="2"/>
  <c r="J4081" i="2"/>
  <c r="S4178" i="2"/>
  <c r="T4178" i="2" s="1"/>
  <c r="U4098" i="2"/>
  <c r="U4006" i="2"/>
  <c r="U3990" i="2"/>
  <c r="U3962" i="2"/>
  <c r="U3910" i="2"/>
  <c r="U3890" i="2"/>
  <c r="U3878" i="2"/>
  <c r="U3854" i="2"/>
  <c r="S4026" i="2"/>
  <c r="T4026" i="2" s="1"/>
  <c r="S3974" i="2"/>
  <c r="T3974" i="2" s="1"/>
  <c r="S3958" i="2"/>
  <c r="T3958" i="2" s="1"/>
  <c r="S3890" i="2"/>
  <c r="T3890" i="2" s="1"/>
  <c r="S3878" i="2"/>
  <c r="T3878" i="2" s="1"/>
  <c r="S3870" i="2"/>
  <c r="T3870" i="2" s="1"/>
  <c r="S3846" i="2"/>
  <c r="T3846" i="2" s="1"/>
  <c r="S3826" i="2"/>
  <c r="T3826" i="2" s="1"/>
  <c r="S3822" i="2"/>
  <c r="T3822" i="2" s="1"/>
  <c r="R4110" i="2"/>
  <c r="R4002" i="2"/>
  <c r="R3982" i="2"/>
  <c r="R3970" i="2"/>
  <c r="R3910" i="2"/>
  <c r="R3898" i="2"/>
  <c r="R3890" i="2"/>
  <c r="R3818" i="2"/>
  <c r="J4026" i="2"/>
  <c r="J4002" i="2"/>
  <c r="J3966" i="2"/>
  <c r="J3890" i="2"/>
  <c r="J3862" i="2"/>
  <c r="J3850" i="2"/>
  <c r="J3802" i="2"/>
  <c r="I3998" i="2"/>
  <c r="I3930" i="2"/>
  <c r="I3878" i="2"/>
  <c r="I3846" i="2"/>
  <c r="I3826" i="2"/>
  <c r="I3822" i="2"/>
  <c r="H3954" i="2"/>
  <c r="H3826" i="2"/>
  <c r="U4038" i="2"/>
  <c r="U3974" i="2"/>
  <c r="U3918" i="2"/>
  <c r="S4086" i="2"/>
  <c r="T4086" i="2" s="1"/>
  <c r="S4018" i="2"/>
  <c r="T4018" i="2" s="1"/>
  <c r="S3962" i="2"/>
  <c r="T3962" i="2" s="1"/>
  <c r="S3946" i="2"/>
  <c r="T3946" i="2" s="1"/>
  <c r="S3902" i="2"/>
  <c r="T3902" i="2" s="1"/>
  <c r="S3886" i="2"/>
  <c r="T3886" i="2" s="1"/>
  <c r="S3842" i="2"/>
  <c r="T3842" i="2" s="1"/>
  <c r="R3974" i="2"/>
  <c r="R3894" i="2"/>
  <c r="R3806" i="2"/>
  <c r="J4058" i="2"/>
  <c r="J4030" i="2"/>
  <c r="J3994" i="2"/>
  <c r="J3970" i="2"/>
  <c r="J3962" i="2"/>
  <c r="J3934" i="2"/>
  <c r="J3922" i="2"/>
  <c r="J3858" i="2"/>
  <c r="I4010" i="2"/>
  <c r="I3982" i="2"/>
  <c r="I3838" i="2"/>
  <c r="I3830" i="2"/>
  <c r="H3946" i="2"/>
  <c r="H3822" i="2"/>
  <c r="H3794" i="2"/>
  <c r="H3786" i="2"/>
  <c r="H3778" i="2"/>
  <c r="H3770" i="2"/>
  <c r="U4269" i="2"/>
  <c r="U4121" i="2"/>
  <c r="S4113" i="2"/>
  <c r="T4113" i="2" s="1"/>
  <c r="R4097" i="2"/>
  <c r="R4073" i="2"/>
  <c r="J4125" i="2"/>
  <c r="J4073" i="2"/>
  <c r="J4097" i="2"/>
  <c r="S4193" i="2"/>
  <c r="T4193" i="2" s="1"/>
  <c r="J3538" i="2"/>
  <c r="R3510" i="2"/>
  <c r="J3598" i="2"/>
  <c r="I3514" i="2"/>
  <c r="J4162" i="2"/>
  <c r="J4086" i="2"/>
  <c r="S4134" i="2"/>
  <c r="T4134" i="2" s="1"/>
  <c r="S4068" i="2"/>
  <c r="T4068" i="2" s="1"/>
  <c r="S4032" i="2"/>
  <c r="T4032" i="2" s="1"/>
  <c r="R4052" i="2"/>
  <c r="I4028" i="2"/>
  <c r="U4056" i="2"/>
  <c r="S3622" i="2"/>
  <c r="T3622" i="2" s="1"/>
  <c r="J3494" i="2"/>
  <c r="S3522" i="2"/>
  <c r="T3522" i="2" s="1"/>
  <c r="I3558" i="2"/>
  <c r="S4155" i="2"/>
  <c r="T4155" i="2" s="1"/>
  <c r="H3558" i="2"/>
  <c r="S4255" i="2"/>
  <c r="T4255" i="2" s="1"/>
  <c r="S4164" i="2"/>
  <c r="T4164" i="2" s="1"/>
  <c r="I4132" i="2"/>
  <c r="U4190" i="2"/>
  <c r="U4158" i="2"/>
  <c r="U4102" i="2"/>
  <c r="U4078" i="2"/>
  <c r="U4042" i="2"/>
  <c r="S4070" i="2"/>
  <c r="T4070" i="2" s="1"/>
  <c r="S4062" i="2"/>
  <c r="T4062" i="2" s="1"/>
  <c r="R4078" i="2"/>
  <c r="R4062" i="2"/>
  <c r="R4038" i="2"/>
  <c r="J4178" i="2"/>
  <c r="J4106" i="2"/>
  <c r="J4078" i="2"/>
  <c r="J4046" i="2"/>
  <c r="I4106" i="2"/>
  <c r="U4178" i="2"/>
  <c r="U4138" i="2"/>
  <c r="U4114" i="2"/>
  <c r="U4086" i="2"/>
  <c r="S4106" i="2"/>
  <c r="T4106" i="2" s="1"/>
  <c r="S4094" i="2"/>
  <c r="T4094" i="2" s="1"/>
  <c r="S4066" i="2"/>
  <c r="T4066" i="2" s="1"/>
  <c r="R4102" i="2"/>
  <c r="R4086" i="2"/>
  <c r="R4050" i="2"/>
  <c r="J4094" i="2"/>
  <c r="J4082" i="2"/>
  <c r="J4070" i="2"/>
  <c r="J4054" i="2"/>
  <c r="J4042" i="2"/>
  <c r="I4162" i="2"/>
  <c r="U4206" i="2"/>
  <c r="U4170" i="2"/>
  <c r="U4106" i="2"/>
  <c r="U4082" i="2"/>
  <c r="U4062" i="2"/>
  <c r="S4238" i="2"/>
  <c r="T4238" i="2" s="1"/>
  <c r="S4158" i="2"/>
  <c r="T4158" i="2" s="1"/>
  <c r="S4122" i="2"/>
  <c r="T4122" i="2" s="1"/>
  <c r="S4102" i="2"/>
  <c r="T4102" i="2" s="1"/>
  <c r="S4078" i="2"/>
  <c r="T4078" i="2" s="1"/>
  <c r="R4098" i="2"/>
  <c r="R4066" i="2"/>
  <c r="J4214" i="2"/>
  <c r="J4118" i="2"/>
  <c r="J4090" i="2"/>
  <c r="J4062" i="2"/>
  <c r="J4050" i="2"/>
  <c r="J4038" i="2"/>
  <c r="U4167" i="2"/>
  <c r="U4080" i="2"/>
  <c r="U4072" i="2"/>
  <c r="U4052" i="2"/>
  <c r="U4044" i="2"/>
  <c r="U3992" i="2"/>
  <c r="S4208" i="2"/>
  <c r="T4208" i="2" s="1"/>
  <c r="S4052" i="2"/>
  <c r="T4052" i="2" s="1"/>
  <c r="S3992" i="2"/>
  <c r="T3992" i="2" s="1"/>
  <c r="R4032" i="2"/>
  <c r="R3960" i="2"/>
  <c r="I4024" i="2"/>
  <c r="U4132" i="2"/>
  <c r="U4068" i="2"/>
  <c r="U4028" i="2"/>
  <c r="U4000" i="2"/>
  <c r="S4076" i="2"/>
  <c r="T4076" i="2" s="1"/>
  <c r="S4028" i="2"/>
  <c r="T4028" i="2" s="1"/>
  <c r="S4012" i="2"/>
  <c r="T4012" i="2" s="1"/>
  <c r="S3996" i="2"/>
  <c r="T3996" i="2" s="1"/>
  <c r="S3968" i="2"/>
  <c r="T3968" i="2" s="1"/>
  <c r="R4112" i="2"/>
  <c r="R4044" i="2"/>
  <c r="R3980" i="2"/>
  <c r="J4056" i="2"/>
  <c r="I4068" i="2"/>
  <c r="I4020" i="2"/>
  <c r="I3996" i="2"/>
  <c r="I3976" i="2"/>
  <c r="U4108" i="2"/>
  <c r="U4040" i="2"/>
  <c r="U4016" i="2"/>
  <c r="U3984" i="2"/>
  <c r="U3972" i="2"/>
  <c r="S4036" i="2"/>
  <c r="T4036" i="2" s="1"/>
  <c r="S4004" i="2"/>
  <c r="T4004" i="2" s="1"/>
  <c r="S3976" i="2"/>
  <c r="T3976" i="2" s="1"/>
  <c r="S3964" i="2"/>
  <c r="T3964" i="2" s="1"/>
  <c r="R4056" i="2"/>
  <c r="R3964" i="2"/>
  <c r="J4032" i="2"/>
  <c r="J3984" i="2"/>
  <c r="J3968" i="2"/>
  <c r="J3960" i="2"/>
  <c r="I4048" i="2"/>
  <c r="I3988" i="2"/>
  <c r="I3968" i="2"/>
  <c r="U4248" i="2"/>
  <c r="R4212" i="2"/>
  <c r="J4232" i="2"/>
  <c r="I4112" i="2"/>
  <c r="U4240" i="2"/>
  <c r="R4148" i="2"/>
  <c r="I4044" i="2"/>
  <c r="U4224" i="2"/>
  <c r="S4176" i="2"/>
  <c r="T4176" i="2" s="1"/>
  <c r="S4136" i="2"/>
  <c r="T4136" i="2" s="1"/>
  <c r="S4120" i="2"/>
  <c r="T4120" i="2" s="1"/>
  <c r="S4104" i="2"/>
  <c r="T4104" i="2" s="1"/>
  <c r="R4120" i="2"/>
  <c r="J4052" i="2"/>
  <c r="I4092" i="2"/>
  <c r="I4036" i="2"/>
  <c r="U4263" i="2"/>
  <c r="R4111" i="2"/>
  <c r="U4207" i="2"/>
  <c r="U4243" i="2"/>
  <c r="U3630" i="2"/>
  <c r="R3567" i="2"/>
  <c r="R4236" i="2"/>
  <c r="I4228" i="2"/>
  <c r="U4259" i="2"/>
  <c r="U3939" i="2"/>
  <c r="U3915" i="2"/>
  <c r="S4251" i="2"/>
  <c r="T4251" i="2" s="1"/>
  <c r="S4231" i="2"/>
  <c r="T4231" i="2" s="1"/>
  <c r="S4095" i="2"/>
  <c r="T4095" i="2" s="1"/>
  <c r="S4039" i="2"/>
  <c r="T4039" i="2" s="1"/>
  <c r="S3999" i="2"/>
  <c r="T3999" i="2" s="1"/>
  <c r="R4255" i="2"/>
  <c r="R4203" i="2"/>
  <c r="R4095" i="2"/>
  <c r="I3931" i="2"/>
  <c r="U3562" i="2"/>
  <c r="U3490" i="2"/>
  <c r="S3566" i="2"/>
  <c r="T3566" i="2" s="1"/>
  <c r="S3486" i="2"/>
  <c r="T3486" i="2" s="1"/>
  <c r="R3522" i="2"/>
  <c r="R3486" i="2"/>
  <c r="J3654" i="2"/>
  <c r="J3566" i="2"/>
  <c r="J3518" i="2"/>
  <c r="I3598" i="2"/>
  <c r="I3522" i="2"/>
  <c r="I3486" i="2"/>
  <c r="H3506" i="2"/>
  <c r="U4195" i="2"/>
  <c r="U4175" i="2"/>
  <c r="U4063" i="2"/>
  <c r="U4043" i="2"/>
  <c r="U4031" i="2"/>
  <c r="U3983" i="2"/>
  <c r="U3895" i="2"/>
  <c r="S4243" i="2"/>
  <c r="T4243" i="2" s="1"/>
  <c r="S4227" i="2"/>
  <c r="T4227" i="2" s="1"/>
  <c r="S4191" i="2"/>
  <c r="T4191" i="2" s="1"/>
  <c r="S4007" i="2"/>
  <c r="T4007" i="2" s="1"/>
  <c r="S3959" i="2"/>
  <c r="T3959" i="2" s="1"/>
  <c r="S3943" i="2"/>
  <c r="T3943" i="2" s="1"/>
  <c r="R4247" i="2"/>
  <c r="R4155" i="2"/>
  <c r="R4115" i="2"/>
  <c r="R4059" i="2"/>
  <c r="J4243" i="2"/>
  <c r="J3879" i="2"/>
  <c r="I3939" i="2"/>
  <c r="I3879" i="2"/>
  <c r="H3891" i="2"/>
  <c r="U3610" i="2"/>
  <c r="U3510" i="2"/>
  <c r="S3570" i="2"/>
  <c r="T3570" i="2" s="1"/>
  <c r="S3510" i="2"/>
  <c r="T3510" i="2" s="1"/>
  <c r="R3566" i="2"/>
  <c r="R3494" i="2"/>
  <c r="J3590" i="2"/>
  <c r="J3522" i="2"/>
  <c r="J3486" i="2"/>
  <c r="I3550" i="2"/>
  <c r="I3506" i="2"/>
  <c r="U3558" i="2"/>
  <c r="S3529" i="2"/>
  <c r="T3529" i="2" s="1"/>
  <c r="R3622" i="2"/>
  <c r="R3514" i="2"/>
  <c r="J3630" i="2"/>
  <c r="J3558" i="2"/>
  <c r="J3510" i="2"/>
  <c r="I3590" i="2"/>
  <c r="I3518" i="2"/>
  <c r="H3630" i="2"/>
  <c r="H3490" i="2"/>
  <c r="U4267" i="2"/>
  <c r="U4247" i="2"/>
  <c r="U4219" i="2"/>
  <c r="U4119" i="2"/>
  <c r="U3979" i="2"/>
  <c r="U3947" i="2"/>
  <c r="S4263" i="2"/>
  <c r="T4263" i="2" s="1"/>
  <c r="S4239" i="2"/>
  <c r="T4239" i="2" s="1"/>
  <c r="S4223" i="2"/>
  <c r="T4223" i="2" s="1"/>
  <c r="S4179" i="2"/>
  <c r="T4179" i="2" s="1"/>
  <c r="S3987" i="2"/>
  <c r="T3987" i="2" s="1"/>
  <c r="S3971" i="2"/>
  <c r="T3971" i="2" s="1"/>
  <c r="S3963" i="2"/>
  <c r="T3963" i="2" s="1"/>
  <c r="S3927" i="2"/>
  <c r="T3927" i="2" s="1"/>
  <c r="R4151" i="2"/>
  <c r="R4043" i="2"/>
  <c r="R4031" i="2"/>
  <c r="R3983" i="2"/>
  <c r="R3963" i="2"/>
  <c r="R3931" i="2"/>
  <c r="R3887" i="2"/>
  <c r="R3879" i="2"/>
  <c r="J3915" i="2"/>
  <c r="J3895" i="2"/>
  <c r="I4131" i="2"/>
  <c r="U4264" i="2"/>
  <c r="J4244" i="2"/>
  <c r="I4184" i="2"/>
  <c r="R3655" i="2"/>
  <c r="U4257" i="2"/>
  <c r="U4141" i="2"/>
  <c r="J4177" i="2"/>
  <c r="S4161" i="2"/>
  <c r="T4161" i="2" s="1"/>
  <c r="R4133" i="2"/>
  <c r="R4113" i="2"/>
  <c r="J4245" i="2"/>
  <c r="J4217" i="2"/>
  <c r="U4193" i="2"/>
  <c r="U4177" i="2"/>
  <c r="R4237" i="2"/>
  <c r="J4149" i="2"/>
  <c r="I4250" i="2"/>
  <c r="U3590" i="2"/>
  <c r="U3550" i="2"/>
  <c r="U3494" i="2"/>
  <c r="S3598" i="2"/>
  <c r="T3598" i="2" s="1"/>
  <c r="S3558" i="2"/>
  <c r="T3558" i="2" s="1"/>
  <c r="S3506" i="2"/>
  <c r="T3506" i="2" s="1"/>
  <c r="R3590" i="2"/>
  <c r="R3502" i="2"/>
  <c r="J3622" i="2"/>
  <c r="J3578" i="2"/>
  <c r="J3554" i="2"/>
  <c r="J3514" i="2"/>
  <c r="I3650" i="2"/>
  <c r="I3566" i="2"/>
  <c r="I3546" i="2"/>
  <c r="I3510" i="2"/>
  <c r="H3622" i="2"/>
  <c r="U4197" i="2"/>
  <c r="U4186" i="2"/>
  <c r="U4162" i="2"/>
  <c r="U4145" i="2"/>
  <c r="U4134" i="2"/>
  <c r="U4093" i="2"/>
  <c r="U4041" i="2"/>
  <c r="U4005" i="2"/>
  <c r="U3989" i="2"/>
  <c r="U3965" i="2"/>
  <c r="U3949" i="2"/>
  <c r="U3937" i="2"/>
  <c r="U3909" i="2"/>
  <c r="U3901" i="2"/>
  <c r="U3845" i="2"/>
  <c r="S4222" i="2"/>
  <c r="T4222" i="2" s="1"/>
  <c r="S4186" i="2"/>
  <c r="T4186" i="2" s="1"/>
  <c r="S4170" i="2"/>
  <c r="T4170" i="2" s="1"/>
  <c r="S4133" i="2"/>
  <c r="T4133" i="2" s="1"/>
  <c r="S4121" i="2"/>
  <c r="T4121" i="2" s="1"/>
  <c r="S4061" i="2"/>
  <c r="T4061" i="2" s="1"/>
  <c r="S4045" i="2"/>
  <c r="T4045" i="2" s="1"/>
  <c r="S4033" i="2"/>
  <c r="T4033" i="2" s="1"/>
  <c r="S4017" i="2"/>
  <c r="T4017" i="2" s="1"/>
  <c r="S3989" i="2"/>
  <c r="T3989" i="2" s="1"/>
  <c r="S3953" i="2"/>
  <c r="T3953" i="2" s="1"/>
  <c r="S3881" i="2"/>
  <c r="T3881" i="2" s="1"/>
  <c r="S3857" i="2"/>
  <c r="T3857" i="2" s="1"/>
  <c r="S3833" i="2"/>
  <c r="T3833" i="2" s="1"/>
  <c r="R4269" i="2"/>
  <c r="R4201" i="2"/>
  <c r="R4149" i="2"/>
  <c r="R4122" i="2"/>
  <c r="R4101" i="2"/>
  <c r="R4057" i="2"/>
  <c r="R4049" i="2"/>
  <c r="R4029" i="2"/>
  <c r="R3969" i="2"/>
  <c r="R3925" i="2"/>
  <c r="R3889" i="2"/>
  <c r="R3873" i="2"/>
  <c r="J4206" i="2"/>
  <c r="J4170" i="2"/>
  <c r="J4133" i="2"/>
  <c r="J4117" i="2"/>
  <c r="J4069" i="2"/>
  <c r="J4041" i="2"/>
  <c r="J4033" i="2"/>
  <c r="J3929" i="2"/>
  <c r="J3909" i="2"/>
  <c r="J3893" i="2"/>
  <c r="I4249" i="2"/>
  <c r="I3805" i="2"/>
  <c r="I3789" i="2"/>
  <c r="I3785" i="2"/>
  <c r="I3773" i="2"/>
  <c r="H4114" i="2"/>
  <c r="H3817" i="2"/>
  <c r="U3650" i="2"/>
  <c r="U3574" i="2"/>
  <c r="U3546" i="2"/>
  <c r="S3578" i="2"/>
  <c r="T3578" i="2" s="1"/>
  <c r="R3570" i="2"/>
  <c r="J3606" i="2"/>
  <c r="J3570" i="2"/>
  <c r="I3606" i="2"/>
  <c r="I3562" i="2"/>
  <c r="H3574" i="2"/>
  <c r="U4273" i="2"/>
  <c r="U4174" i="2"/>
  <c r="U4161" i="2"/>
  <c r="U4142" i="2"/>
  <c r="U4117" i="2"/>
  <c r="U4089" i="2"/>
  <c r="U3993" i="2"/>
  <c r="U3933" i="2"/>
  <c r="S4230" i="2"/>
  <c r="T4230" i="2" s="1"/>
  <c r="S4142" i="2"/>
  <c r="T4142" i="2" s="1"/>
  <c r="S4129" i="2"/>
  <c r="T4129" i="2" s="1"/>
  <c r="S4073" i="2"/>
  <c r="T4073" i="2" s="1"/>
  <c r="S4065" i="2"/>
  <c r="T4065" i="2" s="1"/>
  <c r="S4025" i="2"/>
  <c r="T4025" i="2" s="1"/>
  <c r="S4001" i="2"/>
  <c r="T4001" i="2" s="1"/>
  <c r="S3973" i="2"/>
  <c r="T3973" i="2" s="1"/>
  <c r="S3965" i="2"/>
  <c r="T3965" i="2" s="1"/>
  <c r="S3925" i="2"/>
  <c r="T3925" i="2" s="1"/>
  <c r="S3889" i="2"/>
  <c r="T3889" i="2" s="1"/>
  <c r="R4221" i="2"/>
  <c r="R4162" i="2"/>
  <c r="R4093" i="2"/>
  <c r="R4077" i="2"/>
  <c r="R4065" i="2"/>
  <c r="R4037" i="2"/>
  <c r="R4001" i="2"/>
  <c r="R3961" i="2"/>
  <c r="R3945" i="2"/>
  <c r="R3933" i="2"/>
  <c r="R3913" i="2"/>
  <c r="R3901" i="2"/>
  <c r="J4189" i="2"/>
  <c r="J4165" i="2"/>
  <c r="J4129" i="2"/>
  <c r="J4110" i="2"/>
  <c r="J4085" i="2"/>
  <c r="J4077" i="2"/>
  <c r="J4025" i="2"/>
  <c r="J4017" i="2"/>
  <c r="J3941" i="2"/>
  <c r="J3913" i="2"/>
  <c r="J3901" i="2"/>
  <c r="J3849" i="2"/>
  <c r="S3509" i="2"/>
  <c r="T3509" i="2" s="1"/>
  <c r="R4252" i="2"/>
  <c r="R4180" i="2"/>
  <c r="J4212" i="2"/>
  <c r="I4208" i="2"/>
  <c r="I4142" i="2"/>
  <c r="S4250" i="2"/>
  <c r="T4250" i="2" s="1"/>
  <c r="J4200" i="2"/>
  <c r="I4164" i="2"/>
  <c r="U3559" i="2"/>
  <c r="U4272" i="2"/>
  <c r="U4236" i="2"/>
  <c r="U4196" i="2"/>
  <c r="U4148" i="2"/>
  <c r="S4184" i="2"/>
  <c r="T4184" i="2" s="1"/>
  <c r="S4172" i="2"/>
  <c r="T4172" i="2" s="1"/>
  <c r="S4152" i="2"/>
  <c r="T4152" i="2" s="1"/>
  <c r="S4124" i="2"/>
  <c r="T4124" i="2" s="1"/>
  <c r="R4272" i="2"/>
  <c r="R4228" i="2"/>
  <c r="R4208" i="2"/>
  <c r="R4200" i="2"/>
  <c r="R4168" i="2"/>
  <c r="R4152" i="2"/>
  <c r="R4116" i="2"/>
  <c r="R4072" i="2"/>
  <c r="J4272" i="2"/>
  <c r="J4228" i="2"/>
  <c r="J4208" i="2"/>
  <c r="J4196" i="2"/>
  <c r="J4144" i="2"/>
  <c r="J4076" i="2"/>
  <c r="I4224" i="2"/>
  <c r="I4204" i="2"/>
  <c r="I4176" i="2"/>
  <c r="I4084" i="2"/>
  <c r="I4060" i="2"/>
  <c r="S3567" i="2"/>
  <c r="T3567" i="2" s="1"/>
  <c r="S3527" i="2"/>
  <c r="T3527" i="2" s="1"/>
  <c r="U4244" i="2"/>
  <c r="U4232" i="2"/>
  <c r="U4212" i="2"/>
  <c r="U4204" i="2"/>
  <c r="U4136" i="2"/>
  <c r="U4124" i="2"/>
  <c r="S4228" i="2"/>
  <c r="T4228" i="2" s="1"/>
  <c r="S4220" i="2"/>
  <c r="T4220" i="2" s="1"/>
  <c r="S4148" i="2"/>
  <c r="T4148" i="2" s="1"/>
  <c r="S4080" i="2"/>
  <c r="T4080" i="2" s="1"/>
  <c r="S4072" i="2"/>
  <c r="T4072" i="2" s="1"/>
  <c r="R4240" i="2"/>
  <c r="R4204" i="2"/>
  <c r="R4192" i="2"/>
  <c r="R4068" i="2"/>
  <c r="J4264" i="2"/>
  <c r="J4240" i="2"/>
  <c r="J4136" i="2"/>
  <c r="J4124" i="2"/>
  <c r="J4112" i="2"/>
  <c r="J4096" i="2"/>
  <c r="I4216" i="2"/>
  <c r="I4200" i="2"/>
  <c r="I4172" i="2"/>
  <c r="I4128" i="2"/>
  <c r="I4104" i="2"/>
  <c r="I4076" i="2"/>
  <c r="I4056" i="2"/>
  <c r="U4228" i="2"/>
  <c r="U4208" i="2"/>
  <c r="U4200" i="2"/>
  <c r="U4100" i="2"/>
  <c r="S4244" i="2"/>
  <c r="T4244" i="2" s="1"/>
  <c r="S4236" i="2"/>
  <c r="T4236" i="2" s="1"/>
  <c r="S4212" i="2"/>
  <c r="T4212" i="2" s="1"/>
  <c r="S4188" i="2"/>
  <c r="T4188" i="2" s="1"/>
  <c r="S4168" i="2"/>
  <c r="T4168" i="2" s="1"/>
  <c r="S4156" i="2"/>
  <c r="T4156" i="2" s="1"/>
  <c r="R4216" i="2"/>
  <c r="R4184" i="2"/>
  <c r="R4160" i="2"/>
  <c r="R4108" i="2"/>
  <c r="J4236" i="2"/>
  <c r="J4204" i="2"/>
  <c r="J4120" i="2"/>
  <c r="J4036" i="2"/>
  <c r="J4016" i="2"/>
  <c r="I4244" i="2"/>
  <c r="I4212" i="2"/>
  <c r="I4196" i="2"/>
  <c r="I4168" i="2"/>
  <c r="I4140" i="2"/>
  <c r="I4116" i="2"/>
  <c r="I4096" i="2"/>
  <c r="I4072" i="2"/>
  <c r="I4052" i="2"/>
  <c r="I4032" i="2"/>
  <c r="I3992" i="2"/>
  <c r="R4263" i="2"/>
  <c r="J4259" i="2"/>
  <c r="S3581" i="2"/>
  <c r="T3581" i="2" s="1"/>
  <c r="S4271" i="2"/>
  <c r="T4271" i="2" s="1"/>
  <c r="R4259" i="2"/>
  <c r="R4227" i="2"/>
  <c r="R4211" i="2"/>
  <c r="J4247" i="2"/>
  <c r="I4223" i="2"/>
  <c r="I4163" i="2"/>
  <c r="S4274" i="2"/>
  <c r="T4274" i="2" s="1"/>
  <c r="S4272" i="2"/>
  <c r="T4272" i="2" s="1"/>
  <c r="I4272" i="2"/>
  <c r="R4271" i="2"/>
  <c r="U4271" i="2"/>
  <c r="S4270" i="2"/>
  <c r="T4270" i="2" s="1"/>
  <c r="I4269" i="2"/>
  <c r="U4268" i="2"/>
  <c r="S4268" i="2"/>
  <c r="T4268" i="2" s="1"/>
  <c r="R4268" i="2"/>
  <c r="J4268" i="2"/>
  <c r="I4268" i="2"/>
  <c r="S4267" i="2"/>
  <c r="T4267" i="2" s="1"/>
  <c r="R4267" i="2"/>
  <c r="H4266" i="2"/>
  <c r="S4266" i="2"/>
  <c r="T4266" i="2" s="1"/>
  <c r="I4266" i="2"/>
  <c r="S4264" i="2"/>
  <c r="T4264" i="2" s="1"/>
  <c r="R4264" i="2"/>
  <c r="I4264" i="2"/>
  <c r="S4262" i="2"/>
  <c r="T4262" i="2" s="1"/>
  <c r="J4261" i="2"/>
  <c r="U4261" i="2"/>
  <c r="S4260" i="2"/>
  <c r="T4260" i="2" s="1"/>
  <c r="J4260" i="2"/>
  <c r="I4260" i="2"/>
  <c r="U4260" i="2"/>
  <c r="R4260" i="2"/>
  <c r="S4258" i="2"/>
  <c r="T4258" i="2" s="1"/>
  <c r="U4256" i="2"/>
  <c r="J4256" i="2"/>
  <c r="S4256" i="2"/>
  <c r="T4256" i="2" s="1"/>
  <c r="R4256" i="2"/>
  <c r="I4256" i="2"/>
  <c r="J4255" i="2"/>
  <c r="S4254" i="2"/>
  <c r="T4254" i="2" s="1"/>
  <c r="U4253" i="2"/>
  <c r="R4253" i="2"/>
  <c r="U4252" i="2"/>
  <c r="I4252" i="2"/>
  <c r="S4252" i="2"/>
  <c r="T4252" i="2" s="1"/>
  <c r="J4252" i="2"/>
  <c r="U4251" i="2"/>
  <c r="R4251" i="2"/>
  <c r="S4248" i="2"/>
  <c r="T4248" i="2" s="1"/>
  <c r="I4248" i="2"/>
  <c r="R4248" i="2"/>
  <c r="J4248" i="2"/>
  <c r="S4246" i="2"/>
  <c r="T4246" i="2" s="1"/>
  <c r="U4245" i="2"/>
  <c r="R4244" i="2"/>
  <c r="R4243" i="2"/>
  <c r="S4242" i="2"/>
  <c r="T4242" i="2" s="1"/>
  <c r="H4246" i="2"/>
  <c r="U4241" i="2"/>
  <c r="S4240" i="2"/>
  <c r="T4240" i="2" s="1"/>
  <c r="I4240" i="2"/>
  <c r="U4239" i="2"/>
  <c r="R4239" i="2"/>
  <c r="J4239" i="2"/>
  <c r="U4237" i="2"/>
  <c r="I4236" i="2"/>
  <c r="U4235" i="2"/>
  <c r="S4235" i="2"/>
  <c r="T4235" i="2" s="1"/>
  <c r="R4235" i="2"/>
  <c r="S4234" i="2"/>
  <c r="T4234" i="2" s="1"/>
  <c r="S4232" i="2"/>
  <c r="T4232" i="2" s="1"/>
  <c r="R4232" i="2"/>
  <c r="I4232" i="2"/>
  <c r="U4231" i="2"/>
  <c r="R4231" i="2"/>
  <c r="J4229" i="2"/>
  <c r="U4227" i="2"/>
  <c r="J4227" i="2"/>
  <c r="I4227" i="2"/>
  <c r="H4226" i="2"/>
  <c r="S4226" i="2"/>
  <c r="T4226" i="2" s="1"/>
  <c r="U4225" i="2"/>
  <c r="S4224" i="2"/>
  <c r="T4224" i="2" s="1"/>
  <c r="R4224" i="2"/>
  <c r="J4224" i="2"/>
  <c r="U4223" i="2"/>
  <c r="R4223" i="2"/>
  <c r="J4223" i="2"/>
  <c r="U4221" i="2"/>
  <c r="R4220" i="2"/>
  <c r="I4220" i="2"/>
  <c r="J4220" i="2"/>
  <c r="U4220" i="2"/>
  <c r="R3527" i="2"/>
  <c r="U4229" i="2"/>
  <c r="S4189" i="2"/>
  <c r="T4189" i="2" s="1"/>
  <c r="S4157" i="2"/>
  <c r="T4157" i="2" s="1"/>
  <c r="R4261" i="2"/>
  <c r="R4245" i="2"/>
  <c r="R4229" i="2"/>
  <c r="R4197" i="2"/>
  <c r="R4145" i="2"/>
  <c r="J4269" i="2"/>
  <c r="J4253" i="2"/>
  <c r="J4237" i="2"/>
  <c r="J4221" i="2"/>
  <c r="J4181" i="2"/>
  <c r="J4157" i="2"/>
  <c r="J4141" i="2"/>
  <c r="I4273" i="2"/>
  <c r="U4265" i="2"/>
  <c r="U4249" i="2"/>
  <c r="U4233" i="2"/>
  <c r="U4181" i="2"/>
  <c r="S4213" i="2"/>
  <c r="T4213" i="2" s="1"/>
  <c r="S4205" i="2"/>
  <c r="T4205" i="2" s="1"/>
  <c r="S4141" i="2"/>
  <c r="T4141" i="2" s="1"/>
  <c r="R4265" i="2"/>
  <c r="R4249" i="2"/>
  <c r="R4233" i="2"/>
  <c r="R4193" i="2"/>
  <c r="R4157" i="2"/>
  <c r="J4273" i="2"/>
  <c r="J4257" i="2"/>
  <c r="J4241" i="2"/>
  <c r="J4225" i="2"/>
  <c r="J4201" i="2"/>
  <c r="J4169" i="2"/>
  <c r="J4153" i="2"/>
  <c r="I4265" i="2"/>
  <c r="I4257" i="2"/>
  <c r="U3579" i="2"/>
  <c r="S3663" i="2"/>
  <c r="T3663" i="2" s="1"/>
  <c r="S3559" i="2"/>
  <c r="T3559" i="2" s="1"/>
  <c r="S3491" i="2"/>
  <c r="T3491" i="2" s="1"/>
  <c r="S4273" i="2"/>
  <c r="T4273" i="2" s="1"/>
  <c r="S4269" i="2"/>
  <c r="T4269" i="2" s="1"/>
  <c r="S4265" i="2"/>
  <c r="T4265" i="2" s="1"/>
  <c r="S4261" i="2"/>
  <c r="T4261" i="2" s="1"/>
  <c r="S4257" i="2"/>
  <c r="T4257" i="2" s="1"/>
  <c r="S4253" i="2"/>
  <c r="T4253" i="2" s="1"/>
  <c r="S4249" i="2"/>
  <c r="T4249" i="2" s="1"/>
  <c r="S4241" i="2"/>
  <c r="T4241" i="2" s="1"/>
  <c r="S4233" i="2"/>
  <c r="T4233" i="2" s="1"/>
  <c r="S4225" i="2"/>
  <c r="T4225" i="2" s="1"/>
  <c r="S4209" i="2"/>
  <c r="T4209" i="2" s="1"/>
  <c r="S4185" i="2"/>
  <c r="T4185" i="2" s="1"/>
  <c r="S4177" i="2"/>
  <c r="T4177" i="2" s="1"/>
  <c r="S4169" i="2"/>
  <c r="T4169" i="2" s="1"/>
  <c r="S4153" i="2"/>
  <c r="T4153" i="2" s="1"/>
  <c r="S4145" i="2"/>
  <c r="T4145" i="2" s="1"/>
  <c r="R4273" i="2"/>
  <c r="R4257" i="2"/>
  <c r="R4161" i="2"/>
  <c r="R4153" i="2"/>
  <c r="J4265" i="2"/>
  <c r="J4249" i="2"/>
  <c r="J4205" i="2"/>
  <c r="J4197" i="2"/>
  <c r="J4185" i="2"/>
  <c r="J4173" i="2"/>
  <c r="I4261" i="2"/>
  <c r="I4253" i="2"/>
  <c r="U4274" i="2"/>
  <c r="U4270" i="2"/>
  <c r="U4266" i="2"/>
  <c r="U4262" i="2"/>
  <c r="U4258" i="2"/>
  <c r="U4254" i="2"/>
  <c r="U4250" i="2"/>
  <c r="U4246" i="2"/>
  <c r="U4242" i="2"/>
  <c r="U4238" i="2"/>
  <c r="U4234" i="2"/>
  <c r="U4230" i="2"/>
  <c r="U4226" i="2"/>
  <c r="U4222" i="2"/>
  <c r="U4218" i="2"/>
  <c r="S4166" i="2"/>
  <c r="T4166" i="2" s="1"/>
  <c r="R4274" i="2"/>
  <c r="R4270" i="2"/>
  <c r="R4266" i="2"/>
  <c r="R4262" i="2"/>
  <c r="R4258" i="2"/>
  <c r="R4254" i="2"/>
  <c r="R4250" i="2"/>
  <c r="R4246" i="2"/>
  <c r="R4242" i="2"/>
  <c r="R4238" i="2"/>
  <c r="R4234" i="2"/>
  <c r="R4230" i="2"/>
  <c r="R4226" i="2"/>
  <c r="R4222" i="2"/>
  <c r="R4182" i="2"/>
  <c r="R4166" i="2"/>
  <c r="R4158" i="2"/>
  <c r="R4134" i="2"/>
  <c r="J4274" i="2"/>
  <c r="J4270" i="2"/>
  <c r="J4262" i="2"/>
  <c r="J4258" i="2"/>
  <c r="J4254" i="2"/>
  <c r="J4250" i="2"/>
  <c r="J4246" i="2"/>
  <c r="J4242" i="2"/>
  <c r="J4238" i="2"/>
  <c r="J4234" i="2"/>
  <c r="J4230" i="2"/>
  <c r="J4226" i="2"/>
  <c r="J4222" i="2"/>
  <c r="J4154" i="2"/>
  <c r="I4262" i="2"/>
  <c r="I4238" i="2"/>
  <c r="I4230" i="2"/>
  <c r="I4150" i="2"/>
  <c r="I4110" i="2"/>
  <c r="H4274" i="2"/>
  <c r="H4118" i="2"/>
  <c r="S3654" i="2"/>
  <c r="T3654" i="2" s="1"/>
  <c r="S3561" i="2"/>
  <c r="T3561" i="2" s="1"/>
  <c r="J3662" i="2"/>
  <c r="U4194" i="2"/>
  <c r="U4182" i="2"/>
  <c r="S4162" i="2"/>
  <c r="T4162" i="2" s="1"/>
  <c r="R4190" i="2"/>
  <c r="R4178" i="2"/>
  <c r="R4142" i="2"/>
  <c r="R4126" i="2"/>
  <c r="R4118" i="2"/>
  <c r="R4106" i="2"/>
  <c r="J4158" i="2"/>
  <c r="J4150" i="2"/>
  <c r="J4138" i="2"/>
  <c r="J4098" i="2"/>
  <c r="I4270" i="2"/>
  <c r="I4254" i="2"/>
  <c r="I4242" i="2"/>
  <c r="I4234" i="2"/>
  <c r="I4222" i="2"/>
  <c r="I4186" i="2"/>
  <c r="I4158" i="2"/>
  <c r="U3597" i="2"/>
  <c r="R4154" i="2"/>
  <c r="R4138" i="2"/>
  <c r="J4218" i="2"/>
  <c r="J4210" i="2"/>
  <c r="J4182" i="2"/>
  <c r="J4174" i="2"/>
  <c r="J4166" i="2"/>
  <c r="I4258" i="2"/>
  <c r="I4154" i="2"/>
  <c r="H4186" i="2"/>
  <c r="H4078" i="2"/>
  <c r="S4219" i="2"/>
  <c r="T4219" i="2" s="1"/>
  <c r="R4219" i="2"/>
  <c r="S4218" i="2"/>
  <c r="T4218" i="2" s="1"/>
  <c r="I4218" i="2"/>
  <c r="H4218" i="2"/>
  <c r="S4217" i="2"/>
  <c r="T4217" i="2" s="1"/>
  <c r="U4217" i="2"/>
  <c r="S4216" i="2"/>
  <c r="T4216" i="2" s="1"/>
  <c r="U4216" i="2"/>
  <c r="J4216" i="2"/>
  <c r="U4215" i="2"/>
  <c r="S4215" i="2"/>
  <c r="T4215" i="2" s="1"/>
  <c r="R4215" i="2"/>
  <c r="R4214" i="2"/>
  <c r="U4214" i="2"/>
  <c r="I4214" i="2"/>
  <c r="H4214" i="2"/>
  <c r="U4213" i="2"/>
  <c r="J4213" i="2"/>
  <c r="S4211" i="2"/>
  <c r="T4211" i="2" s="1"/>
  <c r="J4211" i="2"/>
  <c r="U4211" i="2"/>
  <c r="R4210" i="2"/>
  <c r="I4210" i="2"/>
  <c r="H4210" i="2"/>
  <c r="U4210" i="2"/>
  <c r="U4209" i="2"/>
  <c r="R4209" i="2"/>
  <c r="S4207" i="2"/>
  <c r="T4207" i="2" s="1"/>
  <c r="R4207" i="2"/>
  <c r="J4207" i="2"/>
  <c r="S4206" i="2"/>
  <c r="T4206" i="2" s="1"/>
  <c r="I4206" i="2"/>
  <c r="H4206" i="2"/>
  <c r="U4205" i="2"/>
  <c r="S4204" i="2"/>
  <c r="T4204" i="2" s="1"/>
  <c r="S4203" i="2"/>
  <c r="T4203" i="2" s="1"/>
  <c r="U4203" i="2"/>
  <c r="U4202" i="2"/>
  <c r="S4202" i="2"/>
  <c r="T4202" i="2" s="1"/>
  <c r="R4202" i="2"/>
  <c r="J4202" i="2"/>
  <c r="I4202" i="2"/>
  <c r="U4201" i="2"/>
  <c r="S4201" i="2"/>
  <c r="T4201" i="2" s="1"/>
  <c r="S4200" i="2"/>
  <c r="T4200" i="2" s="1"/>
  <c r="U4199" i="2"/>
  <c r="R4199" i="2"/>
  <c r="S4199" i="2"/>
  <c r="T4199" i="2" s="1"/>
  <c r="U4198" i="2"/>
  <c r="J4198" i="2"/>
  <c r="I4198" i="2"/>
  <c r="H4198" i="2"/>
  <c r="S4198" i="2"/>
  <c r="T4198" i="2" s="1"/>
  <c r="R4196" i="2"/>
  <c r="S4196" i="2"/>
  <c r="T4196" i="2" s="1"/>
  <c r="R4195" i="2"/>
  <c r="J4195" i="2"/>
  <c r="S4195" i="2"/>
  <c r="T4195" i="2" s="1"/>
  <c r="I4195" i="2"/>
  <c r="J4194" i="2"/>
  <c r="I4194" i="2"/>
  <c r="H4194" i="2"/>
  <c r="S4194" i="2"/>
  <c r="T4194" i="2" s="1"/>
  <c r="J4192" i="2"/>
  <c r="U4192" i="2"/>
  <c r="S4192" i="2"/>
  <c r="T4192" i="2" s="1"/>
  <c r="I4192" i="2"/>
  <c r="R4191" i="2"/>
  <c r="I4191" i="2"/>
  <c r="U4191" i="2"/>
  <c r="J4191" i="2"/>
  <c r="S4190" i="2"/>
  <c r="T4190" i="2" s="1"/>
  <c r="J4190" i="2"/>
  <c r="I4190" i="2"/>
  <c r="U4189" i="2"/>
  <c r="U4188" i="2"/>
  <c r="R4188" i="2"/>
  <c r="J4188" i="2"/>
  <c r="I4188" i="2"/>
  <c r="R4187" i="2"/>
  <c r="U4187" i="2"/>
  <c r="S4187" i="2"/>
  <c r="T4187" i="2" s="1"/>
  <c r="R4186" i="2"/>
  <c r="U4185" i="2"/>
  <c r="R4185" i="2"/>
  <c r="H4185" i="2"/>
  <c r="U4184" i="2"/>
  <c r="J4184" i="2"/>
  <c r="S4183" i="2"/>
  <c r="T4183" i="2" s="1"/>
  <c r="R4183" i="2"/>
  <c r="J4183" i="2"/>
  <c r="S4182" i="2"/>
  <c r="T4182" i="2" s="1"/>
  <c r="I4182" i="2"/>
  <c r="R4181" i="2"/>
  <c r="U4180" i="2"/>
  <c r="S4180" i="2"/>
  <c r="T4180" i="2" s="1"/>
  <c r="J4180" i="2"/>
  <c r="I4180" i="2"/>
  <c r="J4179" i="2"/>
  <c r="R4179" i="2"/>
  <c r="I4178" i="2"/>
  <c r="U4176" i="2"/>
  <c r="R4176" i="2"/>
  <c r="J4176" i="2"/>
  <c r="S4175" i="2"/>
  <c r="T4175" i="2" s="1"/>
  <c r="R4175" i="2"/>
  <c r="J4175" i="2"/>
  <c r="S4174" i="2"/>
  <c r="T4174" i="2" s="1"/>
  <c r="I4174" i="2"/>
  <c r="R4174" i="2"/>
  <c r="S4173" i="2"/>
  <c r="T4173" i="2" s="1"/>
  <c r="U4173" i="2"/>
  <c r="U4172" i="2"/>
  <c r="R4172" i="2"/>
  <c r="J4172" i="2"/>
  <c r="R4171" i="2"/>
  <c r="U4171" i="2"/>
  <c r="S4171" i="2"/>
  <c r="T4171" i="2" s="1"/>
  <c r="I4170" i="2"/>
  <c r="R4170" i="2"/>
  <c r="U4169" i="2"/>
  <c r="U4168" i="2"/>
  <c r="J4168" i="2"/>
  <c r="S4167" i="2"/>
  <c r="T4167" i="2" s="1"/>
  <c r="R4167" i="2"/>
  <c r="U4166" i="2"/>
  <c r="I4166" i="2"/>
  <c r="U4165" i="2"/>
  <c r="S4165" i="2"/>
  <c r="T4165" i="2" s="1"/>
  <c r="R4164" i="2"/>
  <c r="U4164" i="2"/>
  <c r="J4164" i="2"/>
  <c r="S4163" i="2"/>
  <c r="T4163" i="2" s="1"/>
  <c r="J4163" i="2"/>
  <c r="U4163" i="2"/>
  <c r="R4163" i="2"/>
  <c r="S4160" i="2"/>
  <c r="T4160" i="2" s="1"/>
  <c r="U4160" i="2"/>
  <c r="I4160" i="2"/>
  <c r="J4160" i="2"/>
  <c r="U4159" i="2"/>
  <c r="S4159" i="2"/>
  <c r="T4159" i="2" s="1"/>
  <c r="R4159" i="2"/>
  <c r="J4159" i="2"/>
  <c r="I4159" i="2"/>
  <c r="R4156" i="2"/>
  <c r="J4156" i="2"/>
  <c r="I4156" i="2"/>
  <c r="U4156" i="2"/>
  <c r="U4155" i="2"/>
  <c r="U4154" i="2"/>
  <c r="S4154" i="2"/>
  <c r="T4154" i="2" s="1"/>
  <c r="U4152" i="2"/>
  <c r="J4152" i="2"/>
  <c r="I4152" i="2"/>
  <c r="J4151" i="2"/>
  <c r="S4151" i="2"/>
  <c r="T4151" i="2" s="1"/>
  <c r="U4150" i="2"/>
  <c r="S4150" i="2"/>
  <c r="T4150" i="2" s="1"/>
  <c r="R4150" i="2"/>
  <c r="J4148" i="2"/>
  <c r="I4148" i="2"/>
  <c r="U4147" i="2"/>
  <c r="J4147" i="2"/>
  <c r="S4147" i="2"/>
  <c r="T4147" i="2" s="1"/>
  <c r="R4147" i="2"/>
  <c r="U4146" i="2"/>
  <c r="I4146" i="2"/>
  <c r="S4146" i="2"/>
  <c r="T4146" i="2" s="1"/>
  <c r="R4146" i="2"/>
  <c r="J4146" i="2"/>
  <c r="S4144" i="2"/>
  <c r="T4144" i="2" s="1"/>
  <c r="I4144" i="2"/>
  <c r="U4144" i="2"/>
  <c r="R4144" i="2"/>
  <c r="R4143" i="2"/>
  <c r="U4143" i="2"/>
  <c r="S4143" i="2"/>
  <c r="T4143" i="2" s="1"/>
  <c r="J4143" i="2"/>
  <c r="J4142" i="2"/>
  <c r="R4141" i="2"/>
  <c r="H4141" i="2"/>
  <c r="U4140" i="2"/>
  <c r="S4140" i="2"/>
  <c r="T4140" i="2" s="1"/>
  <c r="R4140" i="2"/>
  <c r="J4140" i="2"/>
  <c r="S4139" i="2"/>
  <c r="T4139" i="2" s="1"/>
  <c r="R4139" i="2"/>
  <c r="S4138" i="2"/>
  <c r="T4138" i="2" s="1"/>
  <c r="I4138" i="2"/>
  <c r="S4137" i="2"/>
  <c r="T4137" i="2" s="1"/>
  <c r="J4137" i="2"/>
  <c r="U4137" i="2"/>
  <c r="R4137" i="2"/>
  <c r="H4137" i="2"/>
  <c r="R4136" i="2"/>
  <c r="I4136" i="2"/>
  <c r="U4135" i="2"/>
  <c r="S4135" i="2"/>
  <c r="T4135" i="2" s="1"/>
  <c r="I4134" i="2"/>
  <c r="J4134" i="2"/>
  <c r="S4132" i="2"/>
  <c r="T4132" i="2" s="1"/>
  <c r="J4132" i="2"/>
  <c r="R4132" i="2"/>
  <c r="U4131" i="2"/>
  <c r="R4131" i="2"/>
  <c r="R4130" i="2"/>
  <c r="J4130" i="2"/>
  <c r="U4130" i="2"/>
  <c r="S4130" i="2"/>
  <c r="T4130" i="2" s="1"/>
  <c r="I4130" i="2"/>
  <c r="U4129" i="2"/>
  <c r="R4129" i="2"/>
  <c r="H4129" i="2"/>
  <c r="S4128" i="2"/>
  <c r="T4128" i="2" s="1"/>
  <c r="R4128" i="2"/>
  <c r="U4128" i="2"/>
  <c r="J4128" i="2"/>
  <c r="S4127" i="2"/>
  <c r="T4127" i="2" s="1"/>
  <c r="U4127" i="2"/>
  <c r="R4127" i="2"/>
  <c r="I4126" i="2"/>
  <c r="U4126" i="2"/>
  <c r="S4126" i="2"/>
  <c r="T4126" i="2" s="1"/>
  <c r="J4126" i="2"/>
  <c r="R4124" i="2"/>
  <c r="I4124" i="2"/>
  <c r="U4123" i="2"/>
  <c r="R4123" i="2"/>
  <c r="I4122" i="2"/>
  <c r="U4122" i="2"/>
  <c r="J4122" i="2"/>
  <c r="R4121" i="2"/>
  <c r="U4120" i="2"/>
  <c r="I4120" i="2"/>
  <c r="S4119" i="2"/>
  <c r="T4119" i="2" s="1"/>
  <c r="U4118" i="2"/>
  <c r="S4118" i="2"/>
  <c r="T4118" i="2" s="1"/>
  <c r="U4116" i="2"/>
  <c r="J4116" i="2"/>
  <c r="S4116" i="2"/>
  <c r="T4116" i="2" s="1"/>
  <c r="S4115" i="2"/>
  <c r="T4115" i="2" s="1"/>
  <c r="S4114" i="2"/>
  <c r="T4114" i="2" s="1"/>
  <c r="R4114" i="2"/>
  <c r="J4114" i="2"/>
  <c r="U4113" i="2"/>
  <c r="U4112" i="2"/>
  <c r="S4112" i="2"/>
  <c r="T4112" i="2" s="1"/>
  <c r="U4111" i="2"/>
  <c r="S4111" i="2"/>
  <c r="T4111" i="2" s="1"/>
  <c r="U4110" i="2"/>
  <c r="S4110" i="2"/>
  <c r="T4110" i="2" s="1"/>
  <c r="S4109" i="2"/>
  <c r="T4109" i="2" s="1"/>
  <c r="R4109" i="2"/>
  <c r="U4109" i="2"/>
  <c r="J4108" i="2"/>
  <c r="I4108" i="2"/>
  <c r="S4108" i="2"/>
  <c r="T4108" i="2" s="1"/>
  <c r="U4107" i="2"/>
  <c r="S4107" i="2"/>
  <c r="T4107" i="2" s="1"/>
  <c r="S4105" i="2"/>
  <c r="T4105" i="2" s="1"/>
  <c r="J4105" i="2"/>
  <c r="U4105" i="2"/>
  <c r="U4104" i="2"/>
  <c r="J4104" i="2"/>
  <c r="R4104" i="2"/>
  <c r="S4103" i="2"/>
  <c r="T4103" i="2" s="1"/>
  <c r="R4103" i="2"/>
  <c r="I4102" i="2"/>
  <c r="H4102" i="2"/>
  <c r="U4101" i="2"/>
  <c r="S4100" i="2"/>
  <c r="T4100" i="2" s="1"/>
  <c r="R4100" i="2"/>
  <c r="J4100" i="2"/>
  <c r="I4100" i="2"/>
  <c r="R4099" i="2"/>
  <c r="U4099" i="2"/>
  <c r="I4098" i="2"/>
  <c r="S4098" i="2"/>
  <c r="T4098" i="2" s="1"/>
  <c r="U4097" i="2"/>
  <c r="U4096" i="2"/>
  <c r="S4096" i="2"/>
  <c r="T4096" i="2" s="1"/>
  <c r="R4096" i="2"/>
  <c r="U4095" i="2"/>
  <c r="I4094" i="2"/>
  <c r="H4094" i="2"/>
  <c r="S4092" i="2"/>
  <c r="T4092" i="2" s="1"/>
  <c r="U4092" i="2"/>
  <c r="R4092" i="2"/>
  <c r="J4092" i="2"/>
  <c r="R4091" i="2"/>
  <c r="U4091" i="2"/>
  <c r="S4090" i="2"/>
  <c r="T4090" i="2" s="1"/>
  <c r="I4090" i="2"/>
  <c r="H4090" i="2"/>
  <c r="U4090" i="2"/>
  <c r="S4089" i="2"/>
  <c r="T4089" i="2" s="1"/>
  <c r="S4088" i="2"/>
  <c r="T4088" i="2" s="1"/>
  <c r="R4088" i="2"/>
  <c r="J4088" i="2"/>
  <c r="U4088" i="2"/>
  <c r="I4088" i="2"/>
  <c r="U4087" i="2"/>
  <c r="I4086" i="2"/>
  <c r="U4085" i="2"/>
  <c r="U4084" i="2"/>
  <c r="R4084" i="2"/>
  <c r="S4084" i="2"/>
  <c r="T4084" i="2" s="1"/>
  <c r="J4084" i="2"/>
  <c r="S4083" i="2"/>
  <c r="T4083" i="2" s="1"/>
  <c r="R4083" i="2"/>
  <c r="U4083" i="2"/>
  <c r="S4082" i="2"/>
  <c r="T4082" i="2" s="1"/>
  <c r="I4082" i="2"/>
  <c r="H4082" i="2"/>
  <c r="U4081" i="2"/>
  <c r="R4080" i="2"/>
  <c r="J4080" i="2"/>
  <c r="I4080" i="2"/>
  <c r="R4079" i="2"/>
  <c r="U4079" i="2"/>
  <c r="S4079" i="2"/>
  <c r="T4079" i="2" s="1"/>
  <c r="U4076" i="2"/>
  <c r="R4076" i="2"/>
  <c r="S4075" i="2"/>
  <c r="T4075" i="2" s="1"/>
  <c r="R4075" i="2"/>
  <c r="U4074" i="2"/>
  <c r="S4074" i="2"/>
  <c r="T4074" i="2" s="1"/>
  <c r="J4074" i="2"/>
  <c r="I4074" i="2"/>
  <c r="H4073" i="2"/>
  <c r="J4072" i="2"/>
  <c r="R4071" i="2"/>
  <c r="U4071" i="2"/>
  <c r="I4070" i="2"/>
  <c r="U4070" i="2"/>
  <c r="R4070" i="2"/>
  <c r="S4069" i="2"/>
  <c r="T4069" i="2" s="1"/>
  <c r="U4069" i="2"/>
  <c r="J4068" i="2"/>
  <c r="U4067" i="2"/>
  <c r="S4067" i="2"/>
  <c r="T4067" i="2" s="1"/>
  <c r="R4067" i="2"/>
  <c r="U4066" i="2"/>
  <c r="I4066" i="2"/>
  <c r="J4066" i="2"/>
  <c r="U4065" i="2"/>
  <c r="J4065" i="2"/>
  <c r="U4064" i="2"/>
  <c r="S4064" i="2"/>
  <c r="T4064" i="2" s="1"/>
  <c r="R4064" i="2"/>
  <c r="J4064" i="2"/>
  <c r="I4064" i="2"/>
  <c r="R4063" i="2"/>
  <c r="I4062" i="2"/>
  <c r="R4061" i="2"/>
  <c r="U4060" i="2"/>
  <c r="R4060" i="2"/>
  <c r="S4060" i="2"/>
  <c r="T4060" i="2" s="1"/>
  <c r="J4060" i="2"/>
  <c r="S4059" i="2"/>
  <c r="T4059" i="2" s="1"/>
  <c r="I4058" i="2"/>
  <c r="U4058" i="2"/>
  <c r="S4058" i="2"/>
  <c r="T4058" i="2" s="1"/>
  <c r="R4058" i="2"/>
  <c r="U4057" i="2"/>
  <c r="J4057" i="2"/>
  <c r="S4057" i="2"/>
  <c r="T4057" i="2" s="1"/>
  <c r="H4057" i="2"/>
  <c r="S4055" i="2"/>
  <c r="T4055" i="2" s="1"/>
  <c r="U4055" i="2"/>
  <c r="R4054" i="2"/>
  <c r="I4054" i="2"/>
  <c r="U4054" i="2"/>
  <c r="S4054" i="2"/>
  <c r="T4054" i="2" s="1"/>
  <c r="U4053" i="2"/>
  <c r="S4053" i="2"/>
  <c r="T4053" i="2" s="1"/>
  <c r="R4053" i="2"/>
  <c r="S4051" i="2"/>
  <c r="T4051" i="2" s="1"/>
  <c r="R4051" i="2"/>
  <c r="U4051" i="2"/>
  <c r="I4050" i="2"/>
  <c r="S4050" i="2"/>
  <c r="T4050" i="2" s="1"/>
  <c r="R4048" i="2"/>
  <c r="S4048" i="2"/>
  <c r="T4048" i="2" s="1"/>
  <c r="J4048" i="2"/>
  <c r="S4047" i="2"/>
  <c r="T4047" i="2" s="1"/>
  <c r="R4047" i="2"/>
  <c r="U4047" i="2"/>
  <c r="U4046" i="2"/>
  <c r="S4046" i="2"/>
  <c r="T4046" i="2" s="1"/>
  <c r="I4046" i="2"/>
  <c r="R4046" i="2"/>
  <c r="U4045" i="2"/>
  <c r="S4044" i="2"/>
  <c r="T4044" i="2" s="1"/>
  <c r="J4044" i="2"/>
  <c r="S4042" i="2"/>
  <c r="T4042" i="2" s="1"/>
  <c r="R4042" i="2"/>
  <c r="I4042" i="2"/>
  <c r="S4040" i="2"/>
  <c r="T4040" i="2" s="1"/>
  <c r="R4040" i="2"/>
  <c r="J4040" i="2"/>
  <c r="I4040" i="2"/>
  <c r="R4039" i="2"/>
  <c r="I4038" i="2"/>
  <c r="S4038" i="2"/>
  <c r="T4038" i="2" s="1"/>
  <c r="U4037" i="2"/>
  <c r="U4036" i="2"/>
  <c r="R4036" i="2"/>
  <c r="S4035" i="2"/>
  <c r="T4035" i="2" s="1"/>
  <c r="R4035" i="2"/>
  <c r="U4035" i="2"/>
  <c r="U4034" i="2"/>
  <c r="S4034" i="2"/>
  <c r="T4034" i="2" s="1"/>
  <c r="I4034" i="2"/>
  <c r="R4034" i="2"/>
  <c r="U4033" i="2"/>
  <c r="U4032" i="2"/>
  <c r="S4031" i="2"/>
  <c r="T4031" i="2" s="1"/>
  <c r="R4030" i="2"/>
  <c r="I4030" i="2"/>
  <c r="S4030" i="2"/>
  <c r="T4030" i="2" s="1"/>
  <c r="R4028" i="2"/>
  <c r="J4028" i="2"/>
  <c r="U4027" i="2"/>
  <c r="S4027" i="2"/>
  <c r="T4027" i="2" s="1"/>
  <c r="I4026" i="2"/>
  <c r="U4026" i="2"/>
  <c r="U4024" i="2"/>
  <c r="S4024" i="2"/>
  <c r="T4024" i="2" s="1"/>
  <c r="R4024" i="2"/>
  <c r="J4024" i="2"/>
  <c r="R4023" i="2"/>
  <c r="U4023" i="2"/>
  <c r="U4022" i="2"/>
  <c r="I4022" i="2"/>
  <c r="R4022" i="2"/>
  <c r="U4021" i="2"/>
  <c r="S4021" i="2"/>
  <c r="T4021" i="2" s="1"/>
  <c r="U4020" i="2"/>
  <c r="S4020" i="2"/>
  <c r="T4020" i="2" s="1"/>
  <c r="R4020" i="2"/>
  <c r="J4020" i="2"/>
  <c r="U4019" i="2"/>
  <c r="I4018" i="2"/>
  <c r="U4018" i="2"/>
  <c r="U4017" i="2"/>
  <c r="R4014" i="2"/>
  <c r="H4014" i="2"/>
  <c r="H4013" i="2"/>
  <c r="U4010" i="2"/>
  <c r="S4010" i="2"/>
  <c r="T4010" i="2" s="1"/>
  <c r="R4010" i="2"/>
  <c r="H4010" i="2"/>
  <c r="S4009" i="2"/>
  <c r="T4009" i="2" s="1"/>
  <c r="J4009" i="2"/>
  <c r="R4009" i="2"/>
  <c r="I4008" i="2"/>
  <c r="U4008" i="2"/>
  <c r="R4006" i="2"/>
  <c r="J4006" i="2"/>
  <c r="R4019" i="2"/>
  <c r="S4019" i="2"/>
  <c r="T4019" i="2" s="1"/>
  <c r="S4016" i="2"/>
  <c r="T4016" i="2" s="1"/>
  <c r="R4016" i="2"/>
  <c r="I4016" i="2"/>
  <c r="S4015" i="2"/>
  <c r="T4015" i="2" s="1"/>
  <c r="U4015" i="2"/>
  <c r="R4015" i="2"/>
  <c r="I4014" i="2"/>
  <c r="U4014" i="2"/>
  <c r="S4014" i="2"/>
  <c r="T4014" i="2" s="1"/>
  <c r="U4013" i="2"/>
  <c r="R4013" i="2"/>
  <c r="S4013" i="2"/>
  <c r="T4013" i="2" s="1"/>
  <c r="J4013" i="2"/>
  <c r="U4012" i="2"/>
  <c r="R4012" i="2"/>
  <c r="J4012" i="2"/>
  <c r="I4012" i="2"/>
  <c r="U4011" i="2"/>
  <c r="S4011" i="2"/>
  <c r="T4011" i="2" s="1"/>
  <c r="U4009" i="2"/>
  <c r="H4009" i="2"/>
  <c r="S4008" i="2"/>
  <c r="T4008" i="2" s="1"/>
  <c r="R4008" i="2"/>
  <c r="J4008" i="2"/>
  <c r="R4007" i="2"/>
  <c r="S4006" i="2"/>
  <c r="T4006" i="2" s="1"/>
  <c r="I4006" i="2"/>
  <c r="S4005" i="2"/>
  <c r="T4005" i="2" s="1"/>
  <c r="J4005" i="2"/>
  <c r="U4004" i="2"/>
  <c r="J4004" i="2"/>
  <c r="R4004" i="2"/>
  <c r="U4003" i="2"/>
  <c r="S4003" i="2"/>
  <c r="T4003" i="2" s="1"/>
  <c r="R4003" i="2"/>
  <c r="I4002" i="2"/>
  <c r="U4001" i="2"/>
  <c r="J4001" i="2"/>
  <c r="H4001" i="2"/>
  <c r="S4000" i="2"/>
  <c r="T4000" i="2" s="1"/>
  <c r="R4000" i="2"/>
  <c r="J4000" i="2"/>
  <c r="I4000" i="2"/>
  <c r="U3999" i="2"/>
  <c r="R3999" i="2"/>
  <c r="U3998" i="2"/>
  <c r="S3998" i="2"/>
  <c r="T3998" i="2" s="1"/>
  <c r="R3996" i="2"/>
  <c r="J3996" i="2"/>
  <c r="U3995" i="2"/>
  <c r="R3995" i="2"/>
  <c r="U3994" i="2"/>
  <c r="I3994" i="2"/>
  <c r="R3994" i="2"/>
  <c r="R3992" i="2"/>
  <c r="J3992" i="2"/>
  <c r="U3991" i="2"/>
  <c r="S3991" i="2"/>
  <c r="T3991" i="2" s="1"/>
  <c r="J3990" i="2"/>
  <c r="S3990" i="2"/>
  <c r="T3990" i="2" s="1"/>
  <c r="I3990" i="2"/>
  <c r="R3990" i="2"/>
  <c r="S3988" i="2"/>
  <c r="T3988" i="2" s="1"/>
  <c r="J3988" i="2"/>
  <c r="U3988" i="2"/>
  <c r="R3988" i="2"/>
  <c r="U3987" i="2"/>
  <c r="R3987" i="2"/>
  <c r="S3986" i="2"/>
  <c r="T3986" i="2" s="1"/>
  <c r="I3986" i="2"/>
  <c r="U3986" i="2"/>
  <c r="R3986" i="2"/>
  <c r="J3986" i="2"/>
  <c r="U3985" i="2"/>
  <c r="S3985" i="2"/>
  <c r="T3985" i="2" s="1"/>
  <c r="R3985" i="2"/>
  <c r="S3984" i="2"/>
  <c r="T3984" i="2" s="1"/>
  <c r="S3983" i="2"/>
  <c r="T3983" i="2" s="1"/>
  <c r="S3982" i="2"/>
  <c r="T3982" i="2" s="1"/>
  <c r="U3982" i="2"/>
  <c r="U3981" i="2"/>
  <c r="S3981" i="2"/>
  <c r="T3981" i="2" s="1"/>
  <c r="R3981" i="2"/>
  <c r="J3980" i="2"/>
  <c r="I3980" i="2"/>
  <c r="U3980" i="2"/>
  <c r="S3980" i="2"/>
  <c r="T3980" i="2" s="1"/>
  <c r="S3979" i="2"/>
  <c r="T3979" i="2" s="1"/>
  <c r="U3978" i="2"/>
  <c r="S3978" i="2"/>
  <c r="T3978" i="2" s="1"/>
  <c r="J3978" i="2"/>
  <c r="I3978" i="2"/>
  <c r="U3977" i="2"/>
  <c r="J3977" i="2"/>
  <c r="R3977" i="2"/>
  <c r="H3977" i="2"/>
  <c r="J3976" i="2"/>
  <c r="R3976" i="2"/>
  <c r="U3975" i="2"/>
  <c r="S3975" i="2"/>
  <c r="T3975" i="2" s="1"/>
  <c r="I3974" i="2"/>
  <c r="J3974" i="2"/>
  <c r="S3972" i="2"/>
  <c r="T3972" i="2" s="1"/>
  <c r="R3972" i="2"/>
  <c r="J3972" i="2"/>
  <c r="I3972" i="2"/>
  <c r="U3971" i="2"/>
  <c r="R3971" i="2"/>
  <c r="I3970" i="2"/>
  <c r="U3970" i="2"/>
  <c r="S3970" i="2"/>
  <c r="T3970" i="2" s="1"/>
  <c r="U3968" i="2"/>
  <c r="R3968" i="2"/>
  <c r="R3967" i="2"/>
  <c r="S3967" i="2"/>
  <c r="T3967" i="2" s="1"/>
  <c r="U3967" i="2"/>
  <c r="I3966" i="2"/>
  <c r="U3966" i="2"/>
  <c r="S3966" i="2"/>
  <c r="T3966" i="2" s="1"/>
  <c r="R3966" i="2"/>
  <c r="J3964" i="2"/>
  <c r="U3964" i="2"/>
  <c r="I3964" i="2"/>
  <c r="J3961" i="2"/>
  <c r="U3961" i="2"/>
  <c r="R3959" i="2"/>
  <c r="J3958" i="2"/>
  <c r="H3958" i="2"/>
  <c r="R3958" i="2"/>
  <c r="I3958" i="2"/>
  <c r="S3957" i="2"/>
  <c r="T3957" i="2" s="1"/>
  <c r="J3957" i="2"/>
  <c r="U3956" i="2"/>
  <c r="R3956" i="2"/>
  <c r="S3956" i="2"/>
  <c r="T3956" i="2" s="1"/>
  <c r="I3956" i="2"/>
  <c r="S3955" i="2"/>
  <c r="T3955" i="2" s="1"/>
  <c r="R3955" i="2"/>
  <c r="U3955" i="2"/>
  <c r="U3954" i="2"/>
  <c r="S3954" i="2"/>
  <c r="T3954" i="2" s="1"/>
  <c r="I3954" i="2"/>
  <c r="R3954" i="2"/>
  <c r="U3953" i="2"/>
  <c r="R3953" i="2"/>
  <c r="S3952" i="2"/>
  <c r="T3952" i="2" s="1"/>
  <c r="I3952" i="2"/>
  <c r="S3951" i="2"/>
  <c r="T3951" i="2" s="1"/>
  <c r="U3951" i="2"/>
  <c r="S3950" i="2"/>
  <c r="T3950" i="2" s="1"/>
  <c r="R3950" i="2"/>
  <c r="I3950" i="2"/>
  <c r="U3950" i="2"/>
  <c r="J3950" i="2"/>
  <c r="S3949" i="2"/>
  <c r="T3949" i="2" s="1"/>
  <c r="J3949" i="2"/>
  <c r="U3948" i="2"/>
  <c r="S3948" i="2"/>
  <c r="T3948" i="2" s="1"/>
  <c r="R3947" i="2"/>
  <c r="U3946" i="2"/>
  <c r="J3946" i="2"/>
  <c r="S3945" i="2"/>
  <c r="T3945" i="2" s="1"/>
  <c r="J3945" i="2"/>
  <c r="U3945" i="2"/>
  <c r="H3945" i="2"/>
  <c r="J3944" i="2"/>
  <c r="I3944" i="2"/>
  <c r="U3944" i="2"/>
  <c r="S3944" i="2"/>
  <c r="T3944" i="2" s="1"/>
  <c r="R3944" i="2"/>
  <c r="U3942" i="2"/>
  <c r="R3942" i="2"/>
  <c r="I3942" i="2"/>
  <c r="J3942" i="2"/>
  <c r="S3942" i="2"/>
  <c r="T3942" i="2" s="1"/>
  <c r="U3605" i="2"/>
  <c r="S3662" i="2"/>
  <c r="T3662" i="2" s="1"/>
  <c r="I3654" i="2"/>
  <c r="H3686" i="2"/>
  <c r="I4239" i="2"/>
  <c r="I4207" i="2"/>
  <c r="I4175" i="2"/>
  <c r="I4143" i="2"/>
  <c r="I3915" i="2"/>
  <c r="I3899" i="2"/>
  <c r="I3883" i="2"/>
  <c r="H3987" i="2"/>
  <c r="H3955" i="2"/>
  <c r="I4243" i="2"/>
  <c r="I4211" i="2"/>
  <c r="I4179" i="2"/>
  <c r="I4147" i="2"/>
  <c r="I4115" i="2"/>
  <c r="I3987" i="2"/>
  <c r="I3955" i="2"/>
  <c r="H4115" i="2"/>
  <c r="U3613" i="2"/>
  <c r="R3654" i="2"/>
  <c r="J3650" i="2"/>
  <c r="I3622" i="2"/>
  <c r="H3666" i="2"/>
  <c r="S3517" i="2"/>
  <c r="T3517" i="2" s="1"/>
  <c r="R3650" i="2"/>
  <c r="H3646" i="2"/>
  <c r="H4271" i="2"/>
  <c r="I4271" i="2"/>
  <c r="H4267" i="2"/>
  <c r="I4267" i="2"/>
  <c r="H4263" i="2"/>
  <c r="I4263" i="2"/>
  <c r="H4259" i="2"/>
  <c r="I4259" i="2"/>
  <c r="H4255" i="2"/>
  <c r="I4255" i="2"/>
  <c r="H4251" i="2"/>
  <c r="I4251" i="2"/>
  <c r="H4247" i="2"/>
  <c r="I4247" i="2"/>
  <c r="H4235" i="2"/>
  <c r="I4235" i="2"/>
  <c r="H4231" i="2"/>
  <c r="I4231" i="2"/>
  <c r="H4219" i="2"/>
  <c r="I4219" i="2"/>
  <c r="H4215" i="2"/>
  <c r="I4215" i="2"/>
  <c r="H4203" i="2"/>
  <c r="I4203" i="2"/>
  <c r="H4199" i="2"/>
  <c r="I4199" i="2"/>
  <c r="H4187" i="2"/>
  <c r="I4187" i="2"/>
  <c r="H4183" i="2"/>
  <c r="I4183" i="2"/>
  <c r="H4171" i="2"/>
  <c r="I4171" i="2"/>
  <c r="H4167" i="2"/>
  <c r="I4167" i="2"/>
  <c r="H4155" i="2"/>
  <c r="I4155" i="2"/>
  <c r="H4151" i="2"/>
  <c r="I4151" i="2"/>
  <c r="H4139" i="2"/>
  <c r="I4139" i="2"/>
  <c r="J4139" i="2"/>
  <c r="H4135" i="2"/>
  <c r="I4135" i="2"/>
  <c r="J4135" i="2"/>
  <c r="H4131" i="2"/>
  <c r="J4131" i="2"/>
  <c r="H4127" i="2"/>
  <c r="J4127" i="2"/>
  <c r="H4123" i="2"/>
  <c r="I4123" i="2"/>
  <c r="J4123" i="2"/>
  <c r="H4119" i="2"/>
  <c r="I4119" i="2"/>
  <c r="J4119" i="2"/>
  <c r="H4111" i="2"/>
  <c r="J4111" i="2"/>
  <c r="H4107" i="2"/>
  <c r="I4107" i="2"/>
  <c r="J4107" i="2"/>
  <c r="H4103" i="2"/>
  <c r="I4103" i="2"/>
  <c r="J4103" i="2"/>
  <c r="H4099" i="2"/>
  <c r="J4099" i="2"/>
  <c r="H4095" i="2"/>
  <c r="J4095" i="2"/>
  <c r="I4091" i="2"/>
  <c r="J4091" i="2"/>
  <c r="H4087" i="2"/>
  <c r="I4087" i="2"/>
  <c r="J4087" i="2"/>
  <c r="H4083" i="2"/>
  <c r="J4083" i="2"/>
  <c r="H4079" i="2"/>
  <c r="J4079" i="2"/>
  <c r="I4075" i="2"/>
  <c r="H4075" i="2"/>
  <c r="J4075" i="2"/>
  <c r="H4071" i="2"/>
  <c r="I4071" i="2"/>
  <c r="J4071" i="2"/>
  <c r="H4067" i="2"/>
  <c r="J4067" i="2"/>
  <c r="H4063" i="2"/>
  <c r="J4063" i="2"/>
  <c r="H4059" i="2"/>
  <c r="I4059" i="2"/>
  <c r="J4059" i="2"/>
  <c r="H4055" i="2"/>
  <c r="I4055" i="2"/>
  <c r="J4055" i="2"/>
  <c r="H4051" i="2"/>
  <c r="J4051" i="2"/>
  <c r="H4047" i="2"/>
  <c r="J4047" i="2"/>
  <c r="H4043" i="2"/>
  <c r="I4043" i="2"/>
  <c r="J4043" i="2"/>
  <c r="H4039" i="2"/>
  <c r="I4039" i="2"/>
  <c r="J4039" i="2"/>
  <c r="H4035" i="2"/>
  <c r="J4035" i="2"/>
  <c r="H4031" i="2"/>
  <c r="J4031" i="2"/>
  <c r="H4027" i="2"/>
  <c r="I4027" i="2"/>
  <c r="J4027" i="2"/>
  <c r="H4023" i="2"/>
  <c r="I4023" i="2"/>
  <c r="J4023" i="2"/>
  <c r="H4019" i="2"/>
  <c r="J4019" i="2"/>
  <c r="H4015" i="2"/>
  <c r="J4015" i="2"/>
  <c r="H4011" i="2"/>
  <c r="I4011" i="2"/>
  <c r="J4011" i="2"/>
  <c r="H4007" i="2"/>
  <c r="I4007" i="2"/>
  <c r="J4007" i="2"/>
  <c r="H4003" i="2"/>
  <c r="J4003" i="2"/>
  <c r="H3999" i="2"/>
  <c r="J3999" i="2"/>
  <c r="H3995" i="2"/>
  <c r="I3995" i="2"/>
  <c r="J3995" i="2"/>
  <c r="H3991" i="2"/>
  <c r="I3991" i="2"/>
  <c r="J3991" i="2"/>
  <c r="H3983" i="2"/>
  <c r="J3983" i="2"/>
  <c r="H3979" i="2"/>
  <c r="I3979" i="2"/>
  <c r="J3979" i="2"/>
  <c r="H3975" i="2"/>
  <c r="I3975" i="2"/>
  <c r="J3975" i="2"/>
  <c r="H3971" i="2"/>
  <c r="J3971" i="2"/>
  <c r="H3967" i="2"/>
  <c r="J3967" i="2"/>
  <c r="I3963" i="2"/>
  <c r="J3963" i="2"/>
  <c r="H3959" i="2"/>
  <c r="I3959" i="2"/>
  <c r="J3959" i="2"/>
  <c r="H3951" i="2"/>
  <c r="J3951" i="2"/>
  <c r="I3947" i="2"/>
  <c r="J3947" i="2"/>
  <c r="H3943" i="2"/>
  <c r="I3943" i="2"/>
  <c r="J3943" i="2"/>
  <c r="R3662" i="2"/>
  <c r="J3666" i="2"/>
  <c r="H3654" i="2"/>
  <c r="H4091" i="2"/>
  <c r="H3963" i="2"/>
  <c r="U3691" i="2"/>
  <c r="J3939" i="2"/>
  <c r="I3919" i="2"/>
  <c r="I3887" i="2"/>
  <c r="I3927" i="2"/>
  <c r="I3903" i="2"/>
  <c r="I3895" i="2"/>
  <c r="I3682" i="2"/>
  <c r="H4201" i="2"/>
  <c r="H4065" i="2"/>
  <c r="H4245" i="2"/>
  <c r="I4245" i="2"/>
  <c r="H4241" i="2"/>
  <c r="I4241" i="2"/>
  <c r="H4237" i="2"/>
  <c r="I4237" i="2"/>
  <c r="H4233" i="2"/>
  <c r="I4233" i="2"/>
  <c r="H4229" i="2"/>
  <c r="I4229" i="2"/>
  <c r="H4225" i="2"/>
  <c r="I4225" i="2"/>
  <c r="H4221" i="2"/>
  <c r="I4221" i="2"/>
  <c r="H4217" i="2"/>
  <c r="I4217" i="2"/>
  <c r="H4213" i="2"/>
  <c r="I4213" i="2"/>
  <c r="H4209" i="2"/>
  <c r="I4209" i="2"/>
  <c r="H4205" i="2"/>
  <c r="I4205" i="2"/>
  <c r="H4197" i="2"/>
  <c r="I4197" i="2"/>
  <c r="H4193" i="2"/>
  <c r="I4193" i="2"/>
  <c r="H4189" i="2"/>
  <c r="I4189" i="2"/>
  <c r="H4181" i="2"/>
  <c r="I4181" i="2"/>
  <c r="H4177" i="2"/>
  <c r="I4177" i="2"/>
  <c r="H4173" i="2"/>
  <c r="I4173" i="2"/>
  <c r="H4169" i="2"/>
  <c r="I4169" i="2"/>
  <c r="H4165" i="2"/>
  <c r="I4165" i="2"/>
  <c r="H4161" i="2"/>
  <c r="I4161" i="2"/>
  <c r="H4157" i="2"/>
  <c r="I4157" i="2"/>
  <c r="H4153" i="2"/>
  <c r="I4153" i="2"/>
  <c r="H4149" i="2"/>
  <c r="I4149" i="2"/>
  <c r="H4145" i="2"/>
  <c r="I4145" i="2"/>
  <c r="H4133" i="2"/>
  <c r="I4133" i="2"/>
  <c r="H4125" i="2"/>
  <c r="I4125" i="2"/>
  <c r="H4121" i="2"/>
  <c r="I4121" i="2"/>
  <c r="H4117" i="2"/>
  <c r="I4117" i="2"/>
  <c r="H4113" i="2"/>
  <c r="I4113" i="2"/>
  <c r="H4109" i="2"/>
  <c r="I4109" i="2"/>
  <c r="H4105" i="2"/>
  <c r="I4105" i="2"/>
  <c r="H4101" i="2"/>
  <c r="I4101" i="2"/>
  <c r="H4097" i="2"/>
  <c r="I4097" i="2"/>
  <c r="H4093" i="2"/>
  <c r="I4093" i="2"/>
  <c r="H4089" i="2"/>
  <c r="I4089" i="2"/>
  <c r="H4085" i="2"/>
  <c r="I4085" i="2"/>
  <c r="H4081" i="2"/>
  <c r="I4081" i="2"/>
  <c r="H4077" i="2"/>
  <c r="I4077" i="2"/>
  <c r="H4069" i="2"/>
  <c r="I4069" i="2"/>
  <c r="H4061" i="2"/>
  <c r="I4061" i="2"/>
  <c r="H4053" i="2"/>
  <c r="I4053" i="2"/>
  <c r="H4049" i="2"/>
  <c r="I4049" i="2"/>
  <c r="H4045" i="2"/>
  <c r="I4045" i="2"/>
  <c r="H4041" i="2"/>
  <c r="I4041" i="2"/>
  <c r="H4037" i="2"/>
  <c r="I4037" i="2"/>
  <c r="H4033" i="2"/>
  <c r="I4033" i="2"/>
  <c r="H4029" i="2"/>
  <c r="I4029" i="2"/>
  <c r="H4025" i="2"/>
  <c r="I4025" i="2"/>
  <c r="H4021" i="2"/>
  <c r="I4021" i="2"/>
  <c r="H4017" i="2"/>
  <c r="I4017" i="2"/>
  <c r="H4005" i="2"/>
  <c r="I4005" i="2"/>
  <c r="H3997" i="2"/>
  <c r="I3997" i="2"/>
  <c r="H3993" i="2"/>
  <c r="I3993" i="2"/>
  <c r="H3989" i="2"/>
  <c r="I3989" i="2"/>
  <c r="H3985" i="2"/>
  <c r="I3985" i="2"/>
  <c r="H3981" i="2"/>
  <c r="I3981" i="2"/>
  <c r="H3973" i="2"/>
  <c r="I3973" i="2"/>
  <c r="H3969" i="2"/>
  <c r="I3969" i="2"/>
  <c r="H3965" i="2"/>
  <c r="I3965" i="2"/>
  <c r="H3961" i="2"/>
  <c r="I3961" i="2"/>
  <c r="H3957" i="2"/>
  <c r="I3957" i="2"/>
  <c r="U3677" i="2"/>
  <c r="S3657" i="2"/>
  <c r="T3657" i="2" s="1"/>
  <c r="U3659" i="2"/>
  <c r="U3581" i="2"/>
  <c r="R3685" i="2"/>
  <c r="R3941" i="2"/>
  <c r="R3940" i="2"/>
  <c r="U3940" i="2"/>
  <c r="R3939" i="2"/>
  <c r="S3939" i="2"/>
  <c r="T3939" i="2" s="1"/>
  <c r="S3938" i="2"/>
  <c r="T3938" i="2" s="1"/>
  <c r="R3938" i="2"/>
  <c r="J3938" i="2"/>
  <c r="U3938" i="2"/>
  <c r="I3938" i="2"/>
  <c r="S3937" i="2"/>
  <c r="T3937" i="2" s="1"/>
  <c r="H3937" i="2"/>
  <c r="U3936" i="2"/>
  <c r="S3936" i="2"/>
  <c r="T3936" i="2" s="1"/>
  <c r="R3935" i="2"/>
  <c r="S3935" i="2"/>
  <c r="T3935" i="2" s="1"/>
  <c r="J3935" i="2"/>
  <c r="U3935" i="2"/>
  <c r="I3935" i="2"/>
  <c r="U3934" i="2"/>
  <c r="I3934" i="2"/>
  <c r="S3934" i="2"/>
  <c r="T3934" i="2" s="1"/>
  <c r="R3934" i="2"/>
  <c r="S3933" i="2"/>
  <c r="T3933" i="2" s="1"/>
  <c r="R3932" i="2"/>
  <c r="U3932" i="2"/>
  <c r="U3931" i="2"/>
  <c r="S3931" i="2"/>
  <c r="T3931" i="2" s="1"/>
  <c r="J3931" i="2"/>
  <c r="U3930" i="2"/>
  <c r="R3930" i="2"/>
  <c r="J3930" i="2"/>
  <c r="H3929" i="2"/>
  <c r="R3928" i="2"/>
  <c r="U3928" i="2"/>
  <c r="S3928" i="2"/>
  <c r="T3928" i="2" s="1"/>
  <c r="J3928" i="2"/>
  <c r="J3927" i="2"/>
  <c r="U3927" i="2"/>
  <c r="R3927" i="2"/>
  <c r="U3926" i="2"/>
  <c r="S3926" i="2"/>
  <c r="T3926" i="2" s="1"/>
  <c r="R3926" i="2"/>
  <c r="J3926" i="2"/>
  <c r="I3926" i="2"/>
  <c r="U3925" i="2"/>
  <c r="S3923" i="2"/>
  <c r="T3923" i="2" s="1"/>
  <c r="U3923" i="2"/>
  <c r="R3923" i="2"/>
  <c r="J3923" i="2"/>
  <c r="I3923" i="2"/>
  <c r="R3922" i="2"/>
  <c r="U3922" i="2"/>
  <c r="S3922" i="2"/>
  <c r="T3922" i="2" s="1"/>
  <c r="I3922" i="2"/>
  <c r="U3921" i="2"/>
  <c r="R3921" i="2"/>
  <c r="S3921" i="2"/>
  <c r="T3921" i="2" s="1"/>
  <c r="S3920" i="2"/>
  <c r="T3920" i="2" s="1"/>
  <c r="R3920" i="2"/>
  <c r="U3920" i="2"/>
  <c r="U3919" i="2"/>
  <c r="S3919" i="2"/>
  <c r="T3919" i="2" s="1"/>
  <c r="R3919" i="2"/>
  <c r="J3919" i="2"/>
  <c r="I3904" i="2"/>
  <c r="I3918" i="2"/>
  <c r="S3918" i="2"/>
  <c r="T3918" i="2" s="1"/>
  <c r="U3917" i="2"/>
  <c r="S3917" i="2"/>
  <c r="T3917" i="2" s="1"/>
  <c r="U3916" i="2"/>
  <c r="S3916" i="2"/>
  <c r="T3916" i="2" s="1"/>
  <c r="R3916" i="2"/>
  <c r="S3915" i="2"/>
  <c r="T3915" i="2" s="1"/>
  <c r="R3915" i="2"/>
  <c r="S3914" i="2"/>
  <c r="T3914" i="2" s="1"/>
  <c r="J3914" i="2"/>
  <c r="I3914" i="2"/>
  <c r="U3913" i="2"/>
  <c r="H3913" i="2"/>
  <c r="U3912" i="2"/>
  <c r="R3912" i="2"/>
  <c r="S3912" i="2"/>
  <c r="T3912" i="2" s="1"/>
  <c r="S3911" i="2"/>
  <c r="T3911" i="2" s="1"/>
  <c r="R3911" i="2"/>
  <c r="J3911" i="2"/>
  <c r="U3911" i="2"/>
  <c r="I3911" i="2"/>
  <c r="I3910" i="2"/>
  <c r="U3908" i="2"/>
  <c r="S3908" i="2"/>
  <c r="T3908" i="2" s="1"/>
  <c r="R3907" i="2"/>
  <c r="J3907" i="2"/>
  <c r="U3907" i="2"/>
  <c r="S3907" i="2"/>
  <c r="T3907" i="2" s="1"/>
  <c r="I3907" i="2"/>
  <c r="S3906" i="2"/>
  <c r="T3906" i="2" s="1"/>
  <c r="I3906" i="2"/>
  <c r="U3906" i="2"/>
  <c r="R3906" i="2"/>
  <c r="S3905" i="2"/>
  <c r="T3905" i="2" s="1"/>
  <c r="R3905" i="2"/>
  <c r="S3904" i="2"/>
  <c r="T3904" i="2" s="1"/>
  <c r="R3904" i="2"/>
  <c r="J3904" i="2"/>
  <c r="R3903" i="2"/>
  <c r="J3903" i="2"/>
  <c r="U3903" i="2"/>
  <c r="S3903" i="2"/>
  <c r="T3903" i="2" s="1"/>
  <c r="R3902" i="2"/>
  <c r="I3902" i="2"/>
  <c r="S3901" i="2"/>
  <c r="T3901" i="2" s="1"/>
  <c r="J3900" i="2"/>
  <c r="J3899" i="2"/>
  <c r="S3899" i="2"/>
  <c r="T3899" i="2" s="1"/>
  <c r="R3899" i="2"/>
  <c r="U3899" i="2"/>
  <c r="U3898" i="2"/>
  <c r="S3898" i="2"/>
  <c r="T3898" i="2" s="1"/>
  <c r="J3898" i="2"/>
  <c r="I3898" i="2"/>
  <c r="S3897" i="2"/>
  <c r="T3897" i="2" s="1"/>
  <c r="R3897" i="2"/>
  <c r="J3897" i="2"/>
  <c r="S3896" i="2"/>
  <c r="T3896" i="2" s="1"/>
  <c r="S3895" i="2"/>
  <c r="T3895" i="2" s="1"/>
  <c r="R3895" i="2"/>
  <c r="S3894" i="2"/>
  <c r="T3894" i="2" s="1"/>
  <c r="J3894" i="2"/>
  <c r="U3894" i="2"/>
  <c r="I3894" i="2"/>
  <c r="I3666" i="2"/>
  <c r="J3694" i="2"/>
  <c r="R3809" i="2"/>
  <c r="I3809" i="2"/>
  <c r="S3651" i="2"/>
  <c r="T3651" i="2" s="1"/>
  <c r="S3591" i="2"/>
  <c r="T3591" i="2" s="1"/>
  <c r="S3523" i="2"/>
  <c r="T3523" i="2" s="1"/>
  <c r="S3487" i="2"/>
  <c r="T3487" i="2" s="1"/>
  <c r="R3679" i="2"/>
  <c r="R3615" i="2"/>
  <c r="J3547" i="2"/>
  <c r="J3487" i="2"/>
  <c r="U3683" i="2"/>
  <c r="U3655" i="2"/>
  <c r="U3587" i="2"/>
  <c r="U3531" i="2"/>
  <c r="U3519" i="2"/>
  <c r="U3491" i="2"/>
  <c r="U3483" i="2"/>
  <c r="R3587" i="2"/>
  <c r="R3483" i="2"/>
  <c r="U3598" i="2"/>
  <c r="U3583" i="2"/>
  <c r="U3554" i="2"/>
  <c r="U3527" i="2"/>
  <c r="S3679" i="2"/>
  <c r="T3679" i="2" s="1"/>
  <c r="S3650" i="2"/>
  <c r="T3650" i="2" s="1"/>
  <c r="S3590" i="2"/>
  <c r="T3590" i="2" s="1"/>
  <c r="S3574" i="2"/>
  <c r="T3574" i="2" s="1"/>
  <c r="S3562" i="2"/>
  <c r="T3562" i="2" s="1"/>
  <c r="S3555" i="2"/>
  <c r="T3555" i="2" s="1"/>
  <c r="R3663" i="2"/>
  <c r="R3651" i="2"/>
  <c r="R3598" i="2"/>
  <c r="R3579" i="2"/>
  <c r="R3562" i="2"/>
  <c r="R3519" i="2"/>
  <c r="J3691" i="2"/>
  <c r="J3651" i="2"/>
  <c r="J3610" i="2"/>
  <c r="J3587" i="2"/>
  <c r="J3562" i="2"/>
  <c r="I3662" i="2"/>
  <c r="I3610" i="2"/>
  <c r="I3570" i="2"/>
  <c r="I3554" i="2"/>
  <c r="U3667" i="2"/>
  <c r="U3651" i="2"/>
  <c r="U3523" i="2"/>
  <c r="U3507" i="2"/>
  <c r="U3487" i="2"/>
  <c r="S3667" i="2"/>
  <c r="T3667" i="2" s="1"/>
  <c r="S3587" i="2"/>
  <c r="T3587" i="2" s="1"/>
  <c r="S3519" i="2"/>
  <c r="T3519" i="2" s="1"/>
  <c r="S3483" i="2"/>
  <c r="T3483" i="2" s="1"/>
  <c r="R3591" i="2"/>
  <c r="R3487" i="2"/>
  <c r="J3523" i="2"/>
  <c r="J3483" i="2"/>
  <c r="H3917" i="2"/>
  <c r="H3905" i="2"/>
  <c r="H3897" i="2"/>
  <c r="U3893" i="2"/>
  <c r="S3893" i="2"/>
  <c r="T3893" i="2" s="1"/>
  <c r="S3892" i="2"/>
  <c r="T3892" i="2" s="1"/>
  <c r="U3891" i="2"/>
  <c r="S3891" i="2"/>
  <c r="T3891" i="2" s="1"/>
  <c r="R3891" i="2"/>
  <c r="J3891" i="2"/>
  <c r="H3890" i="2"/>
  <c r="U3889" i="2"/>
  <c r="U3887" i="2"/>
  <c r="S3887" i="2"/>
  <c r="T3887" i="2" s="1"/>
  <c r="I3886" i="2"/>
  <c r="R3886" i="2"/>
  <c r="U3886" i="2"/>
  <c r="R3885" i="2"/>
  <c r="U3885" i="2"/>
  <c r="S3885" i="2"/>
  <c r="T3885" i="2" s="1"/>
  <c r="J3885" i="2"/>
  <c r="I3884" i="2"/>
  <c r="S3884" i="2"/>
  <c r="T3884" i="2" s="1"/>
  <c r="J3884" i="2"/>
  <c r="J3883" i="2"/>
  <c r="S3883" i="2"/>
  <c r="T3883" i="2" s="1"/>
  <c r="R3883" i="2"/>
  <c r="U3882" i="2"/>
  <c r="S3882" i="2"/>
  <c r="T3882" i="2" s="1"/>
  <c r="J3882" i="2"/>
  <c r="U3881" i="2"/>
  <c r="R3881" i="2"/>
  <c r="J3881" i="2"/>
  <c r="H3881" i="2"/>
  <c r="U3880" i="2"/>
  <c r="U3879" i="2"/>
  <c r="S3879" i="2"/>
  <c r="T3879" i="2" s="1"/>
  <c r="R3878" i="2"/>
  <c r="J3876" i="2"/>
  <c r="I3876" i="2"/>
  <c r="U3876" i="2"/>
  <c r="R3876" i="2"/>
  <c r="U3875" i="2"/>
  <c r="R3875" i="2"/>
  <c r="S3875" i="2"/>
  <c r="T3875" i="2" s="1"/>
  <c r="S3874" i="2"/>
  <c r="T3874" i="2" s="1"/>
  <c r="R3874" i="2"/>
  <c r="J3874" i="2"/>
  <c r="U3874" i="2"/>
  <c r="I3874" i="2"/>
  <c r="U3873" i="2"/>
  <c r="H3873" i="2"/>
  <c r="S3872" i="2"/>
  <c r="T3872" i="2" s="1"/>
  <c r="R3871" i="2"/>
  <c r="J3871" i="2"/>
  <c r="U3871" i="2"/>
  <c r="S3871" i="2"/>
  <c r="T3871" i="2" s="1"/>
  <c r="I3871" i="2"/>
  <c r="I3870" i="2"/>
  <c r="R3870" i="2"/>
  <c r="R3869" i="2"/>
  <c r="R3868" i="2"/>
  <c r="J3868" i="2"/>
  <c r="I3868" i="2"/>
  <c r="I3867" i="2"/>
  <c r="R3867" i="2"/>
  <c r="J3867" i="2"/>
  <c r="U3866" i="2"/>
  <c r="S3866" i="2"/>
  <c r="T3866" i="2" s="1"/>
  <c r="J3866" i="2"/>
  <c r="J3865" i="2"/>
  <c r="U3865" i="2"/>
  <c r="S3865" i="2"/>
  <c r="T3865" i="2" s="1"/>
  <c r="R3865" i="2"/>
  <c r="H3865" i="2"/>
  <c r="S3864" i="2"/>
  <c r="T3864" i="2" s="1"/>
  <c r="J3864" i="2"/>
  <c r="I3864" i="2"/>
  <c r="R3864" i="2"/>
  <c r="U3863" i="2"/>
  <c r="U3862" i="2"/>
  <c r="S3862" i="2"/>
  <c r="T3862" i="2" s="1"/>
  <c r="U3861" i="2"/>
  <c r="R3861" i="2"/>
  <c r="I3860" i="2"/>
  <c r="U3860" i="2"/>
  <c r="S3860" i="2"/>
  <c r="T3860" i="2" s="1"/>
  <c r="S3859" i="2"/>
  <c r="T3859" i="2" s="1"/>
  <c r="R3859" i="2"/>
  <c r="J3859" i="2"/>
  <c r="U3859" i="2"/>
  <c r="I3859" i="2"/>
  <c r="U3858" i="2"/>
  <c r="S3858" i="2"/>
  <c r="T3858" i="2" s="1"/>
  <c r="I3858" i="2"/>
  <c r="R3858" i="2"/>
  <c r="U3857" i="2"/>
  <c r="J3857" i="2"/>
  <c r="S3856" i="2"/>
  <c r="T3856" i="2" s="1"/>
  <c r="J3856" i="2"/>
  <c r="U3856" i="2"/>
  <c r="J3855" i="2"/>
  <c r="R3855" i="2"/>
  <c r="U3855" i="2"/>
  <c r="S3854" i="2"/>
  <c r="T3854" i="2" s="1"/>
  <c r="I3854" i="2"/>
  <c r="U3853" i="2"/>
  <c r="S3853" i="2"/>
  <c r="T3853" i="2" s="1"/>
  <c r="R3853" i="2"/>
  <c r="J3853" i="2"/>
  <c r="H3853" i="2"/>
  <c r="S3852" i="2"/>
  <c r="T3852" i="2" s="1"/>
  <c r="R3852" i="2"/>
  <c r="J3852" i="2"/>
  <c r="I3852" i="2"/>
  <c r="J3851" i="2"/>
  <c r="S3851" i="2"/>
  <c r="T3851" i="2" s="1"/>
  <c r="U3850" i="2"/>
  <c r="S3850" i="2"/>
  <c r="T3850" i="2" s="1"/>
  <c r="I3850" i="2"/>
  <c r="U3849" i="2"/>
  <c r="R3849" i="2"/>
  <c r="S3848" i="2"/>
  <c r="T3848" i="2" s="1"/>
  <c r="R3848" i="2"/>
  <c r="J3848" i="2"/>
  <c r="I3848" i="2"/>
  <c r="I3847" i="2"/>
  <c r="H3847" i="2"/>
  <c r="R3846" i="2"/>
  <c r="H3846" i="2"/>
  <c r="R3845" i="2"/>
  <c r="S3845" i="2"/>
  <c r="T3845" i="2" s="1"/>
  <c r="S3844" i="2"/>
  <c r="T3844" i="2" s="1"/>
  <c r="I3844" i="2"/>
  <c r="U3844" i="2"/>
  <c r="J3844" i="2"/>
  <c r="J3843" i="2"/>
  <c r="I3843" i="2"/>
  <c r="R3842" i="2"/>
  <c r="J3842" i="2"/>
  <c r="J3841" i="2"/>
  <c r="U3841" i="2"/>
  <c r="S3841" i="2"/>
  <c r="T3841" i="2" s="1"/>
  <c r="I3840" i="2"/>
  <c r="S3840" i="2"/>
  <c r="T3840" i="2" s="1"/>
  <c r="R3839" i="2"/>
  <c r="I3839" i="2"/>
  <c r="U3839" i="2"/>
  <c r="S3839" i="2"/>
  <c r="T3839" i="2" s="1"/>
  <c r="J3839" i="2"/>
  <c r="J3838" i="2"/>
  <c r="R3838" i="2"/>
  <c r="J3837" i="2"/>
  <c r="H3837" i="2"/>
  <c r="R3836" i="2"/>
  <c r="J3836" i="2"/>
  <c r="I3836" i="2"/>
  <c r="U3836" i="2"/>
  <c r="S3836" i="2"/>
  <c r="T3836" i="2" s="1"/>
  <c r="U3835" i="2"/>
  <c r="S3835" i="2"/>
  <c r="T3835" i="2" s="1"/>
  <c r="R3835" i="2"/>
  <c r="R3834" i="2"/>
  <c r="J3834" i="2"/>
  <c r="U3834" i="2"/>
  <c r="S3834" i="2"/>
  <c r="T3834" i="2" s="1"/>
  <c r="I3834" i="2"/>
  <c r="U3833" i="2"/>
  <c r="R3833" i="2"/>
  <c r="H3833" i="2"/>
  <c r="S3831" i="2"/>
  <c r="T3831" i="2" s="1"/>
  <c r="U3831" i="2"/>
  <c r="R3831" i="2"/>
  <c r="U3830" i="2"/>
  <c r="R3830" i="2"/>
  <c r="S3830" i="2"/>
  <c r="T3830" i="2" s="1"/>
  <c r="R3829" i="2"/>
  <c r="U3661" i="2"/>
  <c r="U3653" i="2"/>
  <c r="R3653" i="2"/>
  <c r="S3695" i="2"/>
  <c r="T3695" i="2" s="1"/>
  <c r="S3613" i="2"/>
  <c r="T3613" i="2" s="1"/>
  <c r="R3605" i="2"/>
  <c r="H3953" i="2"/>
  <c r="H3933" i="2"/>
  <c r="H3921" i="2"/>
  <c r="H3901" i="2"/>
  <c r="H3889" i="2"/>
  <c r="H3869" i="2"/>
  <c r="H3857" i="2"/>
  <c r="H3941" i="2"/>
  <c r="I3941" i="2"/>
  <c r="H3925" i="2"/>
  <c r="I3925" i="2"/>
  <c r="H3909" i="2"/>
  <c r="I3909" i="2"/>
  <c r="H3893" i="2"/>
  <c r="I3893" i="2"/>
  <c r="H3877" i="2"/>
  <c r="I3877" i="2"/>
  <c r="H3861" i="2"/>
  <c r="I3861" i="2"/>
  <c r="H3845" i="2"/>
  <c r="I3845" i="2"/>
  <c r="I3841" i="2"/>
  <c r="H3841" i="2"/>
  <c r="H3829" i="2"/>
  <c r="I3829" i="2"/>
  <c r="U3645" i="2"/>
  <c r="S3645" i="2"/>
  <c r="T3645" i="2" s="1"/>
  <c r="U3828" i="2"/>
  <c r="S3828" i="2"/>
  <c r="T3828" i="2" s="1"/>
  <c r="R3828" i="2"/>
  <c r="J3828" i="2"/>
  <c r="I3828" i="2"/>
  <c r="U3821" i="2"/>
  <c r="R3820" i="2"/>
  <c r="U3820" i="2"/>
  <c r="J3820" i="2"/>
  <c r="I3820" i="2"/>
  <c r="U3819" i="2"/>
  <c r="S3819" i="2"/>
  <c r="T3819" i="2" s="1"/>
  <c r="I3819" i="2"/>
  <c r="I3818" i="2"/>
  <c r="S3818" i="2"/>
  <c r="T3818" i="2" s="1"/>
  <c r="J3818" i="2"/>
  <c r="S3817" i="2"/>
  <c r="T3817" i="2" s="1"/>
  <c r="R3817" i="2"/>
  <c r="I3816" i="2"/>
  <c r="J3816" i="2"/>
  <c r="S3816" i="2"/>
  <c r="T3816" i="2" s="1"/>
  <c r="S3815" i="2"/>
  <c r="T3815" i="2" s="1"/>
  <c r="I3815" i="2"/>
  <c r="H3815" i="2"/>
  <c r="R3815" i="2"/>
  <c r="S3814" i="2"/>
  <c r="T3814" i="2" s="1"/>
  <c r="H3814" i="2"/>
  <c r="U3814" i="2"/>
  <c r="R3814" i="2"/>
  <c r="J3814" i="2"/>
  <c r="H3813" i="2"/>
  <c r="S3812" i="2"/>
  <c r="T3812" i="2" s="1"/>
  <c r="R3812" i="2"/>
  <c r="J3812" i="2"/>
  <c r="U3811" i="2"/>
  <c r="R3811" i="2"/>
  <c r="S3811" i="2"/>
  <c r="T3811" i="2" s="1"/>
  <c r="U3810" i="2"/>
  <c r="S3810" i="2"/>
  <c r="T3810" i="2" s="1"/>
  <c r="R3810" i="2"/>
  <c r="S3809" i="2"/>
  <c r="T3809" i="2" s="1"/>
  <c r="R3808" i="2"/>
  <c r="I3808" i="2"/>
  <c r="R3807" i="2"/>
  <c r="J3807" i="2"/>
  <c r="I3807" i="2"/>
  <c r="U3807" i="2"/>
  <c r="S3805" i="2"/>
  <c r="T3805" i="2" s="1"/>
  <c r="R3805" i="2"/>
  <c r="J3805" i="2"/>
  <c r="U3804" i="2"/>
  <c r="S3804" i="2"/>
  <c r="T3804" i="2" s="1"/>
  <c r="R3804" i="2"/>
  <c r="S3803" i="2"/>
  <c r="T3803" i="2" s="1"/>
  <c r="S3801" i="2"/>
  <c r="T3801" i="2" s="1"/>
  <c r="R3801" i="2"/>
  <c r="I3801" i="2"/>
  <c r="J3800" i="2"/>
  <c r="I3800" i="2"/>
  <c r="U3800" i="2"/>
  <c r="S3800" i="2"/>
  <c r="T3800" i="2" s="1"/>
  <c r="S3799" i="2"/>
  <c r="T3799" i="2" s="1"/>
  <c r="U3799" i="2"/>
  <c r="R3799" i="2"/>
  <c r="U3798" i="2"/>
  <c r="U3797" i="2"/>
  <c r="S3797" i="2"/>
  <c r="T3797" i="2" s="1"/>
  <c r="R3797" i="2"/>
  <c r="J3797" i="2"/>
  <c r="U3796" i="2"/>
  <c r="U3795" i="2"/>
  <c r="J3795" i="2"/>
  <c r="J3794" i="2"/>
  <c r="U3794" i="2"/>
  <c r="R3793" i="2"/>
  <c r="U3793" i="2"/>
  <c r="I3793" i="2"/>
  <c r="R3792" i="2"/>
  <c r="H3791" i="2"/>
  <c r="S3791" i="2"/>
  <c r="T3791" i="2" s="1"/>
  <c r="R3791" i="2"/>
  <c r="J3791" i="2"/>
  <c r="H3790" i="2"/>
  <c r="U3790" i="2"/>
  <c r="S3789" i="2"/>
  <c r="T3789" i="2" s="1"/>
  <c r="U3788" i="2"/>
  <c r="S3788" i="2"/>
  <c r="T3788" i="2" s="1"/>
  <c r="J3788" i="2"/>
  <c r="S3787" i="2"/>
  <c r="T3787" i="2" s="1"/>
  <c r="U3785" i="2"/>
  <c r="S3785" i="2"/>
  <c r="T3785" i="2" s="1"/>
  <c r="J3785" i="2"/>
  <c r="R3785" i="2"/>
  <c r="J3784" i="2"/>
  <c r="S3784" i="2"/>
  <c r="T3784" i="2" s="1"/>
  <c r="I3784" i="2"/>
  <c r="U3783" i="2"/>
  <c r="S3783" i="2"/>
  <c r="T3783" i="2" s="1"/>
  <c r="J3783" i="2"/>
  <c r="H3782" i="2"/>
  <c r="U3782" i="2"/>
  <c r="R3782" i="2"/>
  <c r="U3781" i="2"/>
  <c r="S3781" i="2"/>
  <c r="T3781" i="2" s="1"/>
  <c r="R3781" i="2"/>
  <c r="J3781" i="2"/>
  <c r="S3778" i="2"/>
  <c r="T3778" i="2" s="1"/>
  <c r="R3777" i="2"/>
  <c r="U3777" i="2"/>
  <c r="S3777" i="2"/>
  <c r="T3777" i="2" s="1"/>
  <c r="I3777" i="2"/>
  <c r="U3776" i="2"/>
  <c r="R3776" i="2"/>
  <c r="J3776" i="2"/>
  <c r="I3776" i="2"/>
  <c r="U3775" i="2"/>
  <c r="S3775" i="2"/>
  <c r="T3775" i="2" s="1"/>
  <c r="S3773" i="2"/>
  <c r="T3773" i="2" s="1"/>
  <c r="R3773" i="2"/>
  <c r="U3773" i="2"/>
  <c r="J3773" i="2"/>
  <c r="U3772" i="2"/>
  <c r="S3772" i="2"/>
  <c r="T3772" i="2" s="1"/>
  <c r="U3771" i="2"/>
  <c r="R3771" i="2"/>
  <c r="R3770" i="2"/>
  <c r="J3770" i="2"/>
  <c r="U3770" i="2"/>
  <c r="R3769" i="2"/>
  <c r="I3769" i="2"/>
  <c r="R3768" i="2"/>
  <c r="J3768" i="2"/>
  <c r="I3768" i="2"/>
  <c r="S3767" i="2"/>
  <c r="T3767" i="2" s="1"/>
  <c r="R3767" i="2"/>
  <c r="U3765" i="2"/>
  <c r="J3765" i="2"/>
  <c r="S3764" i="2"/>
  <c r="T3764" i="2" s="1"/>
  <c r="U3764" i="2"/>
  <c r="R3764" i="2"/>
  <c r="S3762" i="2"/>
  <c r="T3762" i="2" s="1"/>
  <c r="J3762" i="2"/>
  <c r="U3762" i="2"/>
  <c r="R3761" i="2"/>
  <c r="U3761" i="2"/>
  <c r="S3761" i="2"/>
  <c r="T3761" i="2" s="1"/>
  <c r="I3761" i="2"/>
  <c r="S3760" i="2"/>
  <c r="T3760" i="2" s="1"/>
  <c r="R3760" i="2"/>
  <c r="J3760" i="2"/>
  <c r="I3760" i="2"/>
  <c r="U3759" i="2"/>
  <c r="U3757" i="2"/>
  <c r="R3756" i="2"/>
  <c r="U3756" i="2"/>
  <c r="U3755" i="2"/>
  <c r="J3755" i="2"/>
  <c r="S3754" i="2"/>
  <c r="T3754" i="2" s="1"/>
  <c r="J3754" i="2"/>
  <c r="J3753" i="2"/>
  <c r="R3753" i="2"/>
  <c r="U3753" i="2"/>
  <c r="S3752" i="2"/>
  <c r="T3752" i="2" s="1"/>
  <c r="I3752" i="2"/>
  <c r="U3751" i="2"/>
  <c r="S3751" i="2"/>
  <c r="T3751" i="2" s="1"/>
  <c r="R3751" i="2"/>
  <c r="J3751" i="2"/>
  <c r="S3747" i="2"/>
  <c r="T3747" i="2" s="1"/>
  <c r="U3747" i="2"/>
  <c r="S3745" i="2"/>
  <c r="T3745" i="2" s="1"/>
  <c r="J3745" i="2"/>
  <c r="R3745" i="2"/>
  <c r="I3745" i="2"/>
  <c r="J3744" i="2"/>
  <c r="S3744" i="2"/>
  <c r="T3744" i="2" s="1"/>
  <c r="I3744" i="2"/>
  <c r="U3744" i="2"/>
  <c r="U3743" i="2"/>
  <c r="R3743" i="2"/>
  <c r="J3743" i="2"/>
  <c r="S3742" i="2"/>
  <c r="T3742" i="2" s="1"/>
  <c r="R3742" i="2"/>
  <c r="U3742" i="2"/>
  <c r="J3742" i="2"/>
  <c r="J3741" i="2"/>
  <c r="I3741" i="2"/>
  <c r="U3741" i="2"/>
  <c r="S3740" i="2"/>
  <c r="T3740" i="2" s="1"/>
  <c r="I3740" i="2"/>
  <c r="S3737" i="2"/>
  <c r="T3737" i="2" s="1"/>
  <c r="I3737" i="2"/>
  <c r="J3737" i="2"/>
  <c r="R3737" i="2"/>
  <c r="U3737" i="2"/>
  <c r="S3736" i="2"/>
  <c r="T3736" i="2" s="1"/>
  <c r="I3736" i="2"/>
  <c r="U3735" i="2"/>
  <c r="S3735" i="2"/>
  <c r="T3735" i="2" s="1"/>
  <c r="R3735" i="2"/>
  <c r="J3735" i="2"/>
  <c r="H3734" i="2"/>
  <c r="U3733" i="2"/>
  <c r="R3731" i="2"/>
  <c r="J3731" i="2"/>
  <c r="J3730" i="2"/>
  <c r="J3729" i="2"/>
  <c r="R3729" i="2"/>
  <c r="U3729" i="2"/>
  <c r="S3729" i="2"/>
  <c r="T3729" i="2" s="1"/>
  <c r="I3729" i="2"/>
  <c r="J3728" i="2"/>
  <c r="I3728" i="2"/>
  <c r="S3727" i="2"/>
  <c r="T3727" i="2" s="1"/>
  <c r="R3727" i="2"/>
  <c r="U3725" i="2"/>
  <c r="S3725" i="2"/>
  <c r="T3725" i="2" s="1"/>
  <c r="R3725" i="2"/>
  <c r="J3725" i="2"/>
  <c r="U3724" i="2"/>
  <c r="R3724" i="2"/>
  <c r="S3723" i="2"/>
  <c r="T3723" i="2" s="1"/>
  <c r="U3723" i="2"/>
  <c r="R3721" i="2"/>
  <c r="U3721" i="2"/>
  <c r="S3721" i="2"/>
  <c r="T3721" i="2" s="1"/>
  <c r="I3721" i="2"/>
  <c r="J3720" i="2"/>
  <c r="I3720" i="2"/>
  <c r="U3720" i="2"/>
  <c r="U3719" i="2"/>
  <c r="S3719" i="2"/>
  <c r="T3719" i="2" s="1"/>
  <c r="R3719" i="2"/>
  <c r="U3717" i="2"/>
  <c r="S3717" i="2"/>
  <c r="T3717" i="2" s="1"/>
  <c r="R3717" i="2"/>
  <c r="J3717" i="2"/>
  <c r="R3716" i="2"/>
  <c r="U3716" i="2"/>
  <c r="U3715" i="2"/>
  <c r="S3715" i="2"/>
  <c r="T3715" i="2" s="1"/>
  <c r="U3714" i="2"/>
  <c r="R3714" i="2"/>
  <c r="U3713" i="2"/>
  <c r="S3713" i="2"/>
  <c r="T3713" i="2" s="1"/>
  <c r="J3713" i="2"/>
  <c r="I3713" i="2"/>
  <c r="R3711" i="2"/>
  <c r="R3709" i="2"/>
  <c r="J3709" i="2"/>
  <c r="S3708" i="2"/>
  <c r="T3708" i="2" s="1"/>
  <c r="R3708" i="2"/>
  <c r="U3706" i="2"/>
  <c r="S3706" i="2"/>
  <c r="T3706" i="2" s="1"/>
  <c r="U3705" i="2"/>
  <c r="R3705" i="2"/>
  <c r="S3705" i="2"/>
  <c r="T3705" i="2" s="1"/>
  <c r="I3705" i="2"/>
  <c r="R3704" i="2"/>
  <c r="J3704" i="2"/>
  <c r="I3704" i="2"/>
  <c r="S3703" i="2"/>
  <c r="T3703" i="2" s="1"/>
  <c r="U3702" i="2"/>
  <c r="R3702" i="2"/>
  <c r="S3701" i="2"/>
  <c r="T3701" i="2" s="1"/>
  <c r="R3701" i="2"/>
  <c r="J3700" i="2"/>
  <c r="U3700" i="2"/>
  <c r="S3700" i="2"/>
  <c r="T3700" i="2" s="1"/>
  <c r="I3700" i="2"/>
  <c r="S3699" i="2"/>
  <c r="T3699" i="2" s="1"/>
  <c r="U3699" i="2"/>
  <c r="R3699" i="2"/>
  <c r="R3698" i="2"/>
  <c r="U3695" i="2"/>
  <c r="U3694" i="2"/>
  <c r="S3694" i="2"/>
  <c r="T3694" i="2" s="1"/>
  <c r="R3694" i="2"/>
  <c r="I3694" i="2"/>
  <c r="U3693" i="2"/>
  <c r="U3690" i="2"/>
  <c r="S3690" i="2"/>
  <c r="T3690" i="2" s="1"/>
  <c r="R3690" i="2"/>
  <c r="I3690" i="2"/>
  <c r="J3690" i="2"/>
  <c r="S3689" i="2"/>
  <c r="T3689" i="2" s="1"/>
  <c r="U3687" i="2"/>
  <c r="S3687" i="2"/>
  <c r="T3687" i="2" s="1"/>
  <c r="S3686" i="2"/>
  <c r="T3686" i="2" s="1"/>
  <c r="U3686" i="2"/>
  <c r="J3686" i="2"/>
  <c r="I3686" i="2"/>
  <c r="U3685" i="2"/>
  <c r="J3683" i="2"/>
  <c r="S3683" i="2"/>
  <c r="T3683" i="2" s="1"/>
  <c r="R3683" i="2"/>
  <c r="U3682" i="2"/>
  <c r="S3682" i="2"/>
  <c r="T3682" i="2" s="1"/>
  <c r="H3682" i="2"/>
  <c r="R3682" i="2"/>
  <c r="U3678" i="2"/>
  <c r="S3678" i="2"/>
  <c r="T3678" i="2" s="1"/>
  <c r="I3678" i="2"/>
  <c r="H3678" i="2"/>
  <c r="R3678" i="2"/>
  <c r="S3677" i="2"/>
  <c r="T3677" i="2" s="1"/>
  <c r="U3675" i="2"/>
  <c r="R3675" i="2"/>
  <c r="H3674" i="2"/>
  <c r="U3674" i="2"/>
  <c r="J3674" i="2"/>
  <c r="I3674" i="2"/>
  <c r="S3674" i="2"/>
  <c r="T3674" i="2" s="1"/>
  <c r="S3671" i="2"/>
  <c r="T3671" i="2" s="1"/>
  <c r="U3671" i="2"/>
  <c r="S3670" i="2"/>
  <c r="T3670" i="2" s="1"/>
  <c r="R3670" i="2"/>
  <c r="H3670" i="2"/>
  <c r="U3670" i="2"/>
  <c r="J3670" i="2"/>
  <c r="R3669" i="2"/>
  <c r="U3669" i="2"/>
  <c r="R3667" i="2"/>
  <c r="J3667" i="2"/>
  <c r="U3666" i="2"/>
  <c r="S3666" i="2"/>
  <c r="T3666" i="2" s="1"/>
  <c r="U3663" i="2"/>
  <c r="U3662" i="2"/>
  <c r="I3661" i="2"/>
  <c r="R3659" i="2"/>
  <c r="S3658" i="2"/>
  <c r="T3658" i="2" s="1"/>
  <c r="J3658" i="2"/>
  <c r="H3658" i="2"/>
  <c r="U3658" i="2"/>
  <c r="R3658" i="2"/>
  <c r="R3647" i="2"/>
  <c r="S3647" i="2"/>
  <c r="T3647" i="2" s="1"/>
  <c r="I3646" i="2"/>
  <c r="U3646" i="2"/>
  <c r="S3646" i="2"/>
  <c r="T3646" i="2" s="1"/>
  <c r="R3646" i="2"/>
  <c r="U3643" i="2"/>
  <c r="J3643" i="2"/>
  <c r="R3642" i="2"/>
  <c r="I3642" i="2"/>
  <c r="H3642" i="2"/>
  <c r="U3642" i="2"/>
  <c r="S3642" i="2"/>
  <c r="T3642" i="2" s="1"/>
  <c r="U3639" i="2"/>
  <c r="S3639" i="2"/>
  <c r="T3639" i="2" s="1"/>
  <c r="S3638" i="2"/>
  <c r="T3638" i="2" s="1"/>
  <c r="H3638" i="2"/>
  <c r="U3638" i="2"/>
  <c r="R3638" i="2"/>
  <c r="J3638" i="2"/>
  <c r="R3637" i="2"/>
  <c r="U3637" i="2"/>
  <c r="J3635" i="2"/>
  <c r="U3635" i="2"/>
  <c r="S3635" i="2"/>
  <c r="T3635" i="2" s="1"/>
  <c r="R3635" i="2"/>
  <c r="I3634" i="2"/>
  <c r="H3634" i="2"/>
  <c r="U3634" i="2"/>
  <c r="S3634" i="2"/>
  <c r="T3634" i="2" s="1"/>
  <c r="J3634" i="2"/>
  <c r="S3631" i="2"/>
  <c r="T3631" i="2" s="1"/>
  <c r="U3631" i="2"/>
  <c r="S3630" i="2"/>
  <c r="T3630" i="2" s="1"/>
  <c r="R3630" i="2"/>
  <c r="U3629" i="2"/>
  <c r="J3627" i="2"/>
  <c r="R3627" i="2"/>
  <c r="S3626" i="2"/>
  <c r="T3626" i="2" s="1"/>
  <c r="U3626" i="2"/>
  <c r="I3626" i="2"/>
  <c r="H3626" i="2"/>
  <c r="R3626" i="2"/>
  <c r="S3625" i="2"/>
  <c r="T3625" i="2" s="1"/>
  <c r="U3623" i="2"/>
  <c r="R3623" i="2"/>
  <c r="R3621" i="2"/>
  <c r="U3621" i="2"/>
  <c r="R3619" i="2"/>
  <c r="J3619" i="2"/>
  <c r="S3619" i="2"/>
  <c r="T3619" i="2" s="1"/>
  <c r="U3619" i="2"/>
  <c r="J3618" i="2"/>
  <c r="S3618" i="2"/>
  <c r="T3618" i="2" s="1"/>
  <c r="I3618" i="2"/>
  <c r="U3618" i="2"/>
  <c r="H3618" i="2"/>
  <c r="U3615" i="2"/>
  <c r="H3614" i="2"/>
  <c r="J3614" i="2"/>
  <c r="I3614" i="2"/>
  <c r="S3614" i="2"/>
  <c r="T3614" i="2" s="1"/>
  <c r="R3614" i="2"/>
  <c r="U3611" i="2"/>
  <c r="R3611" i="2"/>
  <c r="S3610" i="2"/>
  <c r="T3610" i="2" s="1"/>
  <c r="H3610" i="2"/>
  <c r="S3607" i="2"/>
  <c r="T3607" i="2" s="1"/>
  <c r="U3607" i="2"/>
  <c r="R3606" i="2"/>
  <c r="H3606" i="2"/>
  <c r="U3606" i="2"/>
  <c r="J3603" i="2"/>
  <c r="U3603" i="2"/>
  <c r="S3603" i="2"/>
  <c r="T3603" i="2" s="1"/>
  <c r="R3603" i="2"/>
  <c r="U3602" i="2"/>
  <c r="S3602" i="2"/>
  <c r="T3602" i="2" s="1"/>
  <c r="J3602" i="2"/>
  <c r="H3602" i="2"/>
  <c r="R3602" i="2"/>
  <c r="S3599" i="2"/>
  <c r="T3599" i="2" s="1"/>
  <c r="R3599" i="2"/>
  <c r="H3599" i="2"/>
  <c r="U3595" i="2"/>
  <c r="R3595" i="2"/>
  <c r="J3594" i="2"/>
  <c r="S3594" i="2"/>
  <c r="T3594" i="2" s="1"/>
  <c r="I3594" i="2"/>
  <c r="U3594" i="2"/>
  <c r="R3594" i="2"/>
  <c r="S3593" i="2"/>
  <c r="T3593" i="2" s="1"/>
  <c r="U3589" i="2"/>
  <c r="S3586" i="2"/>
  <c r="T3586" i="2" s="1"/>
  <c r="J3586" i="2"/>
  <c r="H3586" i="2"/>
  <c r="R3589" i="2"/>
  <c r="U3586" i="2"/>
  <c r="I3586" i="2"/>
  <c r="R3583" i="2"/>
  <c r="I3582" i="2"/>
  <c r="J3582" i="2"/>
  <c r="S3582" i="2"/>
  <c r="T3582" i="2" s="1"/>
  <c r="U3582" i="2"/>
  <c r="R3582" i="2"/>
  <c r="R3578" i="2"/>
  <c r="U3578" i="2"/>
  <c r="I3578" i="2"/>
  <c r="R3575" i="2"/>
  <c r="U3575" i="2"/>
  <c r="R3574" i="2"/>
  <c r="J3574" i="2"/>
  <c r="R3573" i="2"/>
  <c r="U3573" i="2"/>
  <c r="S3571" i="2"/>
  <c r="T3571" i="2" s="1"/>
  <c r="R3571" i="2"/>
  <c r="U3571" i="2"/>
  <c r="J3571" i="2"/>
  <c r="U3570" i="2"/>
  <c r="U3566" i="2"/>
  <c r="U3565" i="2"/>
  <c r="U3563" i="2"/>
  <c r="H3554" i="2"/>
  <c r="R3554" i="2"/>
  <c r="U3555" i="2"/>
  <c r="R3551" i="2"/>
  <c r="S3551" i="2"/>
  <c r="T3551" i="2" s="1"/>
  <c r="H3550" i="2"/>
  <c r="S3550" i="2"/>
  <c r="T3550" i="2" s="1"/>
  <c r="R3550" i="2"/>
  <c r="S3549" i="2"/>
  <c r="T3549" i="2" s="1"/>
  <c r="H3546" i="2"/>
  <c r="R3546" i="2"/>
  <c r="S3546" i="2"/>
  <c r="T3546" i="2" s="1"/>
  <c r="R3543" i="2"/>
  <c r="U3543" i="2"/>
  <c r="U3542" i="2"/>
  <c r="J3542" i="2"/>
  <c r="H3542" i="2"/>
  <c r="S3542" i="2"/>
  <c r="T3542" i="2" s="1"/>
  <c r="R3542" i="2"/>
  <c r="S3539" i="2"/>
  <c r="T3539" i="2" s="1"/>
  <c r="J3539" i="2"/>
  <c r="H3538" i="2"/>
  <c r="S3538" i="2"/>
  <c r="T3538" i="2" s="1"/>
  <c r="I3538" i="2"/>
  <c r="U3538" i="2"/>
  <c r="S3535" i="2"/>
  <c r="T3535" i="2" s="1"/>
  <c r="U3535" i="2"/>
  <c r="R3534" i="2"/>
  <c r="S3534" i="2"/>
  <c r="T3534" i="2" s="1"/>
  <c r="I3534" i="2"/>
  <c r="H3534" i="2"/>
  <c r="U3534" i="2"/>
  <c r="S3530" i="2"/>
  <c r="T3530" i="2" s="1"/>
  <c r="U3530" i="2"/>
  <c r="R3530" i="2"/>
  <c r="J3530" i="2"/>
  <c r="I3530" i="2"/>
  <c r="J3531" i="2"/>
  <c r="H3526" i="2"/>
  <c r="U3526" i="2"/>
  <c r="S3526" i="2"/>
  <c r="T3526" i="2" s="1"/>
  <c r="R3526" i="2"/>
  <c r="J3526" i="2"/>
  <c r="U3518" i="2"/>
  <c r="H3518" i="2"/>
  <c r="S3518" i="2"/>
  <c r="T3518" i="2" s="1"/>
  <c r="S3511" i="2"/>
  <c r="T3511" i="2" s="1"/>
  <c r="R3515" i="2"/>
  <c r="U3515" i="2"/>
  <c r="U3514" i="2"/>
  <c r="R3511" i="2"/>
  <c r="H3514" i="2"/>
  <c r="U3511" i="2"/>
  <c r="J3515" i="2"/>
  <c r="S3507" i="2"/>
  <c r="T3507" i="2" s="1"/>
  <c r="J3507" i="2"/>
  <c r="U3506" i="2"/>
  <c r="R3506" i="2"/>
  <c r="U3689" i="2"/>
  <c r="U3673" i="2"/>
  <c r="U3657" i="2"/>
  <c r="U3641" i="2"/>
  <c r="U3625" i="2"/>
  <c r="U3609" i="2"/>
  <c r="U3593" i="2"/>
  <c r="U3577" i="2"/>
  <c r="S3669" i="2"/>
  <c r="T3669" i="2" s="1"/>
  <c r="S3541" i="2"/>
  <c r="T3541" i="2" s="1"/>
  <c r="R3689" i="2"/>
  <c r="R3673" i="2"/>
  <c r="R3657" i="2"/>
  <c r="R3641" i="2"/>
  <c r="R3625" i="2"/>
  <c r="R3609" i="2"/>
  <c r="R3593" i="2"/>
  <c r="R3577" i="2"/>
  <c r="J3697" i="2"/>
  <c r="J3689" i="2"/>
  <c r="J3681" i="2"/>
  <c r="J3673" i="2"/>
  <c r="J3665" i="2"/>
  <c r="J3657" i="2"/>
  <c r="J3649" i="2"/>
  <c r="J3641" i="2"/>
  <c r="J3633" i="2"/>
  <c r="J3625" i="2"/>
  <c r="J3617" i="2"/>
  <c r="J3609" i="2"/>
  <c r="J3601" i="2"/>
  <c r="J3593" i="2"/>
  <c r="J3585" i="2"/>
  <c r="J3577" i="2"/>
  <c r="J3569" i="2"/>
  <c r="J3545" i="2"/>
  <c r="J3529" i="2"/>
  <c r="S3661" i="2"/>
  <c r="T3661" i="2" s="1"/>
  <c r="S3641" i="2"/>
  <c r="T3641" i="2" s="1"/>
  <c r="S3629" i="2"/>
  <c r="T3629" i="2" s="1"/>
  <c r="S3609" i="2"/>
  <c r="T3609" i="2" s="1"/>
  <c r="S3597" i="2"/>
  <c r="T3597" i="2" s="1"/>
  <c r="S3577" i="2"/>
  <c r="T3577" i="2" s="1"/>
  <c r="S3565" i="2"/>
  <c r="T3565" i="2" s="1"/>
  <c r="S3533" i="2"/>
  <c r="T3533" i="2" s="1"/>
  <c r="R3693" i="2"/>
  <c r="R3557" i="2"/>
  <c r="R3525" i="2"/>
  <c r="S3673" i="2"/>
  <c r="T3673" i="2" s="1"/>
  <c r="U3697" i="2"/>
  <c r="U3681" i="2"/>
  <c r="U3665" i="2"/>
  <c r="U3649" i="2"/>
  <c r="U3633" i="2"/>
  <c r="U3617" i="2"/>
  <c r="U3601" i="2"/>
  <c r="U3585" i="2"/>
  <c r="U3569" i="2"/>
  <c r="R3665" i="2"/>
  <c r="U3696" i="2"/>
  <c r="U3692" i="2"/>
  <c r="U3688" i="2"/>
  <c r="U3684" i="2"/>
  <c r="U3680" i="2"/>
  <c r="U3676" i="2"/>
  <c r="U3672" i="2"/>
  <c r="U3668" i="2"/>
  <c r="U3664" i="2"/>
  <c r="U3660" i="2"/>
  <c r="U3656" i="2"/>
  <c r="U3652" i="2"/>
  <c r="U3648" i="2"/>
  <c r="U3644" i="2"/>
  <c r="U3640" i="2"/>
  <c r="U3636" i="2"/>
  <c r="U3632" i="2"/>
  <c r="U3628" i="2"/>
  <c r="U3624" i="2"/>
  <c r="U3620" i="2"/>
  <c r="U3616" i="2"/>
  <c r="U3612" i="2"/>
  <c r="U3608" i="2"/>
  <c r="U3604" i="2"/>
  <c r="U3600" i="2"/>
  <c r="U3596" i="2"/>
  <c r="U3592" i="2"/>
  <c r="U3588" i="2"/>
  <c r="U3584" i="2"/>
  <c r="U3580" i="2"/>
  <c r="U3576" i="2"/>
  <c r="U3572" i="2"/>
  <c r="U3568" i="2"/>
  <c r="H3640" i="2"/>
  <c r="R3604" i="2"/>
  <c r="R3572" i="2"/>
  <c r="H3695" i="2"/>
  <c r="J3695" i="2"/>
  <c r="H3691" i="2"/>
  <c r="S3691" i="2"/>
  <c r="T3691" i="2" s="1"/>
  <c r="H3687" i="2"/>
  <c r="J3687" i="2"/>
  <c r="I3679" i="2"/>
  <c r="J3679" i="2"/>
  <c r="H3675" i="2"/>
  <c r="S3675" i="2"/>
  <c r="T3675" i="2" s="1"/>
  <c r="H3671" i="2"/>
  <c r="J3671" i="2"/>
  <c r="I3663" i="2"/>
  <c r="J3663" i="2"/>
  <c r="H3659" i="2"/>
  <c r="S3659" i="2"/>
  <c r="T3659" i="2" s="1"/>
  <c r="H3655" i="2"/>
  <c r="J3655" i="2"/>
  <c r="I3647" i="2"/>
  <c r="J3647" i="2"/>
  <c r="H3643" i="2"/>
  <c r="S3643" i="2"/>
  <c r="T3643" i="2" s="1"/>
  <c r="I3639" i="2"/>
  <c r="J3639" i="2"/>
  <c r="I3631" i="2"/>
  <c r="J3631" i="2"/>
  <c r="I3627" i="2"/>
  <c r="S3627" i="2"/>
  <c r="T3627" i="2" s="1"/>
  <c r="I3623" i="2"/>
  <c r="J3623" i="2"/>
  <c r="I3615" i="2"/>
  <c r="J3615" i="2"/>
  <c r="I3611" i="2"/>
  <c r="S3611" i="2"/>
  <c r="T3611" i="2" s="1"/>
  <c r="I3607" i="2"/>
  <c r="J3607" i="2"/>
  <c r="I3599" i="2"/>
  <c r="J3599" i="2"/>
  <c r="I3595" i="2"/>
  <c r="S3595" i="2"/>
  <c r="T3595" i="2" s="1"/>
  <c r="I3591" i="2"/>
  <c r="J3591" i="2"/>
  <c r="I3583" i="2"/>
  <c r="J3583" i="2"/>
  <c r="I3579" i="2"/>
  <c r="S3579" i="2"/>
  <c r="T3579" i="2" s="1"/>
  <c r="I3575" i="2"/>
  <c r="J3575" i="2"/>
  <c r="I3567" i="2"/>
  <c r="J3567" i="2"/>
  <c r="I3563" i="2"/>
  <c r="S3563" i="2"/>
  <c r="T3563" i="2" s="1"/>
  <c r="R3563" i="2"/>
  <c r="I3559" i="2"/>
  <c r="J3559" i="2"/>
  <c r="I3555" i="2"/>
  <c r="R3555" i="2"/>
  <c r="I3551" i="2"/>
  <c r="J3551" i="2"/>
  <c r="I3547" i="2"/>
  <c r="S3547" i="2"/>
  <c r="T3547" i="2" s="1"/>
  <c r="R3547" i="2"/>
  <c r="I3543" i="2"/>
  <c r="J3543" i="2"/>
  <c r="I3539" i="2"/>
  <c r="R3539" i="2"/>
  <c r="I3535" i="2"/>
  <c r="J3535" i="2"/>
  <c r="H3535" i="2"/>
  <c r="H3697" i="2"/>
  <c r="I3697" i="2"/>
  <c r="S3697" i="2"/>
  <c r="T3697" i="2" s="1"/>
  <c r="H3693" i="2"/>
  <c r="I3693" i="2"/>
  <c r="J3693" i="2"/>
  <c r="H3685" i="2"/>
  <c r="J3685" i="2"/>
  <c r="H3681" i="2"/>
  <c r="S3681" i="2"/>
  <c r="T3681" i="2" s="1"/>
  <c r="H3677" i="2"/>
  <c r="J3677" i="2"/>
  <c r="H3669" i="2"/>
  <c r="J3669" i="2"/>
  <c r="H3665" i="2"/>
  <c r="S3665" i="2"/>
  <c r="T3665" i="2" s="1"/>
  <c r="H3661" i="2"/>
  <c r="J3661" i="2"/>
  <c r="H3653" i="2"/>
  <c r="J3653" i="2"/>
  <c r="H3649" i="2"/>
  <c r="S3649" i="2"/>
  <c r="T3649" i="2" s="1"/>
  <c r="H3645" i="2"/>
  <c r="J3645" i="2"/>
  <c r="H3637" i="2"/>
  <c r="J3637" i="2"/>
  <c r="H3633" i="2"/>
  <c r="S3633" i="2"/>
  <c r="T3633" i="2" s="1"/>
  <c r="H3629" i="2"/>
  <c r="J3629" i="2"/>
  <c r="H3621" i="2"/>
  <c r="J3621" i="2"/>
  <c r="H3617" i="2"/>
  <c r="S3617" i="2"/>
  <c r="T3617" i="2" s="1"/>
  <c r="H3613" i="2"/>
  <c r="J3613" i="2"/>
  <c r="H3605" i="2"/>
  <c r="J3605" i="2"/>
  <c r="H3601" i="2"/>
  <c r="S3601" i="2"/>
  <c r="T3601" i="2" s="1"/>
  <c r="H3597" i="2"/>
  <c r="J3597" i="2"/>
  <c r="H3589" i="2"/>
  <c r="J3589" i="2"/>
  <c r="H3585" i="2"/>
  <c r="S3585" i="2"/>
  <c r="T3585" i="2" s="1"/>
  <c r="H3581" i="2"/>
  <c r="J3581" i="2"/>
  <c r="H3573" i="2"/>
  <c r="J3573" i="2"/>
  <c r="H3569" i="2"/>
  <c r="S3569" i="2"/>
  <c r="T3569" i="2" s="1"/>
  <c r="H3565" i="2"/>
  <c r="J3565" i="2"/>
  <c r="H3561" i="2"/>
  <c r="I3561" i="2"/>
  <c r="R3561" i="2"/>
  <c r="U3561" i="2"/>
  <c r="H3557" i="2"/>
  <c r="J3557" i="2"/>
  <c r="U3557" i="2"/>
  <c r="H3553" i="2"/>
  <c r="S3553" i="2"/>
  <c r="T3553" i="2" s="1"/>
  <c r="U3553" i="2"/>
  <c r="R3553" i="2"/>
  <c r="H3549" i="2"/>
  <c r="U3549" i="2"/>
  <c r="J3549" i="2"/>
  <c r="H3545" i="2"/>
  <c r="R3545" i="2"/>
  <c r="U3545" i="2"/>
  <c r="H3541" i="2"/>
  <c r="J3541" i="2"/>
  <c r="U3541" i="2"/>
  <c r="H3537" i="2"/>
  <c r="S3537" i="2"/>
  <c r="T3537" i="2" s="1"/>
  <c r="U3537" i="2"/>
  <c r="R3537" i="2"/>
  <c r="H3533" i="2"/>
  <c r="U3533" i="2"/>
  <c r="J3533" i="2"/>
  <c r="H3529" i="2"/>
  <c r="R3529" i="2"/>
  <c r="U3529" i="2"/>
  <c r="H3525" i="2"/>
  <c r="J3525" i="2"/>
  <c r="U3525" i="2"/>
  <c r="H3521" i="2"/>
  <c r="S3521" i="2"/>
  <c r="T3521" i="2" s="1"/>
  <c r="U3521" i="2"/>
  <c r="R3521" i="2"/>
  <c r="H3517" i="2"/>
  <c r="U3517" i="2"/>
  <c r="J3517" i="2"/>
  <c r="H3513" i="2"/>
  <c r="R3513" i="2"/>
  <c r="U3513" i="2"/>
  <c r="I3513" i="2"/>
  <c r="S3513" i="2"/>
  <c r="T3513" i="2" s="1"/>
  <c r="H3509" i="2"/>
  <c r="J3509" i="2"/>
  <c r="U3509" i="2"/>
  <c r="H3505" i="2"/>
  <c r="S3505" i="2"/>
  <c r="T3505" i="2" s="1"/>
  <c r="U3505" i="2"/>
  <c r="R3505" i="2"/>
  <c r="R3531" i="2"/>
  <c r="J3527" i="2"/>
  <c r="J3511" i="2"/>
  <c r="I3483" i="2"/>
  <c r="S3531" i="2"/>
  <c r="T3531" i="2" s="1"/>
  <c r="S3515" i="2"/>
  <c r="T3515" i="2" s="1"/>
  <c r="R3523" i="2"/>
  <c r="R3507" i="2"/>
  <c r="J3519" i="2"/>
  <c r="I3681" i="2"/>
  <c r="I3653" i="2"/>
  <c r="I3645" i="2"/>
  <c r="I3577" i="2"/>
  <c r="H3679" i="2"/>
  <c r="H3615" i="2"/>
  <c r="H3519" i="2"/>
  <c r="I3685" i="2"/>
  <c r="I3677" i="2"/>
  <c r="I3649" i="2"/>
  <c r="I3625" i="2"/>
  <c r="H3647" i="2"/>
  <c r="H3551" i="2"/>
  <c r="H3696" i="2"/>
  <c r="I3696" i="2"/>
  <c r="J3696" i="2"/>
  <c r="H3692" i="2"/>
  <c r="J3692" i="2"/>
  <c r="H3688" i="2"/>
  <c r="I3688" i="2"/>
  <c r="J3688" i="2"/>
  <c r="H3684" i="2"/>
  <c r="I3684" i="2"/>
  <c r="J3684" i="2"/>
  <c r="H3680" i="2"/>
  <c r="I3680" i="2"/>
  <c r="J3680" i="2"/>
  <c r="H3676" i="2"/>
  <c r="J3676" i="2"/>
  <c r="I3672" i="2"/>
  <c r="J3672" i="2"/>
  <c r="H3668" i="2"/>
  <c r="I3668" i="2"/>
  <c r="J3668" i="2"/>
  <c r="I3664" i="2"/>
  <c r="J3664" i="2"/>
  <c r="H3660" i="2"/>
  <c r="J3660" i="2"/>
  <c r="I3656" i="2"/>
  <c r="J3656" i="2"/>
  <c r="H3652" i="2"/>
  <c r="I3652" i="2"/>
  <c r="J3652" i="2"/>
  <c r="H3648" i="2"/>
  <c r="I3648" i="2"/>
  <c r="J3648" i="2"/>
  <c r="H3644" i="2"/>
  <c r="J3644" i="2"/>
  <c r="I3640" i="2"/>
  <c r="J3640" i="2"/>
  <c r="H3636" i="2"/>
  <c r="I3636" i="2"/>
  <c r="J3636" i="2"/>
  <c r="I3632" i="2"/>
  <c r="J3632" i="2"/>
  <c r="H3628" i="2"/>
  <c r="I3628" i="2"/>
  <c r="J3628" i="2"/>
  <c r="H3624" i="2"/>
  <c r="J3624" i="2"/>
  <c r="H3620" i="2"/>
  <c r="I3620" i="2"/>
  <c r="J3620" i="2"/>
  <c r="H3616" i="2"/>
  <c r="J3616" i="2"/>
  <c r="H3612" i="2"/>
  <c r="J3612" i="2"/>
  <c r="H3608" i="2"/>
  <c r="I3608" i="2"/>
  <c r="J3608" i="2"/>
  <c r="H3604" i="2"/>
  <c r="J3604" i="2"/>
  <c r="H3600" i="2"/>
  <c r="I3600" i="2"/>
  <c r="J3600" i="2"/>
  <c r="H3596" i="2"/>
  <c r="J3596" i="2"/>
  <c r="H3592" i="2"/>
  <c r="I3592" i="2"/>
  <c r="J3592" i="2"/>
  <c r="H3588" i="2"/>
  <c r="J3588" i="2"/>
  <c r="H3584" i="2"/>
  <c r="I3584" i="2"/>
  <c r="J3584" i="2"/>
  <c r="I3580" i="2"/>
  <c r="J3580" i="2"/>
  <c r="H3576" i="2"/>
  <c r="I3576" i="2"/>
  <c r="J3576" i="2"/>
  <c r="H3568" i="2"/>
  <c r="I3568" i="2"/>
  <c r="J3568" i="2"/>
  <c r="J3564" i="2"/>
  <c r="R3564" i="2"/>
  <c r="I3560" i="2"/>
  <c r="H3560" i="2"/>
  <c r="J3560" i="2"/>
  <c r="R3560" i="2"/>
  <c r="H3556" i="2"/>
  <c r="J3556" i="2"/>
  <c r="R3556" i="2"/>
  <c r="H3552" i="2"/>
  <c r="J3552" i="2"/>
  <c r="R3552" i="2"/>
  <c r="H3548" i="2"/>
  <c r="I3548" i="2"/>
  <c r="J3548" i="2"/>
  <c r="R3548" i="2"/>
  <c r="H3544" i="2"/>
  <c r="I3544" i="2"/>
  <c r="J3544" i="2"/>
  <c r="R3544" i="2"/>
  <c r="H3540" i="2"/>
  <c r="I3540" i="2"/>
  <c r="J3540" i="2"/>
  <c r="R3540" i="2"/>
  <c r="H3536" i="2"/>
  <c r="I3536" i="2"/>
  <c r="J3536" i="2"/>
  <c r="R3536" i="2"/>
  <c r="H3532" i="2"/>
  <c r="I3532" i="2"/>
  <c r="J3532" i="2"/>
  <c r="R3532" i="2"/>
  <c r="I3528" i="2"/>
  <c r="H3528" i="2"/>
  <c r="J3528" i="2"/>
  <c r="R3528" i="2"/>
  <c r="H3524" i="2"/>
  <c r="J3524" i="2"/>
  <c r="R3524" i="2"/>
  <c r="H3520" i="2"/>
  <c r="I3520" i="2"/>
  <c r="J3520" i="2"/>
  <c r="R3520" i="2"/>
  <c r="I3516" i="2"/>
  <c r="H3516" i="2"/>
  <c r="J3516" i="2"/>
  <c r="R3516" i="2"/>
  <c r="I3512" i="2"/>
  <c r="J3512" i="2"/>
  <c r="R3512" i="2"/>
  <c r="I3508" i="2"/>
  <c r="H3508" i="2"/>
  <c r="J3508" i="2"/>
  <c r="R3508" i="2"/>
  <c r="H3504" i="2"/>
  <c r="I3504" i="2"/>
  <c r="J3504" i="2"/>
  <c r="R3504" i="2"/>
  <c r="I3488" i="2"/>
  <c r="J3488" i="2"/>
  <c r="H3488" i="2"/>
  <c r="H3484" i="2"/>
  <c r="I3484" i="2"/>
  <c r="J3484" i="2"/>
  <c r="S3484" i="2"/>
  <c r="T3484" i="2" s="1"/>
  <c r="S3696" i="2"/>
  <c r="T3696" i="2" s="1"/>
  <c r="S3692" i="2"/>
  <c r="T3692" i="2" s="1"/>
  <c r="S3688" i="2"/>
  <c r="T3688" i="2" s="1"/>
  <c r="S3684" i="2"/>
  <c r="T3684" i="2" s="1"/>
  <c r="S3680" i="2"/>
  <c r="T3680" i="2" s="1"/>
  <c r="S3676" i="2"/>
  <c r="T3676" i="2" s="1"/>
  <c r="S3672" i="2"/>
  <c r="T3672" i="2" s="1"/>
  <c r="S3668" i="2"/>
  <c r="T3668" i="2" s="1"/>
  <c r="S3664" i="2"/>
  <c r="T3664" i="2" s="1"/>
  <c r="S3660" i="2"/>
  <c r="T3660" i="2" s="1"/>
  <c r="S3656" i="2"/>
  <c r="T3656" i="2" s="1"/>
  <c r="S3652" i="2"/>
  <c r="T3652" i="2" s="1"/>
  <c r="S3648" i="2"/>
  <c r="T3648" i="2" s="1"/>
  <c r="S3644" i="2"/>
  <c r="T3644" i="2" s="1"/>
  <c r="S3640" i="2"/>
  <c r="T3640" i="2" s="1"/>
  <c r="S3636" i="2"/>
  <c r="T3636" i="2" s="1"/>
  <c r="S3632" i="2"/>
  <c r="T3632" i="2" s="1"/>
  <c r="S3628" i="2"/>
  <c r="T3628" i="2" s="1"/>
  <c r="S3624" i="2"/>
  <c r="T3624" i="2" s="1"/>
  <c r="S3620" i="2"/>
  <c r="T3620" i="2" s="1"/>
  <c r="S3616" i="2"/>
  <c r="T3616" i="2" s="1"/>
  <c r="S3612" i="2"/>
  <c r="T3612" i="2" s="1"/>
  <c r="S3608" i="2"/>
  <c r="T3608" i="2" s="1"/>
  <c r="S3604" i="2"/>
  <c r="T3604" i="2" s="1"/>
  <c r="S3600" i="2"/>
  <c r="T3600" i="2" s="1"/>
  <c r="S3596" i="2"/>
  <c r="T3596" i="2" s="1"/>
  <c r="S3592" i="2"/>
  <c r="T3592" i="2" s="1"/>
  <c r="S3588" i="2"/>
  <c r="T3588" i="2" s="1"/>
  <c r="S3584" i="2"/>
  <c r="T3584" i="2" s="1"/>
  <c r="S3580" i="2"/>
  <c r="T3580" i="2" s="1"/>
  <c r="S3576" i="2"/>
  <c r="T3576" i="2" s="1"/>
  <c r="S3572" i="2"/>
  <c r="T3572" i="2" s="1"/>
  <c r="S3568" i="2"/>
  <c r="T3568" i="2" s="1"/>
  <c r="S3564" i="2"/>
  <c r="T3564" i="2" s="1"/>
  <c r="S3560" i="2"/>
  <c r="T3560" i="2" s="1"/>
  <c r="S3556" i="2"/>
  <c r="T3556" i="2" s="1"/>
  <c r="S3552" i="2"/>
  <c r="T3552" i="2" s="1"/>
  <c r="S3548" i="2"/>
  <c r="T3548" i="2" s="1"/>
  <c r="S3544" i="2"/>
  <c r="T3544" i="2" s="1"/>
  <c r="S3540" i="2"/>
  <c r="T3540" i="2" s="1"/>
  <c r="S3536" i="2"/>
  <c r="T3536" i="2" s="1"/>
  <c r="S3532" i="2"/>
  <c r="T3532" i="2" s="1"/>
  <c r="S3528" i="2"/>
  <c r="T3528" i="2" s="1"/>
  <c r="S3524" i="2"/>
  <c r="T3524" i="2" s="1"/>
  <c r="S3520" i="2"/>
  <c r="T3520" i="2" s="1"/>
  <c r="S3516" i="2"/>
  <c r="T3516" i="2" s="1"/>
  <c r="S3512" i="2"/>
  <c r="T3512" i="2" s="1"/>
  <c r="S3508" i="2"/>
  <c r="T3508" i="2" s="1"/>
  <c r="S3504" i="2"/>
  <c r="T3504" i="2" s="1"/>
  <c r="I3612" i="2"/>
  <c r="H3564" i="2"/>
  <c r="R3484" i="2"/>
  <c r="I3564" i="2"/>
  <c r="I3556" i="2"/>
  <c r="H3664" i="2"/>
  <c r="H3656" i="2"/>
  <c r="H3572" i="2"/>
  <c r="H3512" i="2"/>
  <c r="S3488" i="2"/>
  <c r="T3488" i="2" s="1"/>
  <c r="R3488" i="2"/>
  <c r="I3692" i="2"/>
  <c r="I3676" i="2"/>
  <c r="I3660" i="2"/>
  <c r="I3644" i="2"/>
  <c r="I3596" i="2"/>
  <c r="I3572" i="2"/>
  <c r="H3672" i="2"/>
  <c r="H3632" i="2"/>
  <c r="H3580" i="2"/>
  <c r="I3689" i="2"/>
  <c r="I3673" i="2"/>
  <c r="I3657" i="2"/>
  <c r="I3641" i="2"/>
  <c r="I3593" i="2"/>
  <c r="H3583" i="2"/>
  <c r="H3567" i="2"/>
  <c r="I3695" i="2"/>
  <c r="I3691" i="2"/>
  <c r="I3687" i="2"/>
  <c r="I3683" i="2"/>
  <c r="I3675" i="2"/>
  <c r="I3671" i="2"/>
  <c r="I3667" i="2"/>
  <c r="I3659" i="2"/>
  <c r="I3655" i="2"/>
  <c r="I3651" i="2"/>
  <c r="I3643" i="2"/>
  <c r="I3624" i="2"/>
  <c r="I3616" i="2"/>
  <c r="I3609" i="2"/>
  <c r="I3588" i="2"/>
  <c r="I3552" i="2"/>
  <c r="I3545" i="2"/>
  <c r="I3524" i="2"/>
  <c r="H3631" i="2"/>
  <c r="I3633" i="2"/>
  <c r="I3617" i="2"/>
  <c r="I3601" i="2"/>
  <c r="I3585" i="2"/>
  <c r="I3569" i="2"/>
  <c r="I3553" i="2"/>
  <c r="I3537" i="2"/>
  <c r="I3521" i="2"/>
  <c r="I3505" i="2"/>
  <c r="I3637" i="2"/>
  <c r="I3621" i="2"/>
  <c r="I3605" i="2"/>
  <c r="I3589" i="2"/>
  <c r="I3573" i="2"/>
  <c r="I3557" i="2"/>
  <c r="I3541" i="2"/>
  <c r="I3525" i="2"/>
  <c r="I3509" i="2"/>
  <c r="H3639" i="2"/>
  <c r="H3607" i="2"/>
  <c r="H3575" i="2"/>
  <c r="H3543" i="2"/>
  <c r="H3511" i="2"/>
  <c r="I3629" i="2"/>
  <c r="I3613" i="2"/>
  <c r="I3597" i="2"/>
  <c r="I3581" i="2"/>
  <c r="I3565" i="2"/>
  <c r="I3549" i="2"/>
  <c r="I3533" i="2"/>
  <c r="I3517" i="2"/>
  <c r="H3623" i="2"/>
  <c r="H3591" i="2"/>
  <c r="H3559" i="2"/>
  <c r="H3527" i="2"/>
  <c r="H3627" i="2"/>
  <c r="H3611" i="2"/>
  <c r="H3595" i="2"/>
  <c r="H3579" i="2"/>
  <c r="H3563" i="2"/>
  <c r="H3547" i="2"/>
  <c r="H3531" i="2"/>
  <c r="H3515" i="2"/>
  <c r="H3635" i="2"/>
  <c r="H3619" i="2"/>
  <c r="H3603" i="2"/>
  <c r="H3587" i="2"/>
  <c r="H3571" i="2"/>
  <c r="H3555" i="2"/>
  <c r="H3539" i="2"/>
  <c r="H3523" i="2"/>
  <c r="H3507" i="2"/>
  <c r="I3487" i="2"/>
  <c r="S3503" i="2"/>
  <c r="T3503" i="2" s="1"/>
  <c r="J3503" i="2"/>
  <c r="U3503" i="2"/>
  <c r="R3503" i="2"/>
  <c r="I3503" i="2"/>
  <c r="U3502" i="2"/>
  <c r="S3502" i="2"/>
  <c r="T3502" i="2" s="1"/>
  <c r="I3502" i="2"/>
  <c r="J3502" i="2"/>
  <c r="S3501" i="2"/>
  <c r="T3501" i="2" s="1"/>
  <c r="R3501" i="2"/>
  <c r="J3501" i="2"/>
  <c r="I3501" i="2"/>
  <c r="U3501" i="2"/>
  <c r="U3500" i="2"/>
  <c r="S3500" i="2"/>
  <c r="T3500" i="2" s="1"/>
  <c r="I3500" i="2"/>
  <c r="R3500" i="2"/>
  <c r="J3500" i="2"/>
  <c r="J3499" i="2"/>
  <c r="S3499" i="2"/>
  <c r="T3499" i="2" s="1"/>
  <c r="U3499" i="2"/>
  <c r="R3499" i="2"/>
  <c r="I3499" i="2"/>
  <c r="U3498" i="2"/>
  <c r="S3498" i="2"/>
  <c r="T3498" i="2" s="1"/>
  <c r="R3498" i="2"/>
  <c r="I3498" i="2"/>
  <c r="J3498" i="2"/>
  <c r="H3497" i="2"/>
  <c r="S3497" i="2"/>
  <c r="T3497" i="2" s="1"/>
  <c r="R3497" i="2"/>
  <c r="J3497" i="2"/>
  <c r="I3497" i="2"/>
  <c r="U3496" i="2"/>
  <c r="S3496" i="2"/>
  <c r="T3496" i="2" s="1"/>
  <c r="I3496" i="2"/>
  <c r="R3496" i="2"/>
  <c r="J3496" i="2"/>
  <c r="S3495" i="2"/>
  <c r="T3495" i="2" s="1"/>
  <c r="J3495" i="2"/>
  <c r="U3495" i="2"/>
  <c r="R3495" i="2"/>
  <c r="I3495" i="2"/>
  <c r="I3494" i="2"/>
  <c r="S3494" i="2"/>
  <c r="T3494" i="2" s="1"/>
  <c r="S3493" i="2"/>
  <c r="T3493" i="2" s="1"/>
  <c r="I3493" i="2"/>
  <c r="R3493" i="2"/>
  <c r="H3493" i="2"/>
  <c r="U3493" i="2"/>
  <c r="J3492" i="2"/>
  <c r="U3492" i="2"/>
  <c r="I3492" i="2"/>
  <c r="R3492" i="2"/>
  <c r="S3492" i="2"/>
  <c r="T3492" i="2" s="1"/>
  <c r="J3491" i="2"/>
  <c r="R3491" i="2"/>
  <c r="I3491" i="2"/>
  <c r="S3490" i="2"/>
  <c r="T3490" i="2" s="1"/>
  <c r="J3490" i="2"/>
  <c r="R3490" i="2"/>
  <c r="J3489" i="2"/>
  <c r="R3489" i="2"/>
  <c r="H3489" i="2"/>
  <c r="S3489" i="2"/>
  <c r="T3489" i="2" s="1"/>
  <c r="U3489" i="2"/>
  <c r="R3485" i="2"/>
  <c r="J3485" i="2"/>
  <c r="I3485" i="2"/>
  <c r="H3485" i="2"/>
  <c r="U3485" i="2"/>
  <c r="AG49" i="11" l="1"/>
  <c r="AH49" i="11" s="1"/>
  <c r="AI49" i="11" a="1"/>
  <c r="AI49" i="11" s="1"/>
  <c r="AK49" i="11" l="1" a="1"/>
  <c r="AK49" i="11" s="1"/>
  <c r="AJ49" i="11" a="1"/>
  <c r="AJ49" i="11" s="1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G2588" i="2"/>
  <c r="H2588" i="2" s="1"/>
  <c r="G2589" i="2"/>
  <c r="I2589" i="2" s="1"/>
  <c r="G2590" i="2"/>
  <c r="H2590" i="2" s="1"/>
  <c r="G2591" i="2"/>
  <c r="H2591" i="2" s="1"/>
  <c r="G2592" i="2"/>
  <c r="S2592" i="2" s="1"/>
  <c r="T2592" i="2" s="1"/>
  <c r="G2593" i="2"/>
  <c r="H2593" i="2" s="1"/>
  <c r="G2594" i="2"/>
  <c r="H2594" i="2" s="1"/>
  <c r="G2595" i="2"/>
  <c r="H2595" i="2" s="1"/>
  <c r="G2596" i="2"/>
  <c r="G2597" i="2"/>
  <c r="I2597" i="2" s="1"/>
  <c r="G2598" i="2"/>
  <c r="U2598" i="2" s="1"/>
  <c r="G2599" i="2"/>
  <c r="H2599" i="2" s="1"/>
  <c r="G2600" i="2"/>
  <c r="G2601" i="2"/>
  <c r="I2601" i="2" s="1"/>
  <c r="G2602" i="2"/>
  <c r="H2602" i="2" s="1"/>
  <c r="G2603" i="2"/>
  <c r="H2603" i="2" s="1"/>
  <c r="G2604" i="2"/>
  <c r="J2604" i="2" s="1"/>
  <c r="G2605" i="2"/>
  <c r="H2605" i="2" s="1"/>
  <c r="G2606" i="2"/>
  <c r="H2606" i="2" s="1"/>
  <c r="G2607" i="2"/>
  <c r="H2607" i="2" s="1"/>
  <c r="G2608" i="2"/>
  <c r="I2608" i="2" s="1"/>
  <c r="G2609" i="2"/>
  <c r="J2609" i="2" s="1"/>
  <c r="G2610" i="2"/>
  <c r="J2610" i="2" s="1"/>
  <c r="G2611" i="2"/>
  <c r="H2611" i="2" s="1"/>
  <c r="G2612" i="2"/>
  <c r="I2612" i="2" s="1"/>
  <c r="G2613" i="2"/>
  <c r="H2613" i="2" s="1"/>
  <c r="G2614" i="2"/>
  <c r="J2614" i="2" s="1"/>
  <c r="G2615" i="2"/>
  <c r="H2615" i="2" s="1"/>
  <c r="G2616" i="2"/>
  <c r="G2617" i="2"/>
  <c r="H2617" i="2" s="1"/>
  <c r="G2618" i="2"/>
  <c r="H2618" i="2" s="1"/>
  <c r="G2619" i="2"/>
  <c r="G2620" i="2"/>
  <c r="R2620" i="2" s="1"/>
  <c r="G2621" i="2"/>
  <c r="H2621" i="2" s="1"/>
  <c r="G2622" i="2"/>
  <c r="H2622" i="2" s="1"/>
  <c r="G2623" i="2"/>
  <c r="U2623" i="2" s="1"/>
  <c r="G2624" i="2"/>
  <c r="H2624" i="2" s="1"/>
  <c r="G2625" i="2"/>
  <c r="H2625" i="2" s="1"/>
  <c r="G2626" i="2"/>
  <c r="H2626" i="2" s="1"/>
  <c r="G2627" i="2"/>
  <c r="S2627" i="2" s="1"/>
  <c r="T2627" i="2" s="1"/>
  <c r="G2628" i="2"/>
  <c r="H2628" i="2" s="1"/>
  <c r="G2629" i="2"/>
  <c r="H2629" i="2" s="1"/>
  <c r="G2630" i="2"/>
  <c r="H2630" i="2" s="1"/>
  <c r="G2631" i="2"/>
  <c r="H2631" i="2" s="1"/>
  <c r="G2632" i="2"/>
  <c r="G2633" i="2"/>
  <c r="H2633" i="2" s="1"/>
  <c r="G2634" i="2"/>
  <c r="H2634" i="2" s="1"/>
  <c r="G2635" i="2"/>
  <c r="G2636" i="2"/>
  <c r="R2636" i="2" s="1"/>
  <c r="G2637" i="2"/>
  <c r="H2637" i="2" s="1"/>
  <c r="G2638" i="2"/>
  <c r="H2638" i="2" s="1"/>
  <c r="G2639" i="2"/>
  <c r="I2639" i="2" s="1"/>
  <c r="G2640" i="2"/>
  <c r="H2640" i="2" s="1"/>
  <c r="G2641" i="2"/>
  <c r="H2641" i="2" s="1"/>
  <c r="G2642" i="2"/>
  <c r="H2642" i="2" s="1"/>
  <c r="G2643" i="2"/>
  <c r="H2643" i="2" s="1"/>
  <c r="G2644" i="2"/>
  <c r="G2645" i="2"/>
  <c r="I2645" i="2" s="1"/>
  <c r="G2646" i="2"/>
  <c r="H2646" i="2" s="1"/>
  <c r="G2647" i="2"/>
  <c r="I2647" i="2" s="1"/>
  <c r="G2648" i="2"/>
  <c r="J2648" i="2" s="1"/>
  <c r="G2649" i="2"/>
  <c r="H2649" i="2" s="1"/>
  <c r="G2650" i="2"/>
  <c r="H2650" i="2" s="1"/>
  <c r="G2651" i="2"/>
  <c r="H2651" i="2" s="1"/>
  <c r="G2652" i="2"/>
  <c r="J2652" i="2" s="1"/>
  <c r="G2653" i="2"/>
  <c r="H2653" i="2" s="1"/>
  <c r="G2654" i="2"/>
  <c r="H2654" i="2" s="1"/>
  <c r="G2655" i="2"/>
  <c r="S2655" i="2" s="1"/>
  <c r="T2655" i="2" s="1"/>
  <c r="G2656" i="2"/>
  <c r="G2657" i="2"/>
  <c r="S2657" i="2" s="1"/>
  <c r="T2657" i="2" s="1"/>
  <c r="G2658" i="2"/>
  <c r="H2658" i="2" s="1"/>
  <c r="G2659" i="2"/>
  <c r="I2659" i="2" s="1"/>
  <c r="G2660" i="2"/>
  <c r="H2660" i="2" s="1"/>
  <c r="G2661" i="2"/>
  <c r="H2661" i="2" s="1"/>
  <c r="G2662" i="2"/>
  <c r="H2662" i="2" s="1"/>
  <c r="G2663" i="2"/>
  <c r="H2663" i="2" s="1"/>
  <c r="G2664" i="2"/>
  <c r="H2664" i="2" s="1"/>
  <c r="G2665" i="2"/>
  <c r="H2665" i="2" s="1"/>
  <c r="G2666" i="2"/>
  <c r="H2666" i="2" s="1"/>
  <c r="G2667" i="2"/>
  <c r="G2668" i="2"/>
  <c r="H2668" i="2" s="1"/>
  <c r="G2669" i="2"/>
  <c r="H2669" i="2" s="1"/>
  <c r="G2670" i="2"/>
  <c r="H2670" i="2" s="1"/>
  <c r="G2671" i="2"/>
  <c r="G2672" i="2"/>
  <c r="R2672" i="2" s="1"/>
  <c r="G2673" i="2"/>
  <c r="H2673" i="2" s="1"/>
  <c r="G2674" i="2"/>
  <c r="H2674" i="2" s="1"/>
  <c r="G2675" i="2"/>
  <c r="S2675" i="2" s="1"/>
  <c r="T2675" i="2" s="1"/>
  <c r="G2676" i="2"/>
  <c r="R2676" i="2" s="1"/>
  <c r="G2677" i="2"/>
  <c r="J2677" i="2" s="1"/>
  <c r="G2678" i="2"/>
  <c r="H2678" i="2" s="1"/>
  <c r="G2679" i="2"/>
  <c r="J2679" i="2" s="1"/>
  <c r="G2680" i="2"/>
  <c r="H2680" i="2" s="1"/>
  <c r="G2681" i="2"/>
  <c r="H2681" i="2" s="1"/>
  <c r="G2682" i="2"/>
  <c r="H2682" i="2" s="1"/>
  <c r="G2683" i="2"/>
  <c r="H2683" i="2" s="1"/>
  <c r="G2684" i="2"/>
  <c r="I2684" i="2" s="1"/>
  <c r="G2685" i="2"/>
  <c r="H2685" i="2" s="1"/>
  <c r="G2686" i="2"/>
  <c r="H2686" i="2" s="1"/>
  <c r="G2687" i="2"/>
  <c r="H2687" i="2" s="1"/>
  <c r="G2688" i="2"/>
  <c r="I2688" i="2" s="1"/>
  <c r="G2689" i="2"/>
  <c r="H2689" i="2" s="1"/>
  <c r="G2690" i="2"/>
  <c r="H2690" i="2" s="1"/>
  <c r="G2691" i="2"/>
  <c r="H2691" i="2" s="1"/>
  <c r="G2692" i="2"/>
  <c r="J2692" i="2" s="1"/>
  <c r="G2693" i="2"/>
  <c r="H2693" i="2" s="1"/>
  <c r="G2694" i="2"/>
  <c r="H2694" i="2" s="1"/>
  <c r="G2695" i="2"/>
  <c r="R2695" i="2" s="1"/>
  <c r="G2696" i="2"/>
  <c r="H2696" i="2" s="1"/>
  <c r="G2697" i="2"/>
  <c r="H2697" i="2" s="1"/>
  <c r="G2698" i="2"/>
  <c r="H2698" i="2" s="1"/>
  <c r="G2699" i="2"/>
  <c r="H2699" i="2" s="1"/>
  <c r="G2700" i="2"/>
  <c r="G2701" i="2"/>
  <c r="H2701" i="2" s="1"/>
  <c r="G2702" i="2"/>
  <c r="H2702" i="2" s="1"/>
  <c r="G2703" i="2"/>
  <c r="U2703" i="2" s="1"/>
  <c r="G2704" i="2"/>
  <c r="H2704" i="2" s="1"/>
  <c r="G2705" i="2"/>
  <c r="H2705" i="2" s="1"/>
  <c r="G2706" i="2"/>
  <c r="H2706" i="2" s="1"/>
  <c r="G2707" i="2"/>
  <c r="H2707" i="2" s="1"/>
  <c r="G2708" i="2"/>
  <c r="H2708" i="2" s="1"/>
  <c r="G2709" i="2"/>
  <c r="H2709" i="2" s="1"/>
  <c r="G2710" i="2"/>
  <c r="H2710" i="2" s="1"/>
  <c r="G2711" i="2"/>
  <c r="H2711" i="2" s="1"/>
  <c r="G2712" i="2"/>
  <c r="I2712" i="2" s="1"/>
  <c r="G2713" i="2"/>
  <c r="H2713" i="2" s="1"/>
  <c r="G2714" i="2"/>
  <c r="H2714" i="2" s="1"/>
  <c r="G2715" i="2"/>
  <c r="H2715" i="2" s="1"/>
  <c r="G2716" i="2"/>
  <c r="H2716" i="2" s="1"/>
  <c r="G2717" i="2"/>
  <c r="H2717" i="2" s="1"/>
  <c r="G2718" i="2"/>
  <c r="H2718" i="2" s="1"/>
  <c r="G2719" i="2"/>
  <c r="H2719" i="2" s="1"/>
  <c r="G2720" i="2"/>
  <c r="I2720" i="2" s="1"/>
  <c r="G2721" i="2"/>
  <c r="H2721" i="2" s="1"/>
  <c r="G2722" i="2"/>
  <c r="H2722" i="2" s="1"/>
  <c r="G2723" i="2"/>
  <c r="H2723" i="2" s="1"/>
  <c r="G2724" i="2"/>
  <c r="I2724" i="2" s="1"/>
  <c r="G2725" i="2"/>
  <c r="H2725" i="2" s="1"/>
  <c r="G2726" i="2"/>
  <c r="H2726" i="2" s="1"/>
  <c r="G2727" i="2"/>
  <c r="J2727" i="2" s="1"/>
  <c r="G2728" i="2"/>
  <c r="R2728" i="2" s="1"/>
  <c r="G2729" i="2"/>
  <c r="H2729" i="2" s="1"/>
  <c r="G2730" i="2"/>
  <c r="H2730" i="2" s="1"/>
  <c r="G2731" i="2"/>
  <c r="H2731" i="2" s="1"/>
  <c r="G2732" i="2"/>
  <c r="H2732" i="2" s="1"/>
  <c r="G2733" i="2"/>
  <c r="H2733" i="2" s="1"/>
  <c r="G2734" i="2"/>
  <c r="H2734" i="2" s="1"/>
  <c r="G2735" i="2"/>
  <c r="G2736" i="2"/>
  <c r="R2736" i="2" s="1"/>
  <c r="G2737" i="2"/>
  <c r="H2737" i="2" s="1"/>
  <c r="G2738" i="2"/>
  <c r="H2738" i="2" s="1"/>
  <c r="G2739" i="2"/>
  <c r="H2739" i="2" s="1"/>
  <c r="G2740" i="2"/>
  <c r="J2740" i="2" s="1"/>
  <c r="G2741" i="2"/>
  <c r="H2741" i="2" s="1"/>
  <c r="G2742" i="2"/>
  <c r="H2742" i="2" s="1"/>
  <c r="G2743" i="2"/>
  <c r="H2743" i="2" s="1"/>
  <c r="G2744" i="2"/>
  <c r="H2744" i="2" s="1"/>
  <c r="G2745" i="2"/>
  <c r="H2745" i="2" s="1"/>
  <c r="G2746" i="2"/>
  <c r="H2746" i="2" s="1"/>
  <c r="G2747" i="2"/>
  <c r="H2747" i="2" s="1"/>
  <c r="G2748" i="2"/>
  <c r="H2748" i="2" s="1"/>
  <c r="G2749" i="2"/>
  <c r="H2749" i="2" s="1"/>
  <c r="G2750" i="2"/>
  <c r="H2750" i="2" s="1"/>
  <c r="G2751" i="2"/>
  <c r="H2751" i="2" s="1"/>
  <c r="G2752" i="2"/>
  <c r="H2752" i="2" s="1"/>
  <c r="G2753" i="2"/>
  <c r="H2753" i="2" s="1"/>
  <c r="G2754" i="2"/>
  <c r="H2754" i="2" s="1"/>
  <c r="G2755" i="2"/>
  <c r="H2755" i="2" s="1"/>
  <c r="G2756" i="2"/>
  <c r="H2756" i="2" s="1"/>
  <c r="G2757" i="2"/>
  <c r="H2757" i="2" s="1"/>
  <c r="G2758" i="2"/>
  <c r="H2758" i="2" s="1"/>
  <c r="G2759" i="2"/>
  <c r="U2759" i="2" s="1"/>
  <c r="G2760" i="2"/>
  <c r="H2760" i="2" s="1"/>
  <c r="G2761" i="2"/>
  <c r="H2761" i="2" s="1"/>
  <c r="G2762" i="2"/>
  <c r="H2762" i="2" s="1"/>
  <c r="G2763" i="2"/>
  <c r="J2763" i="2" s="1"/>
  <c r="G2764" i="2"/>
  <c r="R2764" i="2" s="1"/>
  <c r="G2765" i="2"/>
  <c r="H2765" i="2" s="1"/>
  <c r="G2766" i="2"/>
  <c r="H2766" i="2" s="1"/>
  <c r="G2767" i="2"/>
  <c r="I2767" i="2" s="1"/>
  <c r="G2768" i="2"/>
  <c r="G2769" i="2"/>
  <c r="H2769" i="2" s="1"/>
  <c r="G2770" i="2"/>
  <c r="H2770" i="2" s="1"/>
  <c r="G2771" i="2"/>
  <c r="U2771" i="2" s="1"/>
  <c r="G2772" i="2"/>
  <c r="I2772" i="2" s="1"/>
  <c r="G2773" i="2"/>
  <c r="S2773" i="2" s="1"/>
  <c r="T2773" i="2" s="1"/>
  <c r="G2774" i="2"/>
  <c r="H2774" i="2" s="1"/>
  <c r="G2775" i="2"/>
  <c r="G2776" i="2"/>
  <c r="J2776" i="2" s="1"/>
  <c r="G2777" i="2"/>
  <c r="H2777" i="2" s="1"/>
  <c r="G2778" i="2"/>
  <c r="H2778" i="2" s="1"/>
  <c r="G2779" i="2"/>
  <c r="H2779" i="2" s="1"/>
  <c r="G2780" i="2"/>
  <c r="I2780" i="2" s="1"/>
  <c r="G2781" i="2"/>
  <c r="H2781" i="2" s="1"/>
  <c r="G2782" i="2"/>
  <c r="H2782" i="2" s="1"/>
  <c r="G2783" i="2"/>
  <c r="H2783" i="2" s="1"/>
  <c r="G2784" i="2"/>
  <c r="I2784" i="2" s="1"/>
  <c r="G2785" i="2"/>
  <c r="H2785" i="2" s="1"/>
  <c r="G2786" i="2"/>
  <c r="H2786" i="2" s="1"/>
  <c r="G2787" i="2"/>
  <c r="G2788" i="2"/>
  <c r="J2788" i="2" s="1"/>
  <c r="G2789" i="2"/>
  <c r="H2789" i="2" s="1"/>
  <c r="G2790" i="2"/>
  <c r="H2790" i="2" s="1"/>
  <c r="G2791" i="2"/>
  <c r="I2791" i="2" s="1"/>
  <c r="G2792" i="2"/>
  <c r="H2792" i="2" s="1"/>
  <c r="G2793" i="2"/>
  <c r="H2793" i="2" s="1"/>
  <c r="G2794" i="2"/>
  <c r="H2794" i="2" s="1"/>
  <c r="G2795" i="2"/>
  <c r="H2795" i="2" s="1"/>
  <c r="G2796" i="2"/>
  <c r="H2796" i="2" s="1"/>
  <c r="G2797" i="2"/>
  <c r="H2797" i="2" s="1"/>
  <c r="G2798" i="2"/>
  <c r="H2798" i="2" s="1"/>
  <c r="G2799" i="2"/>
  <c r="H2799" i="2" s="1"/>
  <c r="G2800" i="2"/>
  <c r="R2800" i="2" s="1"/>
  <c r="G2801" i="2"/>
  <c r="H2801" i="2" s="1"/>
  <c r="G2802" i="2"/>
  <c r="H2802" i="2" s="1"/>
  <c r="G2803" i="2"/>
  <c r="S2803" i="2" s="1"/>
  <c r="T2803" i="2" s="1"/>
  <c r="G2804" i="2"/>
  <c r="J2804" i="2" s="1"/>
  <c r="G2805" i="2"/>
  <c r="H2805" i="2" s="1"/>
  <c r="G2806" i="2"/>
  <c r="H2806" i="2" s="1"/>
  <c r="G2807" i="2"/>
  <c r="H2807" i="2" s="1"/>
  <c r="G2808" i="2"/>
  <c r="J2808" i="2" s="1"/>
  <c r="G2809" i="2"/>
  <c r="H2809" i="2" s="1"/>
  <c r="G2810" i="2"/>
  <c r="H2810" i="2" s="1"/>
  <c r="G2811" i="2"/>
  <c r="I2811" i="2" s="1"/>
  <c r="G2812" i="2"/>
  <c r="I2812" i="2" s="1"/>
  <c r="G2813" i="2"/>
  <c r="H2813" i="2" s="1"/>
  <c r="G2814" i="2"/>
  <c r="H2814" i="2" s="1"/>
  <c r="G2815" i="2"/>
  <c r="H2815" i="2" s="1"/>
  <c r="G2816" i="2"/>
  <c r="I2816" i="2" s="1"/>
  <c r="G2817" i="2"/>
  <c r="H2817" i="2" s="1"/>
  <c r="G2818" i="2"/>
  <c r="H2818" i="2" s="1"/>
  <c r="G2819" i="2"/>
  <c r="H2819" i="2" s="1"/>
  <c r="G2820" i="2"/>
  <c r="J2820" i="2" s="1"/>
  <c r="G2821" i="2"/>
  <c r="H2821" i="2" s="1"/>
  <c r="G2822" i="2"/>
  <c r="H2822" i="2" s="1"/>
  <c r="G2823" i="2"/>
  <c r="H2823" i="2" s="1"/>
  <c r="G2824" i="2"/>
  <c r="R2824" i="2" s="1"/>
  <c r="G2825" i="2"/>
  <c r="H2825" i="2" s="1"/>
  <c r="G2826" i="2"/>
  <c r="H2826" i="2" s="1"/>
  <c r="G2827" i="2"/>
  <c r="G2828" i="2"/>
  <c r="J2828" i="2" s="1"/>
  <c r="G2829" i="2"/>
  <c r="H2829" i="2" s="1"/>
  <c r="G2830" i="2"/>
  <c r="H2830" i="2" s="1"/>
  <c r="G2831" i="2"/>
  <c r="S2831" i="2" s="1"/>
  <c r="T2831" i="2" s="1"/>
  <c r="G2832" i="2"/>
  <c r="J2832" i="2" s="1"/>
  <c r="G2833" i="2"/>
  <c r="H2833" i="2" s="1"/>
  <c r="G2834" i="2"/>
  <c r="H2834" i="2" s="1"/>
  <c r="G2835" i="2"/>
  <c r="H2835" i="2" s="1"/>
  <c r="G2836" i="2"/>
  <c r="I2836" i="2" s="1"/>
  <c r="G2837" i="2"/>
  <c r="H2837" i="2" s="1"/>
  <c r="G2838" i="2"/>
  <c r="H2838" i="2" s="1"/>
  <c r="G2839" i="2"/>
  <c r="H2839" i="2" s="1"/>
  <c r="G2840" i="2"/>
  <c r="U2840" i="2" s="1"/>
  <c r="G2841" i="2"/>
  <c r="H2841" i="2" s="1"/>
  <c r="G2842" i="2"/>
  <c r="H2842" i="2" s="1"/>
  <c r="G2843" i="2"/>
  <c r="H2843" i="2" s="1"/>
  <c r="G2844" i="2"/>
  <c r="H2844" i="2" s="1"/>
  <c r="G2845" i="2"/>
  <c r="H2845" i="2" s="1"/>
  <c r="G2846" i="2"/>
  <c r="H2846" i="2" s="1"/>
  <c r="G2847" i="2"/>
  <c r="H2847" i="2" s="1"/>
  <c r="G2848" i="2"/>
  <c r="H2848" i="2" s="1"/>
  <c r="G2849" i="2"/>
  <c r="H2849" i="2" s="1"/>
  <c r="G2850" i="2"/>
  <c r="H2850" i="2" s="1"/>
  <c r="G2851" i="2"/>
  <c r="R2851" i="2" s="1"/>
  <c r="G2852" i="2"/>
  <c r="H2852" i="2" s="1"/>
  <c r="G2853" i="2"/>
  <c r="H2853" i="2" s="1"/>
  <c r="G2854" i="2"/>
  <c r="H2854" i="2" s="1"/>
  <c r="G2855" i="2"/>
  <c r="H2855" i="2" s="1"/>
  <c r="G2856" i="2"/>
  <c r="U2856" i="2" s="1"/>
  <c r="G2857" i="2"/>
  <c r="H2857" i="2" s="1"/>
  <c r="G2858" i="2"/>
  <c r="H2858" i="2" s="1"/>
  <c r="G2859" i="2"/>
  <c r="H2859" i="2" s="1"/>
  <c r="G2860" i="2"/>
  <c r="I2860" i="2" s="1"/>
  <c r="G2861" i="2"/>
  <c r="H2861" i="2" s="1"/>
  <c r="G2862" i="2"/>
  <c r="H2862" i="2" s="1"/>
  <c r="G2863" i="2"/>
  <c r="H2863" i="2" s="1"/>
  <c r="G2864" i="2"/>
  <c r="J2864" i="2" s="1"/>
  <c r="G2865" i="2"/>
  <c r="H2865" i="2" s="1"/>
  <c r="G2866" i="2"/>
  <c r="H2866" i="2" s="1"/>
  <c r="G2867" i="2"/>
  <c r="H2867" i="2" s="1"/>
  <c r="G2868" i="2"/>
  <c r="H2868" i="2" s="1"/>
  <c r="G2869" i="2"/>
  <c r="H2869" i="2" s="1"/>
  <c r="G2870" i="2"/>
  <c r="H2870" i="2" s="1"/>
  <c r="G2871" i="2"/>
  <c r="J2871" i="2" s="1"/>
  <c r="G2872" i="2"/>
  <c r="H2872" i="2" s="1"/>
  <c r="G2873" i="2"/>
  <c r="H2873" i="2" s="1"/>
  <c r="G2874" i="2"/>
  <c r="H2874" i="2" s="1"/>
  <c r="G2875" i="2"/>
  <c r="U2875" i="2" s="1"/>
  <c r="G2876" i="2"/>
  <c r="I2876" i="2" s="1"/>
  <c r="G2877" i="2"/>
  <c r="H2877" i="2" s="1"/>
  <c r="G2878" i="2"/>
  <c r="H2878" i="2" s="1"/>
  <c r="G2879" i="2"/>
  <c r="H2879" i="2" s="1"/>
  <c r="G2880" i="2"/>
  <c r="J2880" i="2" s="1"/>
  <c r="G2881" i="2"/>
  <c r="H2881" i="2" s="1"/>
  <c r="G2882" i="2"/>
  <c r="H2882" i="2" s="1"/>
  <c r="G2883" i="2"/>
  <c r="H2883" i="2" s="1"/>
  <c r="G2884" i="2"/>
  <c r="H2884" i="2" s="1"/>
  <c r="G2885" i="2"/>
  <c r="H2885" i="2" s="1"/>
  <c r="G2886" i="2"/>
  <c r="H2886" i="2" s="1"/>
  <c r="G2887" i="2"/>
  <c r="H2887" i="2" s="1"/>
  <c r="G2888" i="2"/>
  <c r="H2888" i="2" s="1"/>
  <c r="G2889" i="2"/>
  <c r="H2889" i="2" s="1"/>
  <c r="G2890" i="2"/>
  <c r="H2890" i="2" s="1"/>
  <c r="G2891" i="2"/>
  <c r="H2891" i="2" s="1"/>
  <c r="G2892" i="2"/>
  <c r="J2892" i="2" s="1"/>
  <c r="G2893" i="2"/>
  <c r="H2893" i="2" s="1"/>
  <c r="G2894" i="2"/>
  <c r="H2894" i="2" s="1"/>
  <c r="G2895" i="2"/>
  <c r="J2895" i="2" s="1"/>
  <c r="G2896" i="2"/>
  <c r="I2896" i="2" s="1"/>
  <c r="G2897" i="2"/>
  <c r="H2897" i="2" s="1"/>
  <c r="G2898" i="2"/>
  <c r="H2898" i="2" s="1"/>
  <c r="G2899" i="2"/>
  <c r="H2899" i="2" s="1"/>
  <c r="G2900" i="2"/>
  <c r="I2900" i="2" s="1"/>
  <c r="G2901" i="2"/>
  <c r="H2901" i="2" s="1"/>
  <c r="G2902" i="2"/>
  <c r="H2902" i="2" s="1"/>
  <c r="G2903" i="2"/>
  <c r="J2903" i="2" s="1"/>
  <c r="G2904" i="2"/>
  <c r="R2904" i="2" s="1"/>
  <c r="G2905" i="2"/>
  <c r="H2905" i="2" s="1"/>
  <c r="G2906" i="2"/>
  <c r="H2906" i="2" s="1"/>
  <c r="G2907" i="2"/>
  <c r="H2907" i="2" s="1"/>
  <c r="G2908" i="2"/>
  <c r="I2908" i="2" s="1"/>
  <c r="G2909" i="2"/>
  <c r="H2909" i="2" s="1"/>
  <c r="G2910" i="2"/>
  <c r="H2910" i="2" s="1"/>
  <c r="G2911" i="2"/>
  <c r="H2911" i="2" s="1"/>
  <c r="G2912" i="2"/>
  <c r="G2913" i="2"/>
  <c r="H2913" i="2" s="1"/>
  <c r="G2914" i="2"/>
  <c r="H2914" i="2" s="1"/>
  <c r="G2915" i="2"/>
  <c r="H2915" i="2" s="1"/>
  <c r="G2916" i="2"/>
  <c r="H2916" i="2" s="1"/>
  <c r="G2917" i="2"/>
  <c r="H2917" i="2" s="1"/>
  <c r="G2918" i="2"/>
  <c r="H2918" i="2" s="1"/>
  <c r="G2919" i="2"/>
  <c r="H2919" i="2" s="1"/>
  <c r="G2920" i="2"/>
  <c r="J2920" i="2" s="1"/>
  <c r="G2921" i="2"/>
  <c r="H2921" i="2" s="1"/>
  <c r="G2922" i="2"/>
  <c r="H2922" i="2" s="1"/>
  <c r="G2923" i="2"/>
  <c r="H2923" i="2" s="1"/>
  <c r="G2924" i="2"/>
  <c r="J2924" i="2" s="1"/>
  <c r="G2925" i="2"/>
  <c r="I2925" i="2" s="1"/>
  <c r="G2926" i="2"/>
  <c r="H2926" i="2" s="1"/>
  <c r="G2927" i="2"/>
  <c r="U2927" i="2" s="1"/>
  <c r="G2928" i="2"/>
  <c r="I2928" i="2" s="1"/>
  <c r="G2929" i="2"/>
  <c r="H2929" i="2" s="1"/>
  <c r="G2930" i="2"/>
  <c r="H2930" i="2" s="1"/>
  <c r="G2931" i="2"/>
  <c r="H2931" i="2" s="1"/>
  <c r="G2932" i="2"/>
  <c r="H2932" i="2" s="1"/>
  <c r="G2933" i="2"/>
  <c r="H2933" i="2" s="1"/>
  <c r="G2934" i="2"/>
  <c r="H2934" i="2" s="1"/>
  <c r="G2935" i="2"/>
  <c r="R2935" i="2" s="1"/>
  <c r="G2936" i="2"/>
  <c r="I2936" i="2" s="1"/>
  <c r="G2937" i="2"/>
  <c r="H2937" i="2" s="1"/>
  <c r="G2938" i="2"/>
  <c r="H2938" i="2" s="1"/>
  <c r="G2939" i="2"/>
  <c r="H2939" i="2" s="1"/>
  <c r="G2940" i="2"/>
  <c r="H2940" i="2" s="1"/>
  <c r="G2941" i="2"/>
  <c r="H2941" i="2" s="1"/>
  <c r="G2942" i="2"/>
  <c r="H2942" i="2" s="1"/>
  <c r="G2943" i="2"/>
  <c r="H2943" i="2" s="1"/>
  <c r="G2944" i="2"/>
  <c r="H2944" i="2" s="1"/>
  <c r="G2945" i="2"/>
  <c r="H2945" i="2" s="1"/>
  <c r="G2946" i="2"/>
  <c r="H2946" i="2" s="1"/>
  <c r="G2947" i="2"/>
  <c r="H2947" i="2" s="1"/>
  <c r="G2948" i="2"/>
  <c r="H2948" i="2" s="1"/>
  <c r="G2949" i="2"/>
  <c r="H2949" i="2" s="1"/>
  <c r="G2950" i="2"/>
  <c r="H2950" i="2" s="1"/>
  <c r="G2951" i="2"/>
  <c r="H2951" i="2" s="1"/>
  <c r="G2952" i="2"/>
  <c r="H2952" i="2" s="1"/>
  <c r="G2953" i="2"/>
  <c r="H2953" i="2" s="1"/>
  <c r="G2954" i="2"/>
  <c r="H2954" i="2" s="1"/>
  <c r="G2955" i="2"/>
  <c r="H2955" i="2" s="1"/>
  <c r="G2956" i="2"/>
  <c r="H2956" i="2" s="1"/>
  <c r="G2957" i="2"/>
  <c r="H2957" i="2" s="1"/>
  <c r="G2958" i="2"/>
  <c r="H2958" i="2" s="1"/>
  <c r="G2959" i="2"/>
  <c r="H2959" i="2" s="1"/>
  <c r="G2960" i="2"/>
  <c r="H2960" i="2" s="1"/>
  <c r="G2961" i="2"/>
  <c r="H2961" i="2" s="1"/>
  <c r="G2962" i="2"/>
  <c r="H2962" i="2" s="1"/>
  <c r="G2963" i="2"/>
  <c r="H2963" i="2" s="1"/>
  <c r="G2964" i="2"/>
  <c r="H2964" i="2" s="1"/>
  <c r="G2965" i="2"/>
  <c r="H2965" i="2" s="1"/>
  <c r="G2966" i="2"/>
  <c r="H2966" i="2" s="1"/>
  <c r="G2967" i="2"/>
  <c r="G2968" i="2"/>
  <c r="H2968" i="2" s="1"/>
  <c r="G2969" i="2"/>
  <c r="H2969" i="2" s="1"/>
  <c r="G2970" i="2"/>
  <c r="H2970" i="2" s="1"/>
  <c r="G2971" i="2"/>
  <c r="H2971" i="2" s="1"/>
  <c r="G2972" i="2"/>
  <c r="H2972" i="2" s="1"/>
  <c r="G2973" i="2"/>
  <c r="H2973" i="2" s="1"/>
  <c r="G2974" i="2"/>
  <c r="H2974" i="2" s="1"/>
  <c r="G2975" i="2"/>
  <c r="H2975" i="2" s="1"/>
  <c r="G2976" i="2"/>
  <c r="H2976" i="2" s="1"/>
  <c r="G2977" i="2"/>
  <c r="H2977" i="2" s="1"/>
  <c r="G2978" i="2"/>
  <c r="H2978" i="2" s="1"/>
  <c r="G2979" i="2"/>
  <c r="H2979" i="2" s="1"/>
  <c r="G2980" i="2"/>
  <c r="H2980" i="2" s="1"/>
  <c r="G2981" i="2"/>
  <c r="H2981" i="2" s="1"/>
  <c r="G2982" i="2"/>
  <c r="H2982" i="2" s="1"/>
  <c r="G2983" i="2"/>
  <c r="H2983" i="2" s="1"/>
  <c r="G2984" i="2"/>
  <c r="H2984" i="2" s="1"/>
  <c r="G2985" i="2"/>
  <c r="H2985" i="2" s="1"/>
  <c r="G2986" i="2"/>
  <c r="H2986" i="2" s="1"/>
  <c r="G2987" i="2"/>
  <c r="H2987" i="2" s="1"/>
  <c r="G2988" i="2"/>
  <c r="H2988" i="2" s="1"/>
  <c r="G2989" i="2"/>
  <c r="H2989" i="2" s="1"/>
  <c r="G2990" i="2"/>
  <c r="H2990" i="2" s="1"/>
  <c r="G2991" i="2"/>
  <c r="H2991" i="2" s="1"/>
  <c r="G2992" i="2"/>
  <c r="H2992" i="2" s="1"/>
  <c r="G2993" i="2"/>
  <c r="H2993" i="2" s="1"/>
  <c r="G2994" i="2"/>
  <c r="I2994" i="2" s="1"/>
  <c r="G2995" i="2"/>
  <c r="H2995" i="2" s="1"/>
  <c r="G2996" i="2"/>
  <c r="H2996" i="2" s="1"/>
  <c r="G2997" i="2"/>
  <c r="H2997" i="2" s="1"/>
  <c r="G2998" i="2"/>
  <c r="R2998" i="2" s="1"/>
  <c r="G2999" i="2"/>
  <c r="H2999" i="2" s="1"/>
  <c r="G3000" i="2"/>
  <c r="H3000" i="2" s="1"/>
  <c r="G3001" i="2"/>
  <c r="H3001" i="2" s="1"/>
  <c r="G3002" i="2"/>
  <c r="H3002" i="2" s="1"/>
  <c r="G3003" i="2"/>
  <c r="H3003" i="2" s="1"/>
  <c r="G3004" i="2"/>
  <c r="H3004" i="2" s="1"/>
  <c r="G3005" i="2"/>
  <c r="H3005" i="2" s="1"/>
  <c r="G3006" i="2"/>
  <c r="H3006" i="2" s="1"/>
  <c r="G3007" i="2"/>
  <c r="H3007" i="2" s="1"/>
  <c r="G3008" i="2"/>
  <c r="H3008" i="2" s="1"/>
  <c r="G3009" i="2"/>
  <c r="H3009" i="2" s="1"/>
  <c r="G3010" i="2"/>
  <c r="H3010" i="2" s="1"/>
  <c r="G3011" i="2"/>
  <c r="J3011" i="2" s="1"/>
  <c r="G3012" i="2"/>
  <c r="I3012" i="2" s="1"/>
  <c r="G3013" i="2"/>
  <c r="H3013" i="2" s="1"/>
  <c r="G3014" i="2"/>
  <c r="J3014" i="2" s="1"/>
  <c r="G3015" i="2"/>
  <c r="H3015" i="2" s="1"/>
  <c r="G3016" i="2"/>
  <c r="J3016" i="2" s="1"/>
  <c r="G3017" i="2"/>
  <c r="H3017" i="2" s="1"/>
  <c r="G3018" i="2"/>
  <c r="G3019" i="2"/>
  <c r="H3019" i="2" s="1"/>
  <c r="G3020" i="2"/>
  <c r="J3020" i="2" s="1"/>
  <c r="G3021" i="2"/>
  <c r="I3021" i="2" s="1"/>
  <c r="G3022" i="2"/>
  <c r="I3022" i="2" s="1"/>
  <c r="G3023" i="2"/>
  <c r="I3023" i="2" s="1"/>
  <c r="G3024" i="2"/>
  <c r="H3024" i="2" s="1"/>
  <c r="G3025" i="2"/>
  <c r="H3025" i="2" s="1"/>
  <c r="G3026" i="2"/>
  <c r="H3026" i="2" s="1"/>
  <c r="G3027" i="2"/>
  <c r="J3027" i="2" s="1"/>
  <c r="G3028" i="2"/>
  <c r="I3028" i="2" s="1"/>
  <c r="G3029" i="2"/>
  <c r="H3029" i="2" s="1"/>
  <c r="G3030" i="2"/>
  <c r="H3030" i="2" s="1"/>
  <c r="G3031" i="2"/>
  <c r="H3031" i="2" s="1"/>
  <c r="G3032" i="2"/>
  <c r="H3032" i="2" s="1"/>
  <c r="G3033" i="2"/>
  <c r="H3033" i="2" s="1"/>
  <c r="G3034" i="2"/>
  <c r="U3034" i="2" s="1"/>
  <c r="G3035" i="2"/>
  <c r="H3035" i="2" s="1"/>
  <c r="G3036" i="2"/>
  <c r="H3036" i="2" s="1"/>
  <c r="G3037" i="2"/>
  <c r="H3037" i="2" s="1"/>
  <c r="G3038" i="2"/>
  <c r="H3038" i="2" s="1"/>
  <c r="G3039" i="2"/>
  <c r="J3039" i="2" s="1"/>
  <c r="G3040" i="2"/>
  <c r="R3040" i="2" s="1"/>
  <c r="G3041" i="2"/>
  <c r="U3041" i="2" s="1"/>
  <c r="G3042" i="2"/>
  <c r="I3042" i="2" s="1"/>
  <c r="G3043" i="2"/>
  <c r="J3043" i="2" s="1"/>
  <c r="G3044" i="2"/>
  <c r="H3044" i="2" s="1"/>
  <c r="G3045" i="2"/>
  <c r="U3045" i="2" s="1"/>
  <c r="G3046" i="2"/>
  <c r="H3046" i="2" s="1"/>
  <c r="G3047" i="2"/>
  <c r="J3047" i="2" s="1"/>
  <c r="G3048" i="2"/>
  <c r="I3048" i="2" s="1"/>
  <c r="G3049" i="2"/>
  <c r="J3049" i="2" s="1"/>
  <c r="G3050" i="2"/>
  <c r="H3050" i="2" s="1"/>
  <c r="G3051" i="2"/>
  <c r="I3051" i="2" s="1"/>
  <c r="G3052" i="2"/>
  <c r="H3052" i="2" s="1"/>
  <c r="G3053" i="2"/>
  <c r="U3053" i="2" s="1"/>
  <c r="G3054" i="2"/>
  <c r="H3054" i="2" s="1"/>
  <c r="G3055" i="2"/>
  <c r="J3055" i="2" s="1"/>
  <c r="G3056" i="2"/>
  <c r="I3056" i="2" s="1"/>
  <c r="G3057" i="2"/>
  <c r="U3057" i="2" s="1"/>
  <c r="G3058" i="2"/>
  <c r="I3058" i="2" s="1"/>
  <c r="G3059" i="2"/>
  <c r="J3059" i="2" s="1"/>
  <c r="G3060" i="2"/>
  <c r="H3060" i="2" s="1"/>
  <c r="G3061" i="2"/>
  <c r="U3061" i="2" s="1"/>
  <c r="G3062" i="2"/>
  <c r="H3062" i="2" s="1"/>
  <c r="G3063" i="2"/>
  <c r="I3063" i="2" s="1"/>
  <c r="G3064" i="2"/>
  <c r="H3064" i="2" s="1"/>
  <c r="G3065" i="2"/>
  <c r="U3065" i="2" s="1"/>
  <c r="G3066" i="2"/>
  <c r="H3066" i="2" s="1"/>
  <c r="G3067" i="2"/>
  <c r="J3067" i="2" s="1"/>
  <c r="G3068" i="2"/>
  <c r="H3068" i="2" s="1"/>
  <c r="G3069" i="2"/>
  <c r="U3069" i="2" s="1"/>
  <c r="G3070" i="2"/>
  <c r="H3070" i="2" s="1"/>
  <c r="G3071" i="2"/>
  <c r="I3071" i="2" s="1"/>
  <c r="G3072" i="2"/>
  <c r="I3072" i="2" s="1"/>
  <c r="G3073" i="2"/>
  <c r="U3073" i="2" s="1"/>
  <c r="G3074" i="2"/>
  <c r="I3074" i="2" s="1"/>
  <c r="G3075" i="2"/>
  <c r="J3075" i="2" s="1"/>
  <c r="G3076" i="2"/>
  <c r="H3076" i="2" s="1"/>
  <c r="G3077" i="2"/>
  <c r="U3077" i="2" s="1"/>
  <c r="G3078" i="2"/>
  <c r="H3078" i="2" s="1"/>
  <c r="G3079" i="2"/>
  <c r="J3079" i="2" s="1"/>
  <c r="G3080" i="2"/>
  <c r="H3080" i="2" s="1"/>
  <c r="G3081" i="2"/>
  <c r="G3082" i="2"/>
  <c r="H3082" i="2" s="1"/>
  <c r="G3083" i="2"/>
  <c r="J3083" i="2" s="1"/>
  <c r="G3084" i="2"/>
  <c r="I3084" i="2" s="1"/>
  <c r="G3085" i="2"/>
  <c r="U3085" i="2" s="1"/>
  <c r="G3086" i="2"/>
  <c r="H3086" i="2" s="1"/>
  <c r="G3087" i="2"/>
  <c r="I3087" i="2" s="1"/>
  <c r="G3088" i="2"/>
  <c r="I3088" i="2" s="1"/>
  <c r="G3089" i="2"/>
  <c r="U3089" i="2" s="1"/>
  <c r="G3090" i="2"/>
  <c r="U3090" i="2" s="1"/>
  <c r="G3091" i="2"/>
  <c r="J3091" i="2" s="1"/>
  <c r="G3092" i="2"/>
  <c r="H3092" i="2" s="1"/>
  <c r="G3093" i="2"/>
  <c r="U3093" i="2" s="1"/>
  <c r="G3094" i="2"/>
  <c r="H3094" i="2" s="1"/>
  <c r="G3095" i="2"/>
  <c r="I3095" i="2" s="1"/>
  <c r="G3096" i="2"/>
  <c r="H3096" i="2" s="1"/>
  <c r="G3097" i="2"/>
  <c r="U3097" i="2" s="1"/>
  <c r="G3098" i="2"/>
  <c r="J3098" i="2" s="1"/>
  <c r="G3099" i="2"/>
  <c r="I3099" i="2" s="1"/>
  <c r="G3100" i="2"/>
  <c r="I3100" i="2" s="1"/>
  <c r="G3101" i="2"/>
  <c r="U3101" i="2" s="1"/>
  <c r="G3102" i="2"/>
  <c r="H3102" i="2" s="1"/>
  <c r="G3103" i="2"/>
  <c r="J3103" i="2" s="1"/>
  <c r="G3104" i="2"/>
  <c r="I3104" i="2" s="1"/>
  <c r="G3105" i="2"/>
  <c r="U3105" i="2" s="1"/>
  <c r="G3106" i="2"/>
  <c r="R3106" i="2" s="1"/>
  <c r="G3107" i="2"/>
  <c r="J3107" i="2" s="1"/>
  <c r="G3108" i="2"/>
  <c r="H3108" i="2" s="1"/>
  <c r="G3109" i="2"/>
  <c r="U3109" i="2" s="1"/>
  <c r="G3110" i="2"/>
  <c r="H3110" i="2" s="1"/>
  <c r="G3111" i="2"/>
  <c r="J3111" i="2" s="1"/>
  <c r="G3112" i="2"/>
  <c r="I3112" i="2" s="1"/>
  <c r="G3113" i="2"/>
  <c r="U3113" i="2" s="1"/>
  <c r="G3114" i="2"/>
  <c r="H3114" i="2" s="1"/>
  <c r="G3115" i="2"/>
  <c r="I3115" i="2" s="1"/>
  <c r="G3116" i="2"/>
  <c r="H3116" i="2" s="1"/>
  <c r="G3117" i="2"/>
  <c r="U3117" i="2" s="1"/>
  <c r="G3118" i="2"/>
  <c r="H3118" i="2" s="1"/>
  <c r="G3119" i="2"/>
  <c r="I3119" i="2" s="1"/>
  <c r="G3120" i="2"/>
  <c r="H3120" i="2" s="1"/>
  <c r="G3121" i="2"/>
  <c r="U3121" i="2" s="1"/>
  <c r="G3122" i="2"/>
  <c r="R3122" i="2" s="1"/>
  <c r="G3123" i="2"/>
  <c r="J3123" i="2" s="1"/>
  <c r="G3124" i="2"/>
  <c r="H3124" i="2" s="1"/>
  <c r="G3125" i="2"/>
  <c r="U3125" i="2" s="1"/>
  <c r="G3126" i="2"/>
  <c r="H3126" i="2" s="1"/>
  <c r="G3127" i="2"/>
  <c r="J3127" i="2" s="1"/>
  <c r="G3128" i="2"/>
  <c r="H3128" i="2" s="1"/>
  <c r="G3129" i="2"/>
  <c r="U3129" i="2" s="1"/>
  <c r="G3130" i="2"/>
  <c r="H3130" i="2" s="1"/>
  <c r="G3131" i="2"/>
  <c r="J3131" i="2" s="1"/>
  <c r="G3132" i="2"/>
  <c r="H3132" i="2" s="1"/>
  <c r="G3133" i="2"/>
  <c r="U3133" i="2" s="1"/>
  <c r="G3134" i="2"/>
  <c r="H3134" i="2" s="1"/>
  <c r="G3135" i="2"/>
  <c r="I3135" i="2" s="1"/>
  <c r="G3136" i="2"/>
  <c r="H3136" i="2" s="1"/>
  <c r="G3137" i="2"/>
  <c r="U3137" i="2" s="1"/>
  <c r="G3138" i="2"/>
  <c r="I3138" i="2" s="1"/>
  <c r="G3139" i="2"/>
  <c r="J3139" i="2" s="1"/>
  <c r="G3140" i="2"/>
  <c r="H3140" i="2" s="1"/>
  <c r="G3141" i="2"/>
  <c r="R3141" i="2" s="1"/>
  <c r="G3142" i="2"/>
  <c r="S3142" i="2" s="1"/>
  <c r="T3142" i="2" s="1"/>
  <c r="G3143" i="2"/>
  <c r="I3143" i="2" s="1"/>
  <c r="G3144" i="2"/>
  <c r="H3144" i="2" s="1"/>
  <c r="G3145" i="2"/>
  <c r="U3145" i="2" s="1"/>
  <c r="G3146" i="2"/>
  <c r="R3146" i="2" s="1"/>
  <c r="G3147" i="2"/>
  <c r="I3147" i="2" s="1"/>
  <c r="G3148" i="2"/>
  <c r="H3148" i="2" s="1"/>
  <c r="G3149" i="2"/>
  <c r="U3149" i="2" s="1"/>
  <c r="G3150" i="2"/>
  <c r="J3150" i="2" s="1"/>
  <c r="G3151" i="2"/>
  <c r="I3151" i="2" s="1"/>
  <c r="G3152" i="2"/>
  <c r="H3152" i="2" s="1"/>
  <c r="G3153" i="2"/>
  <c r="R3153" i="2" s="1"/>
  <c r="G3154" i="2"/>
  <c r="U3154" i="2" s="1"/>
  <c r="G3155" i="2"/>
  <c r="I3155" i="2" s="1"/>
  <c r="G3156" i="2"/>
  <c r="I3156" i="2" s="1"/>
  <c r="G3157" i="2"/>
  <c r="J3157" i="2" s="1"/>
  <c r="G3158" i="2"/>
  <c r="J3158" i="2" s="1"/>
  <c r="G3159" i="2"/>
  <c r="J3159" i="2" s="1"/>
  <c r="G3160" i="2"/>
  <c r="H3160" i="2" s="1"/>
  <c r="G3161" i="2"/>
  <c r="R3161" i="2" s="1"/>
  <c r="G3162" i="2"/>
  <c r="I3162" i="2" s="1"/>
  <c r="G3163" i="2"/>
  <c r="I3163" i="2" s="1"/>
  <c r="G3164" i="2"/>
  <c r="H3164" i="2" s="1"/>
  <c r="G3165" i="2"/>
  <c r="U3165" i="2" s="1"/>
  <c r="G3166" i="2"/>
  <c r="J3166" i="2" s="1"/>
  <c r="G3167" i="2"/>
  <c r="I3167" i="2" s="1"/>
  <c r="G3168" i="2"/>
  <c r="H3168" i="2" s="1"/>
  <c r="G3169" i="2"/>
  <c r="J3169" i="2" s="1"/>
  <c r="G3170" i="2"/>
  <c r="R3170" i="2" s="1"/>
  <c r="G3171" i="2"/>
  <c r="I3171" i="2" s="1"/>
  <c r="G3172" i="2"/>
  <c r="I3172" i="2" s="1"/>
  <c r="G3173" i="2"/>
  <c r="R3173" i="2" s="1"/>
  <c r="G3174" i="2"/>
  <c r="J3174" i="2" s="1"/>
  <c r="G3175" i="2"/>
  <c r="J3175" i="2" s="1"/>
  <c r="G3176" i="2"/>
  <c r="I3176" i="2" s="1"/>
  <c r="G3177" i="2"/>
  <c r="U3177" i="2" s="1"/>
  <c r="G3178" i="2"/>
  <c r="I3178" i="2" s="1"/>
  <c r="G3179" i="2"/>
  <c r="I3179" i="2" s="1"/>
  <c r="G3180" i="2"/>
  <c r="H3180" i="2" s="1"/>
  <c r="G3181" i="2"/>
  <c r="U3181" i="2" s="1"/>
  <c r="G3182" i="2"/>
  <c r="S3182" i="2" s="1"/>
  <c r="T3182" i="2" s="1"/>
  <c r="G3183" i="2"/>
  <c r="J3183" i="2" s="1"/>
  <c r="G3184" i="2"/>
  <c r="H3184" i="2" s="1"/>
  <c r="G3185" i="2"/>
  <c r="R3185" i="2" s="1"/>
  <c r="G3186" i="2"/>
  <c r="S3186" i="2" s="1"/>
  <c r="T3186" i="2" s="1"/>
  <c r="G3187" i="2"/>
  <c r="J3187" i="2" s="1"/>
  <c r="G3188" i="2"/>
  <c r="I3188" i="2" s="1"/>
  <c r="G3189" i="2"/>
  <c r="J3189" i="2" s="1"/>
  <c r="G3190" i="2"/>
  <c r="J3190" i="2" s="1"/>
  <c r="G3191" i="2"/>
  <c r="J3191" i="2" s="1"/>
  <c r="G3192" i="2"/>
  <c r="I3192" i="2" s="1"/>
  <c r="G3193" i="2"/>
  <c r="R3193" i="2" s="1"/>
  <c r="G3194" i="2"/>
  <c r="S3194" i="2" s="1"/>
  <c r="T3194" i="2" s="1"/>
  <c r="G3195" i="2"/>
  <c r="J3195" i="2" s="1"/>
  <c r="G3196" i="2"/>
  <c r="H3196" i="2" s="1"/>
  <c r="G3197" i="2"/>
  <c r="U3197" i="2" s="1"/>
  <c r="G3198" i="2"/>
  <c r="R3198" i="2" s="1"/>
  <c r="G3199" i="2"/>
  <c r="J3199" i="2" s="1"/>
  <c r="G3200" i="2"/>
  <c r="H3200" i="2" s="1"/>
  <c r="G3201" i="2"/>
  <c r="U3201" i="2" s="1"/>
  <c r="G3202" i="2"/>
  <c r="R3202" i="2" s="1"/>
  <c r="G3203" i="2"/>
  <c r="I3203" i="2" s="1"/>
  <c r="G3204" i="2"/>
  <c r="I3204" i="2" s="1"/>
  <c r="G3205" i="2"/>
  <c r="R3205" i="2" s="1"/>
  <c r="G3206" i="2"/>
  <c r="U3206" i="2" s="1"/>
  <c r="G3207" i="2"/>
  <c r="I3207" i="2" s="1"/>
  <c r="G3208" i="2"/>
  <c r="I3208" i="2" s="1"/>
  <c r="G3209" i="2"/>
  <c r="U3209" i="2" s="1"/>
  <c r="G3210" i="2"/>
  <c r="R3210" i="2" s="1"/>
  <c r="G3211" i="2"/>
  <c r="I3211" i="2" s="1"/>
  <c r="G3212" i="2"/>
  <c r="H3212" i="2" s="1"/>
  <c r="G3213" i="2"/>
  <c r="U3213" i="2" s="1"/>
  <c r="G3214" i="2"/>
  <c r="I3214" i="2" s="1"/>
  <c r="G3215" i="2"/>
  <c r="I3215" i="2" s="1"/>
  <c r="G3216" i="2"/>
  <c r="H3216" i="2" s="1"/>
  <c r="G3217" i="2"/>
  <c r="R3217" i="2" s="1"/>
  <c r="G3218" i="2"/>
  <c r="R3218" i="2" s="1"/>
  <c r="G3219" i="2"/>
  <c r="I3219" i="2" s="1"/>
  <c r="G3220" i="2"/>
  <c r="I3220" i="2" s="1"/>
  <c r="G3221" i="2"/>
  <c r="U3221" i="2" s="1"/>
  <c r="G3222" i="2"/>
  <c r="J3222" i="2" s="1"/>
  <c r="G3223" i="2"/>
  <c r="J3223" i="2" s="1"/>
  <c r="G3224" i="2"/>
  <c r="I3224" i="2" s="1"/>
  <c r="G3225" i="2"/>
  <c r="R3225" i="2" s="1"/>
  <c r="G3226" i="2"/>
  <c r="J3226" i="2" s="1"/>
  <c r="G3227" i="2"/>
  <c r="I3227" i="2" s="1"/>
  <c r="G3228" i="2"/>
  <c r="H3228" i="2" s="1"/>
  <c r="G3229" i="2"/>
  <c r="H3229" i="2" s="1"/>
  <c r="G3230" i="2"/>
  <c r="I3230" i="2" s="1"/>
  <c r="G3231" i="2"/>
  <c r="I3231" i="2" s="1"/>
  <c r="G3232" i="2"/>
  <c r="H3232" i="2" s="1"/>
  <c r="G3233" i="2"/>
  <c r="S3233" i="2" s="1"/>
  <c r="T3233" i="2" s="1"/>
  <c r="G3234" i="2"/>
  <c r="S3234" i="2" s="1"/>
  <c r="T3234" i="2" s="1"/>
  <c r="G3235" i="2"/>
  <c r="J3235" i="2" s="1"/>
  <c r="G3236" i="2"/>
  <c r="I3236" i="2" s="1"/>
  <c r="G3237" i="2"/>
  <c r="H3237" i="2" s="1"/>
  <c r="G3238" i="2"/>
  <c r="J3238" i="2" s="1"/>
  <c r="G3239" i="2"/>
  <c r="I3239" i="2" s="1"/>
  <c r="G3240" i="2"/>
  <c r="I3240" i="2" s="1"/>
  <c r="G3241" i="2"/>
  <c r="U3241" i="2" s="1"/>
  <c r="G3242" i="2"/>
  <c r="R3242" i="2" s="1"/>
  <c r="G3243" i="2"/>
  <c r="J3243" i="2" s="1"/>
  <c r="G3244" i="2"/>
  <c r="H3244" i="2" s="1"/>
  <c r="G3245" i="2"/>
  <c r="J3245" i="2" s="1"/>
  <c r="G3246" i="2"/>
  <c r="J3246" i="2" s="1"/>
  <c r="G3247" i="2"/>
  <c r="H3247" i="2" s="1"/>
  <c r="G3248" i="2"/>
  <c r="H3248" i="2" s="1"/>
  <c r="G3249" i="2"/>
  <c r="J3249" i="2" s="1"/>
  <c r="G3250" i="2"/>
  <c r="R3250" i="2" s="1"/>
  <c r="G3251" i="2"/>
  <c r="H3251" i="2" s="1"/>
  <c r="G3252" i="2"/>
  <c r="I3252" i="2" s="1"/>
  <c r="G3253" i="2"/>
  <c r="R3253" i="2" s="1"/>
  <c r="G3254" i="2"/>
  <c r="J3254" i="2" s="1"/>
  <c r="G3255" i="2"/>
  <c r="H3255" i="2" s="1"/>
  <c r="G3256" i="2"/>
  <c r="I3256" i="2" s="1"/>
  <c r="G3257" i="2"/>
  <c r="U3257" i="2" s="1"/>
  <c r="G3258" i="2"/>
  <c r="S3258" i="2" s="1"/>
  <c r="T3258" i="2" s="1"/>
  <c r="G3259" i="2"/>
  <c r="H3259" i="2" s="1"/>
  <c r="G3260" i="2"/>
  <c r="H3260" i="2" s="1"/>
  <c r="G3261" i="2"/>
  <c r="J3261" i="2" s="1"/>
  <c r="G3262" i="2"/>
  <c r="J3262" i="2" s="1"/>
  <c r="G3263" i="2"/>
  <c r="H3263" i="2" s="1"/>
  <c r="G3264" i="2"/>
  <c r="H3264" i="2" s="1"/>
  <c r="G3265" i="2"/>
  <c r="J3265" i="2" s="1"/>
  <c r="G3266" i="2"/>
  <c r="R3266" i="2" s="1"/>
  <c r="G3267" i="2"/>
  <c r="H3267" i="2" s="1"/>
  <c r="G3268" i="2"/>
  <c r="H3268" i="2" s="1"/>
  <c r="G3269" i="2"/>
  <c r="J3269" i="2" s="1"/>
  <c r="G3270" i="2"/>
  <c r="J3270" i="2" s="1"/>
  <c r="G3271" i="2"/>
  <c r="I3271" i="2" s="1"/>
  <c r="G3272" i="2"/>
  <c r="I3272" i="2" s="1"/>
  <c r="G3273" i="2"/>
  <c r="U3273" i="2" s="1"/>
  <c r="G3274" i="2"/>
  <c r="R3274" i="2" s="1"/>
  <c r="G3275" i="2"/>
  <c r="H3275" i="2" s="1"/>
  <c r="G3276" i="2"/>
  <c r="I3276" i="2" s="1"/>
  <c r="G3277" i="2"/>
  <c r="J3277" i="2" s="1"/>
  <c r="G3278" i="2"/>
  <c r="J3278" i="2" s="1"/>
  <c r="G3279" i="2"/>
  <c r="H3279" i="2" s="1"/>
  <c r="G3280" i="2"/>
  <c r="H3280" i="2" s="1"/>
  <c r="G3281" i="2"/>
  <c r="J3281" i="2" s="1"/>
  <c r="G3282" i="2"/>
  <c r="R3282" i="2" s="1"/>
  <c r="G3283" i="2"/>
  <c r="H3283" i="2" s="1"/>
  <c r="G3284" i="2"/>
  <c r="H3284" i="2" s="1"/>
  <c r="G3285" i="2"/>
  <c r="U3285" i="2" s="1"/>
  <c r="G3286" i="2"/>
  <c r="S3286" i="2" s="1"/>
  <c r="T3286" i="2" s="1"/>
  <c r="G3287" i="2"/>
  <c r="H3287" i="2" s="1"/>
  <c r="G3288" i="2"/>
  <c r="H3288" i="2" s="1"/>
  <c r="G3289" i="2"/>
  <c r="J3289" i="2" s="1"/>
  <c r="G3290" i="2"/>
  <c r="H3290" i="2" s="1"/>
  <c r="G3291" i="2"/>
  <c r="J3291" i="2" s="1"/>
  <c r="G3292" i="2"/>
  <c r="I3292" i="2" s="1"/>
  <c r="G3293" i="2"/>
  <c r="H3293" i="2" s="1"/>
  <c r="G3294" i="2"/>
  <c r="H3294" i="2" s="1"/>
  <c r="G3295" i="2"/>
  <c r="J3295" i="2" s="1"/>
  <c r="G3296" i="2"/>
  <c r="R3296" i="2" s="1"/>
  <c r="G3297" i="2"/>
  <c r="H3297" i="2" s="1"/>
  <c r="G3298" i="2"/>
  <c r="I3298" i="2" s="1"/>
  <c r="G3299" i="2"/>
  <c r="I3299" i="2" s="1"/>
  <c r="G3300" i="2"/>
  <c r="U3300" i="2" s="1"/>
  <c r="G3301" i="2"/>
  <c r="H3301" i="2" s="1"/>
  <c r="G3302" i="2"/>
  <c r="H3302" i="2" s="1"/>
  <c r="G3303" i="2"/>
  <c r="S3303" i="2" s="1"/>
  <c r="T3303" i="2" s="1"/>
  <c r="G3304" i="2"/>
  <c r="S3304" i="2" s="1"/>
  <c r="T3304" i="2" s="1"/>
  <c r="G3305" i="2"/>
  <c r="H3305" i="2" s="1"/>
  <c r="G3306" i="2"/>
  <c r="H3306" i="2" s="1"/>
  <c r="G3307" i="2"/>
  <c r="J3307" i="2" s="1"/>
  <c r="G3308" i="2"/>
  <c r="J3308" i="2" s="1"/>
  <c r="G3309" i="2"/>
  <c r="H3309" i="2" s="1"/>
  <c r="G3310" i="2"/>
  <c r="H3310" i="2" s="1"/>
  <c r="G3311" i="2"/>
  <c r="J3311" i="2" s="1"/>
  <c r="G3312" i="2"/>
  <c r="R3312" i="2" s="1"/>
  <c r="G3313" i="2"/>
  <c r="J3313" i="2" s="1"/>
  <c r="G3314" i="2"/>
  <c r="H3314" i="2" s="1"/>
  <c r="G3315" i="2"/>
  <c r="R3315" i="2" s="1"/>
  <c r="G3316" i="2"/>
  <c r="J3316" i="2" s="1"/>
  <c r="G3317" i="2"/>
  <c r="H3317" i="2" s="1"/>
  <c r="G3318" i="2"/>
  <c r="R3318" i="2" s="1"/>
  <c r="G3319" i="2"/>
  <c r="S3319" i="2" s="1"/>
  <c r="T3319" i="2" s="1"/>
  <c r="G3320" i="2"/>
  <c r="J3320" i="2" s="1"/>
  <c r="G3321" i="2"/>
  <c r="J3321" i="2" s="1"/>
  <c r="G3322" i="2"/>
  <c r="H3322" i="2" s="1"/>
  <c r="G3323" i="2"/>
  <c r="J3323" i="2" s="1"/>
  <c r="G3324" i="2"/>
  <c r="J3324" i="2" s="1"/>
  <c r="G3325" i="2"/>
  <c r="H3325" i="2" s="1"/>
  <c r="G3326" i="2"/>
  <c r="H3326" i="2" s="1"/>
  <c r="G3327" i="2"/>
  <c r="J3327" i="2" s="1"/>
  <c r="G3328" i="2"/>
  <c r="S3328" i="2" s="1"/>
  <c r="T3328" i="2" s="1"/>
  <c r="G3329" i="2"/>
  <c r="H3329" i="2" s="1"/>
  <c r="G3330" i="2"/>
  <c r="H3330" i="2" s="1"/>
  <c r="G3331" i="2"/>
  <c r="J3331" i="2" s="1"/>
  <c r="G3332" i="2"/>
  <c r="S3332" i="2" s="1"/>
  <c r="T3332" i="2" s="1"/>
  <c r="G3333" i="2"/>
  <c r="H3333" i="2" s="1"/>
  <c r="G3334" i="2"/>
  <c r="R3334" i="2" s="1"/>
  <c r="G3335" i="2"/>
  <c r="U3335" i="2" s="1"/>
  <c r="G3336" i="2"/>
  <c r="I3336" i="2" s="1"/>
  <c r="G3337" i="2"/>
  <c r="H3337" i="2" s="1"/>
  <c r="G3338" i="2"/>
  <c r="H3338" i="2" s="1"/>
  <c r="G3339" i="2"/>
  <c r="J3339" i="2" s="1"/>
  <c r="G3340" i="2"/>
  <c r="J3340" i="2" s="1"/>
  <c r="G3341" i="2"/>
  <c r="H3341" i="2" s="1"/>
  <c r="G3342" i="2"/>
  <c r="H3342" i="2" s="1"/>
  <c r="G3343" i="2"/>
  <c r="J3343" i="2" s="1"/>
  <c r="G3344" i="2"/>
  <c r="R3344" i="2" s="1"/>
  <c r="G3345" i="2"/>
  <c r="H3345" i="2" s="1"/>
  <c r="G3346" i="2"/>
  <c r="H3346" i="2" s="1"/>
  <c r="G3347" i="2"/>
  <c r="S3347" i="2" s="1"/>
  <c r="T3347" i="2" s="1"/>
  <c r="G3348" i="2"/>
  <c r="S3348" i="2" s="1"/>
  <c r="T3348" i="2" s="1"/>
  <c r="G3349" i="2"/>
  <c r="H3349" i="2" s="1"/>
  <c r="G3350" i="2"/>
  <c r="I3350" i="2" s="1"/>
  <c r="G3351" i="2"/>
  <c r="S3351" i="2" s="1"/>
  <c r="T3351" i="2" s="1"/>
  <c r="G3352" i="2"/>
  <c r="S3352" i="2" s="1"/>
  <c r="T3352" i="2" s="1"/>
  <c r="G3353" i="2"/>
  <c r="H3353" i="2" s="1"/>
  <c r="G3354" i="2"/>
  <c r="H3354" i="2" s="1"/>
  <c r="G3355" i="2"/>
  <c r="J3355" i="2" s="1"/>
  <c r="G3356" i="2"/>
  <c r="R3356" i="2" s="1"/>
  <c r="G3357" i="2"/>
  <c r="H3357" i="2" s="1"/>
  <c r="G3358" i="2"/>
  <c r="I3358" i="2" s="1"/>
  <c r="G3359" i="2"/>
  <c r="J3359" i="2" s="1"/>
  <c r="G3360" i="2"/>
  <c r="S3360" i="2" s="1"/>
  <c r="T3360" i="2" s="1"/>
  <c r="G3361" i="2"/>
  <c r="H3361" i="2" s="1"/>
  <c r="G3362" i="2"/>
  <c r="H3362" i="2" s="1"/>
  <c r="G3363" i="2"/>
  <c r="I3363" i="2" s="1"/>
  <c r="G3364" i="2"/>
  <c r="S3364" i="2" s="1"/>
  <c r="T3364" i="2" s="1"/>
  <c r="G3365" i="2"/>
  <c r="H3365" i="2" s="1"/>
  <c r="G3366" i="2"/>
  <c r="I3366" i="2" s="1"/>
  <c r="G3367" i="2"/>
  <c r="U3367" i="2" s="1"/>
  <c r="G3368" i="2"/>
  <c r="J3368" i="2" s="1"/>
  <c r="G3369" i="2"/>
  <c r="H3369" i="2" s="1"/>
  <c r="G3370" i="2"/>
  <c r="H3370" i="2" s="1"/>
  <c r="G3371" i="2"/>
  <c r="J3371" i="2" s="1"/>
  <c r="G3372" i="2"/>
  <c r="H3372" i="2" s="1"/>
  <c r="G3373" i="2"/>
  <c r="H3373" i="2" s="1"/>
  <c r="G3374" i="2"/>
  <c r="H3374" i="2" s="1"/>
  <c r="G3375" i="2"/>
  <c r="J3375" i="2" s="1"/>
  <c r="G3376" i="2"/>
  <c r="R3376" i="2" s="1"/>
  <c r="G3377" i="2"/>
  <c r="H3377" i="2" s="1"/>
  <c r="G3378" i="2"/>
  <c r="I3378" i="2" s="1"/>
  <c r="G3379" i="2"/>
  <c r="S3379" i="2" s="1"/>
  <c r="T3379" i="2" s="1"/>
  <c r="G3380" i="2"/>
  <c r="H3380" i="2" s="1"/>
  <c r="G3381" i="2"/>
  <c r="H3381" i="2" s="1"/>
  <c r="G3382" i="2"/>
  <c r="I3382" i="2" s="1"/>
  <c r="G3383" i="2"/>
  <c r="J3383" i="2" s="1"/>
  <c r="G3384" i="2"/>
  <c r="J3384" i="2" s="1"/>
  <c r="G3385" i="2"/>
  <c r="H3385" i="2" s="1"/>
  <c r="G3386" i="2"/>
  <c r="H3386" i="2" s="1"/>
  <c r="G3387" i="2"/>
  <c r="J3387" i="2" s="1"/>
  <c r="G3388" i="2"/>
  <c r="H3388" i="2" s="1"/>
  <c r="G3389" i="2"/>
  <c r="H3389" i="2" s="1"/>
  <c r="G3390" i="2"/>
  <c r="I3390" i="2" s="1"/>
  <c r="G3391" i="2"/>
  <c r="J3391" i="2" s="1"/>
  <c r="G3392" i="2"/>
  <c r="I3392" i="2" s="1"/>
  <c r="G3393" i="2"/>
  <c r="H3393" i="2" s="1"/>
  <c r="G3394" i="2"/>
  <c r="H3394" i="2" s="1"/>
  <c r="G3395" i="2"/>
  <c r="I3395" i="2" s="1"/>
  <c r="G3396" i="2"/>
  <c r="H3396" i="2" s="1"/>
  <c r="G3397" i="2"/>
  <c r="H3397" i="2" s="1"/>
  <c r="G3398" i="2"/>
  <c r="H3398" i="2" s="1"/>
  <c r="G3399" i="2"/>
  <c r="J3399" i="2" s="1"/>
  <c r="G3400" i="2"/>
  <c r="H3400" i="2" s="1"/>
  <c r="G3401" i="2"/>
  <c r="H3401" i="2" s="1"/>
  <c r="G3402" i="2"/>
  <c r="H3402" i="2" s="1"/>
  <c r="G3403" i="2"/>
  <c r="J3403" i="2" s="1"/>
  <c r="G3404" i="2"/>
  <c r="R3404" i="2" s="1"/>
  <c r="G3405" i="2"/>
  <c r="J3405" i="2" s="1"/>
  <c r="G3406" i="2"/>
  <c r="I3406" i="2" s="1"/>
  <c r="G3407" i="2"/>
  <c r="J3407" i="2" s="1"/>
  <c r="G3408" i="2"/>
  <c r="I3408" i="2" s="1"/>
  <c r="G3409" i="2"/>
  <c r="H3409" i="2" s="1"/>
  <c r="G3410" i="2"/>
  <c r="H3410" i="2" s="1"/>
  <c r="G3411" i="2"/>
  <c r="R3411" i="2" s="1"/>
  <c r="G3412" i="2"/>
  <c r="S3412" i="2" s="1"/>
  <c r="T3412" i="2" s="1"/>
  <c r="G3413" i="2"/>
  <c r="H3413" i="2" s="1"/>
  <c r="G3414" i="2"/>
  <c r="H3414" i="2" s="1"/>
  <c r="G3415" i="2"/>
  <c r="J3415" i="2" s="1"/>
  <c r="G3416" i="2"/>
  <c r="J3416" i="2" s="1"/>
  <c r="G3417" i="2"/>
  <c r="J3417" i="2" s="1"/>
  <c r="G3418" i="2"/>
  <c r="H3418" i="2" s="1"/>
  <c r="G3419" i="2"/>
  <c r="J3419" i="2" s="1"/>
  <c r="G3420" i="2"/>
  <c r="I3420" i="2" s="1"/>
  <c r="G3421" i="2"/>
  <c r="H3421" i="2" s="1"/>
  <c r="G3422" i="2"/>
  <c r="H3422" i="2" s="1"/>
  <c r="G3423" i="2"/>
  <c r="J3423" i="2" s="1"/>
  <c r="G3424" i="2"/>
  <c r="R3424" i="2" s="1"/>
  <c r="G3425" i="2"/>
  <c r="H3425" i="2" s="1"/>
  <c r="G3426" i="2"/>
  <c r="H3426" i="2" s="1"/>
  <c r="G3427" i="2"/>
  <c r="H3427" i="2" s="1"/>
  <c r="G3428" i="2"/>
  <c r="S3428" i="2" s="1"/>
  <c r="T3428" i="2" s="1"/>
  <c r="G3429" i="2"/>
  <c r="H3429" i="2" s="1"/>
  <c r="G3430" i="2"/>
  <c r="I3430" i="2" s="1"/>
  <c r="G3431" i="2"/>
  <c r="H3431" i="2" s="1"/>
  <c r="G3432" i="2"/>
  <c r="H3432" i="2" s="1"/>
  <c r="G3433" i="2"/>
  <c r="J3433" i="2" s="1"/>
  <c r="G3434" i="2"/>
  <c r="H3434" i="2" s="1"/>
  <c r="G3435" i="2"/>
  <c r="H3435" i="2" s="1"/>
  <c r="G3436" i="2"/>
  <c r="H3436" i="2" s="1"/>
  <c r="G3437" i="2"/>
  <c r="H3437" i="2" s="1"/>
  <c r="G3438" i="2"/>
  <c r="H3438" i="2" s="1"/>
  <c r="G3439" i="2"/>
  <c r="H3439" i="2" s="1"/>
  <c r="G3440" i="2"/>
  <c r="I3440" i="2" s="1"/>
  <c r="G3441" i="2"/>
  <c r="H3441" i="2" s="1"/>
  <c r="G3442" i="2"/>
  <c r="H3442" i="2" s="1"/>
  <c r="G3443" i="2"/>
  <c r="H3443" i="2" s="1"/>
  <c r="G3444" i="2"/>
  <c r="H3444" i="2" s="1"/>
  <c r="G3445" i="2"/>
  <c r="H3445" i="2" s="1"/>
  <c r="G3446" i="2"/>
  <c r="H3446" i="2" s="1"/>
  <c r="G3447" i="2"/>
  <c r="H3447" i="2" s="1"/>
  <c r="G3448" i="2"/>
  <c r="H3448" i="2" s="1"/>
  <c r="G3449" i="2"/>
  <c r="J3449" i="2" s="1"/>
  <c r="G3450" i="2"/>
  <c r="H3450" i="2" s="1"/>
  <c r="G3451" i="2"/>
  <c r="H3451" i="2" s="1"/>
  <c r="G3452" i="2"/>
  <c r="H3452" i="2" s="1"/>
  <c r="G3453" i="2"/>
  <c r="H3453" i="2" s="1"/>
  <c r="G3454" i="2"/>
  <c r="H3454" i="2" s="1"/>
  <c r="G3455" i="2"/>
  <c r="H3455" i="2" s="1"/>
  <c r="G3456" i="2"/>
  <c r="S3456" i="2" s="1"/>
  <c r="T3456" i="2" s="1"/>
  <c r="G3457" i="2"/>
  <c r="H3457" i="2" s="1"/>
  <c r="G3458" i="2"/>
  <c r="I3458" i="2" s="1"/>
  <c r="G3459" i="2"/>
  <c r="H3459" i="2" s="1"/>
  <c r="G3460" i="2"/>
  <c r="H3460" i="2" s="1"/>
  <c r="G3461" i="2"/>
  <c r="J3461" i="2" s="1"/>
  <c r="G3462" i="2"/>
  <c r="H3462" i="2" s="1"/>
  <c r="G3463" i="2"/>
  <c r="H3463" i="2" s="1"/>
  <c r="G3464" i="2"/>
  <c r="R3464" i="2" s="1"/>
  <c r="G3465" i="2"/>
  <c r="H3465" i="2" s="1"/>
  <c r="G3466" i="2"/>
  <c r="H3466" i="2" s="1"/>
  <c r="G3467" i="2"/>
  <c r="H3467" i="2" s="1"/>
  <c r="G3468" i="2"/>
  <c r="H3468" i="2" s="1"/>
  <c r="G3469" i="2"/>
  <c r="H3469" i="2" s="1"/>
  <c r="G3470" i="2"/>
  <c r="H3470" i="2" s="1"/>
  <c r="G3471" i="2"/>
  <c r="H3471" i="2" s="1"/>
  <c r="G3472" i="2"/>
  <c r="I3472" i="2" s="1"/>
  <c r="G3473" i="2"/>
  <c r="H3473" i="2" s="1"/>
  <c r="G3474" i="2"/>
  <c r="H3474" i="2" s="1"/>
  <c r="G3475" i="2"/>
  <c r="H3475" i="2" s="1"/>
  <c r="G3476" i="2"/>
  <c r="H3476" i="2" s="1"/>
  <c r="G3477" i="2"/>
  <c r="H3477" i="2" s="1"/>
  <c r="G3478" i="2"/>
  <c r="I3478" i="2" s="1"/>
  <c r="G3479" i="2"/>
  <c r="H3479" i="2" s="1"/>
  <c r="G3480" i="2"/>
  <c r="I3480" i="2" s="1"/>
  <c r="G3481" i="2"/>
  <c r="H3481" i="2" s="1"/>
  <c r="G3482" i="2"/>
  <c r="H3482" i="2" s="1"/>
  <c r="H2589" i="2"/>
  <c r="H2592" i="2"/>
  <c r="H2596" i="2"/>
  <c r="H2600" i="2"/>
  <c r="H2601" i="2"/>
  <c r="H2604" i="2"/>
  <c r="H2608" i="2"/>
  <c r="H2616" i="2"/>
  <c r="H2619" i="2"/>
  <c r="H2620" i="2"/>
  <c r="H2623" i="2"/>
  <c r="H2627" i="2"/>
  <c r="H2632" i="2"/>
  <c r="H2635" i="2"/>
  <c r="H2636" i="2"/>
  <c r="H2639" i="2"/>
  <c r="H2644" i="2"/>
  <c r="H2648" i="2"/>
  <c r="H2656" i="2"/>
  <c r="H2659" i="2"/>
  <c r="H2667" i="2"/>
  <c r="H2671" i="2"/>
  <c r="H2679" i="2"/>
  <c r="H2700" i="2"/>
  <c r="H2703" i="2"/>
  <c r="H2712" i="2"/>
  <c r="H2735" i="2"/>
  <c r="H2736" i="2"/>
  <c r="H2740" i="2"/>
  <c r="H2759" i="2"/>
  <c r="H2768" i="2"/>
  <c r="H2775" i="2"/>
  <c r="H2780" i="2"/>
  <c r="H2784" i="2"/>
  <c r="H2787" i="2"/>
  <c r="H2788" i="2"/>
  <c r="H2791" i="2"/>
  <c r="H2800" i="2"/>
  <c r="H2811" i="2"/>
  <c r="H2812" i="2"/>
  <c r="H2816" i="2"/>
  <c r="H2820" i="2"/>
  <c r="H2827" i="2"/>
  <c r="H2836" i="2"/>
  <c r="H2840" i="2"/>
  <c r="H2851" i="2"/>
  <c r="H2875" i="2"/>
  <c r="H2876" i="2"/>
  <c r="H2880" i="2"/>
  <c r="H2892" i="2"/>
  <c r="H2900" i="2"/>
  <c r="H2908" i="2"/>
  <c r="H2912" i="2"/>
  <c r="H2920" i="2"/>
  <c r="H2936" i="2"/>
  <c r="H3023" i="2"/>
  <c r="H3028" i="2"/>
  <c r="H3256" i="2"/>
  <c r="I2588" i="2"/>
  <c r="I2592" i="2"/>
  <c r="I2596" i="2"/>
  <c r="I2598" i="2"/>
  <c r="I2600" i="2"/>
  <c r="I2604" i="2"/>
  <c r="I2606" i="2"/>
  <c r="I2609" i="2"/>
  <c r="I2613" i="2"/>
  <c r="I2616" i="2"/>
  <c r="I2619" i="2"/>
  <c r="I2620" i="2"/>
  <c r="I2623" i="2"/>
  <c r="I2624" i="2"/>
  <c r="I2627" i="2"/>
  <c r="I2630" i="2"/>
  <c r="I2632" i="2"/>
  <c r="I2635" i="2"/>
  <c r="I2636" i="2"/>
  <c r="I2642" i="2"/>
  <c r="I2644" i="2"/>
  <c r="I2646" i="2"/>
  <c r="I2651" i="2"/>
  <c r="I2656" i="2"/>
  <c r="I2662" i="2"/>
  <c r="I2663" i="2"/>
  <c r="I2667" i="2"/>
  <c r="I2671" i="2"/>
  <c r="I2674" i="2"/>
  <c r="I2675" i="2"/>
  <c r="I2678" i="2"/>
  <c r="I2695" i="2"/>
  <c r="I2698" i="2"/>
  <c r="I2699" i="2"/>
  <c r="I2700" i="2"/>
  <c r="I2703" i="2"/>
  <c r="I2710" i="2"/>
  <c r="I2718" i="2"/>
  <c r="I2723" i="2"/>
  <c r="I2728" i="2"/>
  <c r="I2735" i="2"/>
  <c r="I2736" i="2"/>
  <c r="I2738" i="2"/>
  <c r="I2740" i="2"/>
  <c r="I2743" i="2"/>
  <c r="I2747" i="2"/>
  <c r="I2750" i="2"/>
  <c r="I2751" i="2"/>
  <c r="I2752" i="2"/>
  <c r="I2755" i="2"/>
  <c r="I2758" i="2"/>
  <c r="I2759" i="2"/>
  <c r="I2760" i="2"/>
  <c r="I2768" i="2"/>
  <c r="I2770" i="2"/>
  <c r="I2775" i="2"/>
  <c r="I2777" i="2"/>
  <c r="I2778" i="2"/>
  <c r="I2779" i="2"/>
  <c r="I2783" i="2"/>
  <c r="I2787" i="2"/>
  <c r="I2788" i="2"/>
  <c r="I2790" i="2"/>
  <c r="I2800" i="2"/>
  <c r="I2806" i="2"/>
  <c r="I2819" i="2"/>
  <c r="I2820" i="2"/>
  <c r="I2823" i="2"/>
  <c r="I2827" i="2"/>
  <c r="I2839" i="2"/>
  <c r="I2840" i="2"/>
  <c r="I2841" i="2"/>
  <c r="I2843" i="2"/>
  <c r="I2847" i="2"/>
  <c r="I2851" i="2"/>
  <c r="I2858" i="2"/>
  <c r="I2863" i="2"/>
  <c r="I2864" i="2"/>
  <c r="I2868" i="2"/>
  <c r="I2872" i="2"/>
  <c r="I2875" i="2"/>
  <c r="I2879" i="2"/>
  <c r="I2880" i="2"/>
  <c r="I2882" i="2"/>
  <c r="I2891" i="2"/>
  <c r="I2892" i="2"/>
  <c r="I2894" i="2"/>
  <c r="I2903" i="2"/>
  <c r="I2911" i="2"/>
  <c r="I2912" i="2"/>
  <c r="I2920" i="2"/>
  <c r="I2926" i="2"/>
  <c r="I2931" i="2"/>
  <c r="I2932" i="2"/>
  <c r="I2939" i="2"/>
  <c r="I2942" i="2"/>
  <c r="I2948" i="2"/>
  <c r="I2956" i="2"/>
  <c r="I2963" i="2"/>
  <c r="I2988" i="2"/>
  <c r="I3004" i="2"/>
  <c r="I3060" i="2"/>
  <c r="I3076" i="2"/>
  <c r="I3096" i="2"/>
  <c r="I3148" i="2"/>
  <c r="J2589" i="2"/>
  <c r="J2592" i="2"/>
  <c r="J2596" i="2"/>
  <c r="J2600" i="2"/>
  <c r="J2606" i="2"/>
  <c r="J2608" i="2"/>
  <c r="J2613" i="2"/>
  <c r="J2616" i="2"/>
  <c r="J2619" i="2"/>
  <c r="J2620" i="2"/>
  <c r="J2623" i="2"/>
  <c r="J2624" i="2"/>
  <c r="J2627" i="2"/>
  <c r="J2630" i="2"/>
  <c r="J2632" i="2"/>
  <c r="J2634" i="2"/>
  <c r="J2635" i="2"/>
  <c r="J2636" i="2"/>
  <c r="J2642" i="2"/>
  <c r="J2644" i="2"/>
  <c r="J2651" i="2"/>
  <c r="J2656" i="2"/>
  <c r="J2657" i="2"/>
  <c r="J2658" i="2"/>
  <c r="J2659" i="2"/>
  <c r="J2660" i="2"/>
  <c r="J2663" i="2"/>
  <c r="J2667" i="2"/>
  <c r="J2668" i="2"/>
  <c r="J2671" i="2"/>
  <c r="J2675" i="2"/>
  <c r="J2678" i="2"/>
  <c r="J2682" i="2"/>
  <c r="J2687" i="2"/>
  <c r="J2694" i="2"/>
  <c r="J2698" i="2"/>
  <c r="J2699" i="2"/>
  <c r="J2700" i="2"/>
  <c r="J2703" i="2"/>
  <c r="J2707" i="2"/>
  <c r="J2712" i="2"/>
  <c r="J2718" i="2"/>
  <c r="J2720" i="2"/>
  <c r="J2728" i="2"/>
  <c r="J2732" i="2"/>
  <c r="J2735" i="2"/>
  <c r="J2738" i="2"/>
  <c r="J2739" i="2"/>
  <c r="J2742" i="2"/>
  <c r="J2748" i="2"/>
  <c r="J2751" i="2"/>
  <c r="J2752" i="2"/>
  <c r="J2754" i="2"/>
  <c r="J2756" i="2"/>
  <c r="J2759" i="2"/>
  <c r="J2760" i="2"/>
  <c r="J2768" i="2"/>
  <c r="J2774" i="2"/>
  <c r="J2775" i="2"/>
  <c r="J2777" i="2"/>
  <c r="J2779" i="2"/>
  <c r="J2783" i="2"/>
  <c r="J2786" i="2"/>
  <c r="J2787" i="2"/>
  <c r="J2790" i="2"/>
  <c r="J2791" i="2"/>
  <c r="J2796" i="2"/>
  <c r="J2812" i="2"/>
  <c r="J2818" i="2"/>
  <c r="J2819" i="2"/>
  <c r="J2823" i="2"/>
  <c r="J2826" i="2"/>
  <c r="J2827" i="2"/>
  <c r="J2836" i="2"/>
  <c r="J2840" i="2"/>
  <c r="J2841" i="2"/>
  <c r="J2843" i="2"/>
  <c r="J2846" i="2"/>
  <c r="J2851" i="2"/>
  <c r="J2862" i="2"/>
  <c r="J2867" i="2"/>
  <c r="J2870" i="2"/>
  <c r="J2872" i="2"/>
  <c r="J2875" i="2"/>
  <c r="J2876" i="2"/>
  <c r="J2877" i="2"/>
  <c r="J2879" i="2"/>
  <c r="J2881" i="2"/>
  <c r="J2883" i="2"/>
  <c r="J2887" i="2"/>
  <c r="J2888" i="2"/>
  <c r="J2891" i="2"/>
  <c r="J2894" i="2"/>
  <c r="J2900" i="2"/>
  <c r="J2906" i="2"/>
  <c r="J2908" i="2"/>
  <c r="J2912" i="2"/>
  <c r="J2914" i="2"/>
  <c r="J2928" i="2"/>
  <c r="J2932" i="2"/>
  <c r="J2940" i="2"/>
  <c r="J2949" i="2"/>
  <c r="J2954" i="2"/>
  <c r="J2955" i="2"/>
  <c r="J2963" i="2"/>
  <c r="J2980" i="2"/>
  <c r="J2988" i="2"/>
  <c r="J2991" i="2"/>
  <c r="J2992" i="2"/>
  <c r="J2995" i="2"/>
  <c r="J3003" i="2"/>
  <c r="J3012" i="2"/>
  <c r="J3023" i="2"/>
  <c r="J3024" i="2"/>
  <c r="J3032" i="2"/>
  <c r="J3064" i="2"/>
  <c r="J3092" i="2"/>
  <c r="J3108" i="2"/>
  <c r="J3114" i="2"/>
  <c r="J3120" i="2"/>
  <c r="J3315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R2592" i="2"/>
  <c r="R2596" i="2"/>
  <c r="R2597" i="2"/>
  <c r="R2598" i="2"/>
  <c r="R2600" i="2"/>
  <c r="R2602" i="2"/>
  <c r="R2604" i="2"/>
  <c r="R2606" i="2"/>
  <c r="R2608" i="2"/>
  <c r="R2610" i="2"/>
  <c r="R2612" i="2"/>
  <c r="R2613" i="2"/>
  <c r="R2616" i="2"/>
  <c r="R2619" i="2"/>
  <c r="R2623" i="2"/>
  <c r="R2624" i="2"/>
  <c r="R2627" i="2"/>
  <c r="R2630" i="2"/>
  <c r="R2632" i="2"/>
  <c r="R2634" i="2"/>
  <c r="R2635" i="2"/>
  <c r="R2644" i="2"/>
  <c r="R2646" i="2"/>
  <c r="R2648" i="2"/>
  <c r="R2651" i="2"/>
  <c r="R2652" i="2"/>
  <c r="R2656" i="2"/>
  <c r="R2657" i="2"/>
  <c r="R2658" i="2"/>
  <c r="R2659" i="2"/>
  <c r="R2660" i="2"/>
  <c r="R2662" i="2"/>
  <c r="R2663" i="2"/>
  <c r="R2667" i="2"/>
  <c r="R2668" i="2"/>
  <c r="R2670" i="2"/>
  <c r="R2671" i="2"/>
  <c r="R2674" i="2"/>
  <c r="R2675" i="2"/>
  <c r="R2678" i="2"/>
  <c r="R2679" i="2"/>
  <c r="R2687" i="2"/>
  <c r="R2699" i="2"/>
  <c r="R2700" i="2"/>
  <c r="R2703" i="2"/>
  <c r="R2710" i="2"/>
  <c r="R2712" i="2"/>
  <c r="R2718" i="2"/>
  <c r="R2720" i="2"/>
  <c r="R2723" i="2"/>
  <c r="R2726" i="2"/>
  <c r="R2735" i="2"/>
  <c r="R2739" i="2"/>
  <c r="R2740" i="2"/>
  <c r="R2742" i="2"/>
  <c r="R2743" i="2"/>
  <c r="R2744" i="2"/>
  <c r="R2746" i="2"/>
  <c r="R2747" i="2"/>
  <c r="R2749" i="2"/>
  <c r="R2751" i="2"/>
  <c r="R2752" i="2"/>
  <c r="R2754" i="2"/>
  <c r="R2755" i="2"/>
  <c r="R2759" i="2"/>
  <c r="R2760" i="2"/>
  <c r="R2762" i="2"/>
  <c r="R2768" i="2"/>
  <c r="R2775" i="2"/>
  <c r="R2777" i="2"/>
  <c r="R2778" i="2"/>
  <c r="R2779" i="2"/>
  <c r="R2783" i="2"/>
  <c r="R2784" i="2"/>
  <c r="R2786" i="2"/>
  <c r="R2787" i="2"/>
  <c r="R2794" i="2"/>
  <c r="R2798" i="2"/>
  <c r="R2799" i="2"/>
  <c r="R2803" i="2"/>
  <c r="R2806" i="2"/>
  <c r="R2811" i="2"/>
  <c r="R2812" i="2"/>
  <c r="R2822" i="2"/>
  <c r="R2823" i="2"/>
  <c r="R2826" i="2"/>
  <c r="R2827" i="2"/>
  <c r="R2835" i="2"/>
  <c r="R2839" i="2"/>
  <c r="R2840" i="2"/>
  <c r="R2847" i="2"/>
  <c r="R2854" i="2"/>
  <c r="R2856" i="2"/>
  <c r="R2862" i="2"/>
  <c r="R2863" i="2"/>
  <c r="R2864" i="2"/>
  <c r="R2867" i="2"/>
  <c r="R2868" i="2"/>
  <c r="R2870" i="2"/>
  <c r="R2872" i="2"/>
  <c r="R2876" i="2"/>
  <c r="R2877" i="2"/>
  <c r="R2878" i="2"/>
  <c r="R2879" i="2"/>
  <c r="R2881" i="2"/>
  <c r="R2882" i="2"/>
  <c r="R2884" i="2"/>
  <c r="R2887" i="2"/>
  <c r="R2892" i="2"/>
  <c r="R2899" i="2"/>
  <c r="R2901" i="2"/>
  <c r="R2908" i="2"/>
  <c r="R2911" i="2"/>
  <c r="R2912" i="2"/>
  <c r="R2914" i="2"/>
  <c r="R2920" i="2"/>
  <c r="R2932" i="2"/>
  <c r="R2937" i="2"/>
  <c r="R2942" i="2"/>
  <c r="R2944" i="2"/>
  <c r="R2945" i="2"/>
  <c r="R2948" i="2"/>
  <c r="R2949" i="2"/>
  <c r="R2952" i="2"/>
  <c r="R2962" i="2"/>
  <c r="R2967" i="2"/>
  <c r="R2981" i="2"/>
  <c r="R2986" i="2"/>
  <c r="R2988" i="2"/>
  <c r="R2991" i="2"/>
  <c r="R2994" i="2"/>
  <c r="R2995" i="2"/>
  <c r="R3003" i="2"/>
  <c r="R3004" i="2"/>
  <c r="R3017" i="2"/>
  <c r="R3019" i="2"/>
  <c r="R3022" i="2"/>
  <c r="R3023" i="2"/>
  <c r="R3024" i="2"/>
  <c r="R3035" i="2"/>
  <c r="R3047" i="2"/>
  <c r="R3051" i="2"/>
  <c r="R3062" i="2"/>
  <c r="R3068" i="2"/>
  <c r="R3075" i="2"/>
  <c r="R3087" i="2"/>
  <c r="R3095" i="2"/>
  <c r="R3103" i="2"/>
  <c r="R3111" i="2"/>
  <c r="R3112" i="2"/>
  <c r="R3115" i="2"/>
  <c r="R3119" i="2"/>
  <c r="R3135" i="2"/>
  <c r="R3159" i="2"/>
  <c r="R3187" i="2"/>
  <c r="S2589" i="2"/>
  <c r="T2589" i="2" s="1"/>
  <c r="S2596" i="2"/>
  <c r="T2596" i="2" s="1"/>
  <c r="S2600" i="2"/>
  <c r="T2600" i="2" s="1"/>
  <c r="S2602" i="2"/>
  <c r="T2602" i="2" s="1"/>
  <c r="S2604" i="2"/>
  <c r="T2604" i="2" s="1"/>
  <c r="S2606" i="2"/>
  <c r="T2606" i="2" s="1"/>
  <c r="S2608" i="2"/>
  <c r="T2608" i="2" s="1"/>
  <c r="S2612" i="2"/>
  <c r="T2612" i="2" s="1"/>
  <c r="S2613" i="2"/>
  <c r="T2613" i="2" s="1"/>
  <c r="S2616" i="2"/>
  <c r="T2616" i="2" s="1"/>
  <c r="S2618" i="2"/>
  <c r="T2618" i="2" s="1"/>
  <c r="S2619" i="2"/>
  <c r="T2619" i="2" s="1"/>
  <c r="S2620" i="2"/>
  <c r="T2620" i="2" s="1"/>
  <c r="S2623" i="2"/>
  <c r="T2623" i="2" s="1"/>
  <c r="S2624" i="2"/>
  <c r="T2624" i="2" s="1"/>
  <c r="S2630" i="2"/>
  <c r="T2630" i="2" s="1"/>
  <c r="S2632" i="2"/>
  <c r="T2632" i="2" s="1"/>
  <c r="S2634" i="2"/>
  <c r="T2634" i="2" s="1"/>
  <c r="S2635" i="2"/>
  <c r="T2635" i="2" s="1"/>
  <c r="S2642" i="2"/>
  <c r="T2642" i="2" s="1"/>
  <c r="S2643" i="2"/>
  <c r="T2643" i="2" s="1"/>
  <c r="S2644" i="2"/>
  <c r="T2644" i="2" s="1"/>
  <c r="S2646" i="2"/>
  <c r="T2646" i="2" s="1"/>
  <c r="S2648" i="2"/>
  <c r="T2648" i="2" s="1"/>
  <c r="S2656" i="2"/>
  <c r="T2656" i="2" s="1"/>
  <c r="S2658" i="2"/>
  <c r="T2658" i="2" s="1"/>
  <c r="S2659" i="2"/>
  <c r="T2659" i="2" s="1"/>
  <c r="S2660" i="2"/>
  <c r="T2660" i="2" s="1"/>
  <c r="S2662" i="2"/>
  <c r="T2662" i="2" s="1"/>
  <c r="S2663" i="2"/>
  <c r="T2663" i="2" s="1"/>
  <c r="S2667" i="2"/>
  <c r="T2667" i="2" s="1"/>
  <c r="S2668" i="2"/>
  <c r="T2668" i="2" s="1"/>
  <c r="S2670" i="2"/>
  <c r="T2670" i="2" s="1"/>
  <c r="S2671" i="2"/>
  <c r="T2671" i="2" s="1"/>
  <c r="S2672" i="2"/>
  <c r="T2672" i="2" s="1"/>
  <c r="S2674" i="2"/>
  <c r="T2674" i="2" s="1"/>
  <c r="S2678" i="2"/>
  <c r="T2678" i="2" s="1"/>
  <c r="S2691" i="2"/>
  <c r="T2691" i="2" s="1"/>
  <c r="S2694" i="2"/>
  <c r="T2694" i="2" s="1"/>
  <c r="S2695" i="2"/>
  <c r="T2695" i="2" s="1"/>
  <c r="S2698" i="2"/>
  <c r="T2698" i="2" s="1"/>
  <c r="S2700" i="2"/>
  <c r="T2700" i="2" s="1"/>
  <c r="S2703" i="2"/>
  <c r="T2703" i="2" s="1"/>
  <c r="S2710" i="2"/>
  <c r="T2710" i="2" s="1"/>
  <c r="S2712" i="2"/>
  <c r="T2712" i="2" s="1"/>
  <c r="S2716" i="2"/>
  <c r="T2716" i="2" s="1"/>
  <c r="S2723" i="2"/>
  <c r="T2723" i="2" s="1"/>
  <c r="S2734" i="2"/>
  <c r="T2734" i="2" s="1"/>
  <c r="S2735" i="2"/>
  <c r="T2735" i="2" s="1"/>
  <c r="S2736" i="2"/>
  <c r="T2736" i="2" s="1"/>
  <c r="S2739" i="2"/>
  <c r="T2739" i="2" s="1"/>
  <c r="S2740" i="2"/>
  <c r="T2740" i="2" s="1"/>
  <c r="S2742" i="2"/>
  <c r="T2742" i="2" s="1"/>
  <c r="S2743" i="2"/>
  <c r="T2743" i="2" s="1"/>
  <c r="S2746" i="2"/>
  <c r="T2746" i="2" s="1"/>
  <c r="S2747" i="2"/>
  <c r="T2747" i="2" s="1"/>
  <c r="S2748" i="2"/>
  <c r="T2748" i="2" s="1"/>
  <c r="S2754" i="2"/>
  <c r="T2754" i="2" s="1"/>
  <c r="S2755" i="2"/>
  <c r="T2755" i="2" s="1"/>
  <c r="S2757" i="2"/>
  <c r="T2757" i="2" s="1"/>
  <c r="S2759" i="2"/>
  <c r="T2759" i="2" s="1"/>
  <c r="S2760" i="2"/>
  <c r="T2760" i="2" s="1"/>
  <c r="S2768" i="2"/>
  <c r="T2768" i="2" s="1"/>
  <c r="S2770" i="2"/>
  <c r="T2770" i="2" s="1"/>
  <c r="S2771" i="2"/>
  <c r="T2771" i="2" s="1"/>
  <c r="S2774" i="2"/>
  <c r="T2774" i="2" s="1"/>
  <c r="S2775" i="2"/>
  <c r="T2775" i="2" s="1"/>
  <c r="S2779" i="2"/>
  <c r="T2779" i="2" s="1"/>
  <c r="S2783" i="2"/>
  <c r="T2783" i="2" s="1"/>
  <c r="S2786" i="2"/>
  <c r="T2786" i="2" s="1"/>
  <c r="S2787" i="2"/>
  <c r="T2787" i="2" s="1"/>
  <c r="S2790" i="2"/>
  <c r="T2790" i="2" s="1"/>
  <c r="S2800" i="2"/>
  <c r="T2800" i="2" s="1"/>
  <c r="S2802" i="2"/>
  <c r="T2802" i="2" s="1"/>
  <c r="S2805" i="2"/>
  <c r="T2805" i="2" s="1"/>
  <c r="S2807" i="2"/>
  <c r="T2807" i="2" s="1"/>
  <c r="S2811" i="2"/>
  <c r="T2811" i="2" s="1"/>
  <c r="S2812" i="2"/>
  <c r="T2812" i="2" s="1"/>
  <c r="S2820" i="2"/>
  <c r="T2820" i="2" s="1"/>
  <c r="S2822" i="2"/>
  <c r="T2822" i="2" s="1"/>
  <c r="S2823" i="2"/>
  <c r="T2823" i="2" s="1"/>
  <c r="S2827" i="2"/>
  <c r="T2827" i="2" s="1"/>
  <c r="S2835" i="2"/>
  <c r="T2835" i="2" s="1"/>
  <c r="S2836" i="2"/>
  <c r="T2836" i="2" s="1"/>
  <c r="S2839" i="2"/>
  <c r="T2839" i="2" s="1"/>
  <c r="S2840" i="2"/>
  <c r="T2840" i="2" s="1"/>
  <c r="S2843" i="2"/>
  <c r="T2843" i="2" s="1"/>
  <c r="S2847" i="2"/>
  <c r="T2847" i="2" s="1"/>
  <c r="S2851" i="2"/>
  <c r="T2851" i="2" s="1"/>
  <c r="S2858" i="2"/>
  <c r="T2858" i="2" s="1"/>
  <c r="S2860" i="2"/>
  <c r="T2860" i="2" s="1"/>
  <c r="S2862" i="2"/>
  <c r="T2862" i="2" s="1"/>
  <c r="S2863" i="2"/>
  <c r="T2863" i="2" s="1"/>
  <c r="S2864" i="2"/>
  <c r="T2864" i="2" s="1"/>
  <c r="S2866" i="2"/>
  <c r="T2866" i="2" s="1"/>
  <c r="S2868" i="2"/>
  <c r="T2868" i="2" s="1"/>
  <c r="S2872" i="2"/>
  <c r="T2872" i="2" s="1"/>
  <c r="S2874" i="2"/>
  <c r="T2874" i="2" s="1"/>
  <c r="S2875" i="2"/>
  <c r="T2875" i="2" s="1"/>
  <c r="S2876" i="2"/>
  <c r="T2876" i="2" s="1"/>
  <c r="S2877" i="2"/>
  <c r="T2877" i="2" s="1"/>
  <c r="S2878" i="2"/>
  <c r="T2878" i="2" s="1"/>
  <c r="S2883" i="2"/>
  <c r="T2883" i="2" s="1"/>
  <c r="S2887" i="2"/>
  <c r="T2887" i="2" s="1"/>
  <c r="S2891" i="2"/>
  <c r="T2891" i="2" s="1"/>
  <c r="S2894" i="2"/>
  <c r="T2894" i="2" s="1"/>
  <c r="S2899" i="2"/>
  <c r="T2899" i="2" s="1"/>
  <c r="S2900" i="2"/>
  <c r="T2900" i="2" s="1"/>
  <c r="S2901" i="2"/>
  <c r="T2901" i="2" s="1"/>
  <c r="S2902" i="2"/>
  <c r="T2902" i="2" s="1"/>
  <c r="S2903" i="2"/>
  <c r="T2903" i="2" s="1"/>
  <c r="S2908" i="2"/>
  <c r="T2908" i="2" s="1"/>
  <c r="S2910" i="2"/>
  <c r="T2910" i="2" s="1"/>
  <c r="S2911" i="2"/>
  <c r="T2911" i="2" s="1"/>
  <c r="S2912" i="2"/>
  <c r="T2912" i="2" s="1"/>
  <c r="S2914" i="2"/>
  <c r="T2914" i="2" s="1"/>
  <c r="S2920" i="2"/>
  <c r="T2920" i="2" s="1"/>
  <c r="S2926" i="2"/>
  <c r="T2926" i="2" s="1"/>
  <c r="S2927" i="2"/>
  <c r="T2927" i="2" s="1"/>
  <c r="S2931" i="2"/>
  <c r="T2931" i="2" s="1"/>
  <c r="S2932" i="2"/>
  <c r="T2932" i="2" s="1"/>
  <c r="S2938" i="2"/>
  <c r="T2938" i="2" s="1"/>
  <c r="S2945" i="2"/>
  <c r="T2945" i="2" s="1"/>
  <c r="S2948" i="2"/>
  <c r="T2948" i="2" s="1"/>
  <c r="S2951" i="2"/>
  <c r="T2951" i="2" s="1"/>
  <c r="S2952" i="2"/>
  <c r="T2952" i="2" s="1"/>
  <c r="S2955" i="2"/>
  <c r="T2955" i="2" s="1"/>
  <c r="S2956" i="2"/>
  <c r="T2956" i="2" s="1"/>
  <c r="S2963" i="2"/>
  <c r="T2963" i="2" s="1"/>
  <c r="S2967" i="2"/>
  <c r="T2967" i="2" s="1"/>
  <c r="S2975" i="2"/>
  <c r="T2975" i="2" s="1"/>
  <c r="S2983" i="2"/>
  <c r="T2983" i="2" s="1"/>
  <c r="S2991" i="2"/>
  <c r="T2991" i="2" s="1"/>
  <c r="S2995" i="2"/>
  <c r="T2995" i="2" s="1"/>
  <c r="S3001" i="2"/>
  <c r="T3001" i="2" s="1"/>
  <c r="S3003" i="2"/>
  <c r="T3003" i="2" s="1"/>
  <c r="S3013" i="2"/>
  <c r="T3013" i="2" s="1"/>
  <c r="S3017" i="2"/>
  <c r="T3017" i="2" s="1"/>
  <c r="S3020" i="2"/>
  <c r="T3020" i="2" s="1"/>
  <c r="S3023" i="2"/>
  <c r="T3023" i="2" s="1"/>
  <c r="S3024" i="2"/>
  <c r="T3024" i="2" s="1"/>
  <c r="S3030" i="2"/>
  <c r="T3030" i="2" s="1"/>
  <c r="S3047" i="2"/>
  <c r="T3047" i="2" s="1"/>
  <c r="S3048" i="2"/>
  <c r="T3048" i="2" s="1"/>
  <c r="S3055" i="2"/>
  <c r="T3055" i="2" s="1"/>
  <c r="S3056" i="2"/>
  <c r="T3056" i="2" s="1"/>
  <c r="S3059" i="2"/>
  <c r="T3059" i="2" s="1"/>
  <c r="S3068" i="2"/>
  <c r="T3068" i="2" s="1"/>
  <c r="S3075" i="2"/>
  <c r="T3075" i="2" s="1"/>
  <c r="S3083" i="2"/>
  <c r="T3083" i="2" s="1"/>
  <c r="S3084" i="2"/>
  <c r="T3084" i="2" s="1"/>
  <c r="S3095" i="2"/>
  <c r="T3095" i="2" s="1"/>
  <c r="S3103" i="2"/>
  <c r="T3103" i="2" s="1"/>
  <c r="S3111" i="2"/>
  <c r="T3111" i="2" s="1"/>
  <c r="S3115" i="2"/>
  <c r="T3115" i="2" s="1"/>
  <c r="S3116" i="2"/>
  <c r="T3116" i="2" s="1"/>
  <c r="S3119" i="2"/>
  <c r="T3119" i="2" s="1"/>
  <c r="S3122" i="2"/>
  <c r="T3122" i="2" s="1"/>
  <c r="S3135" i="2"/>
  <c r="T3135" i="2" s="1"/>
  <c r="S3148" i="2"/>
  <c r="T3148" i="2" s="1"/>
  <c r="S3151" i="2"/>
  <c r="T3151" i="2" s="1"/>
  <c r="S3159" i="2"/>
  <c r="T3159" i="2" s="1"/>
  <c r="S3195" i="2"/>
  <c r="T3195" i="2" s="1"/>
  <c r="S3204" i="2"/>
  <c r="T3204" i="2" s="1"/>
  <c r="S3247" i="2"/>
  <c r="T3247" i="2" s="1"/>
  <c r="U2589" i="2"/>
  <c r="U2592" i="2"/>
  <c r="U2595" i="2"/>
  <c r="U2596" i="2"/>
  <c r="U2597" i="2"/>
  <c r="U2600" i="2"/>
  <c r="U2601" i="2"/>
  <c r="U2604" i="2"/>
  <c r="U2606" i="2"/>
  <c r="U2608" i="2"/>
  <c r="U2609" i="2"/>
  <c r="U2612" i="2"/>
  <c r="U2613" i="2"/>
  <c r="U2616" i="2"/>
  <c r="U2618" i="2"/>
  <c r="U2619" i="2"/>
  <c r="U2624" i="2"/>
  <c r="U2627" i="2"/>
  <c r="U2630" i="2"/>
  <c r="U2632" i="2"/>
  <c r="U2634" i="2"/>
  <c r="U2635" i="2"/>
  <c r="U2636" i="2"/>
  <c r="U2642" i="2"/>
  <c r="U2643" i="2"/>
  <c r="U2644" i="2"/>
  <c r="U2648" i="2"/>
  <c r="U2651" i="2"/>
  <c r="U2656" i="2"/>
  <c r="U2657" i="2"/>
  <c r="U2658" i="2"/>
  <c r="U2659" i="2"/>
  <c r="U2660" i="2"/>
  <c r="U2663" i="2"/>
  <c r="U2667" i="2"/>
  <c r="U2668" i="2"/>
  <c r="U2670" i="2"/>
  <c r="U2671" i="2"/>
  <c r="U2674" i="2"/>
  <c r="U2675" i="2"/>
  <c r="U2678" i="2"/>
  <c r="U2679" i="2"/>
  <c r="U2682" i="2"/>
  <c r="U2687" i="2"/>
  <c r="U2692" i="2"/>
  <c r="U2694" i="2"/>
  <c r="U2698" i="2"/>
  <c r="U2699" i="2"/>
  <c r="U2700" i="2"/>
  <c r="U2710" i="2"/>
  <c r="U2712" i="2"/>
  <c r="U2716" i="2"/>
  <c r="U2718" i="2"/>
  <c r="U2723" i="2"/>
  <c r="U2726" i="2"/>
  <c r="U2727" i="2"/>
  <c r="U2734" i="2"/>
  <c r="U2735" i="2"/>
  <c r="U2736" i="2"/>
  <c r="U2739" i="2"/>
  <c r="U2740" i="2"/>
  <c r="U2742" i="2"/>
  <c r="U2743" i="2"/>
  <c r="U2747" i="2"/>
  <c r="U2748" i="2"/>
  <c r="U2750" i="2"/>
  <c r="U2754" i="2"/>
  <c r="U2755" i="2"/>
  <c r="U2756" i="2"/>
  <c r="U2760" i="2"/>
  <c r="U2768" i="2"/>
  <c r="U2775" i="2"/>
  <c r="U2779" i="2"/>
  <c r="U2783" i="2"/>
  <c r="U2787" i="2"/>
  <c r="U2796" i="2"/>
  <c r="U2798" i="2"/>
  <c r="U2800" i="2"/>
  <c r="U2802" i="2"/>
  <c r="U2805" i="2"/>
  <c r="U2806" i="2"/>
  <c r="U2811" i="2"/>
  <c r="U2812" i="2"/>
  <c r="U2815" i="2"/>
  <c r="U2818" i="2"/>
  <c r="U2819" i="2"/>
  <c r="U2820" i="2"/>
  <c r="U2823" i="2"/>
  <c r="U2826" i="2"/>
  <c r="U2827" i="2"/>
  <c r="U2836" i="2"/>
  <c r="U2842" i="2"/>
  <c r="U2843" i="2"/>
  <c r="U2844" i="2"/>
  <c r="U2848" i="2"/>
  <c r="U2851" i="2"/>
  <c r="U2854" i="2"/>
  <c r="U2858" i="2"/>
  <c r="U2861" i="2"/>
  <c r="U2862" i="2"/>
  <c r="U2863" i="2"/>
  <c r="U2864" i="2"/>
  <c r="U2868" i="2"/>
  <c r="U2870" i="2"/>
  <c r="U2871" i="2"/>
  <c r="U2872" i="2"/>
  <c r="U2876" i="2"/>
  <c r="U2877" i="2"/>
  <c r="U2878" i="2"/>
  <c r="U2879" i="2"/>
  <c r="U2880" i="2"/>
  <c r="U2882" i="2"/>
  <c r="U2883" i="2"/>
  <c r="U2887" i="2"/>
  <c r="U2888" i="2"/>
  <c r="U2891" i="2"/>
  <c r="U2892" i="2"/>
  <c r="U2894" i="2"/>
  <c r="U2898" i="2"/>
  <c r="U2899" i="2"/>
  <c r="U2900" i="2"/>
  <c r="U2902" i="2"/>
  <c r="U2903" i="2"/>
  <c r="U2906" i="2"/>
  <c r="U2911" i="2"/>
  <c r="U2912" i="2"/>
  <c r="U2914" i="2"/>
  <c r="U2920" i="2"/>
  <c r="U2922" i="2"/>
  <c r="U2925" i="2"/>
  <c r="U2931" i="2"/>
  <c r="U2932" i="2"/>
  <c r="U2942" i="2"/>
  <c r="U2944" i="2"/>
  <c r="U2948" i="2"/>
  <c r="U2950" i="2"/>
  <c r="U2954" i="2"/>
  <c r="U2956" i="2"/>
  <c r="U2962" i="2"/>
  <c r="U2963" i="2"/>
  <c r="U2967" i="2"/>
  <c r="U2974" i="2"/>
  <c r="U2978" i="2"/>
  <c r="U2980" i="2"/>
  <c r="U2986" i="2"/>
  <c r="U2988" i="2"/>
  <c r="U2990" i="2"/>
  <c r="U2991" i="2"/>
  <c r="U2992" i="2"/>
  <c r="U2994" i="2"/>
  <c r="U2995" i="2"/>
  <c r="U2999" i="2"/>
  <c r="U3000" i="2"/>
  <c r="U3002" i="2"/>
  <c r="U3003" i="2"/>
  <c r="U3014" i="2"/>
  <c r="U3024" i="2"/>
  <c r="U3028" i="2"/>
  <c r="U3030" i="2"/>
  <c r="U3035" i="2"/>
  <c r="U3040" i="2"/>
  <c r="U3047" i="2"/>
  <c r="U3048" i="2"/>
  <c r="U3051" i="2"/>
  <c r="U3055" i="2"/>
  <c r="U3056" i="2"/>
  <c r="U3064" i="2"/>
  <c r="U3067" i="2"/>
  <c r="U3068" i="2"/>
  <c r="U3075" i="2"/>
  <c r="U3080" i="2"/>
  <c r="U3081" i="2"/>
  <c r="U3083" i="2"/>
  <c r="U3084" i="2"/>
  <c r="U3091" i="2"/>
  <c r="U3092" i="2"/>
  <c r="U3095" i="2"/>
  <c r="U3096" i="2"/>
  <c r="U3103" i="2"/>
  <c r="U3108" i="2"/>
  <c r="U3111" i="2"/>
  <c r="U3112" i="2"/>
  <c r="U3115" i="2"/>
  <c r="U3116" i="2"/>
  <c r="U3119" i="2"/>
  <c r="U3122" i="2"/>
  <c r="U3124" i="2"/>
  <c r="U3136" i="2"/>
  <c r="U3138" i="2"/>
  <c r="U3139" i="2"/>
  <c r="U3148" i="2"/>
  <c r="U3151" i="2"/>
  <c r="U3155" i="2"/>
  <c r="U3163" i="2"/>
  <c r="U3171" i="2"/>
  <c r="U3199" i="2"/>
  <c r="U3208" i="2"/>
  <c r="U3217" i="2"/>
  <c r="U3218" i="2"/>
  <c r="U3232" i="2"/>
  <c r="U3244" i="2"/>
  <c r="U3289" i="2"/>
  <c r="U3307" i="2"/>
  <c r="U3313" i="2"/>
  <c r="U3331" i="2"/>
  <c r="U3361" i="2"/>
  <c r="U3375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E2587" i="2"/>
  <c r="G2587" i="2"/>
  <c r="H2587" i="2" s="1"/>
  <c r="N2587" i="2"/>
  <c r="W2587" i="2"/>
  <c r="E2586" i="2"/>
  <c r="G2586" i="2"/>
  <c r="H2586" i="2" s="1"/>
  <c r="N2586" i="2"/>
  <c r="W2586" i="2"/>
  <c r="E2585" i="2"/>
  <c r="G2585" i="2"/>
  <c r="H2585" i="2" s="1"/>
  <c r="N2585" i="2"/>
  <c r="W2585" i="2"/>
  <c r="E2584" i="2"/>
  <c r="G2584" i="2"/>
  <c r="H2584" i="2" s="1"/>
  <c r="N2584" i="2"/>
  <c r="W2584" i="2"/>
  <c r="E2583" i="2"/>
  <c r="G2583" i="2"/>
  <c r="H2583" i="2" s="1"/>
  <c r="N2583" i="2"/>
  <c r="W2583" i="2"/>
  <c r="U3186" i="2" l="1"/>
  <c r="U3162" i="2"/>
  <c r="U3150" i="2"/>
  <c r="U3106" i="2"/>
  <c r="U3010" i="2"/>
  <c r="U2982" i="2"/>
  <c r="U2970" i="2"/>
  <c r="U2958" i="2"/>
  <c r="U2918" i="2"/>
  <c r="U2910" i="2"/>
  <c r="U2886" i="2"/>
  <c r="U2874" i="2"/>
  <c r="U2838" i="2"/>
  <c r="S3190" i="2"/>
  <c r="T3190" i="2" s="1"/>
  <c r="S3082" i="2"/>
  <c r="T3082" i="2" s="1"/>
  <c r="S3062" i="2"/>
  <c r="T3062" i="2" s="1"/>
  <c r="S2998" i="2"/>
  <c r="T2998" i="2" s="1"/>
  <c r="S2962" i="2"/>
  <c r="T2962" i="2" s="1"/>
  <c r="S2942" i="2"/>
  <c r="T2942" i="2" s="1"/>
  <c r="S2906" i="2"/>
  <c r="T2906" i="2" s="1"/>
  <c r="S2870" i="2"/>
  <c r="T2870" i="2" s="1"/>
  <c r="S2854" i="2"/>
  <c r="T2854" i="2" s="1"/>
  <c r="S2842" i="2"/>
  <c r="T2842" i="2" s="1"/>
  <c r="S2806" i="2"/>
  <c r="T2806" i="2" s="1"/>
  <c r="S2798" i="2"/>
  <c r="T2798" i="2" s="1"/>
  <c r="R3134" i="2"/>
  <c r="R3058" i="2"/>
  <c r="R3030" i="2"/>
  <c r="R2958" i="2"/>
  <c r="R2906" i="2"/>
  <c r="R2898" i="2"/>
  <c r="R2886" i="2"/>
  <c r="R2874" i="2"/>
  <c r="R2858" i="2"/>
  <c r="R2842" i="2"/>
  <c r="R2802" i="2"/>
  <c r="R2774" i="2"/>
  <c r="J3050" i="2"/>
  <c r="J3022" i="2"/>
  <c r="J2962" i="2"/>
  <c r="J2950" i="2"/>
  <c r="J2938" i="2"/>
  <c r="J2902" i="2"/>
  <c r="J2878" i="2"/>
  <c r="J2854" i="2"/>
  <c r="J2842" i="2"/>
  <c r="J2830" i="2"/>
  <c r="J2822" i="2"/>
  <c r="J2802" i="2"/>
  <c r="J2778" i="2"/>
  <c r="J2770" i="2"/>
  <c r="I2970" i="2"/>
  <c r="I2954" i="2"/>
  <c r="I2906" i="2"/>
  <c r="I2874" i="2"/>
  <c r="I2842" i="2"/>
  <c r="I2838" i="2"/>
  <c r="I2822" i="2"/>
  <c r="I2802" i="2"/>
  <c r="U3210" i="2"/>
  <c r="U3174" i="2"/>
  <c r="U3158" i="2"/>
  <c r="U3130" i="2"/>
  <c r="U3118" i="2"/>
  <c r="U3082" i="2"/>
  <c r="U3074" i="2"/>
  <c r="U3062" i="2"/>
  <c r="U3050" i="2"/>
  <c r="S3210" i="2"/>
  <c r="T3210" i="2" s="1"/>
  <c r="S3166" i="2"/>
  <c r="T3166" i="2" s="1"/>
  <c r="S3138" i="2"/>
  <c r="T3138" i="2" s="1"/>
  <c r="S3010" i="2"/>
  <c r="T3010" i="2" s="1"/>
  <c r="S2970" i="2"/>
  <c r="T2970" i="2" s="1"/>
  <c r="S2958" i="2"/>
  <c r="T2958" i="2" s="1"/>
  <c r="R3074" i="2"/>
  <c r="R2990" i="2"/>
  <c r="R2970" i="2"/>
  <c r="R2902" i="2"/>
  <c r="R2894" i="2"/>
  <c r="J3146" i="2"/>
  <c r="J2994" i="2"/>
  <c r="J2958" i="2"/>
  <c r="J2910" i="2"/>
  <c r="J2890" i="2"/>
  <c r="J2882" i="2"/>
  <c r="I2950" i="2"/>
  <c r="I2914" i="2"/>
  <c r="I2830" i="2"/>
  <c r="U3110" i="2"/>
  <c r="U3086" i="2"/>
  <c r="U3022" i="2"/>
  <c r="S3070" i="2"/>
  <c r="T3070" i="2" s="1"/>
  <c r="S3038" i="2"/>
  <c r="T3038" i="2" s="1"/>
  <c r="R3006" i="2"/>
  <c r="R2950" i="2"/>
  <c r="R2910" i="2"/>
  <c r="J3070" i="2"/>
  <c r="J2978" i="2"/>
  <c r="J2942" i="2"/>
  <c r="J2898" i="2"/>
  <c r="I2962" i="2"/>
  <c r="I2898" i="2"/>
  <c r="I2886" i="2"/>
  <c r="I2878" i="2"/>
  <c r="I2870" i="2"/>
  <c r="I2862" i="2"/>
  <c r="I2846" i="2"/>
  <c r="U3286" i="2"/>
  <c r="U3234" i="2"/>
  <c r="U3190" i="2"/>
  <c r="U3166" i="2"/>
  <c r="U3146" i="2"/>
  <c r="U3134" i="2"/>
  <c r="U3114" i="2"/>
  <c r="S3206" i="2"/>
  <c r="T3206" i="2" s="1"/>
  <c r="S3162" i="2"/>
  <c r="T3162" i="2" s="1"/>
  <c r="S3150" i="2"/>
  <c r="T3150" i="2" s="1"/>
  <c r="S3114" i="2"/>
  <c r="T3114" i="2" s="1"/>
  <c r="R3114" i="2"/>
  <c r="R3102" i="2"/>
  <c r="R3086" i="2"/>
  <c r="R3050" i="2"/>
  <c r="J3134" i="2"/>
  <c r="J3110" i="2"/>
  <c r="J3066" i="2"/>
  <c r="U3266" i="2"/>
  <c r="S3254" i="2"/>
  <c r="T3254" i="2" s="1"/>
  <c r="S3178" i="2"/>
  <c r="T3178" i="2" s="1"/>
  <c r="S3134" i="2"/>
  <c r="T3134" i="2" s="1"/>
  <c r="S3118" i="2"/>
  <c r="T3118" i="2" s="1"/>
  <c r="R3098" i="2"/>
  <c r="R3082" i="2"/>
  <c r="U3254" i="2"/>
  <c r="U3222" i="2"/>
  <c r="S3174" i="2"/>
  <c r="T3174" i="2" s="1"/>
  <c r="S3158" i="2"/>
  <c r="T3158" i="2" s="1"/>
  <c r="S3146" i="2"/>
  <c r="T3146" i="2" s="1"/>
  <c r="S3130" i="2"/>
  <c r="T3130" i="2" s="1"/>
  <c r="S3110" i="2"/>
  <c r="T3110" i="2" s="1"/>
  <c r="R3118" i="2"/>
  <c r="J3118" i="2"/>
  <c r="I3118" i="2"/>
  <c r="U3315" i="2"/>
  <c r="U3305" i="2"/>
  <c r="U3282" i="2"/>
  <c r="U3250" i="2"/>
  <c r="S3289" i="2"/>
  <c r="T3289" i="2" s="1"/>
  <c r="S3242" i="2"/>
  <c r="T3242" i="2" s="1"/>
  <c r="U3314" i="2"/>
  <c r="U3297" i="2"/>
  <c r="U3274" i="2"/>
  <c r="S3270" i="2"/>
  <c r="T3270" i="2" s="1"/>
  <c r="S3222" i="2"/>
  <c r="T3222" i="2" s="1"/>
  <c r="R2683" i="2"/>
  <c r="U3320" i="2"/>
  <c r="U3308" i="2"/>
  <c r="J3204" i="2"/>
  <c r="J3148" i="2"/>
  <c r="S3244" i="2"/>
  <c r="T3244" i="2" s="1"/>
  <c r="R3208" i="2"/>
  <c r="J3444" i="2"/>
  <c r="U3344" i="2"/>
  <c r="U3252" i="2"/>
  <c r="U3240" i="2"/>
  <c r="U3196" i="2"/>
  <c r="U3128" i="2"/>
  <c r="S3256" i="2"/>
  <c r="T3256" i="2" s="1"/>
  <c r="S3128" i="2"/>
  <c r="T3128" i="2" s="1"/>
  <c r="S3096" i="2"/>
  <c r="T3096" i="2" s="1"/>
  <c r="R3252" i="2"/>
  <c r="R3204" i="2"/>
  <c r="R3148" i="2"/>
  <c r="R3092" i="2"/>
  <c r="R3076" i="2"/>
  <c r="R3048" i="2"/>
  <c r="R3028" i="2"/>
  <c r="J3096" i="2"/>
  <c r="J3028" i="2"/>
  <c r="I3068" i="2"/>
  <c r="I3000" i="2"/>
  <c r="H3084" i="2"/>
  <c r="H3012" i="2"/>
  <c r="U3236" i="2"/>
  <c r="S3240" i="2"/>
  <c r="T3240" i="2" s="1"/>
  <c r="S3208" i="2"/>
  <c r="T3208" i="2" s="1"/>
  <c r="R3244" i="2"/>
  <c r="U3340" i="2"/>
  <c r="U3264" i="2"/>
  <c r="J3256" i="2"/>
  <c r="U3276" i="2"/>
  <c r="U3256" i="2"/>
  <c r="U3248" i="2"/>
  <c r="U3204" i="2"/>
  <c r="U3164" i="2"/>
  <c r="U3100" i="2"/>
  <c r="S3272" i="2"/>
  <c r="T3272" i="2" s="1"/>
  <c r="S3236" i="2"/>
  <c r="T3236" i="2" s="1"/>
  <c r="S3164" i="2"/>
  <c r="T3164" i="2" s="1"/>
  <c r="S3156" i="2"/>
  <c r="T3156" i="2" s="1"/>
  <c r="S3132" i="2"/>
  <c r="T3132" i="2" s="1"/>
  <c r="S3120" i="2"/>
  <c r="T3120" i="2" s="1"/>
  <c r="S3108" i="2"/>
  <c r="T3108" i="2" s="1"/>
  <c r="S3092" i="2"/>
  <c r="T3092" i="2" s="1"/>
  <c r="S3080" i="2"/>
  <c r="T3080" i="2" s="1"/>
  <c r="S3064" i="2"/>
  <c r="T3064" i="2" s="1"/>
  <c r="R3224" i="2"/>
  <c r="R3180" i="2"/>
  <c r="R3116" i="2"/>
  <c r="R3096" i="2"/>
  <c r="R3012" i="2"/>
  <c r="R2980" i="2"/>
  <c r="J3224" i="2"/>
  <c r="J3124" i="2"/>
  <c r="J3076" i="2"/>
  <c r="I3152" i="2"/>
  <c r="I3092" i="2"/>
  <c r="I3024" i="2"/>
  <c r="U3365" i="2"/>
  <c r="U3337" i="2"/>
  <c r="S3297" i="2"/>
  <c r="T3297" i="2" s="1"/>
  <c r="U3428" i="2"/>
  <c r="U3400" i="2"/>
  <c r="R3362" i="2"/>
  <c r="U3441" i="2"/>
  <c r="S3315" i="2"/>
  <c r="T3315" i="2" s="1"/>
  <c r="S3395" i="2"/>
  <c r="T3395" i="2" s="1"/>
  <c r="U3403" i="2"/>
  <c r="U3429" i="2"/>
  <c r="U3444" i="2"/>
  <c r="U3275" i="2"/>
  <c r="U3239" i="2"/>
  <c r="U3231" i="2"/>
  <c r="S3359" i="2"/>
  <c r="T3359" i="2" s="1"/>
  <c r="S3307" i="2"/>
  <c r="T3307" i="2" s="1"/>
  <c r="S3287" i="2"/>
  <c r="T3287" i="2" s="1"/>
  <c r="S3191" i="2"/>
  <c r="T3191" i="2" s="1"/>
  <c r="U3411" i="2"/>
  <c r="U3391" i="2"/>
  <c r="U3319" i="2"/>
  <c r="U3295" i="2"/>
  <c r="U3223" i="2"/>
  <c r="U3215" i="2"/>
  <c r="U3191" i="2"/>
  <c r="U3175" i="2"/>
  <c r="S3403" i="2"/>
  <c r="T3403" i="2" s="1"/>
  <c r="S3323" i="2"/>
  <c r="T3323" i="2" s="1"/>
  <c r="S3295" i="2"/>
  <c r="T3295" i="2" s="1"/>
  <c r="S3223" i="2"/>
  <c r="T3223" i="2" s="1"/>
  <c r="S3207" i="2"/>
  <c r="T3207" i="2" s="1"/>
  <c r="S3199" i="2"/>
  <c r="T3199" i="2" s="1"/>
  <c r="S3187" i="2"/>
  <c r="T3187" i="2" s="1"/>
  <c r="S3155" i="2"/>
  <c r="T3155" i="2" s="1"/>
  <c r="R3255" i="2"/>
  <c r="R3227" i="2"/>
  <c r="R3207" i="2"/>
  <c r="R3191" i="2"/>
  <c r="R3163" i="2"/>
  <c r="R3143" i="2"/>
  <c r="U3323" i="2"/>
  <c r="U3187" i="2"/>
  <c r="S3231" i="2"/>
  <c r="T3231" i="2" s="1"/>
  <c r="R3223" i="2"/>
  <c r="R3199" i="2"/>
  <c r="U3287" i="2"/>
  <c r="U3471" i="2"/>
  <c r="U3395" i="2"/>
  <c r="U3363" i="2"/>
  <c r="U3339" i="2"/>
  <c r="U3255" i="2"/>
  <c r="U3227" i="2"/>
  <c r="U3195" i="2"/>
  <c r="U3159" i="2"/>
  <c r="S3331" i="2"/>
  <c r="T3331" i="2" s="1"/>
  <c r="S3275" i="2"/>
  <c r="T3275" i="2" s="1"/>
  <c r="S3255" i="2"/>
  <c r="T3255" i="2" s="1"/>
  <c r="S3227" i="2"/>
  <c r="T3227" i="2" s="1"/>
  <c r="S3203" i="2"/>
  <c r="T3203" i="2" s="1"/>
  <c r="S3175" i="2"/>
  <c r="T3175" i="2" s="1"/>
  <c r="S3163" i="2"/>
  <c r="T3163" i="2" s="1"/>
  <c r="S3127" i="2"/>
  <c r="T3127" i="2" s="1"/>
  <c r="R3235" i="2"/>
  <c r="R3195" i="2"/>
  <c r="R3175" i="2"/>
  <c r="R3147" i="2"/>
  <c r="R3131" i="2"/>
  <c r="U3443" i="2"/>
  <c r="S3431" i="2"/>
  <c r="T3431" i="2" s="1"/>
  <c r="R3408" i="2"/>
  <c r="U3480" i="2"/>
  <c r="U3463" i="2"/>
  <c r="S3367" i="2"/>
  <c r="T3367" i="2" s="1"/>
  <c r="U3327" i="2"/>
  <c r="S3482" i="2"/>
  <c r="T3482" i="2" s="1"/>
  <c r="U3481" i="2"/>
  <c r="S3479" i="2"/>
  <c r="T3479" i="2" s="1"/>
  <c r="U3479" i="2"/>
  <c r="U3477" i="2"/>
  <c r="U3476" i="2"/>
  <c r="U3475" i="2"/>
  <c r="U3473" i="2"/>
  <c r="U3472" i="2"/>
  <c r="S3471" i="2"/>
  <c r="T3471" i="2" s="1"/>
  <c r="U3469" i="2"/>
  <c r="U3468" i="2"/>
  <c r="S3468" i="2"/>
  <c r="T3468" i="2" s="1"/>
  <c r="U3467" i="2"/>
  <c r="S3467" i="2"/>
  <c r="T3467" i="2" s="1"/>
  <c r="U3465" i="2"/>
  <c r="U3464" i="2"/>
  <c r="S3463" i="2"/>
  <c r="T3463" i="2" s="1"/>
  <c r="U3461" i="2"/>
  <c r="U3460" i="2"/>
  <c r="U3459" i="2"/>
  <c r="S3459" i="2"/>
  <c r="T3459" i="2" s="1"/>
  <c r="U3457" i="2"/>
  <c r="U3456" i="2"/>
  <c r="S3455" i="2"/>
  <c r="T3455" i="2" s="1"/>
  <c r="U3455" i="2"/>
  <c r="U3453" i="2"/>
  <c r="U3452" i="2"/>
  <c r="S3452" i="2"/>
  <c r="T3452" i="2" s="1"/>
  <c r="U3451" i="2"/>
  <c r="S3451" i="2"/>
  <c r="T3451" i="2" s="1"/>
  <c r="U3449" i="2"/>
  <c r="U3448" i="2"/>
  <c r="U3447" i="2"/>
  <c r="U3445" i="2"/>
  <c r="S3443" i="2"/>
  <c r="T3443" i="2" s="1"/>
  <c r="U3440" i="2"/>
  <c r="U3439" i="2"/>
  <c r="R3438" i="2"/>
  <c r="U3437" i="2"/>
  <c r="R3437" i="2"/>
  <c r="U3436" i="2"/>
  <c r="S3436" i="2"/>
  <c r="T3436" i="2" s="1"/>
  <c r="U3435" i="2"/>
  <c r="S3435" i="2"/>
  <c r="T3435" i="2" s="1"/>
  <c r="U3433" i="2"/>
  <c r="U3432" i="2"/>
  <c r="U3431" i="2"/>
  <c r="R3428" i="2"/>
  <c r="U3427" i="2"/>
  <c r="S3427" i="2"/>
  <c r="T3427" i="2" s="1"/>
  <c r="U3425" i="2"/>
  <c r="U3424" i="2"/>
  <c r="U3423" i="2"/>
  <c r="S3423" i="2"/>
  <c r="T3423" i="2" s="1"/>
  <c r="U3421" i="2"/>
  <c r="U3420" i="2"/>
  <c r="S3420" i="2"/>
  <c r="T3420" i="2" s="1"/>
  <c r="U3419" i="2"/>
  <c r="S3418" i="2"/>
  <c r="T3418" i="2" s="1"/>
  <c r="U3417" i="2"/>
  <c r="U3416" i="2"/>
  <c r="U3415" i="2"/>
  <c r="S3415" i="2"/>
  <c r="T3415" i="2" s="1"/>
  <c r="U3413" i="2"/>
  <c r="U3412" i="2"/>
  <c r="U3409" i="2"/>
  <c r="U3408" i="2"/>
  <c r="U3407" i="2"/>
  <c r="S3407" i="2"/>
  <c r="T3407" i="2" s="1"/>
  <c r="U3404" i="2"/>
  <c r="S3404" i="2"/>
  <c r="T3404" i="2" s="1"/>
  <c r="U3405" i="2"/>
  <c r="R3405" i="2"/>
  <c r="U3401" i="2"/>
  <c r="U3399" i="2"/>
  <c r="S3399" i="2"/>
  <c r="T3399" i="2" s="1"/>
  <c r="U3397" i="2"/>
  <c r="U3396" i="2"/>
  <c r="J3394" i="2"/>
  <c r="U3393" i="2"/>
  <c r="U3392" i="2"/>
  <c r="S3391" i="2"/>
  <c r="T3391" i="2" s="1"/>
  <c r="U3389" i="2"/>
  <c r="U3388" i="2"/>
  <c r="S3388" i="2"/>
  <c r="T3388" i="2" s="1"/>
  <c r="J3388" i="2"/>
  <c r="S3387" i="2"/>
  <c r="T3387" i="2" s="1"/>
  <c r="U3387" i="2"/>
  <c r="U3385" i="2"/>
  <c r="U3384" i="2"/>
  <c r="U3383" i="2"/>
  <c r="R3381" i="2"/>
  <c r="U3381" i="2"/>
  <c r="U3380" i="2"/>
  <c r="U3379" i="2"/>
  <c r="U3377" i="2"/>
  <c r="U3376" i="2"/>
  <c r="U3373" i="2"/>
  <c r="R3373" i="2"/>
  <c r="U3372" i="2"/>
  <c r="S3372" i="2"/>
  <c r="T3372" i="2" s="1"/>
  <c r="S3371" i="2"/>
  <c r="T3371" i="2" s="1"/>
  <c r="U3371" i="2"/>
  <c r="U3369" i="2"/>
  <c r="U3368" i="2"/>
  <c r="S3366" i="2"/>
  <c r="T3366" i="2" s="1"/>
  <c r="U3364" i="2"/>
  <c r="S3363" i="2"/>
  <c r="T3363" i="2" s="1"/>
  <c r="U3360" i="2"/>
  <c r="U3359" i="2"/>
  <c r="U3357" i="2"/>
  <c r="S3356" i="2"/>
  <c r="T3356" i="2" s="1"/>
  <c r="U3356" i="2"/>
  <c r="U3355" i="2"/>
  <c r="S3354" i="2"/>
  <c r="T3354" i="2" s="1"/>
  <c r="U3353" i="2"/>
  <c r="U3352" i="2"/>
  <c r="U3351" i="2"/>
  <c r="U3349" i="2"/>
  <c r="U3348" i="2"/>
  <c r="U3347" i="2"/>
  <c r="U3345" i="2"/>
  <c r="U3343" i="2"/>
  <c r="R3343" i="2"/>
  <c r="S3343" i="2"/>
  <c r="T3343" i="2" s="1"/>
  <c r="R3341" i="2"/>
  <c r="U3341" i="2"/>
  <c r="S3340" i="2"/>
  <c r="T3340" i="2" s="1"/>
  <c r="S3339" i="2"/>
  <c r="T3339" i="2" s="1"/>
  <c r="U3336" i="2"/>
  <c r="S3335" i="2"/>
  <c r="T3335" i="2" s="1"/>
  <c r="U3333" i="2"/>
  <c r="U3332" i="2"/>
  <c r="U3329" i="2"/>
  <c r="U3328" i="2"/>
  <c r="S3327" i="2"/>
  <c r="T3327" i="2" s="1"/>
  <c r="R3325" i="2"/>
  <c r="U3325" i="2"/>
  <c r="S3324" i="2"/>
  <c r="T3324" i="2" s="1"/>
  <c r="U3324" i="2"/>
  <c r="R3322" i="2"/>
  <c r="S3458" i="2"/>
  <c r="T3458" i="2" s="1"/>
  <c r="S3446" i="2"/>
  <c r="T3446" i="2" s="1"/>
  <c r="S3394" i="2"/>
  <c r="T3394" i="2" s="1"/>
  <c r="S3382" i="2"/>
  <c r="T3382" i="2" s="1"/>
  <c r="S3330" i="2"/>
  <c r="T3330" i="2" s="1"/>
  <c r="S3282" i="2"/>
  <c r="T3282" i="2" s="1"/>
  <c r="J3446" i="2"/>
  <c r="I3438" i="2"/>
  <c r="H3406" i="2"/>
  <c r="U3482" i="2"/>
  <c r="U3478" i="2"/>
  <c r="U3474" i="2"/>
  <c r="U3470" i="2"/>
  <c r="U3466" i="2"/>
  <c r="U3462" i="2"/>
  <c r="U3458" i="2"/>
  <c r="U3454" i="2"/>
  <c r="U3450" i="2"/>
  <c r="U3446" i="2"/>
  <c r="U3442" i="2"/>
  <c r="U3438" i="2"/>
  <c r="U3434" i="2"/>
  <c r="U3430" i="2"/>
  <c r="U3426" i="2"/>
  <c r="U3422" i="2"/>
  <c r="U3418" i="2"/>
  <c r="U3414" i="2"/>
  <c r="U3410" i="2"/>
  <c r="U3406" i="2"/>
  <c r="U3402" i="2"/>
  <c r="U3398" i="2"/>
  <c r="U3394" i="2"/>
  <c r="U3390" i="2"/>
  <c r="U3386" i="2"/>
  <c r="U3382" i="2"/>
  <c r="U3378" i="2"/>
  <c r="U3374" i="2"/>
  <c r="U3370" i="2"/>
  <c r="U3366" i="2"/>
  <c r="U3362" i="2"/>
  <c r="U3358" i="2"/>
  <c r="U3354" i="2"/>
  <c r="U3350" i="2"/>
  <c r="U3346" i="2"/>
  <c r="U3342" i="2"/>
  <c r="U3338" i="2"/>
  <c r="U3334" i="2"/>
  <c r="U3330" i="2"/>
  <c r="U3326" i="2"/>
  <c r="U3322" i="2"/>
  <c r="S3474" i="2"/>
  <c r="T3474" i="2" s="1"/>
  <c r="S3466" i="2"/>
  <c r="T3466" i="2" s="1"/>
  <c r="S3422" i="2"/>
  <c r="T3422" i="2" s="1"/>
  <c r="S3410" i="2"/>
  <c r="T3410" i="2" s="1"/>
  <c r="S3402" i="2"/>
  <c r="T3402" i="2" s="1"/>
  <c r="S3358" i="2"/>
  <c r="T3358" i="2" s="1"/>
  <c r="S3346" i="2"/>
  <c r="T3346" i="2" s="1"/>
  <c r="S3338" i="2"/>
  <c r="T3338" i="2" s="1"/>
  <c r="S3314" i="2"/>
  <c r="T3314" i="2" s="1"/>
  <c r="S3290" i="2"/>
  <c r="T3290" i="2" s="1"/>
  <c r="S3278" i="2"/>
  <c r="T3278" i="2" s="1"/>
  <c r="J3374" i="2"/>
  <c r="I3334" i="2"/>
  <c r="S3438" i="2"/>
  <c r="T3438" i="2" s="1"/>
  <c r="S3430" i="2"/>
  <c r="T3430" i="2" s="1"/>
  <c r="S3374" i="2"/>
  <c r="T3374" i="2" s="1"/>
  <c r="R3466" i="2"/>
  <c r="R3426" i="2"/>
  <c r="J3418" i="2"/>
  <c r="J3342" i="2"/>
  <c r="S3478" i="2"/>
  <c r="T3478" i="2" s="1"/>
  <c r="S3470" i="2"/>
  <c r="T3470" i="2" s="1"/>
  <c r="S3450" i="2"/>
  <c r="T3450" i="2" s="1"/>
  <c r="S3442" i="2"/>
  <c r="T3442" i="2" s="1"/>
  <c r="S3414" i="2"/>
  <c r="T3414" i="2" s="1"/>
  <c r="S3406" i="2"/>
  <c r="T3406" i="2" s="1"/>
  <c r="S3386" i="2"/>
  <c r="T3386" i="2" s="1"/>
  <c r="S3378" i="2"/>
  <c r="T3378" i="2" s="1"/>
  <c r="S3350" i="2"/>
  <c r="T3350" i="2" s="1"/>
  <c r="S3342" i="2"/>
  <c r="T3342" i="2" s="1"/>
  <c r="S3322" i="2"/>
  <c r="T3322" i="2" s="1"/>
  <c r="S3246" i="2"/>
  <c r="T3246" i="2" s="1"/>
  <c r="R3458" i="2"/>
  <c r="R3418" i="2"/>
  <c r="R3398" i="2"/>
  <c r="R3374" i="2"/>
  <c r="R3350" i="2"/>
  <c r="R3338" i="2"/>
  <c r="R3314" i="2"/>
  <c r="J3410" i="2"/>
  <c r="J3366" i="2"/>
  <c r="J3334" i="2"/>
  <c r="J3314" i="2"/>
  <c r="I3422" i="2"/>
  <c r="I3250" i="2"/>
  <c r="H3334" i="2"/>
  <c r="U3278" i="2"/>
  <c r="U3270" i="2"/>
  <c r="S3475" i="2"/>
  <c r="T3475" i="2" s="1"/>
  <c r="S3462" i="2"/>
  <c r="T3462" i="2" s="1"/>
  <c r="S3454" i="2"/>
  <c r="T3454" i="2" s="1"/>
  <c r="S3447" i="2"/>
  <c r="T3447" i="2" s="1"/>
  <c r="S3439" i="2"/>
  <c r="T3439" i="2" s="1"/>
  <c r="S3434" i="2"/>
  <c r="T3434" i="2" s="1"/>
  <c r="S3426" i="2"/>
  <c r="T3426" i="2" s="1"/>
  <c r="S3419" i="2"/>
  <c r="T3419" i="2" s="1"/>
  <c r="S3411" i="2"/>
  <c r="T3411" i="2" s="1"/>
  <c r="S3398" i="2"/>
  <c r="T3398" i="2" s="1"/>
  <c r="S3390" i="2"/>
  <c r="T3390" i="2" s="1"/>
  <c r="S3383" i="2"/>
  <c r="T3383" i="2" s="1"/>
  <c r="S3375" i="2"/>
  <c r="T3375" i="2" s="1"/>
  <c r="S3370" i="2"/>
  <c r="T3370" i="2" s="1"/>
  <c r="S3362" i="2"/>
  <c r="T3362" i="2" s="1"/>
  <c r="S3355" i="2"/>
  <c r="T3355" i="2" s="1"/>
  <c r="S3334" i="2"/>
  <c r="T3334" i="2" s="1"/>
  <c r="S3326" i="2"/>
  <c r="T3326" i="2" s="1"/>
  <c r="S3274" i="2"/>
  <c r="T3274" i="2" s="1"/>
  <c r="R3454" i="2"/>
  <c r="R3430" i="2"/>
  <c r="R3394" i="2"/>
  <c r="R3346" i="2"/>
  <c r="R3330" i="2"/>
  <c r="J3458" i="2"/>
  <c r="J3434" i="2"/>
  <c r="J3406" i="2"/>
  <c r="J3386" i="2"/>
  <c r="J3354" i="2"/>
  <c r="J3330" i="2"/>
  <c r="J3274" i="2"/>
  <c r="I3402" i="2"/>
  <c r="R3474" i="2"/>
  <c r="R3446" i="2"/>
  <c r="R3406" i="2"/>
  <c r="R3386" i="2"/>
  <c r="R3366" i="2"/>
  <c r="J3454" i="2"/>
  <c r="J3422" i="2"/>
  <c r="J3398" i="2"/>
  <c r="J3378" i="2"/>
  <c r="J3346" i="2"/>
  <c r="J3322" i="2"/>
  <c r="I3454" i="2"/>
  <c r="I3346" i="2"/>
  <c r="I3388" i="2"/>
  <c r="R3392" i="2"/>
  <c r="R3476" i="2"/>
  <c r="R3456" i="2"/>
  <c r="R3400" i="2"/>
  <c r="I3464" i="2"/>
  <c r="I3312" i="2"/>
  <c r="R3413" i="2"/>
  <c r="S3480" i="2"/>
  <c r="T3480" i="2" s="1"/>
  <c r="S3464" i="2"/>
  <c r="T3464" i="2" s="1"/>
  <c r="S3448" i="2"/>
  <c r="T3448" i="2" s="1"/>
  <c r="S3432" i="2"/>
  <c r="T3432" i="2" s="1"/>
  <c r="S3416" i="2"/>
  <c r="T3416" i="2" s="1"/>
  <c r="S3400" i="2"/>
  <c r="T3400" i="2" s="1"/>
  <c r="S3384" i="2"/>
  <c r="T3384" i="2" s="1"/>
  <c r="S3368" i="2"/>
  <c r="T3368" i="2" s="1"/>
  <c r="S3336" i="2"/>
  <c r="T3336" i="2" s="1"/>
  <c r="S3320" i="2"/>
  <c r="T3320" i="2" s="1"/>
  <c r="S3308" i="2"/>
  <c r="T3308" i="2" s="1"/>
  <c r="S3296" i="2"/>
  <c r="T3296" i="2" s="1"/>
  <c r="S3264" i="2"/>
  <c r="T3264" i="2" s="1"/>
  <c r="S3252" i="2"/>
  <c r="T3252" i="2" s="1"/>
  <c r="R3480" i="2"/>
  <c r="R3468" i="2"/>
  <c r="R3448" i="2"/>
  <c r="R3420" i="2"/>
  <c r="R3412" i="2"/>
  <c r="R3384" i="2"/>
  <c r="R3220" i="2"/>
  <c r="J3432" i="2"/>
  <c r="J3380" i="2"/>
  <c r="J3348" i="2"/>
  <c r="J3228" i="2"/>
  <c r="I3474" i="2"/>
  <c r="S3472" i="2"/>
  <c r="T3472" i="2" s="1"/>
  <c r="S3440" i="2"/>
  <c r="T3440" i="2" s="1"/>
  <c r="S3424" i="2"/>
  <c r="T3424" i="2" s="1"/>
  <c r="S3408" i="2"/>
  <c r="T3408" i="2" s="1"/>
  <c r="S3392" i="2"/>
  <c r="T3392" i="2" s="1"/>
  <c r="S3376" i="2"/>
  <c r="T3376" i="2" s="1"/>
  <c r="S3344" i="2"/>
  <c r="T3344" i="2" s="1"/>
  <c r="S3300" i="2"/>
  <c r="T3300" i="2" s="1"/>
  <c r="R3444" i="2"/>
  <c r="R3436" i="2"/>
  <c r="R3416" i="2"/>
  <c r="R3388" i="2"/>
  <c r="R3380" i="2"/>
  <c r="R3372" i="2"/>
  <c r="R3268" i="2"/>
  <c r="J3476" i="2"/>
  <c r="J3452" i="2"/>
  <c r="J3436" i="2"/>
  <c r="J3400" i="2"/>
  <c r="J3356" i="2"/>
  <c r="J3244" i="2"/>
  <c r="I3300" i="2"/>
  <c r="S3476" i="2"/>
  <c r="T3476" i="2" s="1"/>
  <c r="S3460" i="2"/>
  <c r="T3460" i="2" s="1"/>
  <c r="S3444" i="2"/>
  <c r="T3444" i="2" s="1"/>
  <c r="S3396" i="2"/>
  <c r="T3396" i="2" s="1"/>
  <c r="S3380" i="2"/>
  <c r="T3380" i="2" s="1"/>
  <c r="S3276" i="2"/>
  <c r="T3276" i="2" s="1"/>
  <c r="R3472" i="2"/>
  <c r="R3460" i="2"/>
  <c r="R3452" i="2"/>
  <c r="R3440" i="2"/>
  <c r="R3432" i="2"/>
  <c r="R3396" i="2"/>
  <c r="R3256" i="2"/>
  <c r="R3240" i="2"/>
  <c r="J3468" i="2"/>
  <c r="J3448" i="2"/>
  <c r="J3372" i="2"/>
  <c r="J3236" i="2"/>
  <c r="I3444" i="2"/>
  <c r="U3321" i="2"/>
  <c r="U3318" i="2"/>
  <c r="S3318" i="2"/>
  <c r="T3318" i="2" s="1"/>
  <c r="H3318" i="2"/>
  <c r="U3317" i="2"/>
  <c r="U3316" i="2"/>
  <c r="S3316" i="2"/>
  <c r="T3316" i="2" s="1"/>
  <c r="S3312" i="2"/>
  <c r="T3312" i="2" s="1"/>
  <c r="U3312" i="2"/>
  <c r="S3311" i="2"/>
  <c r="T3311" i="2" s="1"/>
  <c r="U3311" i="2"/>
  <c r="U3310" i="2"/>
  <c r="S3310" i="2"/>
  <c r="T3310" i="2" s="1"/>
  <c r="U3309" i="2"/>
  <c r="U3306" i="2"/>
  <c r="S3306" i="2"/>
  <c r="T3306" i="2" s="1"/>
  <c r="I3306" i="2"/>
  <c r="R3306" i="2"/>
  <c r="J3306" i="2"/>
  <c r="J3304" i="2"/>
  <c r="U3304" i="2"/>
  <c r="R3333" i="2"/>
  <c r="R3317" i="2"/>
  <c r="J3470" i="2"/>
  <c r="I3450" i="2"/>
  <c r="I3362" i="2"/>
  <c r="I3330" i="2"/>
  <c r="H3430" i="2"/>
  <c r="S3481" i="2"/>
  <c r="T3481" i="2" s="1"/>
  <c r="S3477" i="2"/>
  <c r="T3477" i="2" s="1"/>
  <c r="S3473" i="2"/>
  <c r="T3473" i="2" s="1"/>
  <c r="S3469" i="2"/>
  <c r="T3469" i="2" s="1"/>
  <c r="S3465" i="2"/>
  <c r="T3465" i="2" s="1"/>
  <c r="S3461" i="2"/>
  <c r="T3461" i="2" s="1"/>
  <c r="S3457" i="2"/>
  <c r="T3457" i="2" s="1"/>
  <c r="S3453" i="2"/>
  <c r="T3453" i="2" s="1"/>
  <c r="S3449" i="2"/>
  <c r="T3449" i="2" s="1"/>
  <c r="S3445" i="2"/>
  <c r="T3445" i="2" s="1"/>
  <c r="S3441" i="2"/>
  <c r="T3441" i="2" s="1"/>
  <c r="S3437" i="2"/>
  <c r="T3437" i="2" s="1"/>
  <c r="S3433" i="2"/>
  <c r="T3433" i="2" s="1"/>
  <c r="S3429" i="2"/>
  <c r="T3429" i="2" s="1"/>
  <c r="S3425" i="2"/>
  <c r="T3425" i="2" s="1"/>
  <c r="S3421" i="2"/>
  <c r="T3421" i="2" s="1"/>
  <c r="S3417" i="2"/>
  <c r="T3417" i="2" s="1"/>
  <c r="S3413" i="2"/>
  <c r="T3413" i="2" s="1"/>
  <c r="S3409" i="2"/>
  <c r="T3409" i="2" s="1"/>
  <c r="S3405" i="2"/>
  <c r="T3405" i="2" s="1"/>
  <c r="S3401" i="2"/>
  <c r="T3401" i="2" s="1"/>
  <c r="S3397" i="2"/>
  <c r="T3397" i="2" s="1"/>
  <c r="S3393" i="2"/>
  <c r="T3393" i="2" s="1"/>
  <c r="S3389" i="2"/>
  <c r="T3389" i="2" s="1"/>
  <c r="S3385" i="2"/>
  <c r="T3385" i="2" s="1"/>
  <c r="S3381" i="2"/>
  <c r="T3381" i="2" s="1"/>
  <c r="S3377" i="2"/>
  <c r="T3377" i="2" s="1"/>
  <c r="S3373" i="2"/>
  <c r="T3373" i="2" s="1"/>
  <c r="S3369" i="2"/>
  <c r="T3369" i="2" s="1"/>
  <c r="S3365" i="2"/>
  <c r="T3365" i="2" s="1"/>
  <c r="S3361" i="2"/>
  <c r="T3361" i="2" s="1"/>
  <c r="S3357" i="2"/>
  <c r="T3357" i="2" s="1"/>
  <c r="S3353" i="2"/>
  <c r="T3353" i="2" s="1"/>
  <c r="S3349" i="2"/>
  <c r="T3349" i="2" s="1"/>
  <c r="S3345" i="2"/>
  <c r="T3345" i="2" s="1"/>
  <c r="S3341" i="2"/>
  <c r="T3341" i="2" s="1"/>
  <c r="S3337" i="2"/>
  <c r="T3337" i="2" s="1"/>
  <c r="S3333" i="2"/>
  <c r="T3333" i="2" s="1"/>
  <c r="S3329" i="2"/>
  <c r="T3329" i="2" s="1"/>
  <c r="S3325" i="2"/>
  <c r="T3325" i="2" s="1"/>
  <c r="S3321" i="2"/>
  <c r="T3321" i="2" s="1"/>
  <c r="S3317" i="2"/>
  <c r="T3317" i="2" s="1"/>
  <c r="S3313" i="2"/>
  <c r="T3313" i="2" s="1"/>
  <c r="S3309" i="2"/>
  <c r="T3309" i="2" s="1"/>
  <c r="S3305" i="2"/>
  <c r="T3305" i="2" s="1"/>
  <c r="R3457" i="2"/>
  <c r="R3450" i="2"/>
  <c r="R3442" i="2"/>
  <c r="R3429" i="2"/>
  <c r="R3422" i="2"/>
  <c r="R3410" i="2"/>
  <c r="R3397" i="2"/>
  <c r="R3390" i="2"/>
  <c r="R3378" i="2"/>
  <c r="R3358" i="2"/>
  <c r="R3337" i="2"/>
  <c r="R3329" i="2"/>
  <c r="R3321" i="2"/>
  <c r="R3313" i="2"/>
  <c r="J3482" i="2"/>
  <c r="J3438" i="2"/>
  <c r="J3430" i="2"/>
  <c r="J3402" i="2"/>
  <c r="J3390" i="2"/>
  <c r="J3382" i="2"/>
  <c r="J3362" i="2"/>
  <c r="J3350" i="2"/>
  <c r="J3326" i="2"/>
  <c r="J3318" i="2"/>
  <c r="J3310" i="2"/>
  <c r="J3286" i="2"/>
  <c r="I3470" i="2"/>
  <c r="I3386" i="2"/>
  <c r="I3342" i="2"/>
  <c r="I3318" i="2"/>
  <c r="H3378" i="2"/>
  <c r="R3478" i="2"/>
  <c r="R3469" i="2"/>
  <c r="R3462" i="2"/>
  <c r="R3434" i="2"/>
  <c r="R3421" i="2"/>
  <c r="R3414" i="2"/>
  <c r="R3402" i="2"/>
  <c r="R3389" i="2"/>
  <c r="R3382" i="2"/>
  <c r="R3370" i="2"/>
  <c r="R3354" i="2"/>
  <c r="R3342" i="2"/>
  <c r="R3326" i="2"/>
  <c r="R3310" i="2"/>
  <c r="J3478" i="2"/>
  <c r="J3466" i="2"/>
  <c r="J3426" i="2"/>
  <c r="J3414" i="2"/>
  <c r="J3370" i="2"/>
  <c r="J3358" i="2"/>
  <c r="J3338" i="2"/>
  <c r="I3442" i="2"/>
  <c r="I3370" i="2"/>
  <c r="I3314" i="2"/>
  <c r="H3458" i="2"/>
  <c r="H3358" i="2"/>
  <c r="U3303" i="2"/>
  <c r="S3302" i="2"/>
  <c r="T3302" i="2" s="1"/>
  <c r="U3302" i="2"/>
  <c r="J3302" i="2"/>
  <c r="R3302" i="2"/>
  <c r="I3302" i="2"/>
  <c r="S3301" i="2"/>
  <c r="T3301" i="2" s="1"/>
  <c r="U3301" i="2"/>
  <c r="J3300" i="2"/>
  <c r="U3299" i="2"/>
  <c r="S3299" i="2"/>
  <c r="T3299" i="2" s="1"/>
  <c r="J3298" i="2"/>
  <c r="U3298" i="2"/>
  <c r="H3298" i="2"/>
  <c r="S3298" i="2"/>
  <c r="T3298" i="2" s="1"/>
  <c r="R3298" i="2"/>
  <c r="U3296" i="2"/>
  <c r="S3294" i="2"/>
  <c r="T3294" i="2" s="1"/>
  <c r="I3294" i="2"/>
  <c r="R3294" i="2"/>
  <c r="U3294" i="2"/>
  <c r="J3294" i="2"/>
  <c r="U3293" i="2"/>
  <c r="S3293" i="2"/>
  <c r="T3293" i="2" s="1"/>
  <c r="U3292" i="2"/>
  <c r="S3292" i="2"/>
  <c r="T3292" i="2" s="1"/>
  <c r="J3292" i="2"/>
  <c r="U3291" i="2"/>
  <c r="S3291" i="2"/>
  <c r="T3291" i="2" s="1"/>
  <c r="U3290" i="2"/>
  <c r="U3288" i="2"/>
  <c r="S3288" i="2"/>
  <c r="T3288" i="2" s="1"/>
  <c r="R3288" i="2"/>
  <c r="J3288" i="2"/>
  <c r="S3285" i="2"/>
  <c r="T3285" i="2" s="1"/>
  <c r="S3284" i="2"/>
  <c r="T3284" i="2" s="1"/>
  <c r="R3284" i="2"/>
  <c r="J3284" i="2"/>
  <c r="I3284" i="2"/>
  <c r="U3284" i="2"/>
  <c r="U3283" i="2"/>
  <c r="S3283" i="2"/>
  <c r="T3283" i="2" s="1"/>
  <c r="R3283" i="2"/>
  <c r="U3281" i="2"/>
  <c r="S3281" i="2"/>
  <c r="T3281" i="2" s="1"/>
  <c r="R3281" i="2"/>
  <c r="U3280" i="2"/>
  <c r="J3280" i="2"/>
  <c r="R3280" i="2"/>
  <c r="S3280" i="2"/>
  <c r="T3280" i="2" s="1"/>
  <c r="S3279" i="2"/>
  <c r="T3279" i="2" s="1"/>
  <c r="R3279" i="2"/>
  <c r="U3279" i="2"/>
  <c r="U3277" i="2"/>
  <c r="S3277" i="2"/>
  <c r="T3277" i="2" s="1"/>
  <c r="R3276" i="2"/>
  <c r="H3276" i="2"/>
  <c r="J3276" i="2"/>
  <c r="R3275" i="2"/>
  <c r="S3273" i="2"/>
  <c r="T3273" i="2" s="1"/>
  <c r="U3272" i="2"/>
  <c r="J3272" i="2"/>
  <c r="R3272" i="2"/>
  <c r="U3271" i="2"/>
  <c r="R3271" i="2"/>
  <c r="S3271" i="2"/>
  <c r="T3271" i="2" s="1"/>
  <c r="U3269" i="2"/>
  <c r="S3269" i="2"/>
  <c r="T3269" i="2" s="1"/>
  <c r="U3268" i="2"/>
  <c r="S3268" i="2"/>
  <c r="T3268" i="2" s="1"/>
  <c r="J3268" i="2"/>
  <c r="R3267" i="2"/>
  <c r="S3267" i="2"/>
  <c r="T3267" i="2" s="1"/>
  <c r="U3267" i="2"/>
  <c r="S3266" i="2"/>
  <c r="T3266" i="2" s="1"/>
  <c r="S3265" i="2"/>
  <c r="T3265" i="2" s="1"/>
  <c r="U3265" i="2"/>
  <c r="J3264" i="2"/>
  <c r="R3264" i="2"/>
  <c r="U3263" i="2"/>
  <c r="S3263" i="2"/>
  <c r="T3263" i="2" s="1"/>
  <c r="R3263" i="2"/>
  <c r="U3262" i="2"/>
  <c r="S3262" i="2"/>
  <c r="T3262" i="2" s="1"/>
  <c r="S3261" i="2"/>
  <c r="T3261" i="2" s="1"/>
  <c r="U3261" i="2"/>
  <c r="U3260" i="2"/>
  <c r="R3260" i="2"/>
  <c r="J3260" i="2"/>
  <c r="I3260" i="2"/>
  <c r="S3260" i="2"/>
  <c r="T3260" i="2" s="1"/>
  <c r="U3259" i="2"/>
  <c r="S3259" i="2"/>
  <c r="T3259" i="2" s="1"/>
  <c r="U3258" i="2"/>
  <c r="J3258" i="2"/>
  <c r="S3257" i="2"/>
  <c r="T3257" i="2" s="1"/>
  <c r="S3253" i="2"/>
  <c r="T3253" i="2" s="1"/>
  <c r="U3253" i="2"/>
  <c r="J3252" i="2"/>
  <c r="U3251" i="2"/>
  <c r="S3251" i="2"/>
  <c r="T3251" i="2" s="1"/>
  <c r="S3250" i="2"/>
  <c r="T3250" i="2" s="1"/>
  <c r="R3249" i="2"/>
  <c r="S3249" i="2"/>
  <c r="T3249" i="2" s="1"/>
  <c r="U3249" i="2"/>
  <c r="S3248" i="2"/>
  <c r="T3248" i="2" s="1"/>
  <c r="J3248" i="2"/>
  <c r="R3248" i="2"/>
  <c r="I3248" i="2"/>
  <c r="U3247" i="2"/>
  <c r="R3247" i="2"/>
  <c r="U3246" i="2"/>
  <c r="U3245" i="2"/>
  <c r="S3245" i="2"/>
  <c r="T3245" i="2" s="1"/>
  <c r="I3244" i="2"/>
  <c r="S3243" i="2"/>
  <c r="T3243" i="2" s="1"/>
  <c r="R3243" i="2"/>
  <c r="U3243" i="2"/>
  <c r="U3242" i="2"/>
  <c r="J3242" i="2"/>
  <c r="S3241" i="2"/>
  <c r="T3241" i="2" s="1"/>
  <c r="J3240" i="2"/>
  <c r="R3239" i="2"/>
  <c r="S3239" i="2"/>
  <c r="T3239" i="2" s="1"/>
  <c r="U3238" i="2"/>
  <c r="S3238" i="2"/>
  <c r="T3238" i="2" s="1"/>
  <c r="U3237" i="2"/>
  <c r="S3237" i="2"/>
  <c r="T3237" i="2" s="1"/>
  <c r="R3236" i="2"/>
  <c r="H3236" i="2"/>
  <c r="S3235" i="2"/>
  <c r="T3235" i="2" s="1"/>
  <c r="U3235" i="2"/>
  <c r="U3233" i="2"/>
  <c r="J3232" i="2"/>
  <c r="S3232" i="2"/>
  <c r="T3232" i="2" s="1"/>
  <c r="R3232" i="2"/>
  <c r="J3230" i="2"/>
  <c r="U3230" i="2"/>
  <c r="S3230" i="2"/>
  <c r="T3230" i="2" s="1"/>
  <c r="U3229" i="2"/>
  <c r="S3229" i="2"/>
  <c r="T3229" i="2" s="1"/>
  <c r="U3228" i="2"/>
  <c r="I3228" i="2"/>
  <c r="S3228" i="2"/>
  <c r="T3228" i="2" s="1"/>
  <c r="R3228" i="2"/>
  <c r="S3226" i="2"/>
  <c r="T3226" i="2" s="1"/>
  <c r="U3226" i="2"/>
  <c r="U3225" i="2"/>
  <c r="U3224" i="2"/>
  <c r="S3224" i="2"/>
  <c r="T3224" i="2" s="1"/>
  <c r="S3220" i="2"/>
  <c r="T3220" i="2" s="1"/>
  <c r="U3220" i="2"/>
  <c r="J3220" i="2"/>
  <c r="R3219" i="2"/>
  <c r="S3219" i="2"/>
  <c r="T3219" i="2" s="1"/>
  <c r="U3219" i="2"/>
  <c r="S3218" i="2"/>
  <c r="T3218" i="2" s="1"/>
  <c r="U3216" i="2"/>
  <c r="J3216" i="2"/>
  <c r="S3216" i="2"/>
  <c r="T3216" i="2" s="1"/>
  <c r="R3216" i="2"/>
  <c r="S3215" i="2"/>
  <c r="T3215" i="2" s="1"/>
  <c r="R3215" i="2"/>
  <c r="S3214" i="2"/>
  <c r="T3214" i="2" s="1"/>
  <c r="J3214" i="2"/>
  <c r="U3214" i="2"/>
  <c r="I3212" i="2"/>
  <c r="U3212" i="2"/>
  <c r="S3212" i="2"/>
  <c r="T3212" i="2" s="1"/>
  <c r="R3212" i="2"/>
  <c r="J3212" i="2"/>
  <c r="S3211" i="2"/>
  <c r="T3211" i="2" s="1"/>
  <c r="U3211" i="2"/>
  <c r="J3210" i="2"/>
  <c r="J3208" i="2"/>
  <c r="H3208" i="2"/>
  <c r="U3207" i="2"/>
  <c r="J3206" i="2"/>
  <c r="U3205" i="2"/>
  <c r="U3203" i="2"/>
  <c r="R3203" i="2"/>
  <c r="U3202" i="2"/>
  <c r="S3202" i="2"/>
  <c r="T3202" i="2" s="1"/>
  <c r="R3200" i="2"/>
  <c r="S3200" i="2"/>
  <c r="T3200" i="2" s="1"/>
  <c r="J3200" i="2"/>
  <c r="U3200" i="2"/>
  <c r="U3198" i="2"/>
  <c r="S3198" i="2"/>
  <c r="T3198" i="2" s="1"/>
  <c r="J3198" i="2"/>
  <c r="R3196" i="2"/>
  <c r="J3196" i="2"/>
  <c r="S3196" i="2"/>
  <c r="T3196" i="2" s="1"/>
  <c r="I3196" i="2"/>
  <c r="J3194" i="2"/>
  <c r="U3194" i="2"/>
  <c r="I3194" i="2"/>
  <c r="U3193" i="2"/>
  <c r="U3192" i="2"/>
  <c r="S3192" i="2"/>
  <c r="T3192" i="2" s="1"/>
  <c r="R3192" i="2"/>
  <c r="J3192" i="2"/>
  <c r="H3192" i="2"/>
  <c r="U3189" i="2"/>
  <c r="S3188" i="2"/>
  <c r="T3188" i="2" s="1"/>
  <c r="R3188" i="2"/>
  <c r="U3188" i="2"/>
  <c r="J3188" i="2"/>
  <c r="H3188" i="2"/>
  <c r="U3185" i="2"/>
  <c r="U3184" i="2"/>
  <c r="S3184" i="2"/>
  <c r="T3184" i="2" s="1"/>
  <c r="R3184" i="2"/>
  <c r="J3184" i="2"/>
  <c r="S3183" i="2"/>
  <c r="T3183" i="2" s="1"/>
  <c r="U3183" i="2"/>
  <c r="R3183" i="2"/>
  <c r="J3182" i="2"/>
  <c r="U3182" i="2"/>
  <c r="U3180" i="2"/>
  <c r="I3180" i="2"/>
  <c r="S3180" i="2"/>
  <c r="T3180" i="2" s="1"/>
  <c r="J3180" i="2"/>
  <c r="R3179" i="2"/>
  <c r="S3179" i="2"/>
  <c r="T3179" i="2" s="1"/>
  <c r="U3179" i="2"/>
  <c r="U3178" i="2"/>
  <c r="J3178" i="2"/>
  <c r="U3176" i="2"/>
  <c r="S3176" i="2"/>
  <c r="T3176" i="2" s="1"/>
  <c r="R3176" i="2"/>
  <c r="J3176" i="2"/>
  <c r="U3173" i="2"/>
  <c r="S3172" i="2"/>
  <c r="T3172" i="2" s="1"/>
  <c r="J3172" i="2"/>
  <c r="U3172" i="2"/>
  <c r="R3172" i="2"/>
  <c r="H3172" i="2"/>
  <c r="S3171" i="2"/>
  <c r="T3171" i="2" s="1"/>
  <c r="R3171" i="2"/>
  <c r="S3170" i="2"/>
  <c r="T3170" i="2" s="1"/>
  <c r="U3170" i="2"/>
  <c r="U3169" i="2"/>
  <c r="U3168" i="2"/>
  <c r="S3168" i="2"/>
  <c r="T3168" i="2" s="1"/>
  <c r="I3168" i="2"/>
  <c r="R3168" i="2"/>
  <c r="J3168" i="2"/>
  <c r="R3167" i="2"/>
  <c r="U3167" i="2"/>
  <c r="S3167" i="2"/>
  <c r="T3167" i="2" s="1"/>
  <c r="R3164" i="2"/>
  <c r="J3164" i="2"/>
  <c r="I3164" i="2"/>
  <c r="U3161" i="2"/>
  <c r="S3160" i="2"/>
  <c r="T3160" i="2" s="1"/>
  <c r="R3160" i="2"/>
  <c r="J3160" i="2"/>
  <c r="U3160" i="2"/>
  <c r="U3157" i="2"/>
  <c r="R3156" i="2"/>
  <c r="U3156" i="2"/>
  <c r="J3156" i="2"/>
  <c r="R3155" i="2"/>
  <c r="S3154" i="2"/>
  <c r="T3154" i="2" s="1"/>
  <c r="U3153" i="2"/>
  <c r="R3152" i="2"/>
  <c r="U3152" i="2"/>
  <c r="S3152" i="2"/>
  <c r="T3152" i="2" s="1"/>
  <c r="J3152" i="2"/>
  <c r="R3151" i="2"/>
  <c r="U3147" i="2"/>
  <c r="S3147" i="2"/>
  <c r="T3147" i="2" s="1"/>
  <c r="H3147" i="2"/>
  <c r="S3144" i="2"/>
  <c r="T3144" i="2" s="1"/>
  <c r="U3144" i="2"/>
  <c r="R3144" i="2"/>
  <c r="J3144" i="2"/>
  <c r="S3143" i="2"/>
  <c r="T3143" i="2" s="1"/>
  <c r="U3143" i="2"/>
  <c r="U3142" i="2"/>
  <c r="U3141" i="2"/>
  <c r="U3140" i="2"/>
  <c r="S3140" i="2"/>
  <c r="T3140" i="2" s="1"/>
  <c r="R3140" i="2"/>
  <c r="J3140" i="2"/>
  <c r="S3139" i="2"/>
  <c r="T3139" i="2" s="1"/>
  <c r="R3139" i="2"/>
  <c r="S3136" i="2"/>
  <c r="T3136" i="2" s="1"/>
  <c r="R3136" i="2"/>
  <c r="J3136" i="2"/>
  <c r="U3135" i="2"/>
  <c r="U3132" i="2"/>
  <c r="J3132" i="2"/>
  <c r="R3132" i="2"/>
  <c r="I3132" i="2"/>
  <c r="U3131" i="2"/>
  <c r="S3131" i="2"/>
  <c r="T3131" i="2" s="1"/>
  <c r="R3130" i="2"/>
  <c r="J3130" i="2"/>
  <c r="J3128" i="2"/>
  <c r="R3128" i="2"/>
  <c r="I3128" i="2"/>
  <c r="R3127" i="2"/>
  <c r="U3127" i="2"/>
  <c r="U3126" i="2"/>
  <c r="S3126" i="2"/>
  <c r="T3126" i="2" s="1"/>
  <c r="R3126" i="2"/>
  <c r="S3124" i="2"/>
  <c r="T3124" i="2" s="1"/>
  <c r="R3124" i="2"/>
  <c r="S3123" i="2"/>
  <c r="T3123" i="2" s="1"/>
  <c r="U3123" i="2"/>
  <c r="R3123" i="2"/>
  <c r="J3116" i="2"/>
  <c r="I3116" i="2"/>
  <c r="R3120" i="2"/>
  <c r="U3120" i="2"/>
  <c r="J3112" i="2"/>
  <c r="S3112" i="2"/>
  <c r="T3112" i="2" s="1"/>
  <c r="H3112" i="2"/>
  <c r="R3110" i="2"/>
  <c r="R3108" i="2"/>
  <c r="I3108" i="2"/>
  <c r="S3107" i="2"/>
  <c r="T3107" i="2" s="1"/>
  <c r="U3107" i="2"/>
  <c r="R3107" i="2"/>
  <c r="S3106" i="2"/>
  <c r="T3106" i="2" s="1"/>
  <c r="U3104" i="2"/>
  <c r="S3104" i="2"/>
  <c r="T3104" i="2" s="1"/>
  <c r="J3104" i="2"/>
  <c r="R3104" i="2"/>
  <c r="H3104" i="2"/>
  <c r="S3102" i="2"/>
  <c r="T3102" i="2" s="1"/>
  <c r="J3102" i="2"/>
  <c r="I3102" i="2"/>
  <c r="U3102" i="2"/>
  <c r="R3100" i="2"/>
  <c r="J3100" i="2"/>
  <c r="S3100" i="2"/>
  <c r="T3100" i="2" s="1"/>
  <c r="U3099" i="2"/>
  <c r="S3099" i="2"/>
  <c r="T3099" i="2" s="1"/>
  <c r="R3099" i="2"/>
  <c r="U3098" i="2"/>
  <c r="S3098" i="2"/>
  <c r="T3098" i="2" s="1"/>
  <c r="U3094" i="2"/>
  <c r="R3094" i="2"/>
  <c r="S3094" i="2"/>
  <c r="T3094" i="2" s="1"/>
  <c r="J3094" i="2"/>
  <c r="R3091" i="2"/>
  <c r="S3091" i="2"/>
  <c r="T3091" i="2" s="1"/>
  <c r="S3090" i="2"/>
  <c r="T3090" i="2" s="1"/>
  <c r="R3090" i="2"/>
  <c r="U3088" i="2"/>
  <c r="S3088" i="2"/>
  <c r="T3088" i="2" s="1"/>
  <c r="J3088" i="2"/>
  <c r="R3088" i="2"/>
  <c r="H3088" i="2"/>
  <c r="U3087" i="2"/>
  <c r="S3087" i="2"/>
  <c r="T3087" i="2" s="1"/>
  <c r="S3086" i="2"/>
  <c r="T3086" i="2" s="1"/>
  <c r="J3086" i="2"/>
  <c r="J3084" i="2"/>
  <c r="R3084" i="2"/>
  <c r="R3083" i="2"/>
  <c r="J3082" i="2"/>
  <c r="R3080" i="2"/>
  <c r="J3080" i="2"/>
  <c r="U3079" i="2"/>
  <c r="S3079" i="2"/>
  <c r="T3079" i="2" s="1"/>
  <c r="R3079" i="2"/>
  <c r="S3078" i="2"/>
  <c r="T3078" i="2" s="1"/>
  <c r="U3078" i="2"/>
  <c r="R3078" i="2"/>
  <c r="S3076" i="2"/>
  <c r="T3076" i="2" s="1"/>
  <c r="U3076" i="2"/>
  <c r="S3074" i="2"/>
  <c r="T3074" i="2" s="1"/>
  <c r="R3473" i="2"/>
  <c r="R3445" i="2"/>
  <c r="R3477" i="2"/>
  <c r="R3453" i="2"/>
  <c r="R3441" i="2"/>
  <c r="R3425" i="2"/>
  <c r="R3409" i="2"/>
  <c r="R3393" i="2"/>
  <c r="R3377" i="2"/>
  <c r="R3365" i="2"/>
  <c r="R3357" i="2"/>
  <c r="R3349" i="2"/>
  <c r="R3311" i="2"/>
  <c r="R3305" i="2"/>
  <c r="R3297" i="2"/>
  <c r="R3290" i="2"/>
  <c r="J3173" i="2"/>
  <c r="R3461" i="2"/>
  <c r="R3433" i="2"/>
  <c r="R3417" i="2"/>
  <c r="R3401" i="2"/>
  <c r="R3385" i="2"/>
  <c r="R3369" i="2"/>
  <c r="R3361" i="2"/>
  <c r="R3353" i="2"/>
  <c r="R3345" i="2"/>
  <c r="R3309" i="2"/>
  <c r="R3301" i="2"/>
  <c r="R3293" i="2"/>
  <c r="R3287" i="2"/>
  <c r="R3265" i="2"/>
  <c r="R3259" i="2"/>
  <c r="R3251" i="2"/>
  <c r="R3237" i="2"/>
  <c r="R3231" i="2"/>
  <c r="R3211" i="2"/>
  <c r="J3153" i="2"/>
  <c r="I2949" i="2"/>
  <c r="R3482" i="2"/>
  <c r="R3470" i="2"/>
  <c r="J3474" i="2"/>
  <c r="J3462" i="2"/>
  <c r="J3450" i="2"/>
  <c r="J3442" i="2"/>
  <c r="I3482" i="2"/>
  <c r="I3462" i="2"/>
  <c r="I3426" i="2"/>
  <c r="I3410" i="2"/>
  <c r="I3394" i="2"/>
  <c r="I3374" i="2"/>
  <c r="I3354" i="2"/>
  <c r="I3322" i="2"/>
  <c r="I3310" i="2"/>
  <c r="I3288" i="2"/>
  <c r="I3268" i="2"/>
  <c r="I3232" i="2"/>
  <c r="I3216" i="2"/>
  <c r="I3200" i="2"/>
  <c r="I3184" i="2"/>
  <c r="I3160" i="2"/>
  <c r="I3136" i="2"/>
  <c r="I3080" i="2"/>
  <c r="H3382" i="2"/>
  <c r="H3321" i="2"/>
  <c r="H3240" i="2"/>
  <c r="H3220" i="2"/>
  <c r="H3176" i="2"/>
  <c r="H3156" i="2"/>
  <c r="H3048" i="2"/>
  <c r="H3478" i="2"/>
  <c r="H3350" i="2"/>
  <c r="H3272" i="2"/>
  <c r="H3252" i="2"/>
  <c r="I3446" i="2"/>
  <c r="I3434" i="2"/>
  <c r="I3414" i="2"/>
  <c r="I3398" i="2"/>
  <c r="I3338" i="2"/>
  <c r="I3326" i="2"/>
  <c r="I3144" i="2"/>
  <c r="I3120" i="2"/>
  <c r="H3390" i="2"/>
  <c r="H3366" i="2"/>
  <c r="H3224" i="2"/>
  <c r="H3204" i="2"/>
  <c r="H3100" i="2"/>
  <c r="R3295" i="2"/>
  <c r="I3293" i="2"/>
  <c r="I3459" i="2"/>
  <c r="S3072" i="2"/>
  <c r="T3072" i="2" s="1"/>
  <c r="R3072" i="2"/>
  <c r="J3072" i="2"/>
  <c r="U3072" i="2"/>
  <c r="H3072" i="2"/>
  <c r="S3071" i="2"/>
  <c r="T3071" i="2" s="1"/>
  <c r="R3071" i="2"/>
  <c r="U3071" i="2"/>
  <c r="U3070" i="2"/>
  <c r="R3070" i="2"/>
  <c r="J3068" i="2"/>
  <c r="R3067" i="2"/>
  <c r="S3067" i="2"/>
  <c r="T3067" i="2" s="1"/>
  <c r="R3066" i="2"/>
  <c r="U3066" i="2"/>
  <c r="S3066" i="2"/>
  <c r="T3066" i="2" s="1"/>
  <c r="R3064" i="2"/>
  <c r="I3064" i="2"/>
  <c r="U3063" i="2"/>
  <c r="S3063" i="2"/>
  <c r="T3063" i="2" s="1"/>
  <c r="R3063" i="2"/>
  <c r="U3060" i="2"/>
  <c r="S3060" i="2"/>
  <c r="T3060" i="2" s="1"/>
  <c r="J3060" i="2"/>
  <c r="R3060" i="2"/>
  <c r="U3059" i="2"/>
  <c r="R3059" i="2"/>
  <c r="U3058" i="2"/>
  <c r="S3058" i="2"/>
  <c r="T3058" i="2" s="1"/>
  <c r="J3056" i="2"/>
  <c r="R3056" i="2"/>
  <c r="H3056" i="2"/>
  <c r="R3055" i="2"/>
  <c r="U3054" i="2"/>
  <c r="R3054" i="2"/>
  <c r="J3054" i="2"/>
  <c r="S3054" i="2"/>
  <c r="T3054" i="2" s="1"/>
  <c r="I3054" i="2"/>
  <c r="S3052" i="2"/>
  <c r="T3052" i="2" s="1"/>
  <c r="R3052" i="2"/>
  <c r="J3052" i="2"/>
  <c r="I3052" i="2"/>
  <c r="U3052" i="2"/>
  <c r="S3051" i="2"/>
  <c r="T3051" i="2" s="1"/>
  <c r="S3050" i="2"/>
  <c r="T3050" i="2" s="1"/>
  <c r="U3049" i="2"/>
  <c r="J3048" i="2"/>
  <c r="U3046" i="2"/>
  <c r="R3046" i="2"/>
  <c r="S3046" i="2"/>
  <c r="T3046" i="2" s="1"/>
  <c r="J3046" i="2"/>
  <c r="U3044" i="2"/>
  <c r="S3044" i="2"/>
  <c r="T3044" i="2" s="1"/>
  <c r="R3044" i="2"/>
  <c r="J3044" i="2"/>
  <c r="R3043" i="2"/>
  <c r="U3043" i="2"/>
  <c r="S3043" i="2"/>
  <c r="T3043" i="2" s="1"/>
  <c r="R3042" i="2"/>
  <c r="U3042" i="2"/>
  <c r="S3042" i="2"/>
  <c r="T3042" i="2" s="1"/>
  <c r="J3040" i="2"/>
  <c r="H3040" i="2"/>
  <c r="I3040" i="2"/>
  <c r="S3040" i="2"/>
  <c r="T3040" i="2" s="1"/>
  <c r="S3039" i="2"/>
  <c r="T3039" i="2" s="1"/>
  <c r="R3039" i="2"/>
  <c r="U3039" i="2"/>
  <c r="R3481" i="2"/>
  <c r="R3465" i="2"/>
  <c r="R3449" i="2"/>
  <c r="R3379" i="2"/>
  <c r="J3379" i="2"/>
  <c r="J3367" i="2"/>
  <c r="R3367" i="2"/>
  <c r="J3351" i="2"/>
  <c r="R3351" i="2"/>
  <c r="R3347" i="2"/>
  <c r="J3347" i="2"/>
  <c r="J3335" i="2"/>
  <c r="R3335" i="2"/>
  <c r="I3319" i="2"/>
  <c r="R3319" i="2"/>
  <c r="J3303" i="2"/>
  <c r="R3303" i="2"/>
  <c r="R3285" i="2"/>
  <c r="J3285" i="2"/>
  <c r="J3273" i="2"/>
  <c r="R3273" i="2"/>
  <c r="J3257" i="2"/>
  <c r="R3257" i="2"/>
  <c r="H3241" i="2"/>
  <c r="R3241" i="2"/>
  <c r="J3233" i="2"/>
  <c r="R3233" i="2"/>
  <c r="H3225" i="2"/>
  <c r="S3225" i="2"/>
  <c r="T3225" i="2" s="1"/>
  <c r="J3221" i="2"/>
  <c r="R3221" i="2"/>
  <c r="S3221" i="2"/>
  <c r="T3221" i="2" s="1"/>
  <c r="H3217" i="2"/>
  <c r="S3217" i="2"/>
  <c r="T3217" i="2" s="1"/>
  <c r="H3213" i="2"/>
  <c r="S3213" i="2"/>
  <c r="T3213" i="2" s="1"/>
  <c r="H3209" i="2"/>
  <c r="R3209" i="2"/>
  <c r="S3209" i="2"/>
  <c r="T3209" i="2" s="1"/>
  <c r="H3205" i="2"/>
  <c r="S3205" i="2"/>
  <c r="T3205" i="2" s="1"/>
  <c r="H3201" i="2"/>
  <c r="R3201" i="2"/>
  <c r="S3201" i="2"/>
  <c r="T3201" i="2" s="1"/>
  <c r="H3197" i="2"/>
  <c r="S3197" i="2"/>
  <c r="T3197" i="2" s="1"/>
  <c r="I3193" i="2"/>
  <c r="S3193" i="2"/>
  <c r="T3193" i="2" s="1"/>
  <c r="H3189" i="2"/>
  <c r="R3189" i="2"/>
  <c r="S3189" i="2"/>
  <c r="T3189" i="2" s="1"/>
  <c r="H3185" i="2"/>
  <c r="S3185" i="2"/>
  <c r="T3185" i="2" s="1"/>
  <c r="J3181" i="2"/>
  <c r="S3181" i="2"/>
  <c r="T3181" i="2" s="1"/>
  <c r="H3177" i="2"/>
  <c r="R3177" i="2"/>
  <c r="S3177" i="2"/>
  <c r="T3177" i="2" s="1"/>
  <c r="H3173" i="2"/>
  <c r="S3173" i="2"/>
  <c r="T3173" i="2" s="1"/>
  <c r="R3169" i="2"/>
  <c r="S3169" i="2"/>
  <c r="T3169" i="2" s="1"/>
  <c r="H3165" i="2"/>
  <c r="S3165" i="2"/>
  <c r="T3165" i="2" s="1"/>
  <c r="H3161" i="2"/>
  <c r="S3161" i="2"/>
  <c r="T3161" i="2" s="1"/>
  <c r="R3157" i="2"/>
  <c r="S3157" i="2"/>
  <c r="T3157" i="2" s="1"/>
  <c r="H3153" i="2"/>
  <c r="S3153" i="2"/>
  <c r="T3153" i="2" s="1"/>
  <c r="H3149" i="2"/>
  <c r="S3149" i="2"/>
  <c r="T3149" i="2" s="1"/>
  <c r="H3145" i="2"/>
  <c r="R3145" i="2"/>
  <c r="S3145" i="2"/>
  <c r="T3145" i="2" s="1"/>
  <c r="H3141" i="2"/>
  <c r="S3141" i="2"/>
  <c r="T3141" i="2" s="1"/>
  <c r="H3137" i="2"/>
  <c r="R3137" i="2"/>
  <c r="S3137" i="2"/>
  <c r="T3137" i="2" s="1"/>
  <c r="H3133" i="2"/>
  <c r="J3133" i="2"/>
  <c r="R3133" i="2"/>
  <c r="S3133" i="2"/>
  <c r="T3133" i="2" s="1"/>
  <c r="J3129" i="2"/>
  <c r="R3129" i="2"/>
  <c r="S3129" i="2"/>
  <c r="T3129" i="2" s="1"/>
  <c r="H3125" i="2"/>
  <c r="J3125" i="2"/>
  <c r="R3125" i="2"/>
  <c r="S3125" i="2"/>
  <c r="T3125" i="2" s="1"/>
  <c r="H3121" i="2"/>
  <c r="J3121" i="2"/>
  <c r="R3121" i="2"/>
  <c r="S3121" i="2"/>
  <c r="T3121" i="2" s="1"/>
  <c r="J3117" i="2"/>
  <c r="R3117" i="2"/>
  <c r="S3117" i="2"/>
  <c r="T3117" i="2" s="1"/>
  <c r="H3113" i="2"/>
  <c r="R3113" i="2"/>
  <c r="S3113" i="2"/>
  <c r="T3113" i="2" s="1"/>
  <c r="H3109" i="2"/>
  <c r="R3109" i="2"/>
  <c r="S3109" i="2"/>
  <c r="T3109" i="2" s="1"/>
  <c r="J3105" i="2"/>
  <c r="R3105" i="2"/>
  <c r="S3105" i="2"/>
  <c r="T3105" i="2" s="1"/>
  <c r="H3101" i="2"/>
  <c r="R3101" i="2"/>
  <c r="S3101" i="2"/>
  <c r="T3101" i="2" s="1"/>
  <c r="H3097" i="2"/>
  <c r="R3097" i="2"/>
  <c r="S3097" i="2"/>
  <c r="T3097" i="2" s="1"/>
  <c r="I3093" i="2"/>
  <c r="R3093" i="2"/>
  <c r="S3093" i="2"/>
  <c r="T3093" i="2" s="1"/>
  <c r="H3089" i="2"/>
  <c r="R3089" i="2"/>
  <c r="S3089" i="2"/>
  <c r="T3089" i="2" s="1"/>
  <c r="H3085" i="2"/>
  <c r="R3085" i="2"/>
  <c r="S3085" i="2"/>
  <c r="T3085" i="2" s="1"/>
  <c r="H3081" i="2"/>
  <c r="J3081" i="2"/>
  <c r="R3081" i="2"/>
  <c r="S3081" i="2"/>
  <c r="T3081" i="2" s="1"/>
  <c r="H3077" i="2"/>
  <c r="R3077" i="2"/>
  <c r="S3077" i="2"/>
  <c r="T3077" i="2" s="1"/>
  <c r="H3073" i="2"/>
  <c r="R3073" i="2"/>
  <c r="S3073" i="2"/>
  <c r="T3073" i="2" s="1"/>
  <c r="H3069" i="2"/>
  <c r="R3069" i="2"/>
  <c r="S3069" i="2"/>
  <c r="T3069" i="2" s="1"/>
  <c r="J3065" i="2"/>
  <c r="R3065" i="2"/>
  <c r="S3065" i="2"/>
  <c r="T3065" i="2" s="1"/>
  <c r="H3061" i="2"/>
  <c r="R3061" i="2"/>
  <c r="S3061" i="2"/>
  <c r="T3061" i="2" s="1"/>
  <c r="H3057" i="2"/>
  <c r="R3057" i="2"/>
  <c r="S3057" i="2"/>
  <c r="T3057" i="2" s="1"/>
  <c r="J3053" i="2"/>
  <c r="R3053" i="2"/>
  <c r="S3053" i="2"/>
  <c r="T3053" i="2" s="1"/>
  <c r="I3049" i="2"/>
  <c r="R3049" i="2"/>
  <c r="S3049" i="2"/>
  <c r="T3049" i="2" s="1"/>
  <c r="H3045" i="2"/>
  <c r="R3045" i="2"/>
  <c r="S3045" i="2"/>
  <c r="T3045" i="2" s="1"/>
  <c r="J3041" i="2"/>
  <c r="R3041" i="2"/>
  <c r="S3041" i="2"/>
  <c r="T3041" i="2" s="1"/>
  <c r="R3327" i="2"/>
  <c r="J3411" i="2"/>
  <c r="R3359" i="2"/>
  <c r="J3455" i="2"/>
  <c r="J3253" i="2"/>
  <c r="I3389" i="2"/>
  <c r="I3325" i="2"/>
  <c r="R3479" i="2"/>
  <c r="R3475" i="2"/>
  <c r="R3471" i="2"/>
  <c r="R3467" i="2"/>
  <c r="R3463" i="2"/>
  <c r="R3459" i="2"/>
  <c r="R3455" i="2"/>
  <c r="R3451" i="2"/>
  <c r="R3447" i="2"/>
  <c r="R3443" i="2"/>
  <c r="R3439" i="2"/>
  <c r="R3435" i="2"/>
  <c r="R3431" i="2"/>
  <c r="R3427" i="2"/>
  <c r="R3423" i="2"/>
  <c r="R3419" i="2"/>
  <c r="R3415" i="2"/>
  <c r="R3407" i="2"/>
  <c r="R3403" i="2"/>
  <c r="R3399" i="2"/>
  <c r="R3395" i="2"/>
  <c r="R3391" i="2"/>
  <c r="R3387" i="2"/>
  <c r="R3383" i="2"/>
  <c r="R3375" i="2"/>
  <c r="R3371" i="2"/>
  <c r="R3355" i="2"/>
  <c r="R3339" i="2"/>
  <c r="R3323" i="2"/>
  <c r="R3307" i="2"/>
  <c r="R3291" i="2"/>
  <c r="R3277" i="2"/>
  <c r="R3261" i="2"/>
  <c r="R3245" i="2"/>
  <c r="R3229" i="2"/>
  <c r="R3213" i="2"/>
  <c r="R3197" i="2"/>
  <c r="R3181" i="2"/>
  <c r="R3165" i="2"/>
  <c r="R3149" i="2"/>
  <c r="J3443" i="2"/>
  <c r="J3201" i="2"/>
  <c r="J3101" i="2"/>
  <c r="J3093" i="2"/>
  <c r="J3069" i="2"/>
  <c r="J3061" i="2"/>
  <c r="I3217" i="2"/>
  <c r="I3209" i="2"/>
  <c r="I3165" i="2"/>
  <c r="I3097" i="2"/>
  <c r="R3363" i="2"/>
  <c r="R3331" i="2"/>
  <c r="R3299" i="2"/>
  <c r="R3269" i="2"/>
  <c r="J3475" i="2"/>
  <c r="J3145" i="2"/>
  <c r="J3113" i="2"/>
  <c r="J3089" i="2"/>
  <c r="J3057" i="2"/>
  <c r="I3467" i="2"/>
  <c r="I3466" i="2"/>
  <c r="I3418" i="2"/>
  <c r="I3280" i="2"/>
  <c r="I3264" i="2"/>
  <c r="I3140" i="2"/>
  <c r="I3124" i="2"/>
  <c r="I3044" i="2"/>
  <c r="H3480" i="2"/>
  <c r="J3480" i="2"/>
  <c r="H3464" i="2"/>
  <c r="J3464" i="2"/>
  <c r="H3428" i="2"/>
  <c r="I3428" i="2"/>
  <c r="H3420" i="2"/>
  <c r="J3420" i="2"/>
  <c r="H3412" i="2"/>
  <c r="J3412" i="2"/>
  <c r="H3404" i="2"/>
  <c r="J3404" i="2"/>
  <c r="H3368" i="2"/>
  <c r="R3368" i="2"/>
  <c r="H3364" i="2"/>
  <c r="R3364" i="2"/>
  <c r="I3360" i="2"/>
  <c r="R3360" i="2"/>
  <c r="H3352" i="2"/>
  <c r="J3352" i="2"/>
  <c r="R3352" i="2"/>
  <c r="H3348" i="2"/>
  <c r="R3348" i="2"/>
  <c r="H3340" i="2"/>
  <c r="R3340" i="2"/>
  <c r="H3336" i="2"/>
  <c r="J3336" i="2"/>
  <c r="R3336" i="2"/>
  <c r="H3332" i="2"/>
  <c r="R3332" i="2"/>
  <c r="I3328" i="2"/>
  <c r="R3328" i="2"/>
  <c r="H3324" i="2"/>
  <c r="R3324" i="2"/>
  <c r="H3320" i="2"/>
  <c r="R3320" i="2"/>
  <c r="H3316" i="2"/>
  <c r="R3316" i="2"/>
  <c r="H3308" i="2"/>
  <c r="R3308" i="2"/>
  <c r="H3304" i="2"/>
  <c r="R3304" i="2"/>
  <c r="H3300" i="2"/>
  <c r="R3300" i="2"/>
  <c r="H3292" i="2"/>
  <c r="R3292" i="2"/>
  <c r="H3289" i="2"/>
  <c r="R3289" i="2"/>
  <c r="H3286" i="2"/>
  <c r="R3286" i="2"/>
  <c r="H3278" i="2"/>
  <c r="R3278" i="2"/>
  <c r="H3270" i="2"/>
  <c r="R3270" i="2"/>
  <c r="H3262" i="2"/>
  <c r="R3262" i="2"/>
  <c r="H3258" i="2"/>
  <c r="I3258" i="2"/>
  <c r="R3258" i="2"/>
  <c r="H3254" i="2"/>
  <c r="R3254" i="2"/>
  <c r="H3246" i="2"/>
  <c r="R3246" i="2"/>
  <c r="H3238" i="2"/>
  <c r="R3238" i="2"/>
  <c r="I3234" i="2"/>
  <c r="R3234" i="2"/>
  <c r="H3230" i="2"/>
  <c r="R3230" i="2"/>
  <c r="H3226" i="2"/>
  <c r="R3226" i="2"/>
  <c r="H3222" i="2"/>
  <c r="R3222" i="2"/>
  <c r="H3214" i="2"/>
  <c r="R3214" i="2"/>
  <c r="H3206" i="2"/>
  <c r="R3206" i="2"/>
  <c r="H3194" i="2"/>
  <c r="R3194" i="2"/>
  <c r="H3190" i="2"/>
  <c r="R3190" i="2"/>
  <c r="J3186" i="2"/>
  <c r="R3186" i="2"/>
  <c r="H3182" i="2"/>
  <c r="R3182" i="2"/>
  <c r="H3178" i="2"/>
  <c r="R3178" i="2"/>
  <c r="H3174" i="2"/>
  <c r="R3174" i="2"/>
  <c r="H3166" i="2"/>
  <c r="R3166" i="2"/>
  <c r="H3162" i="2"/>
  <c r="J3162" i="2"/>
  <c r="R3162" i="2"/>
  <c r="H3158" i="2"/>
  <c r="R3158" i="2"/>
  <c r="I3154" i="2"/>
  <c r="R3154" i="2"/>
  <c r="H3150" i="2"/>
  <c r="R3150" i="2"/>
  <c r="H3142" i="2"/>
  <c r="J3142" i="2"/>
  <c r="R3142" i="2"/>
  <c r="R3138" i="2"/>
  <c r="J3126" i="2"/>
  <c r="J3078" i="2"/>
  <c r="J3062" i="2"/>
  <c r="J3010" i="2"/>
  <c r="I3451" i="2"/>
  <c r="I3341" i="2"/>
  <c r="I3061" i="2"/>
  <c r="I2986" i="2"/>
  <c r="I2902" i="2"/>
  <c r="H3313" i="2"/>
  <c r="H3049" i="2"/>
  <c r="S3021" i="2"/>
  <c r="T3021" i="2" s="1"/>
  <c r="R2925" i="2"/>
  <c r="J3479" i="2"/>
  <c r="J3460" i="2"/>
  <c r="J3447" i="2"/>
  <c r="J3428" i="2"/>
  <c r="J3396" i="2"/>
  <c r="J3364" i="2"/>
  <c r="J3332" i="2"/>
  <c r="J3319" i="2"/>
  <c r="J3225" i="2"/>
  <c r="J3193" i="2"/>
  <c r="J3161" i="2"/>
  <c r="J3149" i="2"/>
  <c r="J3137" i="2"/>
  <c r="J3109" i="2"/>
  <c r="J3097" i="2"/>
  <c r="J3085" i="2"/>
  <c r="J3073" i="2"/>
  <c r="J3045" i="2"/>
  <c r="J3009" i="2"/>
  <c r="J2945" i="2"/>
  <c r="J2901" i="2"/>
  <c r="J2861" i="2"/>
  <c r="J2845" i="2"/>
  <c r="I3439" i="2"/>
  <c r="I3400" i="2"/>
  <c r="I3320" i="2"/>
  <c r="I3263" i="2"/>
  <c r="I3241" i="2"/>
  <c r="I3225" i="2"/>
  <c r="I3197" i="2"/>
  <c r="I3189" i="2"/>
  <c r="I3182" i="2"/>
  <c r="I3173" i="2"/>
  <c r="I3125" i="2"/>
  <c r="I3086" i="2"/>
  <c r="I3069" i="2"/>
  <c r="I2861" i="2"/>
  <c r="J3471" i="2"/>
  <c r="J3459" i="2"/>
  <c r="J3439" i="2"/>
  <c r="J3427" i="2"/>
  <c r="J3395" i="2"/>
  <c r="J3363" i="2"/>
  <c r="J3299" i="2"/>
  <c r="J3237" i="2"/>
  <c r="J3217" i="2"/>
  <c r="J3205" i="2"/>
  <c r="J3185" i="2"/>
  <c r="I3471" i="2"/>
  <c r="I3455" i="2"/>
  <c r="I3145" i="2"/>
  <c r="H3395" i="2"/>
  <c r="H3299" i="2"/>
  <c r="H3193" i="2"/>
  <c r="H2925" i="2"/>
  <c r="J3463" i="2"/>
  <c r="J3431" i="2"/>
  <c r="J3241" i="2"/>
  <c r="J3209" i="2"/>
  <c r="J3177" i="2"/>
  <c r="J3141" i="2"/>
  <c r="J3077" i="2"/>
  <c r="I3435" i="2"/>
  <c r="I3427" i="2"/>
  <c r="I3237" i="2"/>
  <c r="I3201" i="2"/>
  <c r="I3185" i="2"/>
  <c r="I3161" i="2"/>
  <c r="I3153" i="2"/>
  <c r="I3109" i="2"/>
  <c r="I3089" i="2"/>
  <c r="I3081" i="2"/>
  <c r="I3073" i="2"/>
  <c r="I3045" i="2"/>
  <c r="I3013" i="2"/>
  <c r="H3319" i="2"/>
  <c r="U3011" i="2"/>
  <c r="S3011" i="2"/>
  <c r="T3011" i="2" s="1"/>
  <c r="J2981" i="2"/>
  <c r="U3038" i="2"/>
  <c r="J3038" i="2"/>
  <c r="I3038" i="2"/>
  <c r="R3038" i="2"/>
  <c r="I3476" i="2"/>
  <c r="I3448" i="2"/>
  <c r="I3348" i="2"/>
  <c r="I3340" i="2"/>
  <c r="I3332" i="2"/>
  <c r="I3316" i="2"/>
  <c r="I3308" i="2"/>
  <c r="I3270" i="2"/>
  <c r="I3262" i="2"/>
  <c r="I3254" i="2"/>
  <c r="I3166" i="2"/>
  <c r="I3066" i="2"/>
  <c r="I3460" i="2"/>
  <c r="I3432" i="2"/>
  <c r="I3404" i="2"/>
  <c r="I3396" i="2"/>
  <c r="I3380" i="2"/>
  <c r="I3368" i="2"/>
  <c r="I3289" i="2"/>
  <c r="I3278" i="2"/>
  <c r="H3472" i="2"/>
  <c r="J3472" i="2"/>
  <c r="H3456" i="2"/>
  <c r="I3456" i="2"/>
  <c r="J3456" i="2"/>
  <c r="H3440" i="2"/>
  <c r="J3440" i="2"/>
  <c r="H3424" i="2"/>
  <c r="I3424" i="2"/>
  <c r="J3424" i="2"/>
  <c r="H3416" i="2"/>
  <c r="I3416" i="2"/>
  <c r="H3408" i="2"/>
  <c r="J3408" i="2"/>
  <c r="H3392" i="2"/>
  <c r="J3392" i="2"/>
  <c r="H3384" i="2"/>
  <c r="I3384" i="2"/>
  <c r="H3376" i="2"/>
  <c r="I3376" i="2"/>
  <c r="J3376" i="2"/>
  <c r="H3360" i="2"/>
  <c r="J3360" i="2"/>
  <c r="H3356" i="2"/>
  <c r="I3356" i="2"/>
  <c r="H3344" i="2"/>
  <c r="J3344" i="2"/>
  <c r="H3328" i="2"/>
  <c r="J3328" i="2"/>
  <c r="H3312" i="2"/>
  <c r="J3312" i="2"/>
  <c r="H3296" i="2"/>
  <c r="J3296" i="2"/>
  <c r="H3282" i="2"/>
  <c r="I3282" i="2"/>
  <c r="J3282" i="2"/>
  <c r="H3274" i="2"/>
  <c r="I3274" i="2"/>
  <c r="H3266" i="2"/>
  <c r="I3266" i="2"/>
  <c r="J3266" i="2"/>
  <c r="H3250" i="2"/>
  <c r="J3250" i="2"/>
  <c r="H3242" i="2"/>
  <c r="I3242" i="2"/>
  <c r="H3234" i="2"/>
  <c r="J3234" i="2"/>
  <c r="H3218" i="2"/>
  <c r="J3218" i="2"/>
  <c r="H3202" i="2"/>
  <c r="I3202" i="2"/>
  <c r="J3202" i="2"/>
  <c r="H3170" i="2"/>
  <c r="J3170" i="2"/>
  <c r="H3154" i="2"/>
  <c r="J3154" i="2"/>
  <c r="H3138" i="2"/>
  <c r="J3138" i="2"/>
  <c r="H3122" i="2"/>
  <c r="J3122" i="2"/>
  <c r="H3106" i="2"/>
  <c r="I3106" i="2"/>
  <c r="J3106" i="2"/>
  <c r="H3098" i="2"/>
  <c r="I3098" i="2"/>
  <c r="H3090" i="2"/>
  <c r="I3090" i="2"/>
  <c r="J3090" i="2"/>
  <c r="H3074" i="2"/>
  <c r="J3074" i="2"/>
  <c r="H3058" i="2"/>
  <c r="J3058" i="2"/>
  <c r="H3042" i="2"/>
  <c r="J3042" i="2"/>
  <c r="H3034" i="2"/>
  <c r="J3034" i="2"/>
  <c r="R3034" i="2"/>
  <c r="S3034" i="2"/>
  <c r="T3034" i="2" s="1"/>
  <c r="H3022" i="2"/>
  <c r="S3022" i="2"/>
  <c r="T3022" i="2" s="1"/>
  <c r="H3018" i="2"/>
  <c r="I3018" i="2"/>
  <c r="H3014" i="2"/>
  <c r="R3014" i="2"/>
  <c r="S3014" i="2"/>
  <c r="T3014" i="2" s="1"/>
  <c r="H2998" i="2"/>
  <c r="I2998" i="2"/>
  <c r="H2994" i="2"/>
  <c r="S2994" i="2"/>
  <c r="T2994" i="2" s="1"/>
  <c r="J3467" i="2"/>
  <c r="J3451" i="2"/>
  <c r="J3435" i="2"/>
  <c r="J3229" i="2"/>
  <c r="J3213" i="2"/>
  <c r="J3197" i="2"/>
  <c r="J3165" i="2"/>
  <c r="J2974" i="2"/>
  <c r="I3475" i="2"/>
  <c r="I3443" i="2"/>
  <c r="I3290" i="2"/>
  <c r="I3229" i="2"/>
  <c r="I3149" i="2"/>
  <c r="I3141" i="2"/>
  <c r="I3133" i="2"/>
  <c r="I3113" i="2"/>
  <c r="I3085" i="2"/>
  <c r="I3077" i="2"/>
  <c r="I2982" i="2"/>
  <c r="I2958" i="2"/>
  <c r="I2938" i="2"/>
  <c r="I3373" i="2"/>
  <c r="I3309" i="2"/>
  <c r="H3461" i="2"/>
  <c r="H3449" i="2"/>
  <c r="I3417" i="2"/>
  <c r="I3353" i="2"/>
  <c r="I3321" i="2"/>
  <c r="I3247" i="2"/>
  <c r="I3479" i="2"/>
  <c r="I3468" i="2"/>
  <c r="I3463" i="2"/>
  <c r="I3452" i="2"/>
  <c r="I3447" i="2"/>
  <c r="I3436" i="2"/>
  <c r="I3431" i="2"/>
  <c r="I3412" i="2"/>
  <c r="I3405" i="2"/>
  <c r="I3385" i="2"/>
  <c r="I3372" i="2"/>
  <c r="I3364" i="2"/>
  <c r="I3357" i="2"/>
  <c r="I3352" i="2"/>
  <c r="I3344" i="2"/>
  <c r="I3324" i="2"/>
  <c r="I3304" i="2"/>
  <c r="I3296" i="2"/>
  <c r="I3286" i="2"/>
  <c r="I3279" i="2"/>
  <c r="I3259" i="2"/>
  <c r="I3246" i="2"/>
  <c r="I3226" i="2"/>
  <c r="I3218" i="2"/>
  <c r="I3213" i="2"/>
  <c r="I3205" i="2"/>
  <c r="I3177" i="2"/>
  <c r="I3170" i="2"/>
  <c r="I3150" i="2"/>
  <c r="I3137" i="2"/>
  <c r="I3130" i="2"/>
  <c r="I3121" i="2"/>
  <c r="I3114" i="2"/>
  <c r="I3101" i="2"/>
  <c r="I3082" i="2"/>
  <c r="I3070" i="2"/>
  <c r="I3057" i="2"/>
  <c r="I3050" i="2"/>
  <c r="I3421" i="2"/>
  <c r="H3167" i="2"/>
  <c r="H3155" i="2"/>
  <c r="I3401" i="2"/>
  <c r="I3369" i="2"/>
  <c r="I3337" i="2"/>
  <c r="I3305" i="2"/>
  <c r="I3275" i="2"/>
  <c r="H3417" i="2"/>
  <c r="H3405" i="2"/>
  <c r="H3239" i="2"/>
  <c r="H3227" i="2"/>
  <c r="I3481" i="2"/>
  <c r="I3477" i="2"/>
  <c r="I3473" i="2"/>
  <c r="I3469" i="2"/>
  <c r="I3465" i="2"/>
  <c r="I3461" i="2"/>
  <c r="I3457" i="2"/>
  <c r="I3453" i="2"/>
  <c r="I3449" i="2"/>
  <c r="I3445" i="2"/>
  <c r="I3441" i="2"/>
  <c r="I3437" i="2"/>
  <c r="I3433" i="2"/>
  <c r="I3429" i="2"/>
  <c r="I3425" i="2"/>
  <c r="I3409" i="2"/>
  <c r="I3393" i="2"/>
  <c r="I3377" i="2"/>
  <c r="I3361" i="2"/>
  <c r="I3345" i="2"/>
  <c r="I3329" i="2"/>
  <c r="I3313" i="2"/>
  <c r="I3297" i="2"/>
  <c r="I3283" i="2"/>
  <c r="I3267" i="2"/>
  <c r="I3251" i="2"/>
  <c r="I3035" i="2"/>
  <c r="H3433" i="2"/>
  <c r="H3271" i="2"/>
  <c r="H3211" i="2"/>
  <c r="H3151" i="2"/>
  <c r="H3143" i="2"/>
  <c r="H3135" i="2"/>
  <c r="H3071" i="2"/>
  <c r="H3423" i="2"/>
  <c r="I3423" i="2"/>
  <c r="H3419" i="2"/>
  <c r="I3419" i="2"/>
  <c r="H3415" i="2"/>
  <c r="I3415" i="2"/>
  <c r="H3411" i="2"/>
  <c r="I3411" i="2"/>
  <c r="H3407" i="2"/>
  <c r="I3407" i="2"/>
  <c r="H3403" i="2"/>
  <c r="I3403" i="2"/>
  <c r="H3399" i="2"/>
  <c r="I3399" i="2"/>
  <c r="H3391" i="2"/>
  <c r="I3391" i="2"/>
  <c r="H3387" i="2"/>
  <c r="I3387" i="2"/>
  <c r="H3383" i="2"/>
  <c r="I3383" i="2"/>
  <c r="H3379" i="2"/>
  <c r="I3379" i="2"/>
  <c r="H3375" i="2"/>
  <c r="I3375" i="2"/>
  <c r="H3371" i="2"/>
  <c r="I3371" i="2"/>
  <c r="H3367" i="2"/>
  <c r="I3367" i="2"/>
  <c r="H3359" i="2"/>
  <c r="I3359" i="2"/>
  <c r="H3355" i="2"/>
  <c r="I3355" i="2"/>
  <c r="H3351" i="2"/>
  <c r="I3351" i="2"/>
  <c r="H3347" i="2"/>
  <c r="I3347" i="2"/>
  <c r="H3343" i="2"/>
  <c r="I3343" i="2"/>
  <c r="H3339" i="2"/>
  <c r="I3339" i="2"/>
  <c r="H3335" i="2"/>
  <c r="I3335" i="2"/>
  <c r="H3331" i="2"/>
  <c r="I3331" i="2"/>
  <c r="H3327" i="2"/>
  <c r="I3327" i="2"/>
  <c r="H3323" i="2"/>
  <c r="I3323" i="2"/>
  <c r="H3315" i="2"/>
  <c r="I3315" i="2"/>
  <c r="H3311" i="2"/>
  <c r="I3311" i="2"/>
  <c r="H3307" i="2"/>
  <c r="I3307" i="2"/>
  <c r="H3303" i="2"/>
  <c r="I3303" i="2"/>
  <c r="H3295" i="2"/>
  <c r="I3295" i="2"/>
  <c r="H3291" i="2"/>
  <c r="I3291" i="2"/>
  <c r="H3285" i="2"/>
  <c r="I3285" i="2"/>
  <c r="H3281" i="2"/>
  <c r="I3281" i="2"/>
  <c r="H3277" i="2"/>
  <c r="I3277" i="2"/>
  <c r="H3273" i="2"/>
  <c r="I3273" i="2"/>
  <c r="H3269" i="2"/>
  <c r="I3269" i="2"/>
  <c r="H3265" i="2"/>
  <c r="I3265" i="2"/>
  <c r="H3261" i="2"/>
  <c r="I3261" i="2"/>
  <c r="H3257" i="2"/>
  <c r="I3257" i="2"/>
  <c r="H3253" i="2"/>
  <c r="I3253" i="2"/>
  <c r="H3249" i="2"/>
  <c r="I3249" i="2"/>
  <c r="H3245" i="2"/>
  <c r="I3245" i="2"/>
  <c r="H3233" i="2"/>
  <c r="I3233" i="2"/>
  <c r="H3221" i="2"/>
  <c r="I3221" i="2"/>
  <c r="H3181" i="2"/>
  <c r="I3181" i="2"/>
  <c r="H3169" i="2"/>
  <c r="I3169" i="2"/>
  <c r="H3157" i="2"/>
  <c r="I3157" i="2"/>
  <c r="H3129" i="2"/>
  <c r="I3129" i="2"/>
  <c r="H3117" i="2"/>
  <c r="I3117" i="2"/>
  <c r="H3105" i="2"/>
  <c r="I3105" i="2"/>
  <c r="H3065" i="2"/>
  <c r="I3065" i="2"/>
  <c r="H3053" i="2"/>
  <c r="I3053" i="2"/>
  <c r="H3041" i="2"/>
  <c r="I3041" i="2"/>
  <c r="J3481" i="2"/>
  <c r="J3477" i="2"/>
  <c r="J3473" i="2"/>
  <c r="J3469" i="2"/>
  <c r="J3465" i="2"/>
  <c r="J3457" i="2"/>
  <c r="J3453" i="2"/>
  <c r="J3445" i="2"/>
  <c r="J3441" i="2"/>
  <c r="J3437" i="2"/>
  <c r="J3429" i="2"/>
  <c r="J3425" i="2"/>
  <c r="J3421" i="2"/>
  <c r="J3413" i="2"/>
  <c r="J3409" i="2"/>
  <c r="J3401" i="2"/>
  <c r="J3397" i="2"/>
  <c r="J3393" i="2"/>
  <c r="J3389" i="2"/>
  <c r="J3385" i="2"/>
  <c r="J3381" i="2"/>
  <c r="J3377" i="2"/>
  <c r="J3373" i="2"/>
  <c r="J3369" i="2"/>
  <c r="J3365" i="2"/>
  <c r="J3361" i="2"/>
  <c r="J3357" i="2"/>
  <c r="J3353" i="2"/>
  <c r="J3349" i="2"/>
  <c r="J3345" i="2"/>
  <c r="J3341" i="2"/>
  <c r="J3337" i="2"/>
  <c r="J3333" i="2"/>
  <c r="J3329" i="2"/>
  <c r="J3325" i="2"/>
  <c r="J3317" i="2"/>
  <c r="J3309" i="2"/>
  <c r="J3305" i="2"/>
  <c r="J3301" i="2"/>
  <c r="J3297" i="2"/>
  <c r="J3293" i="2"/>
  <c r="J3290" i="2"/>
  <c r="J3287" i="2"/>
  <c r="J3283" i="2"/>
  <c r="J3279" i="2"/>
  <c r="J3275" i="2"/>
  <c r="J3271" i="2"/>
  <c r="J3267" i="2"/>
  <c r="J3263" i="2"/>
  <c r="J3259" i="2"/>
  <c r="J3255" i="2"/>
  <c r="J3251" i="2"/>
  <c r="J3247" i="2"/>
  <c r="J3239" i="2"/>
  <c r="J3231" i="2"/>
  <c r="J3227" i="2"/>
  <c r="J3219" i="2"/>
  <c r="J3215" i="2"/>
  <c r="J3211" i="2"/>
  <c r="J3207" i="2"/>
  <c r="J3203" i="2"/>
  <c r="J3179" i="2"/>
  <c r="J3171" i="2"/>
  <c r="J3167" i="2"/>
  <c r="J3163" i="2"/>
  <c r="J3155" i="2"/>
  <c r="J3151" i="2"/>
  <c r="J3147" i="2"/>
  <c r="J3143" i="2"/>
  <c r="J3135" i="2"/>
  <c r="J3119" i="2"/>
  <c r="J3115" i="2"/>
  <c r="J3099" i="2"/>
  <c r="J3095" i="2"/>
  <c r="J3087" i="2"/>
  <c r="J3071" i="2"/>
  <c r="J3063" i="2"/>
  <c r="J3051" i="2"/>
  <c r="I3413" i="2"/>
  <c r="I3397" i="2"/>
  <c r="I3381" i="2"/>
  <c r="I3365" i="2"/>
  <c r="I3349" i="2"/>
  <c r="I3333" i="2"/>
  <c r="I3317" i="2"/>
  <c r="I3301" i="2"/>
  <c r="I3287" i="2"/>
  <c r="I3255" i="2"/>
  <c r="H3363" i="2"/>
  <c r="H3219" i="2"/>
  <c r="H3119" i="2"/>
  <c r="H3093" i="2"/>
  <c r="I3235" i="2"/>
  <c r="H3235" i="2"/>
  <c r="I3195" i="2"/>
  <c r="H3195" i="2"/>
  <c r="I3187" i="2"/>
  <c r="H3187" i="2"/>
  <c r="I3079" i="2"/>
  <c r="H3079" i="2"/>
  <c r="H3011" i="2"/>
  <c r="I3011" i="2"/>
  <c r="H3203" i="2"/>
  <c r="H3099" i="2"/>
  <c r="H3063" i="2"/>
  <c r="H3051" i="2"/>
  <c r="H3210" i="2"/>
  <c r="I3210" i="2"/>
  <c r="H3198" i="2"/>
  <c r="I3198" i="2"/>
  <c r="H3186" i="2"/>
  <c r="I3186" i="2"/>
  <c r="H3146" i="2"/>
  <c r="I3146" i="2"/>
  <c r="I3134" i="2"/>
  <c r="I3122" i="2"/>
  <c r="I3238" i="2"/>
  <c r="I3222" i="2"/>
  <c r="I3206" i="2"/>
  <c r="I3190" i="2"/>
  <c r="I3174" i="2"/>
  <c r="I3158" i="2"/>
  <c r="I3142" i="2"/>
  <c r="I3126" i="2"/>
  <c r="I3110" i="2"/>
  <c r="I3094" i="2"/>
  <c r="I3078" i="2"/>
  <c r="I3062" i="2"/>
  <c r="I3046" i="2"/>
  <c r="I3030" i="2"/>
  <c r="I3014" i="2"/>
  <c r="I3003" i="2"/>
  <c r="I2991" i="2"/>
  <c r="H3231" i="2"/>
  <c r="H3215" i="2"/>
  <c r="H3207" i="2"/>
  <c r="H3179" i="2"/>
  <c r="H3171" i="2"/>
  <c r="H3163" i="2"/>
  <c r="H3115" i="2"/>
  <c r="H3095" i="2"/>
  <c r="H3087" i="2"/>
  <c r="H3243" i="2"/>
  <c r="I3243" i="2"/>
  <c r="H3223" i="2"/>
  <c r="I3223" i="2"/>
  <c r="H3199" i="2"/>
  <c r="I3199" i="2"/>
  <c r="H3191" i="2"/>
  <c r="I3191" i="2"/>
  <c r="H3183" i="2"/>
  <c r="I3183" i="2"/>
  <c r="H3175" i="2"/>
  <c r="I3175" i="2"/>
  <c r="H3159" i="2"/>
  <c r="I3159" i="2"/>
  <c r="H3139" i="2"/>
  <c r="I3139" i="2"/>
  <c r="H3131" i="2"/>
  <c r="I3131" i="2"/>
  <c r="H3127" i="2"/>
  <c r="I3127" i="2"/>
  <c r="H3123" i="2"/>
  <c r="I3123" i="2"/>
  <c r="H3111" i="2"/>
  <c r="I3111" i="2"/>
  <c r="H3107" i="2"/>
  <c r="I3107" i="2"/>
  <c r="H3103" i="2"/>
  <c r="I3103" i="2"/>
  <c r="H3091" i="2"/>
  <c r="I3091" i="2"/>
  <c r="H3083" i="2"/>
  <c r="I3083" i="2"/>
  <c r="H3075" i="2"/>
  <c r="I3075" i="2"/>
  <c r="H3067" i="2"/>
  <c r="I3067" i="2"/>
  <c r="H3059" i="2"/>
  <c r="I3059" i="2"/>
  <c r="H3055" i="2"/>
  <c r="I3055" i="2"/>
  <c r="H3047" i="2"/>
  <c r="I3047" i="2"/>
  <c r="H3043" i="2"/>
  <c r="I3043" i="2"/>
  <c r="H3039" i="2"/>
  <c r="I3039" i="2"/>
  <c r="H2967" i="2"/>
  <c r="I2967" i="2"/>
  <c r="S3037" i="2"/>
  <c r="T3037" i="2" s="1"/>
  <c r="R3037" i="2"/>
  <c r="J3037" i="2"/>
  <c r="I3037" i="2"/>
  <c r="U3037" i="2"/>
  <c r="S3036" i="2"/>
  <c r="T3036" i="2" s="1"/>
  <c r="J3036" i="2"/>
  <c r="R3036" i="2"/>
  <c r="I3036" i="2"/>
  <c r="U3036" i="2"/>
  <c r="S3035" i="2"/>
  <c r="T3035" i="2" s="1"/>
  <c r="J3035" i="2"/>
  <c r="I3034" i="2"/>
  <c r="R3033" i="2"/>
  <c r="J3033" i="2"/>
  <c r="U3033" i="2"/>
  <c r="S3033" i="2"/>
  <c r="T3033" i="2" s="1"/>
  <c r="I3033" i="2"/>
  <c r="U3032" i="2"/>
  <c r="S3032" i="2"/>
  <c r="T3032" i="2" s="1"/>
  <c r="R3032" i="2"/>
  <c r="I3032" i="2"/>
  <c r="R3031" i="2"/>
  <c r="U3031" i="2"/>
  <c r="J3031" i="2"/>
  <c r="I3031" i="2"/>
  <c r="S3031" i="2"/>
  <c r="T3031" i="2" s="1"/>
  <c r="J3030" i="2"/>
  <c r="S3029" i="2"/>
  <c r="T3029" i="2" s="1"/>
  <c r="R3029" i="2"/>
  <c r="J3029" i="2"/>
  <c r="U3029" i="2"/>
  <c r="I3029" i="2"/>
  <c r="S3028" i="2"/>
  <c r="T3028" i="2" s="1"/>
  <c r="H3027" i="2"/>
  <c r="U3027" i="2"/>
  <c r="I3027" i="2"/>
  <c r="S3027" i="2"/>
  <c r="T3027" i="2" s="1"/>
  <c r="R3027" i="2"/>
  <c r="S3026" i="2"/>
  <c r="T3026" i="2" s="1"/>
  <c r="U3026" i="2"/>
  <c r="R3026" i="2"/>
  <c r="J3026" i="2"/>
  <c r="I3026" i="2"/>
  <c r="S3025" i="2"/>
  <c r="T3025" i="2" s="1"/>
  <c r="J3025" i="2"/>
  <c r="I3025" i="2"/>
  <c r="U3025" i="2"/>
  <c r="R3025" i="2"/>
  <c r="U3023" i="2"/>
  <c r="J3021" i="2"/>
  <c r="U3021" i="2"/>
  <c r="R3021" i="2"/>
  <c r="H3021" i="2"/>
  <c r="U3020" i="2"/>
  <c r="I3020" i="2"/>
  <c r="H3020" i="2"/>
  <c r="R3020" i="2"/>
  <c r="J3019" i="2"/>
  <c r="I3019" i="2"/>
  <c r="U3019" i="2"/>
  <c r="S3019" i="2"/>
  <c r="T3019" i="2" s="1"/>
  <c r="U3018" i="2"/>
  <c r="S3018" i="2"/>
  <c r="T3018" i="2" s="1"/>
  <c r="R3018" i="2"/>
  <c r="J3018" i="2"/>
  <c r="U3017" i="2"/>
  <c r="J3017" i="2"/>
  <c r="I3017" i="2"/>
  <c r="U3016" i="2"/>
  <c r="S3016" i="2"/>
  <c r="T3016" i="2" s="1"/>
  <c r="R3016" i="2"/>
  <c r="I3016" i="2"/>
  <c r="H3016" i="2"/>
  <c r="U3015" i="2"/>
  <c r="S3015" i="2"/>
  <c r="T3015" i="2" s="1"/>
  <c r="J3015" i="2"/>
  <c r="I3015" i="2"/>
  <c r="R3015" i="2"/>
  <c r="U3013" i="2"/>
  <c r="R3013" i="2"/>
  <c r="J3013" i="2"/>
  <c r="U3012" i="2"/>
  <c r="S3012" i="2"/>
  <c r="T3012" i="2" s="1"/>
  <c r="R3011" i="2"/>
  <c r="I3010" i="2"/>
  <c r="R3010" i="2"/>
  <c r="S3009" i="2"/>
  <c r="T3009" i="2" s="1"/>
  <c r="R3009" i="2"/>
  <c r="I3009" i="2"/>
  <c r="U3009" i="2"/>
  <c r="I3008" i="2"/>
  <c r="S3008" i="2"/>
  <c r="T3008" i="2" s="1"/>
  <c r="U3008" i="2"/>
  <c r="R3008" i="2"/>
  <c r="J3008" i="2"/>
  <c r="R3007" i="2"/>
  <c r="I3007" i="2"/>
  <c r="U3007" i="2"/>
  <c r="S3007" i="2"/>
  <c r="T3007" i="2" s="1"/>
  <c r="J3007" i="2"/>
  <c r="S3006" i="2"/>
  <c r="T3006" i="2" s="1"/>
  <c r="J3006" i="2"/>
  <c r="I3006" i="2"/>
  <c r="U3006" i="2"/>
  <c r="I3005" i="2"/>
  <c r="U3005" i="2"/>
  <c r="S3005" i="2"/>
  <c r="T3005" i="2" s="1"/>
  <c r="R3005" i="2"/>
  <c r="J3005" i="2"/>
  <c r="U3004" i="2"/>
  <c r="J3004" i="2"/>
  <c r="S3004" i="2"/>
  <c r="T3004" i="2" s="1"/>
  <c r="S3002" i="2"/>
  <c r="T3002" i="2" s="1"/>
  <c r="I3002" i="2"/>
  <c r="J3002" i="2"/>
  <c r="R3002" i="2"/>
  <c r="R3001" i="2"/>
  <c r="J3001" i="2"/>
  <c r="I3001" i="2"/>
  <c r="U3001" i="2"/>
  <c r="R3000" i="2"/>
  <c r="S3000" i="2"/>
  <c r="T3000" i="2" s="1"/>
  <c r="J3000" i="2"/>
  <c r="J2999" i="2"/>
  <c r="S2999" i="2"/>
  <c r="T2999" i="2" s="1"/>
  <c r="R2999" i="2"/>
  <c r="I2999" i="2"/>
  <c r="J2998" i="2"/>
  <c r="U2998" i="2"/>
  <c r="S2997" i="2"/>
  <c r="T2997" i="2" s="1"/>
  <c r="I2997" i="2"/>
  <c r="U2997" i="2"/>
  <c r="R2997" i="2"/>
  <c r="J2997" i="2"/>
  <c r="U2996" i="2"/>
  <c r="S2996" i="2"/>
  <c r="T2996" i="2" s="1"/>
  <c r="R2996" i="2"/>
  <c r="J2996" i="2"/>
  <c r="I2996" i="2"/>
  <c r="I2995" i="2"/>
  <c r="R2993" i="2"/>
  <c r="I2993" i="2"/>
  <c r="S2993" i="2"/>
  <c r="T2993" i="2" s="1"/>
  <c r="J2993" i="2"/>
  <c r="U2993" i="2"/>
  <c r="S2992" i="2"/>
  <c r="T2992" i="2" s="1"/>
  <c r="R2992" i="2"/>
  <c r="I2992" i="2"/>
  <c r="I2990" i="2"/>
  <c r="J2990" i="2"/>
  <c r="S2990" i="2"/>
  <c r="T2990" i="2" s="1"/>
  <c r="I2989" i="2"/>
  <c r="R2989" i="2"/>
  <c r="J2989" i="2"/>
  <c r="U2989" i="2"/>
  <c r="S2989" i="2"/>
  <c r="T2989" i="2" s="1"/>
  <c r="S2988" i="2"/>
  <c r="T2988" i="2" s="1"/>
  <c r="U2987" i="2"/>
  <c r="S2987" i="2"/>
  <c r="T2987" i="2" s="1"/>
  <c r="R2987" i="2"/>
  <c r="J2987" i="2"/>
  <c r="I2987" i="2"/>
  <c r="S2986" i="2"/>
  <c r="T2986" i="2" s="1"/>
  <c r="J2986" i="2"/>
  <c r="J2985" i="2"/>
  <c r="R2985" i="2"/>
  <c r="U2985" i="2"/>
  <c r="S2985" i="2"/>
  <c r="T2985" i="2" s="1"/>
  <c r="I2985" i="2"/>
  <c r="U2984" i="2"/>
  <c r="S2984" i="2"/>
  <c r="T2984" i="2" s="1"/>
  <c r="R2984" i="2"/>
  <c r="J2984" i="2"/>
  <c r="I2984" i="2"/>
  <c r="U2983" i="2"/>
  <c r="J2983" i="2"/>
  <c r="R2983" i="2"/>
  <c r="I2983" i="2"/>
  <c r="S2982" i="2"/>
  <c r="T2982" i="2" s="1"/>
  <c r="R2982" i="2"/>
  <c r="J2982" i="2"/>
  <c r="U2981" i="2"/>
  <c r="I2981" i="2"/>
  <c r="S2981" i="2"/>
  <c r="T2981" i="2" s="1"/>
  <c r="S2980" i="2"/>
  <c r="T2980" i="2" s="1"/>
  <c r="I2980" i="2"/>
  <c r="U2979" i="2"/>
  <c r="R2979" i="2"/>
  <c r="I2979" i="2"/>
  <c r="S2979" i="2"/>
  <c r="T2979" i="2" s="1"/>
  <c r="J2979" i="2"/>
  <c r="S2978" i="2"/>
  <c r="T2978" i="2" s="1"/>
  <c r="R2978" i="2"/>
  <c r="I2978" i="2"/>
  <c r="U2977" i="2"/>
  <c r="S2977" i="2"/>
  <c r="T2977" i="2" s="1"/>
  <c r="J2977" i="2"/>
  <c r="I2977" i="2"/>
  <c r="R2977" i="2"/>
  <c r="R2976" i="2"/>
  <c r="J2976" i="2"/>
  <c r="S2976" i="2"/>
  <c r="T2976" i="2" s="1"/>
  <c r="U2976" i="2"/>
  <c r="I2976" i="2"/>
  <c r="U2975" i="2"/>
  <c r="I2975" i="2"/>
  <c r="R2975" i="2"/>
  <c r="J2975" i="2"/>
  <c r="R2974" i="2"/>
  <c r="I2974" i="2"/>
  <c r="S2974" i="2"/>
  <c r="T2974" i="2" s="1"/>
  <c r="I2973" i="2"/>
  <c r="U2973" i="2"/>
  <c r="J2973" i="2"/>
  <c r="S2973" i="2"/>
  <c r="T2973" i="2" s="1"/>
  <c r="R2973" i="2"/>
  <c r="R2972" i="2"/>
  <c r="J2972" i="2"/>
  <c r="I2972" i="2"/>
  <c r="U2972" i="2"/>
  <c r="S2972" i="2"/>
  <c r="T2972" i="2" s="1"/>
  <c r="J2971" i="2"/>
  <c r="U2971" i="2"/>
  <c r="R2971" i="2"/>
  <c r="S2971" i="2"/>
  <c r="T2971" i="2" s="1"/>
  <c r="I2971" i="2"/>
  <c r="J2970" i="2"/>
  <c r="U2969" i="2"/>
  <c r="J2969" i="2"/>
  <c r="R2969" i="2"/>
  <c r="S2969" i="2"/>
  <c r="T2969" i="2" s="1"/>
  <c r="I2969" i="2"/>
  <c r="S2968" i="2"/>
  <c r="T2968" i="2" s="1"/>
  <c r="R2968" i="2"/>
  <c r="U2968" i="2"/>
  <c r="J2968" i="2"/>
  <c r="I2968" i="2"/>
  <c r="J2967" i="2"/>
  <c r="I2966" i="2"/>
  <c r="S2966" i="2"/>
  <c r="T2966" i="2" s="1"/>
  <c r="U2966" i="2"/>
  <c r="R2966" i="2"/>
  <c r="J2966" i="2"/>
  <c r="R2965" i="2"/>
  <c r="I2965" i="2"/>
  <c r="U2965" i="2"/>
  <c r="J2965" i="2"/>
  <c r="S2965" i="2"/>
  <c r="T2965" i="2" s="1"/>
  <c r="U2964" i="2"/>
  <c r="S2964" i="2"/>
  <c r="T2964" i="2" s="1"/>
  <c r="R2964" i="2"/>
  <c r="J2964" i="2"/>
  <c r="I2964" i="2"/>
  <c r="R2963" i="2"/>
  <c r="U2961" i="2"/>
  <c r="S2961" i="2"/>
  <c r="T2961" i="2" s="1"/>
  <c r="R2961" i="2"/>
  <c r="J2961" i="2"/>
  <c r="I2961" i="2"/>
  <c r="S2960" i="2"/>
  <c r="T2960" i="2" s="1"/>
  <c r="I2960" i="2"/>
  <c r="R2960" i="2"/>
  <c r="J2960" i="2"/>
  <c r="U2960" i="2"/>
  <c r="S2959" i="2"/>
  <c r="T2959" i="2" s="1"/>
  <c r="J2959" i="2"/>
  <c r="U2959" i="2"/>
  <c r="R2959" i="2"/>
  <c r="I2959" i="2"/>
  <c r="J2957" i="2"/>
  <c r="I2957" i="2"/>
  <c r="R2957" i="2"/>
  <c r="U2957" i="2"/>
  <c r="S2957" i="2"/>
  <c r="T2957" i="2" s="1"/>
  <c r="R2956" i="2"/>
  <c r="J2956" i="2"/>
  <c r="U2955" i="2"/>
  <c r="R2955" i="2"/>
  <c r="I2955" i="2"/>
  <c r="R2954" i="2"/>
  <c r="S2954" i="2"/>
  <c r="T2954" i="2" s="1"/>
  <c r="U2953" i="2"/>
  <c r="S2953" i="2"/>
  <c r="T2953" i="2" s="1"/>
  <c r="J2953" i="2"/>
  <c r="R2953" i="2"/>
  <c r="I2953" i="2"/>
  <c r="U2952" i="2"/>
  <c r="I2952" i="2"/>
  <c r="J2952" i="2"/>
  <c r="R2951" i="2"/>
  <c r="J2951" i="2"/>
  <c r="I2951" i="2"/>
  <c r="U2951" i="2"/>
  <c r="S2950" i="2"/>
  <c r="T2950" i="2" s="1"/>
  <c r="U2949" i="2"/>
  <c r="S2949" i="2"/>
  <c r="T2949" i="2" s="1"/>
  <c r="J2948" i="2"/>
  <c r="S2947" i="2"/>
  <c r="T2947" i="2" s="1"/>
  <c r="R2947" i="2"/>
  <c r="J2947" i="2"/>
  <c r="U2947" i="2"/>
  <c r="I2947" i="2"/>
  <c r="I2946" i="2"/>
  <c r="J2946" i="2"/>
  <c r="U2946" i="2"/>
  <c r="S2946" i="2"/>
  <c r="T2946" i="2" s="1"/>
  <c r="R2946" i="2"/>
  <c r="U2945" i="2"/>
  <c r="I2945" i="2"/>
  <c r="S2944" i="2"/>
  <c r="T2944" i="2" s="1"/>
  <c r="J2944" i="2"/>
  <c r="I2944" i="2"/>
  <c r="J2943" i="2"/>
  <c r="R2943" i="2"/>
  <c r="I2943" i="2"/>
  <c r="U2943" i="2"/>
  <c r="S2943" i="2"/>
  <c r="T2943" i="2" s="1"/>
  <c r="S2941" i="2"/>
  <c r="T2941" i="2" s="1"/>
  <c r="R2941" i="2"/>
  <c r="J2941" i="2"/>
  <c r="U2941" i="2"/>
  <c r="I2941" i="2"/>
  <c r="S2940" i="2"/>
  <c r="T2940" i="2" s="1"/>
  <c r="I2940" i="2"/>
  <c r="U2940" i="2"/>
  <c r="R2940" i="2"/>
  <c r="R2939" i="2"/>
  <c r="U2939" i="2"/>
  <c r="S2939" i="2"/>
  <c r="T2939" i="2" s="1"/>
  <c r="J2939" i="2"/>
  <c r="R2938" i="2"/>
  <c r="U2938" i="2"/>
  <c r="S2937" i="2"/>
  <c r="T2937" i="2" s="1"/>
  <c r="U2937" i="2"/>
  <c r="J2937" i="2"/>
  <c r="I2937" i="2"/>
  <c r="U2936" i="2"/>
  <c r="S2936" i="2"/>
  <c r="T2936" i="2" s="1"/>
  <c r="R2936" i="2"/>
  <c r="J2936" i="2"/>
  <c r="J2935" i="2"/>
  <c r="H2935" i="2"/>
  <c r="U2935" i="2"/>
  <c r="S2935" i="2"/>
  <c r="T2935" i="2" s="1"/>
  <c r="I2935" i="2"/>
  <c r="S2934" i="2"/>
  <c r="T2934" i="2" s="1"/>
  <c r="J2934" i="2"/>
  <c r="U2934" i="2"/>
  <c r="R2934" i="2"/>
  <c r="I2934" i="2"/>
  <c r="S2933" i="2"/>
  <c r="T2933" i="2" s="1"/>
  <c r="J2933" i="2"/>
  <c r="I2933" i="2"/>
  <c r="U2933" i="2"/>
  <c r="R2933" i="2"/>
  <c r="R2931" i="2"/>
  <c r="J2931" i="2"/>
  <c r="U2930" i="2"/>
  <c r="I2930" i="2"/>
  <c r="S2930" i="2"/>
  <c r="T2930" i="2" s="1"/>
  <c r="R2930" i="2"/>
  <c r="J2930" i="2"/>
  <c r="J2929" i="2"/>
  <c r="I2929" i="2"/>
  <c r="S2929" i="2"/>
  <c r="T2929" i="2" s="1"/>
  <c r="U2929" i="2"/>
  <c r="R2929" i="2"/>
  <c r="R2928" i="2"/>
  <c r="H2928" i="2"/>
  <c r="U2928" i="2"/>
  <c r="S2928" i="2"/>
  <c r="T2928" i="2" s="1"/>
  <c r="H2927" i="2"/>
  <c r="R2927" i="2"/>
  <c r="J2927" i="2"/>
  <c r="I2927" i="2"/>
  <c r="U2926" i="2"/>
  <c r="R2926" i="2"/>
  <c r="J2926" i="2"/>
  <c r="S2925" i="2"/>
  <c r="T2925" i="2" s="1"/>
  <c r="J2925" i="2"/>
  <c r="S2924" i="2"/>
  <c r="T2924" i="2" s="1"/>
  <c r="U2924" i="2"/>
  <c r="R2924" i="2"/>
  <c r="I2924" i="2"/>
  <c r="H2924" i="2"/>
  <c r="U2923" i="2"/>
  <c r="S2923" i="2"/>
  <c r="T2923" i="2" s="1"/>
  <c r="J2923" i="2"/>
  <c r="I2923" i="2"/>
  <c r="R2923" i="2"/>
  <c r="R2922" i="2"/>
  <c r="I2922" i="2"/>
  <c r="J2922" i="2"/>
  <c r="S2922" i="2"/>
  <c r="T2922" i="2" s="1"/>
  <c r="R2921" i="2"/>
  <c r="I2921" i="2"/>
  <c r="U2921" i="2"/>
  <c r="S2921" i="2"/>
  <c r="T2921" i="2" s="1"/>
  <c r="J2921" i="2"/>
  <c r="J2919" i="2"/>
  <c r="I2919" i="2"/>
  <c r="U2919" i="2"/>
  <c r="S2919" i="2"/>
  <c r="T2919" i="2" s="1"/>
  <c r="R2919" i="2"/>
  <c r="S2918" i="2"/>
  <c r="T2918" i="2" s="1"/>
  <c r="J2918" i="2"/>
  <c r="R2918" i="2"/>
  <c r="I2918" i="2"/>
  <c r="S2917" i="2"/>
  <c r="T2917" i="2" s="1"/>
  <c r="I2917" i="2"/>
  <c r="U2917" i="2"/>
  <c r="R2917" i="2"/>
  <c r="J2917" i="2"/>
  <c r="R2916" i="2"/>
  <c r="I2916" i="2"/>
  <c r="S2916" i="2"/>
  <c r="T2916" i="2" s="1"/>
  <c r="U2916" i="2"/>
  <c r="J2916" i="2"/>
  <c r="S2915" i="2"/>
  <c r="T2915" i="2" s="1"/>
  <c r="R2915" i="2"/>
  <c r="U2915" i="2"/>
  <c r="J2915" i="2"/>
  <c r="I2915" i="2"/>
  <c r="R2913" i="2"/>
  <c r="I2913" i="2"/>
  <c r="U2913" i="2"/>
  <c r="S2913" i="2"/>
  <c r="T2913" i="2" s="1"/>
  <c r="J2913" i="2"/>
  <c r="J2911" i="2"/>
  <c r="I2910" i="2"/>
  <c r="S2909" i="2"/>
  <c r="T2909" i="2" s="1"/>
  <c r="I2909" i="2"/>
  <c r="U2909" i="2"/>
  <c r="R2909" i="2"/>
  <c r="J2909" i="2"/>
  <c r="U2908" i="2"/>
  <c r="R2907" i="2"/>
  <c r="U2907" i="2"/>
  <c r="S2907" i="2"/>
  <c r="T2907" i="2" s="1"/>
  <c r="J2907" i="2"/>
  <c r="I2907" i="2"/>
  <c r="R2905" i="2"/>
  <c r="U2905" i="2"/>
  <c r="J2905" i="2"/>
  <c r="S2905" i="2"/>
  <c r="T2905" i="2" s="1"/>
  <c r="I2905" i="2"/>
  <c r="U2904" i="2"/>
  <c r="S2904" i="2"/>
  <c r="T2904" i="2" s="1"/>
  <c r="J2904" i="2"/>
  <c r="H2904" i="2"/>
  <c r="I2904" i="2"/>
  <c r="H2903" i="2"/>
  <c r="R2903" i="2"/>
  <c r="U2901" i="2"/>
  <c r="I2901" i="2"/>
  <c r="R2900" i="2"/>
  <c r="J2899" i="2"/>
  <c r="I2899" i="2"/>
  <c r="S2898" i="2"/>
  <c r="T2898" i="2" s="1"/>
  <c r="R2897" i="2"/>
  <c r="S2897" i="2"/>
  <c r="T2897" i="2" s="1"/>
  <c r="I2897" i="2"/>
  <c r="U2897" i="2"/>
  <c r="J2897" i="2"/>
  <c r="U2896" i="2"/>
  <c r="S2896" i="2"/>
  <c r="T2896" i="2" s="1"/>
  <c r="R2896" i="2"/>
  <c r="H2896" i="2"/>
  <c r="J2896" i="2"/>
  <c r="U2895" i="2"/>
  <c r="S2895" i="2"/>
  <c r="T2895" i="2" s="1"/>
  <c r="I2895" i="2"/>
  <c r="H2895" i="2"/>
  <c r="R2895" i="2"/>
  <c r="R2893" i="2"/>
  <c r="S2893" i="2"/>
  <c r="T2893" i="2" s="1"/>
  <c r="U2893" i="2"/>
  <c r="J2893" i="2"/>
  <c r="I2893" i="2"/>
  <c r="S2892" i="2"/>
  <c r="T2892" i="2" s="1"/>
  <c r="R2891" i="2"/>
  <c r="U2890" i="2"/>
  <c r="S2890" i="2"/>
  <c r="T2890" i="2" s="1"/>
  <c r="R2890" i="2"/>
  <c r="I2890" i="2"/>
  <c r="S2889" i="2"/>
  <c r="T2889" i="2" s="1"/>
  <c r="I2889" i="2"/>
  <c r="R2889" i="2"/>
  <c r="J2889" i="2"/>
  <c r="U2889" i="2"/>
  <c r="R2888" i="2"/>
  <c r="S2888" i="2"/>
  <c r="T2888" i="2" s="1"/>
  <c r="I2888" i="2"/>
  <c r="I2887" i="2"/>
  <c r="S2886" i="2"/>
  <c r="T2886" i="2" s="1"/>
  <c r="J2886" i="2"/>
  <c r="J2885" i="2"/>
  <c r="U2885" i="2"/>
  <c r="S2885" i="2"/>
  <c r="T2885" i="2" s="1"/>
  <c r="R2885" i="2"/>
  <c r="I2885" i="2"/>
  <c r="U2884" i="2"/>
  <c r="J2884" i="2"/>
  <c r="S2884" i="2"/>
  <c r="T2884" i="2" s="1"/>
  <c r="I2884" i="2"/>
  <c r="R2883" i="2"/>
  <c r="I2883" i="2"/>
  <c r="S2882" i="2"/>
  <c r="T2882" i="2" s="1"/>
  <c r="S2881" i="2"/>
  <c r="T2881" i="2" s="1"/>
  <c r="I2881" i="2"/>
  <c r="U2881" i="2"/>
  <c r="S2880" i="2"/>
  <c r="T2880" i="2" s="1"/>
  <c r="R2880" i="2"/>
  <c r="S2879" i="2"/>
  <c r="T2879" i="2" s="1"/>
  <c r="I2877" i="2"/>
  <c r="R2875" i="2"/>
  <c r="J2874" i="2"/>
  <c r="S2873" i="2"/>
  <c r="T2873" i="2" s="1"/>
  <c r="J2873" i="2"/>
  <c r="I2873" i="2"/>
  <c r="U2873" i="2"/>
  <c r="R2873" i="2"/>
  <c r="R2871" i="2"/>
  <c r="I2871" i="2"/>
  <c r="S2871" i="2"/>
  <c r="T2871" i="2" s="1"/>
  <c r="H2871" i="2"/>
  <c r="I2869" i="2"/>
  <c r="U2869" i="2"/>
  <c r="S2869" i="2"/>
  <c r="T2869" i="2" s="1"/>
  <c r="R2869" i="2"/>
  <c r="J2869" i="2"/>
  <c r="J2868" i="2"/>
  <c r="S2867" i="2"/>
  <c r="T2867" i="2" s="1"/>
  <c r="I2867" i="2"/>
  <c r="U2867" i="2"/>
  <c r="U2866" i="2"/>
  <c r="R2866" i="2"/>
  <c r="J2866" i="2"/>
  <c r="I2866" i="2"/>
  <c r="S2865" i="2"/>
  <c r="T2865" i="2" s="1"/>
  <c r="I2865" i="2"/>
  <c r="R2865" i="2"/>
  <c r="J2865" i="2"/>
  <c r="U2865" i="2"/>
  <c r="H2864" i="2"/>
  <c r="J2863" i="2"/>
  <c r="R2861" i="2"/>
  <c r="S2861" i="2"/>
  <c r="T2861" i="2" s="1"/>
  <c r="U2860" i="2"/>
  <c r="H2860" i="2"/>
  <c r="R2860" i="2"/>
  <c r="J2860" i="2"/>
  <c r="U2859" i="2"/>
  <c r="S2859" i="2"/>
  <c r="T2859" i="2" s="1"/>
  <c r="R2859" i="2"/>
  <c r="J2859" i="2"/>
  <c r="I2859" i="2"/>
  <c r="J2858" i="2"/>
  <c r="S2857" i="2"/>
  <c r="T2857" i="2" s="1"/>
  <c r="R2857" i="2"/>
  <c r="J2857" i="2"/>
  <c r="U2857" i="2"/>
  <c r="I2857" i="2"/>
  <c r="S2856" i="2"/>
  <c r="T2856" i="2" s="1"/>
  <c r="J2856" i="2"/>
  <c r="I2856" i="2"/>
  <c r="H2856" i="2"/>
  <c r="J2855" i="2"/>
  <c r="R2855" i="2"/>
  <c r="I2855" i="2"/>
  <c r="U2855" i="2"/>
  <c r="S2855" i="2"/>
  <c r="T2855" i="2" s="1"/>
  <c r="I2854" i="2"/>
  <c r="S2853" i="2"/>
  <c r="T2853" i="2" s="1"/>
  <c r="R2853" i="2"/>
  <c r="J2853" i="2"/>
  <c r="U2853" i="2"/>
  <c r="I2853" i="2"/>
  <c r="S2852" i="2"/>
  <c r="T2852" i="2" s="1"/>
  <c r="U2852" i="2"/>
  <c r="R2852" i="2"/>
  <c r="I2852" i="2"/>
  <c r="J2852" i="2"/>
  <c r="R2850" i="2"/>
  <c r="U2850" i="2"/>
  <c r="S2850" i="2"/>
  <c r="T2850" i="2" s="1"/>
  <c r="J2850" i="2"/>
  <c r="I2850" i="2"/>
  <c r="R2849" i="2"/>
  <c r="J2849" i="2"/>
  <c r="U2849" i="2"/>
  <c r="S2849" i="2"/>
  <c r="T2849" i="2" s="1"/>
  <c r="I2849" i="2"/>
  <c r="S2848" i="2"/>
  <c r="T2848" i="2" s="1"/>
  <c r="R2848" i="2"/>
  <c r="I2848" i="2"/>
  <c r="J2848" i="2"/>
  <c r="U2847" i="2"/>
  <c r="J2847" i="2"/>
  <c r="U2846" i="2"/>
  <c r="S2846" i="2"/>
  <c r="T2846" i="2" s="1"/>
  <c r="R2846" i="2"/>
  <c r="U2845" i="2"/>
  <c r="R2845" i="2"/>
  <c r="S2845" i="2"/>
  <c r="T2845" i="2" s="1"/>
  <c r="I2845" i="2"/>
  <c r="R2844" i="2"/>
  <c r="J2844" i="2"/>
  <c r="I2844" i="2"/>
  <c r="S2844" i="2"/>
  <c r="T2844" i="2" s="1"/>
  <c r="R2843" i="2"/>
  <c r="U2841" i="2"/>
  <c r="S2841" i="2"/>
  <c r="T2841" i="2" s="1"/>
  <c r="R2841" i="2"/>
  <c r="U2839" i="2"/>
  <c r="J2839" i="2"/>
  <c r="S2838" i="2"/>
  <c r="T2838" i="2" s="1"/>
  <c r="J2838" i="2"/>
  <c r="R2838" i="2"/>
  <c r="J2837" i="2"/>
  <c r="R2837" i="2"/>
  <c r="U2837" i="2"/>
  <c r="S2837" i="2"/>
  <c r="T2837" i="2" s="1"/>
  <c r="I2837" i="2"/>
  <c r="R2836" i="2"/>
  <c r="U2835" i="2"/>
  <c r="J2835" i="2"/>
  <c r="I2835" i="2"/>
  <c r="S2834" i="2"/>
  <c r="T2834" i="2" s="1"/>
  <c r="U2834" i="2"/>
  <c r="I2834" i="2"/>
  <c r="R2834" i="2"/>
  <c r="J2834" i="2"/>
  <c r="J2833" i="2"/>
  <c r="U2833" i="2"/>
  <c r="S2833" i="2"/>
  <c r="T2833" i="2" s="1"/>
  <c r="R2833" i="2"/>
  <c r="I2833" i="2"/>
  <c r="H2832" i="2"/>
  <c r="U2832" i="2"/>
  <c r="S2832" i="2"/>
  <c r="T2832" i="2" s="1"/>
  <c r="I2832" i="2"/>
  <c r="R2832" i="2"/>
  <c r="U2831" i="2"/>
  <c r="R2831" i="2"/>
  <c r="J2831" i="2"/>
  <c r="I2831" i="2"/>
  <c r="H2831" i="2"/>
  <c r="R2830" i="2"/>
  <c r="U2830" i="2"/>
  <c r="S2830" i="2"/>
  <c r="T2830" i="2" s="1"/>
  <c r="U2829" i="2"/>
  <c r="J2829" i="2"/>
  <c r="S2829" i="2"/>
  <c r="T2829" i="2" s="1"/>
  <c r="R2829" i="2"/>
  <c r="I2829" i="2"/>
  <c r="I2828" i="2"/>
  <c r="S2828" i="2"/>
  <c r="T2828" i="2" s="1"/>
  <c r="H2828" i="2"/>
  <c r="U2828" i="2"/>
  <c r="R2828" i="2"/>
  <c r="S2826" i="2"/>
  <c r="T2826" i="2" s="1"/>
  <c r="I2826" i="2"/>
  <c r="U2825" i="2"/>
  <c r="R2825" i="2"/>
  <c r="I2825" i="2"/>
  <c r="S2825" i="2"/>
  <c r="T2825" i="2" s="1"/>
  <c r="J2825" i="2"/>
  <c r="U2824" i="2"/>
  <c r="J2824" i="2"/>
  <c r="I2824" i="2"/>
  <c r="H2824" i="2"/>
  <c r="S2824" i="2"/>
  <c r="T2824" i="2" s="1"/>
  <c r="U2822" i="2"/>
  <c r="U2821" i="2"/>
  <c r="S2821" i="2"/>
  <c r="T2821" i="2" s="1"/>
  <c r="J2821" i="2"/>
  <c r="R2821" i="2"/>
  <c r="I2821" i="2"/>
  <c r="R2820" i="2"/>
  <c r="R2819" i="2"/>
  <c r="S2819" i="2"/>
  <c r="T2819" i="2" s="1"/>
  <c r="R2818" i="2"/>
  <c r="I2818" i="2"/>
  <c r="S2818" i="2"/>
  <c r="T2818" i="2" s="1"/>
  <c r="J2817" i="2"/>
  <c r="S2817" i="2"/>
  <c r="T2817" i="2" s="1"/>
  <c r="U2817" i="2"/>
  <c r="R2817" i="2"/>
  <c r="I2817" i="2"/>
  <c r="U2816" i="2"/>
  <c r="S2816" i="2"/>
  <c r="T2816" i="2" s="1"/>
  <c r="R2816" i="2"/>
  <c r="J2816" i="2"/>
  <c r="R2815" i="2"/>
  <c r="J2815" i="2"/>
  <c r="S2815" i="2"/>
  <c r="T2815" i="2" s="1"/>
  <c r="I2815" i="2"/>
  <c r="S2814" i="2"/>
  <c r="T2814" i="2" s="1"/>
  <c r="R2814" i="2"/>
  <c r="I2814" i="2"/>
  <c r="J2814" i="2"/>
  <c r="U2814" i="2"/>
  <c r="J2813" i="2"/>
  <c r="U2813" i="2"/>
  <c r="S2813" i="2"/>
  <c r="T2813" i="2" s="1"/>
  <c r="R2813" i="2"/>
  <c r="I2813" i="2"/>
  <c r="J2811" i="2"/>
  <c r="I2810" i="2"/>
  <c r="U2810" i="2"/>
  <c r="S2810" i="2"/>
  <c r="T2810" i="2" s="1"/>
  <c r="R2810" i="2"/>
  <c r="J2810" i="2"/>
  <c r="R2809" i="2"/>
  <c r="J2809" i="2"/>
  <c r="S2809" i="2"/>
  <c r="T2809" i="2" s="1"/>
  <c r="U2809" i="2"/>
  <c r="I2809" i="2"/>
  <c r="R2808" i="2"/>
  <c r="U2808" i="2"/>
  <c r="S2808" i="2"/>
  <c r="T2808" i="2" s="1"/>
  <c r="I2808" i="2"/>
  <c r="H2808" i="2"/>
  <c r="J2807" i="2"/>
  <c r="I2807" i="2"/>
  <c r="U2807" i="2"/>
  <c r="R2807" i="2"/>
  <c r="J2806" i="2"/>
  <c r="R2805" i="2"/>
  <c r="J2805" i="2"/>
  <c r="I2805" i="2"/>
  <c r="S2804" i="2"/>
  <c r="T2804" i="2" s="1"/>
  <c r="R2804" i="2"/>
  <c r="I2804" i="2"/>
  <c r="H2804" i="2"/>
  <c r="U2804" i="2"/>
  <c r="J2803" i="2"/>
  <c r="I2803" i="2"/>
  <c r="H2803" i="2"/>
  <c r="U2803" i="2"/>
  <c r="S2801" i="2"/>
  <c r="T2801" i="2" s="1"/>
  <c r="J2801" i="2"/>
  <c r="U2801" i="2"/>
  <c r="I2801" i="2"/>
  <c r="R2801" i="2"/>
  <c r="J2800" i="2"/>
  <c r="U2799" i="2"/>
  <c r="S2799" i="2"/>
  <c r="T2799" i="2" s="1"/>
  <c r="I2799" i="2"/>
  <c r="J2799" i="2"/>
  <c r="J2798" i="2"/>
  <c r="I2798" i="2"/>
  <c r="S2797" i="2"/>
  <c r="T2797" i="2" s="1"/>
  <c r="R2797" i="2"/>
  <c r="J2797" i="2"/>
  <c r="I2797" i="2"/>
  <c r="U2797" i="2"/>
  <c r="I2796" i="2"/>
  <c r="S2796" i="2"/>
  <c r="T2796" i="2" s="1"/>
  <c r="R2796" i="2"/>
  <c r="R2795" i="2"/>
  <c r="I2795" i="2"/>
  <c r="S2795" i="2"/>
  <c r="T2795" i="2" s="1"/>
  <c r="J2795" i="2"/>
  <c r="U2795" i="2"/>
  <c r="U2794" i="2"/>
  <c r="S2794" i="2"/>
  <c r="T2794" i="2" s="1"/>
  <c r="I2794" i="2"/>
  <c r="J2794" i="2"/>
  <c r="I2793" i="2"/>
  <c r="J2793" i="2"/>
  <c r="S2793" i="2"/>
  <c r="T2793" i="2" s="1"/>
  <c r="R2793" i="2"/>
  <c r="U2793" i="2"/>
  <c r="U2792" i="2"/>
  <c r="R2792" i="2"/>
  <c r="J2792" i="2"/>
  <c r="S2792" i="2"/>
  <c r="T2792" i="2" s="1"/>
  <c r="I2792" i="2"/>
  <c r="R2791" i="2"/>
  <c r="U2791" i="2"/>
  <c r="S2791" i="2"/>
  <c r="T2791" i="2" s="1"/>
  <c r="R2790" i="2"/>
  <c r="U2790" i="2"/>
  <c r="S2789" i="2"/>
  <c r="T2789" i="2" s="1"/>
  <c r="I2789" i="2"/>
  <c r="U2789" i="2"/>
  <c r="J2789" i="2"/>
  <c r="R2789" i="2"/>
  <c r="U2788" i="2"/>
  <c r="S2788" i="2"/>
  <c r="T2788" i="2" s="1"/>
  <c r="R2788" i="2"/>
  <c r="U2786" i="2"/>
  <c r="I2786" i="2"/>
  <c r="U2785" i="2"/>
  <c r="R2785" i="2"/>
  <c r="J2785" i="2"/>
  <c r="I2785" i="2"/>
  <c r="S2785" i="2"/>
  <c r="T2785" i="2" s="1"/>
  <c r="J2784" i="2"/>
  <c r="U2784" i="2"/>
  <c r="S2784" i="2"/>
  <c r="T2784" i="2" s="1"/>
  <c r="J2782" i="2"/>
  <c r="S2782" i="2"/>
  <c r="T2782" i="2" s="1"/>
  <c r="U2782" i="2"/>
  <c r="R2782" i="2"/>
  <c r="I2782" i="2"/>
  <c r="R2781" i="2"/>
  <c r="U2781" i="2"/>
  <c r="I2781" i="2"/>
  <c r="S2781" i="2"/>
  <c r="T2781" i="2" s="1"/>
  <c r="J2781" i="2"/>
  <c r="U2780" i="2"/>
  <c r="S2780" i="2"/>
  <c r="T2780" i="2" s="1"/>
  <c r="R2780" i="2"/>
  <c r="J2780" i="2"/>
  <c r="U2778" i="2"/>
  <c r="S2778" i="2"/>
  <c r="T2778" i="2" s="1"/>
  <c r="S2777" i="2"/>
  <c r="T2777" i="2" s="1"/>
  <c r="U2777" i="2"/>
  <c r="U2776" i="2"/>
  <c r="I2776" i="2"/>
  <c r="H2776" i="2"/>
  <c r="S2776" i="2"/>
  <c r="T2776" i="2" s="1"/>
  <c r="R2776" i="2"/>
  <c r="I2774" i="2"/>
  <c r="U2774" i="2"/>
  <c r="U2773" i="2"/>
  <c r="R2773" i="2"/>
  <c r="I2773" i="2"/>
  <c r="J2773" i="2"/>
  <c r="H2773" i="2"/>
  <c r="J2772" i="2"/>
  <c r="R2772" i="2"/>
  <c r="H2772" i="2"/>
  <c r="U2772" i="2"/>
  <c r="S2772" i="2"/>
  <c r="T2772" i="2" s="1"/>
  <c r="H2771" i="2"/>
  <c r="R2771" i="2"/>
  <c r="J2771" i="2"/>
  <c r="I2771" i="2"/>
  <c r="U2770" i="2"/>
  <c r="R2770" i="2"/>
  <c r="R2769" i="2"/>
  <c r="U2769" i="2"/>
  <c r="S2769" i="2"/>
  <c r="T2769" i="2" s="1"/>
  <c r="J2769" i="2"/>
  <c r="I2769" i="2"/>
  <c r="U2767" i="2"/>
  <c r="J2767" i="2"/>
  <c r="S2767" i="2"/>
  <c r="T2767" i="2" s="1"/>
  <c r="R2767" i="2"/>
  <c r="H2767" i="2"/>
  <c r="S2766" i="2"/>
  <c r="T2766" i="2" s="1"/>
  <c r="I2766" i="2"/>
  <c r="R2766" i="2"/>
  <c r="U2766" i="2"/>
  <c r="J2766" i="2"/>
  <c r="R2765" i="2"/>
  <c r="S2765" i="2"/>
  <c r="T2765" i="2" s="1"/>
  <c r="U2765" i="2"/>
  <c r="J2765" i="2"/>
  <c r="I2765" i="2"/>
  <c r="S2764" i="2"/>
  <c r="T2764" i="2" s="1"/>
  <c r="J2764" i="2"/>
  <c r="U2764" i="2"/>
  <c r="I2764" i="2"/>
  <c r="H2764" i="2"/>
  <c r="S2763" i="2"/>
  <c r="T2763" i="2" s="1"/>
  <c r="R2763" i="2"/>
  <c r="U2763" i="2"/>
  <c r="I2763" i="2"/>
  <c r="H2763" i="2"/>
  <c r="I2762" i="2"/>
  <c r="U2762" i="2"/>
  <c r="S2762" i="2"/>
  <c r="T2762" i="2" s="1"/>
  <c r="J2762" i="2"/>
  <c r="U2761" i="2"/>
  <c r="R2761" i="2"/>
  <c r="J2761" i="2"/>
  <c r="I2761" i="2"/>
  <c r="S2761" i="2"/>
  <c r="T2761" i="2" s="1"/>
  <c r="R2758" i="2"/>
  <c r="U2758" i="2"/>
  <c r="S2758" i="2"/>
  <c r="T2758" i="2" s="1"/>
  <c r="J2758" i="2"/>
  <c r="J2757" i="2"/>
  <c r="U2757" i="2"/>
  <c r="R2757" i="2"/>
  <c r="I2757" i="2"/>
  <c r="S2756" i="2"/>
  <c r="T2756" i="2" s="1"/>
  <c r="I2756" i="2"/>
  <c r="R2756" i="2"/>
  <c r="J2755" i="2"/>
  <c r="I2754" i="2"/>
  <c r="S2753" i="2"/>
  <c r="T2753" i="2" s="1"/>
  <c r="U2753" i="2"/>
  <c r="R2753" i="2"/>
  <c r="J2753" i="2"/>
  <c r="I2753" i="2"/>
  <c r="U2752" i="2"/>
  <c r="S2752" i="2"/>
  <c r="T2752" i="2" s="1"/>
  <c r="U2751" i="2"/>
  <c r="S2751" i="2"/>
  <c r="T2751" i="2" s="1"/>
  <c r="S2750" i="2"/>
  <c r="T2750" i="2" s="1"/>
  <c r="R2750" i="2"/>
  <c r="J2750" i="2"/>
  <c r="J2749" i="2"/>
  <c r="U2749" i="2"/>
  <c r="S2749" i="2"/>
  <c r="T2749" i="2" s="1"/>
  <c r="I2749" i="2"/>
  <c r="R2748" i="2"/>
  <c r="I2748" i="2"/>
  <c r="J2747" i="2"/>
  <c r="U2746" i="2"/>
  <c r="J2746" i="2"/>
  <c r="I2746" i="2"/>
  <c r="S2745" i="2"/>
  <c r="T2745" i="2" s="1"/>
  <c r="U2745" i="2"/>
  <c r="J2745" i="2"/>
  <c r="R2745" i="2"/>
  <c r="I2745" i="2"/>
  <c r="U2744" i="2"/>
  <c r="S2744" i="2"/>
  <c r="T2744" i="2" s="1"/>
  <c r="I2744" i="2"/>
  <c r="J2744" i="2"/>
  <c r="J2743" i="2"/>
  <c r="I2742" i="2"/>
  <c r="U2741" i="2"/>
  <c r="S2741" i="2"/>
  <c r="T2741" i="2" s="1"/>
  <c r="R2741" i="2"/>
  <c r="J2741" i="2"/>
  <c r="I2741" i="2"/>
  <c r="I2739" i="2"/>
  <c r="S2738" i="2"/>
  <c r="T2738" i="2" s="1"/>
  <c r="U2738" i="2"/>
  <c r="R2738" i="2"/>
  <c r="I2737" i="2"/>
  <c r="U2737" i="2"/>
  <c r="R2737" i="2"/>
  <c r="S2737" i="2"/>
  <c r="T2737" i="2" s="1"/>
  <c r="J2737" i="2"/>
  <c r="J2736" i="2"/>
  <c r="R2734" i="2"/>
  <c r="J2734" i="2"/>
  <c r="I2734" i="2"/>
  <c r="R2733" i="2"/>
  <c r="S2733" i="2"/>
  <c r="T2733" i="2" s="1"/>
  <c r="J2733" i="2"/>
  <c r="U2733" i="2"/>
  <c r="I2733" i="2"/>
  <c r="I2732" i="2"/>
  <c r="U2732" i="2"/>
  <c r="S2732" i="2"/>
  <c r="T2732" i="2" s="1"/>
  <c r="R2732" i="2"/>
  <c r="R2731" i="2"/>
  <c r="I2731" i="2"/>
  <c r="U2731" i="2"/>
  <c r="S2731" i="2"/>
  <c r="T2731" i="2" s="1"/>
  <c r="J2731" i="2"/>
  <c r="S2730" i="2"/>
  <c r="T2730" i="2" s="1"/>
  <c r="I2730" i="2"/>
  <c r="U2730" i="2"/>
  <c r="R2730" i="2"/>
  <c r="J2730" i="2"/>
  <c r="R2729" i="2"/>
  <c r="U2729" i="2"/>
  <c r="S2729" i="2"/>
  <c r="T2729" i="2" s="1"/>
  <c r="J2729" i="2"/>
  <c r="I2729" i="2"/>
  <c r="H2728" i="2"/>
  <c r="U2728" i="2"/>
  <c r="S2728" i="2"/>
  <c r="T2728" i="2" s="1"/>
  <c r="R2727" i="2"/>
  <c r="I2727" i="2"/>
  <c r="H2727" i="2"/>
  <c r="S2727" i="2"/>
  <c r="T2727" i="2" s="1"/>
  <c r="S2726" i="2"/>
  <c r="T2726" i="2" s="1"/>
  <c r="I2726" i="2"/>
  <c r="J2726" i="2"/>
  <c r="R2725" i="2"/>
  <c r="J2725" i="2"/>
  <c r="I2725" i="2"/>
  <c r="S2725" i="2"/>
  <c r="T2725" i="2" s="1"/>
  <c r="U2725" i="2"/>
  <c r="U2724" i="2"/>
  <c r="S2724" i="2"/>
  <c r="T2724" i="2" s="1"/>
  <c r="R2724" i="2"/>
  <c r="H2724" i="2"/>
  <c r="J2724" i="2"/>
  <c r="J2723" i="2"/>
  <c r="R2722" i="2"/>
  <c r="I2722" i="2"/>
  <c r="S2722" i="2"/>
  <c r="T2722" i="2" s="1"/>
  <c r="U2722" i="2"/>
  <c r="J2722" i="2"/>
  <c r="I2721" i="2"/>
  <c r="U2721" i="2"/>
  <c r="J2721" i="2"/>
  <c r="S2721" i="2"/>
  <c r="T2721" i="2" s="1"/>
  <c r="R2721" i="2"/>
  <c r="U2720" i="2"/>
  <c r="S2720" i="2"/>
  <c r="T2720" i="2" s="1"/>
  <c r="H2720" i="2"/>
  <c r="U2719" i="2"/>
  <c r="S2719" i="2"/>
  <c r="T2719" i="2" s="1"/>
  <c r="R2719" i="2"/>
  <c r="J2719" i="2"/>
  <c r="I2719" i="2"/>
  <c r="S2718" i="2"/>
  <c r="T2718" i="2" s="1"/>
  <c r="R2717" i="2"/>
  <c r="J2717" i="2"/>
  <c r="U2717" i="2"/>
  <c r="S2717" i="2"/>
  <c r="T2717" i="2" s="1"/>
  <c r="I2717" i="2"/>
  <c r="J2716" i="2"/>
  <c r="R2716" i="2"/>
  <c r="I2716" i="2"/>
  <c r="U2715" i="2"/>
  <c r="R2715" i="2"/>
  <c r="S2715" i="2"/>
  <c r="T2715" i="2" s="1"/>
  <c r="I2715" i="2"/>
  <c r="J2715" i="2"/>
  <c r="U2714" i="2"/>
  <c r="S2714" i="2"/>
  <c r="T2714" i="2" s="1"/>
  <c r="R2714" i="2"/>
  <c r="J2714" i="2"/>
  <c r="I2714" i="2"/>
  <c r="J2713" i="2"/>
  <c r="R2713" i="2"/>
  <c r="I2713" i="2"/>
  <c r="U2713" i="2"/>
  <c r="S2713" i="2"/>
  <c r="T2713" i="2" s="1"/>
  <c r="J2710" i="2"/>
  <c r="S2708" i="2"/>
  <c r="T2708" i="2" s="1"/>
  <c r="I2708" i="2"/>
  <c r="J2706" i="2"/>
  <c r="I2706" i="2"/>
  <c r="U2706" i="2"/>
  <c r="R2706" i="2"/>
  <c r="S2706" i="2"/>
  <c r="T2706" i="2" s="1"/>
  <c r="U2705" i="2"/>
  <c r="S2705" i="2"/>
  <c r="T2705" i="2" s="1"/>
  <c r="R2705" i="2"/>
  <c r="J2705" i="2"/>
  <c r="I2705" i="2"/>
  <c r="S2707" i="2"/>
  <c r="T2707" i="2" s="1"/>
  <c r="J2711" i="2"/>
  <c r="I2707" i="2"/>
  <c r="U2707" i="2"/>
  <c r="S2711" i="2"/>
  <c r="T2711" i="2" s="1"/>
  <c r="R2707" i="2"/>
  <c r="I2711" i="2"/>
  <c r="U2711" i="2"/>
  <c r="R2711" i="2"/>
  <c r="R2709" i="2"/>
  <c r="I2709" i="2"/>
  <c r="U2709" i="2"/>
  <c r="S2709" i="2"/>
  <c r="T2709" i="2" s="1"/>
  <c r="J2709" i="2"/>
  <c r="J2708" i="2"/>
  <c r="U2708" i="2"/>
  <c r="R2708" i="2"/>
  <c r="U2704" i="2"/>
  <c r="S2704" i="2"/>
  <c r="T2704" i="2" s="1"/>
  <c r="R2704" i="2"/>
  <c r="J2704" i="2"/>
  <c r="I2704" i="2"/>
  <c r="J2702" i="2"/>
  <c r="U2702" i="2"/>
  <c r="I2702" i="2"/>
  <c r="S2702" i="2"/>
  <c r="T2702" i="2" s="1"/>
  <c r="R2702" i="2"/>
  <c r="S2701" i="2"/>
  <c r="T2701" i="2" s="1"/>
  <c r="J2701" i="2"/>
  <c r="R2701" i="2"/>
  <c r="I2701" i="2"/>
  <c r="U2701" i="2"/>
  <c r="S2699" i="2"/>
  <c r="T2699" i="2" s="1"/>
  <c r="R2698" i="2"/>
  <c r="R2697" i="2"/>
  <c r="S2697" i="2"/>
  <c r="T2697" i="2" s="1"/>
  <c r="J2697" i="2"/>
  <c r="U2697" i="2"/>
  <c r="I2697" i="2"/>
  <c r="S2696" i="2"/>
  <c r="T2696" i="2" s="1"/>
  <c r="U2696" i="2"/>
  <c r="J2696" i="2"/>
  <c r="I2696" i="2"/>
  <c r="R2696" i="2"/>
  <c r="J2695" i="2"/>
  <c r="H2695" i="2"/>
  <c r="U2695" i="2"/>
  <c r="R2694" i="2"/>
  <c r="I2694" i="2"/>
  <c r="R2693" i="2"/>
  <c r="U2693" i="2"/>
  <c r="S2693" i="2"/>
  <c r="T2693" i="2" s="1"/>
  <c r="I2693" i="2"/>
  <c r="J2693" i="2"/>
  <c r="R2692" i="2"/>
  <c r="I2692" i="2"/>
  <c r="H2692" i="2"/>
  <c r="S2692" i="2"/>
  <c r="T2692" i="2" s="1"/>
  <c r="U2691" i="2"/>
  <c r="J2691" i="2"/>
  <c r="I2691" i="2"/>
  <c r="R2691" i="2"/>
  <c r="J2690" i="2"/>
  <c r="I2690" i="2"/>
  <c r="I2689" i="2"/>
  <c r="J2689" i="2"/>
  <c r="U2688" i="2"/>
  <c r="S2688" i="2"/>
  <c r="T2688" i="2" s="1"/>
  <c r="R2688" i="2"/>
  <c r="J2683" i="2"/>
  <c r="U2683" i="2"/>
  <c r="S2683" i="2"/>
  <c r="T2683" i="2" s="1"/>
  <c r="S2690" i="2"/>
  <c r="T2690" i="2" s="1"/>
  <c r="I2686" i="2"/>
  <c r="S2686" i="2"/>
  <c r="T2686" i="2" s="1"/>
  <c r="U2690" i="2"/>
  <c r="R2690" i="2"/>
  <c r="R2686" i="2"/>
  <c r="U2689" i="2"/>
  <c r="S2689" i="2"/>
  <c r="T2689" i="2" s="1"/>
  <c r="R2689" i="2"/>
  <c r="J2686" i="2"/>
  <c r="J2688" i="2"/>
  <c r="H2688" i="2"/>
  <c r="S2687" i="2"/>
  <c r="T2687" i="2" s="1"/>
  <c r="I2687" i="2"/>
  <c r="U2686" i="2"/>
  <c r="S2685" i="2"/>
  <c r="T2685" i="2" s="1"/>
  <c r="U2684" i="2"/>
  <c r="S2684" i="2"/>
  <c r="T2684" i="2" s="1"/>
  <c r="J2684" i="2"/>
  <c r="H2684" i="2"/>
  <c r="R2684" i="2"/>
  <c r="I2685" i="2"/>
  <c r="U2685" i="2"/>
  <c r="R2685" i="2"/>
  <c r="J2685" i="2"/>
  <c r="I2683" i="2"/>
  <c r="H2675" i="2"/>
  <c r="S2682" i="2"/>
  <c r="T2682" i="2" s="1"/>
  <c r="R2682" i="2"/>
  <c r="I2682" i="2"/>
  <c r="R2681" i="2"/>
  <c r="J2681" i="2"/>
  <c r="I2681" i="2"/>
  <c r="U2681" i="2"/>
  <c r="S2681" i="2"/>
  <c r="T2681" i="2" s="1"/>
  <c r="J2680" i="2"/>
  <c r="R2680" i="2"/>
  <c r="I2680" i="2"/>
  <c r="U2680" i="2"/>
  <c r="S2680" i="2"/>
  <c r="T2680" i="2" s="1"/>
  <c r="S2679" i="2"/>
  <c r="T2679" i="2" s="1"/>
  <c r="I2679" i="2"/>
  <c r="H2677" i="2"/>
  <c r="I2677" i="2"/>
  <c r="U2677" i="2"/>
  <c r="S2677" i="2"/>
  <c r="T2677" i="2" s="1"/>
  <c r="R2677" i="2"/>
  <c r="J2676" i="2"/>
  <c r="I2676" i="2"/>
  <c r="H2676" i="2"/>
  <c r="U2676" i="2"/>
  <c r="S2676" i="2"/>
  <c r="T2676" i="2" s="1"/>
  <c r="J2674" i="2"/>
  <c r="J2673" i="2"/>
  <c r="R2673" i="2"/>
  <c r="I2673" i="2"/>
  <c r="U2673" i="2"/>
  <c r="S2673" i="2"/>
  <c r="T2673" i="2" s="1"/>
  <c r="J2672" i="2"/>
  <c r="I2672" i="2"/>
  <c r="H2672" i="2"/>
  <c r="U2672" i="2"/>
  <c r="J2670" i="2"/>
  <c r="I2670" i="2"/>
  <c r="U2669" i="2"/>
  <c r="S2669" i="2"/>
  <c r="T2669" i="2" s="1"/>
  <c r="R2669" i="2"/>
  <c r="J2669" i="2"/>
  <c r="I2669" i="2"/>
  <c r="I2668" i="2"/>
  <c r="R2666" i="2"/>
  <c r="U2666" i="2"/>
  <c r="J2666" i="2"/>
  <c r="S2666" i="2"/>
  <c r="T2666" i="2" s="1"/>
  <c r="I2666" i="2"/>
  <c r="R2665" i="2"/>
  <c r="I2665" i="2"/>
  <c r="U2665" i="2"/>
  <c r="S2665" i="2"/>
  <c r="T2665" i="2" s="1"/>
  <c r="J2665" i="2"/>
  <c r="J2664" i="2"/>
  <c r="I2664" i="2"/>
  <c r="U2664" i="2"/>
  <c r="R2664" i="2"/>
  <c r="S2664" i="2"/>
  <c r="T2664" i="2" s="1"/>
  <c r="U2662" i="2"/>
  <c r="J2662" i="2"/>
  <c r="S2661" i="2"/>
  <c r="T2661" i="2" s="1"/>
  <c r="U2661" i="2"/>
  <c r="J2661" i="2"/>
  <c r="R2661" i="2"/>
  <c r="I2661" i="2"/>
  <c r="I2660" i="2"/>
  <c r="I2658" i="2"/>
  <c r="I2657" i="2"/>
  <c r="H2657" i="2"/>
  <c r="R2655" i="2"/>
  <c r="I2655" i="2"/>
  <c r="H2655" i="2"/>
  <c r="U2655" i="2"/>
  <c r="J2655" i="2"/>
  <c r="S2654" i="2"/>
  <c r="T2654" i="2" s="1"/>
  <c r="J2654" i="2"/>
  <c r="I2654" i="2"/>
  <c r="U2654" i="2"/>
  <c r="R2654" i="2"/>
  <c r="R2653" i="2"/>
  <c r="I2653" i="2"/>
  <c r="S2653" i="2"/>
  <c r="T2653" i="2" s="1"/>
  <c r="U2653" i="2"/>
  <c r="J2653" i="2"/>
  <c r="I2652" i="2"/>
  <c r="H2652" i="2"/>
  <c r="U2652" i="2"/>
  <c r="S2652" i="2"/>
  <c r="T2652" i="2" s="1"/>
  <c r="S2651" i="2"/>
  <c r="T2651" i="2" s="1"/>
  <c r="U2650" i="2"/>
  <c r="I2650" i="2"/>
  <c r="R2650" i="2"/>
  <c r="J2650" i="2"/>
  <c r="S2650" i="2"/>
  <c r="T2650" i="2" s="1"/>
  <c r="I2649" i="2"/>
  <c r="S2649" i="2"/>
  <c r="T2649" i="2" s="1"/>
  <c r="R2649" i="2"/>
  <c r="J2649" i="2"/>
  <c r="U2649" i="2"/>
  <c r="I2648" i="2"/>
  <c r="J2647" i="2"/>
  <c r="S2647" i="2"/>
  <c r="T2647" i="2" s="1"/>
  <c r="H2647" i="2"/>
  <c r="U2647" i="2"/>
  <c r="R2647" i="2"/>
  <c r="U2646" i="2"/>
  <c r="J2646" i="2"/>
  <c r="R2645" i="2"/>
  <c r="S2645" i="2"/>
  <c r="T2645" i="2" s="1"/>
  <c r="H2645" i="2"/>
  <c r="U2645" i="2"/>
  <c r="J2645" i="2"/>
  <c r="R2643" i="2"/>
  <c r="J2643" i="2"/>
  <c r="I2643" i="2"/>
  <c r="R2642" i="2"/>
  <c r="I2641" i="2"/>
  <c r="R2641" i="2"/>
  <c r="S2641" i="2"/>
  <c r="T2641" i="2" s="1"/>
  <c r="J2641" i="2"/>
  <c r="U2641" i="2"/>
  <c r="J2640" i="2"/>
  <c r="S2640" i="2"/>
  <c r="T2640" i="2" s="1"/>
  <c r="R2640" i="2"/>
  <c r="U2640" i="2"/>
  <c r="I2640" i="2"/>
  <c r="U2639" i="2"/>
  <c r="S2639" i="2"/>
  <c r="T2639" i="2" s="1"/>
  <c r="R2639" i="2"/>
  <c r="J2639" i="2"/>
  <c r="S2638" i="2"/>
  <c r="T2638" i="2" s="1"/>
  <c r="I2638" i="2"/>
  <c r="U2638" i="2"/>
  <c r="R2638" i="2"/>
  <c r="J2638" i="2"/>
  <c r="S2637" i="2"/>
  <c r="T2637" i="2" s="1"/>
  <c r="J2637" i="2"/>
  <c r="U2637" i="2"/>
  <c r="R2637" i="2"/>
  <c r="I2637" i="2"/>
  <c r="S2636" i="2"/>
  <c r="T2636" i="2" s="1"/>
  <c r="I2634" i="2"/>
  <c r="U2633" i="2"/>
  <c r="S2633" i="2"/>
  <c r="T2633" i="2" s="1"/>
  <c r="I2633" i="2"/>
  <c r="R2633" i="2"/>
  <c r="J2633" i="2"/>
  <c r="R2631" i="2"/>
  <c r="J2631" i="2"/>
  <c r="I2631" i="2"/>
  <c r="S2631" i="2"/>
  <c r="T2631" i="2" s="1"/>
  <c r="U2631" i="2"/>
  <c r="J2629" i="2"/>
  <c r="S2629" i="2"/>
  <c r="T2629" i="2" s="1"/>
  <c r="I2629" i="2"/>
  <c r="U2629" i="2"/>
  <c r="R2629" i="2"/>
  <c r="J2628" i="2"/>
  <c r="S2628" i="2"/>
  <c r="T2628" i="2" s="1"/>
  <c r="R2628" i="2"/>
  <c r="I2628" i="2"/>
  <c r="U2628" i="2"/>
  <c r="J2587" i="2"/>
  <c r="H2609" i="2"/>
  <c r="S2626" i="2"/>
  <c r="T2626" i="2" s="1"/>
  <c r="R2626" i="2"/>
  <c r="U2626" i="2"/>
  <c r="J2626" i="2"/>
  <c r="I2626" i="2"/>
  <c r="S2625" i="2"/>
  <c r="T2625" i="2" s="1"/>
  <c r="R2625" i="2"/>
  <c r="I2625" i="2"/>
  <c r="U2625" i="2"/>
  <c r="J2625" i="2"/>
  <c r="U2622" i="2"/>
  <c r="S2622" i="2"/>
  <c r="T2622" i="2" s="1"/>
  <c r="R2622" i="2"/>
  <c r="J2622" i="2"/>
  <c r="I2622" i="2"/>
  <c r="J2621" i="2"/>
  <c r="S2621" i="2"/>
  <c r="T2621" i="2" s="1"/>
  <c r="U2621" i="2"/>
  <c r="R2621" i="2"/>
  <c r="I2621" i="2"/>
  <c r="U2620" i="2"/>
  <c r="J2618" i="2"/>
  <c r="I2618" i="2"/>
  <c r="R2618" i="2"/>
  <c r="R2617" i="2"/>
  <c r="S2617" i="2"/>
  <c r="T2617" i="2" s="1"/>
  <c r="I2617" i="2"/>
  <c r="J2617" i="2"/>
  <c r="U2617" i="2"/>
  <c r="S2615" i="2"/>
  <c r="T2615" i="2" s="1"/>
  <c r="R2615" i="2"/>
  <c r="J2615" i="2"/>
  <c r="U2615" i="2"/>
  <c r="I2615" i="2"/>
  <c r="H2614" i="2"/>
  <c r="S2614" i="2"/>
  <c r="T2614" i="2" s="1"/>
  <c r="R2614" i="2"/>
  <c r="U2614" i="2"/>
  <c r="I2614" i="2"/>
  <c r="H2612" i="2"/>
  <c r="J2612" i="2"/>
  <c r="S2611" i="2"/>
  <c r="T2611" i="2" s="1"/>
  <c r="R2611" i="2"/>
  <c r="I2611" i="2"/>
  <c r="J2611" i="2"/>
  <c r="U2611" i="2"/>
  <c r="S2610" i="2"/>
  <c r="T2610" i="2" s="1"/>
  <c r="I2610" i="2"/>
  <c r="H2610" i="2"/>
  <c r="U2610" i="2"/>
  <c r="S2609" i="2"/>
  <c r="T2609" i="2" s="1"/>
  <c r="R2609" i="2"/>
  <c r="R2607" i="2"/>
  <c r="J2607" i="2"/>
  <c r="I2607" i="2"/>
  <c r="S2607" i="2"/>
  <c r="T2607" i="2" s="1"/>
  <c r="U2607" i="2"/>
  <c r="S2605" i="2"/>
  <c r="T2605" i="2" s="1"/>
  <c r="J2605" i="2"/>
  <c r="I2605" i="2"/>
  <c r="U2605" i="2"/>
  <c r="R2605" i="2"/>
  <c r="R2603" i="2"/>
  <c r="J2603" i="2"/>
  <c r="S2603" i="2"/>
  <c r="T2603" i="2" s="1"/>
  <c r="U2603" i="2"/>
  <c r="I2603" i="2"/>
  <c r="U2602" i="2"/>
  <c r="J2602" i="2"/>
  <c r="I2602" i="2"/>
  <c r="S2601" i="2"/>
  <c r="T2601" i="2" s="1"/>
  <c r="R2601" i="2"/>
  <c r="J2601" i="2"/>
  <c r="R2599" i="2"/>
  <c r="S2599" i="2"/>
  <c r="T2599" i="2" s="1"/>
  <c r="J2599" i="2"/>
  <c r="I2599" i="2"/>
  <c r="U2599" i="2"/>
  <c r="J2598" i="2"/>
  <c r="S2598" i="2"/>
  <c r="T2598" i="2" s="1"/>
  <c r="H2598" i="2"/>
  <c r="H2597" i="2"/>
  <c r="S2597" i="2"/>
  <c r="T2597" i="2" s="1"/>
  <c r="J2597" i="2"/>
  <c r="I2595" i="2"/>
  <c r="S2595" i="2"/>
  <c r="T2595" i="2" s="1"/>
  <c r="R2595" i="2"/>
  <c r="J2595" i="2"/>
  <c r="J2594" i="2"/>
  <c r="S2594" i="2"/>
  <c r="T2594" i="2" s="1"/>
  <c r="U2594" i="2"/>
  <c r="R2594" i="2"/>
  <c r="I2594" i="2"/>
  <c r="U2593" i="2"/>
  <c r="S2593" i="2"/>
  <c r="T2593" i="2" s="1"/>
  <c r="I2593" i="2"/>
  <c r="R2593" i="2"/>
  <c r="J2593" i="2"/>
  <c r="S2591" i="2"/>
  <c r="T2591" i="2" s="1"/>
  <c r="R2591" i="2"/>
  <c r="U2591" i="2"/>
  <c r="J2591" i="2"/>
  <c r="I2591" i="2"/>
  <c r="R2590" i="2"/>
  <c r="U2590" i="2"/>
  <c r="J2590" i="2"/>
  <c r="S2590" i="2"/>
  <c r="T2590" i="2" s="1"/>
  <c r="I2590" i="2"/>
  <c r="R2589" i="2"/>
  <c r="S2588" i="2"/>
  <c r="T2588" i="2" s="1"/>
  <c r="U2588" i="2"/>
  <c r="R2588" i="2"/>
  <c r="J2588" i="2"/>
  <c r="U2587" i="2"/>
  <c r="S2587" i="2"/>
  <c r="T2587" i="2" s="1"/>
  <c r="I2587" i="2"/>
  <c r="R2587" i="2"/>
  <c r="J2586" i="2"/>
  <c r="S2586" i="2"/>
  <c r="T2586" i="2" s="1"/>
  <c r="I2586" i="2"/>
  <c r="U2586" i="2"/>
  <c r="U2585" i="2"/>
  <c r="J2585" i="2"/>
  <c r="R2586" i="2"/>
  <c r="U2584" i="2"/>
  <c r="S2585" i="2"/>
  <c r="T2585" i="2" s="1"/>
  <c r="I2585" i="2"/>
  <c r="J2584" i="2"/>
  <c r="R2585" i="2"/>
  <c r="S2584" i="2"/>
  <c r="T2584" i="2" s="1"/>
  <c r="I2584" i="2"/>
  <c r="U2583" i="2"/>
  <c r="R2584" i="2"/>
  <c r="J2583" i="2"/>
  <c r="S2583" i="2"/>
  <c r="T2583" i="2" s="1"/>
  <c r="I2583" i="2"/>
  <c r="R2583" i="2"/>
  <c r="M1940" i="2"/>
  <c r="AG24" i="11"/>
  <c r="AH24" i="11" s="1"/>
  <c r="AI24" i="11" a="1"/>
  <c r="AI24" i="11" s="1"/>
  <c r="BZ74" i="42"/>
  <c r="CB74" i="42"/>
  <c r="BZ75" i="42"/>
  <c r="CB75" i="42"/>
  <c r="BZ76" i="42"/>
  <c r="CB76" i="42"/>
  <c r="BZ77" i="42"/>
  <c r="CB77" i="42"/>
  <c r="BZ78" i="42"/>
  <c r="CB78" i="42"/>
  <c r="BZ79" i="42"/>
  <c r="CB79" i="42"/>
  <c r="BZ80" i="42"/>
  <c r="CB80" i="42"/>
  <c r="BZ81" i="42"/>
  <c r="CB81" i="42"/>
  <c r="BZ82" i="42"/>
  <c r="CB82" i="42"/>
  <c r="BZ83" i="42"/>
  <c r="CB83" i="42"/>
  <c r="BZ84" i="42"/>
  <c r="CB84" i="42"/>
  <c r="AB14" i="42"/>
  <c r="AC14" i="42"/>
  <c r="AD14" i="42"/>
  <c r="AE14" i="42"/>
  <c r="AF14" i="42"/>
  <c r="AG14" i="42"/>
  <c r="AH14" i="42"/>
  <c r="AI14" i="42"/>
  <c r="AJ14" i="42"/>
  <c r="AK14" i="42"/>
  <c r="AL14" i="42"/>
  <c r="AM14" i="42"/>
  <c r="AN14" i="42"/>
  <c r="AO14" i="42"/>
  <c r="AP14" i="42"/>
  <c r="AQ14" i="42"/>
  <c r="AB15" i="42"/>
  <c r="AC15" i="42"/>
  <c r="AD15" i="42"/>
  <c r="AE15" i="42"/>
  <c r="AF15" i="42"/>
  <c r="AG15" i="42"/>
  <c r="AH15" i="42"/>
  <c r="AI15" i="42"/>
  <c r="AJ15" i="42"/>
  <c r="AK15" i="42"/>
  <c r="AL15" i="42"/>
  <c r="AM15" i="42"/>
  <c r="AN15" i="42"/>
  <c r="AO15" i="42"/>
  <c r="AP15" i="42"/>
  <c r="AQ15" i="42"/>
  <c r="AB16" i="42"/>
  <c r="AC16" i="42"/>
  <c r="AD16" i="42"/>
  <c r="AE16" i="42"/>
  <c r="AF16" i="42"/>
  <c r="AG16" i="42"/>
  <c r="AH16" i="42"/>
  <c r="AI16" i="42"/>
  <c r="AJ16" i="42"/>
  <c r="AK16" i="42"/>
  <c r="AL16" i="42"/>
  <c r="AM16" i="42"/>
  <c r="AN16" i="42"/>
  <c r="AO16" i="42"/>
  <c r="AP16" i="42"/>
  <c r="AQ16" i="42"/>
  <c r="AB17" i="42"/>
  <c r="AC17" i="42"/>
  <c r="AD17" i="42"/>
  <c r="AE17" i="42"/>
  <c r="AF17" i="42"/>
  <c r="AG17" i="42"/>
  <c r="AH17" i="42"/>
  <c r="AI17" i="42"/>
  <c r="AJ17" i="42"/>
  <c r="AK17" i="42"/>
  <c r="AL17" i="42"/>
  <c r="AM17" i="42"/>
  <c r="AN17" i="42"/>
  <c r="AO17" i="42"/>
  <c r="AP17" i="42"/>
  <c r="AQ17" i="42"/>
  <c r="AB18" i="42"/>
  <c r="AC18" i="42"/>
  <c r="AD18" i="42"/>
  <c r="AE18" i="42"/>
  <c r="AF18" i="42"/>
  <c r="AG18" i="42"/>
  <c r="AH18" i="42"/>
  <c r="AI18" i="42"/>
  <c r="AJ18" i="42"/>
  <c r="AK18" i="42"/>
  <c r="AL18" i="42"/>
  <c r="AM18" i="42"/>
  <c r="AN18" i="42"/>
  <c r="AO18" i="42"/>
  <c r="AP18" i="42"/>
  <c r="AQ18" i="42"/>
  <c r="AB19" i="42"/>
  <c r="AC19" i="42"/>
  <c r="AD19" i="42"/>
  <c r="AE19" i="42"/>
  <c r="AF19" i="42"/>
  <c r="AG19" i="42"/>
  <c r="AH19" i="42"/>
  <c r="AI19" i="42"/>
  <c r="AJ19" i="42"/>
  <c r="AK19" i="42"/>
  <c r="AL19" i="42"/>
  <c r="AM19" i="42"/>
  <c r="AN19" i="42"/>
  <c r="AO19" i="42"/>
  <c r="AP19" i="42"/>
  <c r="AQ19" i="42"/>
  <c r="AB20" i="42"/>
  <c r="AC20" i="42"/>
  <c r="AD20" i="42"/>
  <c r="AE20" i="42"/>
  <c r="AF20" i="42"/>
  <c r="AG20" i="42"/>
  <c r="AH20" i="42"/>
  <c r="AI20" i="42"/>
  <c r="AJ20" i="42"/>
  <c r="AK20" i="42"/>
  <c r="AL20" i="42"/>
  <c r="AM20" i="42"/>
  <c r="AN20" i="42"/>
  <c r="AO20" i="42"/>
  <c r="AP20" i="42"/>
  <c r="AQ20" i="42"/>
  <c r="AB21" i="42"/>
  <c r="AC21" i="42"/>
  <c r="AD21" i="42"/>
  <c r="AE21" i="42"/>
  <c r="AF21" i="42"/>
  <c r="AG21" i="42"/>
  <c r="AH21" i="42"/>
  <c r="AI21" i="42"/>
  <c r="AJ21" i="42"/>
  <c r="AK21" i="42"/>
  <c r="AL21" i="42"/>
  <c r="AM21" i="42"/>
  <c r="AN21" i="42"/>
  <c r="AO21" i="42"/>
  <c r="AP21" i="42"/>
  <c r="AQ21" i="42"/>
  <c r="AB22" i="42"/>
  <c r="AC22" i="42"/>
  <c r="AD22" i="42"/>
  <c r="AE22" i="42"/>
  <c r="AF22" i="42"/>
  <c r="AG22" i="42"/>
  <c r="AH22" i="42"/>
  <c r="AI22" i="42"/>
  <c r="AJ22" i="42"/>
  <c r="AK22" i="42"/>
  <c r="AL22" i="42"/>
  <c r="AM22" i="42"/>
  <c r="AN22" i="42"/>
  <c r="AO22" i="42"/>
  <c r="AP22" i="42"/>
  <c r="AQ22" i="42"/>
  <c r="AB23" i="42"/>
  <c r="AC23" i="42"/>
  <c r="AD23" i="42"/>
  <c r="AE23" i="42"/>
  <c r="AF23" i="42"/>
  <c r="AG23" i="42"/>
  <c r="AH23" i="42"/>
  <c r="AI23" i="42"/>
  <c r="AJ23" i="42"/>
  <c r="AK23" i="42"/>
  <c r="AL23" i="42"/>
  <c r="AM23" i="42"/>
  <c r="AN23" i="42"/>
  <c r="AO23" i="42"/>
  <c r="AP23" i="42"/>
  <c r="AQ23" i="42"/>
  <c r="AB24" i="42"/>
  <c r="AC24" i="42"/>
  <c r="AD24" i="42"/>
  <c r="AE24" i="42"/>
  <c r="AF24" i="42"/>
  <c r="AG24" i="42"/>
  <c r="AH24" i="42"/>
  <c r="AI24" i="42"/>
  <c r="AJ24" i="42"/>
  <c r="AK24" i="42"/>
  <c r="AL24" i="42"/>
  <c r="AM24" i="42"/>
  <c r="AN24" i="42"/>
  <c r="AO24" i="42"/>
  <c r="AP24" i="42"/>
  <c r="AQ24" i="42"/>
  <c r="AB25" i="42"/>
  <c r="AC25" i="42"/>
  <c r="AD25" i="42"/>
  <c r="AE25" i="42"/>
  <c r="AF25" i="42"/>
  <c r="AG25" i="42"/>
  <c r="AH25" i="42"/>
  <c r="AI25" i="42"/>
  <c r="AJ25" i="42"/>
  <c r="AK25" i="42"/>
  <c r="AL25" i="42"/>
  <c r="AM25" i="42"/>
  <c r="AN25" i="42"/>
  <c r="AO25" i="42"/>
  <c r="AP25" i="42"/>
  <c r="AQ25" i="42"/>
  <c r="AB26" i="42"/>
  <c r="AC26" i="42"/>
  <c r="AD26" i="42"/>
  <c r="AE26" i="42"/>
  <c r="AF26" i="42"/>
  <c r="AG26" i="42"/>
  <c r="AH26" i="42"/>
  <c r="AI26" i="42"/>
  <c r="AJ26" i="42"/>
  <c r="AK26" i="42"/>
  <c r="AL26" i="42"/>
  <c r="AM26" i="42"/>
  <c r="AN26" i="42"/>
  <c r="AO26" i="42"/>
  <c r="AP26" i="42"/>
  <c r="AQ26" i="42"/>
  <c r="AB27" i="42"/>
  <c r="AC27" i="42"/>
  <c r="AD27" i="42"/>
  <c r="AE27" i="42"/>
  <c r="AF27" i="42"/>
  <c r="AG27" i="42"/>
  <c r="AH27" i="42"/>
  <c r="AI27" i="42"/>
  <c r="AJ27" i="42"/>
  <c r="AK27" i="42"/>
  <c r="AL27" i="42"/>
  <c r="AM27" i="42"/>
  <c r="AN27" i="42"/>
  <c r="AO27" i="42"/>
  <c r="AP27" i="42"/>
  <c r="AQ27" i="42"/>
  <c r="AB28" i="42"/>
  <c r="AC28" i="42"/>
  <c r="AD28" i="42"/>
  <c r="AE28" i="42"/>
  <c r="AF28" i="42"/>
  <c r="AG28" i="42"/>
  <c r="AH28" i="42"/>
  <c r="AI28" i="42"/>
  <c r="AJ28" i="42"/>
  <c r="AK28" i="42"/>
  <c r="AL28" i="42"/>
  <c r="AM28" i="42"/>
  <c r="AN28" i="42"/>
  <c r="AO28" i="42"/>
  <c r="AP28" i="42"/>
  <c r="AQ28" i="42"/>
  <c r="AB29" i="42"/>
  <c r="AC29" i="42"/>
  <c r="AD29" i="42"/>
  <c r="AE29" i="42"/>
  <c r="AF29" i="42"/>
  <c r="AG29" i="42"/>
  <c r="AH29" i="42"/>
  <c r="AI29" i="42"/>
  <c r="AJ29" i="42"/>
  <c r="AK29" i="42"/>
  <c r="AL29" i="42"/>
  <c r="AM29" i="42"/>
  <c r="AN29" i="42"/>
  <c r="AO29" i="42"/>
  <c r="AP29" i="42"/>
  <c r="AQ29" i="42"/>
  <c r="AB30" i="42"/>
  <c r="AC30" i="42"/>
  <c r="AD30" i="42"/>
  <c r="AE30" i="42"/>
  <c r="AF30" i="42"/>
  <c r="AG30" i="42"/>
  <c r="AH30" i="42"/>
  <c r="AI30" i="42"/>
  <c r="AJ30" i="42"/>
  <c r="AK30" i="42"/>
  <c r="AL30" i="42"/>
  <c r="AM30" i="42"/>
  <c r="AN30" i="42"/>
  <c r="AO30" i="42"/>
  <c r="AP30" i="42"/>
  <c r="AQ30" i="42"/>
  <c r="AB31" i="42"/>
  <c r="AC31" i="42"/>
  <c r="AD31" i="42"/>
  <c r="AE31" i="42"/>
  <c r="AF31" i="42"/>
  <c r="AG31" i="42"/>
  <c r="AH31" i="42"/>
  <c r="AI31" i="42"/>
  <c r="AJ31" i="42"/>
  <c r="AK31" i="42"/>
  <c r="AL31" i="42"/>
  <c r="AM31" i="42"/>
  <c r="AN31" i="42"/>
  <c r="AO31" i="42"/>
  <c r="AP31" i="42"/>
  <c r="AQ31" i="42"/>
  <c r="AB32" i="42"/>
  <c r="AC32" i="42"/>
  <c r="AD32" i="42"/>
  <c r="AE32" i="42"/>
  <c r="AF32" i="42"/>
  <c r="AG32" i="42"/>
  <c r="AH32" i="42"/>
  <c r="AI32" i="42"/>
  <c r="AJ32" i="42"/>
  <c r="AK32" i="42"/>
  <c r="AL32" i="42"/>
  <c r="AM32" i="42"/>
  <c r="AN32" i="42"/>
  <c r="AO32" i="42"/>
  <c r="AP32" i="42"/>
  <c r="AQ32" i="42"/>
  <c r="AB33" i="42"/>
  <c r="AC33" i="42"/>
  <c r="AD33" i="42"/>
  <c r="AE33" i="42"/>
  <c r="AF33" i="42"/>
  <c r="AG33" i="42"/>
  <c r="AH33" i="42"/>
  <c r="AI33" i="42"/>
  <c r="AJ33" i="42"/>
  <c r="AK33" i="42"/>
  <c r="AL33" i="42"/>
  <c r="AM33" i="42"/>
  <c r="AN33" i="42"/>
  <c r="AO33" i="42"/>
  <c r="AP33" i="42"/>
  <c r="AQ33" i="42"/>
  <c r="AB34" i="42"/>
  <c r="AC34" i="42"/>
  <c r="AD34" i="42"/>
  <c r="AE34" i="42"/>
  <c r="AF34" i="42"/>
  <c r="AG34" i="42"/>
  <c r="AH34" i="42"/>
  <c r="AI34" i="42"/>
  <c r="AJ34" i="42"/>
  <c r="AK34" i="42"/>
  <c r="AL34" i="42"/>
  <c r="AM34" i="42"/>
  <c r="AN34" i="42"/>
  <c r="AO34" i="42"/>
  <c r="AP34" i="42"/>
  <c r="AQ34" i="42"/>
  <c r="AB35" i="42"/>
  <c r="AC35" i="42"/>
  <c r="AD35" i="42"/>
  <c r="AE35" i="42"/>
  <c r="AF35" i="42"/>
  <c r="AG35" i="42"/>
  <c r="AH35" i="42"/>
  <c r="AI35" i="42"/>
  <c r="AJ35" i="42"/>
  <c r="AK35" i="42"/>
  <c r="AL35" i="42"/>
  <c r="AM35" i="42"/>
  <c r="AN35" i="42"/>
  <c r="AO35" i="42"/>
  <c r="AP35" i="42"/>
  <c r="AQ35" i="42"/>
  <c r="AB36" i="42"/>
  <c r="AC36" i="42"/>
  <c r="AD36" i="42"/>
  <c r="AE36" i="42"/>
  <c r="AF36" i="42"/>
  <c r="AG36" i="42"/>
  <c r="AH36" i="42"/>
  <c r="AI36" i="42"/>
  <c r="AJ36" i="42"/>
  <c r="AK36" i="42"/>
  <c r="AL36" i="42"/>
  <c r="AM36" i="42"/>
  <c r="AN36" i="42"/>
  <c r="AO36" i="42"/>
  <c r="AP36" i="42"/>
  <c r="AQ36" i="42"/>
  <c r="AB37" i="42"/>
  <c r="AC37" i="42"/>
  <c r="AD37" i="42"/>
  <c r="AE37" i="42"/>
  <c r="AF37" i="42"/>
  <c r="AG37" i="42"/>
  <c r="AH37" i="42"/>
  <c r="AI37" i="42"/>
  <c r="AJ37" i="42"/>
  <c r="AK37" i="42"/>
  <c r="AL37" i="42"/>
  <c r="AM37" i="42"/>
  <c r="AN37" i="42"/>
  <c r="AO37" i="42"/>
  <c r="AP37" i="42"/>
  <c r="AQ37" i="42"/>
  <c r="AB38" i="42"/>
  <c r="AC38" i="42"/>
  <c r="AD38" i="42"/>
  <c r="AE38" i="42"/>
  <c r="AF38" i="42"/>
  <c r="AG38" i="42"/>
  <c r="AH38" i="42"/>
  <c r="AI38" i="42"/>
  <c r="AJ38" i="42"/>
  <c r="AK38" i="42"/>
  <c r="AL38" i="42"/>
  <c r="AM38" i="42"/>
  <c r="AN38" i="42"/>
  <c r="AO38" i="42"/>
  <c r="AP38" i="42"/>
  <c r="AQ38" i="42"/>
  <c r="AB39" i="42"/>
  <c r="AC39" i="42"/>
  <c r="AD39" i="42"/>
  <c r="AE39" i="42"/>
  <c r="AF39" i="42"/>
  <c r="AG39" i="42"/>
  <c r="AH39" i="42"/>
  <c r="AI39" i="42"/>
  <c r="AJ39" i="42"/>
  <c r="AK39" i="42"/>
  <c r="AL39" i="42"/>
  <c r="AM39" i="42"/>
  <c r="AN39" i="42"/>
  <c r="AO39" i="42"/>
  <c r="AP39" i="42"/>
  <c r="AQ39" i="42"/>
  <c r="AB40" i="42"/>
  <c r="AC40" i="42"/>
  <c r="AD40" i="42"/>
  <c r="AE40" i="42"/>
  <c r="AF40" i="42"/>
  <c r="AG40" i="42"/>
  <c r="AH40" i="42"/>
  <c r="AI40" i="42"/>
  <c r="AJ40" i="42"/>
  <c r="AK40" i="42"/>
  <c r="AL40" i="42"/>
  <c r="AM40" i="42"/>
  <c r="AN40" i="42"/>
  <c r="AO40" i="42"/>
  <c r="AP40" i="42"/>
  <c r="AQ40" i="42"/>
  <c r="AB41" i="42"/>
  <c r="AC41" i="42"/>
  <c r="AD41" i="42"/>
  <c r="AE41" i="42"/>
  <c r="AF41" i="42"/>
  <c r="AG41" i="42"/>
  <c r="AH41" i="42"/>
  <c r="AI41" i="42"/>
  <c r="AJ41" i="42"/>
  <c r="AK41" i="42"/>
  <c r="AL41" i="42"/>
  <c r="AM41" i="42"/>
  <c r="AN41" i="42"/>
  <c r="AO41" i="42"/>
  <c r="AP41" i="42"/>
  <c r="AQ41" i="42"/>
  <c r="AB42" i="42"/>
  <c r="AC42" i="42"/>
  <c r="AD42" i="42"/>
  <c r="AE42" i="42"/>
  <c r="AF42" i="42"/>
  <c r="AG42" i="42"/>
  <c r="AH42" i="42"/>
  <c r="AI42" i="42"/>
  <c r="AJ42" i="42"/>
  <c r="AK42" i="42"/>
  <c r="AL42" i="42"/>
  <c r="AM42" i="42"/>
  <c r="AN42" i="42"/>
  <c r="AO42" i="42"/>
  <c r="AP42" i="42"/>
  <c r="AQ42" i="42"/>
  <c r="AB43" i="42"/>
  <c r="AC43" i="42"/>
  <c r="AD43" i="42"/>
  <c r="AE43" i="42"/>
  <c r="AF43" i="42"/>
  <c r="AG43" i="42"/>
  <c r="AH43" i="42"/>
  <c r="AI43" i="42"/>
  <c r="AJ43" i="42"/>
  <c r="AK43" i="42"/>
  <c r="AL43" i="42"/>
  <c r="AM43" i="42"/>
  <c r="AN43" i="42"/>
  <c r="AO43" i="42"/>
  <c r="AP43" i="42"/>
  <c r="AQ43" i="42"/>
  <c r="AB44" i="42"/>
  <c r="AC44" i="42"/>
  <c r="AD44" i="42"/>
  <c r="AE44" i="42"/>
  <c r="AF44" i="42"/>
  <c r="AG44" i="42"/>
  <c r="AH44" i="42"/>
  <c r="AI44" i="42"/>
  <c r="AJ44" i="42"/>
  <c r="AK44" i="42"/>
  <c r="AL44" i="42"/>
  <c r="AM44" i="42"/>
  <c r="AN44" i="42"/>
  <c r="AO44" i="42"/>
  <c r="AP44" i="42"/>
  <c r="AQ44" i="42"/>
  <c r="AB45" i="42"/>
  <c r="AC45" i="42"/>
  <c r="AD45" i="42"/>
  <c r="AE45" i="42"/>
  <c r="AF45" i="42"/>
  <c r="AG45" i="42"/>
  <c r="AH45" i="42"/>
  <c r="AI45" i="42"/>
  <c r="AJ45" i="42"/>
  <c r="AK45" i="42"/>
  <c r="AL45" i="42"/>
  <c r="AM45" i="42"/>
  <c r="AN45" i="42"/>
  <c r="AO45" i="42"/>
  <c r="AP45" i="42"/>
  <c r="AQ45" i="42"/>
  <c r="AB46" i="42"/>
  <c r="AC46" i="42"/>
  <c r="AD46" i="42"/>
  <c r="AE46" i="42"/>
  <c r="AF46" i="42"/>
  <c r="AG46" i="42"/>
  <c r="AH46" i="42"/>
  <c r="AI46" i="42"/>
  <c r="AJ46" i="42"/>
  <c r="AK46" i="42"/>
  <c r="AL46" i="42"/>
  <c r="AM46" i="42"/>
  <c r="AN46" i="42"/>
  <c r="AO46" i="42"/>
  <c r="AP46" i="42"/>
  <c r="AQ46" i="42"/>
  <c r="AB47" i="42"/>
  <c r="AC47" i="42"/>
  <c r="AD47" i="42"/>
  <c r="AE47" i="42"/>
  <c r="AF47" i="42"/>
  <c r="AG47" i="42"/>
  <c r="AH47" i="42"/>
  <c r="AI47" i="42"/>
  <c r="AJ47" i="42"/>
  <c r="AK47" i="42"/>
  <c r="AL47" i="42"/>
  <c r="AM47" i="42"/>
  <c r="AN47" i="42"/>
  <c r="AO47" i="42"/>
  <c r="AP47" i="42"/>
  <c r="AQ47" i="42"/>
  <c r="AB48" i="42"/>
  <c r="AC48" i="42"/>
  <c r="AD48" i="42"/>
  <c r="AE48" i="42"/>
  <c r="AF48" i="42"/>
  <c r="AG48" i="42"/>
  <c r="AH48" i="42"/>
  <c r="AI48" i="42"/>
  <c r="AJ48" i="42"/>
  <c r="AK48" i="42"/>
  <c r="AL48" i="42"/>
  <c r="AM48" i="42"/>
  <c r="AN48" i="42"/>
  <c r="AO48" i="42"/>
  <c r="AP48" i="42"/>
  <c r="AQ48" i="42"/>
  <c r="AB49" i="42"/>
  <c r="AC49" i="42"/>
  <c r="AD49" i="42"/>
  <c r="AE49" i="42"/>
  <c r="AF49" i="42"/>
  <c r="AG49" i="42"/>
  <c r="AH49" i="42"/>
  <c r="AI49" i="42"/>
  <c r="AJ49" i="42"/>
  <c r="AK49" i="42"/>
  <c r="AL49" i="42"/>
  <c r="AM49" i="42"/>
  <c r="AN49" i="42"/>
  <c r="AO49" i="42"/>
  <c r="AP49" i="42"/>
  <c r="AQ49" i="42"/>
  <c r="AB50" i="42"/>
  <c r="AC50" i="42"/>
  <c r="AD50" i="42"/>
  <c r="AE50" i="42"/>
  <c r="AF50" i="42"/>
  <c r="AG50" i="42"/>
  <c r="AH50" i="42"/>
  <c r="AI50" i="42"/>
  <c r="AJ50" i="42"/>
  <c r="AK50" i="42"/>
  <c r="AL50" i="42"/>
  <c r="AM50" i="42"/>
  <c r="AN50" i="42"/>
  <c r="AO50" i="42"/>
  <c r="AP50" i="42"/>
  <c r="AQ50" i="42"/>
  <c r="AB51" i="42"/>
  <c r="AC51" i="42"/>
  <c r="AD51" i="42"/>
  <c r="AE51" i="42"/>
  <c r="AF51" i="42"/>
  <c r="AG51" i="42"/>
  <c r="AH51" i="42"/>
  <c r="AI51" i="42"/>
  <c r="AJ51" i="42"/>
  <c r="AK51" i="42"/>
  <c r="AL51" i="42"/>
  <c r="AM51" i="42"/>
  <c r="AN51" i="42"/>
  <c r="AO51" i="42"/>
  <c r="AP51" i="42"/>
  <c r="AQ51" i="42"/>
  <c r="AB52" i="42"/>
  <c r="AC52" i="42"/>
  <c r="AD52" i="42"/>
  <c r="AE52" i="42"/>
  <c r="AF52" i="42"/>
  <c r="AG52" i="42"/>
  <c r="AH52" i="42"/>
  <c r="AI52" i="42"/>
  <c r="AJ52" i="42"/>
  <c r="AK52" i="42"/>
  <c r="AL52" i="42"/>
  <c r="AM52" i="42"/>
  <c r="AN52" i="42"/>
  <c r="AO52" i="42"/>
  <c r="AP52" i="42"/>
  <c r="AQ52" i="42"/>
  <c r="AB53" i="42"/>
  <c r="AC53" i="42"/>
  <c r="AD53" i="42"/>
  <c r="AE53" i="42"/>
  <c r="AF53" i="42"/>
  <c r="AG53" i="42"/>
  <c r="AH53" i="42"/>
  <c r="AI53" i="42"/>
  <c r="AJ53" i="42"/>
  <c r="AK53" i="42"/>
  <c r="AL53" i="42"/>
  <c r="AM53" i="42"/>
  <c r="AN53" i="42"/>
  <c r="AO53" i="42"/>
  <c r="AP53" i="42"/>
  <c r="AQ53" i="42"/>
  <c r="AB54" i="42"/>
  <c r="AC54" i="42"/>
  <c r="AD54" i="42"/>
  <c r="AE54" i="42"/>
  <c r="AF54" i="42"/>
  <c r="AG54" i="42"/>
  <c r="AH54" i="42"/>
  <c r="AI54" i="42"/>
  <c r="AJ54" i="42"/>
  <c r="AK54" i="42"/>
  <c r="AL54" i="42"/>
  <c r="AM54" i="42"/>
  <c r="AN54" i="42"/>
  <c r="AO54" i="42"/>
  <c r="AP54" i="42"/>
  <c r="AQ54" i="42"/>
  <c r="AB55" i="42"/>
  <c r="AC55" i="42"/>
  <c r="AD55" i="42"/>
  <c r="AE55" i="42"/>
  <c r="AF55" i="42"/>
  <c r="AG55" i="42"/>
  <c r="AH55" i="42"/>
  <c r="AI55" i="42"/>
  <c r="AJ55" i="42"/>
  <c r="AK55" i="42"/>
  <c r="AL55" i="42"/>
  <c r="AM55" i="42"/>
  <c r="AN55" i="42"/>
  <c r="AO55" i="42"/>
  <c r="AP55" i="42"/>
  <c r="AQ55" i="42"/>
  <c r="AB56" i="42"/>
  <c r="AC56" i="42"/>
  <c r="AD56" i="42"/>
  <c r="AE56" i="42"/>
  <c r="AF56" i="42"/>
  <c r="AG56" i="42"/>
  <c r="AH56" i="42"/>
  <c r="AI56" i="42"/>
  <c r="AJ56" i="42"/>
  <c r="AK56" i="42"/>
  <c r="AL56" i="42"/>
  <c r="AM56" i="42"/>
  <c r="AN56" i="42"/>
  <c r="AO56" i="42"/>
  <c r="AP56" i="42"/>
  <c r="AQ56" i="42"/>
  <c r="AB57" i="42"/>
  <c r="AC57" i="42"/>
  <c r="AD57" i="42"/>
  <c r="AE57" i="42"/>
  <c r="AF57" i="42"/>
  <c r="AG57" i="42"/>
  <c r="AH57" i="42"/>
  <c r="AI57" i="42"/>
  <c r="AJ57" i="42"/>
  <c r="AK57" i="42"/>
  <c r="AL57" i="42"/>
  <c r="AM57" i="42"/>
  <c r="AN57" i="42"/>
  <c r="AO57" i="42"/>
  <c r="AP57" i="42"/>
  <c r="AQ57" i="42"/>
  <c r="AB58" i="42"/>
  <c r="AC58" i="42"/>
  <c r="AD58" i="42"/>
  <c r="AE58" i="42"/>
  <c r="AF58" i="42"/>
  <c r="AG58" i="42"/>
  <c r="AH58" i="42"/>
  <c r="AI58" i="42"/>
  <c r="AJ58" i="42"/>
  <c r="AK58" i="42"/>
  <c r="AL58" i="42"/>
  <c r="AM58" i="42"/>
  <c r="AN58" i="42"/>
  <c r="AO58" i="42"/>
  <c r="AP58" i="42"/>
  <c r="AQ58" i="42"/>
  <c r="AB59" i="42"/>
  <c r="AC59" i="42"/>
  <c r="AD59" i="42"/>
  <c r="AE59" i="42"/>
  <c r="AF59" i="42"/>
  <c r="AG59" i="42"/>
  <c r="AH59" i="42"/>
  <c r="AI59" i="42"/>
  <c r="AJ59" i="42"/>
  <c r="AK59" i="42"/>
  <c r="AL59" i="42"/>
  <c r="AM59" i="42"/>
  <c r="AN59" i="42"/>
  <c r="AO59" i="42"/>
  <c r="AP59" i="42"/>
  <c r="AQ59" i="42"/>
  <c r="AB60" i="42"/>
  <c r="AC60" i="42"/>
  <c r="AD60" i="42"/>
  <c r="AE60" i="42"/>
  <c r="AF60" i="42"/>
  <c r="AG60" i="42"/>
  <c r="AH60" i="42"/>
  <c r="AI60" i="42"/>
  <c r="AJ60" i="42"/>
  <c r="AK60" i="42"/>
  <c r="AL60" i="42"/>
  <c r="AM60" i="42"/>
  <c r="AN60" i="42"/>
  <c r="AO60" i="42"/>
  <c r="AP60" i="42"/>
  <c r="AQ60" i="42"/>
  <c r="AB61" i="42"/>
  <c r="AC61" i="42"/>
  <c r="AD61" i="42"/>
  <c r="AE61" i="42"/>
  <c r="AF61" i="42"/>
  <c r="AG61" i="42"/>
  <c r="AH61" i="42"/>
  <c r="AI61" i="42"/>
  <c r="AJ61" i="42"/>
  <c r="AK61" i="42"/>
  <c r="AL61" i="42"/>
  <c r="AM61" i="42"/>
  <c r="AN61" i="42"/>
  <c r="AO61" i="42"/>
  <c r="AP61" i="42"/>
  <c r="AQ61" i="42"/>
  <c r="AB62" i="42"/>
  <c r="AC62" i="42"/>
  <c r="AD62" i="42"/>
  <c r="AE62" i="42"/>
  <c r="AF62" i="42"/>
  <c r="AG62" i="42"/>
  <c r="AH62" i="42"/>
  <c r="AI62" i="42"/>
  <c r="AJ62" i="42"/>
  <c r="AK62" i="42"/>
  <c r="AL62" i="42"/>
  <c r="AM62" i="42"/>
  <c r="AN62" i="42"/>
  <c r="AO62" i="42"/>
  <c r="AP62" i="42"/>
  <c r="AQ62" i="42"/>
  <c r="AB63" i="42"/>
  <c r="AC63" i="42"/>
  <c r="AD63" i="42"/>
  <c r="AE63" i="42"/>
  <c r="AF63" i="42"/>
  <c r="AG63" i="42"/>
  <c r="AH63" i="42"/>
  <c r="AI63" i="42"/>
  <c r="AJ63" i="42"/>
  <c r="AK63" i="42"/>
  <c r="AL63" i="42"/>
  <c r="AM63" i="42"/>
  <c r="AN63" i="42"/>
  <c r="AO63" i="42"/>
  <c r="AP63" i="42"/>
  <c r="AQ63" i="42"/>
  <c r="AB64" i="42"/>
  <c r="AC64" i="42"/>
  <c r="AD64" i="42"/>
  <c r="AE64" i="42"/>
  <c r="AF64" i="42"/>
  <c r="AG64" i="42"/>
  <c r="AH64" i="42"/>
  <c r="AI64" i="42"/>
  <c r="AJ64" i="42"/>
  <c r="AK64" i="42"/>
  <c r="AL64" i="42"/>
  <c r="AM64" i="42"/>
  <c r="AN64" i="42"/>
  <c r="AO64" i="42"/>
  <c r="AP64" i="42"/>
  <c r="AQ64" i="42"/>
  <c r="AB65" i="42"/>
  <c r="AC65" i="42"/>
  <c r="AD65" i="42"/>
  <c r="AE65" i="42"/>
  <c r="AF65" i="42"/>
  <c r="AG65" i="42"/>
  <c r="AH65" i="42"/>
  <c r="AI65" i="42"/>
  <c r="AJ65" i="42"/>
  <c r="AK65" i="42"/>
  <c r="AL65" i="42"/>
  <c r="AM65" i="42"/>
  <c r="AN65" i="42"/>
  <c r="AO65" i="42"/>
  <c r="AP65" i="42"/>
  <c r="AQ65" i="42"/>
  <c r="AB66" i="42"/>
  <c r="AC66" i="42"/>
  <c r="AD66" i="42"/>
  <c r="AE66" i="42"/>
  <c r="AF66" i="42"/>
  <c r="AG66" i="42"/>
  <c r="AH66" i="42"/>
  <c r="AI66" i="42"/>
  <c r="AJ66" i="42"/>
  <c r="AK66" i="42"/>
  <c r="AL66" i="42"/>
  <c r="AM66" i="42"/>
  <c r="AN66" i="42"/>
  <c r="AO66" i="42"/>
  <c r="AP66" i="42"/>
  <c r="AQ66" i="42"/>
  <c r="AB67" i="42"/>
  <c r="AC67" i="42"/>
  <c r="AD67" i="42"/>
  <c r="AE67" i="42"/>
  <c r="AF67" i="42"/>
  <c r="AG67" i="42"/>
  <c r="AH67" i="42"/>
  <c r="AI67" i="42"/>
  <c r="AJ67" i="42"/>
  <c r="AK67" i="42"/>
  <c r="AL67" i="42"/>
  <c r="AM67" i="42"/>
  <c r="AN67" i="42"/>
  <c r="AO67" i="42"/>
  <c r="AP67" i="42"/>
  <c r="AQ67" i="42"/>
  <c r="AB68" i="42"/>
  <c r="AC68" i="42"/>
  <c r="AD68" i="42"/>
  <c r="AE68" i="42"/>
  <c r="AF68" i="42"/>
  <c r="AG68" i="42"/>
  <c r="AH68" i="42"/>
  <c r="AI68" i="42"/>
  <c r="AJ68" i="42"/>
  <c r="AK68" i="42"/>
  <c r="AL68" i="42"/>
  <c r="AM68" i="42"/>
  <c r="AN68" i="42"/>
  <c r="AO68" i="42"/>
  <c r="AP68" i="42"/>
  <c r="AQ68" i="42"/>
  <c r="AB69" i="42"/>
  <c r="AC69" i="42"/>
  <c r="AD69" i="42"/>
  <c r="AE69" i="42"/>
  <c r="AF69" i="42"/>
  <c r="AG69" i="42"/>
  <c r="AH69" i="42"/>
  <c r="AI69" i="42"/>
  <c r="AJ69" i="42"/>
  <c r="AK69" i="42"/>
  <c r="AL69" i="42"/>
  <c r="AM69" i="42"/>
  <c r="AN69" i="42"/>
  <c r="AO69" i="42"/>
  <c r="AP69" i="42"/>
  <c r="AQ69" i="42"/>
  <c r="AB70" i="42"/>
  <c r="AC70" i="42"/>
  <c r="AD70" i="42"/>
  <c r="AE70" i="42"/>
  <c r="AF70" i="42"/>
  <c r="AG70" i="42"/>
  <c r="AH70" i="42"/>
  <c r="AI70" i="42"/>
  <c r="AJ70" i="42"/>
  <c r="AK70" i="42"/>
  <c r="AL70" i="42"/>
  <c r="AM70" i="42"/>
  <c r="AN70" i="42"/>
  <c r="AO70" i="42"/>
  <c r="AP70" i="42"/>
  <c r="AQ70" i="42"/>
  <c r="AB71" i="42"/>
  <c r="AC71" i="42"/>
  <c r="AD71" i="42"/>
  <c r="AE71" i="42"/>
  <c r="AF71" i="42"/>
  <c r="AG71" i="42"/>
  <c r="AH71" i="42"/>
  <c r="AI71" i="42"/>
  <c r="AJ71" i="42"/>
  <c r="AK71" i="42"/>
  <c r="AL71" i="42"/>
  <c r="AM71" i="42"/>
  <c r="AN71" i="42"/>
  <c r="AO71" i="42"/>
  <c r="AP71" i="42"/>
  <c r="AQ71" i="42"/>
  <c r="AB72" i="42"/>
  <c r="AC72" i="42"/>
  <c r="AD72" i="42"/>
  <c r="AE72" i="42"/>
  <c r="AF72" i="42"/>
  <c r="AG72" i="42"/>
  <c r="AH72" i="42"/>
  <c r="AI72" i="42"/>
  <c r="AJ72" i="42"/>
  <c r="AK72" i="42"/>
  <c r="AL72" i="42"/>
  <c r="AM72" i="42"/>
  <c r="AN72" i="42"/>
  <c r="AO72" i="42"/>
  <c r="AP72" i="42"/>
  <c r="AQ72" i="42"/>
  <c r="AB73" i="42"/>
  <c r="AC73" i="42"/>
  <c r="AD73" i="42"/>
  <c r="AE73" i="42"/>
  <c r="AF73" i="42"/>
  <c r="AG73" i="42"/>
  <c r="AH73" i="42"/>
  <c r="AI73" i="42"/>
  <c r="AJ73" i="42"/>
  <c r="AK73" i="42"/>
  <c r="AL73" i="42"/>
  <c r="AM73" i="42"/>
  <c r="AN73" i="42"/>
  <c r="AO73" i="42"/>
  <c r="AP73" i="42"/>
  <c r="AQ73" i="42"/>
  <c r="AB74" i="42"/>
  <c r="AC74" i="42"/>
  <c r="AD74" i="42"/>
  <c r="AE74" i="42"/>
  <c r="AF74" i="42"/>
  <c r="AG74" i="42"/>
  <c r="AH74" i="42"/>
  <c r="AI74" i="42"/>
  <c r="AJ74" i="42"/>
  <c r="AK74" i="42"/>
  <c r="AL74" i="42"/>
  <c r="AM74" i="42"/>
  <c r="AN74" i="42"/>
  <c r="AO74" i="42"/>
  <c r="AP74" i="42"/>
  <c r="AQ74" i="42"/>
  <c r="CC74" i="42" s="1"/>
  <c r="AB75" i="42"/>
  <c r="AC75" i="42"/>
  <c r="AD75" i="42"/>
  <c r="AE75" i="42"/>
  <c r="AF75" i="42"/>
  <c r="AG75" i="42"/>
  <c r="AH75" i="42"/>
  <c r="AI75" i="42"/>
  <c r="AJ75" i="42"/>
  <c r="AK75" i="42"/>
  <c r="AL75" i="42"/>
  <c r="AM75" i="42"/>
  <c r="AN75" i="42"/>
  <c r="AO75" i="42"/>
  <c r="AP75" i="42"/>
  <c r="AQ75" i="42"/>
  <c r="CC75" i="42" s="1"/>
  <c r="AB76" i="42"/>
  <c r="AC76" i="42"/>
  <c r="AD76" i="42"/>
  <c r="AE76" i="42"/>
  <c r="AF76" i="42"/>
  <c r="AG76" i="42"/>
  <c r="AH76" i="42"/>
  <c r="AI76" i="42"/>
  <c r="AJ76" i="42"/>
  <c r="AK76" i="42"/>
  <c r="AL76" i="42"/>
  <c r="AM76" i="42"/>
  <c r="AN76" i="42"/>
  <c r="AO76" i="42"/>
  <c r="AP76" i="42"/>
  <c r="AQ76" i="42"/>
  <c r="CC76" i="42" s="1"/>
  <c r="AB77" i="42"/>
  <c r="AC77" i="42"/>
  <c r="AD77" i="42"/>
  <c r="AE77" i="42"/>
  <c r="AF77" i="42"/>
  <c r="AG77" i="42"/>
  <c r="AH77" i="42"/>
  <c r="AI77" i="42"/>
  <c r="AJ77" i="42"/>
  <c r="AK77" i="42"/>
  <c r="AL77" i="42"/>
  <c r="AM77" i="42"/>
  <c r="AN77" i="42"/>
  <c r="AO77" i="42"/>
  <c r="AP77" i="42"/>
  <c r="AQ77" i="42"/>
  <c r="CC77" i="42" s="1"/>
  <c r="AB78" i="42"/>
  <c r="AC78" i="42"/>
  <c r="AD78" i="42"/>
  <c r="AE78" i="42"/>
  <c r="AF78" i="42"/>
  <c r="AG78" i="42"/>
  <c r="AH78" i="42"/>
  <c r="AI78" i="42"/>
  <c r="AJ78" i="42"/>
  <c r="AK78" i="42"/>
  <c r="AL78" i="42"/>
  <c r="AM78" i="42"/>
  <c r="AN78" i="42"/>
  <c r="AO78" i="42"/>
  <c r="AP78" i="42"/>
  <c r="AQ78" i="42"/>
  <c r="CC78" i="42" s="1"/>
  <c r="AB79" i="42"/>
  <c r="AC79" i="42"/>
  <c r="AD79" i="42"/>
  <c r="AE79" i="42"/>
  <c r="AF79" i="42"/>
  <c r="AG79" i="42"/>
  <c r="AH79" i="42"/>
  <c r="AI79" i="42"/>
  <c r="AJ79" i="42"/>
  <c r="AK79" i="42"/>
  <c r="AL79" i="42"/>
  <c r="AM79" i="42"/>
  <c r="AN79" i="42"/>
  <c r="AO79" i="42"/>
  <c r="AP79" i="42"/>
  <c r="CA79" i="42" s="1"/>
  <c r="AQ79" i="42"/>
  <c r="CC79" i="42" s="1"/>
  <c r="AB80" i="42"/>
  <c r="AC80" i="42"/>
  <c r="AD80" i="42"/>
  <c r="AE80" i="42"/>
  <c r="AF80" i="42"/>
  <c r="AG80" i="42"/>
  <c r="AH80" i="42"/>
  <c r="AI80" i="42"/>
  <c r="AJ80" i="42"/>
  <c r="AK80" i="42"/>
  <c r="AL80" i="42"/>
  <c r="AM80" i="42"/>
  <c r="AN80" i="42"/>
  <c r="AO80" i="42"/>
  <c r="AP80" i="42"/>
  <c r="AQ80" i="42"/>
  <c r="CC80" i="42" s="1"/>
  <c r="AB81" i="42"/>
  <c r="AC81" i="42"/>
  <c r="AD81" i="42"/>
  <c r="AE81" i="42"/>
  <c r="AF81" i="42"/>
  <c r="AG81" i="42"/>
  <c r="AH81" i="42"/>
  <c r="AI81" i="42"/>
  <c r="AJ81" i="42"/>
  <c r="AK81" i="42"/>
  <c r="AL81" i="42"/>
  <c r="AM81" i="42"/>
  <c r="AN81" i="42"/>
  <c r="AO81" i="42"/>
  <c r="AP81" i="42"/>
  <c r="CA81" i="42" s="1"/>
  <c r="AQ81" i="42"/>
  <c r="CC81" i="42" s="1"/>
  <c r="AB82" i="42"/>
  <c r="AC82" i="42"/>
  <c r="AD82" i="42"/>
  <c r="AE82" i="42"/>
  <c r="AF82" i="42"/>
  <c r="AG82" i="42"/>
  <c r="AH82" i="42"/>
  <c r="AI82" i="42"/>
  <c r="AJ82" i="42"/>
  <c r="AK82" i="42"/>
  <c r="AL82" i="42"/>
  <c r="AM82" i="42"/>
  <c r="AN82" i="42"/>
  <c r="AO82" i="42"/>
  <c r="AP82" i="42"/>
  <c r="AQ82" i="42"/>
  <c r="CC82" i="42" s="1"/>
  <c r="AB83" i="42"/>
  <c r="AC83" i="42"/>
  <c r="AD83" i="42"/>
  <c r="AE83" i="42"/>
  <c r="AF83" i="42"/>
  <c r="AG83" i="42"/>
  <c r="AH83" i="42"/>
  <c r="AI83" i="42"/>
  <c r="AJ83" i="42"/>
  <c r="AK83" i="42"/>
  <c r="AL83" i="42"/>
  <c r="AM83" i="42"/>
  <c r="AN83" i="42"/>
  <c r="AO83" i="42"/>
  <c r="AP83" i="42"/>
  <c r="CA83" i="42" s="1"/>
  <c r="AQ83" i="42"/>
  <c r="CC83" i="42" s="1"/>
  <c r="AB84" i="42"/>
  <c r="AC84" i="42"/>
  <c r="AD84" i="42"/>
  <c r="AE84" i="42"/>
  <c r="AF84" i="42"/>
  <c r="AG84" i="42"/>
  <c r="AH84" i="42"/>
  <c r="AI84" i="42"/>
  <c r="AJ84" i="42"/>
  <c r="AK84" i="42"/>
  <c r="AL84" i="42"/>
  <c r="AM84" i="42"/>
  <c r="AN84" i="42"/>
  <c r="AO84" i="42"/>
  <c r="AP84" i="42"/>
  <c r="AQ84" i="42"/>
  <c r="CC84" i="42" s="1"/>
  <c r="AJ24" i="11" l="1" a="1"/>
  <c r="AJ24" i="11" s="1"/>
  <c r="AK24" i="11" a="1"/>
  <c r="AK24" i="11" s="1"/>
  <c r="CA82" i="42"/>
  <c r="CA76" i="42"/>
  <c r="CA84" i="42"/>
  <c r="CA77" i="42"/>
  <c r="CA78" i="42"/>
  <c r="CA74" i="42"/>
  <c r="CA80" i="42"/>
  <c r="CA75" i="42"/>
  <c r="AI29" i="11" a="1"/>
  <c r="AI29" i="11" s="1"/>
  <c r="AI30" i="11" a="1"/>
  <c r="AI30" i="11" s="1"/>
  <c r="AI31" i="11" a="1"/>
  <c r="AI31" i="11" s="1"/>
  <c r="AI32" i="11" a="1"/>
  <c r="AI32" i="11" s="1"/>
  <c r="AI33" i="11" a="1"/>
  <c r="AI33" i="11" s="1"/>
  <c r="AI34" i="11" a="1"/>
  <c r="AI34" i="11" s="1"/>
  <c r="AI35" i="11" a="1"/>
  <c r="AI35" i="11" s="1"/>
  <c r="AI36" i="11" a="1"/>
  <c r="AI36" i="11" s="1"/>
  <c r="AI37" i="11" a="1"/>
  <c r="AI37" i="11" s="1"/>
  <c r="AI38" i="11" a="1"/>
  <c r="AI38" i="11" s="1"/>
  <c r="AI39" i="11" a="1"/>
  <c r="AI39" i="11" s="1"/>
  <c r="AI40" i="11" a="1"/>
  <c r="AI40" i="11" s="1"/>
  <c r="AI41" i="11" a="1"/>
  <c r="AI41" i="11" s="1"/>
  <c r="AI42" i="11" a="1"/>
  <c r="AI42" i="11" s="1"/>
  <c r="AI43" i="11" a="1"/>
  <c r="AI43" i="11" s="1"/>
  <c r="AI44" i="11" a="1"/>
  <c r="AI44" i="11" s="1"/>
  <c r="AI45" i="11" a="1"/>
  <c r="AI45" i="11" s="1"/>
  <c r="AI46" i="11" a="1"/>
  <c r="AI46" i="11" s="1"/>
  <c r="AI47" i="11" a="1"/>
  <c r="AI47" i="11" s="1"/>
  <c r="AI48" i="11" a="1"/>
  <c r="AI48" i="11" s="1"/>
  <c r="AI50" i="11" a="1"/>
  <c r="AI50" i="11" s="1"/>
  <c r="AI51" i="11" a="1"/>
  <c r="AI51" i="11" s="1"/>
  <c r="AI52" i="11" a="1"/>
  <c r="AI52" i="11" s="1"/>
  <c r="AI53" i="11" a="1"/>
  <c r="AI53" i="11" s="1"/>
  <c r="AI54" i="11" a="1"/>
  <c r="AI54" i="11" s="1"/>
  <c r="AI55" i="11" a="1"/>
  <c r="AI55" i="11" s="1"/>
  <c r="AI56" i="11" a="1"/>
  <c r="AI56" i="11" s="1"/>
  <c r="AI57" i="11" a="1"/>
  <c r="AI57" i="11" s="1"/>
  <c r="AI58" i="11" a="1"/>
  <c r="AI58" i="11" s="1"/>
  <c r="AI59" i="11" a="1"/>
  <c r="AI59" i="11" s="1"/>
  <c r="AI60" i="11" a="1"/>
  <c r="AI60" i="11" s="1"/>
  <c r="AI61" i="11" a="1"/>
  <c r="AI61" i="11" s="1"/>
  <c r="AI62" i="11" a="1"/>
  <c r="AI62" i="11" s="1"/>
  <c r="AI63" i="11" a="1"/>
  <c r="AI63" i="11" s="1"/>
  <c r="AI64" i="11" a="1"/>
  <c r="AI64" i="11" s="1"/>
  <c r="AI65" i="11" a="1"/>
  <c r="AI65" i="11" s="1"/>
  <c r="AI69" i="11" a="1"/>
  <c r="AI69" i="11" s="1"/>
  <c r="AJ52" i="11" l="1" a="1"/>
  <c r="AJ52" i="11" s="1"/>
  <c r="AK52" i="11" a="1"/>
  <c r="AK52" i="11" s="1"/>
  <c r="AJ51" i="11" a="1"/>
  <c r="AJ51" i="11" s="1"/>
  <c r="AK51" i="11" a="1"/>
  <c r="AK51" i="11" s="1"/>
  <c r="AJ34" i="11" a="1"/>
  <c r="AJ34" i="11" s="1"/>
  <c r="AK34" i="11" a="1"/>
  <c r="AK34" i="11" s="1"/>
  <c r="AJ50" i="11" a="1"/>
  <c r="AJ50" i="11" s="1"/>
  <c r="AK50" i="11" a="1"/>
  <c r="AK50" i="11" s="1"/>
  <c r="AK32" i="11" a="1"/>
  <c r="AK32" i="11" s="1"/>
  <c r="AJ32" i="11" a="1"/>
  <c r="AJ32" i="11" s="1"/>
  <c r="AK47" i="11" a="1"/>
  <c r="AK47" i="11" s="1"/>
  <c r="AJ47" i="11" a="1"/>
  <c r="AJ47" i="11" s="1"/>
  <c r="AK31" i="11" a="1"/>
  <c r="AK31" i="11" s="1"/>
  <c r="AJ31" i="11" a="1"/>
  <c r="AJ31" i="11" s="1"/>
  <c r="AK46" i="11" a="1"/>
  <c r="AK46" i="11" s="1"/>
  <c r="AJ46" i="11" a="1"/>
  <c r="AJ46" i="11" s="1"/>
  <c r="AK30" i="11" a="1"/>
  <c r="AK30" i="11" s="1"/>
  <c r="AJ30" i="11" a="1"/>
  <c r="AJ30" i="11" s="1"/>
  <c r="AK62" i="11" a="1"/>
  <c r="AK62" i="11" s="1"/>
  <c r="AJ62" i="11" a="1"/>
  <c r="AJ62" i="11" s="1"/>
  <c r="AJ29" i="11" a="1"/>
  <c r="AJ29" i="11" s="1"/>
  <c r="AK29" i="11" a="1"/>
  <c r="AK29" i="11" s="1"/>
  <c r="AJ45" i="11" a="1"/>
  <c r="AJ45" i="11" s="1"/>
  <c r="AK45" i="11" a="1"/>
  <c r="AK45" i="11" s="1"/>
  <c r="AJ44" i="11" a="1"/>
  <c r="AJ44" i="11" s="1"/>
  <c r="AK44" i="11" a="1"/>
  <c r="AK44" i="11" s="1"/>
  <c r="AK64" i="11" a="1"/>
  <c r="AK64" i="11" s="1"/>
  <c r="AJ64" i="11" a="1"/>
  <c r="AJ64" i="11" s="1"/>
  <c r="AJ60" i="11" a="1"/>
  <c r="AJ60" i="11" s="1"/>
  <c r="AK60" i="11" a="1"/>
  <c r="AK60" i="11" s="1"/>
  <c r="AJ43" i="11" a="1"/>
  <c r="AJ43" i="11" s="1"/>
  <c r="AK43" i="11" a="1"/>
  <c r="AK43" i="11" s="1"/>
  <c r="AK48" i="11" a="1"/>
  <c r="AK48" i="11" s="1"/>
  <c r="AJ48" i="11" a="1"/>
  <c r="AJ48" i="11" s="1"/>
  <c r="AJ59" i="11" a="1"/>
  <c r="AJ59" i="11" s="1"/>
  <c r="AK59" i="11" a="1"/>
  <c r="AK59" i="11" s="1"/>
  <c r="AK42" i="11" a="1"/>
  <c r="AK42" i="11" s="1"/>
  <c r="AJ42" i="11" a="1"/>
  <c r="AJ42" i="11" s="1"/>
  <c r="AK33" i="11" a="1"/>
  <c r="AK33" i="11" s="1"/>
  <c r="AJ33" i="11" a="1"/>
  <c r="AJ33" i="11" s="1"/>
  <c r="AJ58" i="11" a="1"/>
  <c r="AJ58" i="11" s="1"/>
  <c r="AK58" i="11" a="1"/>
  <c r="AK58" i="11" s="1"/>
  <c r="AJ41" i="11" a="1"/>
  <c r="AJ41" i="11" s="1"/>
  <c r="AK41" i="11" a="1"/>
  <c r="AK41" i="11" s="1"/>
  <c r="AJ57" i="11" a="1"/>
  <c r="AJ57" i="11" s="1"/>
  <c r="AK57" i="11" a="1"/>
  <c r="AK57" i="11" s="1"/>
  <c r="AJ40" i="11" a="1"/>
  <c r="AJ40" i="11" s="1"/>
  <c r="AK40" i="11" a="1"/>
  <c r="AK40" i="11" s="1"/>
  <c r="AK63" i="11" a="1"/>
  <c r="AK63" i="11" s="1"/>
  <c r="AJ63" i="11" a="1"/>
  <c r="AJ63" i="11" s="1"/>
  <c r="AJ56" i="11" a="1"/>
  <c r="AJ56" i="11" s="1"/>
  <c r="AK56" i="11" a="1"/>
  <c r="AK56" i="11" s="1"/>
  <c r="AJ39" i="11" a="1"/>
  <c r="AJ39" i="11" s="1"/>
  <c r="AK39" i="11" a="1"/>
  <c r="AK39" i="11" s="1"/>
  <c r="AJ55" i="11" a="1"/>
  <c r="AJ55" i="11" s="1"/>
  <c r="AK55" i="11" a="1"/>
  <c r="AK55" i="11" s="1"/>
  <c r="AJ38" i="11" a="1"/>
  <c r="AJ38" i="11" s="1"/>
  <c r="AK38" i="11" a="1"/>
  <c r="AK38" i="11" s="1"/>
  <c r="AJ61" i="11" a="1"/>
  <c r="AJ61" i="11" s="1"/>
  <c r="AK61" i="11" a="1"/>
  <c r="AK61" i="11" s="1"/>
  <c r="AJ54" i="11" a="1"/>
  <c r="AJ54" i="11" s="1"/>
  <c r="AK54" i="11" a="1"/>
  <c r="AK54" i="11" s="1"/>
  <c r="AK37" i="11" a="1"/>
  <c r="AK37" i="11" s="1"/>
  <c r="AJ37" i="11" a="1"/>
  <c r="AJ37" i="11" s="1"/>
  <c r="AK65" i="11" a="1"/>
  <c r="AK65" i="11" s="1"/>
  <c r="AJ65" i="11" a="1"/>
  <c r="AJ65" i="11" s="1"/>
  <c r="AJ53" i="11" a="1"/>
  <c r="AJ53" i="11" s="1"/>
  <c r="AK53" i="11" a="1"/>
  <c r="AK53" i="11" s="1"/>
  <c r="AJ36" i="11" a="1"/>
  <c r="AJ36" i="11" s="1"/>
  <c r="AK36" i="11" a="1"/>
  <c r="AK36" i="11" s="1"/>
  <c r="AJ35" i="11" a="1"/>
  <c r="AJ35" i="11" s="1"/>
  <c r="AK35" i="11" a="1"/>
  <c r="AK35" i="11" s="1"/>
  <c r="AI7" i="11" a="1"/>
  <c r="AI7" i="11" s="1"/>
  <c r="AG47" i="11"/>
  <c r="AH47" i="11" s="1"/>
  <c r="AG14" i="11"/>
  <c r="AH14" i="11" s="1"/>
  <c r="AI14" i="11" a="1"/>
  <c r="AI14" i="11" s="1"/>
  <c r="AK14" i="11" l="1" a="1"/>
  <c r="AK14" i="11" s="1"/>
  <c r="AJ14" i="11" a="1"/>
  <c r="AJ14" i="11" s="1"/>
  <c r="AJ7" i="11" a="1"/>
  <c r="AJ7" i="11" s="1"/>
  <c r="AK7" i="11" a="1"/>
  <c r="AK7" i="11" s="1"/>
  <c r="AQ13" i="42"/>
  <c r="AP13" i="42"/>
  <c r="AO13" i="42"/>
  <c r="AN13" i="42"/>
  <c r="AM13" i="42"/>
  <c r="AL13" i="42"/>
  <c r="AK13" i="42"/>
  <c r="AJ13" i="42"/>
  <c r="AI13" i="42"/>
  <c r="AH13" i="42"/>
  <c r="AG13" i="42"/>
  <c r="AF13" i="42"/>
  <c r="AE13" i="42"/>
  <c r="AD13" i="42"/>
  <c r="AC13" i="42"/>
  <c r="AB13" i="42"/>
  <c r="R2" i="33" l="1"/>
  <c r="D2" i="33"/>
  <c r="E2" i="33"/>
  <c r="F2" i="33"/>
  <c r="G2" i="33"/>
  <c r="H2" i="33"/>
  <c r="I2" i="33"/>
  <c r="J2" i="33"/>
  <c r="K2" i="33"/>
  <c r="L2" i="33"/>
  <c r="M2" i="33"/>
  <c r="N2" i="33"/>
  <c r="O2" i="33"/>
  <c r="P2" i="33"/>
  <c r="AG8" i="11"/>
  <c r="AH8" i="11" s="1"/>
  <c r="AG9" i="11"/>
  <c r="AH9" i="11" s="1"/>
  <c r="AG10" i="11"/>
  <c r="AH10" i="11" s="1"/>
  <c r="AG11" i="11"/>
  <c r="AH11" i="11" s="1"/>
  <c r="AG12" i="11"/>
  <c r="AH12" i="11" s="1"/>
  <c r="AG13" i="11"/>
  <c r="AH13" i="11" s="1"/>
  <c r="AG15" i="11"/>
  <c r="AH15" i="11" s="1"/>
  <c r="AG16" i="11"/>
  <c r="AH16" i="11" s="1"/>
  <c r="AG17" i="11"/>
  <c r="AH17" i="11" s="1"/>
  <c r="AG20" i="11"/>
  <c r="AH20" i="11" s="1"/>
  <c r="AG21" i="11"/>
  <c r="AH21" i="11" s="1"/>
  <c r="AG22" i="11"/>
  <c r="AH22" i="11" s="1"/>
  <c r="AG23" i="11"/>
  <c r="AH23" i="11" s="1"/>
  <c r="AG25" i="11"/>
  <c r="AH25" i="11" s="1"/>
  <c r="AG26" i="11"/>
  <c r="AH26" i="11" s="1"/>
  <c r="AG27" i="11"/>
  <c r="AH27" i="11" s="1"/>
  <c r="AG28" i="11"/>
  <c r="AH28" i="11" s="1"/>
  <c r="AG29" i="11"/>
  <c r="AH29" i="11" s="1"/>
  <c r="AG30" i="11"/>
  <c r="AH30" i="11" s="1"/>
  <c r="AG31" i="11"/>
  <c r="AH31" i="11" s="1"/>
  <c r="AG32" i="11"/>
  <c r="AH32" i="11" s="1"/>
  <c r="AG33" i="11"/>
  <c r="AH33" i="11" s="1"/>
  <c r="AG34" i="11"/>
  <c r="AH34" i="11" s="1"/>
  <c r="AG35" i="11"/>
  <c r="AH35" i="11" s="1"/>
  <c r="AG36" i="11"/>
  <c r="AH36" i="11" s="1"/>
  <c r="AG37" i="11"/>
  <c r="AH37" i="11" s="1"/>
  <c r="AG38" i="11"/>
  <c r="AH38" i="11" s="1"/>
  <c r="AG39" i="11"/>
  <c r="AH39" i="11" s="1"/>
  <c r="AG40" i="11"/>
  <c r="AH40" i="11" s="1"/>
  <c r="AG41" i="11"/>
  <c r="AH41" i="11" s="1"/>
  <c r="AG42" i="11"/>
  <c r="AH42" i="11" s="1"/>
  <c r="AG43" i="11"/>
  <c r="AH43" i="11" s="1"/>
  <c r="AG44" i="11"/>
  <c r="AH44" i="11" s="1"/>
  <c r="A52" i="42" s="1"/>
  <c r="AG45" i="11"/>
  <c r="AH45" i="11" s="1"/>
  <c r="AG46" i="11"/>
  <c r="AH46" i="11" s="1"/>
  <c r="AG48" i="11"/>
  <c r="AH48" i="11" s="1"/>
  <c r="AG50" i="11"/>
  <c r="AH50" i="11" s="1"/>
  <c r="AG51" i="11"/>
  <c r="AH51" i="11" s="1"/>
  <c r="AG52" i="11"/>
  <c r="AH52" i="11" s="1"/>
  <c r="AG53" i="11"/>
  <c r="AH53" i="11" s="1"/>
  <c r="AG54" i="11"/>
  <c r="AH54" i="11" s="1"/>
  <c r="AG55" i="11"/>
  <c r="AH55" i="11" s="1"/>
  <c r="AG56" i="11"/>
  <c r="AH56" i="11" s="1"/>
  <c r="AG57" i="11"/>
  <c r="AG58" i="11"/>
  <c r="AH58" i="11" s="1"/>
  <c r="AG59" i="11"/>
  <c r="AH59" i="11" s="1"/>
  <c r="AG60" i="11"/>
  <c r="AH60" i="11" s="1"/>
  <c r="AG61" i="11"/>
  <c r="AH61" i="11" s="1"/>
  <c r="AG62" i="11"/>
  <c r="AH62" i="11" s="1"/>
  <c r="AG63" i="11"/>
  <c r="AH63" i="11" s="1"/>
  <c r="AG64" i="11"/>
  <c r="AH64" i="11" s="1"/>
  <c r="AG65" i="11"/>
  <c r="AH65" i="11" s="1"/>
  <c r="AG69" i="11"/>
  <c r="AH69" i="11" s="1"/>
  <c r="A77" i="42" s="1"/>
  <c r="AG7" i="11"/>
  <c r="AH7" i="11" s="1"/>
  <c r="Q2" i="33" l="1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G6" i="11" l="1"/>
  <c r="AH6" i="11" s="1"/>
  <c r="AC3" i="11" l="1"/>
  <c r="AD3" i="11"/>
  <c r="AE3" i="11"/>
  <c r="AF3" i="11"/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R3" i="42"/>
  <c r="E2255" i="2" l="1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G2255" i="2"/>
  <c r="U2255" i="2" s="1"/>
  <c r="G2256" i="2"/>
  <c r="H2256" i="2" s="1"/>
  <c r="G2257" i="2"/>
  <c r="H2257" i="2" s="1"/>
  <c r="G2258" i="2"/>
  <c r="J2258" i="2" s="1"/>
  <c r="G2259" i="2"/>
  <c r="R2259" i="2" s="1"/>
  <c r="G2260" i="2"/>
  <c r="I2260" i="2" s="1"/>
  <c r="G2261" i="2"/>
  <c r="J2261" i="2" s="1"/>
  <c r="G2262" i="2"/>
  <c r="U2262" i="2" s="1"/>
  <c r="G2263" i="2"/>
  <c r="I2263" i="2" s="1"/>
  <c r="G2264" i="2"/>
  <c r="I2264" i="2" s="1"/>
  <c r="G2265" i="2"/>
  <c r="R2265" i="2" s="1"/>
  <c r="G2266" i="2"/>
  <c r="I2266" i="2" s="1"/>
  <c r="G2267" i="2"/>
  <c r="S2267" i="2" s="1"/>
  <c r="T2267" i="2" s="1"/>
  <c r="G2268" i="2"/>
  <c r="H2268" i="2" s="1"/>
  <c r="G2269" i="2"/>
  <c r="H2269" i="2" s="1"/>
  <c r="G2270" i="2"/>
  <c r="H2270" i="2" s="1"/>
  <c r="G2271" i="2"/>
  <c r="U2271" i="2" s="1"/>
  <c r="G2272" i="2"/>
  <c r="J2272" i="2" s="1"/>
  <c r="G2273" i="2"/>
  <c r="S2273" i="2" s="1"/>
  <c r="T2273" i="2" s="1"/>
  <c r="G2274" i="2"/>
  <c r="I2274" i="2" s="1"/>
  <c r="G2275" i="2"/>
  <c r="H2275" i="2" s="1"/>
  <c r="G2276" i="2"/>
  <c r="R2276" i="2" s="1"/>
  <c r="G2277" i="2"/>
  <c r="S2277" i="2" s="1"/>
  <c r="T2277" i="2" s="1"/>
  <c r="G2278" i="2"/>
  <c r="U2278" i="2" s="1"/>
  <c r="G2279" i="2"/>
  <c r="J2279" i="2" s="1"/>
  <c r="G2280" i="2"/>
  <c r="U2280" i="2" s="1"/>
  <c r="G2281" i="2"/>
  <c r="R2281" i="2" s="1"/>
  <c r="G2282" i="2"/>
  <c r="S2282" i="2" s="1"/>
  <c r="T2282" i="2" s="1"/>
  <c r="G2283" i="2"/>
  <c r="H2283" i="2" s="1"/>
  <c r="G2284" i="2"/>
  <c r="S2284" i="2" s="1"/>
  <c r="T2284" i="2" s="1"/>
  <c r="G2285" i="2"/>
  <c r="H2285" i="2" s="1"/>
  <c r="G2286" i="2"/>
  <c r="H2286" i="2" s="1"/>
  <c r="G2287" i="2"/>
  <c r="I2287" i="2" s="1"/>
  <c r="G2288" i="2"/>
  <c r="J2288" i="2" s="1"/>
  <c r="G2289" i="2"/>
  <c r="R2289" i="2" s="1"/>
  <c r="G2290" i="2"/>
  <c r="H2290" i="2" s="1"/>
  <c r="G2291" i="2"/>
  <c r="H2291" i="2" s="1"/>
  <c r="G2292" i="2"/>
  <c r="I2292" i="2" s="1"/>
  <c r="G2293" i="2"/>
  <c r="U2293" i="2" s="1"/>
  <c r="G2294" i="2"/>
  <c r="R2294" i="2" s="1"/>
  <c r="G2295" i="2"/>
  <c r="S2295" i="2" s="1"/>
  <c r="T2295" i="2" s="1"/>
  <c r="G2296" i="2"/>
  <c r="U2296" i="2" s="1"/>
  <c r="G2297" i="2"/>
  <c r="J2297" i="2" s="1"/>
  <c r="G2298" i="2"/>
  <c r="I2298" i="2" s="1"/>
  <c r="G2299" i="2"/>
  <c r="H2299" i="2" s="1"/>
  <c r="G2300" i="2"/>
  <c r="J2300" i="2" s="1"/>
  <c r="G2301" i="2"/>
  <c r="I2301" i="2" s="1"/>
  <c r="G2302" i="2"/>
  <c r="J2302" i="2" s="1"/>
  <c r="G2303" i="2"/>
  <c r="S2303" i="2" s="1"/>
  <c r="T2303" i="2" s="1"/>
  <c r="G2304" i="2"/>
  <c r="J2304" i="2" s="1"/>
  <c r="G2305" i="2"/>
  <c r="H2305" i="2" s="1"/>
  <c r="G2306" i="2"/>
  <c r="H2306" i="2" s="1"/>
  <c r="G2307" i="2"/>
  <c r="U2307" i="2" s="1"/>
  <c r="G2308" i="2"/>
  <c r="J2308" i="2" s="1"/>
  <c r="G2309" i="2"/>
  <c r="H2309" i="2" s="1"/>
  <c r="G2310" i="2"/>
  <c r="I2310" i="2" s="1"/>
  <c r="G2311" i="2"/>
  <c r="H2311" i="2" s="1"/>
  <c r="G2312" i="2"/>
  <c r="J2312" i="2" s="1"/>
  <c r="G2313" i="2"/>
  <c r="H2313" i="2" s="1"/>
  <c r="G2314" i="2"/>
  <c r="R2314" i="2" s="1"/>
  <c r="G2315" i="2"/>
  <c r="H2315" i="2" s="1"/>
  <c r="G2316" i="2"/>
  <c r="R2316" i="2" s="1"/>
  <c r="G2317" i="2"/>
  <c r="J2317" i="2" s="1"/>
  <c r="G2318" i="2"/>
  <c r="S2318" i="2" s="1"/>
  <c r="T2318" i="2" s="1"/>
  <c r="G2319" i="2"/>
  <c r="H2319" i="2" s="1"/>
  <c r="G2320" i="2"/>
  <c r="J2320" i="2" s="1"/>
  <c r="G2321" i="2"/>
  <c r="I2321" i="2" s="1"/>
  <c r="G2322" i="2"/>
  <c r="J2322" i="2" s="1"/>
  <c r="G2323" i="2"/>
  <c r="H2323" i="2" s="1"/>
  <c r="G2324" i="2"/>
  <c r="U2324" i="2" s="1"/>
  <c r="G2325" i="2"/>
  <c r="R2325" i="2" s="1"/>
  <c r="G2326" i="2"/>
  <c r="I2326" i="2" s="1"/>
  <c r="G2327" i="2"/>
  <c r="J2327" i="2" s="1"/>
  <c r="G2328" i="2"/>
  <c r="J2328" i="2" s="1"/>
  <c r="G2329" i="2"/>
  <c r="S2329" i="2" s="1"/>
  <c r="T2329" i="2" s="1"/>
  <c r="G2330" i="2"/>
  <c r="J2330" i="2" s="1"/>
  <c r="G2331" i="2"/>
  <c r="J2331" i="2" s="1"/>
  <c r="G2332" i="2"/>
  <c r="H2332" i="2" s="1"/>
  <c r="G2333" i="2"/>
  <c r="R2333" i="2" s="1"/>
  <c r="G2334" i="2"/>
  <c r="I2334" i="2" s="1"/>
  <c r="G2335" i="2"/>
  <c r="J2335" i="2" s="1"/>
  <c r="G2336" i="2"/>
  <c r="H2336" i="2" s="1"/>
  <c r="G2337" i="2"/>
  <c r="I2337" i="2" s="1"/>
  <c r="G2338" i="2"/>
  <c r="S2338" i="2" s="1"/>
  <c r="T2338" i="2" s="1"/>
  <c r="G2339" i="2"/>
  <c r="I2339" i="2" s="1"/>
  <c r="G2340" i="2"/>
  <c r="H2340" i="2" s="1"/>
  <c r="G2341" i="2"/>
  <c r="H2341" i="2" s="1"/>
  <c r="G2342" i="2"/>
  <c r="H2342" i="2" s="1"/>
  <c r="G2343" i="2"/>
  <c r="R2343" i="2" s="1"/>
  <c r="G2344" i="2"/>
  <c r="S2344" i="2" s="1"/>
  <c r="T2344" i="2" s="1"/>
  <c r="G2345" i="2"/>
  <c r="U2345" i="2" s="1"/>
  <c r="G2346" i="2"/>
  <c r="I2346" i="2" s="1"/>
  <c r="G2347" i="2"/>
  <c r="H2347" i="2" s="1"/>
  <c r="G2348" i="2"/>
  <c r="I2348" i="2" s="1"/>
  <c r="G2349" i="2"/>
  <c r="J2349" i="2" s="1"/>
  <c r="G2350" i="2"/>
  <c r="I2350" i="2" s="1"/>
  <c r="G2351" i="2"/>
  <c r="H2351" i="2" s="1"/>
  <c r="G2352" i="2"/>
  <c r="R2352" i="2" s="1"/>
  <c r="G2353" i="2"/>
  <c r="H2353" i="2" s="1"/>
  <c r="G2354" i="2"/>
  <c r="H2354" i="2" s="1"/>
  <c r="G2355" i="2"/>
  <c r="J2355" i="2" s="1"/>
  <c r="G2356" i="2"/>
  <c r="I2356" i="2" s="1"/>
  <c r="G2357" i="2"/>
  <c r="I2357" i="2" s="1"/>
  <c r="G2358" i="2"/>
  <c r="R2358" i="2" s="1"/>
  <c r="G2359" i="2"/>
  <c r="J2359" i="2" s="1"/>
  <c r="G2360" i="2"/>
  <c r="I2360" i="2" s="1"/>
  <c r="G2361" i="2"/>
  <c r="J2361" i="2" s="1"/>
  <c r="G2362" i="2"/>
  <c r="I2362" i="2" s="1"/>
  <c r="G2363" i="2"/>
  <c r="H2363" i="2" s="1"/>
  <c r="G2364" i="2"/>
  <c r="S2364" i="2" s="1"/>
  <c r="T2364" i="2" s="1"/>
  <c r="G2365" i="2"/>
  <c r="H2365" i="2" s="1"/>
  <c r="G2366" i="2"/>
  <c r="H2366" i="2" s="1"/>
  <c r="G2367" i="2"/>
  <c r="H2367" i="2" s="1"/>
  <c r="G2368" i="2"/>
  <c r="I2368" i="2" s="1"/>
  <c r="G2369" i="2"/>
  <c r="H2369" i="2" s="1"/>
  <c r="G2370" i="2"/>
  <c r="H2370" i="2" s="1"/>
  <c r="G2371" i="2"/>
  <c r="H2371" i="2" s="1"/>
  <c r="G2372" i="2"/>
  <c r="J2372" i="2" s="1"/>
  <c r="G2373" i="2"/>
  <c r="I2373" i="2" s="1"/>
  <c r="G2374" i="2"/>
  <c r="U2374" i="2" s="1"/>
  <c r="G2375" i="2"/>
  <c r="I2375" i="2" s="1"/>
  <c r="G2376" i="2"/>
  <c r="R2376" i="2" s="1"/>
  <c r="G2377" i="2"/>
  <c r="I2377" i="2" s="1"/>
  <c r="G2378" i="2"/>
  <c r="J2378" i="2" s="1"/>
  <c r="G2379" i="2"/>
  <c r="H2379" i="2" s="1"/>
  <c r="G2380" i="2"/>
  <c r="I2380" i="2" s="1"/>
  <c r="G2381" i="2"/>
  <c r="R2381" i="2" s="1"/>
  <c r="G2382" i="2"/>
  <c r="S2382" i="2" s="1"/>
  <c r="T2382" i="2" s="1"/>
  <c r="G2383" i="2"/>
  <c r="H2383" i="2" s="1"/>
  <c r="G2384" i="2"/>
  <c r="S2384" i="2" s="1"/>
  <c r="T2384" i="2" s="1"/>
  <c r="G2385" i="2"/>
  <c r="J2385" i="2" s="1"/>
  <c r="G2386" i="2"/>
  <c r="H2386" i="2" s="1"/>
  <c r="G2387" i="2"/>
  <c r="S2387" i="2" s="1"/>
  <c r="T2387" i="2" s="1"/>
  <c r="G2388" i="2"/>
  <c r="R2388" i="2" s="1"/>
  <c r="G2389" i="2"/>
  <c r="I2389" i="2" s="1"/>
  <c r="G2390" i="2"/>
  <c r="S2390" i="2" s="1"/>
  <c r="T2390" i="2" s="1"/>
  <c r="G2391" i="2"/>
  <c r="H2391" i="2" s="1"/>
  <c r="G2392" i="2"/>
  <c r="J2392" i="2" s="1"/>
  <c r="G2393" i="2"/>
  <c r="H2393" i="2" s="1"/>
  <c r="G2394" i="2"/>
  <c r="J2394" i="2" s="1"/>
  <c r="G2395" i="2"/>
  <c r="H2395" i="2" s="1"/>
  <c r="G2396" i="2"/>
  <c r="I2396" i="2" s="1"/>
  <c r="G2397" i="2"/>
  <c r="I2397" i="2" s="1"/>
  <c r="G2398" i="2"/>
  <c r="I2398" i="2" s="1"/>
  <c r="G2399" i="2"/>
  <c r="J2399" i="2" s="1"/>
  <c r="G2400" i="2"/>
  <c r="H2400" i="2" s="1"/>
  <c r="G2401" i="2"/>
  <c r="I2401" i="2" s="1"/>
  <c r="G2402" i="2"/>
  <c r="I2402" i="2" s="1"/>
  <c r="G2403" i="2"/>
  <c r="S2403" i="2" s="1"/>
  <c r="T2403" i="2" s="1"/>
  <c r="G2404" i="2"/>
  <c r="S2404" i="2" s="1"/>
  <c r="T2404" i="2" s="1"/>
  <c r="G2405" i="2"/>
  <c r="I2405" i="2" s="1"/>
  <c r="G2406" i="2"/>
  <c r="S2406" i="2" s="1"/>
  <c r="T2406" i="2" s="1"/>
  <c r="G2407" i="2"/>
  <c r="J2407" i="2" s="1"/>
  <c r="G2408" i="2"/>
  <c r="H2408" i="2" s="1"/>
  <c r="G2409" i="2"/>
  <c r="H2409" i="2" s="1"/>
  <c r="G2410" i="2"/>
  <c r="H2410" i="2" s="1"/>
  <c r="G2411" i="2"/>
  <c r="H2411" i="2" s="1"/>
  <c r="G2412" i="2"/>
  <c r="U2412" i="2" s="1"/>
  <c r="G2413" i="2"/>
  <c r="R2413" i="2" s="1"/>
  <c r="G2414" i="2"/>
  <c r="J2414" i="2" s="1"/>
  <c r="G2415" i="2"/>
  <c r="S2415" i="2" s="1"/>
  <c r="T2415" i="2" s="1"/>
  <c r="G2416" i="2"/>
  <c r="I2416" i="2" s="1"/>
  <c r="G2417" i="2"/>
  <c r="J2417" i="2" s="1"/>
  <c r="G2418" i="2"/>
  <c r="U2418" i="2" s="1"/>
  <c r="G2419" i="2"/>
  <c r="I2419" i="2" s="1"/>
  <c r="G2420" i="2"/>
  <c r="H2420" i="2" s="1"/>
  <c r="G2421" i="2"/>
  <c r="H2421" i="2" s="1"/>
  <c r="G2422" i="2"/>
  <c r="H2422" i="2" s="1"/>
  <c r="G2423" i="2"/>
  <c r="H2423" i="2" s="1"/>
  <c r="G2424" i="2"/>
  <c r="H2424" i="2" s="1"/>
  <c r="G2425" i="2"/>
  <c r="H2425" i="2" s="1"/>
  <c r="G2426" i="2"/>
  <c r="J2426" i="2" s="1"/>
  <c r="G2427" i="2"/>
  <c r="H2427" i="2" s="1"/>
  <c r="G2428" i="2"/>
  <c r="H2428" i="2" s="1"/>
  <c r="G2429" i="2"/>
  <c r="J2429" i="2" s="1"/>
  <c r="G2430" i="2"/>
  <c r="I2430" i="2" s="1"/>
  <c r="G2431" i="2"/>
  <c r="H2431" i="2" s="1"/>
  <c r="G2432" i="2"/>
  <c r="H2432" i="2" s="1"/>
  <c r="G2433" i="2"/>
  <c r="H2433" i="2" s="1"/>
  <c r="G2434" i="2"/>
  <c r="H2434" i="2" s="1"/>
  <c r="G2435" i="2"/>
  <c r="H2435" i="2" s="1"/>
  <c r="G2436" i="2"/>
  <c r="H2436" i="2" s="1"/>
  <c r="G2437" i="2"/>
  <c r="R2437" i="2" s="1"/>
  <c r="G2438" i="2"/>
  <c r="I2438" i="2" s="1"/>
  <c r="G2439" i="2"/>
  <c r="H2439" i="2" s="1"/>
  <c r="G2440" i="2"/>
  <c r="H2440" i="2" s="1"/>
  <c r="G2441" i="2"/>
  <c r="H2441" i="2" s="1"/>
  <c r="G2442" i="2"/>
  <c r="J2442" i="2" s="1"/>
  <c r="G2443" i="2"/>
  <c r="H2443" i="2" s="1"/>
  <c r="G2444" i="2"/>
  <c r="H2444" i="2" s="1"/>
  <c r="G2445" i="2"/>
  <c r="H2445" i="2" s="1"/>
  <c r="G2446" i="2"/>
  <c r="I2446" i="2" s="1"/>
  <c r="G2447" i="2"/>
  <c r="H2447" i="2" s="1"/>
  <c r="G2448" i="2"/>
  <c r="H2448" i="2" s="1"/>
  <c r="G2449" i="2"/>
  <c r="H2449" i="2" s="1"/>
  <c r="G2450" i="2"/>
  <c r="H2450" i="2" s="1"/>
  <c r="G2451" i="2"/>
  <c r="H2451" i="2" s="1"/>
  <c r="G2452" i="2"/>
  <c r="H2452" i="2" s="1"/>
  <c r="G2453" i="2"/>
  <c r="H2453" i="2" s="1"/>
  <c r="G2454" i="2"/>
  <c r="H2454" i="2" s="1"/>
  <c r="G2455" i="2"/>
  <c r="H2455" i="2" s="1"/>
  <c r="G2456" i="2"/>
  <c r="H2456" i="2" s="1"/>
  <c r="G2457" i="2"/>
  <c r="I2457" i="2" s="1"/>
  <c r="G2458" i="2"/>
  <c r="S2458" i="2" s="1"/>
  <c r="T2458" i="2" s="1"/>
  <c r="G2459" i="2"/>
  <c r="H2459" i="2" s="1"/>
  <c r="G2460" i="2"/>
  <c r="H2460" i="2" s="1"/>
  <c r="G2461" i="2"/>
  <c r="I2461" i="2" s="1"/>
  <c r="G2462" i="2"/>
  <c r="R2462" i="2" s="1"/>
  <c r="G2463" i="2"/>
  <c r="H2463" i="2" s="1"/>
  <c r="G2464" i="2"/>
  <c r="H2464" i="2" s="1"/>
  <c r="G2465" i="2"/>
  <c r="H2465" i="2" s="1"/>
  <c r="G2466" i="2"/>
  <c r="J2466" i="2" s="1"/>
  <c r="G2467" i="2"/>
  <c r="H2467" i="2" s="1"/>
  <c r="G2468" i="2"/>
  <c r="H2468" i="2" s="1"/>
  <c r="G2469" i="2"/>
  <c r="H2469" i="2" s="1"/>
  <c r="G2470" i="2"/>
  <c r="I2470" i="2" s="1"/>
  <c r="G2471" i="2"/>
  <c r="H2471" i="2" s="1"/>
  <c r="G2472" i="2"/>
  <c r="H2472" i="2" s="1"/>
  <c r="G2473" i="2"/>
  <c r="U2473" i="2" s="1"/>
  <c r="G2474" i="2"/>
  <c r="I2474" i="2" s="1"/>
  <c r="G2475" i="2"/>
  <c r="H2475" i="2" s="1"/>
  <c r="G2476" i="2"/>
  <c r="H2476" i="2" s="1"/>
  <c r="G2477" i="2"/>
  <c r="H2477" i="2" s="1"/>
  <c r="G2478" i="2"/>
  <c r="H2478" i="2" s="1"/>
  <c r="G2479" i="2"/>
  <c r="H2479" i="2" s="1"/>
  <c r="G2480" i="2"/>
  <c r="H2480" i="2" s="1"/>
  <c r="G2481" i="2"/>
  <c r="S2481" i="2" s="1"/>
  <c r="T2481" i="2" s="1"/>
  <c r="G2482" i="2"/>
  <c r="R2482" i="2" s="1"/>
  <c r="G2483" i="2"/>
  <c r="H2483" i="2" s="1"/>
  <c r="G2484" i="2"/>
  <c r="H2484" i="2" s="1"/>
  <c r="G2485" i="2"/>
  <c r="H2485" i="2" s="1"/>
  <c r="G2486" i="2"/>
  <c r="I2486" i="2" s="1"/>
  <c r="G2487" i="2"/>
  <c r="H2487" i="2" s="1"/>
  <c r="G2488" i="2"/>
  <c r="H2488" i="2" s="1"/>
  <c r="G2489" i="2"/>
  <c r="I2489" i="2" s="1"/>
  <c r="G2490" i="2"/>
  <c r="S2490" i="2" s="1"/>
  <c r="T2490" i="2" s="1"/>
  <c r="G2491" i="2"/>
  <c r="H2491" i="2" s="1"/>
  <c r="G2492" i="2"/>
  <c r="H2492" i="2" s="1"/>
  <c r="G2493" i="2"/>
  <c r="H2493" i="2" s="1"/>
  <c r="G2494" i="2"/>
  <c r="I2494" i="2" s="1"/>
  <c r="G2495" i="2"/>
  <c r="H2495" i="2" s="1"/>
  <c r="G2496" i="2"/>
  <c r="H2496" i="2" s="1"/>
  <c r="G2497" i="2"/>
  <c r="H2497" i="2" s="1"/>
  <c r="G2498" i="2"/>
  <c r="H2498" i="2" s="1"/>
  <c r="G2499" i="2"/>
  <c r="H2499" i="2" s="1"/>
  <c r="G2500" i="2"/>
  <c r="H2500" i="2" s="1"/>
  <c r="G2501" i="2"/>
  <c r="H2501" i="2" s="1"/>
  <c r="G2502" i="2"/>
  <c r="H2502" i="2" s="1"/>
  <c r="G2503" i="2"/>
  <c r="H2503" i="2" s="1"/>
  <c r="G2504" i="2"/>
  <c r="H2504" i="2" s="1"/>
  <c r="G2505" i="2"/>
  <c r="R2505" i="2" s="1"/>
  <c r="G2506" i="2"/>
  <c r="I2506" i="2" s="1"/>
  <c r="G2507" i="2"/>
  <c r="H2507" i="2" s="1"/>
  <c r="G2508" i="2"/>
  <c r="H2508" i="2" s="1"/>
  <c r="G2509" i="2"/>
  <c r="H2509" i="2" s="1"/>
  <c r="G2510" i="2"/>
  <c r="H2510" i="2" s="1"/>
  <c r="G2511" i="2"/>
  <c r="H2511" i="2" s="1"/>
  <c r="G2512" i="2"/>
  <c r="H2512" i="2" s="1"/>
  <c r="G2513" i="2"/>
  <c r="J2513" i="2" s="1"/>
  <c r="G2514" i="2"/>
  <c r="S2514" i="2" s="1"/>
  <c r="T2514" i="2" s="1"/>
  <c r="G2515" i="2"/>
  <c r="H2515" i="2" s="1"/>
  <c r="G2516" i="2"/>
  <c r="H2516" i="2" s="1"/>
  <c r="G2517" i="2"/>
  <c r="H2517" i="2" s="1"/>
  <c r="G2518" i="2"/>
  <c r="J2518" i="2" s="1"/>
  <c r="G2519" i="2"/>
  <c r="J2519" i="2" s="1"/>
  <c r="G2520" i="2"/>
  <c r="H2520" i="2" s="1"/>
  <c r="G2521" i="2"/>
  <c r="I2521" i="2" s="1"/>
  <c r="G2522" i="2"/>
  <c r="H2522" i="2" s="1"/>
  <c r="G2523" i="2"/>
  <c r="H2523" i="2" s="1"/>
  <c r="G2524" i="2"/>
  <c r="H2524" i="2" s="1"/>
  <c r="G2525" i="2"/>
  <c r="H2525" i="2" s="1"/>
  <c r="G2526" i="2"/>
  <c r="H2526" i="2" s="1"/>
  <c r="G2527" i="2"/>
  <c r="H2527" i="2" s="1"/>
  <c r="G2528" i="2"/>
  <c r="H2528" i="2" s="1"/>
  <c r="G2529" i="2"/>
  <c r="J2529" i="2" s="1"/>
  <c r="G2530" i="2"/>
  <c r="R2530" i="2" s="1"/>
  <c r="G2531" i="2"/>
  <c r="H2531" i="2" s="1"/>
  <c r="G2532" i="2"/>
  <c r="H2532" i="2" s="1"/>
  <c r="G2533" i="2"/>
  <c r="S2533" i="2" s="1"/>
  <c r="T2533" i="2" s="1"/>
  <c r="G2534" i="2"/>
  <c r="S2534" i="2" s="1"/>
  <c r="T2534" i="2" s="1"/>
  <c r="G2535" i="2"/>
  <c r="H2535" i="2" s="1"/>
  <c r="G2536" i="2"/>
  <c r="H2536" i="2" s="1"/>
  <c r="G2537" i="2"/>
  <c r="H2537" i="2" s="1"/>
  <c r="G2538" i="2"/>
  <c r="J2538" i="2" s="1"/>
  <c r="G2539" i="2"/>
  <c r="H2539" i="2" s="1"/>
  <c r="G2540" i="2"/>
  <c r="H2540" i="2" s="1"/>
  <c r="G2541" i="2"/>
  <c r="S2541" i="2" s="1"/>
  <c r="T2541" i="2" s="1"/>
  <c r="G2542" i="2"/>
  <c r="H2542" i="2" s="1"/>
  <c r="G2543" i="2"/>
  <c r="H2543" i="2" s="1"/>
  <c r="G2544" i="2"/>
  <c r="H2544" i="2" s="1"/>
  <c r="G2545" i="2"/>
  <c r="H2545" i="2" s="1"/>
  <c r="G2546" i="2"/>
  <c r="I2546" i="2" s="1"/>
  <c r="G2547" i="2"/>
  <c r="H2547" i="2" s="1"/>
  <c r="G2548" i="2"/>
  <c r="H2548" i="2" s="1"/>
  <c r="G2549" i="2"/>
  <c r="I2549" i="2" s="1"/>
  <c r="G2550" i="2"/>
  <c r="H2550" i="2" s="1"/>
  <c r="G2551" i="2"/>
  <c r="H2551" i="2" s="1"/>
  <c r="G2552" i="2"/>
  <c r="H2552" i="2" s="1"/>
  <c r="G2553" i="2"/>
  <c r="H2553" i="2" s="1"/>
  <c r="G2554" i="2"/>
  <c r="H2554" i="2" s="1"/>
  <c r="G2555" i="2"/>
  <c r="H2555" i="2" s="1"/>
  <c r="G2556" i="2"/>
  <c r="H2556" i="2" s="1"/>
  <c r="G2557" i="2"/>
  <c r="H2557" i="2" s="1"/>
  <c r="G2558" i="2"/>
  <c r="H2558" i="2" s="1"/>
  <c r="G2559" i="2"/>
  <c r="H2559" i="2" s="1"/>
  <c r="G2560" i="2"/>
  <c r="H2560" i="2" s="1"/>
  <c r="G2561" i="2"/>
  <c r="H2561" i="2" s="1"/>
  <c r="G2562" i="2"/>
  <c r="H2562" i="2" s="1"/>
  <c r="G2563" i="2"/>
  <c r="H2563" i="2" s="1"/>
  <c r="G2564" i="2"/>
  <c r="H2564" i="2" s="1"/>
  <c r="G2565" i="2"/>
  <c r="H2565" i="2" s="1"/>
  <c r="G2566" i="2"/>
  <c r="I2566" i="2" s="1"/>
  <c r="G2567" i="2"/>
  <c r="H2567" i="2" s="1"/>
  <c r="G2568" i="2"/>
  <c r="H2568" i="2" s="1"/>
  <c r="G2569" i="2"/>
  <c r="H2569" i="2" s="1"/>
  <c r="G2570" i="2"/>
  <c r="I2570" i="2" s="1"/>
  <c r="G2571" i="2"/>
  <c r="H2571" i="2" s="1"/>
  <c r="G2572" i="2"/>
  <c r="H2572" i="2" s="1"/>
  <c r="G2573" i="2"/>
  <c r="H2573" i="2" s="1"/>
  <c r="G2574" i="2"/>
  <c r="H2574" i="2" s="1"/>
  <c r="G2575" i="2"/>
  <c r="H2575" i="2" s="1"/>
  <c r="G2576" i="2"/>
  <c r="H2576" i="2" s="1"/>
  <c r="G2577" i="2"/>
  <c r="H2577" i="2" s="1"/>
  <c r="G2578" i="2"/>
  <c r="H2578" i="2" s="1"/>
  <c r="G2579" i="2"/>
  <c r="H2579" i="2" s="1"/>
  <c r="G2580" i="2"/>
  <c r="H2580" i="2" s="1"/>
  <c r="G2581" i="2"/>
  <c r="I2581" i="2" s="1"/>
  <c r="G2582" i="2"/>
  <c r="H2582" i="2" s="1"/>
  <c r="H2265" i="2"/>
  <c r="H2267" i="2"/>
  <c r="H2276" i="2"/>
  <c r="H2281" i="2"/>
  <c r="H2307" i="2"/>
  <c r="I2259" i="2"/>
  <c r="I2280" i="2"/>
  <c r="I2307" i="2"/>
  <c r="I2331" i="2"/>
  <c r="I2371" i="2"/>
  <c r="J2271" i="2"/>
  <c r="J2276" i="2"/>
  <c r="J2280" i="2"/>
  <c r="J2307" i="2"/>
  <c r="J2436" i="2"/>
  <c r="R2260" i="2"/>
  <c r="R2267" i="2"/>
  <c r="R2285" i="2"/>
  <c r="R2291" i="2"/>
  <c r="R2307" i="2"/>
  <c r="R2331" i="2"/>
  <c r="R2332" i="2"/>
  <c r="R2371" i="2"/>
  <c r="S2256" i="2"/>
  <c r="T2256" i="2" s="1"/>
  <c r="S2337" i="2"/>
  <c r="T2337" i="2" s="1"/>
  <c r="U2256" i="2"/>
  <c r="U2267" i="2"/>
  <c r="U2331" i="2"/>
  <c r="U2365" i="2"/>
  <c r="U2377" i="2"/>
  <c r="U2452" i="2"/>
  <c r="U2472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E2254" i="2"/>
  <c r="G2254" i="2"/>
  <c r="H2254" i="2" s="1"/>
  <c r="W2254" i="2"/>
  <c r="E2253" i="2"/>
  <c r="G2253" i="2"/>
  <c r="H2253" i="2" s="1"/>
  <c r="W2253" i="2"/>
  <c r="E2252" i="2"/>
  <c r="G2252" i="2"/>
  <c r="H2252" i="2" s="1"/>
  <c r="W2252" i="2"/>
  <c r="E2251" i="2"/>
  <c r="G2251" i="2"/>
  <c r="H2251" i="2" s="1"/>
  <c r="W2251" i="2"/>
  <c r="E2250" i="2"/>
  <c r="G2250" i="2"/>
  <c r="H2250" i="2" s="1"/>
  <c r="W2250" i="2"/>
  <c r="E2249" i="2"/>
  <c r="G2249" i="2"/>
  <c r="H2249" i="2" s="1"/>
  <c r="W2249" i="2"/>
  <c r="S2439" i="2" l="1"/>
  <c r="T2439" i="2" s="1"/>
  <c r="I2403" i="2"/>
  <c r="H2343" i="2"/>
  <c r="R2439" i="2"/>
  <c r="U2439" i="2"/>
  <c r="S2411" i="2"/>
  <c r="T2411" i="2" s="1"/>
  <c r="R2411" i="2"/>
  <c r="J2419" i="2"/>
  <c r="I2391" i="2"/>
  <c r="U2411" i="2"/>
  <c r="R2403" i="2"/>
  <c r="J2411" i="2"/>
  <c r="J2439" i="2"/>
  <c r="I2411" i="2"/>
  <c r="U2571" i="2"/>
  <c r="U2527" i="2"/>
  <c r="I2527" i="2"/>
  <c r="U2507" i="2"/>
  <c r="S2507" i="2"/>
  <c r="T2507" i="2" s="1"/>
  <c r="S2500" i="2"/>
  <c r="T2500" i="2" s="1"/>
  <c r="U2499" i="2"/>
  <c r="J2487" i="2"/>
  <c r="U2487" i="2"/>
  <c r="S2483" i="2"/>
  <c r="T2483" i="2" s="1"/>
  <c r="R2471" i="2"/>
  <c r="U2468" i="2"/>
  <c r="U2463" i="2"/>
  <c r="S2463" i="2"/>
  <c r="T2463" i="2" s="1"/>
  <c r="U2459" i="2"/>
  <c r="J2459" i="2"/>
  <c r="R2459" i="2"/>
  <c r="S2459" i="2"/>
  <c r="T2459" i="2" s="1"/>
  <c r="R2453" i="2"/>
  <c r="I2451" i="2"/>
  <c r="R2451" i="2"/>
  <c r="S2447" i="2"/>
  <c r="T2447" i="2" s="1"/>
  <c r="I2447" i="2"/>
  <c r="U2443" i="2"/>
  <c r="R2443" i="2"/>
  <c r="I2439" i="2"/>
  <c r="U2424" i="2"/>
  <c r="U2423" i="2"/>
  <c r="I2423" i="2"/>
  <c r="S2423" i="2"/>
  <c r="T2423" i="2" s="1"/>
  <c r="J2423" i="2"/>
  <c r="U2420" i="2"/>
  <c r="R2420" i="2"/>
  <c r="J2420" i="2"/>
  <c r="U2419" i="2"/>
  <c r="R2419" i="2"/>
  <c r="S2416" i="2"/>
  <c r="T2416" i="2" s="1"/>
  <c r="R2415" i="2"/>
  <c r="I2415" i="2"/>
  <c r="I2412" i="2"/>
  <c r="J2409" i="2"/>
  <c r="U2407" i="2"/>
  <c r="S2407" i="2"/>
  <c r="T2407" i="2" s="1"/>
  <c r="U2403" i="2"/>
  <c r="J2403" i="2"/>
  <c r="R2400" i="2"/>
  <c r="S2395" i="2"/>
  <c r="T2395" i="2" s="1"/>
  <c r="I2395" i="2"/>
  <c r="U2395" i="2"/>
  <c r="R2395" i="2"/>
  <c r="R2391" i="2"/>
  <c r="S2388" i="2"/>
  <c r="T2388" i="2" s="1"/>
  <c r="I2387" i="2"/>
  <c r="U2387" i="2"/>
  <c r="R2387" i="2"/>
  <c r="J2387" i="2"/>
  <c r="H2387" i="2"/>
  <c r="U2385" i="2"/>
  <c r="S2383" i="2"/>
  <c r="T2383" i="2" s="1"/>
  <c r="R2383" i="2"/>
  <c r="U2383" i="2"/>
  <c r="I2383" i="2"/>
  <c r="J2383" i="2"/>
  <c r="H2380" i="2"/>
  <c r="U2380" i="2"/>
  <c r="U2379" i="2"/>
  <c r="R2379" i="2"/>
  <c r="S2379" i="2"/>
  <c r="T2379" i="2" s="1"/>
  <c r="J2379" i="2"/>
  <c r="R2372" i="2"/>
  <c r="U2371" i="2"/>
  <c r="J2371" i="2"/>
  <c r="S2371" i="2"/>
  <c r="T2371" i="2" s="1"/>
  <c r="S2369" i="2"/>
  <c r="T2369" i="2" s="1"/>
  <c r="U2368" i="2"/>
  <c r="R2367" i="2"/>
  <c r="S2367" i="2"/>
  <c r="T2367" i="2" s="1"/>
  <c r="U2367" i="2"/>
  <c r="I2367" i="2"/>
  <c r="I2365" i="2"/>
  <c r="J2364" i="2"/>
  <c r="H2364" i="2"/>
  <c r="R2364" i="2"/>
  <c r="I2355" i="2"/>
  <c r="H2355" i="2"/>
  <c r="R2355" i="2"/>
  <c r="U2355" i="2"/>
  <c r="U2352" i="2"/>
  <c r="I2351" i="2"/>
  <c r="S2351" i="2"/>
  <c r="T2351" i="2" s="1"/>
  <c r="U2351" i="2"/>
  <c r="R2351" i="2"/>
  <c r="J2351" i="2"/>
  <c r="R2344" i="2"/>
  <c r="S2339" i="2"/>
  <c r="T2339" i="2" s="1"/>
  <c r="J2337" i="2"/>
  <c r="J2336" i="2"/>
  <c r="U2332" i="2"/>
  <c r="S2331" i="2"/>
  <c r="T2331" i="2" s="1"/>
  <c r="H2331" i="2"/>
  <c r="U2328" i="2"/>
  <c r="H2328" i="2"/>
  <c r="R2328" i="2"/>
  <c r="S2327" i="2"/>
  <c r="T2327" i="2" s="1"/>
  <c r="R2327" i="2"/>
  <c r="I2327" i="2"/>
  <c r="U2327" i="2"/>
  <c r="H2327" i="2"/>
  <c r="U2323" i="2"/>
  <c r="J2323" i="2"/>
  <c r="S2323" i="2"/>
  <c r="T2323" i="2" s="1"/>
  <c r="I2323" i="2"/>
  <c r="R2323" i="2"/>
  <c r="R2321" i="2"/>
  <c r="U2320" i="2"/>
  <c r="J2319" i="2"/>
  <c r="U2319" i="2"/>
  <c r="S2319" i="2"/>
  <c r="T2319" i="2" s="1"/>
  <c r="R2319" i="2"/>
  <c r="S2316" i="2"/>
  <c r="T2316" i="2" s="1"/>
  <c r="J2316" i="2"/>
  <c r="U2313" i="2"/>
  <c r="U2312" i="2"/>
  <c r="H2312" i="2"/>
  <c r="S2311" i="2"/>
  <c r="T2311" i="2" s="1"/>
  <c r="R2311" i="2"/>
  <c r="J2311" i="2"/>
  <c r="U2311" i="2"/>
  <c r="I2311" i="2"/>
  <c r="S2308" i="2"/>
  <c r="T2308" i="2" s="1"/>
  <c r="I2308" i="2"/>
  <c r="S2307" i="2"/>
  <c r="T2307" i="2" s="1"/>
  <c r="R2304" i="2"/>
  <c r="I2304" i="2"/>
  <c r="H2304" i="2"/>
  <c r="U2301" i="2"/>
  <c r="S2299" i="2"/>
  <c r="T2299" i="2" s="1"/>
  <c r="U2299" i="2"/>
  <c r="S2297" i="2"/>
  <c r="T2297" i="2" s="1"/>
  <c r="R2297" i="2"/>
  <c r="R2295" i="2"/>
  <c r="H2295" i="2"/>
  <c r="J2295" i="2"/>
  <c r="U2295" i="2"/>
  <c r="I2295" i="2"/>
  <c r="J2291" i="2"/>
  <c r="U2291" i="2"/>
  <c r="S2291" i="2"/>
  <c r="T2291" i="2" s="1"/>
  <c r="I2291" i="2"/>
  <c r="R2288" i="2"/>
  <c r="I2288" i="2"/>
  <c r="U2288" i="2"/>
  <c r="H2287" i="2"/>
  <c r="J2287" i="2"/>
  <c r="U2284" i="2"/>
  <c r="R2284" i="2"/>
  <c r="J2284" i="2"/>
  <c r="I2284" i="2"/>
  <c r="H2284" i="2"/>
  <c r="R2280" i="2"/>
  <c r="R2277" i="2"/>
  <c r="U2276" i="2"/>
  <c r="J2273" i="2"/>
  <c r="U2273" i="2"/>
  <c r="H2271" i="2"/>
  <c r="S2269" i="2"/>
  <c r="T2269" i="2" s="1"/>
  <c r="U2269" i="2"/>
  <c r="I2267" i="2"/>
  <c r="J2267" i="2"/>
  <c r="R2263" i="2"/>
  <c r="J2263" i="2"/>
  <c r="J2260" i="2"/>
  <c r="R2256" i="2"/>
  <c r="J2256" i="2"/>
  <c r="I2256" i="2"/>
  <c r="S2255" i="2"/>
  <c r="T2255" i="2" s="1"/>
  <c r="J2255" i="2"/>
  <c r="H2255" i="2"/>
  <c r="R2255" i="2"/>
  <c r="I2255" i="2"/>
  <c r="U2460" i="2"/>
  <c r="S2524" i="2"/>
  <c r="T2524" i="2" s="1"/>
  <c r="S2432" i="2"/>
  <c r="T2432" i="2" s="1"/>
  <c r="R2472" i="2"/>
  <c r="I2460" i="2"/>
  <c r="I2424" i="2"/>
  <c r="J2472" i="2"/>
  <c r="U2488" i="2"/>
  <c r="R2488" i="2"/>
  <c r="J2452" i="2"/>
  <c r="U2547" i="2"/>
  <c r="U2523" i="2"/>
  <c r="U2503" i="2"/>
  <c r="U2483" i="2"/>
  <c r="S2571" i="2"/>
  <c r="T2571" i="2" s="1"/>
  <c r="S2523" i="2"/>
  <c r="T2523" i="2" s="1"/>
  <c r="S2503" i="2"/>
  <c r="T2503" i="2" s="1"/>
  <c r="S2479" i="2"/>
  <c r="T2479" i="2" s="1"/>
  <c r="R2535" i="2"/>
  <c r="J2527" i="2"/>
  <c r="J2479" i="2"/>
  <c r="S2531" i="2"/>
  <c r="T2531" i="2" s="1"/>
  <c r="S2515" i="2"/>
  <c r="T2515" i="2" s="1"/>
  <c r="R2515" i="2"/>
  <c r="J2511" i="2"/>
  <c r="U2535" i="2"/>
  <c r="U2515" i="2"/>
  <c r="U2531" i="2"/>
  <c r="U2511" i="2"/>
  <c r="S2527" i="2"/>
  <c r="T2527" i="2" s="1"/>
  <c r="S2511" i="2"/>
  <c r="T2511" i="2" s="1"/>
  <c r="S2487" i="2"/>
  <c r="T2487" i="2" s="1"/>
  <c r="R2499" i="2"/>
  <c r="J2499" i="2"/>
  <c r="U2580" i="2"/>
  <c r="S2552" i="2"/>
  <c r="T2552" i="2" s="1"/>
  <c r="R2552" i="2"/>
  <c r="U2552" i="2"/>
  <c r="R2516" i="2"/>
  <c r="J2552" i="2"/>
  <c r="U2469" i="2"/>
  <c r="U2437" i="2"/>
  <c r="J2441" i="2"/>
  <c r="I2481" i="2"/>
  <c r="U2565" i="2"/>
  <c r="S2577" i="2"/>
  <c r="T2577" i="2" s="1"/>
  <c r="J2515" i="2"/>
  <c r="R2511" i="2"/>
  <c r="J2531" i="2"/>
  <c r="J2503" i="2"/>
  <c r="I2443" i="2"/>
  <c r="U2553" i="2"/>
  <c r="U2533" i="2"/>
  <c r="S2549" i="2"/>
  <c r="T2549" i="2" s="1"/>
  <c r="R2529" i="2"/>
  <c r="J2521" i="2"/>
  <c r="J2532" i="2"/>
  <c r="J2306" i="2"/>
  <c r="I2508" i="2"/>
  <c r="R2572" i="2"/>
  <c r="I2560" i="2"/>
  <c r="S2575" i="2"/>
  <c r="T2575" i="2" s="1"/>
  <c r="S2535" i="2"/>
  <c r="T2535" i="2" s="1"/>
  <c r="R2523" i="2"/>
  <c r="R2503" i="2"/>
  <c r="J2535" i="2"/>
  <c r="J2523" i="2"/>
  <c r="J2507" i="2"/>
  <c r="I2487" i="2"/>
  <c r="R2575" i="2"/>
  <c r="I2515" i="2"/>
  <c r="I2479" i="2"/>
  <c r="I2491" i="2"/>
  <c r="I2471" i="2"/>
  <c r="U2572" i="2"/>
  <c r="U2560" i="2"/>
  <c r="S2492" i="2"/>
  <c r="T2492" i="2" s="1"/>
  <c r="R2580" i="2"/>
  <c r="R2560" i="2"/>
  <c r="R2536" i="2"/>
  <c r="R2512" i="2"/>
  <c r="R2496" i="2"/>
  <c r="R2480" i="2"/>
  <c r="R2468" i="2"/>
  <c r="R2432" i="2"/>
  <c r="R2404" i="2"/>
  <c r="R2380" i="2"/>
  <c r="R2368" i="2"/>
  <c r="J2572" i="2"/>
  <c r="J2544" i="2"/>
  <c r="J2492" i="2"/>
  <c r="J2424" i="2"/>
  <c r="J2416" i="2"/>
  <c r="J2396" i="2"/>
  <c r="I2572" i="2"/>
  <c r="I2548" i="2"/>
  <c r="I2492" i="2"/>
  <c r="I2472" i="2"/>
  <c r="I2436" i="2"/>
  <c r="I2420" i="2"/>
  <c r="I2408" i="2"/>
  <c r="I2372" i="2"/>
  <c r="I2364" i="2"/>
  <c r="I2316" i="2"/>
  <c r="H2396" i="2"/>
  <c r="H2372" i="2"/>
  <c r="S2548" i="2"/>
  <c r="T2548" i="2" s="1"/>
  <c r="S2472" i="2"/>
  <c r="T2472" i="2" s="1"/>
  <c r="U2544" i="2"/>
  <c r="U2528" i="2"/>
  <c r="U2516" i="2"/>
  <c r="U2508" i="2"/>
  <c r="U2492" i="2"/>
  <c r="U2476" i="2"/>
  <c r="U2448" i="2"/>
  <c r="U2436" i="2"/>
  <c r="U2404" i="2"/>
  <c r="S2576" i="2"/>
  <c r="T2576" i="2" s="1"/>
  <c r="S2560" i="2"/>
  <c r="T2560" i="2" s="1"/>
  <c r="S2544" i="2"/>
  <c r="T2544" i="2" s="1"/>
  <c r="S2512" i="2"/>
  <c r="T2512" i="2" s="1"/>
  <c r="S2488" i="2"/>
  <c r="T2488" i="2" s="1"/>
  <c r="S2480" i="2"/>
  <c r="T2480" i="2" s="1"/>
  <c r="S2468" i="2"/>
  <c r="T2468" i="2" s="1"/>
  <c r="S2448" i="2"/>
  <c r="T2448" i="2" s="1"/>
  <c r="S2436" i="2"/>
  <c r="T2436" i="2" s="1"/>
  <c r="S2420" i="2"/>
  <c r="T2420" i="2" s="1"/>
  <c r="S2408" i="2"/>
  <c r="T2408" i="2" s="1"/>
  <c r="S2372" i="2"/>
  <c r="T2372" i="2" s="1"/>
  <c r="S2352" i="2"/>
  <c r="T2352" i="2" s="1"/>
  <c r="S2324" i="2"/>
  <c r="T2324" i="2" s="1"/>
  <c r="S2312" i="2"/>
  <c r="T2312" i="2" s="1"/>
  <c r="R2556" i="2"/>
  <c r="R2520" i="2"/>
  <c r="R2492" i="2"/>
  <c r="R2476" i="2"/>
  <c r="R2460" i="2"/>
  <c r="R2424" i="2"/>
  <c r="R2412" i="2"/>
  <c r="R2348" i="2"/>
  <c r="J2560" i="2"/>
  <c r="J2512" i="2"/>
  <c r="J2488" i="2"/>
  <c r="J2476" i="2"/>
  <c r="J2456" i="2"/>
  <c r="J2412" i="2"/>
  <c r="J2404" i="2"/>
  <c r="I2568" i="2"/>
  <c r="I2544" i="2"/>
  <c r="I2512" i="2"/>
  <c r="I2480" i="2"/>
  <c r="I2432" i="2"/>
  <c r="I2404" i="2"/>
  <c r="I2328" i="2"/>
  <c r="I2312" i="2"/>
  <c r="H2352" i="2"/>
  <c r="H2316" i="2"/>
  <c r="U2576" i="2"/>
  <c r="U2564" i="2"/>
  <c r="U2548" i="2"/>
  <c r="U2524" i="2"/>
  <c r="U2512" i="2"/>
  <c r="U2408" i="2"/>
  <c r="U2396" i="2"/>
  <c r="U2356" i="2"/>
  <c r="U2348" i="2"/>
  <c r="U2316" i="2"/>
  <c r="S2580" i="2"/>
  <c r="T2580" i="2" s="1"/>
  <c r="S2572" i="2"/>
  <c r="T2572" i="2" s="1"/>
  <c r="S2532" i="2"/>
  <c r="T2532" i="2" s="1"/>
  <c r="S2508" i="2"/>
  <c r="T2508" i="2" s="1"/>
  <c r="S2496" i="2"/>
  <c r="T2496" i="2" s="1"/>
  <c r="S2484" i="2"/>
  <c r="T2484" i="2" s="1"/>
  <c r="S2476" i="2"/>
  <c r="T2476" i="2" s="1"/>
  <c r="S2460" i="2"/>
  <c r="T2460" i="2" s="1"/>
  <c r="S2440" i="2"/>
  <c r="T2440" i="2" s="1"/>
  <c r="S2424" i="2"/>
  <c r="T2424" i="2" s="1"/>
  <c r="S2412" i="2"/>
  <c r="T2412" i="2" s="1"/>
  <c r="S2380" i="2"/>
  <c r="T2380" i="2" s="1"/>
  <c r="S2348" i="2"/>
  <c r="T2348" i="2" s="1"/>
  <c r="S2328" i="2"/>
  <c r="T2328" i="2" s="1"/>
  <c r="R2568" i="2"/>
  <c r="R2544" i="2"/>
  <c r="R2524" i="2"/>
  <c r="R2484" i="2"/>
  <c r="R2436" i="2"/>
  <c r="R2408" i="2"/>
  <c r="R2396" i="2"/>
  <c r="R2336" i="2"/>
  <c r="R2312" i="2"/>
  <c r="J2548" i="2"/>
  <c r="J2520" i="2"/>
  <c r="J2508" i="2"/>
  <c r="J2496" i="2"/>
  <c r="J2480" i="2"/>
  <c r="J2460" i="2"/>
  <c r="J2448" i="2"/>
  <c r="J2432" i="2"/>
  <c r="J2400" i="2"/>
  <c r="J2380" i="2"/>
  <c r="J2356" i="2"/>
  <c r="I2552" i="2"/>
  <c r="I2520" i="2"/>
  <c r="I2496" i="2"/>
  <c r="I2484" i="2"/>
  <c r="I2476" i="2"/>
  <c r="I2456" i="2"/>
  <c r="I2400" i="2"/>
  <c r="I2332" i="2"/>
  <c r="H2412" i="2"/>
  <c r="H2376" i="2"/>
  <c r="H2356" i="2"/>
  <c r="H2348" i="2"/>
  <c r="J2581" i="2"/>
  <c r="H2481" i="2"/>
  <c r="H2385" i="2"/>
  <c r="R2537" i="2"/>
  <c r="J2565" i="2"/>
  <c r="J2481" i="2"/>
  <c r="I2529" i="2"/>
  <c r="H2361" i="2"/>
  <c r="R2553" i="2"/>
  <c r="R2481" i="2"/>
  <c r="J2537" i="2"/>
  <c r="U2481" i="2"/>
  <c r="U2497" i="2"/>
  <c r="U2485" i="2"/>
  <c r="U2429" i="2"/>
  <c r="U2337" i="2"/>
  <c r="U2305" i="2"/>
  <c r="U2265" i="2"/>
  <c r="S2573" i="2"/>
  <c r="T2573" i="2" s="1"/>
  <c r="S2561" i="2"/>
  <c r="T2561" i="2" s="1"/>
  <c r="S2537" i="2"/>
  <c r="T2537" i="2" s="1"/>
  <c r="S2497" i="2"/>
  <c r="T2497" i="2" s="1"/>
  <c r="S2489" i="2"/>
  <c r="T2489" i="2" s="1"/>
  <c r="S2465" i="2"/>
  <c r="T2465" i="2" s="1"/>
  <c r="S2361" i="2"/>
  <c r="T2361" i="2" s="1"/>
  <c r="S2317" i="2"/>
  <c r="T2317" i="2" s="1"/>
  <c r="S2281" i="2"/>
  <c r="T2281" i="2" s="1"/>
  <c r="R2581" i="2"/>
  <c r="R2569" i="2"/>
  <c r="R2541" i="2"/>
  <c r="R2533" i="2"/>
  <c r="R2521" i="2"/>
  <c r="R2493" i="2"/>
  <c r="R2445" i="2"/>
  <c r="R2393" i="2"/>
  <c r="R2361" i="2"/>
  <c r="J2553" i="2"/>
  <c r="J2541" i="2"/>
  <c r="J2485" i="2"/>
  <c r="J2365" i="2"/>
  <c r="J2345" i="2"/>
  <c r="J2305" i="2"/>
  <c r="J2285" i="2"/>
  <c r="I2541" i="2"/>
  <c r="I2421" i="2"/>
  <c r="I2317" i="2"/>
  <c r="I2281" i="2"/>
  <c r="I2265" i="2"/>
  <c r="H2529" i="2"/>
  <c r="H2337" i="2"/>
  <c r="U2573" i="2"/>
  <c r="U2361" i="2"/>
  <c r="S2557" i="2"/>
  <c r="T2557" i="2" s="1"/>
  <c r="S2493" i="2"/>
  <c r="T2493" i="2" s="1"/>
  <c r="S2445" i="2"/>
  <c r="T2445" i="2" s="1"/>
  <c r="S2377" i="2"/>
  <c r="T2377" i="2" s="1"/>
  <c r="S2313" i="2"/>
  <c r="T2313" i="2" s="1"/>
  <c r="R2565" i="2"/>
  <c r="R2517" i="2"/>
  <c r="R2497" i="2"/>
  <c r="R2441" i="2"/>
  <c r="R2429" i="2"/>
  <c r="R2365" i="2"/>
  <c r="R2337" i="2"/>
  <c r="R2273" i="2"/>
  <c r="J2577" i="2"/>
  <c r="J2561" i="2"/>
  <c r="J2469" i="2"/>
  <c r="J2453" i="2"/>
  <c r="J2281" i="2"/>
  <c r="I2441" i="2"/>
  <c r="I2341" i="2"/>
  <c r="I2305" i="2"/>
  <c r="I2269" i="2"/>
  <c r="U2541" i="2"/>
  <c r="U2561" i="2"/>
  <c r="U2537" i="2"/>
  <c r="U2509" i="2"/>
  <c r="U2465" i="2"/>
  <c r="U2453" i="2"/>
  <c r="U2441" i="2"/>
  <c r="U2433" i="2"/>
  <c r="U2281" i="2"/>
  <c r="S2581" i="2"/>
  <c r="T2581" i="2" s="1"/>
  <c r="S2565" i="2"/>
  <c r="T2565" i="2" s="1"/>
  <c r="S2553" i="2"/>
  <c r="T2553" i="2" s="1"/>
  <c r="S2521" i="2"/>
  <c r="T2521" i="2" s="1"/>
  <c r="S2509" i="2"/>
  <c r="T2509" i="2" s="1"/>
  <c r="S2485" i="2"/>
  <c r="T2485" i="2" s="1"/>
  <c r="S2441" i="2"/>
  <c r="T2441" i="2" s="1"/>
  <c r="S2365" i="2"/>
  <c r="T2365" i="2" s="1"/>
  <c r="S2305" i="2"/>
  <c r="T2305" i="2" s="1"/>
  <c r="R2509" i="2"/>
  <c r="R2485" i="2"/>
  <c r="R2449" i="2"/>
  <c r="R2425" i="2"/>
  <c r="R2349" i="2"/>
  <c r="R2313" i="2"/>
  <c r="R2305" i="2"/>
  <c r="R2269" i="2"/>
  <c r="J2573" i="2"/>
  <c r="J2533" i="2"/>
  <c r="J2525" i="2"/>
  <c r="J2517" i="2"/>
  <c r="J2497" i="2"/>
  <c r="J2437" i="2"/>
  <c r="J2313" i="2"/>
  <c r="J2269" i="2"/>
  <c r="I2565" i="2"/>
  <c r="I2485" i="2"/>
  <c r="I2465" i="2"/>
  <c r="I2449" i="2"/>
  <c r="I2369" i="2"/>
  <c r="I2361" i="2"/>
  <c r="H2377" i="2"/>
  <c r="I2537" i="2"/>
  <c r="I2497" i="2"/>
  <c r="I2533" i="2"/>
  <c r="H2533" i="2"/>
  <c r="U2434" i="2"/>
  <c r="U2258" i="2"/>
  <c r="S2562" i="2"/>
  <c r="T2562" i="2" s="1"/>
  <c r="R2498" i="2"/>
  <c r="R2458" i="2"/>
  <c r="R2282" i="2"/>
  <c r="I2282" i="2"/>
  <c r="H2314" i="2"/>
  <c r="R2258" i="2"/>
  <c r="J2310" i="2"/>
  <c r="U2570" i="2"/>
  <c r="U2306" i="2"/>
  <c r="S2310" i="2"/>
  <c r="T2310" i="2" s="1"/>
  <c r="R2310" i="2"/>
  <c r="J2282" i="2"/>
  <c r="H2549" i="2"/>
  <c r="H2521" i="2"/>
  <c r="H2541" i="2"/>
  <c r="I2571" i="2"/>
  <c r="I2523" i="2"/>
  <c r="I2531" i="2"/>
  <c r="I2507" i="2"/>
  <c r="R2574" i="2"/>
  <c r="J2498" i="2"/>
  <c r="I2306" i="2"/>
  <c r="R2558" i="2"/>
  <c r="J2562" i="2"/>
  <c r="I2558" i="2"/>
  <c r="I2498" i="2"/>
  <c r="I2458" i="2"/>
  <c r="H2310" i="2"/>
  <c r="S2502" i="2"/>
  <c r="T2502" i="2" s="1"/>
  <c r="R2566" i="2"/>
  <c r="H2338" i="2"/>
  <c r="U2558" i="2"/>
  <c r="U2530" i="2"/>
  <c r="S2566" i="2"/>
  <c r="T2566" i="2" s="1"/>
  <c r="R2571" i="2"/>
  <c r="R2502" i="2"/>
  <c r="J2575" i="2"/>
  <c r="J2571" i="2"/>
  <c r="I2574" i="2"/>
  <c r="U2562" i="2"/>
  <c r="U2546" i="2"/>
  <c r="S2558" i="2"/>
  <c r="T2558" i="2" s="1"/>
  <c r="S2498" i="2"/>
  <c r="T2498" i="2" s="1"/>
  <c r="J2574" i="2"/>
  <c r="J2558" i="2"/>
  <c r="J2546" i="2"/>
  <c r="J2458" i="2"/>
  <c r="I2390" i="2"/>
  <c r="U2582" i="2"/>
  <c r="I2582" i="2"/>
  <c r="S2582" i="2"/>
  <c r="T2582" i="2" s="1"/>
  <c r="J2582" i="2"/>
  <c r="R2582" i="2"/>
  <c r="U2581" i="2"/>
  <c r="H2581" i="2"/>
  <c r="J2580" i="2"/>
  <c r="I2580" i="2"/>
  <c r="S2579" i="2"/>
  <c r="T2579" i="2" s="1"/>
  <c r="U2579" i="2"/>
  <c r="R2579" i="2"/>
  <c r="J2579" i="2"/>
  <c r="I2579" i="2"/>
  <c r="U2578" i="2"/>
  <c r="J2578" i="2"/>
  <c r="S2578" i="2"/>
  <c r="T2578" i="2" s="1"/>
  <c r="R2578" i="2"/>
  <c r="I2578" i="2"/>
  <c r="R2577" i="2"/>
  <c r="U2577" i="2"/>
  <c r="I2577" i="2"/>
  <c r="I2576" i="2"/>
  <c r="R2576" i="2"/>
  <c r="J2576" i="2"/>
  <c r="U2575" i="2"/>
  <c r="I2575" i="2"/>
  <c r="U2574" i="2"/>
  <c r="S2574" i="2"/>
  <c r="T2574" i="2" s="1"/>
  <c r="R2573" i="2"/>
  <c r="I2573" i="2"/>
  <c r="S2570" i="2"/>
  <c r="T2570" i="2" s="1"/>
  <c r="R2570" i="2"/>
  <c r="H2570" i="2"/>
  <c r="J2570" i="2"/>
  <c r="U2569" i="2"/>
  <c r="J2569" i="2"/>
  <c r="S2569" i="2"/>
  <c r="T2569" i="2" s="1"/>
  <c r="I2569" i="2"/>
  <c r="U2568" i="2"/>
  <c r="S2568" i="2"/>
  <c r="T2568" i="2" s="1"/>
  <c r="J2568" i="2"/>
  <c r="J2567" i="2"/>
  <c r="S2567" i="2"/>
  <c r="T2567" i="2" s="1"/>
  <c r="I2567" i="2"/>
  <c r="U2567" i="2"/>
  <c r="R2567" i="2"/>
  <c r="H2566" i="2"/>
  <c r="U2566" i="2"/>
  <c r="J2566" i="2"/>
  <c r="S2564" i="2"/>
  <c r="T2564" i="2" s="1"/>
  <c r="R2564" i="2"/>
  <c r="J2564" i="2"/>
  <c r="I2564" i="2"/>
  <c r="U2563" i="2"/>
  <c r="I2563" i="2"/>
  <c r="S2563" i="2"/>
  <c r="T2563" i="2" s="1"/>
  <c r="J2563" i="2"/>
  <c r="R2563" i="2"/>
  <c r="R2562" i="2"/>
  <c r="I2562" i="2"/>
  <c r="R2561" i="2"/>
  <c r="I2561" i="2"/>
  <c r="U2559" i="2"/>
  <c r="R2559" i="2"/>
  <c r="J2559" i="2"/>
  <c r="S2559" i="2"/>
  <c r="T2559" i="2" s="1"/>
  <c r="I2559" i="2"/>
  <c r="U2557" i="2"/>
  <c r="R2557" i="2"/>
  <c r="J2557" i="2"/>
  <c r="I2557" i="2"/>
  <c r="U2556" i="2"/>
  <c r="S2556" i="2"/>
  <c r="T2556" i="2" s="1"/>
  <c r="J2556" i="2"/>
  <c r="I2556" i="2"/>
  <c r="S2555" i="2"/>
  <c r="T2555" i="2" s="1"/>
  <c r="R2555" i="2"/>
  <c r="I2555" i="2"/>
  <c r="J2555" i="2"/>
  <c r="U2555" i="2"/>
  <c r="R2554" i="2"/>
  <c r="S2554" i="2"/>
  <c r="T2554" i="2" s="1"/>
  <c r="J2554" i="2"/>
  <c r="U2554" i="2"/>
  <c r="I2554" i="2"/>
  <c r="I2553" i="2"/>
  <c r="R2551" i="2"/>
  <c r="J2551" i="2"/>
  <c r="I2551" i="2"/>
  <c r="U2551" i="2"/>
  <c r="S2551" i="2"/>
  <c r="T2551" i="2" s="1"/>
  <c r="U2550" i="2"/>
  <c r="R2550" i="2"/>
  <c r="S2550" i="2"/>
  <c r="T2550" i="2" s="1"/>
  <c r="J2550" i="2"/>
  <c r="I2550" i="2"/>
  <c r="J2549" i="2"/>
  <c r="U2549" i="2"/>
  <c r="R2549" i="2"/>
  <c r="R2548" i="2"/>
  <c r="I2547" i="2"/>
  <c r="S2547" i="2"/>
  <c r="T2547" i="2" s="1"/>
  <c r="R2547" i="2"/>
  <c r="J2547" i="2"/>
  <c r="S2546" i="2"/>
  <c r="T2546" i="2" s="1"/>
  <c r="H2546" i="2"/>
  <c r="R2546" i="2"/>
  <c r="U2545" i="2"/>
  <c r="R2545" i="2"/>
  <c r="S2545" i="2"/>
  <c r="T2545" i="2" s="1"/>
  <c r="J2545" i="2"/>
  <c r="I2545" i="2"/>
  <c r="J2543" i="2"/>
  <c r="U2543" i="2"/>
  <c r="R2543" i="2"/>
  <c r="I2543" i="2"/>
  <c r="S2543" i="2"/>
  <c r="T2543" i="2" s="1"/>
  <c r="U2542" i="2"/>
  <c r="I2542" i="2"/>
  <c r="S2542" i="2"/>
  <c r="T2542" i="2" s="1"/>
  <c r="R2542" i="2"/>
  <c r="J2542" i="2"/>
  <c r="U2540" i="2"/>
  <c r="R2540" i="2"/>
  <c r="I2540" i="2"/>
  <c r="J2540" i="2"/>
  <c r="S2540" i="2"/>
  <c r="T2540" i="2" s="1"/>
  <c r="S2539" i="2"/>
  <c r="T2539" i="2" s="1"/>
  <c r="U2539" i="2"/>
  <c r="R2539" i="2"/>
  <c r="J2539" i="2"/>
  <c r="I2539" i="2"/>
  <c r="S2538" i="2"/>
  <c r="T2538" i="2" s="1"/>
  <c r="H2538" i="2"/>
  <c r="R2538" i="2"/>
  <c r="I2538" i="2"/>
  <c r="U2538" i="2"/>
  <c r="I2536" i="2"/>
  <c r="U2536" i="2"/>
  <c r="S2536" i="2"/>
  <c r="T2536" i="2" s="1"/>
  <c r="J2536" i="2"/>
  <c r="I2535" i="2"/>
  <c r="I2534" i="2"/>
  <c r="R2534" i="2"/>
  <c r="J2534" i="2"/>
  <c r="H2534" i="2"/>
  <c r="U2534" i="2"/>
  <c r="U2532" i="2"/>
  <c r="R2532" i="2"/>
  <c r="I2532" i="2"/>
  <c r="R2531" i="2"/>
  <c r="I2530" i="2"/>
  <c r="J2530" i="2"/>
  <c r="H2530" i="2"/>
  <c r="S2530" i="2"/>
  <c r="T2530" i="2" s="1"/>
  <c r="U2529" i="2"/>
  <c r="S2529" i="2"/>
  <c r="T2529" i="2" s="1"/>
  <c r="R2528" i="2"/>
  <c r="J2528" i="2"/>
  <c r="S2528" i="2"/>
  <c r="T2528" i="2" s="1"/>
  <c r="I2528" i="2"/>
  <c r="R2527" i="2"/>
  <c r="S2526" i="2"/>
  <c r="T2526" i="2" s="1"/>
  <c r="I2526" i="2"/>
  <c r="U2526" i="2"/>
  <c r="J2526" i="2"/>
  <c r="R2526" i="2"/>
  <c r="R2525" i="2"/>
  <c r="U2525" i="2"/>
  <c r="S2525" i="2"/>
  <c r="T2525" i="2" s="1"/>
  <c r="I2525" i="2"/>
  <c r="J2524" i="2"/>
  <c r="I2524" i="2"/>
  <c r="S2522" i="2"/>
  <c r="T2522" i="2" s="1"/>
  <c r="U2522" i="2"/>
  <c r="R2522" i="2"/>
  <c r="J2522" i="2"/>
  <c r="I2522" i="2"/>
  <c r="U2521" i="2"/>
  <c r="U2520" i="2"/>
  <c r="S2520" i="2"/>
  <c r="T2520" i="2" s="1"/>
  <c r="U2519" i="2"/>
  <c r="I2519" i="2"/>
  <c r="R2519" i="2"/>
  <c r="H2519" i="2"/>
  <c r="S2519" i="2"/>
  <c r="T2519" i="2" s="1"/>
  <c r="S2518" i="2"/>
  <c r="T2518" i="2" s="1"/>
  <c r="R2518" i="2"/>
  <c r="H2518" i="2"/>
  <c r="U2518" i="2"/>
  <c r="I2518" i="2"/>
  <c r="U2517" i="2"/>
  <c r="S2517" i="2"/>
  <c r="T2517" i="2" s="1"/>
  <c r="I2517" i="2"/>
  <c r="S2516" i="2"/>
  <c r="T2516" i="2" s="1"/>
  <c r="J2516" i="2"/>
  <c r="I2516" i="2"/>
  <c r="J2514" i="2"/>
  <c r="H2514" i="2"/>
  <c r="R2514" i="2"/>
  <c r="I2514" i="2"/>
  <c r="U2514" i="2"/>
  <c r="I2513" i="2"/>
  <c r="H2513" i="2"/>
  <c r="U2513" i="2"/>
  <c r="S2513" i="2"/>
  <c r="T2513" i="2" s="1"/>
  <c r="R2513" i="2"/>
  <c r="I2511" i="2"/>
  <c r="S2510" i="2"/>
  <c r="T2510" i="2" s="1"/>
  <c r="U2510" i="2"/>
  <c r="R2510" i="2"/>
  <c r="I2510" i="2"/>
  <c r="J2510" i="2"/>
  <c r="J2509" i="2"/>
  <c r="I2509" i="2"/>
  <c r="R2508" i="2"/>
  <c r="R2507" i="2"/>
  <c r="S2506" i="2"/>
  <c r="T2506" i="2" s="1"/>
  <c r="H2506" i="2"/>
  <c r="R2506" i="2"/>
  <c r="J2506" i="2"/>
  <c r="U2506" i="2"/>
  <c r="S2505" i="2"/>
  <c r="T2505" i="2" s="1"/>
  <c r="J2505" i="2"/>
  <c r="H2505" i="2"/>
  <c r="I2505" i="2"/>
  <c r="U2505" i="2"/>
  <c r="U2504" i="2"/>
  <c r="S2504" i="2"/>
  <c r="T2504" i="2" s="1"/>
  <c r="R2504" i="2"/>
  <c r="I2504" i="2"/>
  <c r="J2504" i="2"/>
  <c r="I2503" i="2"/>
  <c r="U2502" i="2"/>
  <c r="J2502" i="2"/>
  <c r="I2502" i="2"/>
  <c r="S2501" i="2"/>
  <c r="T2501" i="2" s="1"/>
  <c r="J2501" i="2"/>
  <c r="U2501" i="2"/>
  <c r="R2501" i="2"/>
  <c r="I2501" i="2"/>
  <c r="U2500" i="2"/>
  <c r="I2500" i="2"/>
  <c r="R2500" i="2"/>
  <c r="J2500" i="2"/>
  <c r="S2499" i="2"/>
  <c r="T2499" i="2" s="1"/>
  <c r="I2499" i="2"/>
  <c r="U2498" i="2"/>
  <c r="U2496" i="2"/>
  <c r="I2495" i="2"/>
  <c r="S2495" i="2"/>
  <c r="T2495" i="2" s="1"/>
  <c r="J2495" i="2"/>
  <c r="R2495" i="2"/>
  <c r="U2495" i="2"/>
  <c r="S2494" i="2"/>
  <c r="T2494" i="2" s="1"/>
  <c r="U2494" i="2"/>
  <c r="R2494" i="2"/>
  <c r="H2494" i="2"/>
  <c r="J2494" i="2"/>
  <c r="J2493" i="2"/>
  <c r="U2493" i="2"/>
  <c r="I2493" i="2"/>
  <c r="U2491" i="2"/>
  <c r="S2491" i="2"/>
  <c r="T2491" i="2" s="1"/>
  <c r="J2491" i="2"/>
  <c r="R2491" i="2"/>
  <c r="I2490" i="2"/>
  <c r="J2490" i="2"/>
  <c r="U2490" i="2"/>
  <c r="R2490" i="2"/>
  <c r="H2490" i="2"/>
  <c r="U2489" i="2"/>
  <c r="R2489" i="2"/>
  <c r="H2489" i="2"/>
  <c r="J2489" i="2"/>
  <c r="I2488" i="2"/>
  <c r="R2487" i="2"/>
  <c r="S2486" i="2"/>
  <c r="T2486" i="2" s="1"/>
  <c r="H2486" i="2"/>
  <c r="J2486" i="2"/>
  <c r="U2486" i="2"/>
  <c r="R2486" i="2"/>
  <c r="U2484" i="2"/>
  <c r="J2484" i="2"/>
  <c r="I2483" i="2"/>
  <c r="R2483" i="2"/>
  <c r="J2483" i="2"/>
  <c r="H2482" i="2"/>
  <c r="J2482" i="2"/>
  <c r="I2482" i="2"/>
  <c r="U2482" i="2"/>
  <c r="S2482" i="2"/>
  <c r="T2482" i="2" s="1"/>
  <c r="U2480" i="2"/>
  <c r="R2479" i="2"/>
  <c r="U2479" i="2"/>
  <c r="U2478" i="2"/>
  <c r="S2478" i="2"/>
  <c r="T2478" i="2" s="1"/>
  <c r="J2478" i="2"/>
  <c r="R2478" i="2"/>
  <c r="I2478" i="2"/>
  <c r="U2477" i="2"/>
  <c r="R2477" i="2"/>
  <c r="J2477" i="2"/>
  <c r="S2477" i="2"/>
  <c r="T2477" i="2" s="1"/>
  <c r="I2477" i="2"/>
  <c r="R2475" i="2"/>
  <c r="I2475" i="2"/>
  <c r="U2475" i="2"/>
  <c r="S2475" i="2"/>
  <c r="T2475" i="2" s="1"/>
  <c r="J2475" i="2"/>
  <c r="S2474" i="2"/>
  <c r="T2474" i="2" s="1"/>
  <c r="R2474" i="2"/>
  <c r="H2474" i="2"/>
  <c r="U2474" i="2"/>
  <c r="J2474" i="2"/>
  <c r="S2473" i="2"/>
  <c r="T2473" i="2" s="1"/>
  <c r="J2473" i="2"/>
  <c r="R2473" i="2"/>
  <c r="I2473" i="2"/>
  <c r="H2473" i="2"/>
  <c r="U2471" i="2"/>
  <c r="S2471" i="2"/>
  <c r="T2471" i="2" s="1"/>
  <c r="J2471" i="2"/>
  <c r="U2470" i="2"/>
  <c r="R2470" i="2"/>
  <c r="J2470" i="2"/>
  <c r="S2470" i="2"/>
  <c r="T2470" i="2" s="1"/>
  <c r="H2470" i="2"/>
  <c r="S2469" i="2"/>
  <c r="T2469" i="2" s="1"/>
  <c r="R2469" i="2"/>
  <c r="I2469" i="2"/>
  <c r="J2468" i="2"/>
  <c r="I2468" i="2"/>
  <c r="R2467" i="2"/>
  <c r="J2467" i="2"/>
  <c r="U2467" i="2"/>
  <c r="S2467" i="2"/>
  <c r="T2467" i="2" s="1"/>
  <c r="I2467" i="2"/>
  <c r="R2466" i="2"/>
  <c r="I2466" i="2"/>
  <c r="U2466" i="2"/>
  <c r="S2466" i="2"/>
  <c r="T2466" i="2" s="1"/>
  <c r="H2466" i="2"/>
  <c r="R2465" i="2"/>
  <c r="J2465" i="2"/>
  <c r="U2464" i="2"/>
  <c r="R2464" i="2"/>
  <c r="S2464" i="2"/>
  <c r="T2464" i="2" s="1"/>
  <c r="J2464" i="2"/>
  <c r="I2464" i="2"/>
  <c r="J2463" i="2"/>
  <c r="I2463" i="2"/>
  <c r="R2463" i="2"/>
  <c r="I2462" i="2"/>
  <c r="U2462" i="2"/>
  <c r="J2462" i="2"/>
  <c r="H2462" i="2"/>
  <c r="S2462" i="2"/>
  <c r="T2462" i="2" s="1"/>
  <c r="R2461" i="2"/>
  <c r="J2461" i="2"/>
  <c r="U2461" i="2"/>
  <c r="H2461" i="2"/>
  <c r="S2461" i="2"/>
  <c r="T2461" i="2" s="1"/>
  <c r="I2459" i="2"/>
  <c r="H2458" i="2"/>
  <c r="U2458" i="2"/>
  <c r="U2457" i="2"/>
  <c r="R2457" i="2"/>
  <c r="H2457" i="2"/>
  <c r="S2457" i="2"/>
  <c r="T2457" i="2" s="1"/>
  <c r="J2457" i="2"/>
  <c r="S2456" i="2"/>
  <c r="T2456" i="2" s="1"/>
  <c r="R2456" i="2"/>
  <c r="U2456" i="2"/>
  <c r="R2455" i="2"/>
  <c r="I2455" i="2"/>
  <c r="U2455" i="2"/>
  <c r="S2455" i="2"/>
  <c r="T2455" i="2" s="1"/>
  <c r="J2455" i="2"/>
  <c r="U2454" i="2"/>
  <c r="R2454" i="2"/>
  <c r="J2454" i="2"/>
  <c r="S2454" i="2"/>
  <c r="T2454" i="2" s="1"/>
  <c r="I2454" i="2"/>
  <c r="S2453" i="2"/>
  <c r="T2453" i="2" s="1"/>
  <c r="I2453" i="2"/>
  <c r="I2452" i="2"/>
  <c r="S2452" i="2"/>
  <c r="T2452" i="2" s="1"/>
  <c r="R2452" i="2"/>
  <c r="J2451" i="2"/>
  <c r="U2451" i="2"/>
  <c r="S2451" i="2"/>
  <c r="T2451" i="2" s="1"/>
  <c r="R2450" i="2"/>
  <c r="U2450" i="2"/>
  <c r="S2450" i="2"/>
  <c r="T2450" i="2" s="1"/>
  <c r="J2450" i="2"/>
  <c r="I2450" i="2"/>
  <c r="S2449" i="2"/>
  <c r="T2449" i="2" s="1"/>
  <c r="U2449" i="2"/>
  <c r="J2449" i="2"/>
  <c r="R2448" i="2"/>
  <c r="I2448" i="2"/>
  <c r="U2447" i="2"/>
  <c r="R2447" i="2"/>
  <c r="J2447" i="2"/>
  <c r="J2446" i="2"/>
  <c r="U2446" i="2"/>
  <c r="H2446" i="2"/>
  <c r="S2446" i="2"/>
  <c r="T2446" i="2" s="1"/>
  <c r="R2446" i="2"/>
  <c r="U2445" i="2"/>
  <c r="J2445" i="2"/>
  <c r="I2445" i="2"/>
  <c r="U2444" i="2"/>
  <c r="J2444" i="2"/>
  <c r="S2444" i="2"/>
  <c r="T2444" i="2" s="1"/>
  <c r="I2444" i="2"/>
  <c r="R2444" i="2"/>
  <c r="S2443" i="2"/>
  <c r="T2443" i="2" s="1"/>
  <c r="J2443" i="2"/>
  <c r="R2442" i="2"/>
  <c r="U2442" i="2"/>
  <c r="I2442" i="2"/>
  <c r="H2442" i="2"/>
  <c r="S2442" i="2"/>
  <c r="T2442" i="2" s="1"/>
  <c r="U2440" i="2"/>
  <c r="R2440" i="2"/>
  <c r="J2440" i="2"/>
  <c r="I2440" i="2"/>
  <c r="S2438" i="2"/>
  <c r="T2438" i="2" s="1"/>
  <c r="R2438" i="2"/>
  <c r="J2438" i="2"/>
  <c r="H2438" i="2"/>
  <c r="U2438" i="2"/>
  <c r="S2437" i="2"/>
  <c r="T2437" i="2" s="1"/>
  <c r="I2437" i="2"/>
  <c r="H2437" i="2"/>
  <c r="I2435" i="2"/>
  <c r="U2435" i="2"/>
  <c r="S2435" i="2"/>
  <c r="T2435" i="2" s="1"/>
  <c r="J2435" i="2"/>
  <c r="R2435" i="2"/>
  <c r="R2434" i="2"/>
  <c r="J2434" i="2"/>
  <c r="S2434" i="2"/>
  <c r="T2434" i="2" s="1"/>
  <c r="I2434" i="2"/>
  <c r="S2433" i="2"/>
  <c r="T2433" i="2" s="1"/>
  <c r="R2433" i="2"/>
  <c r="J2433" i="2"/>
  <c r="I2433" i="2"/>
  <c r="U2432" i="2"/>
  <c r="J2431" i="2"/>
  <c r="U2431" i="2"/>
  <c r="S2431" i="2"/>
  <c r="T2431" i="2" s="1"/>
  <c r="I2431" i="2"/>
  <c r="R2431" i="2"/>
  <c r="S2430" i="2"/>
  <c r="T2430" i="2" s="1"/>
  <c r="J2430" i="2"/>
  <c r="R2430" i="2"/>
  <c r="H2430" i="2"/>
  <c r="U2430" i="2"/>
  <c r="S2429" i="2"/>
  <c r="T2429" i="2" s="1"/>
  <c r="H2429" i="2"/>
  <c r="I2429" i="2"/>
  <c r="S2428" i="2"/>
  <c r="T2428" i="2" s="1"/>
  <c r="R2428" i="2"/>
  <c r="J2428" i="2"/>
  <c r="I2428" i="2"/>
  <c r="U2428" i="2"/>
  <c r="S2427" i="2"/>
  <c r="T2427" i="2" s="1"/>
  <c r="J2427" i="2"/>
  <c r="R2427" i="2"/>
  <c r="U2427" i="2"/>
  <c r="I2427" i="2"/>
  <c r="U2426" i="2"/>
  <c r="H2426" i="2"/>
  <c r="R2426" i="2"/>
  <c r="I2426" i="2"/>
  <c r="S2426" i="2"/>
  <c r="T2426" i="2" s="1"/>
  <c r="S2425" i="2"/>
  <c r="T2425" i="2" s="1"/>
  <c r="I2425" i="2"/>
  <c r="U2425" i="2"/>
  <c r="J2425" i="2"/>
  <c r="R2423" i="2"/>
  <c r="U2422" i="2"/>
  <c r="S2422" i="2"/>
  <c r="T2422" i="2" s="1"/>
  <c r="R2422" i="2"/>
  <c r="J2422" i="2"/>
  <c r="I2422" i="2"/>
  <c r="S2421" i="2"/>
  <c r="T2421" i="2" s="1"/>
  <c r="R2421" i="2"/>
  <c r="U2421" i="2"/>
  <c r="J2421" i="2"/>
  <c r="H2419" i="2"/>
  <c r="I2407" i="2"/>
  <c r="H2407" i="2"/>
  <c r="H2404" i="2"/>
  <c r="S2298" i="2"/>
  <c r="T2298" i="2" s="1"/>
  <c r="S2419" i="2"/>
  <c r="T2419" i="2" s="1"/>
  <c r="J2418" i="2"/>
  <c r="I2418" i="2"/>
  <c r="H2418" i="2"/>
  <c r="S2418" i="2"/>
  <c r="T2418" i="2" s="1"/>
  <c r="R2418" i="2"/>
  <c r="I2417" i="2"/>
  <c r="S2417" i="2"/>
  <c r="T2417" i="2" s="1"/>
  <c r="U2417" i="2"/>
  <c r="H2417" i="2"/>
  <c r="R2417" i="2"/>
  <c r="U2416" i="2"/>
  <c r="R2416" i="2"/>
  <c r="H2416" i="2"/>
  <c r="U2415" i="2"/>
  <c r="J2415" i="2"/>
  <c r="H2415" i="2"/>
  <c r="R2414" i="2"/>
  <c r="H2414" i="2"/>
  <c r="S2414" i="2"/>
  <c r="T2414" i="2" s="1"/>
  <c r="I2414" i="2"/>
  <c r="U2414" i="2"/>
  <c r="U2413" i="2"/>
  <c r="J2413" i="2"/>
  <c r="I2413" i="2"/>
  <c r="H2413" i="2"/>
  <c r="S2413" i="2"/>
  <c r="T2413" i="2" s="1"/>
  <c r="S2410" i="2"/>
  <c r="T2410" i="2" s="1"/>
  <c r="R2410" i="2"/>
  <c r="J2410" i="2"/>
  <c r="I2410" i="2"/>
  <c r="U2410" i="2"/>
  <c r="U2409" i="2"/>
  <c r="S2409" i="2"/>
  <c r="T2409" i="2" s="1"/>
  <c r="I2409" i="2"/>
  <c r="R2409" i="2"/>
  <c r="J2408" i="2"/>
  <c r="R2407" i="2"/>
  <c r="I2406" i="2"/>
  <c r="U2406" i="2"/>
  <c r="J2406" i="2"/>
  <c r="R2406" i="2"/>
  <c r="H2406" i="2"/>
  <c r="H2405" i="2"/>
  <c r="U2405" i="2"/>
  <c r="S2405" i="2"/>
  <c r="T2405" i="2" s="1"/>
  <c r="R2405" i="2"/>
  <c r="J2405" i="2"/>
  <c r="H2403" i="2"/>
  <c r="R2402" i="2"/>
  <c r="H2402" i="2"/>
  <c r="J2402" i="2"/>
  <c r="U2402" i="2"/>
  <c r="S2402" i="2"/>
  <c r="T2402" i="2" s="1"/>
  <c r="U2401" i="2"/>
  <c r="J2401" i="2"/>
  <c r="H2401" i="2"/>
  <c r="S2401" i="2"/>
  <c r="T2401" i="2" s="1"/>
  <c r="R2401" i="2"/>
  <c r="U2400" i="2"/>
  <c r="S2400" i="2"/>
  <c r="T2400" i="2" s="1"/>
  <c r="R2399" i="2"/>
  <c r="U2399" i="2"/>
  <c r="S2399" i="2"/>
  <c r="T2399" i="2" s="1"/>
  <c r="I2399" i="2"/>
  <c r="H2399" i="2"/>
  <c r="J2398" i="2"/>
  <c r="U2398" i="2"/>
  <c r="S2398" i="2"/>
  <c r="T2398" i="2" s="1"/>
  <c r="H2398" i="2"/>
  <c r="R2398" i="2"/>
  <c r="S2397" i="2"/>
  <c r="T2397" i="2" s="1"/>
  <c r="R2397" i="2"/>
  <c r="H2397" i="2"/>
  <c r="J2397" i="2"/>
  <c r="U2397" i="2"/>
  <c r="S2396" i="2"/>
  <c r="T2396" i="2" s="1"/>
  <c r="J2395" i="2"/>
  <c r="U2394" i="2"/>
  <c r="R2394" i="2"/>
  <c r="I2394" i="2"/>
  <c r="H2394" i="2"/>
  <c r="S2394" i="2"/>
  <c r="T2394" i="2" s="1"/>
  <c r="U2393" i="2"/>
  <c r="S2393" i="2"/>
  <c r="T2393" i="2" s="1"/>
  <c r="J2393" i="2"/>
  <c r="I2393" i="2"/>
  <c r="S2392" i="2"/>
  <c r="T2392" i="2" s="1"/>
  <c r="R2392" i="2"/>
  <c r="I2392" i="2"/>
  <c r="U2392" i="2"/>
  <c r="H2392" i="2"/>
  <c r="U2391" i="2"/>
  <c r="S2391" i="2"/>
  <c r="T2391" i="2" s="1"/>
  <c r="J2391" i="2"/>
  <c r="U2390" i="2"/>
  <c r="R2390" i="2"/>
  <c r="J2390" i="2"/>
  <c r="H2390" i="2"/>
  <c r="R2389" i="2"/>
  <c r="H2389" i="2"/>
  <c r="U2389" i="2"/>
  <c r="S2389" i="2"/>
  <c r="T2389" i="2" s="1"/>
  <c r="J2389" i="2"/>
  <c r="J2388" i="2"/>
  <c r="U2388" i="2"/>
  <c r="I2388" i="2"/>
  <c r="H2388" i="2"/>
  <c r="S2386" i="2"/>
  <c r="T2386" i="2" s="1"/>
  <c r="R2386" i="2"/>
  <c r="U2386" i="2"/>
  <c r="J2386" i="2"/>
  <c r="I2386" i="2"/>
  <c r="S2385" i="2"/>
  <c r="T2385" i="2" s="1"/>
  <c r="I2385" i="2"/>
  <c r="R2385" i="2"/>
  <c r="H2384" i="2"/>
  <c r="R2384" i="2"/>
  <c r="J2384" i="2"/>
  <c r="I2384" i="2"/>
  <c r="U2384" i="2"/>
  <c r="R2382" i="2"/>
  <c r="J2382" i="2"/>
  <c r="U2382" i="2"/>
  <c r="I2382" i="2"/>
  <c r="H2382" i="2"/>
  <c r="H2381" i="2"/>
  <c r="I2381" i="2"/>
  <c r="J2381" i="2"/>
  <c r="U2381" i="2"/>
  <c r="S2381" i="2"/>
  <c r="T2381" i="2" s="1"/>
  <c r="I2379" i="2"/>
  <c r="S2378" i="2"/>
  <c r="T2378" i="2" s="1"/>
  <c r="I2378" i="2"/>
  <c r="H2378" i="2"/>
  <c r="U2378" i="2"/>
  <c r="R2378" i="2"/>
  <c r="R2377" i="2"/>
  <c r="J2377" i="2"/>
  <c r="S2376" i="2"/>
  <c r="T2376" i="2" s="1"/>
  <c r="J2376" i="2"/>
  <c r="I2376" i="2"/>
  <c r="U2376" i="2"/>
  <c r="J2375" i="2"/>
  <c r="R2375" i="2"/>
  <c r="H2375" i="2"/>
  <c r="U2375" i="2"/>
  <c r="S2375" i="2"/>
  <c r="T2375" i="2" s="1"/>
  <c r="I2374" i="2"/>
  <c r="H2374" i="2"/>
  <c r="S2374" i="2"/>
  <c r="T2374" i="2" s="1"/>
  <c r="J2374" i="2"/>
  <c r="R2374" i="2"/>
  <c r="H2373" i="2"/>
  <c r="R2373" i="2"/>
  <c r="U2373" i="2"/>
  <c r="S2373" i="2"/>
  <c r="T2373" i="2" s="1"/>
  <c r="J2373" i="2"/>
  <c r="U2372" i="2"/>
  <c r="R2370" i="2"/>
  <c r="I2370" i="2"/>
  <c r="U2370" i="2"/>
  <c r="S2370" i="2"/>
  <c r="T2370" i="2" s="1"/>
  <c r="J2370" i="2"/>
  <c r="J2369" i="2"/>
  <c r="U2369" i="2"/>
  <c r="R2369" i="2"/>
  <c r="S2368" i="2"/>
  <c r="T2368" i="2" s="1"/>
  <c r="H2368" i="2"/>
  <c r="J2368" i="2"/>
  <c r="J2367" i="2"/>
  <c r="S2366" i="2"/>
  <c r="T2366" i="2" s="1"/>
  <c r="J2366" i="2"/>
  <c r="R2366" i="2"/>
  <c r="U2366" i="2"/>
  <c r="I2366" i="2"/>
  <c r="U2364" i="2"/>
  <c r="U2363" i="2"/>
  <c r="R2363" i="2"/>
  <c r="I2363" i="2"/>
  <c r="J2363" i="2"/>
  <c r="S2363" i="2"/>
  <c r="T2363" i="2" s="1"/>
  <c r="R2362" i="2"/>
  <c r="H2362" i="2"/>
  <c r="U2362" i="2"/>
  <c r="S2362" i="2"/>
  <c r="T2362" i="2" s="1"/>
  <c r="J2362" i="2"/>
  <c r="J2360" i="2"/>
  <c r="S2360" i="2"/>
  <c r="T2360" i="2" s="1"/>
  <c r="R2360" i="2"/>
  <c r="H2360" i="2"/>
  <c r="U2360" i="2"/>
  <c r="U2359" i="2"/>
  <c r="S2359" i="2"/>
  <c r="T2359" i="2" s="1"/>
  <c r="I2359" i="2"/>
  <c r="H2359" i="2"/>
  <c r="R2359" i="2"/>
  <c r="S2358" i="2"/>
  <c r="T2358" i="2" s="1"/>
  <c r="H2358" i="2"/>
  <c r="J2358" i="2"/>
  <c r="I2358" i="2"/>
  <c r="U2358" i="2"/>
  <c r="U2357" i="2"/>
  <c r="R2357" i="2"/>
  <c r="S2357" i="2"/>
  <c r="T2357" i="2" s="1"/>
  <c r="H2357" i="2"/>
  <c r="J2357" i="2"/>
  <c r="S2356" i="2"/>
  <c r="T2356" i="2" s="1"/>
  <c r="R2356" i="2"/>
  <c r="S2355" i="2"/>
  <c r="T2355" i="2" s="1"/>
  <c r="R2354" i="2"/>
  <c r="J2354" i="2"/>
  <c r="U2354" i="2"/>
  <c r="S2354" i="2"/>
  <c r="T2354" i="2" s="1"/>
  <c r="I2354" i="2"/>
  <c r="S2353" i="2"/>
  <c r="T2353" i="2" s="1"/>
  <c r="J2353" i="2"/>
  <c r="I2353" i="2"/>
  <c r="R2353" i="2"/>
  <c r="U2353" i="2"/>
  <c r="J2352" i="2"/>
  <c r="I2352" i="2"/>
  <c r="S2350" i="2"/>
  <c r="T2350" i="2" s="1"/>
  <c r="R2350" i="2"/>
  <c r="H2350" i="2"/>
  <c r="J2350" i="2"/>
  <c r="U2350" i="2"/>
  <c r="U2349" i="2"/>
  <c r="I2349" i="2"/>
  <c r="H2349" i="2"/>
  <c r="S2349" i="2"/>
  <c r="T2349" i="2" s="1"/>
  <c r="J2348" i="2"/>
  <c r="R2347" i="2"/>
  <c r="J2347" i="2"/>
  <c r="I2347" i="2"/>
  <c r="S2347" i="2"/>
  <c r="T2347" i="2" s="1"/>
  <c r="U2347" i="2"/>
  <c r="U2346" i="2"/>
  <c r="R2346" i="2"/>
  <c r="H2346" i="2"/>
  <c r="S2346" i="2"/>
  <c r="T2346" i="2" s="1"/>
  <c r="J2346" i="2"/>
  <c r="S2345" i="2"/>
  <c r="T2345" i="2" s="1"/>
  <c r="R2345" i="2"/>
  <c r="I2345" i="2"/>
  <c r="H2345" i="2"/>
  <c r="I2344" i="2"/>
  <c r="U2344" i="2"/>
  <c r="J2344" i="2"/>
  <c r="H2344" i="2"/>
  <c r="S2343" i="2"/>
  <c r="T2343" i="2" s="1"/>
  <c r="U2343" i="2"/>
  <c r="J2343" i="2"/>
  <c r="I2343" i="2"/>
  <c r="I2342" i="2"/>
  <c r="S2342" i="2"/>
  <c r="T2342" i="2" s="1"/>
  <c r="U2342" i="2"/>
  <c r="R2342" i="2"/>
  <c r="J2342" i="2"/>
  <c r="S2341" i="2"/>
  <c r="T2341" i="2" s="1"/>
  <c r="R2341" i="2"/>
  <c r="U2341" i="2"/>
  <c r="J2341" i="2"/>
  <c r="R2340" i="2"/>
  <c r="U2340" i="2"/>
  <c r="J2340" i="2"/>
  <c r="S2340" i="2"/>
  <c r="T2340" i="2" s="1"/>
  <c r="I2340" i="2"/>
  <c r="R2339" i="2"/>
  <c r="H2339" i="2"/>
  <c r="U2339" i="2"/>
  <c r="J2339" i="2"/>
  <c r="R2338" i="2"/>
  <c r="J2338" i="2"/>
  <c r="U2338" i="2"/>
  <c r="I2338" i="2"/>
  <c r="U2336" i="2"/>
  <c r="S2336" i="2"/>
  <c r="T2336" i="2" s="1"/>
  <c r="I2336" i="2"/>
  <c r="S2335" i="2"/>
  <c r="T2335" i="2" s="1"/>
  <c r="R2335" i="2"/>
  <c r="H2335" i="2"/>
  <c r="U2335" i="2"/>
  <c r="I2335" i="2"/>
  <c r="J2334" i="2"/>
  <c r="U2334" i="2"/>
  <c r="S2334" i="2"/>
  <c r="T2334" i="2" s="1"/>
  <c r="H2334" i="2"/>
  <c r="R2334" i="2"/>
  <c r="S2333" i="2"/>
  <c r="T2333" i="2" s="1"/>
  <c r="H2333" i="2"/>
  <c r="J2333" i="2"/>
  <c r="I2333" i="2"/>
  <c r="U2333" i="2"/>
  <c r="S2332" i="2"/>
  <c r="T2332" i="2" s="1"/>
  <c r="J2332" i="2"/>
  <c r="U2330" i="2"/>
  <c r="I2330" i="2"/>
  <c r="H2330" i="2"/>
  <c r="S2330" i="2"/>
  <c r="T2330" i="2" s="1"/>
  <c r="R2330" i="2"/>
  <c r="J2329" i="2"/>
  <c r="U2329" i="2"/>
  <c r="R2329" i="2"/>
  <c r="I2329" i="2"/>
  <c r="H2329" i="2"/>
  <c r="S2326" i="2"/>
  <c r="T2326" i="2" s="1"/>
  <c r="J2326" i="2"/>
  <c r="H2326" i="2"/>
  <c r="U2326" i="2"/>
  <c r="R2326" i="2"/>
  <c r="S2325" i="2"/>
  <c r="T2325" i="2" s="1"/>
  <c r="H2325" i="2"/>
  <c r="I2325" i="2"/>
  <c r="J2325" i="2"/>
  <c r="U2325" i="2"/>
  <c r="R2324" i="2"/>
  <c r="J2324" i="2"/>
  <c r="I2324" i="2"/>
  <c r="H2324" i="2"/>
  <c r="I2322" i="2"/>
  <c r="H2322" i="2"/>
  <c r="U2322" i="2"/>
  <c r="R2322" i="2"/>
  <c r="S2322" i="2"/>
  <c r="T2322" i="2" s="1"/>
  <c r="J2321" i="2"/>
  <c r="H2321" i="2"/>
  <c r="U2321" i="2"/>
  <c r="S2321" i="2"/>
  <c r="T2321" i="2" s="1"/>
  <c r="R2320" i="2"/>
  <c r="H2320" i="2"/>
  <c r="I2320" i="2"/>
  <c r="S2320" i="2"/>
  <c r="T2320" i="2" s="1"/>
  <c r="I2319" i="2"/>
  <c r="J2318" i="2"/>
  <c r="I2318" i="2"/>
  <c r="R2318" i="2"/>
  <c r="H2318" i="2"/>
  <c r="U2318" i="2"/>
  <c r="H2317" i="2"/>
  <c r="U2317" i="2"/>
  <c r="R2317" i="2"/>
  <c r="R2315" i="2"/>
  <c r="U2315" i="2"/>
  <c r="S2315" i="2"/>
  <c r="T2315" i="2" s="1"/>
  <c r="I2315" i="2"/>
  <c r="J2315" i="2"/>
  <c r="S2314" i="2"/>
  <c r="T2314" i="2" s="1"/>
  <c r="J2314" i="2"/>
  <c r="I2314" i="2"/>
  <c r="U2314" i="2"/>
  <c r="I2313" i="2"/>
  <c r="U2310" i="2"/>
  <c r="R2309" i="2"/>
  <c r="J2309" i="2"/>
  <c r="I2309" i="2"/>
  <c r="U2309" i="2"/>
  <c r="S2309" i="2"/>
  <c r="T2309" i="2" s="1"/>
  <c r="U2308" i="2"/>
  <c r="R2308" i="2"/>
  <c r="H2308" i="2"/>
  <c r="S2306" i="2"/>
  <c r="T2306" i="2" s="1"/>
  <c r="R2306" i="2"/>
  <c r="U2304" i="2"/>
  <c r="S2304" i="2"/>
  <c r="T2304" i="2" s="1"/>
  <c r="U2303" i="2"/>
  <c r="I2303" i="2"/>
  <c r="R2303" i="2"/>
  <c r="J2303" i="2"/>
  <c r="H2303" i="2"/>
  <c r="I2302" i="2"/>
  <c r="H2302" i="2"/>
  <c r="R2302" i="2"/>
  <c r="U2302" i="2"/>
  <c r="S2302" i="2"/>
  <c r="T2302" i="2" s="1"/>
  <c r="R2301" i="2"/>
  <c r="J2301" i="2"/>
  <c r="H2301" i="2"/>
  <c r="S2301" i="2"/>
  <c r="T2301" i="2" s="1"/>
  <c r="U2300" i="2"/>
  <c r="H2300" i="2"/>
  <c r="R2300" i="2"/>
  <c r="I2300" i="2"/>
  <c r="S2300" i="2"/>
  <c r="T2300" i="2" s="1"/>
  <c r="R2299" i="2"/>
  <c r="I2299" i="2"/>
  <c r="J2299" i="2"/>
  <c r="J2298" i="2"/>
  <c r="H2298" i="2"/>
  <c r="U2298" i="2"/>
  <c r="R2298" i="2"/>
  <c r="U2297" i="2"/>
  <c r="H2297" i="2"/>
  <c r="I2297" i="2"/>
  <c r="S2296" i="2"/>
  <c r="T2296" i="2" s="1"/>
  <c r="R2296" i="2"/>
  <c r="J2296" i="2"/>
  <c r="I2296" i="2"/>
  <c r="H2296" i="2"/>
  <c r="U2294" i="2"/>
  <c r="S2294" i="2"/>
  <c r="T2294" i="2" s="1"/>
  <c r="I2294" i="2"/>
  <c r="J2294" i="2"/>
  <c r="H2294" i="2"/>
  <c r="S2293" i="2"/>
  <c r="T2293" i="2" s="1"/>
  <c r="R2293" i="2"/>
  <c r="I2293" i="2"/>
  <c r="H2293" i="2"/>
  <c r="J2293" i="2"/>
  <c r="J2292" i="2"/>
  <c r="U2292" i="2"/>
  <c r="S2292" i="2"/>
  <c r="T2292" i="2" s="1"/>
  <c r="R2292" i="2"/>
  <c r="H2292" i="2"/>
  <c r="S2290" i="2"/>
  <c r="T2290" i="2" s="1"/>
  <c r="U2290" i="2"/>
  <c r="R2290" i="2"/>
  <c r="J2290" i="2"/>
  <c r="I2290" i="2"/>
  <c r="U2289" i="2"/>
  <c r="J2289" i="2"/>
  <c r="S2289" i="2"/>
  <c r="T2289" i="2" s="1"/>
  <c r="I2289" i="2"/>
  <c r="H2289" i="2"/>
  <c r="H2288" i="2"/>
  <c r="S2288" i="2"/>
  <c r="T2288" i="2" s="1"/>
  <c r="U2287" i="2"/>
  <c r="S2287" i="2"/>
  <c r="T2287" i="2" s="1"/>
  <c r="R2287" i="2"/>
  <c r="S2286" i="2"/>
  <c r="T2286" i="2" s="1"/>
  <c r="J2286" i="2"/>
  <c r="R2286" i="2"/>
  <c r="I2286" i="2"/>
  <c r="U2286" i="2"/>
  <c r="U2285" i="2"/>
  <c r="S2285" i="2"/>
  <c r="T2285" i="2" s="1"/>
  <c r="I2285" i="2"/>
  <c r="S2283" i="2"/>
  <c r="T2283" i="2" s="1"/>
  <c r="R2283" i="2"/>
  <c r="J2283" i="2"/>
  <c r="I2283" i="2"/>
  <c r="U2283" i="2"/>
  <c r="H2282" i="2"/>
  <c r="U2282" i="2"/>
  <c r="H2280" i="2"/>
  <c r="S2280" i="2"/>
  <c r="T2280" i="2" s="1"/>
  <c r="U2279" i="2"/>
  <c r="R2279" i="2"/>
  <c r="H2279" i="2"/>
  <c r="I2279" i="2"/>
  <c r="S2279" i="2"/>
  <c r="T2279" i="2" s="1"/>
  <c r="J2278" i="2"/>
  <c r="H2278" i="2"/>
  <c r="S2278" i="2"/>
  <c r="T2278" i="2" s="1"/>
  <c r="R2278" i="2"/>
  <c r="I2278" i="2"/>
  <c r="I2277" i="2"/>
  <c r="H2277" i="2"/>
  <c r="U2277" i="2"/>
  <c r="J2277" i="2"/>
  <c r="S2276" i="2"/>
  <c r="T2276" i="2" s="1"/>
  <c r="I2276" i="2"/>
  <c r="I2275" i="2"/>
  <c r="U2275" i="2"/>
  <c r="S2275" i="2"/>
  <c r="T2275" i="2" s="1"/>
  <c r="R2275" i="2"/>
  <c r="J2275" i="2"/>
  <c r="S2274" i="2"/>
  <c r="T2274" i="2" s="1"/>
  <c r="R2274" i="2"/>
  <c r="J2274" i="2"/>
  <c r="H2274" i="2"/>
  <c r="U2274" i="2"/>
  <c r="I2273" i="2"/>
  <c r="H2273" i="2"/>
  <c r="R2272" i="2"/>
  <c r="I2272" i="2"/>
  <c r="U2272" i="2"/>
  <c r="H2272" i="2"/>
  <c r="S2272" i="2"/>
  <c r="T2272" i="2" s="1"/>
  <c r="R2271" i="2"/>
  <c r="S2271" i="2"/>
  <c r="T2271" i="2" s="1"/>
  <c r="I2271" i="2"/>
  <c r="U2270" i="2"/>
  <c r="S2270" i="2"/>
  <c r="T2270" i="2" s="1"/>
  <c r="R2270" i="2"/>
  <c r="J2270" i="2"/>
  <c r="I2270" i="2"/>
  <c r="U2268" i="2"/>
  <c r="S2268" i="2"/>
  <c r="T2268" i="2" s="1"/>
  <c r="R2268" i="2"/>
  <c r="J2268" i="2"/>
  <c r="I2268" i="2"/>
  <c r="H2266" i="2"/>
  <c r="S2266" i="2"/>
  <c r="T2266" i="2" s="1"/>
  <c r="R2266" i="2"/>
  <c r="U2266" i="2"/>
  <c r="J2266" i="2"/>
  <c r="J2265" i="2"/>
  <c r="S2265" i="2"/>
  <c r="T2265" i="2" s="1"/>
  <c r="R2264" i="2"/>
  <c r="J2264" i="2"/>
  <c r="U2264" i="2"/>
  <c r="H2264" i="2"/>
  <c r="S2264" i="2"/>
  <c r="T2264" i="2" s="1"/>
  <c r="U2263" i="2"/>
  <c r="S2263" i="2"/>
  <c r="T2263" i="2" s="1"/>
  <c r="H2263" i="2"/>
  <c r="S2262" i="2"/>
  <c r="T2262" i="2" s="1"/>
  <c r="J2262" i="2"/>
  <c r="I2262" i="2"/>
  <c r="H2262" i="2"/>
  <c r="R2262" i="2"/>
  <c r="S2261" i="2"/>
  <c r="T2261" i="2" s="1"/>
  <c r="I2261" i="2"/>
  <c r="R2261" i="2"/>
  <c r="U2261" i="2"/>
  <c r="H2261" i="2"/>
  <c r="U2260" i="2"/>
  <c r="H2260" i="2"/>
  <c r="S2260" i="2"/>
  <c r="T2260" i="2" s="1"/>
  <c r="U2259" i="2"/>
  <c r="S2259" i="2"/>
  <c r="T2259" i="2" s="1"/>
  <c r="J2259" i="2"/>
  <c r="H2259" i="2"/>
  <c r="S2258" i="2"/>
  <c r="T2258" i="2" s="1"/>
  <c r="H2258" i="2"/>
  <c r="I2258" i="2"/>
  <c r="S2257" i="2"/>
  <c r="T2257" i="2" s="1"/>
  <c r="U2257" i="2"/>
  <c r="R2257" i="2"/>
  <c r="J2257" i="2"/>
  <c r="I2257" i="2"/>
  <c r="U2254" i="2"/>
  <c r="J2254" i="2"/>
  <c r="S2253" i="2"/>
  <c r="T2253" i="2" s="1"/>
  <c r="U2253" i="2"/>
  <c r="J2253" i="2"/>
  <c r="S2254" i="2"/>
  <c r="T2254" i="2" s="1"/>
  <c r="I2254" i="2"/>
  <c r="I2253" i="2"/>
  <c r="R2254" i="2"/>
  <c r="R2253" i="2"/>
  <c r="S2252" i="2"/>
  <c r="T2252" i="2" s="1"/>
  <c r="I2252" i="2"/>
  <c r="U2252" i="2"/>
  <c r="J2252" i="2"/>
  <c r="U2251" i="2"/>
  <c r="R2252" i="2"/>
  <c r="U2250" i="2"/>
  <c r="J2250" i="2"/>
  <c r="J2251" i="2"/>
  <c r="S2250" i="2"/>
  <c r="T2250" i="2" s="1"/>
  <c r="I2250" i="2"/>
  <c r="S2251" i="2"/>
  <c r="T2251" i="2" s="1"/>
  <c r="I2251" i="2"/>
  <c r="R2250" i="2"/>
  <c r="R2251" i="2"/>
  <c r="U2249" i="2"/>
  <c r="J2249" i="2"/>
  <c r="S2249" i="2"/>
  <c r="T2249" i="2" s="1"/>
  <c r="I2249" i="2"/>
  <c r="R2249" i="2"/>
  <c r="G836" i="2" l="1"/>
  <c r="G837" i="2"/>
  <c r="G838" i="2"/>
  <c r="G839" i="2"/>
  <c r="G840" i="2"/>
  <c r="G841" i="2"/>
  <c r="J841" i="2" s="1"/>
  <c r="G842" i="2"/>
  <c r="G843" i="2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H2053" i="2" s="1"/>
  <c r="G2054" i="2"/>
  <c r="G2055" i="2"/>
  <c r="G2056" i="2"/>
  <c r="G2057" i="2"/>
  <c r="H2057" i="2" s="1"/>
  <c r="G2058" i="2"/>
  <c r="J2058" i="2" s="1"/>
  <c r="G2059" i="2"/>
  <c r="H2059" i="2" s="1"/>
  <c r="G2060" i="2"/>
  <c r="J2060" i="2" s="1"/>
  <c r="G2061" i="2"/>
  <c r="G2062" i="2"/>
  <c r="J2062" i="2" s="1"/>
  <c r="G2063" i="2"/>
  <c r="H2063" i="2" s="1"/>
  <c r="G2064" i="2"/>
  <c r="J2064" i="2" s="1"/>
  <c r="G2065" i="2"/>
  <c r="H2065" i="2" s="1"/>
  <c r="G2066" i="2"/>
  <c r="J2066" i="2" s="1"/>
  <c r="G2067" i="2"/>
  <c r="H2067" i="2" s="1"/>
  <c r="G2068" i="2"/>
  <c r="J2068" i="2" s="1"/>
  <c r="G2069" i="2"/>
  <c r="G2070" i="2"/>
  <c r="J2070" i="2" s="1"/>
  <c r="G2071" i="2"/>
  <c r="H2071" i="2" s="1"/>
  <c r="G2072" i="2"/>
  <c r="J2072" i="2" s="1"/>
  <c r="G2073" i="2"/>
  <c r="H2073" i="2" s="1"/>
  <c r="G2074" i="2"/>
  <c r="J2074" i="2" s="1"/>
  <c r="G2075" i="2"/>
  <c r="H2075" i="2" s="1"/>
  <c r="G2076" i="2"/>
  <c r="J2076" i="2" s="1"/>
  <c r="G2077" i="2"/>
  <c r="G2078" i="2"/>
  <c r="J2078" i="2" s="1"/>
  <c r="G2079" i="2"/>
  <c r="H2079" i="2" s="1"/>
  <c r="G2080" i="2"/>
  <c r="J2080" i="2" s="1"/>
  <c r="G2081" i="2"/>
  <c r="H2081" i="2" s="1"/>
  <c r="G2082" i="2"/>
  <c r="J2082" i="2" s="1"/>
  <c r="G2083" i="2"/>
  <c r="H2083" i="2" s="1"/>
  <c r="G2084" i="2"/>
  <c r="J2084" i="2" s="1"/>
  <c r="G2085" i="2"/>
  <c r="G2086" i="2"/>
  <c r="J2086" i="2" s="1"/>
  <c r="G2087" i="2"/>
  <c r="H2087" i="2" s="1"/>
  <c r="G2088" i="2"/>
  <c r="J2088" i="2" s="1"/>
  <c r="G2089" i="2"/>
  <c r="H2089" i="2" s="1"/>
  <c r="G2090" i="2"/>
  <c r="J2090" i="2" s="1"/>
  <c r="G2091" i="2"/>
  <c r="H2091" i="2" s="1"/>
  <c r="G2092" i="2"/>
  <c r="J2092" i="2" s="1"/>
  <c r="G2093" i="2"/>
  <c r="G2094" i="2"/>
  <c r="J2094" i="2" s="1"/>
  <c r="G2095" i="2"/>
  <c r="H2095" i="2" s="1"/>
  <c r="G2096" i="2"/>
  <c r="J2096" i="2" s="1"/>
  <c r="G2097" i="2"/>
  <c r="H2097" i="2" s="1"/>
  <c r="G2098" i="2"/>
  <c r="J2098" i="2" s="1"/>
  <c r="G2099" i="2"/>
  <c r="H2099" i="2" s="1"/>
  <c r="G2100" i="2"/>
  <c r="J2100" i="2" s="1"/>
  <c r="G2101" i="2"/>
  <c r="G2102" i="2"/>
  <c r="J2102" i="2" s="1"/>
  <c r="G2103" i="2"/>
  <c r="H2103" i="2" s="1"/>
  <c r="G2104" i="2"/>
  <c r="J2104" i="2" s="1"/>
  <c r="G2105" i="2"/>
  <c r="I2105" i="2" s="1"/>
  <c r="G2106" i="2"/>
  <c r="J2106" i="2" s="1"/>
  <c r="G2107" i="2"/>
  <c r="J2107" i="2" s="1"/>
  <c r="G2108" i="2"/>
  <c r="H2108" i="2" s="1"/>
  <c r="G2109" i="2"/>
  <c r="I2109" i="2" s="1"/>
  <c r="G2110" i="2"/>
  <c r="J2110" i="2" s="1"/>
  <c r="G2111" i="2"/>
  <c r="I2111" i="2" s="1"/>
  <c r="G2112" i="2"/>
  <c r="H2112" i="2" s="1"/>
  <c r="G2113" i="2"/>
  <c r="H2113" i="2" s="1"/>
  <c r="G2114" i="2"/>
  <c r="I2114" i="2" s="1"/>
  <c r="G2115" i="2"/>
  <c r="J2115" i="2" s="1"/>
  <c r="G2116" i="2"/>
  <c r="H2116" i="2" s="1"/>
  <c r="G2117" i="2"/>
  <c r="H2117" i="2" s="1"/>
  <c r="G2118" i="2"/>
  <c r="I2118" i="2" s="1"/>
  <c r="G2119" i="2"/>
  <c r="J2119" i="2" s="1"/>
  <c r="G2120" i="2"/>
  <c r="H2120" i="2" s="1"/>
  <c r="G2121" i="2"/>
  <c r="H2121" i="2" s="1"/>
  <c r="G2122" i="2"/>
  <c r="I2122" i="2" s="1"/>
  <c r="G2123" i="2"/>
  <c r="J2123" i="2" s="1"/>
  <c r="G2124" i="2"/>
  <c r="H2124" i="2" s="1"/>
  <c r="G2125" i="2"/>
  <c r="H2125" i="2" s="1"/>
  <c r="G2126" i="2"/>
  <c r="I2126" i="2" s="1"/>
  <c r="G2127" i="2"/>
  <c r="J2127" i="2" s="1"/>
  <c r="G2128" i="2"/>
  <c r="H2128" i="2" s="1"/>
  <c r="G2129" i="2"/>
  <c r="H2129" i="2" s="1"/>
  <c r="G2130" i="2"/>
  <c r="I2130" i="2" s="1"/>
  <c r="G2131" i="2"/>
  <c r="J2131" i="2" s="1"/>
  <c r="G2132" i="2"/>
  <c r="H2132" i="2" s="1"/>
  <c r="G2133" i="2"/>
  <c r="H2133" i="2" s="1"/>
  <c r="G2134" i="2"/>
  <c r="I2134" i="2" s="1"/>
  <c r="G2135" i="2"/>
  <c r="J2135" i="2" s="1"/>
  <c r="G2136" i="2"/>
  <c r="H2136" i="2" s="1"/>
  <c r="G2137" i="2"/>
  <c r="H2137" i="2" s="1"/>
  <c r="G2138" i="2"/>
  <c r="I2138" i="2" s="1"/>
  <c r="G2139" i="2"/>
  <c r="J2139" i="2" s="1"/>
  <c r="G2140" i="2"/>
  <c r="H2140" i="2" s="1"/>
  <c r="G2141" i="2"/>
  <c r="H2141" i="2" s="1"/>
  <c r="G2142" i="2"/>
  <c r="I2142" i="2" s="1"/>
  <c r="G2143" i="2"/>
  <c r="J2143" i="2" s="1"/>
  <c r="G2144" i="2"/>
  <c r="H2144" i="2" s="1"/>
  <c r="G2145" i="2"/>
  <c r="H2145" i="2" s="1"/>
  <c r="G2146" i="2"/>
  <c r="I2146" i="2" s="1"/>
  <c r="G2147" i="2"/>
  <c r="J2147" i="2" s="1"/>
  <c r="G2148" i="2"/>
  <c r="H2148" i="2" s="1"/>
  <c r="G2149" i="2"/>
  <c r="H2149" i="2" s="1"/>
  <c r="G2150" i="2"/>
  <c r="I2150" i="2" s="1"/>
  <c r="G2151" i="2"/>
  <c r="J2151" i="2" s="1"/>
  <c r="G2152" i="2"/>
  <c r="H2152" i="2" s="1"/>
  <c r="G2153" i="2"/>
  <c r="H2153" i="2" s="1"/>
  <c r="G2154" i="2"/>
  <c r="I2154" i="2" s="1"/>
  <c r="G2155" i="2"/>
  <c r="J2155" i="2" s="1"/>
  <c r="G2156" i="2"/>
  <c r="H2156" i="2" s="1"/>
  <c r="G2157" i="2"/>
  <c r="H2157" i="2" s="1"/>
  <c r="G2158" i="2"/>
  <c r="I2158" i="2" s="1"/>
  <c r="G2159" i="2"/>
  <c r="J2159" i="2" s="1"/>
  <c r="G2160" i="2"/>
  <c r="H2160" i="2" s="1"/>
  <c r="G2161" i="2"/>
  <c r="H2161" i="2" s="1"/>
  <c r="G2162" i="2"/>
  <c r="I2162" i="2" s="1"/>
  <c r="G2163" i="2"/>
  <c r="J2163" i="2" s="1"/>
  <c r="G2164" i="2"/>
  <c r="H2164" i="2" s="1"/>
  <c r="G2165" i="2"/>
  <c r="H2165" i="2" s="1"/>
  <c r="G2166" i="2"/>
  <c r="I2166" i="2" s="1"/>
  <c r="G2167" i="2"/>
  <c r="J2167" i="2" s="1"/>
  <c r="G2168" i="2"/>
  <c r="H2168" i="2" s="1"/>
  <c r="G2169" i="2"/>
  <c r="H2169" i="2" s="1"/>
  <c r="G2170" i="2"/>
  <c r="I2170" i="2" s="1"/>
  <c r="G2171" i="2"/>
  <c r="J2171" i="2" s="1"/>
  <c r="G2172" i="2"/>
  <c r="H2172" i="2" s="1"/>
  <c r="G2173" i="2"/>
  <c r="H2173" i="2" s="1"/>
  <c r="G2174" i="2"/>
  <c r="I2174" i="2" s="1"/>
  <c r="G2175" i="2"/>
  <c r="J2175" i="2" s="1"/>
  <c r="G2176" i="2"/>
  <c r="H2176" i="2" s="1"/>
  <c r="G2177" i="2"/>
  <c r="H2177" i="2" s="1"/>
  <c r="G2178" i="2"/>
  <c r="I2178" i="2" s="1"/>
  <c r="G2179" i="2"/>
  <c r="J2179" i="2" s="1"/>
  <c r="G2180" i="2"/>
  <c r="H2180" i="2" s="1"/>
  <c r="G2181" i="2"/>
  <c r="H2181" i="2" s="1"/>
  <c r="G2182" i="2"/>
  <c r="I2182" i="2" s="1"/>
  <c r="G2183" i="2"/>
  <c r="J2183" i="2" s="1"/>
  <c r="G2184" i="2"/>
  <c r="H2184" i="2" s="1"/>
  <c r="G2185" i="2"/>
  <c r="H2185" i="2" s="1"/>
  <c r="G2186" i="2"/>
  <c r="I2186" i="2" s="1"/>
  <c r="G2187" i="2"/>
  <c r="J2187" i="2" s="1"/>
  <c r="G2188" i="2"/>
  <c r="H2188" i="2" s="1"/>
  <c r="G2189" i="2"/>
  <c r="H2189" i="2" s="1"/>
  <c r="G2190" i="2"/>
  <c r="I2190" i="2" s="1"/>
  <c r="G2191" i="2"/>
  <c r="J2191" i="2" s="1"/>
  <c r="G2192" i="2"/>
  <c r="H2192" i="2" s="1"/>
  <c r="G2193" i="2"/>
  <c r="H2193" i="2" s="1"/>
  <c r="G2194" i="2"/>
  <c r="I2194" i="2" s="1"/>
  <c r="G2195" i="2"/>
  <c r="J2195" i="2" s="1"/>
  <c r="G2196" i="2"/>
  <c r="H2196" i="2" s="1"/>
  <c r="G2197" i="2"/>
  <c r="H2197" i="2" s="1"/>
  <c r="G2198" i="2"/>
  <c r="I2198" i="2" s="1"/>
  <c r="G2199" i="2"/>
  <c r="J2199" i="2" s="1"/>
  <c r="G2200" i="2"/>
  <c r="H2200" i="2" s="1"/>
  <c r="G2201" i="2"/>
  <c r="H2201" i="2" s="1"/>
  <c r="G2202" i="2"/>
  <c r="I2202" i="2" s="1"/>
  <c r="G2203" i="2"/>
  <c r="J2203" i="2" s="1"/>
  <c r="G2204" i="2"/>
  <c r="H2204" i="2" s="1"/>
  <c r="G2205" i="2"/>
  <c r="H2205" i="2" s="1"/>
  <c r="G2206" i="2"/>
  <c r="I2206" i="2" s="1"/>
  <c r="G2207" i="2"/>
  <c r="J2207" i="2" s="1"/>
  <c r="G2208" i="2"/>
  <c r="H2208" i="2" s="1"/>
  <c r="G2209" i="2"/>
  <c r="H2209" i="2" s="1"/>
  <c r="G2210" i="2"/>
  <c r="I2210" i="2" s="1"/>
  <c r="G2211" i="2"/>
  <c r="J2211" i="2" s="1"/>
  <c r="G2212" i="2"/>
  <c r="H2212" i="2" s="1"/>
  <c r="G2213" i="2"/>
  <c r="H2213" i="2" s="1"/>
  <c r="G2214" i="2"/>
  <c r="I2214" i="2" s="1"/>
  <c r="G2215" i="2"/>
  <c r="J2215" i="2" s="1"/>
  <c r="G2216" i="2"/>
  <c r="H2216" i="2" s="1"/>
  <c r="G2217" i="2"/>
  <c r="H2217" i="2" s="1"/>
  <c r="G2218" i="2"/>
  <c r="I2218" i="2" s="1"/>
  <c r="G2219" i="2"/>
  <c r="J2219" i="2" s="1"/>
  <c r="G2220" i="2"/>
  <c r="H2220" i="2" s="1"/>
  <c r="G2221" i="2"/>
  <c r="H2221" i="2" s="1"/>
  <c r="G2222" i="2"/>
  <c r="I2222" i="2" s="1"/>
  <c r="G2223" i="2"/>
  <c r="J2223" i="2" s="1"/>
  <c r="G2224" i="2"/>
  <c r="H2224" i="2" s="1"/>
  <c r="G2225" i="2"/>
  <c r="H2225" i="2" s="1"/>
  <c r="G2226" i="2"/>
  <c r="I2226" i="2" s="1"/>
  <c r="G2227" i="2"/>
  <c r="J2227" i="2" s="1"/>
  <c r="G2228" i="2"/>
  <c r="H2228" i="2" s="1"/>
  <c r="G2229" i="2"/>
  <c r="H2229" i="2" s="1"/>
  <c r="G2230" i="2"/>
  <c r="I2230" i="2" s="1"/>
  <c r="G2231" i="2"/>
  <c r="J2231" i="2" s="1"/>
  <c r="G2232" i="2"/>
  <c r="H2232" i="2" s="1"/>
  <c r="G2233" i="2"/>
  <c r="H2233" i="2" s="1"/>
  <c r="G2234" i="2"/>
  <c r="I2234" i="2" s="1"/>
  <c r="G2235" i="2"/>
  <c r="J2235" i="2" s="1"/>
  <c r="G2236" i="2"/>
  <c r="H2236" i="2" s="1"/>
  <c r="G2237" i="2"/>
  <c r="H2237" i="2" s="1"/>
  <c r="G2238" i="2"/>
  <c r="I2238" i="2" s="1"/>
  <c r="G2239" i="2"/>
  <c r="J2239" i="2" s="1"/>
  <c r="G2240" i="2"/>
  <c r="H2240" i="2" s="1"/>
  <c r="G2241" i="2"/>
  <c r="H2241" i="2" s="1"/>
  <c r="G2242" i="2"/>
  <c r="I2242" i="2" s="1"/>
  <c r="G2243" i="2"/>
  <c r="J2243" i="2" s="1"/>
  <c r="G2244" i="2"/>
  <c r="H2244" i="2" s="1"/>
  <c r="G2245" i="2"/>
  <c r="H2245" i="2" s="1"/>
  <c r="G2246" i="2"/>
  <c r="I2246" i="2" s="1"/>
  <c r="G2247" i="2"/>
  <c r="J2247" i="2" s="1"/>
  <c r="G2248" i="2"/>
  <c r="H2248" i="2" s="1"/>
  <c r="H2055" i="2" l="1"/>
  <c r="I2055" i="2"/>
  <c r="H2051" i="2"/>
  <c r="I2051" i="2"/>
  <c r="H2047" i="2"/>
  <c r="I2047" i="2"/>
  <c r="J2043" i="2"/>
  <c r="H2043" i="2"/>
  <c r="I2043" i="2"/>
  <c r="J2039" i="2"/>
  <c r="H2039" i="2"/>
  <c r="I2039" i="2"/>
  <c r="I2035" i="2"/>
  <c r="J2035" i="2"/>
  <c r="H2035" i="2"/>
  <c r="J2031" i="2"/>
  <c r="H2031" i="2"/>
  <c r="I2031" i="2"/>
  <c r="H2027" i="2"/>
  <c r="I2027" i="2"/>
  <c r="J2027" i="2"/>
  <c r="H2023" i="2"/>
  <c r="I2023" i="2"/>
  <c r="J2023" i="2"/>
  <c r="I2019" i="2"/>
  <c r="J2019" i="2"/>
  <c r="H2019" i="2"/>
  <c r="J2015" i="2"/>
  <c r="H2015" i="2"/>
  <c r="I2015" i="2"/>
  <c r="H2011" i="2"/>
  <c r="I2011" i="2"/>
  <c r="J2011" i="2"/>
  <c r="H2007" i="2"/>
  <c r="I2007" i="2"/>
  <c r="J2007" i="2"/>
  <c r="I2003" i="2"/>
  <c r="J2003" i="2"/>
  <c r="H2003" i="2"/>
  <c r="J1999" i="2"/>
  <c r="H1999" i="2"/>
  <c r="I1999" i="2"/>
  <c r="H1995" i="2"/>
  <c r="I1995" i="2"/>
  <c r="J1995" i="2"/>
  <c r="J1991" i="2"/>
  <c r="I1991" i="2"/>
  <c r="H1991" i="2"/>
  <c r="J1987" i="2"/>
  <c r="H1987" i="2"/>
  <c r="I1987" i="2"/>
  <c r="J1983" i="2"/>
  <c r="I1983" i="2"/>
  <c r="H1983" i="2"/>
  <c r="J1979" i="2"/>
  <c r="H1979" i="2"/>
  <c r="I1979" i="2"/>
  <c r="J1975" i="2"/>
  <c r="I1975" i="2"/>
  <c r="H1975" i="2"/>
  <c r="J1971" i="2"/>
  <c r="H1971" i="2"/>
  <c r="I1971" i="2"/>
  <c r="J1967" i="2"/>
  <c r="I1967" i="2"/>
  <c r="H1967" i="2"/>
  <c r="J1963" i="2"/>
  <c r="H1963" i="2"/>
  <c r="I1963" i="2"/>
  <c r="J1959" i="2"/>
  <c r="I1959" i="2"/>
  <c r="H1959" i="2"/>
  <c r="J1955" i="2"/>
  <c r="H1955" i="2"/>
  <c r="I1955" i="2"/>
  <c r="J1951" i="2"/>
  <c r="I1951" i="2"/>
  <c r="H1951" i="2"/>
  <c r="J1947" i="2"/>
  <c r="H1947" i="2"/>
  <c r="I1947" i="2"/>
  <c r="J1943" i="2"/>
  <c r="I1943" i="2"/>
  <c r="H1943" i="2"/>
  <c r="J1939" i="2"/>
  <c r="H1939" i="2"/>
  <c r="I1939" i="2"/>
  <c r="J1935" i="2"/>
  <c r="I1935" i="2"/>
  <c r="H1935" i="2"/>
  <c r="J1931" i="2"/>
  <c r="H1931" i="2"/>
  <c r="I1931" i="2"/>
  <c r="J1927" i="2"/>
  <c r="I1927" i="2"/>
  <c r="H1927" i="2"/>
  <c r="J1923" i="2"/>
  <c r="H1923" i="2"/>
  <c r="I1923" i="2"/>
  <c r="J1919" i="2"/>
  <c r="I1919" i="2"/>
  <c r="H1919" i="2"/>
  <c r="J1915" i="2"/>
  <c r="H1915" i="2"/>
  <c r="I1915" i="2"/>
  <c r="J1911" i="2"/>
  <c r="I1911" i="2"/>
  <c r="H1911" i="2"/>
  <c r="J1907" i="2"/>
  <c r="H1907" i="2"/>
  <c r="I1907" i="2"/>
  <c r="J1903" i="2"/>
  <c r="I1903" i="2"/>
  <c r="H1903" i="2"/>
  <c r="J1899" i="2"/>
  <c r="H1899" i="2"/>
  <c r="I1899" i="2"/>
  <c r="J1895" i="2"/>
  <c r="I1895" i="2"/>
  <c r="H1895" i="2"/>
  <c r="J1891" i="2"/>
  <c r="H1891" i="2"/>
  <c r="I1891" i="2"/>
  <c r="J1887" i="2"/>
  <c r="I1887" i="2"/>
  <c r="H1887" i="2"/>
  <c r="J1883" i="2"/>
  <c r="H1883" i="2"/>
  <c r="I1883" i="2"/>
  <c r="J1879" i="2"/>
  <c r="I1879" i="2"/>
  <c r="H1879" i="2"/>
  <c r="J1875" i="2"/>
  <c r="H1875" i="2"/>
  <c r="I1875" i="2"/>
  <c r="J1871" i="2"/>
  <c r="I1871" i="2"/>
  <c r="H1871" i="2"/>
  <c r="J1867" i="2"/>
  <c r="H1867" i="2"/>
  <c r="I1867" i="2"/>
  <c r="J1863" i="2"/>
  <c r="I1863" i="2"/>
  <c r="H1863" i="2"/>
  <c r="J1859" i="2"/>
  <c r="H1859" i="2"/>
  <c r="I1859" i="2"/>
  <c r="J1855" i="2"/>
  <c r="I1855" i="2"/>
  <c r="H1855" i="2"/>
  <c r="J1851" i="2"/>
  <c r="H1851" i="2"/>
  <c r="I1851" i="2"/>
  <c r="J1847" i="2"/>
  <c r="I1847" i="2"/>
  <c r="H1847" i="2"/>
  <c r="J1843" i="2"/>
  <c r="H1843" i="2"/>
  <c r="I1843" i="2"/>
  <c r="J1839" i="2"/>
  <c r="I1839" i="2"/>
  <c r="H1839" i="2"/>
  <c r="J1835" i="2"/>
  <c r="H1835" i="2"/>
  <c r="I1835" i="2"/>
  <c r="J1831" i="2"/>
  <c r="I1831" i="2"/>
  <c r="H1831" i="2"/>
  <c r="J1827" i="2"/>
  <c r="H1827" i="2"/>
  <c r="I1827" i="2"/>
  <c r="J1823" i="2"/>
  <c r="I1823" i="2"/>
  <c r="H1823" i="2"/>
  <c r="J1819" i="2"/>
  <c r="H1819" i="2"/>
  <c r="I1819" i="2"/>
  <c r="J1815" i="2"/>
  <c r="I1815" i="2"/>
  <c r="H1815" i="2"/>
  <c r="J1811" i="2"/>
  <c r="H1811" i="2"/>
  <c r="I1811" i="2"/>
  <c r="J1807" i="2"/>
  <c r="I1807" i="2"/>
  <c r="H1807" i="2"/>
  <c r="J1803" i="2"/>
  <c r="H1803" i="2"/>
  <c r="I1803" i="2"/>
  <c r="J1799" i="2"/>
  <c r="I1799" i="2"/>
  <c r="H1799" i="2"/>
  <c r="J1795" i="2"/>
  <c r="H1795" i="2"/>
  <c r="I1795" i="2"/>
  <c r="J1791" i="2"/>
  <c r="I1791" i="2"/>
  <c r="H1791" i="2"/>
  <c r="J1787" i="2"/>
  <c r="H1787" i="2"/>
  <c r="I1787" i="2"/>
  <c r="J1783" i="2"/>
  <c r="I1783" i="2"/>
  <c r="H1783" i="2"/>
  <c r="J1779" i="2"/>
  <c r="H1779" i="2"/>
  <c r="I1779" i="2"/>
  <c r="J1775" i="2"/>
  <c r="I1775" i="2"/>
  <c r="H1775" i="2"/>
  <c r="J1771" i="2"/>
  <c r="H1771" i="2"/>
  <c r="I1771" i="2"/>
  <c r="J1767" i="2"/>
  <c r="I1767" i="2"/>
  <c r="H1767" i="2"/>
  <c r="J1763" i="2"/>
  <c r="H1763" i="2"/>
  <c r="I1763" i="2"/>
  <c r="J1759" i="2"/>
  <c r="I1759" i="2"/>
  <c r="H1759" i="2"/>
  <c r="J1755" i="2"/>
  <c r="H1755" i="2"/>
  <c r="I1755" i="2"/>
  <c r="J1751" i="2"/>
  <c r="I1751" i="2"/>
  <c r="H1751" i="2"/>
  <c r="J1747" i="2"/>
  <c r="H1747" i="2"/>
  <c r="I1747" i="2"/>
  <c r="J1743" i="2"/>
  <c r="I1743" i="2"/>
  <c r="H1743" i="2"/>
  <c r="J1739" i="2"/>
  <c r="H1739" i="2"/>
  <c r="I1739" i="2"/>
  <c r="J1735" i="2"/>
  <c r="I1735" i="2"/>
  <c r="H1735" i="2"/>
  <c r="J1731" i="2"/>
  <c r="H1731" i="2"/>
  <c r="I1731" i="2"/>
  <c r="J1727" i="2"/>
  <c r="I1727" i="2"/>
  <c r="H1727" i="2"/>
  <c r="J1723" i="2"/>
  <c r="H1723" i="2"/>
  <c r="I1723" i="2"/>
  <c r="J1719" i="2"/>
  <c r="I1719" i="2"/>
  <c r="H1719" i="2"/>
  <c r="J1715" i="2"/>
  <c r="H1715" i="2"/>
  <c r="I1715" i="2"/>
  <c r="J1711" i="2"/>
  <c r="I1711" i="2"/>
  <c r="H1711" i="2"/>
  <c r="J1707" i="2"/>
  <c r="H1707" i="2"/>
  <c r="I1707" i="2"/>
  <c r="J1703" i="2"/>
  <c r="I1703" i="2"/>
  <c r="H1703" i="2"/>
  <c r="J1699" i="2"/>
  <c r="H1699" i="2"/>
  <c r="I1699" i="2"/>
  <c r="J1695" i="2"/>
  <c r="H1695" i="2"/>
  <c r="I1695" i="2"/>
  <c r="J1691" i="2"/>
  <c r="H1691" i="2"/>
  <c r="I1691" i="2"/>
  <c r="J1687" i="2"/>
  <c r="I1687" i="2"/>
  <c r="H1687" i="2"/>
  <c r="J1683" i="2"/>
  <c r="H1683" i="2"/>
  <c r="I1683" i="2"/>
  <c r="J1679" i="2"/>
  <c r="H1679" i="2"/>
  <c r="I1679" i="2"/>
  <c r="J1675" i="2"/>
  <c r="H1675" i="2"/>
  <c r="I1675" i="2"/>
  <c r="J1671" i="2"/>
  <c r="I1671" i="2"/>
  <c r="H1671" i="2"/>
  <c r="J1667" i="2"/>
  <c r="H1667" i="2"/>
  <c r="I1667" i="2"/>
  <c r="J1663" i="2"/>
  <c r="I1663" i="2"/>
  <c r="H1663" i="2"/>
  <c r="J1659" i="2"/>
  <c r="H1659" i="2"/>
  <c r="I1659" i="2"/>
  <c r="J1655" i="2"/>
  <c r="I1655" i="2"/>
  <c r="H1655" i="2"/>
  <c r="I1651" i="2"/>
  <c r="J1651" i="2"/>
  <c r="H1651" i="2"/>
  <c r="I1647" i="2"/>
  <c r="J1647" i="2"/>
  <c r="H1647" i="2"/>
  <c r="I1643" i="2"/>
  <c r="J1643" i="2"/>
  <c r="H1643" i="2"/>
  <c r="I1639" i="2"/>
  <c r="J1639" i="2"/>
  <c r="H1639" i="2"/>
  <c r="I1635" i="2"/>
  <c r="J1635" i="2"/>
  <c r="H1635" i="2"/>
  <c r="I1631" i="2"/>
  <c r="J1631" i="2"/>
  <c r="H1631" i="2"/>
  <c r="I1627" i="2"/>
  <c r="J1627" i="2"/>
  <c r="H1627" i="2"/>
  <c r="I1623" i="2"/>
  <c r="J1623" i="2"/>
  <c r="H1623" i="2"/>
  <c r="I1619" i="2"/>
  <c r="J1619" i="2"/>
  <c r="H1619" i="2"/>
  <c r="I1615" i="2"/>
  <c r="J1615" i="2"/>
  <c r="H1615" i="2"/>
  <c r="I1611" i="2"/>
  <c r="J1611" i="2"/>
  <c r="H1611" i="2"/>
  <c r="I1607" i="2"/>
  <c r="J1607" i="2"/>
  <c r="H1607" i="2"/>
  <c r="I1603" i="2"/>
  <c r="J1603" i="2"/>
  <c r="H1603" i="2"/>
  <c r="I1599" i="2"/>
  <c r="J1599" i="2"/>
  <c r="H1599" i="2"/>
  <c r="I1595" i="2"/>
  <c r="J1595" i="2"/>
  <c r="H1595" i="2"/>
  <c r="I1591" i="2"/>
  <c r="J1591" i="2"/>
  <c r="H1591" i="2"/>
  <c r="I1587" i="2"/>
  <c r="J1587" i="2"/>
  <c r="H1587" i="2"/>
  <c r="I1583" i="2"/>
  <c r="J1583" i="2"/>
  <c r="H1583" i="2"/>
  <c r="I1579" i="2"/>
  <c r="J1579" i="2"/>
  <c r="H1579" i="2"/>
  <c r="I1575" i="2"/>
  <c r="J1575" i="2"/>
  <c r="H1575" i="2"/>
  <c r="I1571" i="2"/>
  <c r="J1571" i="2"/>
  <c r="H1571" i="2"/>
  <c r="I1567" i="2"/>
  <c r="J1567" i="2"/>
  <c r="H1567" i="2"/>
  <c r="I1563" i="2"/>
  <c r="J1563" i="2"/>
  <c r="H1563" i="2"/>
  <c r="I1559" i="2"/>
  <c r="J1559" i="2"/>
  <c r="H1559" i="2"/>
  <c r="I1555" i="2"/>
  <c r="J1555" i="2"/>
  <c r="H1555" i="2"/>
  <c r="I1551" i="2"/>
  <c r="J1551" i="2"/>
  <c r="H1551" i="2"/>
  <c r="I1547" i="2"/>
  <c r="J1547" i="2"/>
  <c r="H1547" i="2"/>
  <c r="I1543" i="2"/>
  <c r="J1543" i="2"/>
  <c r="H1543" i="2"/>
  <c r="I1539" i="2"/>
  <c r="J1539" i="2"/>
  <c r="H1539" i="2"/>
  <c r="I1535" i="2"/>
  <c r="J1535" i="2"/>
  <c r="H1535" i="2"/>
  <c r="I1531" i="2"/>
  <c r="J1531" i="2"/>
  <c r="H1531" i="2"/>
  <c r="I1527" i="2"/>
  <c r="J1527" i="2"/>
  <c r="H1527" i="2"/>
  <c r="I1523" i="2"/>
  <c r="J1523" i="2"/>
  <c r="H1523" i="2"/>
  <c r="I1519" i="2"/>
  <c r="J1519" i="2"/>
  <c r="H1519" i="2"/>
  <c r="I1515" i="2"/>
  <c r="J1515" i="2"/>
  <c r="H1515" i="2"/>
  <c r="I1511" i="2"/>
  <c r="J1511" i="2"/>
  <c r="H1511" i="2"/>
  <c r="I1507" i="2"/>
  <c r="J1507" i="2"/>
  <c r="H1507" i="2"/>
  <c r="I1503" i="2"/>
  <c r="J1503" i="2"/>
  <c r="H1503" i="2"/>
  <c r="I1499" i="2"/>
  <c r="J1499" i="2"/>
  <c r="H1499" i="2"/>
  <c r="I1495" i="2"/>
  <c r="J1495" i="2"/>
  <c r="H1495" i="2"/>
  <c r="I1491" i="2"/>
  <c r="J1491" i="2"/>
  <c r="H1491" i="2"/>
  <c r="I1487" i="2"/>
  <c r="J1487" i="2"/>
  <c r="H1487" i="2"/>
  <c r="I1483" i="2"/>
  <c r="J1483" i="2"/>
  <c r="H1483" i="2"/>
  <c r="I1479" i="2"/>
  <c r="J1479" i="2"/>
  <c r="H1479" i="2"/>
  <c r="I1475" i="2"/>
  <c r="J1475" i="2"/>
  <c r="H1475" i="2"/>
  <c r="I1471" i="2"/>
  <c r="J1471" i="2"/>
  <c r="H1471" i="2"/>
  <c r="I1467" i="2"/>
  <c r="J1467" i="2"/>
  <c r="H1467" i="2"/>
  <c r="I1463" i="2"/>
  <c r="J1463" i="2"/>
  <c r="H1463" i="2"/>
  <c r="I1459" i="2"/>
  <c r="J1459" i="2"/>
  <c r="H1459" i="2"/>
  <c r="I1455" i="2"/>
  <c r="J1455" i="2"/>
  <c r="H1455" i="2"/>
  <c r="I1451" i="2"/>
  <c r="J1451" i="2"/>
  <c r="H1451" i="2"/>
  <c r="I1447" i="2"/>
  <c r="J1447" i="2"/>
  <c r="H1447" i="2"/>
  <c r="I1443" i="2"/>
  <c r="J1443" i="2"/>
  <c r="H1443" i="2"/>
  <c r="I1439" i="2"/>
  <c r="J1439" i="2"/>
  <c r="H1439" i="2"/>
  <c r="I1435" i="2"/>
  <c r="J1435" i="2"/>
  <c r="H1435" i="2"/>
  <c r="I1431" i="2"/>
  <c r="J1431" i="2"/>
  <c r="H1431" i="2"/>
  <c r="I1427" i="2"/>
  <c r="J1427" i="2"/>
  <c r="H1427" i="2"/>
  <c r="I1423" i="2"/>
  <c r="J1423" i="2"/>
  <c r="H1423" i="2"/>
  <c r="I1419" i="2"/>
  <c r="J1419" i="2"/>
  <c r="H1419" i="2"/>
  <c r="I1415" i="2"/>
  <c r="J1415" i="2"/>
  <c r="H1415" i="2"/>
  <c r="I1411" i="2"/>
  <c r="J1411" i="2"/>
  <c r="H1411" i="2"/>
  <c r="I1407" i="2"/>
  <c r="J1407" i="2"/>
  <c r="H1407" i="2"/>
  <c r="I1403" i="2"/>
  <c r="J1403" i="2"/>
  <c r="H1403" i="2"/>
  <c r="I1399" i="2"/>
  <c r="J1399" i="2"/>
  <c r="H1399" i="2"/>
  <c r="I1395" i="2"/>
  <c r="J1395" i="2"/>
  <c r="H1395" i="2"/>
  <c r="J1391" i="2"/>
  <c r="H1391" i="2"/>
  <c r="I1391" i="2"/>
  <c r="J1387" i="2"/>
  <c r="I1387" i="2"/>
  <c r="H1387" i="2"/>
  <c r="J1383" i="2"/>
  <c r="H1383" i="2"/>
  <c r="I1383" i="2"/>
  <c r="J1379" i="2"/>
  <c r="H1379" i="2"/>
  <c r="I1379" i="2"/>
  <c r="J1375" i="2"/>
  <c r="H1375" i="2"/>
  <c r="I1375" i="2"/>
  <c r="J1371" i="2"/>
  <c r="I1371" i="2"/>
  <c r="H1371" i="2"/>
  <c r="J1367" i="2"/>
  <c r="H1367" i="2"/>
  <c r="I1367" i="2"/>
  <c r="J1363" i="2"/>
  <c r="H1363" i="2"/>
  <c r="I1363" i="2"/>
  <c r="J1359" i="2"/>
  <c r="H1359" i="2"/>
  <c r="I1359" i="2"/>
  <c r="J1355" i="2"/>
  <c r="I1355" i="2"/>
  <c r="H1355" i="2"/>
  <c r="J1351" i="2"/>
  <c r="H1351" i="2"/>
  <c r="I1351" i="2"/>
  <c r="J1347" i="2"/>
  <c r="H1347" i="2"/>
  <c r="I1347" i="2"/>
  <c r="I1343" i="2"/>
  <c r="J1343" i="2"/>
  <c r="H1343" i="2"/>
  <c r="I1339" i="2"/>
  <c r="J1339" i="2"/>
  <c r="H1339" i="2"/>
  <c r="I1335" i="2"/>
  <c r="J1335" i="2"/>
  <c r="H1335" i="2"/>
  <c r="I1331" i="2"/>
  <c r="J1331" i="2"/>
  <c r="H1331" i="2"/>
  <c r="I1327" i="2"/>
  <c r="J1327" i="2"/>
  <c r="H1327" i="2"/>
  <c r="I1323" i="2"/>
  <c r="J1323" i="2"/>
  <c r="H1323" i="2"/>
  <c r="I1319" i="2"/>
  <c r="J1319" i="2"/>
  <c r="H1319" i="2"/>
  <c r="I1315" i="2"/>
  <c r="J1315" i="2"/>
  <c r="H1315" i="2"/>
  <c r="I1311" i="2"/>
  <c r="J1311" i="2"/>
  <c r="H1311" i="2"/>
  <c r="I1307" i="2"/>
  <c r="J1307" i="2"/>
  <c r="H1307" i="2"/>
  <c r="I1303" i="2"/>
  <c r="J1303" i="2"/>
  <c r="H1303" i="2"/>
  <c r="I1299" i="2"/>
  <c r="J1299" i="2"/>
  <c r="H1299" i="2"/>
  <c r="I1295" i="2"/>
  <c r="J1295" i="2"/>
  <c r="H1295" i="2"/>
  <c r="I1291" i="2"/>
  <c r="J1291" i="2"/>
  <c r="H1291" i="2"/>
  <c r="I1287" i="2"/>
  <c r="J1287" i="2"/>
  <c r="H1287" i="2"/>
  <c r="I1283" i="2"/>
  <c r="J1283" i="2"/>
  <c r="H1283" i="2"/>
  <c r="I1279" i="2"/>
  <c r="J1279" i="2"/>
  <c r="H1279" i="2"/>
  <c r="I1275" i="2"/>
  <c r="J1275" i="2"/>
  <c r="H1275" i="2"/>
  <c r="I1271" i="2"/>
  <c r="J1271" i="2"/>
  <c r="H1271" i="2"/>
  <c r="I1267" i="2"/>
  <c r="J1267" i="2"/>
  <c r="H1267" i="2"/>
  <c r="I1263" i="2"/>
  <c r="J1263" i="2"/>
  <c r="H1263" i="2"/>
  <c r="I1259" i="2"/>
  <c r="J1259" i="2"/>
  <c r="H1259" i="2"/>
  <c r="I1255" i="2"/>
  <c r="J1255" i="2"/>
  <c r="H1255" i="2"/>
  <c r="I1251" i="2"/>
  <c r="J1251" i="2"/>
  <c r="H1251" i="2"/>
  <c r="I1247" i="2"/>
  <c r="J1247" i="2"/>
  <c r="H1247" i="2"/>
  <c r="I1243" i="2"/>
  <c r="J1243" i="2"/>
  <c r="H1243" i="2"/>
  <c r="I1239" i="2"/>
  <c r="J1239" i="2"/>
  <c r="H1239" i="2"/>
  <c r="I1235" i="2"/>
  <c r="J1235" i="2"/>
  <c r="H1235" i="2"/>
  <c r="I1231" i="2"/>
  <c r="J1231" i="2"/>
  <c r="H1231" i="2"/>
  <c r="I1227" i="2"/>
  <c r="J1227" i="2"/>
  <c r="H1227" i="2"/>
  <c r="I1223" i="2"/>
  <c r="J1223" i="2"/>
  <c r="H1223" i="2"/>
  <c r="I1219" i="2"/>
  <c r="J1219" i="2"/>
  <c r="H1219" i="2"/>
  <c r="I1215" i="2"/>
  <c r="J1215" i="2"/>
  <c r="H1215" i="2"/>
  <c r="I1211" i="2"/>
  <c r="J1211" i="2"/>
  <c r="H1211" i="2"/>
  <c r="I1207" i="2"/>
  <c r="J1207" i="2"/>
  <c r="H1207" i="2"/>
  <c r="I1203" i="2"/>
  <c r="J1203" i="2"/>
  <c r="H1203" i="2"/>
  <c r="I1199" i="2"/>
  <c r="J1199" i="2"/>
  <c r="H1199" i="2"/>
  <c r="I1195" i="2"/>
  <c r="J1195" i="2"/>
  <c r="H1195" i="2"/>
  <c r="I1191" i="2"/>
  <c r="J1191" i="2"/>
  <c r="H1191" i="2"/>
  <c r="I1187" i="2"/>
  <c r="J1187" i="2"/>
  <c r="H1187" i="2"/>
  <c r="I1183" i="2"/>
  <c r="J1183" i="2"/>
  <c r="H1183" i="2"/>
  <c r="I1179" i="2"/>
  <c r="J1179" i="2"/>
  <c r="H1179" i="2"/>
  <c r="I1175" i="2"/>
  <c r="J1175" i="2"/>
  <c r="H1175" i="2"/>
  <c r="H1171" i="2"/>
  <c r="I1171" i="2"/>
  <c r="J1171" i="2"/>
  <c r="H1167" i="2"/>
  <c r="I1167" i="2"/>
  <c r="J1167" i="2"/>
  <c r="H1163" i="2"/>
  <c r="I1163" i="2"/>
  <c r="J1163" i="2"/>
  <c r="H1159" i="2"/>
  <c r="I1159" i="2"/>
  <c r="J1159" i="2"/>
  <c r="H1155" i="2"/>
  <c r="I1155" i="2"/>
  <c r="J1155" i="2"/>
  <c r="H1151" i="2"/>
  <c r="I1151" i="2"/>
  <c r="J1151" i="2"/>
  <c r="H1147" i="2"/>
  <c r="I1147" i="2"/>
  <c r="J1147" i="2"/>
  <c r="H1143" i="2"/>
  <c r="I1143" i="2"/>
  <c r="J1143" i="2"/>
  <c r="H1139" i="2"/>
  <c r="I1139" i="2"/>
  <c r="J1139" i="2"/>
  <c r="H1135" i="2"/>
  <c r="I1135" i="2"/>
  <c r="J1135" i="2"/>
  <c r="H1131" i="2"/>
  <c r="I1131" i="2"/>
  <c r="J1131" i="2"/>
  <c r="H1127" i="2"/>
  <c r="I1127" i="2"/>
  <c r="J1127" i="2"/>
  <c r="H1123" i="2"/>
  <c r="I1123" i="2"/>
  <c r="J1123" i="2"/>
  <c r="H1119" i="2"/>
  <c r="I1119" i="2"/>
  <c r="J1119" i="2"/>
  <c r="H1115" i="2"/>
  <c r="I1115" i="2"/>
  <c r="J1115" i="2"/>
  <c r="H1111" i="2"/>
  <c r="I1111" i="2"/>
  <c r="J1111" i="2"/>
  <c r="H1107" i="2"/>
  <c r="I1107" i="2"/>
  <c r="J1107" i="2"/>
  <c r="H1103" i="2"/>
  <c r="I1103" i="2"/>
  <c r="J1103" i="2"/>
  <c r="H1099" i="2"/>
  <c r="I1099" i="2"/>
  <c r="J1099" i="2"/>
  <c r="H1095" i="2"/>
  <c r="I1095" i="2"/>
  <c r="J1095" i="2"/>
  <c r="H1091" i="2"/>
  <c r="I1091" i="2"/>
  <c r="J1091" i="2"/>
  <c r="H1087" i="2"/>
  <c r="I1087" i="2"/>
  <c r="J1087" i="2"/>
  <c r="H1083" i="2"/>
  <c r="I1083" i="2"/>
  <c r="J1083" i="2"/>
  <c r="H1079" i="2"/>
  <c r="I1079" i="2"/>
  <c r="J1079" i="2"/>
  <c r="H1075" i="2"/>
  <c r="I1075" i="2"/>
  <c r="J1075" i="2"/>
  <c r="H1071" i="2"/>
  <c r="I1071" i="2"/>
  <c r="J1071" i="2"/>
  <c r="H1067" i="2"/>
  <c r="I1067" i="2"/>
  <c r="J1067" i="2"/>
  <c r="H1063" i="2"/>
  <c r="I1063" i="2"/>
  <c r="J1063" i="2"/>
  <c r="H1059" i="2"/>
  <c r="I1059" i="2"/>
  <c r="J1059" i="2"/>
  <c r="H1055" i="2"/>
  <c r="I1055" i="2"/>
  <c r="J1055" i="2"/>
  <c r="H1051" i="2"/>
  <c r="I1051" i="2"/>
  <c r="J1051" i="2"/>
  <c r="H1047" i="2"/>
  <c r="I1047" i="2"/>
  <c r="J1047" i="2"/>
  <c r="H1043" i="2"/>
  <c r="I1043" i="2"/>
  <c r="J1043" i="2"/>
  <c r="H1039" i="2"/>
  <c r="I1039" i="2"/>
  <c r="J1039" i="2"/>
  <c r="H1035" i="2"/>
  <c r="I1035" i="2"/>
  <c r="J1035" i="2"/>
  <c r="H1031" i="2"/>
  <c r="I1031" i="2"/>
  <c r="J1031" i="2"/>
  <c r="H1027" i="2"/>
  <c r="I1027" i="2"/>
  <c r="J1027" i="2"/>
  <c r="H1023" i="2"/>
  <c r="I1023" i="2"/>
  <c r="J1023" i="2"/>
  <c r="H1019" i="2"/>
  <c r="I1019" i="2"/>
  <c r="J1019" i="2"/>
  <c r="H1015" i="2"/>
  <c r="I1015" i="2"/>
  <c r="J1015" i="2"/>
  <c r="H1011" i="2"/>
  <c r="I1011" i="2"/>
  <c r="J1011" i="2"/>
  <c r="H1007" i="2"/>
  <c r="I1007" i="2"/>
  <c r="J1007" i="2"/>
  <c r="H1003" i="2"/>
  <c r="I1003" i="2"/>
  <c r="J1003" i="2"/>
  <c r="H999" i="2"/>
  <c r="I999" i="2"/>
  <c r="J999" i="2"/>
  <c r="H995" i="2"/>
  <c r="I995" i="2"/>
  <c r="J995" i="2"/>
  <c r="H991" i="2"/>
  <c r="I991" i="2"/>
  <c r="J991" i="2"/>
  <c r="H987" i="2"/>
  <c r="I987" i="2"/>
  <c r="J987" i="2"/>
  <c r="H983" i="2"/>
  <c r="I983" i="2"/>
  <c r="J983" i="2"/>
  <c r="H979" i="2"/>
  <c r="I979" i="2"/>
  <c r="J979" i="2"/>
  <c r="J975" i="2"/>
  <c r="H975" i="2"/>
  <c r="I975" i="2"/>
  <c r="J971" i="2"/>
  <c r="H971" i="2"/>
  <c r="I971" i="2"/>
  <c r="J967" i="2"/>
  <c r="H967" i="2"/>
  <c r="I967" i="2"/>
  <c r="J963" i="2"/>
  <c r="H963" i="2"/>
  <c r="I963" i="2"/>
  <c r="J959" i="2"/>
  <c r="H959" i="2"/>
  <c r="I959" i="2"/>
  <c r="J955" i="2"/>
  <c r="H955" i="2"/>
  <c r="I955" i="2"/>
  <c r="J951" i="2"/>
  <c r="H951" i="2"/>
  <c r="I951" i="2"/>
  <c r="J947" i="2"/>
  <c r="H947" i="2"/>
  <c r="I947" i="2"/>
  <c r="J943" i="2"/>
  <c r="H943" i="2"/>
  <c r="I943" i="2"/>
  <c r="J939" i="2"/>
  <c r="H939" i="2"/>
  <c r="I939" i="2"/>
  <c r="J935" i="2"/>
  <c r="H935" i="2"/>
  <c r="I935" i="2"/>
  <c r="J931" i="2"/>
  <c r="H931" i="2"/>
  <c r="I931" i="2"/>
  <c r="J927" i="2"/>
  <c r="H927" i="2"/>
  <c r="I927" i="2"/>
  <c r="J923" i="2"/>
  <c r="H923" i="2"/>
  <c r="I923" i="2"/>
  <c r="J919" i="2"/>
  <c r="H919" i="2"/>
  <c r="I919" i="2"/>
  <c r="J915" i="2"/>
  <c r="H915" i="2"/>
  <c r="I915" i="2"/>
  <c r="J911" i="2"/>
  <c r="H911" i="2"/>
  <c r="I911" i="2"/>
  <c r="J907" i="2"/>
  <c r="H907" i="2"/>
  <c r="I907" i="2"/>
  <c r="J903" i="2"/>
  <c r="H903" i="2"/>
  <c r="I903" i="2"/>
  <c r="J899" i="2"/>
  <c r="H899" i="2"/>
  <c r="I899" i="2"/>
  <c r="J895" i="2"/>
  <c r="H895" i="2"/>
  <c r="I895" i="2"/>
  <c r="J891" i="2"/>
  <c r="H891" i="2"/>
  <c r="I891" i="2"/>
  <c r="J887" i="2"/>
  <c r="H887" i="2"/>
  <c r="I887" i="2"/>
  <c r="J883" i="2"/>
  <c r="H883" i="2"/>
  <c r="I883" i="2"/>
  <c r="J879" i="2"/>
  <c r="H879" i="2"/>
  <c r="I879" i="2"/>
  <c r="J875" i="2"/>
  <c r="H875" i="2"/>
  <c r="I875" i="2"/>
  <c r="J871" i="2"/>
  <c r="H871" i="2"/>
  <c r="I871" i="2"/>
  <c r="J867" i="2"/>
  <c r="H867" i="2"/>
  <c r="I867" i="2"/>
  <c r="I843" i="2"/>
  <c r="H843" i="2"/>
  <c r="H839" i="2"/>
  <c r="J839" i="2"/>
  <c r="J2248" i="2"/>
  <c r="I2247" i="2"/>
  <c r="H2246" i="2"/>
  <c r="J2244" i="2"/>
  <c r="I2243" i="2"/>
  <c r="H2242" i="2"/>
  <c r="J2240" i="2"/>
  <c r="I2239" i="2"/>
  <c r="H2238" i="2"/>
  <c r="J2236" i="2"/>
  <c r="I2235" i="2"/>
  <c r="H2234" i="2"/>
  <c r="J2232" i="2"/>
  <c r="I2231" i="2"/>
  <c r="H2230" i="2"/>
  <c r="J2228" i="2"/>
  <c r="I2227" i="2"/>
  <c r="H2226" i="2"/>
  <c r="J2224" i="2"/>
  <c r="I2223" i="2"/>
  <c r="H2222" i="2"/>
  <c r="J2220" i="2"/>
  <c r="I2219" i="2"/>
  <c r="H2218" i="2"/>
  <c r="J2216" i="2"/>
  <c r="I2215" i="2"/>
  <c r="H2214" i="2"/>
  <c r="J2212" i="2"/>
  <c r="I2211" i="2"/>
  <c r="H2210" i="2"/>
  <c r="J2208" i="2"/>
  <c r="I2207" i="2"/>
  <c r="H2206" i="2"/>
  <c r="J2204" i="2"/>
  <c r="I2203" i="2"/>
  <c r="H2202" i="2"/>
  <c r="J2200" i="2"/>
  <c r="I2199" i="2"/>
  <c r="H2198" i="2"/>
  <c r="J2196" i="2"/>
  <c r="I2195" i="2"/>
  <c r="H2194" i="2"/>
  <c r="J2192" i="2"/>
  <c r="I2191" i="2"/>
  <c r="H2190" i="2"/>
  <c r="J2188" i="2"/>
  <c r="I2187" i="2"/>
  <c r="H2186" i="2"/>
  <c r="J2184" i="2"/>
  <c r="I2183" i="2"/>
  <c r="H2182" i="2"/>
  <c r="J2180" i="2"/>
  <c r="I2179" i="2"/>
  <c r="H2178" i="2"/>
  <c r="J2176" i="2"/>
  <c r="I2175" i="2"/>
  <c r="H2174" i="2"/>
  <c r="J2172" i="2"/>
  <c r="I2171" i="2"/>
  <c r="H2170" i="2"/>
  <c r="J2168" i="2"/>
  <c r="I2167" i="2"/>
  <c r="H2166" i="2"/>
  <c r="J2164" i="2"/>
  <c r="I2163" i="2"/>
  <c r="H2162" i="2"/>
  <c r="J2160" i="2"/>
  <c r="I2159" i="2"/>
  <c r="H2158" i="2"/>
  <c r="J2156" i="2"/>
  <c r="I2155" i="2"/>
  <c r="H2154" i="2"/>
  <c r="J2152" i="2"/>
  <c r="I2151" i="2"/>
  <c r="H2150" i="2"/>
  <c r="J2148" i="2"/>
  <c r="I2147" i="2"/>
  <c r="H2146" i="2"/>
  <c r="J2144" i="2"/>
  <c r="I2143" i="2"/>
  <c r="H2142" i="2"/>
  <c r="J2140" i="2"/>
  <c r="I2139" i="2"/>
  <c r="H2138" i="2"/>
  <c r="J2136" i="2"/>
  <c r="I2135" i="2"/>
  <c r="H2134" i="2"/>
  <c r="J2132" i="2"/>
  <c r="I2131" i="2"/>
  <c r="H2130" i="2"/>
  <c r="J2128" i="2"/>
  <c r="I2127" i="2"/>
  <c r="H2126" i="2"/>
  <c r="J2124" i="2"/>
  <c r="I2123" i="2"/>
  <c r="H2122" i="2"/>
  <c r="J2120" i="2"/>
  <c r="I2119" i="2"/>
  <c r="H2118" i="2"/>
  <c r="J2116" i="2"/>
  <c r="I2115" i="2"/>
  <c r="H2114" i="2"/>
  <c r="J2112" i="2"/>
  <c r="H2111" i="2"/>
  <c r="H2109" i="2"/>
  <c r="I2107" i="2"/>
  <c r="J2105" i="2"/>
  <c r="I2103" i="2"/>
  <c r="H2098" i="2"/>
  <c r="I2095" i="2"/>
  <c r="H2090" i="2"/>
  <c r="I2087" i="2"/>
  <c r="H2082" i="2"/>
  <c r="I2079" i="2"/>
  <c r="H2074" i="2"/>
  <c r="I2071" i="2"/>
  <c r="H2066" i="2"/>
  <c r="I2063" i="2"/>
  <c r="H2058" i="2"/>
  <c r="J2047" i="2"/>
  <c r="J2054" i="2"/>
  <c r="H2054" i="2"/>
  <c r="J2050" i="2"/>
  <c r="H2050" i="2"/>
  <c r="J2046" i="2"/>
  <c r="H2046" i="2"/>
  <c r="I2042" i="2"/>
  <c r="J2042" i="2"/>
  <c r="H2042" i="2"/>
  <c r="I2038" i="2"/>
  <c r="J2038" i="2"/>
  <c r="H2038" i="2"/>
  <c r="J2034" i="2"/>
  <c r="H2034" i="2"/>
  <c r="I2034" i="2"/>
  <c r="J2030" i="2"/>
  <c r="H2030" i="2"/>
  <c r="I2030" i="2"/>
  <c r="J2026" i="2"/>
  <c r="I2026" i="2"/>
  <c r="H2026" i="2"/>
  <c r="J2022" i="2"/>
  <c r="H2022" i="2"/>
  <c r="I2022" i="2"/>
  <c r="J2018" i="2"/>
  <c r="H2018" i="2"/>
  <c r="I2018" i="2"/>
  <c r="J2014" i="2"/>
  <c r="H2014" i="2"/>
  <c r="I2014" i="2"/>
  <c r="J2010" i="2"/>
  <c r="I2010" i="2"/>
  <c r="H2010" i="2"/>
  <c r="J2006" i="2"/>
  <c r="H2006" i="2"/>
  <c r="I2006" i="2"/>
  <c r="J2002" i="2"/>
  <c r="H2002" i="2"/>
  <c r="I2002" i="2"/>
  <c r="J1998" i="2"/>
  <c r="H1998" i="2"/>
  <c r="I1998" i="2"/>
  <c r="I1994" i="2"/>
  <c r="J1994" i="2"/>
  <c r="H1994" i="2"/>
  <c r="I1990" i="2"/>
  <c r="J1990" i="2"/>
  <c r="H1990" i="2"/>
  <c r="I1986" i="2"/>
  <c r="J1986" i="2"/>
  <c r="H1986" i="2"/>
  <c r="I1982" i="2"/>
  <c r="J1982" i="2"/>
  <c r="H1982" i="2"/>
  <c r="I1978" i="2"/>
  <c r="J1978" i="2"/>
  <c r="H1978" i="2"/>
  <c r="I1974" i="2"/>
  <c r="J1974" i="2"/>
  <c r="H1974" i="2"/>
  <c r="I1970" i="2"/>
  <c r="J1970" i="2"/>
  <c r="H1970" i="2"/>
  <c r="I1966" i="2"/>
  <c r="J1966" i="2"/>
  <c r="H1966" i="2"/>
  <c r="I1962" i="2"/>
  <c r="J1962" i="2"/>
  <c r="H1962" i="2"/>
  <c r="I1958" i="2"/>
  <c r="J1958" i="2"/>
  <c r="H1958" i="2"/>
  <c r="I1954" i="2"/>
  <c r="J1954" i="2"/>
  <c r="H1954" i="2"/>
  <c r="I1950" i="2"/>
  <c r="J1950" i="2"/>
  <c r="H1950" i="2"/>
  <c r="I1946" i="2"/>
  <c r="J1946" i="2"/>
  <c r="H1946" i="2"/>
  <c r="I1942" i="2"/>
  <c r="J1942" i="2"/>
  <c r="H1942" i="2"/>
  <c r="I1938" i="2"/>
  <c r="J1938" i="2"/>
  <c r="H1938" i="2"/>
  <c r="I1934" i="2"/>
  <c r="J1934" i="2"/>
  <c r="H1934" i="2"/>
  <c r="I1930" i="2"/>
  <c r="J1930" i="2"/>
  <c r="H1930" i="2"/>
  <c r="I1926" i="2"/>
  <c r="J1926" i="2"/>
  <c r="H1926" i="2"/>
  <c r="I1922" i="2"/>
  <c r="J1922" i="2"/>
  <c r="H1922" i="2"/>
  <c r="I1918" i="2"/>
  <c r="J1918" i="2"/>
  <c r="H1918" i="2"/>
  <c r="I1914" i="2"/>
  <c r="J1914" i="2"/>
  <c r="H1914" i="2"/>
  <c r="I1910" i="2"/>
  <c r="J1910" i="2"/>
  <c r="H1910" i="2"/>
  <c r="I1906" i="2"/>
  <c r="J1906" i="2"/>
  <c r="H1906" i="2"/>
  <c r="I1902" i="2"/>
  <c r="J1902" i="2"/>
  <c r="H1902" i="2"/>
  <c r="I1898" i="2"/>
  <c r="J1898" i="2"/>
  <c r="H1898" i="2"/>
  <c r="I1894" i="2"/>
  <c r="J1894" i="2"/>
  <c r="H1894" i="2"/>
  <c r="I1890" i="2"/>
  <c r="J1890" i="2"/>
  <c r="H1890" i="2"/>
  <c r="I1886" i="2"/>
  <c r="J1886" i="2"/>
  <c r="H1886" i="2"/>
  <c r="I1882" i="2"/>
  <c r="J1882" i="2"/>
  <c r="H1882" i="2"/>
  <c r="I1878" i="2"/>
  <c r="J1878" i="2"/>
  <c r="H1878" i="2"/>
  <c r="I1874" i="2"/>
  <c r="J1874" i="2"/>
  <c r="H1874" i="2"/>
  <c r="I1870" i="2"/>
  <c r="J1870" i="2"/>
  <c r="H1870" i="2"/>
  <c r="I1866" i="2"/>
  <c r="J1866" i="2"/>
  <c r="H1866" i="2"/>
  <c r="I1862" i="2"/>
  <c r="J1862" i="2"/>
  <c r="H1862" i="2"/>
  <c r="I1858" i="2"/>
  <c r="J1858" i="2"/>
  <c r="H1858" i="2"/>
  <c r="I1854" i="2"/>
  <c r="J1854" i="2"/>
  <c r="H1854" i="2"/>
  <c r="I1850" i="2"/>
  <c r="J1850" i="2"/>
  <c r="H1850" i="2"/>
  <c r="I1846" i="2"/>
  <c r="J1846" i="2"/>
  <c r="H1846" i="2"/>
  <c r="I1842" i="2"/>
  <c r="J1842" i="2"/>
  <c r="H1842" i="2"/>
  <c r="I1838" i="2"/>
  <c r="J1838" i="2"/>
  <c r="H1838" i="2"/>
  <c r="I1834" i="2"/>
  <c r="J1834" i="2"/>
  <c r="H1834" i="2"/>
  <c r="I1830" i="2"/>
  <c r="J1830" i="2"/>
  <c r="H1830" i="2"/>
  <c r="I1826" i="2"/>
  <c r="J1826" i="2"/>
  <c r="H1826" i="2"/>
  <c r="I1822" i="2"/>
  <c r="J1822" i="2"/>
  <c r="H1822" i="2"/>
  <c r="I1818" i="2"/>
  <c r="J1818" i="2"/>
  <c r="H1818" i="2"/>
  <c r="I1814" i="2"/>
  <c r="J1814" i="2"/>
  <c r="H1814" i="2"/>
  <c r="I1810" i="2"/>
  <c r="J1810" i="2"/>
  <c r="H1810" i="2"/>
  <c r="I1806" i="2"/>
  <c r="J1806" i="2"/>
  <c r="H1806" i="2"/>
  <c r="I1802" i="2"/>
  <c r="J1802" i="2"/>
  <c r="H1802" i="2"/>
  <c r="I1798" i="2"/>
  <c r="J1798" i="2"/>
  <c r="H1798" i="2"/>
  <c r="I1794" i="2"/>
  <c r="J1794" i="2"/>
  <c r="H1794" i="2"/>
  <c r="I1790" i="2"/>
  <c r="J1790" i="2"/>
  <c r="H1790" i="2"/>
  <c r="I1786" i="2"/>
  <c r="J1786" i="2"/>
  <c r="H1786" i="2"/>
  <c r="I1782" i="2"/>
  <c r="J1782" i="2"/>
  <c r="H1782" i="2"/>
  <c r="I1778" i="2"/>
  <c r="J1778" i="2"/>
  <c r="H1778" i="2"/>
  <c r="I1774" i="2"/>
  <c r="J1774" i="2"/>
  <c r="H1774" i="2"/>
  <c r="I1770" i="2"/>
  <c r="J1770" i="2"/>
  <c r="H1770" i="2"/>
  <c r="I1766" i="2"/>
  <c r="J1766" i="2"/>
  <c r="H1766" i="2"/>
  <c r="I1762" i="2"/>
  <c r="J1762" i="2"/>
  <c r="H1762" i="2"/>
  <c r="I1758" i="2"/>
  <c r="J1758" i="2"/>
  <c r="H1758" i="2"/>
  <c r="I1754" i="2"/>
  <c r="J1754" i="2"/>
  <c r="H1754" i="2"/>
  <c r="I1750" i="2"/>
  <c r="J1750" i="2"/>
  <c r="H1750" i="2"/>
  <c r="I1746" i="2"/>
  <c r="J1746" i="2"/>
  <c r="H1746" i="2"/>
  <c r="I1742" i="2"/>
  <c r="J1742" i="2"/>
  <c r="H1742" i="2"/>
  <c r="I1738" i="2"/>
  <c r="J1738" i="2"/>
  <c r="H1738" i="2"/>
  <c r="I1734" i="2"/>
  <c r="J1734" i="2"/>
  <c r="H1734" i="2"/>
  <c r="I1730" i="2"/>
  <c r="J1730" i="2"/>
  <c r="H1730" i="2"/>
  <c r="I1726" i="2"/>
  <c r="J1726" i="2"/>
  <c r="H1726" i="2"/>
  <c r="I1722" i="2"/>
  <c r="J1722" i="2"/>
  <c r="H1722" i="2"/>
  <c r="I1718" i="2"/>
  <c r="J1718" i="2"/>
  <c r="H1718" i="2"/>
  <c r="I1714" i="2"/>
  <c r="J1714" i="2"/>
  <c r="H1714" i="2"/>
  <c r="I1710" i="2"/>
  <c r="J1710" i="2"/>
  <c r="H1710" i="2"/>
  <c r="I1706" i="2"/>
  <c r="J1706" i="2"/>
  <c r="H1706" i="2"/>
  <c r="I1702" i="2"/>
  <c r="J1702" i="2"/>
  <c r="H1702" i="2"/>
  <c r="I1698" i="2"/>
  <c r="J1698" i="2"/>
  <c r="H1698" i="2"/>
  <c r="I1694" i="2"/>
  <c r="J1694" i="2"/>
  <c r="H1694" i="2"/>
  <c r="I1690" i="2"/>
  <c r="J1690" i="2"/>
  <c r="H1690" i="2"/>
  <c r="I1686" i="2"/>
  <c r="J1686" i="2"/>
  <c r="H1686" i="2"/>
  <c r="I1682" i="2"/>
  <c r="J1682" i="2"/>
  <c r="H1682" i="2"/>
  <c r="I1678" i="2"/>
  <c r="J1678" i="2"/>
  <c r="H1678" i="2"/>
  <c r="I1674" i="2"/>
  <c r="J1674" i="2"/>
  <c r="H1674" i="2"/>
  <c r="I1670" i="2"/>
  <c r="J1670" i="2"/>
  <c r="H1670" i="2"/>
  <c r="I1666" i="2"/>
  <c r="J1666" i="2"/>
  <c r="H1666" i="2"/>
  <c r="I1662" i="2"/>
  <c r="J1662" i="2"/>
  <c r="H1662" i="2"/>
  <c r="I1658" i="2"/>
  <c r="J1658" i="2"/>
  <c r="H1658" i="2"/>
  <c r="I1654" i="2"/>
  <c r="J1654" i="2"/>
  <c r="H1654" i="2"/>
  <c r="H1650" i="2"/>
  <c r="I1650" i="2"/>
  <c r="J1650" i="2"/>
  <c r="H1646" i="2"/>
  <c r="I1646" i="2"/>
  <c r="J1646" i="2"/>
  <c r="H1642" i="2"/>
  <c r="I1642" i="2"/>
  <c r="J1642" i="2"/>
  <c r="H1638" i="2"/>
  <c r="I1638" i="2"/>
  <c r="J1638" i="2"/>
  <c r="H1634" i="2"/>
  <c r="I1634" i="2"/>
  <c r="J1634" i="2"/>
  <c r="H1630" i="2"/>
  <c r="I1630" i="2"/>
  <c r="J1630" i="2"/>
  <c r="H1626" i="2"/>
  <c r="I1626" i="2"/>
  <c r="J1626" i="2"/>
  <c r="H1622" i="2"/>
  <c r="I1622" i="2"/>
  <c r="J1622" i="2"/>
  <c r="H1618" i="2"/>
  <c r="I1618" i="2"/>
  <c r="J1618" i="2"/>
  <c r="H1614" i="2"/>
  <c r="I1614" i="2"/>
  <c r="J1614" i="2"/>
  <c r="H1610" i="2"/>
  <c r="I1610" i="2"/>
  <c r="J1610" i="2"/>
  <c r="H1606" i="2"/>
  <c r="I1606" i="2"/>
  <c r="J1606" i="2"/>
  <c r="H1602" i="2"/>
  <c r="I1602" i="2"/>
  <c r="J1602" i="2"/>
  <c r="H1598" i="2"/>
  <c r="I1598" i="2"/>
  <c r="J1598" i="2"/>
  <c r="H1594" i="2"/>
  <c r="I1594" i="2"/>
  <c r="J1594" i="2"/>
  <c r="H1590" i="2"/>
  <c r="I1590" i="2"/>
  <c r="J1590" i="2"/>
  <c r="H1586" i="2"/>
  <c r="I1586" i="2"/>
  <c r="J1586" i="2"/>
  <c r="H1582" i="2"/>
  <c r="I1582" i="2"/>
  <c r="J1582" i="2"/>
  <c r="H1578" i="2"/>
  <c r="I1578" i="2"/>
  <c r="J1578" i="2"/>
  <c r="H1574" i="2"/>
  <c r="I1574" i="2"/>
  <c r="J1574" i="2"/>
  <c r="H1570" i="2"/>
  <c r="I1570" i="2"/>
  <c r="J1570" i="2"/>
  <c r="H1566" i="2"/>
  <c r="I1566" i="2"/>
  <c r="J1566" i="2"/>
  <c r="H1562" i="2"/>
  <c r="I1562" i="2"/>
  <c r="J1562" i="2"/>
  <c r="H1558" i="2"/>
  <c r="I1558" i="2"/>
  <c r="J1558" i="2"/>
  <c r="H1554" i="2"/>
  <c r="I1554" i="2"/>
  <c r="J1554" i="2"/>
  <c r="H1550" i="2"/>
  <c r="I1550" i="2"/>
  <c r="J1550" i="2"/>
  <c r="H1546" i="2"/>
  <c r="I1546" i="2"/>
  <c r="J1546" i="2"/>
  <c r="H1542" i="2"/>
  <c r="I1542" i="2"/>
  <c r="J1542" i="2"/>
  <c r="H1538" i="2"/>
  <c r="I1538" i="2"/>
  <c r="J1538" i="2"/>
  <c r="H1534" i="2"/>
  <c r="I1534" i="2"/>
  <c r="J1534" i="2"/>
  <c r="H1530" i="2"/>
  <c r="I1530" i="2"/>
  <c r="J1530" i="2"/>
  <c r="H1526" i="2"/>
  <c r="I1526" i="2"/>
  <c r="J1526" i="2"/>
  <c r="H1522" i="2"/>
  <c r="I1522" i="2"/>
  <c r="J1522" i="2"/>
  <c r="H1518" i="2"/>
  <c r="I1518" i="2"/>
  <c r="J1518" i="2"/>
  <c r="H1514" i="2"/>
  <c r="I1514" i="2"/>
  <c r="J1514" i="2"/>
  <c r="H1510" i="2"/>
  <c r="I1510" i="2"/>
  <c r="J1510" i="2"/>
  <c r="H1506" i="2"/>
  <c r="I1506" i="2"/>
  <c r="J1506" i="2"/>
  <c r="H1502" i="2"/>
  <c r="I1502" i="2"/>
  <c r="J1502" i="2"/>
  <c r="H1498" i="2"/>
  <c r="I1498" i="2"/>
  <c r="J1498" i="2"/>
  <c r="H1494" i="2"/>
  <c r="I1494" i="2"/>
  <c r="J1494" i="2"/>
  <c r="H1490" i="2"/>
  <c r="I1490" i="2"/>
  <c r="J1490" i="2"/>
  <c r="H1486" i="2"/>
  <c r="I1486" i="2"/>
  <c r="J1486" i="2"/>
  <c r="H1482" i="2"/>
  <c r="I1482" i="2"/>
  <c r="J1482" i="2"/>
  <c r="H1478" i="2"/>
  <c r="I1478" i="2"/>
  <c r="J1478" i="2"/>
  <c r="H1474" i="2"/>
  <c r="I1474" i="2"/>
  <c r="J1474" i="2"/>
  <c r="H1470" i="2"/>
  <c r="I1470" i="2"/>
  <c r="J1470" i="2"/>
  <c r="H1466" i="2"/>
  <c r="I1466" i="2"/>
  <c r="J1466" i="2"/>
  <c r="H1462" i="2"/>
  <c r="I1462" i="2"/>
  <c r="J1462" i="2"/>
  <c r="H1458" i="2"/>
  <c r="I1458" i="2"/>
  <c r="J1458" i="2"/>
  <c r="H1454" i="2"/>
  <c r="I1454" i="2"/>
  <c r="J1454" i="2"/>
  <c r="H1450" i="2"/>
  <c r="I1450" i="2"/>
  <c r="J1450" i="2"/>
  <c r="H1446" i="2"/>
  <c r="I1446" i="2"/>
  <c r="J1446" i="2"/>
  <c r="H1442" i="2"/>
  <c r="I1442" i="2"/>
  <c r="J1442" i="2"/>
  <c r="H1438" i="2"/>
  <c r="I1438" i="2"/>
  <c r="J1438" i="2"/>
  <c r="H1434" i="2"/>
  <c r="I1434" i="2"/>
  <c r="J1434" i="2"/>
  <c r="H1430" i="2"/>
  <c r="I1430" i="2"/>
  <c r="J1430" i="2"/>
  <c r="H1426" i="2"/>
  <c r="I1426" i="2"/>
  <c r="J1426" i="2"/>
  <c r="H1422" i="2"/>
  <c r="I1422" i="2"/>
  <c r="J1422" i="2"/>
  <c r="H1418" i="2"/>
  <c r="I1418" i="2"/>
  <c r="J1418" i="2"/>
  <c r="H1414" i="2"/>
  <c r="I1414" i="2"/>
  <c r="J1414" i="2"/>
  <c r="H1410" i="2"/>
  <c r="I1410" i="2"/>
  <c r="J1410" i="2"/>
  <c r="H1406" i="2"/>
  <c r="I1406" i="2"/>
  <c r="J1406" i="2"/>
  <c r="H1402" i="2"/>
  <c r="I1402" i="2"/>
  <c r="J1402" i="2"/>
  <c r="H1398" i="2"/>
  <c r="I1398" i="2"/>
  <c r="J1398" i="2"/>
  <c r="H1394" i="2"/>
  <c r="I1394" i="2"/>
  <c r="J1394" i="2"/>
  <c r="I1390" i="2"/>
  <c r="H1390" i="2"/>
  <c r="J1390" i="2"/>
  <c r="I1386" i="2"/>
  <c r="H1386" i="2"/>
  <c r="J1386" i="2"/>
  <c r="I1382" i="2"/>
  <c r="H1382" i="2"/>
  <c r="J1382" i="2"/>
  <c r="I1378" i="2"/>
  <c r="J1378" i="2"/>
  <c r="H1378" i="2"/>
  <c r="I1374" i="2"/>
  <c r="H1374" i="2"/>
  <c r="J1374" i="2"/>
  <c r="I1370" i="2"/>
  <c r="H1370" i="2"/>
  <c r="J1370" i="2"/>
  <c r="I1366" i="2"/>
  <c r="H1366" i="2"/>
  <c r="J1366" i="2"/>
  <c r="I1362" i="2"/>
  <c r="J1362" i="2"/>
  <c r="H1362" i="2"/>
  <c r="I1358" i="2"/>
  <c r="H1358" i="2"/>
  <c r="J1358" i="2"/>
  <c r="I1354" i="2"/>
  <c r="H1354" i="2"/>
  <c r="J1354" i="2"/>
  <c r="I1350" i="2"/>
  <c r="H1350" i="2"/>
  <c r="J1350" i="2"/>
  <c r="I1346" i="2"/>
  <c r="J1346" i="2"/>
  <c r="H1346" i="2"/>
  <c r="H1342" i="2"/>
  <c r="I1342" i="2"/>
  <c r="J1342" i="2"/>
  <c r="H1338" i="2"/>
  <c r="I1338" i="2"/>
  <c r="J1338" i="2"/>
  <c r="H1334" i="2"/>
  <c r="I1334" i="2"/>
  <c r="J1334" i="2"/>
  <c r="H1330" i="2"/>
  <c r="I1330" i="2"/>
  <c r="J1330" i="2"/>
  <c r="H1326" i="2"/>
  <c r="I1326" i="2"/>
  <c r="J1326" i="2"/>
  <c r="H1322" i="2"/>
  <c r="I1322" i="2"/>
  <c r="J1322" i="2"/>
  <c r="H1318" i="2"/>
  <c r="I1318" i="2"/>
  <c r="J1318" i="2"/>
  <c r="H1314" i="2"/>
  <c r="I1314" i="2"/>
  <c r="J1314" i="2"/>
  <c r="H1310" i="2"/>
  <c r="I1310" i="2"/>
  <c r="J1310" i="2"/>
  <c r="H1306" i="2"/>
  <c r="I1306" i="2"/>
  <c r="J1306" i="2"/>
  <c r="H1302" i="2"/>
  <c r="I1302" i="2"/>
  <c r="J1302" i="2"/>
  <c r="H1298" i="2"/>
  <c r="I1298" i="2"/>
  <c r="J1298" i="2"/>
  <c r="H1294" i="2"/>
  <c r="I1294" i="2"/>
  <c r="J1294" i="2"/>
  <c r="H1290" i="2"/>
  <c r="I1290" i="2"/>
  <c r="J1290" i="2"/>
  <c r="H1286" i="2"/>
  <c r="I1286" i="2"/>
  <c r="J1286" i="2"/>
  <c r="H1282" i="2"/>
  <c r="I1282" i="2"/>
  <c r="J1282" i="2"/>
  <c r="H1278" i="2"/>
  <c r="I1278" i="2"/>
  <c r="J1278" i="2"/>
  <c r="H1274" i="2"/>
  <c r="I1274" i="2"/>
  <c r="J1274" i="2"/>
  <c r="H1270" i="2"/>
  <c r="I1270" i="2"/>
  <c r="J1270" i="2"/>
  <c r="H1266" i="2"/>
  <c r="I1266" i="2"/>
  <c r="J1266" i="2"/>
  <c r="H1262" i="2"/>
  <c r="I1262" i="2"/>
  <c r="J1262" i="2"/>
  <c r="H1258" i="2"/>
  <c r="I1258" i="2"/>
  <c r="J1258" i="2"/>
  <c r="H1254" i="2"/>
  <c r="I1254" i="2"/>
  <c r="J1254" i="2"/>
  <c r="H1250" i="2"/>
  <c r="I1250" i="2"/>
  <c r="J1250" i="2"/>
  <c r="H1246" i="2"/>
  <c r="I1246" i="2"/>
  <c r="J1246" i="2"/>
  <c r="H1242" i="2"/>
  <c r="I1242" i="2"/>
  <c r="J1242" i="2"/>
  <c r="H1238" i="2"/>
  <c r="I1238" i="2"/>
  <c r="J1238" i="2"/>
  <c r="H1234" i="2"/>
  <c r="I1234" i="2"/>
  <c r="J1234" i="2"/>
  <c r="H1230" i="2"/>
  <c r="I1230" i="2"/>
  <c r="J1230" i="2"/>
  <c r="H1226" i="2"/>
  <c r="I1226" i="2"/>
  <c r="J1226" i="2"/>
  <c r="H1222" i="2"/>
  <c r="I1222" i="2"/>
  <c r="J1222" i="2"/>
  <c r="H1218" i="2"/>
  <c r="I1218" i="2"/>
  <c r="J1218" i="2"/>
  <c r="H1214" i="2"/>
  <c r="I1214" i="2"/>
  <c r="J1214" i="2"/>
  <c r="H1210" i="2"/>
  <c r="I1210" i="2"/>
  <c r="J1210" i="2"/>
  <c r="H1206" i="2"/>
  <c r="I1206" i="2"/>
  <c r="J1206" i="2"/>
  <c r="H1202" i="2"/>
  <c r="I1202" i="2"/>
  <c r="J1202" i="2"/>
  <c r="H1198" i="2"/>
  <c r="I1198" i="2"/>
  <c r="J1198" i="2"/>
  <c r="H1194" i="2"/>
  <c r="I1194" i="2"/>
  <c r="J1194" i="2"/>
  <c r="H1190" i="2"/>
  <c r="I1190" i="2"/>
  <c r="J1190" i="2"/>
  <c r="H1186" i="2"/>
  <c r="I1186" i="2"/>
  <c r="J1186" i="2"/>
  <c r="H1182" i="2"/>
  <c r="I1182" i="2"/>
  <c r="J1182" i="2"/>
  <c r="H1178" i="2"/>
  <c r="I1178" i="2"/>
  <c r="J1178" i="2"/>
  <c r="J1174" i="2"/>
  <c r="H1174" i="2"/>
  <c r="I1174" i="2"/>
  <c r="J1170" i="2"/>
  <c r="H1170" i="2"/>
  <c r="I1170" i="2"/>
  <c r="J1166" i="2"/>
  <c r="H1166" i="2"/>
  <c r="I1166" i="2"/>
  <c r="J1162" i="2"/>
  <c r="H1162" i="2"/>
  <c r="I1162" i="2"/>
  <c r="J1158" i="2"/>
  <c r="H1158" i="2"/>
  <c r="I1158" i="2"/>
  <c r="J1154" i="2"/>
  <c r="H1154" i="2"/>
  <c r="I1154" i="2"/>
  <c r="J1150" i="2"/>
  <c r="H1150" i="2"/>
  <c r="I1150" i="2"/>
  <c r="J1146" i="2"/>
  <c r="H1146" i="2"/>
  <c r="I1146" i="2"/>
  <c r="J1142" i="2"/>
  <c r="H1142" i="2"/>
  <c r="I1142" i="2"/>
  <c r="J1138" i="2"/>
  <c r="H1138" i="2"/>
  <c r="I1138" i="2"/>
  <c r="J1134" i="2"/>
  <c r="H1134" i="2"/>
  <c r="I1134" i="2"/>
  <c r="J1130" i="2"/>
  <c r="H1130" i="2"/>
  <c r="I1130" i="2"/>
  <c r="J1126" i="2"/>
  <c r="H1126" i="2"/>
  <c r="I1126" i="2"/>
  <c r="J1122" i="2"/>
  <c r="H1122" i="2"/>
  <c r="I1122" i="2"/>
  <c r="J1118" i="2"/>
  <c r="H1118" i="2"/>
  <c r="I1118" i="2"/>
  <c r="J1114" i="2"/>
  <c r="H1114" i="2"/>
  <c r="I1114" i="2"/>
  <c r="J1110" i="2"/>
  <c r="H1110" i="2"/>
  <c r="I1110" i="2"/>
  <c r="J1106" i="2"/>
  <c r="H1106" i="2"/>
  <c r="I1106" i="2"/>
  <c r="J1102" i="2"/>
  <c r="H1102" i="2"/>
  <c r="I1102" i="2"/>
  <c r="J1098" i="2"/>
  <c r="H1098" i="2"/>
  <c r="I1098" i="2"/>
  <c r="J1094" i="2"/>
  <c r="H1094" i="2"/>
  <c r="I1094" i="2"/>
  <c r="J1090" i="2"/>
  <c r="H1090" i="2"/>
  <c r="I1090" i="2"/>
  <c r="J1086" i="2"/>
  <c r="H1086" i="2"/>
  <c r="I1086" i="2"/>
  <c r="J1082" i="2"/>
  <c r="H1082" i="2"/>
  <c r="I1082" i="2"/>
  <c r="J1078" i="2"/>
  <c r="H1078" i="2"/>
  <c r="I1078" i="2"/>
  <c r="J1074" i="2"/>
  <c r="H1074" i="2"/>
  <c r="I1074" i="2"/>
  <c r="J1070" i="2"/>
  <c r="H1070" i="2"/>
  <c r="I1070" i="2"/>
  <c r="J1066" i="2"/>
  <c r="H1066" i="2"/>
  <c r="I1066" i="2"/>
  <c r="J1062" i="2"/>
  <c r="H1062" i="2"/>
  <c r="I1062" i="2"/>
  <c r="J1058" i="2"/>
  <c r="H1058" i="2"/>
  <c r="I1058" i="2"/>
  <c r="J1054" i="2"/>
  <c r="H1054" i="2"/>
  <c r="I1054" i="2"/>
  <c r="J1050" i="2"/>
  <c r="H1050" i="2"/>
  <c r="I1050" i="2"/>
  <c r="J1046" i="2"/>
  <c r="H1046" i="2"/>
  <c r="I1046" i="2"/>
  <c r="J1042" i="2"/>
  <c r="H1042" i="2"/>
  <c r="I1042" i="2"/>
  <c r="J1038" i="2"/>
  <c r="H1038" i="2"/>
  <c r="I1038" i="2"/>
  <c r="J1034" i="2"/>
  <c r="H1034" i="2"/>
  <c r="I1034" i="2"/>
  <c r="J1030" i="2"/>
  <c r="H1030" i="2"/>
  <c r="I1030" i="2"/>
  <c r="J1026" i="2"/>
  <c r="H1026" i="2"/>
  <c r="I1026" i="2"/>
  <c r="J1022" i="2"/>
  <c r="H1022" i="2"/>
  <c r="I1022" i="2"/>
  <c r="J1018" i="2"/>
  <c r="H1018" i="2"/>
  <c r="I1018" i="2"/>
  <c r="J1014" i="2"/>
  <c r="H1014" i="2"/>
  <c r="I1014" i="2"/>
  <c r="J1010" i="2"/>
  <c r="H1010" i="2"/>
  <c r="I1010" i="2"/>
  <c r="J1006" i="2"/>
  <c r="H1006" i="2"/>
  <c r="I1006" i="2"/>
  <c r="J1002" i="2"/>
  <c r="H1002" i="2"/>
  <c r="I1002" i="2"/>
  <c r="J998" i="2"/>
  <c r="H998" i="2"/>
  <c r="I998" i="2"/>
  <c r="J994" i="2"/>
  <c r="H994" i="2"/>
  <c r="I994" i="2"/>
  <c r="J990" i="2"/>
  <c r="H990" i="2"/>
  <c r="I990" i="2"/>
  <c r="J986" i="2"/>
  <c r="H986" i="2"/>
  <c r="I986" i="2"/>
  <c r="J982" i="2"/>
  <c r="H982" i="2"/>
  <c r="I982" i="2"/>
  <c r="J978" i="2"/>
  <c r="H978" i="2"/>
  <c r="I978" i="2"/>
  <c r="I974" i="2"/>
  <c r="J974" i="2"/>
  <c r="H974" i="2"/>
  <c r="I970" i="2"/>
  <c r="J970" i="2"/>
  <c r="H970" i="2"/>
  <c r="I966" i="2"/>
  <c r="J966" i="2"/>
  <c r="H966" i="2"/>
  <c r="I962" i="2"/>
  <c r="J962" i="2"/>
  <c r="H962" i="2"/>
  <c r="I958" i="2"/>
  <c r="J958" i="2"/>
  <c r="H958" i="2"/>
  <c r="I954" i="2"/>
  <c r="J954" i="2"/>
  <c r="H954" i="2"/>
  <c r="I950" i="2"/>
  <c r="J950" i="2"/>
  <c r="H950" i="2"/>
  <c r="I946" i="2"/>
  <c r="J946" i="2"/>
  <c r="H946" i="2"/>
  <c r="I942" i="2"/>
  <c r="J942" i="2"/>
  <c r="H942" i="2"/>
  <c r="I938" i="2"/>
  <c r="J938" i="2"/>
  <c r="H938" i="2"/>
  <c r="I934" i="2"/>
  <c r="J934" i="2"/>
  <c r="H934" i="2"/>
  <c r="I930" i="2"/>
  <c r="J930" i="2"/>
  <c r="H930" i="2"/>
  <c r="I926" i="2"/>
  <c r="J926" i="2"/>
  <c r="H926" i="2"/>
  <c r="I922" i="2"/>
  <c r="J922" i="2"/>
  <c r="H922" i="2"/>
  <c r="I918" i="2"/>
  <c r="J918" i="2"/>
  <c r="H918" i="2"/>
  <c r="I914" i="2"/>
  <c r="J914" i="2"/>
  <c r="H914" i="2"/>
  <c r="I910" i="2"/>
  <c r="J910" i="2"/>
  <c r="H910" i="2"/>
  <c r="I906" i="2"/>
  <c r="J906" i="2"/>
  <c r="H906" i="2"/>
  <c r="I902" i="2"/>
  <c r="J902" i="2"/>
  <c r="H902" i="2"/>
  <c r="I898" i="2"/>
  <c r="J898" i="2"/>
  <c r="H898" i="2"/>
  <c r="I894" i="2"/>
  <c r="J894" i="2"/>
  <c r="H894" i="2"/>
  <c r="I890" i="2"/>
  <c r="J890" i="2"/>
  <c r="H890" i="2"/>
  <c r="I886" i="2"/>
  <c r="J886" i="2"/>
  <c r="H886" i="2"/>
  <c r="I882" i="2"/>
  <c r="J882" i="2"/>
  <c r="H882" i="2"/>
  <c r="I878" i="2"/>
  <c r="J878" i="2"/>
  <c r="H878" i="2"/>
  <c r="I874" i="2"/>
  <c r="J874" i="2"/>
  <c r="H874" i="2"/>
  <c r="I870" i="2"/>
  <c r="J870" i="2"/>
  <c r="H870" i="2"/>
  <c r="I866" i="2"/>
  <c r="J866" i="2"/>
  <c r="H866" i="2"/>
  <c r="J842" i="2"/>
  <c r="I842" i="2"/>
  <c r="I838" i="2"/>
  <c r="H838" i="2"/>
  <c r="I2248" i="2"/>
  <c r="H2247" i="2"/>
  <c r="J2245" i="2"/>
  <c r="I2244" i="2"/>
  <c r="H2243" i="2"/>
  <c r="J2241" i="2"/>
  <c r="I2240" i="2"/>
  <c r="H2239" i="2"/>
  <c r="J2237" i="2"/>
  <c r="I2236" i="2"/>
  <c r="H2235" i="2"/>
  <c r="J2233" i="2"/>
  <c r="I2232" i="2"/>
  <c r="H2231" i="2"/>
  <c r="J2229" i="2"/>
  <c r="I2228" i="2"/>
  <c r="H2227" i="2"/>
  <c r="J2225" i="2"/>
  <c r="I2224" i="2"/>
  <c r="H2223" i="2"/>
  <c r="J2221" i="2"/>
  <c r="I2220" i="2"/>
  <c r="H2219" i="2"/>
  <c r="J2217" i="2"/>
  <c r="I2216" i="2"/>
  <c r="H2215" i="2"/>
  <c r="J2213" i="2"/>
  <c r="I2212" i="2"/>
  <c r="H2211" i="2"/>
  <c r="J2209" i="2"/>
  <c r="I2208" i="2"/>
  <c r="H2207" i="2"/>
  <c r="J2205" i="2"/>
  <c r="I2204" i="2"/>
  <c r="H2203" i="2"/>
  <c r="J2201" i="2"/>
  <c r="I2200" i="2"/>
  <c r="H2199" i="2"/>
  <c r="J2197" i="2"/>
  <c r="I2196" i="2"/>
  <c r="H2195" i="2"/>
  <c r="J2193" i="2"/>
  <c r="I2192" i="2"/>
  <c r="H2191" i="2"/>
  <c r="J2189" i="2"/>
  <c r="I2188" i="2"/>
  <c r="H2187" i="2"/>
  <c r="J2185" i="2"/>
  <c r="I2184" i="2"/>
  <c r="H2183" i="2"/>
  <c r="J2181" i="2"/>
  <c r="I2180" i="2"/>
  <c r="H2179" i="2"/>
  <c r="J2177" i="2"/>
  <c r="I2176" i="2"/>
  <c r="H2175" i="2"/>
  <c r="J2173" i="2"/>
  <c r="I2172" i="2"/>
  <c r="H2171" i="2"/>
  <c r="J2169" i="2"/>
  <c r="I2168" i="2"/>
  <c r="H2167" i="2"/>
  <c r="J2165" i="2"/>
  <c r="I2164" i="2"/>
  <c r="H2163" i="2"/>
  <c r="J2161" i="2"/>
  <c r="I2160" i="2"/>
  <c r="H2159" i="2"/>
  <c r="J2157" i="2"/>
  <c r="I2156" i="2"/>
  <c r="H2155" i="2"/>
  <c r="J2153" i="2"/>
  <c r="I2152" i="2"/>
  <c r="H2151" i="2"/>
  <c r="J2149" i="2"/>
  <c r="I2148" i="2"/>
  <c r="H2147" i="2"/>
  <c r="J2145" i="2"/>
  <c r="I2144" i="2"/>
  <c r="H2143" i="2"/>
  <c r="J2141" i="2"/>
  <c r="I2140" i="2"/>
  <c r="H2139" i="2"/>
  <c r="J2137" i="2"/>
  <c r="I2136" i="2"/>
  <c r="H2135" i="2"/>
  <c r="J2133" i="2"/>
  <c r="I2132" i="2"/>
  <c r="H2131" i="2"/>
  <c r="J2129" i="2"/>
  <c r="I2128" i="2"/>
  <c r="H2127" i="2"/>
  <c r="J2125" i="2"/>
  <c r="I2124" i="2"/>
  <c r="H2123" i="2"/>
  <c r="J2121" i="2"/>
  <c r="I2120" i="2"/>
  <c r="H2119" i="2"/>
  <c r="J2117" i="2"/>
  <c r="I2116" i="2"/>
  <c r="H2115" i="2"/>
  <c r="J2113" i="2"/>
  <c r="I2112" i="2"/>
  <c r="I2110" i="2"/>
  <c r="J2108" i="2"/>
  <c r="H2107" i="2"/>
  <c r="H2105" i="2"/>
  <c r="I2102" i="2"/>
  <c r="J2099" i="2"/>
  <c r="I2094" i="2"/>
  <c r="J2091" i="2"/>
  <c r="I2086" i="2"/>
  <c r="J2083" i="2"/>
  <c r="I2078" i="2"/>
  <c r="J2075" i="2"/>
  <c r="I2070" i="2"/>
  <c r="J2067" i="2"/>
  <c r="I2062" i="2"/>
  <c r="J2059" i="2"/>
  <c r="J2051" i="2"/>
  <c r="I2046" i="2"/>
  <c r="I2101" i="2"/>
  <c r="J2101" i="2"/>
  <c r="I2097" i="2"/>
  <c r="J2097" i="2"/>
  <c r="I2093" i="2"/>
  <c r="J2093" i="2"/>
  <c r="I2089" i="2"/>
  <c r="J2089" i="2"/>
  <c r="I2085" i="2"/>
  <c r="J2085" i="2"/>
  <c r="I2081" i="2"/>
  <c r="J2081" i="2"/>
  <c r="I2077" i="2"/>
  <c r="J2077" i="2"/>
  <c r="I2073" i="2"/>
  <c r="J2073" i="2"/>
  <c r="I2069" i="2"/>
  <c r="J2069" i="2"/>
  <c r="I2065" i="2"/>
  <c r="J2065" i="2"/>
  <c r="I2061" i="2"/>
  <c r="J2061" i="2"/>
  <c r="I2057" i="2"/>
  <c r="J2057" i="2"/>
  <c r="I2053" i="2"/>
  <c r="J2053" i="2"/>
  <c r="I2049" i="2"/>
  <c r="J2049" i="2"/>
  <c r="I2045" i="2"/>
  <c r="J2045" i="2"/>
  <c r="H2041" i="2"/>
  <c r="I2041" i="2"/>
  <c r="J2041" i="2"/>
  <c r="H2037" i="2"/>
  <c r="I2037" i="2"/>
  <c r="J2037" i="2"/>
  <c r="I2033" i="2"/>
  <c r="J2033" i="2"/>
  <c r="H2033" i="2"/>
  <c r="I2029" i="2"/>
  <c r="H2029" i="2"/>
  <c r="J2029" i="2"/>
  <c r="I2025" i="2"/>
  <c r="H2025" i="2"/>
  <c r="J2025" i="2"/>
  <c r="I2021" i="2"/>
  <c r="H2021" i="2"/>
  <c r="J2021" i="2"/>
  <c r="I2017" i="2"/>
  <c r="J2017" i="2"/>
  <c r="H2017" i="2"/>
  <c r="I2013" i="2"/>
  <c r="H2013" i="2"/>
  <c r="J2013" i="2"/>
  <c r="I2009" i="2"/>
  <c r="H2009" i="2"/>
  <c r="J2009" i="2"/>
  <c r="I2005" i="2"/>
  <c r="H2005" i="2"/>
  <c r="J2005" i="2"/>
  <c r="I2001" i="2"/>
  <c r="J2001" i="2"/>
  <c r="H2001" i="2"/>
  <c r="I1997" i="2"/>
  <c r="H1997" i="2"/>
  <c r="J1997" i="2"/>
  <c r="H1993" i="2"/>
  <c r="I1993" i="2"/>
  <c r="J1993" i="2"/>
  <c r="H1989" i="2"/>
  <c r="I1989" i="2"/>
  <c r="J1989" i="2"/>
  <c r="H1985" i="2"/>
  <c r="I1985" i="2"/>
  <c r="J1985" i="2"/>
  <c r="H1981" i="2"/>
  <c r="I1981" i="2"/>
  <c r="J1981" i="2"/>
  <c r="H1977" i="2"/>
  <c r="I1977" i="2"/>
  <c r="J1977" i="2"/>
  <c r="H1973" i="2"/>
  <c r="I1973" i="2"/>
  <c r="J1973" i="2"/>
  <c r="H1969" i="2"/>
  <c r="I1969" i="2"/>
  <c r="J1969" i="2"/>
  <c r="H1965" i="2"/>
  <c r="I1965" i="2"/>
  <c r="J1965" i="2"/>
  <c r="H1961" i="2"/>
  <c r="I1961" i="2"/>
  <c r="J1961" i="2"/>
  <c r="H1957" i="2"/>
  <c r="I1957" i="2"/>
  <c r="J1957" i="2"/>
  <c r="H1953" i="2"/>
  <c r="I1953" i="2"/>
  <c r="J1953" i="2"/>
  <c r="H1949" i="2"/>
  <c r="I1949" i="2"/>
  <c r="J1949" i="2"/>
  <c r="H1945" i="2"/>
  <c r="I1945" i="2"/>
  <c r="J1945" i="2"/>
  <c r="H1941" i="2"/>
  <c r="I1941" i="2"/>
  <c r="J1941" i="2"/>
  <c r="H1937" i="2"/>
  <c r="I1937" i="2"/>
  <c r="J1937" i="2"/>
  <c r="H1933" i="2"/>
  <c r="I1933" i="2"/>
  <c r="J1933" i="2"/>
  <c r="H1929" i="2"/>
  <c r="I1929" i="2"/>
  <c r="J1929" i="2"/>
  <c r="H1925" i="2"/>
  <c r="I1925" i="2"/>
  <c r="J1925" i="2"/>
  <c r="H1921" i="2"/>
  <c r="I1921" i="2"/>
  <c r="J1921" i="2"/>
  <c r="H1917" i="2"/>
  <c r="I1917" i="2"/>
  <c r="J1917" i="2"/>
  <c r="H1913" i="2"/>
  <c r="I1913" i="2"/>
  <c r="J1913" i="2"/>
  <c r="H1909" i="2"/>
  <c r="I1909" i="2"/>
  <c r="J1909" i="2"/>
  <c r="H1905" i="2"/>
  <c r="I1905" i="2"/>
  <c r="J1905" i="2"/>
  <c r="H1901" i="2"/>
  <c r="I1901" i="2"/>
  <c r="J1901" i="2"/>
  <c r="H1897" i="2"/>
  <c r="I1897" i="2"/>
  <c r="J1897" i="2"/>
  <c r="H1893" i="2"/>
  <c r="I1893" i="2"/>
  <c r="J1893" i="2"/>
  <c r="H1889" i="2"/>
  <c r="I1889" i="2"/>
  <c r="J1889" i="2"/>
  <c r="H1885" i="2"/>
  <c r="I1885" i="2"/>
  <c r="J1885" i="2"/>
  <c r="H1881" i="2"/>
  <c r="I1881" i="2"/>
  <c r="J1881" i="2"/>
  <c r="H1877" i="2"/>
  <c r="I1877" i="2"/>
  <c r="J1877" i="2"/>
  <c r="H1873" i="2"/>
  <c r="I1873" i="2"/>
  <c r="J1873" i="2"/>
  <c r="H1869" i="2"/>
  <c r="I1869" i="2"/>
  <c r="J1869" i="2"/>
  <c r="H1865" i="2"/>
  <c r="I1865" i="2"/>
  <c r="J1865" i="2"/>
  <c r="H1861" i="2"/>
  <c r="I1861" i="2"/>
  <c r="J1861" i="2"/>
  <c r="H1857" i="2"/>
  <c r="I1857" i="2"/>
  <c r="J1857" i="2"/>
  <c r="H1853" i="2"/>
  <c r="I1853" i="2"/>
  <c r="J1853" i="2"/>
  <c r="H1849" i="2"/>
  <c r="I1849" i="2"/>
  <c r="J1849" i="2"/>
  <c r="H1845" i="2"/>
  <c r="I1845" i="2"/>
  <c r="J1845" i="2"/>
  <c r="H1841" i="2"/>
  <c r="I1841" i="2"/>
  <c r="J1841" i="2"/>
  <c r="H1837" i="2"/>
  <c r="I1837" i="2"/>
  <c r="J1837" i="2"/>
  <c r="H1833" i="2"/>
  <c r="I1833" i="2"/>
  <c r="J1833" i="2"/>
  <c r="H1829" i="2"/>
  <c r="I1829" i="2"/>
  <c r="J1829" i="2"/>
  <c r="H1825" i="2"/>
  <c r="I1825" i="2"/>
  <c r="J1825" i="2"/>
  <c r="H1821" i="2"/>
  <c r="I1821" i="2"/>
  <c r="J1821" i="2"/>
  <c r="H1817" i="2"/>
  <c r="I1817" i="2"/>
  <c r="J1817" i="2"/>
  <c r="H1813" i="2"/>
  <c r="I1813" i="2"/>
  <c r="J1813" i="2"/>
  <c r="H1809" i="2"/>
  <c r="I1809" i="2"/>
  <c r="J1809" i="2"/>
  <c r="H1805" i="2"/>
  <c r="I1805" i="2"/>
  <c r="J1805" i="2"/>
  <c r="H1801" i="2"/>
  <c r="I1801" i="2"/>
  <c r="J1801" i="2"/>
  <c r="H1797" i="2"/>
  <c r="I1797" i="2"/>
  <c r="J1797" i="2"/>
  <c r="H1793" i="2"/>
  <c r="I1793" i="2"/>
  <c r="J1793" i="2"/>
  <c r="H1789" i="2"/>
  <c r="I1789" i="2"/>
  <c r="J1789" i="2"/>
  <c r="H1785" i="2"/>
  <c r="I1785" i="2"/>
  <c r="J1785" i="2"/>
  <c r="H1781" i="2"/>
  <c r="I1781" i="2"/>
  <c r="J1781" i="2"/>
  <c r="H1777" i="2"/>
  <c r="I1777" i="2"/>
  <c r="J1777" i="2"/>
  <c r="H1773" i="2"/>
  <c r="I1773" i="2"/>
  <c r="J1773" i="2"/>
  <c r="H1769" i="2"/>
  <c r="I1769" i="2"/>
  <c r="J1769" i="2"/>
  <c r="H1765" i="2"/>
  <c r="I1765" i="2"/>
  <c r="J1765" i="2"/>
  <c r="H1761" i="2"/>
  <c r="I1761" i="2"/>
  <c r="J1761" i="2"/>
  <c r="H1757" i="2"/>
  <c r="I1757" i="2"/>
  <c r="J1757" i="2"/>
  <c r="H1753" i="2"/>
  <c r="I1753" i="2"/>
  <c r="J1753" i="2"/>
  <c r="H1749" i="2"/>
  <c r="I1749" i="2"/>
  <c r="J1749" i="2"/>
  <c r="H1745" i="2"/>
  <c r="I1745" i="2"/>
  <c r="J1745" i="2"/>
  <c r="H1741" i="2"/>
  <c r="I1741" i="2"/>
  <c r="J1741" i="2"/>
  <c r="H1737" i="2"/>
  <c r="I1737" i="2"/>
  <c r="J1737" i="2"/>
  <c r="H1733" i="2"/>
  <c r="I1733" i="2"/>
  <c r="J1733" i="2"/>
  <c r="H1729" i="2"/>
  <c r="I1729" i="2"/>
  <c r="J1729" i="2"/>
  <c r="H1725" i="2"/>
  <c r="I1725" i="2"/>
  <c r="J1725" i="2"/>
  <c r="H1721" i="2"/>
  <c r="I1721" i="2"/>
  <c r="J1721" i="2"/>
  <c r="H1717" i="2"/>
  <c r="I1717" i="2"/>
  <c r="J1717" i="2"/>
  <c r="H1713" i="2"/>
  <c r="I1713" i="2"/>
  <c r="J1713" i="2"/>
  <c r="H1709" i="2"/>
  <c r="I1709" i="2"/>
  <c r="J1709" i="2"/>
  <c r="H1705" i="2"/>
  <c r="I1705" i="2"/>
  <c r="J1705" i="2"/>
  <c r="H1701" i="2"/>
  <c r="I1701" i="2"/>
  <c r="J1701" i="2"/>
  <c r="H1697" i="2"/>
  <c r="I1697" i="2"/>
  <c r="J1697" i="2"/>
  <c r="H1693" i="2"/>
  <c r="I1693" i="2"/>
  <c r="J1693" i="2"/>
  <c r="H1689" i="2"/>
  <c r="I1689" i="2"/>
  <c r="J1689" i="2"/>
  <c r="H1685" i="2"/>
  <c r="I1685" i="2"/>
  <c r="J1685" i="2"/>
  <c r="H1681" i="2"/>
  <c r="I1681" i="2"/>
  <c r="J1681" i="2"/>
  <c r="H1677" i="2"/>
  <c r="I1677" i="2"/>
  <c r="J1677" i="2"/>
  <c r="H1673" i="2"/>
  <c r="I1673" i="2"/>
  <c r="J1673" i="2"/>
  <c r="H1669" i="2"/>
  <c r="I1669" i="2"/>
  <c r="J1669" i="2"/>
  <c r="H1665" i="2"/>
  <c r="I1665" i="2"/>
  <c r="J1665" i="2"/>
  <c r="H1661" i="2"/>
  <c r="I1661" i="2"/>
  <c r="J1661" i="2"/>
  <c r="H1657" i="2"/>
  <c r="I1657" i="2"/>
  <c r="J1657" i="2"/>
  <c r="H1653" i="2"/>
  <c r="I1653" i="2"/>
  <c r="J1653" i="2"/>
  <c r="H1649" i="2"/>
  <c r="I1649" i="2"/>
  <c r="J1649" i="2"/>
  <c r="H1645" i="2"/>
  <c r="I1645" i="2"/>
  <c r="J1645" i="2"/>
  <c r="H1641" i="2"/>
  <c r="I1641" i="2"/>
  <c r="J1641" i="2"/>
  <c r="H1637" i="2"/>
  <c r="I1637" i="2"/>
  <c r="J1637" i="2"/>
  <c r="H1633" i="2"/>
  <c r="I1633" i="2"/>
  <c r="J1633" i="2"/>
  <c r="H1629" i="2"/>
  <c r="I1629" i="2"/>
  <c r="J1629" i="2"/>
  <c r="H1625" i="2"/>
  <c r="I1625" i="2"/>
  <c r="J1625" i="2"/>
  <c r="H1621" i="2"/>
  <c r="I1621" i="2"/>
  <c r="J1621" i="2"/>
  <c r="H1617" i="2"/>
  <c r="I1617" i="2"/>
  <c r="J1617" i="2"/>
  <c r="H1613" i="2"/>
  <c r="I1613" i="2"/>
  <c r="J1613" i="2"/>
  <c r="H1609" i="2"/>
  <c r="I1609" i="2"/>
  <c r="J1609" i="2"/>
  <c r="H1605" i="2"/>
  <c r="I1605" i="2"/>
  <c r="J1605" i="2"/>
  <c r="H1601" i="2"/>
  <c r="I1601" i="2"/>
  <c r="J1601" i="2"/>
  <c r="H1597" i="2"/>
  <c r="I1597" i="2"/>
  <c r="J1597" i="2"/>
  <c r="H1593" i="2"/>
  <c r="I1593" i="2"/>
  <c r="J1593" i="2"/>
  <c r="H1589" i="2"/>
  <c r="I1589" i="2"/>
  <c r="J1589" i="2"/>
  <c r="H1585" i="2"/>
  <c r="I1585" i="2"/>
  <c r="J1585" i="2"/>
  <c r="H1581" i="2"/>
  <c r="I1581" i="2"/>
  <c r="J1581" i="2"/>
  <c r="H1577" i="2"/>
  <c r="I1577" i="2"/>
  <c r="J1577" i="2"/>
  <c r="H1573" i="2"/>
  <c r="I1573" i="2"/>
  <c r="J1573" i="2"/>
  <c r="H1569" i="2"/>
  <c r="I1569" i="2"/>
  <c r="J1569" i="2"/>
  <c r="H1565" i="2"/>
  <c r="I1565" i="2"/>
  <c r="J1565" i="2"/>
  <c r="H1561" i="2"/>
  <c r="I1561" i="2"/>
  <c r="J1561" i="2"/>
  <c r="H1557" i="2"/>
  <c r="I1557" i="2"/>
  <c r="J1557" i="2"/>
  <c r="H1553" i="2"/>
  <c r="I1553" i="2"/>
  <c r="J1553" i="2"/>
  <c r="H1549" i="2"/>
  <c r="I1549" i="2"/>
  <c r="J1549" i="2"/>
  <c r="H1545" i="2"/>
  <c r="I1545" i="2"/>
  <c r="J1545" i="2"/>
  <c r="H1541" i="2"/>
  <c r="I1541" i="2"/>
  <c r="J1541" i="2"/>
  <c r="H1537" i="2"/>
  <c r="I1537" i="2"/>
  <c r="J1537" i="2"/>
  <c r="H1533" i="2"/>
  <c r="I1533" i="2"/>
  <c r="J1533" i="2"/>
  <c r="H1529" i="2"/>
  <c r="I1529" i="2"/>
  <c r="J1529" i="2"/>
  <c r="H1525" i="2"/>
  <c r="I1525" i="2"/>
  <c r="J1525" i="2"/>
  <c r="H1521" i="2"/>
  <c r="I1521" i="2"/>
  <c r="J1521" i="2"/>
  <c r="H1517" i="2"/>
  <c r="I1517" i="2"/>
  <c r="J1517" i="2"/>
  <c r="H1513" i="2"/>
  <c r="I1513" i="2"/>
  <c r="J1513" i="2"/>
  <c r="H1509" i="2"/>
  <c r="I1509" i="2"/>
  <c r="J1509" i="2"/>
  <c r="H1505" i="2"/>
  <c r="I1505" i="2"/>
  <c r="J1505" i="2"/>
  <c r="H1501" i="2"/>
  <c r="I1501" i="2"/>
  <c r="J1501" i="2"/>
  <c r="H1497" i="2"/>
  <c r="I1497" i="2"/>
  <c r="J1497" i="2"/>
  <c r="H1493" i="2"/>
  <c r="I1493" i="2"/>
  <c r="J1493" i="2"/>
  <c r="H1489" i="2"/>
  <c r="I1489" i="2"/>
  <c r="J1489" i="2"/>
  <c r="H1485" i="2"/>
  <c r="I1485" i="2"/>
  <c r="J1485" i="2"/>
  <c r="H1481" i="2"/>
  <c r="I1481" i="2"/>
  <c r="J1481" i="2"/>
  <c r="H1477" i="2"/>
  <c r="I1477" i="2"/>
  <c r="J1477" i="2"/>
  <c r="H1473" i="2"/>
  <c r="I1473" i="2"/>
  <c r="J1473" i="2"/>
  <c r="H1469" i="2"/>
  <c r="I1469" i="2"/>
  <c r="J1469" i="2"/>
  <c r="H1465" i="2"/>
  <c r="I1465" i="2"/>
  <c r="J1465" i="2"/>
  <c r="H1461" i="2"/>
  <c r="I1461" i="2"/>
  <c r="J1461" i="2"/>
  <c r="H1457" i="2"/>
  <c r="I1457" i="2"/>
  <c r="J1457" i="2"/>
  <c r="H1453" i="2"/>
  <c r="I1453" i="2"/>
  <c r="J1453" i="2"/>
  <c r="H1449" i="2"/>
  <c r="I1449" i="2"/>
  <c r="J1449" i="2"/>
  <c r="H1445" i="2"/>
  <c r="I1445" i="2"/>
  <c r="J1445" i="2"/>
  <c r="H1441" i="2"/>
  <c r="I1441" i="2"/>
  <c r="J1441" i="2"/>
  <c r="H1437" i="2"/>
  <c r="I1437" i="2"/>
  <c r="J1437" i="2"/>
  <c r="H1433" i="2"/>
  <c r="I1433" i="2"/>
  <c r="J1433" i="2"/>
  <c r="H1429" i="2"/>
  <c r="I1429" i="2"/>
  <c r="J1429" i="2"/>
  <c r="H1425" i="2"/>
  <c r="I1425" i="2"/>
  <c r="J1425" i="2"/>
  <c r="H1421" i="2"/>
  <c r="I1421" i="2"/>
  <c r="J1421" i="2"/>
  <c r="H1417" i="2"/>
  <c r="I1417" i="2"/>
  <c r="J1417" i="2"/>
  <c r="H1413" i="2"/>
  <c r="I1413" i="2"/>
  <c r="J1413" i="2"/>
  <c r="H1409" i="2"/>
  <c r="I1409" i="2"/>
  <c r="J1409" i="2"/>
  <c r="H1405" i="2"/>
  <c r="I1405" i="2"/>
  <c r="J1405" i="2"/>
  <c r="H1401" i="2"/>
  <c r="I1401" i="2"/>
  <c r="J1401" i="2"/>
  <c r="H1397" i="2"/>
  <c r="I1397" i="2"/>
  <c r="J1397" i="2"/>
  <c r="H1393" i="2"/>
  <c r="I1393" i="2"/>
  <c r="J1393" i="2"/>
  <c r="H1389" i="2"/>
  <c r="I1389" i="2"/>
  <c r="J1389" i="2"/>
  <c r="H1385" i="2"/>
  <c r="J1385" i="2"/>
  <c r="I1385" i="2"/>
  <c r="H1381" i="2"/>
  <c r="I1381" i="2"/>
  <c r="J1381" i="2"/>
  <c r="H1377" i="2"/>
  <c r="I1377" i="2"/>
  <c r="J1377" i="2"/>
  <c r="H1373" i="2"/>
  <c r="I1373" i="2"/>
  <c r="J1373" i="2"/>
  <c r="H1369" i="2"/>
  <c r="J1369" i="2"/>
  <c r="I1369" i="2"/>
  <c r="H1365" i="2"/>
  <c r="I1365" i="2"/>
  <c r="J1365" i="2"/>
  <c r="H1361" i="2"/>
  <c r="I1361" i="2"/>
  <c r="J1361" i="2"/>
  <c r="H1357" i="2"/>
  <c r="I1357" i="2"/>
  <c r="J1357" i="2"/>
  <c r="H1353" i="2"/>
  <c r="J1353" i="2"/>
  <c r="I1353" i="2"/>
  <c r="H1349" i="2"/>
  <c r="I1349" i="2"/>
  <c r="J1349" i="2"/>
  <c r="H1345" i="2"/>
  <c r="I1345" i="2"/>
  <c r="J1345" i="2"/>
  <c r="H1341" i="2"/>
  <c r="J1341" i="2"/>
  <c r="I1341" i="2"/>
  <c r="H1337" i="2"/>
  <c r="I1337" i="2"/>
  <c r="J1337" i="2"/>
  <c r="H1333" i="2"/>
  <c r="J1333" i="2"/>
  <c r="I1333" i="2"/>
  <c r="H1329" i="2"/>
  <c r="I1329" i="2"/>
  <c r="J1329" i="2"/>
  <c r="H1325" i="2"/>
  <c r="J1325" i="2"/>
  <c r="I1325" i="2"/>
  <c r="H1321" i="2"/>
  <c r="I1321" i="2"/>
  <c r="J1321" i="2"/>
  <c r="H1317" i="2"/>
  <c r="J1317" i="2"/>
  <c r="I1317" i="2"/>
  <c r="H1313" i="2"/>
  <c r="I1313" i="2"/>
  <c r="J1313" i="2"/>
  <c r="H1309" i="2"/>
  <c r="J1309" i="2"/>
  <c r="I1309" i="2"/>
  <c r="H1305" i="2"/>
  <c r="I1305" i="2"/>
  <c r="J1305" i="2"/>
  <c r="H1301" i="2"/>
  <c r="J1301" i="2"/>
  <c r="I1301" i="2"/>
  <c r="H1297" i="2"/>
  <c r="I1297" i="2"/>
  <c r="J1297" i="2"/>
  <c r="H1293" i="2"/>
  <c r="J1293" i="2"/>
  <c r="I1293" i="2"/>
  <c r="H1289" i="2"/>
  <c r="I1289" i="2"/>
  <c r="J1289" i="2"/>
  <c r="H1285" i="2"/>
  <c r="J1285" i="2"/>
  <c r="I1285" i="2"/>
  <c r="H1281" i="2"/>
  <c r="I1281" i="2"/>
  <c r="J1281" i="2"/>
  <c r="H1277" i="2"/>
  <c r="J1277" i="2"/>
  <c r="I1277" i="2"/>
  <c r="H1273" i="2"/>
  <c r="I1273" i="2"/>
  <c r="J1273" i="2"/>
  <c r="H1269" i="2"/>
  <c r="J1269" i="2"/>
  <c r="I1269" i="2"/>
  <c r="H1265" i="2"/>
  <c r="I1265" i="2"/>
  <c r="J1265" i="2"/>
  <c r="H1261" i="2"/>
  <c r="J1261" i="2"/>
  <c r="I1261" i="2"/>
  <c r="H1257" i="2"/>
  <c r="I1257" i="2"/>
  <c r="J1257" i="2"/>
  <c r="H1253" i="2"/>
  <c r="J1253" i="2"/>
  <c r="I1253" i="2"/>
  <c r="H1249" i="2"/>
  <c r="I1249" i="2"/>
  <c r="J1249" i="2"/>
  <c r="H1245" i="2"/>
  <c r="J1245" i="2"/>
  <c r="I1245" i="2"/>
  <c r="H1241" i="2"/>
  <c r="I1241" i="2"/>
  <c r="J1241" i="2"/>
  <c r="H1237" i="2"/>
  <c r="J1237" i="2"/>
  <c r="I1237" i="2"/>
  <c r="H1233" i="2"/>
  <c r="I1233" i="2"/>
  <c r="J1233" i="2"/>
  <c r="H1229" i="2"/>
  <c r="J1229" i="2"/>
  <c r="I1229" i="2"/>
  <c r="H1225" i="2"/>
  <c r="I1225" i="2"/>
  <c r="J1225" i="2"/>
  <c r="H1221" i="2"/>
  <c r="J1221" i="2"/>
  <c r="I1221" i="2"/>
  <c r="H1217" i="2"/>
  <c r="I1217" i="2"/>
  <c r="J1217" i="2"/>
  <c r="H1213" i="2"/>
  <c r="J1213" i="2"/>
  <c r="I1213" i="2"/>
  <c r="H1209" i="2"/>
  <c r="I1209" i="2"/>
  <c r="J1209" i="2"/>
  <c r="H1205" i="2"/>
  <c r="J1205" i="2"/>
  <c r="I1205" i="2"/>
  <c r="H1201" i="2"/>
  <c r="I1201" i="2"/>
  <c r="J1201" i="2"/>
  <c r="H1197" i="2"/>
  <c r="J1197" i="2"/>
  <c r="I1197" i="2"/>
  <c r="H1193" i="2"/>
  <c r="I1193" i="2"/>
  <c r="J1193" i="2"/>
  <c r="H1189" i="2"/>
  <c r="J1189" i="2"/>
  <c r="I1189" i="2"/>
  <c r="H1185" i="2"/>
  <c r="I1185" i="2"/>
  <c r="J1185" i="2"/>
  <c r="H1181" i="2"/>
  <c r="J1181" i="2"/>
  <c r="I1181" i="2"/>
  <c r="H1177" i="2"/>
  <c r="I1177" i="2"/>
  <c r="J1177" i="2"/>
  <c r="I1173" i="2"/>
  <c r="J1173" i="2"/>
  <c r="H1173" i="2"/>
  <c r="I1169" i="2"/>
  <c r="J1169" i="2"/>
  <c r="H1169" i="2"/>
  <c r="I1165" i="2"/>
  <c r="J1165" i="2"/>
  <c r="H1165" i="2"/>
  <c r="I1161" i="2"/>
  <c r="J1161" i="2"/>
  <c r="H1161" i="2"/>
  <c r="I1157" i="2"/>
  <c r="J1157" i="2"/>
  <c r="H1157" i="2"/>
  <c r="I1153" i="2"/>
  <c r="J1153" i="2"/>
  <c r="H1153" i="2"/>
  <c r="I1149" i="2"/>
  <c r="J1149" i="2"/>
  <c r="H1149" i="2"/>
  <c r="I1145" i="2"/>
  <c r="J1145" i="2"/>
  <c r="H1145" i="2"/>
  <c r="I1141" i="2"/>
  <c r="J1141" i="2"/>
  <c r="H1141" i="2"/>
  <c r="I1137" i="2"/>
  <c r="J1137" i="2"/>
  <c r="H1137" i="2"/>
  <c r="I1133" i="2"/>
  <c r="J1133" i="2"/>
  <c r="H1133" i="2"/>
  <c r="I1129" i="2"/>
  <c r="J1129" i="2"/>
  <c r="H1129" i="2"/>
  <c r="I1125" i="2"/>
  <c r="J1125" i="2"/>
  <c r="H1125" i="2"/>
  <c r="I1121" i="2"/>
  <c r="J1121" i="2"/>
  <c r="H1121" i="2"/>
  <c r="I1117" i="2"/>
  <c r="J1117" i="2"/>
  <c r="H1117" i="2"/>
  <c r="I1113" i="2"/>
  <c r="J1113" i="2"/>
  <c r="H1113" i="2"/>
  <c r="I1109" i="2"/>
  <c r="J1109" i="2"/>
  <c r="H1109" i="2"/>
  <c r="I1105" i="2"/>
  <c r="J1105" i="2"/>
  <c r="H1105" i="2"/>
  <c r="I1101" i="2"/>
  <c r="J1101" i="2"/>
  <c r="H1101" i="2"/>
  <c r="I1097" i="2"/>
  <c r="J1097" i="2"/>
  <c r="H1097" i="2"/>
  <c r="I1093" i="2"/>
  <c r="J1093" i="2"/>
  <c r="H1093" i="2"/>
  <c r="I1089" i="2"/>
  <c r="J1089" i="2"/>
  <c r="H1089" i="2"/>
  <c r="I1085" i="2"/>
  <c r="J1085" i="2"/>
  <c r="H1085" i="2"/>
  <c r="I1081" i="2"/>
  <c r="J1081" i="2"/>
  <c r="H1081" i="2"/>
  <c r="I1077" i="2"/>
  <c r="J1077" i="2"/>
  <c r="H1077" i="2"/>
  <c r="I1073" i="2"/>
  <c r="J1073" i="2"/>
  <c r="H1073" i="2"/>
  <c r="I1069" i="2"/>
  <c r="J1069" i="2"/>
  <c r="H1069" i="2"/>
  <c r="I1065" i="2"/>
  <c r="J1065" i="2"/>
  <c r="H1065" i="2"/>
  <c r="I1061" i="2"/>
  <c r="J1061" i="2"/>
  <c r="H1061" i="2"/>
  <c r="I1057" i="2"/>
  <c r="J1057" i="2"/>
  <c r="H1057" i="2"/>
  <c r="I1053" i="2"/>
  <c r="J1053" i="2"/>
  <c r="H1053" i="2"/>
  <c r="I1049" i="2"/>
  <c r="J1049" i="2"/>
  <c r="H1049" i="2"/>
  <c r="I1045" i="2"/>
  <c r="J1045" i="2"/>
  <c r="H1045" i="2"/>
  <c r="I1041" i="2"/>
  <c r="J1041" i="2"/>
  <c r="H1041" i="2"/>
  <c r="I1037" i="2"/>
  <c r="J1037" i="2"/>
  <c r="H1037" i="2"/>
  <c r="I1033" i="2"/>
  <c r="J1033" i="2"/>
  <c r="H1033" i="2"/>
  <c r="I1029" i="2"/>
  <c r="J1029" i="2"/>
  <c r="H1029" i="2"/>
  <c r="I1025" i="2"/>
  <c r="J1025" i="2"/>
  <c r="H1025" i="2"/>
  <c r="I1021" i="2"/>
  <c r="J1021" i="2"/>
  <c r="H1021" i="2"/>
  <c r="I1017" i="2"/>
  <c r="J1017" i="2"/>
  <c r="H1017" i="2"/>
  <c r="I1013" i="2"/>
  <c r="J1013" i="2"/>
  <c r="H1013" i="2"/>
  <c r="I1009" i="2"/>
  <c r="J1009" i="2"/>
  <c r="H1009" i="2"/>
  <c r="I1005" i="2"/>
  <c r="J1005" i="2"/>
  <c r="H1005" i="2"/>
  <c r="I1001" i="2"/>
  <c r="J1001" i="2"/>
  <c r="H1001" i="2"/>
  <c r="I997" i="2"/>
  <c r="J997" i="2"/>
  <c r="H997" i="2"/>
  <c r="I993" i="2"/>
  <c r="J993" i="2"/>
  <c r="H993" i="2"/>
  <c r="I989" i="2"/>
  <c r="J989" i="2"/>
  <c r="H989" i="2"/>
  <c r="I985" i="2"/>
  <c r="J985" i="2"/>
  <c r="H985" i="2"/>
  <c r="I981" i="2"/>
  <c r="J981" i="2"/>
  <c r="H981" i="2"/>
  <c r="I977" i="2"/>
  <c r="J977" i="2"/>
  <c r="H977" i="2"/>
  <c r="H973" i="2"/>
  <c r="I973" i="2"/>
  <c r="J973" i="2"/>
  <c r="H969" i="2"/>
  <c r="I969" i="2"/>
  <c r="J969" i="2"/>
  <c r="H965" i="2"/>
  <c r="I965" i="2"/>
  <c r="J965" i="2"/>
  <c r="H961" i="2"/>
  <c r="I961" i="2"/>
  <c r="J961" i="2"/>
  <c r="H957" i="2"/>
  <c r="I957" i="2"/>
  <c r="J957" i="2"/>
  <c r="H953" i="2"/>
  <c r="I953" i="2"/>
  <c r="J953" i="2"/>
  <c r="H949" i="2"/>
  <c r="I949" i="2"/>
  <c r="J949" i="2"/>
  <c r="H945" i="2"/>
  <c r="I945" i="2"/>
  <c r="J945" i="2"/>
  <c r="H941" i="2"/>
  <c r="I941" i="2"/>
  <c r="J941" i="2"/>
  <c r="H937" i="2"/>
  <c r="I937" i="2"/>
  <c r="J937" i="2"/>
  <c r="H933" i="2"/>
  <c r="I933" i="2"/>
  <c r="J933" i="2"/>
  <c r="H929" i="2"/>
  <c r="I929" i="2"/>
  <c r="J929" i="2"/>
  <c r="H925" i="2"/>
  <c r="I925" i="2"/>
  <c r="J925" i="2"/>
  <c r="H921" i="2"/>
  <c r="I921" i="2"/>
  <c r="J921" i="2"/>
  <c r="H917" i="2"/>
  <c r="I917" i="2"/>
  <c r="J917" i="2"/>
  <c r="H913" i="2"/>
  <c r="I913" i="2"/>
  <c r="J913" i="2"/>
  <c r="H909" i="2"/>
  <c r="I909" i="2"/>
  <c r="J909" i="2"/>
  <c r="H905" i="2"/>
  <c r="I905" i="2"/>
  <c r="J905" i="2"/>
  <c r="H901" i="2"/>
  <c r="I901" i="2"/>
  <c r="J901" i="2"/>
  <c r="H897" i="2"/>
  <c r="I897" i="2"/>
  <c r="J897" i="2"/>
  <c r="H893" i="2"/>
  <c r="I893" i="2"/>
  <c r="J893" i="2"/>
  <c r="H889" i="2"/>
  <c r="I889" i="2"/>
  <c r="J889" i="2"/>
  <c r="H885" i="2"/>
  <c r="I885" i="2"/>
  <c r="J885" i="2"/>
  <c r="H881" i="2"/>
  <c r="I881" i="2"/>
  <c r="J881" i="2"/>
  <c r="H877" i="2"/>
  <c r="I877" i="2"/>
  <c r="J877" i="2"/>
  <c r="H873" i="2"/>
  <c r="I873" i="2"/>
  <c r="J873" i="2"/>
  <c r="H869" i="2"/>
  <c r="I869" i="2"/>
  <c r="J869" i="2"/>
  <c r="H865" i="2"/>
  <c r="I865" i="2"/>
  <c r="J865" i="2"/>
  <c r="H837" i="2"/>
  <c r="J837" i="2"/>
  <c r="J2246" i="2"/>
  <c r="I2245" i="2"/>
  <c r="J2242" i="2"/>
  <c r="I2241" i="2"/>
  <c r="J2238" i="2"/>
  <c r="I2237" i="2"/>
  <c r="J2234" i="2"/>
  <c r="I2233" i="2"/>
  <c r="J2230" i="2"/>
  <c r="I2229" i="2"/>
  <c r="J2226" i="2"/>
  <c r="I2225" i="2"/>
  <c r="J2222" i="2"/>
  <c r="I2221" i="2"/>
  <c r="J2218" i="2"/>
  <c r="I2217" i="2"/>
  <c r="J2214" i="2"/>
  <c r="I2213" i="2"/>
  <c r="J2210" i="2"/>
  <c r="I2209" i="2"/>
  <c r="J2206" i="2"/>
  <c r="I2205" i="2"/>
  <c r="J2202" i="2"/>
  <c r="I2201" i="2"/>
  <c r="J2198" i="2"/>
  <c r="I2197" i="2"/>
  <c r="J2194" i="2"/>
  <c r="I2193" i="2"/>
  <c r="J2190" i="2"/>
  <c r="I2189" i="2"/>
  <c r="J2186" i="2"/>
  <c r="I2185" i="2"/>
  <c r="J2182" i="2"/>
  <c r="I2181" i="2"/>
  <c r="J2178" i="2"/>
  <c r="I2177" i="2"/>
  <c r="J2174" i="2"/>
  <c r="I2173" i="2"/>
  <c r="J2170" i="2"/>
  <c r="I2169" i="2"/>
  <c r="J2166" i="2"/>
  <c r="I2165" i="2"/>
  <c r="J2162" i="2"/>
  <c r="I2161" i="2"/>
  <c r="J2158" i="2"/>
  <c r="I2157" i="2"/>
  <c r="J2154" i="2"/>
  <c r="I2153" i="2"/>
  <c r="J2150" i="2"/>
  <c r="I2149" i="2"/>
  <c r="J2146" i="2"/>
  <c r="I2145" i="2"/>
  <c r="J2142" i="2"/>
  <c r="I2141" i="2"/>
  <c r="J2138" i="2"/>
  <c r="I2137" i="2"/>
  <c r="J2134" i="2"/>
  <c r="I2133" i="2"/>
  <c r="J2130" i="2"/>
  <c r="I2129" i="2"/>
  <c r="J2126" i="2"/>
  <c r="I2125" i="2"/>
  <c r="J2122" i="2"/>
  <c r="I2121" i="2"/>
  <c r="J2118" i="2"/>
  <c r="I2117" i="2"/>
  <c r="J2114" i="2"/>
  <c r="I2113" i="2"/>
  <c r="J2111" i="2"/>
  <c r="H2110" i="2"/>
  <c r="I2108" i="2"/>
  <c r="I2106" i="2"/>
  <c r="H2102" i="2"/>
  <c r="I2099" i="2"/>
  <c r="H2094" i="2"/>
  <c r="I2091" i="2"/>
  <c r="H2086" i="2"/>
  <c r="I2083" i="2"/>
  <c r="H2078" i="2"/>
  <c r="I2075" i="2"/>
  <c r="H2070" i="2"/>
  <c r="I2067" i="2"/>
  <c r="H2062" i="2"/>
  <c r="I2059" i="2"/>
  <c r="J2055" i="2"/>
  <c r="I2050" i="2"/>
  <c r="H2045" i="2"/>
  <c r="H2104" i="2"/>
  <c r="I2104" i="2"/>
  <c r="H2100" i="2"/>
  <c r="I2100" i="2"/>
  <c r="H2096" i="2"/>
  <c r="I2096" i="2"/>
  <c r="H2092" i="2"/>
  <c r="I2092" i="2"/>
  <c r="H2088" i="2"/>
  <c r="I2088" i="2"/>
  <c r="H2084" i="2"/>
  <c r="I2084" i="2"/>
  <c r="H2080" i="2"/>
  <c r="I2080" i="2"/>
  <c r="H2076" i="2"/>
  <c r="I2076" i="2"/>
  <c r="H2072" i="2"/>
  <c r="I2072" i="2"/>
  <c r="H2068" i="2"/>
  <c r="I2068" i="2"/>
  <c r="H2064" i="2"/>
  <c r="I2064" i="2"/>
  <c r="H2060" i="2"/>
  <c r="I2060" i="2"/>
  <c r="H2056" i="2"/>
  <c r="I2056" i="2"/>
  <c r="J2056" i="2"/>
  <c r="H2052" i="2"/>
  <c r="I2052" i="2"/>
  <c r="J2052" i="2"/>
  <c r="H2048" i="2"/>
  <c r="I2048" i="2"/>
  <c r="J2048" i="2"/>
  <c r="H2044" i="2"/>
  <c r="I2044" i="2"/>
  <c r="J2044" i="2"/>
  <c r="H2040" i="2"/>
  <c r="I2040" i="2"/>
  <c r="J2040" i="2"/>
  <c r="H2036" i="2"/>
  <c r="I2036" i="2"/>
  <c r="J2036" i="2"/>
  <c r="H2032" i="2"/>
  <c r="I2032" i="2"/>
  <c r="J2032" i="2"/>
  <c r="H2028" i="2"/>
  <c r="I2028" i="2"/>
  <c r="J2028" i="2"/>
  <c r="H2024" i="2"/>
  <c r="J2024" i="2"/>
  <c r="I2024" i="2"/>
  <c r="H2020" i="2"/>
  <c r="I2020" i="2"/>
  <c r="J2020" i="2"/>
  <c r="H2016" i="2"/>
  <c r="I2016" i="2"/>
  <c r="J2016" i="2"/>
  <c r="H2012" i="2"/>
  <c r="I2012" i="2"/>
  <c r="J2012" i="2"/>
  <c r="H2008" i="2"/>
  <c r="J2008" i="2"/>
  <c r="I2008" i="2"/>
  <c r="H2004" i="2"/>
  <c r="I2004" i="2"/>
  <c r="J2004" i="2"/>
  <c r="H2000" i="2"/>
  <c r="I2000" i="2"/>
  <c r="J2000" i="2"/>
  <c r="H1996" i="2"/>
  <c r="I1996" i="2"/>
  <c r="J1996" i="2"/>
  <c r="H1992" i="2"/>
  <c r="I1992" i="2"/>
  <c r="J1992" i="2"/>
  <c r="H1988" i="2"/>
  <c r="J1988" i="2"/>
  <c r="I1988" i="2"/>
  <c r="H1984" i="2"/>
  <c r="I1984" i="2"/>
  <c r="J1984" i="2"/>
  <c r="H1980" i="2"/>
  <c r="J1980" i="2"/>
  <c r="I1980" i="2"/>
  <c r="H1976" i="2"/>
  <c r="I1976" i="2"/>
  <c r="J1976" i="2"/>
  <c r="H1972" i="2"/>
  <c r="J1972" i="2"/>
  <c r="I1972" i="2"/>
  <c r="H1968" i="2"/>
  <c r="I1968" i="2"/>
  <c r="J1968" i="2"/>
  <c r="H1964" i="2"/>
  <c r="J1964" i="2"/>
  <c r="I1964" i="2"/>
  <c r="H1960" i="2"/>
  <c r="I1960" i="2"/>
  <c r="J1960" i="2"/>
  <c r="H1956" i="2"/>
  <c r="J1956" i="2"/>
  <c r="I1956" i="2"/>
  <c r="H1952" i="2"/>
  <c r="I1952" i="2"/>
  <c r="J1952" i="2"/>
  <c r="H1948" i="2"/>
  <c r="J1948" i="2"/>
  <c r="I1948" i="2"/>
  <c r="H1944" i="2"/>
  <c r="I1944" i="2"/>
  <c r="J1944" i="2"/>
  <c r="H1940" i="2"/>
  <c r="J1940" i="2"/>
  <c r="I1940" i="2"/>
  <c r="H1936" i="2"/>
  <c r="I1936" i="2"/>
  <c r="J1936" i="2"/>
  <c r="H1932" i="2"/>
  <c r="J1932" i="2"/>
  <c r="I1932" i="2"/>
  <c r="H1928" i="2"/>
  <c r="I1928" i="2"/>
  <c r="J1928" i="2"/>
  <c r="H1924" i="2"/>
  <c r="J1924" i="2"/>
  <c r="I1924" i="2"/>
  <c r="H1920" i="2"/>
  <c r="I1920" i="2"/>
  <c r="J1920" i="2"/>
  <c r="H1916" i="2"/>
  <c r="J1916" i="2"/>
  <c r="I1916" i="2"/>
  <c r="H1912" i="2"/>
  <c r="I1912" i="2"/>
  <c r="J1912" i="2"/>
  <c r="H1908" i="2"/>
  <c r="J1908" i="2"/>
  <c r="I1908" i="2"/>
  <c r="H1904" i="2"/>
  <c r="I1904" i="2"/>
  <c r="J1904" i="2"/>
  <c r="H1900" i="2"/>
  <c r="J1900" i="2"/>
  <c r="I1900" i="2"/>
  <c r="H1896" i="2"/>
  <c r="I1896" i="2"/>
  <c r="J1896" i="2"/>
  <c r="H1892" i="2"/>
  <c r="J1892" i="2"/>
  <c r="I1892" i="2"/>
  <c r="H1888" i="2"/>
  <c r="I1888" i="2"/>
  <c r="J1888" i="2"/>
  <c r="H1884" i="2"/>
  <c r="J1884" i="2"/>
  <c r="I1884" i="2"/>
  <c r="H1880" i="2"/>
  <c r="I1880" i="2"/>
  <c r="J1880" i="2"/>
  <c r="H1876" i="2"/>
  <c r="J1876" i="2"/>
  <c r="I1876" i="2"/>
  <c r="H1872" i="2"/>
  <c r="I1872" i="2"/>
  <c r="J1872" i="2"/>
  <c r="H1868" i="2"/>
  <c r="J1868" i="2"/>
  <c r="I1868" i="2"/>
  <c r="H1864" i="2"/>
  <c r="I1864" i="2"/>
  <c r="J1864" i="2"/>
  <c r="H1860" i="2"/>
  <c r="J1860" i="2"/>
  <c r="I1860" i="2"/>
  <c r="H1856" i="2"/>
  <c r="I1856" i="2"/>
  <c r="J1856" i="2"/>
  <c r="H1852" i="2"/>
  <c r="J1852" i="2"/>
  <c r="I1852" i="2"/>
  <c r="H1848" i="2"/>
  <c r="I1848" i="2"/>
  <c r="J1848" i="2"/>
  <c r="H1844" i="2"/>
  <c r="J1844" i="2"/>
  <c r="I1844" i="2"/>
  <c r="H1840" i="2"/>
  <c r="I1840" i="2"/>
  <c r="J1840" i="2"/>
  <c r="H1836" i="2"/>
  <c r="J1836" i="2"/>
  <c r="I1836" i="2"/>
  <c r="H1832" i="2"/>
  <c r="I1832" i="2"/>
  <c r="J1832" i="2"/>
  <c r="H1828" i="2"/>
  <c r="J1828" i="2"/>
  <c r="I1828" i="2"/>
  <c r="H1824" i="2"/>
  <c r="I1824" i="2"/>
  <c r="J1824" i="2"/>
  <c r="H1820" i="2"/>
  <c r="J1820" i="2"/>
  <c r="I1820" i="2"/>
  <c r="H1816" i="2"/>
  <c r="I1816" i="2"/>
  <c r="J1816" i="2"/>
  <c r="H1812" i="2"/>
  <c r="J1812" i="2"/>
  <c r="I1812" i="2"/>
  <c r="H1808" i="2"/>
  <c r="I1808" i="2"/>
  <c r="J1808" i="2"/>
  <c r="H1804" i="2"/>
  <c r="J1804" i="2"/>
  <c r="I1804" i="2"/>
  <c r="H1800" i="2"/>
  <c r="I1800" i="2"/>
  <c r="J1800" i="2"/>
  <c r="H1796" i="2"/>
  <c r="J1796" i="2"/>
  <c r="I1796" i="2"/>
  <c r="H1792" i="2"/>
  <c r="I1792" i="2"/>
  <c r="J1792" i="2"/>
  <c r="H1788" i="2"/>
  <c r="J1788" i="2"/>
  <c r="I1788" i="2"/>
  <c r="H1784" i="2"/>
  <c r="I1784" i="2"/>
  <c r="J1784" i="2"/>
  <c r="H1780" i="2"/>
  <c r="J1780" i="2"/>
  <c r="I1780" i="2"/>
  <c r="H1776" i="2"/>
  <c r="I1776" i="2"/>
  <c r="J1776" i="2"/>
  <c r="H1772" i="2"/>
  <c r="J1772" i="2"/>
  <c r="I1772" i="2"/>
  <c r="H1768" i="2"/>
  <c r="I1768" i="2"/>
  <c r="J1768" i="2"/>
  <c r="H1764" i="2"/>
  <c r="J1764" i="2"/>
  <c r="I1764" i="2"/>
  <c r="H1760" i="2"/>
  <c r="I1760" i="2"/>
  <c r="J1760" i="2"/>
  <c r="H1756" i="2"/>
  <c r="J1756" i="2"/>
  <c r="I1756" i="2"/>
  <c r="H1752" i="2"/>
  <c r="I1752" i="2"/>
  <c r="J1752" i="2"/>
  <c r="H1748" i="2"/>
  <c r="J1748" i="2"/>
  <c r="I1748" i="2"/>
  <c r="H1744" i="2"/>
  <c r="I1744" i="2"/>
  <c r="J1744" i="2"/>
  <c r="H1740" i="2"/>
  <c r="J1740" i="2"/>
  <c r="I1740" i="2"/>
  <c r="H1736" i="2"/>
  <c r="I1736" i="2"/>
  <c r="J1736" i="2"/>
  <c r="H1732" i="2"/>
  <c r="J1732" i="2"/>
  <c r="I1732" i="2"/>
  <c r="H1728" i="2"/>
  <c r="I1728" i="2"/>
  <c r="J1728" i="2"/>
  <c r="H1724" i="2"/>
  <c r="J1724" i="2"/>
  <c r="I1724" i="2"/>
  <c r="H1720" i="2"/>
  <c r="I1720" i="2"/>
  <c r="J1720" i="2"/>
  <c r="H1716" i="2"/>
  <c r="J1716" i="2"/>
  <c r="I1716" i="2"/>
  <c r="H1712" i="2"/>
  <c r="I1712" i="2"/>
  <c r="J1712" i="2"/>
  <c r="H1708" i="2"/>
  <c r="J1708" i="2"/>
  <c r="I1708" i="2"/>
  <c r="H1704" i="2"/>
  <c r="I1704" i="2"/>
  <c r="J1704" i="2"/>
  <c r="H1700" i="2"/>
  <c r="J1700" i="2"/>
  <c r="I1700" i="2"/>
  <c r="H1696" i="2"/>
  <c r="I1696" i="2"/>
  <c r="J1696" i="2"/>
  <c r="H1692" i="2"/>
  <c r="J1692" i="2"/>
  <c r="I1692" i="2"/>
  <c r="H1688" i="2"/>
  <c r="I1688" i="2"/>
  <c r="J1688" i="2"/>
  <c r="H1684" i="2"/>
  <c r="I1684" i="2"/>
  <c r="J1684" i="2"/>
  <c r="H1680" i="2"/>
  <c r="I1680" i="2"/>
  <c r="J1680" i="2"/>
  <c r="H1676" i="2"/>
  <c r="J1676" i="2"/>
  <c r="I1676" i="2"/>
  <c r="H1672" i="2"/>
  <c r="I1672" i="2"/>
  <c r="J1672" i="2"/>
  <c r="H1668" i="2"/>
  <c r="J1668" i="2"/>
  <c r="I1668" i="2"/>
  <c r="H1664" i="2"/>
  <c r="I1664" i="2"/>
  <c r="J1664" i="2"/>
  <c r="H1660" i="2"/>
  <c r="J1660" i="2"/>
  <c r="I1660" i="2"/>
  <c r="H1656" i="2"/>
  <c r="I1656" i="2"/>
  <c r="J1656" i="2"/>
  <c r="J1652" i="2"/>
  <c r="H1652" i="2"/>
  <c r="I1652" i="2"/>
  <c r="J1648" i="2"/>
  <c r="H1648" i="2"/>
  <c r="I1648" i="2"/>
  <c r="J1644" i="2"/>
  <c r="H1644" i="2"/>
  <c r="I1644" i="2"/>
  <c r="J1640" i="2"/>
  <c r="H1640" i="2"/>
  <c r="I1640" i="2"/>
  <c r="J1636" i="2"/>
  <c r="H1636" i="2"/>
  <c r="I1636" i="2"/>
  <c r="J1632" i="2"/>
  <c r="H1632" i="2"/>
  <c r="I1632" i="2"/>
  <c r="J1628" i="2"/>
  <c r="H1628" i="2"/>
  <c r="I1628" i="2"/>
  <c r="J1624" i="2"/>
  <c r="H1624" i="2"/>
  <c r="I1624" i="2"/>
  <c r="J1620" i="2"/>
  <c r="H1620" i="2"/>
  <c r="I1620" i="2"/>
  <c r="J1616" i="2"/>
  <c r="H1616" i="2"/>
  <c r="I1616" i="2"/>
  <c r="J1612" i="2"/>
  <c r="H1612" i="2"/>
  <c r="I1612" i="2"/>
  <c r="J1608" i="2"/>
  <c r="H1608" i="2"/>
  <c r="I1608" i="2"/>
  <c r="J1604" i="2"/>
  <c r="H1604" i="2"/>
  <c r="I1604" i="2"/>
  <c r="J1600" i="2"/>
  <c r="H1600" i="2"/>
  <c r="I1600" i="2"/>
  <c r="J1596" i="2"/>
  <c r="H1596" i="2"/>
  <c r="I1596" i="2"/>
  <c r="J1592" i="2"/>
  <c r="H1592" i="2"/>
  <c r="I1592" i="2"/>
  <c r="J1588" i="2"/>
  <c r="H1588" i="2"/>
  <c r="I1588" i="2"/>
  <c r="J1584" i="2"/>
  <c r="H1584" i="2"/>
  <c r="I1584" i="2"/>
  <c r="J1580" i="2"/>
  <c r="H1580" i="2"/>
  <c r="I1580" i="2"/>
  <c r="J1576" i="2"/>
  <c r="H1576" i="2"/>
  <c r="I1576" i="2"/>
  <c r="J1572" i="2"/>
  <c r="H1572" i="2"/>
  <c r="I1572" i="2"/>
  <c r="J1568" i="2"/>
  <c r="H1568" i="2"/>
  <c r="I1568" i="2"/>
  <c r="J1564" i="2"/>
  <c r="H1564" i="2"/>
  <c r="I1564" i="2"/>
  <c r="J1560" i="2"/>
  <c r="H1560" i="2"/>
  <c r="I1560" i="2"/>
  <c r="J1556" i="2"/>
  <c r="H1556" i="2"/>
  <c r="I1556" i="2"/>
  <c r="J1552" i="2"/>
  <c r="H1552" i="2"/>
  <c r="I1552" i="2"/>
  <c r="J1548" i="2"/>
  <c r="H1548" i="2"/>
  <c r="I1548" i="2"/>
  <c r="J1544" i="2"/>
  <c r="H1544" i="2"/>
  <c r="I1544" i="2"/>
  <c r="J1540" i="2"/>
  <c r="H1540" i="2"/>
  <c r="I1540" i="2"/>
  <c r="J1536" i="2"/>
  <c r="H1536" i="2"/>
  <c r="I1536" i="2"/>
  <c r="J1532" i="2"/>
  <c r="H1532" i="2"/>
  <c r="I1532" i="2"/>
  <c r="J1528" i="2"/>
  <c r="H1528" i="2"/>
  <c r="I1528" i="2"/>
  <c r="J1524" i="2"/>
  <c r="H1524" i="2"/>
  <c r="I1524" i="2"/>
  <c r="J1520" i="2"/>
  <c r="H1520" i="2"/>
  <c r="I1520" i="2"/>
  <c r="J1516" i="2"/>
  <c r="H1516" i="2"/>
  <c r="I1516" i="2"/>
  <c r="J1512" i="2"/>
  <c r="H1512" i="2"/>
  <c r="I1512" i="2"/>
  <c r="J1508" i="2"/>
  <c r="H1508" i="2"/>
  <c r="I1508" i="2"/>
  <c r="J1504" i="2"/>
  <c r="H1504" i="2"/>
  <c r="I1504" i="2"/>
  <c r="J1500" i="2"/>
  <c r="H1500" i="2"/>
  <c r="I1500" i="2"/>
  <c r="J1496" i="2"/>
  <c r="H1496" i="2"/>
  <c r="I1496" i="2"/>
  <c r="J1492" i="2"/>
  <c r="H1492" i="2"/>
  <c r="I1492" i="2"/>
  <c r="J1488" i="2"/>
  <c r="H1488" i="2"/>
  <c r="I1488" i="2"/>
  <c r="J1484" i="2"/>
  <c r="H1484" i="2"/>
  <c r="I1484" i="2"/>
  <c r="J1480" i="2"/>
  <c r="H1480" i="2"/>
  <c r="I1480" i="2"/>
  <c r="J1476" i="2"/>
  <c r="H1476" i="2"/>
  <c r="I1476" i="2"/>
  <c r="J1472" i="2"/>
  <c r="H1472" i="2"/>
  <c r="I1472" i="2"/>
  <c r="J1468" i="2"/>
  <c r="H1468" i="2"/>
  <c r="I1468" i="2"/>
  <c r="J1464" i="2"/>
  <c r="H1464" i="2"/>
  <c r="I1464" i="2"/>
  <c r="J1460" i="2"/>
  <c r="H1460" i="2"/>
  <c r="I1460" i="2"/>
  <c r="J1456" i="2"/>
  <c r="H1456" i="2"/>
  <c r="I1456" i="2"/>
  <c r="J1452" i="2"/>
  <c r="H1452" i="2"/>
  <c r="I1452" i="2"/>
  <c r="J1448" i="2"/>
  <c r="H1448" i="2"/>
  <c r="I1448" i="2"/>
  <c r="J1444" i="2"/>
  <c r="H1444" i="2"/>
  <c r="I1444" i="2"/>
  <c r="J1440" i="2"/>
  <c r="H1440" i="2"/>
  <c r="I1440" i="2"/>
  <c r="J1436" i="2"/>
  <c r="H1436" i="2"/>
  <c r="I1436" i="2"/>
  <c r="J1432" i="2"/>
  <c r="H1432" i="2"/>
  <c r="I1432" i="2"/>
  <c r="J1428" i="2"/>
  <c r="H1428" i="2"/>
  <c r="I1428" i="2"/>
  <c r="J1424" i="2"/>
  <c r="H1424" i="2"/>
  <c r="I1424" i="2"/>
  <c r="J1420" i="2"/>
  <c r="H1420" i="2"/>
  <c r="I1420" i="2"/>
  <c r="J1416" i="2"/>
  <c r="H1416" i="2"/>
  <c r="I1416" i="2"/>
  <c r="J1412" i="2"/>
  <c r="H1412" i="2"/>
  <c r="I1412" i="2"/>
  <c r="J1408" i="2"/>
  <c r="H1408" i="2"/>
  <c r="I1408" i="2"/>
  <c r="J1404" i="2"/>
  <c r="H1404" i="2"/>
  <c r="I1404" i="2"/>
  <c r="J1400" i="2"/>
  <c r="H1400" i="2"/>
  <c r="I1400" i="2"/>
  <c r="J1396" i="2"/>
  <c r="H1396" i="2"/>
  <c r="I1396" i="2"/>
  <c r="J1392" i="2"/>
  <c r="H1392" i="2"/>
  <c r="I1392" i="2"/>
  <c r="H1388" i="2"/>
  <c r="I1388" i="2"/>
  <c r="J1388" i="2"/>
  <c r="H1384" i="2"/>
  <c r="I1384" i="2"/>
  <c r="J1384" i="2"/>
  <c r="I1380" i="2"/>
  <c r="J1380" i="2"/>
  <c r="H1380" i="2"/>
  <c r="J1376" i="2"/>
  <c r="H1376" i="2"/>
  <c r="I1376" i="2"/>
  <c r="H1372" i="2"/>
  <c r="I1372" i="2"/>
  <c r="J1372" i="2"/>
  <c r="H1368" i="2"/>
  <c r="I1368" i="2"/>
  <c r="J1368" i="2"/>
  <c r="I1364" i="2"/>
  <c r="J1364" i="2"/>
  <c r="H1364" i="2"/>
  <c r="J1360" i="2"/>
  <c r="H1360" i="2"/>
  <c r="I1360" i="2"/>
  <c r="H1356" i="2"/>
  <c r="I1356" i="2"/>
  <c r="J1356" i="2"/>
  <c r="H1352" i="2"/>
  <c r="I1352" i="2"/>
  <c r="J1352" i="2"/>
  <c r="I1348" i="2"/>
  <c r="J1348" i="2"/>
  <c r="H1348" i="2"/>
  <c r="J1344" i="2"/>
  <c r="I1344" i="2"/>
  <c r="H1344" i="2"/>
  <c r="J1340" i="2"/>
  <c r="H1340" i="2"/>
  <c r="I1340" i="2"/>
  <c r="J1336" i="2"/>
  <c r="I1336" i="2"/>
  <c r="H1336" i="2"/>
  <c r="J1332" i="2"/>
  <c r="H1332" i="2"/>
  <c r="I1332" i="2"/>
  <c r="J1328" i="2"/>
  <c r="I1328" i="2"/>
  <c r="H1328" i="2"/>
  <c r="J1324" i="2"/>
  <c r="H1324" i="2"/>
  <c r="I1324" i="2"/>
  <c r="J1320" i="2"/>
  <c r="I1320" i="2"/>
  <c r="H1320" i="2"/>
  <c r="J1316" i="2"/>
  <c r="H1316" i="2"/>
  <c r="I1316" i="2"/>
  <c r="J1312" i="2"/>
  <c r="I1312" i="2"/>
  <c r="H1312" i="2"/>
  <c r="J1308" i="2"/>
  <c r="H1308" i="2"/>
  <c r="I1308" i="2"/>
  <c r="J1304" i="2"/>
  <c r="I1304" i="2"/>
  <c r="H1304" i="2"/>
  <c r="J1300" i="2"/>
  <c r="H1300" i="2"/>
  <c r="I1300" i="2"/>
  <c r="J1296" i="2"/>
  <c r="I1296" i="2"/>
  <c r="H1296" i="2"/>
  <c r="J1292" i="2"/>
  <c r="H1292" i="2"/>
  <c r="I1292" i="2"/>
  <c r="J1288" i="2"/>
  <c r="I1288" i="2"/>
  <c r="H1288" i="2"/>
  <c r="J1284" i="2"/>
  <c r="H1284" i="2"/>
  <c r="I1284" i="2"/>
  <c r="J1280" i="2"/>
  <c r="I1280" i="2"/>
  <c r="H1280" i="2"/>
  <c r="J1276" i="2"/>
  <c r="H1276" i="2"/>
  <c r="I1276" i="2"/>
  <c r="J1272" i="2"/>
  <c r="I1272" i="2"/>
  <c r="H1272" i="2"/>
  <c r="J1268" i="2"/>
  <c r="H1268" i="2"/>
  <c r="I1268" i="2"/>
  <c r="J1264" i="2"/>
  <c r="I1264" i="2"/>
  <c r="H1264" i="2"/>
  <c r="J1260" i="2"/>
  <c r="H1260" i="2"/>
  <c r="I1260" i="2"/>
  <c r="J1256" i="2"/>
  <c r="I1256" i="2"/>
  <c r="H1256" i="2"/>
  <c r="J1252" i="2"/>
  <c r="H1252" i="2"/>
  <c r="I1252" i="2"/>
  <c r="J1248" i="2"/>
  <c r="I1248" i="2"/>
  <c r="H1248" i="2"/>
  <c r="J1244" i="2"/>
  <c r="H1244" i="2"/>
  <c r="I1244" i="2"/>
  <c r="J1240" i="2"/>
  <c r="I1240" i="2"/>
  <c r="H1240" i="2"/>
  <c r="J1236" i="2"/>
  <c r="H1236" i="2"/>
  <c r="I1236" i="2"/>
  <c r="J1232" i="2"/>
  <c r="I1232" i="2"/>
  <c r="H1232" i="2"/>
  <c r="J1228" i="2"/>
  <c r="H1228" i="2"/>
  <c r="I1228" i="2"/>
  <c r="J1224" i="2"/>
  <c r="I1224" i="2"/>
  <c r="H1224" i="2"/>
  <c r="J1220" i="2"/>
  <c r="H1220" i="2"/>
  <c r="I1220" i="2"/>
  <c r="J1216" i="2"/>
  <c r="I1216" i="2"/>
  <c r="H1216" i="2"/>
  <c r="J1212" i="2"/>
  <c r="H1212" i="2"/>
  <c r="I1212" i="2"/>
  <c r="J1208" i="2"/>
  <c r="I1208" i="2"/>
  <c r="H1208" i="2"/>
  <c r="J1204" i="2"/>
  <c r="H1204" i="2"/>
  <c r="I1204" i="2"/>
  <c r="J1200" i="2"/>
  <c r="I1200" i="2"/>
  <c r="H1200" i="2"/>
  <c r="J1196" i="2"/>
  <c r="H1196" i="2"/>
  <c r="I1196" i="2"/>
  <c r="J1192" i="2"/>
  <c r="I1192" i="2"/>
  <c r="H1192" i="2"/>
  <c r="J1188" i="2"/>
  <c r="H1188" i="2"/>
  <c r="I1188" i="2"/>
  <c r="J1184" i="2"/>
  <c r="I1184" i="2"/>
  <c r="H1184" i="2"/>
  <c r="J1180" i="2"/>
  <c r="H1180" i="2"/>
  <c r="I1180" i="2"/>
  <c r="J1176" i="2"/>
  <c r="I1176" i="2"/>
  <c r="H1176" i="2"/>
  <c r="H1172" i="2"/>
  <c r="I1172" i="2"/>
  <c r="J1172" i="2"/>
  <c r="H1168" i="2"/>
  <c r="I1168" i="2"/>
  <c r="J1168" i="2"/>
  <c r="H1164" i="2"/>
  <c r="I1164" i="2"/>
  <c r="J1164" i="2"/>
  <c r="H1160" i="2"/>
  <c r="I1160" i="2"/>
  <c r="J1160" i="2"/>
  <c r="H1156" i="2"/>
  <c r="I1156" i="2"/>
  <c r="J1156" i="2"/>
  <c r="H1152" i="2"/>
  <c r="I1152" i="2"/>
  <c r="J1152" i="2"/>
  <c r="H1148" i="2"/>
  <c r="I1148" i="2"/>
  <c r="J1148" i="2"/>
  <c r="H1144" i="2"/>
  <c r="I1144" i="2"/>
  <c r="J1144" i="2"/>
  <c r="H1140" i="2"/>
  <c r="I1140" i="2"/>
  <c r="J1140" i="2"/>
  <c r="H1136" i="2"/>
  <c r="I1136" i="2"/>
  <c r="J1136" i="2"/>
  <c r="H1132" i="2"/>
  <c r="I1132" i="2"/>
  <c r="J1132" i="2"/>
  <c r="H1128" i="2"/>
  <c r="I1128" i="2"/>
  <c r="J1128" i="2"/>
  <c r="H1124" i="2"/>
  <c r="I1124" i="2"/>
  <c r="J1124" i="2"/>
  <c r="H1120" i="2"/>
  <c r="I1120" i="2"/>
  <c r="J1120" i="2"/>
  <c r="H1116" i="2"/>
  <c r="I1116" i="2"/>
  <c r="J1116" i="2"/>
  <c r="H1112" i="2"/>
  <c r="I1112" i="2"/>
  <c r="J1112" i="2"/>
  <c r="H1108" i="2"/>
  <c r="I1108" i="2"/>
  <c r="J1108" i="2"/>
  <c r="H1104" i="2"/>
  <c r="I1104" i="2"/>
  <c r="J1104" i="2"/>
  <c r="H1100" i="2"/>
  <c r="I1100" i="2"/>
  <c r="J1100" i="2"/>
  <c r="H1096" i="2"/>
  <c r="I1096" i="2"/>
  <c r="J1096" i="2"/>
  <c r="H1092" i="2"/>
  <c r="I1092" i="2"/>
  <c r="J1092" i="2"/>
  <c r="H1088" i="2"/>
  <c r="I1088" i="2"/>
  <c r="J1088" i="2"/>
  <c r="H1084" i="2"/>
  <c r="I1084" i="2"/>
  <c r="J1084" i="2"/>
  <c r="H1080" i="2"/>
  <c r="I1080" i="2"/>
  <c r="J1080" i="2"/>
  <c r="H1076" i="2"/>
  <c r="I1076" i="2"/>
  <c r="J1076" i="2"/>
  <c r="H1072" i="2"/>
  <c r="I1072" i="2"/>
  <c r="J1072" i="2"/>
  <c r="H1068" i="2"/>
  <c r="I1068" i="2"/>
  <c r="J1068" i="2"/>
  <c r="H1064" i="2"/>
  <c r="I1064" i="2"/>
  <c r="J1064" i="2"/>
  <c r="H1060" i="2"/>
  <c r="I1060" i="2"/>
  <c r="J1060" i="2"/>
  <c r="H1056" i="2"/>
  <c r="I1056" i="2"/>
  <c r="J1056" i="2"/>
  <c r="H1052" i="2"/>
  <c r="I1052" i="2"/>
  <c r="J1052" i="2"/>
  <c r="H1048" i="2"/>
  <c r="I1048" i="2"/>
  <c r="J1048" i="2"/>
  <c r="H1044" i="2"/>
  <c r="I1044" i="2"/>
  <c r="J1044" i="2"/>
  <c r="H1040" i="2"/>
  <c r="I1040" i="2"/>
  <c r="J1040" i="2"/>
  <c r="H1036" i="2"/>
  <c r="I1036" i="2"/>
  <c r="J1036" i="2"/>
  <c r="H1032" i="2"/>
  <c r="I1032" i="2"/>
  <c r="J1032" i="2"/>
  <c r="H1028" i="2"/>
  <c r="I1028" i="2"/>
  <c r="J1028" i="2"/>
  <c r="H1024" i="2"/>
  <c r="I1024" i="2"/>
  <c r="J1024" i="2"/>
  <c r="H1020" i="2"/>
  <c r="I1020" i="2"/>
  <c r="J1020" i="2"/>
  <c r="H1016" i="2"/>
  <c r="I1016" i="2"/>
  <c r="J1016" i="2"/>
  <c r="H1012" i="2"/>
  <c r="I1012" i="2"/>
  <c r="J1012" i="2"/>
  <c r="H1008" i="2"/>
  <c r="I1008" i="2"/>
  <c r="J1008" i="2"/>
  <c r="H1004" i="2"/>
  <c r="I1004" i="2"/>
  <c r="J1004" i="2"/>
  <c r="H1000" i="2"/>
  <c r="I1000" i="2"/>
  <c r="J1000" i="2"/>
  <c r="H996" i="2"/>
  <c r="I996" i="2"/>
  <c r="J996" i="2"/>
  <c r="H992" i="2"/>
  <c r="I992" i="2"/>
  <c r="J992" i="2"/>
  <c r="H988" i="2"/>
  <c r="I988" i="2"/>
  <c r="J988" i="2"/>
  <c r="H984" i="2"/>
  <c r="I984" i="2"/>
  <c r="J984" i="2"/>
  <c r="H980" i="2"/>
  <c r="I980" i="2"/>
  <c r="J980" i="2"/>
  <c r="H976" i="2"/>
  <c r="I976" i="2"/>
  <c r="J976" i="2"/>
  <c r="H972" i="2"/>
  <c r="I972" i="2"/>
  <c r="J972" i="2"/>
  <c r="H968" i="2"/>
  <c r="I968" i="2"/>
  <c r="J968" i="2"/>
  <c r="H964" i="2"/>
  <c r="I964" i="2"/>
  <c r="J964" i="2"/>
  <c r="H960" i="2"/>
  <c r="I960" i="2"/>
  <c r="J960" i="2"/>
  <c r="H956" i="2"/>
  <c r="I956" i="2"/>
  <c r="J956" i="2"/>
  <c r="H952" i="2"/>
  <c r="I952" i="2"/>
  <c r="J952" i="2"/>
  <c r="H948" i="2"/>
  <c r="I948" i="2"/>
  <c r="J948" i="2"/>
  <c r="H944" i="2"/>
  <c r="I944" i="2"/>
  <c r="J944" i="2"/>
  <c r="H940" i="2"/>
  <c r="I940" i="2"/>
  <c r="J940" i="2"/>
  <c r="H936" i="2"/>
  <c r="I936" i="2"/>
  <c r="J936" i="2"/>
  <c r="H932" i="2"/>
  <c r="I932" i="2"/>
  <c r="J932" i="2"/>
  <c r="H928" i="2"/>
  <c r="I928" i="2"/>
  <c r="J928" i="2"/>
  <c r="H924" i="2"/>
  <c r="I924" i="2"/>
  <c r="J924" i="2"/>
  <c r="H920" i="2"/>
  <c r="I920" i="2"/>
  <c r="J920" i="2"/>
  <c r="H916" i="2"/>
  <c r="I916" i="2"/>
  <c r="J916" i="2"/>
  <c r="H912" i="2"/>
  <c r="I912" i="2"/>
  <c r="J912" i="2"/>
  <c r="H908" i="2"/>
  <c r="I908" i="2"/>
  <c r="J908" i="2"/>
  <c r="H904" i="2"/>
  <c r="I904" i="2"/>
  <c r="J904" i="2"/>
  <c r="H900" i="2"/>
  <c r="I900" i="2"/>
  <c r="J900" i="2"/>
  <c r="H896" i="2"/>
  <c r="I896" i="2"/>
  <c r="J896" i="2"/>
  <c r="H892" i="2"/>
  <c r="I892" i="2"/>
  <c r="J892" i="2"/>
  <c r="H888" i="2"/>
  <c r="I888" i="2"/>
  <c r="J888" i="2"/>
  <c r="H884" i="2"/>
  <c r="I884" i="2"/>
  <c r="J884" i="2"/>
  <c r="H880" i="2"/>
  <c r="I880" i="2"/>
  <c r="J880" i="2"/>
  <c r="H876" i="2"/>
  <c r="I876" i="2"/>
  <c r="J876" i="2"/>
  <c r="H872" i="2"/>
  <c r="I872" i="2"/>
  <c r="J872" i="2"/>
  <c r="H868" i="2"/>
  <c r="I868" i="2"/>
  <c r="J868" i="2"/>
  <c r="H840" i="2"/>
  <c r="J840" i="2"/>
  <c r="H836" i="2"/>
  <c r="J836" i="2"/>
  <c r="J2109" i="2"/>
  <c r="H2106" i="2"/>
  <c r="J2103" i="2"/>
  <c r="H2101" i="2"/>
  <c r="I2098" i="2"/>
  <c r="J2095" i="2"/>
  <c r="H2093" i="2"/>
  <c r="I2090" i="2"/>
  <c r="J2087" i="2"/>
  <c r="H2085" i="2"/>
  <c r="I2082" i="2"/>
  <c r="J2079" i="2"/>
  <c r="H2077" i="2"/>
  <c r="I2074" i="2"/>
  <c r="J2071" i="2"/>
  <c r="H2069" i="2"/>
  <c r="I2066" i="2"/>
  <c r="J2063" i="2"/>
  <c r="H2061" i="2"/>
  <c r="I2058" i="2"/>
  <c r="I2054" i="2"/>
  <c r="H2049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H842" i="2"/>
  <c r="I841" i="2"/>
  <c r="H841" i="2"/>
  <c r="I840" i="2"/>
  <c r="I839" i="2"/>
  <c r="J838" i="2"/>
  <c r="I837" i="2"/>
  <c r="I836" i="2"/>
  <c r="AI17" i="11" l="1" a="1"/>
  <c r="AI17" i="11" s="1"/>
  <c r="AG5" i="11"/>
  <c r="B3" i="11"/>
  <c r="C3" i="11"/>
  <c r="AK17" i="11" l="1" a="1"/>
  <c r="AK17" i="11" s="1"/>
  <c r="AJ17" i="11" a="1"/>
  <c r="AJ17" i="11" s="1"/>
  <c r="AG3" i="11"/>
  <c r="AK69" i="11" l="1" a="1"/>
  <c r="AK69" i="11" s="1"/>
  <c r="AJ69" i="11" l="1" a="1"/>
  <c r="AJ69" i="11" s="1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W844" i="2"/>
  <c r="R844" i="2" l="1"/>
  <c r="U844" i="2"/>
  <c r="S844" i="2"/>
  <c r="T844" i="2" s="1"/>
  <c r="AI6" i="11" l="1" a="1"/>
  <c r="AI6" i="11" s="1"/>
  <c r="AI8" i="11" a="1"/>
  <c r="AI8" i="11" s="1"/>
  <c r="AI9" i="11" a="1"/>
  <c r="AI9" i="11" s="1"/>
  <c r="AI10" i="11" a="1"/>
  <c r="AI10" i="11" s="1"/>
  <c r="AI11" i="11" a="1"/>
  <c r="AI11" i="11" s="1"/>
  <c r="AI12" i="11" a="1"/>
  <c r="AI12" i="11" s="1"/>
  <c r="AI13" i="11" a="1"/>
  <c r="AI13" i="11" s="1"/>
  <c r="AI15" i="11" a="1"/>
  <c r="AI15" i="11" s="1"/>
  <c r="AI16" i="11" a="1"/>
  <c r="AI16" i="11" s="1"/>
  <c r="AI20" i="11" a="1"/>
  <c r="AI20" i="11" s="1"/>
  <c r="AI21" i="11" a="1"/>
  <c r="AI21" i="11" s="1"/>
  <c r="AI22" i="11" a="1"/>
  <c r="AI22" i="11" s="1"/>
  <c r="AI23" i="11" a="1"/>
  <c r="AI23" i="11" s="1"/>
  <c r="AI25" i="11" a="1"/>
  <c r="AI25" i="11" s="1"/>
  <c r="AI26" i="11" a="1"/>
  <c r="AI26" i="11" s="1"/>
  <c r="AI27" i="11" a="1"/>
  <c r="AI27" i="11" s="1"/>
  <c r="AI28" i="11" a="1"/>
  <c r="AI28" i="11" s="1"/>
  <c r="AJ25" i="11" l="1" a="1"/>
  <c r="AJ25" i="11" s="1"/>
  <c r="AK25" i="11" a="1"/>
  <c r="AK25" i="11" s="1"/>
  <c r="AJ23" i="11" a="1"/>
  <c r="AJ23" i="11" s="1"/>
  <c r="AK23" i="11" a="1"/>
  <c r="AK23" i="11" s="1"/>
  <c r="AK22" i="11" a="1"/>
  <c r="AK22" i="11" s="1"/>
  <c r="AJ22" i="11" a="1"/>
  <c r="AJ22" i="11" s="1"/>
  <c r="AJ21" i="11" a="1"/>
  <c r="AJ21" i="11" s="1"/>
  <c r="AK21" i="11" a="1"/>
  <c r="AK21" i="11" s="1"/>
  <c r="AJ28" i="11" a="1"/>
  <c r="AJ28" i="11" s="1"/>
  <c r="AK28" i="11" a="1"/>
  <c r="AK28" i="11" s="1"/>
  <c r="AJ20" i="11" a="1"/>
  <c r="AJ20" i="11" s="1"/>
  <c r="AK20" i="11" a="1"/>
  <c r="AK20" i="11" s="1"/>
  <c r="AJ27" i="11" a="1"/>
  <c r="AJ27" i="11" s="1"/>
  <c r="AK27" i="11" a="1"/>
  <c r="AK27" i="11" s="1"/>
  <c r="AK16" i="11" a="1"/>
  <c r="AK16" i="11" s="1"/>
  <c r="AJ16" i="11" a="1"/>
  <c r="AJ16" i="11" s="1"/>
  <c r="AJ26" i="11" a="1"/>
  <c r="AJ26" i="11" s="1"/>
  <c r="AK26" i="11" a="1"/>
  <c r="AK26" i="11" s="1"/>
  <c r="AK15" i="11" a="1"/>
  <c r="AK15" i="11" s="1"/>
  <c r="AJ15" i="11" a="1"/>
  <c r="AJ15" i="11" s="1"/>
  <c r="AK13" i="11" a="1"/>
  <c r="AK13" i="11" s="1"/>
  <c r="AJ13" i="11" a="1"/>
  <c r="AJ13" i="11" s="1"/>
  <c r="AJ12" i="11" a="1"/>
  <c r="AJ12" i="11" s="1"/>
  <c r="AK12" i="11" a="1"/>
  <c r="AK12" i="11" s="1"/>
  <c r="AJ11" i="11" a="1"/>
  <c r="AJ11" i="11" s="1"/>
  <c r="AK11" i="11" a="1"/>
  <c r="AK11" i="11" s="1"/>
  <c r="AJ10" i="11" a="1"/>
  <c r="AJ10" i="11" s="1"/>
  <c r="AK10" i="11" a="1"/>
  <c r="AK10" i="11" s="1"/>
  <c r="AJ9" i="11" a="1"/>
  <c r="AJ9" i="11" s="1"/>
  <c r="AK9" i="11" a="1"/>
  <c r="AK9" i="11" s="1"/>
  <c r="AJ8" i="11" a="1"/>
  <c r="AJ8" i="11" s="1"/>
  <c r="AK8" i="11" a="1"/>
  <c r="AK8" i="11" s="1"/>
  <c r="AK6" i="11" a="1"/>
  <c r="AK6" i="11" s="1"/>
  <c r="AJ6" i="11" a="1"/>
  <c r="AJ6" i="11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G30" i="2"/>
  <c r="H30" i="2" s="1"/>
  <c r="G31" i="2"/>
  <c r="I31" i="2" s="1"/>
  <c r="G32" i="2"/>
  <c r="I32" i="2" s="1"/>
  <c r="G33" i="2"/>
  <c r="G34" i="2"/>
  <c r="H34" i="2" s="1"/>
  <c r="G35" i="2"/>
  <c r="I35" i="2" s="1"/>
  <c r="G36" i="2"/>
  <c r="I36" i="2" s="1"/>
  <c r="G37" i="2"/>
  <c r="G38" i="2"/>
  <c r="H38" i="2" s="1"/>
  <c r="G39" i="2"/>
  <c r="I39" i="2" s="1"/>
  <c r="G40" i="2"/>
  <c r="I40" i="2" s="1"/>
  <c r="G41" i="2"/>
  <c r="G42" i="2"/>
  <c r="H42" i="2" s="1"/>
  <c r="G43" i="2"/>
  <c r="I43" i="2" s="1"/>
  <c r="G44" i="2"/>
  <c r="I44" i="2" s="1"/>
  <c r="G45" i="2"/>
  <c r="G46" i="2"/>
  <c r="H46" i="2" s="1"/>
  <c r="G47" i="2"/>
  <c r="I47" i="2" s="1"/>
  <c r="G48" i="2"/>
  <c r="I48" i="2" s="1"/>
  <c r="G49" i="2"/>
  <c r="G50" i="2"/>
  <c r="H50" i="2" s="1"/>
  <c r="G51" i="2"/>
  <c r="I51" i="2" s="1"/>
  <c r="G52" i="2"/>
  <c r="I52" i="2" s="1"/>
  <c r="G53" i="2"/>
  <c r="G54" i="2"/>
  <c r="H54" i="2" s="1"/>
  <c r="G55" i="2"/>
  <c r="I55" i="2" s="1"/>
  <c r="G56" i="2"/>
  <c r="I56" i="2" s="1"/>
  <c r="G57" i="2"/>
  <c r="G58" i="2"/>
  <c r="H58" i="2" s="1"/>
  <c r="G59" i="2"/>
  <c r="I59" i="2" s="1"/>
  <c r="G60" i="2"/>
  <c r="I60" i="2" s="1"/>
  <c r="G61" i="2"/>
  <c r="G62" i="2"/>
  <c r="H62" i="2" s="1"/>
  <c r="G63" i="2"/>
  <c r="I63" i="2" s="1"/>
  <c r="G64" i="2"/>
  <c r="I64" i="2" s="1"/>
  <c r="G65" i="2"/>
  <c r="G66" i="2"/>
  <c r="H66" i="2" s="1"/>
  <c r="G67" i="2"/>
  <c r="I67" i="2" s="1"/>
  <c r="G68" i="2"/>
  <c r="I68" i="2" s="1"/>
  <c r="G69" i="2"/>
  <c r="G70" i="2"/>
  <c r="H70" i="2" s="1"/>
  <c r="G71" i="2"/>
  <c r="I71" i="2" s="1"/>
  <c r="G72" i="2"/>
  <c r="I72" i="2" s="1"/>
  <c r="G73" i="2"/>
  <c r="G74" i="2"/>
  <c r="H74" i="2" s="1"/>
  <c r="G75" i="2"/>
  <c r="I75" i="2" s="1"/>
  <c r="G76" i="2"/>
  <c r="I76" i="2" s="1"/>
  <c r="G77" i="2"/>
  <c r="G78" i="2"/>
  <c r="H78" i="2" s="1"/>
  <c r="G79" i="2"/>
  <c r="I79" i="2" s="1"/>
  <c r="G80" i="2"/>
  <c r="I80" i="2" s="1"/>
  <c r="G81" i="2"/>
  <c r="G82" i="2"/>
  <c r="H82" i="2" s="1"/>
  <c r="G83" i="2"/>
  <c r="I83" i="2" s="1"/>
  <c r="G84" i="2"/>
  <c r="I84" i="2" s="1"/>
  <c r="G85" i="2"/>
  <c r="G86" i="2"/>
  <c r="G87" i="2"/>
  <c r="I87" i="2" s="1"/>
  <c r="G88" i="2"/>
  <c r="G89" i="2"/>
  <c r="G90" i="2"/>
  <c r="I90" i="2" s="1"/>
  <c r="G91" i="2"/>
  <c r="I91" i="2" s="1"/>
  <c r="G92" i="2"/>
  <c r="I92" i="2" s="1"/>
  <c r="G93" i="2"/>
  <c r="J93" i="2" s="1"/>
  <c r="G94" i="2"/>
  <c r="I94" i="2" s="1"/>
  <c r="G95" i="2"/>
  <c r="J95" i="2" s="1"/>
  <c r="G96" i="2"/>
  <c r="I96" i="2" s="1"/>
  <c r="G97" i="2"/>
  <c r="J97" i="2" s="1"/>
  <c r="G98" i="2"/>
  <c r="I98" i="2" s="1"/>
  <c r="G99" i="2"/>
  <c r="G100" i="2"/>
  <c r="I100" i="2" s="1"/>
  <c r="G101" i="2"/>
  <c r="G102" i="2"/>
  <c r="G103" i="2"/>
  <c r="J103" i="2" s="1"/>
  <c r="G104" i="2"/>
  <c r="I104" i="2" s="1"/>
  <c r="G105" i="2"/>
  <c r="J105" i="2" s="1"/>
  <c r="G106" i="2"/>
  <c r="I106" i="2" s="1"/>
  <c r="G107" i="2"/>
  <c r="J107" i="2" s="1"/>
  <c r="G108" i="2"/>
  <c r="I108" i="2" s="1"/>
  <c r="G109" i="2"/>
  <c r="J109" i="2" s="1"/>
  <c r="G110" i="2"/>
  <c r="I110" i="2" s="1"/>
  <c r="G111" i="2"/>
  <c r="J111" i="2" s="1"/>
  <c r="G112" i="2"/>
  <c r="H112" i="2" s="1"/>
  <c r="G113" i="2"/>
  <c r="I113" i="2" s="1"/>
  <c r="G114" i="2"/>
  <c r="I114" i="2" s="1"/>
  <c r="G115" i="2"/>
  <c r="J115" i="2" s="1"/>
  <c r="G116" i="2"/>
  <c r="H116" i="2" s="1"/>
  <c r="G117" i="2"/>
  <c r="I117" i="2" s="1"/>
  <c r="G118" i="2"/>
  <c r="I118" i="2" s="1"/>
  <c r="G119" i="2"/>
  <c r="J119" i="2" s="1"/>
  <c r="G120" i="2"/>
  <c r="H120" i="2" s="1"/>
  <c r="G121" i="2"/>
  <c r="I121" i="2" s="1"/>
  <c r="G122" i="2"/>
  <c r="I122" i="2" s="1"/>
  <c r="G123" i="2"/>
  <c r="J123" i="2" s="1"/>
  <c r="G124" i="2"/>
  <c r="H124" i="2" s="1"/>
  <c r="G125" i="2"/>
  <c r="I125" i="2" s="1"/>
  <c r="G126" i="2"/>
  <c r="I126" i="2" s="1"/>
  <c r="G127" i="2"/>
  <c r="J127" i="2" s="1"/>
  <c r="G128" i="2"/>
  <c r="H128" i="2" s="1"/>
  <c r="G129" i="2"/>
  <c r="I129" i="2" s="1"/>
  <c r="G130" i="2"/>
  <c r="I130" i="2" s="1"/>
  <c r="G131" i="2"/>
  <c r="J131" i="2" s="1"/>
  <c r="G132" i="2"/>
  <c r="I132" i="2" s="1"/>
  <c r="G133" i="2"/>
  <c r="I133" i="2" s="1"/>
  <c r="G134" i="2"/>
  <c r="I134" i="2" s="1"/>
  <c r="G135" i="2"/>
  <c r="G136" i="2"/>
  <c r="I136" i="2" s="1"/>
  <c r="G137" i="2"/>
  <c r="I137" i="2" s="1"/>
  <c r="G138" i="2"/>
  <c r="I138" i="2" s="1"/>
  <c r="G139" i="2"/>
  <c r="G140" i="2"/>
  <c r="G141" i="2"/>
  <c r="I141" i="2" s="1"/>
  <c r="G142" i="2"/>
  <c r="I142" i="2" s="1"/>
  <c r="G143" i="2"/>
  <c r="G144" i="2"/>
  <c r="H144" i="2" s="1"/>
  <c r="G145" i="2"/>
  <c r="I145" i="2" s="1"/>
  <c r="G146" i="2"/>
  <c r="I146" i="2" s="1"/>
  <c r="G147" i="2"/>
  <c r="J147" i="2" s="1"/>
  <c r="G148" i="2"/>
  <c r="H148" i="2" s="1"/>
  <c r="G149" i="2"/>
  <c r="I149" i="2" s="1"/>
  <c r="G150" i="2"/>
  <c r="I150" i="2" s="1"/>
  <c r="G151" i="2"/>
  <c r="J151" i="2" s="1"/>
  <c r="G152" i="2"/>
  <c r="H152" i="2" s="1"/>
  <c r="G153" i="2"/>
  <c r="I153" i="2" s="1"/>
  <c r="G154" i="2"/>
  <c r="I154" i="2" s="1"/>
  <c r="G155" i="2"/>
  <c r="J155" i="2" s="1"/>
  <c r="G156" i="2"/>
  <c r="H156" i="2" s="1"/>
  <c r="G157" i="2"/>
  <c r="I157" i="2" s="1"/>
  <c r="G158" i="2"/>
  <c r="I158" i="2" s="1"/>
  <c r="G159" i="2"/>
  <c r="J159" i="2" s="1"/>
  <c r="G160" i="2"/>
  <c r="H160" i="2" s="1"/>
  <c r="G161" i="2"/>
  <c r="I161" i="2" s="1"/>
  <c r="G162" i="2"/>
  <c r="I162" i="2" s="1"/>
  <c r="G163" i="2"/>
  <c r="J163" i="2" s="1"/>
  <c r="G164" i="2"/>
  <c r="H164" i="2" s="1"/>
  <c r="G165" i="2"/>
  <c r="I165" i="2" s="1"/>
  <c r="G166" i="2"/>
  <c r="I166" i="2" s="1"/>
  <c r="G167" i="2"/>
  <c r="J167" i="2" s="1"/>
  <c r="G168" i="2"/>
  <c r="H168" i="2" s="1"/>
  <c r="G169" i="2"/>
  <c r="I169" i="2" s="1"/>
  <c r="G170" i="2"/>
  <c r="I170" i="2" s="1"/>
  <c r="G171" i="2"/>
  <c r="J171" i="2" s="1"/>
  <c r="G172" i="2"/>
  <c r="H172" i="2" s="1"/>
  <c r="G173" i="2"/>
  <c r="I173" i="2" s="1"/>
  <c r="G174" i="2"/>
  <c r="I174" i="2" s="1"/>
  <c r="G175" i="2"/>
  <c r="J175" i="2" s="1"/>
  <c r="G176" i="2"/>
  <c r="H176" i="2" s="1"/>
  <c r="G177" i="2"/>
  <c r="I177" i="2" s="1"/>
  <c r="G178" i="2"/>
  <c r="I178" i="2" s="1"/>
  <c r="G179" i="2"/>
  <c r="J179" i="2" s="1"/>
  <c r="G180" i="2"/>
  <c r="H180" i="2" s="1"/>
  <c r="G181" i="2"/>
  <c r="I181" i="2" s="1"/>
  <c r="G182" i="2"/>
  <c r="I182" i="2" s="1"/>
  <c r="G183" i="2"/>
  <c r="J183" i="2" s="1"/>
  <c r="G184" i="2"/>
  <c r="H184" i="2" s="1"/>
  <c r="G185" i="2"/>
  <c r="I185" i="2" s="1"/>
  <c r="G186" i="2"/>
  <c r="I186" i="2" s="1"/>
  <c r="G187" i="2"/>
  <c r="J187" i="2" s="1"/>
  <c r="G188" i="2"/>
  <c r="H188" i="2" s="1"/>
  <c r="G189" i="2"/>
  <c r="J189" i="2" s="1"/>
  <c r="G190" i="2"/>
  <c r="J190" i="2" s="1"/>
  <c r="G191" i="2"/>
  <c r="J191" i="2" s="1"/>
  <c r="G192" i="2"/>
  <c r="J192" i="2" s="1"/>
  <c r="G193" i="2"/>
  <c r="J193" i="2" s="1"/>
  <c r="G194" i="2"/>
  <c r="J194" i="2" s="1"/>
  <c r="G195" i="2"/>
  <c r="J195" i="2" s="1"/>
  <c r="G196" i="2"/>
  <c r="J196" i="2" s="1"/>
  <c r="G197" i="2"/>
  <c r="J197" i="2" s="1"/>
  <c r="G198" i="2"/>
  <c r="J198" i="2" s="1"/>
  <c r="G199" i="2"/>
  <c r="J199" i="2" s="1"/>
  <c r="G200" i="2"/>
  <c r="J200" i="2" s="1"/>
  <c r="G201" i="2"/>
  <c r="J201" i="2" s="1"/>
  <c r="G202" i="2"/>
  <c r="J202" i="2" s="1"/>
  <c r="G203" i="2"/>
  <c r="J203" i="2" s="1"/>
  <c r="G204" i="2"/>
  <c r="J204" i="2" s="1"/>
  <c r="G205" i="2"/>
  <c r="J205" i="2" s="1"/>
  <c r="G206" i="2"/>
  <c r="J206" i="2" s="1"/>
  <c r="G207" i="2"/>
  <c r="J207" i="2" s="1"/>
  <c r="G208" i="2"/>
  <c r="J208" i="2" s="1"/>
  <c r="G209" i="2"/>
  <c r="J209" i="2" s="1"/>
  <c r="G210" i="2"/>
  <c r="J210" i="2" s="1"/>
  <c r="G211" i="2"/>
  <c r="J211" i="2" s="1"/>
  <c r="G212" i="2"/>
  <c r="J212" i="2" s="1"/>
  <c r="G213" i="2"/>
  <c r="J213" i="2" s="1"/>
  <c r="G214" i="2"/>
  <c r="J214" i="2" s="1"/>
  <c r="G215" i="2"/>
  <c r="J215" i="2" s="1"/>
  <c r="G216" i="2"/>
  <c r="J216" i="2" s="1"/>
  <c r="G217" i="2"/>
  <c r="J217" i="2" s="1"/>
  <c r="G218" i="2"/>
  <c r="G219" i="2"/>
  <c r="J219" i="2" s="1"/>
  <c r="G220" i="2"/>
  <c r="J220" i="2" s="1"/>
  <c r="G221" i="2"/>
  <c r="J221" i="2" s="1"/>
  <c r="G222" i="2"/>
  <c r="G223" i="2"/>
  <c r="J223" i="2" s="1"/>
  <c r="G224" i="2"/>
  <c r="J224" i="2" s="1"/>
  <c r="G225" i="2"/>
  <c r="J225" i="2" s="1"/>
  <c r="G226" i="2"/>
  <c r="G227" i="2"/>
  <c r="J227" i="2" s="1"/>
  <c r="G228" i="2"/>
  <c r="J228" i="2" s="1"/>
  <c r="G229" i="2"/>
  <c r="J229" i="2" s="1"/>
  <c r="G230" i="2"/>
  <c r="G231" i="2"/>
  <c r="J231" i="2" s="1"/>
  <c r="G232" i="2"/>
  <c r="J232" i="2" s="1"/>
  <c r="G233" i="2"/>
  <c r="J233" i="2" s="1"/>
  <c r="G234" i="2"/>
  <c r="G235" i="2"/>
  <c r="J235" i="2" s="1"/>
  <c r="G236" i="2"/>
  <c r="J236" i="2" s="1"/>
  <c r="G237" i="2"/>
  <c r="J237" i="2" s="1"/>
  <c r="G238" i="2"/>
  <c r="G239" i="2"/>
  <c r="J239" i="2" s="1"/>
  <c r="G240" i="2"/>
  <c r="J240" i="2" s="1"/>
  <c r="G241" i="2"/>
  <c r="J241" i="2" s="1"/>
  <c r="G242" i="2"/>
  <c r="I242" i="2" s="1"/>
  <c r="G243" i="2"/>
  <c r="G244" i="2"/>
  <c r="I244" i="2" s="1"/>
  <c r="G245" i="2"/>
  <c r="J245" i="2" s="1"/>
  <c r="G246" i="2"/>
  <c r="I246" i="2" s="1"/>
  <c r="G247" i="2"/>
  <c r="G248" i="2"/>
  <c r="I248" i="2" s="1"/>
  <c r="G249" i="2"/>
  <c r="G250" i="2"/>
  <c r="G251" i="2"/>
  <c r="H251" i="2" s="1"/>
  <c r="G252" i="2"/>
  <c r="J252" i="2" s="1"/>
  <c r="G253" i="2"/>
  <c r="G254" i="2"/>
  <c r="I254" i="2" s="1"/>
  <c r="G255" i="2"/>
  <c r="G256" i="2"/>
  <c r="G257" i="2"/>
  <c r="G258" i="2"/>
  <c r="G259" i="2"/>
  <c r="H259" i="2" s="1"/>
  <c r="G260" i="2"/>
  <c r="J260" i="2" s="1"/>
  <c r="G261" i="2"/>
  <c r="G262" i="2"/>
  <c r="I262" i="2" s="1"/>
  <c r="G263" i="2"/>
  <c r="G264" i="2"/>
  <c r="G265" i="2"/>
  <c r="J265" i="2" s="1"/>
  <c r="G266" i="2"/>
  <c r="G267" i="2"/>
  <c r="H267" i="2" s="1"/>
  <c r="G268" i="2"/>
  <c r="J268" i="2" s="1"/>
  <c r="G269" i="2"/>
  <c r="G270" i="2"/>
  <c r="I270" i="2" s="1"/>
  <c r="G271" i="2"/>
  <c r="G272" i="2"/>
  <c r="J272" i="2" s="1"/>
  <c r="G273" i="2"/>
  <c r="G274" i="2"/>
  <c r="G275" i="2"/>
  <c r="H275" i="2" s="1"/>
  <c r="G276" i="2"/>
  <c r="J276" i="2" s="1"/>
  <c r="G277" i="2"/>
  <c r="G278" i="2"/>
  <c r="I278" i="2" s="1"/>
  <c r="G279" i="2"/>
  <c r="G280" i="2"/>
  <c r="J280" i="2" s="1"/>
  <c r="G281" i="2"/>
  <c r="G282" i="2"/>
  <c r="G283" i="2"/>
  <c r="H283" i="2" s="1"/>
  <c r="G284" i="2"/>
  <c r="J284" i="2" s="1"/>
  <c r="G285" i="2"/>
  <c r="J285" i="2" s="1"/>
  <c r="G286" i="2"/>
  <c r="I286" i="2" s="1"/>
  <c r="G287" i="2"/>
  <c r="G288" i="2"/>
  <c r="J288" i="2" s="1"/>
  <c r="G289" i="2"/>
  <c r="G290" i="2"/>
  <c r="G291" i="2"/>
  <c r="H291" i="2" s="1"/>
  <c r="G292" i="2"/>
  <c r="J292" i="2" s="1"/>
  <c r="G293" i="2"/>
  <c r="J293" i="2" s="1"/>
  <c r="G294" i="2"/>
  <c r="I294" i="2" s="1"/>
  <c r="G295" i="2"/>
  <c r="G296" i="2"/>
  <c r="G297" i="2"/>
  <c r="G298" i="2"/>
  <c r="G299" i="2"/>
  <c r="H299" i="2" s="1"/>
  <c r="G300" i="2"/>
  <c r="J300" i="2" s="1"/>
  <c r="G301" i="2"/>
  <c r="G302" i="2"/>
  <c r="I302" i="2" s="1"/>
  <c r="G303" i="2"/>
  <c r="G304" i="2"/>
  <c r="G305" i="2"/>
  <c r="J305" i="2" s="1"/>
  <c r="G306" i="2"/>
  <c r="G307" i="2"/>
  <c r="H307" i="2" s="1"/>
  <c r="G308" i="2"/>
  <c r="J308" i="2" s="1"/>
  <c r="G309" i="2"/>
  <c r="H309" i="2" s="1"/>
  <c r="G310" i="2"/>
  <c r="I310" i="2" s="1"/>
  <c r="G311" i="2"/>
  <c r="G312" i="2"/>
  <c r="G313" i="2"/>
  <c r="G314" i="2"/>
  <c r="G315" i="2"/>
  <c r="H315" i="2" s="1"/>
  <c r="G316" i="2"/>
  <c r="J316" i="2" s="1"/>
  <c r="G317" i="2"/>
  <c r="I317" i="2" s="1"/>
  <c r="G318" i="2"/>
  <c r="I318" i="2" s="1"/>
  <c r="G319" i="2"/>
  <c r="G320" i="2"/>
  <c r="G321" i="2"/>
  <c r="J321" i="2" s="1"/>
  <c r="G322" i="2"/>
  <c r="H322" i="2" s="1"/>
  <c r="G323" i="2"/>
  <c r="H323" i="2" s="1"/>
  <c r="G324" i="2"/>
  <c r="G325" i="2"/>
  <c r="H325" i="2" s="1"/>
  <c r="G326" i="2"/>
  <c r="H326" i="2" s="1"/>
  <c r="G327" i="2"/>
  <c r="H327" i="2" s="1"/>
  <c r="G328" i="2"/>
  <c r="G329" i="2"/>
  <c r="H329" i="2" s="1"/>
  <c r="G330" i="2"/>
  <c r="G331" i="2"/>
  <c r="G332" i="2"/>
  <c r="H332" i="2" s="1"/>
  <c r="G333" i="2"/>
  <c r="H333" i="2" s="1"/>
  <c r="G334" i="2"/>
  <c r="H334" i="2" s="1"/>
  <c r="G335" i="2"/>
  <c r="G336" i="2"/>
  <c r="H336" i="2" s="1"/>
  <c r="G337" i="2"/>
  <c r="H337" i="2" s="1"/>
  <c r="G338" i="2"/>
  <c r="H338" i="2" s="1"/>
  <c r="G339" i="2"/>
  <c r="G340" i="2"/>
  <c r="H340" i="2" s="1"/>
  <c r="G341" i="2"/>
  <c r="H341" i="2" s="1"/>
  <c r="G342" i="2"/>
  <c r="H342" i="2" s="1"/>
  <c r="G343" i="2"/>
  <c r="G344" i="2"/>
  <c r="G345" i="2"/>
  <c r="H345" i="2" s="1"/>
  <c r="G346" i="2"/>
  <c r="G347" i="2"/>
  <c r="G348" i="2"/>
  <c r="H348" i="2" s="1"/>
  <c r="G349" i="2"/>
  <c r="H349" i="2" s="1"/>
  <c r="G350" i="2"/>
  <c r="H350" i="2" s="1"/>
  <c r="G351" i="2"/>
  <c r="G352" i="2"/>
  <c r="H352" i="2" s="1"/>
  <c r="G353" i="2"/>
  <c r="G354" i="2"/>
  <c r="H354" i="2" s="1"/>
  <c r="G355" i="2"/>
  <c r="G356" i="2"/>
  <c r="H356" i="2" s="1"/>
  <c r="G357" i="2"/>
  <c r="G358" i="2"/>
  <c r="H358" i="2" s="1"/>
  <c r="G359" i="2"/>
  <c r="G360" i="2"/>
  <c r="G361" i="2"/>
  <c r="G362" i="2"/>
  <c r="G363" i="2"/>
  <c r="G364" i="2"/>
  <c r="H364" i="2" s="1"/>
  <c r="G365" i="2"/>
  <c r="G366" i="2"/>
  <c r="H366" i="2" s="1"/>
  <c r="G367" i="2"/>
  <c r="G368" i="2"/>
  <c r="H368" i="2" s="1"/>
  <c r="G369" i="2"/>
  <c r="G370" i="2"/>
  <c r="H370" i="2" s="1"/>
  <c r="G371" i="2"/>
  <c r="G372" i="2"/>
  <c r="H372" i="2" s="1"/>
  <c r="G373" i="2"/>
  <c r="G374" i="2"/>
  <c r="H374" i="2" s="1"/>
  <c r="G375" i="2"/>
  <c r="G376" i="2"/>
  <c r="G377" i="2"/>
  <c r="G378" i="2"/>
  <c r="G379" i="2"/>
  <c r="G380" i="2"/>
  <c r="H380" i="2" s="1"/>
  <c r="G381" i="2"/>
  <c r="G382" i="2"/>
  <c r="H382" i="2" s="1"/>
  <c r="G383" i="2"/>
  <c r="G384" i="2"/>
  <c r="H384" i="2" s="1"/>
  <c r="G385" i="2"/>
  <c r="G386" i="2"/>
  <c r="H386" i="2" s="1"/>
  <c r="G387" i="2"/>
  <c r="G388" i="2"/>
  <c r="H388" i="2" s="1"/>
  <c r="G389" i="2"/>
  <c r="G390" i="2"/>
  <c r="H390" i="2" s="1"/>
  <c r="G391" i="2"/>
  <c r="G392" i="2"/>
  <c r="G393" i="2"/>
  <c r="G394" i="2"/>
  <c r="G395" i="2"/>
  <c r="G396" i="2"/>
  <c r="H396" i="2" s="1"/>
  <c r="G397" i="2"/>
  <c r="G398" i="2"/>
  <c r="H398" i="2" s="1"/>
  <c r="G399" i="2"/>
  <c r="G400" i="2"/>
  <c r="H400" i="2" s="1"/>
  <c r="G401" i="2"/>
  <c r="G402" i="2"/>
  <c r="H402" i="2" s="1"/>
  <c r="G403" i="2"/>
  <c r="G404" i="2"/>
  <c r="H404" i="2" s="1"/>
  <c r="G405" i="2"/>
  <c r="G406" i="2"/>
  <c r="H406" i="2" s="1"/>
  <c r="G407" i="2"/>
  <c r="G408" i="2"/>
  <c r="G409" i="2"/>
  <c r="G410" i="2"/>
  <c r="G411" i="2"/>
  <c r="G412" i="2"/>
  <c r="H412" i="2" s="1"/>
  <c r="G413" i="2"/>
  <c r="G414" i="2"/>
  <c r="H414" i="2" s="1"/>
  <c r="G415" i="2"/>
  <c r="H415" i="2" s="1"/>
  <c r="G416" i="2"/>
  <c r="G417" i="2"/>
  <c r="H417" i="2" s="1"/>
  <c r="G418" i="2"/>
  <c r="G419" i="2"/>
  <c r="H419" i="2" s="1"/>
  <c r="G420" i="2"/>
  <c r="G421" i="2"/>
  <c r="H421" i="2" s="1"/>
  <c r="G422" i="2"/>
  <c r="G423" i="2"/>
  <c r="G424" i="2"/>
  <c r="G425" i="2"/>
  <c r="G426" i="2"/>
  <c r="G427" i="2"/>
  <c r="H427" i="2" s="1"/>
  <c r="G428" i="2"/>
  <c r="J428" i="2" s="1"/>
  <c r="G429" i="2"/>
  <c r="H429" i="2" s="1"/>
  <c r="G430" i="2"/>
  <c r="J430" i="2" s="1"/>
  <c r="G431" i="2"/>
  <c r="J431" i="2" s="1"/>
  <c r="G432" i="2"/>
  <c r="J432" i="2" s="1"/>
  <c r="G433" i="2"/>
  <c r="H433" i="2" s="1"/>
  <c r="G434" i="2"/>
  <c r="J434" i="2" s="1"/>
  <c r="G435" i="2"/>
  <c r="G436" i="2"/>
  <c r="J436" i="2" s="1"/>
  <c r="G437" i="2"/>
  <c r="H437" i="2" s="1"/>
  <c r="G438" i="2"/>
  <c r="J438" i="2" s="1"/>
  <c r="G439" i="2"/>
  <c r="H439" i="2" s="1"/>
  <c r="G440" i="2"/>
  <c r="J440" i="2" s="1"/>
  <c r="G441" i="2"/>
  <c r="H441" i="2" s="1"/>
  <c r="G442" i="2"/>
  <c r="J442" i="2" s="1"/>
  <c r="G443" i="2"/>
  <c r="H443" i="2" s="1"/>
  <c r="G444" i="2"/>
  <c r="J444" i="2" s="1"/>
  <c r="G445" i="2"/>
  <c r="H445" i="2" s="1"/>
  <c r="G446" i="2"/>
  <c r="J446" i="2" s="1"/>
  <c r="G447" i="2"/>
  <c r="H447" i="2" s="1"/>
  <c r="G448" i="2"/>
  <c r="J448" i="2" s="1"/>
  <c r="G449" i="2"/>
  <c r="H449" i="2" s="1"/>
  <c r="G450" i="2"/>
  <c r="G451" i="2"/>
  <c r="G452" i="2"/>
  <c r="J452" i="2" s="1"/>
  <c r="G453" i="2"/>
  <c r="I453" i="2" s="1"/>
  <c r="G454" i="2"/>
  <c r="G455" i="2"/>
  <c r="G456" i="2"/>
  <c r="J456" i="2" s="1"/>
  <c r="G457" i="2"/>
  <c r="I457" i="2" s="1"/>
  <c r="G458" i="2"/>
  <c r="H458" i="2" s="1"/>
  <c r="G459" i="2"/>
  <c r="G460" i="2"/>
  <c r="J460" i="2" s="1"/>
  <c r="G461" i="2"/>
  <c r="I461" i="2" s="1"/>
  <c r="G462" i="2"/>
  <c r="G463" i="2"/>
  <c r="G464" i="2"/>
  <c r="J464" i="2" s="1"/>
  <c r="G465" i="2"/>
  <c r="I465" i="2" s="1"/>
  <c r="G466" i="2"/>
  <c r="G467" i="2"/>
  <c r="G468" i="2"/>
  <c r="J468" i="2" s="1"/>
  <c r="G469" i="2"/>
  <c r="I469" i="2" s="1"/>
  <c r="G470" i="2"/>
  <c r="H470" i="2" s="1"/>
  <c r="G471" i="2"/>
  <c r="J471" i="2" s="1"/>
  <c r="G472" i="2"/>
  <c r="J472" i="2" s="1"/>
  <c r="G473" i="2"/>
  <c r="I473" i="2" s="1"/>
  <c r="G474" i="2"/>
  <c r="G475" i="2"/>
  <c r="I475" i="2" s="1"/>
  <c r="G476" i="2"/>
  <c r="J476" i="2" s="1"/>
  <c r="G477" i="2"/>
  <c r="I477" i="2" s="1"/>
  <c r="G478" i="2"/>
  <c r="J478" i="2" s="1"/>
  <c r="G479" i="2"/>
  <c r="G480" i="2"/>
  <c r="J480" i="2" s="1"/>
  <c r="G481" i="2"/>
  <c r="I481" i="2" s="1"/>
  <c r="G482" i="2"/>
  <c r="G483" i="2"/>
  <c r="J483" i="2" s="1"/>
  <c r="G484" i="2"/>
  <c r="J484" i="2" s="1"/>
  <c r="G485" i="2"/>
  <c r="I485" i="2" s="1"/>
  <c r="G486" i="2"/>
  <c r="H486" i="2" s="1"/>
  <c r="G487" i="2"/>
  <c r="J487" i="2" s="1"/>
  <c r="G488" i="2"/>
  <c r="J488" i="2" s="1"/>
  <c r="G489" i="2"/>
  <c r="I489" i="2" s="1"/>
  <c r="G490" i="2"/>
  <c r="H490" i="2" s="1"/>
  <c r="G491" i="2"/>
  <c r="H491" i="2" s="1"/>
  <c r="G492" i="2"/>
  <c r="J492" i="2" s="1"/>
  <c r="G493" i="2"/>
  <c r="I493" i="2" s="1"/>
  <c r="G494" i="2"/>
  <c r="J494" i="2" s="1"/>
  <c r="G495" i="2"/>
  <c r="H495" i="2" s="1"/>
  <c r="G496" i="2"/>
  <c r="J496" i="2" s="1"/>
  <c r="G497" i="2"/>
  <c r="I497" i="2" s="1"/>
  <c r="G498" i="2"/>
  <c r="G499" i="2"/>
  <c r="J499" i="2" s="1"/>
  <c r="G500" i="2"/>
  <c r="J500" i="2" s="1"/>
  <c r="G501" i="2"/>
  <c r="I501" i="2" s="1"/>
  <c r="G502" i="2"/>
  <c r="G503" i="2"/>
  <c r="J503" i="2" s="1"/>
  <c r="G504" i="2"/>
  <c r="J504" i="2" s="1"/>
  <c r="G505" i="2"/>
  <c r="I505" i="2" s="1"/>
  <c r="G506" i="2"/>
  <c r="H506" i="2" s="1"/>
  <c r="G507" i="2"/>
  <c r="I507" i="2" s="1"/>
  <c r="G508" i="2"/>
  <c r="J508" i="2" s="1"/>
  <c r="G509" i="2"/>
  <c r="G510" i="2"/>
  <c r="G511" i="2"/>
  <c r="I511" i="2" s="1"/>
  <c r="G512" i="2"/>
  <c r="J512" i="2" s="1"/>
  <c r="G513" i="2"/>
  <c r="I513" i="2" s="1"/>
  <c r="G514" i="2"/>
  <c r="G515" i="2"/>
  <c r="J515" i="2" s="1"/>
  <c r="G516" i="2"/>
  <c r="J516" i="2" s="1"/>
  <c r="G517" i="2"/>
  <c r="I517" i="2" s="1"/>
  <c r="G518" i="2"/>
  <c r="I518" i="2" s="1"/>
  <c r="G519" i="2"/>
  <c r="G520" i="2"/>
  <c r="J520" i="2" s="1"/>
  <c r="G521" i="2"/>
  <c r="I521" i="2" s="1"/>
  <c r="G522" i="2"/>
  <c r="G523" i="2"/>
  <c r="I523" i="2" s="1"/>
  <c r="G524" i="2"/>
  <c r="J524" i="2" s="1"/>
  <c r="G525" i="2"/>
  <c r="I525" i="2" s="1"/>
  <c r="G526" i="2"/>
  <c r="H526" i="2" s="1"/>
  <c r="G527" i="2"/>
  <c r="J527" i="2" s="1"/>
  <c r="G528" i="2"/>
  <c r="J528" i="2" s="1"/>
  <c r="G529" i="2"/>
  <c r="I529" i="2" s="1"/>
  <c r="G530" i="2"/>
  <c r="G531" i="2"/>
  <c r="H531" i="2" s="1"/>
  <c r="G532" i="2"/>
  <c r="J532" i="2" s="1"/>
  <c r="G533" i="2"/>
  <c r="I533" i="2" s="1"/>
  <c r="G534" i="2"/>
  <c r="G535" i="2"/>
  <c r="J535" i="2" s="1"/>
  <c r="G536" i="2"/>
  <c r="J536" i="2" s="1"/>
  <c r="G537" i="2"/>
  <c r="I537" i="2" s="1"/>
  <c r="G538" i="2"/>
  <c r="H538" i="2" s="1"/>
  <c r="G539" i="2"/>
  <c r="G540" i="2"/>
  <c r="J540" i="2" s="1"/>
  <c r="G541" i="2"/>
  <c r="I541" i="2" s="1"/>
  <c r="G542" i="2"/>
  <c r="J542" i="2" s="1"/>
  <c r="G543" i="2"/>
  <c r="I543" i="2" s="1"/>
  <c r="G544" i="2"/>
  <c r="J544" i="2" s="1"/>
  <c r="G545" i="2"/>
  <c r="I545" i="2" s="1"/>
  <c r="G546" i="2"/>
  <c r="G547" i="2"/>
  <c r="J547" i="2" s="1"/>
  <c r="G548" i="2"/>
  <c r="J548" i="2" s="1"/>
  <c r="G549" i="2"/>
  <c r="I549" i="2" s="1"/>
  <c r="G550" i="2"/>
  <c r="G551" i="2"/>
  <c r="G552" i="2"/>
  <c r="J552" i="2" s="1"/>
  <c r="G553" i="2"/>
  <c r="I553" i="2" s="1"/>
  <c r="G554" i="2"/>
  <c r="G555" i="2"/>
  <c r="I555" i="2" s="1"/>
  <c r="G556" i="2"/>
  <c r="J556" i="2" s="1"/>
  <c r="G557" i="2"/>
  <c r="I557" i="2" s="1"/>
  <c r="G558" i="2"/>
  <c r="G559" i="2"/>
  <c r="G560" i="2"/>
  <c r="J560" i="2" s="1"/>
  <c r="G561" i="2"/>
  <c r="I561" i="2" s="1"/>
  <c r="G562" i="2"/>
  <c r="G563" i="2"/>
  <c r="H563" i="2" s="1"/>
  <c r="G564" i="2"/>
  <c r="J564" i="2" s="1"/>
  <c r="G565" i="2"/>
  <c r="I565" i="2" s="1"/>
  <c r="G566" i="2"/>
  <c r="I566" i="2" s="1"/>
  <c r="G567" i="2"/>
  <c r="G568" i="2"/>
  <c r="J568" i="2" s="1"/>
  <c r="G569" i="2"/>
  <c r="J569" i="2" s="1"/>
  <c r="G570" i="2"/>
  <c r="G571" i="2"/>
  <c r="G572" i="2"/>
  <c r="I572" i="2" s="1"/>
  <c r="G573" i="2"/>
  <c r="G574" i="2"/>
  <c r="G575" i="2"/>
  <c r="G576" i="2"/>
  <c r="I576" i="2" s="1"/>
  <c r="G577" i="2"/>
  <c r="I577" i="2" s="1"/>
  <c r="G578" i="2"/>
  <c r="G579" i="2"/>
  <c r="I579" i="2" s="1"/>
  <c r="G580" i="2"/>
  <c r="I580" i="2" s="1"/>
  <c r="G581" i="2"/>
  <c r="G582" i="2"/>
  <c r="G583" i="2"/>
  <c r="G584" i="2"/>
  <c r="I584" i="2" s="1"/>
  <c r="G585" i="2"/>
  <c r="G586" i="2"/>
  <c r="G587" i="2"/>
  <c r="G588" i="2"/>
  <c r="I588" i="2" s="1"/>
  <c r="G589" i="2"/>
  <c r="I589" i="2" s="1"/>
  <c r="G590" i="2"/>
  <c r="G591" i="2"/>
  <c r="I591" i="2" s="1"/>
  <c r="G592" i="2"/>
  <c r="I592" i="2" s="1"/>
  <c r="G593" i="2"/>
  <c r="I593" i="2" s="1"/>
  <c r="G594" i="2"/>
  <c r="G595" i="2"/>
  <c r="I595" i="2" s="1"/>
  <c r="G596" i="2"/>
  <c r="I596" i="2" s="1"/>
  <c r="G597" i="2"/>
  <c r="H597" i="2" s="1"/>
  <c r="G598" i="2"/>
  <c r="G599" i="2"/>
  <c r="I599" i="2" s="1"/>
  <c r="G600" i="2"/>
  <c r="I600" i="2" s="1"/>
  <c r="G601" i="2"/>
  <c r="G602" i="2"/>
  <c r="G603" i="2"/>
  <c r="G604" i="2"/>
  <c r="I604" i="2" s="1"/>
  <c r="G605" i="2"/>
  <c r="G606" i="2"/>
  <c r="G607" i="2"/>
  <c r="G608" i="2"/>
  <c r="I608" i="2" s="1"/>
  <c r="G609" i="2"/>
  <c r="H609" i="2" s="1"/>
  <c r="G610" i="2"/>
  <c r="G611" i="2"/>
  <c r="I611" i="2" s="1"/>
  <c r="G612" i="2"/>
  <c r="I612" i="2" s="1"/>
  <c r="G613" i="2"/>
  <c r="H613" i="2" s="1"/>
  <c r="G614" i="2"/>
  <c r="G615" i="2"/>
  <c r="I615" i="2" s="1"/>
  <c r="G616" i="2"/>
  <c r="I616" i="2" s="1"/>
  <c r="G617" i="2"/>
  <c r="G618" i="2"/>
  <c r="G619" i="2"/>
  <c r="G620" i="2"/>
  <c r="I620" i="2" s="1"/>
  <c r="G621" i="2"/>
  <c r="I621" i="2" s="1"/>
  <c r="G622" i="2"/>
  <c r="G623" i="2"/>
  <c r="I623" i="2" s="1"/>
  <c r="G624" i="2"/>
  <c r="I624" i="2" s="1"/>
  <c r="G625" i="2"/>
  <c r="I625" i="2" s="1"/>
  <c r="G626" i="2"/>
  <c r="G627" i="2"/>
  <c r="I627" i="2" s="1"/>
  <c r="G628" i="2"/>
  <c r="I628" i="2" s="1"/>
  <c r="G629" i="2"/>
  <c r="H629" i="2" s="1"/>
  <c r="G630" i="2"/>
  <c r="G631" i="2"/>
  <c r="I631" i="2" s="1"/>
  <c r="G632" i="2"/>
  <c r="I632" i="2" s="1"/>
  <c r="G633" i="2"/>
  <c r="G634" i="2"/>
  <c r="G635" i="2"/>
  <c r="G636" i="2"/>
  <c r="I636" i="2" s="1"/>
  <c r="G637" i="2"/>
  <c r="G638" i="2"/>
  <c r="G639" i="2"/>
  <c r="G640" i="2"/>
  <c r="I640" i="2" s="1"/>
  <c r="G641" i="2"/>
  <c r="H641" i="2" s="1"/>
  <c r="G642" i="2"/>
  <c r="G643" i="2"/>
  <c r="G644" i="2"/>
  <c r="I644" i="2" s="1"/>
  <c r="G645" i="2"/>
  <c r="J645" i="2" s="1"/>
  <c r="G646" i="2"/>
  <c r="G647" i="2"/>
  <c r="G648" i="2"/>
  <c r="I648" i="2" s="1"/>
  <c r="G649" i="2"/>
  <c r="J649" i="2" s="1"/>
  <c r="G650" i="2"/>
  <c r="G651" i="2"/>
  <c r="G652" i="2"/>
  <c r="I652" i="2" s="1"/>
  <c r="G653" i="2"/>
  <c r="I653" i="2" s="1"/>
  <c r="G654" i="2"/>
  <c r="G655" i="2"/>
  <c r="I655" i="2" s="1"/>
  <c r="G656" i="2"/>
  <c r="I656" i="2" s="1"/>
  <c r="G657" i="2"/>
  <c r="G658" i="2"/>
  <c r="G659" i="2"/>
  <c r="G660" i="2"/>
  <c r="I660" i="2" s="1"/>
  <c r="G661" i="2"/>
  <c r="H661" i="2" s="1"/>
  <c r="G662" i="2"/>
  <c r="G663" i="2"/>
  <c r="I663" i="2" s="1"/>
  <c r="G664" i="2"/>
  <c r="I664" i="2" s="1"/>
  <c r="G665" i="2"/>
  <c r="I665" i="2" s="1"/>
  <c r="G666" i="2"/>
  <c r="G667" i="2"/>
  <c r="G668" i="2"/>
  <c r="I668" i="2" s="1"/>
  <c r="G669" i="2"/>
  <c r="J669" i="2" s="1"/>
  <c r="G670" i="2"/>
  <c r="G671" i="2"/>
  <c r="G672" i="2"/>
  <c r="I672" i="2" s="1"/>
  <c r="G673" i="2"/>
  <c r="H673" i="2" s="1"/>
  <c r="G674" i="2"/>
  <c r="G675" i="2"/>
  <c r="G676" i="2"/>
  <c r="I676" i="2" s="1"/>
  <c r="G677" i="2"/>
  <c r="J677" i="2" s="1"/>
  <c r="G678" i="2"/>
  <c r="G679" i="2"/>
  <c r="G680" i="2"/>
  <c r="G681" i="2"/>
  <c r="J681" i="2" s="1"/>
  <c r="G682" i="2"/>
  <c r="G683" i="2"/>
  <c r="G684" i="2"/>
  <c r="G685" i="2"/>
  <c r="G686" i="2"/>
  <c r="G687" i="2"/>
  <c r="G688" i="2"/>
  <c r="I688" i="2" s="1"/>
  <c r="G689" i="2"/>
  <c r="G690" i="2"/>
  <c r="G691" i="2"/>
  <c r="G692" i="2"/>
  <c r="H692" i="2" s="1"/>
  <c r="G693" i="2"/>
  <c r="G694" i="2"/>
  <c r="I694" i="2" s="1"/>
  <c r="G695" i="2"/>
  <c r="G696" i="2"/>
  <c r="I696" i="2" s="1"/>
  <c r="G697" i="2"/>
  <c r="G698" i="2"/>
  <c r="G699" i="2"/>
  <c r="G700" i="2"/>
  <c r="J700" i="2" s="1"/>
  <c r="G701" i="2"/>
  <c r="G702" i="2"/>
  <c r="G703" i="2"/>
  <c r="G704" i="2"/>
  <c r="H704" i="2" s="1"/>
  <c r="G705" i="2"/>
  <c r="G706" i="2"/>
  <c r="G707" i="2"/>
  <c r="G708" i="2"/>
  <c r="G709" i="2"/>
  <c r="G710" i="2"/>
  <c r="G711" i="2"/>
  <c r="G712" i="2"/>
  <c r="G713" i="2"/>
  <c r="G714" i="2"/>
  <c r="G715" i="2"/>
  <c r="G716" i="2"/>
  <c r="I716" i="2" s="1"/>
  <c r="G717" i="2"/>
  <c r="G718" i="2"/>
  <c r="G719" i="2"/>
  <c r="G720" i="2"/>
  <c r="G721" i="2"/>
  <c r="G722" i="2"/>
  <c r="G723" i="2"/>
  <c r="G724" i="2"/>
  <c r="I724" i="2" s="1"/>
  <c r="G725" i="2"/>
  <c r="J725" i="2" s="1"/>
  <c r="G726" i="2"/>
  <c r="I726" i="2" s="1"/>
  <c r="G727" i="2"/>
  <c r="G728" i="2"/>
  <c r="H728" i="2" s="1"/>
  <c r="G729" i="2"/>
  <c r="I729" i="2" s="1"/>
  <c r="G730" i="2"/>
  <c r="J730" i="2" s="1"/>
  <c r="G731" i="2"/>
  <c r="G732" i="2"/>
  <c r="G733" i="2"/>
  <c r="G734" i="2"/>
  <c r="J734" i="2" s="1"/>
  <c r="G735" i="2"/>
  <c r="G736" i="2"/>
  <c r="H736" i="2" s="1"/>
  <c r="G737" i="2"/>
  <c r="G738" i="2"/>
  <c r="G739" i="2"/>
  <c r="J739" i="2" s="1"/>
  <c r="G740" i="2"/>
  <c r="G741" i="2"/>
  <c r="I741" i="2" s="1"/>
  <c r="G742" i="2"/>
  <c r="G743" i="2"/>
  <c r="G744" i="2"/>
  <c r="H744" i="2" s="1"/>
  <c r="G745" i="2"/>
  <c r="G746" i="2"/>
  <c r="H746" i="2" s="1"/>
  <c r="G747" i="2"/>
  <c r="J747" i="2" s="1"/>
  <c r="G748" i="2"/>
  <c r="G749" i="2"/>
  <c r="G750" i="2"/>
  <c r="J750" i="2" s="1"/>
  <c r="G751" i="2"/>
  <c r="G752" i="2"/>
  <c r="H752" i="2" s="1"/>
  <c r="G753" i="2"/>
  <c r="J753" i="2" s="1"/>
  <c r="G754" i="2"/>
  <c r="J754" i="2" s="1"/>
  <c r="G755" i="2"/>
  <c r="G756" i="2"/>
  <c r="G757" i="2"/>
  <c r="H757" i="2" s="1"/>
  <c r="G758" i="2"/>
  <c r="G759" i="2"/>
  <c r="H759" i="2" s="1"/>
  <c r="G760" i="2"/>
  <c r="G761" i="2"/>
  <c r="I761" i="2" s="1"/>
  <c r="G762" i="2"/>
  <c r="J762" i="2" s="1"/>
  <c r="G763" i="2"/>
  <c r="G764" i="2"/>
  <c r="G765" i="2"/>
  <c r="J765" i="2" s="1"/>
  <c r="G766" i="2"/>
  <c r="G767" i="2"/>
  <c r="H767" i="2" s="1"/>
  <c r="G768" i="2"/>
  <c r="G769" i="2"/>
  <c r="G770" i="2"/>
  <c r="J770" i="2" s="1"/>
  <c r="G771" i="2"/>
  <c r="G772" i="2"/>
  <c r="G773" i="2"/>
  <c r="I773" i="2" s="1"/>
  <c r="G774" i="2"/>
  <c r="G775" i="2"/>
  <c r="H775" i="2" s="1"/>
  <c r="G776" i="2"/>
  <c r="G777" i="2"/>
  <c r="H777" i="2" s="1"/>
  <c r="G778" i="2"/>
  <c r="J778" i="2" s="1"/>
  <c r="G779" i="2"/>
  <c r="G780" i="2"/>
  <c r="G781" i="2"/>
  <c r="J781" i="2" s="1"/>
  <c r="G782" i="2"/>
  <c r="G783" i="2"/>
  <c r="H783" i="2" s="1"/>
  <c r="G784" i="2"/>
  <c r="G785" i="2"/>
  <c r="J785" i="2" s="1"/>
  <c r="G786" i="2"/>
  <c r="J786" i="2" s="1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I509" i="2" l="1"/>
  <c r="D3" i="29"/>
  <c r="H787" i="2"/>
  <c r="I787" i="2"/>
  <c r="J787" i="2"/>
  <c r="I835" i="2"/>
  <c r="H835" i="2"/>
  <c r="J835" i="2"/>
  <c r="H834" i="2"/>
  <c r="I834" i="2"/>
  <c r="J834" i="2"/>
  <c r="I833" i="2"/>
  <c r="J833" i="2"/>
  <c r="H833" i="2"/>
  <c r="H832" i="2"/>
  <c r="I832" i="2"/>
  <c r="J832" i="2"/>
  <c r="H831" i="2"/>
  <c r="I831" i="2"/>
  <c r="J831" i="2"/>
  <c r="H830" i="2"/>
  <c r="I830" i="2"/>
  <c r="J830" i="2"/>
  <c r="H829" i="2"/>
  <c r="J829" i="2"/>
  <c r="I829" i="2"/>
  <c r="H828" i="2"/>
  <c r="I828" i="2"/>
  <c r="J828" i="2"/>
  <c r="H827" i="2"/>
  <c r="I827" i="2"/>
  <c r="J827" i="2"/>
  <c r="H826" i="2"/>
  <c r="I826" i="2"/>
  <c r="J826" i="2"/>
  <c r="I825" i="2"/>
  <c r="H825" i="2"/>
  <c r="J825" i="2"/>
  <c r="H824" i="2"/>
  <c r="I824" i="2"/>
  <c r="J824" i="2"/>
  <c r="J823" i="2"/>
  <c r="H823" i="2"/>
  <c r="I823" i="2"/>
  <c r="H822" i="2"/>
  <c r="I822" i="2"/>
  <c r="J822" i="2"/>
  <c r="H821" i="2"/>
  <c r="I821" i="2"/>
  <c r="J821" i="2"/>
  <c r="H820" i="2"/>
  <c r="I820" i="2"/>
  <c r="J820" i="2"/>
  <c r="H819" i="2"/>
  <c r="I819" i="2"/>
  <c r="J819" i="2"/>
  <c r="H818" i="2"/>
  <c r="I818" i="2"/>
  <c r="J818" i="2"/>
  <c r="H817" i="2"/>
  <c r="I817" i="2"/>
  <c r="J817" i="2"/>
  <c r="H816" i="2"/>
  <c r="I816" i="2"/>
  <c r="J816" i="2"/>
  <c r="J815" i="2"/>
  <c r="H815" i="2"/>
  <c r="I815" i="2"/>
  <c r="H814" i="2"/>
  <c r="I814" i="2"/>
  <c r="J814" i="2"/>
  <c r="H813" i="2"/>
  <c r="I813" i="2"/>
  <c r="J813" i="2"/>
  <c r="H812" i="2"/>
  <c r="I812" i="2"/>
  <c r="J812" i="2"/>
  <c r="I811" i="2"/>
  <c r="J811" i="2"/>
  <c r="H811" i="2"/>
  <c r="H810" i="2"/>
  <c r="I810" i="2"/>
  <c r="J810" i="2"/>
  <c r="H809" i="2"/>
  <c r="I809" i="2"/>
  <c r="J809" i="2"/>
  <c r="H808" i="2"/>
  <c r="I808" i="2"/>
  <c r="J808" i="2"/>
  <c r="J807" i="2"/>
  <c r="I807" i="2"/>
  <c r="H807" i="2"/>
  <c r="H806" i="2"/>
  <c r="J806" i="2"/>
  <c r="I806" i="2"/>
  <c r="H805" i="2"/>
  <c r="I805" i="2"/>
  <c r="J805" i="2"/>
  <c r="H804" i="2"/>
  <c r="I804" i="2"/>
  <c r="J804" i="2"/>
  <c r="I803" i="2"/>
  <c r="J803" i="2"/>
  <c r="H803" i="2"/>
  <c r="H802" i="2"/>
  <c r="I802" i="2"/>
  <c r="J802" i="2"/>
  <c r="H801" i="2"/>
  <c r="I801" i="2"/>
  <c r="J801" i="2"/>
  <c r="H800" i="2"/>
  <c r="I800" i="2"/>
  <c r="J800" i="2"/>
  <c r="H799" i="2"/>
  <c r="I799" i="2"/>
  <c r="J799" i="2"/>
  <c r="H798" i="2"/>
  <c r="I798" i="2"/>
  <c r="J798" i="2"/>
  <c r="H797" i="2"/>
  <c r="I797" i="2"/>
  <c r="J797" i="2"/>
  <c r="H796" i="2"/>
  <c r="I796" i="2"/>
  <c r="J796" i="2"/>
  <c r="I795" i="2"/>
  <c r="J795" i="2"/>
  <c r="H795" i="2"/>
  <c r="H794" i="2"/>
  <c r="I794" i="2"/>
  <c r="J794" i="2"/>
  <c r="J793" i="2"/>
  <c r="I793" i="2"/>
  <c r="H793" i="2"/>
  <c r="J792" i="2"/>
  <c r="H792" i="2"/>
  <c r="I792" i="2"/>
  <c r="I791" i="2"/>
  <c r="J791" i="2"/>
  <c r="H791" i="2"/>
  <c r="H790" i="2"/>
  <c r="J790" i="2"/>
  <c r="I790" i="2"/>
  <c r="I789" i="2"/>
  <c r="J789" i="2"/>
  <c r="H789" i="2"/>
  <c r="H788" i="2"/>
  <c r="I788" i="2"/>
  <c r="J788" i="2"/>
  <c r="I102" i="2"/>
  <c r="H7" i="2"/>
  <c r="H153" i="2"/>
  <c r="J7" i="2"/>
  <c r="I417" i="2"/>
  <c r="I415" i="2"/>
  <c r="I458" i="2"/>
  <c r="J427" i="2"/>
  <c r="J625" i="2"/>
  <c r="J415" i="2"/>
  <c r="J352" i="2"/>
  <c r="I380" i="2"/>
  <c r="I354" i="2"/>
  <c r="I352" i="2"/>
  <c r="J563" i="2"/>
  <c r="I506" i="2"/>
  <c r="I382" i="2"/>
  <c r="J364" i="2"/>
  <c r="H625" i="2"/>
  <c r="J384" i="2"/>
  <c r="H589" i="2"/>
  <c r="I412" i="2"/>
  <c r="I386" i="2"/>
  <c r="I384" i="2"/>
  <c r="I348" i="2"/>
  <c r="H688" i="2"/>
  <c r="I414" i="2"/>
  <c r="J396" i="2"/>
  <c r="I350" i="2"/>
  <c r="J332" i="2"/>
  <c r="H773" i="2"/>
  <c r="H729" i="2"/>
  <c r="J726" i="2"/>
  <c r="J696" i="2"/>
  <c r="H694" i="2"/>
  <c r="J593" i="2"/>
  <c r="H591" i="2"/>
  <c r="J526" i="2"/>
  <c r="J443" i="2"/>
  <c r="I429" i="2"/>
  <c r="I427" i="2"/>
  <c r="J400" i="2"/>
  <c r="I398" i="2"/>
  <c r="I396" i="2"/>
  <c r="J368" i="2"/>
  <c r="I366" i="2"/>
  <c r="I364" i="2"/>
  <c r="J336" i="2"/>
  <c r="I334" i="2"/>
  <c r="I332" i="2"/>
  <c r="I321" i="2"/>
  <c r="H761" i="2"/>
  <c r="H696" i="2"/>
  <c r="H593" i="2"/>
  <c r="I526" i="2"/>
  <c r="I491" i="2"/>
  <c r="I470" i="2"/>
  <c r="I439" i="2"/>
  <c r="J412" i="2"/>
  <c r="I402" i="2"/>
  <c r="I400" i="2"/>
  <c r="J380" i="2"/>
  <c r="I370" i="2"/>
  <c r="I368" i="2"/>
  <c r="J348" i="2"/>
  <c r="I338" i="2"/>
  <c r="I336" i="2"/>
  <c r="I323" i="2"/>
  <c r="H321" i="2"/>
  <c r="I686" i="2"/>
  <c r="H686" i="2"/>
  <c r="I633" i="2"/>
  <c r="H633" i="2"/>
  <c r="J633" i="2"/>
  <c r="I583" i="2"/>
  <c r="H583" i="2"/>
  <c r="H459" i="2"/>
  <c r="I459" i="2"/>
  <c r="I756" i="2"/>
  <c r="J756" i="2"/>
  <c r="H425" i="2"/>
  <c r="I425" i="2"/>
  <c r="H408" i="2"/>
  <c r="I408" i="2"/>
  <c r="J408" i="2"/>
  <c r="H394" i="2"/>
  <c r="I394" i="2"/>
  <c r="H376" i="2"/>
  <c r="I376" i="2"/>
  <c r="J376" i="2"/>
  <c r="H362" i="2"/>
  <c r="I362" i="2"/>
  <c r="H344" i="2"/>
  <c r="I344" i="2"/>
  <c r="J344" i="2"/>
  <c r="H330" i="2"/>
  <c r="I330" i="2"/>
  <c r="I708" i="2"/>
  <c r="H708" i="2"/>
  <c r="H551" i="2"/>
  <c r="J551" i="2"/>
  <c r="H502" i="2"/>
  <c r="I502" i="2"/>
  <c r="H423" i="2"/>
  <c r="I423" i="2"/>
  <c r="J423" i="2"/>
  <c r="H410" i="2"/>
  <c r="I410" i="2"/>
  <c r="H392" i="2"/>
  <c r="I392" i="2"/>
  <c r="J392" i="2"/>
  <c r="H378" i="2"/>
  <c r="I378" i="2"/>
  <c r="H360" i="2"/>
  <c r="I360" i="2"/>
  <c r="J360" i="2"/>
  <c r="H346" i="2"/>
  <c r="I346" i="2"/>
  <c r="J419" i="2"/>
  <c r="J404" i="2"/>
  <c r="J388" i="2"/>
  <c r="J372" i="2"/>
  <c r="J356" i="2"/>
  <c r="J340" i="2"/>
  <c r="J325" i="2"/>
  <c r="J741" i="2"/>
  <c r="H726" i="2"/>
  <c r="H724" i="2"/>
  <c r="H577" i="2"/>
  <c r="I538" i="2"/>
  <c r="I531" i="2"/>
  <c r="I421" i="2"/>
  <c r="I419" i="2"/>
  <c r="I406" i="2"/>
  <c r="I404" i="2"/>
  <c r="I390" i="2"/>
  <c r="I388" i="2"/>
  <c r="I374" i="2"/>
  <c r="I372" i="2"/>
  <c r="I358" i="2"/>
  <c r="I356" i="2"/>
  <c r="I342" i="2"/>
  <c r="I340" i="2"/>
  <c r="I327" i="2"/>
  <c r="I325" i="2"/>
  <c r="H169" i="2"/>
  <c r="J166" i="2"/>
  <c r="H145" i="2"/>
  <c r="J72" i="2"/>
  <c r="J688" i="2"/>
  <c r="J589" i="2"/>
  <c r="H305" i="2"/>
  <c r="H293" i="2"/>
  <c r="I288" i="2"/>
  <c r="I285" i="2"/>
  <c r="I272" i="2"/>
  <c r="I265" i="2"/>
  <c r="H245" i="2"/>
  <c r="I712" i="2"/>
  <c r="H712" i="2"/>
  <c r="I657" i="2"/>
  <c r="H657" i="2"/>
  <c r="I601" i="2"/>
  <c r="H601" i="2"/>
  <c r="I581" i="2"/>
  <c r="J581" i="2"/>
  <c r="H418" i="2"/>
  <c r="J418" i="2"/>
  <c r="H403" i="2"/>
  <c r="J403" i="2"/>
  <c r="H387" i="2"/>
  <c r="J387" i="2"/>
  <c r="H371" i="2"/>
  <c r="J371" i="2"/>
  <c r="H355" i="2"/>
  <c r="J355" i="2"/>
  <c r="H339" i="2"/>
  <c r="J339" i="2"/>
  <c r="H324" i="2"/>
  <c r="J324" i="2"/>
  <c r="J297" i="2"/>
  <c r="I297" i="2"/>
  <c r="I677" i="2"/>
  <c r="H677" i="2"/>
  <c r="H514" i="2"/>
  <c r="I514" i="2"/>
  <c r="H507" i="2"/>
  <c r="J507" i="2"/>
  <c r="H422" i="2"/>
  <c r="J422" i="2"/>
  <c r="H407" i="2"/>
  <c r="J407" i="2"/>
  <c r="H391" i="2"/>
  <c r="J391" i="2"/>
  <c r="H375" i="2"/>
  <c r="J375" i="2"/>
  <c r="H359" i="2"/>
  <c r="J359" i="2"/>
  <c r="H343" i="2"/>
  <c r="J343" i="2"/>
  <c r="H328" i="2"/>
  <c r="J328" i="2"/>
  <c r="J304" i="2"/>
  <c r="I304" i="2"/>
  <c r="J257" i="2"/>
  <c r="H257" i="2"/>
  <c r="I257" i="2"/>
  <c r="I746" i="2"/>
  <c r="J746" i="2"/>
  <c r="I679" i="2"/>
  <c r="H679" i="2"/>
  <c r="H665" i="2"/>
  <c r="I645" i="2"/>
  <c r="H645" i="2"/>
  <c r="J621" i="2"/>
  <c r="H615" i="2"/>
  <c r="I613" i="2"/>
  <c r="J613" i="2"/>
  <c r="I569" i="2"/>
  <c r="H569" i="2"/>
  <c r="H566" i="2"/>
  <c r="J566" i="2"/>
  <c r="H522" i="2"/>
  <c r="I522" i="2"/>
  <c r="I495" i="2"/>
  <c r="I490" i="2"/>
  <c r="I486" i="2"/>
  <c r="H475" i="2"/>
  <c r="J475" i="2"/>
  <c r="H426" i="2"/>
  <c r="J426" i="2"/>
  <c r="H411" i="2"/>
  <c r="J411" i="2"/>
  <c r="H395" i="2"/>
  <c r="J395" i="2"/>
  <c r="H379" i="2"/>
  <c r="J379" i="2"/>
  <c r="H363" i="2"/>
  <c r="J363" i="2"/>
  <c r="H347" i="2"/>
  <c r="J347" i="2"/>
  <c r="H331" i="2"/>
  <c r="J331" i="2"/>
  <c r="I757" i="2"/>
  <c r="J757" i="2"/>
  <c r="I684" i="2"/>
  <c r="H684" i="2"/>
  <c r="J657" i="2"/>
  <c r="I647" i="2"/>
  <c r="H647" i="2"/>
  <c r="H631" i="2"/>
  <c r="H623" i="2"/>
  <c r="H621" i="2"/>
  <c r="J601" i="2"/>
  <c r="H581" i="2"/>
  <c r="H539" i="2"/>
  <c r="I539" i="2"/>
  <c r="H527" i="2"/>
  <c r="I527" i="2"/>
  <c r="H454" i="2"/>
  <c r="I454" i="2"/>
  <c r="I447" i="2"/>
  <c r="H399" i="2"/>
  <c r="J399" i="2"/>
  <c r="H383" i="2"/>
  <c r="J383" i="2"/>
  <c r="H367" i="2"/>
  <c r="J367" i="2"/>
  <c r="H351" i="2"/>
  <c r="J351" i="2"/>
  <c r="H335" i="2"/>
  <c r="J335" i="2"/>
  <c r="J320" i="2"/>
  <c r="I320" i="2"/>
  <c r="J309" i="2"/>
  <c r="I309" i="2"/>
  <c r="J273" i="2"/>
  <c r="H273" i="2"/>
  <c r="J126" i="2"/>
  <c r="H126" i="2"/>
  <c r="H19" i="2"/>
  <c r="I777" i="2"/>
  <c r="J777" i="2"/>
  <c r="I742" i="2"/>
  <c r="H742" i="2"/>
  <c r="I702" i="2"/>
  <c r="H702" i="2"/>
  <c r="I649" i="2"/>
  <c r="H649" i="2"/>
  <c r="I641" i="2"/>
  <c r="J641" i="2"/>
  <c r="I637" i="2"/>
  <c r="H637" i="2"/>
  <c r="J637" i="2"/>
  <c r="I629" i="2"/>
  <c r="J629" i="2"/>
  <c r="I575" i="2"/>
  <c r="H575" i="2"/>
  <c r="H519" i="2"/>
  <c r="I519" i="2"/>
  <c r="H451" i="2"/>
  <c r="J451" i="2"/>
  <c r="J253" i="2"/>
  <c r="I253" i="2"/>
  <c r="I681" i="2"/>
  <c r="H681" i="2"/>
  <c r="I673" i="2"/>
  <c r="J673" i="2"/>
  <c r="J653" i="2"/>
  <c r="I617" i="2"/>
  <c r="H617" i="2"/>
  <c r="J617" i="2"/>
  <c r="I609" i="2"/>
  <c r="J609" i="2"/>
  <c r="I605" i="2"/>
  <c r="H605" i="2"/>
  <c r="J605" i="2"/>
  <c r="H599" i="2"/>
  <c r="I597" i="2"/>
  <c r="J597" i="2"/>
  <c r="H554" i="2"/>
  <c r="I554" i="2"/>
  <c r="H534" i="2"/>
  <c r="I534" i="2"/>
  <c r="J534" i="2"/>
  <c r="J289" i="2"/>
  <c r="H289" i="2"/>
  <c r="I289" i="2"/>
  <c r="J256" i="2"/>
  <c r="I256" i="2"/>
  <c r="I772" i="2"/>
  <c r="J772" i="2"/>
  <c r="I720" i="2"/>
  <c r="H720" i="2"/>
  <c r="H716" i="2"/>
  <c r="I704" i="2"/>
  <c r="J704" i="2"/>
  <c r="J684" i="2"/>
  <c r="I669" i="2"/>
  <c r="H669" i="2"/>
  <c r="J665" i="2"/>
  <c r="H663" i="2"/>
  <c r="I661" i="2"/>
  <c r="J661" i="2"/>
  <c r="H655" i="2"/>
  <c r="H653" i="2"/>
  <c r="I639" i="2"/>
  <c r="H639" i="2"/>
  <c r="I585" i="2"/>
  <c r="H585" i="2"/>
  <c r="J585" i="2"/>
  <c r="I573" i="2"/>
  <c r="H573" i="2"/>
  <c r="J573" i="2"/>
  <c r="H474" i="2"/>
  <c r="I474" i="2"/>
  <c r="H463" i="2"/>
  <c r="I463" i="2"/>
  <c r="J463" i="2"/>
  <c r="J261" i="2"/>
  <c r="H261" i="2"/>
  <c r="I733" i="2"/>
  <c r="H733" i="2"/>
  <c r="I700" i="2"/>
  <c r="H700" i="2"/>
  <c r="I692" i="2"/>
  <c r="J692" i="2"/>
  <c r="I671" i="2"/>
  <c r="H671" i="2"/>
  <c r="I607" i="2"/>
  <c r="H607" i="2"/>
  <c r="H559" i="2"/>
  <c r="I559" i="2"/>
  <c r="J559" i="2"/>
  <c r="H479" i="2"/>
  <c r="I479" i="2"/>
  <c r="H435" i="2"/>
  <c r="J435" i="2"/>
  <c r="J277" i="2"/>
  <c r="H277" i="2"/>
  <c r="I277" i="2"/>
  <c r="J76" i="2"/>
  <c r="H31" i="2"/>
  <c r="J28" i="2"/>
  <c r="J16" i="2"/>
  <c r="J577" i="2"/>
  <c r="J539" i="2"/>
  <c r="J502" i="2"/>
  <c r="J495" i="2"/>
  <c r="J470" i="2"/>
  <c r="J154" i="2"/>
  <c r="J149" i="2"/>
  <c r="J27" i="2"/>
  <c r="J24" i="2"/>
  <c r="J15" i="2"/>
  <c r="H15" i="2"/>
  <c r="J186" i="2"/>
  <c r="H186" i="2"/>
  <c r="H185" i="2"/>
  <c r="J181" i="2"/>
  <c r="H181" i="2"/>
  <c r="J178" i="2"/>
  <c r="J174" i="2"/>
  <c r="H174" i="2"/>
  <c r="J173" i="2"/>
  <c r="H170" i="2"/>
  <c r="H165" i="2"/>
  <c r="H158" i="2"/>
  <c r="H154" i="2"/>
  <c r="H149" i="2"/>
  <c r="J146" i="2"/>
  <c r="J142" i="2"/>
  <c r="H142" i="2"/>
  <c r="J141" i="2"/>
  <c r="J138" i="2"/>
  <c r="H138" i="2"/>
  <c r="J137" i="2"/>
  <c r="H133" i="2"/>
  <c r="J133" i="2"/>
  <c r="H132" i="2"/>
  <c r="J130" i="2"/>
  <c r="J125" i="2"/>
  <c r="H122" i="2"/>
  <c r="H121" i="2"/>
  <c r="J118" i="2"/>
  <c r="H117" i="2"/>
  <c r="H110" i="2"/>
  <c r="H108" i="2"/>
  <c r="J106" i="2"/>
  <c r="H106" i="2"/>
  <c r="H104" i="2"/>
  <c r="J102" i="2"/>
  <c r="H102" i="2"/>
  <c r="H100" i="2"/>
  <c r="J98" i="2"/>
  <c r="H98" i="2"/>
  <c r="H96" i="2"/>
  <c r="J94" i="2"/>
  <c r="H94" i="2"/>
  <c r="H92" i="2"/>
  <c r="J91" i="2"/>
  <c r="H87" i="2"/>
  <c r="J84" i="2"/>
  <c r="J80" i="2"/>
  <c r="J68" i="2"/>
  <c r="J64" i="2"/>
  <c r="J60" i="2"/>
  <c r="J56" i="2"/>
  <c r="J52" i="2"/>
  <c r="J48" i="2"/>
  <c r="J44" i="2"/>
  <c r="J40" i="2"/>
  <c r="J36" i="2"/>
  <c r="J35" i="2"/>
  <c r="J32" i="2"/>
  <c r="J31" i="2"/>
  <c r="H27" i="2"/>
  <c r="J23" i="2"/>
  <c r="H23" i="2"/>
  <c r="J20" i="2"/>
  <c r="J19" i="2"/>
  <c r="J12" i="2"/>
  <c r="J11" i="2"/>
  <c r="H11" i="2"/>
  <c r="J8" i="2"/>
  <c r="I780" i="2"/>
  <c r="J780" i="2"/>
  <c r="I769" i="2"/>
  <c r="H769" i="2"/>
  <c r="I749" i="2"/>
  <c r="J749" i="2"/>
  <c r="I738" i="2"/>
  <c r="H738" i="2"/>
  <c r="I713" i="2"/>
  <c r="J713" i="2"/>
  <c r="I710" i="2"/>
  <c r="H710" i="2"/>
  <c r="I678" i="2"/>
  <c r="J678" i="2"/>
  <c r="I651" i="2"/>
  <c r="H651" i="2"/>
  <c r="I646" i="2"/>
  <c r="J646" i="2"/>
  <c r="I619" i="2"/>
  <c r="H619" i="2"/>
  <c r="I614" i="2"/>
  <c r="J614" i="2"/>
  <c r="I587" i="2"/>
  <c r="H587" i="2"/>
  <c r="I582" i="2"/>
  <c r="J582" i="2"/>
  <c r="H567" i="2"/>
  <c r="I567" i="2"/>
  <c r="J567" i="2"/>
  <c r="H546" i="2"/>
  <c r="I546" i="2"/>
  <c r="H498" i="2"/>
  <c r="I498" i="2"/>
  <c r="H482" i="2"/>
  <c r="I482" i="2"/>
  <c r="H455" i="2"/>
  <c r="I455" i="2"/>
  <c r="J455" i="2"/>
  <c r="J313" i="2"/>
  <c r="H313" i="2"/>
  <c r="I313" i="2"/>
  <c r="J301" i="2"/>
  <c r="H301" i="2"/>
  <c r="I301" i="2"/>
  <c r="J264" i="2"/>
  <c r="I264" i="2"/>
  <c r="J249" i="2"/>
  <c r="H249" i="2"/>
  <c r="I249" i="2"/>
  <c r="I765" i="2"/>
  <c r="H765" i="2"/>
  <c r="I734" i="2"/>
  <c r="H734" i="2"/>
  <c r="I725" i="2"/>
  <c r="H725" i="2"/>
  <c r="I722" i="2"/>
  <c r="H722" i="2"/>
  <c r="I709" i="2"/>
  <c r="J709" i="2"/>
  <c r="I706" i="2"/>
  <c r="H706" i="2"/>
  <c r="I701" i="2"/>
  <c r="J701" i="2"/>
  <c r="I675" i="2"/>
  <c r="H675" i="2"/>
  <c r="I670" i="2"/>
  <c r="J670" i="2"/>
  <c r="I643" i="2"/>
  <c r="H643" i="2"/>
  <c r="I638" i="2"/>
  <c r="J638" i="2"/>
  <c r="H558" i="2"/>
  <c r="I558" i="2"/>
  <c r="J558" i="2"/>
  <c r="H462" i="2"/>
  <c r="I462" i="2"/>
  <c r="J462" i="2"/>
  <c r="I785" i="2"/>
  <c r="H785" i="2"/>
  <c r="I764" i="2"/>
  <c r="J764" i="2"/>
  <c r="I753" i="2"/>
  <c r="H753" i="2"/>
  <c r="I721" i="2"/>
  <c r="J721" i="2"/>
  <c r="I718" i="2"/>
  <c r="H718" i="2"/>
  <c r="I698" i="2"/>
  <c r="H698" i="2"/>
  <c r="I693" i="2"/>
  <c r="J693" i="2"/>
  <c r="I667" i="2"/>
  <c r="H667" i="2"/>
  <c r="I662" i="2"/>
  <c r="J662" i="2"/>
  <c r="I635" i="2"/>
  <c r="H635" i="2"/>
  <c r="I630" i="2"/>
  <c r="J630" i="2"/>
  <c r="I603" i="2"/>
  <c r="H603" i="2"/>
  <c r="I598" i="2"/>
  <c r="J598" i="2"/>
  <c r="I571" i="2"/>
  <c r="H571" i="2"/>
  <c r="H530" i="2"/>
  <c r="I530" i="2"/>
  <c r="H510" i="2"/>
  <c r="I510" i="2"/>
  <c r="J510" i="2"/>
  <c r="H467" i="2"/>
  <c r="I467" i="2"/>
  <c r="J467" i="2"/>
  <c r="I781" i="2"/>
  <c r="H781" i="2"/>
  <c r="J769" i="2"/>
  <c r="I750" i="2"/>
  <c r="H750" i="2"/>
  <c r="J738" i="2"/>
  <c r="I730" i="2"/>
  <c r="H730" i="2"/>
  <c r="I717" i="2"/>
  <c r="J717" i="2"/>
  <c r="I714" i="2"/>
  <c r="H714" i="2"/>
  <c r="I690" i="2"/>
  <c r="H690" i="2"/>
  <c r="I685" i="2"/>
  <c r="J685" i="2"/>
  <c r="I659" i="2"/>
  <c r="H659" i="2"/>
  <c r="I654" i="2"/>
  <c r="J654" i="2"/>
  <c r="H550" i="2"/>
  <c r="J550" i="2"/>
  <c r="I550" i="2"/>
  <c r="J773" i="2"/>
  <c r="J761" i="2"/>
  <c r="J742" i="2"/>
  <c r="J733" i="2"/>
  <c r="J729" i="2"/>
  <c r="J724" i="2"/>
  <c r="J720" i="2"/>
  <c r="J716" i="2"/>
  <c r="J712" i="2"/>
  <c r="J708" i="2"/>
  <c r="I697" i="2"/>
  <c r="J697" i="2"/>
  <c r="I682" i="2"/>
  <c r="J682" i="2"/>
  <c r="I666" i="2"/>
  <c r="J666" i="2"/>
  <c r="I650" i="2"/>
  <c r="J650" i="2"/>
  <c r="I634" i="2"/>
  <c r="J634" i="2"/>
  <c r="H627" i="2"/>
  <c r="I618" i="2"/>
  <c r="J618" i="2"/>
  <c r="H611" i="2"/>
  <c r="I602" i="2"/>
  <c r="J602" i="2"/>
  <c r="H595" i="2"/>
  <c r="I586" i="2"/>
  <c r="J586" i="2"/>
  <c r="H579" i="2"/>
  <c r="I570" i="2"/>
  <c r="J570" i="2"/>
  <c r="I563" i="2"/>
  <c r="H555" i="2"/>
  <c r="J555" i="2"/>
  <c r="I551" i="2"/>
  <c r="H543" i="2"/>
  <c r="J543" i="2"/>
  <c r="H535" i="2"/>
  <c r="I535" i="2"/>
  <c r="J531" i="2"/>
  <c r="J519" i="2"/>
  <c r="H518" i="2"/>
  <c r="J518" i="2"/>
  <c r="H466" i="2"/>
  <c r="I466" i="2"/>
  <c r="H450" i="2"/>
  <c r="I450" i="2"/>
  <c r="I622" i="2"/>
  <c r="J622" i="2"/>
  <c r="I606" i="2"/>
  <c r="J606" i="2"/>
  <c r="I590" i="2"/>
  <c r="J590" i="2"/>
  <c r="I574" i="2"/>
  <c r="J574" i="2"/>
  <c r="H547" i="2"/>
  <c r="I547" i="2"/>
  <c r="H523" i="2"/>
  <c r="J523" i="2"/>
  <c r="H511" i="2"/>
  <c r="J511" i="2"/>
  <c r="H503" i="2"/>
  <c r="I503" i="2"/>
  <c r="H478" i="2"/>
  <c r="I478" i="2"/>
  <c r="I705" i="2"/>
  <c r="J705" i="2"/>
  <c r="I689" i="2"/>
  <c r="J689" i="2"/>
  <c r="I674" i="2"/>
  <c r="J674" i="2"/>
  <c r="I658" i="2"/>
  <c r="J658" i="2"/>
  <c r="I642" i="2"/>
  <c r="J642" i="2"/>
  <c r="I626" i="2"/>
  <c r="J626" i="2"/>
  <c r="I610" i="2"/>
  <c r="J610" i="2"/>
  <c r="I594" i="2"/>
  <c r="J594" i="2"/>
  <c r="I578" i="2"/>
  <c r="J578" i="2"/>
  <c r="H562" i="2"/>
  <c r="I562" i="2"/>
  <c r="H542" i="2"/>
  <c r="I542" i="2"/>
  <c r="H515" i="2"/>
  <c r="I515" i="2"/>
  <c r="H499" i="2"/>
  <c r="I499" i="2"/>
  <c r="H494" i="2"/>
  <c r="I494" i="2"/>
  <c r="H487" i="2"/>
  <c r="I487" i="2"/>
  <c r="H483" i="2"/>
  <c r="I483" i="2"/>
  <c r="H471" i="2"/>
  <c r="I471" i="2"/>
  <c r="J491" i="2"/>
  <c r="J486" i="2"/>
  <c r="J479" i="2"/>
  <c r="J459" i="2"/>
  <c r="J454" i="2"/>
  <c r="I451" i="2"/>
  <c r="I449" i="2"/>
  <c r="J447" i="2"/>
  <c r="I445" i="2"/>
  <c r="I443" i="2"/>
  <c r="I441" i="2"/>
  <c r="J439" i="2"/>
  <c r="I437" i="2"/>
  <c r="I435" i="2"/>
  <c r="I433" i="2"/>
  <c r="J312" i="2"/>
  <c r="I312" i="2"/>
  <c r="H431" i="2"/>
  <c r="I431" i="2"/>
  <c r="J296" i="2"/>
  <c r="I296" i="2"/>
  <c r="J281" i="2"/>
  <c r="H281" i="2"/>
  <c r="I281" i="2"/>
  <c r="J269" i="2"/>
  <c r="H269" i="2"/>
  <c r="I269" i="2"/>
  <c r="J247" i="2"/>
  <c r="H247" i="2"/>
  <c r="J317" i="2"/>
  <c r="H317" i="2"/>
  <c r="J243" i="2"/>
  <c r="H243" i="2"/>
  <c r="H297" i="2"/>
  <c r="H285" i="2"/>
  <c r="I280" i="2"/>
  <c r="H265" i="2"/>
  <c r="H253" i="2"/>
  <c r="I240" i="2"/>
  <c r="I236" i="2"/>
  <c r="I232" i="2"/>
  <c r="I228" i="2"/>
  <c r="I224" i="2"/>
  <c r="I220" i="2"/>
  <c r="I216" i="2"/>
  <c r="I212" i="2"/>
  <c r="I208" i="2"/>
  <c r="I204" i="2"/>
  <c r="I200" i="2"/>
  <c r="I196" i="2"/>
  <c r="I192" i="2"/>
  <c r="H178" i="2"/>
  <c r="H173" i="2"/>
  <c r="H166" i="2"/>
  <c r="H161" i="2"/>
  <c r="H146" i="2"/>
  <c r="H141" i="2"/>
  <c r="H137" i="2"/>
  <c r="H130" i="2"/>
  <c r="H125" i="2"/>
  <c r="H118" i="2"/>
  <c r="H113" i="2"/>
  <c r="H26" i="2"/>
  <c r="H22" i="2"/>
  <c r="H18" i="2"/>
  <c r="H14" i="2"/>
  <c r="H10" i="2"/>
  <c r="H6" i="2"/>
  <c r="H4" i="2"/>
  <c r="I241" i="2"/>
  <c r="I237" i="2"/>
  <c r="I233" i="2"/>
  <c r="I229" i="2"/>
  <c r="I225" i="2"/>
  <c r="I221" i="2"/>
  <c r="I217" i="2"/>
  <c r="I213" i="2"/>
  <c r="I209" i="2"/>
  <c r="I205" i="2"/>
  <c r="I201" i="2"/>
  <c r="I197" i="2"/>
  <c r="I193" i="2"/>
  <c r="I189" i="2"/>
  <c r="J182" i="2"/>
  <c r="J162" i="2"/>
  <c r="J157" i="2"/>
  <c r="J150" i="2"/>
  <c r="J134" i="2"/>
  <c r="J114" i="2"/>
  <c r="J90" i="2"/>
  <c r="J83" i="2"/>
  <c r="J79" i="2"/>
  <c r="J75" i="2"/>
  <c r="J71" i="2"/>
  <c r="J67" i="2"/>
  <c r="J63" i="2"/>
  <c r="J59" i="2"/>
  <c r="J55" i="2"/>
  <c r="J51" i="2"/>
  <c r="J47" i="2"/>
  <c r="J43" i="2"/>
  <c r="J39" i="2"/>
  <c r="I305" i="2"/>
  <c r="I293" i="2"/>
  <c r="I273" i="2"/>
  <c r="I261" i="2"/>
  <c r="I245" i="2"/>
  <c r="H241" i="2"/>
  <c r="H239" i="2"/>
  <c r="H237" i="2"/>
  <c r="H235" i="2"/>
  <c r="H233" i="2"/>
  <c r="H231" i="2"/>
  <c r="H229" i="2"/>
  <c r="H227" i="2"/>
  <c r="H225" i="2"/>
  <c r="H223" i="2"/>
  <c r="H221" i="2"/>
  <c r="H219" i="2"/>
  <c r="H217" i="2"/>
  <c r="H215" i="2"/>
  <c r="H213" i="2"/>
  <c r="H211" i="2"/>
  <c r="H209" i="2"/>
  <c r="H207" i="2"/>
  <c r="H205" i="2"/>
  <c r="H203" i="2"/>
  <c r="H201" i="2"/>
  <c r="H199" i="2"/>
  <c r="H197" i="2"/>
  <c r="H195" i="2"/>
  <c r="H193" i="2"/>
  <c r="H191" i="2"/>
  <c r="H189" i="2"/>
  <c r="H182" i="2"/>
  <c r="H177" i="2"/>
  <c r="J170" i="2"/>
  <c r="J165" i="2"/>
  <c r="H162" i="2"/>
  <c r="J158" i="2"/>
  <c r="H157" i="2"/>
  <c r="H150" i="2"/>
  <c r="J145" i="2"/>
  <c r="H136" i="2"/>
  <c r="H134" i="2"/>
  <c r="H129" i="2"/>
  <c r="J122" i="2"/>
  <c r="J117" i="2"/>
  <c r="H114" i="2"/>
  <c r="J110" i="2"/>
  <c r="H90" i="2"/>
  <c r="J87" i="2"/>
  <c r="H83" i="2"/>
  <c r="H79" i="2"/>
  <c r="H75" i="2"/>
  <c r="H71" i="2"/>
  <c r="H67" i="2"/>
  <c r="H63" i="2"/>
  <c r="H59" i="2"/>
  <c r="H55" i="2"/>
  <c r="H51" i="2"/>
  <c r="H47" i="2"/>
  <c r="H43" i="2"/>
  <c r="H39" i="2"/>
  <c r="H35" i="2"/>
  <c r="J4" i="2"/>
  <c r="I774" i="2"/>
  <c r="H774" i="2"/>
  <c r="J774" i="2"/>
  <c r="I760" i="2"/>
  <c r="H760" i="2"/>
  <c r="J760" i="2"/>
  <c r="I755" i="2"/>
  <c r="J755" i="2"/>
  <c r="H755" i="2"/>
  <c r="I743" i="2"/>
  <c r="H743" i="2"/>
  <c r="J743" i="2"/>
  <c r="I732" i="2"/>
  <c r="J732" i="2"/>
  <c r="H732" i="2"/>
  <c r="I723" i="2"/>
  <c r="J723" i="2"/>
  <c r="H723" i="2"/>
  <c r="I719" i="2"/>
  <c r="J719" i="2"/>
  <c r="H719" i="2"/>
  <c r="I715" i="2"/>
  <c r="J715" i="2"/>
  <c r="H715" i="2"/>
  <c r="I711" i="2"/>
  <c r="J711" i="2"/>
  <c r="H711" i="2"/>
  <c r="I707" i="2"/>
  <c r="J707" i="2"/>
  <c r="H707" i="2"/>
  <c r="I703" i="2"/>
  <c r="J703" i="2"/>
  <c r="H703" i="2"/>
  <c r="I699" i="2"/>
  <c r="J699" i="2"/>
  <c r="H699" i="2"/>
  <c r="I695" i="2"/>
  <c r="J695" i="2"/>
  <c r="H695" i="2"/>
  <c r="I691" i="2"/>
  <c r="J691" i="2"/>
  <c r="H691" i="2"/>
  <c r="I687" i="2"/>
  <c r="J687" i="2"/>
  <c r="H687" i="2"/>
  <c r="I683" i="2"/>
  <c r="J683" i="2"/>
  <c r="H683" i="2"/>
  <c r="I680" i="2"/>
  <c r="J680" i="2"/>
  <c r="H680" i="2"/>
  <c r="I784" i="2"/>
  <c r="H784" i="2"/>
  <c r="J784" i="2"/>
  <c r="I779" i="2"/>
  <c r="J779" i="2"/>
  <c r="H779" i="2"/>
  <c r="I766" i="2"/>
  <c r="H766" i="2"/>
  <c r="J766" i="2"/>
  <c r="I748" i="2"/>
  <c r="J748" i="2"/>
  <c r="H748" i="2"/>
  <c r="I735" i="2"/>
  <c r="H735" i="2"/>
  <c r="J735" i="2"/>
  <c r="I776" i="2"/>
  <c r="H776" i="2"/>
  <c r="J776" i="2"/>
  <c r="I771" i="2"/>
  <c r="J771" i="2"/>
  <c r="H771" i="2"/>
  <c r="I758" i="2"/>
  <c r="H758" i="2"/>
  <c r="J758" i="2"/>
  <c r="I745" i="2"/>
  <c r="H745" i="2"/>
  <c r="J745" i="2"/>
  <c r="I740" i="2"/>
  <c r="J740" i="2"/>
  <c r="H740" i="2"/>
  <c r="I782" i="2"/>
  <c r="H782" i="2"/>
  <c r="J782" i="2"/>
  <c r="I768" i="2"/>
  <c r="H768" i="2"/>
  <c r="J768" i="2"/>
  <c r="I763" i="2"/>
  <c r="J763" i="2"/>
  <c r="H763" i="2"/>
  <c r="I751" i="2"/>
  <c r="H751" i="2"/>
  <c r="J751" i="2"/>
  <c r="I737" i="2"/>
  <c r="H737" i="2"/>
  <c r="J737" i="2"/>
  <c r="H780" i="2"/>
  <c r="H772" i="2"/>
  <c r="H764" i="2"/>
  <c r="H756" i="2"/>
  <c r="H749" i="2"/>
  <c r="H741" i="2"/>
  <c r="I731" i="2"/>
  <c r="J731" i="2"/>
  <c r="H731" i="2"/>
  <c r="I728" i="2"/>
  <c r="J728" i="2"/>
  <c r="I786" i="2"/>
  <c r="H786" i="2"/>
  <c r="I783" i="2"/>
  <c r="J783" i="2"/>
  <c r="I778" i="2"/>
  <c r="H778" i="2"/>
  <c r="I775" i="2"/>
  <c r="J775" i="2"/>
  <c r="I770" i="2"/>
  <c r="H770" i="2"/>
  <c r="I767" i="2"/>
  <c r="J767" i="2"/>
  <c r="I762" i="2"/>
  <c r="H762" i="2"/>
  <c r="I759" i="2"/>
  <c r="J759" i="2"/>
  <c r="I754" i="2"/>
  <c r="H754" i="2"/>
  <c r="I752" i="2"/>
  <c r="J752" i="2"/>
  <c r="I747" i="2"/>
  <c r="H747" i="2"/>
  <c r="I744" i="2"/>
  <c r="J744" i="2"/>
  <c r="I739" i="2"/>
  <c r="H739" i="2"/>
  <c r="I736" i="2"/>
  <c r="J736" i="2"/>
  <c r="I727" i="2"/>
  <c r="J727" i="2"/>
  <c r="H727" i="2"/>
  <c r="H676" i="2"/>
  <c r="H672" i="2"/>
  <c r="H668" i="2"/>
  <c r="H664" i="2"/>
  <c r="H660" i="2"/>
  <c r="H656" i="2"/>
  <c r="H652" i="2"/>
  <c r="H648" i="2"/>
  <c r="H644" i="2"/>
  <c r="H640" i="2"/>
  <c r="H636" i="2"/>
  <c r="H632" i="2"/>
  <c r="H628" i="2"/>
  <c r="H624" i="2"/>
  <c r="H620" i="2"/>
  <c r="H616" i="2"/>
  <c r="H612" i="2"/>
  <c r="H608" i="2"/>
  <c r="H604" i="2"/>
  <c r="H600" i="2"/>
  <c r="H596" i="2"/>
  <c r="H592" i="2"/>
  <c r="H588" i="2"/>
  <c r="H584" i="2"/>
  <c r="H580" i="2"/>
  <c r="H576" i="2"/>
  <c r="H572" i="2"/>
  <c r="H568" i="2"/>
  <c r="I568" i="2"/>
  <c r="H565" i="2"/>
  <c r="J565" i="2"/>
  <c r="H560" i="2"/>
  <c r="I560" i="2"/>
  <c r="H557" i="2"/>
  <c r="J557" i="2"/>
  <c r="H552" i="2"/>
  <c r="I552" i="2"/>
  <c r="H549" i="2"/>
  <c r="J549" i="2"/>
  <c r="H544" i="2"/>
  <c r="I544" i="2"/>
  <c r="H541" i="2"/>
  <c r="J541" i="2"/>
  <c r="H536" i="2"/>
  <c r="I536" i="2"/>
  <c r="H533" i="2"/>
  <c r="J533" i="2"/>
  <c r="H528" i="2"/>
  <c r="I528" i="2"/>
  <c r="H525" i="2"/>
  <c r="J525" i="2"/>
  <c r="H520" i="2"/>
  <c r="I520" i="2"/>
  <c r="H517" i="2"/>
  <c r="J517" i="2"/>
  <c r="H512" i="2"/>
  <c r="I512" i="2"/>
  <c r="H509" i="2"/>
  <c r="J509" i="2"/>
  <c r="H504" i="2"/>
  <c r="I504" i="2"/>
  <c r="H501" i="2"/>
  <c r="J501" i="2"/>
  <c r="H496" i="2"/>
  <c r="I496" i="2"/>
  <c r="H493" i="2"/>
  <c r="J493" i="2"/>
  <c r="H488" i="2"/>
  <c r="I488" i="2"/>
  <c r="H485" i="2"/>
  <c r="J485" i="2"/>
  <c r="H480" i="2"/>
  <c r="I480" i="2"/>
  <c r="H477" i="2"/>
  <c r="J477" i="2"/>
  <c r="H472" i="2"/>
  <c r="I472" i="2"/>
  <c r="H469" i="2"/>
  <c r="J469" i="2"/>
  <c r="H464" i="2"/>
  <c r="I464" i="2"/>
  <c r="H461" i="2"/>
  <c r="J461" i="2"/>
  <c r="H456" i="2"/>
  <c r="I456" i="2"/>
  <c r="H453" i="2"/>
  <c r="J453" i="2"/>
  <c r="H448" i="2"/>
  <c r="I448" i="2"/>
  <c r="H434" i="2"/>
  <c r="I434" i="2"/>
  <c r="H432" i="2"/>
  <c r="I432" i="2"/>
  <c r="H446" i="2"/>
  <c r="I446" i="2"/>
  <c r="H444" i="2"/>
  <c r="I444" i="2"/>
  <c r="H430" i="2"/>
  <c r="I430" i="2"/>
  <c r="H428" i="2"/>
  <c r="I428" i="2"/>
  <c r="H424" i="2"/>
  <c r="I424" i="2"/>
  <c r="J424" i="2"/>
  <c r="H420" i="2"/>
  <c r="I420" i="2"/>
  <c r="J420" i="2"/>
  <c r="H416" i="2"/>
  <c r="I416" i="2"/>
  <c r="J416" i="2"/>
  <c r="H413" i="2"/>
  <c r="I413" i="2"/>
  <c r="J413" i="2"/>
  <c r="H409" i="2"/>
  <c r="I409" i="2"/>
  <c r="J409" i="2"/>
  <c r="H405" i="2"/>
  <c r="I405" i="2"/>
  <c r="J405" i="2"/>
  <c r="H401" i="2"/>
  <c r="I401" i="2"/>
  <c r="J401" i="2"/>
  <c r="H397" i="2"/>
  <c r="I397" i="2"/>
  <c r="J397" i="2"/>
  <c r="H393" i="2"/>
  <c r="I393" i="2"/>
  <c r="J393" i="2"/>
  <c r="H389" i="2"/>
  <c r="I389" i="2"/>
  <c r="J389" i="2"/>
  <c r="H385" i="2"/>
  <c r="I385" i="2"/>
  <c r="J385" i="2"/>
  <c r="H381" i="2"/>
  <c r="I381" i="2"/>
  <c r="J381" i="2"/>
  <c r="H377" i="2"/>
  <c r="I377" i="2"/>
  <c r="J377" i="2"/>
  <c r="H373" i="2"/>
  <c r="I373" i="2"/>
  <c r="J373" i="2"/>
  <c r="H369" i="2"/>
  <c r="I369" i="2"/>
  <c r="J369" i="2"/>
  <c r="H365" i="2"/>
  <c r="I365" i="2"/>
  <c r="J365" i="2"/>
  <c r="H361" i="2"/>
  <c r="I361" i="2"/>
  <c r="J361" i="2"/>
  <c r="H357" i="2"/>
  <c r="I357" i="2"/>
  <c r="J357" i="2"/>
  <c r="H353" i="2"/>
  <c r="I353" i="2"/>
  <c r="J353" i="2"/>
  <c r="J722" i="2"/>
  <c r="H721" i="2"/>
  <c r="J718" i="2"/>
  <c r="H717" i="2"/>
  <c r="J714" i="2"/>
  <c r="H713" i="2"/>
  <c r="J710" i="2"/>
  <c r="H709" i="2"/>
  <c r="J706" i="2"/>
  <c r="H705" i="2"/>
  <c r="J702" i="2"/>
  <c r="H701" i="2"/>
  <c r="J698" i="2"/>
  <c r="H697" i="2"/>
  <c r="J694" i="2"/>
  <c r="H693" i="2"/>
  <c r="J690" i="2"/>
  <c r="H689" i="2"/>
  <c r="J686" i="2"/>
  <c r="H685" i="2"/>
  <c r="H682" i="2"/>
  <c r="J679" i="2"/>
  <c r="H678" i="2"/>
  <c r="J675" i="2"/>
  <c r="H674" i="2"/>
  <c r="J671" i="2"/>
  <c r="H670" i="2"/>
  <c r="J667" i="2"/>
  <c r="H666" i="2"/>
  <c r="J663" i="2"/>
  <c r="H662" i="2"/>
  <c r="J659" i="2"/>
  <c r="H658" i="2"/>
  <c r="J655" i="2"/>
  <c r="H654" i="2"/>
  <c r="J651" i="2"/>
  <c r="H650" i="2"/>
  <c r="J647" i="2"/>
  <c r="H646" i="2"/>
  <c r="J643" i="2"/>
  <c r="H642" i="2"/>
  <c r="J639" i="2"/>
  <c r="H638" i="2"/>
  <c r="J635" i="2"/>
  <c r="H634" i="2"/>
  <c r="J631" i="2"/>
  <c r="H630" i="2"/>
  <c r="J627" i="2"/>
  <c r="H626" i="2"/>
  <c r="J623" i="2"/>
  <c r="H622" i="2"/>
  <c r="J619" i="2"/>
  <c r="H618" i="2"/>
  <c r="J615" i="2"/>
  <c r="H614" i="2"/>
  <c r="J611" i="2"/>
  <c r="H610" i="2"/>
  <c r="J607" i="2"/>
  <c r="H606" i="2"/>
  <c r="J603" i="2"/>
  <c r="H602" i="2"/>
  <c r="J599" i="2"/>
  <c r="H598" i="2"/>
  <c r="J595" i="2"/>
  <c r="H594" i="2"/>
  <c r="J591" i="2"/>
  <c r="H590" i="2"/>
  <c r="J587" i="2"/>
  <c r="H586" i="2"/>
  <c r="J583" i="2"/>
  <c r="H582" i="2"/>
  <c r="J579" i="2"/>
  <c r="H578" i="2"/>
  <c r="J575" i="2"/>
  <c r="H574" i="2"/>
  <c r="J571" i="2"/>
  <c r="H570" i="2"/>
  <c r="H564" i="2"/>
  <c r="I564" i="2"/>
  <c r="J562" i="2"/>
  <c r="H561" i="2"/>
  <c r="J561" i="2"/>
  <c r="H556" i="2"/>
  <c r="I556" i="2"/>
  <c r="J554" i="2"/>
  <c r="H553" i="2"/>
  <c r="J553" i="2"/>
  <c r="H548" i="2"/>
  <c r="I548" i="2"/>
  <c r="J546" i="2"/>
  <c r="H545" i="2"/>
  <c r="J545" i="2"/>
  <c r="H540" i="2"/>
  <c r="I540" i="2"/>
  <c r="J538" i="2"/>
  <c r="H537" i="2"/>
  <c r="J537" i="2"/>
  <c r="H532" i="2"/>
  <c r="I532" i="2"/>
  <c r="J530" i="2"/>
  <c r="H529" i="2"/>
  <c r="J529" i="2"/>
  <c r="H524" i="2"/>
  <c r="I524" i="2"/>
  <c r="J522" i="2"/>
  <c r="H521" i="2"/>
  <c r="J521" i="2"/>
  <c r="H516" i="2"/>
  <c r="I516" i="2"/>
  <c r="J514" i="2"/>
  <c r="H513" i="2"/>
  <c r="J513" i="2"/>
  <c r="H508" i="2"/>
  <c r="I508" i="2"/>
  <c r="J506" i="2"/>
  <c r="H505" i="2"/>
  <c r="J505" i="2"/>
  <c r="H500" i="2"/>
  <c r="I500" i="2"/>
  <c r="J498" i="2"/>
  <c r="H497" i="2"/>
  <c r="J497" i="2"/>
  <c r="H492" i="2"/>
  <c r="I492" i="2"/>
  <c r="J490" i="2"/>
  <c r="H489" i="2"/>
  <c r="J489" i="2"/>
  <c r="H484" i="2"/>
  <c r="I484" i="2"/>
  <c r="J482" i="2"/>
  <c r="H481" i="2"/>
  <c r="J481" i="2"/>
  <c r="H476" i="2"/>
  <c r="I476" i="2"/>
  <c r="J474" i="2"/>
  <c r="H473" i="2"/>
  <c r="J473" i="2"/>
  <c r="H468" i="2"/>
  <c r="I468" i="2"/>
  <c r="J466" i="2"/>
  <c r="H465" i="2"/>
  <c r="J465" i="2"/>
  <c r="H460" i="2"/>
  <c r="I460" i="2"/>
  <c r="J458" i="2"/>
  <c r="H457" i="2"/>
  <c r="J457" i="2"/>
  <c r="H452" i="2"/>
  <c r="I452" i="2"/>
  <c r="J450" i="2"/>
  <c r="H442" i="2"/>
  <c r="I442" i="2"/>
  <c r="H440" i="2"/>
  <c r="I440" i="2"/>
  <c r="J676" i="2"/>
  <c r="J672" i="2"/>
  <c r="J668" i="2"/>
  <c r="J664" i="2"/>
  <c r="J660" i="2"/>
  <c r="J656" i="2"/>
  <c r="J652" i="2"/>
  <c r="J648" i="2"/>
  <c r="J644" i="2"/>
  <c r="J640" i="2"/>
  <c r="J636" i="2"/>
  <c r="J632" i="2"/>
  <c r="J628" i="2"/>
  <c r="J624" i="2"/>
  <c r="J620" i="2"/>
  <c r="J616" i="2"/>
  <c r="J612" i="2"/>
  <c r="J608" i="2"/>
  <c r="J604" i="2"/>
  <c r="J600" i="2"/>
  <c r="J596" i="2"/>
  <c r="J592" i="2"/>
  <c r="J588" i="2"/>
  <c r="J584" i="2"/>
  <c r="J580" i="2"/>
  <c r="J576" i="2"/>
  <c r="J572" i="2"/>
  <c r="H438" i="2"/>
  <c r="I438" i="2"/>
  <c r="H436" i="2"/>
  <c r="I436" i="2"/>
  <c r="J319" i="2"/>
  <c r="I319" i="2"/>
  <c r="J314" i="2"/>
  <c r="H314" i="2"/>
  <c r="J311" i="2"/>
  <c r="I311" i="2"/>
  <c r="J306" i="2"/>
  <c r="H306" i="2"/>
  <c r="J303" i="2"/>
  <c r="I303" i="2"/>
  <c r="J298" i="2"/>
  <c r="H298" i="2"/>
  <c r="J295" i="2"/>
  <c r="I295" i="2"/>
  <c r="J290" i="2"/>
  <c r="H290" i="2"/>
  <c r="J287" i="2"/>
  <c r="I287" i="2"/>
  <c r="J282" i="2"/>
  <c r="H282" i="2"/>
  <c r="J279" i="2"/>
  <c r="I279" i="2"/>
  <c r="J274" i="2"/>
  <c r="H274" i="2"/>
  <c r="J271" i="2"/>
  <c r="I271" i="2"/>
  <c r="J266" i="2"/>
  <c r="H266" i="2"/>
  <c r="J263" i="2"/>
  <c r="I263" i="2"/>
  <c r="J258" i="2"/>
  <c r="H258" i="2"/>
  <c r="J255" i="2"/>
  <c r="I255" i="2"/>
  <c r="J250" i="2"/>
  <c r="H250" i="2"/>
  <c r="I426" i="2"/>
  <c r="I422" i="2"/>
  <c r="I418" i="2"/>
  <c r="I411" i="2"/>
  <c r="I407" i="2"/>
  <c r="I403" i="2"/>
  <c r="I399" i="2"/>
  <c r="I395" i="2"/>
  <c r="I391" i="2"/>
  <c r="I387" i="2"/>
  <c r="I383" i="2"/>
  <c r="I379" i="2"/>
  <c r="I375" i="2"/>
  <c r="I371" i="2"/>
  <c r="I367" i="2"/>
  <c r="I363" i="2"/>
  <c r="I359" i="2"/>
  <c r="I355" i="2"/>
  <c r="I351" i="2"/>
  <c r="I347" i="2"/>
  <c r="I343" i="2"/>
  <c r="I339" i="2"/>
  <c r="I335" i="2"/>
  <c r="I331" i="2"/>
  <c r="I328" i="2"/>
  <c r="I324" i="2"/>
  <c r="H320" i="2"/>
  <c r="H312" i="2"/>
  <c r="H304" i="2"/>
  <c r="H296" i="2"/>
  <c r="H288" i="2"/>
  <c r="H280" i="2"/>
  <c r="H272" i="2"/>
  <c r="H264" i="2"/>
  <c r="H256" i="2"/>
  <c r="J248" i="2"/>
  <c r="H248" i="2"/>
  <c r="J246" i="2"/>
  <c r="H246" i="2"/>
  <c r="J349" i="2"/>
  <c r="J345" i="2"/>
  <c r="J341" i="2"/>
  <c r="J337" i="2"/>
  <c r="J333" i="2"/>
  <c r="J329" i="2"/>
  <c r="J326" i="2"/>
  <c r="J322" i="2"/>
  <c r="J318" i="2"/>
  <c r="H318" i="2"/>
  <c r="I316" i="2"/>
  <c r="J315" i="2"/>
  <c r="I315" i="2"/>
  <c r="J310" i="2"/>
  <c r="H310" i="2"/>
  <c r="I308" i="2"/>
  <c r="J307" i="2"/>
  <c r="I307" i="2"/>
  <c r="J302" i="2"/>
  <c r="H302" i="2"/>
  <c r="I300" i="2"/>
  <c r="J299" i="2"/>
  <c r="I299" i="2"/>
  <c r="J294" i="2"/>
  <c r="H294" i="2"/>
  <c r="I292" i="2"/>
  <c r="J291" i="2"/>
  <c r="I291" i="2"/>
  <c r="J286" i="2"/>
  <c r="H286" i="2"/>
  <c r="I284" i="2"/>
  <c r="J283" i="2"/>
  <c r="I283" i="2"/>
  <c r="J278" i="2"/>
  <c r="H278" i="2"/>
  <c r="I276" i="2"/>
  <c r="J275" i="2"/>
  <c r="I275" i="2"/>
  <c r="J270" i="2"/>
  <c r="H270" i="2"/>
  <c r="I268" i="2"/>
  <c r="J267" i="2"/>
  <c r="I267" i="2"/>
  <c r="J262" i="2"/>
  <c r="H262" i="2"/>
  <c r="I260" i="2"/>
  <c r="J259" i="2"/>
  <c r="I259" i="2"/>
  <c r="J254" i="2"/>
  <c r="H254" i="2"/>
  <c r="I252" i="2"/>
  <c r="J251" i="2"/>
  <c r="I251" i="2"/>
  <c r="J244" i="2"/>
  <c r="H244" i="2"/>
  <c r="J242" i="2"/>
  <c r="H242" i="2"/>
  <c r="J238" i="2"/>
  <c r="H238" i="2"/>
  <c r="I238" i="2"/>
  <c r="J234" i="2"/>
  <c r="H234" i="2"/>
  <c r="I234" i="2"/>
  <c r="J230" i="2"/>
  <c r="H230" i="2"/>
  <c r="I230" i="2"/>
  <c r="J226" i="2"/>
  <c r="H226" i="2"/>
  <c r="I226" i="2"/>
  <c r="J222" i="2"/>
  <c r="H222" i="2"/>
  <c r="I222" i="2"/>
  <c r="J218" i="2"/>
  <c r="H218" i="2"/>
  <c r="I218" i="2"/>
  <c r="J449" i="2"/>
  <c r="J445" i="2"/>
  <c r="J441" i="2"/>
  <c r="J437" i="2"/>
  <c r="J433" i="2"/>
  <c r="J429" i="2"/>
  <c r="J425" i="2"/>
  <c r="J421" i="2"/>
  <c r="J417" i="2"/>
  <c r="J414" i="2"/>
  <c r="J410" i="2"/>
  <c r="J406" i="2"/>
  <c r="J402" i="2"/>
  <c r="J398" i="2"/>
  <c r="J394" i="2"/>
  <c r="J390" i="2"/>
  <c r="J386" i="2"/>
  <c r="J382" i="2"/>
  <c r="J378" i="2"/>
  <c r="J374" i="2"/>
  <c r="J370" i="2"/>
  <c r="J366" i="2"/>
  <c r="J362" i="2"/>
  <c r="J358" i="2"/>
  <c r="J354" i="2"/>
  <c r="J350" i="2"/>
  <c r="I349" i="2"/>
  <c r="J346" i="2"/>
  <c r="I345" i="2"/>
  <c r="J342" i="2"/>
  <c r="I341" i="2"/>
  <c r="J338" i="2"/>
  <c r="I337" i="2"/>
  <c r="J334" i="2"/>
  <c r="I333" i="2"/>
  <c r="J330" i="2"/>
  <c r="I329" i="2"/>
  <c r="J327" i="2"/>
  <c r="I326" i="2"/>
  <c r="J323" i="2"/>
  <c r="I322" i="2"/>
  <c r="H319" i="2"/>
  <c r="H316" i="2"/>
  <c r="I314" i="2"/>
  <c r="H311" i="2"/>
  <c r="H308" i="2"/>
  <c r="I306" i="2"/>
  <c r="H303" i="2"/>
  <c r="H300" i="2"/>
  <c r="I298" i="2"/>
  <c r="H295" i="2"/>
  <c r="H292" i="2"/>
  <c r="I290" i="2"/>
  <c r="H287" i="2"/>
  <c r="H284" i="2"/>
  <c r="I282" i="2"/>
  <c r="H279" i="2"/>
  <c r="H276" i="2"/>
  <c r="I274" i="2"/>
  <c r="H271" i="2"/>
  <c r="H268" i="2"/>
  <c r="I266" i="2"/>
  <c r="H263" i="2"/>
  <c r="H260" i="2"/>
  <c r="I258" i="2"/>
  <c r="H255" i="2"/>
  <c r="H252" i="2"/>
  <c r="I250" i="2"/>
  <c r="I143" i="2"/>
  <c r="H143" i="2"/>
  <c r="J143" i="2"/>
  <c r="I140" i="2"/>
  <c r="J140" i="2"/>
  <c r="H240" i="2"/>
  <c r="H236" i="2"/>
  <c r="H232" i="2"/>
  <c r="H228" i="2"/>
  <c r="H224" i="2"/>
  <c r="H220" i="2"/>
  <c r="H216" i="2"/>
  <c r="H212" i="2"/>
  <c r="H208" i="2"/>
  <c r="H204" i="2"/>
  <c r="H200" i="2"/>
  <c r="H196" i="2"/>
  <c r="H192" i="2"/>
  <c r="I188" i="2"/>
  <c r="J188" i="2"/>
  <c r="I183" i="2"/>
  <c r="H183" i="2"/>
  <c r="I180" i="2"/>
  <c r="J180" i="2"/>
  <c r="I175" i="2"/>
  <c r="H175" i="2"/>
  <c r="I172" i="2"/>
  <c r="J172" i="2"/>
  <c r="I167" i="2"/>
  <c r="H167" i="2"/>
  <c r="I164" i="2"/>
  <c r="J164" i="2"/>
  <c r="I159" i="2"/>
  <c r="H159" i="2"/>
  <c r="I156" i="2"/>
  <c r="J156" i="2"/>
  <c r="I151" i="2"/>
  <c r="H151" i="2"/>
  <c r="I148" i="2"/>
  <c r="J148" i="2"/>
  <c r="I139" i="2"/>
  <c r="H139" i="2"/>
  <c r="J139" i="2"/>
  <c r="I214" i="2"/>
  <c r="I210" i="2"/>
  <c r="I206" i="2"/>
  <c r="I202" i="2"/>
  <c r="I198" i="2"/>
  <c r="I194" i="2"/>
  <c r="I190" i="2"/>
  <c r="I135" i="2"/>
  <c r="H135" i="2"/>
  <c r="J135" i="2"/>
  <c r="I247" i="2"/>
  <c r="I243" i="2"/>
  <c r="I239" i="2"/>
  <c r="I235" i="2"/>
  <c r="I231" i="2"/>
  <c r="I227" i="2"/>
  <c r="I223" i="2"/>
  <c r="I219" i="2"/>
  <c r="I215" i="2"/>
  <c r="H214" i="2"/>
  <c r="I211" i="2"/>
  <c r="H210" i="2"/>
  <c r="I207" i="2"/>
  <c r="H206" i="2"/>
  <c r="I203" i="2"/>
  <c r="H202" i="2"/>
  <c r="I199" i="2"/>
  <c r="H198" i="2"/>
  <c r="I195" i="2"/>
  <c r="H194" i="2"/>
  <c r="I191" i="2"/>
  <c r="H190" i="2"/>
  <c r="I187" i="2"/>
  <c r="H187" i="2"/>
  <c r="J185" i="2"/>
  <c r="I184" i="2"/>
  <c r="J184" i="2"/>
  <c r="I179" i="2"/>
  <c r="H179" i="2"/>
  <c r="J177" i="2"/>
  <c r="I176" i="2"/>
  <c r="J176" i="2"/>
  <c r="I171" i="2"/>
  <c r="H171" i="2"/>
  <c r="J169" i="2"/>
  <c r="I168" i="2"/>
  <c r="J168" i="2"/>
  <c r="I163" i="2"/>
  <c r="H163" i="2"/>
  <c r="J161" i="2"/>
  <c r="I160" i="2"/>
  <c r="J160" i="2"/>
  <c r="I155" i="2"/>
  <c r="H155" i="2"/>
  <c r="J153" i="2"/>
  <c r="I152" i="2"/>
  <c r="J152" i="2"/>
  <c r="I147" i="2"/>
  <c r="H147" i="2"/>
  <c r="I144" i="2"/>
  <c r="J144" i="2"/>
  <c r="H140" i="2"/>
  <c r="I101" i="2"/>
  <c r="H101" i="2"/>
  <c r="I99" i="2"/>
  <c r="H99" i="2"/>
  <c r="I127" i="2"/>
  <c r="H127" i="2"/>
  <c r="I124" i="2"/>
  <c r="J124" i="2"/>
  <c r="I119" i="2"/>
  <c r="H119" i="2"/>
  <c r="I116" i="2"/>
  <c r="J116" i="2"/>
  <c r="I111" i="2"/>
  <c r="H111" i="2"/>
  <c r="I97" i="2"/>
  <c r="H97" i="2"/>
  <c r="I95" i="2"/>
  <c r="H95" i="2"/>
  <c r="I109" i="2"/>
  <c r="H109" i="2"/>
  <c r="I107" i="2"/>
  <c r="H107" i="2"/>
  <c r="I93" i="2"/>
  <c r="H93" i="2"/>
  <c r="I89" i="2"/>
  <c r="H89" i="2"/>
  <c r="J89" i="2"/>
  <c r="J136" i="2"/>
  <c r="J132" i="2"/>
  <c r="I131" i="2"/>
  <c r="H131" i="2"/>
  <c r="J129" i="2"/>
  <c r="I128" i="2"/>
  <c r="J128" i="2"/>
  <c r="I123" i="2"/>
  <c r="H123" i="2"/>
  <c r="J121" i="2"/>
  <c r="I120" i="2"/>
  <c r="J120" i="2"/>
  <c r="I115" i="2"/>
  <c r="H115" i="2"/>
  <c r="J113" i="2"/>
  <c r="I112" i="2"/>
  <c r="J112" i="2"/>
  <c r="I105" i="2"/>
  <c r="H105" i="2"/>
  <c r="I103" i="2"/>
  <c r="H103" i="2"/>
  <c r="J101" i="2"/>
  <c r="J99" i="2"/>
  <c r="I86" i="2"/>
  <c r="H86" i="2"/>
  <c r="J86" i="2"/>
  <c r="I88" i="2"/>
  <c r="H88" i="2"/>
  <c r="I85" i="2"/>
  <c r="J85" i="2"/>
  <c r="I81" i="2"/>
  <c r="H81" i="2"/>
  <c r="J81" i="2"/>
  <c r="I77" i="2"/>
  <c r="H77" i="2"/>
  <c r="J77" i="2"/>
  <c r="I73" i="2"/>
  <c r="H73" i="2"/>
  <c r="J73" i="2"/>
  <c r="I69" i="2"/>
  <c r="H69" i="2"/>
  <c r="J69" i="2"/>
  <c r="I65" i="2"/>
  <c r="H65" i="2"/>
  <c r="J65" i="2"/>
  <c r="I61" i="2"/>
  <c r="H61" i="2"/>
  <c r="J61" i="2"/>
  <c r="I57" i="2"/>
  <c r="H57" i="2"/>
  <c r="J57" i="2"/>
  <c r="I53" i="2"/>
  <c r="H53" i="2"/>
  <c r="J53" i="2"/>
  <c r="I49" i="2"/>
  <c r="H49" i="2"/>
  <c r="J49" i="2"/>
  <c r="I45" i="2"/>
  <c r="H45" i="2"/>
  <c r="J45" i="2"/>
  <c r="I41" i="2"/>
  <c r="H41" i="2"/>
  <c r="J41" i="2"/>
  <c r="I37" i="2"/>
  <c r="H37" i="2"/>
  <c r="J37" i="2"/>
  <c r="I33" i="2"/>
  <c r="H33" i="2"/>
  <c r="J33" i="2"/>
  <c r="I29" i="2"/>
  <c r="H29" i="2"/>
  <c r="J29" i="2"/>
  <c r="J108" i="2"/>
  <c r="J104" i="2"/>
  <c r="J100" i="2"/>
  <c r="J96" i="2"/>
  <c r="J92" i="2"/>
  <c r="H91" i="2"/>
  <c r="J88" i="2"/>
  <c r="H85" i="2"/>
  <c r="I82" i="2"/>
  <c r="J82" i="2"/>
  <c r="I78" i="2"/>
  <c r="J78" i="2"/>
  <c r="I74" i="2"/>
  <c r="J74" i="2"/>
  <c r="I70" i="2"/>
  <c r="J70" i="2"/>
  <c r="I66" i="2"/>
  <c r="J66" i="2"/>
  <c r="I62" i="2"/>
  <c r="J62" i="2"/>
  <c r="I58" i="2"/>
  <c r="J58" i="2"/>
  <c r="I54" i="2"/>
  <c r="J54" i="2"/>
  <c r="I50" i="2"/>
  <c r="J50" i="2"/>
  <c r="I46" i="2"/>
  <c r="J46" i="2"/>
  <c r="I42" i="2"/>
  <c r="J42" i="2"/>
  <c r="I38" i="2"/>
  <c r="J38" i="2"/>
  <c r="I34" i="2"/>
  <c r="J34" i="2"/>
  <c r="I30" i="2"/>
  <c r="J30" i="2"/>
  <c r="H84" i="2"/>
  <c r="H80" i="2"/>
  <c r="H76" i="2"/>
  <c r="H72" i="2"/>
  <c r="H68" i="2"/>
  <c r="H64" i="2"/>
  <c r="H60" i="2"/>
  <c r="H56" i="2"/>
  <c r="H52" i="2"/>
  <c r="H48" i="2"/>
  <c r="H44" i="2"/>
  <c r="H40" i="2"/>
  <c r="H36" i="2"/>
  <c r="H32" i="2"/>
  <c r="H28" i="2"/>
  <c r="J25" i="2"/>
  <c r="H24" i="2"/>
  <c r="J21" i="2"/>
  <c r="H20" i="2"/>
  <c r="J17" i="2"/>
  <c r="H16" i="2"/>
  <c r="J13" i="2"/>
  <c r="H12" i="2"/>
  <c r="J9" i="2"/>
  <c r="H8" i="2"/>
  <c r="J5" i="2"/>
  <c r="J26" i="2"/>
  <c r="H25" i="2"/>
  <c r="J22" i="2"/>
  <c r="H21" i="2"/>
  <c r="J18" i="2"/>
  <c r="H17" i="2"/>
  <c r="J14" i="2"/>
  <c r="H13" i="2"/>
  <c r="J10" i="2"/>
  <c r="H9" i="2"/>
  <c r="J6" i="2"/>
  <c r="H5" i="2"/>
  <c r="J80" i="42" l="1"/>
  <c r="J78" i="42"/>
  <c r="J84" i="42"/>
  <c r="J76" i="42"/>
  <c r="J79" i="42"/>
  <c r="J75" i="42"/>
  <c r="C2" i="33"/>
  <c r="AI5" i="11" l="1" a="1"/>
  <c r="AI5" i="11" s="1"/>
  <c r="AJ5" i="11" l="1" a="1"/>
  <c r="AJ5" i="11" s="1"/>
  <c r="AK5" i="11" a="1"/>
  <c r="AK5" i="11" s="1"/>
  <c r="E3" i="2" l="1"/>
  <c r="N3" i="2" l="1"/>
  <c r="N1" i="2" s="1"/>
  <c r="W1936" i="2" l="1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S1554" i="2" l="1"/>
  <c r="T1554" i="2" s="1"/>
  <c r="S1560" i="2"/>
  <c r="T1560" i="2" s="1"/>
  <c r="S1602" i="2"/>
  <c r="T1602" i="2" s="1"/>
  <c r="S1606" i="2"/>
  <c r="T1606" i="2" s="1"/>
  <c r="R1642" i="2"/>
  <c r="R1651" i="2"/>
  <c r="U1662" i="2"/>
  <c r="R1666" i="2"/>
  <c r="U1691" i="2"/>
  <c r="R1695" i="2"/>
  <c r="S1702" i="2"/>
  <c r="T1702" i="2" s="1"/>
  <c r="U1710" i="2"/>
  <c r="R1714" i="2"/>
  <c r="R1726" i="2"/>
  <c r="R1729" i="2"/>
  <c r="S1733" i="2"/>
  <c r="T1733" i="2" s="1"/>
  <c r="S1759" i="2"/>
  <c r="T1759" i="2" s="1"/>
  <c r="R1790" i="2"/>
  <c r="U1800" i="2"/>
  <c r="S1802" i="2"/>
  <c r="T1802" i="2" s="1"/>
  <c r="R1806" i="2"/>
  <c r="S1809" i="2"/>
  <c r="T1809" i="2" s="1"/>
  <c r="S1810" i="2"/>
  <c r="T1810" i="2" s="1"/>
  <c r="R1813" i="2"/>
  <c r="R1825" i="2"/>
  <c r="U1832" i="2"/>
  <c r="R1836" i="2"/>
  <c r="S1838" i="2"/>
  <c r="T1838" i="2" s="1"/>
  <c r="S1845" i="2"/>
  <c r="T1845" i="2" s="1"/>
  <c r="U1846" i="2"/>
  <c r="R1848" i="2"/>
  <c r="S1849" i="2"/>
  <c r="T1849" i="2" s="1"/>
  <c r="U1853" i="2"/>
  <c r="R1857" i="2"/>
  <c r="R1860" i="2"/>
  <c r="R1861" i="2"/>
  <c r="R1864" i="2"/>
  <c r="R1868" i="2"/>
  <c r="S1876" i="2"/>
  <c r="T1876" i="2" s="1"/>
  <c r="R1882" i="2"/>
  <c r="S1883" i="2"/>
  <c r="T1883" i="2" s="1"/>
  <c r="S1887" i="2"/>
  <c r="T1887" i="2" s="1"/>
  <c r="R1890" i="2"/>
  <c r="R1891" i="2"/>
  <c r="R1894" i="2"/>
  <c r="R1899" i="2"/>
  <c r="R1901" i="2"/>
  <c r="R1902" i="2"/>
  <c r="U1907" i="2"/>
  <c r="R1915" i="2"/>
  <c r="U1918" i="2"/>
  <c r="R1919" i="2"/>
  <c r="S1923" i="2"/>
  <c r="T1923" i="2" s="1"/>
  <c r="R1924" i="2"/>
  <c r="S1926" i="2"/>
  <c r="T1926" i="2" s="1"/>
  <c r="R1927" i="2"/>
  <c r="S1928" i="2"/>
  <c r="T1928" i="2" s="1"/>
  <c r="S1932" i="2"/>
  <c r="T1932" i="2" s="1"/>
  <c r="R1933" i="2"/>
  <c r="U1943" i="2"/>
  <c r="U1953" i="2"/>
  <c r="R1962" i="2"/>
  <c r="S1967" i="2"/>
  <c r="T1967" i="2" s="1"/>
  <c r="U1969" i="2"/>
  <c r="U1971" i="2"/>
  <c r="U1972" i="2"/>
  <c r="R1973" i="2"/>
  <c r="U1974" i="2"/>
  <c r="S1975" i="2"/>
  <c r="T1975" i="2" s="1"/>
  <c r="R1978" i="2"/>
  <c r="R1980" i="2"/>
  <c r="U1982" i="2"/>
  <c r="U1983" i="2"/>
  <c r="R1986" i="2"/>
  <c r="R1987" i="2"/>
  <c r="S1988" i="2"/>
  <c r="T1988" i="2" s="1"/>
  <c r="S1992" i="2"/>
  <c r="T1992" i="2" s="1"/>
  <c r="U1993" i="2"/>
  <c r="U1998" i="2"/>
  <c r="R1999" i="2"/>
  <c r="R2008" i="2"/>
  <c r="U2010" i="2"/>
  <c r="S2015" i="2"/>
  <c r="T2015" i="2" s="1"/>
  <c r="R2018" i="2"/>
  <c r="R2019" i="2"/>
  <c r="U2022" i="2"/>
  <c r="U2024" i="2"/>
  <c r="U2027" i="2"/>
  <c r="R2029" i="2"/>
  <c r="S2031" i="2"/>
  <c r="T2031" i="2" s="1"/>
  <c r="S2041" i="2"/>
  <c r="T2041" i="2" s="1"/>
  <c r="U2048" i="2"/>
  <c r="R2049" i="2"/>
  <c r="S2050" i="2"/>
  <c r="T2050" i="2" s="1"/>
  <c r="U2056" i="2"/>
  <c r="U2060" i="2"/>
  <c r="U2062" i="2"/>
  <c r="S2064" i="2"/>
  <c r="T2064" i="2" s="1"/>
  <c r="R2065" i="2"/>
  <c r="U2068" i="2"/>
  <c r="S2070" i="2"/>
  <c r="T2070" i="2" s="1"/>
  <c r="U2074" i="2"/>
  <c r="S2075" i="2"/>
  <c r="T2075" i="2" s="1"/>
  <c r="S2076" i="2"/>
  <c r="T2076" i="2" s="1"/>
  <c r="S2077" i="2"/>
  <c r="T2077" i="2" s="1"/>
  <c r="R2084" i="2"/>
  <c r="R2085" i="2"/>
  <c r="S2088" i="2"/>
  <c r="T2088" i="2" s="1"/>
  <c r="R2090" i="2"/>
  <c r="S2094" i="2"/>
  <c r="T2094" i="2" s="1"/>
  <c r="S2104" i="2"/>
  <c r="T2104" i="2" s="1"/>
  <c r="R2105" i="2"/>
  <c r="R2106" i="2"/>
  <c r="S2112" i="2"/>
  <c r="T2112" i="2" s="1"/>
  <c r="R2117" i="2"/>
  <c r="S2118" i="2"/>
  <c r="T2118" i="2" s="1"/>
  <c r="S2120" i="2"/>
  <c r="T2120" i="2" s="1"/>
  <c r="R2122" i="2"/>
  <c r="U2124" i="2"/>
  <c r="U2128" i="2"/>
  <c r="S2132" i="2"/>
  <c r="T2132" i="2" s="1"/>
  <c r="U2133" i="2"/>
  <c r="U2135" i="2"/>
  <c r="U2136" i="2"/>
  <c r="S2138" i="2"/>
  <c r="T2138" i="2" s="1"/>
  <c r="S2140" i="2"/>
  <c r="T2140" i="2" s="1"/>
  <c r="S2142" i="2"/>
  <c r="T2142" i="2" s="1"/>
  <c r="U2144" i="2"/>
  <c r="U2146" i="2"/>
  <c r="U2148" i="2"/>
  <c r="S2149" i="2"/>
  <c r="T2149" i="2" s="1"/>
  <c r="U2150" i="2"/>
  <c r="U2152" i="2"/>
  <c r="R2153" i="2"/>
  <c r="U2156" i="2"/>
  <c r="U2160" i="2"/>
  <c r="U2164" i="2"/>
  <c r="U2166" i="2"/>
  <c r="U2168" i="2"/>
  <c r="S2170" i="2"/>
  <c r="T2170" i="2" s="1"/>
  <c r="U2172" i="2"/>
  <c r="U2176" i="2"/>
  <c r="U2180" i="2"/>
  <c r="R2181" i="2"/>
  <c r="U2184" i="2"/>
  <c r="U2188" i="2"/>
  <c r="R2192" i="2"/>
  <c r="S2193" i="2"/>
  <c r="T2193" i="2" s="1"/>
  <c r="R2194" i="2"/>
  <c r="U2196" i="2"/>
  <c r="U2200" i="2"/>
  <c r="R2201" i="2"/>
  <c r="S2202" i="2"/>
  <c r="T2202" i="2" s="1"/>
  <c r="U2204" i="2"/>
  <c r="S2205" i="2"/>
  <c r="T2205" i="2" s="1"/>
  <c r="U2209" i="2"/>
  <c r="U2213" i="2"/>
  <c r="R2214" i="2"/>
  <c r="U2215" i="2"/>
  <c r="U2217" i="2"/>
  <c r="U2219" i="2"/>
  <c r="U2221" i="2"/>
  <c r="R2223" i="2"/>
  <c r="U2225" i="2"/>
  <c r="U2226" i="2"/>
  <c r="U2229" i="2"/>
  <c r="S2230" i="2"/>
  <c r="T2230" i="2" s="1"/>
  <c r="U2233" i="2"/>
  <c r="U2234" i="2"/>
  <c r="U2237" i="2"/>
  <c r="S2238" i="2"/>
  <c r="T2238" i="2" s="1"/>
  <c r="U2241" i="2"/>
  <c r="R2242" i="2"/>
  <c r="U2245" i="2"/>
  <c r="U2247" i="2"/>
  <c r="R1716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1551" i="2"/>
  <c r="W1550" i="2"/>
  <c r="W1549" i="2"/>
  <c r="W1548" i="2"/>
  <c r="W1547" i="2"/>
  <c r="W1546" i="2"/>
  <c r="W1545" i="2"/>
  <c r="W1544" i="2"/>
  <c r="W1543" i="2"/>
  <c r="W1542" i="2"/>
  <c r="W1541" i="2"/>
  <c r="W1540" i="2"/>
  <c r="W1539" i="2"/>
  <c r="W1538" i="2"/>
  <c r="S1347" i="2"/>
  <c r="T1347" i="2" s="1"/>
  <c r="S1351" i="2"/>
  <c r="T1351" i="2" s="1"/>
  <c r="R1357" i="2"/>
  <c r="U1361" i="2"/>
  <c r="S1373" i="2"/>
  <c r="T1373" i="2" s="1"/>
  <c r="R1387" i="2"/>
  <c r="S1411" i="2"/>
  <c r="T1411" i="2" s="1"/>
  <c r="S1417" i="2"/>
  <c r="T1417" i="2" s="1"/>
  <c r="U1442" i="2"/>
  <c r="R1445" i="2"/>
  <c r="U1446" i="2"/>
  <c r="R1453" i="2"/>
  <c r="U1454" i="2"/>
  <c r="R1461" i="2"/>
  <c r="U1462" i="2"/>
  <c r="U1466" i="2"/>
  <c r="U1470" i="2"/>
  <c r="U1474" i="2"/>
  <c r="U1478" i="2"/>
  <c r="U1482" i="2"/>
  <c r="U1486" i="2"/>
  <c r="U1490" i="2"/>
  <c r="R1493" i="2"/>
  <c r="U1498" i="2"/>
  <c r="U1513" i="2"/>
  <c r="R1517" i="2"/>
  <c r="U1518" i="2"/>
  <c r="U1522" i="2"/>
  <c r="U1526" i="2"/>
  <c r="R1530" i="2"/>
  <c r="R1533" i="2"/>
  <c r="U153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U1690" i="2" l="1"/>
  <c r="R1638" i="2"/>
  <c r="S1582" i="2"/>
  <c r="T1582" i="2" s="1"/>
  <c r="U1888" i="2"/>
  <c r="U1865" i="2"/>
  <c r="R1853" i="2"/>
  <c r="S1853" i="2"/>
  <c r="T1853" i="2" s="1"/>
  <c r="R1682" i="2"/>
  <c r="S1592" i="2"/>
  <c r="T1592" i="2" s="1"/>
  <c r="R1571" i="2"/>
  <c r="U1562" i="2"/>
  <c r="R1562" i="2"/>
  <c r="U1808" i="2"/>
  <c r="U1886" i="2"/>
  <c r="U1761" i="2"/>
  <c r="U1713" i="2"/>
  <c r="S1581" i="2"/>
  <c r="T1581" i="2" s="1"/>
  <c r="S1755" i="2"/>
  <c r="T1755" i="2" s="1"/>
  <c r="R1635" i="2"/>
  <c r="U1755" i="2"/>
  <c r="U1828" i="2"/>
  <c r="S1839" i="2"/>
  <c r="T1839" i="2" s="1"/>
  <c r="U1839" i="2"/>
  <c r="U1986" i="2"/>
  <c r="U1926" i="2"/>
  <c r="U1812" i="2"/>
  <c r="S1790" i="2"/>
  <c r="T1790" i="2" s="1"/>
  <c r="U1804" i="2"/>
  <c r="R1794" i="2"/>
  <c r="S1788" i="2"/>
  <c r="T1788" i="2" s="1"/>
  <c r="U1759" i="2"/>
  <c r="R1737" i="2"/>
  <c r="R1706" i="2"/>
  <c r="S1700" i="2"/>
  <c r="T1700" i="2" s="1"/>
  <c r="S1682" i="2"/>
  <c r="T1682" i="2" s="1"/>
  <c r="U1869" i="2"/>
  <c r="U1750" i="2"/>
  <c r="U1718" i="2"/>
  <c r="S1877" i="2"/>
  <c r="T1877" i="2" s="1"/>
  <c r="U1857" i="2"/>
  <c r="U1814" i="2"/>
  <c r="U1745" i="2"/>
  <c r="R1845" i="2"/>
  <c r="R1722" i="2"/>
  <c r="R1702" i="2"/>
  <c r="U1877" i="2"/>
  <c r="U1845" i="2"/>
  <c r="U1729" i="2"/>
  <c r="S1806" i="2"/>
  <c r="T1806" i="2" s="1"/>
  <c r="S1718" i="2"/>
  <c r="T1718" i="2" s="1"/>
  <c r="R1750" i="2"/>
  <c r="R1718" i="2"/>
  <c r="U1667" i="2"/>
  <c r="S1664" i="2"/>
  <c r="T1664" i="2" s="1"/>
  <c r="U1660" i="2"/>
  <c r="S1656" i="2"/>
  <c r="T1656" i="2" s="1"/>
  <c r="R1654" i="2"/>
  <c r="S1648" i="2"/>
  <c r="T1648" i="2" s="1"/>
  <c r="R1646" i="2"/>
  <c r="U1645" i="2"/>
  <c r="U1644" i="2"/>
  <c r="S1638" i="2"/>
  <c r="T1638" i="2" s="1"/>
  <c r="U1627" i="2"/>
  <c r="R1612" i="2"/>
  <c r="U1583" i="2"/>
  <c r="S1580" i="2"/>
  <c r="T1580" i="2" s="1"/>
  <c r="U1580" i="2"/>
  <c r="R1580" i="2"/>
  <c r="U1571" i="2"/>
  <c r="S1571" i="2"/>
  <c r="T1571" i="2" s="1"/>
  <c r="S1570" i="2"/>
  <c r="T1570" i="2" s="1"/>
  <c r="U1564" i="2"/>
  <c r="S1563" i="2"/>
  <c r="T1563" i="2" s="1"/>
  <c r="R1558" i="2"/>
  <c r="S1552" i="2"/>
  <c r="T1552" i="2" s="1"/>
  <c r="S1619" i="2"/>
  <c r="T1619" i="2" s="1"/>
  <c r="R1623" i="2"/>
  <c r="S1711" i="2"/>
  <c r="T1711" i="2" s="1"/>
  <c r="U1623" i="2"/>
  <c r="R1723" i="2"/>
  <c r="S1679" i="2"/>
  <c r="T1679" i="2" s="1"/>
  <c r="S1793" i="2"/>
  <c r="T1793" i="2" s="1"/>
  <c r="U1831" i="2"/>
  <c r="U1730" i="2"/>
  <c r="U1707" i="2"/>
  <c r="S1667" i="2"/>
  <c r="T1667" i="2" s="1"/>
  <c r="S1647" i="2"/>
  <c r="T1647" i="2" s="1"/>
  <c r="U1870" i="2"/>
  <c r="U1854" i="2"/>
  <c r="U1659" i="2"/>
  <c r="S1746" i="2"/>
  <c r="T1746" i="2" s="1"/>
  <c r="S1699" i="2"/>
  <c r="T1699" i="2" s="1"/>
  <c r="R1827" i="2"/>
  <c r="R1699" i="2"/>
  <c r="R1643" i="2"/>
  <c r="U1679" i="2"/>
  <c r="S1776" i="2"/>
  <c r="T1776" i="2" s="1"/>
  <c r="S1751" i="2"/>
  <c r="T1751" i="2" s="1"/>
  <c r="R1730" i="2"/>
  <c r="S1831" i="2"/>
  <c r="T1831" i="2" s="1"/>
  <c r="R1854" i="2"/>
  <c r="U1878" i="2"/>
  <c r="U1823" i="2"/>
  <c r="S1854" i="2"/>
  <c r="T1854" i="2" s="1"/>
  <c r="S1827" i="2"/>
  <c r="T1827" i="2" s="1"/>
  <c r="U1913" i="2"/>
  <c r="U1834" i="2"/>
  <c r="U1815" i="2"/>
  <c r="S1782" i="2"/>
  <c r="T1782" i="2" s="1"/>
  <c r="R1953" i="2"/>
  <c r="R1865" i="2"/>
  <c r="R1841" i="2"/>
  <c r="U1941" i="2"/>
  <c r="R2045" i="2"/>
  <c r="U2165" i="2"/>
  <c r="S2109" i="2"/>
  <c r="T2109" i="2" s="1"/>
  <c r="R2145" i="2"/>
  <c r="U2189" i="2"/>
  <c r="U2049" i="2"/>
  <c r="R1993" i="2"/>
  <c r="S2069" i="2"/>
  <c r="T2069" i="2" s="1"/>
  <c r="S2169" i="2"/>
  <c r="T2169" i="2" s="1"/>
  <c r="R2137" i="2"/>
  <c r="U2034" i="2"/>
  <c r="U2239" i="2"/>
  <c r="U2201" i="2"/>
  <c r="S2201" i="2"/>
  <c r="T2201" i="2" s="1"/>
  <c r="R2173" i="2"/>
  <c r="U2142" i="2"/>
  <c r="U2084" i="2"/>
  <c r="U2129" i="2"/>
  <c r="S2125" i="2"/>
  <c r="T2125" i="2" s="1"/>
  <c r="S2117" i="2"/>
  <c r="T2117" i="2" s="1"/>
  <c r="S2106" i="2"/>
  <c r="T2106" i="2" s="1"/>
  <c r="U2101" i="2"/>
  <c r="R2098" i="2"/>
  <c r="U2086" i="2"/>
  <c r="R2057" i="2"/>
  <c r="S2053" i="2"/>
  <c r="T2053" i="2" s="1"/>
  <c r="U2033" i="2"/>
  <c r="U2029" i="2"/>
  <c r="S2026" i="2"/>
  <c r="T2026" i="2" s="1"/>
  <c r="U2017" i="2"/>
  <c r="U2013" i="2"/>
  <c r="U1997" i="2"/>
  <c r="S1981" i="2"/>
  <c r="T1981" i="2" s="1"/>
  <c r="U1978" i="2"/>
  <c r="R1976" i="2"/>
  <c r="U1973" i="2"/>
  <c r="S1961" i="2"/>
  <c r="T1961" i="2" s="1"/>
  <c r="U1957" i="2"/>
  <c r="U1956" i="2"/>
  <c r="U1944" i="2"/>
  <c r="S1944" i="2"/>
  <c r="T1944" i="2" s="1"/>
  <c r="R1932" i="2"/>
  <c r="U1930" i="2"/>
  <c r="S1929" i="2"/>
  <c r="T1929" i="2" s="1"/>
  <c r="U1925" i="2"/>
  <c r="S1925" i="2"/>
  <c r="T1925" i="2" s="1"/>
  <c r="U1924" i="2"/>
  <c r="S1924" i="2"/>
  <c r="T1924" i="2" s="1"/>
  <c r="R1921" i="2"/>
  <c r="U1916" i="2"/>
  <c r="R1916" i="2"/>
  <c r="U1902" i="2"/>
  <c r="R1884" i="2"/>
  <c r="U1880" i="2"/>
  <c r="U1875" i="2"/>
  <c r="U1874" i="2"/>
  <c r="S1871" i="2"/>
  <c r="T1871" i="2" s="1"/>
  <c r="U1862" i="2"/>
  <c r="R1862" i="2"/>
  <c r="S1857" i="2"/>
  <c r="T1857" i="2" s="1"/>
  <c r="U1851" i="2"/>
  <c r="U1843" i="2"/>
  <c r="S1843" i="2"/>
  <c r="T1843" i="2" s="1"/>
  <c r="U1841" i="2"/>
  <c r="U1835" i="2"/>
  <c r="R1834" i="2"/>
  <c r="S1833" i="2"/>
  <c r="T1833" i="2" s="1"/>
  <c r="S1830" i="2"/>
  <c r="T1830" i="2" s="1"/>
  <c r="R1828" i="2"/>
  <c r="R1823" i="2"/>
  <c r="S1819" i="2"/>
  <c r="T1819" i="2" s="1"/>
  <c r="S1818" i="2"/>
  <c r="T1818" i="2" s="1"/>
  <c r="R1818" i="2"/>
  <c r="U1811" i="2"/>
  <c r="R1802" i="2"/>
  <c r="S1799" i="2"/>
  <c r="T1799" i="2" s="1"/>
  <c r="U1799" i="2"/>
  <c r="R1799" i="2"/>
  <c r="R1948" i="2"/>
  <c r="U1794" i="2"/>
  <c r="R1792" i="2"/>
  <c r="U1792" i="2"/>
  <c r="U1790" i="2"/>
  <c r="S1789" i="2"/>
  <c r="T1789" i="2" s="1"/>
  <c r="U1788" i="2"/>
  <c r="R1788" i="2"/>
  <c r="S1785" i="2"/>
  <c r="T1785" i="2" s="1"/>
  <c r="U1779" i="2"/>
  <c r="R1778" i="2"/>
  <c r="U1760" i="2"/>
  <c r="S1585" i="2"/>
  <c r="T1585" i="2" s="1"/>
  <c r="S1791" i="2"/>
  <c r="T1791" i="2" s="1"/>
  <c r="U2116" i="2"/>
  <c r="U1976" i="2"/>
  <c r="U2192" i="2"/>
  <c r="U2072" i="2"/>
  <c r="S1972" i="2"/>
  <c r="T1972" i="2" s="1"/>
  <c r="U2008" i="2"/>
  <c r="R1984" i="2"/>
  <c r="U1876" i="2"/>
  <c r="U1825" i="2"/>
  <c r="U1766" i="2"/>
  <c r="U1685" i="2"/>
  <c r="U1868" i="2"/>
  <c r="S2129" i="2"/>
  <c r="T2129" i="2" s="1"/>
  <c r="U1919" i="2"/>
  <c r="U1848" i="2"/>
  <c r="U2242" i="2"/>
  <c r="U2214" i="2"/>
  <c r="U2141" i="2"/>
  <c r="U2065" i="2"/>
  <c r="S2157" i="2"/>
  <c r="T2157" i="2" s="1"/>
  <c r="S2085" i="2"/>
  <c r="T2085" i="2" s="1"/>
  <c r="S1957" i="2"/>
  <c r="T1957" i="2" s="1"/>
  <c r="R1989" i="2"/>
  <c r="R1909" i="2"/>
  <c r="U2238" i="2"/>
  <c r="U2117" i="2"/>
  <c r="U2085" i="2"/>
  <c r="U2069" i="2"/>
  <c r="U2041" i="2"/>
  <c r="S2141" i="2"/>
  <c r="T2141" i="2" s="1"/>
  <c r="S2089" i="2"/>
  <c r="T2089" i="2" s="1"/>
  <c r="S2029" i="2"/>
  <c r="T2029" i="2" s="1"/>
  <c r="S1973" i="2"/>
  <c r="T1973" i="2" s="1"/>
  <c r="S1893" i="2"/>
  <c r="T1893" i="2" s="1"/>
  <c r="R2101" i="2"/>
  <c r="R2001" i="2"/>
  <c r="R1929" i="2"/>
  <c r="R1905" i="2"/>
  <c r="R2169" i="2"/>
  <c r="R2133" i="2"/>
  <c r="R2081" i="2"/>
  <c r="R2041" i="2"/>
  <c r="U2210" i="2"/>
  <c r="U2173" i="2"/>
  <c r="U2149" i="2"/>
  <c r="U2125" i="2"/>
  <c r="U2093" i="2"/>
  <c r="U2053" i="2"/>
  <c r="U2021" i="2"/>
  <c r="U2001" i="2"/>
  <c r="U1945" i="2"/>
  <c r="U1929" i="2"/>
  <c r="U1909" i="2"/>
  <c r="U1881" i="2"/>
  <c r="U1793" i="2"/>
  <c r="U1762" i="2"/>
  <c r="S2197" i="2"/>
  <c r="T2197" i="2" s="1"/>
  <c r="S2137" i="2"/>
  <c r="T2137" i="2" s="1"/>
  <c r="S2097" i="2"/>
  <c r="T2097" i="2" s="1"/>
  <c r="S2065" i="2"/>
  <c r="T2065" i="2" s="1"/>
  <c r="S2013" i="2"/>
  <c r="T2013" i="2" s="1"/>
  <c r="S1937" i="2"/>
  <c r="T1937" i="2" s="1"/>
  <c r="S1909" i="2"/>
  <c r="T1909" i="2" s="1"/>
  <c r="S1862" i="2"/>
  <c r="T1862" i="2" s="1"/>
  <c r="S1811" i="2"/>
  <c r="T1811" i="2" s="1"/>
  <c r="R2149" i="2"/>
  <c r="R2061" i="2"/>
  <c r="R2005" i="2"/>
  <c r="R1945" i="2"/>
  <c r="R1917" i="2"/>
  <c r="R1858" i="2"/>
  <c r="R1850" i="2"/>
  <c r="R1811" i="2"/>
  <c r="R1793" i="2"/>
  <c r="U2076" i="2"/>
  <c r="U2016" i="2"/>
  <c r="U2000" i="2"/>
  <c r="U1992" i="2"/>
  <c r="U1936" i="2"/>
  <c r="U1928" i="2"/>
  <c r="S2060" i="2"/>
  <c r="T2060" i="2" s="1"/>
  <c r="S1980" i="2"/>
  <c r="T1980" i="2" s="1"/>
  <c r="S1916" i="2"/>
  <c r="T1916" i="2" s="1"/>
  <c r="R1972" i="2"/>
  <c r="R1944" i="2"/>
  <c r="R1928" i="2"/>
  <c r="R1912" i="2"/>
  <c r="U2140" i="2"/>
  <c r="U1932" i="2"/>
  <c r="U1904" i="2"/>
  <c r="S2080" i="2"/>
  <c r="T2080" i="2" s="1"/>
  <c r="S1996" i="2"/>
  <c r="T1996" i="2" s="1"/>
  <c r="S1976" i="2"/>
  <c r="T1976" i="2" s="1"/>
  <c r="S1912" i="2"/>
  <c r="T1912" i="2" s="1"/>
  <c r="R1936" i="2"/>
  <c r="U1776" i="2"/>
  <c r="R1776" i="2"/>
  <c r="U1775" i="2"/>
  <c r="S1774" i="2"/>
  <c r="T1774" i="2" s="1"/>
  <c r="U1774" i="2"/>
  <c r="U1772" i="2"/>
  <c r="U1769" i="2"/>
  <c r="R1769" i="2"/>
  <c r="U1767" i="2"/>
  <c r="S1767" i="2"/>
  <c r="T1767" i="2" s="1"/>
  <c r="R1767" i="2"/>
  <c r="S1765" i="2"/>
  <c r="T1765" i="2" s="1"/>
  <c r="R1765" i="2"/>
  <c r="S1764" i="2"/>
  <c r="T1764" i="2" s="1"/>
  <c r="U1764" i="2"/>
  <c r="U1763" i="2"/>
  <c r="U1753" i="2"/>
  <c r="R1752" i="2"/>
  <c r="U1752" i="2"/>
  <c r="U1747" i="2"/>
  <c r="R1746" i="2"/>
  <c r="U1746" i="2"/>
  <c r="S1745" i="2"/>
  <c r="T1745" i="2" s="1"/>
  <c r="U1743" i="2"/>
  <c r="S1743" i="2"/>
  <c r="T1743" i="2" s="1"/>
  <c r="S1742" i="2"/>
  <c r="T1742" i="2" s="1"/>
  <c r="U1742" i="2"/>
  <c r="S1741" i="2"/>
  <c r="T1741" i="2" s="1"/>
  <c r="U1741" i="2"/>
  <c r="R1740" i="2"/>
  <c r="S1739" i="2"/>
  <c r="T1739" i="2" s="1"/>
  <c r="S1738" i="2"/>
  <c r="T1738" i="2" s="1"/>
  <c r="S1735" i="2"/>
  <c r="T1735" i="2" s="1"/>
  <c r="U1734" i="2"/>
  <c r="R1733" i="2"/>
  <c r="U1733" i="2"/>
  <c r="S1731" i="2"/>
  <c r="T1731" i="2" s="1"/>
  <c r="S1730" i="2"/>
  <c r="T1730" i="2" s="1"/>
  <c r="S1729" i="2"/>
  <c r="T1729" i="2" s="1"/>
  <c r="U1728" i="2"/>
  <c r="U1727" i="2"/>
  <c r="S1725" i="2"/>
  <c r="T1725" i="2" s="1"/>
  <c r="U1721" i="2"/>
  <c r="U1719" i="2"/>
  <c r="R1719" i="2"/>
  <c r="R1715" i="2"/>
  <c r="S1715" i="2"/>
  <c r="T1715" i="2" s="1"/>
  <c r="S1713" i="2"/>
  <c r="T1713" i="2" s="1"/>
  <c r="U1712" i="2"/>
  <c r="S1712" i="2"/>
  <c r="T1712" i="2" s="1"/>
  <c r="U1711" i="2"/>
  <c r="R1711" i="2"/>
  <c r="U1708" i="2"/>
  <c r="S1706" i="2"/>
  <c r="T1706" i="2" s="1"/>
  <c r="U1704" i="2"/>
  <c r="S1704" i="2"/>
  <c r="T1704" i="2" s="1"/>
  <c r="S1703" i="2"/>
  <c r="T1703" i="2" s="1"/>
  <c r="U1703" i="2"/>
  <c r="U1700" i="2"/>
  <c r="R1700" i="2"/>
  <c r="U1699" i="2"/>
  <c r="R1694" i="2"/>
  <c r="U1694" i="2"/>
  <c r="U1692" i="2"/>
  <c r="S1692" i="2"/>
  <c r="T1692" i="2" s="1"/>
  <c r="U1688" i="2"/>
  <c r="S1688" i="2"/>
  <c r="T1688" i="2" s="1"/>
  <c r="U1683" i="2"/>
  <c r="S1681" i="2"/>
  <c r="T1681" i="2" s="1"/>
  <c r="R1680" i="2"/>
  <c r="R1678" i="2"/>
  <c r="S1676" i="2"/>
  <c r="T1676" i="2" s="1"/>
  <c r="S1672" i="2"/>
  <c r="T1672" i="2" s="1"/>
  <c r="R1671" i="2"/>
  <c r="R1670" i="2"/>
  <c r="U1670" i="2"/>
  <c r="S1670" i="2"/>
  <c r="T1670" i="2" s="1"/>
  <c r="R1667" i="2"/>
  <c r="U1665" i="2"/>
  <c r="U1664" i="2"/>
  <c r="R1664" i="2"/>
  <c r="S1662" i="2"/>
  <c r="T1662" i="2" s="1"/>
  <c r="S1660" i="2"/>
  <c r="T1660" i="2" s="1"/>
  <c r="S1659" i="2"/>
  <c r="T1659" i="2" s="1"/>
  <c r="R1659" i="2"/>
  <c r="S1658" i="2"/>
  <c r="T1658" i="2" s="1"/>
  <c r="U1653" i="2"/>
  <c r="R1653" i="2"/>
  <c r="U1648" i="2"/>
  <c r="U1647" i="2"/>
  <c r="S1643" i="2"/>
  <c r="T1643" i="2" s="1"/>
  <c r="U1638" i="2"/>
  <c r="S1635" i="2"/>
  <c r="T1635" i="2" s="1"/>
  <c r="U1635" i="2"/>
  <c r="R1632" i="2"/>
  <c r="U1632" i="2"/>
  <c r="S1632" i="2"/>
  <c r="T1632" i="2" s="1"/>
  <c r="U1630" i="2"/>
  <c r="S1630" i="2"/>
  <c r="T1630" i="2" s="1"/>
  <c r="R1630" i="2"/>
  <c r="U1628" i="2"/>
  <c r="R1627" i="2"/>
  <c r="S1627" i="2"/>
  <c r="T1627" i="2" s="1"/>
  <c r="U1626" i="2"/>
  <c r="R1624" i="2"/>
  <c r="U1624" i="2"/>
  <c r="S1623" i="2"/>
  <c r="T1623" i="2" s="1"/>
  <c r="U1621" i="2"/>
  <c r="U1620" i="2"/>
  <c r="S1620" i="2"/>
  <c r="T1620" i="2" s="1"/>
  <c r="U1619" i="2"/>
  <c r="R1618" i="2"/>
  <c r="U1618" i="2"/>
  <c r="S1616" i="2"/>
  <c r="T1616" i="2" s="1"/>
  <c r="R1616" i="2"/>
  <c r="U1614" i="2"/>
  <c r="U1612" i="2"/>
  <c r="S1608" i="2"/>
  <c r="T1608" i="2" s="1"/>
  <c r="U1608" i="2"/>
  <c r="R1594" i="2"/>
  <c r="U1591" i="2"/>
  <c r="R1591" i="2"/>
  <c r="U1611" i="2"/>
  <c r="U1601" i="2"/>
  <c r="R1608" i="2"/>
  <c r="R1607" i="2"/>
  <c r="U1604" i="2"/>
  <c r="S1604" i="2"/>
  <c r="T1604" i="2" s="1"/>
  <c r="S1603" i="2"/>
  <c r="T1603" i="2" s="1"/>
  <c r="R1603" i="2"/>
  <c r="U1603" i="2"/>
  <c r="U1602" i="2"/>
  <c r="R1602" i="2"/>
  <c r="R1601" i="2"/>
  <c r="U1599" i="2"/>
  <c r="S1599" i="2"/>
  <c r="T1599" i="2" s="1"/>
  <c r="U1598" i="2"/>
  <c r="R1598" i="2"/>
  <c r="S1598" i="2"/>
  <c r="T1598" i="2" s="1"/>
  <c r="U1597" i="2"/>
  <c r="R1596" i="2"/>
  <c r="U1596" i="2"/>
  <c r="U1592" i="2"/>
  <c r="R1592" i="2"/>
  <c r="S1587" i="2"/>
  <c r="T1587" i="2" s="1"/>
  <c r="U1587" i="2"/>
  <c r="R1587" i="2"/>
  <c r="U1586" i="2"/>
  <c r="S1586" i="2"/>
  <c r="T1586" i="2" s="1"/>
  <c r="R1586" i="2"/>
  <c r="U1584" i="2"/>
  <c r="S1584" i="2"/>
  <c r="T1584" i="2" s="1"/>
  <c r="R1584" i="2"/>
  <c r="S1583" i="2"/>
  <c r="T1583" i="2" s="1"/>
  <c r="R1583" i="2"/>
  <c r="U1582" i="2"/>
  <c r="R1582" i="2"/>
  <c r="R1579" i="2"/>
  <c r="U1577" i="2"/>
  <c r="U1576" i="2"/>
  <c r="S1572" i="2"/>
  <c r="T1572" i="2" s="1"/>
  <c r="U1572" i="2"/>
  <c r="R1569" i="2"/>
  <c r="R1567" i="2"/>
  <c r="R1564" i="2"/>
  <c r="S1564" i="2"/>
  <c r="T1564" i="2" s="1"/>
  <c r="U1563" i="2"/>
  <c r="S1562" i="2"/>
  <c r="T1562" i="2" s="1"/>
  <c r="R1560" i="2"/>
  <c r="U1559" i="2"/>
  <c r="S1559" i="2"/>
  <c r="T1559" i="2" s="1"/>
  <c r="S1558" i="2"/>
  <c r="T1558" i="2" s="1"/>
  <c r="R1556" i="2"/>
  <c r="U1555" i="2"/>
  <c r="U1554" i="2"/>
  <c r="R1554" i="2"/>
  <c r="U1552" i="2"/>
  <c r="R1760" i="2"/>
  <c r="U1939" i="2"/>
  <c r="U1887" i="2"/>
  <c r="U1852" i="2"/>
  <c r="U1844" i="2"/>
  <c r="U1836" i="2"/>
  <c r="U1809" i="2"/>
  <c r="U1756" i="2"/>
  <c r="U1669" i="2"/>
  <c r="U1661" i="2"/>
  <c r="U1629" i="2"/>
  <c r="U1625" i="2"/>
  <c r="U1613" i="2"/>
  <c r="U1593" i="2"/>
  <c r="U1569" i="2"/>
  <c r="S1770" i="2"/>
  <c r="T1770" i="2" s="1"/>
  <c r="S1760" i="2"/>
  <c r="T1760" i="2" s="1"/>
  <c r="S1669" i="2"/>
  <c r="T1669" i="2" s="1"/>
  <c r="S1661" i="2"/>
  <c r="T1661" i="2" s="1"/>
  <c r="S1645" i="2"/>
  <c r="T1645" i="2" s="1"/>
  <c r="S1589" i="2"/>
  <c r="T1589" i="2" s="1"/>
  <c r="R1809" i="2"/>
  <c r="R1795" i="2"/>
  <c r="R1766" i="2"/>
  <c r="R1756" i="2"/>
  <c r="R1728" i="2"/>
  <c r="R1685" i="2"/>
  <c r="R1669" i="2"/>
  <c r="R1661" i="2"/>
  <c r="R1593" i="2"/>
  <c r="R1577" i="2"/>
  <c r="U1923" i="2"/>
  <c r="U1915" i="2"/>
  <c r="U1798" i="2"/>
  <c r="U1791" i="2"/>
  <c r="U1780" i="2"/>
  <c r="U1749" i="2"/>
  <c r="U1744" i="2"/>
  <c r="U1740" i="2"/>
  <c r="U1725" i="2"/>
  <c r="U1717" i="2"/>
  <c r="U1681" i="2"/>
  <c r="U1585" i="2"/>
  <c r="U1581" i="2"/>
  <c r="U1573" i="2"/>
  <c r="U1565" i="2"/>
  <c r="S1836" i="2"/>
  <c r="T1836" i="2" s="1"/>
  <c r="S1756" i="2"/>
  <c r="T1756" i="2" s="1"/>
  <c r="S1728" i="2"/>
  <c r="T1728" i="2" s="1"/>
  <c r="S1717" i="2"/>
  <c r="T1717" i="2" s="1"/>
  <c r="S1701" i="2"/>
  <c r="T1701" i="2" s="1"/>
  <c r="S1653" i="2"/>
  <c r="T1653" i="2" s="1"/>
  <c r="S1621" i="2"/>
  <c r="T1621" i="2" s="1"/>
  <c r="S1613" i="2"/>
  <c r="T1613" i="2" s="1"/>
  <c r="S1597" i="2"/>
  <c r="T1597" i="2" s="1"/>
  <c r="S1573" i="2"/>
  <c r="T1573" i="2" s="1"/>
  <c r="S1565" i="2"/>
  <c r="T1565" i="2" s="1"/>
  <c r="R1852" i="2"/>
  <c r="R1805" i="2"/>
  <c r="R1770" i="2"/>
  <c r="R1736" i="2"/>
  <c r="R1713" i="2"/>
  <c r="R1677" i="2"/>
  <c r="R1613" i="2"/>
  <c r="R1597" i="2"/>
  <c r="R1585" i="2"/>
  <c r="R1581" i="2"/>
  <c r="R1573" i="2"/>
  <c r="R1565" i="2"/>
  <c r="S1868" i="2"/>
  <c r="T1868" i="2" s="1"/>
  <c r="S1825" i="2"/>
  <c r="T1825" i="2" s="1"/>
  <c r="S1744" i="2"/>
  <c r="T1744" i="2" s="1"/>
  <c r="S1740" i="2"/>
  <c r="T1740" i="2" s="1"/>
  <c r="S1629" i="2"/>
  <c r="T1629" i="2" s="1"/>
  <c r="S1609" i="2"/>
  <c r="T1609" i="2" s="1"/>
  <c r="S1601" i="2"/>
  <c r="T1601" i="2" s="1"/>
  <c r="S1593" i="2"/>
  <c r="T1593" i="2" s="1"/>
  <c r="R1780" i="2"/>
  <c r="R1744" i="2"/>
  <c r="R1725" i="2"/>
  <c r="R1681" i="2"/>
  <c r="R1665" i="2"/>
  <c r="R1629" i="2"/>
  <c r="R1621" i="2"/>
  <c r="S2090" i="2"/>
  <c r="T2090" i="2" s="1"/>
  <c r="S2010" i="2"/>
  <c r="T2010" i="2" s="1"/>
  <c r="S1886" i="2"/>
  <c r="T1886" i="2" s="1"/>
  <c r="S1851" i="2"/>
  <c r="T1851" i="2" s="1"/>
  <c r="S1835" i="2"/>
  <c r="T1835" i="2" s="1"/>
  <c r="S1828" i="2"/>
  <c r="T1828" i="2" s="1"/>
  <c r="R1974" i="2"/>
  <c r="R1839" i="2"/>
  <c r="R1820" i="2"/>
  <c r="R1755" i="2"/>
  <c r="R1712" i="2"/>
  <c r="R2050" i="2"/>
  <c r="R1970" i="2"/>
  <c r="R1871" i="2"/>
  <c r="R1843" i="2"/>
  <c r="R1835" i="2"/>
  <c r="R1759" i="2"/>
  <c r="R1743" i="2"/>
  <c r="R1720" i="2"/>
  <c r="R1656" i="2"/>
  <c r="S2054" i="2"/>
  <c r="T2054" i="2" s="1"/>
  <c r="S1808" i="2"/>
  <c r="T1808" i="2" s="1"/>
  <c r="S1794" i="2"/>
  <c r="T1794" i="2" s="1"/>
  <c r="R2142" i="2"/>
  <c r="R2110" i="2"/>
  <c r="R1867" i="2"/>
  <c r="R1851" i="2"/>
  <c r="R1797" i="2"/>
  <c r="R1783" i="2"/>
  <c r="R1773" i="2"/>
  <c r="R1747" i="2"/>
  <c r="R1724" i="2"/>
  <c r="R1704" i="2"/>
  <c r="R1840" i="2"/>
  <c r="U2083" i="2"/>
  <c r="U1891" i="2"/>
  <c r="U1883" i="2"/>
  <c r="S1780" i="2"/>
  <c r="T1780" i="2" s="1"/>
  <c r="R1876" i="2"/>
  <c r="U2015" i="2"/>
  <c r="R1971" i="2"/>
  <c r="R1951" i="2"/>
  <c r="R1975" i="2"/>
  <c r="U2230" i="2"/>
  <c r="U2197" i="2"/>
  <c r="U2185" i="2"/>
  <c r="U2169" i="2"/>
  <c r="U2157" i="2"/>
  <c r="U2145" i="2"/>
  <c r="U2137" i="2"/>
  <c r="U2109" i="2"/>
  <c r="U2089" i="2"/>
  <c r="U2073" i="2"/>
  <c r="U2061" i="2"/>
  <c r="S2214" i="2"/>
  <c r="T2214" i="2" s="1"/>
  <c r="S2189" i="2"/>
  <c r="T2189" i="2" s="1"/>
  <c r="S2153" i="2"/>
  <c r="T2153" i="2" s="1"/>
  <c r="S2133" i="2"/>
  <c r="T2133" i="2" s="1"/>
  <c r="S2121" i="2"/>
  <c r="T2121" i="2" s="1"/>
  <c r="S2093" i="2"/>
  <c r="T2093" i="2" s="1"/>
  <c r="S2045" i="2"/>
  <c r="T2045" i="2" s="1"/>
  <c r="S2025" i="2"/>
  <c r="T2025" i="2" s="1"/>
  <c r="S2009" i="2"/>
  <c r="T2009" i="2" s="1"/>
  <c r="R2193" i="2"/>
  <c r="R2161" i="2"/>
  <c r="R2125" i="2"/>
  <c r="R2109" i="2"/>
  <c r="R2097" i="2"/>
  <c r="R2077" i="2"/>
  <c r="R2053" i="2"/>
  <c r="U2218" i="2"/>
  <c r="U2205" i="2"/>
  <c r="U2193" i="2"/>
  <c r="U2181" i="2"/>
  <c r="U2153" i="2"/>
  <c r="U2121" i="2"/>
  <c r="U2105" i="2"/>
  <c r="U2081" i="2"/>
  <c r="U2057" i="2"/>
  <c r="U2045" i="2"/>
  <c r="S2181" i="2"/>
  <c r="T2181" i="2" s="1"/>
  <c r="S2105" i="2"/>
  <c r="T2105" i="2" s="1"/>
  <c r="S2073" i="2"/>
  <c r="T2073" i="2" s="1"/>
  <c r="S2057" i="2"/>
  <c r="T2057" i="2" s="1"/>
  <c r="S2021" i="2"/>
  <c r="T2021" i="2" s="1"/>
  <c r="S1997" i="2"/>
  <c r="T1997" i="2" s="1"/>
  <c r="R2185" i="2"/>
  <c r="R2141" i="2"/>
  <c r="R2121" i="2"/>
  <c r="R2093" i="2"/>
  <c r="R2069" i="2"/>
  <c r="R2013" i="2"/>
  <c r="R1997" i="2"/>
  <c r="R2197" i="2"/>
  <c r="S2242" i="2"/>
  <c r="T2242" i="2" s="1"/>
  <c r="S2210" i="2"/>
  <c r="T2210" i="2" s="1"/>
  <c r="S2165" i="2"/>
  <c r="T2165" i="2" s="1"/>
  <c r="S2145" i="2"/>
  <c r="T2145" i="2" s="1"/>
  <c r="R2157" i="2"/>
  <c r="R2129" i="2"/>
  <c r="R2089" i="2"/>
  <c r="U2127" i="2"/>
  <c r="S2083" i="2"/>
  <c r="T2083" i="2" s="1"/>
  <c r="U2075" i="2"/>
  <c r="U2071" i="2"/>
  <c r="U2096" i="2"/>
  <c r="U2088" i="2"/>
  <c r="U2064" i="2"/>
  <c r="S2068" i="2"/>
  <c r="T2068" i="2" s="1"/>
  <c r="R2080" i="2"/>
  <c r="U2120" i="2"/>
  <c r="S2116" i="2"/>
  <c r="T2116" i="2" s="1"/>
  <c r="S2092" i="2"/>
  <c r="T2092" i="2" s="1"/>
  <c r="S2084" i="2"/>
  <c r="T2084" i="2" s="1"/>
  <c r="S2036" i="2"/>
  <c r="T2036" i="2" s="1"/>
  <c r="U2104" i="2"/>
  <c r="U2092" i="2"/>
  <c r="U2080" i="2"/>
  <c r="U2036" i="2"/>
  <c r="U2028" i="2"/>
  <c r="S2096" i="2"/>
  <c r="T2096" i="2" s="1"/>
  <c r="S2072" i="2"/>
  <c r="T2072" i="2" s="1"/>
  <c r="R2072" i="2"/>
  <c r="U2195" i="2"/>
  <c r="R2027" i="2"/>
  <c r="U2131" i="2"/>
  <c r="U2019" i="2"/>
  <c r="S2019" i="2"/>
  <c r="T2019" i="2" s="1"/>
  <c r="S1943" i="2"/>
  <c r="T1943" i="2" s="1"/>
  <c r="S1915" i="2"/>
  <c r="T1915" i="2" s="1"/>
  <c r="S1891" i="2"/>
  <c r="T1891" i="2" s="1"/>
  <c r="R1979" i="2"/>
  <c r="R1887" i="2"/>
  <c r="U2187" i="2"/>
  <c r="U2031" i="2"/>
  <c r="U1935" i="2"/>
  <c r="S2171" i="2"/>
  <c r="T2171" i="2" s="1"/>
  <c r="S1860" i="2"/>
  <c r="T1860" i="2" s="1"/>
  <c r="U2191" i="2"/>
  <c r="U2111" i="2"/>
  <c r="U2067" i="2"/>
  <c r="U1979" i="2"/>
  <c r="S1848" i="2"/>
  <c r="T1848" i="2" s="1"/>
  <c r="R2247" i="2"/>
  <c r="S2247" i="2"/>
  <c r="T2247" i="2" s="1"/>
  <c r="R2243" i="2"/>
  <c r="S2243" i="2"/>
  <c r="T2243" i="2" s="1"/>
  <c r="U2243" i="2"/>
  <c r="R2235" i="2"/>
  <c r="S2235" i="2"/>
  <c r="T2235" i="2" s="1"/>
  <c r="U2235" i="2"/>
  <c r="R2231" i="2"/>
  <c r="S2231" i="2"/>
  <c r="T2231" i="2" s="1"/>
  <c r="U2231" i="2"/>
  <c r="R2227" i="2"/>
  <c r="U2227" i="2"/>
  <c r="U2223" i="2"/>
  <c r="S2206" i="2"/>
  <c r="T2206" i="2" s="1"/>
  <c r="S2198" i="2"/>
  <c r="T2198" i="2" s="1"/>
  <c r="U2190" i="2"/>
  <c r="S2190" i="2"/>
  <c r="T2190" i="2" s="1"/>
  <c r="U2186" i="2"/>
  <c r="S2186" i="2"/>
  <c r="T2186" i="2" s="1"/>
  <c r="R2182" i="2"/>
  <c r="R2178" i="2"/>
  <c r="S2174" i="2"/>
  <c r="T2174" i="2" s="1"/>
  <c r="R2174" i="2"/>
  <c r="R2166" i="2"/>
  <c r="S2166" i="2"/>
  <c r="T2166" i="2" s="1"/>
  <c r="U2162" i="2"/>
  <c r="R2162" i="2"/>
  <c r="R2158" i="2"/>
  <c r="S2158" i="2"/>
  <c r="T2158" i="2" s="1"/>
  <c r="S2154" i="2"/>
  <c r="T2154" i="2" s="1"/>
  <c r="R2154" i="2"/>
  <c r="R2150" i="2"/>
  <c r="R2134" i="2"/>
  <c r="U2134" i="2"/>
  <c r="S2134" i="2"/>
  <c r="T2134" i="2" s="1"/>
  <c r="R2126" i="2"/>
  <c r="S2126" i="2"/>
  <c r="T2126" i="2" s="1"/>
  <c r="U2126" i="2"/>
  <c r="R2118" i="2"/>
  <c r="U2118" i="2"/>
  <c r="S2215" i="2"/>
  <c r="T2215" i="2" s="1"/>
  <c r="U2194" i="2"/>
  <c r="U2182" i="2"/>
  <c r="S2239" i="2"/>
  <c r="T2239" i="2" s="1"/>
  <c r="S2178" i="2"/>
  <c r="T2178" i="2" s="1"/>
  <c r="S2162" i="2"/>
  <c r="T2162" i="2" s="1"/>
  <c r="R2239" i="2"/>
  <c r="R2102" i="2"/>
  <c r="R2094" i="2"/>
  <c r="U2094" i="2"/>
  <c r="U2090" i="2"/>
  <c r="R2086" i="2"/>
  <c r="S2086" i="2"/>
  <c r="T2086" i="2" s="1"/>
  <c r="S2078" i="2"/>
  <c r="T2078" i="2" s="1"/>
  <c r="R2074" i="2"/>
  <c r="S2074" i="2"/>
  <c r="T2074" i="2" s="1"/>
  <c r="S2066" i="2"/>
  <c r="T2066" i="2" s="1"/>
  <c r="S2058" i="2"/>
  <c r="T2058" i="2" s="1"/>
  <c r="R2054" i="2"/>
  <c r="U2054" i="2"/>
  <c r="R2046" i="2"/>
  <c r="S2038" i="2"/>
  <c r="T2038" i="2" s="1"/>
  <c r="R2038" i="2"/>
  <c r="U2038" i="2"/>
  <c r="R2030" i="2"/>
  <c r="S2030" i="2"/>
  <c r="T2030" i="2" s="1"/>
  <c r="U2030" i="2"/>
  <c r="S2022" i="2"/>
  <c r="T2022" i="2" s="1"/>
  <c r="R2022" i="2"/>
  <c r="S2014" i="2"/>
  <c r="T2014" i="2" s="1"/>
  <c r="U2014" i="2"/>
  <c r="R2002" i="2"/>
  <c r="S2002" i="2"/>
  <c r="T2002" i="2" s="1"/>
  <c r="S1998" i="2"/>
  <c r="T1998" i="2" s="1"/>
  <c r="R1994" i="2"/>
  <c r="S1994" i="2"/>
  <c r="T1994" i="2" s="1"/>
  <c r="U1994" i="2"/>
  <c r="S1978" i="2"/>
  <c r="T1978" i="2" s="1"/>
  <c r="S1962" i="2"/>
  <c r="T1962" i="2" s="1"/>
  <c r="U1962" i="2"/>
  <c r="R1954" i="2"/>
  <c r="S1954" i="2"/>
  <c r="T1954" i="2" s="1"/>
  <c r="S1950" i="2"/>
  <c r="T1950" i="2" s="1"/>
  <c r="R1946" i="2"/>
  <c r="S1942" i="2"/>
  <c r="T1942" i="2" s="1"/>
  <c r="U1942" i="2"/>
  <c r="U1934" i="2"/>
  <c r="S1922" i="2"/>
  <c r="T1922" i="2" s="1"/>
  <c r="S1918" i="2"/>
  <c r="T1918" i="2" s="1"/>
  <c r="S1890" i="2"/>
  <c r="T1890" i="2" s="1"/>
  <c r="U1890" i="2"/>
  <c r="U1882" i="2"/>
  <c r="S2046" i="2"/>
  <c r="T2046" i="2" s="1"/>
  <c r="S2034" i="2"/>
  <c r="T2034" i="2" s="1"/>
  <c r="R2078" i="2"/>
  <c r="R1930" i="2"/>
  <c r="R1926" i="2"/>
  <c r="U2066" i="2"/>
  <c r="U2050" i="2"/>
  <c r="R2082" i="2"/>
  <c r="R2042" i="2"/>
  <c r="R2014" i="2"/>
  <c r="R1942" i="2"/>
  <c r="U1879" i="2"/>
  <c r="R2127" i="2"/>
  <c r="S2179" i="2"/>
  <c r="T2179" i="2" s="1"/>
  <c r="S2240" i="2"/>
  <c r="T2240" i="2" s="1"/>
  <c r="S2191" i="2"/>
  <c r="T2191" i="2" s="1"/>
  <c r="S2246" i="2"/>
  <c r="T2246" i="2" s="1"/>
  <c r="R2246" i="2"/>
  <c r="R2238" i="2"/>
  <c r="R2234" i="2"/>
  <c r="R2230" i="2"/>
  <c r="R2210" i="2"/>
  <c r="R2189" i="2"/>
  <c r="R2218" i="2"/>
  <c r="U2211" i="2"/>
  <c r="S2211" i="2"/>
  <c r="T2211" i="2" s="1"/>
  <c r="R2211" i="2"/>
  <c r="R2215" i="2"/>
  <c r="S2194" i="2"/>
  <c r="T2194" i="2" s="1"/>
  <c r="U2248" i="2"/>
  <c r="S2248" i="2"/>
  <c r="T2248" i="2" s="1"/>
  <c r="U2246" i="2"/>
  <c r="U2244" i="2"/>
  <c r="U2240" i="2"/>
  <c r="S2236" i="2"/>
  <c r="T2236" i="2" s="1"/>
  <c r="U2236" i="2"/>
  <c r="S2234" i="2"/>
  <c r="T2234" i="2" s="1"/>
  <c r="U2232" i="2"/>
  <c r="S2232" i="2"/>
  <c r="T2232" i="2" s="1"/>
  <c r="U2228" i="2"/>
  <c r="S2227" i="2"/>
  <c r="T2227" i="2" s="1"/>
  <c r="S2226" i="2"/>
  <c r="T2226" i="2" s="1"/>
  <c r="R2226" i="2"/>
  <c r="S2224" i="2"/>
  <c r="T2224" i="2" s="1"/>
  <c r="U2224" i="2"/>
  <c r="S2223" i="2"/>
  <c r="T2223" i="2" s="1"/>
  <c r="U2222" i="2"/>
  <c r="R2222" i="2"/>
  <c r="S2222" i="2"/>
  <c r="T2222" i="2" s="1"/>
  <c r="U2220" i="2"/>
  <c r="S2220" i="2"/>
  <c r="T2220" i="2" s="1"/>
  <c r="S2219" i="2"/>
  <c r="T2219" i="2" s="1"/>
  <c r="R2219" i="2"/>
  <c r="S2218" i="2"/>
  <c r="T2218" i="2" s="1"/>
  <c r="U2216" i="2"/>
  <c r="S2216" i="2"/>
  <c r="T2216" i="2" s="1"/>
  <c r="U2212" i="2"/>
  <c r="U2208" i="2"/>
  <c r="S2208" i="2"/>
  <c r="T2208" i="2" s="1"/>
  <c r="U2207" i="2"/>
  <c r="S2207" i="2"/>
  <c r="T2207" i="2" s="1"/>
  <c r="U2206" i="2"/>
  <c r="R2206" i="2"/>
  <c r="R2205" i="2"/>
  <c r="U2203" i="2"/>
  <c r="S2203" i="2"/>
  <c r="T2203" i="2" s="1"/>
  <c r="R2202" i="2"/>
  <c r="U2202" i="2"/>
  <c r="U2199" i="2"/>
  <c r="U2198" i="2"/>
  <c r="R2198" i="2"/>
  <c r="S2195" i="2"/>
  <c r="T2195" i="2" s="1"/>
  <c r="R2190" i="2"/>
  <c r="S2187" i="2"/>
  <c r="T2187" i="2" s="1"/>
  <c r="R2186" i="2"/>
  <c r="S2185" i="2"/>
  <c r="T2185" i="2" s="1"/>
  <c r="U2183" i="2"/>
  <c r="S2183" i="2"/>
  <c r="T2183" i="2" s="1"/>
  <c r="S2182" i="2"/>
  <c r="T2182" i="2" s="1"/>
  <c r="U2179" i="2"/>
  <c r="U2178" i="2"/>
  <c r="U2177" i="2"/>
  <c r="S2177" i="2"/>
  <c r="T2177" i="2" s="1"/>
  <c r="R2177" i="2"/>
  <c r="U2175" i="2"/>
  <c r="S2175" i="2"/>
  <c r="T2175" i="2" s="1"/>
  <c r="U2174" i="2"/>
  <c r="S2173" i="2"/>
  <c r="T2173" i="2" s="1"/>
  <c r="U2171" i="2"/>
  <c r="U2170" i="2"/>
  <c r="R2170" i="2"/>
  <c r="U2167" i="2"/>
  <c r="S2167" i="2"/>
  <c r="T2167" i="2" s="1"/>
  <c r="R2165" i="2"/>
  <c r="S2163" i="2"/>
  <c r="T2163" i="2" s="1"/>
  <c r="U2163" i="2"/>
  <c r="U2161" i="2"/>
  <c r="S2161" i="2"/>
  <c r="T2161" i="2" s="1"/>
  <c r="U2159" i="2"/>
  <c r="S2159" i="2"/>
  <c r="T2159" i="2" s="1"/>
  <c r="U2158" i="2"/>
  <c r="S2244" i="2"/>
  <c r="T2244" i="2" s="1"/>
  <c r="S2228" i="2"/>
  <c r="T2228" i="2" s="1"/>
  <c r="S2212" i="2"/>
  <c r="T2212" i="2" s="1"/>
  <c r="S2199" i="2"/>
  <c r="T2199" i="2" s="1"/>
  <c r="R2083" i="2"/>
  <c r="U2155" i="2"/>
  <c r="S2155" i="2"/>
  <c r="T2155" i="2" s="1"/>
  <c r="U2154" i="2"/>
  <c r="S2151" i="2"/>
  <c r="T2151" i="2" s="1"/>
  <c r="U2151" i="2"/>
  <c r="S2150" i="2"/>
  <c r="T2150" i="2" s="1"/>
  <c r="U2147" i="2"/>
  <c r="S2147" i="2"/>
  <c r="T2147" i="2" s="1"/>
  <c r="S2146" i="2"/>
  <c r="T2146" i="2" s="1"/>
  <c r="R2146" i="2"/>
  <c r="R2245" i="2"/>
  <c r="S2245" i="2"/>
  <c r="T2245" i="2" s="1"/>
  <c r="R2241" i="2"/>
  <c r="S2241" i="2"/>
  <c r="T2241" i="2" s="1"/>
  <c r="R2237" i="2"/>
  <c r="S2237" i="2"/>
  <c r="T2237" i="2" s="1"/>
  <c r="R2233" i="2"/>
  <c r="S2233" i="2"/>
  <c r="T2233" i="2" s="1"/>
  <c r="R2229" i="2"/>
  <c r="S2229" i="2"/>
  <c r="T2229" i="2" s="1"/>
  <c r="R2225" i="2"/>
  <c r="S2225" i="2"/>
  <c r="T2225" i="2" s="1"/>
  <c r="R2221" i="2"/>
  <c r="S2221" i="2"/>
  <c r="T2221" i="2" s="1"/>
  <c r="R2217" i="2"/>
  <c r="S2217" i="2"/>
  <c r="T2217" i="2" s="1"/>
  <c r="R2213" i="2"/>
  <c r="S2213" i="2"/>
  <c r="T2213" i="2" s="1"/>
  <c r="R2209" i="2"/>
  <c r="S2209" i="2"/>
  <c r="T2209" i="2" s="1"/>
  <c r="R2204" i="2"/>
  <c r="S2204" i="2"/>
  <c r="T2204" i="2" s="1"/>
  <c r="R2200" i="2"/>
  <c r="S2200" i="2"/>
  <c r="T2200" i="2" s="1"/>
  <c r="R2196" i="2"/>
  <c r="S2196" i="2"/>
  <c r="T2196" i="2" s="1"/>
  <c r="S2192" i="2"/>
  <c r="T2192" i="2" s="1"/>
  <c r="R2188" i="2"/>
  <c r="S2188" i="2"/>
  <c r="T2188" i="2" s="1"/>
  <c r="R2184" i="2"/>
  <c r="S2184" i="2"/>
  <c r="T2184" i="2" s="1"/>
  <c r="R2180" i="2"/>
  <c r="S2180" i="2"/>
  <c r="T2180" i="2" s="1"/>
  <c r="R2176" i="2"/>
  <c r="S2176" i="2"/>
  <c r="T2176" i="2" s="1"/>
  <c r="R2172" i="2"/>
  <c r="S2172" i="2"/>
  <c r="T2172" i="2" s="1"/>
  <c r="R2168" i="2"/>
  <c r="S2168" i="2"/>
  <c r="T2168" i="2" s="1"/>
  <c r="R2164" i="2"/>
  <c r="S2164" i="2"/>
  <c r="T2164" i="2" s="1"/>
  <c r="R2160" i="2"/>
  <c r="S2160" i="2"/>
  <c r="T2160" i="2" s="1"/>
  <c r="R2156" i="2"/>
  <c r="S2156" i="2"/>
  <c r="T2156" i="2" s="1"/>
  <c r="R2152" i="2"/>
  <c r="S2152" i="2"/>
  <c r="T2152" i="2" s="1"/>
  <c r="R2148" i="2"/>
  <c r="S2148" i="2"/>
  <c r="T2148" i="2" s="1"/>
  <c r="R2144" i="2"/>
  <c r="S2144" i="2"/>
  <c r="T2144" i="2" s="1"/>
  <c r="R2140" i="2"/>
  <c r="R2136" i="2"/>
  <c r="S2136" i="2"/>
  <c r="T2136" i="2" s="1"/>
  <c r="R2128" i="2"/>
  <c r="S2128" i="2"/>
  <c r="T2128" i="2" s="1"/>
  <c r="R2096" i="2"/>
  <c r="R2124" i="2"/>
  <c r="R2120" i="2"/>
  <c r="R2116" i="2"/>
  <c r="R2112" i="2"/>
  <c r="R2104" i="2"/>
  <c r="R2092" i="2"/>
  <c r="R2088" i="2"/>
  <c r="R2068" i="2"/>
  <c r="R2064" i="2"/>
  <c r="R2060" i="2"/>
  <c r="R2056" i="2"/>
  <c r="S2056" i="2"/>
  <c r="T2056" i="2" s="1"/>
  <c r="R2048" i="2"/>
  <c r="S2048" i="2"/>
  <c r="T2048" i="2" s="1"/>
  <c r="S2040" i="2"/>
  <c r="T2040" i="2" s="1"/>
  <c r="R2036" i="2"/>
  <c r="R2024" i="2"/>
  <c r="S2024" i="2"/>
  <c r="T2024" i="2" s="1"/>
  <c r="R2020" i="2"/>
  <c r="S2020" i="2"/>
  <c r="T2020" i="2" s="1"/>
  <c r="S2012" i="2"/>
  <c r="T2012" i="2" s="1"/>
  <c r="R1992" i="2"/>
  <c r="U2143" i="2"/>
  <c r="S2143" i="2"/>
  <c r="T2143" i="2" s="1"/>
  <c r="R2135" i="2"/>
  <c r="R2103" i="2"/>
  <c r="R2075" i="2"/>
  <c r="R2031" i="2"/>
  <c r="S2027" i="2"/>
  <c r="T2027" i="2" s="1"/>
  <c r="S1983" i="2"/>
  <c r="T1983" i="2" s="1"/>
  <c r="S2131" i="2"/>
  <c r="T2131" i="2" s="1"/>
  <c r="R2248" i="2"/>
  <c r="R2244" i="2"/>
  <c r="R2240" i="2"/>
  <c r="R2236" i="2"/>
  <c r="R2232" i="2"/>
  <c r="R2228" i="2"/>
  <c r="R2224" i="2"/>
  <c r="R2220" i="2"/>
  <c r="R2216" i="2"/>
  <c r="R2212" i="2"/>
  <c r="R2208" i="2"/>
  <c r="R2207" i="2"/>
  <c r="R2203" i="2"/>
  <c r="R2199" i="2"/>
  <c r="R2195" i="2"/>
  <c r="R2191" i="2"/>
  <c r="R2187" i="2"/>
  <c r="R2183" i="2"/>
  <c r="R2179" i="2"/>
  <c r="R2175" i="2"/>
  <c r="R2171" i="2"/>
  <c r="R2167" i="2"/>
  <c r="R2163" i="2"/>
  <c r="R2159" i="2"/>
  <c r="R2155" i="2"/>
  <c r="R2151" i="2"/>
  <c r="R2147" i="2"/>
  <c r="R2143" i="2"/>
  <c r="R2131" i="2"/>
  <c r="R2015" i="2"/>
  <c r="R1939" i="2"/>
  <c r="U2139" i="2"/>
  <c r="S2139" i="2"/>
  <c r="T2139" i="2" s="1"/>
  <c r="R2139" i="2"/>
  <c r="R2138" i="2"/>
  <c r="U2138" i="2"/>
  <c r="S2135" i="2"/>
  <c r="T2135" i="2" s="1"/>
  <c r="U2132" i="2"/>
  <c r="R2132" i="2"/>
  <c r="S2130" i="2"/>
  <c r="T2130" i="2" s="1"/>
  <c r="R2130" i="2"/>
  <c r="U2130" i="2"/>
  <c r="S2127" i="2"/>
  <c r="T2127" i="2" s="1"/>
  <c r="S2124" i="2"/>
  <c r="T2124" i="2" s="1"/>
  <c r="U2123" i="2"/>
  <c r="S2123" i="2"/>
  <c r="T2123" i="2" s="1"/>
  <c r="R2123" i="2"/>
  <c r="U2122" i="2"/>
  <c r="S2122" i="2"/>
  <c r="T2122" i="2" s="1"/>
  <c r="R2119" i="2"/>
  <c r="U2119" i="2"/>
  <c r="S2119" i="2"/>
  <c r="T2119" i="2" s="1"/>
  <c r="U2115" i="2"/>
  <c r="S2115" i="2"/>
  <c r="T2115" i="2" s="1"/>
  <c r="R2115" i="2"/>
  <c r="U2114" i="2"/>
  <c r="R2114" i="2"/>
  <c r="S2114" i="2"/>
  <c r="T2114" i="2" s="1"/>
  <c r="S2113" i="2"/>
  <c r="T2113" i="2" s="1"/>
  <c r="R2113" i="2"/>
  <c r="U2113" i="2"/>
  <c r="U2112" i="2"/>
  <c r="R2111" i="2"/>
  <c r="S2111" i="2"/>
  <c r="T2111" i="2" s="1"/>
  <c r="U2110" i="2"/>
  <c r="S2110" i="2"/>
  <c r="T2110" i="2" s="1"/>
  <c r="U2108" i="2"/>
  <c r="R2108" i="2"/>
  <c r="S2108" i="2"/>
  <c r="T2108" i="2" s="1"/>
  <c r="S2107" i="2"/>
  <c r="T2107" i="2" s="1"/>
  <c r="R2107" i="2"/>
  <c r="U2107" i="2"/>
  <c r="U2106" i="2"/>
  <c r="U2103" i="2"/>
  <c r="S2103" i="2"/>
  <c r="T2103" i="2" s="1"/>
  <c r="U2102" i="2"/>
  <c r="S2102" i="2"/>
  <c r="T2102" i="2" s="1"/>
  <c r="S2101" i="2"/>
  <c r="T2101" i="2" s="1"/>
  <c r="S2100" i="2"/>
  <c r="T2100" i="2" s="1"/>
  <c r="R2100" i="2"/>
  <c r="U2100" i="2"/>
  <c r="U2099" i="2"/>
  <c r="R2099" i="2"/>
  <c r="S2099" i="2"/>
  <c r="T2099" i="2" s="1"/>
  <c r="U2098" i="2"/>
  <c r="S2098" i="2"/>
  <c r="T2098" i="2" s="1"/>
  <c r="U2097" i="2"/>
  <c r="R2095" i="2"/>
  <c r="S2095" i="2"/>
  <c r="T2095" i="2" s="1"/>
  <c r="U2095" i="2"/>
  <c r="U2091" i="2"/>
  <c r="S2091" i="2"/>
  <c r="T2091" i="2" s="1"/>
  <c r="R2091" i="2"/>
  <c r="U2087" i="2"/>
  <c r="S2087" i="2"/>
  <c r="T2087" i="2" s="1"/>
  <c r="R2087" i="2"/>
  <c r="U2082" i="2"/>
  <c r="S2082" i="2"/>
  <c r="T2082" i="2" s="1"/>
  <c r="S2081" i="2"/>
  <c r="T2081" i="2" s="1"/>
  <c r="U2079" i="2"/>
  <c r="S2079" i="2"/>
  <c r="T2079" i="2" s="1"/>
  <c r="R2079" i="2"/>
  <c r="U2078" i="2"/>
  <c r="U2077" i="2"/>
  <c r="R2076" i="2"/>
  <c r="R2073" i="2"/>
  <c r="S2071" i="2"/>
  <c r="T2071" i="2" s="1"/>
  <c r="R2071" i="2"/>
  <c r="R2070" i="2"/>
  <c r="U2070" i="2"/>
  <c r="S2067" i="2"/>
  <c r="T2067" i="2" s="1"/>
  <c r="R2067" i="2"/>
  <c r="R2066" i="2"/>
  <c r="U2063" i="2"/>
  <c r="S2063" i="2"/>
  <c r="T2063" i="2" s="1"/>
  <c r="R2063" i="2"/>
  <c r="S2062" i="2"/>
  <c r="T2062" i="2" s="1"/>
  <c r="R2062" i="2"/>
  <c r="S2061" i="2"/>
  <c r="T2061" i="2" s="1"/>
  <c r="S2059" i="2"/>
  <c r="T2059" i="2" s="1"/>
  <c r="U2059" i="2"/>
  <c r="R2059" i="2"/>
  <c r="R2058" i="2"/>
  <c r="U2058" i="2"/>
  <c r="S2055" i="2"/>
  <c r="T2055" i="2" s="1"/>
  <c r="U2055" i="2"/>
  <c r="R2055" i="2"/>
  <c r="S2052" i="2"/>
  <c r="T2052" i="2" s="1"/>
  <c r="R2052" i="2"/>
  <c r="U2052" i="2"/>
  <c r="U2051" i="2"/>
  <c r="S2051" i="2"/>
  <c r="T2051" i="2" s="1"/>
  <c r="R2051" i="2"/>
  <c r="S2049" i="2"/>
  <c r="T2049" i="2" s="1"/>
  <c r="S2047" i="2"/>
  <c r="T2047" i="2" s="1"/>
  <c r="U2047" i="2"/>
  <c r="R2047" i="2"/>
  <c r="U2046" i="2"/>
  <c r="S2044" i="2"/>
  <c r="T2044" i="2" s="1"/>
  <c r="R2044" i="2"/>
  <c r="U2044" i="2"/>
  <c r="R2043" i="2"/>
  <c r="U2043" i="2"/>
  <c r="S2043" i="2"/>
  <c r="T2043" i="2" s="1"/>
  <c r="U2042" i="2"/>
  <c r="S2042" i="2"/>
  <c r="T2042" i="2" s="1"/>
  <c r="U2040" i="2"/>
  <c r="R2040" i="2"/>
  <c r="U2039" i="2"/>
  <c r="R2039" i="2"/>
  <c r="S2039" i="2"/>
  <c r="T2039" i="2" s="1"/>
  <c r="U2037" i="2"/>
  <c r="S2037" i="2"/>
  <c r="T2037" i="2" s="1"/>
  <c r="R2037" i="2"/>
  <c r="U2035" i="2"/>
  <c r="S2035" i="2"/>
  <c r="T2035" i="2" s="1"/>
  <c r="R2035" i="2"/>
  <c r="R2034" i="2"/>
  <c r="S2033" i="2"/>
  <c r="T2033" i="2" s="1"/>
  <c r="R2033" i="2"/>
  <c r="S2032" i="2"/>
  <c r="T2032" i="2" s="1"/>
  <c r="R2032" i="2"/>
  <c r="U2032" i="2"/>
  <c r="S2004" i="2"/>
  <c r="T2004" i="2" s="1"/>
  <c r="U1988" i="2"/>
  <c r="S2028" i="2"/>
  <c r="T2028" i="2" s="1"/>
  <c r="R2028" i="2"/>
  <c r="R2026" i="2"/>
  <c r="U2026" i="2"/>
  <c r="U2025" i="2"/>
  <c r="R2025" i="2"/>
  <c r="U2023" i="2"/>
  <c r="S2023" i="2"/>
  <c r="T2023" i="2" s="1"/>
  <c r="R2023" i="2"/>
  <c r="R2021" i="2"/>
  <c r="U2020" i="2"/>
  <c r="S2018" i="2"/>
  <c r="T2018" i="2" s="1"/>
  <c r="U2018" i="2"/>
  <c r="S2017" i="2"/>
  <c r="T2017" i="2" s="1"/>
  <c r="R2017" i="2"/>
  <c r="R2016" i="2"/>
  <c r="S2016" i="2"/>
  <c r="T2016" i="2" s="1"/>
  <c r="U2012" i="2"/>
  <c r="R2012" i="2"/>
  <c r="R2011" i="2"/>
  <c r="U2011" i="2"/>
  <c r="S2011" i="2"/>
  <c r="T2011" i="2" s="1"/>
  <c r="R2010" i="2"/>
  <c r="R2009" i="2"/>
  <c r="U2009" i="2"/>
  <c r="S2008" i="2"/>
  <c r="T2008" i="2" s="1"/>
  <c r="U2007" i="2"/>
  <c r="S2007" i="2"/>
  <c r="T2007" i="2" s="1"/>
  <c r="R2007" i="2"/>
  <c r="S2006" i="2"/>
  <c r="T2006" i="2" s="1"/>
  <c r="U2006" i="2"/>
  <c r="R2006" i="2"/>
  <c r="U2005" i="2"/>
  <c r="S2005" i="2"/>
  <c r="T2005" i="2" s="1"/>
  <c r="U2004" i="2"/>
  <c r="R2004" i="2"/>
  <c r="S2003" i="2"/>
  <c r="T2003" i="2" s="1"/>
  <c r="R2003" i="2"/>
  <c r="U2003" i="2"/>
  <c r="U2002" i="2"/>
  <c r="S2001" i="2"/>
  <c r="T2001" i="2" s="1"/>
  <c r="S2000" i="2"/>
  <c r="T2000" i="2" s="1"/>
  <c r="R2000" i="2"/>
  <c r="U1999" i="2"/>
  <c r="S1999" i="2"/>
  <c r="T1999" i="2" s="1"/>
  <c r="R1998" i="2"/>
  <c r="U1996" i="2"/>
  <c r="R1996" i="2"/>
  <c r="U1995" i="2"/>
  <c r="S1995" i="2"/>
  <c r="T1995" i="2" s="1"/>
  <c r="R1995" i="2"/>
  <c r="S1993" i="2"/>
  <c r="T1993" i="2" s="1"/>
  <c r="S1991" i="2"/>
  <c r="T1991" i="2" s="1"/>
  <c r="U1991" i="2"/>
  <c r="R1991" i="2"/>
  <c r="U1990" i="2"/>
  <c r="S1990" i="2"/>
  <c r="T1990" i="2" s="1"/>
  <c r="R1990" i="2"/>
  <c r="U1989" i="2"/>
  <c r="S1989" i="2"/>
  <c r="T1989" i="2" s="1"/>
  <c r="R1988" i="2"/>
  <c r="S1987" i="2"/>
  <c r="T1987" i="2" s="1"/>
  <c r="U1987" i="2"/>
  <c r="S1986" i="2"/>
  <c r="T1986" i="2" s="1"/>
  <c r="U1985" i="2"/>
  <c r="S1985" i="2"/>
  <c r="T1985" i="2" s="1"/>
  <c r="R1985" i="2"/>
  <c r="S1984" i="2"/>
  <c r="T1984" i="2" s="1"/>
  <c r="U1984" i="2"/>
  <c r="R1983" i="2"/>
  <c r="S1982" i="2"/>
  <c r="T1982" i="2" s="1"/>
  <c r="R1982" i="2"/>
  <c r="U1981" i="2"/>
  <c r="R1981" i="2"/>
  <c r="U1980" i="2"/>
  <c r="S1979" i="2"/>
  <c r="T1979" i="2" s="1"/>
  <c r="U1977" i="2"/>
  <c r="S1977" i="2"/>
  <c r="T1977" i="2" s="1"/>
  <c r="R1977" i="2"/>
  <c r="U1975" i="2"/>
  <c r="S1974" i="2"/>
  <c r="T1974" i="2" s="1"/>
  <c r="S1971" i="2"/>
  <c r="T1971" i="2" s="1"/>
  <c r="S1970" i="2"/>
  <c r="T1970" i="2" s="1"/>
  <c r="U1970" i="2"/>
  <c r="S1969" i="2"/>
  <c r="T1969" i="2" s="1"/>
  <c r="R1969" i="2"/>
  <c r="U1968" i="2"/>
  <c r="S1968" i="2"/>
  <c r="T1968" i="2" s="1"/>
  <c r="R1968" i="2"/>
  <c r="U1967" i="2"/>
  <c r="R1967" i="2"/>
  <c r="S1966" i="2"/>
  <c r="T1966" i="2" s="1"/>
  <c r="U1966" i="2"/>
  <c r="R1966" i="2"/>
  <c r="R1965" i="2"/>
  <c r="S1965" i="2"/>
  <c r="T1965" i="2" s="1"/>
  <c r="U1965" i="2"/>
  <c r="U1964" i="2"/>
  <c r="S1964" i="2"/>
  <c r="T1964" i="2" s="1"/>
  <c r="R1964" i="2"/>
  <c r="S1963" i="2"/>
  <c r="T1963" i="2" s="1"/>
  <c r="R1963" i="2"/>
  <c r="U1963" i="2"/>
  <c r="R1961" i="2"/>
  <c r="U1961" i="2"/>
  <c r="R1960" i="2"/>
  <c r="S1960" i="2"/>
  <c r="T1960" i="2" s="1"/>
  <c r="U1960" i="2"/>
  <c r="U1959" i="2"/>
  <c r="S1959" i="2"/>
  <c r="T1959" i="2" s="1"/>
  <c r="R1959" i="2"/>
  <c r="U1958" i="2"/>
  <c r="S1958" i="2"/>
  <c r="T1958" i="2" s="1"/>
  <c r="R1958" i="2"/>
  <c r="S1956" i="2"/>
  <c r="T1956" i="2" s="1"/>
  <c r="R1957" i="2"/>
  <c r="R1956" i="2"/>
  <c r="U1955" i="2"/>
  <c r="R1955" i="2"/>
  <c r="S1955" i="2"/>
  <c r="T1955" i="2" s="1"/>
  <c r="U1954" i="2"/>
  <c r="S1953" i="2"/>
  <c r="T1953" i="2" s="1"/>
  <c r="U1952" i="2"/>
  <c r="S1952" i="2"/>
  <c r="T1952" i="2" s="1"/>
  <c r="R1952" i="2"/>
  <c r="U1951" i="2"/>
  <c r="S1951" i="2"/>
  <c r="T1951" i="2" s="1"/>
  <c r="R1950" i="2"/>
  <c r="U1950" i="2"/>
  <c r="S1949" i="2"/>
  <c r="T1949" i="2" s="1"/>
  <c r="U1949" i="2"/>
  <c r="R1949" i="2"/>
  <c r="U1948" i="2"/>
  <c r="S1948" i="2"/>
  <c r="T1948" i="2" s="1"/>
  <c r="S1947" i="2"/>
  <c r="T1947" i="2" s="1"/>
  <c r="R1947" i="2"/>
  <c r="U1947" i="2"/>
  <c r="U1946" i="2"/>
  <c r="S1946" i="2"/>
  <c r="T1946" i="2" s="1"/>
  <c r="S1945" i="2"/>
  <c r="T1945" i="2" s="1"/>
  <c r="R1943" i="2"/>
  <c r="R1941" i="2"/>
  <c r="S1941" i="2"/>
  <c r="T1941" i="2" s="1"/>
  <c r="U1940" i="2"/>
  <c r="S1940" i="2"/>
  <c r="T1940" i="2" s="1"/>
  <c r="R1940" i="2"/>
  <c r="S1939" i="2"/>
  <c r="T1939" i="2" s="1"/>
  <c r="R1938" i="2"/>
  <c r="U1938" i="2"/>
  <c r="S1938" i="2"/>
  <c r="T1938" i="2" s="1"/>
  <c r="R1937" i="2"/>
  <c r="U1937" i="2"/>
  <c r="S1936" i="2"/>
  <c r="T1936" i="2" s="1"/>
  <c r="S1935" i="2"/>
  <c r="T1935" i="2" s="1"/>
  <c r="R1935" i="2"/>
  <c r="S1934" i="2"/>
  <c r="T1934" i="2" s="1"/>
  <c r="R1934" i="2"/>
  <c r="S1933" i="2"/>
  <c r="T1933" i="2" s="1"/>
  <c r="U1933" i="2"/>
  <c r="S1931" i="2"/>
  <c r="T1931" i="2" s="1"/>
  <c r="R1931" i="2"/>
  <c r="U1931" i="2"/>
  <c r="S1930" i="2"/>
  <c r="T1930" i="2" s="1"/>
  <c r="U1927" i="2"/>
  <c r="S1927" i="2"/>
  <c r="T1927" i="2" s="1"/>
  <c r="R1925" i="2"/>
  <c r="R1923" i="2"/>
  <c r="R1922" i="2"/>
  <c r="U1922" i="2"/>
  <c r="S1921" i="2"/>
  <c r="T1921" i="2" s="1"/>
  <c r="U1921" i="2"/>
  <c r="S1920" i="2"/>
  <c r="T1920" i="2" s="1"/>
  <c r="R1920" i="2"/>
  <c r="U1920" i="2"/>
  <c r="S1919" i="2"/>
  <c r="T1919" i="2" s="1"/>
  <c r="U1917" i="2"/>
  <c r="S1917" i="2"/>
  <c r="T1917" i="2" s="1"/>
  <c r="R1918" i="2"/>
  <c r="U1914" i="2"/>
  <c r="R1914" i="2"/>
  <c r="S1914" i="2"/>
  <c r="T1914" i="2" s="1"/>
  <c r="S1913" i="2"/>
  <c r="T1913" i="2" s="1"/>
  <c r="R1913" i="2"/>
  <c r="U1912" i="2"/>
  <c r="S1911" i="2"/>
  <c r="T1911" i="2" s="1"/>
  <c r="U1911" i="2"/>
  <c r="R1911" i="2"/>
  <c r="U1910" i="2"/>
  <c r="S1910" i="2"/>
  <c r="T1910" i="2" s="1"/>
  <c r="R1910" i="2"/>
  <c r="S1908" i="2"/>
  <c r="T1908" i="2" s="1"/>
  <c r="U1908" i="2"/>
  <c r="R1908" i="2"/>
  <c r="S1907" i="2"/>
  <c r="T1907" i="2" s="1"/>
  <c r="R1907" i="2"/>
  <c r="S1906" i="2"/>
  <c r="T1906" i="2" s="1"/>
  <c r="R1906" i="2"/>
  <c r="U1906" i="2"/>
  <c r="S1905" i="2"/>
  <c r="T1905" i="2" s="1"/>
  <c r="R1904" i="2"/>
  <c r="U1905" i="2"/>
  <c r="S1904" i="2"/>
  <c r="T1904" i="2" s="1"/>
  <c r="U1903" i="2"/>
  <c r="S1903" i="2"/>
  <c r="T1903" i="2" s="1"/>
  <c r="R1903" i="2"/>
  <c r="S1902" i="2"/>
  <c r="T1902" i="2" s="1"/>
  <c r="U1901" i="2"/>
  <c r="R1898" i="2"/>
  <c r="U1900" i="2"/>
  <c r="U1897" i="2"/>
  <c r="S1897" i="2"/>
  <c r="T1897" i="2" s="1"/>
  <c r="R1897" i="2"/>
  <c r="S1900" i="2"/>
  <c r="T1900" i="2" s="1"/>
  <c r="R1900" i="2"/>
  <c r="S1901" i="2"/>
  <c r="T1901" i="2" s="1"/>
  <c r="U1899" i="2"/>
  <c r="S1899" i="2"/>
  <c r="T1899" i="2" s="1"/>
  <c r="U1898" i="2"/>
  <c r="S1898" i="2"/>
  <c r="T1898" i="2" s="1"/>
  <c r="R1896" i="2"/>
  <c r="U1896" i="2"/>
  <c r="S1896" i="2"/>
  <c r="T1896" i="2" s="1"/>
  <c r="U1895" i="2"/>
  <c r="S1895" i="2"/>
  <c r="T1895" i="2" s="1"/>
  <c r="R1895" i="2"/>
  <c r="U1894" i="2"/>
  <c r="S1894" i="2"/>
  <c r="T1894" i="2" s="1"/>
  <c r="R1893" i="2"/>
  <c r="U1893" i="2"/>
  <c r="S1892" i="2"/>
  <c r="T1892" i="2" s="1"/>
  <c r="U1892" i="2"/>
  <c r="R1892" i="2"/>
  <c r="R1889" i="2"/>
  <c r="S1889" i="2"/>
  <c r="T1889" i="2" s="1"/>
  <c r="U1889" i="2"/>
  <c r="S1888" i="2"/>
  <c r="T1888" i="2" s="1"/>
  <c r="R1888" i="2"/>
  <c r="R1886" i="2"/>
  <c r="U1885" i="2"/>
  <c r="S1885" i="2"/>
  <c r="T1885" i="2" s="1"/>
  <c r="R1885" i="2"/>
  <c r="U1884" i="2"/>
  <c r="S1884" i="2"/>
  <c r="T1884" i="2" s="1"/>
  <c r="R1883" i="2"/>
  <c r="S1882" i="2"/>
  <c r="T1882" i="2" s="1"/>
  <c r="S1881" i="2"/>
  <c r="T1881" i="2" s="1"/>
  <c r="R1881" i="2"/>
  <c r="S1880" i="2"/>
  <c r="T1880" i="2" s="1"/>
  <c r="R1880" i="2"/>
  <c r="R1879" i="2"/>
  <c r="S1879" i="2"/>
  <c r="T1879" i="2" s="1"/>
  <c r="S1878" i="2"/>
  <c r="T1878" i="2" s="1"/>
  <c r="R1878" i="2"/>
  <c r="R1877" i="2"/>
  <c r="S1875" i="2"/>
  <c r="T1875" i="2" s="1"/>
  <c r="R1875" i="2"/>
  <c r="R1874" i="2"/>
  <c r="S1874" i="2"/>
  <c r="T1874" i="2" s="1"/>
  <c r="U1873" i="2"/>
  <c r="R1873" i="2"/>
  <c r="S1873" i="2"/>
  <c r="T1873" i="2" s="1"/>
  <c r="U1872" i="2"/>
  <c r="S1872" i="2"/>
  <c r="T1872" i="2" s="1"/>
  <c r="R1872" i="2"/>
  <c r="U1871" i="2"/>
  <c r="S1870" i="2"/>
  <c r="T1870" i="2" s="1"/>
  <c r="R1870" i="2"/>
  <c r="R1869" i="2"/>
  <c r="S1869" i="2"/>
  <c r="T1869" i="2" s="1"/>
  <c r="S1867" i="2"/>
  <c r="T1867" i="2" s="1"/>
  <c r="U1867" i="2"/>
  <c r="S1866" i="2"/>
  <c r="T1866" i="2" s="1"/>
  <c r="R1866" i="2"/>
  <c r="U1866" i="2"/>
  <c r="S1865" i="2"/>
  <c r="T1865" i="2" s="1"/>
  <c r="U1864" i="2"/>
  <c r="S1864" i="2"/>
  <c r="T1864" i="2" s="1"/>
  <c r="U1863" i="2"/>
  <c r="R1863" i="2"/>
  <c r="S1863" i="2"/>
  <c r="T1863" i="2" s="1"/>
  <c r="U1861" i="2"/>
  <c r="S1861" i="2"/>
  <c r="T1861" i="2" s="1"/>
  <c r="U1860" i="2"/>
  <c r="S1859" i="2"/>
  <c r="T1859" i="2" s="1"/>
  <c r="R1859" i="2"/>
  <c r="U1859" i="2"/>
  <c r="S1858" i="2"/>
  <c r="T1858" i="2" s="1"/>
  <c r="U1858" i="2"/>
  <c r="U1856" i="2"/>
  <c r="S1856" i="2"/>
  <c r="T1856" i="2" s="1"/>
  <c r="R1856" i="2"/>
  <c r="U1855" i="2"/>
  <c r="S1855" i="2"/>
  <c r="T1855" i="2" s="1"/>
  <c r="R1855" i="2"/>
  <c r="S1852" i="2"/>
  <c r="T1852" i="2" s="1"/>
  <c r="S1850" i="2"/>
  <c r="T1850" i="2" s="1"/>
  <c r="U1850" i="2"/>
  <c r="R1849" i="2"/>
  <c r="U1849" i="2"/>
  <c r="U1847" i="2"/>
  <c r="S1847" i="2"/>
  <c r="T1847" i="2" s="1"/>
  <c r="R1847" i="2"/>
  <c r="S1846" i="2"/>
  <c r="T1846" i="2" s="1"/>
  <c r="R1846" i="2"/>
  <c r="S1844" i="2"/>
  <c r="T1844" i="2" s="1"/>
  <c r="R1844" i="2"/>
  <c r="S1842" i="2"/>
  <c r="T1842" i="2" s="1"/>
  <c r="R1842" i="2"/>
  <c r="U1842" i="2"/>
  <c r="S1841" i="2"/>
  <c r="T1841" i="2" s="1"/>
  <c r="U1840" i="2"/>
  <c r="S1840" i="2"/>
  <c r="T1840" i="2" s="1"/>
  <c r="U1838" i="2"/>
  <c r="R1838" i="2"/>
  <c r="S1837" i="2"/>
  <c r="T1837" i="2" s="1"/>
  <c r="R1837" i="2"/>
  <c r="U1837" i="2"/>
  <c r="S1834" i="2"/>
  <c r="T1834" i="2" s="1"/>
  <c r="U1833" i="2"/>
  <c r="R1833" i="2"/>
  <c r="R1832" i="2"/>
  <c r="S1832" i="2"/>
  <c r="T1832" i="2" s="1"/>
  <c r="R1831" i="2"/>
  <c r="U1830" i="2"/>
  <c r="R1830" i="2"/>
  <c r="U1829" i="2"/>
  <c r="S1829" i="2"/>
  <c r="T1829" i="2" s="1"/>
  <c r="R1829" i="2"/>
  <c r="U1827" i="2"/>
  <c r="U1826" i="2"/>
  <c r="S1826" i="2"/>
  <c r="T1826" i="2" s="1"/>
  <c r="R1826" i="2"/>
  <c r="R1824" i="2"/>
  <c r="U1824" i="2"/>
  <c r="S1824" i="2"/>
  <c r="T1824" i="2" s="1"/>
  <c r="S1823" i="2"/>
  <c r="T1823" i="2" s="1"/>
  <c r="U1822" i="2"/>
  <c r="S1822" i="2"/>
  <c r="T1822" i="2" s="1"/>
  <c r="R1822" i="2"/>
  <c r="U1821" i="2"/>
  <c r="R1821" i="2"/>
  <c r="S1821" i="2"/>
  <c r="T1821" i="2" s="1"/>
  <c r="U1820" i="2"/>
  <c r="S1820" i="2"/>
  <c r="T1820" i="2" s="1"/>
  <c r="U1819" i="2"/>
  <c r="R1819" i="2"/>
  <c r="U1818" i="2"/>
  <c r="U1817" i="2"/>
  <c r="S1817" i="2"/>
  <c r="T1817" i="2" s="1"/>
  <c r="R1817" i="2"/>
  <c r="U1816" i="2"/>
  <c r="S1816" i="2"/>
  <c r="T1816" i="2" s="1"/>
  <c r="R1816" i="2"/>
  <c r="S1815" i="2"/>
  <c r="T1815" i="2" s="1"/>
  <c r="R1815" i="2"/>
  <c r="R1814" i="2"/>
  <c r="S1814" i="2"/>
  <c r="T1814" i="2" s="1"/>
  <c r="S1813" i="2"/>
  <c r="T1813" i="2" s="1"/>
  <c r="U1813" i="2"/>
  <c r="S1812" i="2"/>
  <c r="T1812" i="2" s="1"/>
  <c r="R1812" i="2"/>
  <c r="U1810" i="2"/>
  <c r="R1810" i="2"/>
  <c r="R1808" i="2"/>
  <c r="R1807" i="2"/>
  <c r="U1807" i="2"/>
  <c r="S1807" i="2"/>
  <c r="T1807" i="2" s="1"/>
  <c r="U1806" i="2"/>
  <c r="U1805" i="2"/>
  <c r="S1805" i="2"/>
  <c r="T1805" i="2" s="1"/>
  <c r="S1804" i="2"/>
  <c r="T1804" i="2" s="1"/>
  <c r="R1804" i="2"/>
  <c r="S1803" i="2"/>
  <c r="T1803" i="2" s="1"/>
  <c r="U1803" i="2"/>
  <c r="R1803" i="2"/>
  <c r="U1802" i="2"/>
  <c r="U1801" i="2"/>
  <c r="R1801" i="2"/>
  <c r="S1801" i="2"/>
  <c r="T1801" i="2" s="1"/>
  <c r="S1800" i="2"/>
  <c r="T1800" i="2" s="1"/>
  <c r="R1800" i="2"/>
  <c r="R1798" i="2"/>
  <c r="S1798" i="2"/>
  <c r="T1798" i="2" s="1"/>
  <c r="S1797" i="2"/>
  <c r="T1797" i="2" s="1"/>
  <c r="U1797" i="2"/>
  <c r="U1796" i="2"/>
  <c r="S1796" i="2"/>
  <c r="T1796" i="2" s="1"/>
  <c r="R1796" i="2"/>
  <c r="S1795" i="2"/>
  <c r="T1795" i="2" s="1"/>
  <c r="U1795" i="2"/>
  <c r="S1792" i="2"/>
  <c r="T1792" i="2" s="1"/>
  <c r="R1791" i="2"/>
  <c r="U1789" i="2"/>
  <c r="R1789" i="2"/>
  <c r="U1787" i="2"/>
  <c r="S1787" i="2"/>
  <c r="T1787" i="2" s="1"/>
  <c r="R1787" i="2"/>
  <c r="U1786" i="2"/>
  <c r="S1786" i="2"/>
  <c r="T1786" i="2" s="1"/>
  <c r="R1786" i="2"/>
  <c r="U1784" i="2"/>
  <c r="R1784" i="2"/>
  <c r="U1785" i="2"/>
  <c r="S1784" i="2"/>
  <c r="T1784" i="2" s="1"/>
  <c r="R1785" i="2"/>
  <c r="U1783" i="2"/>
  <c r="S1783" i="2"/>
  <c r="T1783" i="2" s="1"/>
  <c r="R1782" i="2"/>
  <c r="U1782" i="2"/>
  <c r="S1781" i="2"/>
  <c r="T1781" i="2" s="1"/>
  <c r="U1781" i="2"/>
  <c r="R1781" i="2"/>
  <c r="S1779" i="2"/>
  <c r="T1779" i="2" s="1"/>
  <c r="R1779" i="2"/>
  <c r="U1778" i="2"/>
  <c r="S1778" i="2"/>
  <c r="T1778" i="2" s="1"/>
  <c r="U1777" i="2"/>
  <c r="S1777" i="2"/>
  <c r="T1777" i="2" s="1"/>
  <c r="R1777" i="2"/>
  <c r="R1775" i="2"/>
  <c r="S1775" i="2"/>
  <c r="T1775" i="2" s="1"/>
  <c r="R1774" i="2"/>
  <c r="S1773" i="2"/>
  <c r="T1773" i="2" s="1"/>
  <c r="R1772" i="2"/>
  <c r="U1773" i="2"/>
  <c r="S1772" i="2"/>
  <c r="T1772" i="2" s="1"/>
  <c r="U1771" i="2"/>
  <c r="S1771" i="2"/>
  <c r="T1771" i="2" s="1"/>
  <c r="R1771" i="2"/>
  <c r="U1770" i="2"/>
  <c r="S1769" i="2"/>
  <c r="T1769" i="2" s="1"/>
  <c r="S1768" i="2"/>
  <c r="T1768" i="2" s="1"/>
  <c r="U1768" i="2"/>
  <c r="R1768" i="2"/>
  <c r="S1766" i="2"/>
  <c r="T1766" i="2" s="1"/>
  <c r="U1765" i="2"/>
  <c r="R1764" i="2"/>
  <c r="S1763" i="2"/>
  <c r="T1763" i="2" s="1"/>
  <c r="R1763" i="2"/>
  <c r="R1762" i="2"/>
  <c r="S1762" i="2"/>
  <c r="T1762" i="2" s="1"/>
  <c r="S1761" i="2"/>
  <c r="T1761" i="2" s="1"/>
  <c r="R1761" i="2"/>
  <c r="S1758" i="2"/>
  <c r="T1758" i="2" s="1"/>
  <c r="U1758" i="2"/>
  <c r="R1758" i="2"/>
  <c r="R1757" i="2"/>
  <c r="U1757" i="2"/>
  <c r="S1757" i="2"/>
  <c r="T1757" i="2" s="1"/>
  <c r="U1754" i="2"/>
  <c r="R1754" i="2"/>
  <c r="S1754" i="2"/>
  <c r="T1754" i="2" s="1"/>
  <c r="S1753" i="2"/>
  <c r="T1753" i="2" s="1"/>
  <c r="R1753" i="2"/>
  <c r="S1752" i="2"/>
  <c r="T1752" i="2" s="1"/>
  <c r="U1751" i="2"/>
  <c r="R1751" i="2"/>
  <c r="S1749" i="2"/>
  <c r="T1749" i="2" s="1"/>
  <c r="S1750" i="2"/>
  <c r="T1750" i="2" s="1"/>
  <c r="R1749" i="2"/>
  <c r="U1748" i="2"/>
  <c r="S1748" i="2"/>
  <c r="T1748" i="2" s="1"/>
  <c r="R1748" i="2"/>
  <c r="S1747" i="2"/>
  <c r="T1747" i="2" s="1"/>
  <c r="R1745" i="2"/>
  <c r="R1742" i="2"/>
  <c r="R1741" i="2"/>
  <c r="R1739" i="2"/>
  <c r="U1739" i="2"/>
  <c r="R1738" i="2"/>
  <c r="U1738" i="2"/>
  <c r="U1737" i="2"/>
  <c r="S1737" i="2"/>
  <c r="T1737" i="2" s="1"/>
  <c r="U1736" i="2"/>
  <c r="S1736" i="2"/>
  <c r="T1736" i="2" s="1"/>
  <c r="U1735" i="2"/>
  <c r="R1735" i="2"/>
  <c r="S1734" i="2"/>
  <c r="T1734" i="2" s="1"/>
  <c r="R1734" i="2"/>
  <c r="S1732" i="2"/>
  <c r="T1732" i="2" s="1"/>
  <c r="U1732" i="2"/>
  <c r="R1732" i="2"/>
  <c r="U1731" i="2"/>
  <c r="R1731" i="2"/>
  <c r="R1727" i="2"/>
  <c r="S1727" i="2"/>
  <c r="T1727" i="2" s="1"/>
  <c r="U1726" i="2"/>
  <c r="S1726" i="2"/>
  <c r="T1726" i="2" s="1"/>
  <c r="U1724" i="2"/>
  <c r="S1724" i="2"/>
  <c r="T1724" i="2" s="1"/>
  <c r="U1723" i="2"/>
  <c r="S1723" i="2"/>
  <c r="T1723" i="2" s="1"/>
  <c r="U1722" i="2"/>
  <c r="S1722" i="2"/>
  <c r="T1722" i="2" s="1"/>
  <c r="S1721" i="2"/>
  <c r="T1721" i="2" s="1"/>
  <c r="R1721" i="2"/>
  <c r="U1720" i="2"/>
  <c r="S1720" i="2"/>
  <c r="T1720" i="2" s="1"/>
  <c r="S1719" i="2"/>
  <c r="T1719" i="2" s="1"/>
  <c r="R1717" i="2"/>
  <c r="S1716" i="2"/>
  <c r="T1716" i="2" s="1"/>
  <c r="U1716" i="2"/>
  <c r="U1715" i="2"/>
  <c r="U1714" i="2"/>
  <c r="S1714" i="2"/>
  <c r="T1714" i="2" s="1"/>
  <c r="R1710" i="2"/>
  <c r="S1710" i="2"/>
  <c r="T1710" i="2" s="1"/>
  <c r="S1709" i="2"/>
  <c r="T1709" i="2" s="1"/>
  <c r="U1709" i="2"/>
  <c r="R1709" i="2"/>
  <c r="S1708" i="2"/>
  <c r="T1708" i="2" s="1"/>
  <c r="R1708" i="2"/>
  <c r="S1707" i="2"/>
  <c r="T1707" i="2" s="1"/>
  <c r="R1707" i="2"/>
  <c r="U1706" i="2"/>
  <c r="U1705" i="2"/>
  <c r="S1705" i="2"/>
  <c r="T1705" i="2" s="1"/>
  <c r="R1705" i="2"/>
  <c r="R1703" i="2"/>
  <c r="U1702" i="2"/>
  <c r="U1701" i="2"/>
  <c r="R1701" i="2"/>
  <c r="U1698" i="2"/>
  <c r="R1698" i="2"/>
  <c r="S1698" i="2"/>
  <c r="T1698" i="2" s="1"/>
  <c r="S1697" i="2"/>
  <c r="T1697" i="2" s="1"/>
  <c r="R1697" i="2"/>
  <c r="U1697" i="2"/>
  <c r="S1696" i="2"/>
  <c r="T1696" i="2" s="1"/>
  <c r="R1696" i="2"/>
  <c r="U1696" i="2"/>
  <c r="S1695" i="2"/>
  <c r="T1695" i="2" s="1"/>
  <c r="U1695" i="2"/>
  <c r="S1694" i="2"/>
  <c r="T1694" i="2" s="1"/>
  <c r="U1693" i="2"/>
  <c r="S1693" i="2"/>
  <c r="T1693" i="2" s="1"/>
  <c r="R1693" i="2"/>
  <c r="R1692" i="2"/>
  <c r="S1691" i="2"/>
  <c r="T1691" i="2" s="1"/>
  <c r="R1691" i="2"/>
  <c r="R1690" i="2"/>
  <c r="S1690" i="2"/>
  <c r="T1690" i="2" s="1"/>
  <c r="R1689" i="2"/>
  <c r="S1689" i="2"/>
  <c r="T1689" i="2" s="1"/>
  <c r="U1689" i="2"/>
  <c r="R1688" i="2"/>
  <c r="S1687" i="2"/>
  <c r="T1687" i="2" s="1"/>
  <c r="R1687" i="2"/>
  <c r="U1687" i="2"/>
  <c r="U1686" i="2"/>
  <c r="S1686" i="2"/>
  <c r="T1686" i="2" s="1"/>
  <c r="R1686" i="2"/>
  <c r="S1685" i="2"/>
  <c r="T1685" i="2" s="1"/>
  <c r="U1684" i="2"/>
  <c r="R1684" i="2"/>
  <c r="S1684" i="2"/>
  <c r="T1684" i="2" s="1"/>
  <c r="S1683" i="2"/>
  <c r="T1683" i="2" s="1"/>
  <c r="R1683" i="2"/>
  <c r="U1682" i="2"/>
  <c r="U1680" i="2"/>
  <c r="S1680" i="2"/>
  <c r="T1680" i="2" s="1"/>
  <c r="R1679" i="2"/>
  <c r="U1678" i="2"/>
  <c r="S1678" i="2"/>
  <c r="T1678" i="2" s="1"/>
  <c r="U1677" i="2"/>
  <c r="S1677" i="2"/>
  <c r="T1677" i="2" s="1"/>
  <c r="U1676" i="2"/>
  <c r="R1676" i="2"/>
  <c r="U1675" i="2"/>
  <c r="S1675" i="2"/>
  <c r="T1675" i="2" s="1"/>
  <c r="R1675" i="2"/>
  <c r="R1674" i="2"/>
  <c r="U1674" i="2"/>
  <c r="S1674" i="2"/>
  <c r="T1674" i="2" s="1"/>
  <c r="S1673" i="2"/>
  <c r="T1673" i="2" s="1"/>
  <c r="U1673" i="2"/>
  <c r="R1673" i="2"/>
  <c r="U1672" i="2"/>
  <c r="R1672" i="2"/>
  <c r="U1671" i="2"/>
  <c r="S1671" i="2"/>
  <c r="T1671" i="2" s="1"/>
  <c r="U1668" i="2"/>
  <c r="S1668" i="2"/>
  <c r="T1668" i="2" s="1"/>
  <c r="R1668" i="2"/>
  <c r="U1666" i="2"/>
  <c r="S1666" i="2"/>
  <c r="T1666" i="2" s="1"/>
  <c r="S1665" i="2"/>
  <c r="T1665" i="2" s="1"/>
  <c r="R1663" i="2"/>
  <c r="U1663" i="2"/>
  <c r="S1663" i="2"/>
  <c r="T1663" i="2" s="1"/>
  <c r="R1662" i="2"/>
  <c r="R1660" i="2"/>
  <c r="R1658" i="2"/>
  <c r="U1658" i="2"/>
  <c r="R1657" i="2"/>
  <c r="S1657" i="2"/>
  <c r="T1657" i="2" s="1"/>
  <c r="U1657" i="2"/>
  <c r="U1656" i="2"/>
  <c r="S1655" i="2"/>
  <c r="T1655" i="2" s="1"/>
  <c r="U1655" i="2"/>
  <c r="R1655" i="2"/>
  <c r="U1654" i="2"/>
  <c r="S1654" i="2"/>
  <c r="T1654" i="2" s="1"/>
  <c r="U1652" i="2"/>
  <c r="R1652" i="2"/>
  <c r="S1652" i="2"/>
  <c r="T1652" i="2" s="1"/>
  <c r="U1651" i="2"/>
  <c r="S1651" i="2"/>
  <c r="T1651" i="2" s="1"/>
  <c r="U1650" i="2"/>
  <c r="R1650" i="2"/>
  <c r="S1650" i="2"/>
  <c r="T1650" i="2" s="1"/>
  <c r="U1649" i="2"/>
  <c r="S1649" i="2"/>
  <c r="T1649" i="2" s="1"/>
  <c r="R1649" i="2"/>
  <c r="R1648" i="2"/>
  <c r="R1647" i="2"/>
  <c r="U1646" i="2"/>
  <c r="S1646" i="2"/>
  <c r="T1646" i="2" s="1"/>
  <c r="R1645" i="2"/>
  <c r="S1644" i="2"/>
  <c r="T1644" i="2" s="1"/>
  <c r="R1644" i="2"/>
  <c r="U1643" i="2"/>
  <c r="U1642" i="2"/>
  <c r="S1642" i="2"/>
  <c r="T1642" i="2" s="1"/>
  <c r="U1641" i="2"/>
  <c r="S1641" i="2"/>
  <c r="T1641" i="2" s="1"/>
  <c r="R1641" i="2"/>
  <c r="U1640" i="2"/>
  <c r="R1640" i="2"/>
  <c r="S1640" i="2"/>
  <c r="T1640" i="2" s="1"/>
  <c r="S1639" i="2"/>
  <c r="T1639" i="2" s="1"/>
  <c r="R1639" i="2"/>
  <c r="U1639" i="2"/>
  <c r="S1637" i="2"/>
  <c r="T1637" i="2" s="1"/>
  <c r="R1637" i="2"/>
  <c r="U1637" i="2"/>
  <c r="U1636" i="2"/>
  <c r="R1636" i="2"/>
  <c r="S1636" i="2"/>
  <c r="T1636" i="2" s="1"/>
  <c r="U1634" i="2"/>
  <c r="S1634" i="2"/>
  <c r="T1634" i="2" s="1"/>
  <c r="R1634" i="2"/>
  <c r="U1633" i="2"/>
  <c r="S1633" i="2"/>
  <c r="T1633" i="2" s="1"/>
  <c r="R1633" i="2"/>
  <c r="U1631" i="2"/>
  <c r="R1631" i="2"/>
  <c r="S1631" i="2"/>
  <c r="T1631" i="2" s="1"/>
  <c r="R1628" i="2"/>
  <c r="S1628" i="2"/>
  <c r="T1628" i="2" s="1"/>
  <c r="S1626" i="2"/>
  <c r="T1626" i="2" s="1"/>
  <c r="R1626" i="2"/>
  <c r="S1625" i="2"/>
  <c r="T1625" i="2" s="1"/>
  <c r="R1625" i="2"/>
  <c r="S1624" i="2"/>
  <c r="T1624" i="2" s="1"/>
  <c r="R1622" i="2"/>
  <c r="U1622" i="2"/>
  <c r="S1622" i="2"/>
  <c r="T1622" i="2" s="1"/>
  <c r="R1620" i="2"/>
  <c r="R1619" i="2"/>
  <c r="S1618" i="2"/>
  <c r="T1618" i="2" s="1"/>
  <c r="S1617" i="2"/>
  <c r="T1617" i="2" s="1"/>
  <c r="R1617" i="2"/>
  <c r="U1617" i="2"/>
  <c r="U1616" i="2"/>
  <c r="U1615" i="2"/>
  <c r="S1615" i="2"/>
  <c r="T1615" i="2" s="1"/>
  <c r="R1615" i="2"/>
  <c r="R1614" i="2"/>
  <c r="S1614" i="2"/>
  <c r="T1614" i="2" s="1"/>
  <c r="S1612" i="2"/>
  <c r="T1612" i="2" s="1"/>
  <c r="S1611" i="2"/>
  <c r="T1611" i="2" s="1"/>
  <c r="R1611" i="2"/>
  <c r="S1610" i="2"/>
  <c r="T1610" i="2" s="1"/>
  <c r="R1610" i="2"/>
  <c r="U1610" i="2"/>
  <c r="U1609" i="2"/>
  <c r="R1609" i="2"/>
  <c r="U1607" i="2"/>
  <c r="S1607" i="2"/>
  <c r="T1607" i="2" s="1"/>
  <c r="U1606" i="2"/>
  <c r="R1606" i="2"/>
  <c r="S1605" i="2"/>
  <c r="T1605" i="2" s="1"/>
  <c r="R1605" i="2"/>
  <c r="U1605" i="2"/>
  <c r="R1604" i="2"/>
  <c r="R1600" i="2"/>
  <c r="U1600" i="2"/>
  <c r="S1600" i="2"/>
  <c r="T1600" i="2" s="1"/>
  <c r="R1599" i="2"/>
  <c r="S1596" i="2"/>
  <c r="T1596" i="2" s="1"/>
  <c r="S1595" i="2"/>
  <c r="T1595" i="2" s="1"/>
  <c r="R1595" i="2"/>
  <c r="U1595" i="2"/>
  <c r="U1594" i="2"/>
  <c r="S1594" i="2"/>
  <c r="T1594" i="2" s="1"/>
  <c r="U1590" i="2"/>
  <c r="S1591" i="2"/>
  <c r="T1591" i="2" s="1"/>
  <c r="R1590" i="2"/>
  <c r="S1590" i="2"/>
  <c r="T1590" i="2" s="1"/>
  <c r="R1589" i="2"/>
  <c r="U1589" i="2"/>
  <c r="U1588" i="2"/>
  <c r="S1588" i="2"/>
  <c r="T1588" i="2" s="1"/>
  <c r="R1588" i="2"/>
  <c r="U1579" i="2"/>
  <c r="S1579" i="2"/>
  <c r="T1579" i="2" s="1"/>
  <c r="S1578" i="2"/>
  <c r="T1578" i="2" s="1"/>
  <c r="U1578" i="2"/>
  <c r="R1578" i="2"/>
  <c r="S1577" i="2"/>
  <c r="T1577" i="2" s="1"/>
  <c r="S1576" i="2"/>
  <c r="T1576" i="2" s="1"/>
  <c r="R1576" i="2"/>
  <c r="S1575" i="2"/>
  <c r="T1575" i="2" s="1"/>
  <c r="U1575" i="2"/>
  <c r="R1575" i="2"/>
  <c r="R1574" i="2"/>
  <c r="U1574" i="2"/>
  <c r="S1574" i="2"/>
  <c r="T1574" i="2" s="1"/>
  <c r="R1572" i="2"/>
  <c r="U1570" i="2"/>
  <c r="R1570" i="2"/>
  <c r="S1569" i="2"/>
  <c r="T1569" i="2" s="1"/>
  <c r="S1568" i="2"/>
  <c r="T1568" i="2" s="1"/>
  <c r="R1568" i="2"/>
  <c r="U1568" i="2"/>
  <c r="U1567" i="2"/>
  <c r="S1567" i="2"/>
  <c r="T1567" i="2" s="1"/>
  <c r="S1566" i="2"/>
  <c r="T1566" i="2" s="1"/>
  <c r="U1566" i="2"/>
  <c r="R1566" i="2"/>
  <c r="U1395" i="2"/>
  <c r="R1479" i="2"/>
  <c r="S1479" i="2"/>
  <c r="T1479" i="2" s="1"/>
  <c r="R1419" i="2"/>
  <c r="U1487" i="2"/>
  <c r="S1443" i="2"/>
  <c r="T1443" i="2" s="1"/>
  <c r="R1359" i="2"/>
  <c r="U1435" i="2"/>
  <c r="S1359" i="2"/>
  <c r="T1359" i="2" s="1"/>
  <c r="R1463" i="2"/>
  <c r="U1519" i="2"/>
  <c r="U1475" i="2"/>
  <c r="U1427" i="2"/>
  <c r="U1355" i="2"/>
  <c r="S1475" i="2"/>
  <c r="T1475" i="2" s="1"/>
  <c r="S1435" i="2"/>
  <c r="T1435" i="2" s="1"/>
  <c r="S1355" i="2"/>
  <c r="T1355" i="2" s="1"/>
  <c r="R1407" i="2"/>
  <c r="U1511" i="2"/>
  <c r="U1467" i="2"/>
  <c r="U1415" i="2"/>
  <c r="S1511" i="2"/>
  <c r="T1511" i="2" s="1"/>
  <c r="S1459" i="2"/>
  <c r="T1459" i="2" s="1"/>
  <c r="S1395" i="2"/>
  <c r="T1395" i="2" s="1"/>
  <c r="R1519" i="2"/>
  <c r="R1459" i="2"/>
  <c r="R1391" i="2"/>
  <c r="U1491" i="2"/>
  <c r="U1455" i="2"/>
  <c r="U1403" i="2"/>
  <c r="S1503" i="2"/>
  <c r="T1503" i="2" s="1"/>
  <c r="S1451" i="2"/>
  <c r="T1451" i="2" s="1"/>
  <c r="S1379" i="2"/>
  <c r="T1379" i="2" s="1"/>
  <c r="R1487" i="2"/>
  <c r="R1423" i="2"/>
  <c r="R1379" i="2"/>
  <c r="R1563" i="2"/>
  <c r="S1561" i="2"/>
  <c r="T1561" i="2" s="1"/>
  <c r="R1561" i="2"/>
  <c r="U1561" i="2"/>
  <c r="U1560" i="2"/>
  <c r="R1559" i="2"/>
  <c r="U1558" i="2"/>
  <c r="S1557" i="2"/>
  <c r="T1557" i="2" s="1"/>
  <c r="U1557" i="2"/>
  <c r="R1557" i="2"/>
  <c r="U1556" i="2"/>
  <c r="S1556" i="2"/>
  <c r="T1556" i="2" s="1"/>
  <c r="S1555" i="2"/>
  <c r="T1555" i="2" s="1"/>
  <c r="R1555" i="2"/>
  <c r="U1553" i="2"/>
  <c r="S1553" i="2"/>
  <c r="T1553" i="2" s="1"/>
  <c r="R1553" i="2"/>
  <c r="R1552" i="2"/>
  <c r="U1507" i="2"/>
  <c r="U1483" i="2"/>
  <c r="U1459" i="2"/>
  <c r="U1423" i="2"/>
  <c r="U1379" i="2"/>
  <c r="S1495" i="2"/>
  <c r="T1495" i="2" s="1"/>
  <c r="S1463" i="2"/>
  <c r="T1463" i="2" s="1"/>
  <c r="S1437" i="2"/>
  <c r="T1437" i="2" s="1"/>
  <c r="S1367" i="2"/>
  <c r="T1367" i="2" s="1"/>
  <c r="R1495" i="2"/>
  <c r="R1476" i="2"/>
  <c r="R1435" i="2"/>
  <c r="R1395" i="2"/>
  <c r="U1495" i="2"/>
  <c r="U1479" i="2"/>
  <c r="S1483" i="2"/>
  <c r="T1483" i="2" s="1"/>
  <c r="R1491" i="2"/>
  <c r="R1475" i="2"/>
  <c r="U1550" i="2"/>
  <c r="U1531" i="2"/>
  <c r="U1527" i="2"/>
  <c r="R1449" i="2"/>
  <c r="U1544" i="2"/>
  <c r="U1525" i="2"/>
  <c r="S1525" i="2"/>
  <c r="T1525" i="2" s="1"/>
  <c r="R1356" i="2"/>
  <c r="U1551" i="2"/>
  <c r="U1535" i="2"/>
  <c r="U1523" i="2"/>
  <c r="U1503" i="2"/>
  <c r="U1484" i="2"/>
  <c r="U1472" i="2"/>
  <c r="U1447" i="2"/>
  <c r="U1419" i="2"/>
  <c r="U1383" i="2"/>
  <c r="S1519" i="2"/>
  <c r="T1519" i="2" s="1"/>
  <c r="S1487" i="2"/>
  <c r="T1487" i="2" s="1"/>
  <c r="S1467" i="2"/>
  <c r="T1467" i="2" s="1"/>
  <c r="S1447" i="2"/>
  <c r="T1447" i="2" s="1"/>
  <c r="S1423" i="2"/>
  <c r="T1423" i="2" s="1"/>
  <c r="S1363" i="2"/>
  <c r="T1363" i="2" s="1"/>
  <c r="R1511" i="2"/>
  <c r="R1483" i="2"/>
  <c r="R1467" i="2"/>
  <c r="R1443" i="2"/>
  <c r="R1411" i="2"/>
  <c r="R1383" i="2"/>
  <c r="R1355" i="2"/>
  <c r="S1544" i="2"/>
  <c r="T1544" i="2" s="1"/>
  <c r="S1551" i="2"/>
  <c r="T1551" i="2" s="1"/>
  <c r="U1533" i="2"/>
  <c r="R1497" i="2"/>
  <c r="U1546" i="2"/>
  <c r="U1549" i="2"/>
  <c r="R1551" i="2"/>
  <c r="U1357" i="2"/>
  <c r="S1357" i="2"/>
  <c r="T1357" i="2" s="1"/>
  <c r="U1389" i="2"/>
  <c r="S1485" i="2"/>
  <c r="T1485" i="2" s="1"/>
  <c r="S1425" i="2"/>
  <c r="T1425" i="2" s="1"/>
  <c r="U1413" i="2"/>
  <c r="S1537" i="2"/>
  <c r="T1537" i="2" s="1"/>
  <c r="R1433" i="2"/>
  <c r="S1550" i="2"/>
  <c r="T1550" i="2" s="1"/>
  <c r="U1548" i="2"/>
  <c r="R1550" i="2"/>
  <c r="U1547" i="2"/>
  <c r="S1549" i="2"/>
  <c r="T1549" i="2" s="1"/>
  <c r="R1549" i="2"/>
  <c r="U1543" i="2"/>
  <c r="S1547" i="2"/>
  <c r="T1547" i="2" s="1"/>
  <c r="S1548" i="2"/>
  <c r="T1548" i="2" s="1"/>
  <c r="S1545" i="2"/>
  <c r="T1545" i="2" s="1"/>
  <c r="R1547" i="2"/>
  <c r="R1548" i="2"/>
  <c r="U1416" i="2"/>
  <c r="S1536" i="2"/>
  <c r="T1536" i="2" s="1"/>
  <c r="S1416" i="2"/>
  <c r="T1416" i="2" s="1"/>
  <c r="S1356" i="2"/>
  <c r="T1356" i="2" s="1"/>
  <c r="S1546" i="2"/>
  <c r="T1546" i="2" s="1"/>
  <c r="R1468" i="2"/>
  <c r="R1432" i="2"/>
  <c r="R1352" i="2"/>
  <c r="U1545" i="2"/>
  <c r="R1546" i="2"/>
  <c r="U1536" i="2"/>
  <c r="S1500" i="2"/>
  <c r="T1500" i="2" s="1"/>
  <c r="S1484" i="2"/>
  <c r="T1484" i="2" s="1"/>
  <c r="S1448" i="2"/>
  <c r="T1448" i="2" s="1"/>
  <c r="U1352" i="2"/>
  <c r="S1392" i="2"/>
  <c r="T1392" i="2" s="1"/>
  <c r="S1352" i="2"/>
  <c r="T1352" i="2" s="1"/>
  <c r="S1543" i="2"/>
  <c r="T1543" i="2" s="1"/>
  <c r="R1545" i="2"/>
  <c r="R1544" i="2"/>
  <c r="R1524" i="2"/>
  <c r="U1542" i="2"/>
  <c r="U1541" i="2"/>
  <c r="R1543" i="2"/>
  <c r="R1485" i="2"/>
  <c r="R1465" i="2"/>
  <c r="R1417" i="2"/>
  <c r="R1365" i="2"/>
  <c r="S1542" i="2"/>
  <c r="T1542" i="2" s="1"/>
  <c r="U1485" i="2"/>
  <c r="U1429" i="2"/>
  <c r="U1417" i="2"/>
  <c r="U1529" i="2"/>
  <c r="S1533" i="2"/>
  <c r="T1533" i="2" s="1"/>
  <c r="S1433" i="2"/>
  <c r="T1433" i="2" s="1"/>
  <c r="S1421" i="2"/>
  <c r="T1421" i="2" s="1"/>
  <c r="S1393" i="2"/>
  <c r="T1393" i="2" s="1"/>
  <c r="S1365" i="2"/>
  <c r="T1365" i="2" s="1"/>
  <c r="R1469" i="2"/>
  <c r="R1437" i="2"/>
  <c r="R1425" i="2"/>
  <c r="R1413" i="2"/>
  <c r="U1540" i="2"/>
  <c r="R1542" i="2"/>
  <c r="U1537" i="2"/>
  <c r="U1469" i="2"/>
  <c r="U1393" i="2"/>
  <c r="U1365" i="2"/>
  <c r="S1529" i="2"/>
  <c r="T1529" i="2" s="1"/>
  <c r="S1505" i="2"/>
  <c r="T1505" i="2" s="1"/>
  <c r="S1429" i="2"/>
  <c r="T1429" i="2" s="1"/>
  <c r="R1489" i="2"/>
  <c r="R1534" i="2"/>
  <c r="S1541" i="2"/>
  <c r="T1541" i="2" s="1"/>
  <c r="U1539" i="2"/>
  <c r="R1541" i="2"/>
  <c r="S1531" i="2"/>
  <c r="T1531" i="2" s="1"/>
  <c r="S1523" i="2"/>
  <c r="T1523" i="2" s="1"/>
  <c r="R1531" i="2"/>
  <c r="R1515" i="2"/>
  <c r="S1540" i="2"/>
  <c r="T1540" i="2" s="1"/>
  <c r="S1538" i="2"/>
  <c r="T1538" i="2" s="1"/>
  <c r="R1540" i="2"/>
  <c r="S1535" i="2"/>
  <c r="T1535" i="2" s="1"/>
  <c r="S1527" i="2"/>
  <c r="T1527" i="2" s="1"/>
  <c r="S1515" i="2"/>
  <c r="T1515" i="2" s="1"/>
  <c r="R1535" i="2"/>
  <c r="R1523" i="2"/>
  <c r="U1538" i="2"/>
  <c r="S1539" i="2"/>
  <c r="T1539" i="2" s="1"/>
  <c r="R1539" i="2"/>
  <c r="U1524" i="2"/>
  <c r="U1456" i="2"/>
  <c r="U1436" i="2"/>
  <c r="S1524" i="2"/>
  <c r="T1524" i="2" s="1"/>
  <c r="S1472" i="2"/>
  <c r="T1472" i="2" s="1"/>
  <c r="S1412" i="2"/>
  <c r="T1412" i="2" s="1"/>
  <c r="S1384" i="2"/>
  <c r="T1384" i="2" s="1"/>
  <c r="R1504" i="2"/>
  <c r="R1484" i="2"/>
  <c r="R1456" i="2"/>
  <c r="R1416" i="2"/>
  <c r="R1538" i="2"/>
  <c r="U1528" i="2"/>
  <c r="U1468" i="2"/>
  <c r="S1528" i="2"/>
  <c r="T1528" i="2" s="1"/>
  <c r="S1480" i="2"/>
  <c r="T1480" i="2" s="1"/>
  <c r="S1468" i="2"/>
  <c r="T1468" i="2" s="1"/>
  <c r="S1456" i="2"/>
  <c r="T1456" i="2" s="1"/>
  <c r="S1444" i="2"/>
  <c r="T1444" i="2" s="1"/>
  <c r="R1500" i="2"/>
  <c r="R1472" i="2"/>
  <c r="R1400" i="2"/>
  <c r="U1532" i="2"/>
  <c r="U1500" i="2"/>
  <c r="U1448" i="2"/>
  <c r="U1412" i="2"/>
  <c r="S1532" i="2"/>
  <c r="T1532" i="2" s="1"/>
  <c r="R1536" i="2"/>
  <c r="R1528" i="2"/>
  <c r="R1444" i="2"/>
  <c r="R1412" i="2"/>
  <c r="R1396" i="2"/>
  <c r="R1380" i="2"/>
  <c r="S1521" i="2"/>
  <c r="T1521" i="2" s="1"/>
  <c r="U1521" i="2"/>
  <c r="U1520" i="2"/>
  <c r="S1520" i="2"/>
  <c r="T1520" i="2" s="1"/>
  <c r="R1520" i="2"/>
  <c r="R1518" i="2"/>
  <c r="S1517" i="2"/>
  <c r="T1517" i="2" s="1"/>
  <c r="U1517" i="2"/>
  <c r="U1516" i="2"/>
  <c r="S1516" i="2"/>
  <c r="T1516" i="2" s="1"/>
  <c r="R1532" i="2"/>
  <c r="R1527" i="2"/>
  <c r="R1522" i="2"/>
  <c r="R1516" i="2"/>
  <c r="R1526" i="2"/>
  <c r="U1530" i="2"/>
  <c r="R1537" i="2"/>
  <c r="R1529" i="2"/>
  <c r="R1525" i="2"/>
  <c r="R1521" i="2"/>
  <c r="R1509" i="2"/>
  <c r="U1515" i="2"/>
  <c r="U1514" i="2"/>
  <c r="R1514" i="2"/>
  <c r="R1513" i="2"/>
  <c r="S1513" i="2"/>
  <c r="T1513" i="2" s="1"/>
  <c r="S1512" i="2"/>
  <c r="T1512" i="2" s="1"/>
  <c r="R1512" i="2"/>
  <c r="U1512" i="2"/>
  <c r="U1510" i="2"/>
  <c r="R1510" i="2"/>
  <c r="U1509" i="2"/>
  <c r="S1509" i="2"/>
  <c r="T1509" i="2" s="1"/>
  <c r="U1508" i="2"/>
  <c r="R1508" i="2"/>
  <c r="S1508" i="2"/>
  <c r="T1508" i="2" s="1"/>
  <c r="S1507" i="2"/>
  <c r="T1507" i="2" s="1"/>
  <c r="R1507" i="2"/>
  <c r="R1506" i="2"/>
  <c r="U1506" i="2"/>
  <c r="U1505" i="2"/>
  <c r="R1505" i="2"/>
  <c r="S1504" i="2"/>
  <c r="T1504" i="2" s="1"/>
  <c r="U1504" i="2"/>
  <c r="R1503" i="2"/>
  <c r="R1502" i="2"/>
  <c r="U1502" i="2"/>
  <c r="U1501" i="2"/>
  <c r="S1501" i="2"/>
  <c r="T1501" i="2" s="1"/>
  <c r="R1501" i="2"/>
  <c r="S1499" i="2"/>
  <c r="T1499" i="2" s="1"/>
  <c r="U1499" i="2"/>
  <c r="R1499" i="2"/>
  <c r="S1497" i="2"/>
  <c r="T1497" i="2" s="1"/>
  <c r="U1497" i="2"/>
  <c r="R1496" i="2"/>
  <c r="U1496" i="2"/>
  <c r="S1496" i="2"/>
  <c r="T1496" i="2" s="1"/>
  <c r="U1494" i="2"/>
  <c r="U1493" i="2"/>
  <c r="S1493" i="2"/>
  <c r="T1493" i="2" s="1"/>
  <c r="S1492" i="2"/>
  <c r="T1492" i="2" s="1"/>
  <c r="R1492" i="2"/>
  <c r="U1492" i="2"/>
  <c r="S1491" i="2"/>
  <c r="T1491" i="2" s="1"/>
  <c r="S1489" i="2"/>
  <c r="T1489" i="2" s="1"/>
  <c r="U1489" i="2"/>
  <c r="U1488" i="2"/>
  <c r="S1488" i="2"/>
  <c r="T1488" i="2" s="1"/>
  <c r="R1488" i="2"/>
  <c r="S1481" i="2"/>
  <c r="T1481" i="2" s="1"/>
  <c r="U1481" i="2"/>
  <c r="R1481" i="2"/>
  <c r="R1480" i="2"/>
  <c r="U1480" i="2"/>
  <c r="S1477" i="2"/>
  <c r="T1477" i="2" s="1"/>
  <c r="U1477" i="2"/>
  <c r="R1477" i="2"/>
  <c r="U1476" i="2"/>
  <c r="S1476" i="2"/>
  <c r="T1476" i="2" s="1"/>
  <c r="U1473" i="2"/>
  <c r="S1473" i="2"/>
  <c r="T1473" i="2" s="1"/>
  <c r="R1473" i="2"/>
  <c r="S1471" i="2"/>
  <c r="T1471" i="2" s="1"/>
  <c r="R1471" i="2"/>
  <c r="U1471" i="2"/>
  <c r="S1469" i="2"/>
  <c r="T1469" i="2" s="1"/>
  <c r="U1465" i="2"/>
  <c r="S1465" i="2"/>
  <c r="T1465" i="2" s="1"/>
  <c r="U1464" i="2"/>
  <c r="S1464" i="2"/>
  <c r="T1464" i="2" s="1"/>
  <c r="R1464" i="2"/>
  <c r="U1463" i="2"/>
  <c r="S1461" i="2"/>
  <c r="T1461" i="2" s="1"/>
  <c r="U1461" i="2"/>
  <c r="U1460" i="2"/>
  <c r="S1460" i="2"/>
  <c r="T1460" i="2" s="1"/>
  <c r="R1460" i="2"/>
  <c r="U1458" i="2"/>
  <c r="S1457" i="2"/>
  <c r="T1457" i="2" s="1"/>
  <c r="U1457" i="2"/>
  <c r="R1457" i="2"/>
  <c r="S1455" i="2"/>
  <c r="T1455" i="2" s="1"/>
  <c r="R1455" i="2"/>
  <c r="S1453" i="2"/>
  <c r="T1453" i="2" s="1"/>
  <c r="U1453" i="2"/>
  <c r="U1452" i="2"/>
  <c r="S1452" i="2"/>
  <c r="T1452" i="2" s="1"/>
  <c r="R1452" i="2"/>
  <c r="U1451" i="2"/>
  <c r="R1451" i="2"/>
  <c r="U1450" i="2"/>
  <c r="S1449" i="2"/>
  <c r="T1449" i="2" s="1"/>
  <c r="U1449" i="2"/>
  <c r="R1448" i="2"/>
  <c r="R1447" i="2"/>
  <c r="U1445" i="2"/>
  <c r="S1445" i="2"/>
  <c r="T1445" i="2" s="1"/>
  <c r="U1444" i="2"/>
  <c r="U1443" i="2"/>
  <c r="S1441" i="2"/>
  <c r="T1441" i="2" s="1"/>
  <c r="U1441" i="2"/>
  <c r="R1441" i="2"/>
  <c r="R1440" i="2"/>
  <c r="U1440" i="2"/>
  <c r="S1440" i="2"/>
  <c r="T1440" i="2" s="1"/>
  <c r="U1439" i="2"/>
  <c r="R1439" i="2"/>
  <c r="S1439" i="2"/>
  <c r="T1439" i="2" s="1"/>
  <c r="U1438" i="2"/>
  <c r="U1437" i="2"/>
  <c r="S1436" i="2"/>
  <c r="T1436" i="2" s="1"/>
  <c r="R1436" i="2"/>
  <c r="U1433" i="2"/>
  <c r="U1432" i="2"/>
  <c r="S1432" i="2"/>
  <c r="T1432" i="2" s="1"/>
  <c r="U1431" i="2"/>
  <c r="S1431" i="2"/>
  <c r="T1431" i="2" s="1"/>
  <c r="R1431" i="2"/>
  <c r="R1429" i="2"/>
  <c r="S1428" i="2"/>
  <c r="T1428" i="2" s="1"/>
  <c r="U1428" i="2"/>
  <c r="R1428" i="2"/>
  <c r="S1427" i="2"/>
  <c r="T1427" i="2" s="1"/>
  <c r="R1427" i="2"/>
  <c r="U1425" i="2"/>
  <c r="U1424" i="2"/>
  <c r="S1424" i="2"/>
  <c r="T1424" i="2" s="1"/>
  <c r="R1424" i="2"/>
  <c r="R1421" i="2"/>
  <c r="U1421" i="2"/>
  <c r="S1420" i="2"/>
  <c r="T1420" i="2" s="1"/>
  <c r="U1420" i="2"/>
  <c r="R1420" i="2"/>
  <c r="S1419" i="2"/>
  <c r="T1419" i="2" s="1"/>
  <c r="S1415" i="2"/>
  <c r="T1415" i="2" s="1"/>
  <c r="R1415" i="2"/>
  <c r="S1413" i="2"/>
  <c r="T1413" i="2" s="1"/>
  <c r="U1411" i="2"/>
  <c r="U1409" i="2"/>
  <c r="U1407" i="2"/>
  <c r="S1409" i="2"/>
  <c r="T1409" i="2" s="1"/>
  <c r="R1409" i="2"/>
  <c r="S1404" i="2"/>
  <c r="T1404" i="2" s="1"/>
  <c r="R1408" i="2"/>
  <c r="U1408" i="2"/>
  <c r="S1408" i="2"/>
  <c r="T1408" i="2" s="1"/>
  <c r="S1407" i="2"/>
  <c r="T1407" i="2" s="1"/>
  <c r="R1405" i="2"/>
  <c r="U1405" i="2"/>
  <c r="S1405" i="2"/>
  <c r="T1405" i="2" s="1"/>
  <c r="U1404" i="2"/>
  <c r="R1404" i="2"/>
  <c r="S1403" i="2"/>
  <c r="T1403" i="2" s="1"/>
  <c r="R1403" i="2"/>
  <c r="S1401" i="2"/>
  <c r="T1401" i="2" s="1"/>
  <c r="U1401" i="2"/>
  <c r="R1401" i="2"/>
  <c r="U1400" i="2"/>
  <c r="S1400" i="2"/>
  <c r="T1400" i="2" s="1"/>
  <c r="R1399" i="2"/>
  <c r="U1399" i="2"/>
  <c r="S1399" i="2"/>
  <c r="T1399" i="2" s="1"/>
  <c r="U1397" i="2"/>
  <c r="S1397" i="2"/>
  <c r="T1397" i="2" s="1"/>
  <c r="R1397" i="2"/>
  <c r="U1396" i="2"/>
  <c r="S1396" i="2"/>
  <c r="T1396" i="2" s="1"/>
  <c r="R1393" i="2"/>
  <c r="R1392" i="2"/>
  <c r="U1392" i="2"/>
  <c r="U1391" i="2"/>
  <c r="S1391" i="2"/>
  <c r="T1391" i="2" s="1"/>
  <c r="R1389" i="2"/>
  <c r="S1389" i="2"/>
  <c r="T1389" i="2" s="1"/>
  <c r="U1388" i="2"/>
  <c r="S1388" i="2"/>
  <c r="T1388" i="2" s="1"/>
  <c r="R1388" i="2"/>
  <c r="S1387" i="2"/>
  <c r="T1387" i="2" s="1"/>
  <c r="U1387" i="2"/>
  <c r="R1385" i="2"/>
  <c r="U1385" i="2"/>
  <c r="S1385" i="2"/>
  <c r="T1385" i="2" s="1"/>
  <c r="U1384" i="2"/>
  <c r="R1384" i="2"/>
  <c r="S1383" i="2"/>
  <c r="T1383" i="2" s="1"/>
  <c r="R1381" i="2"/>
  <c r="U1381" i="2"/>
  <c r="S1381" i="2"/>
  <c r="T1381" i="2" s="1"/>
  <c r="U1380" i="2"/>
  <c r="S1380" i="2"/>
  <c r="T1380" i="2" s="1"/>
  <c r="U1377" i="2"/>
  <c r="R1377" i="2"/>
  <c r="S1377" i="2"/>
  <c r="T1377" i="2" s="1"/>
  <c r="U1376" i="2"/>
  <c r="S1376" i="2"/>
  <c r="T1376" i="2" s="1"/>
  <c r="R1376" i="2"/>
  <c r="U1375" i="2"/>
  <c r="S1375" i="2"/>
  <c r="T1375" i="2" s="1"/>
  <c r="R1375" i="2"/>
  <c r="R1371" i="2"/>
  <c r="R1373" i="2"/>
  <c r="U1373" i="2"/>
  <c r="S1372" i="2"/>
  <c r="T1372" i="2" s="1"/>
  <c r="U1372" i="2"/>
  <c r="R1372" i="2"/>
  <c r="U1371" i="2"/>
  <c r="S1371" i="2"/>
  <c r="T1371" i="2" s="1"/>
  <c r="U1369" i="2"/>
  <c r="S1369" i="2"/>
  <c r="T1369" i="2" s="1"/>
  <c r="R1369" i="2"/>
  <c r="U1368" i="2"/>
  <c r="S1368" i="2"/>
  <c r="T1368" i="2" s="1"/>
  <c r="R1368" i="2"/>
  <c r="U1367" i="2"/>
  <c r="R1367" i="2"/>
  <c r="U1364" i="2"/>
  <c r="S1364" i="2"/>
  <c r="T1364" i="2" s="1"/>
  <c r="R1364" i="2"/>
  <c r="U1363" i="2"/>
  <c r="R1363" i="2"/>
  <c r="S1361" i="2"/>
  <c r="T1361" i="2" s="1"/>
  <c r="R1361" i="2"/>
  <c r="U1360" i="2"/>
  <c r="S1360" i="2"/>
  <c r="T1360" i="2" s="1"/>
  <c r="R1360" i="2"/>
  <c r="U1359" i="2"/>
  <c r="S1534" i="2"/>
  <c r="T1534" i="2" s="1"/>
  <c r="S1530" i="2"/>
  <c r="T1530" i="2" s="1"/>
  <c r="S1526" i="2"/>
  <c r="T1526" i="2" s="1"/>
  <c r="S1522" i="2"/>
  <c r="T1522" i="2" s="1"/>
  <c r="S1518" i="2"/>
  <c r="T1518" i="2" s="1"/>
  <c r="S1514" i="2"/>
  <c r="T1514" i="2" s="1"/>
  <c r="S1510" i="2"/>
  <c r="T1510" i="2" s="1"/>
  <c r="S1506" i="2"/>
  <c r="T1506" i="2" s="1"/>
  <c r="S1502" i="2"/>
  <c r="T1502" i="2" s="1"/>
  <c r="R1498" i="2"/>
  <c r="S1498" i="2"/>
  <c r="T1498" i="2" s="1"/>
  <c r="R1494" i="2"/>
  <c r="S1494" i="2"/>
  <c r="T1494" i="2" s="1"/>
  <c r="R1490" i="2"/>
  <c r="S1490" i="2"/>
  <c r="T1490" i="2" s="1"/>
  <c r="R1486" i="2"/>
  <c r="S1486" i="2"/>
  <c r="T1486" i="2" s="1"/>
  <c r="R1482" i="2"/>
  <c r="S1482" i="2"/>
  <c r="T1482" i="2" s="1"/>
  <c r="R1478" i="2"/>
  <c r="S1478" i="2"/>
  <c r="T1478" i="2" s="1"/>
  <c r="R1474" i="2"/>
  <c r="S1474" i="2"/>
  <c r="T1474" i="2" s="1"/>
  <c r="R1470" i="2"/>
  <c r="S1470" i="2"/>
  <c r="T1470" i="2" s="1"/>
  <c r="R1466" i="2"/>
  <c r="S1466" i="2"/>
  <c r="T1466" i="2" s="1"/>
  <c r="R1462" i="2"/>
  <c r="S1462" i="2"/>
  <c r="T1462" i="2" s="1"/>
  <c r="R1458" i="2"/>
  <c r="S1458" i="2"/>
  <c r="T1458" i="2" s="1"/>
  <c r="R1454" i="2"/>
  <c r="S1454" i="2"/>
  <c r="T1454" i="2" s="1"/>
  <c r="R1450" i="2"/>
  <c r="S1450" i="2"/>
  <c r="T1450" i="2" s="1"/>
  <c r="R1446" i="2"/>
  <c r="S1446" i="2"/>
  <c r="T1446" i="2" s="1"/>
  <c r="R1442" i="2"/>
  <c r="S1442" i="2"/>
  <c r="T1442" i="2" s="1"/>
  <c r="R1438" i="2"/>
  <c r="S1438" i="2"/>
  <c r="T1438" i="2" s="1"/>
  <c r="R1434" i="2"/>
  <c r="S1434" i="2"/>
  <c r="T1434" i="2" s="1"/>
  <c r="U1434" i="2"/>
  <c r="R1430" i="2"/>
  <c r="S1430" i="2"/>
  <c r="T1430" i="2" s="1"/>
  <c r="U1430" i="2"/>
  <c r="R1426" i="2"/>
  <c r="S1426" i="2"/>
  <c r="T1426" i="2" s="1"/>
  <c r="U1426" i="2"/>
  <c r="R1422" i="2"/>
  <c r="S1422" i="2"/>
  <c r="T1422" i="2" s="1"/>
  <c r="U1422" i="2"/>
  <c r="R1418" i="2"/>
  <c r="S1418" i="2"/>
  <c r="T1418" i="2" s="1"/>
  <c r="U1418" i="2"/>
  <c r="R1414" i="2"/>
  <c r="S1414" i="2"/>
  <c r="T1414" i="2" s="1"/>
  <c r="U1414" i="2"/>
  <c r="R1410" i="2"/>
  <c r="S1410" i="2"/>
  <c r="T1410" i="2" s="1"/>
  <c r="U1410" i="2"/>
  <c r="R1406" i="2"/>
  <c r="S1406" i="2"/>
  <c r="T1406" i="2" s="1"/>
  <c r="U1406" i="2"/>
  <c r="R1402" i="2"/>
  <c r="S1402" i="2"/>
  <c r="T1402" i="2" s="1"/>
  <c r="U1402" i="2"/>
  <c r="R1398" i="2"/>
  <c r="S1398" i="2"/>
  <c r="T1398" i="2" s="1"/>
  <c r="U1398" i="2"/>
  <c r="R1394" i="2"/>
  <c r="S1394" i="2"/>
  <c r="T1394" i="2" s="1"/>
  <c r="U1394" i="2"/>
  <c r="R1390" i="2"/>
  <c r="S1390" i="2"/>
  <c r="T1390" i="2" s="1"/>
  <c r="U1390" i="2"/>
  <c r="R1386" i="2"/>
  <c r="S1386" i="2"/>
  <c r="T1386" i="2" s="1"/>
  <c r="U1386" i="2"/>
  <c r="R1382" i="2"/>
  <c r="S1382" i="2"/>
  <c r="T1382" i="2" s="1"/>
  <c r="U1382" i="2"/>
  <c r="R1378" i="2"/>
  <c r="S1378" i="2"/>
  <c r="T1378" i="2" s="1"/>
  <c r="U1378" i="2"/>
  <c r="R1374" i="2"/>
  <c r="S1374" i="2"/>
  <c r="T1374" i="2" s="1"/>
  <c r="U1374" i="2"/>
  <c r="R1370" i="2"/>
  <c r="S1370" i="2"/>
  <c r="T1370" i="2" s="1"/>
  <c r="U1370" i="2"/>
  <c r="R1366" i="2"/>
  <c r="S1366" i="2"/>
  <c r="T1366" i="2" s="1"/>
  <c r="U1366" i="2"/>
  <c r="R1362" i="2"/>
  <c r="S1362" i="2"/>
  <c r="T1362" i="2" s="1"/>
  <c r="U1362" i="2"/>
  <c r="U1358" i="2"/>
  <c r="S1358" i="2"/>
  <c r="T1358" i="2" s="1"/>
  <c r="R1358" i="2"/>
  <c r="U1356" i="2"/>
  <c r="S1354" i="2"/>
  <c r="T1354" i="2" s="1"/>
  <c r="R1354" i="2"/>
  <c r="U1354" i="2"/>
  <c r="S1353" i="2"/>
  <c r="T1353" i="2" s="1"/>
  <c r="U1353" i="2"/>
  <c r="R1353" i="2"/>
  <c r="U1351" i="2"/>
  <c r="R1351" i="2"/>
  <c r="U1350" i="2"/>
  <c r="S1350" i="2"/>
  <c r="T1350" i="2" s="1"/>
  <c r="R1350" i="2"/>
  <c r="R1349" i="2"/>
  <c r="U1349" i="2"/>
  <c r="S1349" i="2"/>
  <c r="T1349" i="2" s="1"/>
  <c r="S1348" i="2"/>
  <c r="T1348" i="2" s="1"/>
  <c r="U1348" i="2"/>
  <c r="R1348" i="2"/>
  <c r="R1347" i="2"/>
  <c r="U1347" i="2"/>
  <c r="U1346" i="2"/>
  <c r="S1346" i="2"/>
  <c r="T1346" i="2" s="1"/>
  <c r="R1346" i="2"/>
  <c r="U1345" i="2"/>
  <c r="R1345" i="2"/>
  <c r="S1345" i="2"/>
  <c r="T1345" i="2" s="1"/>
  <c r="D3" i="11" l="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S1169" i="2" l="1"/>
  <c r="T1169" i="2" s="1"/>
  <c r="R1172" i="2"/>
  <c r="S1177" i="2"/>
  <c r="T1177" i="2" s="1"/>
  <c r="R1181" i="2"/>
  <c r="R1182" i="2"/>
  <c r="S1185" i="2"/>
  <c r="T1185" i="2" s="1"/>
  <c r="R1192" i="2"/>
  <c r="S1201" i="2"/>
  <c r="T1201" i="2" s="1"/>
  <c r="S1202" i="2"/>
  <c r="T1202" i="2" s="1"/>
  <c r="R1204" i="2"/>
  <c r="R1205" i="2"/>
  <c r="S1210" i="2"/>
  <c r="T1210" i="2" s="1"/>
  <c r="U1213" i="2"/>
  <c r="S1220" i="2"/>
  <c r="T1220" i="2" s="1"/>
  <c r="S1221" i="2"/>
  <c r="T1221" i="2" s="1"/>
  <c r="R1225" i="2"/>
  <c r="S1229" i="2"/>
  <c r="T1229" i="2" s="1"/>
  <c r="U1237" i="2"/>
  <c r="U1250" i="2"/>
  <c r="U1254" i="2"/>
  <c r="R1256" i="2"/>
  <c r="S1259" i="2"/>
  <c r="T1259" i="2" s="1"/>
  <c r="S1260" i="2"/>
  <c r="T1260" i="2" s="1"/>
  <c r="R1269" i="2"/>
  <c r="S1272" i="2"/>
  <c r="T1272" i="2" s="1"/>
  <c r="R1288" i="2"/>
  <c r="R1292" i="2"/>
  <c r="U1304" i="2"/>
  <c r="R1307" i="2"/>
  <c r="U1310" i="2"/>
  <c r="R1312" i="2"/>
  <c r="R1315" i="2"/>
  <c r="U1321" i="2"/>
  <c r="R1336" i="2"/>
  <c r="R1166" i="2"/>
  <c r="R1168" i="2"/>
  <c r="R1170" i="2"/>
  <c r="R1173" i="2"/>
  <c r="R1176" i="2"/>
  <c r="R1178" i="2"/>
  <c r="R1180" i="2"/>
  <c r="R1185" i="2"/>
  <c r="R1186" i="2"/>
  <c r="R1188" i="2"/>
  <c r="R1190" i="2"/>
  <c r="R1194" i="2"/>
  <c r="R1198" i="2"/>
  <c r="R1200" i="2"/>
  <c r="R1206" i="2"/>
  <c r="R1210" i="2"/>
  <c r="R1212" i="2"/>
  <c r="R1214" i="2"/>
  <c r="R1218" i="2"/>
  <c r="R1222" i="2"/>
  <c r="R1226" i="2"/>
  <c r="R1228" i="2"/>
  <c r="R1230" i="2"/>
  <c r="R1234" i="2"/>
  <c r="R1238" i="2"/>
  <c r="R1242" i="2"/>
  <c r="R1244" i="2"/>
  <c r="R1246" i="2"/>
  <c r="R1248" i="2"/>
  <c r="R1250" i="2"/>
  <c r="R1252" i="2"/>
  <c r="R1257" i="2"/>
  <c r="R1258" i="2"/>
  <c r="R1262" i="2"/>
  <c r="R1266" i="2"/>
  <c r="R1271" i="2"/>
  <c r="R1272" i="2"/>
  <c r="R1276" i="2"/>
  <c r="R1278" i="2"/>
  <c r="R1284" i="2"/>
  <c r="R1286" i="2"/>
  <c r="R1290" i="2"/>
  <c r="R1294" i="2"/>
  <c r="R1299" i="2"/>
  <c r="R1300" i="2"/>
  <c r="R1305" i="2"/>
  <c r="R1309" i="2"/>
  <c r="R1311" i="2"/>
  <c r="R1319" i="2"/>
  <c r="R1323" i="2"/>
  <c r="R1326" i="2"/>
  <c r="R1327" i="2"/>
  <c r="R1332" i="2"/>
  <c r="R1334" i="2"/>
  <c r="R1338" i="2"/>
  <c r="R1340" i="2"/>
  <c r="R1342" i="2"/>
  <c r="S1166" i="2"/>
  <c r="T1166" i="2" s="1"/>
  <c r="S1168" i="2"/>
  <c r="T1168" i="2" s="1"/>
  <c r="S1170" i="2"/>
  <c r="T1170" i="2" s="1"/>
  <c r="S1173" i="2"/>
  <c r="T1173" i="2" s="1"/>
  <c r="S1178" i="2"/>
  <c r="T1178" i="2" s="1"/>
  <c r="S1180" i="2"/>
  <c r="T1180" i="2" s="1"/>
  <c r="S1182" i="2"/>
  <c r="T1182" i="2" s="1"/>
  <c r="S1186" i="2"/>
  <c r="T1186" i="2" s="1"/>
  <c r="S1188" i="2"/>
  <c r="T1188" i="2" s="1"/>
  <c r="S1190" i="2"/>
  <c r="T1190" i="2" s="1"/>
  <c r="S1192" i="2"/>
  <c r="T1192" i="2" s="1"/>
  <c r="S1194" i="2"/>
  <c r="T1194" i="2" s="1"/>
  <c r="S1196" i="2"/>
  <c r="T1196" i="2" s="1"/>
  <c r="S1200" i="2"/>
  <c r="T1200" i="2" s="1"/>
  <c r="S1203" i="2"/>
  <c r="T1203" i="2" s="1"/>
  <c r="S1206" i="2"/>
  <c r="T1206" i="2" s="1"/>
  <c r="S1208" i="2"/>
  <c r="T1208" i="2" s="1"/>
  <c r="S1212" i="2"/>
  <c r="T1212" i="2" s="1"/>
  <c r="S1214" i="2"/>
  <c r="T1214" i="2" s="1"/>
  <c r="S1218" i="2"/>
  <c r="T1218" i="2" s="1"/>
  <c r="S1222" i="2"/>
  <c r="T1222" i="2" s="1"/>
  <c r="S1226" i="2"/>
  <c r="T1226" i="2" s="1"/>
  <c r="S1228" i="2"/>
  <c r="T1228" i="2" s="1"/>
  <c r="S1230" i="2"/>
  <c r="T1230" i="2" s="1"/>
  <c r="S1234" i="2"/>
  <c r="T1234" i="2" s="1"/>
  <c r="S1236" i="2"/>
  <c r="T1236" i="2" s="1"/>
  <c r="S1238" i="2"/>
  <c r="T1238" i="2" s="1"/>
  <c r="S1242" i="2"/>
  <c r="T1242" i="2" s="1"/>
  <c r="S1244" i="2"/>
  <c r="T1244" i="2" s="1"/>
  <c r="S1246" i="2"/>
  <c r="T1246" i="2" s="1"/>
  <c r="S1248" i="2"/>
  <c r="T1248" i="2" s="1"/>
  <c r="S1250" i="2"/>
  <c r="T1250" i="2" s="1"/>
  <c r="S1252" i="2"/>
  <c r="T1252" i="2" s="1"/>
  <c r="S1257" i="2"/>
  <c r="T1257" i="2" s="1"/>
  <c r="S1258" i="2"/>
  <c r="T1258" i="2" s="1"/>
  <c r="S1266" i="2"/>
  <c r="T1266" i="2" s="1"/>
  <c r="S1270" i="2"/>
  <c r="T1270" i="2" s="1"/>
  <c r="S1278" i="2"/>
  <c r="T1278" i="2" s="1"/>
  <c r="S1282" i="2"/>
  <c r="T1282" i="2" s="1"/>
  <c r="S1286" i="2"/>
  <c r="T1286" i="2" s="1"/>
  <c r="S1290" i="2"/>
  <c r="T1290" i="2" s="1"/>
  <c r="S1292" i="2"/>
  <c r="T1292" i="2" s="1"/>
  <c r="S1294" i="2"/>
  <c r="T1294" i="2" s="1"/>
  <c r="S1300" i="2"/>
  <c r="T1300" i="2" s="1"/>
  <c r="S1305" i="2"/>
  <c r="T1305" i="2" s="1"/>
  <c r="S1307" i="2"/>
  <c r="T1307" i="2" s="1"/>
  <c r="S1309" i="2"/>
  <c r="T1309" i="2" s="1"/>
  <c r="S1311" i="2"/>
  <c r="T1311" i="2" s="1"/>
  <c r="S1319" i="2"/>
  <c r="T1319" i="2" s="1"/>
  <c r="S1323" i="2"/>
  <c r="T1323" i="2" s="1"/>
  <c r="S1327" i="2"/>
  <c r="T1327" i="2" s="1"/>
  <c r="S1330" i="2"/>
  <c r="T1330" i="2" s="1"/>
  <c r="S1332" i="2"/>
  <c r="T1332" i="2" s="1"/>
  <c r="S1336" i="2"/>
  <c r="T1336" i="2" s="1"/>
  <c r="S1337" i="2"/>
  <c r="T1337" i="2" s="1"/>
  <c r="S1339" i="2"/>
  <c r="T1339" i="2" s="1"/>
  <c r="S1340" i="2"/>
  <c r="T1340" i="2" s="1"/>
  <c r="S1342" i="2"/>
  <c r="T1342" i="2" s="1"/>
  <c r="U1166" i="2"/>
  <c r="U1168" i="2"/>
  <c r="U1170" i="2"/>
  <c r="U1172" i="2"/>
  <c r="U1174" i="2"/>
  <c r="U1176" i="2"/>
  <c r="U1180" i="2"/>
  <c r="U1182" i="2"/>
  <c r="U1185" i="2"/>
  <c r="U1186" i="2"/>
  <c r="U1187" i="2"/>
  <c r="U1188" i="2"/>
  <c r="U1190" i="2"/>
  <c r="U1192" i="2"/>
  <c r="U1194" i="2"/>
  <c r="U1196" i="2"/>
  <c r="U1198" i="2"/>
  <c r="U1200" i="2"/>
  <c r="U1206" i="2"/>
  <c r="U1210" i="2"/>
  <c r="U1212" i="2"/>
  <c r="U1214" i="2"/>
  <c r="U1216" i="2"/>
  <c r="U1218" i="2"/>
  <c r="U1222" i="2"/>
  <c r="U1226" i="2"/>
  <c r="U1228" i="2"/>
  <c r="U1230" i="2"/>
  <c r="U1234" i="2"/>
  <c r="U1236" i="2"/>
  <c r="U1238" i="2"/>
  <c r="U1242" i="2"/>
  <c r="U1244" i="2"/>
  <c r="U1246" i="2"/>
  <c r="U1248" i="2"/>
  <c r="U1252" i="2"/>
  <c r="U1253" i="2"/>
  <c r="U1257" i="2"/>
  <c r="U1258" i="2"/>
  <c r="U1260" i="2"/>
  <c r="U1262" i="2"/>
  <c r="U1266" i="2"/>
  <c r="U1267" i="2"/>
  <c r="U1270" i="2"/>
  <c r="U1274" i="2"/>
  <c r="U1276" i="2"/>
  <c r="U1278" i="2"/>
  <c r="U1280" i="2"/>
  <c r="U1282" i="2"/>
  <c r="U1284" i="2"/>
  <c r="U1285" i="2"/>
  <c r="U1286" i="2"/>
  <c r="U1288" i="2"/>
  <c r="U1290" i="2"/>
  <c r="U1292" i="2"/>
  <c r="U1294" i="2"/>
  <c r="U1300" i="2"/>
  <c r="U1305" i="2"/>
  <c r="U1309" i="2"/>
  <c r="U1311" i="2"/>
  <c r="U1314" i="2"/>
  <c r="U1319" i="2"/>
  <c r="U1323" i="2"/>
  <c r="U1327" i="2"/>
  <c r="U1332" i="2"/>
  <c r="U1336" i="2"/>
  <c r="U1338" i="2"/>
  <c r="U1340" i="2"/>
  <c r="U1342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S1329" i="2" l="1"/>
  <c r="T1329" i="2" s="1"/>
  <c r="S1314" i="2"/>
  <c r="T1314" i="2" s="1"/>
  <c r="U1329" i="2"/>
  <c r="U1299" i="2"/>
  <c r="U1173" i="2"/>
  <c r="S1333" i="2"/>
  <c r="T1333" i="2" s="1"/>
  <c r="R1329" i="2"/>
  <c r="U1326" i="2"/>
  <c r="S1271" i="2"/>
  <c r="T1271" i="2" s="1"/>
  <c r="U1337" i="2"/>
  <c r="U1306" i="2"/>
  <c r="U1271" i="2"/>
  <c r="U1256" i="2"/>
  <c r="S1253" i="2"/>
  <c r="T1253" i="2" s="1"/>
  <c r="R1314" i="2"/>
  <c r="R1343" i="2"/>
  <c r="R1328" i="2"/>
  <c r="S1328" i="2"/>
  <c r="T1328" i="2" s="1"/>
  <c r="S1308" i="2"/>
  <c r="T1308" i="2" s="1"/>
  <c r="R1308" i="2"/>
  <c r="S1301" i="2"/>
  <c r="T1301" i="2" s="1"/>
  <c r="R1301" i="2"/>
  <c r="S1293" i="2"/>
  <c r="T1293" i="2" s="1"/>
  <c r="U1293" i="2"/>
  <c r="R1289" i="2"/>
  <c r="S1289" i="2"/>
  <c r="T1289" i="2" s="1"/>
  <c r="U1289" i="2"/>
  <c r="U1277" i="2"/>
  <c r="S1277" i="2"/>
  <c r="T1277" i="2" s="1"/>
  <c r="R1261" i="2"/>
  <c r="S1261" i="2"/>
  <c r="T1261" i="2" s="1"/>
  <c r="R1255" i="2"/>
  <c r="S1255" i="2"/>
  <c r="T1255" i="2" s="1"/>
  <c r="U1255" i="2"/>
  <c r="R1239" i="2"/>
  <c r="S1239" i="2"/>
  <c r="T1239" i="2" s="1"/>
  <c r="S1235" i="2"/>
  <c r="T1235" i="2" s="1"/>
  <c r="U1235" i="2"/>
  <c r="R1235" i="2"/>
  <c r="U1215" i="2"/>
  <c r="R1211" i="2"/>
  <c r="U1211" i="2"/>
  <c r="S1211" i="2"/>
  <c r="T1211" i="2" s="1"/>
  <c r="R1207" i="2"/>
  <c r="R1203" i="2"/>
  <c r="U1203" i="2"/>
  <c r="R1199" i="2"/>
  <c r="S1195" i="2"/>
  <c r="T1195" i="2" s="1"/>
  <c r="R1195" i="2"/>
  <c r="U1195" i="2"/>
  <c r="R1191" i="2"/>
  <c r="S1191" i="2"/>
  <c r="T1191" i="2" s="1"/>
  <c r="R1187" i="2"/>
  <c r="U1183" i="2"/>
  <c r="R1175" i="2"/>
  <c r="U1175" i="2"/>
  <c r="S1175" i="2"/>
  <c r="T1175" i="2" s="1"/>
  <c r="U1171" i="2"/>
  <c r="R1171" i="2"/>
  <c r="S1324" i="2"/>
  <c r="T1324" i="2" s="1"/>
  <c r="R1320" i="2"/>
  <c r="R1316" i="2"/>
  <c r="S1297" i="2"/>
  <c r="T1297" i="2" s="1"/>
  <c r="S1285" i="2"/>
  <c r="T1285" i="2" s="1"/>
  <c r="R1281" i="2"/>
  <c r="S1281" i="2"/>
  <c r="T1281" i="2" s="1"/>
  <c r="S1273" i="2"/>
  <c r="T1273" i="2" s="1"/>
  <c r="U1273" i="2"/>
  <c r="U1265" i="2"/>
  <c r="S1265" i="2"/>
  <c r="T1265" i="2" s="1"/>
  <c r="R1251" i="2"/>
  <c r="S1251" i="2"/>
  <c r="T1251" i="2" s="1"/>
  <c r="R1247" i="2"/>
  <c r="U1247" i="2"/>
  <c r="S1247" i="2"/>
  <c r="T1247" i="2" s="1"/>
  <c r="S1243" i="2"/>
  <c r="T1243" i="2" s="1"/>
  <c r="U1243" i="2"/>
  <c r="R1231" i="2"/>
  <c r="S1231" i="2"/>
  <c r="T1231" i="2" s="1"/>
  <c r="U1339" i="2"/>
  <c r="U1328" i="2"/>
  <c r="U1261" i="2"/>
  <c r="U1239" i="2"/>
  <c r="U1191" i="2"/>
  <c r="R1339" i="2"/>
  <c r="R1215" i="2"/>
  <c r="U1343" i="2"/>
  <c r="U1331" i="2"/>
  <c r="U1316" i="2"/>
  <c r="U1297" i="2"/>
  <c r="U1207" i="2"/>
  <c r="S1316" i="2"/>
  <c r="T1316" i="2" s="1"/>
  <c r="U1281" i="2"/>
  <c r="S1187" i="2"/>
  <c r="T1187" i="2" s="1"/>
  <c r="R1285" i="2"/>
  <c r="R1273" i="2"/>
  <c r="R1265" i="2"/>
  <c r="U1344" i="2"/>
  <c r="S1344" i="2"/>
  <c r="T1344" i="2" s="1"/>
  <c r="R1344" i="2"/>
  <c r="S1343" i="2"/>
  <c r="T1343" i="2" s="1"/>
  <c r="S1341" i="2"/>
  <c r="T1341" i="2" s="1"/>
  <c r="U1341" i="2"/>
  <c r="R1341" i="2"/>
  <c r="S1338" i="2"/>
  <c r="T1338" i="2" s="1"/>
  <c r="R1337" i="2"/>
  <c r="S1335" i="2"/>
  <c r="T1335" i="2" s="1"/>
  <c r="R1335" i="2"/>
  <c r="U1335" i="2"/>
  <c r="U1334" i="2"/>
  <c r="S1334" i="2"/>
  <c r="T1334" i="2" s="1"/>
  <c r="U1333" i="2"/>
  <c r="R1333" i="2"/>
  <c r="R1331" i="2"/>
  <c r="S1331" i="2"/>
  <c r="T1331" i="2" s="1"/>
  <c r="U1330" i="2"/>
  <c r="R1330" i="2"/>
  <c r="S1326" i="2"/>
  <c r="T1326" i="2" s="1"/>
  <c r="S1325" i="2"/>
  <c r="T1325" i="2" s="1"/>
  <c r="U1325" i="2"/>
  <c r="R1325" i="2"/>
  <c r="U1324" i="2"/>
  <c r="R1324" i="2"/>
  <c r="R1322" i="2"/>
  <c r="U1322" i="2"/>
  <c r="S1322" i="2"/>
  <c r="T1322" i="2" s="1"/>
  <c r="S1321" i="2"/>
  <c r="T1321" i="2" s="1"/>
  <c r="R1321" i="2"/>
  <c r="U1320" i="2"/>
  <c r="S1320" i="2"/>
  <c r="T1320" i="2" s="1"/>
  <c r="S1318" i="2"/>
  <c r="T1318" i="2" s="1"/>
  <c r="U1318" i="2"/>
  <c r="R1318" i="2"/>
  <c r="S1317" i="2"/>
  <c r="T1317" i="2" s="1"/>
  <c r="U1317" i="2"/>
  <c r="R1317" i="2"/>
  <c r="U1315" i="2"/>
  <c r="S1315" i="2"/>
  <c r="T1315" i="2" s="1"/>
  <c r="U1313" i="2"/>
  <c r="S1313" i="2"/>
  <c r="T1313" i="2" s="1"/>
  <c r="R1313" i="2"/>
  <c r="U1312" i="2"/>
  <c r="S1312" i="2"/>
  <c r="T1312" i="2" s="1"/>
  <c r="S1310" i="2"/>
  <c r="T1310" i="2" s="1"/>
  <c r="R1310" i="2"/>
  <c r="U1308" i="2"/>
  <c r="S1304" i="2"/>
  <c r="T1304" i="2" s="1"/>
  <c r="R1304" i="2"/>
  <c r="R1270" i="2"/>
  <c r="U1307" i="2"/>
  <c r="S1306" i="2"/>
  <c r="T1306" i="2" s="1"/>
  <c r="R1306" i="2"/>
  <c r="S1303" i="2"/>
  <c r="T1303" i="2" s="1"/>
  <c r="R1303" i="2"/>
  <c r="U1303" i="2"/>
  <c r="U1302" i="2"/>
  <c r="S1302" i="2"/>
  <c r="T1302" i="2" s="1"/>
  <c r="R1302" i="2"/>
  <c r="U1301" i="2"/>
  <c r="S1299" i="2"/>
  <c r="T1299" i="2" s="1"/>
  <c r="U1298" i="2"/>
  <c r="S1298" i="2"/>
  <c r="T1298" i="2" s="1"/>
  <c r="R1298" i="2"/>
  <c r="R1297" i="2"/>
  <c r="U1296" i="2"/>
  <c r="S1296" i="2"/>
  <c r="T1296" i="2" s="1"/>
  <c r="R1296" i="2"/>
  <c r="S1295" i="2"/>
  <c r="T1295" i="2" s="1"/>
  <c r="U1295" i="2"/>
  <c r="R1295" i="2"/>
  <c r="R1293" i="2"/>
  <c r="S1291" i="2"/>
  <c r="T1291" i="2" s="1"/>
  <c r="U1291" i="2"/>
  <c r="R1291" i="2"/>
  <c r="S1288" i="2"/>
  <c r="T1288" i="2" s="1"/>
  <c r="U1287" i="2"/>
  <c r="S1287" i="2"/>
  <c r="T1287" i="2" s="1"/>
  <c r="R1287" i="2"/>
  <c r="S1284" i="2"/>
  <c r="T1284" i="2" s="1"/>
  <c r="S1283" i="2"/>
  <c r="T1283" i="2" s="1"/>
  <c r="R1283" i="2"/>
  <c r="U1283" i="2"/>
  <c r="R1282" i="2"/>
  <c r="S1280" i="2"/>
  <c r="T1280" i="2" s="1"/>
  <c r="R1280" i="2"/>
  <c r="S1279" i="2"/>
  <c r="T1279" i="2" s="1"/>
  <c r="U1279" i="2"/>
  <c r="R1279" i="2"/>
  <c r="R1277" i="2"/>
  <c r="S1276" i="2"/>
  <c r="T1276" i="2" s="1"/>
  <c r="R1275" i="2"/>
  <c r="U1275" i="2"/>
  <c r="S1275" i="2"/>
  <c r="T1275" i="2" s="1"/>
  <c r="S1274" i="2"/>
  <c r="T1274" i="2" s="1"/>
  <c r="R1274" i="2"/>
  <c r="U1272" i="2"/>
  <c r="S1269" i="2"/>
  <c r="T1269" i="2" s="1"/>
  <c r="U1269" i="2"/>
  <c r="U1268" i="2"/>
  <c r="R1268" i="2"/>
  <c r="S1268" i="2"/>
  <c r="T1268" i="2" s="1"/>
  <c r="S1267" i="2"/>
  <c r="T1267" i="2" s="1"/>
  <c r="R1267" i="2"/>
  <c r="S1264" i="2"/>
  <c r="T1264" i="2" s="1"/>
  <c r="U1264" i="2"/>
  <c r="R1264" i="2"/>
  <c r="S1263" i="2"/>
  <c r="T1263" i="2" s="1"/>
  <c r="U1263" i="2"/>
  <c r="R1263" i="2"/>
  <c r="S1262" i="2"/>
  <c r="T1262" i="2" s="1"/>
  <c r="R1260" i="2"/>
  <c r="R1259" i="2"/>
  <c r="U1259" i="2"/>
  <c r="S1256" i="2"/>
  <c r="T1256" i="2" s="1"/>
  <c r="S1254" i="2"/>
  <c r="T1254" i="2" s="1"/>
  <c r="R1254" i="2"/>
  <c r="R1253" i="2"/>
  <c r="U1251" i="2"/>
  <c r="U1249" i="2"/>
  <c r="R1249" i="2"/>
  <c r="S1249" i="2"/>
  <c r="T1249" i="2" s="1"/>
  <c r="U1245" i="2"/>
  <c r="S1245" i="2"/>
  <c r="T1245" i="2" s="1"/>
  <c r="R1245" i="2"/>
  <c r="R1243" i="2"/>
  <c r="R1241" i="2"/>
  <c r="U1241" i="2"/>
  <c r="S1241" i="2"/>
  <c r="T1241" i="2" s="1"/>
  <c r="R1240" i="2"/>
  <c r="U1240" i="2"/>
  <c r="S1240" i="2"/>
  <c r="T1240" i="2" s="1"/>
  <c r="R1237" i="2"/>
  <c r="S1237" i="2"/>
  <c r="T1237" i="2" s="1"/>
  <c r="R1236" i="2"/>
  <c r="R1233" i="2"/>
  <c r="S1233" i="2"/>
  <c r="T1233" i="2" s="1"/>
  <c r="U1233" i="2"/>
  <c r="U1232" i="2"/>
  <c r="S1232" i="2"/>
  <c r="T1232" i="2" s="1"/>
  <c r="R1232" i="2"/>
  <c r="U1231" i="2"/>
  <c r="R1229" i="2"/>
  <c r="U1229" i="2"/>
  <c r="R1227" i="2"/>
  <c r="U1227" i="2"/>
  <c r="S1227" i="2"/>
  <c r="T1227" i="2" s="1"/>
  <c r="S1225" i="2"/>
  <c r="T1225" i="2" s="1"/>
  <c r="U1225" i="2"/>
  <c r="S1224" i="2"/>
  <c r="T1224" i="2" s="1"/>
  <c r="R1224" i="2"/>
  <c r="U1224" i="2"/>
  <c r="S1223" i="2"/>
  <c r="T1223" i="2" s="1"/>
  <c r="U1223" i="2"/>
  <c r="R1223" i="2"/>
  <c r="R1221" i="2"/>
  <c r="U1221" i="2"/>
  <c r="U1220" i="2"/>
  <c r="R1220" i="2"/>
  <c r="U1219" i="2"/>
  <c r="S1219" i="2"/>
  <c r="T1219" i="2" s="1"/>
  <c r="R1219" i="2"/>
  <c r="U1217" i="2"/>
  <c r="R1217" i="2"/>
  <c r="S1217" i="2"/>
  <c r="T1217" i="2" s="1"/>
  <c r="S1216" i="2"/>
  <c r="T1216" i="2" s="1"/>
  <c r="R1216" i="2"/>
  <c r="S1215" i="2"/>
  <c r="T1215" i="2" s="1"/>
  <c r="S1213" i="2"/>
  <c r="T1213" i="2" s="1"/>
  <c r="R1213" i="2"/>
  <c r="U1209" i="2"/>
  <c r="S1209" i="2"/>
  <c r="T1209" i="2" s="1"/>
  <c r="R1209" i="2"/>
  <c r="U1208" i="2"/>
  <c r="R1208" i="2"/>
  <c r="S1207" i="2"/>
  <c r="T1207" i="2" s="1"/>
  <c r="U1205" i="2"/>
  <c r="S1205" i="2"/>
  <c r="T1205" i="2" s="1"/>
  <c r="S1204" i="2"/>
  <c r="T1204" i="2" s="1"/>
  <c r="U1204" i="2"/>
  <c r="R1202" i="2"/>
  <c r="U1202" i="2"/>
  <c r="R1201" i="2"/>
  <c r="U1201" i="2"/>
  <c r="U1199" i="2"/>
  <c r="S1199" i="2"/>
  <c r="T1199" i="2" s="1"/>
  <c r="S1198" i="2"/>
  <c r="T1198" i="2" s="1"/>
  <c r="R1197" i="2"/>
  <c r="U1197" i="2"/>
  <c r="S1197" i="2"/>
  <c r="T1197" i="2" s="1"/>
  <c r="R1196" i="2"/>
  <c r="U1193" i="2"/>
  <c r="S1193" i="2"/>
  <c r="T1193" i="2" s="1"/>
  <c r="R1193" i="2"/>
  <c r="U1189" i="2"/>
  <c r="S1189" i="2"/>
  <c r="T1189" i="2" s="1"/>
  <c r="R1189" i="2"/>
  <c r="R1184" i="2"/>
  <c r="U1184" i="2"/>
  <c r="S1184" i="2"/>
  <c r="T1184" i="2" s="1"/>
  <c r="R1183" i="2"/>
  <c r="S1183" i="2"/>
  <c r="T1183" i="2" s="1"/>
  <c r="U1181" i="2"/>
  <c r="S1181" i="2"/>
  <c r="T1181" i="2" s="1"/>
  <c r="U1179" i="2"/>
  <c r="S1179" i="2"/>
  <c r="T1179" i="2" s="1"/>
  <c r="R1179" i="2"/>
  <c r="U1178" i="2"/>
  <c r="R1177" i="2"/>
  <c r="U1177" i="2"/>
  <c r="S1176" i="2"/>
  <c r="T1176" i="2" s="1"/>
  <c r="S1174" i="2"/>
  <c r="T1174" i="2" s="1"/>
  <c r="R1174" i="2"/>
  <c r="S1172" i="2"/>
  <c r="T1172" i="2" s="1"/>
  <c r="S1171" i="2"/>
  <c r="T1171" i="2" s="1"/>
  <c r="U1169" i="2"/>
  <c r="R1169" i="2"/>
  <c r="U1167" i="2"/>
  <c r="S1167" i="2"/>
  <c r="T1167" i="2" s="1"/>
  <c r="R1167" i="2"/>
  <c r="W145" i="2" l="1"/>
  <c r="W143" i="2"/>
  <c r="W135" i="2"/>
  <c r="W130" i="2"/>
  <c r="S145" i="2" l="1"/>
  <c r="T145" i="2" s="1"/>
  <c r="R145" i="2"/>
  <c r="U145" i="2"/>
  <c r="R143" i="2"/>
  <c r="U143" i="2"/>
  <c r="S143" i="2"/>
  <c r="T143" i="2" s="1"/>
  <c r="R135" i="2"/>
  <c r="U135" i="2"/>
  <c r="S135" i="2"/>
  <c r="T135" i="2" s="1"/>
  <c r="S130" i="2"/>
  <c r="T130" i="2" s="1"/>
  <c r="R130" i="2"/>
  <c r="U130" i="2"/>
  <c r="K2" i="29"/>
  <c r="K3" i="29"/>
  <c r="K4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57" i="29"/>
  <c r="K258" i="29"/>
  <c r="K259" i="29"/>
  <c r="K260" i="29"/>
  <c r="K261" i="29"/>
  <c r="K262" i="29"/>
  <c r="K263" i="29"/>
  <c r="K264" i="29"/>
  <c r="K265" i="29"/>
  <c r="K26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K415" i="29"/>
  <c r="K416" i="29"/>
  <c r="K417" i="29"/>
  <c r="K418" i="29"/>
  <c r="K419" i="29"/>
  <c r="K420" i="29"/>
  <c r="K421" i="29"/>
  <c r="K422" i="29"/>
  <c r="K423" i="29"/>
  <c r="K424" i="29"/>
  <c r="K425" i="29"/>
  <c r="K426" i="29"/>
  <c r="K427" i="29"/>
  <c r="K428" i="29"/>
  <c r="K429" i="29"/>
  <c r="K430" i="29"/>
  <c r="K431" i="29"/>
  <c r="K432" i="29"/>
  <c r="K433" i="29"/>
  <c r="K434" i="29"/>
  <c r="K435" i="29"/>
  <c r="K436" i="29"/>
  <c r="K437" i="29"/>
  <c r="K438" i="29"/>
  <c r="K439" i="29"/>
  <c r="K440" i="29"/>
  <c r="K441" i="29"/>
  <c r="K442" i="29"/>
  <c r="K443" i="29"/>
  <c r="K444" i="29"/>
  <c r="K445" i="29"/>
  <c r="K446" i="29"/>
  <c r="K447" i="29"/>
  <c r="K448" i="29"/>
  <c r="K449" i="29"/>
  <c r="K450" i="29"/>
  <c r="K451" i="29"/>
  <c r="K452" i="29"/>
  <c r="K453" i="29"/>
  <c r="K454" i="29"/>
  <c r="K455" i="29"/>
  <c r="K456" i="29"/>
  <c r="K457" i="29"/>
  <c r="K458" i="29"/>
  <c r="K459" i="29"/>
  <c r="K460" i="29"/>
  <c r="K461" i="29"/>
  <c r="K462" i="29"/>
  <c r="K463" i="29"/>
  <c r="K464" i="29"/>
  <c r="K465" i="29"/>
  <c r="K466" i="29"/>
  <c r="K467" i="29"/>
  <c r="K468" i="29"/>
  <c r="K469" i="29"/>
  <c r="K470" i="29"/>
  <c r="K471" i="29"/>
  <c r="K472" i="29"/>
  <c r="K473" i="29"/>
  <c r="K474" i="29"/>
  <c r="K475" i="29"/>
  <c r="K476" i="29"/>
  <c r="K477" i="29"/>
  <c r="K478" i="29"/>
  <c r="K479" i="29"/>
  <c r="K480" i="29"/>
  <c r="K481" i="29"/>
  <c r="K482" i="29"/>
  <c r="K483" i="29"/>
  <c r="K484" i="29"/>
  <c r="K485" i="29"/>
  <c r="K486" i="29"/>
  <c r="K487" i="29"/>
  <c r="K488" i="29"/>
  <c r="K489" i="29"/>
  <c r="K490" i="29"/>
  <c r="K491" i="29"/>
  <c r="K492" i="29"/>
  <c r="K493" i="29"/>
  <c r="K494" i="29"/>
  <c r="K495" i="29"/>
  <c r="K496" i="29"/>
  <c r="K497" i="29"/>
  <c r="K498" i="29"/>
  <c r="K499" i="29"/>
  <c r="K500" i="29"/>
  <c r="K501" i="29"/>
  <c r="K502" i="29"/>
  <c r="K503" i="29"/>
  <c r="K504" i="29"/>
  <c r="K505" i="29"/>
  <c r="K506" i="29"/>
  <c r="K507" i="29"/>
  <c r="K508" i="29"/>
  <c r="K509" i="29"/>
  <c r="K510" i="29"/>
  <c r="K511" i="29"/>
  <c r="K512" i="29"/>
  <c r="K513" i="29"/>
  <c r="K514" i="29"/>
  <c r="K515" i="29"/>
  <c r="K516" i="29"/>
  <c r="K517" i="29"/>
  <c r="K518" i="29"/>
  <c r="K519" i="29"/>
  <c r="K520" i="29"/>
  <c r="K521" i="29"/>
  <c r="K522" i="29"/>
  <c r="K523" i="29"/>
  <c r="K524" i="29"/>
  <c r="K525" i="29"/>
  <c r="K526" i="29"/>
  <c r="K527" i="29"/>
  <c r="K528" i="29"/>
  <c r="K529" i="29"/>
  <c r="K530" i="29"/>
  <c r="K531" i="29"/>
  <c r="K532" i="29"/>
  <c r="K533" i="29"/>
  <c r="K534" i="29"/>
  <c r="K535" i="29"/>
  <c r="K536" i="29"/>
  <c r="K537" i="29"/>
  <c r="K538" i="29"/>
  <c r="K539" i="29"/>
  <c r="K540" i="29"/>
  <c r="K541" i="29"/>
  <c r="K542" i="29"/>
  <c r="K543" i="29"/>
  <c r="K544" i="29"/>
  <c r="K545" i="29"/>
  <c r="K546" i="29"/>
  <c r="K547" i="29"/>
  <c r="K548" i="29"/>
  <c r="K549" i="29"/>
  <c r="K550" i="29"/>
  <c r="K551" i="29"/>
  <c r="K552" i="29"/>
  <c r="K553" i="29"/>
  <c r="K554" i="29"/>
  <c r="K555" i="29"/>
  <c r="K556" i="29"/>
  <c r="K557" i="29"/>
  <c r="K558" i="29"/>
  <c r="K559" i="29"/>
  <c r="K560" i="29"/>
  <c r="K561" i="29"/>
  <c r="K562" i="29"/>
  <c r="K563" i="29"/>
  <c r="K564" i="29"/>
  <c r="K565" i="29"/>
  <c r="K566" i="29"/>
  <c r="K567" i="29"/>
  <c r="K568" i="29"/>
  <c r="K569" i="29"/>
  <c r="K570" i="29"/>
  <c r="K571" i="29"/>
  <c r="K572" i="29"/>
  <c r="K573" i="29"/>
  <c r="K574" i="29"/>
  <c r="K575" i="29"/>
  <c r="K576" i="29"/>
  <c r="K577" i="29"/>
  <c r="K578" i="29"/>
  <c r="K579" i="29"/>
  <c r="K580" i="29"/>
  <c r="K581" i="29"/>
  <c r="K582" i="29"/>
  <c r="K583" i="29"/>
  <c r="K584" i="29"/>
  <c r="K585" i="29"/>
  <c r="K586" i="29"/>
  <c r="K587" i="29"/>
  <c r="K588" i="29"/>
  <c r="K589" i="29"/>
  <c r="K590" i="29"/>
  <c r="K591" i="29"/>
  <c r="K592" i="29"/>
  <c r="K593" i="29"/>
  <c r="K594" i="29"/>
  <c r="K595" i="29"/>
  <c r="K596" i="29"/>
  <c r="K597" i="29"/>
  <c r="K598" i="29"/>
  <c r="K599" i="29"/>
  <c r="K600" i="29"/>
  <c r="K601" i="29"/>
  <c r="K602" i="29"/>
  <c r="K603" i="29"/>
  <c r="K604" i="29"/>
  <c r="K605" i="29"/>
  <c r="K606" i="29"/>
  <c r="K607" i="29"/>
  <c r="K608" i="29"/>
  <c r="K609" i="29"/>
  <c r="K610" i="29"/>
  <c r="K611" i="29"/>
  <c r="K612" i="29"/>
  <c r="K613" i="29"/>
  <c r="K614" i="29"/>
  <c r="K615" i="29"/>
  <c r="K616" i="29"/>
  <c r="K617" i="29"/>
  <c r="K618" i="29"/>
  <c r="K619" i="29"/>
  <c r="K620" i="29"/>
  <c r="K621" i="29"/>
  <c r="K622" i="29"/>
  <c r="K623" i="29"/>
  <c r="K624" i="29"/>
  <c r="K625" i="29"/>
  <c r="K626" i="29"/>
  <c r="K627" i="29"/>
  <c r="K628" i="29"/>
  <c r="K629" i="29"/>
  <c r="K630" i="29"/>
  <c r="K631" i="29"/>
  <c r="K632" i="29"/>
  <c r="K633" i="29"/>
  <c r="K634" i="29"/>
  <c r="K635" i="29"/>
  <c r="K636" i="29"/>
  <c r="K637" i="29"/>
  <c r="K638" i="29"/>
  <c r="K639" i="29"/>
  <c r="K640" i="29"/>
  <c r="K641" i="29"/>
  <c r="K642" i="29"/>
  <c r="K643" i="29"/>
  <c r="K644" i="29"/>
  <c r="K645" i="29"/>
  <c r="K646" i="29"/>
  <c r="K647" i="29"/>
  <c r="K648" i="29"/>
  <c r="K649" i="29"/>
  <c r="K650" i="29"/>
  <c r="K651" i="29"/>
  <c r="K652" i="29"/>
  <c r="K653" i="29"/>
  <c r="K654" i="29"/>
  <c r="K655" i="29"/>
  <c r="K656" i="29"/>
  <c r="K657" i="29"/>
  <c r="K658" i="29"/>
  <c r="K659" i="29"/>
  <c r="K660" i="29"/>
  <c r="K661" i="29"/>
  <c r="K662" i="29"/>
  <c r="K663" i="29"/>
  <c r="K664" i="29"/>
  <c r="K665" i="29"/>
  <c r="K666" i="29"/>
  <c r="K667" i="29"/>
  <c r="K668" i="29"/>
  <c r="K669" i="29"/>
  <c r="K670" i="29"/>
  <c r="K671" i="29"/>
  <c r="K672" i="29"/>
  <c r="J2" i="29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0" i="29"/>
  <c r="J111" i="29"/>
  <c r="J112" i="29"/>
  <c r="J113" i="29"/>
  <c r="J114" i="29"/>
  <c r="J115" i="29"/>
  <c r="J116" i="29"/>
  <c r="J117" i="29"/>
  <c r="J118" i="29"/>
  <c r="J119" i="29"/>
  <c r="J120" i="29"/>
  <c r="J121" i="29"/>
  <c r="J122" i="29"/>
  <c r="J123" i="29"/>
  <c r="J124" i="29"/>
  <c r="J125" i="29"/>
  <c r="J126" i="29"/>
  <c r="J127" i="29"/>
  <c r="J128" i="29"/>
  <c r="J129" i="29"/>
  <c r="J130" i="29"/>
  <c r="J131" i="29"/>
  <c r="J132" i="29"/>
  <c r="J133" i="29"/>
  <c r="J134" i="29"/>
  <c r="J135" i="29"/>
  <c r="J136" i="29"/>
  <c r="J137" i="29"/>
  <c r="J138" i="29"/>
  <c r="J139" i="29"/>
  <c r="J140" i="29"/>
  <c r="J141" i="29"/>
  <c r="J142" i="29"/>
  <c r="J143" i="29"/>
  <c r="J144" i="29"/>
  <c r="J145" i="29"/>
  <c r="J146" i="29"/>
  <c r="J147" i="29"/>
  <c r="J148" i="29"/>
  <c r="J149" i="29"/>
  <c r="J150" i="29"/>
  <c r="J151" i="29"/>
  <c r="J152" i="29"/>
  <c r="J153" i="29"/>
  <c r="J154" i="29"/>
  <c r="J155" i="29"/>
  <c r="J156" i="29"/>
  <c r="J157" i="29"/>
  <c r="J158" i="29"/>
  <c r="J159" i="29"/>
  <c r="J160" i="29"/>
  <c r="J161" i="29"/>
  <c r="J162" i="29"/>
  <c r="J163" i="29"/>
  <c r="J164" i="29"/>
  <c r="J165" i="29"/>
  <c r="J166" i="29"/>
  <c r="J167" i="29"/>
  <c r="J168" i="29"/>
  <c r="J169" i="29"/>
  <c r="J170" i="29"/>
  <c r="J171" i="29"/>
  <c r="J172" i="29"/>
  <c r="J173" i="29"/>
  <c r="J174" i="29"/>
  <c r="J175" i="29"/>
  <c r="J176" i="29"/>
  <c r="J177" i="29"/>
  <c r="J178" i="29"/>
  <c r="J179" i="29"/>
  <c r="J180" i="29"/>
  <c r="J181" i="29"/>
  <c r="J182" i="29"/>
  <c r="J183" i="29"/>
  <c r="J184" i="29"/>
  <c r="J185" i="29"/>
  <c r="J186" i="29"/>
  <c r="J187" i="29"/>
  <c r="J188" i="29"/>
  <c r="J189" i="29"/>
  <c r="J190" i="29"/>
  <c r="J191" i="29"/>
  <c r="J192" i="29"/>
  <c r="J193" i="29"/>
  <c r="J194" i="29"/>
  <c r="J195" i="29"/>
  <c r="J196" i="29"/>
  <c r="J197" i="29"/>
  <c r="J198" i="29"/>
  <c r="J199" i="29"/>
  <c r="J200" i="29"/>
  <c r="J201" i="29"/>
  <c r="J202" i="29"/>
  <c r="J203" i="29"/>
  <c r="J204" i="29"/>
  <c r="J205" i="29"/>
  <c r="J206" i="29"/>
  <c r="J207" i="29"/>
  <c r="J208" i="29"/>
  <c r="J209" i="29"/>
  <c r="J210" i="29"/>
  <c r="J211" i="29"/>
  <c r="J212" i="29"/>
  <c r="J213" i="29"/>
  <c r="J214" i="29"/>
  <c r="J215" i="29"/>
  <c r="J216" i="29"/>
  <c r="J217" i="29"/>
  <c r="J218" i="29"/>
  <c r="J219" i="29"/>
  <c r="J220" i="29"/>
  <c r="J221" i="29"/>
  <c r="J222" i="29"/>
  <c r="J223" i="29"/>
  <c r="J224" i="29"/>
  <c r="J225" i="29"/>
  <c r="J226" i="29"/>
  <c r="J227" i="29"/>
  <c r="J228" i="29"/>
  <c r="J229" i="29"/>
  <c r="J230" i="29"/>
  <c r="J231" i="29"/>
  <c r="J232" i="29"/>
  <c r="J233" i="29"/>
  <c r="J234" i="29"/>
  <c r="J235" i="29"/>
  <c r="J236" i="29"/>
  <c r="J237" i="29"/>
  <c r="J238" i="29"/>
  <c r="J239" i="29"/>
  <c r="J240" i="29"/>
  <c r="J241" i="29"/>
  <c r="J242" i="29"/>
  <c r="J243" i="29"/>
  <c r="J244" i="29"/>
  <c r="J245" i="29"/>
  <c r="J246" i="29"/>
  <c r="J247" i="29"/>
  <c r="J248" i="29"/>
  <c r="J249" i="29"/>
  <c r="J250" i="29"/>
  <c r="J251" i="29"/>
  <c r="J252" i="29"/>
  <c r="J253" i="29"/>
  <c r="J254" i="29"/>
  <c r="J255" i="29"/>
  <c r="J256" i="29"/>
  <c r="J257" i="29"/>
  <c r="J258" i="29"/>
  <c r="J259" i="29"/>
  <c r="J260" i="29"/>
  <c r="J261" i="29"/>
  <c r="J262" i="29"/>
  <c r="J263" i="29"/>
  <c r="J264" i="29"/>
  <c r="J265" i="29"/>
  <c r="J266" i="29"/>
  <c r="J267" i="29"/>
  <c r="J268" i="29"/>
  <c r="J269" i="29"/>
  <c r="J270" i="29"/>
  <c r="J271" i="29"/>
  <c r="J272" i="29"/>
  <c r="J273" i="29"/>
  <c r="J274" i="29"/>
  <c r="J275" i="29"/>
  <c r="J276" i="29"/>
  <c r="J277" i="29"/>
  <c r="J278" i="29"/>
  <c r="J279" i="29"/>
  <c r="J280" i="29"/>
  <c r="J281" i="29"/>
  <c r="J282" i="29"/>
  <c r="J283" i="29"/>
  <c r="J284" i="29"/>
  <c r="J285" i="29"/>
  <c r="J286" i="29"/>
  <c r="J287" i="29"/>
  <c r="J288" i="29"/>
  <c r="J289" i="29"/>
  <c r="J290" i="29"/>
  <c r="J291" i="29"/>
  <c r="J292" i="29"/>
  <c r="J293" i="29"/>
  <c r="J294" i="29"/>
  <c r="J295" i="29"/>
  <c r="J296" i="29"/>
  <c r="J297" i="29"/>
  <c r="J298" i="29"/>
  <c r="J299" i="29"/>
  <c r="J300" i="29"/>
  <c r="J301" i="29"/>
  <c r="J302" i="29"/>
  <c r="J303" i="29"/>
  <c r="J304" i="29"/>
  <c r="J305" i="29"/>
  <c r="J306" i="29"/>
  <c r="J307" i="29"/>
  <c r="J308" i="29"/>
  <c r="J309" i="29"/>
  <c r="J310" i="29"/>
  <c r="J311" i="29"/>
  <c r="J312" i="29"/>
  <c r="J313" i="29"/>
  <c r="J314" i="29"/>
  <c r="J315" i="29"/>
  <c r="J316" i="29"/>
  <c r="J317" i="29"/>
  <c r="J318" i="29"/>
  <c r="J319" i="29"/>
  <c r="J320" i="29"/>
  <c r="J321" i="29"/>
  <c r="J322" i="29"/>
  <c r="J323" i="29"/>
  <c r="J324" i="29"/>
  <c r="J325" i="29"/>
  <c r="J326" i="29"/>
  <c r="J327" i="29"/>
  <c r="J328" i="29"/>
  <c r="J329" i="29"/>
  <c r="J330" i="29"/>
  <c r="J331" i="29"/>
  <c r="J332" i="29"/>
  <c r="J333" i="29"/>
  <c r="J334" i="29"/>
  <c r="J335" i="29"/>
  <c r="J336" i="29"/>
  <c r="J337" i="29"/>
  <c r="J338" i="29"/>
  <c r="J339" i="29"/>
  <c r="J340" i="29"/>
  <c r="J341" i="29"/>
  <c r="J342" i="29"/>
  <c r="J343" i="29"/>
  <c r="J344" i="29"/>
  <c r="J345" i="29"/>
  <c r="J346" i="29"/>
  <c r="J347" i="29"/>
  <c r="J348" i="29"/>
  <c r="J349" i="29"/>
  <c r="J350" i="29"/>
  <c r="J351" i="29"/>
  <c r="J352" i="29"/>
  <c r="J353" i="29"/>
  <c r="J354" i="29"/>
  <c r="J355" i="29"/>
  <c r="J356" i="29"/>
  <c r="J357" i="29"/>
  <c r="J358" i="29"/>
  <c r="J359" i="29"/>
  <c r="J360" i="29"/>
  <c r="J361" i="29"/>
  <c r="J362" i="29"/>
  <c r="J363" i="29"/>
  <c r="J364" i="29"/>
  <c r="J365" i="29"/>
  <c r="J366" i="29"/>
  <c r="J367" i="29"/>
  <c r="J368" i="29"/>
  <c r="J369" i="29"/>
  <c r="J370" i="29"/>
  <c r="J371" i="29"/>
  <c r="J372" i="29"/>
  <c r="J373" i="29"/>
  <c r="J374" i="29"/>
  <c r="J375" i="29"/>
  <c r="J376" i="29"/>
  <c r="J377" i="29"/>
  <c r="J378" i="29"/>
  <c r="J379" i="29"/>
  <c r="J380" i="29"/>
  <c r="J381" i="29"/>
  <c r="J382" i="29"/>
  <c r="J383" i="29"/>
  <c r="J384" i="29"/>
  <c r="J385" i="29"/>
  <c r="J386" i="29"/>
  <c r="J387" i="29"/>
  <c r="J388" i="29"/>
  <c r="J389" i="29"/>
  <c r="J390" i="29"/>
  <c r="J391" i="29"/>
  <c r="J392" i="29"/>
  <c r="J393" i="29"/>
  <c r="J394" i="29"/>
  <c r="J395" i="29"/>
  <c r="J396" i="29"/>
  <c r="J397" i="29"/>
  <c r="J398" i="29"/>
  <c r="J399" i="29"/>
  <c r="J400" i="29"/>
  <c r="J401" i="29"/>
  <c r="J402" i="29"/>
  <c r="J403" i="29"/>
  <c r="J404" i="29"/>
  <c r="J405" i="29"/>
  <c r="J406" i="29"/>
  <c r="J407" i="29"/>
  <c r="J408" i="29"/>
  <c r="J409" i="29"/>
  <c r="J410" i="29"/>
  <c r="J411" i="29"/>
  <c r="J412" i="29"/>
  <c r="J413" i="29"/>
  <c r="J414" i="29"/>
  <c r="J415" i="29"/>
  <c r="J416" i="29"/>
  <c r="J417" i="29"/>
  <c r="J418" i="29"/>
  <c r="J419" i="29"/>
  <c r="J420" i="29"/>
  <c r="J421" i="29"/>
  <c r="J422" i="29"/>
  <c r="J423" i="29"/>
  <c r="J424" i="29"/>
  <c r="J425" i="29"/>
  <c r="J426" i="29"/>
  <c r="J427" i="29"/>
  <c r="J428" i="29"/>
  <c r="J429" i="29"/>
  <c r="J430" i="29"/>
  <c r="J431" i="29"/>
  <c r="J432" i="29"/>
  <c r="J433" i="29"/>
  <c r="J434" i="29"/>
  <c r="J435" i="29"/>
  <c r="J436" i="29"/>
  <c r="J437" i="29"/>
  <c r="J438" i="29"/>
  <c r="J439" i="29"/>
  <c r="J440" i="29"/>
  <c r="J441" i="29"/>
  <c r="J442" i="29"/>
  <c r="J443" i="29"/>
  <c r="J444" i="29"/>
  <c r="J445" i="29"/>
  <c r="J446" i="29"/>
  <c r="J447" i="29"/>
  <c r="J448" i="29"/>
  <c r="J449" i="29"/>
  <c r="J450" i="29"/>
  <c r="J451" i="29"/>
  <c r="J452" i="29"/>
  <c r="J453" i="29"/>
  <c r="J454" i="29"/>
  <c r="J455" i="29"/>
  <c r="J456" i="29"/>
  <c r="J457" i="29"/>
  <c r="J458" i="29"/>
  <c r="J459" i="29"/>
  <c r="J460" i="29"/>
  <c r="J461" i="29"/>
  <c r="J462" i="29"/>
  <c r="J463" i="29"/>
  <c r="J464" i="29"/>
  <c r="J465" i="29"/>
  <c r="J466" i="29"/>
  <c r="J467" i="29"/>
  <c r="J468" i="29"/>
  <c r="J469" i="29"/>
  <c r="J470" i="29"/>
  <c r="J471" i="29"/>
  <c r="J472" i="29"/>
  <c r="J473" i="29"/>
  <c r="J474" i="29"/>
  <c r="J475" i="29"/>
  <c r="J476" i="29"/>
  <c r="J477" i="29"/>
  <c r="J478" i="29"/>
  <c r="J479" i="29"/>
  <c r="J480" i="29"/>
  <c r="J481" i="29"/>
  <c r="J482" i="29"/>
  <c r="J483" i="29"/>
  <c r="J484" i="29"/>
  <c r="J485" i="29"/>
  <c r="J486" i="29"/>
  <c r="J487" i="29"/>
  <c r="J488" i="29"/>
  <c r="J489" i="29"/>
  <c r="J490" i="29"/>
  <c r="J491" i="29"/>
  <c r="J492" i="29"/>
  <c r="J493" i="29"/>
  <c r="J494" i="29"/>
  <c r="J495" i="29"/>
  <c r="J496" i="29"/>
  <c r="J497" i="29"/>
  <c r="J498" i="29"/>
  <c r="J499" i="29"/>
  <c r="J500" i="29"/>
  <c r="J501" i="29"/>
  <c r="J502" i="29"/>
  <c r="J503" i="29"/>
  <c r="J504" i="29"/>
  <c r="J505" i="29"/>
  <c r="J506" i="29"/>
  <c r="J507" i="29"/>
  <c r="J508" i="29"/>
  <c r="J509" i="29"/>
  <c r="J510" i="29"/>
  <c r="J511" i="29"/>
  <c r="J512" i="29"/>
  <c r="J513" i="29"/>
  <c r="J514" i="29"/>
  <c r="J515" i="29"/>
  <c r="J516" i="29"/>
  <c r="J517" i="29"/>
  <c r="J518" i="29"/>
  <c r="J519" i="29"/>
  <c r="J520" i="29"/>
  <c r="J521" i="29"/>
  <c r="J522" i="29"/>
  <c r="J523" i="29"/>
  <c r="J524" i="29"/>
  <c r="J525" i="29"/>
  <c r="J526" i="29"/>
  <c r="J527" i="29"/>
  <c r="J528" i="29"/>
  <c r="J529" i="29"/>
  <c r="J530" i="29"/>
  <c r="J531" i="29"/>
  <c r="J532" i="29"/>
  <c r="J533" i="29"/>
  <c r="J534" i="29"/>
  <c r="J535" i="29"/>
  <c r="J536" i="29"/>
  <c r="J537" i="29"/>
  <c r="J538" i="29"/>
  <c r="J539" i="29"/>
  <c r="J540" i="29"/>
  <c r="J541" i="29"/>
  <c r="J542" i="29"/>
  <c r="J543" i="29"/>
  <c r="J544" i="29"/>
  <c r="J545" i="29"/>
  <c r="J546" i="29"/>
  <c r="J547" i="29"/>
  <c r="J548" i="29"/>
  <c r="J549" i="29"/>
  <c r="J550" i="29"/>
  <c r="J551" i="29"/>
  <c r="J552" i="29"/>
  <c r="J553" i="29"/>
  <c r="J554" i="29"/>
  <c r="J555" i="29"/>
  <c r="J556" i="29"/>
  <c r="J557" i="29"/>
  <c r="J558" i="29"/>
  <c r="J559" i="29"/>
  <c r="J560" i="29"/>
  <c r="J561" i="29"/>
  <c r="J562" i="29"/>
  <c r="J563" i="29"/>
  <c r="J564" i="29"/>
  <c r="J565" i="29"/>
  <c r="J566" i="29"/>
  <c r="J567" i="29"/>
  <c r="J568" i="29"/>
  <c r="J569" i="29"/>
  <c r="J570" i="29"/>
  <c r="J571" i="29"/>
  <c r="J572" i="29"/>
  <c r="J573" i="29"/>
  <c r="J574" i="29"/>
  <c r="J575" i="29"/>
  <c r="J576" i="29"/>
  <c r="J577" i="29"/>
  <c r="J578" i="29"/>
  <c r="J579" i="29"/>
  <c r="J580" i="29"/>
  <c r="J581" i="29"/>
  <c r="J582" i="29"/>
  <c r="J583" i="29"/>
  <c r="J584" i="29"/>
  <c r="J585" i="29"/>
  <c r="J586" i="29"/>
  <c r="J587" i="29"/>
  <c r="J588" i="29"/>
  <c r="J589" i="29"/>
  <c r="J590" i="29"/>
  <c r="J591" i="29"/>
  <c r="J592" i="29"/>
  <c r="J593" i="29"/>
  <c r="J594" i="29"/>
  <c r="J595" i="29"/>
  <c r="J596" i="29"/>
  <c r="J597" i="29"/>
  <c r="J598" i="29"/>
  <c r="J599" i="29"/>
  <c r="J600" i="29"/>
  <c r="J601" i="29"/>
  <c r="J602" i="29"/>
  <c r="J603" i="29"/>
  <c r="J604" i="29"/>
  <c r="J605" i="29"/>
  <c r="J606" i="29"/>
  <c r="J607" i="29"/>
  <c r="J608" i="29"/>
  <c r="J609" i="29"/>
  <c r="J610" i="29"/>
  <c r="J611" i="29"/>
  <c r="J612" i="29"/>
  <c r="J613" i="29"/>
  <c r="J614" i="29"/>
  <c r="J615" i="29"/>
  <c r="J616" i="29"/>
  <c r="J617" i="29"/>
  <c r="J618" i="29"/>
  <c r="J619" i="29"/>
  <c r="J620" i="29"/>
  <c r="J621" i="29"/>
  <c r="J622" i="29"/>
  <c r="J623" i="29"/>
  <c r="J624" i="29"/>
  <c r="J625" i="29"/>
  <c r="J626" i="29"/>
  <c r="J627" i="29"/>
  <c r="J628" i="29"/>
  <c r="J629" i="29"/>
  <c r="J630" i="29"/>
  <c r="J631" i="29"/>
  <c r="J632" i="29"/>
  <c r="J633" i="29"/>
  <c r="J634" i="29"/>
  <c r="J635" i="29"/>
  <c r="J636" i="29"/>
  <c r="J637" i="29"/>
  <c r="J638" i="29"/>
  <c r="J639" i="29"/>
  <c r="J640" i="29"/>
  <c r="J641" i="29"/>
  <c r="J642" i="29"/>
  <c r="J643" i="29"/>
  <c r="J644" i="29"/>
  <c r="J645" i="29"/>
  <c r="J646" i="29"/>
  <c r="J647" i="29"/>
  <c r="J648" i="29"/>
  <c r="J649" i="29"/>
  <c r="J650" i="29"/>
  <c r="J651" i="29"/>
  <c r="J652" i="29"/>
  <c r="J653" i="29"/>
  <c r="J654" i="29"/>
  <c r="J655" i="29"/>
  <c r="J656" i="29"/>
  <c r="J657" i="29"/>
  <c r="J658" i="29"/>
  <c r="J659" i="29"/>
  <c r="J660" i="29"/>
  <c r="J661" i="29"/>
  <c r="J662" i="29"/>
  <c r="J663" i="29"/>
  <c r="J664" i="29"/>
  <c r="J665" i="29"/>
  <c r="J666" i="29"/>
  <c r="J667" i="29"/>
  <c r="J668" i="29"/>
  <c r="J669" i="29"/>
  <c r="J670" i="29"/>
  <c r="J671" i="29"/>
  <c r="J672" i="29"/>
  <c r="I2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I415" i="29"/>
  <c r="I416" i="29"/>
  <c r="I417" i="29"/>
  <c r="I418" i="29"/>
  <c r="I419" i="29"/>
  <c r="I420" i="29"/>
  <c r="I421" i="29"/>
  <c r="I422" i="29"/>
  <c r="I423" i="29"/>
  <c r="I424" i="29"/>
  <c r="I425" i="29"/>
  <c r="I426" i="29"/>
  <c r="I427" i="29"/>
  <c r="I428" i="29"/>
  <c r="I429" i="29"/>
  <c r="I430" i="29"/>
  <c r="I431" i="29"/>
  <c r="I432" i="29"/>
  <c r="I433" i="29"/>
  <c r="I434" i="29"/>
  <c r="I435" i="29"/>
  <c r="I436" i="29"/>
  <c r="I437" i="29"/>
  <c r="I438" i="29"/>
  <c r="I439" i="29"/>
  <c r="I440" i="29"/>
  <c r="I441" i="29"/>
  <c r="I442" i="29"/>
  <c r="I443" i="29"/>
  <c r="I444" i="29"/>
  <c r="I445" i="29"/>
  <c r="I446" i="29"/>
  <c r="I447" i="29"/>
  <c r="I448" i="29"/>
  <c r="I449" i="29"/>
  <c r="I450" i="29"/>
  <c r="I451" i="29"/>
  <c r="I452" i="29"/>
  <c r="I453" i="29"/>
  <c r="I454" i="29"/>
  <c r="I455" i="29"/>
  <c r="I456" i="29"/>
  <c r="I457" i="29"/>
  <c r="I458" i="29"/>
  <c r="I459" i="29"/>
  <c r="I460" i="29"/>
  <c r="I461" i="29"/>
  <c r="I462" i="29"/>
  <c r="I463" i="29"/>
  <c r="I464" i="29"/>
  <c r="I465" i="29"/>
  <c r="I466" i="29"/>
  <c r="I467" i="29"/>
  <c r="I468" i="29"/>
  <c r="I469" i="29"/>
  <c r="I470" i="29"/>
  <c r="I471" i="29"/>
  <c r="I472" i="29"/>
  <c r="I473" i="29"/>
  <c r="I474" i="29"/>
  <c r="I475" i="29"/>
  <c r="I476" i="29"/>
  <c r="I477" i="29"/>
  <c r="I478" i="29"/>
  <c r="I479" i="29"/>
  <c r="I480" i="29"/>
  <c r="I481" i="29"/>
  <c r="I482" i="29"/>
  <c r="I483" i="29"/>
  <c r="I484" i="29"/>
  <c r="I485" i="29"/>
  <c r="I486" i="29"/>
  <c r="I487" i="29"/>
  <c r="I488" i="29"/>
  <c r="I489" i="29"/>
  <c r="I490" i="29"/>
  <c r="I491" i="29"/>
  <c r="I492" i="29"/>
  <c r="I493" i="29"/>
  <c r="I494" i="29"/>
  <c r="I495" i="29"/>
  <c r="I496" i="29"/>
  <c r="I497" i="29"/>
  <c r="I498" i="29"/>
  <c r="I499" i="29"/>
  <c r="I500" i="29"/>
  <c r="I501" i="29"/>
  <c r="I502" i="29"/>
  <c r="I503" i="29"/>
  <c r="I504" i="29"/>
  <c r="I505" i="29"/>
  <c r="I506" i="29"/>
  <c r="I507" i="29"/>
  <c r="I508" i="29"/>
  <c r="I509" i="29"/>
  <c r="I510" i="29"/>
  <c r="I511" i="29"/>
  <c r="I512" i="29"/>
  <c r="I513" i="29"/>
  <c r="I514" i="29"/>
  <c r="I515" i="29"/>
  <c r="I516" i="29"/>
  <c r="I517" i="29"/>
  <c r="I518" i="29"/>
  <c r="I519" i="29"/>
  <c r="I520" i="29"/>
  <c r="I521" i="29"/>
  <c r="I522" i="29"/>
  <c r="I523" i="29"/>
  <c r="I524" i="29"/>
  <c r="I525" i="29"/>
  <c r="I526" i="29"/>
  <c r="I527" i="29"/>
  <c r="I528" i="29"/>
  <c r="I529" i="29"/>
  <c r="I530" i="29"/>
  <c r="I531" i="29"/>
  <c r="I532" i="29"/>
  <c r="I533" i="29"/>
  <c r="I534" i="29"/>
  <c r="I535" i="29"/>
  <c r="I536" i="29"/>
  <c r="I537" i="29"/>
  <c r="I538" i="29"/>
  <c r="I539" i="29"/>
  <c r="I540" i="29"/>
  <c r="I541" i="29"/>
  <c r="I542" i="29"/>
  <c r="I543" i="29"/>
  <c r="I544" i="29"/>
  <c r="I545" i="29"/>
  <c r="I546" i="29"/>
  <c r="I547" i="29"/>
  <c r="I548" i="29"/>
  <c r="I549" i="29"/>
  <c r="I550" i="29"/>
  <c r="I551" i="29"/>
  <c r="I552" i="29"/>
  <c r="I553" i="29"/>
  <c r="I554" i="29"/>
  <c r="I555" i="29"/>
  <c r="I556" i="29"/>
  <c r="I557" i="29"/>
  <c r="I558" i="29"/>
  <c r="I559" i="29"/>
  <c r="I560" i="29"/>
  <c r="I561" i="29"/>
  <c r="I562" i="29"/>
  <c r="I563" i="29"/>
  <c r="I564" i="29"/>
  <c r="I565" i="29"/>
  <c r="I566" i="29"/>
  <c r="I567" i="29"/>
  <c r="I568" i="29"/>
  <c r="I569" i="29"/>
  <c r="I570" i="29"/>
  <c r="I571" i="29"/>
  <c r="I572" i="29"/>
  <c r="I573" i="29"/>
  <c r="I574" i="29"/>
  <c r="I575" i="29"/>
  <c r="I576" i="29"/>
  <c r="I577" i="29"/>
  <c r="I578" i="29"/>
  <c r="I579" i="29"/>
  <c r="I580" i="29"/>
  <c r="I581" i="29"/>
  <c r="I582" i="29"/>
  <c r="I583" i="29"/>
  <c r="I584" i="29"/>
  <c r="I585" i="29"/>
  <c r="I586" i="29"/>
  <c r="I587" i="29"/>
  <c r="I588" i="29"/>
  <c r="I589" i="29"/>
  <c r="I590" i="29"/>
  <c r="I591" i="29"/>
  <c r="I592" i="29"/>
  <c r="I593" i="29"/>
  <c r="I594" i="29"/>
  <c r="I595" i="29"/>
  <c r="I596" i="29"/>
  <c r="I597" i="29"/>
  <c r="I598" i="29"/>
  <c r="I599" i="29"/>
  <c r="I600" i="29"/>
  <c r="I601" i="29"/>
  <c r="I602" i="29"/>
  <c r="I603" i="29"/>
  <c r="I604" i="29"/>
  <c r="I605" i="29"/>
  <c r="I606" i="29"/>
  <c r="I607" i="29"/>
  <c r="I608" i="29"/>
  <c r="I609" i="29"/>
  <c r="I610" i="29"/>
  <c r="I611" i="29"/>
  <c r="I612" i="29"/>
  <c r="I613" i="29"/>
  <c r="I614" i="29"/>
  <c r="I615" i="29"/>
  <c r="I616" i="29"/>
  <c r="I617" i="29"/>
  <c r="I618" i="29"/>
  <c r="I619" i="29"/>
  <c r="I620" i="29"/>
  <c r="I621" i="29"/>
  <c r="I622" i="29"/>
  <c r="I623" i="29"/>
  <c r="I624" i="29"/>
  <c r="I625" i="29"/>
  <c r="I626" i="29"/>
  <c r="I627" i="29"/>
  <c r="I628" i="29"/>
  <c r="I629" i="29"/>
  <c r="I630" i="29"/>
  <c r="I631" i="29"/>
  <c r="I632" i="29"/>
  <c r="I633" i="29"/>
  <c r="I634" i="29"/>
  <c r="I635" i="29"/>
  <c r="I636" i="29"/>
  <c r="I637" i="29"/>
  <c r="I638" i="29"/>
  <c r="I639" i="29"/>
  <c r="I640" i="29"/>
  <c r="I641" i="29"/>
  <c r="I642" i="29"/>
  <c r="I643" i="29"/>
  <c r="I644" i="29"/>
  <c r="I645" i="29"/>
  <c r="I646" i="29"/>
  <c r="I647" i="29"/>
  <c r="I648" i="29"/>
  <c r="I649" i="29"/>
  <c r="I650" i="29"/>
  <c r="I651" i="29"/>
  <c r="I652" i="29"/>
  <c r="I653" i="29"/>
  <c r="I654" i="29"/>
  <c r="I655" i="29"/>
  <c r="I656" i="29"/>
  <c r="I657" i="29"/>
  <c r="I658" i="29"/>
  <c r="I659" i="29"/>
  <c r="I660" i="29"/>
  <c r="I661" i="29"/>
  <c r="I662" i="29"/>
  <c r="I663" i="29"/>
  <c r="I664" i="29"/>
  <c r="I665" i="29"/>
  <c r="I666" i="29"/>
  <c r="I667" i="29"/>
  <c r="I668" i="29"/>
  <c r="I669" i="29"/>
  <c r="I670" i="29"/>
  <c r="I671" i="29"/>
  <c r="I672" i="29"/>
  <c r="H2" i="29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H156" i="29"/>
  <c r="H157" i="29"/>
  <c r="H158" i="29"/>
  <c r="H159" i="29"/>
  <c r="H160" i="29"/>
  <c r="H161" i="29"/>
  <c r="H162" i="29"/>
  <c r="H163" i="29"/>
  <c r="H164" i="29"/>
  <c r="H165" i="29"/>
  <c r="H166" i="29"/>
  <c r="H167" i="29"/>
  <c r="H168" i="29"/>
  <c r="H169" i="29"/>
  <c r="H170" i="29"/>
  <c r="H171" i="29"/>
  <c r="H172" i="29"/>
  <c r="H173" i="29"/>
  <c r="H174" i="29"/>
  <c r="H175" i="29"/>
  <c r="H176" i="29"/>
  <c r="H177" i="29"/>
  <c r="H178" i="29"/>
  <c r="H179" i="29"/>
  <c r="H180" i="29"/>
  <c r="H181" i="29"/>
  <c r="H182" i="29"/>
  <c r="H183" i="29"/>
  <c r="H184" i="29"/>
  <c r="H185" i="29"/>
  <c r="H186" i="29"/>
  <c r="H187" i="29"/>
  <c r="H188" i="29"/>
  <c r="H189" i="29"/>
  <c r="H190" i="29"/>
  <c r="H191" i="29"/>
  <c r="H192" i="29"/>
  <c r="H193" i="29"/>
  <c r="H194" i="29"/>
  <c r="H195" i="29"/>
  <c r="H196" i="29"/>
  <c r="H197" i="29"/>
  <c r="H198" i="29"/>
  <c r="H199" i="29"/>
  <c r="H200" i="29"/>
  <c r="H201" i="29"/>
  <c r="H202" i="29"/>
  <c r="H203" i="29"/>
  <c r="H204" i="29"/>
  <c r="H205" i="29"/>
  <c r="H206" i="29"/>
  <c r="H207" i="29"/>
  <c r="H208" i="29"/>
  <c r="H209" i="29"/>
  <c r="H210" i="29"/>
  <c r="H211" i="29"/>
  <c r="H212" i="29"/>
  <c r="H213" i="29"/>
  <c r="H214" i="29"/>
  <c r="H215" i="29"/>
  <c r="H216" i="29"/>
  <c r="H217" i="29"/>
  <c r="H218" i="29"/>
  <c r="H219" i="29"/>
  <c r="H220" i="29"/>
  <c r="H221" i="29"/>
  <c r="H222" i="29"/>
  <c r="H223" i="29"/>
  <c r="H224" i="29"/>
  <c r="H225" i="29"/>
  <c r="H226" i="29"/>
  <c r="H227" i="29"/>
  <c r="H228" i="29"/>
  <c r="H229" i="29"/>
  <c r="H230" i="29"/>
  <c r="H231" i="29"/>
  <c r="H232" i="29"/>
  <c r="H233" i="29"/>
  <c r="H234" i="29"/>
  <c r="H235" i="29"/>
  <c r="H236" i="29"/>
  <c r="H237" i="29"/>
  <c r="H238" i="29"/>
  <c r="H239" i="29"/>
  <c r="H240" i="29"/>
  <c r="H241" i="29"/>
  <c r="H242" i="29"/>
  <c r="H243" i="29"/>
  <c r="H244" i="29"/>
  <c r="H245" i="29"/>
  <c r="H246" i="29"/>
  <c r="H247" i="29"/>
  <c r="H248" i="29"/>
  <c r="H249" i="29"/>
  <c r="H250" i="29"/>
  <c r="H251" i="29"/>
  <c r="H252" i="29"/>
  <c r="H253" i="29"/>
  <c r="H254" i="29"/>
  <c r="H255" i="29"/>
  <c r="H256" i="29"/>
  <c r="H257" i="29"/>
  <c r="H258" i="29"/>
  <c r="H259" i="29"/>
  <c r="H260" i="29"/>
  <c r="H261" i="29"/>
  <c r="H262" i="29"/>
  <c r="H263" i="29"/>
  <c r="H264" i="29"/>
  <c r="H265" i="29"/>
  <c r="H266" i="29"/>
  <c r="H267" i="29"/>
  <c r="H268" i="29"/>
  <c r="H269" i="29"/>
  <c r="H270" i="29"/>
  <c r="H271" i="29"/>
  <c r="H272" i="29"/>
  <c r="H273" i="29"/>
  <c r="H274" i="29"/>
  <c r="H275" i="29"/>
  <c r="H276" i="29"/>
  <c r="H277" i="29"/>
  <c r="H278" i="29"/>
  <c r="H279" i="29"/>
  <c r="H280" i="29"/>
  <c r="H281" i="29"/>
  <c r="H282" i="29"/>
  <c r="H283" i="29"/>
  <c r="H284" i="29"/>
  <c r="H285" i="29"/>
  <c r="H286" i="29"/>
  <c r="H287" i="29"/>
  <c r="H288" i="29"/>
  <c r="H289" i="29"/>
  <c r="H290" i="29"/>
  <c r="H291" i="29"/>
  <c r="H292" i="29"/>
  <c r="H293" i="29"/>
  <c r="H294" i="29"/>
  <c r="H295" i="29"/>
  <c r="H296" i="29"/>
  <c r="H297" i="29"/>
  <c r="H298" i="29"/>
  <c r="H299" i="29"/>
  <c r="H300" i="29"/>
  <c r="H301" i="29"/>
  <c r="H302" i="29"/>
  <c r="H303" i="29"/>
  <c r="H304" i="29"/>
  <c r="H305" i="29"/>
  <c r="H306" i="29"/>
  <c r="H307" i="29"/>
  <c r="H308" i="29"/>
  <c r="H309" i="29"/>
  <c r="H310" i="29"/>
  <c r="H311" i="29"/>
  <c r="H312" i="29"/>
  <c r="H313" i="29"/>
  <c r="H314" i="29"/>
  <c r="H315" i="29"/>
  <c r="H316" i="29"/>
  <c r="H317" i="29"/>
  <c r="H318" i="29"/>
  <c r="H319" i="29"/>
  <c r="H320" i="29"/>
  <c r="H321" i="29"/>
  <c r="H322" i="29"/>
  <c r="H323" i="29"/>
  <c r="H324" i="29"/>
  <c r="H325" i="29"/>
  <c r="H326" i="29"/>
  <c r="H327" i="29"/>
  <c r="H328" i="29"/>
  <c r="H329" i="29"/>
  <c r="H330" i="29"/>
  <c r="H331" i="29"/>
  <c r="H332" i="29"/>
  <c r="H333" i="29"/>
  <c r="H334" i="29"/>
  <c r="H335" i="29"/>
  <c r="H336" i="29"/>
  <c r="H337" i="29"/>
  <c r="H338" i="29"/>
  <c r="H339" i="29"/>
  <c r="H340" i="29"/>
  <c r="H341" i="29"/>
  <c r="H342" i="29"/>
  <c r="H343" i="29"/>
  <c r="H344" i="29"/>
  <c r="H345" i="29"/>
  <c r="H346" i="29"/>
  <c r="H347" i="29"/>
  <c r="H348" i="29"/>
  <c r="H349" i="29"/>
  <c r="H350" i="29"/>
  <c r="H351" i="29"/>
  <c r="H352" i="29"/>
  <c r="H353" i="29"/>
  <c r="H354" i="29"/>
  <c r="H355" i="29"/>
  <c r="H356" i="29"/>
  <c r="H357" i="29"/>
  <c r="H358" i="29"/>
  <c r="H359" i="29"/>
  <c r="H360" i="29"/>
  <c r="H361" i="29"/>
  <c r="H362" i="29"/>
  <c r="H363" i="29"/>
  <c r="H364" i="29"/>
  <c r="H365" i="29"/>
  <c r="H366" i="29"/>
  <c r="H367" i="29"/>
  <c r="H368" i="29"/>
  <c r="H369" i="29"/>
  <c r="H370" i="29"/>
  <c r="H371" i="29"/>
  <c r="H372" i="29"/>
  <c r="H373" i="29"/>
  <c r="H374" i="29"/>
  <c r="H375" i="29"/>
  <c r="H376" i="29"/>
  <c r="H377" i="29"/>
  <c r="H378" i="29"/>
  <c r="H379" i="29"/>
  <c r="H380" i="29"/>
  <c r="H381" i="29"/>
  <c r="H382" i="29"/>
  <c r="H383" i="29"/>
  <c r="H384" i="29"/>
  <c r="H385" i="29"/>
  <c r="H386" i="29"/>
  <c r="H387" i="29"/>
  <c r="H388" i="29"/>
  <c r="H389" i="29"/>
  <c r="H390" i="29"/>
  <c r="H391" i="29"/>
  <c r="H392" i="29"/>
  <c r="H393" i="29"/>
  <c r="H394" i="29"/>
  <c r="H395" i="29"/>
  <c r="H396" i="29"/>
  <c r="H397" i="29"/>
  <c r="H398" i="29"/>
  <c r="H399" i="29"/>
  <c r="H400" i="29"/>
  <c r="H401" i="29"/>
  <c r="H402" i="29"/>
  <c r="H403" i="29"/>
  <c r="H404" i="29"/>
  <c r="H405" i="29"/>
  <c r="H406" i="29"/>
  <c r="H407" i="29"/>
  <c r="H408" i="29"/>
  <c r="H409" i="29"/>
  <c r="H410" i="29"/>
  <c r="H411" i="29"/>
  <c r="H412" i="29"/>
  <c r="H413" i="29"/>
  <c r="H414" i="29"/>
  <c r="H415" i="29"/>
  <c r="H416" i="29"/>
  <c r="H417" i="29"/>
  <c r="H418" i="29"/>
  <c r="H419" i="29"/>
  <c r="H420" i="29"/>
  <c r="H421" i="29"/>
  <c r="H422" i="29"/>
  <c r="H423" i="29"/>
  <c r="H424" i="29"/>
  <c r="H425" i="29"/>
  <c r="H426" i="29"/>
  <c r="H427" i="29"/>
  <c r="H428" i="29"/>
  <c r="H429" i="29"/>
  <c r="H430" i="29"/>
  <c r="H431" i="29"/>
  <c r="H432" i="29"/>
  <c r="H433" i="29"/>
  <c r="H434" i="29"/>
  <c r="H435" i="29"/>
  <c r="H436" i="29"/>
  <c r="H437" i="29"/>
  <c r="H438" i="29"/>
  <c r="H439" i="29"/>
  <c r="H440" i="29"/>
  <c r="H441" i="29"/>
  <c r="H442" i="29"/>
  <c r="H443" i="29"/>
  <c r="H444" i="29"/>
  <c r="H445" i="29"/>
  <c r="H446" i="29"/>
  <c r="H447" i="29"/>
  <c r="H448" i="29"/>
  <c r="H449" i="29"/>
  <c r="H450" i="29"/>
  <c r="H451" i="29"/>
  <c r="H452" i="29"/>
  <c r="H453" i="29"/>
  <c r="H454" i="29"/>
  <c r="H455" i="29"/>
  <c r="H456" i="29"/>
  <c r="H457" i="29"/>
  <c r="H458" i="29"/>
  <c r="H459" i="29"/>
  <c r="H460" i="29"/>
  <c r="H461" i="29"/>
  <c r="H462" i="29"/>
  <c r="H463" i="29"/>
  <c r="H464" i="29"/>
  <c r="H465" i="29"/>
  <c r="H466" i="29"/>
  <c r="H467" i="29"/>
  <c r="H468" i="29"/>
  <c r="H469" i="29"/>
  <c r="H470" i="29"/>
  <c r="H471" i="29"/>
  <c r="H472" i="29"/>
  <c r="H473" i="29"/>
  <c r="H474" i="29"/>
  <c r="H475" i="29"/>
  <c r="H476" i="29"/>
  <c r="H477" i="29"/>
  <c r="H478" i="29"/>
  <c r="H479" i="29"/>
  <c r="H480" i="29"/>
  <c r="H481" i="29"/>
  <c r="H482" i="29"/>
  <c r="H483" i="29"/>
  <c r="H484" i="29"/>
  <c r="H485" i="29"/>
  <c r="H486" i="29"/>
  <c r="H487" i="29"/>
  <c r="H488" i="29"/>
  <c r="H489" i="29"/>
  <c r="H490" i="29"/>
  <c r="H491" i="29"/>
  <c r="H492" i="29"/>
  <c r="H493" i="29"/>
  <c r="H494" i="29"/>
  <c r="H495" i="29"/>
  <c r="H496" i="29"/>
  <c r="H497" i="29"/>
  <c r="H498" i="29"/>
  <c r="H499" i="29"/>
  <c r="H500" i="29"/>
  <c r="H501" i="29"/>
  <c r="H502" i="29"/>
  <c r="H503" i="29"/>
  <c r="H504" i="29"/>
  <c r="H505" i="29"/>
  <c r="H506" i="29"/>
  <c r="H507" i="29"/>
  <c r="H508" i="29"/>
  <c r="H509" i="29"/>
  <c r="H510" i="29"/>
  <c r="H511" i="29"/>
  <c r="H512" i="29"/>
  <c r="H513" i="29"/>
  <c r="H514" i="29"/>
  <c r="H515" i="29"/>
  <c r="H516" i="29"/>
  <c r="H517" i="29"/>
  <c r="H518" i="29"/>
  <c r="H519" i="29"/>
  <c r="H520" i="29"/>
  <c r="H521" i="29"/>
  <c r="H522" i="29"/>
  <c r="H523" i="29"/>
  <c r="H524" i="29"/>
  <c r="H525" i="29"/>
  <c r="H526" i="29"/>
  <c r="H527" i="29"/>
  <c r="H528" i="29"/>
  <c r="H529" i="29"/>
  <c r="H530" i="29"/>
  <c r="H531" i="29"/>
  <c r="H532" i="29"/>
  <c r="H533" i="29"/>
  <c r="H534" i="29"/>
  <c r="H535" i="29"/>
  <c r="H536" i="29"/>
  <c r="H537" i="29"/>
  <c r="H538" i="29"/>
  <c r="H539" i="29"/>
  <c r="H540" i="29"/>
  <c r="H541" i="29"/>
  <c r="H542" i="29"/>
  <c r="H543" i="29"/>
  <c r="H544" i="29"/>
  <c r="H545" i="29"/>
  <c r="H546" i="29"/>
  <c r="H547" i="29"/>
  <c r="H548" i="29"/>
  <c r="H549" i="29"/>
  <c r="H550" i="29"/>
  <c r="H551" i="29"/>
  <c r="H552" i="29"/>
  <c r="H553" i="29"/>
  <c r="H554" i="29"/>
  <c r="H555" i="29"/>
  <c r="H556" i="29"/>
  <c r="H557" i="29"/>
  <c r="H558" i="29"/>
  <c r="H559" i="29"/>
  <c r="H560" i="29"/>
  <c r="H561" i="29"/>
  <c r="H562" i="29"/>
  <c r="H563" i="29"/>
  <c r="H564" i="29"/>
  <c r="H565" i="29"/>
  <c r="H566" i="29"/>
  <c r="H567" i="29"/>
  <c r="H568" i="29"/>
  <c r="H569" i="29"/>
  <c r="H570" i="29"/>
  <c r="H571" i="29"/>
  <c r="H572" i="29"/>
  <c r="H573" i="29"/>
  <c r="H574" i="29"/>
  <c r="H575" i="29"/>
  <c r="H576" i="29"/>
  <c r="H577" i="29"/>
  <c r="H578" i="29"/>
  <c r="H579" i="29"/>
  <c r="H580" i="29"/>
  <c r="H581" i="29"/>
  <c r="H582" i="29"/>
  <c r="H583" i="29"/>
  <c r="H584" i="29"/>
  <c r="H585" i="29"/>
  <c r="H586" i="29"/>
  <c r="H587" i="29"/>
  <c r="H588" i="29"/>
  <c r="H589" i="29"/>
  <c r="H590" i="29"/>
  <c r="H591" i="29"/>
  <c r="H592" i="29"/>
  <c r="H593" i="29"/>
  <c r="H594" i="29"/>
  <c r="H595" i="29"/>
  <c r="H596" i="29"/>
  <c r="H597" i="29"/>
  <c r="H598" i="29"/>
  <c r="H599" i="29"/>
  <c r="H600" i="29"/>
  <c r="H601" i="29"/>
  <c r="H602" i="29"/>
  <c r="H603" i="29"/>
  <c r="H604" i="29"/>
  <c r="H605" i="29"/>
  <c r="H606" i="29"/>
  <c r="H607" i="29"/>
  <c r="H608" i="29"/>
  <c r="H609" i="29"/>
  <c r="H610" i="29"/>
  <c r="H611" i="29"/>
  <c r="H612" i="29"/>
  <c r="H613" i="29"/>
  <c r="H614" i="29"/>
  <c r="H615" i="29"/>
  <c r="H616" i="29"/>
  <c r="H617" i="29"/>
  <c r="H618" i="29"/>
  <c r="H619" i="29"/>
  <c r="H620" i="29"/>
  <c r="H621" i="29"/>
  <c r="H622" i="29"/>
  <c r="H623" i="29"/>
  <c r="H624" i="29"/>
  <c r="H625" i="29"/>
  <c r="H626" i="29"/>
  <c r="H627" i="29"/>
  <c r="H628" i="29"/>
  <c r="H629" i="29"/>
  <c r="H630" i="29"/>
  <c r="H631" i="29"/>
  <c r="H632" i="29"/>
  <c r="H633" i="29"/>
  <c r="H634" i="29"/>
  <c r="H635" i="29"/>
  <c r="H636" i="29"/>
  <c r="H637" i="29"/>
  <c r="H638" i="29"/>
  <c r="H639" i="29"/>
  <c r="H640" i="29"/>
  <c r="H641" i="29"/>
  <c r="H642" i="29"/>
  <c r="H643" i="29"/>
  <c r="H644" i="29"/>
  <c r="H645" i="29"/>
  <c r="H646" i="29"/>
  <c r="H647" i="29"/>
  <c r="H648" i="29"/>
  <c r="H649" i="29"/>
  <c r="H650" i="29"/>
  <c r="H651" i="29"/>
  <c r="H652" i="29"/>
  <c r="H653" i="29"/>
  <c r="H654" i="29"/>
  <c r="H655" i="29"/>
  <c r="H656" i="29"/>
  <c r="H657" i="29"/>
  <c r="H658" i="29"/>
  <c r="H659" i="29"/>
  <c r="H660" i="29"/>
  <c r="H661" i="29"/>
  <c r="H662" i="29"/>
  <c r="H663" i="29"/>
  <c r="H664" i="29"/>
  <c r="H665" i="29"/>
  <c r="H666" i="29"/>
  <c r="H667" i="29"/>
  <c r="H668" i="29"/>
  <c r="H669" i="29"/>
  <c r="H670" i="29"/>
  <c r="H671" i="29"/>
  <c r="H672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133" i="29"/>
  <c r="G13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G149" i="29"/>
  <c r="G150" i="29"/>
  <c r="G151" i="29"/>
  <c r="G152" i="29"/>
  <c r="G153" i="29"/>
  <c r="G154" i="29"/>
  <c r="G155" i="29"/>
  <c r="G156" i="29"/>
  <c r="G157" i="29"/>
  <c r="G158" i="29"/>
  <c r="G159" i="29"/>
  <c r="G160" i="29"/>
  <c r="G161" i="29"/>
  <c r="G162" i="29"/>
  <c r="G163" i="29"/>
  <c r="G164" i="29"/>
  <c r="G165" i="29"/>
  <c r="G166" i="29"/>
  <c r="G167" i="29"/>
  <c r="G168" i="29"/>
  <c r="G169" i="29"/>
  <c r="G170" i="29"/>
  <c r="G171" i="29"/>
  <c r="G172" i="29"/>
  <c r="G173" i="29"/>
  <c r="G174" i="29"/>
  <c r="G175" i="29"/>
  <c r="G176" i="29"/>
  <c r="G177" i="29"/>
  <c r="G178" i="29"/>
  <c r="G179" i="29"/>
  <c r="G180" i="29"/>
  <c r="G181" i="29"/>
  <c r="G182" i="29"/>
  <c r="G183" i="29"/>
  <c r="G184" i="29"/>
  <c r="G185" i="29"/>
  <c r="G186" i="29"/>
  <c r="G187" i="29"/>
  <c r="G188" i="29"/>
  <c r="G189" i="29"/>
  <c r="G190" i="29"/>
  <c r="G191" i="29"/>
  <c r="G192" i="29"/>
  <c r="G193" i="29"/>
  <c r="G194" i="29"/>
  <c r="G195" i="29"/>
  <c r="G196" i="29"/>
  <c r="G197" i="29"/>
  <c r="G198" i="29"/>
  <c r="G199" i="29"/>
  <c r="G200" i="29"/>
  <c r="G201" i="29"/>
  <c r="G202" i="29"/>
  <c r="G203" i="29"/>
  <c r="G204" i="29"/>
  <c r="G205" i="29"/>
  <c r="G206" i="29"/>
  <c r="G207" i="29"/>
  <c r="G208" i="29"/>
  <c r="G209" i="29"/>
  <c r="G210" i="29"/>
  <c r="G211" i="29"/>
  <c r="G212" i="29"/>
  <c r="G213" i="29"/>
  <c r="G214" i="29"/>
  <c r="G215" i="29"/>
  <c r="G216" i="29"/>
  <c r="G217" i="29"/>
  <c r="G218" i="29"/>
  <c r="G219" i="29"/>
  <c r="G220" i="29"/>
  <c r="G221" i="29"/>
  <c r="G222" i="29"/>
  <c r="G223" i="29"/>
  <c r="G224" i="29"/>
  <c r="G225" i="29"/>
  <c r="G226" i="29"/>
  <c r="G227" i="29"/>
  <c r="G228" i="29"/>
  <c r="G229" i="29"/>
  <c r="G230" i="29"/>
  <c r="G231" i="29"/>
  <c r="G232" i="29"/>
  <c r="G233" i="29"/>
  <c r="G234" i="29"/>
  <c r="G235" i="29"/>
  <c r="G236" i="29"/>
  <c r="G237" i="29"/>
  <c r="G238" i="29"/>
  <c r="G239" i="29"/>
  <c r="G240" i="29"/>
  <c r="G241" i="29"/>
  <c r="G242" i="29"/>
  <c r="G243" i="29"/>
  <c r="G244" i="29"/>
  <c r="G245" i="29"/>
  <c r="G246" i="29"/>
  <c r="G247" i="29"/>
  <c r="G248" i="29"/>
  <c r="G249" i="29"/>
  <c r="G250" i="29"/>
  <c r="G251" i="29"/>
  <c r="G252" i="29"/>
  <c r="G253" i="29"/>
  <c r="G254" i="29"/>
  <c r="G255" i="29"/>
  <c r="G256" i="29"/>
  <c r="G257" i="29"/>
  <c r="G258" i="29"/>
  <c r="G259" i="29"/>
  <c r="G260" i="29"/>
  <c r="G261" i="29"/>
  <c r="G262" i="29"/>
  <c r="G263" i="29"/>
  <c r="G264" i="29"/>
  <c r="G265" i="29"/>
  <c r="G266" i="29"/>
  <c r="G267" i="29"/>
  <c r="G268" i="29"/>
  <c r="G269" i="29"/>
  <c r="G270" i="29"/>
  <c r="G271" i="29"/>
  <c r="G272" i="29"/>
  <c r="G273" i="29"/>
  <c r="G274" i="29"/>
  <c r="G275" i="29"/>
  <c r="G276" i="29"/>
  <c r="G277" i="29"/>
  <c r="G278" i="29"/>
  <c r="G279" i="29"/>
  <c r="G280" i="29"/>
  <c r="G281" i="29"/>
  <c r="G282" i="29"/>
  <c r="G283" i="29"/>
  <c r="G284" i="29"/>
  <c r="G285" i="29"/>
  <c r="G286" i="29"/>
  <c r="G287" i="29"/>
  <c r="G288" i="29"/>
  <c r="G289" i="29"/>
  <c r="G290" i="29"/>
  <c r="G291" i="29"/>
  <c r="G292" i="29"/>
  <c r="G293" i="29"/>
  <c r="G294" i="29"/>
  <c r="G295" i="29"/>
  <c r="G296" i="29"/>
  <c r="G297" i="29"/>
  <c r="G298" i="29"/>
  <c r="G299" i="29"/>
  <c r="G300" i="29"/>
  <c r="G301" i="29"/>
  <c r="G302" i="29"/>
  <c r="G303" i="29"/>
  <c r="G304" i="29"/>
  <c r="G305" i="29"/>
  <c r="G306" i="29"/>
  <c r="G307" i="29"/>
  <c r="G308" i="29"/>
  <c r="G309" i="29"/>
  <c r="G310" i="29"/>
  <c r="G311" i="29"/>
  <c r="G312" i="29"/>
  <c r="G313" i="29"/>
  <c r="G314" i="29"/>
  <c r="G315" i="29"/>
  <c r="G316" i="29"/>
  <c r="G317" i="29"/>
  <c r="G318" i="29"/>
  <c r="G319" i="29"/>
  <c r="G320" i="29"/>
  <c r="G321" i="29"/>
  <c r="G322" i="29"/>
  <c r="G323" i="29"/>
  <c r="G324" i="29"/>
  <c r="G325" i="29"/>
  <c r="G326" i="29"/>
  <c r="G327" i="29"/>
  <c r="G328" i="29"/>
  <c r="G329" i="29"/>
  <c r="G330" i="29"/>
  <c r="G331" i="29"/>
  <c r="G332" i="29"/>
  <c r="G333" i="29"/>
  <c r="G334" i="29"/>
  <c r="G335" i="29"/>
  <c r="G336" i="29"/>
  <c r="G337" i="29"/>
  <c r="G338" i="29"/>
  <c r="G339" i="29"/>
  <c r="G340" i="29"/>
  <c r="G341" i="29"/>
  <c r="G342" i="29"/>
  <c r="G343" i="29"/>
  <c r="G344" i="29"/>
  <c r="G345" i="29"/>
  <c r="G346" i="29"/>
  <c r="G347" i="29"/>
  <c r="G348" i="29"/>
  <c r="G349" i="29"/>
  <c r="G350" i="29"/>
  <c r="G351" i="29"/>
  <c r="G352" i="29"/>
  <c r="G353" i="29"/>
  <c r="G354" i="29"/>
  <c r="G355" i="29"/>
  <c r="G356" i="29"/>
  <c r="G357" i="29"/>
  <c r="G358" i="29"/>
  <c r="G359" i="29"/>
  <c r="G360" i="29"/>
  <c r="G361" i="29"/>
  <c r="G362" i="29"/>
  <c r="G363" i="29"/>
  <c r="G364" i="29"/>
  <c r="G365" i="29"/>
  <c r="G366" i="29"/>
  <c r="G367" i="29"/>
  <c r="G368" i="29"/>
  <c r="G369" i="29"/>
  <c r="G370" i="29"/>
  <c r="G371" i="29"/>
  <c r="G372" i="29"/>
  <c r="G373" i="29"/>
  <c r="G374" i="29"/>
  <c r="G375" i="29"/>
  <c r="G376" i="29"/>
  <c r="G377" i="29"/>
  <c r="G378" i="29"/>
  <c r="G379" i="29"/>
  <c r="G380" i="29"/>
  <c r="G381" i="29"/>
  <c r="G382" i="29"/>
  <c r="G383" i="29"/>
  <c r="G384" i="29"/>
  <c r="G385" i="29"/>
  <c r="G386" i="29"/>
  <c r="G387" i="29"/>
  <c r="G388" i="29"/>
  <c r="G389" i="29"/>
  <c r="G390" i="29"/>
  <c r="G391" i="29"/>
  <c r="G392" i="29"/>
  <c r="G393" i="29"/>
  <c r="G394" i="29"/>
  <c r="G395" i="29"/>
  <c r="G396" i="29"/>
  <c r="G397" i="29"/>
  <c r="G398" i="29"/>
  <c r="G399" i="29"/>
  <c r="G400" i="29"/>
  <c r="G401" i="29"/>
  <c r="G402" i="29"/>
  <c r="G403" i="29"/>
  <c r="G404" i="29"/>
  <c r="G405" i="29"/>
  <c r="G406" i="29"/>
  <c r="G407" i="29"/>
  <c r="G408" i="29"/>
  <c r="G409" i="29"/>
  <c r="G410" i="29"/>
  <c r="G411" i="29"/>
  <c r="G412" i="29"/>
  <c r="G413" i="29"/>
  <c r="G414" i="29"/>
  <c r="G415" i="29"/>
  <c r="G416" i="29"/>
  <c r="G417" i="29"/>
  <c r="G418" i="29"/>
  <c r="G419" i="29"/>
  <c r="G420" i="29"/>
  <c r="G421" i="29"/>
  <c r="G422" i="29"/>
  <c r="G423" i="29"/>
  <c r="G424" i="29"/>
  <c r="G425" i="29"/>
  <c r="G426" i="29"/>
  <c r="G427" i="29"/>
  <c r="G428" i="29"/>
  <c r="G429" i="29"/>
  <c r="G430" i="29"/>
  <c r="G431" i="29"/>
  <c r="G432" i="29"/>
  <c r="G433" i="29"/>
  <c r="G434" i="29"/>
  <c r="G435" i="29"/>
  <c r="G436" i="29"/>
  <c r="G437" i="29"/>
  <c r="G438" i="29"/>
  <c r="G439" i="29"/>
  <c r="G440" i="29"/>
  <c r="G441" i="29"/>
  <c r="G442" i="29"/>
  <c r="G443" i="29"/>
  <c r="G444" i="29"/>
  <c r="G445" i="29"/>
  <c r="G446" i="29"/>
  <c r="G447" i="29"/>
  <c r="G448" i="29"/>
  <c r="G449" i="29"/>
  <c r="G450" i="29"/>
  <c r="G451" i="29"/>
  <c r="G452" i="29"/>
  <c r="G453" i="29"/>
  <c r="G454" i="29"/>
  <c r="G455" i="29"/>
  <c r="G456" i="29"/>
  <c r="G457" i="29"/>
  <c r="G458" i="29"/>
  <c r="G459" i="29"/>
  <c r="G460" i="29"/>
  <c r="G461" i="29"/>
  <c r="G462" i="29"/>
  <c r="G463" i="29"/>
  <c r="G464" i="29"/>
  <c r="G465" i="29"/>
  <c r="G466" i="29"/>
  <c r="G467" i="29"/>
  <c r="G468" i="29"/>
  <c r="G469" i="29"/>
  <c r="G470" i="29"/>
  <c r="G471" i="29"/>
  <c r="G472" i="29"/>
  <c r="G473" i="29"/>
  <c r="G474" i="29"/>
  <c r="G475" i="29"/>
  <c r="G476" i="29"/>
  <c r="G477" i="29"/>
  <c r="G478" i="29"/>
  <c r="G479" i="29"/>
  <c r="G480" i="29"/>
  <c r="G481" i="29"/>
  <c r="G482" i="29"/>
  <c r="G483" i="29"/>
  <c r="G484" i="29"/>
  <c r="G485" i="29"/>
  <c r="G486" i="29"/>
  <c r="G487" i="29"/>
  <c r="G488" i="29"/>
  <c r="G489" i="29"/>
  <c r="G490" i="29"/>
  <c r="G491" i="29"/>
  <c r="G492" i="29"/>
  <c r="G493" i="29"/>
  <c r="G494" i="29"/>
  <c r="G495" i="29"/>
  <c r="G496" i="29"/>
  <c r="G497" i="29"/>
  <c r="G498" i="29"/>
  <c r="G499" i="29"/>
  <c r="G500" i="29"/>
  <c r="G501" i="29"/>
  <c r="G502" i="29"/>
  <c r="G503" i="29"/>
  <c r="G504" i="29"/>
  <c r="G505" i="29"/>
  <c r="G506" i="29"/>
  <c r="G507" i="29"/>
  <c r="G508" i="29"/>
  <c r="G509" i="29"/>
  <c r="G510" i="29"/>
  <c r="G511" i="29"/>
  <c r="G512" i="29"/>
  <c r="G513" i="29"/>
  <c r="G514" i="29"/>
  <c r="G515" i="29"/>
  <c r="G516" i="29"/>
  <c r="G517" i="29"/>
  <c r="G518" i="29"/>
  <c r="G519" i="29"/>
  <c r="G520" i="29"/>
  <c r="G521" i="29"/>
  <c r="G522" i="29"/>
  <c r="G523" i="29"/>
  <c r="G524" i="29"/>
  <c r="G525" i="29"/>
  <c r="G526" i="29"/>
  <c r="G527" i="29"/>
  <c r="G528" i="29"/>
  <c r="G529" i="29"/>
  <c r="G530" i="29"/>
  <c r="G531" i="29"/>
  <c r="G532" i="29"/>
  <c r="G533" i="29"/>
  <c r="G534" i="29"/>
  <c r="G535" i="29"/>
  <c r="G536" i="29"/>
  <c r="G537" i="29"/>
  <c r="G538" i="29"/>
  <c r="G539" i="29"/>
  <c r="G540" i="29"/>
  <c r="G541" i="29"/>
  <c r="G542" i="29"/>
  <c r="G543" i="29"/>
  <c r="G544" i="29"/>
  <c r="G545" i="29"/>
  <c r="G546" i="29"/>
  <c r="G547" i="29"/>
  <c r="G548" i="29"/>
  <c r="G549" i="29"/>
  <c r="G550" i="29"/>
  <c r="G551" i="29"/>
  <c r="G552" i="29"/>
  <c r="G553" i="29"/>
  <c r="G554" i="29"/>
  <c r="G555" i="29"/>
  <c r="G556" i="29"/>
  <c r="G557" i="29"/>
  <c r="G558" i="29"/>
  <c r="G559" i="29"/>
  <c r="G560" i="29"/>
  <c r="G561" i="29"/>
  <c r="G562" i="29"/>
  <c r="G563" i="29"/>
  <c r="G564" i="29"/>
  <c r="G565" i="29"/>
  <c r="G566" i="29"/>
  <c r="G567" i="29"/>
  <c r="G568" i="29"/>
  <c r="G569" i="29"/>
  <c r="G570" i="29"/>
  <c r="G571" i="29"/>
  <c r="G572" i="29"/>
  <c r="G573" i="29"/>
  <c r="G574" i="29"/>
  <c r="G575" i="29"/>
  <c r="G576" i="29"/>
  <c r="G577" i="29"/>
  <c r="G578" i="29"/>
  <c r="G579" i="29"/>
  <c r="G580" i="29"/>
  <c r="G581" i="29"/>
  <c r="G582" i="29"/>
  <c r="G583" i="29"/>
  <c r="G584" i="29"/>
  <c r="G585" i="29"/>
  <c r="G586" i="29"/>
  <c r="G587" i="29"/>
  <c r="G588" i="29"/>
  <c r="G589" i="29"/>
  <c r="G590" i="29"/>
  <c r="G591" i="29"/>
  <c r="G592" i="29"/>
  <c r="G593" i="29"/>
  <c r="G594" i="29"/>
  <c r="G595" i="29"/>
  <c r="G596" i="29"/>
  <c r="G597" i="29"/>
  <c r="G598" i="29"/>
  <c r="G599" i="29"/>
  <c r="G600" i="29"/>
  <c r="G601" i="29"/>
  <c r="G602" i="29"/>
  <c r="G603" i="29"/>
  <c r="G604" i="29"/>
  <c r="G605" i="29"/>
  <c r="G606" i="29"/>
  <c r="G607" i="29"/>
  <c r="G608" i="29"/>
  <c r="G609" i="29"/>
  <c r="G610" i="29"/>
  <c r="G611" i="29"/>
  <c r="G612" i="29"/>
  <c r="G613" i="29"/>
  <c r="G614" i="29"/>
  <c r="G615" i="29"/>
  <c r="G616" i="29"/>
  <c r="G617" i="29"/>
  <c r="G618" i="29"/>
  <c r="G619" i="29"/>
  <c r="G620" i="29"/>
  <c r="G621" i="29"/>
  <c r="G622" i="29"/>
  <c r="G623" i="29"/>
  <c r="G624" i="29"/>
  <c r="G625" i="29"/>
  <c r="G626" i="29"/>
  <c r="G627" i="29"/>
  <c r="G628" i="29"/>
  <c r="G629" i="29"/>
  <c r="G630" i="29"/>
  <c r="G631" i="29"/>
  <c r="G632" i="29"/>
  <c r="G633" i="29"/>
  <c r="G634" i="29"/>
  <c r="G635" i="29"/>
  <c r="G636" i="29"/>
  <c r="G637" i="29"/>
  <c r="G638" i="29"/>
  <c r="G639" i="29"/>
  <c r="G640" i="29"/>
  <c r="G641" i="29"/>
  <c r="G642" i="29"/>
  <c r="G643" i="29"/>
  <c r="G644" i="29"/>
  <c r="G645" i="29"/>
  <c r="G646" i="29"/>
  <c r="G647" i="29"/>
  <c r="G648" i="29"/>
  <c r="G649" i="29"/>
  <c r="G650" i="29"/>
  <c r="G651" i="29"/>
  <c r="G652" i="29"/>
  <c r="G653" i="29"/>
  <c r="G654" i="29"/>
  <c r="G655" i="29"/>
  <c r="G656" i="29"/>
  <c r="G657" i="29"/>
  <c r="G658" i="29"/>
  <c r="G659" i="29"/>
  <c r="G660" i="29"/>
  <c r="G661" i="29"/>
  <c r="G662" i="29"/>
  <c r="G663" i="29"/>
  <c r="G664" i="29"/>
  <c r="G665" i="29"/>
  <c r="G666" i="29"/>
  <c r="G667" i="29"/>
  <c r="G668" i="29"/>
  <c r="G669" i="29"/>
  <c r="G670" i="29"/>
  <c r="G671" i="29"/>
  <c r="G672" i="29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F149" i="29"/>
  <c r="F150" i="29"/>
  <c r="F151" i="29"/>
  <c r="F152" i="29"/>
  <c r="F153" i="29"/>
  <c r="F154" i="29"/>
  <c r="F155" i="29"/>
  <c r="F156" i="29"/>
  <c r="F157" i="29"/>
  <c r="F158" i="29"/>
  <c r="F159" i="29"/>
  <c r="F160" i="29"/>
  <c r="F161" i="29"/>
  <c r="F162" i="29"/>
  <c r="F163" i="29"/>
  <c r="F164" i="29"/>
  <c r="F165" i="29"/>
  <c r="F166" i="29"/>
  <c r="F167" i="29"/>
  <c r="F168" i="29"/>
  <c r="F169" i="29"/>
  <c r="F170" i="29"/>
  <c r="F171" i="29"/>
  <c r="F172" i="29"/>
  <c r="F173" i="29"/>
  <c r="F174" i="29"/>
  <c r="F175" i="29"/>
  <c r="F176" i="29"/>
  <c r="F177" i="29"/>
  <c r="F178" i="29"/>
  <c r="F179" i="29"/>
  <c r="F180" i="29"/>
  <c r="F181" i="29"/>
  <c r="F182" i="29"/>
  <c r="F183" i="29"/>
  <c r="F184" i="29"/>
  <c r="F185" i="29"/>
  <c r="F186" i="29"/>
  <c r="F187" i="29"/>
  <c r="F188" i="29"/>
  <c r="F189" i="29"/>
  <c r="F190" i="29"/>
  <c r="F191" i="29"/>
  <c r="F192" i="29"/>
  <c r="F193" i="29"/>
  <c r="F194" i="29"/>
  <c r="F195" i="29"/>
  <c r="F196" i="29"/>
  <c r="F197" i="29"/>
  <c r="F198" i="29"/>
  <c r="F199" i="29"/>
  <c r="F200" i="29"/>
  <c r="F201" i="29"/>
  <c r="F202" i="29"/>
  <c r="F203" i="29"/>
  <c r="F204" i="29"/>
  <c r="F205" i="29"/>
  <c r="F206" i="29"/>
  <c r="F207" i="29"/>
  <c r="F208" i="29"/>
  <c r="F209" i="29"/>
  <c r="F210" i="29"/>
  <c r="F211" i="29"/>
  <c r="F212" i="29"/>
  <c r="F213" i="29"/>
  <c r="F214" i="29"/>
  <c r="F215" i="29"/>
  <c r="F216" i="29"/>
  <c r="F217" i="29"/>
  <c r="F218" i="29"/>
  <c r="F219" i="29"/>
  <c r="F220" i="29"/>
  <c r="F221" i="29"/>
  <c r="F222" i="29"/>
  <c r="F223" i="29"/>
  <c r="F224" i="29"/>
  <c r="F225" i="29"/>
  <c r="F226" i="29"/>
  <c r="F227" i="29"/>
  <c r="F228" i="29"/>
  <c r="F229" i="29"/>
  <c r="F230" i="29"/>
  <c r="F231" i="29"/>
  <c r="F232" i="29"/>
  <c r="F233" i="29"/>
  <c r="F234" i="29"/>
  <c r="F235" i="29"/>
  <c r="F236" i="29"/>
  <c r="F237" i="29"/>
  <c r="F238" i="29"/>
  <c r="F239" i="29"/>
  <c r="F240" i="29"/>
  <c r="F241" i="29"/>
  <c r="F242" i="29"/>
  <c r="F243" i="29"/>
  <c r="F244" i="29"/>
  <c r="F245" i="29"/>
  <c r="F246" i="29"/>
  <c r="F247" i="29"/>
  <c r="F248" i="29"/>
  <c r="F249" i="29"/>
  <c r="F250" i="29"/>
  <c r="F251" i="29"/>
  <c r="F252" i="29"/>
  <c r="F253" i="29"/>
  <c r="F254" i="29"/>
  <c r="F255" i="29"/>
  <c r="F256" i="29"/>
  <c r="F257" i="29"/>
  <c r="F258" i="29"/>
  <c r="F259" i="29"/>
  <c r="F260" i="29"/>
  <c r="F261" i="29"/>
  <c r="F262" i="29"/>
  <c r="F263" i="29"/>
  <c r="F264" i="29"/>
  <c r="F265" i="29"/>
  <c r="F266" i="29"/>
  <c r="F267" i="29"/>
  <c r="F268" i="29"/>
  <c r="F269" i="29"/>
  <c r="F270" i="29"/>
  <c r="F271" i="29"/>
  <c r="F272" i="29"/>
  <c r="F273" i="29"/>
  <c r="F274" i="29"/>
  <c r="F275" i="29"/>
  <c r="F276" i="29"/>
  <c r="F277" i="29"/>
  <c r="F278" i="29"/>
  <c r="F279" i="29"/>
  <c r="F280" i="29"/>
  <c r="F281" i="29"/>
  <c r="F282" i="29"/>
  <c r="F283" i="29"/>
  <c r="F284" i="29"/>
  <c r="F285" i="29"/>
  <c r="F286" i="29"/>
  <c r="F287" i="29"/>
  <c r="F288" i="29"/>
  <c r="F289" i="29"/>
  <c r="F290" i="29"/>
  <c r="F291" i="29"/>
  <c r="F292" i="29"/>
  <c r="F293" i="29"/>
  <c r="F294" i="29"/>
  <c r="F295" i="29"/>
  <c r="F296" i="29"/>
  <c r="F297" i="29"/>
  <c r="F298" i="29"/>
  <c r="F299" i="29"/>
  <c r="F300" i="29"/>
  <c r="F301" i="29"/>
  <c r="F302" i="29"/>
  <c r="F303" i="29"/>
  <c r="F304" i="29"/>
  <c r="F305" i="29"/>
  <c r="F306" i="29"/>
  <c r="F307" i="29"/>
  <c r="F308" i="29"/>
  <c r="F309" i="29"/>
  <c r="F310" i="29"/>
  <c r="F311" i="29"/>
  <c r="F312" i="29"/>
  <c r="F313" i="29"/>
  <c r="F314" i="29"/>
  <c r="F315" i="29"/>
  <c r="F316" i="29"/>
  <c r="F317" i="29"/>
  <c r="F318" i="29"/>
  <c r="F319" i="29"/>
  <c r="F320" i="29"/>
  <c r="F321" i="29"/>
  <c r="F322" i="29"/>
  <c r="F323" i="29"/>
  <c r="F324" i="29"/>
  <c r="F325" i="29"/>
  <c r="F326" i="29"/>
  <c r="F327" i="29"/>
  <c r="F328" i="29"/>
  <c r="F329" i="29"/>
  <c r="F330" i="29"/>
  <c r="F331" i="29"/>
  <c r="F332" i="29"/>
  <c r="F333" i="29"/>
  <c r="F334" i="29"/>
  <c r="F335" i="29"/>
  <c r="F336" i="29"/>
  <c r="F337" i="29"/>
  <c r="F338" i="29"/>
  <c r="F339" i="29"/>
  <c r="F340" i="29"/>
  <c r="F341" i="29"/>
  <c r="F342" i="29"/>
  <c r="F343" i="29"/>
  <c r="F344" i="29"/>
  <c r="F345" i="29"/>
  <c r="F346" i="29"/>
  <c r="F347" i="29"/>
  <c r="F348" i="29"/>
  <c r="F349" i="29"/>
  <c r="F350" i="29"/>
  <c r="F351" i="29"/>
  <c r="F352" i="29"/>
  <c r="F353" i="29"/>
  <c r="F354" i="29"/>
  <c r="F355" i="29"/>
  <c r="F356" i="29"/>
  <c r="F357" i="29"/>
  <c r="F358" i="29"/>
  <c r="F359" i="29"/>
  <c r="F360" i="29"/>
  <c r="F361" i="29"/>
  <c r="F362" i="29"/>
  <c r="F363" i="29"/>
  <c r="F364" i="29"/>
  <c r="F365" i="29"/>
  <c r="F366" i="29"/>
  <c r="F367" i="29"/>
  <c r="F368" i="29"/>
  <c r="F369" i="29"/>
  <c r="F370" i="29"/>
  <c r="F371" i="29"/>
  <c r="F372" i="29"/>
  <c r="F373" i="29"/>
  <c r="F374" i="29"/>
  <c r="F375" i="29"/>
  <c r="F376" i="29"/>
  <c r="F377" i="29"/>
  <c r="F378" i="29"/>
  <c r="F379" i="29"/>
  <c r="F380" i="29"/>
  <c r="F381" i="29"/>
  <c r="F382" i="29"/>
  <c r="F383" i="29"/>
  <c r="F384" i="29"/>
  <c r="F385" i="29"/>
  <c r="F386" i="29"/>
  <c r="F387" i="29"/>
  <c r="F388" i="29"/>
  <c r="F389" i="29"/>
  <c r="F390" i="29"/>
  <c r="F391" i="29"/>
  <c r="F392" i="29"/>
  <c r="F393" i="29"/>
  <c r="F394" i="29"/>
  <c r="F395" i="29"/>
  <c r="F396" i="29"/>
  <c r="F397" i="29"/>
  <c r="F398" i="29"/>
  <c r="F399" i="29"/>
  <c r="F400" i="29"/>
  <c r="F401" i="29"/>
  <c r="F402" i="29"/>
  <c r="F403" i="29"/>
  <c r="F404" i="29"/>
  <c r="F405" i="29"/>
  <c r="F406" i="29"/>
  <c r="F407" i="29"/>
  <c r="F408" i="29"/>
  <c r="F409" i="29"/>
  <c r="F410" i="29"/>
  <c r="F411" i="29"/>
  <c r="F412" i="29"/>
  <c r="F413" i="29"/>
  <c r="F414" i="29"/>
  <c r="F415" i="29"/>
  <c r="F416" i="29"/>
  <c r="F417" i="29"/>
  <c r="F418" i="29"/>
  <c r="F419" i="29"/>
  <c r="F420" i="29"/>
  <c r="F421" i="29"/>
  <c r="F422" i="29"/>
  <c r="F423" i="29"/>
  <c r="F424" i="29"/>
  <c r="F425" i="29"/>
  <c r="F426" i="29"/>
  <c r="F427" i="29"/>
  <c r="F428" i="29"/>
  <c r="F429" i="29"/>
  <c r="F430" i="29"/>
  <c r="F431" i="29"/>
  <c r="F432" i="29"/>
  <c r="F433" i="29"/>
  <c r="F434" i="29"/>
  <c r="F435" i="29"/>
  <c r="F436" i="29"/>
  <c r="F437" i="29"/>
  <c r="F438" i="29"/>
  <c r="F439" i="29"/>
  <c r="F440" i="29"/>
  <c r="F441" i="29"/>
  <c r="F442" i="29"/>
  <c r="F443" i="29"/>
  <c r="F444" i="29"/>
  <c r="F445" i="29"/>
  <c r="F446" i="29"/>
  <c r="F447" i="29"/>
  <c r="F448" i="29"/>
  <c r="F449" i="29"/>
  <c r="F450" i="29"/>
  <c r="F451" i="29"/>
  <c r="F452" i="29"/>
  <c r="F453" i="29"/>
  <c r="F454" i="29"/>
  <c r="F455" i="29"/>
  <c r="F456" i="29"/>
  <c r="F457" i="29"/>
  <c r="F458" i="29"/>
  <c r="F459" i="29"/>
  <c r="F460" i="29"/>
  <c r="F461" i="29"/>
  <c r="F462" i="29"/>
  <c r="F463" i="29"/>
  <c r="F464" i="29"/>
  <c r="F465" i="29"/>
  <c r="F466" i="29"/>
  <c r="F467" i="29"/>
  <c r="F468" i="29"/>
  <c r="F469" i="29"/>
  <c r="F470" i="29"/>
  <c r="F471" i="29"/>
  <c r="F472" i="29"/>
  <c r="F473" i="29"/>
  <c r="F474" i="29"/>
  <c r="F475" i="29"/>
  <c r="F476" i="29"/>
  <c r="F477" i="29"/>
  <c r="F478" i="29"/>
  <c r="F479" i="29"/>
  <c r="F480" i="29"/>
  <c r="F481" i="29"/>
  <c r="F482" i="29"/>
  <c r="F483" i="29"/>
  <c r="F484" i="29"/>
  <c r="F485" i="29"/>
  <c r="F486" i="29"/>
  <c r="F487" i="29"/>
  <c r="F488" i="29"/>
  <c r="F489" i="29"/>
  <c r="F490" i="29"/>
  <c r="F491" i="29"/>
  <c r="F492" i="29"/>
  <c r="F493" i="29"/>
  <c r="F494" i="29"/>
  <c r="F495" i="29"/>
  <c r="F496" i="29"/>
  <c r="F497" i="29"/>
  <c r="F498" i="29"/>
  <c r="F499" i="29"/>
  <c r="F500" i="29"/>
  <c r="F501" i="29"/>
  <c r="F502" i="29"/>
  <c r="F503" i="29"/>
  <c r="F504" i="29"/>
  <c r="F505" i="29"/>
  <c r="F506" i="29"/>
  <c r="F507" i="29"/>
  <c r="F508" i="29"/>
  <c r="F509" i="29"/>
  <c r="F510" i="29"/>
  <c r="F511" i="29"/>
  <c r="F512" i="29"/>
  <c r="F513" i="29"/>
  <c r="F514" i="29"/>
  <c r="F515" i="29"/>
  <c r="F516" i="29"/>
  <c r="F517" i="29"/>
  <c r="F518" i="29"/>
  <c r="F519" i="29"/>
  <c r="F520" i="29"/>
  <c r="F521" i="29"/>
  <c r="F522" i="29"/>
  <c r="F523" i="29"/>
  <c r="F524" i="29"/>
  <c r="F525" i="29"/>
  <c r="F526" i="29"/>
  <c r="F527" i="29"/>
  <c r="F528" i="29"/>
  <c r="F529" i="29"/>
  <c r="F530" i="29"/>
  <c r="F531" i="29"/>
  <c r="F532" i="29"/>
  <c r="F533" i="29"/>
  <c r="F534" i="29"/>
  <c r="F535" i="29"/>
  <c r="F536" i="29"/>
  <c r="F537" i="29"/>
  <c r="F538" i="29"/>
  <c r="F539" i="29"/>
  <c r="F540" i="29"/>
  <c r="F541" i="29"/>
  <c r="F542" i="29"/>
  <c r="F543" i="29"/>
  <c r="F544" i="29"/>
  <c r="F545" i="29"/>
  <c r="F546" i="29"/>
  <c r="F547" i="29"/>
  <c r="F548" i="29"/>
  <c r="F549" i="29"/>
  <c r="F550" i="29"/>
  <c r="F551" i="29"/>
  <c r="F552" i="29"/>
  <c r="F553" i="29"/>
  <c r="F554" i="29"/>
  <c r="F555" i="29"/>
  <c r="F556" i="29"/>
  <c r="F557" i="29"/>
  <c r="F558" i="29"/>
  <c r="F559" i="29"/>
  <c r="F560" i="29"/>
  <c r="F561" i="29"/>
  <c r="F562" i="29"/>
  <c r="F563" i="29"/>
  <c r="F564" i="29"/>
  <c r="F565" i="29"/>
  <c r="F566" i="29"/>
  <c r="F567" i="29"/>
  <c r="F568" i="29"/>
  <c r="F569" i="29"/>
  <c r="F570" i="29"/>
  <c r="F571" i="29"/>
  <c r="F572" i="29"/>
  <c r="F573" i="29"/>
  <c r="F574" i="29"/>
  <c r="F575" i="29"/>
  <c r="F576" i="29"/>
  <c r="F577" i="29"/>
  <c r="F578" i="29"/>
  <c r="F579" i="29"/>
  <c r="F580" i="29"/>
  <c r="F581" i="29"/>
  <c r="F582" i="29"/>
  <c r="F583" i="29"/>
  <c r="F584" i="29"/>
  <c r="F585" i="29"/>
  <c r="F586" i="29"/>
  <c r="F587" i="29"/>
  <c r="F588" i="29"/>
  <c r="F589" i="29"/>
  <c r="F590" i="29"/>
  <c r="F591" i="29"/>
  <c r="F592" i="29"/>
  <c r="F593" i="29"/>
  <c r="F594" i="29"/>
  <c r="F595" i="29"/>
  <c r="F596" i="29"/>
  <c r="F597" i="29"/>
  <c r="F598" i="29"/>
  <c r="F599" i="29"/>
  <c r="F600" i="29"/>
  <c r="F601" i="29"/>
  <c r="F602" i="29"/>
  <c r="F603" i="29"/>
  <c r="F604" i="29"/>
  <c r="F605" i="29"/>
  <c r="F606" i="29"/>
  <c r="F607" i="29"/>
  <c r="F608" i="29"/>
  <c r="F609" i="29"/>
  <c r="F610" i="29"/>
  <c r="F611" i="29"/>
  <c r="F612" i="29"/>
  <c r="F613" i="29"/>
  <c r="F614" i="29"/>
  <c r="F615" i="29"/>
  <c r="F616" i="29"/>
  <c r="F617" i="29"/>
  <c r="F618" i="29"/>
  <c r="F619" i="29"/>
  <c r="F620" i="29"/>
  <c r="F621" i="29"/>
  <c r="F622" i="29"/>
  <c r="F623" i="29"/>
  <c r="F624" i="29"/>
  <c r="F625" i="29"/>
  <c r="F626" i="29"/>
  <c r="F627" i="29"/>
  <c r="F628" i="29"/>
  <c r="F629" i="29"/>
  <c r="F630" i="29"/>
  <c r="F631" i="29"/>
  <c r="F632" i="29"/>
  <c r="F633" i="29"/>
  <c r="F634" i="29"/>
  <c r="F635" i="29"/>
  <c r="F636" i="29"/>
  <c r="F637" i="29"/>
  <c r="F638" i="29"/>
  <c r="F639" i="29"/>
  <c r="F640" i="29"/>
  <c r="F641" i="29"/>
  <c r="F642" i="29"/>
  <c r="F643" i="29"/>
  <c r="F644" i="29"/>
  <c r="F645" i="29"/>
  <c r="F646" i="29"/>
  <c r="F647" i="29"/>
  <c r="F648" i="29"/>
  <c r="F649" i="29"/>
  <c r="F650" i="29"/>
  <c r="F651" i="29"/>
  <c r="F652" i="29"/>
  <c r="F653" i="29"/>
  <c r="F654" i="29"/>
  <c r="F655" i="29"/>
  <c r="F656" i="29"/>
  <c r="F657" i="29"/>
  <c r="F658" i="29"/>
  <c r="F659" i="29"/>
  <c r="F660" i="29"/>
  <c r="F661" i="29"/>
  <c r="F662" i="29"/>
  <c r="F663" i="29"/>
  <c r="F664" i="29"/>
  <c r="F665" i="29"/>
  <c r="F666" i="29"/>
  <c r="F667" i="29"/>
  <c r="F668" i="29"/>
  <c r="F669" i="29"/>
  <c r="F670" i="29"/>
  <c r="F671" i="29"/>
  <c r="F672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2" i="29"/>
  <c r="E183" i="29"/>
  <c r="E184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197" i="29"/>
  <c r="E198" i="29"/>
  <c r="E199" i="29"/>
  <c r="E200" i="29"/>
  <c r="E201" i="29"/>
  <c r="E202" i="29"/>
  <c r="E203" i="29"/>
  <c r="E204" i="29"/>
  <c r="E205" i="29"/>
  <c r="E206" i="29"/>
  <c r="E207" i="29"/>
  <c r="E208" i="29"/>
  <c r="E209" i="29"/>
  <c r="E210" i="29"/>
  <c r="E211" i="29"/>
  <c r="E212" i="29"/>
  <c r="E213" i="29"/>
  <c r="E214" i="29"/>
  <c r="E215" i="29"/>
  <c r="E216" i="29"/>
  <c r="E217" i="29"/>
  <c r="E218" i="29"/>
  <c r="E219" i="29"/>
  <c r="E220" i="29"/>
  <c r="E221" i="29"/>
  <c r="E222" i="29"/>
  <c r="E223" i="29"/>
  <c r="E224" i="29"/>
  <c r="E225" i="29"/>
  <c r="E226" i="29"/>
  <c r="E227" i="29"/>
  <c r="E228" i="29"/>
  <c r="E229" i="29"/>
  <c r="E230" i="29"/>
  <c r="E231" i="29"/>
  <c r="E232" i="29"/>
  <c r="E233" i="29"/>
  <c r="E234" i="29"/>
  <c r="E235" i="29"/>
  <c r="E236" i="29"/>
  <c r="E237" i="29"/>
  <c r="E238" i="29"/>
  <c r="E239" i="29"/>
  <c r="E240" i="29"/>
  <c r="E241" i="29"/>
  <c r="E242" i="29"/>
  <c r="E243" i="29"/>
  <c r="E244" i="29"/>
  <c r="E245" i="29"/>
  <c r="E246" i="29"/>
  <c r="E247" i="29"/>
  <c r="E248" i="29"/>
  <c r="E249" i="29"/>
  <c r="E250" i="29"/>
  <c r="E251" i="29"/>
  <c r="E252" i="29"/>
  <c r="E253" i="29"/>
  <c r="E254" i="29"/>
  <c r="E255" i="29"/>
  <c r="E256" i="29"/>
  <c r="E257" i="29"/>
  <c r="E258" i="29"/>
  <c r="E259" i="29"/>
  <c r="E260" i="29"/>
  <c r="E261" i="29"/>
  <c r="E262" i="29"/>
  <c r="E263" i="29"/>
  <c r="E264" i="29"/>
  <c r="E265" i="29"/>
  <c r="E266" i="29"/>
  <c r="E267" i="29"/>
  <c r="E268" i="29"/>
  <c r="E269" i="29"/>
  <c r="E270" i="29"/>
  <c r="E271" i="29"/>
  <c r="E272" i="29"/>
  <c r="E273" i="29"/>
  <c r="E274" i="29"/>
  <c r="E275" i="29"/>
  <c r="E276" i="29"/>
  <c r="E277" i="29"/>
  <c r="E278" i="29"/>
  <c r="E279" i="29"/>
  <c r="E280" i="29"/>
  <c r="E281" i="29"/>
  <c r="E282" i="29"/>
  <c r="E283" i="29"/>
  <c r="E284" i="29"/>
  <c r="E285" i="29"/>
  <c r="E286" i="29"/>
  <c r="E287" i="29"/>
  <c r="E288" i="29"/>
  <c r="E289" i="29"/>
  <c r="E290" i="29"/>
  <c r="E291" i="29"/>
  <c r="E292" i="29"/>
  <c r="E293" i="29"/>
  <c r="E294" i="29"/>
  <c r="E295" i="29"/>
  <c r="E296" i="29"/>
  <c r="E297" i="29"/>
  <c r="E298" i="29"/>
  <c r="E299" i="29"/>
  <c r="E300" i="29"/>
  <c r="E301" i="29"/>
  <c r="E302" i="29"/>
  <c r="E303" i="29"/>
  <c r="E304" i="29"/>
  <c r="E305" i="29"/>
  <c r="E306" i="29"/>
  <c r="E307" i="29"/>
  <c r="E308" i="29"/>
  <c r="E309" i="29"/>
  <c r="E310" i="29"/>
  <c r="E311" i="29"/>
  <c r="E312" i="29"/>
  <c r="E313" i="29"/>
  <c r="E314" i="29"/>
  <c r="E315" i="29"/>
  <c r="E316" i="29"/>
  <c r="E317" i="29"/>
  <c r="E318" i="29"/>
  <c r="E319" i="29"/>
  <c r="E320" i="29"/>
  <c r="E321" i="29"/>
  <c r="E322" i="29"/>
  <c r="E323" i="29"/>
  <c r="E324" i="29"/>
  <c r="E325" i="29"/>
  <c r="E326" i="29"/>
  <c r="E327" i="29"/>
  <c r="E328" i="29"/>
  <c r="E329" i="29"/>
  <c r="E330" i="29"/>
  <c r="E331" i="29"/>
  <c r="E332" i="29"/>
  <c r="E333" i="29"/>
  <c r="E334" i="29"/>
  <c r="E335" i="29"/>
  <c r="E336" i="29"/>
  <c r="E337" i="29"/>
  <c r="E338" i="29"/>
  <c r="E339" i="29"/>
  <c r="E340" i="29"/>
  <c r="E341" i="29"/>
  <c r="E342" i="29"/>
  <c r="E343" i="29"/>
  <c r="E344" i="29"/>
  <c r="E345" i="29"/>
  <c r="E346" i="29"/>
  <c r="E347" i="29"/>
  <c r="E348" i="29"/>
  <c r="E349" i="29"/>
  <c r="E350" i="29"/>
  <c r="E351" i="29"/>
  <c r="E352" i="29"/>
  <c r="E353" i="29"/>
  <c r="E354" i="29"/>
  <c r="E355" i="29"/>
  <c r="E356" i="29"/>
  <c r="E357" i="29"/>
  <c r="E358" i="29"/>
  <c r="E359" i="29"/>
  <c r="E360" i="29"/>
  <c r="E361" i="29"/>
  <c r="E362" i="29"/>
  <c r="E363" i="29"/>
  <c r="E364" i="29"/>
  <c r="E365" i="29"/>
  <c r="E366" i="29"/>
  <c r="E367" i="29"/>
  <c r="E368" i="29"/>
  <c r="E369" i="29"/>
  <c r="E370" i="29"/>
  <c r="E371" i="29"/>
  <c r="E372" i="29"/>
  <c r="E373" i="29"/>
  <c r="E374" i="29"/>
  <c r="E375" i="29"/>
  <c r="E376" i="29"/>
  <c r="E377" i="29"/>
  <c r="E378" i="29"/>
  <c r="E379" i="29"/>
  <c r="E380" i="29"/>
  <c r="E381" i="29"/>
  <c r="E382" i="29"/>
  <c r="E383" i="29"/>
  <c r="E384" i="29"/>
  <c r="E385" i="29"/>
  <c r="E386" i="29"/>
  <c r="E387" i="29"/>
  <c r="E388" i="29"/>
  <c r="E389" i="29"/>
  <c r="E390" i="29"/>
  <c r="E391" i="29"/>
  <c r="E392" i="29"/>
  <c r="E393" i="29"/>
  <c r="E394" i="29"/>
  <c r="E395" i="29"/>
  <c r="E396" i="29"/>
  <c r="E397" i="29"/>
  <c r="E398" i="29"/>
  <c r="E399" i="29"/>
  <c r="E400" i="29"/>
  <c r="E401" i="29"/>
  <c r="E402" i="29"/>
  <c r="E403" i="29"/>
  <c r="E404" i="29"/>
  <c r="E405" i="29"/>
  <c r="E406" i="29"/>
  <c r="E407" i="29"/>
  <c r="E408" i="29"/>
  <c r="E409" i="29"/>
  <c r="E410" i="29"/>
  <c r="E411" i="29"/>
  <c r="E412" i="29"/>
  <c r="E413" i="29"/>
  <c r="E414" i="29"/>
  <c r="E415" i="29"/>
  <c r="E416" i="29"/>
  <c r="E417" i="29"/>
  <c r="E418" i="29"/>
  <c r="E419" i="29"/>
  <c r="E420" i="29"/>
  <c r="E421" i="29"/>
  <c r="E422" i="29"/>
  <c r="E423" i="29"/>
  <c r="E424" i="29"/>
  <c r="E425" i="29"/>
  <c r="E426" i="29"/>
  <c r="E427" i="29"/>
  <c r="E428" i="29"/>
  <c r="E429" i="29"/>
  <c r="E430" i="29"/>
  <c r="E431" i="29"/>
  <c r="E432" i="29"/>
  <c r="E433" i="29"/>
  <c r="E434" i="29"/>
  <c r="E435" i="29"/>
  <c r="E436" i="29"/>
  <c r="E437" i="29"/>
  <c r="E438" i="29"/>
  <c r="E439" i="29"/>
  <c r="E440" i="29"/>
  <c r="E441" i="29"/>
  <c r="E442" i="29"/>
  <c r="E443" i="29"/>
  <c r="E444" i="29"/>
  <c r="E445" i="29"/>
  <c r="E446" i="29"/>
  <c r="E447" i="29"/>
  <c r="E448" i="29"/>
  <c r="E449" i="29"/>
  <c r="E450" i="29"/>
  <c r="E451" i="29"/>
  <c r="E452" i="29"/>
  <c r="E453" i="29"/>
  <c r="E454" i="29"/>
  <c r="E455" i="29"/>
  <c r="E456" i="29"/>
  <c r="E457" i="29"/>
  <c r="E458" i="29"/>
  <c r="E459" i="29"/>
  <c r="E460" i="29"/>
  <c r="E461" i="29"/>
  <c r="E462" i="29"/>
  <c r="E463" i="29"/>
  <c r="E464" i="29"/>
  <c r="E465" i="29"/>
  <c r="E466" i="29"/>
  <c r="E467" i="29"/>
  <c r="E468" i="29"/>
  <c r="E469" i="29"/>
  <c r="E470" i="29"/>
  <c r="E471" i="29"/>
  <c r="E472" i="29"/>
  <c r="E473" i="29"/>
  <c r="E474" i="29"/>
  <c r="E475" i="29"/>
  <c r="E476" i="29"/>
  <c r="E477" i="29"/>
  <c r="E478" i="29"/>
  <c r="E479" i="29"/>
  <c r="E480" i="29"/>
  <c r="E481" i="29"/>
  <c r="E482" i="29"/>
  <c r="E483" i="29"/>
  <c r="E484" i="29"/>
  <c r="E485" i="29"/>
  <c r="E486" i="29"/>
  <c r="E487" i="29"/>
  <c r="E488" i="29"/>
  <c r="E489" i="29"/>
  <c r="E490" i="29"/>
  <c r="E491" i="29"/>
  <c r="E492" i="29"/>
  <c r="E493" i="29"/>
  <c r="E494" i="29"/>
  <c r="E495" i="29"/>
  <c r="E496" i="29"/>
  <c r="E497" i="29"/>
  <c r="E498" i="29"/>
  <c r="E499" i="29"/>
  <c r="E500" i="29"/>
  <c r="E501" i="29"/>
  <c r="E502" i="29"/>
  <c r="E503" i="29"/>
  <c r="E504" i="29"/>
  <c r="E505" i="29"/>
  <c r="E506" i="29"/>
  <c r="E507" i="29"/>
  <c r="E508" i="29"/>
  <c r="E509" i="29"/>
  <c r="E510" i="29"/>
  <c r="E511" i="29"/>
  <c r="E512" i="29"/>
  <c r="E513" i="29"/>
  <c r="E514" i="29"/>
  <c r="E515" i="29"/>
  <c r="E516" i="29"/>
  <c r="E517" i="29"/>
  <c r="E518" i="29"/>
  <c r="E519" i="29"/>
  <c r="E520" i="29"/>
  <c r="E521" i="29"/>
  <c r="E522" i="29"/>
  <c r="E523" i="29"/>
  <c r="E524" i="29"/>
  <c r="E525" i="29"/>
  <c r="E526" i="29"/>
  <c r="E527" i="29"/>
  <c r="E528" i="29"/>
  <c r="E529" i="29"/>
  <c r="E530" i="29"/>
  <c r="E531" i="29"/>
  <c r="E532" i="29"/>
  <c r="E533" i="29"/>
  <c r="E534" i="29"/>
  <c r="E535" i="29"/>
  <c r="E536" i="29"/>
  <c r="E537" i="29"/>
  <c r="E538" i="29"/>
  <c r="E539" i="29"/>
  <c r="E540" i="29"/>
  <c r="E541" i="29"/>
  <c r="E542" i="29"/>
  <c r="E543" i="29"/>
  <c r="E544" i="29"/>
  <c r="E545" i="29"/>
  <c r="E546" i="29"/>
  <c r="E547" i="29"/>
  <c r="E548" i="29"/>
  <c r="E549" i="29"/>
  <c r="E550" i="29"/>
  <c r="E551" i="29"/>
  <c r="E552" i="29"/>
  <c r="E553" i="29"/>
  <c r="E554" i="29"/>
  <c r="E555" i="29"/>
  <c r="E556" i="29"/>
  <c r="E557" i="29"/>
  <c r="E558" i="29"/>
  <c r="E559" i="29"/>
  <c r="E560" i="29"/>
  <c r="E561" i="29"/>
  <c r="E562" i="29"/>
  <c r="E563" i="29"/>
  <c r="E564" i="29"/>
  <c r="E565" i="29"/>
  <c r="E566" i="29"/>
  <c r="E567" i="29"/>
  <c r="E568" i="29"/>
  <c r="E569" i="29"/>
  <c r="E570" i="29"/>
  <c r="E571" i="29"/>
  <c r="E572" i="29"/>
  <c r="E573" i="29"/>
  <c r="E574" i="29"/>
  <c r="E575" i="29"/>
  <c r="E576" i="29"/>
  <c r="E577" i="29"/>
  <c r="E578" i="29"/>
  <c r="E579" i="29"/>
  <c r="E580" i="29"/>
  <c r="E581" i="29"/>
  <c r="E582" i="29"/>
  <c r="E583" i="29"/>
  <c r="E584" i="29"/>
  <c r="E585" i="29"/>
  <c r="E586" i="29"/>
  <c r="E587" i="29"/>
  <c r="E588" i="29"/>
  <c r="E589" i="29"/>
  <c r="E590" i="29"/>
  <c r="E591" i="29"/>
  <c r="E592" i="29"/>
  <c r="E593" i="29"/>
  <c r="E594" i="29"/>
  <c r="E595" i="29"/>
  <c r="E596" i="29"/>
  <c r="E597" i="29"/>
  <c r="E598" i="29"/>
  <c r="E599" i="29"/>
  <c r="E600" i="29"/>
  <c r="E601" i="29"/>
  <c r="E602" i="29"/>
  <c r="E603" i="29"/>
  <c r="E604" i="29"/>
  <c r="E605" i="29"/>
  <c r="E606" i="29"/>
  <c r="E607" i="29"/>
  <c r="E608" i="29"/>
  <c r="E609" i="29"/>
  <c r="E610" i="29"/>
  <c r="E611" i="29"/>
  <c r="E612" i="29"/>
  <c r="E613" i="29"/>
  <c r="E614" i="29"/>
  <c r="E615" i="29"/>
  <c r="E616" i="29"/>
  <c r="E617" i="29"/>
  <c r="E618" i="29"/>
  <c r="E619" i="29"/>
  <c r="E620" i="29"/>
  <c r="E621" i="29"/>
  <c r="E622" i="29"/>
  <c r="E623" i="29"/>
  <c r="E624" i="29"/>
  <c r="E625" i="29"/>
  <c r="E626" i="29"/>
  <c r="E627" i="29"/>
  <c r="E628" i="29"/>
  <c r="E629" i="29"/>
  <c r="E630" i="29"/>
  <c r="E631" i="29"/>
  <c r="E632" i="29"/>
  <c r="E633" i="29"/>
  <c r="E634" i="29"/>
  <c r="E635" i="29"/>
  <c r="E636" i="29"/>
  <c r="E637" i="29"/>
  <c r="E638" i="29"/>
  <c r="E639" i="29"/>
  <c r="E640" i="29"/>
  <c r="E641" i="29"/>
  <c r="E642" i="29"/>
  <c r="E643" i="29"/>
  <c r="E644" i="29"/>
  <c r="E645" i="29"/>
  <c r="E646" i="29"/>
  <c r="E647" i="29"/>
  <c r="E648" i="29"/>
  <c r="E649" i="29"/>
  <c r="E650" i="29"/>
  <c r="E651" i="29"/>
  <c r="E652" i="29"/>
  <c r="E653" i="29"/>
  <c r="E654" i="29"/>
  <c r="E655" i="29"/>
  <c r="E656" i="29"/>
  <c r="E657" i="29"/>
  <c r="E658" i="29"/>
  <c r="E659" i="29"/>
  <c r="E660" i="29"/>
  <c r="E661" i="29"/>
  <c r="E662" i="29"/>
  <c r="E663" i="29"/>
  <c r="E664" i="29"/>
  <c r="E665" i="29"/>
  <c r="E666" i="29"/>
  <c r="E667" i="29"/>
  <c r="E668" i="29"/>
  <c r="E669" i="29"/>
  <c r="E670" i="29"/>
  <c r="E671" i="29"/>
  <c r="E672" i="29"/>
  <c r="C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66" i="29"/>
  <c r="C267" i="29"/>
  <c r="C268" i="29"/>
  <c r="C269" i="29"/>
  <c r="C270" i="29"/>
  <c r="C271" i="29"/>
  <c r="C272" i="29"/>
  <c r="C273" i="29"/>
  <c r="C274" i="29"/>
  <c r="C275" i="29"/>
  <c r="C276" i="29"/>
  <c r="C277" i="29"/>
  <c r="C278" i="29"/>
  <c r="C279" i="29"/>
  <c r="C280" i="29"/>
  <c r="C281" i="29"/>
  <c r="C282" i="29"/>
  <c r="C283" i="29"/>
  <c r="C284" i="29"/>
  <c r="C285" i="29"/>
  <c r="C286" i="29"/>
  <c r="C287" i="29"/>
  <c r="C288" i="29"/>
  <c r="C289" i="29"/>
  <c r="C290" i="29"/>
  <c r="C291" i="29"/>
  <c r="C292" i="29"/>
  <c r="C293" i="29"/>
  <c r="C294" i="29"/>
  <c r="C295" i="29"/>
  <c r="C296" i="29"/>
  <c r="C297" i="29"/>
  <c r="C298" i="29"/>
  <c r="C299" i="29"/>
  <c r="C300" i="29"/>
  <c r="C301" i="29"/>
  <c r="C302" i="29"/>
  <c r="C303" i="29"/>
  <c r="C304" i="29"/>
  <c r="C305" i="29"/>
  <c r="C306" i="29"/>
  <c r="C307" i="29"/>
  <c r="C308" i="29"/>
  <c r="C309" i="29"/>
  <c r="C310" i="29"/>
  <c r="C311" i="29"/>
  <c r="C312" i="29"/>
  <c r="C313" i="29"/>
  <c r="C314" i="29"/>
  <c r="C315" i="29"/>
  <c r="C316" i="29"/>
  <c r="C317" i="29"/>
  <c r="C318" i="29"/>
  <c r="C319" i="29"/>
  <c r="C320" i="29"/>
  <c r="C321" i="29"/>
  <c r="C322" i="29"/>
  <c r="C323" i="29"/>
  <c r="C324" i="29"/>
  <c r="C325" i="29"/>
  <c r="C326" i="29"/>
  <c r="C327" i="29"/>
  <c r="C328" i="29"/>
  <c r="C329" i="29"/>
  <c r="C330" i="29"/>
  <c r="C331" i="29"/>
  <c r="C332" i="29"/>
  <c r="C333" i="29"/>
  <c r="C334" i="29"/>
  <c r="C335" i="29"/>
  <c r="C336" i="29"/>
  <c r="C337" i="29"/>
  <c r="C338" i="29"/>
  <c r="C339" i="29"/>
  <c r="C340" i="29"/>
  <c r="C341" i="29"/>
  <c r="C342" i="29"/>
  <c r="C343" i="29"/>
  <c r="C344" i="29"/>
  <c r="C345" i="29"/>
  <c r="C346" i="29"/>
  <c r="C347" i="29"/>
  <c r="C348" i="29"/>
  <c r="C349" i="29"/>
  <c r="C350" i="29"/>
  <c r="C351" i="29"/>
  <c r="C352" i="29"/>
  <c r="C353" i="29"/>
  <c r="C354" i="29"/>
  <c r="C355" i="29"/>
  <c r="C356" i="29"/>
  <c r="C357" i="29"/>
  <c r="C358" i="29"/>
  <c r="C359" i="29"/>
  <c r="C360" i="29"/>
  <c r="C361" i="29"/>
  <c r="C362" i="29"/>
  <c r="C363" i="29"/>
  <c r="C364" i="29"/>
  <c r="C365" i="29"/>
  <c r="C366" i="29"/>
  <c r="C367" i="29"/>
  <c r="C368" i="29"/>
  <c r="C369" i="29"/>
  <c r="C370" i="29"/>
  <c r="C371" i="29"/>
  <c r="C372" i="29"/>
  <c r="C373" i="29"/>
  <c r="C374" i="29"/>
  <c r="C375" i="29"/>
  <c r="C376" i="29"/>
  <c r="C377" i="29"/>
  <c r="C378" i="29"/>
  <c r="C379" i="29"/>
  <c r="C380" i="29"/>
  <c r="C381" i="29"/>
  <c r="C382" i="29"/>
  <c r="C383" i="29"/>
  <c r="C384" i="29"/>
  <c r="C385" i="29"/>
  <c r="C386" i="29"/>
  <c r="C387" i="29"/>
  <c r="C388" i="29"/>
  <c r="C389" i="29"/>
  <c r="C390" i="29"/>
  <c r="C391" i="29"/>
  <c r="C392" i="29"/>
  <c r="C393" i="29"/>
  <c r="C394" i="29"/>
  <c r="C395" i="29"/>
  <c r="C396" i="29"/>
  <c r="C397" i="29"/>
  <c r="C398" i="29"/>
  <c r="C399" i="29"/>
  <c r="C400" i="29"/>
  <c r="C401" i="29"/>
  <c r="C402" i="29"/>
  <c r="C403" i="29"/>
  <c r="C404" i="29"/>
  <c r="C405" i="29"/>
  <c r="C406" i="29"/>
  <c r="C407" i="29"/>
  <c r="C408" i="29"/>
  <c r="C409" i="29"/>
  <c r="C410" i="29"/>
  <c r="C411" i="29"/>
  <c r="C412" i="29"/>
  <c r="C413" i="29"/>
  <c r="C414" i="29"/>
  <c r="C415" i="29"/>
  <c r="C416" i="29"/>
  <c r="C417" i="29"/>
  <c r="C418" i="29"/>
  <c r="C419" i="29"/>
  <c r="C420" i="29"/>
  <c r="C421" i="29"/>
  <c r="C422" i="29"/>
  <c r="C423" i="29"/>
  <c r="C424" i="29"/>
  <c r="C425" i="29"/>
  <c r="C426" i="29"/>
  <c r="C427" i="29"/>
  <c r="C428" i="29"/>
  <c r="C429" i="29"/>
  <c r="C430" i="29"/>
  <c r="C431" i="29"/>
  <c r="C432" i="29"/>
  <c r="C433" i="29"/>
  <c r="C434" i="29"/>
  <c r="C435" i="29"/>
  <c r="C436" i="29"/>
  <c r="C437" i="29"/>
  <c r="C438" i="29"/>
  <c r="C439" i="29"/>
  <c r="C440" i="29"/>
  <c r="C441" i="29"/>
  <c r="C442" i="29"/>
  <c r="C443" i="29"/>
  <c r="C444" i="29"/>
  <c r="C445" i="29"/>
  <c r="C446" i="29"/>
  <c r="C447" i="29"/>
  <c r="C448" i="29"/>
  <c r="C449" i="29"/>
  <c r="C450" i="29"/>
  <c r="C451" i="29"/>
  <c r="C452" i="29"/>
  <c r="C453" i="29"/>
  <c r="C454" i="29"/>
  <c r="C455" i="29"/>
  <c r="C456" i="29"/>
  <c r="C457" i="29"/>
  <c r="C458" i="29"/>
  <c r="C459" i="29"/>
  <c r="C460" i="29"/>
  <c r="C461" i="29"/>
  <c r="C462" i="29"/>
  <c r="C463" i="29"/>
  <c r="C464" i="29"/>
  <c r="C465" i="29"/>
  <c r="C466" i="29"/>
  <c r="C467" i="29"/>
  <c r="C468" i="29"/>
  <c r="C469" i="29"/>
  <c r="C470" i="29"/>
  <c r="C471" i="29"/>
  <c r="C472" i="29"/>
  <c r="C473" i="29"/>
  <c r="C474" i="29"/>
  <c r="C475" i="29"/>
  <c r="C476" i="29"/>
  <c r="C477" i="29"/>
  <c r="C478" i="29"/>
  <c r="C479" i="29"/>
  <c r="C480" i="29"/>
  <c r="C481" i="29"/>
  <c r="C482" i="29"/>
  <c r="C483" i="29"/>
  <c r="C484" i="29"/>
  <c r="C485" i="29"/>
  <c r="C486" i="29"/>
  <c r="C487" i="29"/>
  <c r="C488" i="29"/>
  <c r="C489" i="29"/>
  <c r="C490" i="29"/>
  <c r="C491" i="29"/>
  <c r="C492" i="29"/>
  <c r="C493" i="29"/>
  <c r="C494" i="29"/>
  <c r="C495" i="29"/>
  <c r="C496" i="29"/>
  <c r="C497" i="29"/>
  <c r="C498" i="29"/>
  <c r="C499" i="29"/>
  <c r="C500" i="29"/>
  <c r="C501" i="29"/>
  <c r="C502" i="29"/>
  <c r="C503" i="29"/>
  <c r="C504" i="29"/>
  <c r="C505" i="29"/>
  <c r="C506" i="29"/>
  <c r="C507" i="29"/>
  <c r="C508" i="29"/>
  <c r="C509" i="29"/>
  <c r="C510" i="29"/>
  <c r="C511" i="29"/>
  <c r="C512" i="29"/>
  <c r="C513" i="29"/>
  <c r="C514" i="29"/>
  <c r="C515" i="29"/>
  <c r="C516" i="29"/>
  <c r="C517" i="29"/>
  <c r="C518" i="29"/>
  <c r="C519" i="29"/>
  <c r="C520" i="29"/>
  <c r="C521" i="29"/>
  <c r="C522" i="29"/>
  <c r="C523" i="29"/>
  <c r="C524" i="29"/>
  <c r="C525" i="29"/>
  <c r="C526" i="29"/>
  <c r="C527" i="29"/>
  <c r="C528" i="29"/>
  <c r="C529" i="29"/>
  <c r="C530" i="29"/>
  <c r="C531" i="29"/>
  <c r="C532" i="29"/>
  <c r="C533" i="29"/>
  <c r="C534" i="29"/>
  <c r="C535" i="29"/>
  <c r="C536" i="29"/>
  <c r="C537" i="29"/>
  <c r="C538" i="29"/>
  <c r="C539" i="29"/>
  <c r="C540" i="29"/>
  <c r="C541" i="29"/>
  <c r="C542" i="29"/>
  <c r="C543" i="29"/>
  <c r="C544" i="29"/>
  <c r="C545" i="29"/>
  <c r="C546" i="29"/>
  <c r="C547" i="29"/>
  <c r="C548" i="29"/>
  <c r="C549" i="29"/>
  <c r="C550" i="29"/>
  <c r="C551" i="29"/>
  <c r="C552" i="29"/>
  <c r="C553" i="29"/>
  <c r="C554" i="29"/>
  <c r="C555" i="29"/>
  <c r="C556" i="29"/>
  <c r="C557" i="29"/>
  <c r="C558" i="29"/>
  <c r="C559" i="29"/>
  <c r="C560" i="29"/>
  <c r="C561" i="29"/>
  <c r="C562" i="29"/>
  <c r="C563" i="29"/>
  <c r="C564" i="29"/>
  <c r="C565" i="29"/>
  <c r="C566" i="29"/>
  <c r="C567" i="29"/>
  <c r="C568" i="29"/>
  <c r="C569" i="29"/>
  <c r="C570" i="29"/>
  <c r="C571" i="29"/>
  <c r="C572" i="29"/>
  <c r="C573" i="29"/>
  <c r="C574" i="29"/>
  <c r="C575" i="29"/>
  <c r="C576" i="29"/>
  <c r="C577" i="29"/>
  <c r="C578" i="29"/>
  <c r="C579" i="29"/>
  <c r="C580" i="29"/>
  <c r="C581" i="29"/>
  <c r="C582" i="29"/>
  <c r="C583" i="29"/>
  <c r="C584" i="29"/>
  <c r="C585" i="29"/>
  <c r="C586" i="29"/>
  <c r="C587" i="29"/>
  <c r="C588" i="29"/>
  <c r="C589" i="29"/>
  <c r="C590" i="29"/>
  <c r="C591" i="29"/>
  <c r="C592" i="29"/>
  <c r="C593" i="29"/>
  <c r="C594" i="29"/>
  <c r="C595" i="29"/>
  <c r="C596" i="29"/>
  <c r="C597" i="29"/>
  <c r="C598" i="29"/>
  <c r="C599" i="29"/>
  <c r="C600" i="29"/>
  <c r="C601" i="29"/>
  <c r="C602" i="29"/>
  <c r="C603" i="29"/>
  <c r="C604" i="29"/>
  <c r="C605" i="29"/>
  <c r="C606" i="29"/>
  <c r="C607" i="29"/>
  <c r="C608" i="29"/>
  <c r="C609" i="29"/>
  <c r="C610" i="29"/>
  <c r="C611" i="29"/>
  <c r="C612" i="29"/>
  <c r="C613" i="29"/>
  <c r="C614" i="29"/>
  <c r="C615" i="29"/>
  <c r="C616" i="29"/>
  <c r="C617" i="29"/>
  <c r="C618" i="29"/>
  <c r="C619" i="29"/>
  <c r="C620" i="29"/>
  <c r="C621" i="29"/>
  <c r="C622" i="29"/>
  <c r="C623" i="29"/>
  <c r="C624" i="29"/>
  <c r="C625" i="29"/>
  <c r="C626" i="29"/>
  <c r="C627" i="29"/>
  <c r="C628" i="29"/>
  <c r="C629" i="29"/>
  <c r="C630" i="29"/>
  <c r="C631" i="29"/>
  <c r="C632" i="29"/>
  <c r="C633" i="29"/>
  <c r="C634" i="29"/>
  <c r="C635" i="29"/>
  <c r="C636" i="29"/>
  <c r="C637" i="29"/>
  <c r="C638" i="29"/>
  <c r="C639" i="29"/>
  <c r="C640" i="29"/>
  <c r="C641" i="29"/>
  <c r="C642" i="29"/>
  <c r="C643" i="29"/>
  <c r="C644" i="29"/>
  <c r="C645" i="29"/>
  <c r="C646" i="29"/>
  <c r="C647" i="29"/>
  <c r="C648" i="29"/>
  <c r="C649" i="29"/>
  <c r="C650" i="29"/>
  <c r="C651" i="29"/>
  <c r="C652" i="29"/>
  <c r="C653" i="29"/>
  <c r="C654" i="29"/>
  <c r="C655" i="29"/>
  <c r="C656" i="29"/>
  <c r="C657" i="29"/>
  <c r="C658" i="29"/>
  <c r="C659" i="29"/>
  <c r="C660" i="29"/>
  <c r="C661" i="29"/>
  <c r="C662" i="29"/>
  <c r="C663" i="29"/>
  <c r="C664" i="29"/>
  <c r="C665" i="29"/>
  <c r="C666" i="29"/>
  <c r="C667" i="29"/>
  <c r="C668" i="29"/>
  <c r="C669" i="29"/>
  <c r="C670" i="29"/>
  <c r="C671" i="29"/>
  <c r="C672" i="29"/>
  <c r="B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102" i="29"/>
  <c r="B103" i="29"/>
  <c r="B104" i="29"/>
  <c r="B105" i="29"/>
  <c r="B106" i="29"/>
  <c r="B107" i="29"/>
  <c r="B108" i="29"/>
  <c r="B109" i="29"/>
  <c r="B110" i="29"/>
  <c r="B111" i="29"/>
  <c r="B112" i="29"/>
  <c r="B113" i="29"/>
  <c r="B114" i="29"/>
  <c r="B115" i="29"/>
  <c r="B116" i="29"/>
  <c r="B117" i="29"/>
  <c r="B118" i="29"/>
  <c r="B119" i="29"/>
  <c r="B120" i="29"/>
  <c r="B121" i="29"/>
  <c r="B122" i="29"/>
  <c r="B123" i="29"/>
  <c r="B124" i="29"/>
  <c r="B125" i="29"/>
  <c r="B126" i="29"/>
  <c r="B127" i="29"/>
  <c r="B128" i="29"/>
  <c r="B129" i="29"/>
  <c r="B130" i="29"/>
  <c r="B131" i="29"/>
  <c r="B132" i="29"/>
  <c r="B133" i="29"/>
  <c r="B134" i="29"/>
  <c r="B135" i="29"/>
  <c r="B136" i="29"/>
  <c r="B137" i="29"/>
  <c r="B138" i="29"/>
  <c r="B139" i="29"/>
  <c r="B140" i="29"/>
  <c r="B141" i="29"/>
  <c r="B142" i="29"/>
  <c r="B143" i="29"/>
  <c r="B144" i="29"/>
  <c r="B145" i="29"/>
  <c r="B146" i="29"/>
  <c r="B147" i="29"/>
  <c r="B148" i="29"/>
  <c r="B149" i="29"/>
  <c r="B150" i="29"/>
  <c r="B151" i="29"/>
  <c r="B152" i="29"/>
  <c r="B153" i="29"/>
  <c r="B154" i="29"/>
  <c r="B155" i="29"/>
  <c r="B156" i="29"/>
  <c r="B157" i="29"/>
  <c r="B158" i="29"/>
  <c r="B159" i="29"/>
  <c r="B160" i="29"/>
  <c r="B161" i="29"/>
  <c r="B162" i="29"/>
  <c r="B163" i="29"/>
  <c r="B164" i="29"/>
  <c r="B165" i="29"/>
  <c r="B166" i="29"/>
  <c r="B167" i="29"/>
  <c r="B168" i="29"/>
  <c r="B169" i="29"/>
  <c r="B170" i="29"/>
  <c r="B171" i="29"/>
  <c r="B172" i="29"/>
  <c r="B173" i="29"/>
  <c r="B174" i="29"/>
  <c r="B175" i="29"/>
  <c r="B176" i="29"/>
  <c r="B177" i="29"/>
  <c r="B178" i="29"/>
  <c r="B179" i="29"/>
  <c r="B180" i="29"/>
  <c r="B181" i="29"/>
  <c r="B182" i="29"/>
  <c r="B183" i="29"/>
  <c r="B184" i="29"/>
  <c r="B185" i="29"/>
  <c r="B186" i="29"/>
  <c r="B187" i="29"/>
  <c r="B188" i="29"/>
  <c r="B189" i="29"/>
  <c r="B190" i="29"/>
  <c r="B191" i="29"/>
  <c r="B192" i="29"/>
  <c r="B193" i="29"/>
  <c r="B194" i="29"/>
  <c r="B195" i="29"/>
  <c r="B196" i="29"/>
  <c r="B197" i="29"/>
  <c r="B198" i="29"/>
  <c r="B199" i="29"/>
  <c r="B200" i="29"/>
  <c r="B201" i="29"/>
  <c r="B202" i="29"/>
  <c r="B203" i="29"/>
  <c r="B204" i="29"/>
  <c r="B205" i="29"/>
  <c r="B206" i="29"/>
  <c r="B207" i="29"/>
  <c r="B208" i="29"/>
  <c r="B209" i="29"/>
  <c r="B210" i="29"/>
  <c r="B211" i="29"/>
  <c r="B212" i="29"/>
  <c r="B213" i="29"/>
  <c r="B214" i="29"/>
  <c r="B215" i="29"/>
  <c r="B216" i="29"/>
  <c r="B217" i="29"/>
  <c r="B218" i="29"/>
  <c r="B219" i="29"/>
  <c r="B220" i="29"/>
  <c r="B221" i="29"/>
  <c r="B222" i="29"/>
  <c r="B223" i="29"/>
  <c r="B224" i="29"/>
  <c r="B225" i="29"/>
  <c r="B226" i="29"/>
  <c r="B227" i="29"/>
  <c r="B228" i="29"/>
  <c r="B229" i="29"/>
  <c r="B230" i="29"/>
  <c r="B231" i="29"/>
  <c r="B232" i="29"/>
  <c r="B233" i="29"/>
  <c r="B234" i="29"/>
  <c r="B235" i="29"/>
  <c r="B236" i="29"/>
  <c r="B237" i="29"/>
  <c r="B238" i="29"/>
  <c r="B239" i="29"/>
  <c r="B240" i="29"/>
  <c r="B241" i="29"/>
  <c r="B242" i="29"/>
  <c r="B243" i="29"/>
  <c r="B244" i="29"/>
  <c r="B245" i="29"/>
  <c r="B246" i="29"/>
  <c r="B247" i="29"/>
  <c r="B248" i="29"/>
  <c r="B249" i="29"/>
  <c r="B250" i="29"/>
  <c r="B251" i="29"/>
  <c r="B252" i="29"/>
  <c r="B253" i="29"/>
  <c r="B254" i="29"/>
  <c r="B255" i="29"/>
  <c r="B256" i="29"/>
  <c r="B257" i="29"/>
  <c r="B258" i="29"/>
  <c r="B259" i="29"/>
  <c r="B260" i="29"/>
  <c r="B261" i="29"/>
  <c r="B262" i="29"/>
  <c r="B263" i="29"/>
  <c r="B264" i="29"/>
  <c r="B265" i="29"/>
  <c r="B266" i="29"/>
  <c r="B267" i="29"/>
  <c r="B268" i="29"/>
  <c r="B269" i="29"/>
  <c r="B270" i="29"/>
  <c r="B271" i="29"/>
  <c r="B272" i="29"/>
  <c r="B273" i="29"/>
  <c r="B274" i="29"/>
  <c r="B275" i="29"/>
  <c r="B276" i="29"/>
  <c r="B277" i="29"/>
  <c r="B278" i="29"/>
  <c r="B279" i="29"/>
  <c r="B280" i="29"/>
  <c r="B281" i="29"/>
  <c r="B282" i="29"/>
  <c r="B283" i="29"/>
  <c r="B284" i="29"/>
  <c r="B285" i="29"/>
  <c r="B286" i="29"/>
  <c r="B287" i="29"/>
  <c r="B288" i="29"/>
  <c r="B289" i="29"/>
  <c r="B290" i="29"/>
  <c r="B291" i="29"/>
  <c r="B292" i="29"/>
  <c r="B293" i="29"/>
  <c r="B294" i="29"/>
  <c r="B295" i="29"/>
  <c r="B296" i="29"/>
  <c r="B297" i="29"/>
  <c r="B298" i="29"/>
  <c r="B299" i="29"/>
  <c r="B300" i="29"/>
  <c r="B301" i="29"/>
  <c r="B302" i="29"/>
  <c r="B303" i="29"/>
  <c r="B304" i="29"/>
  <c r="B305" i="29"/>
  <c r="B306" i="29"/>
  <c r="B307" i="29"/>
  <c r="B308" i="29"/>
  <c r="B309" i="29"/>
  <c r="B310" i="29"/>
  <c r="B311" i="29"/>
  <c r="B312" i="29"/>
  <c r="B313" i="29"/>
  <c r="B314" i="29"/>
  <c r="B315" i="29"/>
  <c r="B316" i="29"/>
  <c r="B317" i="29"/>
  <c r="B318" i="29"/>
  <c r="B319" i="29"/>
  <c r="B320" i="29"/>
  <c r="B321" i="29"/>
  <c r="B322" i="29"/>
  <c r="B323" i="29"/>
  <c r="B324" i="29"/>
  <c r="B325" i="29"/>
  <c r="B326" i="29"/>
  <c r="B327" i="29"/>
  <c r="B328" i="29"/>
  <c r="B329" i="29"/>
  <c r="B330" i="29"/>
  <c r="B331" i="29"/>
  <c r="B332" i="29"/>
  <c r="B333" i="29"/>
  <c r="B334" i="29"/>
  <c r="B335" i="29"/>
  <c r="B336" i="29"/>
  <c r="B337" i="29"/>
  <c r="B338" i="29"/>
  <c r="B339" i="29"/>
  <c r="B340" i="29"/>
  <c r="B341" i="29"/>
  <c r="B342" i="29"/>
  <c r="B343" i="29"/>
  <c r="B344" i="29"/>
  <c r="B345" i="29"/>
  <c r="B346" i="29"/>
  <c r="B347" i="29"/>
  <c r="B348" i="29"/>
  <c r="B349" i="29"/>
  <c r="B350" i="29"/>
  <c r="B351" i="29"/>
  <c r="B352" i="29"/>
  <c r="B353" i="29"/>
  <c r="B354" i="29"/>
  <c r="B355" i="29"/>
  <c r="B356" i="29"/>
  <c r="B357" i="29"/>
  <c r="B358" i="29"/>
  <c r="B359" i="29"/>
  <c r="B360" i="29"/>
  <c r="B361" i="29"/>
  <c r="B362" i="29"/>
  <c r="B363" i="29"/>
  <c r="B364" i="29"/>
  <c r="B365" i="29"/>
  <c r="B366" i="29"/>
  <c r="B367" i="29"/>
  <c r="B368" i="29"/>
  <c r="B369" i="29"/>
  <c r="B370" i="29"/>
  <c r="B371" i="29"/>
  <c r="B372" i="29"/>
  <c r="B373" i="29"/>
  <c r="B374" i="29"/>
  <c r="B375" i="29"/>
  <c r="B376" i="29"/>
  <c r="B377" i="29"/>
  <c r="B378" i="29"/>
  <c r="B379" i="29"/>
  <c r="B380" i="29"/>
  <c r="B381" i="29"/>
  <c r="B382" i="29"/>
  <c r="B383" i="29"/>
  <c r="B384" i="29"/>
  <c r="B385" i="29"/>
  <c r="B386" i="29"/>
  <c r="B387" i="29"/>
  <c r="B388" i="29"/>
  <c r="B389" i="29"/>
  <c r="B390" i="29"/>
  <c r="B391" i="29"/>
  <c r="B392" i="29"/>
  <c r="B393" i="29"/>
  <c r="B394" i="29"/>
  <c r="B395" i="29"/>
  <c r="B396" i="29"/>
  <c r="B397" i="29"/>
  <c r="B398" i="29"/>
  <c r="B399" i="29"/>
  <c r="B400" i="29"/>
  <c r="B401" i="29"/>
  <c r="B402" i="29"/>
  <c r="B403" i="29"/>
  <c r="B404" i="29"/>
  <c r="B405" i="29"/>
  <c r="B406" i="29"/>
  <c r="B407" i="29"/>
  <c r="B408" i="29"/>
  <c r="B409" i="29"/>
  <c r="B410" i="29"/>
  <c r="B411" i="29"/>
  <c r="B412" i="29"/>
  <c r="B413" i="29"/>
  <c r="B414" i="29"/>
  <c r="B415" i="29"/>
  <c r="B416" i="29"/>
  <c r="B417" i="29"/>
  <c r="B418" i="29"/>
  <c r="B419" i="29"/>
  <c r="B420" i="29"/>
  <c r="B421" i="29"/>
  <c r="B422" i="29"/>
  <c r="B423" i="29"/>
  <c r="B424" i="29"/>
  <c r="B425" i="29"/>
  <c r="B426" i="29"/>
  <c r="B427" i="29"/>
  <c r="B428" i="29"/>
  <c r="B429" i="29"/>
  <c r="B430" i="29"/>
  <c r="B431" i="29"/>
  <c r="B432" i="29"/>
  <c r="B433" i="29"/>
  <c r="B434" i="29"/>
  <c r="B435" i="29"/>
  <c r="B436" i="29"/>
  <c r="B437" i="29"/>
  <c r="B438" i="29"/>
  <c r="B439" i="29"/>
  <c r="B440" i="29"/>
  <c r="B441" i="29"/>
  <c r="B442" i="29"/>
  <c r="B443" i="29"/>
  <c r="B444" i="29"/>
  <c r="B445" i="29"/>
  <c r="B446" i="29"/>
  <c r="B447" i="29"/>
  <c r="B448" i="29"/>
  <c r="B449" i="29"/>
  <c r="B450" i="29"/>
  <c r="B451" i="29"/>
  <c r="B452" i="29"/>
  <c r="B453" i="29"/>
  <c r="B454" i="29"/>
  <c r="B455" i="29"/>
  <c r="B456" i="29"/>
  <c r="B457" i="29"/>
  <c r="B458" i="29"/>
  <c r="B459" i="29"/>
  <c r="B460" i="29"/>
  <c r="B461" i="29"/>
  <c r="B462" i="29"/>
  <c r="B463" i="29"/>
  <c r="B464" i="29"/>
  <c r="B465" i="29"/>
  <c r="B466" i="29"/>
  <c r="B467" i="29"/>
  <c r="B468" i="29"/>
  <c r="B469" i="29"/>
  <c r="B470" i="29"/>
  <c r="B471" i="29"/>
  <c r="B472" i="29"/>
  <c r="B473" i="29"/>
  <c r="B474" i="29"/>
  <c r="B475" i="29"/>
  <c r="B476" i="29"/>
  <c r="B477" i="29"/>
  <c r="B478" i="29"/>
  <c r="B479" i="29"/>
  <c r="B480" i="29"/>
  <c r="B481" i="29"/>
  <c r="B482" i="29"/>
  <c r="B483" i="29"/>
  <c r="B484" i="29"/>
  <c r="B485" i="29"/>
  <c r="B486" i="29"/>
  <c r="B487" i="29"/>
  <c r="B488" i="29"/>
  <c r="B489" i="29"/>
  <c r="B490" i="29"/>
  <c r="B491" i="29"/>
  <c r="B492" i="29"/>
  <c r="B493" i="29"/>
  <c r="B494" i="29"/>
  <c r="B495" i="29"/>
  <c r="B496" i="29"/>
  <c r="B497" i="29"/>
  <c r="B498" i="29"/>
  <c r="B499" i="29"/>
  <c r="B500" i="29"/>
  <c r="B501" i="29"/>
  <c r="B502" i="29"/>
  <c r="B503" i="29"/>
  <c r="B504" i="29"/>
  <c r="B505" i="29"/>
  <c r="B506" i="29"/>
  <c r="B507" i="29"/>
  <c r="B508" i="29"/>
  <c r="B509" i="29"/>
  <c r="B510" i="29"/>
  <c r="B511" i="29"/>
  <c r="B512" i="29"/>
  <c r="B513" i="29"/>
  <c r="B514" i="29"/>
  <c r="B515" i="29"/>
  <c r="B516" i="29"/>
  <c r="B517" i="29"/>
  <c r="B518" i="29"/>
  <c r="B519" i="29"/>
  <c r="B520" i="29"/>
  <c r="B521" i="29"/>
  <c r="B522" i="29"/>
  <c r="B523" i="29"/>
  <c r="B524" i="29"/>
  <c r="B525" i="29"/>
  <c r="B526" i="29"/>
  <c r="B527" i="29"/>
  <c r="B528" i="29"/>
  <c r="B529" i="29"/>
  <c r="B530" i="29"/>
  <c r="B531" i="29"/>
  <c r="B532" i="29"/>
  <c r="B533" i="29"/>
  <c r="B534" i="29"/>
  <c r="B535" i="29"/>
  <c r="B536" i="29"/>
  <c r="B537" i="29"/>
  <c r="B538" i="29"/>
  <c r="B539" i="29"/>
  <c r="B540" i="29"/>
  <c r="B541" i="29"/>
  <c r="B542" i="29"/>
  <c r="B543" i="29"/>
  <c r="B544" i="29"/>
  <c r="B545" i="29"/>
  <c r="B546" i="29"/>
  <c r="B547" i="29"/>
  <c r="B548" i="29"/>
  <c r="B549" i="29"/>
  <c r="B550" i="29"/>
  <c r="B551" i="29"/>
  <c r="B552" i="29"/>
  <c r="B553" i="29"/>
  <c r="B554" i="29"/>
  <c r="B555" i="29"/>
  <c r="B556" i="29"/>
  <c r="B557" i="29"/>
  <c r="B558" i="29"/>
  <c r="B559" i="29"/>
  <c r="B560" i="29"/>
  <c r="B561" i="29"/>
  <c r="B562" i="29"/>
  <c r="B563" i="29"/>
  <c r="B564" i="29"/>
  <c r="B565" i="29"/>
  <c r="B566" i="29"/>
  <c r="B567" i="29"/>
  <c r="B568" i="29"/>
  <c r="B569" i="29"/>
  <c r="B570" i="29"/>
  <c r="B571" i="29"/>
  <c r="B572" i="29"/>
  <c r="B573" i="29"/>
  <c r="B574" i="29"/>
  <c r="B575" i="29"/>
  <c r="B576" i="29"/>
  <c r="B577" i="29"/>
  <c r="B578" i="29"/>
  <c r="B579" i="29"/>
  <c r="B580" i="29"/>
  <c r="B581" i="29"/>
  <c r="B582" i="29"/>
  <c r="B583" i="29"/>
  <c r="B584" i="29"/>
  <c r="B585" i="29"/>
  <c r="B586" i="29"/>
  <c r="B587" i="29"/>
  <c r="B588" i="29"/>
  <c r="B589" i="29"/>
  <c r="B590" i="29"/>
  <c r="B591" i="29"/>
  <c r="B592" i="29"/>
  <c r="B593" i="29"/>
  <c r="B594" i="29"/>
  <c r="B595" i="29"/>
  <c r="B596" i="29"/>
  <c r="B597" i="29"/>
  <c r="B598" i="29"/>
  <c r="B599" i="29"/>
  <c r="B600" i="29"/>
  <c r="B601" i="29"/>
  <c r="B602" i="29"/>
  <c r="B603" i="29"/>
  <c r="B604" i="29"/>
  <c r="B605" i="29"/>
  <c r="B606" i="29"/>
  <c r="B607" i="29"/>
  <c r="B608" i="29"/>
  <c r="B609" i="29"/>
  <c r="B610" i="29"/>
  <c r="B611" i="29"/>
  <c r="B612" i="29"/>
  <c r="B613" i="29"/>
  <c r="B614" i="29"/>
  <c r="B615" i="29"/>
  <c r="B616" i="29"/>
  <c r="B617" i="29"/>
  <c r="B618" i="29"/>
  <c r="B619" i="29"/>
  <c r="B620" i="29"/>
  <c r="B621" i="29"/>
  <c r="B622" i="29"/>
  <c r="B623" i="29"/>
  <c r="B624" i="29"/>
  <c r="B625" i="29"/>
  <c r="B626" i="29"/>
  <c r="B627" i="29"/>
  <c r="B628" i="29"/>
  <c r="B629" i="29"/>
  <c r="B630" i="29"/>
  <c r="B631" i="29"/>
  <c r="B632" i="29"/>
  <c r="B633" i="29"/>
  <c r="B634" i="29"/>
  <c r="B635" i="29"/>
  <c r="B636" i="29"/>
  <c r="B637" i="29"/>
  <c r="B638" i="29"/>
  <c r="B639" i="29"/>
  <c r="B640" i="29"/>
  <c r="B641" i="29"/>
  <c r="B642" i="29"/>
  <c r="B643" i="29"/>
  <c r="B644" i="29"/>
  <c r="B645" i="29"/>
  <c r="B646" i="29"/>
  <c r="B647" i="29"/>
  <c r="B648" i="29"/>
  <c r="B649" i="29"/>
  <c r="B650" i="29"/>
  <c r="B651" i="29"/>
  <c r="B652" i="29"/>
  <c r="B653" i="29"/>
  <c r="B654" i="29"/>
  <c r="B655" i="29"/>
  <c r="B656" i="29"/>
  <c r="B657" i="29"/>
  <c r="B658" i="29"/>
  <c r="B659" i="29"/>
  <c r="B660" i="29"/>
  <c r="B661" i="29"/>
  <c r="B662" i="29"/>
  <c r="B663" i="29"/>
  <c r="B664" i="29"/>
  <c r="B665" i="29"/>
  <c r="B666" i="29"/>
  <c r="B667" i="29"/>
  <c r="B668" i="29"/>
  <c r="B669" i="29"/>
  <c r="B670" i="29"/>
  <c r="B671" i="29"/>
  <c r="B672" i="29"/>
  <c r="W30" i="2" l="1"/>
  <c r="U30" i="2" l="1"/>
  <c r="S30" i="2"/>
  <c r="T30" i="2" s="1"/>
  <c r="R30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1" i="2"/>
  <c r="W132" i="2"/>
  <c r="W133" i="2"/>
  <c r="W134" i="2"/>
  <c r="W136" i="2"/>
  <c r="W137" i="2"/>
  <c r="W138" i="2"/>
  <c r="W139" i="2"/>
  <c r="W140" i="2"/>
  <c r="W141" i="2"/>
  <c r="W142" i="2"/>
  <c r="W144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41" i="2"/>
  <c r="W450" i="2"/>
  <c r="W449" i="2"/>
  <c r="W446" i="2"/>
  <c r="W445" i="2"/>
  <c r="W444" i="2"/>
  <c r="W442" i="2"/>
  <c r="W458" i="2"/>
  <c r="W438" i="2"/>
  <c r="W432" i="2"/>
  <c r="W434" i="2"/>
  <c r="W435" i="2"/>
  <c r="W433" i="2"/>
  <c r="W431" i="2"/>
  <c r="W457" i="2"/>
  <c r="W459" i="2"/>
  <c r="W436" i="2"/>
  <c r="W437" i="2"/>
  <c r="W440" i="2"/>
  <c r="W439" i="2"/>
  <c r="W443" i="2"/>
  <c r="W447" i="2"/>
  <c r="W448" i="2"/>
  <c r="W451" i="2"/>
  <c r="W452" i="2"/>
  <c r="W455" i="2"/>
  <c r="W453" i="2"/>
  <c r="W454" i="2"/>
  <c r="W456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E36" i="29" l="1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6" i="29" l="1"/>
  <c r="E13" i="29"/>
  <c r="E30" i="29"/>
  <c r="E29" i="29"/>
  <c r="E26" i="29"/>
  <c r="E24" i="29"/>
  <c r="E15" i="29"/>
  <c r="E35" i="29"/>
  <c r="E34" i="29"/>
  <c r="E32" i="29"/>
  <c r="E28" i="29"/>
  <c r="E25" i="29"/>
  <c r="E22" i="29"/>
  <c r="E19" i="29"/>
  <c r="E14" i="29"/>
  <c r="E12" i="29"/>
  <c r="E23" i="29"/>
  <c r="E33" i="29"/>
  <c r="E31" i="29"/>
  <c r="E27" i="29"/>
  <c r="E21" i="29"/>
  <c r="E20" i="29"/>
  <c r="E18" i="29"/>
  <c r="E17" i="29"/>
  <c r="S944" i="2" l="1"/>
  <c r="T944" i="2" s="1"/>
  <c r="U944" i="2"/>
  <c r="R944" i="2"/>
  <c r="U48" i="2" l="1"/>
  <c r="S48" i="2"/>
  <c r="U47" i="2"/>
  <c r="S47" i="2"/>
  <c r="R48" i="2"/>
  <c r="R47" i="2"/>
  <c r="U141" i="2" l="1"/>
  <c r="S141" i="2"/>
  <c r="T141" i="2" s="1"/>
  <c r="R141" i="2"/>
  <c r="AH5" i="11" l="1"/>
  <c r="U1028" i="2" l="1"/>
  <c r="S1028" i="2"/>
  <c r="T1028" i="2" s="1"/>
  <c r="U1052" i="2"/>
  <c r="S1052" i="2"/>
  <c r="T1052" i="2" s="1"/>
  <c r="U1044" i="2"/>
  <c r="S1044" i="2"/>
  <c r="T1044" i="2" s="1"/>
  <c r="U988" i="2"/>
  <c r="S988" i="2"/>
  <c r="T988" i="2" s="1"/>
  <c r="U983" i="2"/>
  <c r="S983" i="2"/>
  <c r="T983" i="2" s="1"/>
  <c r="U1057" i="2"/>
  <c r="S1057" i="2"/>
  <c r="T1057" i="2" s="1"/>
  <c r="R1028" i="2"/>
  <c r="R1044" i="2"/>
  <c r="R983" i="2"/>
  <c r="R988" i="2"/>
  <c r="R1057" i="2"/>
  <c r="R1052" i="2"/>
  <c r="U221" i="2" l="1"/>
  <c r="S221" i="2"/>
  <c r="T221" i="2" s="1"/>
  <c r="R221" i="2"/>
  <c r="U1146" i="2" l="1"/>
  <c r="S1146" i="2"/>
  <c r="R1146" i="2"/>
  <c r="U843" i="2" l="1"/>
  <c r="S843" i="2"/>
  <c r="R843" i="2"/>
  <c r="U306" i="2" l="1"/>
  <c r="S306" i="2"/>
  <c r="T306" i="2" s="1"/>
  <c r="U309" i="2"/>
  <c r="S309" i="2"/>
  <c r="T309" i="2" s="1"/>
  <c r="R309" i="2"/>
  <c r="R306" i="2"/>
  <c r="U359" i="2" l="1"/>
  <c r="S359" i="2"/>
  <c r="T359" i="2" s="1"/>
  <c r="U374" i="2"/>
  <c r="S374" i="2"/>
  <c r="T374" i="2" s="1"/>
  <c r="U372" i="2"/>
  <c r="S372" i="2"/>
  <c r="T372" i="2" s="1"/>
  <c r="U370" i="2"/>
  <c r="S370" i="2"/>
  <c r="T370" i="2" s="1"/>
  <c r="U396" i="2"/>
  <c r="S396" i="2"/>
  <c r="T396" i="2" s="1"/>
  <c r="U356" i="2"/>
  <c r="S356" i="2"/>
  <c r="T356" i="2" s="1"/>
  <c r="U368" i="2"/>
  <c r="S368" i="2"/>
  <c r="T368" i="2" s="1"/>
  <c r="U382" i="2"/>
  <c r="S382" i="2"/>
  <c r="T382" i="2" s="1"/>
  <c r="R368" i="2"/>
  <c r="R374" i="2"/>
  <c r="R356" i="2"/>
  <c r="R359" i="2"/>
  <c r="R396" i="2"/>
  <c r="R370" i="2"/>
  <c r="R372" i="2"/>
  <c r="R382" i="2"/>
  <c r="U772" i="2" l="1"/>
  <c r="S772" i="2"/>
  <c r="T772" i="2" s="1"/>
  <c r="U427" i="2"/>
  <c r="S427" i="2"/>
  <c r="T427" i="2" s="1"/>
  <c r="U767" i="2"/>
  <c r="S767" i="2"/>
  <c r="T767" i="2" s="1"/>
  <c r="U442" i="2"/>
  <c r="S442" i="2"/>
  <c r="T442" i="2" s="1"/>
  <c r="U401" i="2"/>
  <c r="S401" i="2"/>
  <c r="T401" i="2" s="1"/>
  <c r="U760" i="2"/>
  <c r="S760" i="2"/>
  <c r="T760" i="2" s="1"/>
  <c r="U776" i="2"/>
  <c r="S776" i="2"/>
  <c r="T776" i="2" s="1"/>
  <c r="U435" i="2"/>
  <c r="S435" i="2"/>
  <c r="T435" i="2" s="1"/>
  <c r="U774" i="2"/>
  <c r="S774" i="2"/>
  <c r="T774" i="2" s="1"/>
  <c r="R772" i="2"/>
  <c r="R774" i="2"/>
  <c r="R767" i="2"/>
  <c r="R401" i="2"/>
  <c r="R427" i="2"/>
  <c r="R442" i="2"/>
  <c r="R435" i="2"/>
  <c r="R760" i="2"/>
  <c r="R776" i="2"/>
  <c r="U28" i="2" l="1"/>
  <c r="S28" i="2"/>
  <c r="R28" i="2"/>
  <c r="AH3" i="11"/>
  <c r="AH2" i="11" s="1"/>
  <c r="D14" i="29" l="1"/>
  <c r="D15" i="29"/>
  <c r="D16" i="29"/>
  <c r="D17" i="29"/>
  <c r="D18" i="29"/>
  <c r="D19" i="29"/>
  <c r="D20" i="29"/>
  <c r="D21" i="29"/>
  <c r="D22" i="29"/>
  <c r="D23" i="29"/>
  <c r="D24" i="29"/>
  <c r="D26" i="29"/>
  <c r="D27" i="29"/>
  <c r="D28" i="29"/>
  <c r="D29" i="29"/>
  <c r="D30" i="29"/>
  <c r="D31" i="29"/>
  <c r="D32" i="29"/>
  <c r="D3" i="2"/>
  <c r="F72" i="42" l="1"/>
  <c r="G73" i="42"/>
  <c r="G72" i="42"/>
  <c r="F73" i="42"/>
  <c r="F67" i="42"/>
  <c r="I67" i="42" s="1"/>
  <c r="A67" i="42" s="1"/>
  <c r="G68" i="42"/>
  <c r="F71" i="42"/>
  <c r="G67" i="42"/>
  <c r="F70" i="42"/>
  <c r="G71" i="42"/>
  <c r="F69" i="42"/>
  <c r="G70" i="42"/>
  <c r="F68" i="42"/>
  <c r="G69" i="42"/>
  <c r="D67" i="42"/>
  <c r="D71" i="42"/>
  <c r="D75" i="42"/>
  <c r="D79" i="42"/>
  <c r="D68" i="42"/>
  <c r="D72" i="42"/>
  <c r="D76" i="42"/>
  <c r="D80" i="42"/>
  <c r="D84" i="42"/>
  <c r="D69" i="42"/>
  <c r="D73" i="42"/>
  <c r="D77" i="42"/>
  <c r="D81" i="42"/>
  <c r="D82" i="42"/>
  <c r="D70" i="42"/>
  <c r="D74" i="42"/>
  <c r="D78" i="42"/>
  <c r="D83" i="42"/>
  <c r="D34" i="42"/>
  <c r="D38" i="42"/>
  <c r="D42" i="42"/>
  <c r="D46" i="42"/>
  <c r="D50" i="42"/>
  <c r="D54" i="42"/>
  <c r="D58" i="42"/>
  <c r="D62" i="42"/>
  <c r="D66" i="42"/>
  <c r="D36" i="42"/>
  <c r="D44" i="42"/>
  <c r="D48" i="42"/>
  <c r="D52" i="42"/>
  <c r="D60" i="42"/>
  <c r="D41" i="42"/>
  <c r="D45" i="42"/>
  <c r="D53" i="42"/>
  <c r="D61" i="42"/>
  <c r="D35" i="42"/>
  <c r="D39" i="42"/>
  <c r="D43" i="42"/>
  <c r="D47" i="42"/>
  <c r="D51" i="42"/>
  <c r="D55" i="42"/>
  <c r="D59" i="42"/>
  <c r="D63" i="42"/>
  <c r="D40" i="42"/>
  <c r="D56" i="42"/>
  <c r="D64" i="42"/>
  <c r="D37" i="42"/>
  <c r="D49" i="42"/>
  <c r="D57" i="42"/>
  <c r="D65" i="42"/>
  <c r="F14" i="42"/>
  <c r="G15" i="42"/>
  <c r="F18" i="42"/>
  <c r="G19" i="42"/>
  <c r="F22" i="42"/>
  <c r="G23" i="42"/>
  <c r="F26" i="42"/>
  <c r="G27" i="42"/>
  <c r="F30" i="42"/>
  <c r="G31" i="42"/>
  <c r="F34" i="42"/>
  <c r="G35" i="42"/>
  <c r="F38" i="42"/>
  <c r="G39" i="42"/>
  <c r="F42" i="42"/>
  <c r="G43" i="42"/>
  <c r="F46" i="42"/>
  <c r="G47" i="42"/>
  <c r="F50" i="42"/>
  <c r="G51" i="42"/>
  <c r="F54" i="42"/>
  <c r="H54" i="42" s="1"/>
  <c r="A54" i="42" s="1"/>
  <c r="G55" i="42"/>
  <c r="F58" i="42"/>
  <c r="G59" i="42"/>
  <c r="F62" i="42"/>
  <c r="G18" i="42"/>
  <c r="F21" i="42"/>
  <c r="G26" i="42"/>
  <c r="F29" i="42"/>
  <c r="G34" i="42"/>
  <c r="F37" i="42"/>
  <c r="G42" i="42"/>
  <c r="F45" i="42"/>
  <c r="G50" i="42"/>
  <c r="F53" i="42"/>
  <c r="G58" i="42"/>
  <c r="G14" i="42"/>
  <c r="F16" i="42"/>
  <c r="G17" i="42"/>
  <c r="F20" i="42"/>
  <c r="G21" i="42"/>
  <c r="F24" i="42"/>
  <c r="G25" i="42"/>
  <c r="F28" i="42"/>
  <c r="G29" i="42"/>
  <c r="F32" i="42"/>
  <c r="G33" i="42"/>
  <c r="F36" i="42"/>
  <c r="G37" i="42"/>
  <c r="F40" i="42"/>
  <c r="G41" i="42"/>
  <c r="F44" i="42"/>
  <c r="G45" i="42"/>
  <c r="F48" i="42"/>
  <c r="G49" i="42"/>
  <c r="F52" i="42"/>
  <c r="G53" i="42"/>
  <c r="F56" i="42"/>
  <c r="I56" i="42" s="1"/>
  <c r="A56" i="42" s="1"/>
  <c r="G57" i="42"/>
  <c r="F60" i="42"/>
  <c r="G61" i="42"/>
  <c r="F64" i="42"/>
  <c r="G65" i="42"/>
  <c r="F63" i="42"/>
  <c r="F66" i="42"/>
  <c r="F17" i="42"/>
  <c r="G22" i="42"/>
  <c r="F25" i="42"/>
  <c r="G30" i="42"/>
  <c r="F33" i="42"/>
  <c r="G38" i="42"/>
  <c r="F41" i="42"/>
  <c r="G46" i="42"/>
  <c r="F49" i="42"/>
  <c r="G54" i="42"/>
  <c r="F57" i="42"/>
  <c r="I57" i="42" s="1"/>
  <c r="A57" i="42" s="1"/>
  <c r="F61" i="42"/>
  <c r="G62" i="42"/>
  <c r="F65" i="42"/>
  <c r="G66" i="42"/>
  <c r="F15" i="42"/>
  <c r="G16" i="42"/>
  <c r="F19" i="42"/>
  <c r="G20" i="42"/>
  <c r="F23" i="42"/>
  <c r="G24" i="42"/>
  <c r="F27" i="42"/>
  <c r="I27" i="42" s="1"/>
  <c r="A27" i="42" s="1"/>
  <c r="G28" i="42"/>
  <c r="F31" i="42"/>
  <c r="G32" i="42"/>
  <c r="F35" i="42"/>
  <c r="G36" i="42"/>
  <c r="F39" i="42"/>
  <c r="G40" i="42"/>
  <c r="F43" i="42"/>
  <c r="G44" i="42"/>
  <c r="F47" i="42"/>
  <c r="G48" i="42"/>
  <c r="F51" i="42"/>
  <c r="G52" i="42"/>
  <c r="F55" i="42"/>
  <c r="H55" i="42" s="1"/>
  <c r="A55" i="42" s="1"/>
  <c r="G56" i="42"/>
  <c r="F59" i="42"/>
  <c r="G60" i="42"/>
  <c r="G64" i="42"/>
  <c r="G63" i="42"/>
  <c r="D14" i="42"/>
  <c r="D18" i="42"/>
  <c r="D22" i="42"/>
  <c r="D26" i="42"/>
  <c r="D29" i="42"/>
  <c r="D33" i="42"/>
  <c r="D15" i="42"/>
  <c r="D19" i="42"/>
  <c r="D23" i="42"/>
  <c r="D27" i="42"/>
  <c r="D30" i="42"/>
  <c r="D16" i="42"/>
  <c r="D20" i="42"/>
  <c r="D24" i="42"/>
  <c r="D28" i="42"/>
  <c r="D31" i="42"/>
  <c r="D17" i="42"/>
  <c r="D21" i="42"/>
  <c r="D25" i="42"/>
  <c r="D32" i="42"/>
  <c r="D13" i="29"/>
  <c r="D12" i="29"/>
  <c r="D10" i="29"/>
  <c r="D34" i="29"/>
  <c r="D35" i="29"/>
  <c r="D45" i="29"/>
  <c r="D49" i="29"/>
  <c r="D56" i="29"/>
  <c r="D59" i="29"/>
  <c r="D62" i="29"/>
  <c r="D66" i="29"/>
  <c r="D72" i="29"/>
  <c r="D75" i="29"/>
  <c r="D80" i="29"/>
  <c r="D85" i="29"/>
  <c r="D88" i="29"/>
  <c r="D91" i="29"/>
  <c r="D95" i="29"/>
  <c r="D101" i="29"/>
  <c r="D104" i="29"/>
  <c r="D107" i="29"/>
  <c r="D109" i="29"/>
  <c r="D112" i="29"/>
  <c r="D120" i="29"/>
  <c r="D127" i="29"/>
  <c r="D132" i="29"/>
  <c r="D135" i="29"/>
  <c r="D138" i="29"/>
  <c r="D144" i="29"/>
  <c r="D146" i="29"/>
  <c r="D149" i="29"/>
  <c r="D152" i="29"/>
  <c r="D37" i="29"/>
  <c r="D44" i="29"/>
  <c r="D50" i="29"/>
  <c r="D54" i="29"/>
  <c r="D58" i="29"/>
  <c r="D64" i="29"/>
  <c r="D67" i="29"/>
  <c r="D68" i="29"/>
  <c r="D70" i="29"/>
  <c r="D71" i="29"/>
  <c r="D76" i="29"/>
  <c r="D78" i="29"/>
  <c r="D83" i="29"/>
  <c r="D90" i="29"/>
  <c r="D97" i="29"/>
  <c r="D100" i="29"/>
  <c r="D105" i="29"/>
  <c r="D111" i="29"/>
  <c r="D119" i="29"/>
  <c r="D137" i="29"/>
  <c r="D142" i="29"/>
  <c r="D155" i="29"/>
  <c r="D158" i="29"/>
  <c r="D167" i="29"/>
  <c r="D170" i="29"/>
  <c r="D174" i="29"/>
  <c r="D177" i="29"/>
  <c r="D180" i="29"/>
  <c r="D183" i="29"/>
  <c r="D187" i="29"/>
  <c r="D191" i="29"/>
  <c r="D195" i="29"/>
  <c r="D199" i="29"/>
  <c r="D203" i="29"/>
  <c r="D207" i="29"/>
  <c r="D211" i="29"/>
  <c r="D215" i="29"/>
  <c r="D219" i="29"/>
  <c r="D223" i="29"/>
  <c r="D227" i="29"/>
  <c r="D230" i="29"/>
  <c r="D234" i="29"/>
  <c r="D238" i="29"/>
  <c r="D242" i="29"/>
  <c r="D245" i="29"/>
  <c r="D249" i="29"/>
  <c r="D254" i="29"/>
  <c r="D256" i="29"/>
  <c r="D259" i="29"/>
  <c r="D263" i="29"/>
  <c r="D267" i="29"/>
  <c r="D271" i="29"/>
  <c r="D275" i="29"/>
  <c r="D279" i="29"/>
  <c r="D283" i="29"/>
  <c r="D287" i="29"/>
  <c r="D291" i="29"/>
  <c r="D295" i="29"/>
  <c r="D299" i="29"/>
  <c r="D303" i="29"/>
  <c r="D307" i="29"/>
  <c r="D311" i="29"/>
  <c r="D314" i="29"/>
  <c r="D318" i="29"/>
  <c r="D322" i="29"/>
  <c r="D326" i="29"/>
  <c r="D333" i="29"/>
  <c r="D337" i="29"/>
  <c r="D341" i="29"/>
  <c r="D344" i="29"/>
  <c r="D348" i="29"/>
  <c r="D352" i="29"/>
  <c r="D356" i="29"/>
  <c r="D360" i="29"/>
  <c r="D364" i="29"/>
  <c r="D368" i="29"/>
  <c r="D372" i="29"/>
  <c r="D376" i="29"/>
  <c r="D380" i="29"/>
  <c r="D384" i="29"/>
  <c r="D388" i="29"/>
  <c r="D392" i="29"/>
  <c r="D396" i="29"/>
  <c r="D400" i="29"/>
  <c r="D404" i="29"/>
  <c r="D408" i="29"/>
  <c r="D412" i="29"/>
  <c r="D39" i="29"/>
  <c r="D42" i="29"/>
  <c r="D47" i="29"/>
  <c r="D52" i="29"/>
  <c r="D55" i="29"/>
  <c r="D61" i="29"/>
  <c r="D74" i="29"/>
  <c r="D77" i="29"/>
  <c r="D81" i="29"/>
  <c r="D87" i="29"/>
  <c r="D93" i="29"/>
  <c r="D94" i="29"/>
  <c r="D98" i="29"/>
  <c r="D102" i="29"/>
  <c r="D106" i="29"/>
  <c r="D110" i="29"/>
  <c r="D114" i="29"/>
  <c r="D117" i="29"/>
  <c r="D121" i="29"/>
  <c r="D124" i="29"/>
  <c r="D128" i="29"/>
  <c r="D134" i="29"/>
  <c r="D139" i="29"/>
  <c r="D140" i="29"/>
  <c r="D143" i="29"/>
  <c r="D147" i="29"/>
  <c r="D153" i="29"/>
  <c r="D156" i="29"/>
  <c r="D160" i="29"/>
  <c r="D163" i="29"/>
  <c r="D165" i="29"/>
  <c r="D168" i="29"/>
  <c r="D172" i="29"/>
  <c r="D175" i="29"/>
  <c r="D178" i="29"/>
  <c r="D182" i="29"/>
  <c r="D185" i="29"/>
  <c r="D189" i="29"/>
  <c r="D193" i="29"/>
  <c r="D197" i="29"/>
  <c r="D201" i="29"/>
  <c r="D205" i="29"/>
  <c r="D209" i="29"/>
  <c r="D213" i="29"/>
  <c r="D217" i="29"/>
  <c r="D221" i="29"/>
  <c r="D225" i="29"/>
  <c r="D40" i="29"/>
  <c r="D43" i="29"/>
  <c r="D48" i="29"/>
  <c r="D53" i="29"/>
  <c r="D57" i="29"/>
  <c r="D82" i="29"/>
  <c r="D89" i="29"/>
  <c r="D99" i="29"/>
  <c r="D108" i="29"/>
  <c r="D115" i="29"/>
  <c r="D122" i="29"/>
  <c r="D126" i="29"/>
  <c r="D131" i="29"/>
  <c r="D145" i="29"/>
  <c r="D151" i="29"/>
  <c r="D157" i="29"/>
  <c r="D169" i="29"/>
  <c r="D176" i="29"/>
  <c r="D190" i="29"/>
  <c r="D198" i="29"/>
  <c r="D206" i="29"/>
  <c r="D214" i="29"/>
  <c r="D222" i="29"/>
  <c r="D229" i="29"/>
  <c r="D233" i="29"/>
  <c r="D239" i="29"/>
  <c r="D243" i="29"/>
  <c r="D248" i="29"/>
  <c r="D251" i="29"/>
  <c r="D258" i="29"/>
  <c r="D264" i="29"/>
  <c r="D269" i="29"/>
  <c r="D274" i="29"/>
  <c r="D280" i="29"/>
  <c r="D285" i="29"/>
  <c r="D290" i="29"/>
  <c r="D296" i="29"/>
  <c r="D301" i="29"/>
  <c r="D306" i="29"/>
  <c r="D312" i="29"/>
  <c r="D316" i="29"/>
  <c r="D321" i="29"/>
  <c r="D327" i="29"/>
  <c r="D331" i="29"/>
  <c r="D336" i="29"/>
  <c r="D342" i="29"/>
  <c r="D346" i="29"/>
  <c r="D351" i="29"/>
  <c r="D357" i="29"/>
  <c r="D362" i="29"/>
  <c r="D367" i="29"/>
  <c r="D373" i="29"/>
  <c r="D378" i="29"/>
  <c r="D383" i="29"/>
  <c r="D389" i="29"/>
  <c r="D394" i="29"/>
  <c r="D399" i="29"/>
  <c r="D405" i="29"/>
  <c r="D410" i="29"/>
  <c r="D415" i="29"/>
  <c r="D419" i="29"/>
  <c r="D423" i="29"/>
  <c r="D427" i="29"/>
  <c r="D431" i="29"/>
  <c r="D435" i="29"/>
  <c r="D439" i="29"/>
  <c r="D443" i="29"/>
  <c r="D447" i="29"/>
  <c r="D451" i="29"/>
  <c r="D455" i="29"/>
  <c r="D459" i="29"/>
  <c r="D463" i="29"/>
  <c r="D467" i="29"/>
  <c r="D471" i="29"/>
  <c r="D475" i="29"/>
  <c r="D479" i="29"/>
  <c r="D481" i="29"/>
  <c r="D485" i="29"/>
  <c r="D489" i="29"/>
  <c r="D493" i="29"/>
  <c r="D497" i="29"/>
  <c r="D501" i="29"/>
  <c r="D505" i="29"/>
  <c r="D509" i="29"/>
  <c r="D513" i="29"/>
  <c r="D517" i="29"/>
  <c r="D521" i="29"/>
  <c r="D525" i="29"/>
  <c r="D529" i="29"/>
  <c r="D533" i="29"/>
  <c r="D537" i="29"/>
  <c r="D541" i="29"/>
  <c r="D545" i="29"/>
  <c r="D549" i="29"/>
  <c r="D553" i="29"/>
  <c r="D557" i="29"/>
  <c r="D561" i="29"/>
  <c r="D565" i="29"/>
  <c r="D569" i="29"/>
  <c r="D573" i="29"/>
  <c r="D577" i="29"/>
  <c r="D581" i="29"/>
  <c r="D585" i="29"/>
  <c r="D589" i="29"/>
  <c r="D593" i="29"/>
  <c r="D597" i="29"/>
  <c r="D601" i="29"/>
  <c r="D605" i="29"/>
  <c r="D609" i="29"/>
  <c r="D613" i="29"/>
  <c r="D617" i="29"/>
  <c r="D621" i="29"/>
  <c r="D625" i="29"/>
  <c r="D629" i="29"/>
  <c r="D633" i="29"/>
  <c r="D637" i="29"/>
  <c r="D641" i="29"/>
  <c r="D645" i="29"/>
  <c r="D649" i="29"/>
  <c r="D653" i="29"/>
  <c r="D657" i="29"/>
  <c r="D661" i="29"/>
  <c r="D665" i="29"/>
  <c r="D669" i="29"/>
  <c r="D41" i="29"/>
  <c r="D60" i="29"/>
  <c r="D84" i="29"/>
  <c r="D116" i="29"/>
  <c r="D123" i="29"/>
  <c r="D133" i="29"/>
  <c r="D159" i="29"/>
  <c r="D164" i="29"/>
  <c r="D171" i="29"/>
  <c r="D184" i="29"/>
  <c r="D192" i="29"/>
  <c r="D200" i="29"/>
  <c r="D208" i="29"/>
  <c r="D216" i="29"/>
  <c r="D224" i="29"/>
  <c r="D235" i="29"/>
  <c r="D240" i="29"/>
  <c r="D244" i="29"/>
  <c r="D250" i="29"/>
  <c r="D252" i="29"/>
  <c r="D260" i="29"/>
  <c r="D265" i="29"/>
  <c r="D270" i="29"/>
  <c r="D276" i="29"/>
  <c r="D281" i="29"/>
  <c r="D286" i="29"/>
  <c r="D292" i="29"/>
  <c r="D297" i="29"/>
  <c r="D302" i="29"/>
  <c r="D308" i="29"/>
  <c r="D317" i="29"/>
  <c r="D323" i="29"/>
  <c r="D328" i="29"/>
  <c r="D332" i="29"/>
  <c r="D338" i="29"/>
  <c r="D347" i="29"/>
  <c r="D353" i="29"/>
  <c r="D358" i="29"/>
  <c r="D363" i="29"/>
  <c r="D369" i="29"/>
  <c r="D374" i="29"/>
  <c r="D379" i="29"/>
  <c r="D385" i="29"/>
  <c r="D390" i="29"/>
  <c r="D395" i="29"/>
  <c r="D401" i="29"/>
  <c r="D406" i="29"/>
  <c r="D411" i="29"/>
  <c r="D416" i="29"/>
  <c r="D420" i="29"/>
  <c r="D424" i="29"/>
  <c r="D428" i="29"/>
  <c r="D432" i="29"/>
  <c r="D33" i="29"/>
  <c r="D36" i="29"/>
  <c r="D51" i="29"/>
  <c r="D63" i="29"/>
  <c r="D96" i="29"/>
  <c r="D103" i="29"/>
  <c r="D118" i="29"/>
  <c r="D125" i="29"/>
  <c r="D129" i="29"/>
  <c r="D136" i="29"/>
  <c r="D141" i="29"/>
  <c r="D148" i="29"/>
  <c r="D154" i="29"/>
  <c r="D161" i="29"/>
  <c r="D166" i="29"/>
  <c r="D173" i="29"/>
  <c r="D179" i="29"/>
  <c r="D186" i="29"/>
  <c r="D194" i="29"/>
  <c r="D202" i="29"/>
  <c r="D210" i="29"/>
  <c r="D218" i="29"/>
  <c r="D226" i="29"/>
  <c r="D231" i="29"/>
  <c r="D236" i="29"/>
  <c r="D241" i="29"/>
  <c r="D246" i="29"/>
  <c r="D253" i="29"/>
  <c r="D261" i="29"/>
  <c r="D266" i="29"/>
  <c r="D272" i="29"/>
  <c r="D277" i="29"/>
  <c r="D282" i="29"/>
  <c r="D288" i="29"/>
  <c r="D293" i="29"/>
  <c r="D298" i="29"/>
  <c r="D304" i="29"/>
  <c r="D309" i="29"/>
  <c r="D313" i="29"/>
  <c r="D319" i="29"/>
  <c r="D324" i="29"/>
  <c r="D329" i="29"/>
  <c r="D334" i="29"/>
  <c r="D339" i="29"/>
  <c r="D343" i="29"/>
  <c r="D349" i="29"/>
  <c r="D354" i="29"/>
  <c r="D359" i="29"/>
  <c r="D365" i="29"/>
  <c r="D370" i="29"/>
  <c r="D375" i="29"/>
  <c r="D381" i="29"/>
  <c r="D386" i="29"/>
  <c r="D391" i="29"/>
  <c r="D397" i="29"/>
  <c r="D402" i="29"/>
  <c r="D407" i="29"/>
  <c r="D413" i="29"/>
  <c r="D417" i="29"/>
  <c r="D421" i="29"/>
  <c r="D425" i="29"/>
  <c r="D429" i="29"/>
  <c r="D433" i="29"/>
  <c r="D437" i="29"/>
  <c r="D441" i="29"/>
  <c r="D445" i="29"/>
  <c r="D449" i="29"/>
  <c r="D453" i="29"/>
  <c r="D457" i="29"/>
  <c r="D461" i="29"/>
  <c r="D465" i="29"/>
  <c r="D469" i="29"/>
  <c r="D473" i="29"/>
  <c r="D477" i="29"/>
  <c r="D483" i="29"/>
  <c r="D487" i="29"/>
  <c r="D491" i="29"/>
  <c r="D495" i="29"/>
  <c r="D499" i="29"/>
  <c r="D503" i="29"/>
  <c r="D507" i="29"/>
  <c r="D511" i="29"/>
  <c r="D515" i="29"/>
  <c r="D519" i="29"/>
  <c r="D523" i="29"/>
  <c r="D527" i="29"/>
  <c r="D531" i="29"/>
  <c r="D535" i="29"/>
  <c r="D539" i="29"/>
  <c r="D543" i="29"/>
  <c r="D547" i="29"/>
  <c r="D551" i="29"/>
  <c r="D555" i="29"/>
  <c r="D559" i="29"/>
  <c r="D563" i="29"/>
  <c r="D567" i="29"/>
  <c r="D571" i="29"/>
  <c r="D575" i="29"/>
  <c r="D579" i="29"/>
  <c r="D583" i="29"/>
  <c r="D587" i="29"/>
  <c r="D591" i="29"/>
  <c r="D595" i="29"/>
  <c r="D599" i="29"/>
  <c r="D603" i="29"/>
  <c r="D607" i="29"/>
  <c r="D611" i="29"/>
  <c r="D615" i="29"/>
  <c r="D619" i="29"/>
  <c r="D623" i="29"/>
  <c r="D627" i="29"/>
  <c r="D631" i="29"/>
  <c r="D635" i="29"/>
  <c r="D639" i="29"/>
  <c r="D643" i="29"/>
  <c r="D647" i="29"/>
  <c r="D651" i="29"/>
  <c r="D655" i="29"/>
  <c r="D659" i="29"/>
  <c r="D663" i="29"/>
  <c r="D667" i="29"/>
  <c r="D671" i="29"/>
  <c r="D38" i="29"/>
  <c r="D73" i="29"/>
  <c r="D150" i="29"/>
  <c r="D204" i="29"/>
  <c r="D232" i="29"/>
  <c r="D268" i="29"/>
  <c r="D289" i="29"/>
  <c r="D310" i="29"/>
  <c r="D330" i="29"/>
  <c r="D350" i="29"/>
  <c r="D371" i="29"/>
  <c r="D393" i="29"/>
  <c r="D414" i="29"/>
  <c r="D430" i="29"/>
  <c r="D440" i="29"/>
  <c r="D448" i="29"/>
  <c r="D456" i="29"/>
  <c r="D464" i="29"/>
  <c r="D472" i="29"/>
  <c r="D480" i="29"/>
  <c r="D486" i="29"/>
  <c r="D494" i="29"/>
  <c r="D502" i="29"/>
  <c r="D510" i="29"/>
  <c r="D518" i="29"/>
  <c r="D526" i="29"/>
  <c r="D534" i="29"/>
  <c r="D542" i="29"/>
  <c r="D550" i="29"/>
  <c r="D558" i="29"/>
  <c r="D566" i="29"/>
  <c r="D574" i="29"/>
  <c r="D582" i="29"/>
  <c r="D590" i="29"/>
  <c r="D598" i="29"/>
  <c r="D606" i="29"/>
  <c r="D614" i="29"/>
  <c r="D622" i="29"/>
  <c r="D630" i="29"/>
  <c r="D638" i="29"/>
  <c r="D646" i="29"/>
  <c r="D654" i="29"/>
  <c r="D662" i="29"/>
  <c r="D670" i="29"/>
  <c r="D196" i="29"/>
  <c r="D262" i="29"/>
  <c r="D325" i="29"/>
  <c r="D387" i="29"/>
  <c r="D438" i="29"/>
  <c r="D462" i="29"/>
  <c r="D484" i="29"/>
  <c r="D508" i="29"/>
  <c r="D532" i="29"/>
  <c r="D556" i="29"/>
  <c r="D580" i="29"/>
  <c r="D604" i="29"/>
  <c r="D628" i="29"/>
  <c r="D652" i="29"/>
  <c r="D79" i="29"/>
  <c r="D130" i="29"/>
  <c r="D181" i="29"/>
  <c r="D212" i="29"/>
  <c r="D237" i="29"/>
  <c r="D255" i="29"/>
  <c r="D273" i="29"/>
  <c r="D294" i="29"/>
  <c r="D315" i="29"/>
  <c r="D335" i="29"/>
  <c r="D355" i="29"/>
  <c r="D377" i="29"/>
  <c r="D398" i="29"/>
  <c r="D418" i="29"/>
  <c r="D434" i="29"/>
  <c r="D442" i="29"/>
  <c r="D450" i="29"/>
  <c r="D458" i="29"/>
  <c r="D466" i="29"/>
  <c r="D474" i="29"/>
  <c r="D488" i="29"/>
  <c r="D496" i="29"/>
  <c r="D504" i="29"/>
  <c r="D512" i="29"/>
  <c r="D520" i="29"/>
  <c r="D528" i="29"/>
  <c r="D536" i="29"/>
  <c r="D544" i="29"/>
  <c r="D552" i="29"/>
  <c r="D560" i="29"/>
  <c r="D568" i="29"/>
  <c r="D576" i="29"/>
  <c r="D584" i="29"/>
  <c r="D592" i="29"/>
  <c r="D600" i="29"/>
  <c r="D608" i="29"/>
  <c r="D616" i="29"/>
  <c r="D624" i="29"/>
  <c r="D632" i="29"/>
  <c r="D640" i="29"/>
  <c r="D648" i="29"/>
  <c r="D656" i="29"/>
  <c r="D664" i="29"/>
  <c r="D672" i="29"/>
  <c r="D92" i="29"/>
  <c r="D247" i="29"/>
  <c r="D305" i="29"/>
  <c r="D366" i="29"/>
  <c r="D426" i="29"/>
  <c r="D454" i="29"/>
  <c r="D478" i="29"/>
  <c r="D500" i="29"/>
  <c r="D524" i="29"/>
  <c r="D548" i="29"/>
  <c r="D572" i="29"/>
  <c r="D596" i="29"/>
  <c r="D620" i="29"/>
  <c r="D644" i="29"/>
  <c r="D668" i="29"/>
  <c r="D46" i="29"/>
  <c r="D65" i="29"/>
  <c r="D86" i="29"/>
  <c r="D113" i="29"/>
  <c r="D162" i="29"/>
  <c r="D188" i="29"/>
  <c r="D220" i="29"/>
  <c r="D257" i="29"/>
  <c r="D278" i="29"/>
  <c r="D300" i="29"/>
  <c r="D320" i="29"/>
  <c r="D340" i="29"/>
  <c r="D361" i="29"/>
  <c r="D382" i="29"/>
  <c r="D403" i="29"/>
  <c r="D422" i="29"/>
  <c r="D436" i="29"/>
  <c r="D444" i="29"/>
  <c r="D452" i="29"/>
  <c r="D460" i="29"/>
  <c r="D468" i="29"/>
  <c r="D476" i="29"/>
  <c r="D482" i="29"/>
  <c r="D490" i="29"/>
  <c r="D498" i="29"/>
  <c r="D506" i="29"/>
  <c r="D514" i="29"/>
  <c r="D522" i="29"/>
  <c r="D530" i="29"/>
  <c r="D538" i="29"/>
  <c r="D546" i="29"/>
  <c r="D554" i="29"/>
  <c r="D562" i="29"/>
  <c r="D570" i="29"/>
  <c r="D578" i="29"/>
  <c r="D586" i="29"/>
  <c r="D594" i="29"/>
  <c r="D602" i="29"/>
  <c r="D610" i="29"/>
  <c r="D618" i="29"/>
  <c r="D626" i="29"/>
  <c r="D634" i="29"/>
  <c r="D642" i="29"/>
  <c r="D650" i="29"/>
  <c r="D658" i="29"/>
  <c r="D666" i="29"/>
  <c r="D69" i="29"/>
  <c r="D228" i="29"/>
  <c r="D284" i="29"/>
  <c r="D345" i="29"/>
  <c r="D409" i="29"/>
  <c r="D446" i="29"/>
  <c r="D470" i="29"/>
  <c r="D492" i="29"/>
  <c r="D516" i="29"/>
  <c r="D540" i="29"/>
  <c r="D564" i="29"/>
  <c r="D588" i="29"/>
  <c r="D612" i="29"/>
  <c r="D636" i="29"/>
  <c r="D660" i="29"/>
  <c r="D25" i="29"/>
  <c r="D9" i="29"/>
  <c r="D6" i="29"/>
  <c r="D7" i="29"/>
  <c r="D11" i="29"/>
  <c r="D8" i="29"/>
  <c r="D5" i="29"/>
  <c r="D4" i="29"/>
  <c r="D2" i="29"/>
  <c r="H73" i="42" l="1"/>
  <c r="A73" i="42" s="1"/>
  <c r="CB73" i="42"/>
  <c r="CC73" i="42" s="1"/>
  <c r="BZ73" i="42"/>
  <c r="CA73" i="42" s="1"/>
  <c r="H72" i="42"/>
  <c r="A72" i="42" s="1"/>
  <c r="CB72" i="42"/>
  <c r="CC72" i="42" s="1"/>
  <c r="BZ72" i="42"/>
  <c r="CA72" i="42" s="1"/>
  <c r="H69" i="42"/>
  <c r="A69" i="42" s="1"/>
  <c r="BZ69" i="42"/>
  <c r="CA69" i="42" s="1"/>
  <c r="CB69" i="42"/>
  <c r="CC69" i="42" s="1"/>
  <c r="H71" i="42"/>
  <c r="A71" i="42" s="1"/>
  <c r="BZ71" i="42"/>
  <c r="CA71" i="42" s="1"/>
  <c r="CB71" i="42"/>
  <c r="CC71" i="42" s="1"/>
  <c r="H68" i="42"/>
  <c r="A68" i="42" s="1"/>
  <c r="CB68" i="42"/>
  <c r="CC68" i="42" s="1"/>
  <c r="BZ68" i="42"/>
  <c r="CA68" i="42" s="1"/>
  <c r="H70" i="42"/>
  <c r="A70" i="42" s="1"/>
  <c r="BZ70" i="42"/>
  <c r="CA70" i="42" s="1"/>
  <c r="CB70" i="42"/>
  <c r="CC70" i="42" s="1"/>
  <c r="BZ67" i="42"/>
  <c r="CA67" i="42" s="1"/>
  <c r="CB67" i="42"/>
  <c r="CC67" i="42" s="1"/>
  <c r="BZ25" i="42"/>
  <c r="CA25" i="42" s="1"/>
  <c r="CB25" i="42"/>
  <c r="CC25" i="42" s="1"/>
  <c r="BZ60" i="42"/>
  <c r="CA60" i="42" s="1"/>
  <c r="CB60" i="42"/>
  <c r="CC60" i="42" s="1"/>
  <c r="CB44" i="42"/>
  <c r="CC44" i="42" s="1"/>
  <c r="Z44" i="42" s="1"/>
  <c r="BZ44" i="42"/>
  <c r="CA44" i="42" s="1"/>
  <c r="Y44" i="42" s="1"/>
  <c r="BZ28" i="42"/>
  <c r="CA28" i="42" s="1"/>
  <c r="Y28" i="42" s="1"/>
  <c r="CB28" i="42"/>
  <c r="CC28" i="42" s="1"/>
  <c r="Z28" i="42" s="1"/>
  <c r="BZ59" i="42"/>
  <c r="CA59" i="42" s="1"/>
  <c r="CB59" i="42"/>
  <c r="CC59" i="42" s="1"/>
  <c r="BZ51" i="42"/>
  <c r="CA51" i="42" s="1"/>
  <c r="CB51" i="42"/>
  <c r="CC51" i="42" s="1"/>
  <c r="CB43" i="42"/>
  <c r="CC43" i="42" s="1"/>
  <c r="Z43" i="42" s="1"/>
  <c r="BZ43" i="42"/>
  <c r="CA43" i="42" s="1"/>
  <c r="Y43" i="42" s="1"/>
  <c r="CB35" i="42"/>
  <c r="CC35" i="42" s="1"/>
  <c r="Z35" i="42" s="1"/>
  <c r="BZ35" i="42"/>
  <c r="CA35" i="42" s="1"/>
  <c r="Y35" i="42" s="1"/>
  <c r="BZ27" i="42"/>
  <c r="CA27" i="42" s="1"/>
  <c r="CB27" i="42"/>
  <c r="CC27" i="42" s="1"/>
  <c r="BZ65" i="42"/>
  <c r="CA65" i="42" s="1"/>
  <c r="CB65" i="42"/>
  <c r="CC65" i="42" s="1"/>
  <c r="BZ53" i="42"/>
  <c r="CA53" i="42" s="1"/>
  <c r="Y53" i="42" s="1"/>
  <c r="CB53" i="42"/>
  <c r="CC53" i="42" s="1"/>
  <c r="Z53" i="42" s="1"/>
  <c r="CB37" i="42"/>
  <c r="CC37" i="42" s="1"/>
  <c r="Z37" i="42" s="1"/>
  <c r="BZ37" i="42"/>
  <c r="CA37" i="42" s="1"/>
  <c r="Y37" i="42" s="1"/>
  <c r="BZ21" i="42"/>
  <c r="CA21" i="42" s="1"/>
  <c r="CB21" i="42"/>
  <c r="CC21" i="42" s="1"/>
  <c r="BZ58" i="42"/>
  <c r="CA58" i="42" s="1"/>
  <c r="CB58" i="42"/>
  <c r="CC58" i="42" s="1"/>
  <c r="BZ50" i="42"/>
  <c r="CA50" i="42" s="1"/>
  <c r="CB50" i="42"/>
  <c r="CC50" i="42" s="1"/>
  <c r="CB42" i="42"/>
  <c r="CC42" i="42" s="1"/>
  <c r="Z42" i="42" s="1"/>
  <c r="BZ42" i="42"/>
  <c r="CA42" i="42" s="1"/>
  <c r="Y42" i="42" s="1"/>
  <c r="CB34" i="42"/>
  <c r="CC34" i="42" s="1"/>
  <c r="BZ34" i="42"/>
  <c r="CA34" i="42" s="1"/>
  <c r="BZ26" i="42"/>
  <c r="CA26" i="42" s="1"/>
  <c r="CB26" i="42"/>
  <c r="CC26" i="42" s="1"/>
  <c r="CB41" i="42"/>
  <c r="CC41" i="42" s="1"/>
  <c r="Z41" i="42" s="1"/>
  <c r="BZ41" i="42"/>
  <c r="CA41" i="42" s="1"/>
  <c r="Y41" i="42" s="1"/>
  <c r="BZ63" i="42"/>
  <c r="CA63" i="42" s="1"/>
  <c r="CB63" i="42"/>
  <c r="CC63" i="42" s="1"/>
  <c r="BZ52" i="42"/>
  <c r="CA52" i="42" s="1"/>
  <c r="CB52" i="42"/>
  <c r="CC52" i="42" s="1"/>
  <c r="CB36" i="42"/>
  <c r="CC36" i="42" s="1"/>
  <c r="Z36" i="42" s="1"/>
  <c r="BZ36" i="42"/>
  <c r="CA36" i="42" s="1"/>
  <c r="Y36" i="42" s="1"/>
  <c r="BZ20" i="42"/>
  <c r="CA20" i="42" s="1"/>
  <c r="Y20" i="42" s="1"/>
  <c r="CB20" i="42"/>
  <c r="CC20" i="42" s="1"/>
  <c r="Z20" i="42" s="1"/>
  <c r="BZ49" i="42"/>
  <c r="CA49" i="42" s="1"/>
  <c r="CB49" i="42"/>
  <c r="CC49" i="42" s="1"/>
  <c r="CB33" i="42"/>
  <c r="CC33" i="42" s="1"/>
  <c r="Z33" i="42" s="1"/>
  <c r="BZ33" i="42"/>
  <c r="CA33" i="42" s="1"/>
  <c r="Y33" i="42" s="1"/>
  <c r="BZ64" i="42"/>
  <c r="CA64" i="42" s="1"/>
  <c r="CB64" i="42"/>
  <c r="CC64" i="42" s="1"/>
  <c r="BZ56" i="42"/>
  <c r="CA56" i="42" s="1"/>
  <c r="CB56" i="42"/>
  <c r="CC56" i="42" s="1"/>
  <c r="BZ48" i="42"/>
  <c r="CA48" i="42" s="1"/>
  <c r="Y48" i="42" s="1"/>
  <c r="CB48" i="42"/>
  <c r="CC48" i="42" s="1"/>
  <c r="Z48" i="42" s="1"/>
  <c r="CB40" i="42"/>
  <c r="CC40" i="42" s="1"/>
  <c r="Z40" i="42" s="1"/>
  <c r="BZ40" i="42"/>
  <c r="CA40" i="42" s="1"/>
  <c r="Y40" i="42" s="1"/>
  <c r="CB32" i="42"/>
  <c r="CC32" i="42" s="1"/>
  <c r="BZ32" i="42"/>
  <c r="CA32" i="42" s="1"/>
  <c r="BZ24" i="42"/>
  <c r="CA24" i="42" s="1"/>
  <c r="CB24" i="42"/>
  <c r="CC24" i="42" s="1"/>
  <c r="BZ57" i="42"/>
  <c r="CA57" i="42" s="1"/>
  <c r="CB57" i="42"/>
  <c r="CC57" i="42" s="1"/>
  <c r="BZ55" i="42"/>
  <c r="CA55" i="42" s="1"/>
  <c r="CB55" i="42"/>
  <c r="CC55" i="42" s="1"/>
  <c r="BZ47" i="42"/>
  <c r="CA47" i="42" s="1"/>
  <c r="CB47" i="42"/>
  <c r="CC47" i="42" s="1"/>
  <c r="CB39" i="42"/>
  <c r="CC39" i="42" s="1"/>
  <c r="Z39" i="42" s="1"/>
  <c r="BZ39" i="42"/>
  <c r="CA39" i="42" s="1"/>
  <c r="Y39" i="42" s="1"/>
  <c r="CB31" i="42"/>
  <c r="CC31" i="42" s="1"/>
  <c r="Z31" i="42" s="1"/>
  <c r="BZ31" i="42"/>
  <c r="CA31" i="42" s="1"/>
  <c r="Y31" i="42" s="1"/>
  <c r="BZ23" i="42"/>
  <c r="CA23" i="42" s="1"/>
  <c r="Y23" i="42" s="1"/>
  <c r="CB23" i="42"/>
  <c r="CC23" i="42" s="1"/>
  <c r="Z23" i="42" s="1"/>
  <c r="BZ61" i="42"/>
  <c r="CA61" i="42" s="1"/>
  <c r="CB61" i="42"/>
  <c r="CC61" i="42" s="1"/>
  <c r="BZ66" i="42"/>
  <c r="CA66" i="42" s="1"/>
  <c r="CB66" i="42"/>
  <c r="CC66" i="42" s="1"/>
  <c r="CB45" i="42"/>
  <c r="CC45" i="42" s="1"/>
  <c r="BZ45" i="42"/>
  <c r="CA45" i="42" s="1"/>
  <c r="BZ29" i="42"/>
  <c r="CA29" i="42" s="1"/>
  <c r="Y29" i="42" s="1"/>
  <c r="CB29" i="42"/>
  <c r="CC29" i="42" s="1"/>
  <c r="Z29" i="42" s="1"/>
  <c r="BZ62" i="42"/>
  <c r="CA62" i="42" s="1"/>
  <c r="CB62" i="42"/>
  <c r="CC62" i="42" s="1"/>
  <c r="BZ54" i="42"/>
  <c r="CA54" i="42" s="1"/>
  <c r="CB54" i="42"/>
  <c r="CC54" i="42" s="1"/>
  <c r="CB46" i="42"/>
  <c r="CC46" i="42" s="1"/>
  <c r="BZ46" i="42"/>
  <c r="CA46" i="42" s="1"/>
  <c r="CB38" i="42"/>
  <c r="CC38" i="42" s="1"/>
  <c r="Z38" i="42" s="1"/>
  <c r="BZ38" i="42"/>
  <c r="CA38" i="42" s="1"/>
  <c r="Y38" i="42" s="1"/>
  <c r="BZ30" i="42"/>
  <c r="CA30" i="42" s="1"/>
  <c r="Y30" i="42" s="1"/>
  <c r="CB30" i="42"/>
  <c r="CC30" i="42" s="1"/>
  <c r="Z30" i="42" s="1"/>
  <c r="BZ22" i="42"/>
  <c r="CA22" i="42" s="1"/>
  <c r="CB22" i="42"/>
  <c r="CC22" i="42" s="1"/>
  <c r="BZ19" i="42"/>
  <c r="CA19" i="42" s="1"/>
  <c r="Y19" i="42" s="1"/>
  <c r="CB19" i="42"/>
  <c r="CC19" i="42" s="1"/>
  <c r="Z19" i="42" s="1"/>
  <c r="BZ18" i="42"/>
  <c r="CA18" i="42" s="1"/>
  <c r="Y18" i="42" s="1"/>
  <c r="CB18" i="42"/>
  <c r="CC18" i="42" s="1"/>
  <c r="Z18" i="42" s="1"/>
  <c r="BZ17" i="42"/>
  <c r="CA17" i="42" s="1"/>
  <c r="Y17" i="42" s="1"/>
  <c r="CB17" i="42"/>
  <c r="CC17" i="42" s="1"/>
  <c r="Z17" i="42" s="1"/>
  <c r="BZ16" i="42"/>
  <c r="CA16" i="42" s="1"/>
  <c r="Y16" i="42" s="1"/>
  <c r="CB16" i="42"/>
  <c r="CC16" i="42" s="1"/>
  <c r="Z16" i="42" s="1"/>
  <c r="BZ15" i="42"/>
  <c r="CA15" i="42" s="1"/>
  <c r="CB15" i="42"/>
  <c r="CC15" i="42" s="1"/>
  <c r="BZ14" i="42"/>
  <c r="CA14" i="42" s="1"/>
  <c r="Y14" i="42" s="1"/>
  <c r="CB14" i="42"/>
  <c r="CC14" i="42" s="1"/>
  <c r="Z14" i="42" s="1"/>
  <c r="H41" i="42"/>
  <c r="H25" i="42"/>
  <c r="A25" i="42" s="1"/>
  <c r="H63" i="42"/>
  <c r="A63" i="42" s="1"/>
  <c r="H60" i="42"/>
  <c r="A60" i="42" s="1"/>
  <c r="H44" i="42"/>
  <c r="H36" i="42"/>
  <c r="H28" i="42"/>
  <c r="H20" i="42"/>
  <c r="H59" i="42"/>
  <c r="A59" i="42" s="1"/>
  <c r="H51" i="42"/>
  <c r="A51" i="42" s="1"/>
  <c r="H43" i="42"/>
  <c r="H35" i="42"/>
  <c r="H19" i="42"/>
  <c r="H65" i="42"/>
  <c r="A65" i="42" s="1"/>
  <c r="H37" i="42"/>
  <c r="H21" i="42"/>
  <c r="A21" i="42" s="1"/>
  <c r="H58" i="42"/>
  <c r="A58" i="42" s="1"/>
  <c r="H50" i="42"/>
  <c r="A50" i="42" s="1"/>
  <c r="H42" i="42"/>
  <c r="H34" i="42"/>
  <c r="A34" i="42" s="1"/>
  <c r="H26" i="42"/>
  <c r="A26" i="42" s="1"/>
  <c r="H18" i="42"/>
  <c r="H49" i="42"/>
  <c r="A49" i="42" s="1"/>
  <c r="H33" i="42"/>
  <c r="H17" i="42"/>
  <c r="H64" i="42"/>
  <c r="A64" i="42" s="1"/>
  <c r="H48" i="42"/>
  <c r="H40" i="42"/>
  <c r="H32" i="42"/>
  <c r="A32" i="42" s="1"/>
  <c r="H24" i="42"/>
  <c r="A24" i="42" s="1"/>
  <c r="H16" i="42"/>
  <c r="H47" i="42"/>
  <c r="A47" i="42" s="1"/>
  <c r="H39" i="42"/>
  <c r="H31" i="42"/>
  <c r="H23" i="42"/>
  <c r="H15" i="42"/>
  <c r="A15" i="42" s="1"/>
  <c r="H61" i="42"/>
  <c r="A61" i="42" s="1"/>
  <c r="H66" i="42"/>
  <c r="A66" i="42" s="1"/>
  <c r="H45" i="42"/>
  <c r="A45" i="42" s="1"/>
  <c r="H29" i="42"/>
  <c r="H62" i="42"/>
  <c r="A62" i="42" s="1"/>
  <c r="H46" i="42"/>
  <c r="A46" i="42" s="1"/>
  <c r="H38" i="42"/>
  <c r="H30" i="42"/>
  <c r="H22" i="42"/>
  <c r="A22" i="42" s="1"/>
  <c r="H14" i="42"/>
  <c r="U529" i="2"/>
  <c r="S529" i="2"/>
  <c r="T529" i="2" s="1"/>
  <c r="R529" i="2"/>
  <c r="U254" i="2" l="1"/>
  <c r="S254" i="2"/>
  <c r="T254" i="2" s="1"/>
  <c r="R254" i="2"/>
  <c r="U773" i="2" l="1"/>
  <c r="S773" i="2"/>
  <c r="T773" i="2" s="1"/>
  <c r="U884" i="2"/>
  <c r="S884" i="2"/>
  <c r="T884" i="2" s="1"/>
  <c r="U56" i="2"/>
  <c r="S56" i="2"/>
  <c r="T56" i="2" s="1"/>
  <c r="U878" i="2"/>
  <c r="S878" i="2"/>
  <c r="T878" i="2" s="1"/>
  <c r="U791" i="2"/>
  <c r="S791" i="2"/>
  <c r="T791" i="2" s="1"/>
  <c r="R884" i="2"/>
  <c r="R878" i="2"/>
  <c r="R791" i="2"/>
  <c r="R56" i="2"/>
  <c r="R773" i="2"/>
  <c r="U37" i="2" l="1"/>
  <c r="S37" i="2"/>
  <c r="R37" i="2"/>
  <c r="U570" i="2" l="1"/>
  <c r="S570" i="2"/>
  <c r="T570" i="2" s="1"/>
  <c r="R570" i="2"/>
  <c r="U525" i="2" l="1"/>
  <c r="S525" i="2"/>
  <c r="U524" i="2"/>
  <c r="S524" i="2"/>
  <c r="R525" i="2"/>
  <c r="R524" i="2"/>
  <c r="U64" i="2" l="1"/>
  <c r="S64" i="2"/>
  <c r="T64" i="2" s="1"/>
  <c r="R64" i="2"/>
  <c r="AA13" i="42" l="1"/>
  <c r="F13" i="42" l="1"/>
  <c r="F4" i="42" s="1"/>
  <c r="U81" i="2"/>
  <c r="S81" i="2"/>
  <c r="T81" i="2" s="1"/>
  <c r="U86" i="2"/>
  <c r="S86" i="2"/>
  <c r="T86" i="2" s="1"/>
  <c r="U80" i="2"/>
  <c r="S80" i="2"/>
  <c r="T80" i="2" s="1"/>
  <c r="U71" i="2"/>
  <c r="S71" i="2"/>
  <c r="T71" i="2" s="1"/>
  <c r="R86" i="2"/>
  <c r="R71" i="2"/>
  <c r="R81" i="2"/>
  <c r="R80" i="2"/>
  <c r="CB13" i="42" l="1"/>
  <c r="U686" i="2"/>
  <c r="S686" i="2"/>
  <c r="U685" i="2"/>
  <c r="S685" i="2"/>
  <c r="U678" i="2"/>
  <c r="S678" i="2"/>
  <c r="U684" i="2"/>
  <c r="S684" i="2"/>
  <c r="U687" i="2"/>
  <c r="S687" i="2"/>
  <c r="S683" i="2"/>
  <c r="U683" i="2"/>
  <c r="U680" i="2"/>
  <c r="S680" i="2"/>
  <c r="U676" i="2"/>
  <c r="S676" i="2"/>
  <c r="U679" i="2"/>
  <c r="S679" i="2"/>
  <c r="U682" i="2"/>
  <c r="S682" i="2"/>
  <c r="S688" i="2"/>
  <c r="U688" i="2"/>
  <c r="U681" i="2"/>
  <c r="S681" i="2"/>
  <c r="U677" i="2"/>
  <c r="S677" i="2"/>
  <c r="R682" i="2"/>
  <c r="R684" i="2"/>
  <c r="R677" i="2"/>
  <c r="R678" i="2"/>
  <c r="R688" i="2"/>
  <c r="R681" i="2"/>
  <c r="R687" i="2"/>
  <c r="R683" i="2"/>
  <c r="R680" i="2"/>
  <c r="R676" i="2"/>
  <c r="R685" i="2"/>
  <c r="R686" i="2"/>
  <c r="R679" i="2"/>
  <c r="CC13" i="42" l="1"/>
  <c r="S1061" i="2"/>
  <c r="T1061" i="2" s="1"/>
  <c r="U1061" i="2"/>
  <c r="R1061" i="2"/>
  <c r="Z13" i="42" l="1"/>
  <c r="U1002" i="2"/>
  <c r="S1002" i="2"/>
  <c r="T1002" i="2" s="1"/>
  <c r="R1002" i="2"/>
  <c r="U386" i="2" l="1"/>
  <c r="S386" i="2"/>
  <c r="T386" i="2" s="1"/>
  <c r="R386" i="2"/>
  <c r="G36" i="29" l="1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1" i="29"/>
  <c r="G62" i="29"/>
  <c r="G63" i="29"/>
  <c r="G64" i="29"/>
  <c r="G65" i="29"/>
  <c r="G66" i="29"/>
  <c r="G67" i="29"/>
  <c r="G68" i="29"/>
  <c r="G3" i="2"/>
  <c r="BK14" i="42" l="1"/>
  <c r="BL14" i="42" s="1"/>
  <c r="S14" i="42" s="1"/>
  <c r="BK30" i="42"/>
  <c r="BL30" i="42" s="1"/>
  <c r="S30" i="42" s="1"/>
  <c r="BK46" i="42"/>
  <c r="BK62" i="42"/>
  <c r="BK78" i="42"/>
  <c r="BK60" i="42"/>
  <c r="BK19" i="42"/>
  <c r="BL19" i="42" s="1"/>
  <c r="S19" i="42" s="1"/>
  <c r="BK35" i="42"/>
  <c r="BL35" i="42" s="1"/>
  <c r="S35" i="42" s="1"/>
  <c r="BK51" i="42"/>
  <c r="BK67" i="42"/>
  <c r="BL67" i="42" s="1"/>
  <c r="BK40" i="42"/>
  <c r="BL40" i="42" s="1"/>
  <c r="S40" i="42" s="1"/>
  <c r="BK16" i="42"/>
  <c r="BK32" i="42"/>
  <c r="BK29" i="42"/>
  <c r="BL29" i="42" s="1"/>
  <c r="S29" i="42" s="1"/>
  <c r="BK45" i="42"/>
  <c r="BL45" i="42" s="1"/>
  <c r="BK61" i="42"/>
  <c r="BL61" i="42" s="1"/>
  <c r="BK77" i="42"/>
  <c r="BL77" i="42" s="1"/>
  <c r="BK56" i="42"/>
  <c r="BL56" i="42" s="1"/>
  <c r="BC18" i="42"/>
  <c r="BC34" i="42"/>
  <c r="BD34" i="42" s="1"/>
  <c r="BC27" i="42"/>
  <c r="BC43" i="42"/>
  <c r="BC59" i="42"/>
  <c r="BD59" i="42" s="1"/>
  <c r="BC75" i="42"/>
  <c r="BD75" i="42" s="1"/>
  <c r="BC21" i="42"/>
  <c r="BC49" i="42"/>
  <c r="BD49" i="42" s="1"/>
  <c r="BC81" i="42"/>
  <c r="BC66" i="42"/>
  <c r="BC82" i="42"/>
  <c r="BD82" i="42" s="1"/>
  <c r="BC28" i="42"/>
  <c r="BC44" i="42"/>
  <c r="BC60" i="42"/>
  <c r="BD60" i="42" s="1"/>
  <c r="BC76" i="42"/>
  <c r="BD76" i="42" s="1"/>
  <c r="BC37" i="42"/>
  <c r="BD37" i="42" s="1"/>
  <c r="O37" i="42" s="1"/>
  <c r="BC73" i="42"/>
  <c r="BC58" i="42"/>
  <c r="BD58" i="42" s="1"/>
  <c r="AY22" i="42"/>
  <c r="AY15" i="42"/>
  <c r="AY31" i="42"/>
  <c r="AY47" i="42"/>
  <c r="AY63" i="42"/>
  <c r="AY79" i="42"/>
  <c r="AY53" i="42"/>
  <c r="AY54" i="42"/>
  <c r="AY20" i="42"/>
  <c r="AY36" i="42"/>
  <c r="AZ36" i="42" s="1"/>
  <c r="L36" i="42" s="1"/>
  <c r="AY52" i="42"/>
  <c r="AY68" i="42"/>
  <c r="AZ68" i="42" s="1"/>
  <c r="AY41" i="42"/>
  <c r="AY46" i="42"/>
  <c r="AZ46" i="42" s="1"/>
  <c r="AY17" i="42"/>
  <c r="AY33" i="42"/>
  <c r="AY73" i="42"/>
  <c r="AY74" i="42"/>
  <c r="AZ74" i="42" s="1"/>
  <c r="BK18" i="42"/>
  <c r="BK34" i="42"/>
  <c r="BL34" i="42" s="1"/>
  <c r="BK50" i="42"/>
  <c r="BK66" i="42"/>
  <c r="BL66" i="42" s="1"/>
  <c r="BK82" i="42"/>
  <c r="BL82" i="42" s="1"/>
  <c r="BK68" i="42"/>
  <c r="BK23" i="42"/>
  <c r="BL23" i="42" s="1"/>
  <c r="S23" i="42" s="1"/>
  <c r="BK39" i="42"/>
  <c r="BL39" i="42" s="1"/>
  <c r="S39" i="42" s="1"/>
  <c r="BK55" i="42"/>
  <c r="BL55" i="42" s="1"/>
  <c r="BK71" i="42"/>
  <c r="BL71" i="42" s="1"/>
  <c r="BK52" i="42"/>
  <c r="BL52" i="42" s="1"/>
  <c r="BK20" i="42"/>
  <c r="BL20" i="42" s="1"/>
  <c r="S20" i="42" s="1"/>
  <c r="BK17" i="42"/>
  <c r="BK33" i="42"/>
  <c r="BL33" i="42" s="1"/>
  <c r="S33" i="42" s="1"/>
  <c r="BK49" i="42"/>
  <c r="BK65" i="42"/>
  <c r="BL65" i="42" s="1"/>
  <c r="BK81" i="42"/>
  <c r="BL81" i="42" s="1"/>
  <c r="BK72" i="42"/>
  <c r="BL72" i="42" s="1"/>
  <c r="BC22" i="42"/>
  <c r="BC15" i="42"/>
  <c r="BD15" i="42" s="1"/>
  <c r="BC31" i="42"/>
  <c r="BC47" i="42"/>
  <c r="BD47" i="42" s="1"/>
  <c r="BC63" i="42"/>
  <c r="BD63" i="42" s="1"/>
  <c r="BC79" i="42"/>
  <c r="BD79" i="42" s="1"/>
  <c r="BC29" i="42"/>
  <c r="BD29" i="42" s="1"/>
  <c r="O29" i="42" s="1"/>
  <c r="BC53" i="42"/>
  <c r="BD53" i="42" s="1"/>
  <c r="O53" i="42" s="1"/>
  <c r="BC38" i="42"/>
  <c r="BD38" i="42" s="1"/>
  <c r="O38" i="42" s="1"/>
  <c r="BC70" i="42"/>
  <c r="BD70" i="42" s="1"/>
  <c r="BC16" i="42"/>
  <c r="BC32" i="42"/>
  <c r="BC48" i="42"/>
  <c r="BC64" i="42"/>
  <c r="BD64" i="42" s="1"/>
  <c r="BC80" i="42"/>
  <c r="BD80" i="42" s="1"/>
  <c r="BC45" i="42"/>
  <c r="BD45" i="42" s="1"/>
  <c r="BC77" i="42"/>
  <c r="BC62" i="42"/>
  <c r="BD62" i="42" s="1"/>
  <c r="AY26" i="42"/>
  <c r="AY19" i="42"/>
  <c r="AY35" i="42"/>
  <c r="AY51" i="42"/>
  <c r="AZ51" i="42" s="1"/>
  <c r="AY67" i="42"/>
  <c r="AY83" i="42"/>
  <c r="AZ83" i="42" s="1"/>
  <c r="AY61" i="42"/>
  <c r="AY62" i="42"/>
  <c r="AZ62" i="42" s="1"/>
  <c r="AY24" i="42"/>
  <c r="AY40" i="42"/>
  <c r="AY56" i="42"/>
  <c r="AY72" i="42"/>
  <c r="AY57" i="42"/>
  <c r="AY58" i="42"/>
  <c r="AY21" i="42"/>
  <c r="AY37" i="42"/>
  <c r="AY42" i="42"/>
  <c r="BK22" i="42"/>
  <c r="BL22" i="42" s="1"/>
  <c r="BK38" i="42"/>
  <c r="BK54" i="42"/>
  <c r="BL54" i="42" s="1"/>
  <c r="BK70" i="42"/>
  <c r="BK36" i="42"/>
  <c r="BL36" i="42" s="1"/>
  <c r="S36" i="42" s="1"/>
  <c r="BK84" i="42"/>
  <c r="BL84" i="42" s="1"/>
  <c r="BK27" i="42"/>
  <c r="BL27" i="42" s="1"/>
  <c r="BK43" i="42"/>
  <c r="BL43" i="42" s="1"/>
  <c r="S43" i="42" s="1"/>
  <c r="BK59" i="42"/>
  <c r="BL59" i="42" s="1"/>
  <c r="BK75" i="42"/>
  <c r="BK64" i="42"/>
  <c r="BL64" i="42" s="1"/>
  <c r="BK24" i="42"/>
  <c r="BL24" i="42" s="1"/>
  <c r="BK21" i="42"/>
  <c r="BL21" i="42" s="1"/>
  <c r="BK37" i="42"/>
  <c r="BL37" i="42" s="1"/>
  <c r="S37" i="42" s="1"/>
  <c r="BK53" i="42"/>
  <c r="BL53" i="42" s="1"/>
  <c r="S53" i="42" s="1"/>
  <c r="BK69" i="42"/>
  <c r="BL69" i="42" s="1"/>
  <c r="BK83" i="42"/>
  <c r="BL83" i="42" s="1"/>
  <c r="BK80" i="42"/>
  <c r="BC26" i="42"/>
  <c r="BD26" i="42" s="1"/>
  <c r="BC19" i="42"/>
  <c r="BC35" i="42"/>
  <c r="BD35" i="42" s="1"/>
  <c r="O35" i="42" s="1"/>
  <c r="BC51" i="42"/>
  <c r="BD51" i="42" s="1"/>
  <c r="BC67" i="42"/>
  <c r="BD67" i="42" s="1"/>
  <c r="BC83" i="42"/>
  <c r="BD83" i="42" s="1"/>
  <c r="BC33" i="42"/>
  <c r="BC61" i="42"/>
  <c r="BC50" i="42"/>
  <c r="BD50" i="42" s="1"/>
  <c r="BC74" i="42"/>
  <c r="BD74" i="42" s="1"/>
  <c r="BC20" i="42"/>
  <c r="BD20" i="42" s="1"/>
  <c r="O20" i="42" s="1"/>
  <c r="BC36" i="42"/>
  <c r="BC52" i="42"/>
  <c r="BD52" i="42" s="1"/>
  <c r="BC68" i="42"/>
  <c r="BC17" i="42"/>
  <c r="BD17" i="42" s="1"/>
  <c r="O17" i="42" s="1"/>
  <c r="BC57" i="42"/>
  <c r="BD57" i="42" s="1"/>
  <c r="BC42" i="42"/>
  <c r="BD42" i="42" s="1"/>
  <c r="O42" i="42" s="1"/>
  <c r="AY14" i="42"/>
  <c r="AY30" i="42"/>
  <c r="AZ30" i="42" s="1"/>
  <c r="L30" i="42" s="1"/>
  <c r="AY23" i="42"/>
  <c r="AY39" i="42"/>
  <c r="AZ39" i="42" s="1"/>
  <c r="L39" i="42" s="1"/>
  <c r="AY55" i="42"/>
  <c r="AY71" i="42"/>
  <c r="AY84" i="42"/>
  <c r="AY77" i="42"/>
  <c r="AZ77" i="42" s="1"/>
  <c r="AY78" i="42"/>
  <c r="AY28" i="42"/>
  <c r="AY44" i="42"/>
  <c r="AY60" i="42"/>
  <c r="AZ60" i="42" s="1"/>
  <c r="AY76" i="42"/>
  <c r="AY69" i="42"/>
  <c r="AY70" i="42"/>
  <c r="AY25" i="42"/>
  <c r="AZ25" i="42" s="1"/>
  <c r="AY49" i="42"/>
  <c r="AY50" i="42"/>
  <c r="BK26" i="42"/>
  <c r="BL26" i="42" s="1"/>
  <c r="BK42" i="42"/>
  <c r="BL42" i="42" s="1"/>
  <c r="S42" i="42" s="1"/>
  <c r="BK58" i="42"/>
  <c r="BL58" i="42" s="1"/>
  <c r="BK74" i="42"/>
  <c r="BL74" i="42" s="1"/>
  <c r="BK44" i="42"/>
  <c r="BK15" i="42"/>
  <c r="BL15" i="42" s="1"/>
  <c r="BK31" i="42"/>
  <c r="BL31" i="42" s="1"/>
  <c r="S31" i="42" s="1"/>
  <c r="BK47" i="42"/>
  <c r="BL47" i="42" s="1"/>
  <c r="BK63" i="42"/>
  <c r="BL63" i="42" s="1"/>
  <c r="BK79" i="42"/>
  <c r="BL79" i="42" s="1"/>
  <c r="BK76" i="42"/>
  <c r="BL76" i="42" s="1"/>
  <c r="BK28" i="42"/>
  <c r="BL28" i="42" s="1"/>
  <c r="S28" i="42" s="1"/>
  <c r="BK25" i="42"/>
  <c r="BL25" i="42" s="1"/>
  <c r="BK41" i="42"/>
  <c r="BL41" i="42" s="1"/>
  <c r="S41" i="42" s="1"/>
  <c r="BK57" i="42"/>
  <c r="BL57" i="42" s="1"/>
  <c r="BK73" i="42"/>
  <c r="BL73" i="42" s="1"/>
  <c r="BK48" i="42"/>
  <c r="BL48" i="42" s="1"/>
  <c r="S48" i="42" s="1"/>
  <c r="BC14" i="42"/>
  <c r="BD14" i="42" s="1"/>
  <c r="O14" i="42" s="1"/>
  <c r="BC30" i="42"/>
  <c r="BD30" i="42" s="1"/>
  <c r="O30" i="42" s="1"/>
  <c r="BC23" i="42"/>
  <c r="BD23" i="42" s="1"/>
  <c r="O23" i="42" s="1"/>
  <c r="BC39" i="42"/>
  <c r="BD39" i="42" s="1"/>
  <c r="O39" i="42" s="1"/>
  <c r="BC55" i="42"/>
  <c r="BD55" i="42" s="1"/>
  <c r="BC71" i="42"/>
  <c r="BD71" i="42" s="1"/>
  <c r="BC84" i="42"/>
  <c r="BD84" i="42" s="1"/>
  <c r="BC41" i="42"/>
  <c r="BC69" i="42"/>
  <c r="BD69" i="42" s="1"/>
  <c r="BC54" i="42"/>
  <c r="BD54" i="42" s="1"/>
  <c r="BC78" i="42"/>
  <c r="BD78" i="42" s="1"/>
  <c r="BC24" i="42"/>
  <c r="BD24" i="42" s="1"/>
  <c r="BC40" i="42"/>
  <c r="BD40" i="42" s="1"/>
  <c r="O40" i="42" s="1"/>
  <c r="BC56" i="42"/>
  <c r="BD56" i="42" s="1"/>
  <c r="BC72" i="42"/>
  <c r="BD72" i="42" s="1"/>
  <c r="BC25" i="42"/>
  <c r="BD25" i="42" s="1"/>
  <c r="BC65" i="42"/>
  <c r="BD65" i="42" s="1"/>
  <c r="BC46" i="42"/>
  <c r="BD46" i="42" s="1"/>
  <c r="AY18" i="42"/>
  <c r="AY34" i="42"/>
  <c r="AY27" i="42"/>
  <c r="AZ27" i="42" s="1"/>
  <c r="AY43" i="42"/>
  <c r="AY59" i="42"/>
  <c r="AY75" i="42"/>
  <c r="AY45" i="42"/>
  <c r="AZ45" i="42" s="1"/>
  <c r="AY38" i="42"/>
  <c r="AY16" i="42"/>
  <c r="AY32" i="42"/>
  <c r="AY48" i="42"/>
  <c r="AZ48" i="42" s="1"/>
  <c r="L48" i="42" s="1"/>
  <c r="AY64" i="42"/>
  <c r="AY80" i="42"/>
  <c r="AZ80" i="42" s="1"/>
  <c r="AY81" i="42"/>
  <c r="AY82" i="42"/>
  <c r="AZ82" i="42" s="1"/>
  <c r="AY29" i="42"/>
  <c r="AY65" i="42"/>
  <c r="AY66" i="42"/>
  <c r="BQ14" i="42"/>
  <c r="BR14" i="42" s="1"/>
  <c r="V14" i="42" s="1"/>
  <c r="BQ30" i="42"/>
  <c r="BR30" i="42" s="1"/>
  <c r="V30" i="42" s="1"/>
  <c r="BQ46" i="42"/>
  <c r="BR46" i="42" s="1"/>
  <c r="BQ62" i="42"/>
  <c r="BR62" i="42" s="1"/>
  <c r="BQ78" i="42"/>
  <c r="BR78" i="42" s="1"/>
  <c r="BQ47" i="42"/>
  <c r="BR47" i="42" s="1"/>
  <c r="BQ79" i="42"/>
  <c r="BR79" i="42" s="1"/>
  <c r="BQ27" i="42"/>
  <c r="BR27" i="42" s="1"/>
  <c r="BQ20" i="42"/>
  <c r="BR20" i="42" s="1"/>
  <c r="V20" i="42" s="1"/>
  <c r="BQ36" i="42"/>
  <c r="BR36" i="42" s="1"/>
  <c r="V36" i="42" s="1"/>
  <c r="BQ52" i="42"/>
  <c r="BR52" i="42" s="1"/>
  <c r="BQ68" i="42"/>
  <c r="BR68" i="42" s="1"/>
  <c r="BQ84" i="42"/>
  <c r="BR84" i="42" s="1"/>
  <c r="BQ29" i="42"/>
  <c r="BR29" i="42" s="1"/>
  <c r="V29" i="42" s="1"/>
  <c r="BQ45" i="42"/>
  <c r="BR45" i="42" s="1"/>
  <c r="BQ61" i="42"/>
  <c r="BR61" i="42" s="1"/>
  <c r="BQ77" i="42"/>
  <c r="BR77" i="42" s="1"/>
  <c r="BQ67" i="42"/>
  <c r="BR67" i="42" s="1"/>
  <c r="BQ18" i="42"/>
  <c r="BR18" i="42" s="1"/>
  <c r="V18" i="42" s="1"/>
  <c r="BQ34" i="42"/>
  <c r="BR34" i="42" s="1"/>
  <c r="BQ50" i="42"/>
  <c r="BR50" i="42" s="1"/>
  <c r="BQ66" i="42"/>
  <c r="BR66" i="42" s="1"/>
  <c r="BQ82" i="42"/>
  <c r="BR82" i="42" s="1"/>
  <c r="BQ55" i="42"/>
  <c r="BR55" i="42" s="1"/>
  <c r="BQ15" i="42"/>
  <c r="BR15" i="42" s="1"/>
  <c r="BQ31" i="42"/>
  <c r="BR31" i="42" s="1"/>
  <c r="V31" i="42" s="1"/>
  <c r="BQ24" i="42"/>
  <c r="BR24" i="42" s="1"/>
  <c r="BQ40" i="42"/>
  <c r="BR40" i="42" s="1"/>
  <c r="V40" i="42" s="1"/>
  <c r="BQ56" i="42"/>
  <c r="BR56" i="42" s="1"/>
  <c r="BQ72" i="42"/>
  <c r="BR72" i="42" s="1"/>
  <c r="BQ17" i="42"/>
  <c r="BR17" i="42" s="1"/>
  <c r="V17" i="42" s="1"/>
  <c r="BQ33" i="42"/>
  <c r="BR33" i="42" s="1"/>
  <c r="V33" i="42" s="1"/>
  <c r="BQ49" i="42"/>
  <c r="BR49" i="42" s="1"/>
  <c r="BQ65" i="42"/>
  <c r="BR65" i="42" s="1"/>
  <c r="BQ81" i="42"/>
  <c r="BR81" i="42" s="1"/>
  <c r="BQ75" i="42"/>
  <c r="BR75" i="42" s="1"/>
  <c r="BQ22" i="42"/>
  <c r="BR22" i="42" s="1"/>
  <c r="BQ38" i="42"/>
  <c r="BR38" i="42" s="1"/>
  <c r="V38" i="42" s="1"/>
  <c r="BQ54" i="42"/>
  <c r="BR54" i="42" s="1"/>
  <c r="BQ70" i="42"/>
  <c r="BR70" i="42" s="1"/>
  <c r="BQ39" i="42"/>
  <c r="BR39" i="42" s="1"/>
  <c r="V39" i="42" s="1"/>
  <c r="BQ63" i="42"/>
  <c r="BR63" i="42" s="1"/>
  <c r="BQ19" i="42"/>
  <c r="BR19" i="42" s="1"/>
  <c r="V19" i="42" s="1"/>
  <c r="BQ35" i="42"/>
  <c r="BR35" i="42" s="1"/>
  <c r="V35" i="42" s="1"/>
  <c r="BQ28" i="42"/>
  <c r="BR28" i="42" s="1"/>
  <c r="V28" i="42" s="1"/>
  <c r="BQ44" i="42"/>
  <c r="BR44" i="42" s="1"/>
  <c r="V44" i="42" s="1"/>
  <c r="BQ60" i="42"/>
  <c r="BR60" i="42" s="1"/>
  <c r="BQ76" i="42"/>
  <c r="BR76" i="42" s="1"/>
  <c r="BQ21" i="42"/>
  <c r="BR21" i="42" s="1"/>
  <c r="BQ37" i="42"/>
  <c r="BR37" i="42" s="1"/>
  <c r="V37" i="42" s="1"/>
  <c r="BQ53" i="42"/>
  <c r="BR53" i="42" s="1"/>
  <c r="V53" i="42" s="1"/>
  <c r="BQ69" i="42"/>
  <c r="BR69" i="42" s="1"/>
  <c r="BQ51" i="42"/>
  <c r="BR51" i="42" s="1"/>
  <c r="BQ83" i="42"/>
  <c r="BR83" i="42" s="1"/>
  <c r="BQ26" i="42"/>
  <c r="BR26" i="42" s="1"/>
  <c r="BQ42" i="42"/>
  <c r="BR42" i="42" s="1"/>
  <c r="V42" i="42" s="1"/>
  <c r="BQ58" i="42"/>
  <c r="BR58" i="42" s="1"/>
  <c r="BQ74" i="42"/>
  <c r="BR74" i="42" s="1"/>
  <c r="BQ43" i="42"/>
  <c r="BR43" i="42" s="1"/>
  <c r="V43" i="42" s="1"/>
  <c r="BQ71" i="42"/>
  <c r="BR71" i="42" s="1"/>
  <c r="BQ23" i="42"/>
  <c r="BR23" i="42" s="1"/>
  <c r="V23" i="42" s="1"/>
  <c r="BQ16" i="42"/>
  <c r="BR16" i="42" s="1"/>
  <c r="V16" i="42" s="1"/>
  <c r="BQ32" i="42"/>
  <c r="BR32" i="42" s="1"/>
  <c r="BQ48" i="42"/>
  <c r="BR48" i="42" s="1"/>
  <c r="V48" i="42" s="1"/>
  <c r="BQ64" i="42"/>
  <c r="BR64" i="42" s="1"/>
  <c r="BQ80" i="42"/>
  <c r="BR80" i="42" s="1"/>
  <c r="BQ25" i="42"/>
  <c r="BR25" i="42" s="1"/>
  <c r="BQ41" i="42"/>
  <c r="BR41" i="42" s="1"/>
  <c r="V41" i="42" s="1"/>
  <c r="BQ57" i="42"/>
  <c r="BR57" i="42" s="1"/>
  <c r="BQ73" i="42"/>
  <c r="BR73" i="42" s="1"/>
  <c r="BQ59" i="42"/>
  <c r="BR59" i="42" s="1"/>
  <c r="BA20" i="42"/>
  <c r="BB20" i="42" s="1"/>
  <c r="M20" i="42" s="1"/>
  <c r="BX22" i="42"/>
  <c r="BY22" i="42" s="1"/>
  <c r="BO25" i="42"/>
  <c r="BP25" i="42" s="1"/>
  <c r="BO28" i="42"/>
  <c r="BP28" i="42" s="1"/>
  <c r="U28" i="42" s="1"/>
  <c r="BO31" i="42"/>
  <c r="BP31" i="42" s="1"/>
  <c r="U31" i="42" s="1"/>
  <c r="BM37" i="42"/>
  <c r="BN37" i="42" s="1"/>
  <c r="T37" i="42" s="1"/>
  <c r="BA41" i="42"/>
  <c r="BB41" i="42" s="1"/>
  <c r="M41" i="42" s="1"/>
  <c r="BX43" i="42"/>
  <c r="BY43" i="42" s="1"/>
  <c r="X43" i="42" s="1"/>
  <c r="BO46" i="42"/>
  <c r="BP46" i="42" s="1"/>
  <c r="BX49" i="42"/>
  <c r="BY49" i="42" s="1"/>
  <c r="BX53" i="42"/>
  <c r="BY53" i="42" s="1"/>
  <c r="X53" i="42" s="1"/>
  <c r="BA57" i="42"/>
  <c r="BB57" i="42" s="1"/>
  <c r="BX59" i="42"/>
  <c r="BY59" i="42" s="1"/>
  <c r="BO62" i="42"/>
  <c r="BP62" i="42" s="1"/>
  <c r="BX65" i="42"/>
  <c r="BY65" i="42" s="1"/>
  <c r="BX70" i="42"/>
  <c r="BY70" i="42" s="1"/>
  <c r="BM20" i="42"/>
  <c r="BN20" i="42" s="1"/>
  <c r="T20" i="42" s="1"/>
  <c r="BM24" i="42"/>
  <c r="BN24" i="42" s="1"/>
  <c r="BX27" i="42"/>
  <c r="BY27" i="42" s="1"/>
  <c r="BA34" i="42"/>
  <c r="BB34" i="42" s="1"/>
  <c r="BX38" i="42"/>
  <c r="BY38" i="42" s="1"/>
  <c r="X38" i="42" s="1"/>
  <c r="BO49" i="42"/>
  <c r="BP49" i="42" s="1"/>
  <c r="BA52" i="42"/>
  <c r="BB52" i="42" s="1"/>
  <c r="BA63" i="42"/>
  <c r="BB63" i="42" s="1"/>
  <c r="BA21" i="42"/>
  <c r="BB21" i="42" s="1"/>
  <c r="BX23" i="42"/>
  <c r="BY23" i="42" s="1"/>
  <c r="X23" i="42" s="1"/>
  <c r="BO26" i="42"/>
  <c r="BP26" i="42" s="1"/>
  <c r="BM32" i="42"/>
  <c r="BN32" i="42" s="1"/>
  <c r="BO36" i="42"/>
  <c r="BP36" i="42" s="1"/>
  <c r="U36" i="42" s="1"/>
  <c r="BO38" i="42"/>
  <c r="BP38" i="42" s="1"/>
  <c r="U38" i="42" s="1"/>
  <c r="BO41" i="42"/>
  <c r="BP41" i="42" s="1"/>
  <c r="U41" i="42" s="1"/>
  <c r="BA44" i="42"/>
  <c r="BB44" i="42" s="1"/>
  <c r="M44" i="42" s="1"/>
  <c r="BX46" i="42"/>
  <c r="BY46" i="42" s="1"/>
  <c r="BM50" i="42"/>
  <c r="BN50" i="42" s="1"/>
  <c r="BM54" i="42"/>
  <c r="BN54" i="42" s="1"/>
  <c r="BO57" i="42"/>
  <c r="BP57" i="42" s="1"/>
  <c r="BA60" i="42"/>
  <c r="BB60" i="42" s="1"/>
  <c r="BM28" i="42"/>
  <c r="BN28" i="42" s="1"/>
  <c r="T28" i="42" s="1"/>
  <c r="BM31" i="42"/>
  <c r="BN31" i="42" s="1"/>
  <c r="T31" i="42" s="1"/>
  <c r="BO34" i="42"/>
  <c r="BP34" i="42" s="1"/>
  <c r="BM40" i="42"/>
  <c r="BN40" i="42" s="1"/>
  <c r="T40" i="42" s="1"/>
  <c r="BM44" i="42"/>
  <c r="BN44" i="42" s="1"/>
  <c r="T44" i="42" s="1"/>
  <c r="BO48" i="42"/>
  <c r="BP48" i="42" s="1"/>
  <c r="U48" i="42" s="1"/>
  <c r="BA51" i="42"/>
  <c r="BB51" i="42" s="1"/>
  <c r="BM56" i="42"/>
  <c r="BN56" i="42" s="1"/>
  <c r="BM63" i="42"/>
  <c r="BN63" i="42" s="1"/>
  <c r="BO67" i="42"/>
  <c r="BP67" i="42" s="1"/>
  <c r="BO70" i="42"/>
  <c r="BP70" i="42" s="1"/>
  <c r="BX74" i="42"/>
  <c r="BY74" i="42" s="1"/>
  <c r="BO78" i="42"/>
  <c r="BP78" i="42" s="1"/>
  <c r="BO82" i="42"/>
  <c r="BP82" i="42" s="1"/>
  <c r="BM15" i="42"/>
  <c r="BN15" i="42" s="1"/>
  <c r="BX17" i="42"/>
  <c r="BY17" i="42" s="1"/>
  <c r="X17" i="42" s="1"/>
  <c r="AU18" i="42"/>
  <c r="AU26" i="42"/>
  <c r="AU34" i="42"/>
  <c r="AU42" i="42"/>
  <c r="AU50" i="42"/>
  <c r="AU58" i="42"/>
  <c r="AU66" i="42"/>
  <c r="BO63" i="42"/>
  <c r="BP63" i="42" s="1"/>
  <c r="BA70" i="42"/>
  <c r="BB70" i="42" s="1"/>
  <c r="BA74" i="42"/>
  <c r="BB74" i="42" s="1"/>
  <c r="BA76" i="42"/>
  <c r="BB76" i="42" s="1"/>
  <c r="BA78" i="42"/>
  <c r="BB78" i="42" s="1"/>
  <c r="BA81" i="42"/>
  <c r="BB81" i="42" s="1"/>
  <c r="BM83" i="42"/>
  <c r="BN83" i="42" s="1"/>
  <c r="BO15" i="42"/>
  <c r="BP15" i="42" s="1"/>
  <c r="BA19" i="42"/>
  <c r="BB19" i="42" s="1"/>
  <c r="M19" i="42" s="1"/>
  <c r="AV18" i="42"/>
  <c r="AV26" i="42"/>
  <c r="BA67" i="42"/>
  <c r="BB67" i="42" s="1"/>
  <c r="BX20" i="42"/>
  <c r="BY20" i="42" s="1"/>
  <c r="X20" i="42" s="1"/>
  <c r="BO23" i="42"/>
  <c r="BP23" i="42" s="1"/>
  <c r="U23" i="42" s="1"/>
  <c r="BA26" i="42"/>
  <c r="BB26" i="42" s="1"/>
  <c r="BM29" i="42"/>
  <c r="BN29" i="42" s="1"/>
  <c r="T29" i="42" s="1"/>
  <c r="BA32" i="42"/>
  <c r="BB32" i="42" s="1"/>
  <c r="BM35" i="42"/>
  <c r="BN35" i="42" s="1"/>
  <c r="T35" i="42" s="1"/>
  <c r="BM38" i="42"/>
  <c r="BN38" i="42" s="1"/>
  <c r="T38" i="42" s="1"/>
  <c r="BX41" i="42"/>
  <c r="BY41" i="42" s="1"/>
  <c r="X41" i="42" s="1"/>
  <c r="BO44" i="42"/>
  <c r="BP44" i="42" s="1"/>
  <c r="U44" i="42" s="1"/>
  <c r="BA47" i="42"/>
  <c r="BB47" i="42" s="1"/>
  <c r="BM51" i="42"/>
  <c r="BN51" i="42" s="1"/>
  <c r="BM55" i="42"/>
  <c r="BN55" i="42" s="1"/>
  <c r="BX57" i="42"/>
  <c r="BY57" i="42" s="1"/>
  <c r="BO60" i="42"/>
  <c r="BP60" i="42" s="1"/>
  <c r="BA64" i="42"/>
  <c r="BB64" i="42" s="1"/>
  <c r="BO66" i="42"/>
  <c r="BP66" i="42" s="1"/>
  <c r="BA71" i="42"/>
  <c r="BB71" i="42" s="1"/>
  <c r="BX34" i="42"/>
  <c r="BY34" i="42" s="1"/>
  <c r="BM39" i="42"/>
  <c r="BN39" i="42" s="1"/>
  <c r="T39" i="42" s="1"/>
  <c r="BM43" i="42"/>
  <c r="BN43" i="42" s="1"/>
  <c r="T43" i="42" s="1"/>
  <c r="BM47" i="42"/>
  <c r="BN47" i="42" s="1"/>
  <c r="BA50" i="42"/>
  <c r="BB50" i="42" s="1"/>
  <c r="BO55" i="42"/>
  <c r="BP55" i="42" s="1"/>
  <c r="BM59" i="42"/>
  <c r="BN59" i="42" s="1"/>
  <c r="BX21" i="42"/>
  <c r="BY21" i="42" s="1"/>
  <c r="BO24" i="42"/>
  <c r="BP24" i="42" s="1"/>
  <c r="BM27" i="42"/>
  <c r="BN27" i="42" s="1"/>
  <c r="BO30" i="42"/>
  <c r="BP30" i="42" s="1"/>
  <c r="U30" i="42" s="1"/>
  <c r="BM34" i="42"/>
  <c r="BN34" i="42" s="1"/>
  <c r="BA37" i="42"/>
  <c r="BB37" i="42" s="1"/>
  <c r="M37" i="42" s="1"/>
  <c r="BO39" i="42"/>
  <c r="BP39" i="42" s="1"/>
  <c r="U39" i="42" s="1"/>
  <c r="BA42" i="42"/>
  <c r="BB42" i="42" s="1"/>
  <c r="M42" i="42" s="1"/>
  <c r="BX44" i="42"/>
  <c r="BY44" i="42" s="1"/>
  <c r="X44" i="42" s="1"/>
  <c r="BO47" i="42"/>
  <c r="BP47" i="42" s="1"/>
  <c r="BX50" i="42"/>
  <c r="BY50" i="42" s="1"/>
  <c r="BX54" i="42"/>
  <c r="BY54" i="42" s="1"/>
  <c r="BA58" i="42"/>
  <c r="BB58" i="42" s="1"/>
  <c r="BX60" i="42"/>
  <c r="BY60" i="42" s="1"/>
  <c r="BM21" i="42"/>
  <c r="BN21" i="42" s="1"/>
  <c r="BM25" i="42"/>
  <c r="BN25" i="42" s="1"/>
  <c r="BA29" i="42"/>
  <c r="BB29" i="42" s="1"/>
  <c r="M29" i="42" s="1"/>
  <c r="BX32" i="42"/>
  <c r="BY32" i="42" s="1"/>
  <c r="BA35" i="42"/>
  <c r="BB35" i="42" s="1"/>
  <c r="M35" i="42" s="1"/>
  <c r="BA49" i="42"/>
  <c r="BB49" i="42" s="1"/>
  <c r="BO54" i="42"/>
  <c r="BP54" i="42" s="1"/>
  <c r="BO64" i="42"/>
  <c r="BP64" i="42" s="1"/>
  <c r="BM68" i="42"/>
  <c r="BN68" i="42" s="1"/>
  <c r="BM72" i="42"/>
  <c r="BN72" i="42" s="1"/>
  <c r="BX75" i="42"/>
  <c r="BY75" i="42" s="1"/>
  <c r="BM80" i="42"/>
  <c r="BN80" i="42" s="1"/>
  <c r="BM84" i="42"/>
  <c r="BN84" i="42" s="1"/>
  <c r="BA16" i="42"/>
  <c r="BB16" i="42" s="1"/>
  <c r="M16" i="42" s="1"/>
  <c r="BO18" i="42"/>
  <c r="BP18" i="42" s="1"/>
  <c r="U18" i="42" s="1"/>
  <c r="AU20" i="42"/>
  <c r="AU28" i="42"/>
  <c r="AU36" i="42"/>
  <c r="AU44" i="42"/>
  <c r="AU52" i="42"/>
  <c r="AU60" i="42"/>
  <c r="AU68" i="42"/>
  <c r="BO65" i="42"/>
  <c r="BP65" i="42" s="1"/>
  <c r="BO68" i="42"/>
  <c r="BP68" i="42" s="1"/>
  <c r="BO74" i="42"/>
  <c r="BP74" i="42" s="1"/>
  <c r="BO76" i="42"/>
  <c r="BP76" i="42" s="1"/>
  <c r="BX83" i="42"/>
  <c r="BY83" i="42" s="1"/>
  <c r="BM16" i="42"/>
  <c r="BN16" i="42" s="1"/>
  <c r="T16" i="42" s="1"/>
  <c r="AV20" i="42"/>
  <c r="AV28" i="42"/>
  <c r="BX63" i="42"/>
  <c r="BY63" i="42" s="1"/>
  <c r="BO21" i="42"/>
  <c r="BP21" i="42" s="1"/>
  <c r="BA24" i="42"/>
  <c r="BB24" i="42" s="1"/>
  <c r="BX26" i="42"/>
  <c r="BY26" i="42" s="1"/>
  <c r="BA30" i="42"/>
  <c r="BB30" i="42" s="1"/>
  <c r="M30" i="42" s="1"/>
  <c r="BO32" i="42"/>
  <c r="BP32" i="42" s="1"/>
  <c r="BX35" i="42"/>
  <c r="BY35" i="42" s="1"/>
  <c r="X35" i="42" s="1"/>
  <c r="BX39" i="42"/>
  <c r="BY39" i="42" s="1"/>
  <c r="X39" i="42" s="1"/>
  <c r="BO42" i="42"/>
  <c r="BP42" i="42" s="1"/>
  <c r="U42" i="42" s="1"/>
  <c r="BA45" i="42"/>
  <c r="BB45" i="42" s="1"/>
  <c r="BX47" i="42"/>
  <c r="BY47" i="42" s="1"/>
  <c r="BX51" i="42"/>
  <c r="BY51" i="42" s="1"/>
  <c r="BX55" i="42"/>
  <c r="BY55" i="42" s="1"/>
  <c r="BO58" i="42"/>
  <c r="BP58" i="42" s="1"/>
  <c r="BA61" i="42"/>
  <c r="BB61" i="42" s="1"/>
  <c r="BA68" i="42"/>
  <c r="BB68" i="42" s="1"/>
  <c r="BO71" i="42"/>
  <c r="BP71" i="42" s="1"/>
  <c r="BM22" i="42"/>
  <c r="BN22" i="42" s="1"/>
  <c r="BM26" i="42"/>
  <c r="BN26" i="42" s="1"/>
  <c r="BO29" i="42"/>
  <c r="BP29" i="42" s="1"/>
  <c r="U29" i="42" s="1"/>
  <c r="BA33" i="42"/>
  <c r="BB33" i="42" s="1"/>
  <c r="M33" i="42" s="1"/>
  <c r="BX36" i="42"/>
  <c r="BY36" i="42" s="1"/>
  <c r="X36" i="42" s="1"/>
  <c r="BA48" i="42"/>
  <c r="BB48" i="42" s="1"/>
  <c r="M48" i="42" s="1"/>
  <c r="BO53" i="42"/>
  <c r="BP53" i="42" s="1"/>
  <c r="U53" i="42" s="1"/>
  <c r="BM64" i="42"/>
  <c r="BN64" i="42" s="1"/>
  <c r="BO22" i="42"/>
  <c r="BP22" i="42" s="1"/>
  <c r="BA25" i="42"/>
  <c r="BB25" i="42" s="1"/>
  <c r="BA28" i="42"/>
  <c r="BB28" i="42" s="1"/>
  <c r="M28" i="42" s="1"/>
  <c r="BA31" i="42"/>
  <c r="BB31" i="42" s="1"/>
  <c r="M31" i="42" s="1"/>
  <c r="BO35" i="42"/>
  <c r="BP35" i="42" s="1"/>
  <c r="U35" i="42" s="1"/>
  <c r="BO37" i="42"/>
  <c r="BP37" i="42" s="1"/>
  <c r="U37" i="42" s="1"/>
  <c r="BA40" i="42"/>
  <c r="BB40" i="42" s="1"/>
  <c r="M40" i="42" s="1"/>
  <c r="BX42" i="42"/>
  <c r="BY42" i="42" s="1"/>
  <c r="X42" i="42" s="1"/>
  <c r="BO45" i="42"/>
  <c r="BP45" i="42" s="1"/>
  <c r="BM48" i="42"/>
  <c r="BN48" i="42" s="1"/>
  <c r="T48" i="42" s="1"/>
  <c r="BM52" i="42"/>
  <c r="BN52" i="42" s="1"/>
  <c r="BA56" i="42"/>
  <c r="BB56" i="42" s="1"/>
  <c r="BX58" i="42"/>
  <c r="BY58" i="42" s="1"/>
  <c r="BO61" i="42"/>
  <c r="BP61" i="42" s="1"/>
  <c r="BX29" i="42"/>
  <c r="BY29" i="42" s="1"/>
  <c r="X29" i="42" s="1"/>
  <c r="BM33" i="42"/>
  <c r="BN33" i="42" s="1"/>
  <c r="T33" i="42" s="1"/>
  <c r="BA39" i="42"/>
  <c r="BB39" i="42" s="1"/>
  <c r="M39" i="42" s="1"/>
  <c r="BM42" i="42"/>
  <c r="BN42" i="42" s="1"/>
  <c r="T42" i="42" s="1"/>
  <c r="BM46" i="42"/>
  <c r="BN46" i="42" s="1"/>
  <c r="BO52" i="42"/>
  <c r="BP52" i="42" s="1"/>
  <c r="BA55" i="42"/>
  <c r="BB55" i="42" s="1"/>
  <c r="BM58" i="42"/>
  <c r="BN58" i="42" s="1"/>
  <c r="BA65" i="42"/>
  <c r="BB65" i="42" s="1"/>
  <c r="BA69" i="42"/>
  <c r="BB69" i="42" s="1"/>
  <c r="BM73" i="42"/>
  <c r="BN73" i="42" s="1"/>
  <c r="BX76" i="42"/>
  <c r="BY76" i="42" s="1"/>
  <c r="BX80" i="42"/>
  <c r="BY80" i="42" s="1"/>
  <c r="BX84" i="42"/>
  <c r="BY84" i="42" s="1"/>
  <c r="AU14" i="42"/>
  <c r="AU22" i="42"/>
  <c r="AU30" i="42"/>
  <c r="AU38" i="42"/>
  <c r="AU46" i="42"/>
  <c r="AU54" i="42"/>
  <c r="AU62" i="42"/>
  <c r="BA66" i="42"/>
  <c r="BB66" i="42" s="1"/>
  <c r="BM69" i="42"/>
  <c r="BN69" i="42" s="1"/>
  <c r="BO72" i="42"/>
  <c r="BP72" i="42" s="1"/>
  <c r="BA75" i="42"/>
  <c r="BB75" i="42" s="1"/>
  <c r="BA77" i="42"/>
  <c r="BB77" i="42" s="1"/>
  <c r="BM79" i="42"/>
  <c r="BN79" i="42" s="1"/>
  <c r="BA82" i="42"/>
  <c r="BB82" i="42" s="1"/>
  <c r="BA14" i="42"/>
  <c r="BB14" i="42" s="1"/>
  <c r="M14" i="42" s="1"/>
  <c r="BX16" i="42"/>
  <c r="BY16" i="42" s="1"/>
  <c r="X16" i="42" s="1"/>
  <c r="AV14" i="42"/>
  <c r="BA22" i="42"/>
  <c r="BB22" i="42" s="1"/>
  <c r="BO33" i="42"/>
  <c r="BP33" i="42" s="1"/>
  <c r="U33" i="42" s="1"/>
  <c r="BX45" i="42"/>
  <c r="BY45" i="42" s="1"/>
  <c r="BA59" i="42"/>
  <c r="BB59" i="42" s="1"/>
  <c r="BX71" i="42"/>
  <c r="BY71" i="42" s="1"/>
  <c r="BM61" i="42"/>
  <c r="BN61" i="42" s="1"/>
  <c r="BX28" i="42"/>
  <c r="BY28" i="42" s="1"/>
  <c r="X28" i="42" s="1"/>
  <c r="BX40" i="42"/>
  <c r="BY40" i="42" s="1"/>
  <c r="X40" i="42" s="1"/>
  <c r="BX52" i="42"/>
  <c r="BY52" i="42" s="1"/>
  <c r="BM23" i="42"/>
  <c r="BN23" i="42" s="1"/>
  <c r="T23" i="42" s="1"/>
  <c r="BO50" i="42"/>
  <c r="BP50" i="42" s="1"/>
  <c r="BO81" i="42"/>
  <c r="BP81" i="42" s="1"/>
  <c r="AU24" i="42"/>
  <c r="AU56" i="42"/>
  <c r="BX69" i="42"/>
  <c r="BY69" i="42" s="1"/>
  <c r="BX79" i="42"/>
  <c r="BY79" i="42" s="1"/>
  <c r="AV16" i="42"/>
  <c r="BM60" i="42"/>
  <c r="BN60" i="42" s="1"/>
  <c r="BM78" i="42"/>
  <c r="BN78" i="42" s="1"/>
  <c r="BM82" i="42"/>
  <c r="BN82" i="42" s="1"/>
  <c r="BM14" i="42"/>
  <c r="BN14" i="42" s="1"/>
  <c r="T14" i="42" s="1"/>
  <c r="AU17" i="42"/>
  <c r="AU25" i="42"/>
  <c r="AU33" i="42"/>
  <c r="AU41" i="42"/>
  <c r="AU49" i="42"/>
  <c r="AU57" i="42"/>
  <c r="AU65" i="42"/>
  <c r="AU73" i="42"/>
  <c r="AU81" i="42"/>
  <c r="BM67" i="42"/>
  <c r="BN67" i="42" s="1"/>
  <c r="BX72" i="42"/>
  <c r="BY72" i="42" s="1"/>
  <c r="BM75" i="42"/>
  <c r="BN75" i="42" s="1"/>
  <c r="BX81" i="42"/>
  <c r="BY81" i="42" s="1"/>
  <c r="BA17" i="42"/>
  <c r="BB17" i="42" s="1"/>
  <c r="M17" i="42" s="1"/>
  <c r="BO19" i="42"/>
  <c r="BP19" i="42" s="1"/>
  <c r="U19" i="42" s="1"/>
  <c r="AV21" i="42"/>
  <c r="AV29" i="42"/>
  <c r="AV41" i="42"/>
  <c r="AV57" i="42"/>
  <c r="AV46" i="42"/>
  <c r="AV62" i="42"/>
  <c r="AV75" i="42"/>
  <c r="AV47" i="42"/>
  <c r="AV63" i="42"/>
  <c r="AU76" i="42"/>
  <c r="AV79" i="42"/>
  <c r="AV40" i="42"/>
  <c r="AV56" i="42"/>
  <c r="AV71" i="42"/>
  <c r="AV65" i="42"/>
  <c r="AU78" i="42"/>
  <c r="AV74" i="42"/>
  <c r="BI23" i="42"/>
  <c r="BJ23" i="42" s="1"/>
  <c r="R23" i="42" s="1"/>
  <c r="BI27" i="42"/>
  <c r="BJ27" i="42" s="1"/>
  <c r="BI20" i="42"/>
  <c r="BJ20" i="42" s="1"/>
  <c r="R20" i="42" s="1"/>
  <c r="BI37" i="42"/>
  <c r="BJ37" i="42" s="1"/>
  <c r="R37" i="42" s="1"/>
  <c r="BI41" i="42"/>
  <c r="BJ41" i="42" s="1"/>
  <c r="R41" i="42" s="1"/>
  <c r="BI46" i="42"/>
  <c r="BJ46" i="42" s="1"/>
  <c r="BI44" i="42"/>
  <c r="BJ44" i="42" s="1"/>
  <c r="R44" i="42" s="1"/>
  <c r="BI51" i="42"/>
  <c r="BJ51" i="42" s="1"/>
  <c r="BI55" i="42"/>
  <c r="BJ55" i="42" s="1"/>
  <c r="BI71" i="42"/>
  <c r="BJ71" i="42" s="1"/>
  <c r="BI56" i="42"/>
  <c r="BJ56" i="42" s="1"/>
  <c r="BI64" i="42"/>
  <c r="BJ64" i="42" s="1"/>
  <c r="BI45" i="42"/>
  <c r="BJ45" i="42" s="1"/>
  <c r="BI59" i="42"/>
  <c r="BJ59" i="42" s="1"/>
  <c r="BI77" i="42"/>
  <c r="BJ77" i="42" s="1"/>
  <c r="BI78" i="42"/>
  <c r="BJ78" i="42" s="1"/>
  <c r="BL46" i="42"/>
  <c r="BX24" i="42"/>
  <c r="BY24" i="42" s="1"/>
  <c r="BM36" i="42"/>
  <c r="BN36" i="42" s="1"/>
  <c r="T36" i="42" s="1"/>
  <c r="BM49" i="42"/>
  <c r="BN49" i="42" s="1"/>
  <c r="BX61" i="42"/>
  <c r="BY61" i="42" s="1"/>
  <c r="BX37" i="42"/>
  <c r="BY37" i="42" s="1"/>
  <c r="X37" i="42" s="1"/>
  <c r="BO51" i="42"/>
  <c r="BP51" i="42" s="1"/>
  <c r="BO20" i="42"/>
  <c r="BP20" i="42" s="1"/>
  <c r="U20" i="42" s="1"/>
  <c r="BX31" i="42"/>
  <c r="BY31" i="42" s="1"/>
  <c r="X31" i="42" s="1"/>
  <c r="BO43" i="42"/>
  <c r="BP43" i="42" s="1"/>
  <c r="U43" i="42" s="1"/>
  <c r="BX56" i="42"/>
  <c r="BY56" i="42" s="1"/>
  <c r="BO27" i="42"/>
  <c r="BP27" i="42" s="1"/>
  <c r="BA53" i="42"/>
  <c r="BB53" i="42" s="1"/>
  <c r="M53" i="42" s="1"/>
  <c r="AU32" i="42"/>
  <c r="AU64" i="42"/>
  <c r="BO73" i="42"/>
  <c r="BP73" i="42" s="1"/>
  <c r="AV22" i="42"/>
  <c r="BX64" i="42"/>
  <c r="BY64" i="42" s="1"/>
  <c r="BO69" i="42"/>
  <c r="BP69" i="42" s="1"/>
  <c r="BX78" i="42"/>
  <c r="BY78" i="42" s="1"/>
  <c r="BX82" i="42"/>
  <c r="BY82" i="42" s="1"/>
  <c r="BM19" i="42"/>
  <c r="BN19" i="42" s="1"/>
  <c r="T19" i="42" s="1"/>
  <c r="AU19" i="42"/>
  <c r="AU27" i="42"/>
  <c r="AU35" i="42"/>
  <c r="AU43" i="42"/>
  <c r="AU51" i="42"/>
  <c r="AU59" i="42"/>
  <c r="AU67" i="42"/>
  <c r="AU75" i="42"/>
  <c r="AU83" i="42"/>
  <c r="BM70" i="42"/>
  <c r="BN70" i="42" s="1"/>
  <c r="BA73" i="42"/>
  <c r="BB73" i="42" s="1"/>
  <c r="BM76" i="42"/>
  <c r="BN76" i="42" s="1"/>
  <c r="BA80" i="42"/>
  <c r="BB80" i="42" s="1"/>
  <c r="BA83" i="42"/>
  <c r="BB83" i="42" s="1"/>
  <c r="BO14" i="42"/>
  <c r="BP14" i="42" s="1"/>
  <c r="U14" i="42" s="1"/>
  <c r="AV15" i="42"/>
  <c r="AV23" i="42"/>
  <c r="AV31" i="42"/>
  <c r="AV45" i="42"/>
  <c r="AV34" i="42"/>
  <c r="AV50" i="42"/>
  <c r="AV66" i="42"/>
  <c r="AV35" i="42"/>
  <c r="AV51" i="42"/>
  <c r="AV67" i="42"/>
  <c r="AV78" i="42"/>
  <c r="AV84" i="42"/>
  <c r="AV44" i="42"/>
  <c r="AV60" i="42"/>
  <c r="AU74" i="42"/>
  <c r="AV77" i="42"/>
  <c r="AV83" i="42"/>
  <c r="AV80" i="42"/>
  <c r="BI24" i="42"/>
  <c r="BJ24" i="42" s="1"/>
  <c r="BI28" i="42"/>
  <c r="BJ28" i="42" s="1"/>
  <c r="R28" i="42" s="1"/>
  <c r="BI22" i="42"/>
  <c r="BJ22" i="42" s="1"/>
  <c r="BI38" i="42"/>
  <c r="BJ38" i="42" s="1"/>
  <c r="R38" i="42" s="1"/>
  <c r="BI35" i="42"/>
  <c r="BJ35" i="42" s="1"/>
  <c r="R35" i="42" s="1"/>
  <c r="BI43" i="42"/>
  <c r="BJ43" i="42" s="1"/>
  <c r="R43" i="42" s="1"/>
  <c r="BI48" i="42"/>
  <c r="BJ48" i="42" s="1"/>
  <c r="R48" i="42" s="1"/>
  <c r="BI52" i="42"/>
  <c r="BJ52" i="42" s="1"/>
  <c r="BI60" i="42"/>
  <c r="BJ60" i="42" s="1"/>
  <c r="BI31" i="42"/>
  <c r="BJ31" i="42" s="1"/>
  <c r="R31" i="42" s="1"/>
  <c r="BI58" i="42"/>
  <c r="BJ58" i="42" s="1"/>
  <c r="BI65" i="42"/>
  <c r="BJ65" i="42" s="1"/>
  <c r="BI68" i="42"/>
  <c r="BJ68" i="42" s="1"/>
  <c r="BI74" i="42"/>
  <c r="BJ74" i="42" s="1"/>
  <c r="BI79" i="42"/>
  <c r="BJ79" i="42" s="1"/>
  <c r="BI80" i="42"/>
  <c r="BJ80" i="42" s="1"/>
  <c r="BL32" i="42"/>
  <c r="BO40" i="42"/>
  <c r="BP40" i="42" s="1"/>
  <c r="U40" i="42" s="1"/>
  <c r="BM53" i="42"/>
  <c r="BN53" i="42" s="1"/>
  <c r="T53" i="42" s="1"/>
  <c r="BM65" i="42"/>
  <c r="BN65" i="42" s="1"/>
  <c r="BA27" i="42"/>
  <c r="BB27" i="42" s="1"/>
  <c r="BM41" i="42"/>
  <c r="BN41" i="42" s="1"/>
  <c r="T41" i="42" s="1"/>
  <c r="BA54" i="42"/>
  <c r="BB54" i="42" s="1"/>
  <c r="BA23" i="42"/>
  <c r="BB23" i="42" s="1"/>
  <c r="M23" i="42" s="1"/>
  <c r="BA36" i="42"/>
  <c r="BB36" i="42" s="1"/>
  <c r="M36" i="42" s="1"/>
  <c r="BA46" i="42"/>
  <c r="BB46" i="42" s="1"/>
  <c r="BO59" i="42"/>
  <c r="BP59" i="42" s="1"/>
  <c r="BX73" i="42"/>
  <c r="BY73" i="42" s="1"/>
  <c r="BM17" i="42"/>
  <c r="BN17" i="42" s="1"/>
  <c r="T17" i="42" s="1"/>
  <c r="AU40" i="42"/>
  <c r="BM62" i="42"/>
  <c r="BN62" i="42" s="1"/>
  <c r="BO75" i="42"/>
  <c r="BP75" i="42" s="1"/>
  <c r="BX14" i="42"/>
  <c r="BY14" i="42" s="1"/>
  <c r="X14" i="42" s="1"/>
  <c r="AV24" i="42"/>
  <c r="BM66" i="42"/>
  <c r="BN66" i="42" s="1"/>
  <c r="BO79" i="42"/>
  <c r="BP79" i="42" s="1"/>
  <c r="BO83" i="42"/>
  <c r="BP83" i="42" s="1"/>
  <c r="BO16" i="42"/>
  <c r="BP16" i="42" s="1"/>
  <c r="U16" i="42" s="1"/>
  <c r="BX19" i="42"/>
  <c r="BY19" i="42" s="1"/>
  <c r="X19" i="42" s="1"/>
  <c r="AU21" i="42"/>
  <c r="AU29" i="42"/>
  <c r="AU37" i="42"/>
  <c r="AU45" i="42"/>
  <c r="AU53" i="42"/>
  <c r="AU61" i="42"/>
  <c r="AU69" i="42"/>
  <c r="AU77" i="42"/>
  <c r="BX62" i="42"/>
  <c r="BY62" i="42" s="1"/>
  <c r="BM71" i="42"/>
  <c r="BN71" i="42" s="1"/>
  <c r="BM77" i="42"/>
  <c r="BN77" i="42" s="1"/>
  <c r="BA15" i="42"/>
  <c r="BB15" i="42" s="1"/>
  <c r="BM18" i="42"/>
  <c r="BN18" i="42" s="1"/>
  <c r="T18" i="42" s="1"/>
  <c r="AV17" i="42"/>
  <c r="AV25" i="42"/>
  <c r="AV33" i="42"/>
  <c r="AV49" i="42"/>
  <c r="AV38" i="42"/>
  <c r="AV54" i="42"/>
  <c r="AU70" i="42"/>
  <c r="AV39" i="42"/>
  <c r="AV55" i="42"/>
  <c r="AV70" i="42"/>
  <c r="AV81" i="42"/>
  <c r="AV32" i="42"/>
  <c r="AV48" i="42"/>
  <c r="AV64" i="42"/>
  <c r="AV76" i="42"/>
  <c r="AV82" i="42"/>
  <c r="AU72" i="42"/>
  <c r="AU80" i="42"/>
  <c r="BI25" i="42"/>
  <c r="BJ25" i="42" s="1"/>
  <c r="BI29" i="42"/>
  <c r="BJ29" i="42" s="1"/>
  <c r="R29" i="42" s="1"/>
  <c r="BI33" i="42"/>
  <c r="BJ33" i="42" s="1"/>
  <c r="R33" i="42" s="1"/>
  <c r="BI39" i="42"/>
  <c r="BJ39" i="42" s="1"/>
  <c r="R39" i="42" s="1"/>
  <c r="BI36" i="42"/>
  <c r="BJ36" i="42" s="1"/>
  <c r="R36" i="42" s="1"/>
  <c r="BX30" i="42"/>
  <c r="BY30" i="42" s="1"/>
  <c r="X30" i="42" s="1"/>
  <c r="BM30" i="42"/>
  <c r="BN30" i="42" s="1"/>
  <c r="T30" i="42" s="1"/>
  <c r="BA38" i="42"/>
  <c r="BB38" i="42" s="1"/>
  <c r="M38" i="42" s="1"/>
  <c r="AU48" i="42"/>
  <c r="AV30" i="42"/>
  <c r="BO80" i="42"/>
  <c r="BP80" i="42" s="1"/>
  <c r="AU23" i="42"/>
  <c r="AU55" i="42"/>
  <c r="BM81" i="42"/>
  <c r="BN81" i="42" s="1"/>
  <c r="AV19" i="42"/>
  <c r="AV42" i="42"/>
  <c r="AV59" i="42"/>
  <c r="AV52" i="42"/>
  <c r="AV61" i="42"/>
  <c r="BI34" i="42"/>
  <c r="BJ34" i="42" s="1"/>
  <c r="BI32" i="42"/>
  <c r="BJ32" i="42" s="1"/>
  <c r="BI54" i="42"/>
  <c r="BJ54" i="42" s="1"/>
  <c r="BI61" i="42"/>
  <c r="BJ61" i="42" s="1"/>
  <c r="BI67" i="42"/>
  <c r="BJ67" i="42" s="1"/>
  <c r="BI76" i="42"/>
  <c r="BJ76" i="42" s="1"/>
  <c r="BI84" i="42"/>
  <c r="BJ84" i="42" s="1"/>
  <c r="BL44" i="42"/>
  <c r="S44" i="42" s="1"/>
  <c r="BV21" i="42"/>
  <c r="BV25" i="42"/>
  <c r="BV29" i="42"/>
  <c r="BV32" i="42"/>
  <c r="BV38" i="42"/>
  <c r="BV42" i="42"/>
  <c r="BV46" i="42"/>
  <c r="BV50" i="42"/>
  <c r="BV54" i="42"/>
  <c r="BV58" i="42"/>
  <c r="BV62" i="42"/>
  <c r="BV66" i="42"/>
  <c r="BV69" i="42"/>
  <c r="BV77" i="42"/>
  <c r="BV84" i="42"/>
  <c r="BV75" i="42"/>
  <c r="BD33" i="42"/>
  <c r="O33" i="42" s="1"/>
  <c r="BD41" i="42"/>
  <c r="O41" i="42" s="1"/>
  <c r="BE25" i="42"/>
  <c r="BF25" i="42" s="1"/>
  <c r="BE29" i="42"/>
  <c r="BF29" i="42" s="1"/>
  <c r="P29" i="42" s="1"/>
  <c r="BE23" i="42"/>
  <c r="BF23" i="42" s="1"/>
  <c r="P23" i="42" s="1"/>
  <c r="BE39" i="42"/>
  <c r="BF39" i="42" s="1"/>
  <c r="P39" i="42" s="1"/>
  <c r="BE34" i="42"/>
  <c r="BF34" i="42" s="1"/>
  <c r="BE46" i="42"/>
  <c r="BF46" i="42" s="1"/>
  <c r="BE58" i="42"/>
  <c r="BF58" i="42" s="1"/>
  <c r="BE72" i="42"/>
  <c r="BF72" i="42" s="1"/>
  <c r="BE56" i="42"/>
  <c r="BF56" i="42" s="1"/>
  <c r="BE51" i="42"/>
  <c r="BF51" i="42" s="1"/>
  <c r="BE62" i="42"/>
  <c r="BF62" i="42" s="1"/>
  <c r="BE66" i="42"/>
  <c r="BF66" i="42" s="1"/>
  <c r="BE74" i="42"/>
  <c r="BF74" i="42" s="1"/>
  <c r="BE80" i="42"/>
  <c r="BF80" i="42" s="1"/>
  <c r="BE81" i="42"/>
  <c r="BF81" i="42" s="1"/>
  <c r="BA43" i="42"/>
  <c r="BB43" i="42" s="1"/>
  <c r="M43" i="42" s="1"/>
  <c r="BM45" i="42"/>
  <c r="BN45" i="42" s="1"/>
  <c r="BX48" i="42"/>
  <c r="BY48" i="42" s="1"/>
  <c r="X48" i="42" s="1"/>
  <c r="BX66" i="42"/>
  <c r="BY66" i="42" s="1"/>
  <c r="BX67" i="42"/>
  <c r="BY67" i="42" s="1"/>
  <c r="BO84" i="42"/>
  <c r="BP84" i="42" s="1"/>
  <c r="AU31" i="42"/>
  <c r="AU63" i="42"/>
  <c r="BA72" i="42"/>
  <c r="BB72" i="42" s="1"/>
  <c r="BA84" i="42"/>
  <c r="BB84" i="42" s="1"/>
  <c r="AV27" i="42"/>
  <c r="AV58" i="42"/>
  <c r="AV73" i="42"/>
  <c r="AV68" i="42"/>
  <c r="BI21" i="42"/>
  <c r="BJ21" i="42" s="1"/>
  <c r="BI40" i="42"/>
  <c r="BJ40" i="42" s="1"/>
  <c r="R40" i="42" s="1"/>
  <c r="BI49" i="42"/>
  <c r="BJ49" i="42" s="1"/>
  <c r="BI69" i="42"/>
  <c r="BJ69" i="42" s="1"/>
  <c r="BI62" i="42"/>
  <c r="BJ62" i="42" s="1"/>
  <c r="BI72" i="42"/>
  <c r="BJ72" i="42" s="1"/>
  <c r="BI81" i="42"/>
  <c r="BJ81" i="42" s="1"/>
  <c r="BL50" i="42"/>
  <c r="BL49" i="42"/>
  <c r="BL51" i="42"/>
  <c r="BV22" i="42"/>
  <c r="BV26" i="42"/>
  <c r="BV30" i="42"/>
  <c r="BV33" i="42"/>
  <c r="BV39" i="42"/>
  <c r="BV43" i="42"/>
  <c r="BV47" i="42"/>
  <c r="BV51" i="42"/>
  <c r="BV55" i="42"/>
  <c r="BV59" i="42"/>
  <c r="BV63" i="42"/>
  <c r="BV67" i="42"/>
  <c r="BV70" i="42"/>
  <c r="BV78" i="42"/>
  <c r="BV83" i="42"/>
  <c r="BV76" i="42"/>
  <c r="BD21" i="42"/>
  <c r="BD43" i="42"/>
  <c r="O43" i="42" s="1"/>
  <c r="BD66" i="42"/>
  <c r="BD61" i="42"/>
  <c r="BD36" i="42"/>
  <c r="O36" i="42" s="1"/>
  <c r="BE20" i="42"/>
  <c r="BF20" i="42" s="1"/>
  <c r="P20" i="42" s="1"/>
  <c r="BE26" i="42"/>
  <c r="BF26" i="42" s="1"/>
  <c r="BE30" i="42"/>
  <c r="BF30" i="42" s="1"/>
  <c r="P30" i="42" s="1"/>
  <c r="BE33" i="42"/>
  <c r="BF33" i="42" s="1"/>
  <c r="P33" i="42" s="1"/>
  <c r="BO56" i="42"/>
  <c r="BP56" i="42" s="1"/>
  <c r="BM57" i="42"/>
  <c r="BN57" i="42" s="1"/>
  <c r="BA62" i="42"/>
  <c r="BB62" i="42" s="1"/>
  <c r="BX77" i="42"/>
  <c r="BY77" i="42" s="1"/>
  <c r="BO77" i="42"/>
  <c r="BP77" i="42" s="1"/>
  <c r="BA18" i="42"/>
  <c r="BB18" i="42" s="1"/>
  <c r="M18" i="42" s="1"/>
  <c r="AU39" i="42"/>
  <c r="AU71" i="42"/>
  <c r="BM74" i="42"/>
  <c r="BN74" i="42" s="1"/>
  <c r="BX15" i="42"/>
  <c r="BY15" i="42" s="1"/>
  <c r="AV37" i="42"/>
  <c r="AV72" i="42"/>
  <c r="AU84" i="42"/>
  <c r="AU82" i="42"/>
  <c r="BI26" i="42"/>
  <c r="BJ26" i="42" s="1"/>
  <c r="BI42" i="42"/>
  <c r="BJ42" i="42" s="1"/>
  <c r="R42" i="42" s="1"/>
  <c r="BI50" i="42"/>
  <c r="BJ50" i="42" s="1"/>
  <c r="BI70" i="42"/>
  <c r="BJ70" i="42" s="1"/>
  <c r="BI63" i="42"/>
  <c r="BJ63" i="42" s="1"/>
  <c r="BI73" i="42"/>
  <c r="BJ73" i="42" s="1"/>
  <c r="BI83" i="42"/>
  <c r="BJ83" i="42" s="1"/>
  <c r="BL78" i="42"/>
  <c r="BV23" i="42"/>
  <c r="BV27" i="42"/>
  <c r="BV31" i="42"/>
  <c r="BV36" i="42"/>
  <c r="BV40" i="42"/>
  <c r="BV44" i="42"/>
  <c r="BV48" i="42"/>
  <c r="BV52" i="42"/>
  <c r="BV56" i="42"/>
  <c r="BV60" i="42"/>
  <c r="BV64" i="42"/>
  <c r="BV68" i="42"/>
  <c r="BV71" i="42"/>
  <c r="BV80" i="42"/>
  <c r="BV73" i="42"/>
  <c r="BV79" i="42"/>
  <c r="BD22" i="42"/>
  <c r="BD27" i="42"/>
  <c r="BD32" i="42"/>
  <c r="BE22" i="42"/>
  <c r="BF22" i="42" s="1"/>
  <c r="BE27" i="42"/>
  <c r="BF27" i="42" s="1"/>
  <c r="BE32" i="42"/>
  <c r="BF32" i="42" s="1"/>
  <c r="BE37" i="42"/>
  <c r="BF37" i="42" s="1"/>
  <c r="P37" i="42" s="1"/>
  <c r="BE41" i="42"/>
  <c r="BF41" i="42" s="1"/>
  <c r="P41" i="42" s="1"/>
  <c r="BE45" i="42"/>
  <c r="BF45" i="42" s="1"/>
  <c r="BE49" i="42"/>
  <c r="BF49" i="42" s="1"/>
  <c r="BE70" i="42"/>
  <c r="BF70" i="42" s="1"/>
  <c r="BE48" i="42"/>
  <c r="BF48" i="42" s="1"/>
  <c r="P48" i="42" s="1"/>
  <c r="BE69" i="42"/>
  <c r="BF69" i="42" s="1"/>
  <c r="BE60" i="42"/>
  <c r="BF60" i="42" s="1"/>
  <c r="BE64" i="42"/>
  <c r="BF64" i="42" s="1"/>
  <c r="BE50" i="42"/>
  <c r="BF50" i="42" s="1"/>
  <c r="BE76" i="42"/>
  <c r="BF76" i="42" s="1"/>
  <c r="BE78" i="42"/>
  <c r="BF78" i="42" s="1"/>
  <c r="BE84" i="42"/>
  <c r="BF84" i="42" s="1"/>
  <c r="BI15" i="42"/>
  <c r="BJ15" i="42" s="1"/>
  <c r="BI17" i="42"/>
  <c r="BJ17" i="42" s="1"/>
  <c r="R17" i="42" s="1"/>
  <c r="BX68" i="42"/>
  <c r="BY68" i="42" s="1"/>
  <c r="BX25" i="42"/>
  <c r="BY25" i="42" s="1"/>
  <c r="BX33" i="42"/>
  <c r="BY33" i="42" s="1"/>
  <c r="X33" i="42" s="1"/>
  <c r="AU16" i="42"/>
  <c r="BO17" i="42"/>
  <c r="BP17" i="42" s="1"/>
  <c r="U17" i="42" s="1"/>
  <c r="AU15" i="42"/>
  <c r="AU47" i="42"/>
  <c r="AU79" i="42"/>
  <c r="BA79" i="42"/>
  <c r="BB79" i="42" s="1"/>
  <c r="BX18" i="42"/>
  <c r="BY18" i="42" s="1"/>
  <c r="X18" i="42" s="1"/>
  <c r="AV53" i="42"/>
  <c r="AV43" i="42"/>
  <c r="AV36" i="42"/>
  <c r="AV69" i="42"/>
  <c r="BI30" i="42"/>
  <c r="BJ30" i="42" s="1"/>
  <c r="R30" i="42" s="1"/>
  <c r="BI47" i="42"/>
  <c r="BJ47" i="42" s="1"/>
  <c r="BI53" i="42"/>
  <c r="BJ53" i="42" s="1"/>
  <c r="R53" i="42" s="1"/>
  <c r="BI57" i="42"/>
  <c r="BJ57" i="42" s="1"/>
  <c r="BI66" i="42"/>
  <c r="BJ66" i="42" s="1"/>
  <c r="BI75" i="42"/>
  <c r="BJ75" i="42" s="1"/>
  <c r="BI82" i="42"/>
  <c r="BJ82" i="42" s="1"/>
  <c r="BL38" i="42"/>
  <c r="S38" i="42" s="1"/>
  <c r="BL68" i="42"/>
  <c r="BL60" i="42"/>
  <c r="BL62" i="42"/>
  <c r="BV20" i="42"/>
  <c r="BV37" i="42"/>
  <c r="BV53" i="42"/>
  <c r="BV34" i="42"/>
  <c r="BV81" i="42"/>
  <c r="BD73" i="42"/>
  <c r="BE38" i="42"/>
  <c r="BF38" i="42" s="1"/>
  <c r="P38" i="42" s="1"/>
  <c r="BE42" i="42"/>
  <c r="BF42" i="42" s="1"/>
  <c r="P42" i="42" s="1"/>
  <c r="BE71" i="42"/>
  <c r="BF71" i="42" s="1"/>
  <c r="BE35" i="42"/>
  <c r="BF35" i="42" s="1"/>
  <c r="P35" i="42" s="1"/>
  <c r="BE65" i="42"/>
  <c r="BF65" i="42" s="1"/>
  <c r="BE77" i="42"/>
  <c r="BF77" i="42" s="1"/>
  <c r="BE54" i="42"/>
  <c r="BF54" i="42" s="1"/>
  <c r="BI14" i="42"/>
  <c r="BJ14" i="42" s="1"/>
  <c r="R14" i="42" s="1"/>
  <c r="BD16" i="42"/>
  <c r="O16" i="42" s="1"/>
  <c r="BE14" i="42"/>
  <c r="BF14" i="42" s="1"/>
  <c r="P14" i="42" s="1"/>
  <c r="BE15" i="42"/>
  <c r="BF15" i="42" s="1"/>
  <c r="BV17" i="42"/>
  <c r="AW18" i="42"/>
  <c r="AW30" i="42"/>
  <c r="AW42" i="42"/>
  <c r="AW54" i="42"/>
  <c r="AW26" i="42"/>
  <c r="AW38" i="42"/>
  <c r="AW50" i="42"/>
  <c r="AW17" i="42"/>
  <c r="AW28" i="42"/>
  <c r="AW40" i="42"/>
  <c r="AW52" i="42"/>
  <c r="AW65" i="42"/>
  <c r="AW81" i="42"/>
  <c r="AW64" i="42"/>
  <c r="AW80" i="42"/>
  <c r="AW59" i="42"/>
  <c r="AW75" i="42"/>
  <c r="AW70" i="42"/>
  <c r="AR22" i="42"/>
  <c r="AS22" i="42" s="1"/>
  <c r="AR38" i="42"/>
  <c r="AS38" i="42" s="1"/>
  <c r="N38" i="42" s="1"/>
  <c r="AR54" i="42"/>
  <c r="AS54" i="42" s="1"/>
  <c r="AR70" i="42"/>
  <c r="AS70" i="42" s="1"/>
  <c r="AR15" i="42"/>
  <c r="AS15" i="42" s="1"/>
  <c r="AR31" i="42"/>
  <c r="AS31" i="42" s="1"/>
  <c r="N31" i="42" s="1"/>
  <c r="AR47" i="42"/>
  <c r="AS47" i="42" s="1"/>
  <c r="AR63" i="42"/>
  <c r="AS63" i="42" s="1"/>
  <c r="AR79" i="42"/>
  <c r="AS79" i="42" s="1"/>
  <c r="AR24" i="42"/>
  <c r="AS24" i="42" s="1"/>
  <c r="AR40" i="42"/>
  <c r="AS40" i="42" s="1"/>
  <c r="N40" i="42" s="1"/>
  <c r="AR56" i="42"/>
  <c r="AS56" i="42" s="1"/>
  <c r="AR80" i="42"/>
  <c r="AS80" i="42" s="1"/>
  <c r="AR33" i="42"/>
  <c r="AS33" i="42" s="1"/>
  <c r="N33" i="42" s="1"/>
  <c r="AR65" i="42"/>
  <c r="AS65" i="42" s="1"/>
  <c r="AR76" i="42"/>
  <c r="AS76" i="42" s="1"/>
  <c r="AR45" i="42"/>
  <c r="AS45" i="42" s="1"/>
  <c r="AR77" i="42"/>
  <c r="AS77" i="42" s="1"/>
  <c r="BV24" i="42"/>
  <c r="BV41" i="42"/>
  <c r="BV57" i="42"/>
  <c r="BV72" i="42"/>
  <c r="BD77" i="42"/>
  <c r="BE24" i="42"/>
  <c r="BF24" i="42" s="1"/>
  <c r="BE40" i="42"/>
  <c r="BF40" i="42" s="1"/>
  <c r="P40" i="42" s="1"/>
  <c r="BE47" i="42"/>
  <c r="BF47" i="42" s="1"/>
  <c r="BE43" i="42"/>
  <c r="BF43" i="42" s="1"/>
  <c r="P43" i="42" s="1"/>
  <c r="BE55" i="42"/>
  <c r="BF55" i="42" s="1"/>
  <c r="BE67" i="42"/>
  <c r="BF67" i="42" s="1"/>
  <c r="BE61" i="42"/>
  <c r="BF61" i="42" s="1"/>
  <c r="BE21" i="42"/>
  <c r="BF21" i="42" s="1"/>
  <c r="BI16" i="42"/>
  <c r="BJ16" i="42" s="1"/>
  <c r="R16" i="42" s="1"/>
  <c r="BE17" i="42"/>
  <c r="BF17" i="42" s="1"/>
  <c r="P17" i="42" s="1"/>
  <c r="BV14" i="42"/>
  <c r="BV18" i="42"/>
  <c r="AW21" i="42"/>
  <c r="AW33" i="42"/>
  <c r="AW45" i="42"/>
  <c r="AW16" i="42"/>
  <c r="AW29" i="42"/>
  <c r="AW41" i="42"/>
  <c r="AW53" i="42"/>
  <c r="AW20" i="42"/>
  <c r="AW31" i="42"/>
  <c r="AW43" i="42"/>
  <c r="AW55" i="42"/>
  <c r="AW69" i="42"/>
  <c r="AW66" i="42"/>
  <c r="AW68" i="42"/>
  <c r="AW84" i="42"/>
  <c r="AW63" i="42"/>
  <c r="AW79" i="42"/>
  <c r="AW82" i="42"/>
  <c r="AR26" i="42"/>
  <c r="AS26" i="42" s="1"/>
  <c r="AR42" i="42"/>
  <c r="AS42" i="42" s="1"/>
  <c r="N42" i="42" s="1"/>
  <c r="AR58" i="42"/>
  <c r="AS58" i="42" s="1"/>
  <c r="AR74" i="42"/>
  <c r="AS74" i="42" s="1"/>
  <c r="AR19" i="42"/>
  <c r="AS19" i="42" s="1"/>
  <c r="N19" i="42" s="1"/>
  <c r="AR35" i="42"/>
  <c r="AS35" i="42" s="1"/>
  <c r="N35" i="42" s="1"/>
  <c r="AR51" i="42"/>
  <c r="AS51" i="42" s="1"/>
  <c r="AR67" i="42"/>
  <c r="AS67" i="42" s="1"/>
  <c r="AR83" i="42"/>
  <c r="AS83" i="42" s="1"/>
  <c r="AR28" i="42"/>
  <c r="AS28" i="42" s="1"/>
  <c r="N28" i="42" s="1"/>
  <c r="AR44" i="42"/>
  <c r="AS44" i="42" s="1"/>
  <c r="N44" i="42" s="1"/>
  <c r="AR60" i="42"/>
  <c r="AS60" i="42" s="1"/>
  <c r="AR84" i="42"/>
  <c r="AS84" i="42" s="1"/>
  <c r="AR41" i="42"/>
  <c r="AS41" i="42" s="1"/>
  <c r="N41" i="42" s="1"/>
  <c r="AR73" i="42"/>
  <c r="AS73" i="42" s="1"/>
  <c r="AR21" i="42"/>
  <c r="AS21" i="42" s="1"/>
  <c r="AR53" i="42"/>
  <c r="AS53" i="42" s="1"/>
  <c r="N53" i="42" s="1"/>
  <c r="BL75" i="42"/>
  <c r="BL80" i="42"/>
  <c r="BV28" i="42"/>
  <c r="BV45" i="42"/>
  <c r="BV61" i="42"/>
  <c r="BV82" i="42"/>
  <c r="BD28" i="42"/>
  <c r="O28" i="42" s="1"/>
  <c r="BD48" i="42"/>
  <c r="O48" i="42" s="1"/>
  <c r="BD68" i="42"/>
  <c r="BE28" i="42"/>
  <c r="BF28" i="42" s="1"/>
  <c r="P28" i="42" s="1"/>
  <c r="BE31" i="42"/>
  <c r="BF31" i="42" s="1"/>
  <c r="P31" i="42" s="1"/>
  <c r="BE53" i="42"/>
  <c r="BF53" i="42" s="1"/>
  <c r="P53" i="42" s="1"/>
  <c r="BE52" i="42"/>
  <c r="BF52" i="42" s="1"/>
  <c r="BE57" i="42"/>
  <c r="BF57" i="42" s="1"/>
  <c r="BE73" i="42"/>
  <c r="BF73" i="42" s="1"/>
  <c r="BE79" i="42"/>
  <c r="BF79" i="42" s="1"/>
  <c r="BE82" i="42"/>
  <c r="BF82" i="42" s="1"/>
  <c r="BI19" i="42"/>
  <c r="BJ19" i="42" s="1"/>
  <c r="R19" i="42" s="1"/>
  <c r="BL16" i="42"/>
  <c r="S16" i="42" s="1"/>
  <c r="BD18" i="42"/>
  <c r="O18" i="42" s="1"/>
  <c r="BD19" i="42"/>
  <c r="O19" i="42" s="1"/>
  <c r="BE19" i="42"/>
  <c r="BF19" i="42" s="1"/>
  <c r="P19" i="42" s="1"/>
  <c r="BV15" i="42"/>
  <c r="BV19" i="42"/>
  <c r="AW24" i="42"/>
  <c r="AW36" i="42"/>
  <c r="AW48" i="42"/>
  <c r="AW19" i="42"/>
  <c r="AW32" i="42"/>
  <c r="AW44" i="42"/>
  <c r="AW56" i="42"/>
  <c r="AW22" i="42"/>
  <c r="AW34" i="42"/>
  <c r="AW46" i="42"/>
  <c r="AW57" i="42"/>
  <c r="AW73" i="42"/>
  <c r="AW78" i="42"/>
  <c r="AW72" i="42"/>
  <c r="AW62" i="42"/>
  <c r="AW67" i="42"/>
  <c r="AW83" i="42"/>
  <c r="AR14" i="42"/>
  <c r="AS14" i="42" s="1"/>
  <c r="N14" i="42" s="1"/>
  <c r="AR30" i="42"/>
  <c r="AS30" i="42" s="1"/>
  <c r="N30" i="42" s="1"/>
  <c r="AR46" i="42"/>
  <c r="AS46" i="42" s="1"/>
  <c r="AR62" i="42"/>
  <c r="AS62" i="42" s="1"/>
  <c r="AR78" i="42"/>
  <c r="AS78" i="42" s="1"/>
  <c r="AR23" i="42"/>
  <c r="AS23" i="42" s="1"/>
  <c r="N23" i="42" s="1"/>
  <c r="AR39" i="42"/>
  <c r="AS39" i="42" s="1"/>
  <c r="N39" i="42" s="1"/>
  <c r="AR55" i="42"/>
  <c r="AS55" i="42" s="1"/>
  <c r="AR71" i="42"/>
  <c r="AS71" i="42" s="1"/>
  <c r="AR16" i="42"/>
  <c r="AS16" i="42" s="1"/>
  <c r="N16" i="42" s="1"/>
  <c r="AR32" i="42"/>
  <c r="AS32" i="42" s="1"/>
  <c r="AR48" i="42"/>
  <c r="AS48" i="42" s="1"/>
  <c r="N48" i="42" s="1"/>
  <c r="AR64" i="42"/>
  <c r="AS64" i="42" s="1"/>
  <c r="AR17" i="42"/>
  <c r="AS17" i="42" s="1"/>
  <c r="N17" i="42" s="1"/>
  <c r="AR49" i="42"/>
  <c r="AS49" i="42" s="1"/>
  <c r="AR81" i="42"/>
  <c r="AS81" i="42" s="1"/>
  <c r="AR29" i="42"/>
  <c r="AS29" i="42" s="1"/>
  <c r="N29" i="42" s="1"/>
  <c r="AR61" i="42"/>
  <c r="AS61" i="42" s="1"/>
  <c r="BL70" i="42"/>
  <c r="BV35" i="42"/>
  <c r="BV49" i="42"/>
  <c r="BV65" i="42"/>
  <c r="BV74" i="42"/>
  <c r="BD31" i="42"/>
  <c r="O31" i="42" s="1"/>
  <c r="BD44" i="42"/>
  <c r="O44" i="42" s="1"/>
  <c r="BD81" i="42"/>
  <c r="BE36" i="42"/>
  <c r="BF36" i="42" s="1"/>
  <c r="P36" i="42" s="1"/>
  <c r="BE44" i="42"/>
  <c r="BF44" i="42" s="1"/>
  <c r="P44" i="42" s="1"/>
  <c r="BE68" i="42"/>
  <c r="BF68" i="42" s="1"/>
  <c r="BE59" i="42"/>
  <c r="BF59" i="42" s="1"/>
  <c r="BE63" i="42"/>
  <c r="BF63" i="42" s="1"/>
  <c r="BE75" i="42"/>
  <c r="BF75" i="42" s="1"/>
  <c r="BE83" i="42"/>
  <c r="BF83" i="42" s="1"/>
  <c r="BI18" i="42"/>
  <c r="BJ18" i="42" s="1"/>
  <c r="R18" i="42" s="1"/>
  <c r="BL18" i="42"/>
  <c r="S18" i="42" s="1"/>
  <c r="BL17" i="42"/>
  <c r="S17" i="42" s="1"/>
  <c r="BE16" i="42"/>
  <c r="BF16" i="42" s="1"/>
  <c r="P16" i="42" s="1"/>
  <c r="BE18" i="42"/>
  <c r="BF18" i="42" s="1"/>
  <c r="P18" i="42" s="1"/>
  <c r="BV16" i="42"/>
  <c r="AW15" i="42"/>
  <c r="AW27" i="42"/>
  <c r="AW39" i="42"/>
  <c r="AW51" i="42"/>
  <c r="AW23" i="42"/>
  <c r="AW35" i="42"/>
  <c r="AW47" i="42"/>
  <c r="AW14" i="42"/>
  <c r="AW25" i="42"/>
  <c r="AW37" i="42"/>
  <c r="AW49" i="42"/>
  <c r="AW61" i="42"/>
  <c r="AW77" i="42"/>
  <c r="AW60" i="42"/>
  <c r="AW76" i="42"/>
  <c r="AW74" i="42"/>
  <c r="AW71" i="42"/>
  <c r="AW58" i="42"/>
  <c r="AR18" i="42"/>
  <c r="AS18" i="42" s="1"/>
  <c r="N18" i="42" s="1"/>
  <c r="AR34" i="42"/>
  <c r="AS34" i="42" s="1"/>
  <c r="AR50" i="42"/>
  <c r="AS50" i="42" s="1"/>
  <c r="AR66" i="42"/>
  <c r="AS66" i="42" s="1"/>
  <c r="AR82" i="42"/>
  <c r="AS82" i="42" s="1"/>
  <c r="AR27" i="42"/>
  <c r="AS27" i="42" s="1"/>
  <c r="AR43" i="42"/>
  <c r="AS43" i="42" s="1"/>
  <c r="N43" i="42" s="1"/>
  <c r="AR59" i="42"/>
  <c r="AS59" i="42" s="1"/>
  <c r="AR75" i="42"/>
  <c r="AS75" i="42" s="1"/>
  <c r="AR20" i="42"/>
  <c r="AS20" i="42" s="1"/>
  <c r="N20" i="42" s="1"/>
  <c r="AR36" i="42"/>
  <c r="AS36" i="42" s="1"/>
  <c r="N36" i="42" s="1"/>
  <c r="AR52" i="42"/>
  <c r="AS52" i="42" s="1"/>
  <c r="AR72" i="42"/>
  <c r="AS72" i="42" s="1"/>
  <c r="AR25" i="42"/>
  <c r="AS25" i="42" s="1"/>
  <c r="AR57" i="42"/>
  <c r="AS57" i="42" s="1"/>
  <c r="AR68" i="42"/>
  <c r="AS68" i="42" s="1"/>
  <c r="AR37" i="42"/>
  <c r="AS37" i="42" s="1"/>
  <c r="N37" i="42" s="1"/>
  <c r="AR69" i="42"/>
  <c r="AS69" i="42" s="1"/>
  <c r="BS20" i="42"/>
  <c r="BS25" i="42"/>
  <c r="BS29" i="42"/>
  <c r="BS34" i="42"/>
  <c r="BS41" i="42"/>
  <c r="BS46" i="42"/>
  <c r="BS51" i="42"/>
  <c r="BS55" i="42"/>
  <c r="BS43" i="42"/>
  <c r="BS60" i="42"/>
  <c r="BS65" i="42"/>
  <c r="BS61" i="42"/>
  <c r="BS73" i="42"/>
  <c r="BS77" i="42"/>
  <c r="BS70" i="42"/>
  <c r="BS72" i="42"/>
  <c r="BS84" i="42"/>
  <c r="BU22" i="42"/>
  <c r="BU27" i="42"/>
  <c r="BU32" i="42"/>
  <c r="BU37" i="42"/>
  <c r="BU34" i="42"/>
  <c r="BU45" i="42"/>
  <c r="BU51" i="42"/>
  <c r="BU69" i="42"/>
  <c r="BU50" i="42"/>
  <c r="BU53" i="42"/>
  <c r="BU67" i="42"/>
  <c r="BU73" i="42"/>
  <c r="BU64" i="42"/>
  <c r="BU79" i="42"/>
  <c r="BU77" i="42"/>
  <c r="BU80" i="42"/>
  <c r="BT22" i="42"/>
  <c r="BT26" i="42"/>
  <c r="BT30" i="42"/>
  <c r="BT34" i="42"/>
  <c r="BT38" i="42"/>
  <c r="BT42" i="42"/>
  <c r="BT46" i="42"/>
  <c r="BT50" i="42"/>
  <c r="BT54" i="42"/>
  <c r="BT58" i="42"/>
  <c r="BT62" i="42"/>
  <c r="BT66" i="42"/>
  <c r="BT69" i="42"/>
  <c r="BT76" i="42"/>
  <c r="BT80" i="42"/>
  <c r="BT84" i="42"/>
  <c r="AZ21" i="42"/>
  <c r="AZ26" i="42"/>
  <c r="AZ33" i="42"/>
  <c r="L33" i="42" s="1"/>
  <c r="AZ47" i="42"/>
  <c r="AZ55" i="42"/>
  <c r="AZ40" i="42"/>
  <c r="L40" i="42" s="1"/>
  <c r="AZ59" i="42"/>
  <c r="AZ65" i="42"/>
  <c r="AZ78" i="42"/>
  <c r="AZ84" i="42"/>
  <c r="BG20" i="42"/>
  <c r="BH20" i="42" s="1"/>
  <c r="Q20" i="42" s="1"/>
  <c r="BG31" i="42"/>
  <c r="BH31" i="42" s="1"/>
  <c r="Q31" i="42" s="1"/>
  <c r="BG24" i="42"/>
  <c r="BH24" i="42" s="1"/>
  <c r="BG28" i="42"/>
  <c r="BH28" i="42" s="1"/>
  <c r="Q28" i="42" s="1"/>
  <c r="BG47" i="42"/>
  <c r="BH47" i="42" s="1"/>
  <c r="BG51" i="42"/>
  <c r="BH51" i="42" s="1"/>
  <c r="BG55" i="42"/>
  <c r="BH55" i="42" s="1"/>
  <c r="BG56" i="42"/>
  <c r="BH56" i="42" s="1"/>
  <c r="BG45" i="42"/>
  <c r="BH45" i="42" s="1"/>
  <c r="BG61" i="42"/>
  <c r="BH61" i="42" s="1"/>
  <c r="BG65" i="42"/>
  <c r="BH65" i="42" s="1"/>
  <c r="BG58" i="42"/>
  <c r="BH58" i="42" s="1"/>
  <c r="BG74" i="42"/>
  <c r="BH74" i="42" s="1"/>
  <c r="BG78" i="42"/>
  <c r="BH78" i="42" s="1"/>
  <c r="BG72" i="42"/>
  <c r="BH72" i="42" s="1"/>
  <c r="BG83" i="42"/>
  <c r="BH83" i="42" s="1"/>
  <c r="BG79" i="42"/>
  <c r="BH79" i="42" s="1"/>
  <c r="BU14" i="42"/>
  <c r="AZ18" i="42"/>
  <c r="L18" i="42" s="1"/>
  <c r="AZ19" i="42"/>
  <c r="L19" i="42" s="1"/>
  <c r="BS16" i="42"/>
  <c r="BT15" i="42"/>
  <c r="BT18" i="42"/>
  <c r="BG16" i="42"/>
  <c r="BH16" i="42" s="1"/>
  <c r="Q16" i="42" s="1"/>
  <c r="AT15" i="42"/>
  <c r="AT19" i="42"/>
  <c r="AT23" i="42"/>
  <c r="AT27" i="42"/>
  <c r="AT31" i="42"/>
  <c r="AT35" i="42"/>
  <c r="AT39" i="42"/>
  <c r="AT43" i="42"/>
  <c r="AT47" i="42"/>
  <c r="AT51" i="42"/>
  <c r="AT55" i="42"/>
  <c r="AT59" i="42"/>
  <c r="AT63" i="42"/>
  <c r="AT67" i="42"/>
  <c r="AT71" i="42"/>
  <c r="AT75" i="42"/>
  <c r="AT79" i="42"/>
  <c r="AT83" i="42"/>
  <c r="BS21" i="42"/>
  <c r="BS26" i="42"/>
  <c r="BS24" i="42"/>
  <c r="BS35" i="42"/>
  <c r="BS45" i="42"/>
  <c r="BS48" i="42"/>
  <c r="BS52" i="42"/>
  <c r="BS56" i="42"/>
  <c r="BS47" i="42"/>
  <c r="BS62" i="42"/>
  <c r="BS66" i="42"/>
  <c r="BS44" i="42"/>
  <c r="BS74" i="42"/>
  <c r="BS40" i="42"/>
  <c r="BS79" i="42"/>
  <c r="BS78" i="42"/>
  <c r="BU21" i="42"/>
  <c r="BU24" i="42"/>
  <c r="BU28" i="42"/>
  <c r="BU30" i="42"/>
  <c r="BU38" i="42"/>
  <c r="BU44" i="42"/>
  <c r="BU42" i="42"/>
  <c r="BU55" i="42"/>
  <c r="BU70" i="42"/>
  <c r="BU54" i="42"/>
  <c r="BU56" i="42"/>
  <c r="BU48" i="42"/>
  <c r="BU74" i="42"/>
  <c r="BU84" i="42"/>
  <c r="BU81" i="42"/>
  <c r="BU78" i="42"/>
  <c r="BU82" i="42"/>
  <c r="BT23" i="42"/>
  <c r="BT27" i="42"/>
  <c r="BT31" i="42"/>
  <c r="BT35" i="42"/>
  <c r="BT39" i="42"/>
  <c r="BT43" i="42"/>
  <c r="BT47" i="42"/>
  <c r="BT51" i="42"/>
  <c r="BT55" i="42"/>
  <c r="BT59" i="42"/>
  <c r="BT63" i="42"/>
  <c r="BT70" i="42"/>
  <c r="BT73" i="42"/>
  <c r="BT77" i="42"/>
  <c r="BT81" i="42"/>
  <c r="BT71" i="42"/>
  <c r="AZ22" i="42"/>
  <c r="AZ31" i="42"/>
  <c r="L31" i="42" s="1"/>
  <c r="AZ34" i="42"/>
  <c r="AZ24" i="42"/>
  <c r="AZ44" i="42"/>
  <c r="L44" i="42" s="1"/>
  <c r="AZ52" i="42"/>
  <c r="AZ57" i="42"/>
  <c r="AZ66" i="42"/>
  <c r="AZ75" i="42"/>
  <c r="AZ72" i="42"/>
  <c r="AZ79" i="42"/>
  <c r="BG21" i="42"/>
  <c r="BH21" i="42" s="1"/>
  <c r="BG26" i="42"/>
  <c r="BH26" i="42" s="1"/>
  <c r="BG27" i="42"/>
  <c r="BH27" i="42" s="1"/>
  <c r="BG32" i="42"/>
  <c r="BH32" i="42" s="1"/>
  <c r="BG48" i="42"/>
  <c r="BH48" i="42" s="1"/>
  <c r="Q48" i="42" s="1"/>
  <c r="BG52" i="42"/>
  <c r="BH52" i="42" s="1"/>
  <c r="BG38" i="42"/>
  <c r="BH38" i="42" s="1"/>
  <c r="Q38" i="42" s="1"/>
  <c r="BG33" i="42"/>
  <c r="BH33" i="42" s="1"/>
  <c r="Q33" i="42" s="1"/>
  <c r="BG41" i="42"/>
  <c r="BH41" i="42" s="1"/>
  <c r="Q41" i="42" s="1"/>
  <c r="BG62" i="42"/>
  <c r="BH62" i="42" s="1"/>
  <c r="BG66" i="42"/>
  <c r="BH66" i="42" s="1"/>
  <c r="BG68" i="42"/>
  <c r="BH68" i="42" s="1"/>
  <c r="BG75" i="42"/>
  <c r="BH75" i="42" s="1"/>
  <c r="BG70" i="42"/>
  <c r="BH70" i="42" s="1"/>
  <c r="BG46" i="42"/>
  <c r="BH46" i="42" s="1"/>
  <c r="BG80" i="42"/>
  <c r="BH80" i="42" s="1"/>
  <c r="BU15" i="42"/>
  <c r="BU17" i="42"/>
  <c r="AZ14" i="42"/>
  <c r="L14" i="42" s="1"/>
  <c r="BS14" i="42"/>
  <c r="BS18" i="42"/>
  <c r="BT16" i="42"/>
  <c r="BG15" i="42"/>
  <c r="BH15" i="42" s="1"/>
  <c r="BG17" i="42"/>
  <c r="BH17" i="42" s="1"/>
  <c r="Q17" i="42" s="1"/>
  <c r="AT16" i="42"/>
  <c r="AT20" i="42"/>
  <c r="AT24" i="42"/>
  <c r="AT28" i="42"/>
  <c r="AT32" i="42"/>
  <c r="AT36" i="42"/>
  <c r="AT40" i="42"/>
  <c r="AT44" i="42"/>
  <c r="AT48" i="42"/>
  <c r="AT52" i="42"/>
  <c r="AT56" i="42"/>
  <c r="AT60" i="42"/>
  <c r="AT64" i="42"/>
  <c r="AT68" i="42"/>
  <c r="AT72" i="42"/>
  <c r="AT76" i="42"/>
  <c r="AT80" i="42"/>
  <c r="AT84" i="42"/>
  <c r="BS22" i="42"/>
  <c r="BS27" i="42"/>
  <c r="BS30" i="42"/>
  <c r="BS32" i="42"/>
  <c r="BS37" i="42"/>
  <c r="BS49" i="42"/>
  <c r="BS53" i="42"/>
  <c r="BS36" i="42"/>
  <c r="BS59" i="42"/>
  <c r="BS63" i="42"/>
  <c r="BS67" i="42"/>
  <c r="BS68" i="42"/>
  <c r="BS75" i="42"/>
  <c r="BS58" i="42"/>
  <c r="BS81" i="42"/>
  <c r="BS80" i="42"/>
  <c r="BU23" i="42"/>
  <c r="BU25" i="42"/>
  <c r="BU29" i="42"/>
  <c r="BU33" i="42"/>
  <c r="BU39" i="42"/>
  <c r="BU35" i="42"/>
  <c r="BU46" i="42"/>
  <c r="BU58" i="42"/>
  <c r="BU71" i="42"/>
  <c r="BU59" i="42"/>
  <c r="BU60" i="42"/>
  <c r="BU72" i="42"/>
  <c r="BU75" i="42"/>
  <c r="BU61" i="42"/>
  <c r="BU83" i="42"/>
  <c r="BU62" i="42"/>
  <c r="BT20" i="42"/>
  <c r="BT24" i="42"/>
  <c r="BT28" i="42"/>
  <c r="BT32" i="42"/>
  <c r="BT36" i="42"/>
  <c r="BT40" i="42"/>
  <c r="BT44" i="42"/>
  <c r="BT48" i="42"/>
  <c r="BT52" i="42"/>
  <c r="BT56" i="42"/>
  <c r="BT60" i="42"/>
  <c r="BT64" i="42"/>
  <c r="BT72" i="42"/>
  <c r="BT74" i="42"/>
  <c r="BT78" i="42"/>
  <c r="BT82" i="42"/>
  <c r="BT67" i="42"/>
  <c r="AZ23" i="42"/>
  <c r="L23" i="42" s="1"/>
  <c r="AZ28" i="42"/>
  <c r="L28" i="42" s="1"/>
  <c r="AZ32" i="42"/>
  <c r="AZ41" i="42"/>
  <c r="L41" i="42" s="1"/>
  <c r="AZ35" i="42"/>
  <c r="L35" i="42" s="1"/>
  <c r="AZ56" i="42"/>
  <c r="AZ49" i="42"/>
  <c r="AZ53" i="42"/>
  <c r="L53" i="42" s="1"/>
  <c r="AZ61" i="42"/>
  <c r="AZ58" i="42"/>
  <c r="AZ63" i="42"/>
  <c r="AZ67" i="42"/>
  <c r="AZ76" i="42"/>
  <c r="AZ73" i="42"/>
  <c r="AZ81" i="42"/>
  <c r="BG22" i="42"/>
  <c r="BH22" i="42" s="1"/>
  <c r="BG30" i="42"/>
  <c r="BH30" i="42" s="1"/>
  <c r="Q30" i="42" s="1"/>
  <c r="BG35" i="42"/>
  <c r="BH35" i="42" s="1"/>
  <c r="Q35" i="42" s="1"/>
  <c r="BG36" i="42"/>
  <c r="BH36" i="42" s="1"/>
  <c r="Q36" i="42" s="1"/>
  <c r="BG49" i="42"/>
  <c r="BH49" i="42" s="1"/>
  <c r="BG53" i="42"/>
  <c r="BH53" i="42" s="1"/>
  <c r="Q53" i="42" s="1"/>
  <c r="BG39" i="42"/>
  <c r="BH39" i="42" s="1"/>
  <c r="Q39" i="42" s="1"/>
  <c r="BG37" i="42"/>
  <c r="BH37" i="42" s="1"/>
  <c r="Q37" i="42" s="1"/>
  <c r="BG42" i="42"/>
  <c r="BH42" i="42" s="1"/>
  <c r="Q42" i="42" s="1"/>
  <c r="BG63" i="42"/>
  <c r="BH63" i="42" s="1"/>
  <c r="BG67" i="42"/>
  <c r="BH67" i="42" s="1"/>
  <c r="BG59" i="42"/>
  <c r="BH59" i="42" s="1"/>
  <c r="BG76" i="42"/>
  <c r="BH76" i="42" s="1"/>
  <c r="BG60" i="42"/>
  <c r="BH60" i="42" s="1"/>
  <c r="BG73" i="42"/>
  <c r="BH73" i="42" s="1"/>
  <c r="BG82" i="42"/>
  <c r="BH82" i="42" s="1"/>
  <c r="BU16" i="42"/>
  <c r="BU18" i="42"/>
  <c r="AZ16" i="42"/>
  <c r="L16" i="42" s="1"/>
  <c r="BS17" i="42"/>
  <c r="BS19" i="42"/>
  <c r="BT17" i="42"/>
  <c r="BG18" i="42"/>
  <c r="BH18" i="42" s="1"/>
  <c r="Q18" i="42" s="1"/>
  <c r="BG19" i="42"/>
  <c r="BH19" i="42" s="1"/>
  <c r="Q19" i="42" s="1"/>
  <c r="AT17" i="42"/>
  <c r="AT21" i="42"/>
  <c r="AT25" i="42"/>
  <c r="AT29" i="42"/>
  <c r="AT33" i="42"/>
  <c r="AT37" i="42"/>
  <c r="AT41" i="42"/>
  <c r="AT45" i="42"/>
  <c r="AT49" i="42"/>
  <c r="AT53" i="42"/>
  <c r="AT57" i="42"/>
  <c r="AT61" i="42"/>
  <c r="AT65" i="42"/>
  <c r="AT69" i="42"/>
  <c r="AT73" i="42"/>
  <c r="AT77" i="42"/>
  <c r="AT81" i="42"/>
  <c r="BS23" i="42"/>
  <c r="BS28" i="42"/>
  <c r="BS33" i="42"/>
  <c r="BS38" i="42"/>
  <c r="BS42" i="42"/>
  <c r="BS50" i="42"/>
  <c r="BS54" i="42"/>
  <c r="BS39" i="42"/>
  <c r="BS31" i="42"/>
  <c r="BS64" i="42"/>
  <c r="BS57" i="42"/>
  <c r="BS69" i="42"/>
  <c r="BS76" i="42"/>
  <c r="BS71" i="42"/>
  <c r="BS83" i="42"/>
  <c r="BS82" i="42"/>
  <c r="BU20" i="42"/>
  <c r="BU26" i="42"/>
  <c r="BU31" i="42"/>
  <c r="BU36" i="42"/>
  <c r="BU40" i="42"/>
  <c r="BU41" i="42"/>
  <c r="BU47" i="42"/>
  <c r="BU68" i="42"/>
  <c r="BU43" i="42"/>
  <c r="BU49" i="42"/>
  <c r="BU57" i="42"/>
  <c r="BU52" i="42"/>
  <c r="BU76" i="42"/>
  <c r="BU65" i="42"/>
  <c r="BU63" i="42"/>
  <c r="BU66" i="42"/>
  <c r="BT21" i="42"/>
  <c r="BT25" i="42"/>
  <c r="BT29" i="42"/>
  <c r="BT33" i="42"/>
  <c r="BT37" i="42"/>
  <c r="BT41" i="42"/>
  <c r="BT45" i="42"/>
  <c r="BT49" i="42"/>
  <c r="BT53" i="42"/>
  <c r="BT57" i="42"/>
  <c r="BT61" i="42"/>
  <c r="BT65" i="42"/>
  <c r="BT68" i="42"/>
  <c r="BT75" i="42"/>
  <c r="BT79" i="42"/>
  <c r="BT83" i="42"/>
  <c r="AZ20" i="42"/>
  <c r="L20" i="42" s="1"/>
  <c r="AZ29" i="42"/>
  <c r="L29" i="42" s="1"/>
  <c r="AZ43" i="42"/>
  <c r="L43" i="42" s="1"/>
  <c r="AZ38" i="42"/>
  <c r="L38" i="42" s="1"/>
  <c r="AZ37" i="42"/>
  <c r="L37" i="42" s="1"/>
  <c r="AZ50" i="42"/>
  <c r="AZ54" i="42"/>
  <c r="AZ69" i="42"/>
  <c r="AZ42" i="42"/>
  <c r="L42" i="42" s="1"/>
  <c r="AZ64" i="42"/>
  <c r="AZ71" i="42"/>
  <c r="AZ70" i="42"/>
  <c r="BG23" i="42"/>
  <c r="BH23" i="42" s="1"/>
  <c r="Q23" i="42" s="1"/>
  <c r="BG34" i="42"/>
  <c r="BH34" i="42" s="1"/>
  <c r="BG25" i="42"/>
  <c r="BH25" i="42" s="1"/>
  <c r="BG43" i="42"/>
  <c r="BH43" i="42" s="1"/>
  <c r="Q43" i="42" s="1"/>
  <c r="BG50" i="42"/>
  <c r="BH50" i="42" s="1"/>
  <c r="BG54" i="42"/>
  <c r="BH54" i="42" s="1"/>
  <c r="BG44" i="42"/>
  <c r="BH44" i="42" s="1"/>
  <c r="Q44" i="42" s="1"/>
  <c r="BG40" i="42"/>
  <c r="BH40" i="42" s="1"/>
  <c r="Q40" i="42" s="1"/>
  <c r="BG57" i="42"/>
  <c r="BH57" i="42" s="1"/>
  <c r="BG64" i="42"/>
  <c r="BH64" i="42" s="1"/>
  <c r="BG29" i="42"/>
  <c r="BH29" i="42" s="1"/>
  <c r="Q29" i="42" s="1"/>
  <c r="BG71" i="42"/>
  <c r="BH71" i="42" s="1"/>
  <c r="BG77" i="42"/>
  <c r="BH77" i="42" s="1"/>
  <c r="BG69" i="42"/>
  <c r="BH69" i="42" s="1"/>
  <c r="BG81" i="42"/>
  <c r="BH81" i="42" s="1"/>
  <c r="BG84" i="42"/>
  <c r="BH84" i="42" s="1"/>
  <c r="BU19" i="42"/>
  <c r="AZ15" i="42"/>
  <c r="AZ17" i="42"/>
  <c r="L17" i="42" s="1"/>
  <c r="BS15" i="42"/>
  <c r="BT14" i="42"/>
  <c r="AT18" i="42"/>
  <c r="AT34" i="42"/>
  <c r="AT50" i="42"/>
  <c r="AT66" i="42"/>
  <c r="AT82" i="42"/>
  <c r="BT19" i="42"/>
  <c r="AT22" i="42"/>
  <c r="AT38" i="42"/>
  <c r="AT54" i="42"/>
  <c r="AT70" i="42"/>
  <c r="BG14" i="42"/>
  <c r="BH14" i="42" s="1"/>
  <c r="Q14" i="42" s="1"/>
  <c r="AT26" i="42"/>
  <c r="AT42" i="42"/>
  <c r="AT58" i="42"/>
  <c r="AT74" i="42"/>
  <c r="AT14" i="42"/>
  <c r="AT30" i="42"/>
  <c r="AT46" i="42"/>
  <c r="AT62" i="42"/>
  <c r="AT78" i="42"/>
  <c r="BO13" i="42"/>
  <c r="BP13" i="42" s="1"/>
  <c r="U13" i="42" s="1"/>
  <c r="BI13" i="42"/>
  <c r="BE13" i="42"/>
  <c r="BU13" i="42"/>
  <c r="BK13" i="42"/>
  <c r="BV13" i="42"/>
  <c r="BG13" i="42"/>
  <c r="BT13" i="42"/>
  <c r="BM13" i="42"/>
  <c r="BN13" i="42" s="1"/>
  <c r="BS13" i="42"/>
  <c r="BQ13" i="42"/>
  <c r="BR13" i="42" s="1"/>
  <c r="V13" i="42" s="1"/>
  <c r="BA13" i="42"/>
  <c r="BB13" i="42" s="1"/>
  <c r="M13" i="42" s="1"/>
  <c r="BX13" i="42"/>
  <c r="BY13" i="42" s="1"/>
  <c r="AW13" i="42"/>
  <c r="AV13" i="42"/>
  <c r="G60" i="29"/>
  <c r="G25" i="29"/>
  <c r="G35" i="29"/>
  <c r="G34" i="29"/>
  <c r="G13" i="29"/>
  <c r="G30" i="29"/>
  <c r="G29" i="29"/>
  <c r="G26" i="29"/>
  <c r="G22" i="29"/>
  <c r="G19" i="29"/>
  <c r="G14" i="29"/>
  <c r="G12" i="29"/>
  <c r="G8" i="29"/>
  <c r="G5" i="29"/>
  <c r="G32" i="29"/>
  <c r="G28" i="29"/>
  <c r="G21" i="29"/>
  <c r="G20" i="29"/>
  <c r="G18" i="29"/>
  <c r="G17" i="29"/>
  <c r="G10" i="29"/>
  <c r="G4" i="29"/>
  <c r="G31" i="29"/>
  <c r="G27" i="29"/>
  <c r="G23" i="29"/>
  <c r="G16" i="29"/>
  <c r="G11" i="29"/>
  <c r="G7" i="29"/>
  <c r="G3" i="29"/>
  <c r="G33" i="29"/>
  <c r="G24" i="29"/>
  <c r="G15" i="29"/>
  <c r="G9" i="29"/>
  <c r="G6" i="29"/>
  <c r="U183" i="2"/>
  <c r="S183" i="2"/>
  <c r="U1158" i="2"/>
  <c r="S1158" i="2"/>
  <c r="T1158" i="2" s="1"/>
  <c r="U1145" i="2"/>
  <c r="S1145" i="2"/>
  <c r="T1145" i="2" s="1"/>
  <c r="U1133" i="2"/>
  <c r="S1133" i="2"/>
  <c r="T1133" i="2" s="1"/>
  <c r="U1122" i="2"/>
  <c r="S1122" i="2"/>
  <c r="T1122" i="2" s="1"/>
  <c r="U1110" i="2"/>
  <c r="S1110" i="2"/>
  <c r="T1110" i="2" s="1"/>
  <c r="U1098" i="2"/>
  <c r="S1098" i="2"/>
  <c r="T1098" i="2" s="1"/>
  <c r="U1086" i="2"/>
  <c r="S1086" i="2"/>
  <c r="T1086" i="2" s="1"/>
  <c r="U1074" i="2"/>
  <c r="S1074" i="2"/>
  <c r="T1074" i="2" s="1"/>
  <c r="U1062" i="2"/>
  <c r="S1062" i="2"/>
  <c r="T1062" i="2" s="1"/>
  <c r="U1048" i="2"/>
  <c r="S1048" i="2"/>
  <c r="T1048" i="2" s="1"/>
  <c r="U1036" i="2"/>
  <c r="S1036" i="2"/>
  <c r="T1036" i="2" s="1"/>
  <c r="U1023" i="2"/>
  <c r="S1023" i="2"/>
  <c r="T1023" i="2" s="1"/>
  <c r="U1011" i="2"/>
  <c r="S1011" i="2"/>
  <c r="T1011" i="2" s="1"/>
  <c r="U998" i="2"/>
  <c r="S998" i="2"/>
  <c r="T998" i="2" s="1"/>
  <c r="U985" i="2"/>
  <c r="S985" i="2"/>
  <c r="T985" i="2" s="1"/>
  <c r="U972" i="2"/>
  <c r="S972" i="2"/>
  <c r="T972" i="2" s="1"/>
  <c r="S960" i="2"/>
  <c r="T960" i="2" s="1"/>
  <c r="U960" i="2"/>
  <c r="U948" i="2"/>
  <c r="S948" i="2"/>
  <c r="T948" i="2" s="1"/>
  <c r="U933" i="2"/>
  <c r="S933" i="2"/>
  <c r="T933" i="2" s="1"/>
  <c r="U921" i="2"/>
  <c r="S921" i="2"/>
  <c r="T921" i="2" s="1"/>
  <c r="U909" i="2"/>
  <c r="S909" i="2"/>
  <c r="T909" i="2" s="1"/>
  <c r="U897" i="2"/>
  <c r="S897" i="2"/>
  <c r="T897" i="2" s="1"/>
  <c r="U886" i="2"/>
  <c r="S886" i="2"/>
  <c r="T886" i="2" s="1"/>
  <c r="U872" i="2"/>
  <c r="S872" i="2"/>
  <c r="T872" i="2" s="1"/>
  <c r="U860" i="2"/>
  <c r="S860" i="2"/>
  <c r="T860" i="2" s="1"/>
  <c r="U848" i="2"/>
  <c r="S848" i="2"/>
  <c r="T848" i="2" s="1"/>
  <c r="U836" i="2"/>
  <c r="S836" i="2"/>
  <c r="T836" i="2" s="1"/>
  <c r="U824" i="2"/>
  <c r="S824" i="2"/>
  <c r="U812" i="2"/>
  <c r="S812" i="2"/>
  <c r="U800" i="2"/>
  <c r="S800" i="2"/>
  <c r="U787" i="2"/>
  <c r="S787" i="2"/>
  <c r="U771" i="2"/>
  <c r="S771" i="2"/>
  <c r="U757" i="2"/>
  <c r="S757" i="2"/>
  <c r="U746" i="2"/>
  <c r="S746" i="2"/>
  <c r="U734" i="2"/>
  <c r="S734" i="2"/>
  <c r="U722" i="2"/>
  <c r="S722" i="2"/>
  <c r="U710" i="2"/>
  <c r="S710" i="2"/>
  <c r="U698" i="2"/>
  <c r="S698" i="2"/>
  <c r="U673" i="2"/>
  <c r="S673" i="2"/>
  <c r="U661" i="2"/>
  <c r="S661" i="2"/>
  <c r="U649" i="2"/>
  <c r="S649" i="2"/>
  <c r="U637" i="2"/>
  <c r="S637" i="2"/>
  <c r="S625" i="2"/>
  <c r="U625" i="2"/>
  <c r="U613" i="2"/>
  <c r="S613" i="2"/>
  <c r="U602" i="2"/>
  <c r="S602" i="2"/>
  <c r="U590" i="2"/>
  <c r="S590" i="2"/>
  <c r="S578" i="2"/>
  <c r="U578" i="2"/>
  <c r="U566" i="2"/>
  <c r="S566" i="2"/>
  <c r="U554" i="2"/>
  <c r="S554" i="2"/>
  <c r="U542" i="2"/>
  <c r="S542" i="2"/>
  <c r="U530" i="2"/>
  <c r="S530" i="2"/>
  <c r="U515" i="2"/>
  <c r="S515" i="2"/>
  <c r="U503" i="2"/>
  <c r="S503" i="2"/>
  <c r="U491" i="2"/>
  <c r="S491" i="2"/>
  <c r="U479" i="2"/>
  <c r="S479" i="2"/>
  <c r="U468" i="2"/>
  <c r="S468" i="2"/>
  <c r="U455" i="2"/>
  <c r="S455" i="2"/>
  <c r="U431" i="2"/>
  <c r="S431" i="2"/>
  <c r="U449" i="2"/>
  <c r="S449" i="2"/>
  <c r="U421" i="2"/>
  <c r="S421" i="2"/>
  <c r="U410" i="2"/>
  <c r="S410" i="2"/>
  <c r="U398" i="2"/>
  <c r="S398" i="2"/>
  <c r="U390" i="2"/>
  <c r="S390" i="2"/>
  <c r="U376" i="2"/>
  <c r="S376" i="2"/>
  <c r="U360" i="2"/>
  <c r="S360" i="2"/>
  <c r="U346" i="2"/>
  <c r="S346" i="2"/>
  <c r="U334" i="2"/>
  <c r="S334" i="2"/>
  <c r="U319" i="2"/>
  <c r="S319" i="2"/>
  <c r="U305" i="2"/>
  <c r="S305" i="2"/>
  <c r="U293" i="2"/>
  <c r="S293" i="2"/>
  <c r="U281" i="2"/>
  <c r="S281" i="2"/>
  <c r="U269" i="2"/>
  <c r="S269" i="2"/>
  <c r="U257" i="2"/>
  <c r="S257" i="2"/>
  <c r="U240" i="2"/>
  <c r="S240" i="2"/>
  <c r="U228" i="2"/>
  <c r="S228" i="2"/>
  <c r="U219" i="2"/>
  <c r="S219" i="2"/>
  <c r="U207" i="2"/>
  <c r="S207" i="2"/>
  <c r="U203" i="2"/>
  <c r="S203" i="2"/>
  <c r="U195" i="2"/>
  <c r="S195" i="2"/>
  <c r="U1165" i="2"/>
  <c r="S1165" i="2"/>
  <c r="T1165" i="2" s="1"/>
  <c r="U1154" i="2"/>
  <c r="S1154" i="2"/>
  <c r="T1154" i="2" s="1"/>
  <c r="U1141" i="2"/>
  <c r="S1141" i="2"/>
  <c r="T1141" i="2" s="1"/>
  <c r="U1129" i="2"/>
  <c r="S1129" i="2"/>
  <c r="T1129" i="2" s="1"/>
  <c r="U1118" i="2"/>
  <c r="S1118" i="2"/>
  <c r="T1118" i="2" s="1"/>
  <c r="U1106" i="2"/>
  <c r="S1106" i="2"/>
  <c r="T1106" i="2" s="1"/>
  <c r="U1094" i="2"/>
  <c r="S1094" i="2"/>
  <c r="T1094" i="2" s="1"/>
  <c r="U1078" i="2"/>
  <c r="S1078" i="2"/>
  <c r="T1078" i="2" s="1"/>
  <c r="U1066" i="2"/>
  <c r="S1066" i="2"/>
  <c r="T1066" i="2" s="1"/>
  <c r="U1051" i="2"/>
  <c r="S1051" i="2"/>
  <c r="T1051" i="2" s="1"/>
  <c r="S1040" i="2"/>
  <c r="T1040" i="2" s="1"/>
  <c r="U1040" i="2"/>
  <c r="U1027" i="2"/>
  <c r="S1027" i="2"/>
  <c r="T1027" i="2" s="1"/>
  <c r="U1015" i="2"/>
  <c r="S1015" i="2"/>
  <c r="T1015" i="2" s="1"/>
  <c r="U1003" i="2"/>
  <c r="S1003" i="2"/>
  <c r="T1003" i="2" s="1"/>
  <c r="U990" i="2"/>
  <c r="S990" i="2"/>
  <c r="T990" i="2" s="1"/>
  <c r="S976" i="2"/>
  <c r="T976" i="2" s="1"/>
  <c r="U976" i="2"/>
  <c r="U964" i="2"/>
  <c r="S964" i="2"/>
  <c r="T964" i="2" s="1"/>
  <c r="S952" i="2"/>
  <c r="T952" i="2" s="1"/>
  <c r="U952" i="2"/>
  <c r="U941" i="2"/>
  <c r="S941" i="2"/>
  <c r="T941" i="2" s="1"/>
  <c r="U929" i="2"/>
  <c r="S929" i="2"/>
  <c r="T929" i="2" s="1"/>
  <c r="U917" i="2"/>
  <c r="S917" i="2"/>
  <c r="T917" i="2" s="1"/>
  <c r="U905" i="2"/>
  <c r="S905" i="2"/>
  <c r="T905" i="2" s="1"/>
  <c r="U894" i="2"/>
  <c r="S894" i="2"/>
  <c r="T894" i="2" s="1"/>
  <c r="U881" i="2"/>
  <c r="S881" i="2"/>
  <c r="T881" i="2" s="1"/>
  <c r="U868" i="2"/>
  <c r="S868" i="2"/>
  <c r="T868" i="2" s="1"/>
  <c r="U856" i="2"/>
  <c r="S856" i="2"/>
  <c r="T856" i="2" s="1"/>
  <c r="U832" i="2"/>
  <c r="S832" i="2"/>
  <c r="U820" i="2"/>
  <c r="S820" i="2"/>
  <c r="U808" i="2"/>
  <c r="S808" i="2"/>
  <c r="U796" i="2"/>
  <c r="S796" i="2"/>
  <c r="U783" i="2"/>
  <c r="S783" i="2"/>
  <c r="U766" i="2"/>
  <c r="S766" i="2"/>
  <c r="U753" i="2"/>
  <c r="S753" i="2"/>
  <c r="U742" i="2"/>
  <c r="S742" i="2"/>
  <c r="U730" i="2"/>
  <c r="S730" i="2"/>
  <c r="U718" i="2"/>
  <c r="S718" i="2"/>
  <c r="U702" i="2"/>
  <c r="S702" i="2"/>
  <c r="U690" i="2"/>
  <c r="S690" i="2"/>
  <c r="U665" i="2"/>
  <c r="S665" i="2"/>
  <c r="U653" i="2"/>
  <c r="S653" i="2"/>
  <c r="S641" i="2"/>
  <c r="U641" i="2"/>
  <c r="U629" i="2"/>
  <c r="S629" i="2"/>
  <c r="U617" i="2"/>
  <c r="S617" i="2"/>
  <c r="U606" i="2"/>
  <c r="S606" i="2"/>
  <c r="U594" i="2"/>
  <c r="S594" i="2"/>
  <c r="U582" i="2"/>
  <c r="S582" i="2"/>
  <c r="U569" i="2"/>
  <c r="S569" i="2"/>
  <c r="U558" i="2"/>
  <c r="S558" i="2"/>
  <c r="U546" i="2"/>
  <c r="S546" i="2"/>
  <c r="U534" i="2"/>
  <c r="S534" i="2"/>
  <c r="U523" i="2"/>
  <c r="S523" i="2"/>
  <c r="U511" i="2"/>
  <c r="S511" i="2"/>
  <c r="U499" i="2"/>
  <c r="S499" i="2"/>
  <c r="U487" i="2"/>
  <c r="S487" i="2"/>
  <c r="U464" i="2"/>
  <c r="S464" i="2"/>
  <c r="U447" i="2"/>
  <c r="S447" i="2"/>
  <c r="U429" i="2"/>
  <c r="S429" i="2"/>
  <c r="U414" i="2"/>
  <c r="S414" i="2"/>
  <c r="U385" i="2"/>
  <c r="S385" i="2"/>
  <c r="U369" i="2"/>
  <c r="S369" i="2"/>
  <c r="U354" i="2"/>
  <c r="S354" i="2"/>
  <c r="U342" i="2"/>
  <c r="S342" i="2"/>
  <c r="U330" i="2"/>
  <c r="S330" i="2"/>
  <c r="U323" i="2"/>
  <c r="S323" i="2"/>
  <c r="U311" i="2"/>
  <c r="S311" i="2"/>
  <c r="U297" i="2"/>
  <c r="S297" i="2"/>
  <c r="U285" i="2"/>
  <c r="S285" i="2"/>
  <c r="U273" i="2"/>
  <c r="S273" i="2"/>
  <c r="U261" i="2"/>
  <c r="S261" i="2"/>
  <c r="U244" i="2"/>
  <c r="S244" i="2"/>
  <c r="U232" i="2"/>
  <c r="S232" i="2"/>
  <c r="U215" i="2"/>
  <c r="S215" i="2"/>
  <c r="U191" i="2"/>
  <c r="S191" i="2"/>
  <c r="U1162" i="2"/>
  <c r="S1162" i="2"/>
  <c r="T1162" i="2" s="1"/>
  <c r="U1150" i="2"/>
  <c r="S1150" i="2"/>
  <c r="T1150" i="2" s="1"/>
  <c r="U1137" i="2"/>
  <c r="S1137" i="2"/>
  <c r="T1137" i="2" s="1"/>
  <c r="U1125" i="2"/>
  <c r="S1125" i="2"/>
  <c r="T1125" i="2" s="1"/>
  <c r="U1114" i="2"/>
  <c r="S1114" i="2"/>
  <c r="T1114" i="2" s="1"/>
  <c r="U1102" i="2"/>
  <c r="S1102" i="2"/>
  <c r="T1102" i="2" s="1"/>
  <c r="U1090" i="2"/>
  <c r="S1090" i="2"/>
  <c r="T1090" i="2" s="1"/>
  <c r="U1082" i="2"/>
  <c r="S1082" i="2"/>
  <c r="T1082" i="2" s="1"/>
  <c r="U1070" i="2"/>
  <c r="S1070" i="2"/>
  <c r="T1070" i="2" s="1"/>
  <c r="U1056" i="2"/>
  <c r="S1056" i="2"/>
  <c r="T1056" i="2" s="1"/>
  <c r="U1045" i="2"/>
  <c r="S1045" i="2"/>
  <c r="T1045" i="2" s="1"/>
  <c r="S1032" i="2"/>
  <c r="T1032" i="2" s="1"/>
  <c r="U1032" i="2"/>
  <c r="U1019" i="2"/>
  <c r="S1019" i="2"/>
  <c r="T1019" i="2" s="1"/>
  <c r="U1007" i="2"/>
  <c r="S1007" i="2"/>
  <c r="T1007" i="2" s="1"/>
  <c r="U994" i="2"/>
  <c r="S994" i="2"/>
  <c r="T994" i="2" s="1"/>
  <c r="U980" i="2"/>
  <c r="S980" i="2"/>
  <c r="T980" i="2" s="1"/>
  <c r="S968" i="2"/>
  <c r="T968" i="2" s="1"/>
  <c r="U968" i="2"/>
  <c r="U956" i="2"/>
  <c r="S956" i="2"/>
  <c r="T956" i="2" s="1"/>
  <c r="U937" i="2"/>
  <c r="S937" i="2"/>
  <c r="T937" i="2" s="1"/>
  <c r="U925" i="2"/>
  <c r="S925" i="2"/>
  <c r="T925" i="2" s="1"/>
  <c r="U913" i="2"/>
  <c r="S913" i="2"/>
  <c r="T913" i="2" s="1"/>
  <c r="U901" i="2"/>
  <c r="S901" i="2"/>
  <c r="T901" i="2" s="1"/>
  <c r="U890" i="2"/>
  <c r="S890" i="2"/>
  <c r="T890" i="2" s="1"/>
  <c r="U876" i="2"/>
  <c r="S876" i="2"/>
  <c r="T876" i="2" s="1"/>
  <c r="U864" i="2"/>
  <c r="S864" i="2"/>
  <c r="T864" i="2" s="1"/>
  <c r="U852" i="2"/>
  <c r="S852" i="2"/>
  <c r="T852" i="2" s="1"/>
  <c r="U840" i="2"/>
  <c r="S840" i="2"/>
  <c r="T840" i="2" s="1"/>
  <c r="U828" i="2"/>
  <c r="S828" i="2"/>
  <c r="U816" i="2"/>
  <c r="S816" i="2"/>
  <c r="U804" i="2"/>
  <c r="S804" i="2"/>
  <c r="U792" i="2"/>
  <c r="S792" i="2"/>
  <c r="U779" i="2"/>
  <c r="S779" i="2"/>
  <c r="U762" i="2"/>
  <c r="S762" i="2"/>
  <c r="U750" i="2"/>
  <c r="S750" i="2"/>
  <c r="U738" i="2"/>
  <c r="S738" i="2"/>
  <c r="U726" i="2"/>
  <c r="S726" i="2"/>
  <c r="U714" i="2"/>
  <c r="S714" i="2"/>
  <c r="U706" i="2"/>
  <c r="S706" i="2"/>
  <c r="U694" i="2"/>
  <c r="S694" i="2"/>
  <c r="U669" i="2"/>
  <c r="S669" i="2"/>
  <c r="U657" i="2"/>
  <c r="S657" i="2"/>
  <c r="U645" i="2"/>
  <c r="S645" i="2"/>
  <c r="U633" i="2"/>
  <c r="S633" i="2"/>
  <c r="U621" i="2"/>
  <c r="S621" i="2"/>
  <c r="U598" i="2"/>
  <c r="S598" i="2"/>
  <c r="U586" i="2"/>
  <c r="S586" i="2"/>
  <c r="U574" i="2"/>
  <c r="S574" i="2"/>
  <c r="U562" i="2"/>
  <c r="S562" i="2"/>
  <c r="U550" i="2"/>
  <c r="S550" i="2"/>
  <c r="U538" i="2"/>
  <c r="S538" i="2"/>
  <c r="U519" i="2"/>
  <c r="S519" i="2"/>
  <c r="U507" i="2"/>
  <c r="S507" i="2"/>
  <c r="U495" i="2"/>
  <c r="S495" i="2"/>
  <c r="U483" i="2"/>
  <c r="S483" i="2"/>
  <c r="U472" i="2"/>
  <c r="S472" i="2"/>
  <c r="U460" i="2"/>
  <c r="S460" i="2"/>
  <c r="U437" i="2"/>
  <c r="S437" i="2"/>
  <c r="U424" i="2"/>
  <c r="S424" i="2"/>
  <c r="U417" i="2"/>
  <c r="S417" i="2"/>
  <c r="U406" i="2"/>
  <c r="S406" i="2"/>
  <c r="U394" i="2"/>
  <c r="S394" i="2"/>
  <c r="U380" i="2"/>
  <c r="S380" i="2"/>
  <c r="U364" i="2"/>
  <c r="S364" i="2"/>
  <c r="U350" i="2"/>
  <c r="S350" i="2"/>
  <c r="U338" i="2"/>
  <c r="S338" i="2"/>
  <c r="U327" i="2"/>
  <c r="S327" i="2"/>
  <c r="U315" i="2"/>
  <c r="S315" i="2"/>
  <c r="S301" i="2"/>
  <c r="U301" i="2"/>
  <c r="U289" i="2"/>
  <c r="S289" i="2"/>
  <c r="U277" i="2"/>
  <c r="S277" i="2"/>
  <c r="U265" i="2"/>
  <c r="S265" i="2"/>
  <c r="U252" i="2"/>
  <c r="S252" i="2"/>
  <c r="U248" i="2"/>
  <c r="S248" i="2"/>
  <c r="U236" i="2"/>
  <c r="S236" i="2"/>
  <c r="U224" i="2"/>
  <c r="S224" i="2"/>
  <c r="U211" i="2"/>
  <c r="S211" i="2"/>
  <c r="U199" i="2"/>
  <c r="S199" i="2"/>
  <c r="U187" i="2"/>
  <c r="S187" i="2"/>
  <c r="U179" i="2"/>
  <c r="S179" i="2"/>
  <c r="U175" i="2"/>
  <c r="S175" i="2"/>
  <c r="U171" i="2"/>
  <c r="S171" i="2"/>
  <c r="U167" i="2"/>
  <c r="S167" i="2"/>
  <c r="U163" i="2"/>
  <c r="S163" i="2"/>
  <c r="U159" i="2"/>
  <c r="S159" i="2"/>
  <c r="U155" i="2"/>
  <c r="S155" i="2"/>
  <c r="U151" i="2"/>
  <c r="S151" i="2"/>
  <c r="U147" i="2"/>
  <c r="S147" i="2"/>
  <c r="U140" i="2"/>
  <c r="S140" i="2"/>
  <c r="U136" i="2"/>
  <c r="S136" i="2"/>
  <c r="U131" i="2"/>
  <c r="S131" i="2"/>
  <c r="U126" i="2"/>
  <c r="S126" i="2"/>
  <c r="U122" i="2"/>
  <c r="S122" i="2"/>
  <c r="U118" i="2"/>
  <c r="S118" i="2"/>
  <c r="U110" i="2"/>
  <c r="S110" i="2"/>
  <c r="U91" i="2"/>
  <c r="S91" i="2"/>
  <c r="U76" i="2"/>
  <c r="S76" i="2"/>
  <c r="U67" i="2"/>
  <c r="S67" i="2"/>
  <c r="S1160" i="2"/>
  <c r="T1160" i="2" s="1"/>
  <c r="U1160" i="2"/>
  <c r="S1152" i="2"/>
  <c r="T1152" i="2" s="1"/>
  <c r="U1152" i="2"/>
  <c r="U1143" i="2"/>
  <c r="S1143" i="2"/>
  <c r="T1143" i="2" s="1"/>
  <c r="U1135" i="2"/>
  <c r="S1135" i="2"/>
  <c r="T1135" i="2" s="1"/>
  <c r="U1127" i="2"/>
  <c r="S1127" i="2"/>
  <c r="T1127" i="2" s="1"/>
  <c r="U1120" i="2"/>
  <c r="S1120" i="2"/>
  <c r="T1120" i="2" s="1"/>
  <c r="U1112" i="2"/>
  <c r="S1112" i="2"/>
  <c r="T1112" i="2" s="1"/>
  <c r="U1104" i="2"/>
  <c r="S1104" i="2"/>
  <c r="T1104" i="2" s="1"/>
  <c r="U1096" i="2"/>
  <c r="S1096" i="2"/>
  <c r="T1096" i="2" s="1"/>
  <c r="U1088" i="2"/>
  <c r="S1088" i="2"/>
  <c r="T1088" i="2" s="1"/>
  <c r="U1080" i="2"/>
  <c r="S1080" i="2"/>
  <c r="T1080" i="2" s="1"/>
  <c r="U1072" i="2"/>
  <c r="S1072" i="2"/>
  <c r="T1072" i="2" s="1"/>
  <c r="U1064" i="2"/>
  <c r="S1064" i="2"/>
  <c r="T1064" i="2" s="1"/>
  <c r="U1054" i="2"/>
  <c r="S1054" i="2"/>
  <c r="T1054" i="2" s="1"/>
  <c r="S1046" i="2"/>
  <c r="T1046" i="2" s="1"/>
  <c r="U1046" i="2"/>
  <c r="U1038" i="2"/>
  <c r="S1038" i="2"/>
  <c r="T1038" i="2" s="1"/>
  <c r="U1030" i="2"/>
  <c r="S1030" i="2"/>
  <c r="T1030" i="2" s="1"/>
  <c r="U1021" i="2"/>
  <c r="S1021" i="2"/>
  <c r="T1021" i="2" s="1"/>
  <c r="U1009" i="2"/>
  <c r="S1009" i="2"/>
  <c r="T1009" i="2" s="1"/>
  <c r="S1000" i="2"/>
  <c r="T1000" i="2" s="1"/>
  <c r="U1000" i="2"/>
  <c r="S992" i="2"/>
  <c r="T992" i="2" s="1"/>
  <c r="U992" i="2"/>
  <c r="U982" i="2"/>
  <c r="S982" i="2"/>
  <c r="T982" i="2" s="1"/>
  <c r="U974" i="2"/>
  <c r="S974" i="2"/>
  <c r="T974" i="2" s="1"/>
  <c r="U966" i="2"/>
  <c r="S966" i="2"/>
  <c r="T966" i="2" s="1"/>
  <c r="U958" i="2"/>
  <c r="S958" i="2"/>
  <c r="T958" i="2" s="1"/>
  <c r="U950" i="2"/>
  <c r="S950" i="2"/>
  <c r="T950" i="2" s="1"/>
  <c r="U943" i="2"/>
  <c r="S943" i="2"/>
  <c r="T943" i="2" s="1"/>
  <c r="U935" i="2"/>
  <c r="S935" i="2"/>
  <c r="T935" i="2" s="1"/>
  <c r="U927" i="2"/>
  <c r="S927" i="2"/>
  <c r="T927" i="2" s="1"/>
  <c r="U919" i="2"/>
  <c r="S919" i="2"/>
  <c r="T919" i="2" s="1"/>
  <c r="U915" i="2"/>
  <c r="S915" i="2"/>
  <c r="T915" i="2" s="1"/>
  <c r="U907" i="2"/>
  <c r="S907" i="2"/>
  <c r="T907" i="2" s="1"/>
  <c r="U899" i="2"/>
  <c r="S899" i="2"/>
  <c r="T899" i="2" s="1"/>
  <c r="U892" i="2"/>
  <c r="S892" i="2"/>
  <c r="T892" i="2" s="1"/>
  <c r="S883" i="2"/>
  <c r="T883" i="2" s="1"/>
  <c r="U883" i="2"/>
  <c r="U874" i="2"/>
  <c r="S874" i="2"/>
  <c r="T874" i="2" s="1"/>
  <c r="U866" i="2"/>
  <c r="S866" i="2"/>
  <c r="T866" i="2" s="1"/>
  <c r="U858" i="2"/>
  <c r="S858" i="2"/>
  <c r="T858" i="2" s="1"/>
  <c r="U850" i="2"/>
  <c r="S850" i="2"/>
  <c r="T850" i="2" s="1"/>
  <c r="U842" i="2"/>
  <c r="S842" i="2"/>
  <c r="T842" i="2" s="1"/>
  <c r="U834" i="2"/>
  <c r="S834" i="2"/>
  <c r="T834" i="2" s="1"/>
  <c r="U826" i="2"/>
  <c r="S826" i="2"/>
  <c r="U818" i="2"/>
  <c r="S818" i="2"/>
  <c r="U810" i="2"/>
  <c r="S810" i="2"/>
  <c r="U802" i="2"/>
  <c r="S802" i="2"/>
  <c r="U794" i="2"/>
  <c r="S794" i="2"/>
  <c r="U785" i="2"/>
  <c r="S785" i="2"/>
  <c r="U777" i="2"/>
  <c r="S777" i="2"/>
  <c r="U764" i="2"/>
  <c r="S764" i="2"/>
  <c r="U755" i="2"/>
  <c r="S755" i="2"/>
  <c r="U748" i="2"/>
  <c r="S748" i="2"/>
  <c r="U740" i="2"/>
  <c r="S740" i="2"/>
  <c r="U732" i="2"/>
  <c r="S732" i="2"/>
  <c r="U724" i="2"/>
  <c r="S724" i="2"/>
  <c r="U716" i="2"/>
  <c r="S716" i="2"/>
  <c r="U708" i="2"/>
  <c r="S708" i="2"/>
  <c r="U700" i="2"/>
  <c r="S700" i="2"/>
  <c r="U692" i="2"/>
  <c r="S692" i="2"/>
  <c r="U671" i="2"/>
  <c r="S671" i="2"/>
  <c r="S663" i="2"/>
  <c r="U663" i="2"/>
  <c r="U655" i="2"/>
  <c r="S655" i="2"/>
  <c r="U643" i="2"/>
  <c r="S643" i="2"/>
  <c r="U635" i="2"/>
  <c r="S635" i="2"/>
  <c r="U627" i="2"/>
  <c r="S627" i="2"/>
  <c r="U619" i="2"/>
  <c r="S619" i="2"/>
  <c r="U611" i="2"/>
  <c r="S611" i="2"/>
  <c r="U604" i="2"/>
  <c r="S604" i="2"/>
  <c r="U596" i="2"/>
  <c r="S596" i="2"/>
  <c r="U588" i="2"/>
  <c r="S588" i="2"/>
  <c r="U580" i="2"/>
  <c r="S580" i="2"/>
  <c r="U572" i="2"/>
  <c r="S572" i="2"/>
  <c r="U564" i="2"/>
  <c r="S564" i="2"/>
  <c r="U556" i="2"/>
  <c r="S556" i="2"/>
  <c r="U548" i="2"/>
  <c r="S548" i="2"/>
  <c r="U540" i="2"/>
  <c r="S540" i="2"/>
  <c r="U532" i="2"/>
  <c r="S532" i="2"/>
  <c r="U527" i="2"/>
  <c r="S527" i="2"/>
  <c r="U517" i="2"/>
  <c r="S517" i="2"/>
  <c r="U509" i="2"/>
  <c r="S509" i="2"/>
  <c r="U501" i="2"/>
  <c r="S501" i="2"/>
  <c r="U493" i="2"/>
  <c r="S493" i="2"/>
  <c r="U485" i="2"/>
  <c r="S485" i="2"/>
  <c r="U477" i="2"/>
  <c r="S477" i="2"/>
  <c r="U470" i="2"/>
  <c r="S470" i="2"/>
  <c r="U462" i="2"/>
  <c r="S462" i="2"/>
  <c r="U451" i="2"/>
  <c r="S451" i="2"/>
  <c r="U459" i="2"/>
  <c r="S459" i="2"/>
  <c r="U458" i="2"/>
  <c r="S458" i="2"/>
  <c r="U441" i="2"/>
  <c r="S441" i="2"/>
  <c r="U422" i="2"/>
  <c r="S422" i="2"/>
  <c r="U415" i="2"/>
  <c r="S415" i="2"/>
  <c r="U408" i="2"/>
  <c r="S408" i="2"/>
  <c r="U400" i="2"/>
  <c r="S400" i="2"/>
  <c r="U392" i="2"/>
  <c r="S392" i="2"/>
  <c r="U383" i="2"/>
  <c r="S383" i="2"/>
  <c r="U373" i="2"/>
  <c r="S373" i="2"/>
  <c r="U362" i="2"/>
  <c r="S362" i="2"/>
  <c r="U352" i="2"/>
  <c r="S352" i="2"/>
  <c r="U344" i="2"/>
  <c r="S344" i="2"/>
  <c r="U336" i="2"/>
  <c r="S336" i="2"/>
  <c r="U321" i="2"/>
  <c r="S321" i="2"/>
  <c r="U313" i="2"/>
  <c r="S313" i="2"/>
  <c r="U303" i="2"/>
  <c r="S303" i="2"/>
  <c r="U295" i="2"/>
  <c r="S295" i="2"/>
  <c r="U287" i="2"/>
  <c r="S287" i="2"/>
  <c r="U279" i="2"/>
  <c r="S279" i="2"/>
  <c r="U271" i="2"/>
  <c r="S271" i="2"/>
  <c r="U263" i="2"/>
  <c r="S263" i="2"/>
  <c r="U255" i="2"/>
  <c r="S255" i="2"/>
  <c r="U246" i="2"/>
  <c r="S246" i="2"/>
  <c r="U238" i="2"/>
  <c r="S238" i="2"/>
  <c r="U230" i="2"/>
  <c r="S230" i="2"/>
  <c r="U222" i="2"/>
  <c r="S222" i="2"/>
  <c r="U213" i="2"/>
  <c r="S213" i="2"/>
  <c r="U205" i="2"/>
  <c r="S205" i="2"/>
  <c r="U189" i="2"/>
  <c r="S189" i="2"/>
  <c r="U112" i="2"/>
  <c r="S112" i="2"/>
  <c r="U108" i="2"/>
  <c r="S108" i="2"/>
  <c r="U97" i="2"/>
  <c r="S97" i="2"/>
  <c r="U93" i="2"/>
  <c r="S93" i="2"/>
  <c r="U84" i="2"/>
  <c r="S84" i="2"/>
  <c r="U78" i="2"/>
  <c r="S78" i="2"/>
  <c r="U69" i="2"/>
  <c r="S69" i="2"/>
  <c r="U65" i="2"/>
  <c r="S65" i="2"/>
  <c r="U60" i="2"/>
  <c r="S60" i="2"/>
  <c r="U55" i="2"/>
  <c r="S55" i="2"/>
  <c r="U51" i="2"/>
  <c r="S51" i="2"/>
  <c r="U45" i="2"/>
  <c r="S45" i="2"/>
  <c r="U41" i="2"/>
  <c r="S41" i="2"/>
  <c r="U36" i="2"/>
  <c r="S36" i="2"/>
  <c r="U32" i="2"/>
  <c r="S32" i="2"/>
  <c r="U26" i="2"/>
  <c r="S26" i="2"/>
  <c r="U22" i="2"/>
  <c r="S22" i="2"/>
  <c r="U18" i="2"/>
  <c r="S18" i="2"/>
  <c r="U15" i="2"/>
  <c r="S15" i="2"/>
  <c r="U11" i="2"/>
  <c r="S11" i="2"/>
  <c r="U7" i="2"/>
  <c r="S7" i="2"/>
  <c r="U106" i="2"/>
  <c r="S106" i="2"/>
  <c r="U95" i="2"/>
  <c r="S95" i="2"/>
  <c r="U82" i="2"/>
  <c r="S82" i="2"/>
  <c r="S1164" i="2"/>
  <c r="T1164" i="2" s="1"/>
  <c r="U1164" i="2"/>
  <c r="S1156" i="2"/>
  <c r="T1156" i="2" s="1"/>
  <c r="U1156" i="2"/>
  <c r="S1148" i="2"/>
  <c r="T1148" i="2" s="1"/>
  <c r="U1148" i="2"/>
  <c r="U1139" i="2"/>
  <c r="S1139" i="2"/>
  <c r="T1139" i="2" s="1"/>
  <c r="U1131" i="2"/>
  <c r="S1131" i="2"/>
  <c r="T1131" i="2" s="1"/>
  <c r="U1124" i="2"/>
  <c r="S1124" i="2"/>
  <c r="T1124" i="2" s="1"/>
  <c r="U1116" i="2"/>
  <c r="S1116" i="2"/>
  <c r="T1116" i="2" s="1"/>
  <c r="U1108" i="2"/>
  <c r="S1108" i="2"/>
  <c r="T1108" i="2" s="1"/>
  <c r="U1100" i="2"/>
  <c r="S1100" i="2"/>
  <c r="T1100" i="2" s="1"/>
  <c r="U1092" i="2"/>
  <c r="S1092" i="2"/>
  <c r="T1092" i="2" s="1"/>
  <c r="U1084" i="2"/>
  <c r="S1084" i="2"/>
  <c r="T1084" i="2" s="1"/>
  <c r="U1076" i="2"/>
  <c r="S1076" i="2"/>
  <c r="T1076" i="2" s="1"/>
  <c r="U1068" i="2"/>
  <c r="S1068" i="2"/>
  <c r="T1068" i="2" s="1"/>
  <c r="U1059" i="2"/>
  <c r="S1059" i="2"/>
  <c r="T1059" i="2" s="1"/>
  <c r="U1049" i="2"/>
  <c r="S1049" i="2"/>
  <c r="T1049" i="2" s="1"/>
  <c r="U1042" i="2"/>
  <c r="S1042" i="2"/>
  <c r="T1042" i="2" s="1"/>
  <c r="U1034" i="2"/>
  <c r="S1034" i="2"/>
  <c r="T1034" i="2" s="1"/>
  <c r="U1025" i="2"/>
  <c r="S1025" i="2"/>
  <c r="T1025" i="2" s="1"/>
  <c r="U1017" i="2"/>
  <c r="S1017" i="2"/>
  <c r="T1017" i="2" s="1"/>
  <c r="U1013" i="2"/>
  <c r="S1013" i="2"/>
  <c r="T1013" i="2" s="1"/>
  <c r="U1005" i="2"/>
  <c r="S1005" i="2"/>
  <c r="T1005" i="2" s="1"/>
  <c r="U996" i="2"/>
  <c r="S996" i="2"/>
  <c r="T996" i="2" s="1"/>
  <c r="U987" i="2"/>
  <c r="S987" i="2"/>
  <c r="T987" i="2" s="1"/>
  <c r="U978" i="2"/>
  <c r="S978" i="2"/>
  <c r="T978" i="2" s="1"/>
  <c r="U970" i="2"/>
  <c r="S970" i="2"/>
  <c r="T970" i="2" s="1"/>
  <c r="U962" i="2"/>
  <c r="S962" i="2"/>
  <c r="T962" i="2" s="1"/>
  <c r="U954" i="2"/>
  <c r="S954" i="2"/>
  <c r="T954" i="2" s="1"/>
  <c r="U946" i="2"/>
  <c r="S946" i="2"/>
  <c r="T946" i="2" s="1"/>
  <c r="U939" i="2"/>
  <c r="S939" i="2"/>
  <c r="T939" i="2" s="1"/>
  <c r="U931" i="2"/>
  <c r="S931" i="2"/>
  <c r="T931" i="2" s="1"/>
  <c r="U923" i="2"/>
  <c r="S923" i="2"/>
  <c r="T923" i="2" s="1"/>
  <c r="U911" i="2"/>
  <c r="S911" i="2"/>
  <c r="T911" i="2" s="1"/>
  <c r="U903" i="2"/>
  <c r="S903" i="2"/>
  <c r="T903" i="2" s="1"/>
  <c r="U895" i="2"/>
  <c r="S895" i="2"/>
  <c r="T895" i="2" s="1"/>
  <c r="U888" i="2"/>
  <c r="S888" i="2"/>
  <c r="T888" i="2" s="1"/>
  <c r="U879" i="2"/>
  <c r="S879" i="2"/>
  <c r="T879" i="2" s="1"/>
  <c r="U870" i="2"/>
  <c r="S870" i="2"/>
  <c r="T870" i="2" s="1"/>
  <c r="U862" i="2"/>
  <c r="S862" i="2"/>
  <c r="T862" i="2" s="1"/>
  <c r="U854" i="2"/>
  <c r="S854" i="2"/>
  <c r="T854" i="2" s="1"/>
  <c r="U846" i="2"/>
  <c r="S846" i="2"/>
  <c r="T846" i="2" s="1"/>
  <c r="U838" i="2"/>
  <c r="S838" i="2"/>
  <c r="T838" i="2" s="1"/>
  <c r="U830" i="2"/>
  <c r="S830" i="2"/>
  <c r="U822" i="2"/>
  <c r="S822" i="2"/>
  <c r="U814" i="2"/>
  <c r="S814" i="2"/>
  <c r="U806" i="2"/>
  <c r="S806" i="2"/>
  <c r="U798" i="2"/>
  <c r="S798" i="2"/>
  <c r="U789" i="2"/>
  <c r="S789" i="2"/>
  <c r="U781" i="2"/>
  <c r="S781" i="2"/>
  <c r="U769" i="2"/>
  <c r="S769" i="2"/>
  <c r="U759" i="2"/>
  <c r="S759" i="2"/>
  <c r="U752" i="2"/>
  <c r="S752" i="2"/>
  <c r="U744" i="2"/>
  <c r="S744" i="2"/>
  <c r="U736" i="2"/>
  <c r="S736" i="2"/>
  <c r="U728" i="2"/>
  <c r="S728" i="2"/>
  <c r="U720" i="2"/>
  <c r="S720" i="2"/>
  <c r="U712" i="2"/>
  <c r="S712" i="2"/>
  <c r="S704" i="2"/>
  <c r="U704" i="2"/>
  <c r="U696" i="2"/>
  <c r="S696" i="2"/>
  <c r="U675" i="2"/>
  <c r="S675" i="2"/>
  <c r="U667" i="2"/>
  <c r="S667" i="2"/>
  <c r="U659" i="2"/>
  <c r="S659" i="2"/>
  <c r="U651" i="2"/>
  <c r="S651" i="2"/>
  <c r="U647" i="2"/>
  <c r="S647" i="2"/>
  <c r="U639" i="2"/>
  <c r="S639" i="2"/>
  <c r="U631" i="2"/>
  <c r="S631" i="2"/>
  <c r="U623" i="2"/>
  <c r="S623" i="2"/>
  <c r="U615" i="2"/>
  <c r="S615" i="2"/>
  <c r="U608" i="2"/>
  <c r="S608" i="2"/>
  <c r="U600" i="2"/>
  <c r="S600" i="2"/>
  <c r="U592" i="2"/>
  <c r="S592" i="2"/>
  <c r="U584" i="2"/>
  <c r="S584" i="2"/>
  <c r="U576" i="2"/>
  <c r="S576" i="2"/>
  <c r="U567" i="2"/>
  <c r="S567" i="2"/>
  <c r="U560" i="2"/>
  <c r="S560" i="2"/>
  <c r="U552" i="2"/>
  <c r="S552" i="2"/>
  <c r="U544" i="2"/>
  <c r="S544" i="2"/>
  <c r="U536" i="2"/>
  <c r="S536" i="2"/>
  <c r="U521" i="2"/>
  <c r="S521" i="2"/>
  <c r="U513" i="2"/>
  <c r="S513" i="2"/>
  <c r="U505" i="2"/>
  <c r="S505" i="2"/>
  <c r="U497" i="2"/>
  <c r="S497" i="2"/>
  <c r="U489" i="2"/>
  <c r="S489" i="2"/>
  <c r="U481" i="2"/>
  <c r="S481" i="2"/>
  <c r="U474" i="2"/>
  <c r="S474" i="2"/>
  <c r="U466" i="2"/>
  <c r="S466" i="2"/>
  <c r="U454" i="2"/>
  <c r="S454" i="2"/>
  <c r="U439" i="2"/>
  <c r="S439" i="2"/>
  <c r="S434" i="2"/>
  <c r="U434" i="2"/>
  <c r="U445" i="2"/>
  <c r="S445" i="2"/>
  <c r="U426" i="2"/>
  <c r="S426" i="2"/>
  <c r="U419" i="2"/>
  <c r="S419" i="2"/>
  <c r="U412" i="2"/>
  <c r="S412" i="2"/>
  <c r="U404" i="2"/>
  <c r="S404" i="2"/>
  <c r="U388" i="2"/>
  <c r="S388" i="2"/>
  <c r="U378" i="2"/>
  <c r="S378" i="2"/>
  <c r="U366" i="2"/>
  <c r="S366" i="2"/>
  <c r="U357" i="2"/>
  <c r="S357" i="2"/>
  <c r="U348" i="2"/>
  <c r="S348" i="2"/>
  <c r="U340" i="2"/>
  <c r="S340" i="2"/>
  <c r="U332" i="2"/>
  <c r="S332" i="2"/>
  <c r="U325" i="2"/>
  <c r="S325" i="2"/>
  <c r="U317" i="2"/>
  <c r="S317" i="2"/>
  <c r="U308" i="2"/>
  <c r="S308" i="2"/>
  <c r="U299" i="2"/>
  <c r="S299" i="2"/>
  <c r="U291" i="2"/>
  <c r="S291" i="2"/>
  <c r="U283" i="2"/>
  <c r="S283" i="2"/>
  <c r="U275" i="2"/>
  <c r="S275" i="2"/>
  <c r="U267" i="2"/>
  <c r="S267" i="2"/>
  <c r="U259" i="2"/>
  <c r="S259" i="2"/>
  <c r="U250" i="2"/>
  <c r="S250" i="2"/>
  <c r="U242" i="2"/>
  <c r="S242" i="2"/>
  <c r="U234" i="2"/>
  <c r="S234" i="2"/>
  <c r="U226" i="2"/>
  <c r="S226" i="2"/>
  <c r="U217" i="2"/>
  <c r="S217" i="2"/>
  <c r="U209" i="2"/>
  <c r="S209" i="2"/>
  <c r="U201" i="2"/>
  <c r="S201" i="2"/>
  <c r="U197" i="2"/>
  <c r="S197" i="2"/>
  <c r="U193" i="2"/>
  <c r="S193" i="2"/>
  <c r="U185" i="2"/>
  <c r="S185" i="2"/>
  <c r="U181" i="2"/>
  <c r="S181" i="2"/>
  <c r="U177" i="2"/>
  <c r="S177" i="2"/>
  <c r="U173" i="2"/>
  <c r="S173" i="2"/>
  <c r="U169" i="2"/>
  <c r="S169" i="2"/>
  <c r="U165" i="2"/>
  <c r="S165" i="2"/>
  <c r="U161" i="2"/>
  <c r="S161" i="2"/>
  <c r="U157" i="2"/>
  <c r="S157" i="2"/>
  <c r="U153" i="2"/>
  <c r="S153" i="2"/>
  <c r="U149" i="2"/>
  <c r="S149" i="2"/>
  <c r="U144" i="2"/>
  <c r="S144" i="2"/>
  <c r="U138" i="2"/>
  <c r="S138" i="2"/>
  <c r="U133" i="2"/>
  <c r="S133" i="2"/>
  <c r="U128" i="2"/>
  <c r="S128" i="2"/>
  <c r="U124" i="2"/>
  <c r="S124" i="2"/>
  <c r="U120" i="2"/>
  <c r="S120" i="2"/>
  <c r="U116" i="2"/>
  <c r="S116" i="2"/>
  <c r="U104" i="2"/>
  <c r="S104" i="2"/>
  <c r="U101" i="2"/>
  <c r="S101" i="2"/>
  <c r="U89" i="2"/>
  <c r="S89" i="2"/>
  <c r="U74" i="2"/>
  <c r="S74" i="2"/>
  <c r="U3" i="2"/>
  <c r="S3" i="2"/>
  <c r="U1163" i="2"/>
  <c r="S1163" i="2"/>
  <c r="T1163" i="2" s="1"/>
  <c r="U1159" i="2"/>
  <c r="S1159" i="2"/>
  <c r="T1159" i="2" s="1"/>
  <c r="U1155" i="2"/>
  <c r="S1155" i="2"/>
  <c r="T1155" i="2" s="1"/>
  <c r="U1151" i="2"/>
  <c r="S1151" i="2"/>
  <c r="T1151" i="2" s="1"/>
  <c r="U1147" i="2"/>
  <c r="S1147" i="2"/>
  <c r="T1147" i="2" s="1"/>
  <c r="U1142" i="2"/>
  <c r="S1142" i="2"/>
  <c r="T1142" i="2" s="1"/>
  <c r="U1138" i="2"/>
  <c r="S1138" i="2"/>
  <c r="T1138" i="2" s="1"/>
  <c r="U1134" i="2"/>
  <c r="S1134" i="2"/>
  <c r="T1134" i="2" s="1"/>
  <c r="U1130" i="2"/>
  <c r="S1130" i="2"/>
  <c r="T1130" i="2" s="1"/>
  <c r="U1126" i="2"/>
  <c r="S1126" i="2"/>
  <c r="T1126" i="2" s="1"/>
  <c r="U1123" i="2"/>
  <c r="S1123" i="2"/>
  <c r="T1123" i="2" s="1"/>
  <c r="U1119" i="2"/>
  <c r="S1119" i="2"/>
  <c r="T1119" i="2" s="1"/>
  <c r="U1115" i="2"/>
  <c r="S1115" i="2"/>
  <c r="T1115" i="2" s="1"/>
  <c r="U1111" i="2"/>
  <c r="S1111" i="2"/>
  <c r="T1111" i="2" s="1"/>
  <c r="U1107" i="2"/>
  <c r="S1107" i="2"/>
  <c r="T1107" i="2" s="1"/>
  <c r="U1103" i="2"/>
  <c r="S1103" i="2"/>
  <c r="T1103" i="2" s="1"/>
  <c r="U1099" i="2"/>
  <c r="S1099" i="2"/>
  <c r="T1099" i="2" s="1"/>
  <c r="U1095" i="2"/>
  <c r="S1095" i="2"/>
  <c r="T1095" i="2" s="1"/>
  <c r="U1091" i="2"/>
  <c r="S1091" i="2"/>
  <c r="T1091" i="2" s="1"/>
  <c r="U1087" i="2"/>
  <c r="S1087" i="2"/>
  <c r="T1087" i="2" s="1"/>
  <c r="U1083" i="2"/>
  <c r="S1083" i="2"/>
  <c r="T1083" i="2" s="1"/>
  <c r="U1079" i="2"/>
  <c r="S1079" i="2"/>
  <c r="T1079" i="2" s="1"/>
  <c r="U1075" i="2"/>
  <c r="S1075" i="2"/>
  <c r="T1075" i="2" s="1"/>
  <c r="U1071" i="2"/>
  <c r="S1071" i="2"/>
  <c r="T1071" i="2" s="1"/>
  <c r="U1067" i="2"/>
  <c r="S1067" i="2"/>
  <c r="T1067" i="2" s="1"/>
  <c r="U1063" i="2"/>
  <c r="S1063" i="2"/>
  <c r="T1063" i="2" s="1"/>
  <c r="U1058" i="2"/>
  <c r="S1058" i="2"/>
  <c r="T1058" i="2" s="1"/>
  <c r="S1053" i="2"/>
  <c r="T1053" i="2" s="1"/>
  <c r="U1053" i="2"/>
  <c r="U1041" i="2"/>
  <c r="S1041" i="2"/>
  <c r="T1041" i="2" s="1"/>
  <c r="U1037" i="2"/>
  <c r="S1037" i="2"/>
  <c r="T1037" i="2" s="1"/>
  <c r="U1033" i="2"/>
  <c r="S1033" i="2"/>
  <c r="T1033" i="2" s="1"/>
  <c r="U1029" i="2"/>
  <c r="S1029" i="2"/>
  <c r="T1029" i="2" s="1"/>
  <c r="S1024" i="2"/>
  <c r="T1024" i="2" s="1"/>
  <c r="U1024" i="2"/>
  <c r="U1020" i="2"/>
  <c r="S1020" i="2"/>
  <c r="T1020" i="2" s="1"/>
  <c r="S1016" i="2"/>
  <c r="T1016" i="2" s="1"/>
  <c r="U1016" i="2"/>
  <c r="U1012" i="2"/>
  <c r="S1012" i="2"/>
  <c r="T1012" i="2" s="1"/>
  <c r="S1008" i="2"/>
  <c r="T1008" i="2" s="1"/>
  <c r="U1008" i="2"/>
  <c r="U1004" i="2"/>
  <c r="S1004" i="2"/>
  <c r="T1004" i="2" s="1"/>
  <c r="U999" i="2"/>
  <c r="S999" i="2"/>
  <c r="T999" i="2" s="1"/>
  <c r="U995" i="2"/>
  <c r="S995" i="2"/>
  <c r="T995" i="2" s="1"/>
  <c r="U991" i="2"/>
  <c r="S991" i="2"/>
  <c r="T991" i="2" s="1"/>
  <c r="U986" i="2"/>
  <c r="S986" i="2"/>
  <c r="T986" i="2" s="1"/>
  <c r="U981" i="2"/>
  <c r="S981" i="2"/>
  <c r="T981" i="2" s="1"/>
  <c r="U977" i="2"/>
  <c r="S977" i="2"/>
  <c r="T977" i="2" s="1"/>
  <c r="U973" i="2"/>
  <c r="S973" i="2"/>
  <c r="T973" i="2" s="1"/>
  <c r="U969" i="2"/>
  <c r="S969" i="2"/>
  <c r="T969" i="2" s="1"/>
  <c r="U965" i="2"/>
  <c r="S965" i="2"/>
  <c r="T965" i="2" s="1"/>
  <c r="U961" i="2"/>
  <c r="S961" i="2"/>
  <c r="T961" i="2" s="1"/>
  <c r="U957" i="2"/>
  <c r="S957" i="2"/>
  <c r="T957" i="2" s="1"/>
  <c r="U953" i="2"/>
  <c r="S953" i="2"/>
  <c r="T953" i="2" s="1"/>
  <c r="U949" i="2"/>
  <c r="S949" i="2"/>
  <c r="T949" i="2" s="1"/>
  <c r="U945" i="2"/>
  <c r="S945" i="2"/>
  <c r="T945" i="2" s="1"/>
  <c r="U942" i="2"/>
  <c r="S942" i="2"/>
  <c r="T942" i="2" s="1"/>
  <c r="S938" i="2"/>
  <c r="T938" i="2" s="1"/>
  <c r="U938" i="2"/>
  <c r="U934" i="2"/>
  <c r="S934" i="2"/>
  <c r="T934" i="2" s="1"/>
  <c r="S930" i="2"/>
  <c r="T930" i="2" s="1"/>
  <c r="U930" i="2"/>
  <c r="U926" i="2"/>
  <c r="S926" i="2"/>
  <c r="T926" i="2" s="1"/>
  <c r="S922" i="2"/>
  <c r="T922" i="2" s="1"/>
  <c r="U922" i="2"/>
  <c r="U918" i="2"/>
  <c r="S918" i="2"/>
  <c r="T918" i="2" s="1"/>
  <c r="S914" i="2"/>
  <c r="T914" i="2" s="1"/>
  <c r="U914" i="2"/>
  <c r="U910" i="2"/>
  <c r="S910" i="2"/>
  <c r="T910" i="2" s="1"/>
  <c r="S906" i="2"/>
  <c r="T906" i="2" s="1"/>
  <c r="U906" i="2"/>
  <c r="U902" i="2"/>
  <c r="S902" i="2"/>
  <c r="T902" i="2" s="1"/>
  <c r="S898" i="2"/>
  <c r="T898" i="2" s="1"/>
  <c r="U898" i="2"/>
  <c r="S891" i="2"/>
  <c r="T891" i="2" s="1"/>
  <c r="U891" i="2"/>
  <c r="U887" i="2"/>
  <c r="S887" i="2"/>
  <c r="T887" i="2" s="1"/>
  <c r="U882" i="2"/>
  <c r="S882" i="2"/>
  <c r="T882" i="2" s="1"/>
  <c r="U877" i="2"/>
  <c r="S877" i="2"/>
  <c r="T877" i="2" s="1"/>
  <c r="U873" i="2"/>
  <c r="S873" i="2"/>
  <c r="T873" i="2" s="1"/>
  <c r="U869" i="2"/>
  <c r="S869" i="2"/>
  <c r="T869" i="2" s="1"/>
  <c r="U865" i="2"/>
  <c r="S865" i="2"/>
  <c r="T865" i="2" s="1"/>
  <c r="U861" i="2"/>
  <c r="S861" i="2"/>
  <c r="T861" i="2" s="1"/>
  <c r="U857" i="2"/>
  <c r="S857" i="2"/>
  <c r="T857" i="2" s="1"/>
  <c r="U853" i="2"/>
  <c r="S853" i="2"/>
  <c r="T853" i="2" s="1"/>
  <c r="U849" i="2"/>
  <c r="S849" i="2"/>
  <c r="T849" i="2" s="1"/>
  <c r="U845" i="2"/>
  <c r="S845" i="2"/>
  <c r="T845" i="2" s="1"/>
  <c r="U841" i="2"/>
  <c r="S841" i="2"/>
  <c r="T841" i="2" s="1"/>
  <c r="U837" i="2"/>
  <c r="S837" i="2"/>
  <c r="T837" i="2" s="1"/>
  <c r="U833" i="2"/>
  <c r="S833" i="2"/>
  <c r="U829" i="2"/>
  <c r="S829" i="2"/>
  <c r="U825" i="2"/>
  <c r="S825" i="2"/>
  <c r="U821" i="2"/>
  <c r="S821" i="2"/>
  <c r="U817" i="2"/>
  <c r="S817" i="2"/>
  <c r="U813" i="2"/>
  <c r="S813" i="2"/>
  <c r="U809" i="2"/>
  <c r="S809" i="2"/>
  <c r="U805" i="2"/>
  <c r="S805" i="2"/>
  <c r="U801" i="2"/>
  <c r="S801" i="2"/>
  <c r="U797" i="2"/>
  <c r="S797" i="2"/>
  <c r="U793" i="2"/>
  <c r="S793" i="2"/>
  <c r="U788" i="2"/>
  <c r="S788" i="2"/>
  <c r="U784" i="2"/>
  <c r="S784" i="2"/>
  <c r="U780" i="2"/>
  <c r="S780" i="2"/>
  <c r="U775" i="2"/>
  <c r="S775" i="2"/>
  <c r="T775" i="2" s="1"/>
  <c r="U768" i="2"/>
  <c r="S768" i="2"/>
  <c r="U763" i="2"/>
  <c r="S763" i="2"/>
  <c r="U758" i="2"/>
  <c r="S758" i="2"/>
  <c r="U754" i="2"/>
  <c r="S754" i="2"/>
  <c r="U751" i="2"/>
  <c r="S751" i="2"/>
  <c r="U747" i="2"/>
  <c r="S747" i="2"/>
  <c r="U743" i="2"/>
  <c r="S743" i="2"/>
  <c r="U739" i="2"/>
  <c r="S739" i="2"/>
  <c r="U735" i="2"/>
  <c r="S735" i="2"/>
  <c r="S731" i="2"/>
  <c r="U731" i="2"/>
  <c r="U727" i="2"/>
  <c r="S727" i="2"/>
  <c r="U723" i="2"/>
  <c r="S723" i="2"/>
  <c r="U719" i="2"/>
  <c r="S719" i="2"/>
  <c r="U715" i="2"/>
  <c r="S715" i="2"/>
  <c r="U711" i="2"/>
  <c r="S711" i="2"/>
  <c r="U707" i="2"/>
  <c r="S707" i="2"/>
  <c r="U703" i="2"/>
  <c r="S703" i="2"/>
  <c r="S699" i="2"/>
  <c r="U699" i="2"/>
  <c r="U695" i="2"/>
  <c r="S695" i="2"/>
  <c r="U691" i="2"/>
  <c r="S691" i="2"/>
  <c r="U674" i="2"/>
  <c r="S674" i="2"/>
  <c r="U670" i="2"/>
  <c r="S670" i="2"/>
  <c r="U666" i="2"/>
  <c r="S666" i="2"/>
  <c r="U662" i="2"/>
  <c r="S662" i="2"/>
  <c r="U658" i="2"/>
  <c r="S658" i="2"/>
  <c r="U654" i="2"/>
  <c r="S654" i="2"/>
  <c r="U650" i="2"/>
  <c r="S650" i="2"/>
  <c r="U646" i="2"/>
  <c r="S646" i="2"/>
  <c r="U642" i="2"/>
  <c r="S642" i="2"/>
  <c r="U638" i="2"/>
  <c r="S638" i="2"/>
  <c r="U634" i="2"/>
  <c r="S634" i="2"/>
  <c r="U630" i="2"/>
  <c r="S630" i="2"/>
  <c r="U626" i="2"/>
  <c r="S626" i="2"/>
  <c r="U622" i="2"/>
  <c r="S622" i="2"/>
  <c r="U618" i="2"/>
  <c r="S618" i="2"/>
  <c r="U614" i="2"/>
  <c r="S614" i="2"/>
  <c r="U610" i="2"/>
  <c r="S610" i="2"/>
  <c r="U607" i="2"/>
  <c r="S607" i="2"/>
  <c r="U603" i="2"/>
  <c r="S603" i="2"/>
  <c r="U599" i="2"/>
  <c r="S599" i="2"/>
  <c r="U595" i="2"/>
  <c r="S595" i="2"/>
  <c r="U591" i="2"/>
  <c r="S591" i="2"/>
  <c r="U587" i="2"/>
  <c r="S587" i="2"/>
  <c r="U583" i="2"/>
  <c r="S583" i="2"/>
  <c r="U579" i="2"/>
  <c r="S579" i="2"/>
  <c r="U575" i="2"/>
  <c r="S575" i="2"/>
  <c r="U571" i="2"/>
  <c r="S571" i="2"/>
  <c r="U563" i="2"/>
  <c r="S563" i="2"/>
  <c r="S559" i="2"/>
  <c r="U559" i="2"/>
  <c r="U555" i="2"/>
  <c r="S555" i="2"/>
  <c r="S551" i="2"/>
  <c r="U551" i="2"/>
  <c r="U547" i="2"/>
  <c r="S547" i="2"/>
  <c r="S543" i="2"/>
  <c r="U543" i="2"/>
  <c r="U539" i="2"/>
  <c r="S539" i="2"/>
  <c r="U535" i="2"/>
  <c r="S535" i="2"/>
  <c r="U531" i="2"/>
  <c r="S531" i="2"/>
  <c r="U526" i="2"/>
  <c r="S526" i="2"/>
  <c r="U520" i="2"/>
  <c r="S520" i="2"/>
  <c r="U516" i="2"/>
  <c r="S516" i="2"/>
  <c r="U512" i="2"/>
  <c r="S512" i="2"/>
  <c r="U508" i="2"/>
  <c r="S508" i="2"/>
  <c r="U504" i="2"/>
  <c r="S504" i="2"/>
  <c r="U500" i="2"/>
  <c r="S500" i="2"/>
  <c r="U496" i="2"/>
  <c r="S496" i="2"/>
  <c r="U492" i="2"/>
  <c r="S492" i="2"/>
  <c r="U488" i="2"/>
  <c r="S488" i="2"/>
  <c r="U484" i="2"/>
  <c r="S484" i="2"/>
  <c r="U480" i="2"/>
  <c r="S480" i="2"/>
  <c r="U476" i="2"/>
  <c r="S476" i="2"/>
  <c r="S473" i="2"/>
  <c r="U473" i="2"/>
  <c r="U469" i="2"/>
  <c r="S469" i="2"/>
  <c r="U465" i="2"/>
  <c r="S465" i="2"/>
  <c r="U461" i="2"/>
  <c r="S461" i="2"/>
  <c r="U453" i="2"/>
  <c r="S453" i="2"/>
  <c r="U448" i="2"/>
  <c r="S448" i="2"/>
  <c r="U440" i="2"/>
  <c r="S440" i="2"/>
  <c r="U457" i="2"/>
  <c r="S457" i="2"/>
  <c r="U432" i="2"/>
  <c r="S432" i="2"/>
  <c r="U446" i="2"/>
  <c r="S446" i="2"/>
  <c r="U430" i="2"/>
  <c r="S430" i="2"/>
  <c r="U425" i="2"/>
  <c r="S425" i="2"/>
  <c r="U418" i="2"/>
  <c r="S418" i="2"/>
  <c r="U411" i="2"/>
  <c r="S411" i="2"/>
  <c r="U407" i="2"/>
  <c r="S407" i="2"/>
  <c r="U403" i="2"/>
  <c r="S403" i="2"/>
  <c r="U399" i="2"/>
  <c r="S399" i="2"/>
  <c r="U395" i="2"/>
  <c r="S395" i="2"/>
  <c r="U391" i="2"/>
  <c r="S391" i="2"/>
  <c r="U387" i="2"/>
  <c r="S387" i="2"/>
  <c r="U381" i="2"/>
  <c r="S381" i="2"/>
  <c r="U377" i="2"/>
  <c r="S377" i="2"/>
  <c r="U371" i="2"/>
  <c r="S371" i="2"/>
  <c r="U365" i="2"/>
  <c r="S365" i="2"/>
  <c r="U361" i="2"/>
  <c r="S361" i="2"/>
  <c r="U355" i="2"/>
  <c r="S355" i="2"/>
  <c r="U351" i="2"/>
  <c r="S351" i="2"/>
  <c r="U347" i="2"/>
  <c r="S347" i="2"/>
  <c r="U343" i="2"/>
  <c r="S343" i="2"/>
  <c r="U339" i="2"/>
  <c r="S339" i="2"/>
  <c r="U335" i="2"/>
  <c r="S335" i="2"/>
  <c r="U331" i="2"/>
  <c r="S331" i="2"/>
  <c r="U328" i="2"/>
  <c r="S328" i="2"/>
  <c r="U324" i="2"/>
  <c r="S324" i="2"/>
  <c r="U320" i="2"/>
  <c r="S320" i="2"/>
  <c r="U316" i="2"/>
  <c r="S316" i="2"/>
  <c r="U312" i="2"/>
  <c r="S312" i="2"/>
  <c r="U307" i="2"/>
  <c r="S307" i="2"/>
  <c r="U302" i="2"/>
  <c r="S302" i="2"/>
  <c r="U298" i="2"/>
  <c r="S298" i="2"/>
  <c r="U294" i="2"/>
  <c r="S294" i="2"/>
  <c r="U290" i="2"/>
  <c r="S290" i="2"/>
  <c r="U286" i="2"/>
  <c r="S286" i="2"/>
  <c r="U282" i="2"/>
  <c r="S282" i="2"/>
  <c r="U278" i="2"/>
  <c r="S278" i="2"/>
  <c r="U274" i="2"/>
  <c r="S274" i="2"/>
  <c r="U270" i="2"/>
  <c r="S270" i="2"/>
  <c r="U266" i="2"/>
  <c r="S266" i="2"/>
  <c r="U262" i="2"/>
  <c r="S262" i="2"/>
  <c r="U258" i="2"/>
  <c r="S258" i="2"/>
  <c r="U253" i="2"/>
  <c r="S253" i="2"/>
  <c r="U249" i="2"/>
  <c r="S249" i="2"/>
  <c r="U245" i="2"/>
  <c r="S245" i="2"/>
  <c r="U241" i="2"/>
  <c r="S241" i="2"/>
  <c r="S237" i="2"/>
  <c r="U237" i="2"/>
  <c r="U233" i="2"/>
  <c r="S233" i="2"/>
  <c r="U229" i="2"/>
  <c r="S229" i="2"/>
  <c r="U225" i="2"/>
  <c r="S225" i="2"/>
  <c r="U220" i="2"/>
  <c r="S220" i="2"/>
  <c r="U216" i="2"/>
  <c r="S216" i="2"/>
  <c r="U212" i="2"/>
  <c r="S212" i="2"/>
  <c r="U208" i="2"/>
  <c r="S208" i="2"/>
  <c r="U204" i="2"/>
  <c r="S204" i="2"/>
  <c r="U200" i="2"/>
  <c r="S200" i="2"/>
  <c r="U196" i="2"/>
  <c r="S196" i="2"/>
  <c r="U192" i="2"/>
  <c r="S192" i="2"/>
  <c r="U188" i="2"/>
  <c r="S188" i="2"/>
  <c r="U184" i="2"/>
  <c r="S184" i="2"/>
  <c r="U180" i="2"/>
  <c r="S180" i="2"/>
  <c r="U176" i="2"/>
  <c r="S176" i="2"/>
  <c r="U172" i="2"/>
  <c r="S172" i="2"/>
  <c r="U168" i="2"/>
  <c r="S168" i="2"/>
  <c r="U164" i="2"/>
  <c r="S164" i="2"/>
  <c r="U160" i="2"/>
  <c r="S160" i="2"/>
  <c r="U156" i="2"/>
  <c r="S156" i="2"/>
  <c r="U152" i="2"/>
  <c r="S152" i="2"/>
  <c r="U148" i="2"/>
  <c r="S148" i="2"/>
  <c r="U142" i="2"/>
  <c r="S142" i="2"/>
  <c r="U137" i="2"/>
  <c r="S137" i="2"/>
  <c r="S132" i="2"/>
  <c r="U132" i="2"/>
  <c r="U127" i="2"/>
  <c r="S127" i="2"/>
  <c r="U123" i="2"/>
  <c r="S123" i="2"/>
  <c r="U119" i="2"/>
  <c r="S119" i="2"/>
  <c r="U115" i="2"/>
  <c r="S115" i="2"/>
  <c r="U111" i="2"/>
  <c r="S111" i="2"/>
  <c r="U107" i="2"/>
  <c r="S107" i="2"/>
  <c r="U100" i="2"/>
  <c r="S100" i="2"/>
  <c r="U96" i="2"/>
  <c r="S96" i="2"/>
  <c r="U92" i="2"/>
  <c r="S92" i="2"/>
  <c r="U88" i="2"/>
  <c r="S88" i="2"/>
  <c r="U83" i="2"/>
  <c r="S83" i="2"/>
  <c r="U77" i="2"/>
  <c r="S77" i="2"/>
  <c r="U73" i="2"/>
  <c r="S73" i="2"/>
  <c r="U68" i="2"/>
  <c r="S68" i="2"/>
  <c r="U63" i="2"/>
  <c r="S63" i="2"/>
  <c r="U59" i="2"/>
  <c r="S59" i="2"/>
  <c r="U54" i="2"/>
  <c r="S54" i="2"/>
  <c r="U50" i="2"/>
  <c r="S50" i="2"/>
  <c r="U44" i="2"/>
  <c r="S44" i="2"/>
  <c r="U40" i="2"/>
  <c r="S40" i="2"/>
  <c r="U35" i="2"/>
  <c r="S35" i="2"/>
  <c r="U31" i="2"/>
  <c r="S31" i="2"/>
  <c r="U25" i="2"/>
  <c r="S25" i="2"/>
  <c r="U21" i="2"/>
  <c r="S21" i="2"/>
  <c r="U17" i="2"/>
  <c r="S17" i="2"/>
  <c r="U14" i="2"/>
  <c r="S14" i="2"/>
  <c r="U10" i="2"/>
  <c r="S10" i="2"/>
  <c r="U6" i="2"/>
  <c r="S6" i="2"/>
  <c r="U34" i="2"/>
  <c r="S34" i="2"/>
  <c r="U29" i="2"/>
  <c r="S29" i="2"/>
  <c r="U24" i="2"/>
  <c r="S24" i="2"/>
  <c r="U20" i="2"/>
  <c r="S20" i="2"/>
  <c r="U16" i="2"/>
  <c r="S16" i="2"/>
  <c r="U13" i="2"/>
  <c r="S13" i="2"/>
  <c r="U9" i="2"/>
  <c r="S9" i="2"/>
  <c r="U5" i="2"/>
  <c r="S5" i="2"/>
  <c r="U103" i="2"/>
  <c r="S103" i="2"/>
  <c r="U99" i="2"/>
  <c r="S99" i="2"/>
  <c r="U87" i="2"/>
  <c r="S87" i="2"/>
  <c r="U72" i="2"/>
  <c r="S72" i="2"/>
  <c r="U62" i="2"/>
  <c r="S62" i="2"/>
  <c r="U58" i="2"/>
  <c r="S58" i="2"/>
  <c r="U53" i="2"/>
  <c r="S53" i="2"/>
  <c r="U49" i="2"/>
  <c r="S49" i="2"/>
  <c r="U43" i="2"/>
  <c r="S43" i="2"/>
  <c r="U39" i="2"/>
  <c r="S39" i="2"/>
  <c r="U1161" i="2"/>
  <c r="S1161" i="2"/>
  <c r="T1161" i="2" s="1"/>
  <c r="U1157" i="2"/>
  <c r="S1157" i="2"/>
  <c r="T1157" i="2" s="1"/>
  <c r="U1153" i="2"/>
  <c r="S1153" i="2"/>
  <c r="T1153" i="2" s="1"/>
  <c r="U1149" i="2"/>
  <c r="S1149" i="2"/>
  <c r="T1149" i="2" s="1"/>
  <c r="S1144" i="2"/>
  <c r="T1144" i="2" s="1"/>
  <c r="U1144" i="2"/>
  <c r="S1140" i="2"/>
  <c r="T1140" i="2" s="1"/>
  <c r="U1140" i="2"/>
  <c r="S1136" i="2"/>
  <c r="T1136" i="2" s="1"/>
  <c r="U1136" i="2"/>
  <c r="S1132" i="2"/>
  <c r="T1132" i="2" s="1"/>
  <c r="U1132" i="2"/>
  <c r="U1128" i="2"/>
  <c r="S1128" i="2"/>
  <c r="T1128" i="2" s="1"/>
  <c r="U1121" i="2"/>
  <c r="S1121" i="2"/>
  <c r="T1121" i="2" s="1"/>
  <c r="S1117" i="2"/>
  <c r="T1117" i="2" s="1"/>
  <c r="U1117" i="2"/>
  <c r="U1113" i="2"/>
  <c r="S1113" i="2"/>
  <c r="T1113" i="2" s="1"/>
  <c r="S1109" i="2"/>
  <c r="T1109" i="2" s="1"/>
  <c r="U1109" i="2"/>
  <c r="U1105" i="2"/>
  <c r="S1105" i="2"/>
  <c r="T1105" i="2" s="1"/>
  <c r="S1101" i="2"/>
  <c r="T1101" i="2" s="1"/>
  <c r="U1101" i="2"/>
  <c r="U1097" i="2"/>
  <c r="S1097" i="2"/>
  <c r="T1097" i="2" s="1"/>
  <c r="S1093" i="2"/>
  <c r="T1093" i="2" s="1"/>
  <c r="U1093" i="2"/>
  <c r="U1089" i="2"/>
  <c r="S1089" i="2"/>
  <c r="T1089" i="2" s="1"/>
  <c r="S1085" i="2"/>
  <c r="T1085" i="2" s="1"/>
  <c r="U1085" i="2"/>
  <c r="U1081" i="2"/>
  <c r="S1081" i="2"/>
  <c r="T1081" i="2" s="1"/>
  <c r="S1077" i="2"/>
  <c r="T1077" i="2" s="1"/>
  <c r="U1077" i="2"/>
  <c r="U1073" i="2"/>
  <c r="S1073" i="2"/>
  <c r="T1073" i="2" s="1"/>
  <c r="S1069" i="2"/>
  <c r="T1069" i="2" s="1"/>
  <c r="U1069" i="2"/>
  <c r="U1065" i="2"/>
  <c r="S1065" i="2"/>
  <c r="T1065" i="2" s="1"/>
  <c r="U1060" i="2"/>
  <c r="S1060" i="2"/>
  <c r="T1060" i="2" s="1"/>
  <c r="U1055" i="2"/>
  <c r="S1055" i="2"/>
  <c r="T1055" i="2" s="1"/>
  <c r="U1050" i="2"/>
  <c r="S1050" i="2"/>
  <c r="T1050" i="2" s="1"/>
  <c r="U1047" i="2"/>
  <c r="S1047" i="2"/>
  <c r="T1047" i="2" s="1"/>
  <c r="U1043" i="2"/>
  <c r="S1043" i="2"/>
  <c r="T1043" i="2" s="1"/>
  <c r="U1039" i="2"/>
  <c r="S1039" i="2"/>
  <c r="T1039" i="2" s="1"/>
  <c r="U1035" i="2"/>
  <c r="S1035" i="2"/>
  <c r="T1035" i="2" s="1"/>
  <c r="U1031" i="2"/>
  <c r="S1031" i="2"/>
  <c r="T1031" i="2" s="1"/>
  <c r="U1026" i="2"/>
  <c r="S1026" i="2"/>
  <c r="T1026" i="2" s="1"/>
  <c r="U1022" i="2"/>
  <c r="S1022" i="2"/>
  <c r="T1022" i="2" s="1"/>
  <c r="U1018" i="2"/>
  <c r="S1018" i="2"/>
  <c r="T1018" i="2" s="1"/>
  <c r="U1014" i="2"/>
  <c r="S1014" i="2"/>
  <c r="T1014" i="2" s="1"/>
  <c r="U1010" i="2"/>
  <c r="S1010" i="2"/>
  <c r="T1010" i="2" s="1"/>
  <c r="U1006" i="2"/>
  <c r="S1006" i="2"/>
  <c r="T1006" i="2" s="1"/>
  <c r="U1001" i="2"/>
  <c r="S1001" i="2"/>
  <c r="T1001" i="2" s="1"/>
  <c r="U997" i="2"/>
  <c r="S997" i="2"/>
  <c r="T997" i="2" s="1"/>
  <c r="U993" i="2"/>
  <c r="S993" i="2"/>
  <c r="T993" i="2" s="1"/>
  <c r="U989" i="2"/>
  <c r="S989" i="2"/>
  <c r="T989" i="2" s="1"/>
  <c r="S984" i="2"/>
  <c r="T984" i="2" s="1"/>
  <c r="U984" i="2"/>
  <c r="U979" i="2"/>
  <c r="S979" i="2"/>
  <c r="T979" i="2" s="1"/>
  <c r="U975" i="2"/>
  <c r="S975" i="2"/>
  <c r="T975" i="2" s="1"/>
  <c r="U971" i="2"/>
  <c r="S971" i="2"/>
  <c r="T971" i="2" s="1"/>
  <c r="U967" i="2"/>
  <c r="S967" i="2"/>
  <c r="T967" i="2" s="1"/>
  <c r="U963" i="2"/>
  <c r="S963" i="2"/>
  <c r="T963" i="2" s="1"/>
  <c r="U959" i="2"/>
  <c r="S959" i="2"/>
  <c r="T959" i="2" s="1"/>
  <c r="U955" i="2"/>
  <c r="S955" i="2"/>
  <c r="T955" i="2" s="1"/>
  <c r="U951" i="2"/>
  <c r="S951" i="2"/>
  <c r="T951" i="2" s="1"/>
  <c r="U947" i="2"/>
  <c r="S947" i="2"/>
  <c r="T947" i="2" s="1"/>
  <c r="U940" i="2"/>
  <c r="S940" i="2"/>
  <c r="T940" i="2" s="1"/>
  <c r="U936" i="2"/>
  <c r="S936" i="2"/>
  <c r="T936" i="2" s="1"/>
  <c r="U932" i="2"/>
  <c r="S932" i="2"/>
  <c r="T932" i="2" s="1"/>
  <c r="U928" i="2"/>
  <c r="S928" i="2"/>
  <c r="T928" i="2" s="1"/>
  <c r="U924" i="2"/>
  <c r="S924" i="2"/>
  <c r="T924" i="2" s="1"/>
  <c r="U920" i="2"/>
  <c r="S920" i="2"/>
  <c r="T920" i="2" s="1"/>
  <c r="U916" i="2"/>
  <c r="S916" i="2"/>
  <c r="T916" i="2" s="1"/>
  <c r="U912" i="2"/>
  <c r="S912" i="2"/>
  <c r="T912" i="2" s="1"/>
  <c r="U908" i="2"/>
  <c r="S908" i="2"/>
  <c r="T908" i="2" s="1"/>
  <c r="U904" i="2"/>
  <c r="S904" i="2"/>
  <c r="T904" i="2" s="1"/>
  <c r="U900" i="2"/>
  <c r="S900" i="2"/>
  <c r="T900" i="2" s="1"/>
  <c r="U896" i="2"/>
  <c r="S896" i="2"/>
  <c r="T896" i="2" s="1"/>
  <c r="U893" i="2"/>
  <c r="S893" i="2"/>
  <c r="T893" i="2" s="1"/>
  <c r="U889" i="2"/>
  <c r="S889" i="2"/>
  <c r="T889" i="2" s="1"/>
  <c r="U885" i="2"/>
  <c r="S885" i="2"/>
  <c r="T885" i="2" s="1"/>
  <c r="U880" i="2"/>
  <c r="S880" i="2"/>
  <c r="T880" i="2" s="1"/>
  <c r="U875" i="2"/>
  <c r="S875" i="2"/>
  <c r="T875" i="2" s="1"/>
  <c r="U871" i="2"/>
  <c r="S871" i="2"/>
  <c r="T871" i="2" s="1"/>
  <c r="U867" i="2"/>
  <c r="S867" i="2"/>
  <c r="T867" i="2" s="1"/>
  <c r="U863" i="2"/>
  <c r="S863" i="2"/>
  <c r="T863" i="2" s="1"/>
  <c r="U859" i="2"/>
  <c r="S859" i="2"/>
  <c r="T859" i="2" s="1"/>
  <c r="U855" i="2"/>
  <c r="S855" i="2"/>
  <c r="T855" i="2" s="1"/>
  <c r="U851" i="2"/>
  <c r="S851" i="2"/>
  <c r="T851" i="2" s="1"/>
  <c r="U847" i="2"/>
  <c r="S847" i="2"/>
  <c r="T847" i="2" s="1"/>
  <c r="U839" i="2"/>
  <c r="S839" i="2"/>
  <c r="T839" i="2" s="1"/>
  <c r="U835" i="2"/>
  <c r="S835" i="2"/>
  <c r="T835" i="2" s="1"/>
  <c r="U831" i="2"/>
  <c r="S831" i="2"/>
  <c r="U827" i="2"/>
  <c r="S827" i="2"/>
  <c r="U823" i="2"/>
  <c r="S823" i="2"/>
  <c r="U819" i="2"/>
  <c r="S819" i="2"/>
  <c r="U815" i="2"/>
  <c r="S815" i="2"/>
  <c r="U811" i="2"/>
  <c r="S811" i="2"/>
  <c r="U807" i="2"/>
  <c r="S807" i="2"/>
  <c r="U803" i="2"/>
  <c r="S803" i="2"/>
  <c r="U799" i="2"/>
  <c r="S799" i="2"/>
  <c r="U795" i="2"/>
  <c r="S795" i="2"/>
  <c r="U790" i="2"/>
  <c r="S790" i="2"/>
  <c r="T790" i="2" s="1"/>
  <c r="U786" i="2"/>
  <c r="S786" i="2"/>
  <c r="U782" i="2"/>
  <c r="S782" i="2"/>
  <c r="U778" i="2"/>
  <c r="S778" i="2"/>
  <c r="U770" i="2"/>
  <c r="S770" i="2"/>
  <c r="U765" i="2"/>
  <c r="S765" i="2"/>
  <c r="U761" i="2"/>
  <c r="S761" i="2"/>
  <c r="U756" i="2"/>
  <c r="S756" i="2"/>
  <c r="S749" i="2"/>
  <c r="U749" i="2"/>
  <c r="U745" i="2"/>
  <c r="S745" i="2"/>
  <c r="U741" i="2"/>
  <c r="S741" i="2"/>
  <c r="U737" i="2"/>
  <c r="S737" i="2"/>
  <c r="U733" i="2"/>
  <c r="S733" i="2"/>
  <c r="U729" i="2"/>
  <c r="S729" i="2"/>
  <c r="U725" i="2"/>
  <c r="S725" i="2"/>
  <c r="U721" i="2"/>
  <c r="S721" i="2"/>
  <c r="U717" i="2"/>
  <c r="S717" i="2"/>
  <c r="U713" i="2"/>
  <c r="S713" i="2"/>
  <c r="U709" i="2"/>
  <c r="S709" i="2"/>
  <c r="U705" i="2"/>
  <c r="S705" i="2"/>
  <c r="U701" i="2"/>
  <c r="S701" i="2"/>
  <c r="U697" i="2"/>
  <c r="S697" i="2"/>
  <c r="U693" i="2"/>
  <c r="S693" i="2"/>
  <c r="U689" i="2"/>
  <c r="S689" i="2"/>
  <c r="U672" i="2"/>
  <c r="S672" i="2"/>
  <c r="S668" i="2"/>
  <c r="U668" i="2"/>
  <c r="U664" i="2"/>
  <c r="S664" i="2"/>
  <c r="U660" i="2"/>
  <c r="S660" i="2"/>
  <c r="U656" i="2"/>
  <c r="S656" i="2"/>
  <c r="U652" i="2"/>
  <c r="S652" i="2"/>
  <c r="U648" i="2"/>
  <c r="S648" i="2"/>
  <c r="U644" i="2"/>
  <c r="S644" i="2"/>
  <c r="U640" i="2"/>
  <c r="S640" i="2"/>
  <c r="S636" i="2"/>
  <c r="U636" i="2"/>
  <c r="U632" i="2"/>
  <c r="S632" i="2"/>
  <c r="U628" i="2"/>
  <c r="S628" i="2"/>
  <c r="U624" i="2"/>
  <c r="S624" i="2"/>
  <c r="S620" i="2"/>
  <c r="U620" i="2"/>
  <c r="U616" i="2"/>
  <c r="S616" i="2"/>
  <c r="U612" i="2"/>
  <c r="S612" i="2"/>
  <c r="U609" i="2"/>
  <c r="S609" i="2"/>
  <c r="S605" i="2"/>
  <c r="U605" i="2"/>
  <c r="U601" i="2"/>
  <c r="S601" i="2"/>
  <c r="U597" i="2"/>
  <c r="S597" i="2"/>
  <c r="U593" i="2"/>
  <c r="S593" i="2"/>
  <c r="U589" i="2"/>
  <c r="S589" i="2"/>
  <c r="U585" i="2"/>
  <c r="S585" i="2"/>
  <c r="U581" i="2"/>
  <c r="S581" i="2"/>
  <c r="U577" i="2"/>
  <c r="S577" i="2"/>
  <c r="S573" i="2"/>
  <c r="U573" i="2"/>
  <c r="U568" i="2"/>
  <c r="S568" i="2"/>
  <c r="U565" i="2"/>
  <c r="S565" i="2"/>
  <c r="U561" i="2"/>
  <c r="S561" i="2"/>
  <c r="U557" i="2"/>
  <c r="S557" i="2"/>
  <c r="U553" i="2"/>
  <c r="S553" i="2"/>
  <c r="U549" i="2"/>
  <c r="S549" i="2"/>
  <c r="U545" i="2"/>
  <c r="S545" i="2"/>
  <c r="U541" i="2"/>
  <c r="S541" i="2"/>
  <c r="U537" i="2"/>
  <c r="S537" i="2"/>
  <c r="U533" i="2"/>
  <c r="S533" i="2"/>
  <c r="U528" i="2"/>
  <c r="S528" i="2"/>
  <c r="U522" i="2"/>
  <c r="S522" i="2"/>
  <c r="U518" i="2"/>
  <c r="S518" i="2"/>
  <c r="S514" i="2"/>
  <c r="U514" i="2"/>
  <c r="U510" i="2"/>
  <c r="S510" i="2"/>
  <c r="U506" i="2"/>
  <c r="S506" i="2"/>
  <c r="U502" i="2"/>
  <c r="S502" i="2"/>
  <c r="U498" i="2"/>
  <c r="S498" i="2"/>
  <c r="U494" i="2"/>
  <c r="S494" i="2"/>
  <c r="U490" i="2"/>
  <c r="S490" i="2"/>
  <c r="U486" i="2"/>
  <c r="S486" i="2"/>
  <c r="U482" i="2"/>
  <c r="S482" i="2"/>
  <c r="U478" i="2"/>
  <c r="S478" i="2"/>
  <c r="U475" i="2"/>
  <c r="S475" i="2"/>
  <c r="U471" i="2"/>
  <c r="S471" i="2"/>
  <c r="U467" i="2"/>
  <c r="S467" i="2"/>
  <c r="U463" i="2"/>
  <c r="S463" i="2"/>
  <c r="U456" i="2"/>
  <c r="S456" i="2"/>
  <c r="U452" i="2"/>
  <c r="S452" i="2"/>
  <c r="U443" i="2"/>
  <c r="S443" i="2"/>
  <c r="U436" i="2"/>
  <c r="S436" i="2"/>
  <c r="U433" i="2"/>
  <c r="S433" i="2"/>
  <c r="U438" i="2"/>
  <c r="S438" i="2"/>
  <c r="U444" i="2"/>
  <c r="S444" i="2"/>
  <c r="U450" i="2"/>
  <c r="S450" i="2"/>
  <c r="U428" i="2"/>
  <c r="S428" i="2"/>
  <c r="U423" i="2"/>
  <c r="S423" i="2"/>
  <c r="U420" i="2"/>
  <c r="S420" i="2"/>
  <c r="U416" i="2"/>
  <c r="S416" i="2"/>
  <c r="U413" i="2"/>
  <c r="S413" i="2"/>
  <c r="U409" i="2"/>
  <c r="S409" i="2"/>
  <c r="U405" i="2"/>
  <c r="S405" i="2"/>
  <c r="U402" i="2"/>
  <c r="S402" i="2"/>
  <c r="U397" i="2"/>
  <c r="S397" i="2"/>
  <c r="U393" i="2"/>
  <c r="S393" i="2"/>
  <c r="U389" i="2"/>
  <c r="S389" i="2"/>
  <c r="U384" i="2"/>
  <c r="S384" i="2"/>
  <c r="U379" i="2"/>
  <c r="S379" i="2"/>
  <c r="U375" i="2"/>
  <c r="S375" i="2"/>
  <c r="U367" i="2"/>
  <c r="S367" i="2"/>
  <c r="U363" i="2"/>
  <c r="S363" i="2"/>
  <c r="U358" i="2"/>
  <c r="S358" i="2"/>
  <c r="U353" i="2"/>
  <c r="S353" i="2"/>
  <c r="U349" i="2"/>
  <c r="S349" i="2"/>
  <c r="U345" i="2"/>
  <c r="S345" i="2"/>
  <c r="U341" i="2"/>
  <c r="S341" i="2"/>
  <c r="U337" i="2"/>
  <c r="S337" i="2"/>
  <c r="U333" i="2"/>
  <c r="S333" i="2"/>
  <c r="U329" i="2"/>
  <c r="S329" i="2"/>
  <c r="U326" i="2"/>
  <c r="S326" i="2"/>
  <c r="S322" i="2"/>
  <c r="U322" i="2"/>
  <c r="U318" i="2"/>
  <c r="S318" i="2"/>
  <c r="U314" i="2"/>
  <c r="S314" i="2"/>
  <c r="U310" i="2"/>
  <c r="S310" i="2"/>
  <c r="U304" i="2"/>
  <c r="S304" i="2"/>
  <c r="U300" i="2"/>
  <c r="S300" i="2"/>
  <c r="U296" i="2"/>
  <c r="S296" i="2"/>
  <c r="U292" i="2"/>
  <c r="S292" i="2"/>
  <c r="U288" i="2"/>
  <c r="S288" i="2"/>
  <c r="U284" i="2"/>
  <c r="S284" i="2"/>
  <c r="U280" i="2"/>
  <c r="S280" i="2"/>
  <c r="U276" i="2"/>
  <c r="S276" i="2"/>
  <c r="U272" i="2"/>
  <c r="S272" i="2"/>
  <c r="U268" i="2"/>
  <c r="S268" i="2"/>
  <c r="U264" i="2"/>
  <c r="S264" i="2"/>
  <c r="U260" i="2"/>
  <c r="S260" i="2"/>
  <c r="U256" i="2"/>
  <c r="S256" i="2"/>
  <c r="U251" i="2"/>
  <c r="S251" i="2"/>
  <c r="U247" i="2"/>
  <c r="S247" i="2"/>
  <c r="U243" i="2"/>
  <c r="S243" i="2"/>
  <c r="U239" i="2"/>
  <c r="S239" i="2"/>
  <c r="U235" i="2"/>
  <c r="S235" i="2"/>
  <c r="U231" i="2"/>
  <c r="S231" i="2"/>
  <c r="U227" i="2"/>
  <c r="S227" i="2"/>
  <c r="U223" i="2"/>
  <c r="S223" i="2"/>
  <c r="U218" i="2"/>
  <c r="S218" i="2"/>
  <c r="U214" i="2"/>
  <c r="S214" i="2"/>
  <c r="U210" i="2"/>
  <c r="S210" i="2"/>
  <c r="U206" i="2"/>
  <c r="S206" i="2"/>
  <c r="U202" i="2"/>
  <c r="S202" i="2"/>
  <c r="U198" i="2"/>
  <c r="S198" i="2"/>
  <c r="U194" i="2"/>
  <c r="S194" i="2"/>
  <c r="U190" i="2"/>
  <c r="S190" i="2"/>
  <c r="U186" i="2"/>
  <c r="S186" i="2"/>
  <c r="U182" i="2"/>
  <c r="S182" i="2"/>
  <c r="U178" i="2"/>
  <c r="S178" i="2"/>
  <c r="U174" i="2"/>
  <c r="S174" i="2"/>
  <c r="U170" i="2"/>
  <c r="S170" i="2"/>
  <c r="U166" i="2"/>
  <c r="S166" i="2"/>
  <c r="U162" i="2"/>
  <c r="S162" i="2"/>
  <c r="U158" i="2"/>
  <c r="S158" i="2"/>
  <c r="U154" i="2"/>
  <c r="S154" i="2"/>
  <c r="U150" i="2"/>
  <c r="S150" i="2"/>
  <c r="U146" i="2"/>
  <c r="S146" i="2"/>
  <c r="U139" i="2"/>
  <c r="S139" i="2"/>
  <c r="U134" i="2"/>
  <c r="S134" i="2"/>
  <c r="U129" i="2"/>
  <c r="S129" i="2"/>
  <c r="U125" i="2"/>
  <c r="S125" i="2"/>
  <c r="U121" i="2"/>
  <c r="S121" i="2"/>
  <c r="U117" i="2"/>
  <c r="S117" i="2"/>
  <c r="U113" i="2"/>
  <c r="S113" i="2"/>
  <c r="U109" i="2"/>
  <c r="S109" i="2"/>
  <c r="U105" i="2"/>
  <c r="S105" i="2"/>
  <c r="U102" i="2"/>
  <c r="S102" i="2"/>
  <c r="U98" i="2"/>
  <c r="S98" i="2"/>
  <c r="U94" i="2"/>
  <c r="S94" i="2"/>
  <c r="U90" i="2"/>
  <c r="S90" i="2"/>
  <c r="U85" i="2"/>
  <c r="S85" i="2"/>
  <c r="U79" i="2"/>
  <c r="S79" i="2"/>
  <c r="U75" i="2"/>
  <c r="S75" i="2"/>
  <c r="U70" i="2"/>
  <c r="S70" i="2"/>
  <c r="U66" i="2"/>
  <c r="S66" i="2"/>
  <c r="U61" i="2"/>
  <c r="S61" i="2"/>
  <c r="U57" i="2"/>
  <c r="S57" i="2"/>
  <c r="U52" i="2"/>
  <c r="S52" i="2"/>
  <c r="U46" i="2"/>
  <c r="S46" i="2"/>
  <c r="U42" i="2"/>
  <c r="S42" i="2"/>
  <c r="U38" i="2"/>
  <c r="S38" i="2"/>
  <c r="U33" i="2"/>
  <c r="S33" i="2"/>
  <c r="U27" i="2"/>
  <c r="S27" i="2"/>
  <c r="U23" i="2"/>
  <c r="S23" i="2"/>
  <c r="U19" i="2"/>
  <c r="S19" i="2"/>
  <c r="U12" i="2"/>
  <c r="S12" i="2"/>
  <c r="U8" i="2"/>
  <c r="S8" i="2"/>
  <c r="U4" i="2"/>
  <c r="S4" i="2"/>
  <c r="U114" i="2"/>
  <c r="S114" i="2"/>
  <c r="AT13" i="42"/>
  <c r="AR13" i="42"/>
  <c r="AS13" i="42" s="1"/>
  <c r="N13" i="42" s="1"/>
  <c r="AU13" i="42"/>
  <c r="J3" i="2"/>
  <c r="I3" i="2"/>
  <c r="H3" i="2"/>
  <c r="G2" i="29"/>
  <c r="BC13" i="42"/>
  <c r="AY13" i="42"/>
  <c r="AZ13" i="42" s="1"/>
  <c r="L13" i="42" s="1"/>
  <c r="R1149" i="2"/>
  <c r="R1132" i="2"/>
  <c r="R1105" i="2"/>
  <c r="R1097" i="2"/>
  <c r="R1073" i="2"/>
  <c r="R1060" i="2"/>
  <c r="R1039" i="2"/>
  <c r="R1018" i="2"/>
  <c r="R1010" i="2"/>
  <c r="R989" i="2"/>
  <c r="R979" i="2"/>
  <c r="R971" i="2"/>
  <c r="R955" i="2"/>
  <c r="R936" i="2"/>
  <c r="R924" i="2"/>
  <c r="R916" i="2"/>
  <c r="R893" i="2"/>
  <c r="R867" i="2"/>
  <c r="R859" i="2"/>
  <c r="R839" i="2"/>
  <c r="R815" i="2"/>
  <c r="R790" i="2"/>
  <c r="R737" i="2"/>
  <c r="R729" i="2"/>
  <c r="R721" i="2"/>
  <c r="R705" i="2"/>
  <c r="R1163" i="2"/>
  <c r="R1159" i="2"/>
  <c r="R1155" i="2"/>
  <c r="R1151" i="2"/>
  <c r="R1147" i="2"/>
  <c r="R1142" i="2"/>
  <c r="R1138" i="2"/>
  <c r="R1134" i="2"/>
  <c r="R1130" i="2"/>
  <c r="R1126" i="2"/>
  <c r="R1123" i="2"/>
  <c r="R1119" i="2"/>
  <c r="R1115" i="2"/>
  <c r="R1111" i="2"/>
  <c r="R1107" i="2"/>
  <c r="R1103" i="2"/>
  <c r="R1099" i="2"/>
  <c r="R1095" i="2"/>
  <c r="R1091" i="2"/>
  <c r="R1087" i="2"/>
  <c r="R1083" i="2"/>
  <c r="R1079" i="2"/>
  <c r="R1075" i="2"/>
  <c r="R1071" i="2"/>
  <c r="R1067" i="2"/>
  <c r="R1063" i="2"/>
  <c r="R1058" i="2"/>
  <c r="R1053" i="2"/>
  <c r="R1041" i="2"/>
  <c r="R1037" i="2"/>
  <c r="R1033" i="2"/>
  <c r="R1029" i="2"/>
  <c r="R1024" i="2"/>
  <c r="R1020" i="2"/>
  <c r="R1016" i="2"/>
  <c r="R1012" i="2"/>
  <c r="R1008" i="2"/>
  <c r="R1004" i="2"/>
  <c r="R999" i="2"/>
  <c r="R995" i="2"/>
  <c r="R991" i="2"/>
  <c r="R986" i="2"/>
  <c r="R981" i="2"/>
  <c r="R977" i="2"/>
  <c r="R973" i="2"/>
  <c r="R969" i="2"/>
  <c r="R965" i="2"/>
  <c r="R961" i="2"/>
  <c r="R957" i="2"/>
  <c r="R953" i="2"/>
  <c r="R949" i="2"/>
  <c r="R945" i="2"/>
  <c r="R942" i="2"/>
  <c r="R938" i="2"/>
  <c r="R934" i="2"/>
  <c r="R930" i="2"/>
  <c r="R926" i="2"/>
  <c r="R922" i="2"/>
  <c r="R918" i="2"/>
  <c r="R914" i="2"/>
  <c r="R910" i="2"/>
  <c r="R906" i="2"/>
  <c r="R902" i="2"/>
  <c r="R898" i="2"/>
  <c r="R891" i="2"/>
  <c r="R887" i="2"/>
  <c r="R882" i="2"/>
  <c r="R877" i="2"/>
  <c r="R873" i="2"/>
  <c r="R869" i="2"/>
  <c r="R865" i="2"/>
  <c r="R861" i="2"/>
  <c r="R857" i="2"/>
  <c r="R853" i="2"/>
  <c r="R849" i="2"/>
  <c r="R845" i="2"/>
  <c r="R841" i="2"/>
  <c r="R837" i="2"/>
  <c r="R833" i="2"/>
  <c r="R829" i="2"/>
  <c r="R825" i="2"/>
  <c r="R821" i="2"/>
  <c r="R817" i="2"/>
  <c r="R813" i="2"/>
  <c r="R809" i="2"/>
  <c r="R805" i="2"/>
  <c r="R801" i="2"/>
  <c r="R797" i="2"/>
  <c r="R1153" i="2"/>
  <c r="R1144" i="2"/>
  <c r="R1117" i="2"/>
  <c r="R1113" i="2"/>
  <c r="R1093" i="2"/>
  <c r="R1077" i="2"/>
  <c r="R1043" i="2"/>
  <c r="R1035" i="2"/>
  <c r="R997" i="2"/>
  <c r="R963" i="2"/>
  <c r="R932" i="2"/>
  <c r="R908" i="2"/>
  <c r="R885" i="2"/>
  <c r="R831" i="2"/>
  <c r="R823" i="2"/>
  <c r="R819" i="2"/>
  <c r="R799" i="2"/>
  <c r="R786" i="2"/>
  <c r="R770" i="2"/>
  <c r="R765" i="2"/>
  <c r="R745" i="2"/>
  <c r="R733" i="2"/>
  <c r="R725" i="2"/>
  <c r="R717" i="2"/>
  <c r="R709" i="2"/>
  <c r="R1165" i="2"/>
  <c r="R1162" i="2"/>
  <c r="R1158" i="2"/>
  <c r="R1154" i="2"/>
  <c r="R1150" i="2"/>
  <c r="R1145" i="2"/>
  <c r="R1141" i="2"/>
  <c r="R1137" i="2"/>
  <c r="R1133" i="2"/>
  <c r="R1129" i="2"/>
  <c r="R1125" i="2"/>
  <c r="R1122" i="2"/>
  <c r="R1118" i="2"/>
  <c r="R1114" i="2"/>
  <c r="R1110" i="2"/>
  <c r="R1106" i="2"/>
  <c r="R1102" i="2"/>
  <c r="R1098" i="2"/>
  <c r="R1094" i="2"/>
  <c r="R1090" i="2"/>
  <c r="R1086" i="2"/>
  <c r="R1082" i="2"/>
  <c r="R1078" i="2"/>
  <c r="R1074" i="2"/>
  <c r="R1070" i="2"/>
  <c r="R1066" i="2"/>
  <c r="R1062" i="2"/>
  <c r="R1056" i="2"/>
  <c r="R1051" i="2"/>
  <c r="R1048" i="2"/>
  <c r="R1045" i="2"/>
  <c r="R1040" i="2"/>
  <c r="R1036" i="2"/>
  <c r="R1032" i="2"/>
  <c r="R1027" i="2"/>
  <c r="R1023" i="2"/>
  <c r="R1157" i="2"/>
  <c r="R1136" i="2"/>
  <c r="R1128" i="2"/>
  <c r="R1121" i="2"/>
  <c r="R1109" i="2"/>
  <c r="R1089" i="2"/>
  <c r="R1081" i="2"/>
  <c r="R1069" i="2"/>
  <c r="R1055" i="2"/>
  <c r="R1047" i="2"/>
  <c r="R1026" i="2"/>
  <c r="R1014" i="2"/>
  <c r="R1006" i="2"/>
  <c r="R993" i="2"/>
  <c r="R984" i="2"/>
  <c r="R959" i="2"/>
  <c r="R947" i="2"/>
  <c r="R940" i="2"/>
  <c r="R904" i="2"/>
  <c r="R871" i="2"/>
  <c r="R863" i="2"/>
  <c r="R851" i="2"/>
  <c r="R835" i="2"/>
  <c r="R811" i="2"/>
  <c r="R795" i="2"/>
  <c r="R778" i="2"/>
  <c r="R749" i="2"/>
  <c r="R713" i="2"/>
  <c r="R701" i="2"/>
  <c r="R697" i="2"/>
  <c r="R693" i="2"/>
  <c r="R689" i="2"/>
  <c r="R672" i="2"/>
  <c r="R668" i="2"/>
  <c r="R664" i="2"/>
  <c r="R660" i="2"/>
  <c r="R656" i="2"/>
  <c r="R652" i="2"/>
  <c r="R648" i="2"/>
  <c r="R644" i="2"/>
  <c r="R640" i="2"/>
  <c r="R636" i="2"/>
  <c r="R632" i="2"/>
  <c r="R628" i="2"/>
  <c r="R624" i="2"/>
  <c r="R620" i="2"/>
  <c r="R616" i="2"/>
  <c r="R612" i="2"/>
  <c r="R609" i="2"/>
  <c r="R605" i="2"/>
  <c r="R601" i="2"/>
  <c r="R597" i="2"/>
  <c r="R593" i="2"/>
  <c r="R589" i="2"/>
  <c r="R585" i="2"/>
  <c r="R581" i="2"/>
  <c r="R577" i="2"/>
  <c r="R573" i="2"/>
  <c r="R568" i="2"/>
  <c r="R565" i="2"/>
  <c r="R561" i="2"/>
  <c r="R557" i="2"/>
  <c r="R553" i="2"/>
  <c r="R549" i="2"/>
  <c r="R545" i="2"/>
  <c r="R541" i="2"/>
  <c r="R537" i="2"/>
  <c r="R533" i="2"/>
  <c r="R528" i="2"/>
  <c r="R522" i="2"/>
  <c r="R518" i="2"/>
  <c r="R514" i="2"/>
  <c r="R510" i="2"/>
  <c r="R506" i="2"/>
  <c r="R502" i="2"/>
  <c r="R498" i="2"/>
  <c r="R494" i="2"/>
  <c r="R490" i="2"/>
  <c r="R486" i="2"/>
  <c r="R482" i="2"/>
  <c r="R478" i="2"/>
  <c r="R475" i="2"/>
  <c r="R471" i="2"/>
  <c r="R467" i="2"/>
  <c r="R463" i="2"/>
  <c r="R456" i="2"/>
  <c r="R452" i="2"/>
  <c r="R443" i="2"/>
  <c r="R436" i="2"/>
  <c r="R433" i="2"/>
  <c r="R438" i="2"/>
  <c r="R444" i="2"/>
  <c r="R450" i="2"/>
  <c r="R428" i="2"/>
  <c r="R423" i="2"/>
  <c r="R420" i="2"/>
  <c r="R416" i="2"/>
  <c r="R413" i="2"/>
  <c r="R409" i="2"/>
  <c r="R405" i="2"/>
  <c r="R402" i="2"/>
  <c r="R397" i="2"/>
  <c r="R393" i="2"/>
  <c r="R389" i="2"/>
  <c r="R384" i="2"/>
  <c r="R379" i="2"/>
  <c r="R375" i="2"/>
  <c r="R367" i="2"/>
  <c r="R363" i="2"/>
  <c r="R358" i="2"/>
  <c r="R353" i="2"/>
  <c r="R349" i="2"/>
  <c r="R345" i="2"/>
  <c r="R341" i="2"/>
  <c r="R337" i="2"/>
  <c r="R333" i="2"/>
  <c r="R329" i="2"/>
  <c r="R326" i="2"/>
  <c r="R322" i="2"/>
  <c r="R318" i="2"/>
  <c r="R314" i="2"/>
  <c r="R310" i="2"/>
  <c r="R304" i="2"/>
  <c r="R300" i="2"/>
  <c r="R296" i="2"/>
  <c r="R292" i="2"/>
  <c r="R288" i="2"/>
  <c r="R284" i="2"/>
  <c r="R280" i="2"/>
  <c r="R276" i="2"/>
  <c r="R272" i="2"/>
  <c r="R268" i="2"/>
  <c r="R264" i="2"/>
  <c r="R260" i="2"/>
  <c r="R256" i="2"/>
  <c r="R251" i="2"/>
  <c r="R247" i="2"/>
  <c r="R243" i="2"/>
  <c r="R239" i="2"/>
  <c r="R235" i="2"/>
  <c r="R231" i="2"/>
  <c r="R227" i="2"/>
  <c r="R223" i="2"/>
  <c r="R218" i="2"/>
  <c r="R214" i="2"/>
  <c r="R210" i="2"/>
  <c r="R206" i="2"/>
  <c r="R202" i="2"/>
  <c r="R198" i="2"/>
  <c r="R194" i="2"/>
  <c r="R190" i="2"/>
  <c r="R1161" i="2"/>
  <c r="R1140" i="2"/>
  <c r="R1101" i="2"/>
  <c r="R1085" i="2"/>
  <c r="R1065" i="2"/>
  <c r="R1050" i="2"/>
  <c r="R1031" i="2"/>
  <c r="R1022" i="2"/>
  <c r="R1001" i="2"/>
  <c r="R975" i="2"/>
  <c r="R967" i="2"/>
  <c r="R951" i="2"/>
  <c r="R928" i="2"/>
  <c r="R920" i="2"/>
  <c r="R912" i="2"/>
  <c r="R900" i="2"/>
  <c r="R896" i="2"/>
  <c r="R889" i="2"/>
  <c r="R880" i="2"/>
  <c r="R875" i="2"/>
  <c r="R855" i="2"/>
  <c r="R847" i="2"/>
  <c r="R827" i="2"/>
  <c r="R807" i="2"/>
  <c r="R803" i="2"/>
  <c r="R782" i="2"/>
  <c r="R761" i="2"/>
  <c r="R756" i="2"/>
  <c r="R741" i="2"/>
  <c r="R1164" i="2"/>
  <c r="R1160" i="2"/>
  <c r="R1156" i="2"/>
  <c r="R1152" i="2"/>
  <c r="R1148" i="2"/>
  <c r="R1143" i="2"/>
  <c r="R1139" i="2"/>
  <c r="R1135" i="2"/>
  <c r="R1131" i="2"/>
  <c r="R1127" i="2"/>
  <c r="R1124" i="2"/>
  <c r="R1120" i="2"/>
  <c r="R1116" i="2"/>
  <c r="R1112" i="2"/>
  <c r="R1108" i="2"/>
  <c r="R1104" i="2"/>
  <c r="R1100" i="2"/>
  <c r="R1096" i="2"/>
  <c r="R1092" i="2"/>
  <c r="R1088" i="2"/>
  <c r="R1084" i="2"/>
  <c r="R1080" i="2"/>
  <c r="R1076" i="2"/>
  <c r="R1072" i="2"/>
  <c r="R1068" i="2"/>
  <c r="R1064" i="2"/>
  <c r="R1059" i="2"/>
  <c r="R1054" i="2"/>
  <c r="R1049" i="2"/>
  <c r="R1046" i="2"/>
  <c r="R1042" i="2"/>
  <c r="R1038" i="2"/>
  <c r="R1034" i="2"/>
  <c r="R1030" i="2"/>
  <c r="R1025" i="2"/>
  <c r="R1021" i="2"/>
  <c r="R1017" i="2"/>
  <c r="R1013" i="2"/>
  <c r="R1009" i="2"/>
  <c r="R1005" i="2"/>
  <c r="R1000" i="2"/>
  <c r="R996" i="2"/>
  <c r="R992" i="2"/>
  <c r="R987" i="2"/>
  <c r="R982" i="2"/>
  <c r="R978" i="2"/>
  <c r="R793" i="2"/>
  <c r="R788" i="2"/>
  <c r="R784" i="2"/>
  <c r="R780" i="2"/>
  <c r="R775" i="2"/>
  <c r="R768" i="2"/>
  <c r="R763" i="2"/>
  <c r="R758" i="2"/>
  <c r="R754" i="2"/>
  <c r="R751" i="2"/>
  <c r="R747" i="2"/>
  <c r="R743" i="2"/>
  <c r="R739" i="2"/>
  <c r="R735" i="2"/>
  <c r="R731" i="2"/>
  <c r="R727" i="2"/>
  <c r="R723" i="2"/>
  <c r="R719" i="2"/>
  <c r="R715" i="2"/>
  <c r="R711" i="2"/>
  <c r="R707" i="2"/>
  <c r="R703" i="2"/>
  <c r="R699" i="2"/>
  <c r="R695" i="2"/>
  <c r="R691" i="2"/>
  <c r="R674" i="2"/>
  <c r="R670" i="2"/>
  <c r="R666" i="2"/>
  <c r="R662" i="2"/>
  <c r="R658" i="2"/>
  <c r="R654" i="2"/>
  <c r="R650" i="2"/>
  <c r="R646" i="2"/>
  <c r="R642" i="2"/>
  <c r="R638" i="2"/>
  <c r="R634" i="2"/>
  <c r="R630" i="2"/>
  <c r="R626" i="2"/>
  <c r="R622" i="2"/>
  <c r="R618" i="2"/>
  <c r="R614" i="2"/>
  <c r="R610" i="2"/>
  <c r="R607" i="2"/>
  <c r="R603" i="2"/>
  <c r="R599" i="2"/>
  <c r="R595" i="2"/>
  <c r="R591" i="2"/>
  <c r="R587" i="2"/>
  <c r="R583" i="2"/>
  <c r="R579" i="2"/>
  <c r="R575" i="2"/>
  <c r="R571" i="2"/>
  <c r="R563" i="2"/>
  <c r="R559" i="2"/>
  <c r="R555" i="2"/>
  <c r="R551" i="2"/>
  <c r="R547" i="2"/>
  <c r="R543" i="2"/>
  <c r="R539" i="2"/>
  <c r="R535" i="2"/>
  <c r="R531" i="2"/>
  <c r="R526" i="2"/>
  <c r="R520" i="2"/>
  <c r="R516" i="2"/>
  <c r="R512" i="2"/>
  <c r="R508" i="2"/>
  <c r="R504" i="2"/>
  <c r="R500" i="2"/>
  <c r="R496" i="2"/>
  <c r="R492" i="2"/>
  <c r="R488" i="2"/>
  <c r="R484" i="2"/>
  <c r="R480" i="2"/>
  <c r="R476" i="2"/>
  <c r="R473" i="2"/>
  <c r="R469" i="2"/>
  <c r="R465" i="2"/>
  <c r="R461" i="2"/>
  <c r="R453" i="2"/>
  <c r="R448" i="2"/>
  <c r="R440" i="2"/>
  <c r="R457" i="2"/>
  <c r="R432" i="2"/>
  <c r="R446" i="2"/>
  <c r="R430" i="2"/>
  <c r="R425" i="2"/>
  <c r="R418" i="2"/>
  <c r="R411" i="2"/>
  <c r="R407" i="2"/>
  <c r="R403" i="2"/>
  <c r="R399" i="2"/>
  <c r="R395" i="2"/>
  <c r="R391" i="2"/>
  <c r="R387" i="2"/>
  <c r="R381" i="2"/>
  <c r="R377" i="2"/>
  <c r="R371" i="2"/>
  <c r="R365" i="2"/>
  <c r="R361" i="2"/>
  <c r="R355" i="2"/>
  <c r="R351" i="2"/>
  <c r="R347" i="2"/>
  <c r="R343" i="2"/>
  <c r="R339" i="2"/>
  <c r="R335" i="2"/>
  <c r="R331" i="2"/>
  <c r="R328" i="2"/>
  <c r="R324" i="2"/>
  <c r="R320" i="2"/>
  <c r="R316" i="2"/>
  <c r="R312" i="2"/>
  <c r="R307" i="2"/>
  <c r="R302" i="2"/>
  <c r="R298" i="2"/>
  <c r="R294" i="2"/>
  <c r="R290" i="2"/>
  <c r="R286" i="2"/>
  <c r="R282" i="2"/>
  <c r="R278" i="2"/>
  <c r="R274" i="2"/>
  <c r="R270" i="2"/>
  <c r="R266" i="2"/>
  <c r="R262" i="2"/>
  <c r="R258" i="2"/>
  <c r="R253" i="2"/>
  <c r="R249" i="2"/>
  <c r="R245" i="2"/>
  <c r="R241" i="2"/>
  <c r="R237" i="2"/>
  <c r="R233" i="2"/>
  <c r="R229" i="2"/>
  <c r="R225" i="2"/>
  <c r="R220" i="2"/>
  <c r="R216" i="2"/>
  <c r="R212" i="2"/>
  <c r="R208" i="2"/>
  <c r="R204" i="2"/>
  <c r="R200" i="2"/>
  <c r="R196" i="2"/>
  <c r="R192" i="2"/>
  <c r="R188" i="2"/>
  <c r="R184" i="2"/>
  <c r="R180" i="2"/>
  <c r="R176" i="2"/>
  <c r="R172" i="2"/>
  <c r="R168" i="2"/>
  <c r="R164" i="2"/>
  <c r="R160" i="2"/>
  <c r="R156" i="2"/>
  <c r="R152" i="2"/>
  <c r="R148" i="2"/>
  <c r="R142" i="2"/>
  <c r="R137" i="2"/>
  <c r="R132" i="2"/>
  <c r="R127" i="2"/>
  <c r="R123" i="2"/>
  <c r="R119" i="2"/>
  <c r="R115" i="2"/>
  <c r="R111" i="2"/>
  <c r="R107" i="2"/>
  <c r="R100" i="2"/>
  <c r="R96" i="2"/>
  <c r="R92" i="2"/>
  <c r="R88" i="2"/>
  <c r="R83" i="2"/>
  <c r="R77" i="2"/>
  <c r="R73" i="2"/>
  <c r="R68" i="2"/>
  <c r="R63" i="2"/>
  <c r="R55" i="2"/>
  <c r="R51" i="2"/>
  <c r="R1019" i="2"/>
  <c r="R1015" i="2"/>
  <c r="R1011" i="2"/>
  <c r="R1007" i="2"/>
  <c r="R1003" i="2"/>
  <c r="R998" i="2"/>
  <c r="R994" i="2"/>
  <c r="R990" i="2"/>
  <c r="R985" i="2"/>
  <c r="R980" i="2"/>
  <c r="R976" i="2"/>
  <c r="R972" i="2"/>
  <c r="R968" i="2"/>
  <c r="R964" i="2"/>
  <c r="R960" i="2"/>
  <c r="R956" i="2"/>
  <c r="R952" i="2"/>
  <c r="R948" i="2"/>
  <c r="R941" i="2"/>
  <c r="R937" i="2"/>
  <c r="R933" i="2"/>
  <c r="R929" i="2"/>
  <c r="R925" i="2"/>
  <c r="R921" i="2"/>
  <c r="R917" i="2"/>
  <c r="R913" i="2"/>
  <c r="R909" i="2"/>
  <c r="R905" i="2"/>
  <c r="R901" i="2"/>
  <c r="R897" i="2"/>
  <c r="R894" i="2"/>
  <c r="R890" i="2"/>
  <c r="R886" i="2"/>
  <c r="R881" i="2"/>
  <c r="R876" i="2"/>
  <c r="R872" i="2"/>
  <c r="R868" i="2"/>
  <c r="R864" i="2"/>
  <c r="R860" i="2"/>
  <c r="R856" i="2"/>
  <c r="R852" i="2"/>
  <c r="R848" i="2"/>
  <c r="R840" i="2"/>
  <c r="R836" i="2"/>
  <c r="R832" i="2"/>
  <c r="R828" i="2"/>
  <c r="R824" i="2"/>
  <c r="R820" i="2"/>
  <c r="R816" i="2"/>
  <c r="R812" i="2"/>
  <c r="R808" i="2"/>
  <c r="R804" i="2"/>
  <c r="R800" i="2"/>
  <c r="R796" i="2"/>
  <c r="R792" i="2"/>
  <c r="R787" i="2"/>
  <c r="R783" i="2"/>
  <c r="R779" i="2"/>
  <c r="R771" i="2"/>
  <c r="R766" i="2"/>
  <c r="R762" i="2"/>
  <c r="R757" i="2"/>
  <c r="R753" i="2"/>
  <c r="R750" i="2"/>
  <c r="R746" i="2"/>
  <c r="R742" i="2"/>
  <c r="R738" i="2"/>
  <c r="R734" i="2"/>
  <c r="R730" i="2"/>
  <c r="R726" i="2"/>
  <c r="R722" i="2"/>
  <c r="R718" i="2"/>
  <c r="R714" i="2"/>
  <c r="R710" i="2"/>
  <c r="R706" i="2"/>
  <c r="R702" i="2"/>
  <c r="R698" i="2"/>
  <c r="R694" i="2"/>
  <c r="R690" i="2"/>
  <c r="R673" i="2"/>
  <c r="R669" i="2"/>
  <c r="R665" i="2"/>
  <c r="R661" i="2"/>
  <c r="R657" i="2"/>
  <c r="R653" i="2"/>
  <c r="R649" i="2"/>
  <c r="R645" i="2"/>
  <c r="R641" i="2"/>
  <c r="R637" i="2"/>
  <c r="R633" i="2"/>
  <c r="R629" i="2"/>
  <c r="R625" i="2"/>
  <c r="R621" i="2"/>
  <c r="R617" i="2"/>
  <c r="R613" i="2"/>
  <c r="R606" i="2"/>
  <c r="R602" i="2"/>
  <c r="R598" i="2"/>
  <c r="R594" i="2"/>
  <c r="R590" i="2"/>
  <c r="R586" i="2"/>
  <c r="R582" i="2"/>
  <c r="R578" i="2"/>
  <c r="R574" i="2"/>
  <c r="R569" i="2"/>
  <c r="R566" i="2"/>
  <c r="R562" i="2"/>
  <c r="R558" i="2"/>
  <c r="R554" i="2"/>
  <c r="R550" i="2"/>
  <c r="R546" i="2"/>
  <c r="R542" i="2"/>
  <c r="R538" i="2"/>
  <c r="R534" i="2"/>
  <c r="R530" i="2"/>
  <c r="R523" i="2"/>
  <c r="R519" i="2"/>
  <c r="R515" i="2"/>
  <c r="R511" i="2"/>
  <c r="R507" i="2"/>
  <c r="R503" i="2"/>
  <c r="R499" i="2"/>
  <c r="R495" i="2"/>
  <c r="R491" i="2"/>
  <c r="R487" i="2"/>
  <c r="R483" i="2"/>
  <c r="R479" i="2"/>
  <c r="R472" i="2"/>
  <c r="R468" i="2"/>
  <c r="R464" i="2"/>
  <c r="R460" i="2"/>
  <c r="R455" i="2"/>
  <c r="R447" i="2"/>
  <c r="R437" i="2"/>
  <c r="R431" i="2"/>
  <c r="R449" i="2"/>
  <c r="R429" i="2"/>
  <c r="R424" i="2"/>
  <c r="R421" i="2"/>
  <c r="R417" i="2"/>
  <c r="R414" i="2"/>
  <c r="R410" i="2"/>
  <c r="R406" i="2"/>
  <c r="R398" i="2"/>
  <c r="R394" i="2"/>
  <c r="R390" i="2"/>
  <c r="R385" i="2"/>
  <c r="R380" i="2"/>
  <c r="R376" i="2"/>
  <c r="R369" i="2"/>
  <c r="R364" i="2"/>
  <c r="R360" i="2"/>
  <c r="R354" i="2"/>
  <c r="R350" i="2"/>
  <c r="R346" i="2"/>
  <c r="R342" i="2"/>
  <c r="R338" i="2"/>
  <c r="R334" i="2"/>
  <c r="R330" i="2"/>
  <c r="R327" i="2"/>
  <c r="R323" i="2"/>
  <c r="R319" i="2"/>
  <c r="R315" i="2"/>
  <c r="R311" i="2"/>
  <c r="R305" i="2"/>
  <c r="R301" i="2"/>
  <c r="R297" i="2"/>
  <c r="R293" i="2"/>
  <c r="R289" i="2"/>
  <c r="R285" i="2"/>
  <c r="R281" i="2"/>
  <c r="R277" i="2"/>
  <c r="R273" i="2"/>
  <c r="R269" i="2"/>
  <c r="R265" i="2"/>
  <c r="R261" i="2"/>
  <c r="R257" i="2"/>
  <c r="R252" i="2"/>
  <c r="R248" i="2"/>
  <c r="R244" i="2"/>
  <c r="R240" i="2"/>
  <c r="R236" i="2"/>
  <c r="R232" i="2"/>
  <c r="R228" i="2"/>
  <c r="R224" i="2"/>
  <c r="R219" i="2"/>
  <c r="R215" i="2"/>
  <c r="R211" i="2"/>
  <c r="R207" i="2"/>
  <c r="R203" i="2"/>
  <c r="R199" i="2"/>
  <c r="R195" i="2"/>
  <c r="R191" i="2"/>
  <c r="R187" i="2"/>
  <c r="R183" i="2"/>
  <c r="R179" i="2"/>
  <c r="R175" i="2"/>
  <c r="R171" i="2"/>
  <c r="R167" i="2"/>
  <c r="R163" i="2"/>
  <c r="R159" i="2"/>
  <c r="R155" i="2"/>
  <c r="R151" i="2"/>
  <c r="R147" i="2"/>
  <c r="R140" i="2"/>
  <c r="R136" i="2"/>
  <c r="R131" i="2"/>
  <c r="R126" i="2"/>
  <c r="R122" i="2"/>
  <c r="R118" i="2"/>
  <c r="R114" i="2"/>
  <c r="R110" i="2"/>
  <c r="R106" i="2"/>
  <c r="R103" i="2"/>
  <c r="R99" i="2"/>
  <c r="R95" i="2"/>
  <c r="R91" i="2"/>
  <c r="R87" i="2"/>
  <c r="R82" i="2"/>
  <c r="R76" i="2"/>
  <c r="R72" i="2"/>
  <c r="R67" i="2"/>
  <c r="R62" i="2"/>
  <c r="R59" i="2"/>
  <c r="R54" i="2"/>
  <c r="R50" i="2"/>
  <c r="R186" i="2"/>
  <c r="R182" i="2"/>
  <c r="R178" i="2"/>
  <c r="R174" i="2"/>
  <c r="R170" i="2"/>
  <c r="R166" i="2"/>
  <c r="R162" i="2"/>
  <c r="R158" i="2"/>
  <c r="R154" i="2"/>
  <c r="R150" i="2"/>
  <c r="R146" i="2"/>
  <c r="R139" i="2"/>
  <c r="R134" i="2"/>
  <c r="R129" i="2"/>
  <c r="R125" i="2"/>
  <c r="R121" i="2"/>
  <c r="R117" i="2"/>
  <c r="R113" i="2"/>
  <c r="R109" i="2"/>
  <c r="R105" i="2"/>
  <c r="R102" i="2"/>
  <c r="R98" i="2"/>
  <c r="R94" i="2"/>
  <c r="R90" i="2"/>
  <c r="R85" i="2"/>
  <c r="R79" i="2"/>
  <c r="R75" i="2"/>
  <c r="R70" i="2"/>
  <c r="R66" i="2"/>
  <c r="R61" i="2"/>
  <c r="R58" i="2"/>
  <c r="R53" i="2"/>
  <c r="R49" i="2"/>
  <c r="R974" i="2"/>
  <c r="R970" i="2"/>
  <c r="R966" i="2"/>
  <c r="R962" i="2"/>
  <c r="R958" i="2"/>
  <c r="R954" i="2"/>
  <c r="R950" i="2"/>
  <c r="R946" i="2"/>
  <c r="R943" i="2"/>
  <c r="R939" i="2"/>
  <c r="R935" i="2"/>
  <c r="R931" i="2"/>
  <c r="R927" i="2"/>
  <c r="R923" i="2"/>
  <c r="R919" i="2"/>
  <c r="R915" i="2"/>
  <c r="R911" i="2"/>
  <c r="R907" i="2"/>
  <c r="R903" i="2"/>
  <c r="R899" i="2"/>
  <c r="R895" i="2"/>
  <c r="R892" i="2"/>
  <c r="R888" i="2"/>
  <c r="R883" i="2"/>
  <c r="R879" i="2"/>
  <c r="R874" i="2"/>
  <c r="R870" i="2"/>
  <c r="R866" i="2"/>
  <c r="R862" i="2"/>
  <c r="R858" i="2"/>
  <c r="R854" i="2"/>
  <c r="R850" i="2"/>
  <c r="R846" i="2"/>
  <c r="R842" i="2"/>
  <c r="R838" i="2"/>
  <c r="R834" i="2"/>
  <c r="R830" i="2"/>
  <c r="R826" i="2"/>
  <c r="R822" i="2"/>
  <c r="R818" i="2"/>
  <c r="R814" i="2"/>
  <c r="R810" i="2"/>
  <c r="R806" i="2"/>
  <c r="R802" i="2"/>
  <c r="R798" i="2"/>
  <c r="R794" i="2"/>
  <c r="R789" i="2"/>
  <c r="R785" i="2"/>
  <c r="R781" i="2"/>
  <c r="R777" i="2"/>
  <c r="R769" i="2"/>
  <c r="R764" i="2"/>
  <c r="R759" i="2"/>
  <c r="R755" i="2"/>
  <c r="R752" i="2"/>
  <c r="R748" i="2"/>
  <c r="R744" i="2"/>
  <c r="R740" i="2"/>
  <c r="R736" i="2"/>
  <c r="R732" i="2"/>
  <c r="R728" i="2"/>
  <c r="R724" i="2"/>
  <c r="R720" i="2"/>
  <c r="R716" i="2"/>
  <c r="R712" i="2"/>
  <c r="R708" i="2"/>
  <c r="R704" i="2"/>
  <c r="R700" i="2"/>
  <c r="R696" i="2"/>
  <c r="R692" i="2"/>
  <c r="R675" i="2"/>
  <c r="R671" i="2"/>
  <c r="R667" i="2"/>
  <c r="R663" i="2"/>
  <c r="R659" i="2"/>
  <c r="R655" i="2"/>
  <c r="R651" i="2"/>
  <c r="R647" i="2"/>
  <c r="R643" i="2"/>
  <c r="R639" i="2"/>
  <c r="R635" i="2"/>
  <c r="R631" i="2"/>
  <c r="R627" i="2"/>
  <c r="R623" i="2"/>
  <c r="R619" i="2"/>
  <c r="R615" i="2"/>
  <c r="R611" i="2"/>
  <c r="R608" i="2"/>
  <c r="R604" i="2"/>
  <c r="R600" i="2"/>
  <c r="R596" i="2"/>
  <c r="R592" i="2"/>
  <c r="R588" i="2"/>
  <c r="R584" i="2"/>
  <c r="R580" i="2"/>
  <c r="R576" i="2"/>
  <c r="R572" i="2"/>
  <c r="R567" i="2"/>
  <c r="R564" i="2"/>
  <c r="R560" i="2"/>
  <c r="R556" i="2"/>
  <c r="R552" i="2"/>
  <c r="R548" i="2"/>
  <c r="R544" i="2"/>
  <c r="R540" i="2"/>
  <c r="R536" i="2"/>
  <c r="R532" i="2"/>
  <c r="R527" i="2"/>
  <c r="R521" i="2"/>
  <c r="R517" i="2"/>
  <c r="R513" i="2"/>
  <c r="R509" i="2"/>
  <c r="R505" i="2"/>
  <c r="R501" i="2"/>
  <c r="R497" i="2"/>
  <c r="R493" i="2"/>
  <c r="R489" i="2"/>
  <c r="R485" i="2"/>
  <c r="R481" i="2"/>
  <c r="R477" i="2"/>
  <c r="R474" i="2"/>
  <c r="R470" i="2"/>
  <c r="R466" i="2"/>
  <c r="R462" i="2"/>
  <c r="R454" i="2"/>
  <c r="R451" i="2"/>
  <c r="R439" i="2"/>
  <c r="R459" i="2"/>
  <c r="R434" i="2"/>
  <c r="R458" i="2"/>
  <c r="R445" i="2"/>
  <c r="R441" i="2"/>
  <c r="R426" i="2"/>
  <c r="R422" i="2"/>
  <c r="R419" i="2"/>
  <c r="R415" i="2"/>
  <c r="R412" i="2"/>
  <c r="R408" i="2"/>
  <c r="R404" i="2"/>
  <c r="R400" i="2"/>
  <c r="R392" i="2"/>
  <c r="R388" i="2"/>
  <c r="R383" i="2"/>
  <c r="R378" i="2"/>
  <c r="R373" i="2"/>
  <c r="R366" i="2"/>
  <c r="R362" i="2"/>
  <c r="R357" i="2"/>
  <c r="R352" i="2"/>
  <c r="R348" i="2"/>
  <c r="R344" i="2"/>
  <c r="R340" i="2"/>
  <c r="R336" i="2"/>
  <c r="R332" i="2"/>
  <c r="R325" i="2"/>
  <c r="R321" i="2"/>
  <c r="R317" i="2"/>
  <c r="R313" i="2"/>
  <c r="R308" i="2"/>
  <c r="R303" i="2"/>
  <c r="R299" i="2"/>
  <c r="R295" i="2"/>
  <c r="R291" i="2"/>
  <c r="R287" i="2"/>
  <c r="R283" i="2"/>
  <c r="R279" i="2"/>
  <c r="R275" i="2"/>
  <c r="R271" i="2"/>
  <c r="R267" i="2"/>
  <c r="R263" i="2"/>
  <c r="R259" i="2"/>
  <c r="R255" i="2"/>
  <c r="R250" i="2"/>
  <c r="R246" i="2"/>
  <c r="R242" i="2"/>
  <c r="R238" i="2"/>
  <c r="R234" i="2"/>
  <c r="R230" i="2"/>
  <c r="R226" i="2"/>
  <c r="R222" i="2"/>
  <c r="R217" i="2"/>
  <c r="R213" i="2"/>
  <c r="R209" i="2"/>
  <c r="R205" i="2"/>
  <c r="R201" i="2"/>
  <c r="R197" i="2"/>
  <c r="R193" i="2"/>
  <c r="R189" i="2"/>
  <c r="R185" i="2"/>
  <c r="R181" i="2"/>
  <c r="R177" i="2"/>
  <c r="R173" i="2"/>
  <c r="R169" i="2"/>
  <c r="R165" i="2"/>
  <c r="R161" i="2"/>
  <c r="R157" i="2"/>
  <c r="R153" i="2"/>
  <c r="R149" i="2"/>
  <c r="R144" i="2"/>
  <c r="R138" i="2"/>
  <c r="R133" i="2"/>
  <c r="R128" i="2"/>
  <c r="R124" i="2"/>
  <c r="R120" i="2"/>
  <c r="R116" i="2"/>
  <c r="R112" i="2"/>
  <c r="R108" i="2"/>
  <c r="R104" i="2"/>
  <c r="R101" i="2"/>
  <c r="R97" i="2"/>
  <c r="R93" i="2"/>
  <c r="R89" i="2"/>
  <c r="R84" i="2"/>
  <c r="R78" i="2"/>
  <c r="R74" i="2"/>
  <c r="R69" i="2"/>
  <c r="R65" i="2"/>
  <c r="R60" i="2"/>
  <c r="R57" i="2"/>
  <c r="R52" i="2"/>
  <c r="R45" i="2"/>
  <c r="R41" i="2"/>
  <c r="R36" i="2"/>
  <c r="R32" i="2"/>
  <c r="R26" i="2"/>
  <c r="R22" i="2"/>
  <c r="R18" i="2"/>
  <c r="R15" i="2"/>
  <c r="R11" i="2"/>
  <c r="R7" i="2"/>
  <c r="R3" i="2"/>
  <c r="R44" i="2"/>
  <c r="R40" i="2"/>
  <c r="R35" i="2"/>
  <c r="R31" i="2"/>
  <c r="R25" i="2"/>
  <c r="R21" i="2"/>
  <c r="R17" i="2"/>
  <c r="R14" i="2"/>
  <c r="R10" i="2"/>
  <c r="R6" i="2"/>
  <c r="R43" i="2"/>
  <c r="R39" i="2"/>
  <c r="R34" i="2"/>
  <c r="R29" i="2"/>
  <c r="R24" i="2"/>
  <c r="R20" i="2"/>
  <c r="R16" i="2"/>
  <c r="R13" i="2"/>
  <c r="R9" i="2"/>
  <c r="R5" i="2"/>
  <c r="R46" i="2"/>
  <c r="R42" i="2"/>
  <c r="R38" i="2"/>
  <c r="R33" i="2"/>
  <c r="R27" i="2"/>
  <c r="R23" i="2"/>
  <c r="R19" i="2"/>
  <c r="R12" i="2"/>
  <c r="R8" i="2"/>
  <c r="R4" i="2"/>
  <c r="T1146" i="2"/>
  <c r="T843" i="2"/>
  <c r="U11" i="42" l="1"/>
  <c r="V11" i="42"/>
  <c r="AX82" i="42"/>
  <c r="J82" i="42" s="1"/>
  <c r="AX16" i="42"/>
  <c r="K16" i="42" s="1"/>
  <c r="X13" i="42"/>
  <c r="X11" i="42" s="1"/>
  <c r="BW64" i="42"/>
  <c r="AX78" i="42"/>
  <c r="AX66" i="42"/>
  <c r="AX17" i="42"/>
  <c r="K17" i="42" s="1"/>
  <c r="AX79" i="42"/>
  <c r="AX75" i="42"/>
  <c r="AX22" i="42"/>
  <c r="AX65" i="42"/>
  <c r="AX55" i="42"/>
  <c r="AX42" i="42"/>
  <c r="K42" i="42" s="1"/>
  <c r="AX38" i="42"/>
  <c r="K38" i="42" s="1"/>
  <c r="AX62" i="42"/>
  <c r="AX69" i="42"/>
  <c r="AX54" i="42"/>
  <c r="AX53" i="42"/>
  <c r="K53" i="42" s="1"/>
  <c r="AX45" i="42"/>
  <c r="AX26" i="42"/>
  <c r="AX14" i="42"/>
  <c r="K14" i="42" s="1"/>
  <c r="AX57" i="42"/>
  <c r="AX31" i="42"/>
  <c r="K31" i="42" s="1"/>
  <c r="AX72" i="42"/>
  <c r="AX18" i="42"/>
  <c r="K18" i="42" s="1"/>
  <c r="AX70" i="42"/>
  <c r="AX30" i="42"/>
  <c r="K30" i="42" s="1"/>
  <c r="AX74" i="42"/>
  <c r="AX81" i="42"/>
  <c r="AX84" i="42"/>
  <c r="AX48" i="42"/>
  <c r="K48" i="42" s="1"/>
  <c r="AX61" i="42"/>
  <c r="AX56" i="42"/>
  <c r="AX40" i="42"/>
  <c r="K40" i="42" s="1"/>
  <c r="AX41" i="42"/>
  <c r="K41" i="42" s="1"/>
  <c r="AX52" i="42"/>
  <c r="AX80" i="42"/>
  <c r="AX50" i="42"/>
  <c r="AX46" i="42"/>
  <c r="AX49" i="42"/>
  <c r="AX33" i="42"/>
  <c r="K33" i="42" s="1"/>
  <c r="AX73" i="42"/>
  <c r="AX21" i="42"/>
  <c r="AX64" i="42"/>
  <c r="AX58" i="42"/>
  <c r="AX34" i="42"/>
  <c r="AX29" i="42"/>
  <c r="K29" i="42" s="1"/>
  <c r="AX37" i="42"/>
  <c r="K37" i="42" s="1"/>
  <c r="AX32" i="42"/>
  <c r="BW38" i="42"/>
  <c r="W38" i="42" s="1"/>
  <c r="AX60" i="42"/>
  <c r="AX59" i="42"/>
  <c r="AX24" i="42"/>
  <c r="AX25" i="42"/>
  <c r="AX20" i="42"/>
  <c r="K20" i="42" s="1"/>
  <c r="BW69" i="42"/>
  <c r="AX28" i="42"/>
  <c r="K28" i="42" s="1"/>
  <c r="BW15" i="42"/>
  <c r="BW50" i="42"/>
  <c r="AX63" i="42"/>
  <c r="AX15" i="42"/>
  <c r="BW54" i="42"/>
  <c r="AX77" i="42"/>
  <c r="AX67" i="42"/>
  <c r="AX19" i="42"/>
  <c r="K19" i="42" s="1"/>
  <c r="AX68" i="42"/>
  <c r="AX36" i="42"/>
  <c r="K36" i="42" s="1"/>
  <c r="BW42" i="42"/>
  <c r="W42" i="42" s="1"/>
  <c r="AX43" i="42"/>
  <c r="K43" i="42" s="1"/>
  <c r="AX76" i="42"/>
  <c r="AX44" i="42"/>
  <c r="K44" i="42" s="1"/>
  <c r="BW39" i="42"/>
  <c r="W39" i="42" s="1"/>
  <c r="AX39" i="42"/>
  <c r="K39" i="42" s="1"/>
  <c r="AX51" i="42"/>
  <c r="BW30" i="42"/>
  <c r="W30" i="42" s="1"/>
  <c r="BW81" i="42"/>
  <c r="J81" i="42" s="1"/>
  <c r="AX27" i="42"/>
  <c r="BW22" i="42"/>
  <c r="AX83" i="42"/>
  <c r="AX35" i="42"/>
  <c r="K35" i="42" s="1"/>
  <c r="BW27" i="42"/>
  <c r="BW80" i="42"/>
  <c r="AX47" i="42"/>
  <c r="BW23" i="42"/>
  <c r="W23" i="42" s="1"/>
  <c r="BW82" i="42"/>
  <c r="BW58" i="42"/>
  <c r="AX71" i="42"/>
  <c r="AX23" i="42"/>
  <c r="K23" i="42" s="1"/>
  <c r="BW31" i="42"/>
  <c r="W31" i="42" s="1"/>
  <c r="BW71" i="42"/>
  <c r="BW28" i="42"/>
  <c r="W28" i="42" s="1"/>
  <c r="BW68" i="42"/>
  <c r="BW36" i="42"/>
  <c r="W36" i="42" s="1"/>
  <c r="BW32" i="42"/>
  <c r="BW79" i="42"/>
  <c r="BW66" i="42"/>
  <c r="BW52" i="42"/>
  <c r="BW24" i="42"/>
  <c r="BW16" i="42"/>
  <c r="W16" i="42" s="1"/>
  <c r="BW77" i="42"/>
  <c r="J77" i="42" s="1"/>
  <c r="BW60" i="42"/>
  <c r="BW46" i="42"/>
  <c r="BW25" i="42"/>
  <c r="BW76" i="42"/>
  <c r="BW67" i="42"/>
  <c r="BW53" i="42"/>
  <c r="W53" i="42" s="1"/>
  <c r="BW18" i="42"/>
  <c r="W18" i="42" s="1"/>
  <c r="BW40" i="42"/>
  <c r="W40" i="42" s="1"/>
  <c r="BW62" i="42"/>
  <c r="BW48" i="42"/>
  <c r="W48" i="42" s="1"/>
  <c r="BW26" i="42"/>
  <c r="BW84" i="42"/>
  <c r="BW73" i="42"/>
  <c r="BW43" i="42"/>
  <c r="W43" i="42" s="1"/>
  <c r="BW41" i="42"/>
  <c r="W41" i="42" s="1"/>
  <c r="BW20" i="42"/>
  <c r="W20" i="42" s="1"/>
  <c r="BW19" i="42"/>
  <c r="W19" i="42" s="1"/>
  <c r="BW63" i="42"/>
  <c r="BW49" i="42"/>
  <c r="BW14" i="42"/>
  <c r="W14" i="42" s="1"/>
  <c r="BW74" i="42"/>
  <c r="BW47" i="42"/>
  <c r="BW45" i="42"/>
  <c r="BW21" i="42"/>
  <c r="BW72" i="42"/>
  <c r="BW61" i="42"/>
  <c r="BW55" i="42"/>
  <c r="BW34" i="42"/>
  <c r="BW83" i="42"/>
  <c r="J83" i="42" s="1"/>
  <c r="BW57" i="42"/>
  <c r="BW33" i="42"/>
  <c r="W33" i="42" s="1"/>
  <c r="BW17" i="42"/>
  <c r="W17" i="42" s="1"/>
  <c r="BW75" i="42"/>
  <c r="BW59" i="42"/>
  <c r="BW37" i="42"/>
  <c r="W37" i="42" s="1"/>
  <c r="BW78" i="42"/>
  <c r="BW44" i="42"/>
  <c r="W44" i="42" s="1"/>
  <c r="BW56" i="42"/>
  <c r="BW35" i="42"/>
  <c r="W35" i="42" s="1"/>
  <c r="BW70" i="42"/>
  <c r="BW65" i="42"/>
  <c r="BW51" i="42"/>
  <c r="BW29" i="42"/>
  <c r="W29" i="42" s="1"/>
  <c r="BO11" i="42"/>
  <c r="BW13" i="42"/>
  <c r="W13" i="42" s="1"/>
  <c r="BH13" i="42"/>
  <c r="Q13" i="42" s="1"/>
  <c r="BG11" i="42"/>
  <c r="BF13" i="42"/>
  <c r="P13" i="42" s="1"/>
  <c r="BE11" i="42"/>
  <c r="BJ13" i="42"/>
  <c r="R13" i="42" s="1"/>
  <c r="BI11" i="42"/>
  <c r="T13" i="42"/>
  <c r="T11" i="42" s="1"/>
  <c r="BM11" i="42"/>
  <c r="BL13" i="42"/>
  <c r="S13" i="42" s="1"/>
  <c r="BK11" i="42"/>
  <c r="BD13" i="42"/>
  <c r="O13" i="42" s="1"/>
  <c r="AX13" i="42"/>
  <c r="K13" i="42" s="1"/>
  <c r="BU11" i="42"/>
  <c r="BT11" i="42"/>
  <c r="BV11" i="42"/>
  <c r="BQ11" i="42"/>
  <c r="BX11" i="42"/>
  <c r="BS11" i="42"/>
  <c r="AV11" i="42"/>
  <c r="AU11" i="42"/>
  <c r="AW11" i="42"/>
  <c r="AT11" i="42"/>
  <c r="AY11" i="42"/>
  <c r="BC11" i="42"/>
  <c r="BA11" i="42"/>
  <c r="AR11" i="42"/>
  <c r="F38" i="3"/>
  <c r="D38" i="3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" i="3"/>
  <c r="D3" i="3"/>
  <c r="F2" i="3"/>
  <c r="D2" i="3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D2" i="5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F5" i="4"/>
  <c r="D5" i="4"/>
  <c r="F4" i="4"/>
  <c r="D4" i="4"/>
  <c r="F3" i="4"/>
  <c r="D3" i="4"/>
  <c r="F2" i="4"/>
  <c r="D2" i="4"/>
  <c r="T793" i="2"/>
  <c r="T755" i="2"/>
  <c r="T745" i="2"/>
  <c r="T716" i="2"/>
  <c r="T688" i="2"/>
  <c r="T676" i="2"/>
  <c r="T675" i="2"/>
  <c r="T646" i="2"/>
  <c r="T628" i="2"/>
  <c r="T620" i="2"/>
  <c r="T615" i="2"/>
  <c r="T606" i="2"/>
  <c r="T590" i="2"/>
  <c r="T586" i="2"/>
  <c r="T564" i="2"/>
  <c r="T524" i="2"/>
  <c r="T523" i="2"/>
  <c r="T518" i="2"/>
  <c r="T513" i="2"/>
  <c r="T499" i="2"/>
  <c r="T498" i="2"/>
  <c r="T495" i="2"/>
  <c r="T486" i="2"/>
  <c r="T485" i="2"/>
  <c r="T480" i="2"/>
  <c r="T477" i="2"/>
  <c r="T474" i="2"/>
  <c r="T468" i="2"/>
  <c r="T467" i="2"/>
  <c r="T461" i="2"/>
  <c r="T456" i="2"/>
  <c r="T448" i="2"/>
  <c r="T447" i="2"/>
  <c r="T459" i="2"/>
  <c r="T457" i="2"/>
  <c r="T433" i="2"/>
  <c r="T434" i="2"/>
  <c r="T425" i="2"/>
  <c r="T409" i="2"/>
  <c r="T407" i="2"/>
  <c r="T399" i="2"/>
  <c r="T388" i="2"/>
  <c r="T353" i="2"/>
  <c r="T350" i="2"/>
  <c r="T345" i="2"/>
  <c r="T325" i="2"/>
  <c r="T315" i="2"/>
  <c r="T299" i="2"/>
  <c r="T298" i="2"/>
  <c r="T294" i="2"/>
  <c r="T290" i="2"/>
  <c r="T287" i="2"/>
  <c r="T279" i="2"/>
  <c r="T278" i="2"/>
  <c r="T272" i="2"/>
  <c r="T270" i="2"/>
  <c r="T268" i="2"/>
  <c r="T266" i="2"/>
  <c r="T260" i="2"/>
  <c r="T257" i="2"/>
  <c r="T250" i="2"/>
  <c r="T248" i="2"/>
  <c r="T246" i="2"/>
  <c r="T244" i="2"/>
  <c r="T239" i="2"/>
  <c r="T237" i="2"/>
  <c r="T233" i="2"/>
  <c r="T232" i="2"/>
  <c r="T225" i="2"/>
  <c r="T218" i="2"/>
  <c r="T216" i="2"/>
  <c r="T215" i="2"/>
  <c r="T212" i="2"/>
  <c r="T210" i="2"/>
  <c r="T203" i="2"/>
  <c r="T193" i="2"/>
  <c r="T155" i="2"/>
  <c r="T154" i="2"/>
  <c r="T149" i="2"/>
  <c r="T139" i="2"/>
  <c r="T136" i="2"/>
  <c r="T133" i="2"/>
  <c r="T123" i="2"/>
  <c r="E11" i="29"/>
  <c r="T27" i="2"/>
  <c r="T25" i="2"/>
  <c r="E10" i="29"/>
  <c r="T24" i="2"/>
  <c r="T22" i="2"/>
  <c r="E9" i="29"/>
  <c r="E8" i="29"/>
  <c r="T19" i="2"/>
  <c r="E7" i="29"/>
  <c r="T16" i="2"/>
  <c r="T13" i="2"/>
  <c r="T12" i="2"/>
  <c r="T10" i="2"/>
  <c r="E6" i="29"/>
  <c r="T9" i="2"/>
  <c r="E5" i="29"/>
  <c r="E4" i="29"/>
  <c r="E3" i="29"/>
  <c r="T5" i="2"/>
  <c r="T4" i="2"/>
  <c r="J23" i="42" l="1"/>
  <c r="A23" i="42" s="1"/>
  <c r="J16" i="42"/>
  <c r="A16" i="42" s="1"/>
  <c r="W11" i="42"/>
  <c r="J39" i="42"/>
  <c r="A39" i="42" s="1"/>
  <c r="J43" i="42"/>
  <c r="A43" i="42" s="1"/>
  <c r="J19" i="42"/>
  <c r="A19" i="42" s="1"/>
  <c r="J28" i="42"/>
  <c r="A28" i="42" s="1"/>
  <c r="J33" i="42"/>
  <c r="A33" i="42" s="1"/>
  <c r="J18" i="42"/>
  <c r="A18" i="42" s="1"/>
  <c r="J42" i="42"/>
  <c r="A42" i="42" s="1"/>
  <c r="J35" i="42"/>
  <c r="A35" i="42" s="1"/>
  <c r="J37" i="42"/>
  <c r="A37" i="42" s="1"/>
  <c r="J44" i="42"/>
  <c r="A44" i="42" s="1"/>
  <c r="J36" i="42"/>
  <c r="A36" i="42" s="1"/>
  <c r="J20" i="42"/>
  <c r="A20" i="42" s="1"/>
  <c r="J29" i="42"/>
  <c r="A29" i="42" s="1"/>
  <c r="J41" i="42"/>
  <c r="A41" i="42" s="1"/>
  <c r="J30" i="42"/>
  <c r="A30" i="42" s="1"/>
  <c r="J31" i="42"/>
  <c r="A31" i="42" s="1"/>
  <c r="J17" i="42"/>
  <c r="A17" i="42" s="1"/>
  <c r="J40" i="42"/>
  <c r="A40" i="42" s="1"/>
  <c r="J38" i="42"/>
  <c r="A38" i="42" s="1"/>
  <c r="J73" i="42"/>
  <c r="J64" i="42"/>
  <c r="J72" i="42"/>
  <c r="J74" i="42"/>
  <c r="J71" i="42"/>
  <c r="J60" i="42"/>
  <c r="J62" i="42"/>
  <c r="J65" i="42"/>
  <c r="J68" i="42"/>
  <c r="J57" i="42"/>
  <c r="J66" i="42"/>
  <c r="J58" i="42"/>
  <c r="J56" i="42"/>
  <c r="J67" i="42"/>
  <c r="J63" i="42"/>
  <c r="J59" i="42"/>
  <c r="J61" i="42"/>
  <c r="J69" i="42"/>
  <c r="J55" i="42"/>
  <c r="J70" i="42"/>
  <c r="J53" i="42"/>
  <c r="A53" i="42" s="1"/>
  <c r="J54" i="42"/>
  <c r="J52" i="42"/>
  <c r="J48" i="42"/>
  <c r="A48" i="42" s="1"/>
  <c r="J14" i="42"/>
  <c r="A14" i="42" s="1"/>
  <c r="J51" i="42"/>
  <c r="P11" i="42"/>
  <c r="R11" i="42"/>
  <c r="Q11" i="42"/>
  <c r="K11" i="42"/>
  <c r="N11" i="42"/>
  <c r="M11" i="42"/>
  <c r="S11" i="42"/>
  <c r="E2" i="29"/>
  <c r="T20" i="2"/>
  <c r="T338" i="2"/>
  <c r="T61" i="2"/>
  <c r="T189" i="2"/>
  <c r="T500" i="2"/>
  <c r="T450" i="2"/>
  <c r="T589" i="2"/>
  <c r="T419" i="2"/>
  <c r="T510" i="2"/>
  <c r="T327" i="2"/>
  <c r="T483" i="2"/>
  <c r="T683" i="2"/>
  <c r="T751" i="2"/>
  <c r="T14" i="2"/>
  <c r="T90" i="2"/>
  <c r="T313" i="2"/>
  <c r="T349" i="2"/>
  <c r="T600" i="2"/>
  <c r="T734" i="2"/>
  <c r="T286" i="2"/>
  <c r="T341" i="2"/>
  <c r="T594" i="2"/>
  <c r="T638" i="2"/>
  <c r="T462" i="2"/>
  <c r="T610" i="2"/>
  <c r="T449" i="2"/>
  <c r="T271" i="2"/>
  <c r="T423" i="2"/>
  <c r="T602" i="2"/>
  <c r="T784" i="2"/>
  <c r="T797" i="2"/>
  <c r="T197" i="2"/>
  <c r="T264" i="2"/>
  <c r="T273" i="2"/>
  <c r="T196" i="2"/>
  <c r="T202" i="2"/>
  <c r="T262" i="2"/>
  <c r="T276" i="2"/>
  <c r="T217" i="2"/>
  <c r="T274" i="2"/>
  <c r="T91" i="2"/>
  <c r="T305" i="2"/>
  <c r="T438" i="2"/>
  <c r="T528" i="2"/>
  <c r="T720" i="2"/>
  <c r="T516" i="2"/>
  <c r="T585" i="2"/>
  <c r="T629" i="2"/>
  <c r="T649" i="2"/>
  <c r="T347" i="2"/>
  <c r="T551" i="2"/>
  <c r="T568" i="2"/>
  <c r="T700" i="2"/>
  <c r="T762" i="2"/>
  <c r="T108" i="2"/>
  <c r="T288" i="2"/>
  <c r="T383" i="2"/>
  <c r="T507" i="2"/>
  <c r="T574" i="2"/>
  <c r="T738" i="2"/>
  <c r="T245" i="2"/>
  <c r="T670" i="2"/>
  <c r="T761" i="2"/>
  <c r="T786" i="2"/>
  <c r="T831" i="2"/>
  <c r="T822" i="2"/>
  <c r="T131" i="2"/>
  <c r="T252" i="2"/>
  <c r="T302" i="2"/>
  <c r="T430" i="2"/>
  <c r="T6" i="2"/>
  <c r="T70" i="2"/>
  <c r="T95" i="2"/>
  <c r="T220" i="2"/>
  <c r="T213" i="2"/>
  <c r="T69" i="2"/>
  <c r="T94" i="2"/>
  <c r="T111" i="2"/>
  <c r="T346" i="2"/>
  <c r="T72" i="2"/>
  <c r="T187" i="2"/>
  <c r="T192" i="2"/>
  <c r="T301" i="2"/>
  <c r="T343" i="2"/>
  <c r="T102" i="2"/>
  <c r="T219" i="2"/>
  <c r="T236" i="2"/>
  <c r="T251" i="2"/>
  <c r="T103" i="2"/>
  <c r="T104" i="2"/>
  <c r="T119" i="2"/>
  <c r="T191" i="2"/>
  <c r="T194" i="2"/>
  <c r="T159" i="2"/>
  <c r="T226" i="2"/>
  <c r="T267" i="2"/>
  <c r="T291" i="2"/>
  <c r="T337" i="2"/>
  <c r="T404" i="2"/>
  <c r="T373" i="2"/>
  <c r="T578" i="2"/>
  <c r="T618" i="2"/>
  <c r="T619" i="2"/>
  <c r="T650" i="2"/>
  <c r="T704" i="2"/>
  <c r="T424" i="2"/>
  <c r="T492" i="2"/>
  <c r="T728" i="2"/>
  <c r="T531" i="2"/>
  <c r="T558" i="2"/>
  <c r="T579" i="2"/>
  <c r="T588" i="2"/>
  <c r="T614" i="2"/>
  <c r="T647" i="2"/>
  <c r="T658" i="2"/>
  <c r="T766" i="2"/>
  <c r="T436" i="2"/>
  <c r="T476" i="2"/>
  <c r="T692" i="2"/>
  <c r="T714" i="2"/>
  <c r="T519" i="2"/>
  <c r="T680" i="2"/>
  <c r="T481" i="2"/>
  <c r="T520" i="2"/>
  <c r="T565" i="2"/>
  <c r="T566" i="2"/>
  <c r="T595" i="2"/>
  <c r="T672" i="2"/>
  <c r="T673" i="2"/>
  <c r="T708" i="2"/>
  <c r="T452" i="2"/>
  <c r="T470" i="2"/>
  <c r="T496" i="2"/>
  <c r="T544" i="2"/>
  <c r="T549" i="2"/>
  <c r="T563" i="2"/>
  <c r="T582" i="2"/>
  <c r="T604" i="2"/>
  <c r="T635" i="2"/>
  <c r="T706" i="2"/>
  <c r="T730" i="2"/>
  <c r="T736" i="2"/>
  <c r="T764" i="2"/>
  <c r="T718" i="2"/>
  <c r="T750" i="2"/>
  <c r="T724" i="2"/>
  <c r="T722" i="2"/>
  <c r="T758" i="2"/>
  <c r="T26" i="2"/>
  <c r="T208" i="2"/>
  <c r="T76" i="2"/>
  <c r="T88" i="2"/>
  <c r="T162" i="2"/>
  <c r="T207" i="2"/>
  <c r="T230" i="2"/>
  <c r="T164" i="2"/>
  <c r="T168" i="2"/>
  <c r="T235" i="2"/>
  <c r="T241" i="2"/>
  <c r="T255" i="2"/>
  <c r="T308" i="2"/>
  <c r="T118" i="2"/>
  <c r="T229" i="2"/>
  <c r="T284" i="2"/>
  <c r="T110" i="2"/>
  <c r="T151" i="2"/>
  <c r="T186" i="2"/>
  <c r="T259" i="2"/>
  <c r="T292" i="2"/>
  <c r="T117" i="2"/>
  <c r="T323" i="2"/>
  <c r="T89" i="2"/>
  <c r="T166" i="2"/>
  <c r="T181" i="2"/>
  <c r="T258" i="2"/>
  <c r="T295" i="2"/>
  <c r="T227" i="2"/>
  <c r="T281" i="2"/>
  <c r="T336" i="2"/>
  <c r="T366" i="2"/>
  <c r="T657" i="2"/>
  <c r="T79" i="2"/>
  <c r="T211" i="2"/>
  <c r="T222" i="2"/>
  <c r="T238" i="2"/>
  <c r="T243" i="2"/>
  <c r="T249" i="2"/>
  <c r="T316" i="2"/>
  <c r="T332" i="2"/>
  <c r="T360" i="2"/>
  <c r="T365" i="2"/>
  <c r="T412" i="2"/>
  <c r="T416" i="2"/>
  <c r="T285" i="2"/>
  <c r="T293" i="2"/>
  <c r="T296" i="2"/>
  <c r="T415" i="2"/>
  <c r="T526" i="2"/>
  <c r="T96" i="2"/>
  <c r="T120" i="2"/>
  <c r="T200" i="2"/>
  <c r="T242" i="2"/>
  <c r="T265" i="2"/>
  <c r="T280" i="2"/>
  <c r="T324" i="2"/>
  <c r="T62" i="2"/>
  <c r="T63" i="2"/>
  <c r="T157" i="2"/>
  <c r="T177" i="2"/>
  <c r="T179" i="2"/>
  <c r="T184" i="2"/>
  <c r="T198" i="2"/>
  <c r="T228" i="2"/>
  <c r="T234" i="2"/>
  <c r="T253" i="2"/>
  <c r="T282" i="2"/>
  <c r="T328" i="2"/>
  <c r="T330" i="2"/>
  <c r="T109" i="2"/>
  <c r="T126" i="2"/>
  <c r="T144" i="2"/>
  <c r="T160" i="2"/>
  <c r="T171" i="2"/>
  <c r="T173" i="2"/>
  <c r="T175" i="2"/>
  <c r="T205" i="2"/>
  <c r="T209" i="2"/>
  <c r="T300" i="2"/>
  <c r="T329" i="2"/>
  <c r="T355" i="2"/>
  <c r="T403" i="2"/>
  <c r="T458" i="2"/>
  <c r="T77" i="2"/>
  <c r="T78" i="2"/>
  <c r="T263" i="2"/>
  <c r="T275" i="2"/>
  <c r="T417" i="2"/>
  <c r="T352" i="2"/>
  <c r="T363" i="2"/>
  <c r="T390" i="2"/>
  <c r="T413" i="2"/>
  <c r="T463" i="2"/>
  <c r="T540" i="2"/>
  <c r="T656" i="2"/>
  <c r="T322" i="2"/>
  <c r="T340" i="2"/>
  <c r="T358" i="2"/>
  <c r="T377" i="2"/>
  <c r="T391" i="2"/>
  <c r="T515" i="2"/>
  <c r="T334" i="2"/>
  <c r="T339" i="2"/>
  <c r="T490" i="2"/>
  <c r="T538" i="2"/>
  <c r="T420" i="2"/>
  <c r="T428" i="2"/>
  <c r="T522" i="2"/>
  <c r="T571" i="2"/>
  <c r="T580" i="2"/>
  <c r="T421" i="2"/>
  <c r="T432" i="2"/>
  <c r="T455" i="2"/>
  <c r="T532" i="2"/>
  <c r="T542" i="2"/>
  <c r="T623" i="2"/>
  <c r="T335" i="2"/>
  <c r="T569" i="2"/>
  <c r="T631" i="2"/>
  <c r="T648" i="2"/>
  <c r="T535" i="2"/>
  <c r="T609" i="2"/>
  <c r="T678" i="2"/>
  <c r="T710" i="2"/>
  <c r="T809" i="2"/>
  <c r="T827" i="2"/>
  <c r="T533" i="2"/>
  <c r="T562" i="2"/>
  <c r="T573" i="2"/>
  <c r="T593" i="2"/>
  <c r="T624" i="2"/>
  <c r="T625" i="2"/>
  <c r="T665" i="2"/>
  <c r="T667" i="2"/>
  <c r="T687" i="2"/>
  <c r="T732" i="2"/>
  <c r="T740" i="2"/>
  <c r="T780" i="2"/>
  <c r="T833" i="2"/>
  <c r="T460" i="2"/>
  <c r="T489" i="2"/>
  <c r="T539" i="2"/>
  <c r="T581" i="2"/>
  <c r="T587" i="2"/>
  <c r="T616" i="2"/>
  <c r="T634" i="2"/>
  <c r="T682" i="2"/>
  <c r="T733" i="2"/>
  <c r="T778" i="2"/>
  <c r="T819" i="2"/>
  <c r="T826" i="2"/>
  <c r="T671" i="2"/>
  <c r="T703" i="2"/>
  <c r="T748" i="2"/>
  <c r="T796" i="2"/>
  <c r="T803" i="2"/>
  <c r="T817" i="2"/>
  <c r="T512" i="2"/>
  <c r="T547" i="2"/>
  <c r="T557" i="2"/>
  <c r="T743" i="2"/>
  <c r="T788" i="2"/>
  <c r="T801" i="2"/>
  <c r="T398" i="2"/>
  <c r="T466" i="2"/>
  <c r="T527" i="2"/>
  <c r="T550" i="2"/>
  <c r="T553" i="2"/>
  <c r="T596" i="2"/>
  <c r="T605" i="2"/>
  <c r="T636" i="2"/>
  <c r="T639" i="2"/>
  <c r="T643" i="2"/>
  <c r="T691" i="2"/>
  <c r="T711" i="2"/>
  <c r="T805" i="2"/>
  <c r="T506" i="2"/>
  <c r="T630" i="2"/>
  <c r="T640" i="2"/>
  <c r="T653" i="2"/>
  <c r="T690" i="2"/>
  <c r="T696" i="2"/>
  <c r="T769" i="2"/>
  <c r="T783" i="2"/>
  <c r="T807" i="2"/>
  <c r="T811" i="2"/>
  <c r="T747" i="2"/>
  <c r="T782" i="2"/>
  <c r="T799" i="2"/>
  <c r="T824" i="2"/>
  <c r="T51" i="2"/>
  <c r="T53" i="2"/>
  <c r="T29" i="2"/>
  <c r="T43" i="2"/>
  <c r="T31" i="2"/>
  <c r="T32" i="2"/>
  <c r="T55" i="2"/>
  <c r="T28" i="2"/>
  <c r="T44" i="2"/>
  <c r="T33" i="2"/>
  <c r="T57" i="2"/>
  <c r="T52" i="2"/>
  <c r="T34" i="2"/>
  <c r="T35" i="2"/>
  <c r="T36" i="2"/>
  <c r="T45" i="2"/>
  <c r="T46" i="2"/>
  <c r="T58" i="2"/>
  <c r="T59" i="2"/>
  <c r="T40" i="2"/>
  <c r="T42" i="2"/>
  <c r="T23" i="2"/>
  <c r="T37" i="2"/>
  <c r="T47" i="2"/>
  <c r="T41" i="2"/>
  <c r="T54" i="2"/>
  <c r="T8" i="2"/>
  <c r="T18" i="2"/>
  <c r="T48" i="2"/>
  <c r="T38" i="2"/>
  <c r="T39" i="2"/>
  <c r="T49" i="2"/>
  <c r="T50" i="2"/>
  <c r="T68" i="2"/>
  <c r="T107" i="2"/>
  <c r="T134" i="2"/>
  <c r="T7" i="2"/>
  <c r="T17" i="2"/>
  <c r="T21" i="2"/>
  <c r="T73" i="2"/>
  <c r="T3" i="2"/>
  <c r="T11" i="2"/>
  <c r="T15" i="2"/>
  <c r="T105" i="2"/>
  <c r="T87" i="2"/>
  <c r="T147" i="2"/>
  <c r="T66" i="2"/>
  <c r="T101" i="2"/>
  <c r="T146" i="2"/>
  <c r="T60" i="2"/>
  <c r="T84" i="2"/>
  <c r="T116" i="2"/>
  <c r="T158" i="2"/>
  <c r="T178" i="2"/>
  <c r="T75" i="2"/>
  <c r="T99" i="2"/>
  <c r="T172" i="2"/>
  <c r="T289" i="2"/>
  <c r="T114" i="2"/>
  <c r="T140" i="2"/>
  <c r="T183" i="2"/>
  <c r="T224" i="2"/>
  <c r="T92" i="2"/>
  <c r="T122" i="2"/>
  <c r="T167" i="2"/>
  <c r="T223" i="2"/>
  <c r="T256" i="2"/>
  <c r="T67" i="2"/>
  <c r="T74" i="2"/>
  <c r="T85" i="2"/>
  <c r="T93" i="2"/>
  <c r="T100" i="2"/>
  <c r="T106" i="2"/>
  <c r="T115" i="2"/>
  <c r="T121" i="2"/>
  <c r="T127" i="2"/>
  <c r="T128" i="2"/>
  <c r="T156" i="2"/>
  <c r="T163" i="2"/>
  <c r="T188" i="2"/>
  <c r="T195" i="2"/>
  <c r="T204" i="2"/>
  <c r="T240" i="2"/>
  <c r="T277" i="2"/>
  <c r="T83" i="2"/>
  <c r="T98" i="2"/>
  <c r="T113" i="2"/>
  <c r="T124" i="2"/>
  <c r="T152" i="2"/>
  <c r="T153" i="2"/>
  <c r="T169" i="2"/>
  <c r="T180" i="2"/>
  <c r="T185" i="2"/>
  <c r="T297" i="2"/>
  <c r="T142" i="2"/>
  <c r="T174" i="2"/>
  <c r="T214" i="2"/>
  <c r="T261" i="2"/>
  <c r="T357" i="2"/>
  <c r="T361" i="2"/>
  <c r="T137" i="2"/>
  <c r="T138" i="2"/>
  <c r="T148" i="2"/>
  <c r="T165" i="2"/>
  <c r="T170" i="2"/>
  <c r="T190" i="2"/>
  <c r="T199" i="2"/>
  <c r="T206" i="2"/>
  <c r="T247" i="2"/>
  <c r="T283" i="2"/>
  <c r="T125" i="2"/>
  <c r="T132" i="2"/>
  <c r="T161" i="2"/>
  <c r="T176" i="2"/>
  <c r="T201" i="2"/>
  <c r="T231" i="2"/>
  <c r="T303" i="2"/>
  <c r="T321" i="2"/>
  <c r="T65" i="2"/>
  <c r="T82" i="2"/>
  <c r="T97" i="2"/>
  <c r="T112" i="2"/>
  <c r="T129" i="2"/>
  <c r="T150" i="2"/>
  <c r="T182" i="2"/>
  <c r="T269" i="2"/>
  <c r="T318" i="2"/>
  <c r="T426" i="2"/>
  <c r="T443" i="2"/>
  <c r="T548" i="2"/>
  <c r="T304" i="2"/>
  <c r="T312" i="2"/>
  <c r="T348" i="2"/>
  <c r="T376" i="2"/>
  <c r="T406" i="2"/>
  <c r="T311" i="2"/>
  <c r="T317" i="2"/>
  <c r="T319" i="2"/>
  <c r="T333" i="2"/>
  <c r="T375" i="2"/>
  <c r="T310" i="2"/>
  <c r="T326" i="2"/>
  <c r="T367" i="2"/>
  <c r="T393" i="2"/>
  <c r="T314" i="2"/>
  <c r="T320" i="2"/>
  <c r="T378" i="2"/>
  <c r="T307" i="2"/>
  <c r="T342" i="2"/>
  <c r="T392" i="2"/>
  <c r="T405" i="2"/>
  <c r="T414" i="2"/>
  <c r="T418" i="2"/>
  <c r="T422" i="2"/>
  <c r="T380" i="2"/>
  <c r="T384" i="2"/>
  <c r="T354" i="2"/>
  <c r="T379" i="2"/>
  <c r="T381" i="2"/>
  <c r="T445" i="2"/>
  <c r="T331" i="2"/>
  <c r="T344" i="2"/>
  <c r="T351" i="2"/>
  <c r="T362" i="2"/>
  <c r="T364" i="2"/>
  <c r="T369" i="2"/>
  <c r="T371" i="2"/>
  <c r="T385" i="2"/>
  <c r="T387" i="2"/>
  <c r="T389" i="2"/>
  <c r="T394" i="2"/>
  <c r="T397" i="2"/>
  <c r="T400" i="2"/>
  <c r="T475" i="2"/>
  <c r="T598" i="2"/>
  <c r="T441" i="2"/>
  <c r="T446" i="2"/>
  <c r="T444" i="2"/>
  <c r="T502" i="2"/>
  <c r="T395" i="2"/>
  <c r="T402" i="2"/>
  <c r="T408" i="2"/>
  <c r="T411" i="2"/>
  <c r="T429" i="2"/>
  <c r="T437" i="2"/>
  <c r="T439" i="2"/>
  <c r="T451" i="2"/>
  <c r="T453" i="2"/>
  <c r="T464" i="2"/>
  <c r="T488" i="2"/>
  <c r="T537" i="2"/>
  <c r="T410" i="2"/>
  <c r="T465" i="2"/>
  <c r="T472" i="2"/>
  <c r="T534" i="2"/>
  <c r="T431" i="2"/>
  <c r="T440" i="2"/>
  <c r="T479" i="2"/>
  <c r="T514" i="2"/>
  <c r="T478" i="2"/>
  <c r="T484" i="2"/>
  <c r="T491" i="2"/>
  <c r="T471" i="2"/>
  <c r="T505" i="2"/>
  <c r="T521" i="2"/>
  <c r="T541" i="2"/>
  <c r="T552" i="2"/>
  <c r="T559" i="2"/>
  <c r="T561" i="2"/>
  <c r="T577" i="2"/>
  <c r="T583" i="2"/>
  <c r="T584" i="2"/>
  <c r="T608" i="2"/>
  <c r="T454" i="2"/>
  <c r="T473" i="2"/>
  <c r="T487" i="2"/>
  <c r="T501" i="2"/>
  <c r="T560" i="2"/>
  <c r="T504" i="2"/>
  <c r="T536" i="2"/>
  <c r="T567" i="2"/>
  <c r="T575" i="2"/>
  <c r="T576" i="2"/>
  <c r="T592" i="2"/>
  <c r="T607" i="2"/>
  <c r="T469" i="2"/>
  <c r="T482" i="2"/>
  <c r="T509" i="2"/>
  <c r="T601" i="2"/>
  <c r="T765" i="2"/>
  <c r="T546" i="2"/>
  <c r="T591" i="2"/>
  <c r="T494" i="2"/>
  <c r="T497" i="2"/>
  <c r="T508" i="2"/>
  <c r="T511" i="2"/>
  <c r="T525" i="2"/>
  <c r="T530" i="2"/>
  <c r="T543" i="2"/>
  <c r="T612" i="2"/>
  <c r="T641" i="2"/>
  <c r="T685" i="2"/>
  <c r="T493" i="2"/>
  <c r="T503" i="2"/>
  <c r="T517" i="2"/>
  <c r="T545" i="2"/>
  <c r="T554" i="2"/>
  <c r="T555" i="2"/>
  <c r="T622" i="2"/>
  <c r="T644" i="2"/>
  <c r="T669" i="2"/>
  <c r="T674" i="2"/>
  <c r="T679" i="2"/>
  <c r="T621" i="2"/>
  <c r="T633" i="2"/>
  <c r="T654" i="2"/>
  <c r="T661" i="2"/>
  <c r="T684" i="2"/>
  <c r="T627" i="2"/>
  <c r="T637" i="2"/>
  <c r="T655" i="2"/>
  <c r="T663" i="2"/>
  <c r="T779" i="2"/>
  <c r="T556" i="2"/>
  <c r="T572" i="2"/>
  <c r="T603" i="2"/>
  <c r="T617" i="2"/>
  <c r="T632" i="2"/>
  <c r="T694" i="2"/>
  <c r="T705" i="2"/>
  <c r="T599" i="2"/>
  <c r="T613" i="2"/>
  <c r="T645" i="2"/>
  <c r="T651" i="2"/>
  <c r="T659" i="2"/>
  <c r="T660" i="2"/>
  <c r="T597" i="2"/>
  <c r="T611" i="2"/>
  <c r="T626" i="2"/>
  <c r="T642" i="2"/>
  <c r="T664" i="2"/>
  <c r="T666" i="2"/>
  <c r="T693" i="2"/>
  <c r="T719" i="2"/>
  <c r="T785" i="2"/>
  <c r="T794" i="2"/>
  <c r="T798" i="2"/>
  <c r="T800" i="2"/>
  <c r="T828" i="2"/>
  <c r="T668" i="2"/>
  <c r="T713" i="2"/>
  <c r="T821" i="2"/>
  <c r="T677" i="2"/>
  <c r="T698" i="2"/>
  <c r="T699" i="2"/>
  <c r="T702" i="2"/>
  <c r="T729" i="2"/>
  <c r="T816" i="2"/>
  <c r="T681" i="2"/>
  <c r="T707" i="2"/>
  <c r="T721" i="2"/>
  <c r="T744" i="2"/>
  <c r="T652" i="2"/>
  <c r="T662" i="2"/>
  <c r="T723" i="2"/>
  <c r="T731" i="2"/>
  <c r="T735" i="2"/>
  <c r="T756" i="2"/>
  <c r="T806" i="2"/>
  <c r="T813" i="2"/>
  <c r="T814" i="2"/>
  <c r="T737" i="2"/>
  <c r="T746" i="2"/>
  <c r="T749" i="2"/>
  <c r="T777" i="2"/>
  <c r="T808" i="2"/>
  <c r="T686" i="2"/>
  <c r="T689" i="2"/>
  <c r="T697" i="2"/>
  <c r="T712" i="2"/>
  <c r="T757" i="2"/>
  <c r="T763" i="2"/>
  <c r="T792" i="2"/>
  <c r="T812" i="2"/>
  <c r="T820" i="2"/>
  <c r="T830" i="2"/>
  <c r="T695" i="2"/>
  <c r="T709" i="2"/>
  <c r="T717" i="2"/>
  <c r="T726" i="2"/>
  <c r="T741" i="2"/>
  <c r="T753" i="2"/>
  <c r="T759" i="2"/>
  <c r="T770" i="2"/>
  <c r="T781" i="2"/>
  <c r="T789" i="2"/>
  <c r="T795" i="2"/>
  <c r="T804" i="2"/>
  <c r="T810" i="2"/>
  <c r="T818" i="2"/>
  <c r="T825" i="2"/>
  <c r="T829" i="2"/>
  <c r="T701" i="2"/>
  <c r="T715" i="2"/>
  <c r="T725" i="2"/>
  <c r="T739" i="2"/>
  <c r="T752" i="2"/>
  <c r="T768" i="2"/>
  <c r="T787" i="2"/>
  <c r="T802" i="2"/>
  <c r="T823" i="2"/>
  <c r="T832" i="2"/>
  <c r="T727" i="2"/>
  <c r="T742" i="2"/>
  <c r="T754" i="2"/>
  <c r="T771" i="2"/>
  <c r="T815" i="2"/>
  <c r="L11" i="42" l="1"/>
  <c r="O11" i="42"/>
  <c r="G13" i="42" l="1"/>
  <c r="G11" i="42" s="1"/>
  <c r="BZ13" i="42"/>
  <c r="BZ11" i="42" s="1"/>
  <c r="D13" i="42"/>
  <c r="Q1" i="2"/>
  <c r="CA13" i="42" l="1"/>
  <c r="F11" i="42"/>
  <c r="I11" i="42"/>
  <c r="H13" i="42"/>
  <c r="Y13" i="42" l="1"/>
  <c r="Z11" i="42"/>
  <c r="H11" i="42"/>
  <c r="J13" i="42" l="1"/>
  <c r="A13" i="42" s="1"/>
  <c r="A12" i="42" s="1"/>
  <c r="Y11" i="42"/>
  <c r="J11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tc={68EA9A5D-E14F-4DBC-92E2-9CBA0EEC164C}</author>
    <author>tc={C5745DE7-F969-451B-A20E-54FFC0F74291}</author>
  </authors>
  <commentList>
    <comment ref="E21" authorId="0" shapeId="0" xr:uid="{68EA9A5D-E14F-4DBC-92E2-9CBA0EEC164C}">
      <text>
        <t>[對話串註解]
您的 Excel 版本可讓您讀取此對話串註解; 但若以較新的 Excel 版本開啟此檔案，將會移除對它進行的所有編輯。深入了解: https://go.microsoft.com/fwlink/?linkid=870924。
註解:
    12:00-15:00</t>
      </text>
    </comment>
    <comment ref="F21" authorId="1" shapeId="0" xr:uid="{C5745DE7-F969-451B-A20E-54FFC0F74291}">
      <text>
        <t>[對話串註解]
您的 Excel 版本可讓您讀取此對話串註解; 但若以較新的 Excel 版本開啟此檔案，將會移除對它進行的所有編輯。深入了解: https://go.microsoft.com/fwlink/?linkid=870924。
註解:
    12:00-19:00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2A36F-523F-41EB-BB2C-12D4F54F94B6}" keepAlive="1" name="查詢 - 表格4" description="與活頁簿中 '表格4' 查詢的連接。" type="5" refreshedVersion="8" background="1" saveData="1">
    <dbPr connection="Provider=Microsoft.Mashup.OleDb.1;Data Source=$Workbook$;Location=表格4;Extended Properties=&quot;&quot;" command="SELECT * FROM [表格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<sst xmlns="http://schemas.openxmlformats.org/spreadsheetml/2006/main" count="25100" uniqueCount="2484">
  <si>
    <t>已入數</t>
  </si>
  <si>
    <t>0數</t>
  </si>
  <si>
    <t>OFF</t>
  </si>
  <si>
    <t>-</t>
  </si>
  <si>
    <t>更正</t>
  </si>
  <si>
    <t>May C</t>
  </si>
  <si>
    <t>Terry</t>
  </si>
  <si>
    <t>No.</t>
  </si>
  <si>
    <t>Shop</t>
  </si>
  <si>
    <t>Location</t>
  </si>
  <si>
    <t>Name</t>
  </si>
  <si>
    <t>month</t>
  </si>
  <si>
    <t>date</t>
  </si>
  <si>
    <t>Model</t>
  </si>
  <si>
    <t>Product Line</t>
  </si>
  <si>
    <t>大/細電</t>
  </si>
  <si>
    <t>Catalog</t>
  </si>
  <si>
    <t>Input</t>
  </si>
  <si>
    <t>QTY</t>
  </si>
  <si>
    <t>Unit Price</t>
  </si>
  <si>
    <t>Total Amount</t>
  </si>
  <si>
    <t>inv no</t>
  </si>
  <si>
    <t>apps report no.</t>
  </si>
  <si>
    <t>remark2</t>
  </si>
  <si>
    <t>SRP</t>
  </si>
  <si>
    <t>Suning</t>
  </si>
  <si>
    <t>A28HSZ</t>
  </si>
  <si>
    <t>SGS20</t>
  </si>
  <si>
    <t>DR10T</t>
  </si>
  <si>
    <t>17SHNH</t>
  </si>
  <si>
    <t>45SF</t>
  </si>
  <si>
    <t>H713</t>
  </si>
  <si>
    <t>7HMH</t>
  </si>
  <si>
    <t>DS10K</t>
  </si>
  <si>
    <t>DX10T</t>
  </si>
  <si>
    <t>34AHK</t>
  </si>
  <si>
    <t>17DRNH</t>
  </si>
  <si>
    <t>TKO</t>
  </si>
  <si>
    <t>Broadway</t>
  </si>
  <si>
    <t>Citistore</t>
  </si>
  <si>
    <t>30FL</t>
  </si>
  <si>
    <t>10JRNH</t>
  </si>
  <si>
    <t>10IRPH</t>
  </si>
  <si>
    <t>DS18K</t>
  </si>
  <si>
    <t>18JRNH</t>
  </si>
  <si>
    <t>10DRNH</t>
  </si>
  <si>
    <t>DR18T</t>
  </si>
  <si>
    <t>18DRNH</t>
  </si>
  <si>
    <t>M731</t>
  </si>
  <si>
    <t>RC-DS10K</t>
  </si>
  <si>
    <t>RC-DS18K</t>
  </si>
  <si>
    <t>RC-DR10L</t>
  </si>
  <si>
    <t>Report-Model-List</t>
  </si>
  <si>
    <t>SRP PRICE</t>
  </si>
  <si>
    <t>TOSHIBA/HIGHEST</t>
  </si>
  <si>
    <t>OLD PRICE</t>
  </si>
  <si>
    <t>OLD SPR</t>
  </si>
  <si>
    <t>Toshiba SRP</t>
  </si>
  <si>
    <t>AW-B1000GH(WG)</t>
  </si>
  <si>
    <t>9KG700轉低水位洗衣機</t>
  </si>
  <si>
    <t>大電</t>
  </si>
  <si>
    <t>WM</t>
  </si>
  <si>
    <t>AW-B1000GPH(WG)</t>
  </si>
  <si>
    <t>9KG700轉高水位洗衣機</t>
  </si>
  <si>
    <t>AWDC1000CH(WB)</t>
  </si>
  <si>
    <t>DC1000CH(WB)</t>
  </si>
  <si>
    <t>日式洗衣乾衣機</t>
  </si>
  <si>
    <t>AW-DL1000FH(KK)</t>
  </si>
  <si>
    <t>DL1000FH</t>
  </si>
  <si>
    <t>9KG低水位全自動洗衣機</t>
  </si>
  <si>
    <t>AW-DUH1200GH(DS)</t>
  </si>
  <si>
    <t>11KG低水位直驅變頻摩打洗衣機</t>
  </si>
  <si>
    <t>AW-E900LM(WB)</t>
  </si>
  <si>
    <t>E900LM(WB)</t>
  </si>
  <si>
    <t>8KG洗衣機</t>
  </si>
  <si>
    <t>AW-F700EH(WG)</t>
  </si>
  <si>
    <t>F700EH(WG)</t>
  </si>
  <si>
    <t>6KG700轉高水位日式洗衣機</t>
  </si>
  <si>
    <t>AW-F700EPH(WG)</t>
  </si>
  <si>
    <t>F700EPH(WG)</t>
  </si>
  <si>
    <t>6KG700轉低水位日式洗衣機</t>
  </si>
  <si>
    <t>AW-F750SH</t>
  </si>
  <si>
    <t>F750SH</t>
  </si>
  <si>
    <t>6.5KG700轉低水位上置式洗衣機</t>
  </si>
  <si>
    <t>AW-J750APH(WW)</t>
  </si>
  <si>
    <t>J750APH(WW)</t>
  </si>
  <si>
    <t>AW-J800AH</t>
  </si>
  <si>
    <t>J800AH</t>
  </si>
  <si>
    <t>7KG低水位全自動洗衣機</t>
  </si>
  <si>
    <t>AW-J800APH</t>
  </si>
  <si>
    <t>J800APH</t>
  </si>
  <si>
    <t>7KG700轉日式全自動洗衣機</t>
  </si>
  <si>
    <t>AW-J800APH1</t>
  </si>
  <si>
    <t>J800APH1</t>
  </si>
  <si>
    <t>7KG高水位全自動洗衣機</t>
  </si>
  <si>
    <t>Shops Highest Price</t>
  </si>
  <si>
    <t>AW-J900DH</t>
  </si>
  <si>
    <t>J900DH(WW)</t>
  </si>
  <si>
    <t>8KG低水位全自動洗衣機</t>
  </si>
  <si>
    <t>AW-J900DPH</t>
  </si>
  <si>
    <t>J900DPH</t>
  </si>
  <si>
    <t>8KG700轉日式全自動洗衣機</t>
  </si>
  <si>
    <t>AW-J900DPH1</t>
  </si>
  <si>
    <t>J900DPH1</t>
  </si>
  <si>
    <t>8KG高水位全自動洗衣機</t>
  </si>
  <si>
    <t>AW-K731APH(WW)</t>
  </si>
  <si>
    <t>K731APH</t>
  </si>
  <si>
    <t>6.3KG結合高低水位洗衣機</t>
  </si>
  <si>
    <t xml:space="preserve">CAF-N20(W)HKG </t>
  </si>
  <si>
    <t xml:space="preserve">N20(W)HKG </t>
  </si>
  <si>
    <t>空氣清新機</t>
  </si>
  <si>
    <t>N/A</t>
  </si>
  <si>
    <t>CF-AF30AH(Y)</t>
  </si>
  <si>
    <t>AF30AH(Y)</t>
  </si>
  <si>
    <t>氣炸鍋</t>
  </si>
  <si>
    <t>AM820AH</t>
  </si>
  <si>
    <t>微波爐</t>
  </si>
  <si>
    <t>CF-GM3020AH(Y)</t>
  </si>
  <si>
    <t>GM3020AH(Y)</t>
  </si>
  <si>
    <t>多功能料理鍋</t>
  </si>
  <si>
    <t>CF-HB30AH(Y)</t>
  </si>
  <si>
    <t>HB30AH(Y)</t>
  </si>
  <si>
    <t>手提攪拌機</t>
  </si>
  <si>
    <t>CF-HM30AH(Y)</t>
  </si>
  <si>
    <t>HM30AH(Y)</t>
  </si>
  <si>
    <t>手提式打蛋器</t>
  </si>
  <si>
    <t>CF-MC30AH(Y)</t>
  </si>
  <si>
    <t>MC30AH(Y)</t>
  </si>
  <si>
    <t>絞肉機</t>
  </si>
  <si>
    <t>CF-MP16AH(Y)</t>
  </si>
  <si>
    <t>MP16AH(Y)</t>
  </si>
  <si>
    <t>迷你電煮鍋</t>
  </si>
  <si>
    <t>CF-SG1312AH(Y)</t>
  </si>
  <si>
    <t>SG1312AH(Y)</t>
  </si>
  <si>
    <t>三文治機</t>
  </si>
  <si>
    <t>dishwasher power gift</t>
  </si>
  <si>
    <t>DWS-22AHK</t>
  </si>
  <si>
    <t>22AHK</t>
  </si>
  <si>
    <t>洗碗碟機</t>
  </si>
  <si>
    <t>細電</t>
  </si>
  <si>
    <t>DM</t>
  </si>
  <si>
    <t>ER-GD400HK</t>
  </si>
  <si>
    <t>GD400HK</t>
  </si>
  <si>
    <t>純蒸氣烤焗水波爐31L</t>
  </si>
  <si>
    <t>SDA</t>
  </si>
  <si>
    <t>ER-LD430HK</t>
  </si>
  <si>
    <t>LD430HK</t>
  </si>
  <si>
    <t>ER-ND300HK(XR)</t>
  </si>
  <si>
    <t>蒸氣烤焗水波爐30L</t>
  </si>
  <si>
    <t>ER-SGS20(W)HKG</t>
  </si>
  <si>
    <t>輕觸式燒烤微波爐20L</t>
  </si>
  <si>
    <t>ER-SGS25</t>
  </si>
  <si>
    <t>SGS25</t>
  </si>
  <si>
    <t>輕觸式燒烤微波爐25L</t>
  </si>
  <si>
    <t>ER-SM20(W)HKG</t>
  </si>
  <si>
    <t>SM20WHKG</t>
  </si>
  <si>
    <t>旋鈕式微波爐20L</t>
  </si>
  <si>
    <t>ER-SS20(W)HKG</t>
  </si>
  <si>
    <t>SS20(W)HKG</t>
  </si>
  <si>
    <t>輕觸式微波爐20L</t>
  </si>
  <si>
    <t>ER-TD5000HK(XK)</t>
  </si>
  <si>
    <t>TD5000hkxk</t>
  </si>
  <si>
    <t>座檯式純蒸氣烤焗水波爐30L</t>
  </si>
  <si>
    <t>e-STUDIO 352</t>
  </si>
  <si>
    <t>黑白複合機</t>
  </si>
  <si>
    <t>ET-TD7080(PN)</t>
  </si>
  <si>
    <t>TD7080</t>
  </si>
  <si>
    <t>多士焗爐8L</t>
  </si>
  <si>
    <t>F-LSA10(W)HKG</t>
  </si>
  <si>
    <t>SA10(W)HKG</t>
  </si>
  <si>
    <t>16吋座地風扇</t>
  </si>
  <si>
    <t>EAD</t>
  </si>
  <si>
    <t>F-LSD10(W)HKG</t>
  </si>
  <si>
    <t>SD10(W)HKG</t>
  </si>
  <si>
    <t>16吋直流變頻風扇</t>
  </si>
  <si>
    <t>F-LYA20(W)HKG</t>
  </si>
  <si>
    <t>YA20(W)HKG</t>
  </si>
  <si>
    <t>12吋2合1座地座檯電風扇連遙控</t>
  </si>
  <si>
    <t>GR-A25HSDS</t>
  </si>
  <si>
    <t>A25HSDS</t>
  </si>
  <si>
    <t>雙門變頻式環保雪櫃192L</t>
  </si>
  <si>
    <t>REF</t>
  </si>
  <si>
    <t>GR-A25HSZ</t>
  </si>
  <si>
    <t>A25HSZ</t>
  </si>
  <si>
    <t>GR-A28HS(DS)</t>
  </si>
  <si>
    <t>A28HSDS</t>
  </si>
  <si>
    <t>雙門變頻式環保雪櫃231L</t>
  </si>
  <si>
    <t>GR-A28HSZ(DS)</t>
  </si>
  <si>
    <t>GR-A32HBZ(DS)</t>
  </si>
  <si>
    <t>A32HBZ(DS)</t>
  </si>
  <si>
    <t>雙門變頻式環保雪櫃305L</t>
  </si>
  <si>
    <t>GR-A37HBZ(DS)</t>
  </si>
  <si>
    <t>A37HBZ(DS)</t>
  </si>
  <si>
    <t>雙門變頻式環保雪櫃330L</t>
  </si>
  <si>
    <t>GR-B22HU(SS)</t>
  </si>
  <si>
    <t>B22HU</t>
  </si>
  <si>
    <t>雙門變頻式環保雪櫃177L</t>
  </si>
  <si>
    <t>GR-H708</t>
  </si>
  <si>
    <t>H708</t>
  </si>
  <si>
    <t>單門直冷式環保雪櫃50L</t>
  </si>
  <si>
    <t>GR-H713(WH)</t>
  </si>
  <si>
    <t>單門直冷式環保雪櫃44L</t>
  </si>
  <si>
    <t>GR-H912</t>
  </si>
  <si>
    <t>H912</t>
  </si>
  <si>
    <t>單門直冷式環保雪櫃80L</t>
  </si>
  <si>
    <t>GR-H913(WH)</t>
  </si>
  <si>
    <t>H913</t>
  </si>
  <si>
    <t>單門直冷式環保雪櫃81L</t>
  </si>
  <si>
    <t>GR-M25HBZ(DS)</t>
  </si>
  <si>
    <t>M25HBZ(DS)</t>
  </si>
  <si>
    <t>雙門變頻式環保雪櫃186L</t>
  </si>
  <si>
    <t>GR-M28HBZ(DS)</t>
  </si>
  <si>
    <t>M28HBZ(DS)</t>
  </si>
  <si>
    <t>雙門變頻式環保雪櫃226L</t>
  </si>
  <si>
    <t>GR-RB308WE-DMA(06)</t>
  </si>
  <si>
    <t>RB308WED</t>
  </si>
  <si>
    <t>雙門環保雪櫃 295L</t>
  </si>
  <si>
    <t>GR-RB308WE-DMA(06)-LEFT</t>
  </si>
  <si>
    <t>RB308WE-L</t>
  </si>
  <si>
    <t>雙門環保雪櫃 295L(左門)</t>
  </si>
  <si>
    <t>GR-RB359WE-PMA(06)</t>
  </si>
  <si>
    <t>RB359WEP</t>
  </si>
  <si>
    <t>變頻下置式雙門雪櫃268L</t>
  </si>
  <si>
    <t>GR-RB359WE-PMA(06)-LEFT</t>
  </si>
  <si>
    <t>RB359WE-L</t>
  </si>
  <si>
    <t>變頻下置式雙門雪櫃268L(左門)</t>
  </si>
  <si>
    <t>GR-RB360WE-PMA(06)</t>
  </si>
  <si>
    <t>RB360WE</t>
  </si>
  <si>
    <t>變頻下置式雙門雪櫃系列270L</t>
  </si>
  <si>
    <t>GR-RM424WE-PMA(37)</t>
  </si>
  <si>
    <t>RM424WE-PMA(37)</t>
  </si>
  <si>
    <t>三門變頻雪櫃系列268L</t>
  </si>
  <si>
    <t>GR-RT416WE-PMA(06)</t>
  </si>
  <si>
    <t>RT416WE-PMT(06)</t>
  </si>
  <si>
    <t xml:space="preserve">變頻上置式雙門雪櫃313L </t>
  </si>
  <si>
    <t>RT468WE-PMA(06)</t>
  </si>
  <si>
    <t>變頻上置式雙門雪櫃339L</t>
  </si>
  <si>
    <t>Han6dihk</t>
  </si>
  <si>
    <t>多功能煮食爐</t>
  </si>
  <si>
    <t>KT-15DRRH</t>
  </si>
  <si>
    <t>15DRRH</t>
  </si>
  <si>
    <t>1.5L無線雙層電熱水壺</t>
  </si>
  <si>
    <t>KT-17DRNH</t>
  </si>
  <si>
    <t>1.7L電熱水壺</t>
  </si>
  <si>
    <t>KT-17SH1NH</t>
  </si>
  <si>
    <t>17SH1NH</t>
  </si>
  <si>
    <t>1.7L無線雙層電熱水壺(有窗)</t>
  </si>
  <si>
    <t>KT-17SHNH</t>
  </si>
  <si>
    <t>1.7L無線雙層電熱水壺</t>
  </si>
  <si>
    <t>KT-17SSPH</t>
  </si>
  <si>
    <t>17SSPH</t>
  </si>
  <si>
    <t>1.7L無線保溫電熱水壺</t>
  </si>
  <si>
    <t>MS1-TC20SC(BK)</t>
  </si>
  <si>
    <t>TC20SC(BK)</t>
  </si>
  <si>
    <t>蒸氣焗爐20L</t>
  </si>
  <si>
    <t>MCA</t>
  </si>
  <si>
    <t>MS2-TQ20SC(BK)</t>
  </si>
  <si>
    <t>TQ20SC</t>
  </si>
  <si>
    <t>MS5-TR30SC(BK)</t>
  </si>
  <si>
    <t>TR30SC</t>
  </si>
  <si>
    <t>蒸氣焗爐30L</t>
  </si>
  <si>
    <t>MV-AG21TF(BK)</t>
  </si>
  <si>
    <t>AG21TF(BK)</t>
  </si>
  <si>
    <t>燒烤微波爐21L</t>
  </si>
  <si>
    <t>MV-TC26TF(BK)</t>
  </si>
  <si>
    <t>TC26TFBK</t>
  </si>
  <si>
    <t>多功能氣炸烤焗爐26L</t>
  </si>
  <si>
    <t>MW2-MM24PC(BK)</t>
  </si>
  <si>
    <t>MM24PC(BK)</t>
  </si>
  <si>
    <t>旋鈕式微波爐24L</t>
  </si>
  <si>
    <t>MWP-MG20P(BK)</t>
  </si>
  <si>
    <t>MG20P(BK)</t>
  </si>
  <si>
    <t>旋鈕式燒烤微波爐20L黑色</t>
  </si>
  <si>
    <t>MWP-MM20P(WH)</t>
  </si>
  <si>
    <t>MM20P</t>
  </si>
  <si>
    <t>旋鈕式燒烤微波爐20L</t>
  </si>
  <si>
    <t>MX1-TH23SC(WH)</t>
  </si>
  <si>
    <t>TH23SC(WH)</t>
  </si>
  <si>
    <t>微波蒸焗爐23L</t>
  </si>
  <si>
    <t>25FL</t>
  </si>
  <si>
    <t>電熱水瓶2.5L</t>
  </si>
  <si>
    <t>PLK-30FLIH(WT)</t>
  </si>
  <si>
    <t>電熱水瓶3L</t>
  </si>
  <si>
    <t>PLK-45SFIH(WT)</t>
  </si>
  <si>
    <t>電熱水瓶4.5L</t>
  </si>
  <si>
    <t>RAC-07N-HK</t>
  </si>
  <si>
    <t>07N-HK</t>
  </si>
  <si>
    <t>3/4匹窗口式冷氣機(無搖控)</t>
  </si>
  <si>
    <t>AC</t>
  </si>
  <si>
    <t>RAC-07NR-HK</t>
  </si>
  <si>
    <t>07NR-HK</t>
  </si>
  <si>
    <t>3/4匹窗口式冷氣機(有搖控)</t>
  </si>
  <si>
    <t>RAC-07NRX-HK</t>
  </si>
  <si>
    <t>07NRX-HK</t>
  </si>
  <si>
    <t>3/4匹窗口式冷氣機(獨立抽濕LED遙控)</t>
  </si>
  <si>
    <t>RAC-09N-HK</t>
  </si>
  <si>
    <t>09N-HK</t>
  </si>
  <si>
    <t>1匹窗口式冷氣機(無搖控)</t>
  </si>
  <si>
    <t>RAC-09NR-HK</t>
  </si>
  <si>
    <t>09NR-HK</t>
  </si>
  <si>
    <t>1匹窗口式冷氣機(獨立抽濕LED遙控)</t>
  </si>
  <si>
    <t>RAC-12N-HK</t>
  </si>
  <si>
    <t>12N-HK</t>
  </si>
  <si>
    <t>1.5匹窗口式冷氣機(無搖控)</t>
  </si>
  <si>
    <t>RAC-12NR-HK</t>
  </si>
  <si>
    <t>12NR-HK</t>
  </si>
  <si>
    <t>1.5匹窗口式冷氣機(有搖控)</t>
  </si>
  <si>
    <t>RAC-18N-HK</t>
  </si>
  <si>
    <t>18N-HK</t>
  </si>
  <si>
    <t>2匹窗口式冷氣機(無搖控)</t>
  </si>
  <si>
    <t>RAC-18NR-HK</t>
  </si>
  <si>
    <t>18NR-HK</t>
  </si>
  <si>
    <t>2匹窗口式冷氣機(獨立抽濕LED遙控)</t>
  </si>
  <si>
    <t>RAC-H07F</t>
  </si>
  <si>
    <t>H07F</t>
  </si>
  <si>
    <t>3/4匹窗口式冷氣機</t>
  </si>
  <si>
    <t>RAC-H07FR</t>
  </si>
  <si>
    <t>H07FR</t>
  </si>
  <si>
    <t>RAC-H07FRX</t>
  </si>
  <si>
    <t>H07FRX</t>
  </si>
  <si>
    <t>RAC-H09F</t>
  </si>
  <si>
    <t>H09F</t>
  </si>
  <si>
    <t>1匹窗口式冷氣機</t>
  </si>
  <si>
    <t>RAC-H09FR</t>
  </si>
  <si>
    <t>H09FR</t>
  </si>
  <si>
    <t>RACH09NHK</t>
  </si>
  <si>
    <t>H09NHK</t>
  </si>
  <si>
    <t>RAC-H12F</t>
  </si>
  <si>
    <t>H12F</t>
  </si>
  <si>
    <t>1.5匹窗口式冷氣機</t>
  </si>
  <si>
    <t>RAC-H12FR</t>
  </si>
  <si>
    <t>H12FR</t>
  </si>
  <si>
    <t>1.5匹窗口式冷氣機(獨立抽濕LED遙控)</t>
  </si>
  <si>
    <t>RAC-H12NR-HK</t>
  </si>
  <si>
    <t>H12NR-HK</t>
  </si>
  <si>
    <t>RAC-H18F</t>
  </si>
  <si>
    <t>H18F</t>
  </si>
  <si>
    <t>2匹窗口式冷氣機</t>
  </si>
  <si>
    <t>RAC-H18FR</t>
  </si>
  <si>
    <t>H18FR</t>
  </si>
  <si>
    <t>RAD-DS70H</t>
  </si>
  <si>
    <t>DS70H</t>
  </si>
  <si>
    <t>7L熱石式抽濕機</t>
  </si>
  <si>
    <t>RAD-S160H</t>
  </si>
  <si>
    <t>S160H</t>
  </si>
  <si>
    <t>15.5L壓縮式抽濕機</t>
  </si>
  <si>
    <t>RAD-S180H</t>
  </si>
  <si>
    <t>S180H</t>
  </si>
  <si>
    <t>17.5L壓縮式抽濕機</t>
  </si>
  <si>
    <t>RAD-Y200H</t>
  </si>
  <si>
    <t>X200H</t>
  </si>
  <si>
    <t>20L壓縮式抽濕機</t>
  </si>
  <si>
    <t>RAD-X250H</t>
  </si>
  <si>
    <t>X250H</t>
  </si>
  <si>
    <t>24L壓縮式抽濕機</t>
  </si>
  <si>
    <t>RAD-X300H</t>
  </si>
  <si>
    <t>X300H</t>
  </si>
  <si>
    <t>30L壓縮式抽濕機</t>
  </si>
  <si>
    <t>Y200H</t>
  </si>
  <si>
    <t>21L壓縮式抽濕機</t>
  </si>
  <si>
    <t>RAD-Y250H</t>
  </si>
  <si>
    <t>Y250H</t>
  </si>
  <si>
    <t>27L壓縮式抽濕機</t>
  </si>
  <si>
    <t>RAD-Y300H</t>
  </si>
  <si>
    <t>Y300H</t>
  </si>
  <si>
    <t>1匹變頻冷暖分體式冷氣機</t>
  </si>
  <si>
    <t>RAS-10N3KCV(HK)1</t>
  </si>
  <si>
    <t>10N3KCV(HK)1</t>
  </si>
  <si>
    <t>1.1匹分體式冷氣機</t>
  </si>
  <si>
    <t>RAS13BKSHK</t>
  </si>
  <si>
    <t>13BKSHK</t>
  </si>
  <si>
    <t>1.5匹淨冷分體式冷氣機</t>
  </si>
  <si>
    <t>1.5匹變頻淨冷分體式冷氣機</t>
  </si>
  <si>
    <t>1.5匹變頻冷暖分體式冷氣機</t>
  </si>
  <si>
    <t>RAS-13N3KCV(HK)</t>
  </si>
  <si>
    <t>13N3KCV(HK)</t>
  </si>
  <si>
    <t>RAS-18BKS-HK</t>
  </si>
  <si>
    <t>18BKS-HK</t>
  </si>
  <si>
    <t>2匹淨冷分體式冷氣機</t>
  </si>
  <si>
    <t>2匹變頻淨冷分體式冷氣機</t>
  </si>
  <si>
    <t>RAS-18J2KV(HK)</t>
  </si>
  <si>
    <t>18J2KV(HK)</t>
  </si>
  <si>
    <t>2匹變頻冷暖分體式冷氣機</t>
  </si>
  <si>
    <t>RAS-18N3KCV(HK)</t>
  </si>
  <si>
    <t>18N3KCV(HK)</t>
  </si>
  <si>
    <t>RAS-22N3KCV(HK)1</t>
  </si>
  <si>
    <t>22N3KCV(HK)1</t>
  </si>
  <si>
    <t>2.5匹變頻淨冷分體式冷氣機</t>
  </si>
  <si>
    <t>RAS-24N3KCV(HK)1</t>
  </si>
  <si>
    <t>24N3KCV(HK)1</t>
  </si>
  <si>
    <t>3匹變頻淨冷分體式冷氣機</t>
  </si>
  <si>
    <t>RAS-2M18J2ACV-HK</t>
  </si>
  <si>
    <t>2M18J2ACV-HK</t>
  </si>
  <si>
    <t>一拖二變頻淨冷分體式冷氣機</t>
  </si>
  <si>
    <t>RAS-M10N3KCV(HK)</t>
  </si>
  <si>
    <t>M10N3KCV(HK)</t>
  </si>
  <si>
    <t>1匹分體式冷氣機 (多聯式變頻淨冷)</t>
  </si>
  <si>
    <t>RAS-M10N3KCV(HK)+M13N3KCV(HK)</t>
  </si>
  <si>
    <t>M10N3KCV(HK)+M13N3KCV(HK)</t>
  </si>
  <si>
    <t>1/1.5匹分體式冷氣機 (多聯式變頻淨冷)</t>
  </si>
  <si>
    <t>RAS-M10N4KCV</t>
  </si>
  <si>
    <t>M10N4KCV</t>
  </si>
  <si>
    <t>1匹分體式冷氣機</t>
  </si>
  <si>
    <t>RAS-M13N3KCV(HK) / RAS-M10N3KCV(HK)</t>
  </si>
  <si>
    <t>M13N3KCV(HK) / RAS-M10N3KCV(HK)</t>
  </si>
  <si>
    <t>RAS-M13N4KCV</t>
  </si>
  <si>
    <t>M13N4KCV</t>
  </si>
  <si>
    <t>1.5匹分體式冷氣機</t>
  </si>
  <si>
    <t>RAS-M13N4KCV+RAS-M10N4KCV</t>
  </si>
  <si>
    <t>M13N4KCV+RAS-M10N4KCV</t>
  </si>
  <si>
    <t>1/1.5匹分體式冷氣機</t>
  </si>
  <si>
    <t>RC-10DHNH</t>
  </si>
  <si>
    <t>10DHNH</t>
  </si>
  <si>
    <t>多功能本厚釜電飯煲1L</t>
  </si>
  <si>
    <t>RC-10DRNH</t>
  </si>
  <si>
    <t>多功能備長炭本厚釜電飯煲1L</t>
  </si>
  <si>
    <t>RC-10IRPH</t>
  </si>
  <si>
    <t>低醣磁應電飯煲1L</t>
  </si>
  <si>
    <t>RC-10JRNH</t>
  </si>
  <si>
    <t>電飯煲1L</t>
  </si>
  <si>
    <t>RC-10MMIH(WT)</t>
  </si>
  <si>
    <t>10MMIH</t>
  </si>
  <si>
    <t>黑塗層厚釜電飯煲1L</t>
  </si>
  <si>
    <t>RC-10NAFIH(W)</t>
  </si>
  <si>
    <t>10NAFIH</t>
  </si>
  <si>
    <t>4毫米銅釜電飯煲1L</t>
  </si>
  <si>
    <t>RC-10NMFIH(WT)</t>
  </si>
  <si>
    <t>10NMFIH</t>
  </si>
  <si>
    <t>4毫米厚釜電飯煲1L</t>
  </si>
  <si>
    <t>RC-10RHIH</t>
  </si>
  <si>
    <t>10RHIH</t>
  </si>
  <si>
    <t>鑽石鈦塗層鍋磁應電飯煲1L</t>
  </si>
  <si>
    <t>RC-18DHNH</t>
  </si>
  <si>
    <t>18DHNH</t>
  </si>
  <si>
    <t>多功能本厚釜電飯煲1.8L</t>
  </si>
  <si>
    <t>RC-18DRNH</t>
  </si>
  <si>
    <t>多功能備長炭本厚釜電飯煲1.8L</t>
  </si>
  <si>
    <t>RC-18HIHCG</t>
  </si>
  <si>
    <t>18HIHCG</t>
  </si>
  <si>
    <t>4毫米厚釜電飯煲1.8L</t>
  </si>
  <si>
    <t>RC-18ISPH</t>
  </si>
  <si>
    <t>18ISPH</t>
  </si>
  <si>
    <t>低醣磁應電飯煲1.8L</t>
  </si>
  <si>
    <t>RC-18JRNH</t>
  </si>
  <si>
    <t>電飯煲1.8L</t>
  </si>
  <si>
    <t>RC-18NAFIH(W)</t>
  </si>
  <si>
    <t>18NAFIH</t>
  </si>
  <si>
    <t>4毫米銅釜電飯煲1.8L</t>
  </si>
  <si>
    <t>RC-18NMFIH(WT)</t>
  </si>
  <si>
    <t>18NMFIH</t>
  </si>
  <si>
    <t>RC-18RHIH</t>
  </si>
  <si>
    <t>18RHIH</t>
  </si>
  <si>
    <t>鑽石鈦塗層鍋磁應電飯煲1.8L</t>
  </si>
  <si>
    <t>RC-5HMH</t>
  </si>
  <si>
    <t>5HMH</t>
  </si>
  <si>
    <t>磁應電飯煲0.7公升</t>
  </si>
  <si>
    <t>RC-5MMIH(WT)</t>
  </si>
  <si>
    <t>5MMIH</t>
  </si>
  <si>
    <t>4毫米厚釜電飯煲0.54L</t>
  </si>
  <si>
    <t>RC-5MSIH (WT)</t>
  </si>
  <si>
    <t>5MSIH (WT)</t>
  </si>
  <si>
    <t>RC-5SLIH(W)</t>
  </si>
  <si>
    <t>5SLIH</t>
  </si>
  <si>
    <t>微型電腦珍珠飯煲</t>
  </si>
  <si>
    <t>RC-7HMH</t>
  </si>
  <si>
    <t>備長炭本厚釜電飯煲0.7L</t>
  </si>
  <si>
    <t>RC-DR10L(W)</t>
  </si>
  <si>
    <t>DR10L</t>
  </si>
  <si>
    <t>IH磁應電飯煲</t>
  </si>
  <si>
    <t>RC-DR10LR</t>
  </si>
  <si>
    <t>DR10LR</t>
  </si>
  <si>
    <t>RC-DR10T(W)</t>
  </si>
  <si>
    <t>RC-DR18L(W)</t>
  </si>
  <si>
    <t>DR18L</t>
  </si>
  <si>
    <t>RC-DR18LW</t>
  </si>
  <si>
    <t>DR18LW</t>
  </si>
  <si>
    <t>RC-DR18T(W)</t>
  </si>
  <si>
    <t>IH磁應電飯煲
鑽石銅鍋</t>
  </si>
  <si>
    <t>RC-DS10K(R)</t>
  </si>
  <si>
    <t>RC-DS10L(W)</t>
  </si>
  <si>
    <t>DS10L(W)</t>
  </si>
  <si>
    <t>磁應電飯煲1L</t>
  </si>
  <si>
    <t>RC-DS18K(R)</t>
  </si>
  <si>
    <t>RC-DW10G</t>
  </si>
  <si>
    <t>DW10G</t>
  </si>
  <si>
    <t>雙重真空壓力磁應電飯煲</t>
  </si>
  <si>
    <t>RC-DX10H(W)</t>
  </si>
  <si>
    <t>DX10H</t>
  </si>
  <si>
    <t>RC-DX18H(W)</t>
  </si>
  <si>
    <t>DX18H</t>
  </si>
  <si>
    <t>RC-DZ10J</t>
  </si>
  <si>
    <t>DZ10J</t>
  </si>
  <si>
    <t>真空壓力磁應電飯煲1L</t>
  </si>
  <si>
    <t>RC-DZ4K(N)</t>
  </si>
  <si>
    <t>DZ4K</t>
  </si>
  <si>
    <t>sage cutting board gift</t>
  </si>
  <si>
    <t>TA-FVW100(R)</t>
  </si>
  <si>
    <t>FVW100</t>
  </si>
  <si>
    <t>無線蒸氣熨斗</t>
  </si>
  <si>
    <t>TA-FVW90(L)</t>
  </si>
  <si>
    <t>TFVW90L</t>
  </si>
  <si>
    <t>TAS-X3HKG(W)</t>
  </si>
  <si>
    <t>X3HKG(K)</t>
  </si>
  <si>
    <t>迷你蒸氣熨斗</t>
  </si>
  <si>
    <t>TL2-AC25GZC(GR)</t>
  </si>
  <si>
    <t>AC25</t>
  </si>
  <si>
    <t>25L健康氣炸烤焗爐</t>
  </si>
  <si>
    <t>TL-MC35Z</t>
  </si>
  <si>
    <t>MC35Z</t>
  </si>
  <si>
    <t>35L多功能電焗爐</t>
  </si>
  <si>
    <t>TW-BH85S2H</t>
  </si>
  <si>
    <t>BH85S2H</t>
  </si>
  <si>
    <t>7.5KG前置式變頻洗衣機</t>
  </si>
  <si>
    <t>TW-BH95G4H</t>
  </si>
  <si>
    <t>BH95G4H</t>
  </si>
  <si>
    <t>8.5KG前置式變頻洗衣機</t>
  </si>
  <si>
    <t>TW-BH95M4H</t>
  </si>
  <si>
    <t>BH95M4H</t>
  </si>
  <si>
    <t>8.5KG前置式洗衣機</t>
  </si>
  <si>
    <t>TW-BH95M4H1(WK)</t>
  </si>
  <si>
    <t>BH95M4H1</t>
  </si>
  <si>
    <t>TW-BK95G4H(SK)</t>
  </si>
  <si>
    <t>BK95G4H</t>
  </si>
  <si>
    <t>8.5KG蒸氣護理前置式變頻洗衣機</t>
  </si>
  <si>
    <t>TW-BL115A2H(WW)</t>
  </si>
  <si>
    <t>BL115A2H(WW)</t>
  </si>
  <si>
    <t>10.5KG前置式變頻洗衣機</t>
  </si>
  <si>
    <t>TW-BL80A2H(WW)</t>
  </si>
  <si>
    <t>BL80A2H</t>
  </si>
  <si>
    <t>7KG前置式變頻洗衣機</t>
  </si>
  <si>
    <t>TW-BL85A2H(WW)</t>
  </si>
  <si>
    <t>BL85A2H(WW)</t>
  </si>
  <si>
    <t>7.5KG超薄身前置式變頻洗衣機</t>
  </si>
  <si>
    <t>TW-BL95A2H(WW)</t>
  </si>
  <si>
    <t xml:space="preserve">BL95A2H </t>
  </si>
  <si>
    <t>TWD-BH90W4H</t>
  </si>
  <si>
    <t>BH90W4H</t>
  </si>
  <si>
    <t>8KG前置式變頻洗衣機</t>
  </si>
  <si>
    <t>TWD-BK90S2H</t>
  </si>
  <si>
    <t>BK90S2H</t>
  </si>
  <si>
    <t>TW-H80S2H</t>
  </si>
  <si>
    <t>H80S2H</t>
  </si>
  <si>
    <t>7KG前置式洗衣機</t>
  </si>
  <si>
    <t>TW-H80S2H1(WK)</t>
  </si>
  <si>
    <t>H80S2H1(WK)</t>
  </si>
  <si>
    <t>VC-CL3000XBF(R)</t>
  </si>
  <si>
    <t>CL3000XBF</t>
  </si>
  <si>
    <t>2合1無線吸塵機</t>
  </si>
  <si>
    <t>VC-CLS1BF(R)</t>
  </si>
  <si>
    <t>CLS1BF</t>
  </si>
  <si>
    <t>超輕巧2合1無線吸塵機</t>
  </si>
  <si>
    <t>VC-CLX50BF(R)</t>
  </si>
  <si>
    <t>CLX50BF</t>
  </si>
  <si>
    <t>All-in-one 輕巧無線吸塵機</t>
  </si>
  <si>
    <t>VC-WL100BFS(R)</t>
  </si>
  <si>
    <t>WL100BFSR</t>
  </si>
  <si>
    <t>直立式無線吸塵機</t>
  </si>
  <si>
    <t>IC-R19RH</t>
  </si>
  <si>
    <t>輕便式電磁爐5個功能</t>
  </si>
  <si>
    <t>IC-S19RH</t>
  </si>
  <si>
    <t>輕便式電磁爐7個功能</t>
  </si>
  <si>
    <t>Set RAS-18J2KCV(HK)</t>
  </si>
  <si>
    <t>多聯式分體冷氣機</t>
  </si>
  <si>
    <t>TWP-TSR75SHK(W)</t>
  </si>
  <si>
    <t>TSR75SHK(W)</t>
  </si>
  <si>
    <t>RO座檯式飲水機</t>
  </si>
  <si>
    <t>KWH</t>
  </si>
  <si>
    <t>AW-M901BPH(WW)</t>
  </si>
  <si>
    <t>AWM901BPH</t>
  </si>
  <si>
    <t>全自動洗衣機 (8公斤 結合高低水位)</t>
  </si>
  <si>
    <t>DWS-34AHK</t>
  </si>
  <si>
    <t>獨立式免安裝洗碗碟機</t>
  </si>
  <si>
    <t>Web SRP</t>
  </si>
  <si>
    <t>RC-DX10T(W)</t>
  </si>
  <si>
    <t>真空壓力磁應電飯煲(1.0公升)</t>
  </si>
  <si>
    <t>AW-M731APH(WW)</t>
  </si>
  <si>
    <t>全自動洗衣機 (6.3公斤 結合高低水位)</t>
  </si>
  <si>
    <t>GR-RB360WE-PMA(06)-LEFT</t>
  </si>
  <si>
    <t>rb360WE L</t>
  </si>
  <si>
    <t>RAC-18G3CVG-HK</t>
  </si>
  <si>
    <t>18G3CVG</t>
  </si>
  <si>
    <t>2 匹 R32變頻窗口式冷氣機</t>
  </si>
  <si>
    <t>RAC-09G3CVG-HK</t>
  </si>
  <si>
    <t>RAC-09G3CVG</t>
  </si>
  <si>
    <t>1匹 R32變頻窗口式冷氣機 </t>
  </si>
  <si>
    <t>AW-M801APH(WW)</t>
  </si>
  <si>
    <t>m801aph</t>
  </si>
  <si>
    <t>RAC-07G3CVG-HK</t>
  </si>
  <si>
    <t>3/4 匹 R32變頻窗口式冷氣機</t>
  </si>
  <si>
    <t>No</t>
  </si>
  <si>
    <t>SS dealer</t>
  </si>
  <si>
    <t>SS Store</t>
  </si>
  <si>
    <t>SS Account</t>
  </si>
  <si>
    <t>欄14</t>
  </si>
  <si>
    <t>SS Date</t>
  </si>
  <si>
    <t>SS Model</t>
  </si>
  <si>
    <t>SS QTY</t>
  </si>
  <si>
    <t>SS Price</t>
  </si>
  <si>
    <t>SS Inv+remark</t>
  </si>
  <si>
    <t>appsremark</t>
  </si>
  <si>
    <t>求和项:值</t>
  </si>
  <si>
    <t>price</t>
  </si>
  <si>
    <t>promoter</t>
  </si>
  <si>
    <t>model</t>
  </si>
  <si>
    <t>qty</t>
  </si>
  <si>
    <t>Yata</t>
  </si>
  <si>
    <t>T W</t>
  </si>
  <si>
    <t>Grace</t>
  </si>
  <si>
    <t>RC-18NMFIH</t>
  </si>
  <si>
    <t>RC-10NAFIH</t>
  </si>
  <si>
    <t>RAD-X200H</t>
  </si>
  <si>
    <t>MS1-TC20SC</t>
  </si>
  <si>
    <t>GR-A28HSDS</t>
  </si>
  <si>
    <t>RC-10NMFIH</t>
  </si>
  <si>
    <t>ER-SM20WHKG</t>
  </si>
  <si>
    <t>Tuen Mun</t>
  </si>
  <si>
    <t>Chiu</t>
  </si>
  <si>
    <t>RC-5MSIH</t>
  </si>
  <si>
    <t>PLK-45SFIH</t>
  </si>
  <si>
    <t>ER-SGS20</t>
  </si>
  <si>
    <t>Hang Hau</t>
  </si>
  <si>
    <t>Cindy</t>
  </si>
  <si>
    <t>Y L</t>
  </si>
  <si>
    <t>Andy</t>
  </si>
  <si>
    <t>TAS-X3HKG</t>
  </si>
  <si>
    <t>Karen</t>
  </si>
  <si>
    <t>TA-FVW100</t>
  </si>
  <si>
    <t>DAYS</t>
  </si>
  <si>
    <t>ER-TD5000HK</t>
  </si>
  <si>
    <t>RAS-13N3KCV</t>
  </si>
  <si>
    <t>RAS-22N3KCV(HK)</t>
  </si>
  <si>
    <t>RAS-10N3KCV(HK)</t>
  </si>
  <si>
    <t>ER-SM20</t>
  </si>
  <si>
    <t>列標籤</t>
  </si>
  <si>
    <t>總計</t>
  </si>
  <si>
    <t>07G3CVG</t>
  </si>
  <si>
    <t>RAC-07G3CVRG-HK</t>
  </si>
  <si>
    <t>07G3CVR</t>
  </si>
  <si>
    <t>3/4 匹 窗口式冷氣機(remote)</t>
  </si>
  <si>
    <t>RAC-18G3CVRGR-HK</t>
  </si>
  <si>
    <t>18G3CVR</t>
  </si>
  <si>
    <t>2 匹 R32變頻窗口式冷氣機 (remote)</t>
  </si>
  <si>
    <t>GR-H913(MG)</t>
  </si>
  <si>
    <t>H913M</t>
  </si>
  <si>
    <t>RAC-12G3CVRGR-HK</t>
  </si>
  <si>
    <t>12G3CVRGR-HK</t>
  </si>
  <si>
    <t>R32變頻窗口式冷氣機 (獨立抽濕遙控</t>
  </si>
  <si>
    <t>RAC-09G3CVRGR-HK</t>
  </si>
  <si>
    <t>09G3CVRGR-HK</t>
  </si>
  <si>
    <t>1 匹 R32變頻窗口式冷氣機 (獨立抽濕遙控</t>
  </si>
  <si>
    <t>RAD-X200H</t>
    <phoneticPr fontId="24" type="noConversion"/>
  </si>
  <si>
    <t>h913wh</t>
  </si>
  <si>
    <t>18g3cvrg</t>
  </si>
  <si>
    <t>913mg</t>
  </si>
  <si>
    <t>-</t>
    <phoneticPr fontId="24" type="noConversion"/>
  </si>
  <si>
    <t>CF-AM820AH(GN)</t>
  </si>
  <si>
    <t>07g3cvr</t>
    <phoneticPr fontId="24" type="noConversion"/>
  </si>
  <si>
    <t>RAS-10J2KCV(HK)</t>
  </si>
  <si>
    <t>1 匹分體式冷氣機 (變頻淨冷</t>
  </si>
  <si>
    <t>RAC-12G3CVG-HK</t>
  </si>
  <si>
    <t>1.5 匹 R32變頻窗口式冷氣機</t>
  </si>
  <si>
    <t>RAC-07G3CVRGR-HK</t>
  </si>
  <si>
    <t>07g3cvo</t>
  </si>
  <si>
    <r>
      <t xml:space="preserve">3/4 </t>
    </r>
    <r>
      <rPr>
        <sz val="12"/>
        <color theme="1"/>
        <rFont val="Microsoft JhengHei"/>
        <family val="2"/>
        <charset val="136"/>
      </rPr>
      <t>匹</t>
    </r>
    <r>
      <rPr>
        <sz val="12"/>
        <color theme="1"/>
        <rFont val="Arial Black"/>
        <family val="2"/>
      </rPr>
      <t xml:space="preserve"> </t>
    </r>
    <r>
      <rPr>
        <sz val="12"/>
        <color theme="1"/>
        <rFont val="Microsoft JhengHei"/>
        <family val="2"/>
        <charset val="136"/>
      </rPr>
      <t>窗口式冷氣機</t>
    </r>
    <r>
      <rPr>
        <sz val="12"/>
        <color theme="1"/>
        <rFont val="Arial Black"/>
        <family val="2"/>
      </rPr>
      <t>(remote/fortress)</t>
    </r>
    <phoneticPr fontId="24" type="noConversion"/>
  </si>
  <si>
    <t>07g3cvf</t>
    <phoneticPr fontId="24" type="noConversion"/>
  </si>
  <si>
    <t>RAC-07N-HK</t>
    <phoneticPr fontId="24" type="noConversion"/>
  </si>
  <si>
    <t>CFW-07FF-H</t>
  </si>
  <si>
    <t>CFW-09FF-H</t>
  </si>
  <si>
    <t>CFW-12FF-H</t>
  </si>
  <si>
    <t>CFW-18FF-H</t>
  </si>
  <si>
    <r>
      <t xml:space="preserve">Comfee </t>
    </r>
    <r>
      <rPr>
        <sz val="12"/>
        <color theme="1"/>
        <rFont val="Microsoft JhengHei"/>
        <family val="2"/>
        <charset val="136"/>
      </rPr>
      <t>窗口冷氣機</t>
    </r>
    <phoneticPr fontId="24" type="noConversion"/>
  </si>
  <si>
    <t>web SRP</t>
    <phoneticPr fontId="24" type="noConversion"/>
  </si>
  <si>
    <t>GR-A26HSZ(DS)</t>
  </si>
  <si>
    <t>雙門變頻式環保雪櫃</t>
  </si>
  <si>
    <t>AW-J800APH2(WW)</t>
  </si>
  <si>
    <t>全自動洗衣機 (7公斤 結合高低水位)</t>
  </si>
  <si>
    <t>Name</t>
    <phoneticPr fontId="24" type="noConversion"/>
  </si>
  <si>
    <t>NAME</t>
    <phoneticPr fontId="24" type="noConversion"/>
  </si>
  <si>
    <t>特佣 Total</t>
    <phoneticPr fontId="24" type="noConversion"/>
  </si>
  <si>
    <t>Total Sales Amount</t>
    <phoneticPr fontId="24" type="noConversion"/>
  </si>
  <si>
    <t>2% commision</t>
    <phoneticPr fontId="24" type="noConversion"/>
  </si>
  <si>
    <t>Total Qty</t>
    <phoneticPr fontId="24" type="noConversion"/>
  </si>
  <si>
    <t>Good Hope Fortress</t>
  </si>
  <si>
    <t>TM Suning</t>
  </si>
  <si>
    <r>
      <rPr>
        <sz val="12"/>
        <color theme="1"/>
        <rFont val="微軟正黑體"/>
        <family val="2"/>
        <charset val="136"/>
      </rPr>
      <t>全自動洗衣機</t>
    </r>
    <r>
      <rPr>
        <sz val="12"/>
        <color theme="1"/>
        <rFont val="Arial Black"/>
        <family val="2"/>
      </rPr>
      <t xml:space="preserve"> (7</t>
    </r>
    <r>
      <rPr>
        <sz val="12"/>
        <color theme="1"/>
        <rFont val="微軟正黑體"/>
        <family val="2"/>
        <charset val="136"/>
      </rPr>
      <t>公斤</t>
    </r>
    <phoneticPr fontId="24" type="noConversion"/>
  </si>
  <si>
    <t>WM</t>
    <phoneticPr fontId="24" type="noConversion"/>
  </si>
  <si>
    <t>RAC</t>
    <phoneticPr fontId="24" type="noConversion"/>
  </si>
  <si>
    <t>TWD-BN90GF4H(WK)</t>
  </si>
  <si>
    <t>BN90GF4H</t>
    <phoneticPr fontId="24" type="noConversion"/>
  </si>
  <si>
    <r>
      <rPr>
        <sz val="12"/>
        <color theme="1"/>
        <rFont val="微軟正黑體"/>
        <family val="2"/>
        <charset val="136"/>
      </rPr>
      <t>超薄身前置式洗衣乾衣機</t>
    </r>
    <r>
      <rPr>
        <sz val="12"/>
        <color theme="1"/>
        <rFont val="Arial Black"/>
        <family val="2"/>
      </rPr>
      <t xml:space="preserve"> (</t>
    </r>
    <r>
      <rPr>
        <sz val="12"/>
        <color theme="1"/>
        <rFont val="微軟正黑體"/>
        <family val="2"/>
        <charset val="136"/>
      </rPr>
      <t>洗</t>
    </r>
    <r>
      <rPr>
        <sz val="12"/>
        <color theme="1"/>
        <rFont val="Arial Black"/>
        <family val="2"/>
      </rPr>
      <t>8</t>
    </r>
    <r>
      <rPr>
        <sz val="12"/>
        <color theme="1"/>
        <rFont val="微軟正黑體"/>
        <family val="2"/>
        <charset val="136"/>
      </rPr>
      <t>公斤</t>
    </r>
    <r>
      <rPr>
        <sz val="12"/>
        <color theme="1"/>
        <rFont val="Arial Black"/>
        <family val="2"/>
      </rPr>
      <t xml:space="preserve"> </t>
    </r>
    <r>
      <rPr>
        <sz val="12"/>
        <color theme="1"/>
        <rFont val="微軟正黑體"/>
        <family val="2"/>
        <charset val="136"/>
      </rPr>
      <t>乾</t>
    </r>
    <r>
      <rPr>
        <sz val="12"/>
        <color theme="1"/>
        <rFont val="Arial Black"/>
        <family val="2"/>
      </rPr>
      <t>5</t>
    </r>
    <r>
      <rPr>
        <sz val="12"/>
        <color theme="1"/>
        <rFont val="微軟正黑體"/>
        <family val="2"/>
        <charset val="136"/>
      </rPr>
      <t>公斤</t>
    </r>
    <r>
      <rPr>
        <sz val="12"/>
        <color theme="1"/>
        <rFont val="Arial Black"/>
        <family val="2"/>
      </rPr>
      <t>)</t>
    </r>
    <phoneticPr fontId="24" type="noConversion"/>
  </si>
  <si>
    <t>WM</t>
    <phoneticPr fontId="24" type="noConversion"/>
  </si>
  <si>
    <t>CAF-A400HK(H)</t>
  </si>
  <si>
    <t>抗菌除臭空氣清淨機</t>
    <phoneticPr fontId="24" type="noConversion"/>
  </si>
  <si>
    <t>Shops Highest Price</t>
    <phoneticPr fontId="24" type="noConversion"/>
  </si>
  <si>
    <t>AP</t>
    <phoneticPr fontId="24" type="noConversion"/>
  </si>
  <si>
    <t>FIST-TSR75-HK</t>
  </si>
  <si>
    <t>FIST75</t>
    <phoneticPr fontId="24" type="noConversion"/>
  </si>
  <si>
    <t>Spare Parts</t>
  </si>
  <si>
    <t>PC-48DRSHK(K)</t>
  </si>
  <si>
    <t>電壓力鍋</t>
  </si>
  <si>
    <t>Shops Highest Price</t>
    <phoneticPr fontId="24" type="noConversion"/>
  </si>
  <si>
    <t>Set RAS-M10N4KV + RAS-M10N4KV</t>
  </si>
  <si>
    <r>
      <t>1</t>
    </r>
    <r>
      <rPr>
        <sz val="12"/>
        <color theme="1"/>
        <rFont val="微軟正黑體"/>
        <family val="2"/>
        <charset val="136"/>
      </rPr>
      <t>匹</t>
    </r>
    <r>
      <rPr>
        <sz val="12"/>
        <color theme="1"/>
        <rFont val="Arial Black"/>
        <family val="2"/>
      </rPr>
      <t>/ 1</t>
    </r>
    <r>
      <rPr>
        <sz val="12"/>
        <color theme="1"/>
        <rFont val="微軟正黑體"/>
        <family val="2"/>
        <charset val="136"/>
      </rPr>
      <t>匹分體式冷氣機</t>
    </r>
    <r>
      <rPr>
        <sz val="12"/>
        <color theme="1"/>
        <rFont val="Arial Black"/>
        <family val="2"/>
      </rPr>
      <t xml:space="preserve"> (</t>
    </r>
    <r>
      <rPr>
        <sz val="12"/>
        <color theme="1"/>
        <rFont val="微軟正黑體"/>
        <family val="2"/>
        <charset val="136"/>
      </rPr>
      <t>多聯式變頻冷暖系列</t>
    </r>
    <r>
      <rPr>
        <sz val="12"/>
        <color theme="1"/>
        <rFont val="Arial Black"/>
        <family val="2"/>
      </rPr>
      <t>)</t>
    </r>
    <phoneticPr fontId="24" type="noConversion"/>
  </si>
  <si>
    <t>Set RAS-M10N4KV + RAS-M10N4KV</t>
    <phoneticPr fontId="24" type="noConversion"/>
  </si>
  <si>
    <t>1.5匹/ 1匹分體式冷氣機 (多聯式變頻淨冷系列)</t>
  </si>
  <si>
    <t>Set RAS-M13N4KV + RAS-M10N4KV</t>
  </si>
  <si>
    <t>Yoho Suning</t>
    <phoneticPr fontId="24" type="noConversion"/>
  </si>
  <si>
    <t>MS3-STQ20SC(WH)</t>
  </si>
  <si>
    <t>20L 智能蒸氣焗爐</t>
  </si>
  <si>
    <t>STQ20SC(WH)</t>
    <phoneticPr fontId="24" type="noConversion"/>
  </si>
  <si>
    <t>rm593</t>
  </si>
  <si>
    <t>GR-RM593WE-PGA(B3)</t>
  </si>
  <si>
    <t>1% commision</t>
    <phoneticPr fontId="24" type="noConversion"/>
  </si>
  <si>
    <t>%</t>
    <phoneticPr fontId="24" type="noConversion"/>
  </si>
  <si>
    <t>GR-RB410WE-PMA(06)</t>
  </si>
  <si>
    <t>六門雪櫃</t>
  </si>
  <si>
    <t>雙門雪櫃</t>
    <phoneticPr fontId="24" type="noConversion"/>
  </si>
  <si>
    <t>GR-RB410WE-PMA(06)</t>
    <phoneticPr fontId="24" type="noConversion"/>
  </si>
  <si>
    <t>Comm 日本飯煲</t>
    <phoneticPr fontId="24" type="noConversion"/>
  </si>
  <si>
    <t>RC-10ISSHK(W)</t>
  </si>
  <si>
    <t>磁應電飯煲(1公升)</t>
  </si>
  <si>
    <t>SDA</t>
    <phoneticPr fontId="24" type="noConversion"/>
  </si>
  <si>
    <t>AW-J900DPH2(WW)</t>
  </si>
  <si>
    <r>
      <rPr>
        <sz val="12"/>
        <color theme="1"/>
        <rFont val="微軟正黑體"/>
        <family val="2"/>
        <charset val="136"/>
      </rPr>
      <t>8</t>
    </r>
    <r>
      <rPr>
        <sz val="12"/>
        <color theme="1"/>
        <rFont val="Arial Black"/>
        <family val="2"/>
      </rPr>
      <t xml:space="preserve">kg </t>
    </r>
    <r>
      <rPr>
        <sz val="12"/>
        <color theme="1"/>
        <rFont val="微軟正黑體"/>
        <family val="2"/>
        <charset val="136"/>
      </rPr>
      <t>日本式洗衣機</t>
    </r>
    <phoneticPr fontId="24" type="noConversion"/>
  </si>
  <si>
    <t>MW3-SAC24SE(BK)</t>
  </si>
  <si>
    <t>MCA</t>
    <phoneticPr fontId="24" type="noConversion"/>
  </si>
  <si>
    <r>
      <t>智能氣炸烤焗爐</t>
    </r>
    <r>
      <rPr>
        <sz val="12"/>
        <color theme="1"/>
        <rFont val="Arial Black"/>
        <family val="2"/>
      </rPr>
      <t>(24</t>
    </r>
    <r>
      <rPr>
        <sz val="12"/>
        <color theme="1"/>
        <rFont val="細明體"/>
        <family val="3"/>
        <charset val="136"/>
      </rPr>
      <t>公升</t>
    </r>
    <r>
      <rPr>
        <sz val="12"/>
        <color theme="1"/>
        <rFont val="Arial Black"/>
        <family val="2"/>
      </rPr>
      <t>)</t>
    </r>
  </si>
  <si>
    <t>MS5-STR30SC(BK)</t>
  </si>
  <si>
    <t>30公升蒸氣焗爐</t>
  </si>
  <si>
    <t>TWP-TSR76THK(W)</t>
  </si>
  <si>
    <t>Set RAS-M13N4KCV + RAS-M10N4KCV</t>
  </si>
  <si>
    <t>Set RAS-M13N4KCV + RAS-M10N4KCV</t>
    <phoneticPr fontId="24" type="noConversion"/>
  </si>
  <si>
    <t>一拖二變頻冷氣機</t>
  </si>
  <si>
    <t>MM-2MM20PC(WH)</t>
  </si>
  <si>
    <t>旋鈕式微波爐 (20公升)</t>
  </si>
  <si>
    <t>Remarks</t>
    <phoneticPr fontId="24" type="noConversion"/>
  </si>
  <si>
    <t>AF-74CS1TRHK(H)</t>
  </si>
  <si>
    <t>AF-52CS1TRHK(H)</t>
  </si>
  <si>
    <t>氣炸鍋(7.4公升)</t>
  </si>
  <si>
    <r>
      <rPr>
        <sz val="12"/>
        <color theme="1"/>
        <rFont val="微軟正黑體"/>
        <family val="2"/>
        <charset val="136"/>
      </rPr>
      <t>氣炸鍋</t>
    </r>
    <r>
      <rPr>
        <sz val="12"/>
        <color theme="1"/>
        <rFont val="Arial Black"/>
        <family val="2"/>
      </rPr>
      <t>(5.2</t>
    </r>
    <r>
      <rPr>
        <sz val="12"/>
        <color theme="1"/>
        <rFont val="細明體"/>
        <family val="2"/>
        <charset val="136"/>
      </rPr>
      <t>公升)</t>
    </r>
    <phoneticPr fontId="24" type="noConversion"/>
  </si>
  <si>
    <t>智能水波爐 (26公升)</t>
  </si>
  <si>
    <t>ER-SD95HKW</t>
  </si>
  <si>
    <t>Remarks</t>
    <phoneticPr fontId="24" type="noConversion"/>
  </si>
  <si>
    <t>欄3</t>
  </si>
  <si>
    <t>RT468WE-PMA(06)</t>
    <phoneticPr fontId="24" type="noConversion"/>
  </si>
  <si>
    <t>GR-RT468WE-PMA(06)</t>
    <phoneticPr fontId="24" type="noConversion"/>
  </si>
  <si>
    <t>F-ALB60HK(B)</t>
  </si>
  <si>
    <r>
      <t>12</t>
    </r>
    <r>
      <rPr>
        <sz val="12"/>
        <color theme="1"/>
        <rFont val="細明體"/>
        <family val="3"/>
        <charset val="136"/>
      </rPr>
      <t>吋座地座檯電風扇</t>
    </r>
  </si>
  <si>
    <t>RAD-DIA17HK</t>
  </si>
  <si>
    <t>變頻二合一空氣淨化抽濕機 (28公升)</t>
  </si>
  <si>
    <t>RAC</t>
  </si>
  <si>
    <t>CAF-A400HK(H)FS</t>
  </si>
  <si>
    <t>AIR PURIFIER FILTER CAF-A400HK(H)FS</t>
  </si>
  <si>
    <t>A400Fi</t>
    <phoneticPr fontId="24" type="noConversion"/>
  </si>
  <si>
    <t>PLK-25FLIH(WT)</t>
  </si>
  <si>
    <t>F-DSB35HK(W)</t>
  </si>
  <si>
    <t>DSB35HK(W)</t>
    <phoneticPr fontId="24" type="noConversion"/>
  </si>
  <si>
    <t>Electric Fan</t>
  </si>
  <si>
    <t>細電</t>
    <phoneticPr fontId="24" type="noConversion"/>
  </si>
  <si>
    <t>RAS-13J2KV-HK</t>
  </si>
  <si>
    <t>RAS-18J2KCV(HK)</t>
  </si>
  <si>
    <t> 2匹變頻淨冷掛牆分體式冷氣機</t>
  </si>
  <si>
    <t>18J2setKCV(HK)</t>
    <phoneticPr fontId="24" type="noConversion"/>
  </si>
  <si>
    <t>RAS-22J2KCV(HK)</t>
  </si>
  <si>
    <t>2.5 匹分體式冷氣機 (變頻淨冷系列)</t>
  </si>
  <si>
    <t>Set RAS-M10N4KCV + RAS-M10N4KCV</t>
  </si>
  <si>
    <t>RAS-13J2KCV(HK)</t>
  </si>
  <si>
    <t>CXC05APGY</t>
  </si>
  <si>
    <t>citistore price</t>
    <phoneticPr fontId="24" type="noConversion"/>
  </si>
  <si>
    <t>WET-DRY V.CLEANER</t>
    <phoneticPr fontId="24" type="noConversion"/>
  </si>
  <si>
    <t>.</t>
    <phoneticPr fontId="24" type="noConversion"/>
  </si>
  <si>
    <t>Kiko</t>
  </si>
  <si>
    <t>F-DSB800XHK(W)</t>
  </si>
  <si>
    <t>9吋雙擎雙葉DC循環風扇</t>
  </si>
  <si>
    <t>DW-05T2-HK</t>
  </si>
  <si>
    <t>座檯式洗碗碟機</t>
  </si>
  <si>
    <t>DW</t>
  </si>
  <si>
    <t>CF-12VAGF-H</t>
  </si>
  <si>
    <t>分體式冷氣機 (1.5匹)</t>
  </si>
  <si>
    <t>CF-18VAGF-H</t>
  </si>
  <si>
    <r>
      <rPr>
        <sz val="12"/>
        <color theme="1"/>
        <rFont val="微軟正黑體"/>
        <family val="2"/>
        <charset val="136"/>
      </rPr>
      <t>分體式冷氣機</t>
    </r>
    <r>
      <rPr>
        <sz val="12"/>
        <color theme="1"/>
        <rFont val="Arial Black"/>
        <family val="2"/>
      </rPr>
      <t xml:space="preserve"> (2</t>
    </r>
    <r>
      <rPr>
        <sz val="12"/>
        <color theme="1"/>
        <rFont val="微軟正黑體"/>
        <family val="2"/>
        <charset val="136"/>
      </rPr>
      <t>匹</t>
    </r>
    <r>
      <rPr>
        <sz val="12"/>
        <color theme="1"/>
        <rFont val="Arial Black"/>
        <family val="2"/>
      </rPr>
      <t>)</t>
    </r>
    <phoneticPr fontId="24" type="noConversion"/>
  </si>
  <si>
    <t>2.5匹分體式冷氣機</t>
  </si>
  <si>
    <t>RAS-22J2KV(HK)</t>
  </si>
  <si>
    <t>TWP-W2265THK(W)</t>
  </si>
  <si>
    <t>RO座檯式冷熱飲水機</t>
  </si>
  <si>
    <t>CMO-MMP012NDPF(GN)</t>
  </si>
  <si>
    <t>20公升 微波爐</t>
  </si>
  <si>
    <t>Set RAS-18J2KV-HK</t>
  </si>
  <si>
    <t>2匹分體式冷氣機 (變頻冷暖系列)</t>
  </si>
  <si>
    <t>GR-RM612WE-PGA(B5)</t>
  </si>
  <si>
    <t>變頻五門雪櫃(375L)</t>
  </si>
  <si>
    <t>MM2-EM20PC(WH)</t>
  </si>
  <si>
    <t>輕觸式微波爐 (20公升)</t>
  </si>
  <si>
    <t>KT-15DRTHK(W)</t>
  </si>
  <si>
    <t>無線雙層電熱水壺-附可鎖壺蓋</t>
  </si>
  <si>
    <t>GR-RM612WE-PGA(B5)</t>
    <phoneticPr fontId="24" type="noConversion"/>
  </si>
  <si>
    <t>RAS-24J2KV(HK)</t>
  </si>
  <si>
    <t>2.5匹分體式冷氣機 (變頻冷暖系列)</t>
  </si>
  <si>
    <t>KT-17DRTHK(H)</t>
  </si>
  <si>
    <t>無線雙層電熱水壺(1.7公升)</t>
  </si>
  <si>
    <t>Tai koo Broadway</t>
    <phoneticPr fontId="24" type="noConversion"/>
  </si>
  <si>
    <t>CWF-07CRFN8-AD5</t>
  </si>
  <si>
    <t>CWF-09CRFN8-AD5</t>
  </si>
  <si>
    <t>CWF-12CRFN8-AD5</t>
  </si>
  <si>
    <t>CWF-18CRFN8-AD5</t>
  </si>
  <si>
    <t>FIST(FOF)</t>
  </si>
  <si>
    <t>tsr76 filter</t>
    <phoneticPr fontId="24" type="noConversion"/>
  </si>
  <si>
    <t>RC-DR10T(R)</t>
    <phoneticPr fontId="24" type="noConversion"/>
  </si>
  <si>
    <t>RC-DR18T(R)</t>
    <phoneticPr fontId="24" type="noConversion"/>
  </si>
  <si>
    <t>RC-DR18T(W)</t>
    <phoneticPr fontId="24" type="noConversion"/>
  </si>
  <si>
    <t>RC-DR10T(W)</t>
    <phoneticPr fontId="24" type="noConversion"/>
  </si>
  <si>
    <t>RC-DR18Tw</t>
    <phoneticPr fontId="24" type="noConversion"/>
  </si>
  <si>
    <t>RC-DS10Kw</t>
    <phoneticPr fontId="24" type="noConversion"/>
  </si>
  <si>
    <t>RC-DR10Tw</t>
    <phoneticPr fontId="24" type="noConversion"/>
  </si>
  <si>
    <t>RC-DS18Kw</t>
    <phoneticPr fontId="24" type="noConversion"/>
  </si>
  <si>
    <t>RC-DS10K(N)</t>
  </si>
  <si>
    <t>RC-DS10K(N)</t>
    <phoneticPr fontId="24" type="noConversion"/>
  </si>
  <si>
    <t>RC-DS18K(N)</t>
  </si>
  <si>
    <t>RC-DS18K(N)</t>
    <phoneticPr fontId="24" type="noConversion"/>
  </si>
  <si>
    <t>ER-VD7000HK(XK)</t>
  </si>
  <si>
    <t>水波爐</t>
    <phoneticPr fontId="24" type="noConversion"/>
  </si>
  <si>
    <t>IC-20R1THK</t>
  </si>
  <si>
    <t>輕便式電磁爐</t>
  </si>
  <si>
    <t>ER-VD7000HK(XK)</t>
    <phoneticPr fontId="24" type="noConversion"/>
  </si>
  <si>
    <t>MM2-EG20PC(WH)</t>
  </si>
  <si>
    <t>MCA</t>
    <phoneticPr fontId="24" type="noConversion"/>
  </si>
  <si>
    <t>輕觸式燒烤微波爐</t>
  </si>
  <si>
    <t>Shatin_1 Yata</t>
    <phoneticPr fontId="24" type="noConversion"/>
  </si>
  <si>
    <t>GR-RB221WE-PMA(57)</t>
  </si>
  <si>
    <t>REF</t>
    <phoneticPr fontId="24" type="noConversion"/>
  </si>
  <si>
    <t>變頻下置式雙門雪櫃（163L）</t>
  </si>
  <si>
    <t>RC-6PXTHK(W)</t>
  </si>
  <si>
    <t>SDA</t>
    <phoneticPr fontId="24" type="noConversion"/>
  </si>
  <si>
    <t>迷你壓力磁應電飯煲(0.63公升)</t>
  </si>
  <si>
    <t>TW Suning</t>
    <phoneticPr fontId="24" type="noConversion"/>
  </si>
  <si>
    <t>RC-DX18T(W)</t>
  </si>
  <si>
    <t>真空壓力磁應電飯煲(1.8公升)</t>
  </si>
  <si>
    <t>CRM-12PG10A0</t>
  </si>
  <si>
    <t>迷你電飯煲 0.36公升</t>
  </si>
  <si>
    <t>IC-21TSHK</t>
  </si>
  <si>
    <t>Induction Cooker</t>
  </si>
  <si>
    <t>CIC-20GGTLA0</t>
  </si>
  <si>
    <t>Web SRP</t>
    <phoneticPr fontId="24" type="noConversion"/>
  </si>
  <si>
    <t>RC-15ISTHK(W)</t>
  </si>
  <si>
    <t>磁應電飯煲(1.5公升)</t>
  </si>
  <si>
    <t>GR-RM352WI-PMA(53)</t>
  </si>
  <si>
    <t>變頻三門雪櫃 (233L)</t>
  </si>
  <si>
    <t>TW-T21BU90UWH(WW)</t>
  </si>
  <si>
    <t>LAD</t>
  </si>
  <si>
    <t>8公斤超薄身前置式變頻洗衣機</t>
  </si>
  <si>
    <t>GR-RM352WI-PMA(53)</t>
    <phoneticPr fontId="24" type="noConversion"/>
  </si>
  <si>
    <t>Vicky L</t>
  </si>
  <si>
    <t>RC-10BHH(W)</t>
  </si>
  <si>
    <t>酵活炊磁應電飯煲</t>
  </si>
  <si>
    <t>470MM超薄身前置式變頻洗衣機(8.5公斤)</t>
  </si>
  <si>
    <t>RC-15BHH(W)</t>
  </si>
  <si>
    <t>酵活炊磁應電飯煲(1.5公升)</t>
  </si>
  <si>
    <t>TM Citistore</t>
    <phoneticPr fontId="24" type="noConversion"/>
  </si>
  <si>
    <t>Check</t>
    <phoneticPr fontId="24" type="noConversion"/>
  </si>
  <si>
    <t>ER-SD99HKW</t>
  </si>
  <si>
    <t>欄4</t>
    <phoneticPr fontId="24" type="noConversion"/>
  </si>
  <si>
    <t>MX2-STR25SC(WH)</t>
  </si>
  <si>
    <t>4合1氣炸微波蒸焗爐(25公升)</t>
  </si>
  <si>
    <t>欄5</t>
    <phoneticPr fontId="24" type="noConversion"/>
  </si>
  <si>
    <t>Daisy</t>
  </si>
  <si>
    <t>Leo</t>
  </si>
  <si>
    <t>FIST(PRO)</t>
  </si>
  <si>
    <t>FISTPRO</t>
    <phoneticPr fontId="24" type="noConversion"/>
  </si>
  <si>
    <t>濾芯</t>
  </si>
  <si>
    <t>CFK01W80</t>
  </si>
  <si>
    <t>變頻頂揭式洗衣機 (8公斤)</t>
  </si>
  <si>
    <t>Michelle</t>
  </si>
  <si>
    <t>Kandy</t>
  </si>
  <si>
    <t>Pam</t>
  </si>
  <si>
    <t>RC-10AMXH(W)</t>
  </si>
  <si>
    <t>SDA</t>
    <phoneticPr fontId="24" type="noConversion"/>
  </si>
  <si>
    <t>酵活炊電飯煲(1.0公升)</t>
  </si>
  <si>
    <t>TM_1 Aeon</t>
    <phoneticPr fontId="24" type="noConversion"/>
  </si>
  <si>
    <t>Mui Hon</t>
  </si>
  <si>
    <t>CFK01W75</t>
  </si>
  <si>
    <r>
      <rPr>
        <sz val="12"/>
        <color theme="1"/>
        <rFont val="微軟正黑體"/>
        <family val="2"/>
        <charset val="136"/>
      </rPr>
      <t>變頻頂揭式洗衣機</t>
    </r>
    <r>
      <rPr>
        <sz val="12"/>
        <color theme="1"/>
        <rFont val="Arial Black"/>
        <family val="2"/>
      </rPr>
      <t xml:space="preserve"> (7.5</t>
    </r>
    <r>
      <rPr>
        <sz val="12"/>
        <color theme="1"/>
        <rFont val="微軟正黑體"/>
        <family val="2"/>
        <charset val="136"/>
      </rPr>
      <t>公斤</t>
    </r>
    <r>
      <rPr>
        <sz val="12"/>
        <color theme="1"/>
        <rFont val="Arial Black"/>
        <family val="2"/>
      </rPr>
      <t>)</t>
    </r>
    <phoneticPr fontId="24" type="noConversion"/>
  </si>
  <si>
    <t>Model-Input-Ref1</t>
    <phoneticPr fontId="24" type="noConversion"/>
  </si>
  <si>
    <t>Model-Input-Ref2</t>
    <phoneticPr fontId="24" type="noConversion"/>
  </si>
  <si>
    <t>欄1</t>
  </si>
  <si>
    <t>大小電</t>
    <phoneticPr fontId="24" type="noConversion"/>
  </si>
  <si>
    <t>Code</t>
    <phoneticPr fontId="24" type="noConversion"/>
  </si>
  <si>
    <t>GR-RB449WE-PMA(57)</t>
  </si>
  <si>
    <t>變頻下置式雙門雪櫃</t>
  </si>
  <si>
    <t>電飯煲</t>
  </si>
  <si>
    <t>RC-10JRUH(N)</t>
  </si>
  <si>
    <t>Kit</t>
  </si>
  <si>
    <t>MX2-STR25SC(WH)</t>
    <phoneticPr fontId="24" type="noConversion"/>
  </si>
  <si>
    <t>Amy Or</t>
  </si>
  <si>
    <t>Iris</t>
  </si>
  <si>
    <t>Donnie</t>
  </si>
  <si>
    <t>Ivy Wong</t>
  </si>
  <si>
    <r>
      <t>Comfee 3/4</t>
    </r>
    <r>
      <rPr>
        <sz val="12"/>
        <color theme="1"/>
        <rFont val="微軟正黑體"/>
        <family val="2"/>
        <charset val="136"/>
      </rPr>
      <t>匹變頻窗口式冷氣機</t>
    </r>
    <phoneticPr fontId="24" type="noConversion"/>
  </si>
  <si>
    <r>
      <t>Comfee 1</t>
    </r>
    <r>
      <rPr>
        <sz val="12"/>
        <color theme="1"/>
        <rFont val="微軟正黑體"/>
        <family val="2"/>
        <charset val="136"/>
      </rPr>
      <t>匹變頻窗口式冷氣機</t>
    </r>
    <phoneticPr fontId="24" type="noConversion"/>
  </si>
  <si>
    <r>
      <t>Comfee 1.5</t>
    </r>
    <r>
      <rPr>
        <sz val="12"/>
        <color theme="1"/>
        <rFont val="微軟正黑體"/>
        <family val="2"/>
        <charset val="136"/>
      </rPr>
      <t>匹變頻窗口式冷氣機</t>
    </r>
    <phoneticPr fontId="24" type="noConversion"/>
  </si>
  <si>
    <r>
      <t>Comfee 2</t>
    </r>
    <r>
      <rPr>
        <sz val="12"/>
        <color theme="1"/>
        <rFont val="微軟正黑體"/>
        <family val="2"/>
        <charset val="136"/>
      </rPr>
      <t>匹變頻窗口式冷氣機</t>
    </r>
    <phoneticPr fontId="24" type="noConversion"/>
  </si>
  <si>
    <t>RC-18JRUH(N)</t>
  </si>
  <si>
    <t>1.8公升電飯煲</t>
  </si>
  <si>
    <t>RC-18AMXH(W)</t>
  </si>
  <si>
    <t>酵活炊電飯煲(1.8公升)</t>
  </si>
  <si>
    <t>Terence</t>
  </si>
  <si>
    <t>Ho</t>
  </si>
  <si>
    <t>RAS-10J2KV-HK</t>
  </si>
  <si>
    <t>Kornhill Aeon</t>
    <phoneticPr fontId="24" type="noConversion"/>
  </si>
  <si>
    <t>DA138</t>
  </si>
  <si>
    <t>DA138</t>
    <phoneticPr fontId="24" type="noConversion"/>
  </si>
  <si>
    <t>KT-08DH1VHK(W)</t>
  </si>
  <si>
    <t>無線雙層電熱水壺-附可鎖壺蓋(0.8公升)</t>
  </si>
  <si>
    <t>Me</t>
  </si>
  <si>
    <t>前置式變頻洗衣乾衣機 (洗10.5公斤 乾7公斤)</t>
  </si>
  <si>
    <t>Comm ER-VD7000HK(XK)</t>
    <phoneticPr fontId="24" type="noConversion"/>
  </si>
  <si>
    <t>GR-RM469WE-PGA(B3)</t>
  </si>
  <si>
    <r>
      <rPr>
        <sz val="12"/>
        <color theme="1"/>
        <rFont val="新細明體"/>
        <family val="2"/>
        <charset val="136"/>
      </rPr>
      <t>旗艦級變頻三門雪櫃</t>
    </r>
    <r>
      <rPr>
        <sz val="12"/>
        <color theme="1"/>
        <rFont val="Arial Black"/>
        <family val="2"/>
      </rPr>
      <t xml:space="preserve"> (300L)</t>
    </r>
    <phoneticPr fontId="24" type="noConversion"/>
  </si>
  <si>
    <t>AW-B1000GPH(WG) 9公斤 日式洗衣機</t>
  </si>
  <si>
    <t>TW-T21BU80UWH(MG)</t>
  </si>
  <si>
    <r>
      <t>400MM</t>
    </r>
    <r>
      <rPr>
        <sz val="12"/>
        <color theme="1"/>
        <rFont val="微軟正黑體"/>
        <family val="2"/>
        <charset val="136"/>
      </rPr>
      <t>超薄身前置式變頻洗衣機</t>
    </r>
    <r>
      <rPr>
        <sz val="12"/>
        <color theme="1"/>
        <rFont val="Arial Black"/>
        <family val="2"/>
      </rPr>
      <t>(7</t>
    </r>
    <r>
      <rPr>
        <sz val="12"/>
        <color theme="1"/>
        <rFont val="微軟正黑體"/>
        <family val="2"/>
        <charset val="136"/>
      </rPr>
      <t>公斤</t>
    </r>
    <r>
      <rPr>
        <sz val="12"/>
        <color theme="1"/>
        <rFont val="Arial Black"/>
        <family val="2"/>
      </rPr>
      <t>)</t>
    </r>
    <phoneticPr fontId="24" type="noConversion"/>
  </si>
  <si>
    <t>LAD</t>
    <phoneticPr fontId="24" type="noConversion"/>
  </si>
  <si>
    <t>Jessica</t>
  </si>
  <si>
    <t>Shan</t>
  </si>
  <si>
    <t>Hung</t>
  </si>
  <si>
    <t>Jason Yu</t>
  </si>
  <si>
    <t>Anita</t>
  </si>
  <si>
    <t>RC-DS10K/18K</t>
    <phoneticPr fontId="24" type="noConversion"/>
  </si>
  <si>
    <t>TW-T25BZU115MWH(MG)</t>
  </si>
  <si>
    <t>TW-T25BZU115MWH(MG)</t>
    <phoneticPr fontId="24" type="noConversion"/>
  </si>
  <si>
    <t>Comm TW-T25BZU115MWH(MG)</t>
    <phoneticPr fontId="24" type="noConversion"/>
  </si>
  <si>
    <t>FILTER-PCB-W2265</t>
  </si>
  <si>
    <t>FILTER-RO-W2265</t>
  </si>
  <si>
    <t>Jaco</t>
    <phoneticPr fontId="24" type="noConversion"/>
  </si>
  <si>
    <t>Lily Hon</t>
    <phoneticPr fontId="24" type="noConversion"/>
  </si>
  <si>
    <t>TWD-T21BU95UWH(WW)</t>
  </si>
  <si>
    <t>Comm TWD-T21BU95UWH(WW)</t>
    <phoneticPr fontId="24" type="noConversion"/>
  </si>
  <si>
    <t>RAS-10J2ACV(HK)</t>
  </si>
  <si>
    <t>RAS-10J2AV(HK)</t>
  </si>
  <si>
    <t>RAS-13J2ACV(HK)</t>
  </si>
  <si>
    <t>RAS-13J2AV(HK)</t>
  </si>
  <si>
    <t>1.5 匹分體式冷氣機</t>
  </si>
  <si>
    <t>Shatin_2 Yata</t>
  </si>
  <si>
    <t>TP-25DR2UHK(W)</t>
  </si>
  <si>
    <t>電熱水瓶 (2.5公升)</t>
  </si>
  <si>
    <t>MX2-TT20SC(WH)</t>
  </si>
  <si>
    <t>3合1 微波蒸焗爐 (20公升)</t>
  </si>
  <si>
    <t>Jaco</t>
  </si>
  <si>
    <t>TW-T21BU95UWH(MG)</t>
  </si>
  <si>
    <t>470MM超薄身前置式變頻洗衣乾衣機 (洗8.5公斤 乾6公斤)</t>
  </si>
  <si>
    <t>Coco</t>
  </si>
  <si>
    <t>Mandy</t>
  </si>
  <si>
    <t>Sau Kwan</t>
  </si>
  <si>
    <t>pcb2265</t>
    <phoneticPr fontId="24" type="noConversion"/>
  </si>
  <si>
    <t>ro2265</t>
    <phoneticPr fontId="24" type="noConversion"/>
  </si>
  <si>
    <t>filter</t>
    <phoneticPr fontId="24" type="noConversion"/>
  </si>
  <si>
    <t>Lily Hon</t>
  </si>
  <si>
    <t>Ling Ho</t>
    <phoneticPr fontId="24" type="noConversion"/>
  </si>
  <si>
    <t>Happy</t>
    <phoneticPr fontId="24" type="noConversion"/>
  </si>
  <si>
    <t>TW_1 Citistore</t>
    <phoneticPr fontId="24" type="noConversion"/>
  </si>
  <si>
    <t>TP-50DRUHK(W)</t>
  </si>
  <si>
    <t>電熱水瓶 (5公升)</t>
  </si>
  <si>
    <t>TW-T22BU85UWH(WK)-B</t>
  </si>
  <si>
    <t>470MM超薄身前置式變頻洗衣機(7.5公斤, 可飛頂)</t>
  </si>
  <si>
    <t>GR-RM598WE-PGA(B3)</t>
  </si>
  <si>
    <t>變頻六門雪櫃(451L)</t>
  </si>
  <si>
    <t>Connie</t>
  </si>
  <si>
    <t>TWD-T22BU95UWH(WK)-B</t>
  </si>
  <si>
    <t>TWDT22</t>
    <phoneticPr fontId="24" type="noConversion"/>
  </si>
  <si>
    <t>TW-T22BU95UWH(WK)-B</t>
  </si>
  <si>
    <t>t2295</t>
    <phoneticPr fontId="24" type="noConversion"/>
  </si>
  <si>
    <t>470MM超薄身前置式變頻洗衣乾衣機 (洗8.5公斤/乾6公斤, 可飛頂)</t>
  </si>
  <si>
    <t>470MM超薄身前置式變頻洗衣機(8.5公斤, 可飛頂)</t>
  </si>
  <si>
    <t>t2285</t>
    <phoneticPr fontId="24" type="noConversion"/>
  </si>
  <si>
    <t>Happy</t>
  </si>
  <si>
    <t>Ling Ho</t>
  </si>
  <si>
    <t>Yee</t>
  </si>
  <si>
    <t>Kitty Yeung</t>
  </si>
  <si>
    <t>RC-18AMXH(W)</t>
    <phoneticPr fontId="24" type="noConversion"/>
  </si>
  <si>
    <t>Comm RC-18AMXH(W)</t>
    <phoneticPr fontId="24" type="noConversion"/>
  </si>
  <si>
    <t>Hung</t>
    <phoneticPr fontId="24" type="noConversion"/>
  </si>
  <si>
    <t>Shop</t>
    <phoneticPr fontId="24" type="noConversion"/>
  </si>
  <si>
    <t>RAS-18J2ACV(HK)</t>
  </si>
  <si>
    <t>RAS-18J2AV(HK)</t>
  </si>
  <si>
    <t>May C</t>
    <phoneticPr fontId="24" type="noConversion"/>
  </si>
  <si>
    <t>Diamond Hill Fortress</t>
    <phoneticPr fontId="24" type="noConversion"/>
  </si>
  <si>
    <t>MiuYu</t>
  </si>
  <si>
    <t>Lynne</t>
  </si>
  <si>
    <t>TWDT21</t>
    <phoneticPr fontId="24" type="noConversion"/>
  </si>
  <si>
    <t>DA140</t>
  </si>
  <si>
    <t>DA140</t>
    <phoneticPr fontId="24" type="noConversion"/>
  </si>
  <si>
    <t>fistfof</t>
    <phoneticPr fontId="24" type="noConversion"/>
  </si>
  <si>
    <t>EB-T500APW</t>
  </si>
  <si>
    <t>JAPANDi 嵌入式微波氣炸蒸焗爐 (45厘米)</t>
  </si>
  <si>
    <t>Vicky L</t>
    <phoneticPr fontId="24" type="noConversion"/>
  </si>
  <si>
    <t>APM Broadway</t>
    <phoneticPr fontId="24" type="noConversion"/>
  </si>
  <si>
    <t>Wendy Wong</t>
  </si>
  <si>
    <t>AW-Q901BPH(WW)</t>
  </si>
  <si>
    <t>AW-Q751APH(WW)</t>
  </si>
  <si>
    <t>AW-Q800APH(WW)</t>
  </si>
  <si>
    <t>AW-Q801APH(WW)</t>
  </si>
  <si>
    <t>AW-Q901BPH(WW)</t>
    <phoneticPr fontId="24" type="noConversion"/>
  </si>
  <si>
    <t>日式洗衣機 (8公斤 結合高低水位)</t>
  </si>
  <si>
    <t>AW-Q751APH(WW)</t>
    <phoneticPr fontId="24" type="noConversion"/>
  </si>
  <si>
    <t>日式洗衣機 (6.5公斤 結合高低水位)</t>
  </si>
  <si>
    <t>AW-Q800APH(WW)</t>
    <phoneticPr fontId="24" type="noConversion"/>
  </si>
  <si>
    <t>日式洗衣機 (7公斤 結合高低水位)</t>
  </si>
  <si>
    <t>AW-Q801APH(WW)</t>
    <phoneticPr fontId="24" type="noConversion"/>
  </si>
  <si>
    <t>MV2-EG26PEI(BK)</t>
  </si>
  <si>
    <t>輕觸式平板燒烤微波爐 (26公升)</t>
  </si>
  <si>
    <t>GR-RT300WE-PMA(57)</t>
  </si>
  <si>
    <t>變頻式環保雙門雪櫃(233L)</t>
  </si>
  <si>
    <t>AW-DQ950FPH(WW)</t>
  </si>
  <si>
    <t>變頻日式洗衣機 (8.5公斤 結合高低水位)</t>
  </si>
  <si>
    <t>AW-DQ110JPH(WW)</t>
  </si>
  <si>
    <t>變頻日式洗衣機 (10公斤 結合高低水位)</t>
  </si>
  <si>
    <t>TWD-T25BZU115MWH(MG)</t>
  </si>
  <si>
    <t>前置式變頻洗衣機(10.5公斤)</t>
  </si>
  <si>
    <t>GR-RT234WE-PMA(57)</t>
  </si>
  <si>
    <t>變頻式環保雙門雪櫃（179L）</t>
  </si>
  <si>
    <t>Hero</t>
  </si>
  <si>
    <t>RAD-X200HA</t>
  </si>
  <si>
    <t>(Fortress ONLY)TW-T25BZU115MWH(MG) </t>
    <phoneticPr fontId="24" type="noConversion"/>
  </si>
  <si>
    <t>Cheng Muk Kiu</t>
  </si>
  <si>
    <t>Wong Wai Chu</t>
  </si>
  <si>
    <t>Leung Ching</t>
  </si>
  <si>
    <t>Lo Muk Chun</t>
  </si>
  <si>
    <t>Chiu Kan</t>
  </si>
  <si>
    <t>Yeung Lai Shan</t>
  </si>
  <si>
    <t>Or Sim Kiu</t>
  </si>
  <si>
    <t>Cheung Sau Kwan</t>
  </si>
  <si>
    <t>Chiu Fung Shan</t>
  </si>
  <si>
    <t>Wong Lai Ying</t>
  </si>
  <si>
    <t>Sit Kwok Fong</t>
  </si>
  <si>
    <t>Kwan Tit Ho</t>
  </si>
  <si>
    <t>Chan Mei Sim</t>
  </si>
  <si>
    <t>Ka Kui,Jaco</t>
  </si>
  <si>
    <t>Yeung Kwai Lin</t>
  </si>
  <si>
    <t>Tam Wing Lam</t>
  </si>
  <si>
    <t>Ng Nga Fong</t>
  </si>
  <si>
    <t>Hon Lily</t>
  </si>
  <si>
    <t>Hon Suet Mui</t>
  </si>
  <si>
    <t>Chau Chi Wah</t>
  </si>
  <si>
    <t>Hui Man Hung</t>
  </si>
  <si>
    <t>Lam King Chung</t>
  </si>
  <si>
    <t>Li Wenjie</t>
  </si>
  <si>
    <t>Ho Wai Ling</t>
  </si>
  <si>
    <t>Chun Yin Ling</t>
  </si>
  <si>
    <t>Maggie Li</t>
  </si>
  <si>
    <t>Li Yuk Ching</t>
  </si>
  <si>
    <t>Emma</t>
  </si>
  <si>
    <t>Ng Yuk Ying</t>
  </si>
  <si>
    <t>Gloria</t>
  </si>
  <si>
    <t>Yeung Chor Mui</t>
  </si>
  <si>
    <t>Tony</t>
  </si>
  <si>
    <t>Wong Tak Chung</t>
  </si>
  <si>
    <t>Chan Siu Kuen</t>
  </si>
  <si>
    <t>Ho Lai Sim</t>
  </si>
  <si>
    <t>Wong Miu Yu</t>
  </si>
  <si>
    <t>Mok Choi Lin</t>
  </si>
  <si>
    <t>Yuen Lai Ying</t>
  </si>
  <si>
    <t xml:space="preserve">Chan Siu Mui </t>
  </si>
  <si>
    <t>Cheung Yu Wing Yee</t>
  </si>
  <si>
    <t>Maggie Ho</t>
  </si>
  <si>
    <t>Ho Lai Kuen</t>
  </si>
  <si>
    <t>Tsang Tak Kin</t>
  </si>
  <si>
    <t>Mok Hoi Ling</t>
  </si>
  <si>
    <t>Kitty Li</t>
  </si>
  <si>
    <t>Li Lai Po</t>
  </si>
  <si>
    <t>PoWan</t>
  </si>
  <si>
    <t>Ng Po Wan</t>
  </si>
  <si>
    <t>Shirley</t>
  </si>
  <si>
    <t>Fong</t>
  </si>
  <si>
    <t>Maggie Yip</t>
  </si>
  <si>
    <t>Sin Hoi Yam</t>
  </si>
  <si>
    <t>Lee Yee Wan</t>
  </si>
  <si>
    <t>Yip Mei King</t>
  </si>
  <si>
    <t>Li Hang Yi</t>
  </si>
  <si>
    <t>Ngai Kong Ying</t>
  </si>
  <si>
    <t>Ng Mei Han</t>
  </si>
  <si>
    <t>Chan So Mui</t>
  </si>
  <si>
    <t>Kuen</t>
  </si>
  <si>
    <t>Yau Shuk Kuen</t>
  </si>
  <si>
    <t>Wendy Lau</t>
  </si>
  <si>
    <t>Lau Kwan Wai</t>
  </si>
  <si>
    <t>Mui Chan</t>
  </si>
  <si>
    <t>Winnie</t>
  </si>
  <si>
    <t>Full Name</t>
    <phoneticPr fontId="24" type="noConversion"/>
  </si>
  <si>
    <t>Tiffany</t>
  </si>
  <si>
    <t>Choi Cheung Yu</t>
  </si>
  <si>
    <t>Yu Shing Hin</t>
    <phoneticPr fontId="24" type="noConversion"/>
  </si>
  <si>
    <t>$$$</t>
  </si>
  <si>
    <t>Allowance</t>
  </si>
  <si>
    <t>No.</t>
    <phoneticPr fontId="24" type="noConversion"/>
  </si>
  <si>
    <t>Name1</t>
  </si>
  <si>
    <t>Full Name1</t>
  </si>
  <si>
    <t>Maggie Yip</t>
    <phoneticPr fontId="24" type="noConversion"/>
  </si>
  <si>
    <t>Emma</t>
    <phoneticPr fontId="24" type="noConversion"/>
  </si>
  <si>
    <t>Gloria</t>
    <phoneticPr fontId="24" type="noConversion"/>
  </si>
  <si>
    <t>twdt25</t>
    <phoneticPr fontId="24" type="noConversion"/>
  </si>
  <si>
    <t>bzu115</t>
    <phoneticPr fontId="24" type="noConversion"/>
  </si>
  <si>
    <t>X200hA</t>
    <phoneticPr fontId="24" type="noConversion"/>
  </si>
  <si>
    <t>x200old</t>
    <phoneticPr fontId="24" type="noConversion"/>
  </si>
  <si>
    <t>Delivery</t>
  </si>
  <si>
    <t>Pickup</t>
  </si>
  <si>
    <t>Jessica</t>
    <phoneticPr fontId="24" type="noConversion"/>
  </si>
  <si>
    <t>Tsuen Wan Aeon</t>
    <phoneticPr fontId="24" type="noConversion"/>
  </si>
  <si>
    <t>Panda Aeon</t>
    <phoneticPr fontId="24" type="noConversion"/>
  </si>
  <si>
    <t>TKO Aeon</t>
    <phoneticPr fontId="24" type="noConversion"/>
  </si>
  <si>
    <t>Winnie</t>
    <phoneticPr fontId="24" type="noConversion"/>
  </si>
  <si>
    <t>Me</t>
    <phoneticPr fontId="24" type="noConversion"/>
  </si>
  <si>
    <t>Whampoa Aeon</t>
    <phoneticPr fontId="24" type="noConversion"/>
  </si>
  <si>
    <t>TW-T21BU90UWH(WW)</t>
    <phoneticPr fontId="24" type="noConversion"/>
  </si>
  <si>
    <t>TW-T21BU95UWH(MG)</t>
    <phoneticPr fontId="24" type="noConversion"/>
  </si>
  <si>
    <t>MethodMeaning</t>
    <phoneticPr fontId="24" type="noConversion"/>
  </si>
  <si>
    <t>Pinky</t>
  </si>
  <si>
    <t>#N/A</t>
  </si>
  <si>
    <t>TW_2 Citistore</t>
    <phoneticPr fontId="24" type="noConversion"/>
  </si>
  <si>
    <t>45sf</t>
    <phoneticPr fontId="24" type="noConversion"/>
  </si>
  <si>
    <t>Tai Koo Fortress</t>
    <phoneticPr fontId="24" type="noConversion"/>
  </si>
  <si>
    <t>Tiffany</t>
    <phoneticPr fontId="24" type="noConversion"/>
  </si>
  <si>
    <t>Times Fortress</t>
    <phoneticPr fontId="24" type="noConversion"/>
  </si>
  <si>
    <t>Raymond</t>
    <phoneticPr fontId="24" type="noConversion"/>
  </si>
  <si>
    <t>MW3-MM25PC(BK)</t>
  </si>
  <si>
    <t>MOA</t>
    <phoneticPr fontId="24" type="noConversion"/>
  </si>
  <si>
    <t>旋鈕式微波爐 (25公升)</t>
  </si>
  <si>
    <t>壓縮式抽濕機 (20公升)</t>
  </si>
  <si>
    <t>DA141</t>
  </si>
  <si>
    <t>DA141</t>
    <phoneticPr fontId="24" type="noConversion"/>
  </si>
  <si>
    <t>加總 - Total Amount</t>
  </si>
  <si>
    <t>Hazel</t>
  </si>
  <si>
    <t>KT-14DHUHK(W)</t>
    <phoneticPr fontId="24" type="noConversion"/>
  </si>
  <si>
    <t>無線雙層電熱水壺(1.4公升)</t>
  </si>
  <si>
    <t>Raymond</t>
  </si>
  <si>
    <t>TKO Suning</t>
    <phoneticPr fontId="24" type="noConversion"/>
  </si>
  <si>
    <t>RAD-D300H</t>
  </si>
  <si>
    <r>
      <rPr>
        <sz val="12"/>
        <color theme="1"/>
        <rFont val="微軟正黑體"/>
        <family val="2"/>
        <charset val="136"/>
      </rPr>
      <t>壓縮式抽濕機</t>
    </r>
    <r>
      <rPr>
        <sz val="12"/>
        <color theme="1"/>
        <rFont val="Arial Black"/>
        <family val="2"/>
      </rPr>
      <t xml:space="preserve"> (30</t>
    </r>
    <r>
      <rPr>
        <sz val="12"/>
        <color theme="1"/>
        <rFont val="微軟正黑體"/>
        <family val="2"/>
        <charset val="136"/>
      </rPr>
      <t>公升</t>
    </r>
    <r>
      <rPr>
        <sz val="12"/>
        <color theme="1"/>
        <rFont val="Arial Black"/>
        <family val="2"/>
      </rPr>
      <t>)</t>
    </r>
    <phoneticPr fontId="24" type="noConversion"/>
  </si>
  <si>
    <t>N300</t>
    <phoneticPr fontId="24" type="noConversion"/>
  </si>
  <si>
    <t>TM_2 Aeon</t>
    <phoneticPr fontId="24" type="noConversion"/>
  </si>
  <si>
    <t>Cheung Yin Ping</t>
    <phoneticPr fontId="24" type="noConversion"/>
  </si>
  <si>
    <t>Man Wai Han</t>
    <phoneticPr fontId="24" type="noConversion"/>
  </si>
  <si>
    <t>SK</t>
  </si>
  <si>
    <t>Kwok Chun Wah</t>
  </si>
  <si>
    <t>Tan Xingfang</t>
  </si>
  <si>
    <t>Ip Sau King</t>
  </si>
  <si>
    <t>TKW Suning</t>
    <phoneticPr fontId="24" type="noConversion"/>
  </si>
  <si>
    <t>Tung Chun Fortress</t>
    <phoneticPr fontId="24" type="noConversion"/>
  </si>
  <si>
    <t>TW Fortress</t>
    <phoneticPr fontId="24" type="noConversion"/>
  </si>
  <si>
    <t>Kandy</t>
    <phoneticPr fontId="24" type="noConversion"/>
  </si>
  <si>
    <t>Yee</t>
    <phoneticPr fontId="24" type="noConversion"/>
  </si>
  <si>
    <t>APM Fortress</t>
    <phoneticPr fontId="24" type="noConversion"/>
  </si>
  <si>
    <t>Coco</t>
    <phoneticPr fontId="24" type="noConversion"/>
  </si>
  <si>
    <t>Wendy Lau</t>
    <phoneticPr fontId="24" type="noConversion"/>
  </si>
  <si>
    <t>Megabox Aeon</t>
    <phoneticPr fontId="24" type="noConversion"/>
  </si>
  <si>
    <t>Terence</t>
    <phoneticPr fontId="24" type="noConversion"/>
  </si>
  <si>
    <t>48drs</t>
    <phoneticPr fontId="24" type="noConversion"/>
  </si>
  <si>
    <t>Tai Koo_1 Apita</t>
    <phoneticPr fontId="24" type="noConversion"/>
  </si>
  <si>
    <t>Tai Koo_2 Apita</t>
  </si>
  <si>
    <t>.</t>
    <phoneticPr fontId="24" type="noConversion"/>
  </si>
  <si>
    <t>SK</t>
    <phoneticPr fontId="24" type="noConversion"/>
  </si>
  <si>
    <t>PoWan</t>
    <phoneticPr fontId="24" type="noConversion"/>
  </si>
  <si>
    <t>RAD-D200/250/300/DIA17</t>
  </si>
  <si>
    <t>Citistore TW</t>
  </si>
  <si>
    <t>Citistore YL</t>
  </si>
  <si>
    <t>Citistore MOS</t>
  </si>
  <si>
    <t>Citistore TM</t>
  </si>
  <si>
    <t>Yata Shatin</t>
  </si>
  <si>
    <t>Yata TaiPo</t>
  </si>
  <si>
    <t>Aeon Kornhill</t>
  </si>
  <si>
    <t>Aeon Whampoa</t>
  </si>
  <si>
    <t>Aeon TM</t>
  </si>
  <si>
    <t>Broadway S07</t>
  </si>
  <si>
    <t>Broadway S15</t>
  </si>
  <si>
    <t>Suning 9838</t>
  </si>
  <si>
    <t>Suning 9852</t>
  </si>
  <si>
    <t>Suning 9871</t>
  </si>
  <si>
    <t>Suning 9878</t>
  </si>
  <si>
    <t>Suning 988M</t>
  </si>
  <si>
    <t>Sogo Kai Tak</t>
  </si>
  <si>
    <t>Fortress 213</t>
  </si>
  <si>
    <t>Fortress 220</t>
  </si>
  <si>
    <t>Fortress 418</t>
  </si>
  <si>
    <t>Fortress 477</t>
  </si>
  <si>
    <t>Fortress 484</t>
  </si>
  <si>
    <t>Fortress 625</t>
  </si>
  <si>
    <t>Fortress 628</t>
  </si>
  <si>
    <t>Fortress 653</t>
  </si>
  <si>
    <t>TWP-W2265THK(W)</t>
    <phoneticPr fontId="24" type="noConversion"/>
  </si>
  <si>
    <t>Comm TWP-W2265THK(W)</t>
    <phoneticPr fontId="24" type="noConversion"/>
  </si>
  <si>
    <t>RAD-D200H</t>
  </si>
  <si>
    <t>RAD-D250H</t>
  </si>
  <si>
    <t>RAD-D200H</t>
    <phoneticPr fontId="24" type="noConversion"/>
  </si>
  <si>
    <t>壓縮式抽濕機 (22公升)</t>
  </si>
  <si>
    <t>壓縮式抽濕機 (25公升)</t>
  </si>
  <si>
    <t>Comm 抽濕機</t>
    <phoneticPr fontId="24" type="noConversion"/>
  </si>
  <si>
    <t>TW_3 Citistore</t>
    <phoneticPr fontId="24" type="noConversion"/>
  </si>
  <si>
    <t>5mm</t>
    <phoneticPr fontId="24" type="noConversion"/>
  </si>
  <si>
    <t>mm24</t>
    <phoneticPr fontId="24" type="noConversion"/>
  </si>
  <si>
    <t>tsr76</t>
    <phoneticPr fontId="24" type="noConversion"/>
  </si>
  <si>
    <t>Kai Tak_1 Sogo</t>
    <phoneticPr fontId="24" type="noConversion"/>
  </si>
  <si>
    <t>bn90</t>
    <phoneticPr fontId="24" type="noConversion"/>
  </si>
  <si>
    <t>KT-14DHUHK(W) KETTLE</t>
  </si>
  <si>
    <t>RAD-D250H</t>
    <phoneticPr fontId="24" type="noConversion"/>
  </si>
  <si>
    <t>m901</t>
    <phoneticPr fontId="24" type="noConversion"/>
  </si>
  <si>
    <t>Aeon</t>
    <phoneticPr fontId="24" type="noConversion"/>
  </si>
  <si>
    <t>15ist</t>
    <phoneticPr fontId="24" type="noConversion"/>
  </si>
  <si>
    <t>td5000</t>
    <phoneticPr fontId="24" type="noConversion"/>
  </si>
  <si>
    <t>bl85a2</t>
    <phoneticPr fontId="24" type="noConversion"/>
  </si>
  <si>
    <t>a26hsz</t>
    <phoneticPr fontId="24" type="noConversion"/>
  </si>
  <si>
    <t>rt416</t>
    <phoneticPr fontId="24" type="noConversion"/>
  </si>
  <si>
    <t>TP_1 Yata</t>
    <phoneticPr fontId="24" type="noConversion"/>
  </si>
  <si>
    <t>TP_2 Yata</t>
    <phoneticPr fontId="24" type="noConversion"/>
  </si>
  <si>
    <t>Ivy Wong_1</t>
  </si>
  <si>
    <t>Ivy Wong_2</t>
  </si>
  <si>
    <t>Amy Or_1</t>
  </si>
  <si>
    <t>Amy Or_2</t>
  </si>
  <si>
    <t>Fong_1</t>
  </si>
  <si>
    <t>Wendy Wong_1</t>
  </si>
  <si>
    <t>Wendy Wong_2</t>
  </si>
  <si>
    <t>Tony_1</t>
  </si>
  <si>
    <t>Tony_2</t>
  </si>
  <si>
    <t>Tony_3</t>
  </si>
  <si>
    <t>TP_3 Yata</t>
  </si>
  <si>
    <t>Maggie Ho_1</t>
  </si>
  <si>
    <t>Maggie Ho_2</t>
  </si>
  <si>
    <t>Mui Chan_2</t>
  </si>
  <si>
    <t>Kitty Yeung</t>
    <phoneticPr fontId="24" type="noConversion"/>
  </si>
  <si>
    <t>Panda</t>
    <phoneticPr fontId="24" type="noConversion"/>
  </si>
  <si>
    <t>Maggie ho</t>
    <phoneticPr fontId="24" type="noConversion"/>
  </si>
  <si>
    <t>.</t>
    <phoneticPr fontId="24" type="noConversion"/>
  </si>
  <si>
    <t>Kai Tak_2 Sogo</t>
    <phoneticPr fontId="24" type="noConversion"/>
  </si>
  <si>
    <t>mui chan</t>
    <phoneticPr fontId="24" type="noConversion"/>
  </si>
  <si>
    <t>Kln Bay Demo Broadway</t>
    <phoneticPr fontId="24" type="noConversion"/>
  </si>
  <si>
    <t>Yau Tong Aeon</t>
    <phoneticPr fontId="24" type="noConversion"/>
  </si>
  <si>
    <t>LCK Aeon</t>
    <phoneticPr fontId="24" type="noConversion"/>
  </si>
  <si>
    <t>.</t>
    <phoneticPr fontId="24" type="noConversion"/>
  </si>
  <si>
    <t>12crfn8</t>
    <phoneticPr fontId="24" type="noConversion"/>
  </si>
  <si>
    <t>Mui Chan</t>
    <phoneticPr fontId="24" type="noConversion"/>
  </si>
  <si>
    <t>LCk</t>
    <phoneticPr fontId="24" type="noConversion"/>
  </si>
  <si>
    <t>15ist</t>
  </si>
  <si>
    <t>34ahk</t>
  </si>
  <si>
    <t>34ahk</t>
    <phoneticPr fontId="24" type="noConversion"/>
  </si>
  <si>
    <t>y200</t>
    <phoneticPr fontId="24" type="noConversion"/>
  </si>
  <si>
    <t>21ts</t>
    <phoneticPr fontId="24" type="noConversion"/>
  </si>
  <si>
    <t>20r1</t>
    <phoneticPr fontId="24" type="noConversion"/>
  </si>
  <si>
    <t>10nmf</t>
    <phoneticPr fontId="24" type="noConversion"/>
  </si>
  <si>
    <t>6027903&gt;6027908</t>
    <phoneticPr fontId="24" type="noConversion"/>
  </si>
  <si>
    <t>Pinky</t>
    <phoneticPr fontId="24" type="noConversion"/>
  </si>
  <si>
    <t>TKO</t>
    <phoneticPr fontId="24" type="noConversion"/>
  </si>
  <si>
    <t>09crf</t>
    <phoneticPr fontId="24" type="noConversion"/>
  </si>
  <si>
    <t>18crf</t>
    <phoneticPr fontId="24" type="noConversion"/>
  </si>
  <si>
    <t>d200</t>
    <phoneticPr fontId="24" type="noConversion"/>
  </si>
  <si>
    <t>18crfn</t>
    <phoneticPr fontId="24" type="noConversion"/>
  </si>
  <si>
    <t>d300</t>
    <phoneticPr fontId="24" type="noConversion"/>
  </si>
  <si>
    <t>Yau Tong</t>
    <phoneticPr fontId="24" type="noConversion"/>
  </si>
  <si>
    <t>Me off</t>
    <phoneticPr fontId="24" type="noConversion"/>
  </si>
  <si>
    <t>Megabox</t>
    <phoneticPr fontId="24" type="noConversion"/>
  </si>
  <si>
    <t>12crf</t>
    <phoneticPr fontId="24" type="noConversion"/>
  </si>
  <si>
    <t>rm612</t>
    <phoneticPr fontId="24" type="noConversion"/>
  </si>
  <si>
    <t>$3288&gt;$3588</t>
    <phoneticPr fontId="24" type="noConversion"/>
  </si>
  <si>
    <t>$4288&gt;4588</t>
    <phoneticPr fontId="24" type="noConversion"/>
  </si>
  <si>
    <t>Citistore</t>
    <phoneticPr fontId="24" type="noConversion"/>
  </si>
  <si>
    <t>TW_1</t>
  </si>
  <si>
    <t>TW_1</t>
    <phoneticPr fontId="24" type="noConversion"/>
  </si>
  <si>
    <t>10jruh</t>
    <phoneticPr fontId="24" type="noConversion"/>
  </si>
  <si>
    <t>5sli</t>
    <phoneticPr fontId="24" type="noConversion"/>
  </si>
  <si>
    <t>cls1b</t>
    <phoneticPr fontId="24" type="noConversion"/>
  </si>
  <si>
    <t>cfk01w75</t>
    <phoneticPr fontId="24" type="noConversion"/>
  </si>
  <si>
    <t>18nmf</t>
    <phoneticPr fontId="24" type="noConversion"/>
  </si>
  <si>
    <t>08dh</t>
    <phoneticPr fontId="24" type="noConversion"/>
  </si>
  <si>
    <t>10bh</t>
    <phoneticPr fontId="24" type="noConversion"/>
  </si>
  <si>
    <t>mm20</t>
    <phoneticPr fontId="24" type="noConversion"/>
  </si>
  <si>
    <t>17drt</t>
    <phoneticPr fontId="24" type="noConversion"/>
  </si>
  <si>
    <t>30fl</t>
    <phoneticPr fontId="24" type="noConversion"/>
  </si>
  <si>
    <t>eg20</t>
    <phoneticPr fontId="24" type="noConversion"/>
  </si>
  <si>
    <t>sac24</t>
    <phoneticPr fontId="24" type="noConversion"/>
  </si>
  <si>
    <t>18jruh</t>
    <phoneticPr fontId="24" type="noConversion"/>
  </si>
  <si>
    <t>em20</t>
    <phoneticPr fontId="24" type="noConversion"/>
  </si>
  <si>
    <t>50dr</t>
    <phoneticPr fontId="24" type="noConversion"/>
  </si>
  <si>
    <t>15drt</t>
    <phoneticPr fontId="24" type="noConversion"/>
  </si>
  <si>
    <t>10amx</t>
    <phoneticPr fontId="24" type="noConversion"/>
  </si>
  <si>
    <t>bu80</t>
    <phoneticPr fontId="24" type="noConversion"/>
  </si>
  <si>
    <t>18isph</t>
    <phoneticPr fontId="24" type="noConversion"/>
  </si>
  <si>
    <t>rb360</t>
    <phoneticPr fontId="24" type="noConversion"/>
  </si>
  <si>
    <t>17shnh</t>
    <phoneticPr fontId="24" type="noConversion"/>
  </si>
  <si>
    <t>7hmh</t>
    <phoneticPr fontId="24" type="noConversion"/>
  </si>
  <si>
    <t>25dr</t>
    <phoneticPr fontId="24" type="noConversion"/>
  </si>
  <si>
    <t>10iss</t>
    <phoneticPr fontId="24" type="noConversion"/>
  </si>
  <si>
    <t>tt20</t>
    <phoneticPr fontId="24" type="noConversion"/>
  </si>
  <si>
    <t>20gg</t>
    <phoneticPr fontId="24" type="noConversion"/>
  </si>
  <si>
    <t>s19</t>
    <phoneticPr fontId="24" type="noConversion"/>
  </si>
  <si>
    <t>TW_2</t>
  </si>
  <si>
    <t>TW_2</t>
    <phoneticPr fontId="24" type="noConversion"/>
  </si>
  <si>
    <t>Mandy</t>
    <phoneticPr fontId="24" type="noConversion"/>
  </si>
  <si>
    <t>TW_3</t>
    <phoneticPr fontId="24" type="noConversion"/>
  </si>
  <si>
    <t>dr10tw</t>
    <phoneticPr fontId="24" type="noConversion"/>
  </si>
  <si>
    <t>mc35</t>
    <phoneticPr fontId="24" type="noConversion"/>
  </si>
  <si>
    <t>dr10t</t>
    <phoneticPr fontId="24" type="noConversion"/>
  </si>
  <si>
    <t>10irph</t>
    <phoneticPr fontId="24" type="noConversion"/>
  </si>
  <si>
    <t>Mongkok_1 BBE</t>
    <phoneticPr fontId="24" type="noConversion"/>
  </si>
  <si>
    <t>Mongkok_2 BBE</t>
    <phoneticPr fontId="24" type="noConversion"/>
  </si>
  <si>
    <t>Connie</t>
    <phoneticPr fontId="24" type="noConversion"/>
  </si>
  <si>
    <t>Shatin_3 Yata</t>
  </si>
  <si>
    <t>.</t>
    <phoneticPr fontId="24" type="noConversion"/>
  </si>
  <si>
    <t>CWB Sogo</t>
    <phoneticPr fontId="24" type="noConversion"/>
  </si>
  <si>
    <t>TSW RS Tung Yuen</t>
    <phoneticPr fontId="24" type="noConversion"/>
  </si>
  <si>
    <t>TM RS Fortress</t>
    <phoneticPr fontId="24" type="noConversion"/>
  </si>
  <si>
    <t>TC RS Tung Yuen</t>
    <phoneticPr fontId="24" type="noConversion"/>
  </si>
  <si>
    <t>Tai Koo_3 Apita</t>
  </si>
  <si>
    <t>Kai Tak_3 Sogo</t>
  </si>
  <si>
    <t>Kai Tak_4 Sogo</t>
  </si>
  <si>
    <t>Hazel</t>
    <phoneticPr fontId="24" type="noConversion"/>
  </si>
  <si>
    <t>Vcity_1 Fortress</t>
    <phoneticPr fontId="24" type="noConversion"/>
  </si>
  <si>
    <t>Hung off</t>
    <phoneticPr fontId="24" type="noConversion"/>
  </si>
  <si>
    <t>開門紅(三月)</t>
    <phoneticPr fontId="24" type="noConversion"/>
  </si>
  <si>
    <t>開門紅(第一季)</t>
    <phoneticPr fontId="24" type="noConversion"/>
  </si>
  <si>
    <t>RC-DS10K/18K</t>
  </si>
  <si>
    <t>TWDT21BU95</t>
  </si>
  <si>
    <t>TWDT21BU95</t>
    <phoneticPr fontId="24" type="noConversion"/>
  </si>
  <si>
    <t>GR-RM469WE-PGA(B3)</t>
    <phoneticPr fontId="24" type="noConversion"/>
  </si>
  <si>
    <t>EB-T500APW</t>
    <phoneticPr fontId="24" type="noConversion"/>
  </si>
  <si>
    <t>GR-RF698WI</t>
  </si>
  <si>
    <t>GR-RF698WI</t>
    <phoneticPr fontId="24" type="noConversion"/>
  </si>
  <si>
    <t>6A</t>
    <phoneticPr fontId="24" type="noConversion"/>
  </si>
  <si>
    <t>6B</t>
    <phoneticPr fontId="24" type="noConversion"/>
  </si>
  <si>
    <t>(Fortress ONLY)TW-T25BZU115MWH(MG) </t>
  </si>
  <si>
    <t>開門紅(三月)</t>
  </si>
  <si>
    <t>開門紅(第一季)</t>
  </si>
  <si>
    <t>抽濕機特佣</t>
    <phoneticPr fontId="24" type="noConversion"/>
  </si>
  <si>
    <t>日本飯煲 RC-DS10K/18K</t>
    <phoneticPr fontId="24" type="noConversion"/>
  </si>
  <si>
    <t>酵活炊電飯煲特佣
RC-18AMXH(W)</t>
    <phoneticPr fontId="24" type="noConversion"/>
  </si>
  <si>
    <t>嵌入式微波氣炸蒸焗爐特佣
EB-T500APW</t>
    <phoneticPr fontId="24" type="noConversion"/>
  </si>
  <si>
    <t>蒸氣烤焗水波爐特佣,
ER-VD7000HK(XK)</t>
    <phoneticPr fontId="24" type="noConversion"/>
  </si>
  <si>
    <t>日式洗衣機一特佣
AW-Q800APH(WW)</t>
    <phoneticPr fontId="24" type="noConversion"/>
  </si>
  <si>
    <t>日式洗衣機二特佣
AW-Q801APH(WW)</t>
    <phoneticPr fontId="24" type="noConversion"/>
  </si>
  <si>
    <t>雙門雪櫃一特佣
GR-RB449WE-PMA(57)</t>
    <phoneticPr fontId="24" type="noConversion"/>
  </si>
  <si>
    <t>三門雪櫃特佣
GR-RM469WE-PGA(B3)</t>
    <phoneticPr fontId="24" type="noConversion"/>
  </si>
  <si>
    <t>雙門雪櫃一特佣
GR-RB410WE-PMA(06)</t>
    <phoneticPr fontId="24" type="noConversion"/>
  </si>
  <si>
    <t>十字門雪櫃
GR-RF698WI</t>
    <phoneticPr fontId="24" type="noConversion"/>
  </si>
  <si>
    <t>水機
TWP-W2265THK(W)</t>
    <phoneticPr fontId="24" type="noConversion"/>
  </si>
  <si>
    <t>Q800/Q801</t>
    <phoneticPr fontId="24" type="noConversion"/>
  </si>
  <si>
    <t>RM469</t>
    <phoneticPr fontId="24" type="noConversion"/>
  </si>
  <si>
    <t>RB449</t>
    <phoneticPr fontId="24" type="noConversion"/>
  </si>
  <si>
    <t>RB410</t>
    <phoneticPr fontId="24" type="noConversion"/>
  </si>
  <si>
    <t>RF698</t>
    <phoneticPr fontId="24" type="noConversion"/>
  </si>
  <si>
    <t>W2265</t>
    <phoneticPr fontId="24" type="noConversion"/>
  </si>
  <si>
    <t>抽濕機</t>
    <phoneticPr fontId="24" type="noConversion"/>
  </si>
  <si>
    <t>(Fortress ONLY)TW-T25BZU115MWH(MG) </t>
    <phoneticPr fontId="24" type="noConversion"/>
  </si>
  <si>
    <t>TW-T25BZU115MWH</t>
    <phoneticPr fontId="24" type="noConversion"/>
  </si>
  <si>
    <t>開門紅(第一季)</t>
    <phoneticPr fontId="24" type="noConversion"/>
  </si>
  <si>
    <t>Comm EB-T500APW</t>
    <phoneticPr fontId="24" type="noConversion"/>
  </si>
  <si>
    <t>TWD-T21BU95UWH(WW)</t>
    <phoneticPr fontId="24" type="noConversion"/>
  </si>
  <si>
    <t>Comm AW-Q800APH(WW)</t>
    <phoneticPr fontId="24" type="noConversion"/>
  </si>
  <si>
    <t>Comm AW-Q801APH(WW)</t>
    <phoneticPr fontId="24" type="noConversion"/>
  </si>
  <si>
    <t>Comm GR-RM469WE-PGA(B3)</t>
    <phoneticPr fontId="24" type="noConversion"/>
  </si>
  <si>
    <t>Comm GR-RB449WE-PMA(57)</t>
    <phoneticPr fontId="24" type="noConversion"/>
  </si>
  <si>
    <t>Comm GR-RB410WE-PMA(06)</t>
    <phoneticPr fontId="24" type="noConversion"/>
  </si>
  <si>
    <t>Comm 開門紅(三月)</t>
    <phoneticPr fontId="24" type="noConversion"/>
  </si>
  <si>
    <t>GR-RB449WE-PMA(57)</t>
    <phoneticPr fontId="24" type="noConversion"/>
  </si>
  <si>
    <t>RAD-D300H</t>
    <phoneticPr fontId="24" type="noConversion"/>
  </si>
  <si>
    <t>RAD-DIA17HK</t>
    <phoneticPr fontId="24" type="noConversion"/>
  </si>
  <si>
    <t>Comm 開門紅(第一季)</t>
    <phoneticPr fontId="24" type="noConversion"/>
  </si>
  <si>
    <t>Comm GR-RF698WI</t>
    <phoneticPr fontId="24" type="noConversion"/>
  </si>
  <si>
    <t>18amx</t>
    <phoneticPr fontId="24" type="noConversion"/>
  </si>
  <si>
    <t>GR-RF698WI-PGA(67)</t>
  </si>
  <si>
    <t>GR-RF698WI-PGA(67)</t>
    <phoneticPr fontId="24" type="noConversion"/>
  </si>
  <si>
    <t>JAPANDi 十字門雪櫃 (526L)</t>
  </si>
  <si>
    <t>Yata</t>
    <phoneticPr fontId="24" type="noConversion"/>
  </si>
  <si>
    <t>Shatin_2</t>
    <phoneticPr fontId="24" type="noConversion"/>
  </si>
  <si>
    <t>dx18t</t>
    <phoneticPr fontId="24" type="noConversion"/>
  </si>
  <si>
    <t>25dr2</t>
    <phoneticPr fontId="24" type="noConversion"/>
  </si>
  <si>
    <t>DS10k/18k</t>
    <phoneticPr fontId="24" type="noConversion"/>
  </si>
  <si>
    <t>加總 - QTY</t>
  </si>
  <si>
    <t>Ling Ho off</t>
  </si>
  <si>
    <t>Ling Ho off</t>
    <phoneticPr fontId="24" type="noConversion"/>
  </si>
  <si>
    <t>TM</t>
    <phoneticPr fontId="24" type="noConversion"/>
  </si>
  <si>
    <t>mm20</t>
  </si>
  <si>
    <t>10drnh</t>
    <phoneticPr fontId="24" type="noConversion"/>
  </si>
  <si>
    <t>10nmf</t>
  </si>
  <si>
    <t>dr18tw</t>
    <phoneticPr fontId="24" type="noConversion"/>
  </si>
  <si>
    <t>str30</t>
    <phoneticPr fontId="24" type="noConversion"/>
  </si>
  <si>
    <t>060673</t>
    <phoneticPr fontId="24" type="noConversion"/>
  </si>
  <si>
    <t>15bh</t>
    <phoneticPr fontId="24" type="noConversion"/>
  </si>
  <si>
    <t>sd99</t>
    <phoneticPr fontId="24" type="noConversion"/>
  </si>
  <si>
    <t>stq20</t>
    <phoneticPr fontId="24" type="noConversion"/>
  </si>
  <si>
    <t>mmp0</t>
    <phoneticPr fontId="24" type="noConversion"/>
  </si>
  <si>
    <t>hm30</t>
    <phoneticPr fontId="24" type="noConversion"/>
  </si>
  <si>
    <t>rb221</t>
    <phoneticPr fontId="24" type="noConversion"/>
  </si>
  <si>
    <t>17sh1n</t>
    <phoneticPr fontId="24" type="noConversion"/>
  </si>
  <si>
    <t>2mm20</t>
    <phoneticPr fontId="24" type="noConversion"/>
  </si>
  <si>
    <t>18drnh</t>
    <phoneticPr fontId="24" type="noConversion"/>
  </si>
  <si>
    <t>D300&gt;D200</t>
    <phoneticPr fontId="24" type="noConversion"/>
  </si>
  <si>
    <t>ya20</t>
    <phoneticPr fontId="24" type="noConversion"/>
  </si>
  <si>
    <t>060931</t>
    <phoneticPr fontId="24" type="noConversion"/>
  </si>
  <si>
    <t>060998</t>
    <phoneticPr fontId="24" type="noConversion"/>
  </si>
  <si>
    <t>eg26</t>
    <phoneticPr fontId="24" type="noConversion"/>
  </si>
  <si>
    <t>061486</t>
    <phoneticPr fontId="24" type="noConversion"/>
  </si>
  <si>
    <t>061235</t>
    <phoneticPr fontId="24" type="noConversion"/>
  </si>
  <si>
    <t>061252</t>
    <phoneticPr fontId="24" type="noConversion"/>
  </si>
  <si>
    <t>031092</t>
    <phoneticPr fontId="24" type="noConversion"/>
  </si>
  <si>
    <t>061429</t>
    <phoneticPr fontId="24" type="noConversion"/>
  </si>
  <si>
    <t>Kiko off</t>
    <phoneticPr fontId="24" type="noConversion"/>
  </si>
  <si>
    <t>Diamond Hill_1 Broadway</t>
    <phoneticPr fontId="24" type="noConversion"/>
  </si>
  <si>
    <t>.</t>
    <phoneticPr fontId="24" type="noConversion"/>
  </si>
  <si>
    <t>Broadway</t>
    <phoneticPr fontId="24" type="noConversion"/>
  </si>
  <si>
    <t>Diamond Hill_2</t>
    <phoneticPr fontId="24" type="noConversion"/>
  </si>
  <si>
    <t>Diamond Hill_1</t>
  </si>
  <si>
    <t>Diamond Hill_1</t>
    <phoneticPr fontId="24" type="noConversion"/>
  </si>
  <si>
    <t>d250</t>
    <phoneticPr fontId="24" type="noConversion"/>
  </si>
  <si>
    <t>s19</t>
  </si>
  <si>
    <t>07crfn</t>
    <phoneticPr fontId="24" type="noConversion"/>
  </si>
  <si>
    <t>str25</t>
    <phoneticPr fontId="24" type="noConversion"/>
  </si>
  <si>
    <t>q901</t>
    <phoneticPr fontId="24" type="noConversion"/>
  </si>
  <si>
    <t>Kai Tak_5 Sogo</t>
  </si>
  <si>
    <t>Shirley</t>
    <phoneticPr fontId="24" type="noConversion"/>
  </si>
  <si>
    <t>Kit_3</t>
    <phoneticPr fontId="24" type="noConversion"/>
  </si>
  <si>
    <t>Kit_1</t>
  </si>
  <si>
    <t>Kit_2</t>
  </si>
  <si>
    <t>Sogo</t>
    <phoneticPr fontId="24" type="noConversion"/>
  </si>
  <si>
    <t>Apita</t>
    <phoneticPr fontId="24" type="noConversion"/>
  </si>
  <si>
    <t>Tai Koo_1</t>
    <phoneticPr fontId="24" type="noConversion"/>
  </si>
  <si>
    <t>q801</t>
    <phoneticPr fontId="24" type="noConversion"/>
  </si>
  <si>
    <t>twdt22</t>
    <phoneticPr fontId="24" type="noConversion"/>
  </si>
  <si>
    <t>Kai Tak_2</t>
    <phoneticPr fontId="24" type="noConversion"/>
  </si>
  <si>
    <t>rt234</t>
    <phoneticPr fontId="24" type="noConversion"/>
  </si>
  <si>
    <t>ds10k</t>
    <phoneticPr fontId="24" type="noConversion"/>
  </si>
  <si>
    <t>14dh</t>
    <phoneticPr fontId="24" type="noConversion"/>
  </si>
  <si>
    <t>S562-0099</t>
    <phoneticPr fontId="24" type="noConversion"/>
  </si>
  <si>
    <t>S562-0100</t>
    <phoneticPr fontId="24" type="noConversion"/>
  </si>
  <si>
    <t>S562-0101</t>
    <phoneticPr fontId="24" type="noConversion"/>
  </si>
  <si>
    <t>S562-0102</t>
    <phoneticPr fontId="24" type="noConversion"/>
  </si>
  <si>
    <t>S056-24628</t>
    <phoneticPr fontId="24" type="noConversion"/>
  </si>
  <si>
    <t>S056-24625</t>
    <phoneticPr fontId="24" type="noConversion"/>
  </si>
  <si>
    <t>S562-0104</t>
    <phoneticPr fontId="24" type="noConversion"/>
  </si>
  <si>
    <t>S056-24669</t>
    <phoneticPr fontId="24" type="noConversion"/>
  </si>
  <si>
    <t>S562-0106</t>
    <phoneticPr fontId="24" type="noConversion"/>
  </si>
  <si>
    <t>S053-2354</t>
    <phoneticPr fontId="24" type="noConversion"/>
  </si>
  <si>
    <t>S053-2359</t>
    <phoneticPr fontId="24" type="noConversion"/>
  </si>
  <si>
    <t>S562-0107</t>
    <phoneticPr fontId="24" type="noConversion"/>
  </si>
  <si>
    <t>S056-24763</t>
    <phoneticPr fontId="24" type="noConversion"/>
  </si>
  <si>
    <t>S056-24828</t>
    <phoneticPr fontId="24" type="noConversion"/>
  </si>
  <si>
    <t>S056-24868</t>
    <phoneticPr fontId="24" type="noConversion"/>
  </si>
  <si>
    <t>S056-24880</t>
    <phoneticPr fontId="24" type="noConversion"/>
  </si>
  <si>
    <t>S056-24892</t>
    <phoneticPr fontId="24" type="noConversion"/>
  </si>
  <si>
    <t>S056-24912</t>
    <phoneticPr fontId="24" type="noConversion"/>
  </si>
  <si>
    <t>S056-24941</t>
    <phoneticPr fontId="24" type="noConversion"/>
  </si>
  <si>
    <t>S056-24965</t>
    <phoneticPr fontId="24" type="noConversion"/>
  </si>
  <si>
    <t>S056-24987</t>
    <phoneticPr fontId="24" type="noConversion"/>
  </si>
  <si>
    <t>S055-10237</t>
    <phoneticPr fontId="24" type="noConversion"/>
  </si>
  <si>
    <t>S056-25006</t>
    <phoneticPr fontId="24" type="noConversion"/>
  </si>
  <si>
    <t>Tsuen Wan</t>
    <phoneticPr fontId="24" type="noConversion"/>
  </si>
  <si>
    <t>12crfn</t>
    <phoneticPr fontId="24" type="noConversion"/>
  </si>
  <si>
    <t>20r1&gt;21ts</t>
    <phoneticPr fontId="24" type="noConversion"/>
  </si>
  <si>
    <t>TM_2</t>
    <phoneticPr fontId="24" type="noConversion"/>
  </si>
  <si>
    <t>dsb35</t>
    <phoneticPr fontId="24" type="noConversion"/>
  </si>
  <si>
    <t>12g3cvr</t>
    <phoneticPr fontId="24" type="noConversion"/>
  </si>
  <si>
    <t>CFS-09PGR0A0</t>
  </si>
  <si>
    <t>9吋座檯座地循環扇連遙控</t>
  </si>
  <si>
    <t>cfs09</t>
    <phoneticPr fontId="24" type="noConversion"/>
  </si>
  <si>
    <t>Tung Yuen</t>
    <phoneticPr fontId="24" type="noConversion"/>
  </si>
  <si>
    <t>TC RS</t>
    <phoneticPr fontId="24" type="noConversion"/>
  </si>
  <si>
    <t>rm469</t>
    <phoneticPr fontId="24" type="noConversion"/>
  </si>
  <si>
    <t>twdt21</t>
    <phoneticPr fontId="24" type="noConversion"/>
  </si>
  <si>
    <t>rt300</t>
    <phoneticPr fontId="24" type="noConversion"/>
  </si>
  <si>
    <t>Ho_1</t>
  </si>
  <si>
    <t>Ho_1 off</t>
  </si>
  <si>
    <t>Ho_2</t>
  </si>
  <si>
    <t>Ho_3</t>
  </si>
  <si>
    <t>Vicky L off</t>
    <phoneticPr fontId="24" type="noConversion"/>
  </si>
  <si>
    <t>Coco off</t>
    <phoneticPr fontId="24" type="noConversion"/>
  </si>
  <si>
    <t>vd7000</t>
    <phoneticPr fontId="24" type="noConversion"/>
  </si>
  <si>
    <t>Suning</t>
    <phoneticPr fontId="24" type="noConversion"/>
  </si>
  <si>
    <t>18g3cvr</t>
    <phoneticPr fontId="24" type="noConversion"/>
  </si>
  <si>
    <t>bu90</t>
    <phoneticPr fontId="24" type="noConversion"/>
  </si>
  <si>
    <t>07g3cvg</t>
    <phoneticPr fontId="24" type="noConversion"/>
  </si>
  <si>
    <t>09g3cvr</t>
    <phoneticPr fontId="24" type="noConversion"/>
  </si>
  <si>
    <t>05t2</t>
    <phoneticPr fontId="24" type="noConversion"/>
  </si>
  <si>
    <t>a400</t>
    <phoneticPr fontId="24" type="noConversion"/>
  </si>
  <si>
    <t>Fortress</t>
    <phoneticPr fontId="24" type="noConversion"/>
  </si>
  <si>
    <t>Diamond Hill</t>
    <phoneticPr fontId="24" type="noConversion"/>
  </si>
  <si>
    <t>q800</t>
    <phoneticPr fontId="24" type="noConversion"/>
  </si>
  <si>
    <t>dia17</t>
    <phoneticPr fontId="24" type="noConversion"/>
  </si>
  <si>
    <t>12g3cvg</t>
    <phoneticPr fontId="24" type="noConversion"/>
  </si>
  <si>
    <t>mm25</t>
    <phoneticPr fontId="24" type="noConversion"/>
  </si>
  <si>
    <t>cfk01w80</t>
    <phoneticPr fontId="24" type="noConversion"/>
  </si>
  <si>
    <t>rb449</t>
    <phoneticPr fontId="24" type="noConversion"/>
  </si>
  <si>
    <t>mg20</t>
    <phoneticPr fontId="24" type="noConversion"/>
  </si>
  <si>
    <t>ag21</t>
    <phoneticPr fontId="24" type="noConversion"/>
  </si>
  <si>
    <t>15drr</t>
  </si>
  <si>
    <t>15drr</t>
    <phoneticPr fontId="24" type="noConversion"/>
  </si>
  <si>
    <t>fistpro</t>
    <phoneticPr fontId="24" type="noConversion"/>
  </si>
  <si>
    <t>b60</t>
    <phoneticPr fontId="24" type="noConversion"/>
  </si>
  <si>
    <t>rm598</t>
    <phoneticPr fontId="24" type="noConversion"/>
  </si>
  <si>
    <t>bu95</t>
    <phoneticPr fontId="24" type="noConversion"/>
  </si>
  <si>
    <t>dq950</t>
    <phoneticPr fontId="24" type="noConversion"/>
  </si>
  <si>
    <t>6px</t>
    <phoneticPr fontId="24" type="noConversion"/>
  </si>
  <si>
    <t>rm352</t>
    <phoneticPr fontId="24" type="noConversion"/>
  </si>
  <si>
    <t>th23</t>
    <phoneticPr fontId="24" type="noConversion"/>
  </si>
  <si>
    <t>$258&gt;$2580</t>
    <phoneticPr fontId="24" type="noConversion"/>
  </si>
  <si>
    <t>ds18kw</t>
    <phoneticPr fontId="24" type="noConversion"/>
  </si>
  <si>
    <t>qty 1&gt;3</t>
    <phoneticPr fontId="24" type="noConversion"/>
  </si>
  <si>
    <r>
      <t xml:space="preserve">del </t>
    </r>
    <r>
      <rPr>
        <sz val="12"/>
        <color theme="1"/>
        <rFont val="細明體"/>
        <family val="2"/>
        <charset val="136"/>
      </rPr>
      <t>正本</t>
    </r>
    <phoneticPr fontId="24" type="noConversion"/>
  </si>
  <si>
    <t>qty 1&gt;2</t>
    <phoneticPr fontId="24" type="noConversion"/>
  </si>
  <si>
    <t>duplicated,mc35,$888,815893</t>
    <phoneticPr fontId="24" type="noConversion"/>
  </si>
  <si>
    <t>duplicated,s19,$418,815444</t>
    <phoneticPr fontId="24" type="noConversion"/>
  </si>
  <si>
    <t>duplicated,dq950,$2580,814986</t>
    <phoneticPr fontId="24" type="noConversion"/>
  </si>
  <si>
    <t>duplicated,q901,$2280,901636</t>
    <phoneticPr fontId="24" type="noConversion"/>
  </si>
  <si>
    <t>Mui Chan_1</t>
  </si>
  <si>
    <t>Kai Tak_3</t>
  </si>
  <si>
    <t>Kai Tak_3</t>
    <phoneticPr fontId="24" type="noConversion"/>
  </si>
  <si>
    <t>S056-24756</t>
    <phoneticPr fontId="24" type="noConversion"/>
  </si>
  <si>
    <t>S056-24782</t>
    <phoneticPr fontId="24" type="noConversion"/>
  </si>
  <si>
    <t>S056-24787</t>
    <phoneticPr fontId="24" type="noConversion"/>
  </si>
  <si>
    <t>S056-25481</t>
    <phoneticPr fontId="24" type="noConversion"/>
  </si>
  <si>
    <t>S056-10279</t>
    <phoneticPr fontId="24" type="noConversion"/>
  </si>
  <si>
    <t>S056-25124</t>
    <phoneticPr fontId="24" type="noConversion"/>
  </si>
  <si>
    <t>S056-25160</t>
    <phoneticPr fontId="24" type="noConversion"/>
  </si>
  <si>
    <t>S056-25184</t>
    <phoneticPr fontId="24" type="noConversion"/>
  </si>
  <si>
    <t>S056-25199</t>
    <phoneticPr fontId="24" type="noConversion"/>
  </si>
  <si>
    <t>S056-25203</t>
    <phoneticPr fontId="24" type="noConversion"/>
  </si>
  <si>
    <t>S053-2390</t>
    <phoneticPr fontId="24" type="noConversion"/>
  </si>
  <si>
    <t>S056-25214</t>
    <phoneticPr fontId="24" type="noConversion"/>
  </si>
  <si>
    <t>S055-10377</t>
    <phoneticPr fontId="24" type="noConversion"/>
  </si>
  <si>
    <t>S055-10341</t>
    <phoneticPr fontId="24" type="noConversion"/>
  </si>
  <si>
    <t>S053-2384</t>
    <phoneticPr fontId="24" type="noConversion"/>
  </si>
  <si>
    <t>S053-2395</t>
    <phoneticPr fontId="24" type="noConversion"/>
  </si>
  <si>
    <t>S055-10383</t>
    <phoneticPr fontId="24" type="noConversion"/>
  </si>
  <si>
    <t>S056-25233</t>
    <phoneticPr fontId="24" type="noConversion"/>
  </si>
  <si>
    <t>S056-25243</t>
    <phoneticPr fontId="24" type="noConversion"/>
  </si>
  <si>
    <t>t500a</t>
    <phoneticPr fontId="24" type="noConversion"/>
  </si>
  <si>
    <t>S050-2544</t>
    <phoneticPr fontId="24" type="noConversion"/>
  </si>
  <si>
    <t>S056-25421</t>
    <phoneticPr fontId="24" type="noConversion"/>
  </si>
  <si>
    <t>S056-25432</t>
    <phoneticPr fontId="24" type="noConversion"/>
  </si>
  <si>
    <t>S056-25444</t>
    <phoneticPr fontId="24" type="noConversion"/>
  </si>
  <si>
    <t>S056-25448</t>
    <phoneticPr fontId="24" type="noConversion"/>
  </si>
  <si>
    <t>S056-25451</t>
    <phoneticPr fontId="24" type="noConversion"/>
  </si>
  <si>
    <t>S056-25466</t>
    <phoneticPr fontId="24" type="noConversion"/>
  </si>
  <si>
    <t>S056-25488</t>
    <phoneticPr fontId="24" type="noConversion"/>
  </si>
  <si>
    <t>S056-25496</t>
    <phoneticPr fontId="24" type="noConversion"/>
  </si>
  <si>
    <t>S056-25503</t>
    <phoneticPr fontId="24" type="noConversion"/>
  </si>
  <si>
    <t>S056-25505</t>
    <phoneticPr fontId="24" type="noConversion"/>
  </si>
  <si>
    <t>S053-2454</t>
    <phoneticPr fontId="24" type="noConversion"/>
  </si>
  <si>
    <t>S056-25533</t>
    <phoneticPr fontId="24" type="noConversion"/>
  </si>
  <si>
    <t>S053-2459</t>
    <phoneticPr fontId="24" type="noConversion"/>
  </si>
  <si>
    <t>S055-10638</t>
    <phoneticPr fontId="24" type="noConversion"/>
  </si>
  <si>
    <t>S056-25550</t>
    <phoneticPr fontId="24" type="noConversion"/>
  </si>
  <si>
    <t>S053-2475</t>
    <phoneticPr fontId="24" type="noConversion"/>
  </si>
  <si>
    <t>S056-25587</t>
    <phoneticPr fontId="24" type="noConversion"/>
  </si>
  <si>
    <t>S055-10670</t>
    <phoneticPr fontId="24" type="noConversion"/>
  </si>
  <si>
    <t>S056-25598</t>
    <phoneticPr fontId="24" type="noConversion"/>
  </si>
  <si>
    <t>S056-25617</t>
    <phoneticPr fontId="24" type="noConversion"/>
  </si>
  <si>
    <t>S056-25849</t>
    <phoneticPr fontId="24" type="noConversion"/>
  </si>
  <si>
    <t>S056-5853</t>
    <phoneticPr fontId="24" type="noConversion"/>
  </si>
  <si>
    <t>S056-25926</t>
    <phoneticPr fontId="24" type="noConversion"/>
  </si>
  <si>
    <t>S056-25991</t>
    <phoneticPr fontId="24" type="noConversion"/>
  </si>
  <si>
    <t>Kai Tak RS_1 Sogo</t>
    <phoneticPr fontId="24" type="noConversion"/>
  </si>
  <si>
    <t>Kai Tak RS_2 Sogo</t>
  </si>
  <si>
    <t>Kitty Yeung off</t>
    <phoneticPr fontId="24" type="noConversion"/>
  </si>
  <si>
    <t>TKW</t>
    <phoneticPr fontId="24" type="noConversion"/>
  </si>
  <si>
    <t>4373&gt;4368</t>
    <phoneticPr fontId="24" type="noConversion"/>
  </si>
  <si>
    <t>TP_3</t>
  </si>
  <si>
    <t>TP_3</t>
    <phoneticPr fontId="24" type="noConversion"/>
  </si>
  <si>
    <t>dz4k</t>
    <phoneticPr fontId="24" type="noConversion"/>
  </si>
  <si>
    <t>089370</t>
    <phoneticPr fontId="24" type="noConversion"/>
  </si>
  <si>
    <t>089408</t>
    <phoneticPr fontId="24" type="noConversion"/>
  </si>
  <si>
    <t>020244</t>
    <phoneticPr fontId="24" type="noConversion"/>
  </si>
  <si>
    <t>090867</t>
    <phoneticPr fontId="24" type="noConversion"/>
  </si>
  <si>
    <t>Shatin_4 Yata</t>
    <phoneticPr fontId="24" type="noConversion"/>
  </si>
  <si>
    <t>Shatin_4</t>
  </si>
  <si>
    <t>Vcity_2 Fortress</t>
    <phoneticPr fontId="24" type="noConversion"/>
  </si>
  <si>
    <t>Vcity_2</t>
    <phoneticPr fontId="24" type="noConversion"/>
  </si>
  <si>
    <t>Leo off</t>
    <phoneticPr fontId="24" type="noConversion"/>
  </si>
  <si>
    <t>Lily Hon off</t>
    <phoneticPr fontId="24" type="noConversion"/>
  </si>
  <si>
    <t>Pam off</t>
    <phoneticPr fontId="24" type="noConversion"/>
  </si>
  <si>
    <t>Mos_1 Citistore</t>
    <phoneticPr fontId="24" type="noConversion"/>
  </si>
  <si>
    <t>Mos_2 Citistore</t>
  </si>
  <si>
    <t>.</t>
    <phoneticPr fontId="24" type="noConversion"/>
  </si>
  <si>
    <t>Jessica off</t>
    <phoneticPr fontId="24" type="noConversion"/>
  </si>
  <si>
    <t>Daisy off</t>
    <phoneticPr fontId="24" type="noConversion"/>
  </si>
  <si>
    <t>a28hsz</t>
    <phoneticPr fontId="24" type="noConversion"/>
  </si>
  <si>
    <t>dx10t</t>
    <phoneticPr fontId="24" type="noConversion"/>
  </si>
  <si>
    <t>DA1420033</t>
    <phoneticPr fontId="24" type="noConversion"/>
  </si>
  <si>
    <t>DA1420131</t>
    <phoneticPr fontId="24" type="noConversion"/>
  </si>
  <si>
    <t>DA1418598</t>
  </si>
  <si>
    <t>DA1418675</t>
  </si>
  <si>
    <t>DA1418689</t>
  </si>
  <si>
    <t>DA1418699</t>
  </si>
  <si>
    <t>DA1418713</t>
  </si>
  <si>
    <t>DA1418728</t>
  </si>
  <si>
    <t>DA1418786</t>
  </si>
  <si>
    <t>DA1418816</t>
  </si>
  <si>
    <t>DA1418854</t>
  </si>
  <si>
    <t>DA1418870</t>
  </si>
  <si>
    <t>DA1418914</t>
  </si>
  <si>
    <t>DA1418942</t>
  </si>
  <si>
    <t>DA1418953</t>
  </si>
  <si>
    <t>DA1418957</t>
  </si>
  <si>
    <t>DA1418962</t>
  </si>
  <si>
    <t>DA1418998</t>
  </si>
  <si>
    <t>DA1419013</t>
  </si>
  <si>
    <t>DA1419018</t>
  </si>
  <si>
    <t>DA1419076</t>
  </si>
  <si>
    <t>DA1419080</t>
  </si>
  <si>
    <t>DA1419089</t>
  </si>
  <si>
    <t>DA1419098</t>
  </si>
  <si>
    <t>DA1419100</t>
  </si>
  <si>
    <t>DA1419112</t>
  </si>
  <si>
    <t>DA1419124</t>
  </si>
  <si>
    <t>DA1419164</t>
  </si>
  <si>
    <t>DA1419220</t>
  </si>
  <si>
    <t>DA1419278</t>
  </si>
  <si>
    <t>DA1419284</t>
  </si>
  <si>
    <t>DA1419292</t>
  </si>
  <si>
    <t>DA1419339</t>
  </si>
  <si>
    <t>DA1419472</t>
  </si>
  <si>
    <t>DA1419516</t>
  </si>
  <si>
    <t>DA1419600</t>
  </si>
  <si>
    <t>DA1419626</t>
  </si>
  <si>
    <t>DA1419658</t>
  </si>
  <si>
    <t>DA1419691</t>
  </si>
  <si>
    <t>DA1419707</t>
  </si>
  <si>
    <t>DA1419710</t>
  </si>
  <si>
    <t>DA1419737</t>
  </si>
  <si>
    <t>DA1419756</t>
  </si>
  <si>
    <t>DA1419776</t>
  </si>
  <si>
    <t>DA1419774</t>
  </si>
  <si>
    <t>DA1419784</t>
  </si>
  <si>
    <t>DA1419863</t>
  </si>
  <si>
    <t>DA1419877</t>
  </si>
  <si>
    <t>DA1419884</t>
  </si>
  <si>
    <t>DA1419900</t>
  </si>
  <si>
    <t>DA1419970</t>
  </si>
  <si>
    <t>DA1419977</t>
  </si>
  <si>
    <t>DA1419978</t>
  </si>
  <si>
    <t>ds10kw</t>
    <phoneticPr fontId="24" type="noConversion"/>
  </si>
  <si>
    <t>mc25</t>
    <phoneticPr fontId="24" type="noConversion"/>
  </si>
  <si>
    <t>TL2-MC25CZE(GR)</t>
  </si>
  <si>
    <t>MOA</t>
  </si>
  <si>
    <t>多功能焗爐 (25公升)</t>
  </si>
  <si>
    <t>09g3cvg</t>
    <phoneticPr fontId="24" type="noConversion"/>
  </si>
  <si>
    <t>DA1420</t>
    <phoneticPr fontId="24" type="noConversion"/>
  </si>
  <si>
    <t>DA142</t>
  </si>
  <si>
    <t>DA142</t>
    <phoneticPr fontId="24" type="noConversion"/>
  </si>
  <si>
    <t>DA1420157</t>
  </si>
  <si>
    <t>DA1420191</t>
  </si>
  <si>
    <t>DA1420209</t>
  </si>
  <si>
    <t>DA1420220</t>
  </si>
  <si>
    <t>DA1420284</t>
  </si>
  <si>
    <t>DA1420331</t>
  </si>
  <si>
    <t>DA1420248</t>
  </si>
  <si>
    <t>DA1420429</t>
  </si>
  <si>
    <t>DA1420494</t>
  </si>
  <si>
    <t>DA1420520</t>
  </si>
  <si>
    <t>DA1420556</t>
  </si>
  <si>
    <t>DA1420577</t>
  </si>
  <si>
    <t>DA1420579</t>
  </si>
  <si>
    <t>DA1420585</t>
  </si>
  <si>
    <t>DA1420588</t>
  </si>
  <si>
    <t>DA1420636</t>
  </si>
  <si>
    <t>DA1420638</t>
  </si>
  <si>
    <t>DA1420643</t>
  </si>
  <si>
    <t>DA1420647</t>
  </si>
  <si>
    <t>DA1420684</t>
  </si>
  <si>
    <t>DA1420695</t>
  </si>
  <si>
    <t>DA1420733</t>
  </si>
  <si>
    <t>DA1420734</t>
  </si>
  <si>
    <t>DA1420771</t>
  </si>
  <si>
    <t>DA1420799</t>
  </si>
  <si>
    <t>DA1420819</t>
  </si>
  <si>
    <t>DA1420824</t>
  </si>
  <si>
    <t>DA1420872</t>
  </si>
  <si>
    <t>DA1420940</t>
  </si>
  <si>
    <t>DA1420972</t>
  </si>
  <si>
    <t>DA1421003</t>
  </si>
  <si>
    <t>DA1421005</t>
  </si>
  <si>
    <t>DA1421021</t>
  </si>
  <si>
    <t>DA1421044</t>
  </si>
  <si>
    <t>DA1421069</t>
  </si>
  <si>
    <t>DA1421110</t>
  </si>
  <si>
    <t>DA1421142</t>
  </si>
  <si>
    <t>DA1421150</t>
  </si>
  <si>
    <t>DA1421159</t>
  </si>
  <si>
    <t>DA1421161</t>
  </si>
  <si>
    <t>DA1421251</t>
  </si>
  <si>
    <t>DA1421253</t>
  </si>
  <si>
    <t>DA1421281</t>
  </si>
  <si>
    <t>DA1421302</t>
  </si>
  <si>
    <t>DA1421341</t>
  </si>
  <si>
    <t>DA1421370</t>
  </si>
  <si>
    <t>DA1421375</t>
  </si>
  <si>
    <t>DA1421444</t>
  </si>
  <si>
    <t>DA1421476</t>
  </si>
  <si>
    <t>DA1421484</t>
  </si>
  <si>
    <t>DA1421506</t>
  </si>
  <si>
    <t>DA1421526</t>
  </si>
  <si>
    <t>w2265</t>
    <phoneticPr fontId="24" type="noConversion"/>
  </si>
  <si>
    <t>陳列品</t>
  </si>
  <si>
    <t>陳列品</t>
    <phoneticPr fontId="24" type="noConversion"/>
  </si>
  <si>
    <t>18g3cvg</t>
    <phoneticPr fontId="24" type="noConversion"/>
  </si>
  <si>
    <t>DA1421606</t>
  </si>
  <si>
    <t>DA1421613</t>
  </si>
  <si>
    <t>DA1421612</t>
  </si>
  <si>
    <t>DA1421762</t>
  </si>
  <si>
    <t>DA1421781</t>
  </si>
  <si>
    <t>DA1421793</t>
  </si>
  <si>
    <t>DA1421816</t>
  </si>
  <si>
    <t>DA1421831</t>
  </si>
  <si>
    <t>DA1421907</t>
  </si>
  <si>
    <t>DA1421938</t>
  </si>
  <si>
    <t>DA1422004</t>
  </si>
  <si>
    <t>DA1422045</t>
  </si>
  <si>
    <t>DA1422055</t>
  </si>
  <si>
    <t>DA1422057</t>
  </si>
  <si>
    <t>DA1422076</t>
  </si>
  <si>
    <t>DA1422077</t>
  </si>
  <si>
    <t>DA1422083</t>
  </si>
  <si>
    <t>DA1422084</t>
  </si>
  <si>
    <t>DA1422120</t>
  </si>
  <si>
    <t>DA1422147</t>
  </si>
  <si>
    <t>DA1422158</t>
  </si>
  <si>
    <t>DA1422167</t>
  </si>
  <si>
    <t>DA1422219</t>
  </si>
  <si>
    <t>DA1422258</t>
  </si>
  <si>
    <t>DA1422358</t>
  </si>
  <si>
    <t>DA1422402</t>
  </si>
  <si>
    <t>DA1422431</t>
  </si>
  <si>
    <t>DA1422444</t>
  </si>
  <si>
    <t>DA1422445</t>
  </si>
  <si>
    <t>DA1422483</t>
  </si>
  <si>
    <t>DA1422545</t>
  </si>
  <si>
    <t>DA1422671</t>
  </si>
  <si>
    <t>DA1422678</t>
  </si>
  <si>
    <t>DA1422704</t>
  </si>
  <si>
    <t>DA1422782</t>
  </si>
  <si>
    <t>DA1422873</t>
  </si>
  <si>
    <t>DA1422794</t>
  </si>
  <si>
    <t>DA1422829</t>
  </si>
  <si>
    <t>DA1422888</t>
  </si>
  <si>
    <t>DA1422946</t>
  </si>
  <si>
    <t>DA1422955</t>
  </si>
  <si>
    <t>DA1422980</t>
  </si>
  <si>
    <t>DA1422987</t>
  </si>
  <si>
    <t>DA1423003</t>
  </si>
  <si>
    <t>DA1423020</t>
  </si>
  <si>
    <t>DA1423025</t>
  </si>
  <si>
    <t>DA1423035</t>
  </si>
  <si>
    <t>DA1423043</t>
  </si>
  <si>
    <t>DA1423123</t>
  </si>
  <si>
    <t>DA1423127</t>
  </si>
  <si>
    <t>DA1423159</t>
  </si>
  <si>
    <t>DA1423163</t>
  </si>
  <si>
    <t>DA1423219</t>
  </si>
  <si>
    <t>DA1423220</t>
  </si>
  <si>
    <t>DA1423286</t>
  </si>
  <si>
    <t>DA1423373</t>
  </si>
  <si>
    <t>DA1423372</t>
  </si>
  <si>
    <t>Kitty Yeung off</t>
  </si>
  <si>
    <t>Vicky L off</t>
  </si>
  <si>
    <t>Kit_3</t>
  </si>
  <si>
    <t>Michelle off</t>
    <phoneticPr fontId="24" type="noConversion"/>
  </si>
  <si>
    <t>LCK</t>
    <phoneticPr fontId="24" type="noConversion"/>
  </si>
  <si>
    <t>74c</t>
    <phoneticPr fontId="24" type="noConversion"/>
  </si>
  <si>
    <t>d300</t>
  </si>
  <si>
    <t>TG260326N00087</t>
    <phoneticPr fontId="24" type="noConversion"/>
  </si>
  <si>
    <t>14dhu</t>
    <phoneticPr fontId="24" type="noConversion"/>
  </si>
  <si>
    <t>17drnh</t>
    <phoneticPr fontId="24" type="noConversion"/>
  </si>
  <si>
    <t>TG260330T00100</t>
    <phoneticPr fontId="24" type="noConversion"/>
  </si>
  <si>
    <t>Yoho</t>
    <phoneticPr fontId="24" type="noConversion"/>
  </si>
  <si>
    <t>tr30</t>
    <phoneticPr fontId="24" type="noConversion"/>
  </si>
  <si>
    <t>09cr</t>
    <phoneticPr fontId="24" type="noConversion"/>
  </si>
  <si>
    <t>07cr</t>
    <phoneticPr fontId="24" type="noConversion"/>
  </si>
  <si>
    <t>q751</t>
    <phoneticPr fontId="24" type="noConversion"/>
  </si>
  <si>
    <t>07crf</t>
    <phoneticPr fontId="24" type="noConversion"/>
  </si>
  <si>
    <t>fortress</t>
    <phoneticPr fontId="24" type="noConversion"/>
  </si>
  <si>
    <t>good hope</t>
    <phoneticPr fontId="24" type="noConversion"/>
  </si>
  <si>
    <t>clx50</t>
    <phoneticPr fontId="24" type="noConversion"/>
  </si>
  <si>
    <t>rb410</t>
    <phoneticPr fontId="24" type="noConversion"/>
  </si>
  <si>
    <t>913m</t>
    <phoneticPr fontId="24" type="noConversion"/>
  </si>
  <si>
    <t>Mos_1</t>
  </si>
  <si>
    <t>Mos_1</t>
    <phoneticPr fontId="24" type="noConversion"/>
  </si>
  <si>
    <t>051974</t>
    <phoneticPr fontId="24" type="noConversion"/>
  </si>
  <si>
    <t>052068</t>
    <phoneticPr fontId="24" type="noConversion"/>
  </si>
  <si>
    <t>052206</t>
    <phoneticPr fontId="24" type="noConversion"/>
  </si>
  <si>
    <t>095746</t>
    <phoneticPr fontId="24" type="noConversion"/>
  </si>
  <si>
    <t>052520</t>
    <phoneticPr fontId="24" type="noConversion"/>
  </si>
  <si>
    <t>052490</t>
    <phoneticPr fontId="24" type="noConversion"/>
  </si>
  <si>
    <t>052662</t>
    <phoneticPr fontId="24" type="noConversion"/>
  </si>
  <si>
    <t>052685</t>
    <phoneticPr fontId="24" type="noConversion"/>
  </si>
  <si>
    <t>052752</t>
    <phoneticPr fontId="24" type="noConversion"/>
  </si>
  <si>
    <t>053062</t>
    <phoneticPr fontId="24" type="noConversion"/>
  </si>
  <si>
    <t>053007</t>
    <phoneticPr fontId="24" type="noConversion"/>
  </si>
  <si>
    <t>053010</t>
    <phoneticPr fontId="24" type="noConversion"/>
  </si>
  <si>
    <t>053055</t>
    <phoneticPr fontId="24" type="noConversion"/>
  </si>
  <si>
    <t>039521</t>
    <phoneticPr fontId="24" type="noConversion"/>
  </si>
  <si>
    <t>053234</t>
    <phoneticPr fontId="24" type="noConversion"/>
  </si>
  <si>
    <t>053649</t>
    <phoneticPr fontId="24" type="noConversion"/>
  </si>
  <si>
    <t>039599</t>
    <phoneticPr fontId="24" type="noConversion"/>
  </si>
  <si>
    <t>053818</t>
    <phoneticPr fontId="24" type="noConversion"/>
  </si>
  <si>
    <t>053853</t>
    <phoneticPr fontId="24" type="noConversion"/>
  </si>
  <si>
    <t>054112</t>
    <phoneticPr fontId="24" type="noConversion"/>
  </si>
  <si>
    <t>054450</t>
    <phoneticPr fontId="24" type="noConversion"/>
  </si>
  <si>
    <t>054269</t>
    <phoneticPr fontId="24" type="noConversion"/>
  </si>
  <si>
    <t>054579</t>
    <phoneticPr fontId="24" type="noConversion"/>
  </si>
  <si>
    <t>054659</t>
    <phoneticPr fontId="24" type="noConversion"/>
  </si>
  <si>
    <t>054691</t>
    <phoneticPr fontId="24" type="noConversion"/>
  </si>
  <si>
    <t>054707</t>
    <phoneticPr fontId="24" type="noConversion"/>
  </si>
  <si>
    <t>054967</t>
    <phoneticPr fontId="24" type="noConversion"/>
  </si>
  <si>
    <t>055532</t>
    <phoneticPr fontId="24" type="noConversion"/>
  </si>
  <si>
    <t>12pg</t>
    <phoneticPr fontId="24" type="noConversion"/>
  </si>
  <si>
    <t>055551</t>
    <phoneticPr fontId="24" type="noConversion"/>
  </si>
  <si>
    <t>055511</t>
    <phoneticPr fontId="24" type="noConversion"/>
  </si>
  <si>
    <t>056218</t>
    <phoneticPr fontId="24" type="noConversion"/>
  </si>
  <si>
    <t>056538</t>
    <phoneticPr fontId="24" type="noConversion"/>
  </si>
  <si>
    <t>056469</t>
    <phoneticPr fontId="24" type="noConversion"/>
  </si>
  <si>
    <t>056632</t>
    <phoneticPr fontId="24" type="noConversion"/>
  </si>
  <si>
    <t>056839</t>
    <phoneticPr fontId="24" type="noConversion"/>
  </si>
  <si>
    <t>056739</t>
    <phoneticPr fontId="24" type="noConversion"/>
  </si>
  <si>
    <t>056745</t>
    <phoneticPr fontId="24" type="noConversion"/>
  </si>
  <si>
    <t>056792</t>
    <phoneticPr fontId="24" type="noConversion"/>
  </si>
  <si>
    <t>056795</t>
    <phoneticPr fontId="24" type="noConversion"/>
  </si>
  <si>
    <t>056856</t>
    <phoneticPr fontId="24" type="noConversion"/>
  </si>
  <si>
    <t>057416</t>
    <phoneticPr fontId="24" type="noConversion"/>
  </si>
  <si>
    <t>057812</t>
    <phoneticPr fontId="24" type="noConversion"/>
  </si>
  <si>
    <t>058698</t>
    <phoneticPr fontId="24" type="noConversion"/>
  </si>
  <si>
    <t>058705</t>
    <phoneticPr fontId="24" type="noConversion"/>
  </si>
  <si>
    <t>058760</t>
    <phoneticPr fontId="24" type="noConversion"/>
  </si>
  <si>
    <t>058960</t>
    <phoneticPr fontId="24" type="noConversion"/>
  </si>
  <si>
    <t>059062</t>
    <phoneticPr fontId="24" type="noConversion"/>
  </si>
  <si>
    <t>001705</t>
    <phoneticPr fontId="24" type="noConversion"/>
  </si>
  <si>
    <t>059457</t>
    <phoneticPr fontId="24" type="noConversion"/>
  </si>
  <si>
    <t>059966</t>
    <phoneticPr fontId="24" type="noConversion"/>
  </si>
  <si>
    <t>059901</t>
    <phoneticPr fontId="24" type="noConversion"/>
  </si>
  <si>
    <t>dq110</t>
    <phoneticPr fontId="24" type="noConversion"/>
  </si>
  <si>
    <t>059796</t>
    <phoneticPr fontId="24" type="noConversion"/>
  </si>
  <si>
    <t>060315</t>
    <phoneticPr fontId="24" type="noConversion"/>
  </si>
  <si>
    <t>040508</t>
    <phoneticPr fontId="24" type="noConversion"/>
  </si>
  <si>
    <t>060452</t>
    <phoneticPr fontId="24" type="noConversion"/>
  </si>
  <si>
    <t>060457</t>
    <phoneticPr fontId="24" type="noConversion"/>
  </si>
  <si>
    <t>060684</t>
    <phoneticPr fontId="24" type="noConversion"/>
  </si>
  <si>
    <t>061055</t>
    <phoneticPr fontId="24" type="noConversion"/>
  </si>
  <si>
    <t>061082</t>
    <phoneticPr fontId="24" type="noConversion"/>
  </si>
  <si>
    <t>061330</t>
    <phoneticPr fontId="24" type="noConversion"/>
  </si>
  <si>
    <t>061334</t>
    <phoneticPr fontId="24" type="noConversion"/>
  </si>
  <si>
    <t>061602</t>
    <phoneticPr fontId="24" type="noConversion"/>
  </si>
  <si>
    <t>061644</t>
    <phoneticPr fontId="24" type="noConversion"/>
  </si>
  <si>
    <t>061730</t>
    <phoneticPr fontId="24" type="noConversion"/>
  </si>
  <si>
    <t>519980&gt;519780</t>
    <phoneticPr fontId="24" type="noConversion"/>
  </si>
  <si>
    <t>Tai Koo_3</t>
    <phoneticPr fontId="24" type="noConversion"/>
  </si>
  <si>
    <t>018756</t>
    <phoneticPr fontId="24" type="noConversion"/>
  </si>
  <si>
    <t>018751</t>
    <phoneticPr fontId="24" type="noConversion"/>
  </si>
  <si>
    <t>029040</t>
    <phoneticPr fontId="24" type="noConversion"/>
  </si>
  <si>
    <t>029240</t>
    <phoneticPr fontId="24" type="noConversion"/>
  </si>
  <si>
    <t>030405</t>
    <phoneticPr fontId="24" type="noConversion"/>
  </si>
  <si>
    <t>Shatin_1</t>
  </si>
  <si>
    <t>Shatin_1</t>
    <phoneticPr fontId="24" type="noConversion"/>
  </si>
  <si>
    <t>013988</t>
    <phoneticPr fontId="24" type="noConversion"/>
  </si>
  <si>
    <t>014687</t>
    <phoneticPr fontId="24" type="noConversion"/>
  </si>
  <si>
    <t>031428</t>
    <phoneticPr fontId="24" type="noConversion"/>
  </si>
  <si>
    <t>Leo off</t>
  </si>
  <si>
    <t>Michelle off</t>
  </si>
  <si>
    <t>Pam off</t>
  </si>
  <si>
    <t>Tai Koo</t>
    <phoneticPr fontId="24" type="noConversion"/>
  </si>
  <si>
    <t>h713</t>
    <phoneticPr fontId="24" type="noConversion"/>
  </si>
  <si>
    <t>18j2kv</t>
    <phoneticPr fontId="24" type="noConversion"/>
  </si>
  <si>
    <t>1722279&gt;1722278</t>
    <phoneticPr fontId="24" type="noConversion"/>
  </si>
  <si>
    <t>1719905&gt;1719405</t>
    <phoneticPr fontId="24" type="noConversion"/>
  </si>
  <si>
    <t>1718659&gt;1718859</t>
    <phoneticPr fontId="24" type="noConversion"/>
  </si>
  <si>
    <t>.</t>
    <phoneticPr fontId="24" type="noConversion"/>
  </si>
  <si>
    <t>BBE</t>
    <phoneticPr fontId="24" type="noConversion"/>
  </si>
  <si>
    <t>Mongkok_2</t>
    <phoneticPr fontId="24" type="noConversion"/>
  </si>
  <si>
    <t>Tai koo</t>
    <phoneticPr fontId="24" type="noConversion"/>
  </si>
  <si>
    <t>TP_1</t>
  </si>
  <si>
    <t>TP_1</t>
    <phoneticPr fontId="24" type="noConversion"/>
  </si>
  <si>
    <t>089150</t>
    <phoneticPr fontId="24" type="noConversion"/>
  </si>
  <si>
    <t>089241</t>
    <phoneticPr fontId="24" type="noConversion"/>
  </si>
  <si>
    <t>089153</t>
    <phoneticPr fontId="24" type="noConversion"/>
  </si>
  <si>
    <t>089555</t>
    <phoneticPr fontId="24" type="noConversion"/>
  </si>
  <si>
    <t>089731</t>
    <phoneticPr fontId="24" type="noConversion"/>
  </si>
  <si>
    <t>089719</t>
    <phoneticPr fontId="24" type="noConversion"/>
  </si>
  <si>
    <t>089716</t>
    <phoneticPr fontId="24" type="noConversion"/>
  </si>
  <si>
    <t>089875</t>
    <phoneticPr fontId="24" type="noConversion"/>
  </si>
  <si>
    <t>089770</t>
    <phoneticPr fontId="24" type="noConversion"/>
  </si>
  <si>
    <t>089776</t>
    <phoneticPr fontId="24" type="noConversion"/>
  </si>
  <si>
    <t>089841</t>
    <phoneticPr fontId="24" type="noConversion"/>
  </si>
  <si>
    <t>089840</t>
    <phoneticPr fontId="24" type="noConversion"/>
  </si>
  <si>
    <t>089791</t>
    <phoneticPr fontId="24" type="noConversion"/>
  </si>
  <si>
    <t>089866</t>
    <phoneticPr fontId="24" type="noConversion"/>
  </si>
  <si>
    <t>t20</t>
    <phoneticPr fontId="24" type="noConversion"/>
  </si>
  <si>
    <t>089911</t>
    <phoneticPr fontId="24" type="noConversion"/>
  </si>
  <si>
    <t>090000</t>
    <phoneticPr fontId="24" type="noConversion"/>
  </si>
  <si>
    <t>089943</t>
    <phoneticPr fontId="24" type="noConversion"/>
  </si>
  <si>
    <t>089988</t>
    <phoneticPr fontId="24" type="noConversion"/>
  </si>
  <si>
    <t>090154</t>
    <phoneticPr fontId="24" type="noConversion"/>
  </si>
  <si>
    <t>090533</t>
    <phoneticPr fontId="24" type="noConversion"/>
  </si>
  <si>
    <t>090512</t>
    <phoneticPr fontId="24" type="noConversion"/>
  </si>
  <si>
    <t>070746</t>
    <phoneticPr fontId="24" type="noConversion"/>
  </si>
  <si>
    <t>090812</t>
    <phoneticPr fontId="24" type="noConversion"/>
  </si>
  <si>
    <t>090710</t>
    <phoneticPr fontId="24" type="noConversion"/>
  </si>
  <si>
    <t>091313</t>
    <phoneticPr fontId="24" type="noConversion"/>
  </si>
  <si>
    <t>091413</t>
    <phoneticPr fontId="24" type="noConversion"/>
  </si>
  <si>
    <t>091447</t>
    <phoneticPr fontId="24" type="noConversion"/>
  </si>
  <si>
    <t>091570</t>
    <phoneticPr fontId="24" type="noConversion"/>
  </si>
  <si>
    <t>091591</t>
    <phoneticPr fontId="24" type="noConversion"/>
  </si>
  <si>
    <t>091692</t>
    <phoneticPr fontId="24" type="noConversion"/>
  </si>
  <si>
    <t>YL Citistore</t>
    <phoneticPr fontId="24" type="noConversion"/>
  </si>
  <si>
    <t>Anita_1</t>
  </si>
  <si>
    <t>Anita_2</t>
  </si>
  <si>
    <t>Terence_1</t>
  </si>
  <si>
    <t>Terence_2</t>
  </si>
  <si>
    <t>Tony_4</t>
  </si>
  <si>
    <t>091703</t>
    <phoneticPr fontId="24" type="noConversion"/>
  </si>
  <si>
    <t>091652</t>
    <phoneticPr fontId="24" type="noConversion"/>
  </si>
  <si>
    <t>092162</t>
    <phoneticPr fontId="24" type="noConversion"/>
  </si>
  <si>
    <t>092280</t>
    <phoneticPr fontId="24" type="noConversion"/>
  </si>
  <si>
    <t>092520</t>
    <phoneticPr fontId="24" type="noConversion"/>
  </si>
  <si>
    <t>092430</t>
    <phoneticPr fontId="24" type="noConversion"/>
  </si>
  <si>
    <t>092606</t>
    <phoneticPr fontId="24" type="noConversion"/>
  </si>
  <si>
    <t>092690</t>
    <phoneticPr fontId="24" type="noConversion"/>
  </si>
  <si>
    <t>TP_2</t>
  </si>
  <si>
    <t>TP_2</t>
    <phoneticPr fontId="24" type="noConversion"/>
  </si>
  <si>
    <t>090065</t>
    <phoneticPr fontId="24" type="noConversion"/>
  </si>
  <si>
    <t>090108</t>
    <phoneticPr fontId="24" type="noConversion"/>
  </si>
  <si>
    <t>091962</t>
    <phoneticPr fontId="24" type="noConversion"/>
  </si>
  <si>
    <t>091910</t>
    <phoneticPr fontId="24" type="noConversion"/>
  </si>
  <si>
    <t>091909</t>
    <phoneticPr fontId="24" type="noConversion"/>
  </si>
  <si>
    <t>092123</t>
    <phoneticPr fontId="24" type="noConversion"/>
  </si>
  <si>
    <t>092131</t>
    <phoneticPr fontId="24" type="noConversion"/>
  </si>
  <si>
    <t>092807</t>
    <phoneticPr fontId="24" type="noConversion"/>
  </si>
  <si>
    <t>093871</t>
    <phoneticPr fontId="24" type="noConversion"/>
  </si>
  <si>
    <t>Shatin_3</t>
    <phoneticPr fontId="24" type="noConversion"/>
  </si>
  <si>
    <t>Tai Koo_2</t>
    <phoneticPr fontId="24" type="noConversion"/>
  </si>
  <si>
    <t>Mos_2</t>
    <phoneticPr fontId="24" type="noConversion"/>
  </si>
  <si>
    <t>057907</t>
    <phoneticPr fontId="24" type="noConversion"/>
  </si>
  <si>
    <t>058168</t>
    <phoneticPr fontId="24" type="noConversion"/>
  </si>
  <si>
    <t>057926</t>
    <phoneticPr fontId="24" type="noConversion"/>
  </si>
  <si>
    <t>040058</t>
    <phoneticPr fontId="24" type="noConversion"/>
  </si>
  <si>
    <t>057931</t>
    <phoneticPr fontId="24" type="noConversion"/>
  </si>
  <si>
    <t>057932</t>
    <phoneticPr fontId="24" type="noConversion"/>
  </si>
  <si>
    <t>058351</t>
    <phoneticPr fontId="24" type="noConversion"/>
  </si>
  <si>
    <t>058441</t>
    <phoneticPr fontId="24" type="noConversion"/>
  </si>
  <si>
    <t>058452</t>
    <phoneticPr fontId="24" type="noConversion"/>
  </si>
  <si>
    <t>058480</t>
    <phoneticPr fontId="24" type="noConversion"/>
  </si>
  <si>
    <t>350643&gt;350648</t>
    <phoneticPr fontId="24" type="noConversion"/>
  </si>
  <si>
    <t>TSW RS</t>
    <phoneticPr fontId="24" type="noConversion"/>
  </si>
  <si>
    <t>bl80a2</t>
    <phoneticPr fontId="24" type="noConversion"/>
  </si>
  <si>
    <t>Vcity_1</t>
  </si>
  <si>
    <t>Vcity_1</t>
    <phoneticPr fontId="24" type="noConversion"/>
  </si>
  <si>
    <t>ds18k</t>
    <phoneticPr fontId="24" type="noConversion"/>
  </si>
  <si>
    <t>em20</t>
  </si>
  <si>
    <t>05t2</t>
  </si>
  <si>
    <t>bl115</t>
    <phoneticPr fontId="24" type="noConversion"/>
  </si>
  <si>
    <t>duplicated,d300,$2280,414621</t>
    <phoneticPr fontId="24" type="noConversion"/>
  </si>
  <si>
    <t>duplicated,em20,$598,414622</t>
    <phoneticPr fontId="24" type="noConversion"/>
  </si>
  <si>
    <t>duplicated,S19,$418,414608</t>
    <phoneticPr fontId="24" type="noConversion"/>
  </si>
  <si>
    <t>duplicated,10nmf,$719,415033</t>
    <phoneticPr fontId="24" type="noConversion"/>
  </si>
  <si>
    <t>TW</t>
    <phoneticPr fontId="24" type="noConversion"/>
  </si>
  <si>
    <t>10jruh&gt;10drnh</t>
    <phoneticPr fontId="24" type="noConversion"/>
  </si>
  <si>
    <t>10amx</t>
  </si>
  <si>
    <t>10j&gt;10drnh</t>
    <phoneticPr fontId="24" type="noConversion"/>
  </si>
  <si>
    <t>Jaco off</t>
    <phoneticPr fontId="24" type="noConversion"/>
  </si>
  <si>
    <t>Tung Chun</t>
    <phoneticPr fontId="24" type="noConversion"/>
  </si>
  <si>
    <t>1025195&gt;1024195</t>
    <phoneticPr fontId="24" type="noConversion"/>
  </si>
  <si>
    <t>TM RS</t>
    <phoneticPr fontId="24" type="noConversion"/>
  </si>
  <si>
    <t>rf698</t>
    <phoneticPr fontId="24" type="noConversion"/>
  </si>
  <si>
    <t>duplicated,18amx,$990,2300355</t>
    <phoneticPr fontId="24" type="noConversion"/>
  </si>
  <si>
    <t>TM_1</t>
  </si>
  <si>
    <t>TM_1</t>
    <phoneticPr fontId="24" type="noConversion"/>
  </si>
  <si>
    <t>12cr</t>
    <phoneticPr fontId="24" type="noConversion"/>
  </si>
  <si>
    <t>m901</t>
  </si>
  <si>
    <t>Jaco off</t>
  </si>
  <si>
    <t>Lily Hon off</t>
  </si>
  <si>
    <t>18cr</t>
    <phoneticPr fontId="24" type="noConversion"/>
  </si>
  <si>
    <t>May C off</t>
    <phoneticPr fontId="24" type="noConversion"/>
  </si>
  <si>
    <t>Happy off</t>
    <phoneticPr fontId="24" type="noConversion"/>
  </si>
  <si>
    <t>APM</t>
    <phoneticPr fontId="24" type="noConversion"/>
  </si>
  <si>
    <t>dr18t</t>
    <phoneticPr fontId="24" type="noConversion"/>
  </si>
  <si>
    <t>dsb800</t>
    <phoneticPr fontId="24" type="noConversion"/>
  </si>
  <si>
    <t>15iss&gt;15bh</t>
    <phoneticPr fontId="24" type="noConversion"/>
  </si>
  <si>
    <t>Whampoa</t>
    <phoneticPr fontId="24" type="noConversion"/>
  </si>
  <si>
    <t>20r</t>
    <phoneticPr fontId="24" type="noConversion"/>
  </si>
  <si>
    <t>Fong_2</t>
    <phoneticPr fontId="24" type="noConversion"/>
  </si>
  <si>
    <t>CWB</t>
    <phoneticPr fontId="24" type="noConversion"/>
  </si>
  <si>
    <t>S909-4775</t>
    <phoneticPr fontId="24" type="noConversion"/>
  </si>
  <si>
    <t>S161-621875</t>
    <phoneticPr fontId="24" type="noConversion"/>
  </si>
  <si>
    <t>S161-621924</t>
    <phoneticPr fontId="24" type="noConversion"/>
  </si>
  <si>
    <t>S161-621906</t>
    <phoneticPr fontId="24" type="noConversion"/>
  </si>
  <si>
    <t>S909-4776</t>
    <phoneticPr fontId="24" type="noConversion"/>
  </si>
  <si>
    <t>S909-4777</t>
    <phoneticPr fontId="24" type="noConversion"/>
  </si>
  <si>
    <t>S909-4778</t>
    <phoneticPr fontId="24" type="noConversion"/>
  </si>
  <si>
    <t>S909-4779</t>
    <phoneticPr fontId="24" type="noConversion"/>
  </si>
  <si>
    <t>S161-621980</t>
    <phoneticPr fontId="24" type="noConversion"/>
  </si>
  <si>
    <t>S161-621983</t>
    <phoneticPr fontId="24" type="noConversion"/>
  </si>
  <si>
    <t>S161-621994</t>
    <phoneticPr fontId="24" type="noConversion"/>
  </si>
  <si>
    <t>S909-4781</t>
    <phoneticPr fontId="24" type="noConversion"/>
  </si>
  <si>
    <t>S909-4780</t>
    <phoneticPr fontId="24" type="noConversion"/>
  </si>
  <si>
    <t>S160-248466</t>
    <phoneticPr fontId="24" type="noConversion"/>
  </si>
  <si>
    <t>S909-4782</t>
    <phoneticPr fontId="24" type="noConversion"/>
  </si>
  <si>
    <t>S161-622101</t>
    <phoneticPr fontId="24" type="noConversion"/>
  </si>
  <si>
    <t>S909-4783</t>
    <phoneticPr fontId="24" type="noConversion"/>
  </si>
  <si>
    <t>S909-4784</t>
    <phoneticPr fontId="24" type="noConversion"/>
  </si>
  <si>
    <t>S909-4785</t>
    <phoneticPr fontId="24" type="noConversion"/>
  </si>
  <si>
    <t>S909-4786</t>
    <phoneticPr fontId="24" type="noConversion"/>
  </si>
  <si>
    <t>S160-248520</t>
    <phoneticPr fontId="24" type="noConversion"/>
  </si>
  <si>
    <t>S161-622305</t>
    <phoneticPr fontId="24" type="noConversion"/>
  </si>
  <si>
    <t>S161-622264</t>
    <phoneticPr fontId="24" type="noConversion"/>
  </si>
  <si>
    <t>S161-622268</t>
    <phoneticPr fontId="24" type="noConversion"/>
  </si>
  <si>
    <t>S160-248531</t>
    <phoneticPr fontId="24" type="noConversion"/>
  </si>
  <si>
    <t>S909-4787</t>
    <phoneticPr fontId="24" type="noConversion"/>
  </si>
  <si>
    <t>S161-622313</t>
    <phoneticPr fontId="24" type="noConversion"/>
  </si>
  <si>
    <t>S160-248550</t>
    <phoneticPr fontId="24" type="noConversion"/>
  </si>
  <si>
    <t>10BH</t>
    <phoneticPr fontId="24" type="noConversion"/>
  </si>
  <si>
    <t>DR10TW</t>
    <phoneticPr fontId="24" type="noConversion"/>
  </si>
  <si>
    <t>S909-4788</t>
    <phoneticPr fontId="24" type="noConversion"/>
  </si>
  <si>
    <t>S161-622326</t>
    <phoneticPr fontId="24" type="noConversion"/>
  </si>
  <si>
    <t>S161-248570</t>
    <phoneticPr fontId="24" type="noConversion"/>
  </si>
  <si>
    <t>S161-622352</t>
    <phoneticPr fontId="24" type="noConversion"/>
  </si>
  <si>
    <t>S909-4789</t>
    <phoneticPr fontId="24" type="noConversion"/>
  </si>
  <si>
    <t>S161-622337</t>
    <phoneticPr fontId="24" type="noConversion"/>
  </si>
  <si>
    <t>S909-4791</t>
    <phoneticPr fontId="24" type="noConversion"/>
  </si>
  <si>
    <t>S909-4790</t>
    <phoneticPr fontId="24" type="noConversion"/>
  </si>
  <si>
    <t>S161-622441</t>
    <phoneticPr fontId="24" type="noConversion"/>
  </si>
  <si>
    <t>S161-622479</t>
    <phoneticPr fontId="24" type="noConversion"/>
  </si>
  <si>
    <t>S161-622490</t>
    <phoneticPr fontId="24" type="noConversion"/>
  </si>
  <si>
    <t>S909-4792</t>
    <phoneticPr fontId="24" type="noConversion"/>
  </si>
  <si>
    <t>S909-4793</t>
    <phoneticPr fontId="24" type="noConversion"/>
  </si>
  <si>
    <t>S161-622543</t>
    <phoneticPr fontId="24" type="noConversion"/>
  </si>
  <si>
    <t>S909-4794</t>
    <phoneticPr fontId="24" type="noConversion"/>
  </si>
  <si>
    <t>S909-4795</t>
    <phoneticPr fontId="24" type="noConversion"/>
  </si>
  <si>
    <t>Kornhill</t>
    <phoneticPr fontId="24" type="noConversion"/>
  </si>
  <si>
    <t>tw</t>
    <phoneticPr fontId="24" type="noConversion"/>
  </si>
  <si>
    <t>rt300</t>
  </si>
  <si>
    <t>17shnh</t>
  </si>
  <si>
    <t>45sf</t>
  </si>
  <si>
    <t>rb221</t>
  </si>
  <si>
    <t>Yee off</t>
    <phoneticPr fontId="24" type="noConversion"/>
  </si>
  <si>
    <t>YL</t>
    <phoneticPr fontId="24" type="noConversion"/>
  </si>
  <si>
    <t>17drt</t>
  </si>
  <si>
    <t>t2295</t>
  </si>
  <si>
    <t>5sli</t>
  </si>
  <si>
    <t>18jruh</t>
  </si>
  <si>
    <t>d200</t>
  </si>
  <si>
    <t>10irph</t>
  </si>
  <si>
    <t>10drnh</t>
  </si>
  <si>
    <t>10jruh</t>
  </si>
  <si>
    <t>18nmf</t>
  </si>
  <si>
    <t>010525</t>
    <phoneticPr fontId="24" type="noConversion"/>
  </si>
  <si>
    <t>bl115a</t>
    <phoneticPr fontId="24" type="noConversion"/>
  </si>
  <si>
    <t>5mm</t>
  </si>
  <si>
    <t>eg26</t>
  </si>
  <si>
    <t>25dr</t>
  </si>
  <si>
    <t>008091</t>
    <phoneticPr fontId="24" type="noConversion"/>
  </si>
  <si>
    <t>008099</t>
    <phoneticPr fontId="24" type="noConversion"/>
  </si>
  <si>
    <t>10bh</t>
  </si>
  <si>
    <t>ya20</t>
  </si>
  <si>
    <t>08dh</t>
  </si>
  <si>
    <t>008136</t>
    <phoneticPr fontId="24" type="noConversion"/>
  </si>
  <si>
    <t>008137</t>
    <phoneticPr fontId="24" type="noConversion"/>
  </si>
  <si>
    <t>add 510198</t>
    <phoneticPr fontId="24" type="noConversion"/>
  </si>
  <si>
    <t>7hmh</t>
  </si>
  <si>
    <t>010654</t>
    <phoneticPr fontId="24" type="noConversion"/>
  </si>
  <si>
    <t>001318</t>
    <phoneticPr fontId="24" type="noConversion"/>
  </si>
  <si>
    <t>010693</t>
    <phoneticPr fontId="24" type="noConversion"/>
  </si>
  <si>
    <t>Ivy Wong_1</t>
    <phoneticPr fontId="24" type="noConversion"/>
  </si>
  <si>
    <t>Amy Or_1</t>
    <phoneticPr fontId="24" type="noConversion"/>
  </si>
  <si>
    <t>001322</t>
    <phoneticPr fontId="24" type="noConversion"/>
  </si>
  <si>
    <t>008111</t>
    <phoneticPr fontId="24" type="noConversion"/>
  </si>
  <si>
    <t>010471</t>
    <phoneticPr fontId="24" type="noConversion"/>
  </si>
  <si>
    <t>010495</t>
    <phoneticPr fontId="24" type="noConversion"/>
  </si>
  <si>
    <t>010501</t>
    <phoneticPr fontId="24" type="noConversion"/>
  </si>
  <si>
    <t>010519</t>
    <phoneticPr fontId="24" type="noConversion"/>
  </si>
  <si>
    <t>010522</t>
    <phoneticPr fontId="24" type="noConversion"/>
  </si>
  <si>
    <t>010544</t>
    <phoneticPr fontId="24" type="noConversion"/>
  </si>
  <si>
    <t>010567</t>
    <phoneticPr fontId="24" type="noConversion"/>
  </si>
  <si>
    <t>Wendy Wong_2</t>
    <phoneticPr fontId="24" type="noConversion"/>
  </si>
  <si>
    <t>Wendy Wong_3</t>
  </si>
  <si>
    <t>Wendy Wong_3</t>
    <phoneticPr fontId="24" type="noConversion"/>
  </si>
  <si>
    <t>TW RS_2 Citistore</t>
    <phoneticPr fontId="24" type="noConversion"/>
  </si>
  <si>
    <t>TW RS_1 Citistore</t>
    <phoneticPr fontId="24" type="noConversion"/>
  </si>
  <si>
    <t>.</t>
    <phoneticPr fontId="24" type="noConversion"/>
  </si>
  <si>
    <t>Shan_2</t>
  </si>
  <si>
    <t>Shan_1</t>
  </si>
  <si>
    <t>TW RS_1</t>
    <phoneticPr fontId="24" type="noConversion"/>
  </si>
  <si>
    <t>21ts</t>
  </si>
  <si>
    <t>dr18tw</t>
  </si>
  <si>
    <t>09crf</t>
  </si>
  <si>
    <t>14dhu</t>
  </si>
  <si>
    <t>18amx</t>
  </si>
  <si>
    <t>rb360</t>
  </si>
  <si>
    <t>dr10tw</t>
  </si>
  <si>
    <t>rm352</t>
  </si>
  <si>
    <t>mm25</t>
  </si>
  <si>
    <t>dx18t</t>
  </si>
  <si>
    <t>twdt21</t>
  </si>
  <si>
    <t>17drnh</t>
  </si>
  <si>
    <t>TW RS_2</t>
    <phoneticPr fontId="24" type="noConversion"/>
  </si>
  <si>
    <t>Fong_2</t>
  </si>
  <si>
    <t>Powan</t>
    <phoneticPr fontId="24" type="noConversion"/>
  </si>
  <si>
    <t>mar</t>
    <phoneticPr fontId="24" type="noConversion"/>
  </si>
  <si>
    <t>Kln Bay Demo Broadway</t>
  </si>
  <si>
    <t>Sogo Kai Tak</t>
    <phoneticPr fontId="24" type="noConversion"/>
  </si>
  <si>
    <t>Jessica off</t>
  </si>
  <si>
    <t>adjust,bl85a2,$2588,5923410</t>
    <phoneticPr fontId="24" type="noConversion"/>
  </si>
  <si>
    <t>adjust,mm24,$500,5923448</t>
    <phoneticPr fontId="24" type="noConversion"/>
  </si>
  <si>
    <t>adjust,15ist,$500,6138842</t>
    <phoneticPr fontId="24" type="noConversion"/>
  </si>
  <si>
    <t>Diamond Hill_2 Broadway</t>
    <phoneticPr fontId="24" type="noConversion"/>
  </si>
  <si>
    <t>No</t>
    <phoneticPr fontId="24" type="noConversion"/>
  </si>
  <si>
    <t>Model</t>
    <phoneticPr fontId="24" type="noConversion"/>
  </si>
  <si>
    <t>Qty</t>
    <phoneticPr fontId="24" type="noConversion"/>
  </si>
  <si>
    <t>Total Amount</t>
    <phoneticPr fontId="24" type="noConversion"/>
  </si>
  <si>
    <t>mm24</t>
  </si>
  <si>
    <t>td5000</t>
  </si>
  <si>
    <t>tsr76</t>
  </si>
  <si>
    <t>delivery</t>
  </si>
  <si>
    <t>delivery</t>
    <phoneticPr fontId="24" type="noConversion"/>
  </si>
  <si>
    <t>a26hsz</t>
  </si>
  <si>
    <t>bl85a2</t>
  </si>
  <si>
    <t>bn90</t>
  </si>
  <si>
    <t>cfk01w75</t>
  </si>
  <si>
    <t>bu80</t>
  </si>
  <si>
    <t>rt416</t>
  </si>
  <si>
    <t>dq110</t>
  </si>
  <si>
    <t>q901</t>
  </si>
  <si>
    <t>07g3cvr</t>
  </si>
  <si>
    <t>18g3cvr</t>
  </si>
  <si>
    <t>y200</t>
  </si>
  <si>
    <t>12crf</t>
  </si>
  <si>
    <t>07crf</t>
  </si>
  <si>
    <t>07ff</t>
  </si>
  <si>
    <t>07ff</t>
    <phoneticPr fontId="24" type="noConversion"/>
  </si>
  <si>
    <t>CNY</t>
    <phoneticPr fontId="24" type="noConversion"/>
  </si>
  <si>
    <t>BS</t>
    <phoneticPr fontId="24" type="noConversion"/>
  </si>
  <si>
    <t>no</t>
  </si>
  <si>
    <t>no</t>
    <phoneticPr fontId="24" type="noConversion"/>
  </si>
  <si>
    <t>S</t>
    <phoneticPr fontId="24" type="noConversion"/>
  </si>
  <si>
    <t>B</t>
    <phoneticPr fontId="24" type="noConversion"/>
  </si>
  <si>
    <t>Full model</t>
    <phoneticPr fontId="24" type="noConversion"/>
  </si>
  <si>
    <t>may data input already</t>
    <phoneticPr fontId="24" type="noConversion"/>
  </si>
  <si>
    <t>cny</t>
    <phoneticPr fontId="24" type="noConversion"/>
  </si>
  <si>
    <t>b</t>
    <phoneticPr fontId="24" type="noConversion"/>
  </si>
  <si>
    <t>Raymond off</t>
    <phoneticPr fontId="24" type="noConversion"/>
  </si>
  <si>
    <t>Tiffany off</t>
    <phoneticPr fontId="24" type="noConversion"/>
  </si>
  <si>
    <t>Shan_1</t>
    <phoneticPr fontId="24" type="noConversion"/>
  </si>
  <si>
    <t>補出2月佣?(不上invoice</t>
    <phoneticPr fontId="24" type="noConversion"/>
  </si>
  <si>
    <t>3月買野, $30</t>
    <phoneticPr fontId="24" type="noConversion"/>
  </si>
  <si>
    <t>3月Demo買野,$1510</t>
    <phoneticPr fontId="24" type="noConversion"/>
  </si>
  <si>
    <t>$3588&gt;3028</t>
    <phoneticPr fontId="24" type="noConversion"/>
  </si>
  <si>
    <t>09cr</t>
  </si>
  <si>
    <t>$4088&gt;3528</t>
    <phoneticPr fontId="24" type="noConversion"/>
  </si>
  <si>
    <t>adjust,12cr,$4088</t>
    <phoneticPr fontId="24" type="noConversion"/>
  </si>
  <si>
    <t>adjust,34ahk,$1500</t>
    <phoneticPr fontId="24" type="noConversion"/>
  </si>
  <si>
    <t>$3500&gt;$3588</t>
    <phoneticPr fontId="24" type="noConversion"/>
  </si>
  <si>
    <t>adjust,bn90x2,$3588x2</t>
    <phoneticPr fontId="24" type="noConversion"/>
  </si>
  <si>
    <t>add page</t>
    <phoneticPr fontId="24" type="noConversion"/>
  </si>
  <si>
    <t>adjust,qty 1&gt;2</t>
    <phoneticPr fontId="24" type="noConversion"/>
  </si>
  <si>
    <t>adjust, qty 1&gt;3</t>
    <phoneticPr fontId="24" type="noConversion"/>
  </si>
  <si>
    <t>adjust, qty 1&gt;2</t>
    <phoneticPr fontId="24" type="noConversion"/>
  </si>
  <si>
    <t>$2888&gt;$2588</t>
    <phoneticPr fontId="24" type="noConversion"/>
  </si>
  <si>
    <t>adjust, qty 3&gt;6</t>
    <phoneticPr fontId="24" type="noConversion"/>
  </si>
  <si>
    <t>May C off</t>
  </si>
  <si>
    <t>Model-Input-Ref2</t>
  </si>
  <si>
    <t>(多重項目)</t>
  </si>
  <si>
    <t>adjust,q901,2546,6032671</t>
    <phoneticPr fontId="24" type="noConversion"/>
  </si>
  <si>
    <t>adjust,$2590&gt;2530</t>
    <phoneticPr fontId="24" type="noConversion"/>
  </si>
  <si>
    <t>adjust,07cr,$2990,6009066&gt;07ff</t>
    <phoneticPr fontId="24" type="noConversion"/>
  </si>
  <si>
    <t>add this row</t>
    <phoneticPr fontId="24" type="noConversion"/>
  </si>
  <si>
    <t>Mui Chan_1 off</t>
    <phoneticPr fontId="24" type="noConversion"/>
  </si>
  <si>
    <t>Sogo</t>
  </si>
  <si>
    <t>rm612</t>
  </si>
  <si>
    <t>t500</t>
  </si>
  <si>
    <t>t500</t>
    <phoneticPr fontId="24" type="noConversion"/>
  </si>
  <si>
    <t>str25</t>
  </si>
  <si>
    <t>18isph</t>
  </si>
  <si>
    <t>stq20</t>
  </si>
  <si>
    <t>mc25</t>
  </si>
  <si>
    <t>twdt22</t>
  </si>
  <si>
    <t>r19</t>
  </si>
  <si>
    <t>r19</t>
    <phoneticPr fontId="24" type="noConversion"/>
  </si>
  <si>
    <t>S056-25289</t>
  </si>
  <si>
    <t>S056-25289</t>
    <phoneticPr fontId="24" type="noConversion"/>
  </si>
  <si>
    <t>S056-25280</t>
  </si>
  <si>
    <t>S056-25280</t>
    <phoneticPr fontId="24" type="noConversion"/>
  </si>
  <si>
    <t>S055-10433</t>
  </si>
  <si>
    <t>S055-10433</t>
    <phoneticPr fontId="24" type="noConversion"/>
  </si>
  <si>
    <t>S053-2404</t>
  </si>
  <si>
    <t>S053-2404</t>
    <phoneticPr fontId="24" type="noConversion"/>
  </si>
  <si>
    <t>S053-2403</t>
  </si>
  <si>
    <t>S053-2403</t>
    <phoneticPr fontId="24" type="noConversion"/>
  </si>
  <si>
    <t>S055-10446</t>
  </si>
  <si>
    <t>S055-10446</t>
    <phoneticPr fontId="24" type="noConversion"/>
  </si>
  <si>
    <t>S055-10447</t>
  </si>
  <si>
    <t>S055-10447</t>
    <phoneticPr fontId="24" type="noConversion"/>
  </si>
  <si>
    <t>S055-10444</t>
  </si>
  <si>
    <t>S055-10444</t>
    <phoneticPr fontId="24" type="noConversion"/>
  </si>
  <si>
    <t>S056-25326</t>
  </si>
  <si>
    <t>S056-25326</t>
    <phoneticPr fontId="24" type="noConversion"/>
  </si>
  <si>
    <t>S056-25334</t>
  </si>
  <si>
    <t>S056-25334</t>
    <phoneticPr fontId="24" type="noConversion"/>
  </si>
  <si>
    <t>S053-2419</t>
  </si>
  <si>
    <t>S053-2419</t>
    <phoneticPr fontId="24" type="noConversion"/>
  </si>
  <si>
    <t>S053-2418</t>
  </si>
  <si>
    <t>S053-2418</t>
    <phoneticPr fontId="24" type="noConversion"/>
  </si>
  <si>
    <t>S053-2420</t>
  </si>
  <si>
    <t>S053-2420</t>
    <phoneticPr fontId="24" type="noConversion"/>
  </si>
  <si>
    <t>S053-2421</t>
  </si>
  <si>
    <t>S053-2421</t>
    <phoneticPr fontId="24" type="noConversion"/>
  </si>
  <si>
    <t>S053-2422</t>
  </si>
  <si>
    <t>S053-2422</t>
    <phoneticPr fontId="24" type="noConversion"/>
  </si>
  <si>
    <t>S053-2433</t>
  </si>
  <si>
    <t>S053-2433</t>
    <phoneticPr fontId="24" type="noConversion"/>
  </si>
  <si>
    <t>S053-2435</t>
  </si>
  <si>
    <t>S053-2435</t>
    <phoneticPr fontId="24" type="noConversion"/>
  </si>
  <si>
    <t>S056-25393</t>
  </si>
  <si>
    <t>S056-25393</t>
    <phoneticPr fontId="24" type="noConversion"/>
  </si>
  <si>
    <t>S056-2441</t>
  </si>
  <si>
    <t>S056-2441</t>
    <phoneticPr fontId="24" type="noConversion"/>
  </si>
  <si>
    <t>S056-2445</t>
  </si>
  <si>
    <t>S056-2445</t>
    <phoneticPr fontId="24" type="noConversion"/>
  </si>
  <si>
    <t>S053-2447</t>
  </si>
  <si>
    <t>S053-2447</t>
    <phoneticPr fontId="24" type="noConversion"/>
  </si>
  <si>
    <t>Kai Tak_1</t>
    <phoneticPr fontId="24" type="noConversion"/>
  </si>
  <si>
    <t>S056-25627</t>
    <phoneticPr fontId="24" type="noConversion"/>
  </si>
  <si>
    <t>S056-25651</t>
    <phoneticPr fontId="24" type="noConversion"/>
  </si>
  <si>
    <t>S562-0109</t>
    <phoneticPr fontId="24" type="noConversion"/>
  </si>
  <si>
    <t>S056-25677</t>
    <phoneticPr fontId="24" type="noConversion"/>
  </si>
  <si>
    <t>S056-25680</t>
    <phoneticPr fontId="24" type="noConversion"/>
  </si>
  <si>
    <t>S056-25728</t>
    <phoneticPr fontId="24" type="noConversion"/>
  </si>
  <si>
    <t>S056-25778</t>
    <phoneticPr fontId="24" type="noConversion"/>
  </si>
  <si>
    <t>S056-26407</t>
    <phoneticPr fontId="24" type="noConversion"/>
  </si>
  <si>
    <t>Kai Tak RS_2</t>
    <phoneticPr fontId="24" type="noConversion"/>
  </si>
  <si>
    <t>Kai Tak_4</t>
    <phoneticPr fontId="24" type="noConversion"/>
  </si>
  <si>
    <t>S056-2492</t>
    <phoneticPr fontId="24" type="noConversion"/>
  </si>
  <si>
    <t>S0562-0108</t>
    <phoneticPr fontId="24" type="noConversion"/>
  </si>
  <si>
    <t>S056-24809</t>
    <phoneticPr fontId="24" type="noConversion"/>
  </si>
  <si>
    <t>S056-24817</t>
    <phoneticPr fontId="24" type="noConversion"/>
  </si>
  <si>
    <t>Kai Tak_5</t>
    <phoneticPr fontId="24" type="noConversion"/>
  </si>
  <si>
    <t>S056-2612</t>
    <phoneticPr fontId="24" type="noConversion"/>
  </si>
  <si>
    <t>S056-3412</t>
    <phoneticPr fontId="24" type="noConversion"/>
  </si>
  <si>
    <t>S056-26333</t>
    <phoneticPr fontId="24" type="noConversion"/>
  </si>
  <si>
    <t>Mui Chan_1 off</t>
  </si>
  <si>
    <t>mc35</t>
  </si>
  <si>
    <t>48drs</t>
  </si>
  <si>
    <t>10iss</t>
  </si>
  <si>
    <t>str30</t>
  </si>
  <si>
    <t>eg20</t>
  </si>
  <si>
    <t>20r1</t>
  </si>
  <si>
    <t>15bh</t>
  </si>
  <si>
    <t>50dr</t>
  </si>
  <si>
    <t>dsb35</t>
  </si>
  <si>
    <t>cfs09</t>
  </si>
  <si>
    <t>NO</t>
    <phoneticPr fontId="24" type="noConversion"/>
  </si>
  <si>
    <t>Date</t>
    <phoneticPr fontId="24" type="noConversion"/>
  </si>
  <si>
    <t>Unit price</t>
    <phoneticPr fontId="24" type="noConversion"/>
  </si>
  <si>
    <t>欄1</t>
    <phoneticPr fontId="24" type="noConversion"/>
  </si>
  <si>
    <t>Times</t>
    <phoneticPr fontId="24" type="noConversion"/>
  </si>
  <si>
    <t>30fl&gt;17shnh</t>
    <phoneticPr fontId="24" type="noConversion"/>
  </si>
  <si>
    <t>pcb</t>
    <phoneticPr fontId="24" type="noConversion"/>
  </si>
  <si>
    <t>Raymond off</t>
  </si>
  <si>
    <t>S562-0099</t>
  </si>
  <si>
    <t>S562-0100</t>
  </si>
  <si>
    <t>S562-0101</t>
  </si>
  <si>
    <t>S562-0102</t>
  </si>
  <si>
    <t>S056-24625</t>
  </si>
  <si>
    <t>S056-24628</t>
  </si>
  <si>
    <t>S056-24828</t>
  </si>
  <si>
    <t>S056-24868</t>
  </si>
  <si>
    <t>S056-24880</t>
  </si>
  <si>
    <t>S056-24892</t>
  </si>
  <si>
    <t>S056-24912</t>
  </si>
  <si>
    <t>S056-24941</t>
  </si>
  <si>
    <t>S056-24965</t>
  </si>
  <si>
    <t>tt20</t>
  </si>
  <si>
    <t>S056-24987</t>
  </si>
  <si>
    <t>S055-10237</t>
  </si>
  <si>
    <t>t2285</t>
  </si>
  <si>
    <t>S056-25006</t>
  </si>
  <si>
    <t>Kai Tak RS_1</t>
    <phoneticPr fontId="24" type="noConversion"/>
  </si>
  <si>
    <t>$5180&gt;$3580</t>
    <phoneticPr fontId="24" type="noConversion"/>
  </si>
  <si>
    <t>073847</t>
    <phoneticPr fontId="24" type="noConversion"/>
  </si>
  <si>
    <t>duplicated,twdt21,$3990,805743</t>
    <phoneticPr fontId="24" type="noConversion"/>
  </si>
  <si>
    <t>duplicated,bl115,$3380,903207</t>
    <phoneticPr fontId="24" type="noConversion"/>
  </si>
  <si>
    <t>RC-DR10T(R)</t>
  </si>
  <si>
    <t>Company</t>
  </si>
  <si>
    <t>Report Date</t>
  </si>
  <si>
    <t>Actual Selling Date</t>
  </si>
  <si>
    <t>Year</t>
  </si>
  <si>
    <t>Month</t>
  </si>
  <si>
    <t>Day</t>
  </si>
  <si>
    <t>Week</t>
  </si>
  <si>
    <t>Store Name</t>
  </si>
  <si>
    <t>Category</t>
  </si>
  <si>
    <t>Item Number</t>
  </si>
  <si>
    <t>Quantity</t>
  </si>
  <si>
    <t>Sell Out Amount</t>
  </si>
  <si>
    <t>Document Number</t>
  </si>
  <si>
    <t>APAC-Hong Kong-THL</t>
  </si>
  <si>
    <t>2026-03-02 00:05:45</t>
  </si>
  <si>
    <t>2026</t>
  </si>
  <si>
    <t>3</t>
  </si>
  <si>
    <t>1</t>
  </si>
  <si>
    <t>8</t>
  </si>
  <si>
    <t>百老匯17-KB_德福</t>
  </si>
  <si>
    <t>451695</t>
  </si>
  <si>
    <t>2026-03-11 23:30:31</t>
  </si>
  <si>
    <t>9</t>
  </si>
  <si>
    <t>10</t>
  </si>
  <si>
    <t>452128</t>
  </si>
  <si>
    <t>2026-03-04 23:51:17</t>
  </si>
  <si>
    <t>4</t>
  </si>
  <si>
    <t>451848</t>
  </si>
  <si>
    <t>2026-03-04 01:44:34</t>
  </si>
  <si>
    <t>2</t>
  </si>
  <si>
    <t>451744</t>
  </si>
  <si>
    <t>2026-03-02 00:05:13</t>
  </si>
  <si>
    <t>451715</t>
  </si>
  <si>
    <t>2026-03-02 00:09:15</t>
  </si>
  <si>
    <t>S17M63-589</t>
  </si>
  <si>
    <t>2026-03-02 00:09:40</t>
  </si>
  <si>
    <t>2026-03-06 00:52:14</t>
  </si>
  <si>
    <t>451702</t>
  </si>
  <si>
    <t>2026-03-06 00:57:46</t>
  </si>
  <si>
    <t>1450</t>
  </si>
  <si>
    <t>2026-03-06 00:58:15</t>
  </si>
  <si>
    <t>5479</t>
  </si>
  <si>
    <t>2026-03-06 00:55:02</t>
  </si>
  <si>
    <t>5482</t>
  </si>
  <si>
    <t>2026-03-08 01:10:03</t>
  </si>
  <si>
    <t>7</t>
  </si>
  <si>
    <t>2234</t>
  </si>
  <si>
    <t>2026-03-11 23:42:18</t>
  </si>
  <si>
    <t>5</t>
  </si>
  <si>
    <t>2207</t>
  </si>
  <si>
    <t>2026-03-11 23:50:17</t>
  </si>
  <si>
    <t>452134</t>
  </si>
  <si>
    <t>2026-03-08 23:51:02</t>
  </si>
  <si>
    <t>452088</t>
  </si>
  <si>
    <t>2026-03-08 01:05:20</t>
  </si>
  <si>
    <t>6</t>
  </si>
  <si>
    <t>451903</t>
  </si>
  <si>
    <t>2026-03-06 01:03:53</t>
  </si>
  <si>
    <t>451886</t>
  </si>
  <si>
    <t>2026-03-11 23:47:47</t>
  </si>
  <si>
    <t>452032</t>
  </si>
  <si>
    <t>2026-03-11 23:49:43</t>
  </si>
  <si>
    <t>452112</t>
  </si>
  <si>
    <t>2026-03-11 23:43:44</t>
  </si>
  <si>
    <t>451993</t>
  </si>
  <si>
    <t>2026-03-11 23:31:29</t>
  </si>
  <si>
    <t>452107</t>
  </si>
  <si>
    <t>2026-03-11 23:31:01</t>
  </si>
  <si>
    <t>452139</t>
  </si>
  <si>
    <t>2026-03-08 23:50:33</t>
  </si>
  <si>
    <t>2026-03-08 23:49:57</t>
  </si>
  <si>
    <t>452037</t>
  </si>
  <si>
    <t>2026-03-08 23:49:22</t>
  </si>
  <si>
    <t>LMP-1198</t>
  </si>
  <si>
    <t>2026-03-07 23:55:48</t>
  </si>
  <si>
    <t>452009</t>
  </si>
  <si>
    <t>2026-03-07 23:55:21</t>
  </si>
  <si>
    <t>451955</t>
  </si>
  <si>
    <t>2026-03-07 23:54:53</t>
  </si>
  <si>
    <t>451994</t>
  </si>
  <si>
    <t>2026-03-08 01:05:52</t>
  </si>
  <si>
    <t>451925</t>
  </si>
  <si>
    <t>2026-03-06 01:04:29</t>
  </si>
  <si>
    <t>S17M61-2215</t>
  </si>
  <si>
    <t>2026-03-04 01:45:13</t>
  </si>
  <si>
    <t>S17M63-597</t>
  </si>
  <si>
    <t>2026-03-04 01:44:04</t>
  </si>
  <si>
    <t>451741</t>
  </si>
  <si>
    <t>2026-03-02 00:02:24</t>
  </si>
  <si>
    <t>451717</t>
  </si>
  <si>
    <t>2026-03-02 00:01:54</t>
  </si>
  <si>
    <t>S17M51-4034</t>
  </si>
  <si>
    <t>2026-03-11 23:38:38</t>
  </si>
  <si>
    <t>452121</t>
  </si>
  <si>
    <t>2026-03-11 23:37:58</t>
  </si>
  <si>
    <t>452120</t>
  </si>
  <si>
    <t>2026-03-11 23:37:29</t>
  </si>
  <si>
    <t>452119</t>
  </si>
  <si>
    <t>2026-03-11 23:36:51</t>
  </si>
  <si>
    <t>452138</t>
  </si>
  <si>
    <t>2026-03-08 23:48:49</t>
  </si>
  <si>
    <t>452045</t>
  </si>
  <si>
    <t>452061</t>
  </si>
  <si>
    <t>2026-03-08 23:48:17</t>
  </si>
  <si>
    <t>2026-03-08 23:47:45</t>
  </si>
  <si>
    <t>452097</t>
  </si>
  <si>
    <t>S17M61-2248</t>
  </si>
  <si>
    <t>2026-03-07 23:57:17</t>
  </si>
  <si>
    <t>2026-03-07 23:56:43</t>
  </si>
  <si>
    <t>S17M61-2232</t>
  </si>
  <si>
    <t>2026-03-07 23:56:16</t>
  </si>
  <si>
    <t>451937</t>
  </si>
  <si>
    <t>451991</t>
  </si>
  <si>
    <t>2026-03-08 01:07:25</t>
  </si>
  <si>
    <t>451907</t>
  </si>
  <si>
    <t>2026-03-08 01:06:55</t>
  </si>
  <si>
    <t>451908</t>
  </si>
  <si>
    <t>2026-03-08 01:06:23</t>
  </si>
  <si>
    <t>451898</t>
  </si>
  <si>
    <t>2026-03-06 01:04:59</t>
  </si>
  <si>
    <t>451864</t>
  </si>
  <si>
    <t>2026-03-04 23:49:24</t>
  </si>
  <si>
    <t>451815</t>
  </si>
  <si>
    <t>2026-03-04 01:51:10</t>
  </si>
  <si>
    <t>451785</t>
  </si>
  <si>
    <t>2026-03-02 00:02:59</t>
  </si>
  <si>
    <t>451716</t>
  </si>
  <si>
    <t>2026-03-06 00:58:43</t>
  </si>
  <si>
    <t>756</t>
  </si>
  <si>
    <t>2026-03-04 01:52:28</t>
  </si>
  <si>
    <t>451790</t>
  </si>
  <si>
    <t>2026-03-04 01:53:42</t>
  </si>
  <si>
    <t>S17M52-5486</t>
  </si>
  <si>
    <t>2026-03-04 01:54:15</t>
  </si>
  <si>
    <t>S17M62-773</t>
  </si>
  <si>
    <t>2026-03-04 01:54:51</t>
  </si>
  <si>
    <t>S17M63-599</t>
  </si>
  <si>
    <t>2026-03-04 23:51:49</t>
  </si>
  <si>
    <t>S17M61-2197</t>
  </si>
  <si>
    <t>2026-03-06 01:05:38</t>
  </si>
  <si>
    <t>S17M58-1462</t>
  </si>
  <si>
    <t>2026-03-11 23:40:49</t>
  </si>
  <si>
    <t>451862</t>
  </si>
  <si>
    <t>2026-03-11 23:41:17</t>
  </si>
  <si>
    <t>2208</t>
  </si>
  <si>
    <t>2026-03-11 23:41:46</t>
  </si>
  <si>
    <t>4052</t>
  </si>
  <si>
    <t>2026-03-11 23:43:16</t>
  </si>
  <si>
    <t>2210</t>
  </si>
  <si>
    <t>2026-03-08 01:09:25</t>
  </si>
  <si>
    <t>2075</t>
  </si>
  <si>
    <t>2026-03-11 23:45:28</t>
  </si>
  <si>
    <t>4068</t>
  </si>
  <si>
    <t>2026-03-07 23:57:48</t>
  </si>
  <si>
    <t>S17M51-4065</t>
  </si>
  <si>
    <t>2026-03-07 23:58:19</t>
  </si>
  <si>
    <t>S17M51-4063</t>
  </si>
  <si>
    <t>2026-03-07 23:59:04</t>
  </si>
  <si>
    <t>S17M51-4064</t>
  </si>
  <si>
    <t>2026-03-11 23:28:00</t>
  </si>
  <si>
    <t>S17M51-4074</t>
  </si>
  <si>
    <t>2026-03-11 23:28:33</t>
  </si>
  <si>
    <t>S17M61-2236</t>
  </si>
  <si>
    <t>2026-03-11 23:29:19</t>
  </si>
  <si>
    <t>S17M61-2245</t>
  </si>
  <si>
    <t>2026-03-11 23:45:57</t>
  </si>
  <si>
    <t>2235</t>
  </si>
  <si>
    <t>2026-03-11 23:48:24</t>
  </si>
  <si>
    <t>4082</t>
  </si>
  <si>
    <t>2026-03-14 00:04:15</t>
  </si>
  <si>
    <t>S17M58-1481</t>
  </si>
  <si>
    <t>2026-03-11 23:48:59</t>
  </si>
  <si>
    <t>S17M58-1485</t>
  </si>
  <si>
    <t>2026-03-11 23:46:50</t>
  </si>
  <si>
    <t>452074</t>
  </si>
  <si>
    <t>2026-03-04 01:53:07</t>
  </si>
  <si>
    <t>S17M52-5487</t>
  </si>
  <si>
    <t>Kln Bay Demo</t>
    <phoneticPr fontId="24" type="noConversion"/>
  </si>
  <si>
    <t>Mui Chan_1</t>
    <phoneticPr fontId="24" type="noConversion"/>
  </si>
  <si>
    <t>補2月佣相差($149.62+$220.24)+2月買野$517.2,total=$887.06(不上invoice</t>
    <phoneticPr fontId="24" type="noConversion"/>
  </si>
  <si>
    <t>補出2月特佣($180)+津貼($60),total$240(不上invoice</t>
    <phoneticPr fontId="24" type="noConversion"/>
  </si>
  <si>
    <t>4029174&gt;4029714</t>
    <phoneticPr fontId="24" type="noConversion"/>
  </si>
  <si>
    <t>feb</t>
    <phoneticPr fontId="24" type="noConversion"/>
  </si>
  <si>
    <t>Training_1</t>
  </si>
  <si>
    <t>Training_1</t>
    <phoneticPr fontId="24" type="noConversion"/>
  </si>
  <si>
    <t>Training_2</t>
  </si>
  <si>
    <t>Training_3</t>
  </si>
  <si>
    <t>Eddy</t>
  </si>
  <si>
    <t>Eddy</t>
    <phoneticPr fontId="24" type="noConversion"/>
  </si>
  <si>
    <t>Jenny</t>
  </si>
  <si>
    <t>Jenny</t>
    <phoneticPr fontId="24" type="noConversion"/>
  </si>
  <si>
    <t>WanWah</t>
  </si>
  <si>
    <t>WanWah</t>
    <phoneticPr fontId="24" type="noConversion"/>
  </si>
  <si>
    <t>Chan Chi Tim</t>
    <phoneticPr fontId="24" type="noConversion"/>
  </si>
  <si>
    <t>Pang Kam Chun</t>
    <phoneticPr fontId="24" type="noConversion"/>
  </si>
  <si>
    <t>Chan Wan Wah</t>
    <phoneticPr fontId="24" type="noConversion"/>
  </si>
  <si>
    <t>3月買野,$45</t>
    <phoneticPr fontId="24" type="noConversion"/>
  </si>
  <si>
    <t>duplicated,07g3cvg,$3099,4754</t>
    <phoneticPr fontId="24" type="noConversion"/>
  </si>
  <si>
    <t>duplicated,str25,$3250,4748</t>
    <phoneticPr fontId="24" type="noConversion"/>
  </si>
  <si>
    <t>duplicaetd,05t2,$3460,4751</t>
    <phoneticPr fontId="24" type="noConversion"/>
  </si>
  <si>
    <t>Mongkok_1</t>
    <phoneticPr fontId="24" type="noConversion"/>
  </si>
  <si>
    <t>KT-14DHUHK(W)</t>
  </si>
  <si>
    <t>Hung off</t>
  </si>
  <si>
    <t>toshiba ft - tai koo fortress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</si>
</sst>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HK$&quot;* #,##0.00_);_(&quot;HK$&quot;* \(#,##0.00\);_(&quot;HK$&quot;* &quot;-&quot;??_);_(@_)"/>
    <numFmt numFmtId="43" formatCode="_(* #,##0.00_);_(* \(#,##0.00\);_(* &quot;-&quot;??_);_(@_)"/>
    <numFmt numFmtId="24" formatCode="&quot;US$&quot;#,##0_);[Red]\(&quot;US$&quot;#,##0\)"/>
    <numFmt numFmtId="176" formatCode="_-* #,##0.00_-;\-* #,##0.00_-;_-* &quot;-&quot;??_-;_-@_-"/>
    <numFmt numFmtId="177" formatCode="_(* #,##0_);_(* \(#,##0\);_(* &quot;-&quot;??_);_(@_)"/>
    <numFmt numFmtId="178" formatCode="0_ "/>
    <numFmt numFmtId="179" formatCode="dd/mm/yy;@"/>
    <numFmt numFmtId="180" formatCode="d/m/yy;@"/>
    <numFmt numFmtId="181" formatCode=";;;@"/>
    <numFmt numFmtId="182" formatCode="d/m/yyyy;@"/>
    <numFmt numFmtId="183" formatCode="m&quot;月&quot;d&quot;日&quot;"/>
    <numFmt numFmtId="184" formatCode="_(* #,##0.0_);_(* \(#,##0.0\);_(* &quot;-&quot;??_);_(@_)"/>
    <numFmt numFmtId="185" formatCode="_-* #,##0_-;\-* #,##0_-;_-* &quot;-&quot;??_-;_-@_-"/>
    <numFmt numFmtId="186" formatCode="_(&quot;HK$&quot;* #,##0_);_(&quot;HK$&quot;* \(#,##0\);_(&quot;HK$&quot;* &quot;-&quot;??_);_(@_)"/>
    <numFmt numFmtId="187" formatCode="0.0%"/>
    <numFmt numFmtId="188" formatCode="0.0"/>
    <numFmt numFmtId="189" formatCode="0.00_ "/>
  </numFmts>
  <fonts count="41">
    <font>
      <sz val="11"/>
      <color theme="1"/>
      <name val="新細明體"/>
      <charset val="134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 UI"/>
      <family val="2"/>
      <charset val="136"/>
    </font>
    <font>
      <sz val="11"/>
      <color theme="1"/>
      <name val="Microsoft JhengHei UI"/>
      <family val="2"/>
      <charset val="136"/>
    </font>
    <font>
      <sz val="11"/>
      <name val="Microsoft JhengHei UI"/>
      <family val="2"/>
      <charset val="136"/>
    </font>
    <font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color theme="1"/>
      <name val="Arial Black"/>
      <family val="2"/>
    </font>
    <font>
      <sz val="11"/>
      <color theme="1"/>
      <name val="Microsoft YaHei"/>
      <family val="2"/>
      <charset val="134"/>
    </font>
    <font>
      <sz val="12"/>
      <color rgb="FF333333"/>
      <name val="Arial Black"/>
      <family val="2"/>
    </font>
    <font>
      <sz val="12"/>
      <color theme="1"/>
      <name val="微軟正黑體"/>
      <family val="2"/>
      <charset val="136"/>
    </font>
    <font>
      <sz val="12"/>
      <name val="Arial Black"/>
      <family val="2"/>
    </font>
    <font>
      <sz val="12"/>
      <color theme="1"/>
      <name val="Arial Black"/>
      <family val="2"/>
    </font>
    <font>
      <sz val="12"/>
      <color theme="1"/>
      <name val="Microsoft JhengHei"/>
      <family val="2"/>
    </font>
    <font>
      <sz val="12"/>
      <color rgb="FF333333"/>
      <name val="Arial"/>
      <family val="2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0"/>
      <color rgb="FFFF0000"/>
      <name val="Arial"/>
      <family val="2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2"/>
      <charset val="136"/>
    </font>
    <font>
      <sz val="10"/>
      <color theme="1"/>
      <name val="Microsoft JhengHei"/>
      <family val="2"/>
      <charset val="136"/>
    </font>
    <font>
      <sz val="11"/>
      <color theme="1"/>
      <name val="新細明體"/>
      <family val="1"/>
      <scheme val="minor"/>
    </font>
    <font>
      <sz val="12"/>
      <color theme="1"/>
      <name val="Microsoft JhengHei"/>
      <family val="2"/>
      <charset val="136"/>
    </font>
    <font>
      <sz val="10"/>
      <color theme="1"/>
      <name val="Arial Black"/>
      <family val="2"/>
    </font>
    <font>
      <b/>
      <sz val="12"/>
      <color theme="1"/>
      <name val="Arial Black"/>
      <family val="2"/>
    </font>
    <font>
      <sz val="11"/>
      <color theme="1"/>
      <name val="Arial Black"/>
      <family val="2"/>
    </font>
    <font>
      <b/>
      <sz val="11"/>
      <color theme="1"/>
      <name val="新細明體"/>
      <family val="1"/>
      <charset val="136"/>
      <scheme val="minor"/>
    </font>
    <font>
      <sz val="12"/>
      <color theme="1"/>
      <name val="Arial Black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theme="1"/>
      <name val="細明體"/>
      <family val="3"/>
      <charset val="136"/>
    </font>
    <font>
      <b/>
      <sz val="11"/>
      <color theme="1"/>
      <name val="微軟正黑體"/>
      <family val="2"/>
      <charset val="136"/>
    </font>
    <font>
      <sz val="11"/>
      <color theme="1"/>
      <name val="Microsoft JhengHei Light"/>
      <family val="2"/>
      <charset val="136"/>
    </font>
    <font>
      <sz val="12"/>
      <color theme="1"/>
      <name val="新細明體"/>
      <family val="2"/>
      <charset val="136"/>
    </font>
    <font>
      <b/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048E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7B7B"/>
        <bgColor indexed="64"/>
      </patternFill>
    </fill>
    <fill>
      <patternFill patternType="solid">
        <fgColor rgb="FFFF669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76" fontId="2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0" fontId="22" fillId="0" borderId="0"/>
    <xf numFmtId="0" fontId="10" fillId="0" borderId="0"/>
  </cellStyleXfs>
  <cellXfs count="177">
    <xf numFmtId="0" fontId="0" fillId="0" borderId="0" xfId="0"/>
    <xf numFmtId="0" fontId="0" fillId="0" borderId="0" xfId="0" applyAlignment="1">
      <alignment horizontal="left"/>
    </xf>
    <xf numFmtId="0" fontId="3" fillId="0" borderId="0" xfId="3" applyFont="1"/>
    <xf numFmtId="14" fontId="3" fillId="0" borderId="0" xfId="3" applyNumberFormat="1" applyFont="1"/>
    <xf numFmtId="178" fontId="3" fillId="0" borderId="0" xfId="3" applyNumberFormat="1" applyFont="1"/>
    <xf numFmtId="179" fontId="3" fillId="0" borderId="0" xfId="3" applyNumberFormat="1" applyFont="1"/>
    <xf numFmtId="14" fontId="3" fillId="2" borderId="0" xfId="3" applyNumberFormat="1" applyFont="1" applyFill="1"/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 indent="1"/>
    </xf>
    <xf numFmtId="0" fontId="5" fillId="0" borderId="0" xfId="0" applyFont="1" applyAlignment="1">
      <alignment horizontal="left"/>
    </xf>
    <xf numFmtId="180" fontId="4" fillId="0" borderId="0" xfId="0" applyNumberFormat="1" applyFont="1"/>
    <xf numFmtId="14" fontId="0" fillId="0" borderId="0" xfId="0" applyNumberFormat="1"/>
    <xf numFmtId="0" fontId="9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/>
    <xf numFmtId="0" fontId="14" fillId="0" borderId="0" xfId="3" applyFont="1"/>
    <xf numFmtId="0" fontId="20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77" fontId="7" fillId="0" borderId="5" xfId="0" applyNumberFormat="1" applyFont="1" applyBorder="1" applyAlignment="1">
      <alignment horizontal="left" vertical="top"/>
    </xf>
    <xf numFmtId="177" fontId="8" fillId="0" borderId="0" xfId="0" applyNumberFormat="1" applyFont="1" applyAlignment="1">
      <alignment horizontal="left" vertical="top"/>
    </xf>
    <xf numFmtId="0" fontId="11" fillId="0" borderId="0" xfId="0" quotePrefix="1" applyFont="1" applyAlignment="1">
      <alignment horizontal="left" vertical="center"/>
    </xf>
    <xf numFmtId="0" fontId="11" fillId="0" borderId="3" xfId="3" applyFont="1" applyBorder="1"/>
    <xf numFmtId="0" fontId="11" fillId="0" borderId="0" xfId="3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/>
    <xf numFmtId="0" fontId="11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3" xfId="3" applyFont="1" applyBorder="1" applyAlignment="1">
      <alignment horizontal="left"/>
    </xf>
    <xf numFmtId="0" fontId="11" fillId="0" borderId="0" xfId="3" applyFont="1"/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9" fontId="6" fillId="0" borderId="0" xfId="2" applyFont="1" applyFill="1" applyAlignment="1"/>
    <xf numFmtId="0" fontId="0" fillId="0" borderId="1" xfId="0" applyBorder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3" fillId="0" borderId="1" xfId="0" applyFont="1" applyBorder="1"/>
    <xf numFmtId="0" fontId="23" fillId="0" borderId="0" xfId="0" applyFont="1"/>
    <xf numFmtId="44" fontId="0" fillId="3" borderId="1" xfId="0" applyNumberFormat="1" applyFill="1" applyBorder="1"/>
    <xf numFmtId="44" fontId="32" fillId="3" borderId="1" xfId="0" applyNumberFormat="1" applyFont="1" applyFill="1" applyBorder="1"/>
    <xf numFmtId="0" fontId="32" fillId="0" borderId="1" xfId="0" applyFont="1" applyBorder="1"/>
    <xf numFmtId="0" fontId="32" fillId="3" borderId="1" xfId="0" applyFont="1" applyFill="1" applyBorder="1"/>
    <xf numFmtId="44" fontId="32" fillId="0" borderId="0" xfId="0" applyNumberFormat="1" applyFont="1"/>
    <xf numFmtId="184" fontId="8" fillId="0" borderId="0" xfId="0" applyNumberFormat="1" applyFont="1" applyAlignment="1">
      <alignment horizontal="left" vertical="top"/>
    </xf>
    <xf numFmtId="0" fontId="33" fillId="0" borderId="0" xfId="0" applyFont="1" applyAlignment="1">
      <alignment vertical="center"/>
    </xf>
    <xf numFmtId="0" fontId="34" fillId="0" borderId="0" xfId="0" applyFont="1"/>
    <xf numFmtId="0" fontId="32" fillId="8" borderId="1" xfId="0" applyFont="1" applyFill="1" applyBorder="1"/>
    <xf numFmtId="0" fontId="2" fillId="0" borderId="0" xfId="0" applyFont="1" applyAlignment="1">
      <alignment vertical="center"/>
    </xf>
    <xf numFmtId="43" fontId="0" fillId="8" borderId="1" xfId="0" applyNumberFormat="1" applyFill="1" applyBorder="1"/>
    <xf numFmtId="0" fontId="21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25" fillId="0" borderId="0" xfId="0" applyFont="1" applyAlignment="1">
      <alignment vertical="center"/>
    </xf>
    <xf numFmtId="17" fontId="23" fillId="0" borderId="0" xfId="0" applyNumberFormat="1" applyFont="1"/>
    <xf numFmtId="0" fontId="36" fillId="0" borderId="0" xfId="0" applyFont="1" applyAlignment="1">
      <alignment vertical="center"/>
    </xf>
    <xf numFmtId="0" fontId="0" fillId="3" borderId="0" xfId="0" applyFill="1"/>
    <xf numFmtId="0" fontId="8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185" fontId="0" fillId="10" borderId="1" xfId="1" applyNumberFormat="1" applyFont="1" applyFill="1" applyBorder="1"/>
    <xf numFmtId="43" fontId="0" fillId="0" borderId="1" xfId="0" applyNumberFormat="1" applyBorder="1"/>
    <xf numFmtId="185" fontId="0" fillId="0" borderId="1" xfId="1" applyNumberFormat="1" applyFont="1" applyFill="1" applyBorder="1"/>
    <xf numFmtId="0" fontId="27" fillId="11" borderId="1" xfId="0" applyFont="1" applyFill="1" applyBorder="1"/>
    <xf numFmtId="0" fontId="27" fillId="11" borderId="1" xfId="0" applyFon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3" borderId="1" xfId="0" applyFill="1" applyBorder="1"/>
    <xf numFmtId="44" fontId="23" fillId="0" borderId="0" xfId="0" applyNumberFormat="1" applyFont="1"/>
    <xf numFmtId="17" fontId="20" fillId="0" borderId="0" xfId="0" applyNumberFormat="1" applyFont="1" applyAlignment="1">
      <alignment horizontal="center" vertical="center" wrapText="1"/>
    </xf>
    <xf numFmtId="12" fontId="8" fillId="0" borderId="1" xfId="1" applyNumberFormat="1" applyFont="1" applyFill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left"/>
    </xf>
    <xf numFmtId="176" fontId="6" fillId="0" borderId="0" xfId="1" applyFont="1" applyFill="1"/>
    <xf numFmtId="181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3" applyFont="1"/>
    <xf numFmtId="0" fontId="6" fillId="0" borderId="0" xfId="3" applyFont="1" applyAlignment="1">
      <alignment horizontal="right"/>
    </xf>
    <xf numFmtId="181" fontId="6" fillId="0" borderId="0" xfId="3" applyNumberFormat="1" applyFont="1"/>
    <xf numFmtId="0" fontId="6" fillId="0" borderId="0" xfId="3" applyFont="1" applyAlignment="1">
      <alignment horizontal="left"/>
    </xf>
    <xf numFmtId="14" fontId="6" fillId="0" borderId="0" xfId="3" applyNumberFormat="1" applyFont="1"/>
    <xf numFmtId="179" fontId="6" fillId="0" borderId="0" xfId="3" applyNumberFormat="1" applyFont="1"/>
    <xf numFmtId="182" fontId="6" fillId="0" borderId="0" xfId="3" applyNumberFormat="1" applyFont="1"/>
    <xf numFmtId="185" fontId="0" fillId="0" borderId="0" xfId="1" applyNumberFormat="1" applyFont="1"/>
    <xf numFmtId="185" fontId="32" fillId="0" borderId="1" xfId="1" applyNumberFormat="1" applyFont="1" applyBorder="1"/>
    <xf numFmtId="0" fontId="37" fillId="7" borderId="1" xfId="0" applyFont="1" applyFill="1" applyBorder="1"/>
    <xf numFmtId="43" fontId="37" fillId="6" borderId="1" xfId="0" applyNumberFormat="1" applyFont="1" applyFill="1" applyBorder="1"/>
    <xf numFmtId="185" fontId="37" fillId="6" borderId="1" xfId="1" applyNumberFormat="1" applyFont="1" applyFill="1" applyBorder="1"/>
    <xf numFmtId="0" fontId="37" fillId="7" borderId="4" xfId="0" applyFont="1" applyFill="1" applyBorder="1"/>
    <xf numFmtId="17" fontId="23" fillId="0" borderId="1" xfId="0" applyNumberFormat="1" applyFont="1" applyBorder="1" applyAlignment="1">
      <alignment horizontal="right"/>
    </xf>
    <xf numFmtId="44" fontId="0" fillId="0" borderId="0" xfId="0" applyNumberFormat="1"/>
    <xf numFmtId="14" fontId="6" fillId="0" borderId="0" xfId="0" applyNumberFormat="1" applyFont="1"/>
    <xf numFmtId="181" fontId="19" fillId="0" borderId="0" xfId="0" applyNumberFormat="1" applyFont="1"/>
    <xf numFmtId="185" fontId="23" fillId="0" borderId="0" xfId="1" applyNumberFormat="1" applyFont="1"/>
    <xf numFmtId="0" fontId="38" fillId="9" borderId="1" xfId="0" applyFont="1" applyFill="1" applyBorder="1" applyAlignment="1">
      <alignment wrapText="1"/>
    </xf>
    <xf numFmtId="0" fontId="38" fillId="3" borderId="1" xfId="0" applyFont="1" applyFill="1" applyBorder="1" applyAlignment="1">
      <alignment wrapText="1"/>
    </xf>
    <xf numFmtId="0" fontId="23" fillId="11" borderId="1" xfId="0" applyFont="1" applyFill="1" applyBorder="1"/>
    <xf numFmtId="9" fontId="23" fillId="0" borderId="1" xfId="0" applyNumberFormat="1" applyFont="1" applyBorder="1"/>
    <xf numFmtId="0" fontId="32" fillId="0" borderId="1" xfId="0" applyFont="1" applyBorder="1" applyAlignment="1">
      <alignment horizontal="center" vertical="center" wrapText="1"/>
    </xf>
    <xf numFmtId="183" fontId="20" fillId="0" borderId="0" xfId="0" applyNumberFormat="1" applyFont="1" applyAlignment="1">
      <alignment horizontal="center" vertical="center" wrapText="1"/>
    </xf>
    <xf numFmtId="16" fontId="20" fillId="0" borderId="0" xfId="0" applyNumberFormat="1" applyFont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top" wrapText="1"/>
    </xf>
    <xf numFmtId="24" fontId="23" fillId="0" borderId="1" xfId="0" applyNumberFormat="1" applyFont="1" applyBorder="1"/>
    <xf numFmtId="0" fontId="27" fillId="0" borderId="2" xfId="0" applyFont="1" applyBorder="1"/>
    <xf numFmtId="0" fontId="27" fillId="0" borderId="6" xfId="0" applyFont="1" applyBorder="1"/>
    <xf numFmtId="0" fontId="27" fillId="0" borderId="4" xfId="0" applyFont="1" applyBorder="1" applyAlignment="1">
      <alignment wrapText="1"/>
    </xf>
    <xf numFmtId="0" fontId="23" fillId="0" borderId="4" xfId="0" applyFont="1" applyBorder="1" applyAlignment="1">
      <alignment wrapText="1"/>
    </xf>
    <xf numFmtId="0" fontId="0" fillId="0" borderId="0" xfId="0" applyAlignment="1">
      <alignment horizontal="centerContinuous"/>
    </xf>
    <xf numFmtId="17" fontId="32" fillId="0" borderId="0" xfId="0" applyNumberFormat="1" applyFont="1" applyAlignment="1">
      <alignment horizontal="centerContinuous"/>
    </xf>
    <xf numFmtId="0" fontId="31" fillId="3" borderId="0" xfId="0" applyFont="1" applyFill="1" applyAlignment="1">
      <alignment vertical="center"/>
    </xf>
    <xf numFmtId="43" fontId="0" fillId="0" borderId="0" xfId="0" applyNumberFormat="1"/>
    <xf numFmtId="185" fontId="0" fillId="0" borderId="0" xfId="0" applyNumberFormat="1"/>
    <xf numFmtId="176" fontId="0" fillId="0" borderId="0" xfId="1" applyFont="1" applyAlignment="1">
      <alignment horizontal="right"/>
    </xf>
    <xf numFmtId="43" fontId="20" fillId="0" borderId="0" xfId="0" applyNumberFormat="1" applyFont="1" applyAlignment="1">
      <alignment horizontal="center" vertical="center"/>
    </xf>
    <xf numFmtId="43" fontId="20" fillId="4" borderId="5" xfId="0" applyNumberFormat="1" applyFont="1" applyFill="1" applyBorder="1" applyAlignment="1">
      <alignment horizontal="center" vertical="center"/>
    </xf>
    <xf numFmtId="43" fontId="9" fillId="4" borderId="5" xfId="0" applyNumberFormat="1" applyFont="1" applyFill="1" applyBorder="1" applyAlignment="1">
      <alignment horizontal="center" vertical="center"/>
    </xf>
    <xf numFmtId="184" fontId="7" fillId="0" borderId="5" xfId="0" applyNumberFormat="1" applyFont="1" applyBorder="1" applyAlignment="1">
      <alignment horizontal="left" vertical="top"/>
    </xf>
    <xf numFmtId="187" fontId="0" fillId="0" borderId="0" xfId="2" applyNumberFormat="1" applyFont="1" applyAlignment="1"/>
    <xf numFmtId="0" fontId="0" fillId="0" borderId="4" xfId="0" applyBorder="1"/>
    <xf numFmtId="0" fontId="0" fillId="12" borderId="0" xfId="0" applyFill="1"/>
    <xf numFmtId="0" fontId="0" fillId="0" borderId="0" xfId="0" pivotButton="1"/>
    <xf numFmtId="0" fontId="40" fillId="0" borderId="0" xfId="0" applyFont="1" applyAlignment="1">
      <alignment horizontal="right"/>
    </xf>
    <xf numFmtId="9" fontId="0" fillId="0" borderId="0" xfId="0" applyNumberFormat="1"/>
    <xf numFmtId="0" fontId="6" fillId="0" borderId="0" xfId="0" quotePrefix="1" applyFont="1"/>
    <xf numFmtId="0" fontId="6" fillId="0" borderId="3" xfId="3" applyFont="1" applyBorder="1"/>
    <xf numFmtId="0" fontId="35" fillId="0" borderId="0" xfId="0" applyFont="1"/>
    <xf numFmtId="0" fontId="25" fillId="0" borderId="0" xfId="0" applyFont="1"/>
    <xf numFmtId="20" fontId="6" fillId="0" borderId="0" xfId="3" applyNumberFormat="1" applyFont="1"/>
    <xf numFmtId="0" fontId="6" fillId="0" borderId="0" xfId="0" quotePrefix="1" applyFont="1" applyAlignment="1">
      <alignment horizontal="left"/>
    </xf>
    <xf numFmtId="0" fontId="6" fillId="0" borderId="0" xfId="0" quotePrefix="1" applyFont="1" applyAlignment="1">
      <alignment horizontal="right"/>
    </xf>
    <xf numFmtId="0" fontId="25" fillId="0" borderId="0" xfId="3" applyFont="1"/>
    <xf numFmtId="0" fontId="6" fillId="0" borderId="0" xfId="3" quotePrefix="1" applyFont="1"/>
    <xf numFmtId="0" fontId="35" fillId="0" borderId="0" xfId="3" applyFont="1"/>
    <xf numFmtId="185" fontId="37" fillId="10" borderId="1" xfId="1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88" fontId="0" fillId="0" borderId="1" xfId="0" applyNumberFormat="1" applyBorder="1"/>
    <xf numFmtId="0" fontId="32" fillId="0" borderId="0" xfId="0" applyFont="1" applyAlignment="1">
      <alignment horizontal="center"/>
    </xf>
    <xf numFmtId="43" fontId="23" fillId="0" borderId="0" xfId="0" applyNumberFormat="1" applyFont="1"/>
    <xf numFmtId="176" fontId="0" fillId="0" borderId="0" xfId="1" applyFont="1"/>
    <xf numFmtId="9" fontId="23" fillId="0" borderId="0" xfId="0" applyNumberFormat="1" applyFont="1"/>
    <xf numFmtId="12" fontId="8" fillId="9" borderId="1" xfId="1" applyNumberFormat="1" applyFont="1" applyFill="1" applyBorder="1" applyAlignment="1">
      <alignment horizontal="left" vertical="top" wrapText="1"/>
    </xf>
    <xf numFmtId="14" fontId="0" fillId="0" borderId="0" xfId="0" applyNumberFormat="1" applyAlignment="1">
      <alignment horizontal="left" indent="1"/>
    </xf>
    <xf numFmtId="184" fontId="8" fillId="13" borderId="0" xfId="0" applyNumberFormat="1" applyFont="1" applyFill="1" applyAlignment="1">
      <alignment horizontal="left" vertical="top"/>
    </xf>
    <xf numFmtId="0" fontId="23" fillId="14" borderId="0" xfId="0" applyFont="1" applyFill="1"/>
    <xf numFmtId="0" fontId="0" fillId="14" borderId="0" xfId="0" applyFill="1"/>
    <xf numFmtId="0" fontId="0" fillId="15" borderId="0" xfId="0" applyFill="1"/>
    <xf numFmtId="14" fontId="23" fillId="0" borderId="0" xfId="0" applyNumberFormat="1" applyFont="1"/>
    <xf numFmtId="24" fontId="6" fillId="0" borderId="0" xfId="3" applyNumberFormat="1" applyFont="1"/>
    <xf numFmtId="43" fontId="37" fillId="13" borderId="1" xfId="0" applyNumberFormat="1" applyFont="1" applyFill="1" applyBorder="1"/>
    <xf numFmtId="0" fontId="37" fillId="6" borderId="1" xfId="0" applyFont="1" applyFill="1" applyBorder="1"/>
    <xf numFmtId="0" fontId="37" fillId="6" borderId="1" xfId="1" applyNumberFormat="1" applyFont="1" applyFill="1" applyBorder="1"/>
    <xf numFmtId="0" fontId="37" fillId="13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186" fontId="0" fillId="9" borderId="1" xfId="0" applyNumberFormat="1" applyFill="1" applyBorder="1"/>
    <xf numFmtId="0" fontId="0" fillId="9" borderId="1" xfId="0" applyFill="1" applyBorder="1"/>
    <xf numFmtId="0" fontId="6" fillId="17" borderId="0" xfId="3" applyFont="1" applyFill="1"/>
    <xf numFmtId="0" fontId="6" fillId="18" borderId="0" xfId="0" quotePrefix="1" applyFont="1" applyFill="1"/>
    <xf numFmtId="0" fontId="7" fillId="15" borderId="1" xfId="0" applyFont="1" applyFill="1" applyBorder="1" applyAlignment="1">
      <alignment horizontal="left" vertical="top"/>
    </xf>
    <xf numFmtId="189" fontId="6" fillId="0" borderId="0" xfId="3" applyNumberFormat="1" applyFont="1"/>
    <xf numFmtId="185" fontId="23" fillId="0" borderId="0" xfId="0" applyNumberFormat="1" applyFont="1"/>
    <xf numFmtId="0" fontId="6" fillId="3" borderId="0" xfId="3" applyFont="1" applyFill="1"/>
    <xf numFmtId="0" fontId="6" fillId="0" borderId="0" xfId="3" applyFont="1" applyFill="1" applyAlignment="1">
      <alignment horizontal="right"/>
    </xf>
    <xf numFmtId="0" fontId="6" fillId="0" borderId="0" xfId="3" applyFont="1" applyFill="1"/>
    <xf numFmtId="184" fontId="8" fillId="0" borderId="0" xfId="0" applyNumberFormat="1" applyFont="1" applyFill="1" applyAlignment="1">
      <alignment horizontal="left" vertical="top"/>
    </xf>
  </cellXfs>
  <cellStyles count="5">
    <cellStyle name="一般" xfId="0" builtinId="0"/>
    <cellStyle name="一般 2" xfId="3" xr:uid="{00000000-0005-0000-0000-000031000000}"/>
    <cellStyle name="一般 3" xfId="4" xr:uid="{756FC481-87BE-4640-B362-F7794AC84D1D}"/>
    <cellStyle name="千分位" xfId="1" builtinId="3"/>
    <cellStyle name="百分比" xfId="2" builtinId="5"/>
  </cellStyles>
  <dxfs count="126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5" tint="-0.2499465926084170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theme="1" tint="0.1498764000366222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1" tint="0.1498764000366222"/>
        </patternFill>
      </fill>
    </dxf>
    <dxf>
      <fill>
        <patternFill patternType="solid">
          <bgColor rgb="FFE048E4"/>
        </patternFill>
      </fill>
    </dxf>
    <dxf>
      <fill>
        <patternFill patternType="solid">
          <bgColor rgb="FFE048E4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u val="no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6699"/>
      <color rgb="FFF17B7B"/>
      <color rgb="FFE048E4"/>
      <color rgb="FFFF9999"/>
      <color rgb="FFFFCCCC"/>
      <color rgb="FF860000"/>
      <color rgb="FFF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Relationship Id="rId30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35140" id="{100E788E-1F92-479B-B21A-87B0093D879F}" userId="S::e35140@office-pro.co::8779e2fa-4d8d-44d8-9c1d-4af60f2fb06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4039.6374967593" createdVersion="6" refreshedVersion="5" minRefreshableVersion="3" recordCount="1130" xr:uid="{00000000-000A-0000-FFFF-FFFF00000000}">
  <cacheSource type="consolidation">
    <consolidation>
      <pages count="1">
        <page count="4">
          <pageItem name="项1"/>
          <pageItem name="项2"/>
          <pageItem name="项3"/>
          <pageItem name="项4"/>
        </page>
      </pages>
      <rangeSets count="4">
        <rangeSet i1="0" ref="A1:I38" sheet="Broadway"/>
        <rangeSet i1="1" ref="P2:S2" sheet="editable-sales-form"/>
        <rangeSet i1="2" ref="A1:I38" sheet="Suning"/>
        <rangeSet i1="3" ref="A1:I12" sheet="Yata"/>
      </rangeSets>
    </consolidation>
  </cacheSource>
  <cacheFields count="4">
    <cacheField name="列" numFmtId="0">
      <sharedItems count="13">
        <s v="Broadway"/>
        <s v="Citistore"/>
        <s v="Suning"/>
        <s v="Yata"/>
        <s v="Location" u="1"/>
        <s v="model" u="1"/>
        <s v="date" u="1"/>
        <s v="promoter" u="1"/>
        <s v="price" u="1"/>
        <s v="Fortress" u="1"/>
        <s v="Product Line" u="1"/>
        <s v="month" u="1"/>
        <s v="qty" u="1"/>
      </sharedItems>
    </cacheField>
    <cacheField name="欄" numFmtId="0">
      <sharedItems count="10">
        <s v="Location"/>
        <s v="promoter"/>
        <s v="month"/>
        <s v="date"/>
        <s v="Product Line"/>
        <s v="model"/>
        <s v="qty"/>
        <s v="price"/>
        <s v="Model-Input(&gt;4+)"/>
        <s v="quantity"/>
      </sharedItems>
    </cacheField>
    <cacheField name="值" numFmtId="0">
      <sharedItems containsSemiMixedTypes="0" containsNonDate="0" containsString="0"/>
    </cacheField>
    <cacheField name="分頁1" numFmtId="0">
      <sharedItems count="4">
        <s v="项1"/>
        <s v="项2"/>
        <s v="项3"/>
        <s v="项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6.726669791664" createdVersion="8" refreshedVersion="8" minRefreshableVersion="3" recordCount="5500" xr:uid="{784E1787-B133-444C-8966-994D82E8BCAC}">
  <cacheSource type="worksheet">
    <worksheetSource name="表格1"/>
  </cacheSource>
  <cacheFields count="25">
    <cacheField name="No." numFmtId="0">
      <sharedItems containsSemiMixedTypes="0" containsString="0" containsNumber="1" containsInteger="1" minValue="1" maxValue="5500"/>
    </cacheField>
    <cacheField name="Shop" numFmtId="0">
      <sharedItems containsBlank="1"/>
    </cacheField>
    <cacheField name="Location" numFmtId="0">
      <sharedItems containsBlank="1"/>
    </cacheField>
    <cacheField name="Name" numFmtId="0">
      <sharedItems count="113">
        <s v="Winnie"/>
        <s v="Wendy Lau"/>
        <s v="Maggie Ho_1"/>
        <s v="Pinky"/>
        <s v="Me"/>
        <s v="Shan_1"/>
        <s v="Mandy"/>
        <s v="Wendy Wong_1"/>
        <s v="Emma"/>
        <s v="Ling Ho"/>
        <s v="Ling Ho off"/>
        <s v="Fong_1"/>
        <s v="SK"/>
        <s v="Hazel"/>
        <s v="Ho_1"/>
        <s v="Ho_1 off"/>
        <s v="Ho_3"/>
        <s v="Ho_2"/>
        <s v="Mui Chan_2"/>
        <s v="Coco"/>
        <s v="Vicky L"/>
        <s v="Vicky L off"/>
        <s v="Mui Chan_1"/>
        <s v="Mui Chan_1 off"/>
        <s v="Kitty Yeung"/>
        <s v="Kitty Yeung off"/>
        <s v="Kit_2"/>
        <s v="Kit_3"/>
        <s v="Kit_1"/>
        <s v="Daisy"/>
        <s v="Shan_2"/>
        <s v="Leo off"/>
        <s v="Leo"/>
        <s v="Michelle"/>
        <s v="Michelle off"/>
        <s v="Pam"/>
        <s v="Pam off"/>
        <s v="Terence_1"/>
        <s v="Maggie Yip"/>
        <s v="Kiko"/>
        <s v="Amy Or_2"/>
        <s v="Amy Or_1"/>
        <s v="Gloria"/>
        <s v="Tony_2"/>
        <s v="Tony_1"/>
        <s v="Tony_3"/>
        <s v="Tony_4"/>
        <s v="Ivy Wong_2"/>
        <s v="Ivy Wong_1"/>
        <s v="Kandy"/>
        <s v="Jaco off"/>
        <s v="Jaco"/>
        <s v="Terence_2"/>
        <s v="Lily Hon"/>
        <s v="Lily Hon off"/>
        <s v="Happy"/>
        <s v="Jessica"/>
        <s v="Jessica off"/>
        <s v="Maggie Ho_2"/>
        <s v="May C"/>
        <s v="Yee"/>
        <s v="Wendy Wong_2"/>
        <s v="May C off"/>
        <s v="Anita_1"/>
        <s v="Anita_2"/>
        <s v="Fong_2"/>
        <s v="Shirley"/>
        <s v="Raymond"/>
        <s v="Raymond off"/>
        <s v="Wendy Wong_3"/>
        <s v="Tiffany"/>
        <s v="PoWan"/>
        <s v="Hung"/>
        <s v="Hung off"/>
        <s v="Connie"/>
        <e v="#N/A"/>
        <s v="." u="1"/>
        <s v="Shan" u="1"/>
        <s v="Terence" u="1"/>
        <s v="Maggie Ho" u="1"/>
        <s v="Wendy Wong" u="1"/>
        <s v="Fong" u="1"/>
        <s v="Ho" u="1"/>
        <s v="Ho off" u="1"/>
        <s v="Shirley_1" u="1"/>
        <s v="Jason Yu" u="1"/>
        <s v="Wendy Lau off" u="1"/>
        <s v="Happy off" u="1"/>
        <s v="Shirley_2" u="1"/>
        <s v="Pinky off" u="1"/>
        <s v="Anita" u="1"/>
        <s v="Anita off" u="1"/>
        <s v="Mui Hon" u="1"/>
        <s v="Wendy Lau_1" u="1"/>
        <s v="Wendy Lau_1 off" u="1"/>
        <s v="PoWan_1" u="1"/>
        <s v="Pam_2" u="1"/>
        <s v="Pam_1" u="1"/>
        <s v="Pam_1 off" u="1"/>
        <s v="Miuyu" u="1"/>
        <s v="Terence_3" u="1"/>
        <s v="Tony" u="1"/>
        <s v="Sau Kwan_1" u="1"/>
        <s v="Ivy Wong" u="1"/>
        <s v="Kit" u="1"/>
        <s v="Wendy Lau_2" u="1"/>
        <s v="Wendy Lau_2 off" u="1"/>
        <s v="Coco_1" u="1"/>
        <s v="Coco_2" u="1"/>
        <s v="Coco_2 off" u="1"/>
        <s v="Amy Or" u="1"/>
        <s v="Yee_1" u="1"/>
        <s v="Kandy_2" u="1"/>
      </sharedItems>
    </cacheField>
    <cacheField name="month" numFmtId="0">
      <sharedItems containsSemiMixedTypes="0" containsString="0" containsNumber="1" containsInteger="1" minValue="1" maxValue="3"/>
    </cacheField>
    <cacheField name="date" numFmtId="14">
      <sharedItems containsNonDate="0" containsDate="1" containsString="0" containsBlank="1" minDate="2026-01-01T00:00:00" maxDate="2026-04-01T00:00:00" count="91">
        <d v="2026-03-01T00:00:00"/>
        <d v="2026-03-07T00:00:00"/>
        <d v="2026-03-08T00:00:00"/>
        <d v="2026-03-14T00:00:00"/>
        <d v="2026-03-15T00:00:00"/>
        <d v="2026-03-02T00:00:00"/>
        <d v="2026-03-03T00:00:00"/>
        <d v="2026-03-04T00:00:00"/>
        <d v="2026-03-06T00:00:00"/>
        <d v="2026-03-09T00:00:00"/>
        <d v="2026-03-10T00:00:00"/>
        <d v="2026-03-12T00:00:00"/>
        <d v="2026-03-13T00:00:00"/>
        <d v="2026-03-05T00:00:00"/>
        <d v="2026-03-16T00:00:00"/>
        <d v="2026-03-17T00:00:00"/>
        <d v="2026-03-11T00:00:00"/>
        <d v="2026-03-18T00:00:00"/>
        <d v="2026-03-19T00:00:00"/>
        <d v="2026-03-20T00:00:00"/>
        <d v="2026-03-21T00:00:00"/>
        <d v="2026-03-22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3-23T00:00:00"/>
        <m/>
        <d v="2026-02-04T00:00:00" u="1"/>
        <d v="2026-02-05T00:00:00" u="1"/>
        <d v="2026-02-10T00:00:00" u="1"/>
        <d v="2026-02-11T00:00:00" u="1"/>
        <d v="2026-02-16T00:00:00" u="1"/>
        <d v="2026-02-20T00:00:00" u="1"/>
        <d v="2026-02-25T00:00:00" u="1"/>
        <d v="2026-02-13T00:00:00" u="1"/>
        <d v="2026-02-01T00:00:00" u="1"/>
        <d v="2026-02-02T00:00:00" u="1"/>
        <d v="2026-02-03T00:00:00" u="1"/>
        <d v="2026-02-06T00:00:00" u="1"/>
        <d v="2026-02-07T00:00:00" u="1"/>
        <d v="2026-02-08T00:00:00" u="1"/>
        <d v="2026-02-09T00:00:00" u="1"/>
        <d v="2026-02-12T00:00:00" u="1"/>
        <d v="2026-02-14T00:00:00" u="1"/>
        <d v="2026-02-15T00:00:00" u="1"/>
        <d v="2026-02-21T00:00:00" u="1"/>
        <d v="2026-02-22T00:00:00" u="1"/>
        <d v="2026-02-23T00:00:00" u="1"/>
        <d v="2026-02-24T00:00:00" u="1"/>
        <d v="2026-02-26T00:00:00" u="1"/>
        <d v="2026-02-27T00:00:00" u="1"/>
        <d v="2026-02-28T00:00:00" u="1"/>
        <d v="2026-02-17T00:00:00" u="1"/>
        <d v="2026-02-18T00:00:00" u="1"/>
        <d v="2026-02-19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13T00:00:00" u="1"/>
        <d v="2026-01-14T00:00:00" u="1"/>
        <d v="2026-01-20T00:00:00" u="1"/>
        <d v="2026-01-26T00:00:00" u="1"/>
        <d v="2026-01-27T00:00:00" u="1"/>
        <d v="2026-01-11T00:00:00" u="1"/>
        <d v="2026-01-10T00:00:00" u="1"/>
        <d v="2026-01-21T00:00:00" u="1"/>
        <d v="2026-01-28T00:00:00" u="1"/>
        <d v="2026-01-08T00:00:00" u="1"/>
        <d v="2026-01-09T00:00:00" u="1"/>
        <d v="2026-01-15T00:00:00" u="1"/>
        <d v="2026-01-16T00:00:00" u="1"/>
        <d v="2026-01-17T00:00:00" u="1"/>
        <d v="2026-01-18T00:00:00" u="1"/>
        <d v="2026-01-19T00:00:00" u="1"/>
        <d v="2026-01-22T00:00:00" u="1"/>
        <d v="2026-01-23T00:00:00" u="1"/>
        <d v="2026-01-24T00:00:00" u="1"/>
        <d v="2026-01-25T00:00:00" u="1"/>
        <d v="2026-01-12T00:00:00" u="1"/>
        <d v="2026-01-29T00:00:00" u="1"/>
        <d v="2026-01-30T00:00:00" u="1"/>
        <d v="2026-01-31T00:00:00" u="1"/>
      </sharedItems>
      <fieldGroup par="24"/>
    </cacheField>
    <cacheField name="Model" numFmtId="0">
      <sharedItems count="158">
        <s v="TWD-BN90GF4H(WK)"/>
        <s v="RC-15ISTHK(W)"/>
        <s v="GR-A26HSZ(DS)"/>
        <s v="TW-BL85A2H(WW)"/>
        <s v="TWP-TSR76THK(W)"/>
        <s v="AW-M901BPH(WW)"/>
        <s v="MW2-MM24PC(BK)"/>
        <s v="RC-5MMIH(WT)"/>
        <s v="PC-48DRSHK(K)"/>
        <s v="PLK-45SFIH(WT)"/>
        <s v="GR-RT416WE-PMA(06)"/>
        <s v="ER-TD5000HK(XK)"/>
        <s v="CWF-12CRFN8-AD5"/>
        <s v="DWS-34AHK"/>
        <s v="RAD-Y200H"/>
        <s v="IC-21TSHK"/>
        <s v="IC-20R1THK"/>
        <s v="RC-10NMFIH(WT)"/>
        <s v="CWF-09CRFN8-AD5"/>
        <s v="CWF-18CRFN8-AD5"/>
        <s v="RAD-D200H"/>
        <s v="RAD-D300H"/>
        <s v="GR-RM612WE-PGA(B5)"/>
        <s v="RC-10JRUH(N)"/>
        <s v="RC-5SLIH(W)"/>
        <s v="VC-CLS1BF(R)"/>
        <s v="CFK01W75"/>
        <s v="RC-18NMFIH(WT)"/>
        <s v="KT-08DH1VHK(W)"/>
        <s v="RC-10BHH(W)"/>
        <s v="MWP-MM20P(WH)"/>
        <s v="KT-17DRTHK(H)"/>
        <s v="PLK-30FLIH(WT)"/>
        <s v="MM2-EG20PC(WH)"/>
        <s v="MW3-SAC24SE(BK)"/>
        <s v="RC-18JRUH(N)"/>
        <s v="MM2-EM20PC(WH)"/>
        <s v="TP-50DRUHK(W)"/>
        <s v="KT-15DRTHK(W)"/>
        <s v="RC-10AMXH(W)"/>
        <s v="TW-T21BU80UWH(MG)"/>
        <s v="RC-18ISPH"/>
        <s v="GR-RB360WE-PMA(06)"/>
        <s v="TW-T22BU95UWH(WK)-B"/>
        <s v="KT-17SHNH"/>
        <s v="RC-7HMH"/>
        <s v="TP-25DR2UHK(W)"/>
        <s v="RC-10ISSHK(W)"/>
        <s v="MX2-TT20SC(WH)"/>
        <s v="CIC-20GGTLA0"/>
        <s v="IC-S19RH"/>
        <s v="RC-DR10T(W)"/>
        <s v="TL-MC35Z"/>
        <s v="RC-DR10T(R)"/>
        <s v="RC-10IRPH"/>
        <s v="RC-DX18T(W)"/>
        <s v="ET-TD7080(PN)"/>
        <s v="RC-10DRNH"/>
        <s v="RC-DR18T(W)"/>
        <s v="MS5-STR30SC(BK)"/>
        <s v="RC-15BHH(W)"/>
        <s v="RC-18AMXH(W)"/>
        <s v="ER-SD99HKW"/>
        <s v="MS3-STQ20SC(WH)"/>
        <s v="CMO-MMP012NDPF(GN)"/>
        <s v="CF-HM30AH(Y)"/>
        <s v="GR-RB221WE-PMA(57)"/>
        <s v="KT-17SH1NH"/>
        <s v="MM-2MM20PC(WH)"/>
        <s v="RC-18DRNH"/>
        <s v="F-LYA20(W)HKG"/>
        <s v="MV2-EG26PEI(BK)"/>
        <s v="RAD-D250H"/>
        <s v="CWF-07CRFN8-AD5"/>
        <s v="MX2-STR25SC(WH)"/>
        <s v="AW-Q901BPH(WW)"/>
        <s v="AW-Q801APH(WW)"/>
        <s v="TWD-T22BU95UWH(WK)-B"/>
        <s v="GR-RT234WE-PMA(57)"/>
        <s v="RC-DS10K(R)"/>
        <s v="KT-14DHUHK(W)"/>
        <s v="TW-T22BU85UWH(WK)-B"/>
        <s v="F-DSB35HK(W)"/>
        <s v="RAC-12G3CVRGR-HK"/>
        <s v="CFS-09PGR0A0"/>
        <s v="GR-RM469WE-PGA(B3)"/>
        <s v="TWD-T21BU95UWH(WW)"/>
        <s v="GR-RT300WE-PMA(57)"/>
        <s v="ER-VD7000HK(XK)"/>
        <s v="RAC-18G3CVRGR-HK"/>
        <s v="TW-T21BU90UWH(WW)"/>
        <s v="RAC-07G3CVG-HK"/>
        <s v="RAC-09G3CVRGR-HK"/>
        <s v="DW-05T2-HK"/>
        <s v="RAC-07G3CVRGR-HK"/>
        <s v="CAF-A400HK(H)"/>
        <s v="AW-Q800APH(WW)"/>
        <s v="RAD-DIA17HK"/>
        <s v="RAC-12G3CVG-HK"/>
        <s v="TWD-T25BZU115MWH(MG)"/>
        <s v="RAC-07G3CVRG-HK"/>
        <s v="MW3-MM25PC(BK)"/>
        <s v="CFK01W80"/>
        <s v="GR-RB449WE-PMA(57)"/>
        <s v="Model-Input-Ref2"/>
        <s v="MWP-MG20P(BK)"/>
        <s v="MV-AG21TF(BK)"/>
        <s v="KT-15DRRH"/>
        <s v="FIST(PRO)"/>
        <s v="F-ALB60HK(B)"/>
        <s v="GR-RM598WE-PGA(B3)"/>
        <s v="TW-T21BU95UWH(MG)"/>
        <s v="AW-DQ950FPH(WW)"/>
        <s v="RC-6PXTHK(W)"/>
        <s v="GR-RM352WI-PMA(53)"/>
        <s v="MX1-TH23SC(WH)"/>
        <s v="RC-DS18K(N)"/>
        <s v="EB-T500APW"/>
        <s v="RC-DZ4K(N)"/>
        <s v="GR-A28HSZ(DS)"/>
        <s v="RC-DX10T(W)"/>
        <s v="RC-DS10K(N)"/>
        <s v="TL2-MC25CZE(GR)"/>
        <s v="RAC-09G3CVG-HK"/>
        <s v="TWP-W2265THK(W)"/>
        <s v="RAC-18G3CVG-HK"/>
        <s v="AF-74CS1TRHK(H)"/>
        <s v="KT-17DRNH"/>
        <s v="MS5-TR30SC(BK)"/>
        <s v="AW-Q751APH(WW)"/>
        <s v="VC-CLX50BF(R)"/>
        <s v="TW-T25BZU115MWH(MG)"/>
        <s v="GR-RB410WE-PMA(06)"/>
        <s v="GR-H913(MG)"/>
        <s v="CRM-12PG10A0"/>
        <s v="AW-DQ110JPH(WW)"/>
        <s v="GR-H713(WH)"/>
        <s v="RAS-18J2KV(HK)"/>
        <s v="TW-BL80A2H(WW)"/>
        <s v="RC-DS18K(R)"/>
        <s v="TW-BL115A2H(WW)"/>
        <s v="GR-RF698WI-PGA(67)"/>
        <s v="F-DSB800XHK(W)"/>
        <s v="RC-DR18T(R)"/>
        <s v="CFW-07FF-H"/>
        <s v="IC-R19RH"/>
        <s v="FILTER-PCB-W2265"/>
        <s v="FILTER-RO-W2265"/>
        <s v="RAD-Y300H" u="1"/>
        <s v="GR-H913(WH)" u="1"/>
        <s v="DWS-22AHK" u="1"/>
        <s v="RAD-Y250H" u="1"/>
        <s v="AF-52CS1TRHK(H)" u="1"/>
        <s v="RAS-10J2KCV(HK)" u="1"/>
        <s v="RAS-18J2KCV(HK)" u="1"/>
        <s v="GR-RM469WE-PGA(B3)-1" u="1"/>
        <s v="AW-J800APH2(WW)" u="1"/>
        <s v="CAF-A400HK(H)FS" u="1"/>
      </sharedItems>
    </cacheField>
    <cacheField name="Product Line" numFmtId="0">
      <sharedItems/>
    </cacheField>
    <cacheField name="大/細電" numFmtId="0">
      <sharedItems/>
    </cacheField>
    <cacheField name="Catalog" numFmtId="0">
      <sharedItems/>
    </cacheField>
    <cacheField name="Input" numFmtId="0">
      <sharedItems containsBlank="1" containsMixedTypes="1" containsNumber="1" containsInteger="1" minValue="713" maxValue="7080"/>
    </cacheField>
    <cacheField name="QTY" numFmtId="0">
      <sharedItems containsString="0" containsBlank="1" containsNumber="1" containsInteger="1" minValue="1" maxValue="21"/>
    </cacheField>
    <cacheField name="Unit Price" numFmtId="0">
      <sharedItems containsString="0" containsBlank="1" containsNumber="1" minValue="158" maxValue="14980"/>
    </cacheField>
    <cacheField name="Total Amount" numFmtId="0">
      <sharedItems containsSemiMixedTypes="0" containsString="0" containsNumber="1" minValue="0" maxValue="17940"/>
    </cacheField>
    <cacheField name="inv no" numFmtId="0">
      <sharedItems containsBlank="1" containsMixedTypes="1" containsNumber="1" containsInteger="1" minValue="112" maxValue="7066099"/>
    </cacheField>
    <cacheField name="apps report no." numFmtId="0">
      <sharedItems containsBlank="1"/>
    </cacheField>
    <cacheField name="remark2" numFmtId="0">
      <sharedItems containsNonDate="0" containsString="0" containsBlank="1"/>
    </cacheField>
    <cacheField name="Check" numFmtId="0">
      <sharedItems/>
    </cacheField>
    <cacheField name="SRP" numFmtId="0">
      <sharedItems containsMixedTypes="1" containsNumber="1" containsInteger="1" minValue="0" maxValue="28800"/>
    </cacheField>
    <cacheField name="%" numFmtId="9">
      <sharedItems containsMixedTypes="1" containsNumber="1" minValue="0.29620853080568721" maxValue="1"/>
    </cacheField>
    <cacheField name="欄3" numFmtId="0">
      <sharedItems containsMixedTypes="1" containsNumber="1" containsInteger="1" minValue="0" maxValue="0"/>
    </cacheField>
    <cacheField name="欄4" numFmtId="0">
      <sharedItems containsBlank="1" containsMixedTypes="1" containsNumber="1" containsInteger="1" minValue="110" maxValue="1111"/>
    </cacheField>
    <cacheField name="欄5" numFmtId="0">
      <sharedItems/>
    </cacheField>
    <cacheField name="天 (date)" numFmtId="0" databaseField="0">
      <fieldGroup base="5">
        <rangePr groupBy="days" startDate="2026-03-01T00:00:00" endDate="2026-04-01T00:00:00"/>
        <groupItems count="368">
          <s v="&lt;1/3/2026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1/4/2026"/>
        </groupItems>
      </fieldGroup>
    </cacheField>
    <cacheField name="月 (date)" numFmtId="0" databaseField="0">
      <fieldGroup base="5">
        <rangePr groupBy="months" startDate="2026-03-01T00:00:00" endDate="2026-04-01T00:00:00"/>
        <groupItems count="14">
          <s v="&lt;1/3/2026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1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0"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29T00:00:00"/>
    <x v="0"/>
  </r>
  <r>
    <x v="0"/>
    <x v="4"/>
    <s v="RAC-H18FRX"/>
    <x v="0"/>
  </r>
  <r>
    <x v="0"/>
    <x v="5"/>
    <s v="RAC-H18FR"/>
    <x v="0"/>
  </r>
  <r>
    <x v="0"/>
    <x v="6"/>
    <n v="1"/>
    <x v="0"/>
  </r>
  <r>
    <x v="0"/>
    <x v="7"/>
    <n v="6450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29T00:00:00"/>
    <x v="0"/>
  </r>
  <r>
    <x v="0"/>
    <x v="4"/>
    <s v="RAC-H12F"/>
    <x v="0"/>
  </r>
  <r>
    <x v="0"/>
    <x v="5"/>
    <s v="RAC-H12F"/>
    <x v="0"/>
  </r>
  <r>
    <x v="0"/>
    <x v="6"/>
    <n v="1"/>
    <x v="0"/>
  </r>
  <r>
    <x v="0"/>
    <x v="7"/>
    <n v="4830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29T00:00:00"/>
    <x v="0"/>
  </r>
  <r>
    <x v="0"/>
    <x v="4"/>
    <s v="RC-18NMFIH"/>
    <x v="0"/>
  </r>
  <r>
    <x v="0"/>
    <x v="5"/>
    <s v="RC-18NMFIH"/>
    <x v="0"/>
  </r>
  <r>
    <x v="0"/>
    <x v="6"/>
    <n v="1"/>
    <x v="0"/>
  </r>
  <r>
    <x v="0"/>
    <x v="7"/>
    <n v="828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29T00:00:00"/>
    <x v="0"/>
  </r>
  <r>
    <x v="0"/>
    <x v="4"/>
    <s v="DWS-22AHK"/>
    <x v="0"/>
  </r>
  <r>
    <x v="0"/>
    <x v="5"/>
    <s v="DWS-22AHK"/>
    <x v="0"/>
  </r>
  <r>
    <x v="0"/>
    <x v="6"/>
    <n v="1"/>
    <x v="0"/>
  </r>
  <r>
    <x v="0"/>
    <x v="7"/>
    <n v="2150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30T00:00:00"/>
    <x v="0"/>
  </r>
  <r>
    <x v="0"/>
    <x v="4"/>
    <s v="RAC-H07FR"/>
    <x v="0"/>
  </r>
  <r>
    <x v="0"/>
    <x v="5"/>
    <s v="RAC-H07FR"/>
    <x v="0"/>
  </r>
  <r>
    <x v="0"/>
    <x v="6"/>
    <n v="1"/>
    <x v="0"/>
  </r>
  <r>
    <x v="0"/>
    <x v="7"/>
    <n v="3560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30T00:00:00"/>
    <x v="0"/>
  </r>
  <r>
    <x v="0"/>
    <x v="4"/>
    <s v="RAC-H09F"/>
    <x v="0"/>
  </r>
  <r>
    <x v="0"/>
    <x v="5"/>
    <s v="RAC-H09F"/>
    <x v="0"/>
  </r>
  <r>
    <x v="0"/>
    <x v="6"/>
    <n v="1"/>
    <x v="0"/>
  </r>
  <r>
    <x v="0"/>
    <x v="7"/>
    <n v="3730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30T00:00:00"/>
    <x v="0"/>
  </r>
  <r>
    <x v="0"/>
    <x v="4"/>
    <s v="RAC-H18FRX"/>
    <x v="0"/>
  </r>
  <r>
    <x v="0"/>
    <x v="5"/>
    <s v="RAC-H18FR"/>
    <x v="0"/>
  </r>
  <r>
    <x v="0"/>
    <x v="6"/>
    <n v="1"/>
    <x v="0"/>
  </r>
  <r>
    <x v="0"/>
    <x v="7"/>
    <n v="6450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30T00:00:00"/>
    <x v="0"/>
  </r>
  <r>
    <x v="0"/>
    <x v="4"/>
    <s v="RAD-X250H"/>
    <x v="0"/>
  </r>
  <r>
    <x v="0"/>
    <x v="5"/>
    <s v="RAD-X250H"/>
    <x v="0"/>
  </r>
  <r>
    <x v="0"/>
    <x v="6"/>
    <n v="3"/>
    <x v="0"/>
  </r>
  <r>
    <x v="0"/>
    <x v="7"/>
    <n v="804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1T00:00:00"/>
    <x v="0"/>
  </r>
  <r>
    <x v="0"/>
    <x v="4"/>
    <s v="RAC-H09F"/>
    <x v="0"/>
  </r>
  <r>
    <x v="0"/>
    <x v="5"/>
    <s v="RAC-H09F"/>
    <x v="0"/>
  </r>
  <r>
    <x v="0"/>
    <x v="6"/>
    <n v="2"/>
    <x v="0"/>
  </r>
  <r>
    <x v="0"/>
    <x v="7"/>
    <n v="746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1T00:00:00"/>
    <x v="0"/>
  </r>
  <r>
    <x v="0"/>
    <x v="4"/>
    <s v="RAC-H07F"/>
    <x v="0"/>
  </r>
  <r>
    <x v="0"/>
    <x v="5"/>
    <s v="RAC-H07F"/>
    <x v="0"/>
  </r>
  <r>
    <x v="0"/>
    <x v="6"/>
    <n v="2"/>
    <x v="0"/>
  </r>
  <r>
    <x v="0"/>
    <x v="7"/>
    <n v="592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1T00:00:00"/>
    <x v="0"/>
  </r>
  <r>
    <x v="0"/>
    <x v="4"/>
    <s v="ER-TD5000hkxk"/>
    <x v="0"/>
  </r>
  <r>
    <x v="0"/>
    <x v="5"/>
    <s v="ER-TD5000HK"/>
    <x v="0"/>
  </r>
  <r>
    <x v="0"/>
    <x v="6"/>
    <n v="1"/>
    <x v="0"/>
  </r>
  <r>
    <x v="0"/>
    <x v="7"/>
    <n v="720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1T00:00:00"/>
    <x v="0"/>
  </r>
  <r>
    <x v="0"/>
    <x v="4"/>
    <s v="RC-10NMFIH"/>
    <x v="0"/>
  </r>
  <r>
    <x v="0"/>
    <x v="5"/>
    <s v="RC-10NMFIH"/>
    <x v="0"/>
  </r>
  <r>
    <x v="0"/>
    <x v="6"/>
    <n v="1"/>
    <x v="0"/>
  </r>
  <r>
    <x v="0"/>
    <x v="7"/>
    <n v="738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2T00:00:00"/>
    <x v="0"/>
  </r>
  <r>
    <x v="0"/>
    <x v="4"/>
    <s v="GR-A25HSDS"/>
    <x v="0"/>
  </r>
  <r>
    <x v="0"/>
    <x v="5"/>
    <s v="GR-A25HSDS"/>
    <x v="0"/>
  </r>
  <r>
    <x v="0"/>
    <x v="6"/>
    <n v="1"/>
    <x v="0"/>
  </r>
  <r>
    <x v="0"/>
    <x v="7"/>
    <n v="268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2T00:00:00"/>
    <x v="0"/>
  </r>
  <r>
    <x v="0"/>
    <x v="4"/>
    <s v="RAC-H07F"/>
    <x v="0"/>
  </r>
  <r>
    <x v="0"/>
    <x v="5"/>
    <s v="RAC-H07F"/>
    <x v="0"/>
  </r>
  <r>
    <x v="0"/>
    <x v="6"/>
    <n v="1"/>
    <x v="0"/>
  </r>
  <r>
    <x v="0"/>
    <x v="7"/>
    <n v="296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4T00:00:00"/>
    <x v="0"/>
  </r>
  <r>
    <x v="0"/>
    <x v="4"/>
    <s v="RAC-H09FR"/>
    <x v="0"/>
  </r>
  <r>
    <x v="0"/>
    <x v="5"/>
    <s v="RAC-H09FR"/>
    <x v="0"/>
  </r>
  <r>
    <x v="0"/>
    <x v="6"/>
    <n v="1"/>
    <x v="0"/>
  </r>
  <r>
    <x v="0"/>
    <x v="7"/>
    <n v="432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4T00:00:00"/>
    <x v="0"/>
  </r>
  <r>
    <x v="0"/>
    <x v="4"/>
    <s v="RAC-H12F"/>
    <x v="0"/>
  </r>
  <r>
    <x v="0"/>
    <x v="5"/>
    <s v="RAC-H12F"/>
    <x v="0"/>
  </r>
  <r>
    <x v="0"/>
    <x v="6"/>
    <n v="1"/>
    <x v="0"/>
  </r>
  <r>
    <x v="0"/>
    <x v="7"/>
    <n v="483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4T00:00:00"/>
    <x v="0"/>
  </r>
  <r>
    <x v="0"/>
    <x v="4"/>
    <s v="RAC-H09F"/>
    <x v="0"/>
  </r>
  <r>
    <x v="0"/>
    <x v="5"/>
    <s v="RAC-H09F"/>
    <x v="0"/>
  </r>
  <r>
    <x v="0"/>
    <x v="6"/>
    <n v="1"/>
    <x v="0"/>
  </r>
  <r>
    <x v="0"/>
    <x v="7"/>
    <n v="373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4T00:00:00"/>
    <x v="0"/>
  </r>
  <r>
    <x v="0"/>
    <x v="4"/>
    <s v="GR-H912"/>
    <x v="0"/>
  </r>
  <r>
    <x v="0"/>
    <x v="5"/>
    <s v="GR-H912"/>
    <x v="0"/>
  </r>
  <r>
    <x v="0"/>
    <x v="6"/>
    <n v="1"/>
    <x v="0"/>
  </r>
  <r>
    <x v="0"/>
    <x v="7"/>
    <n v="169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4T00:00:00"/>
    <x v="0"/>
  </r>
  <r>
    <x v="0"/>
    <x v="4"/>
    <s v="RC-DS10K"/>
    <x v="0"/>
  </r>
  <r>
    <x v="0"/>
    <x v="5"/>
    <s v="RC-DS10K"/>
    <x v="0"/>
  </r>
  <r>
    <x v="0"/>
    <x v="6"/>
    <n v="1"/>
    <x v="0"/>
  </r>
  <r>
    <x v="0"/>
    <x v="7"/>
    <n v="298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4T00:00:00"/>
    <x v="0"/>
  </r>
  <r>
    <x v="0"/>
    <x v="4"/>
    <s v="ER-TD5000hkxk"/>
    <x v="0"/>
  </r>
  <r>
    <x v="0"/>
    <x v="5"/>
    <s v="ER-TD5000HK"/>
    <x v="0"/>
  </r>
  <r>
    <x v="0"/>
    <x v="6"/>
    <n v="1"/>
    <x v="0"/>
  </r>
  <r>
    <x v="0"/>
    <x v="7"/>
    <n v="720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5T00:00:00"/>
    <x v="0"/>
  </r>
  <r>
    <x v="0"/>
    <x v="4"/>
    <s v="RAS-13N3KCV(HK)"/>
    <x v="0"/>
  </r>
  <r>
    <x v="0"/>
    <x v="5"/>
    <s v="RAS-13N3KCV"/>
    <x v="0"/>
  </r>
  <r>
    <x v="0"/>
    <x v="6"/>
    <n v="1"/>
    <x v="0"/>
  </r>
  <r>
    <x v="0"/>
    <x v="7"/>
    <n v="699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5T00:00:00"/>
    <x v="0"/>
  </r>
  <r>
    <x v="0"/>
    <x v="4"/>
    <s v="RAC-H09F"/>
    <x v="0"/>
  </r>
  <r>
    <x v="0"/>
    <x v="5"/>
    <s v="RAC-H09F"/>
    <x v="0"/>
  </r>
  <r>
    <x v="0"/>
    <x v="6"/>
    <n v="1"/>
    <x v="0"/>
  </r>
  <r>
    <x v="0"/>
    <x v="7"/>
    <n v="373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5T00:00:00"/>
    <x v="0"/>
  </r>
  <r>
    <x v="0"/>
    <x v="4"/>
    <s v="RC-18NMFIH"/>
    <x v="0"/>
  </r>
  <r>
    <x v="0"/>
    <x v="5"/>
    <s v="RC-18NMFIH"/>
    <x v="0"/>
  </r>
  <r>
    <x v="0"/>
    <x v="6"/>
    <n v="1"/>
    <x v="0"/>
  </r>
  <r>
    <x v="0"/>
    <x v="7"/>
    <n v="828"/>
    <x v="0"/>
  </r>
  <r>
    <x v="0"/>
    <x v="0"/>
    <s v="T W"/>
    <x v="0"/>
  </r>
  <r>
    <x v="0"/>
    <x v="1"/>
    <s v="DAYS"/>
    <x v="0"/>
  </r>
  <r>
    <x v="0"/>
    <x v="2"/>
    <n v="6"/>
    <x v="0"/>
  </r>
  <r>
    <x v="0"/>
    <x v="3"/>
    <d v="2020-06-29T00:00:00"/>
    <x v="0"/>
  </r>
  <r>
    <x v="0"/>
    <x v="4"/>
    <s v="RAD-X250H"/>
    <x v="0"/>
  </r>
  <r>
    <x v="0"/>
    <x v="5"/>
    <s v="RAD-X250H"/>
    <x v="0"/>
  </r>
  <r>
    <x v="0"/>
    <x v="6"/>
    <n v="2"/>
    <x v="0"/>
  </r>
  <r>
    <x v="0"/>
    <x v="7"/>
    <n v="536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3T00:00:00"/>
    <x v="0"/>
  </r>
  <r>
    <x v="0"/>
    <x v="4"/>
    <s v="GR-A28HSDS"/>
    <x v="0"/>
  </r>
  <r>
    <x v="0"/>
    <x v="5"/>
    <s v="GR-A28HSDS"/>
    <x v="0"/>
  </r>
  <r>
    <x v="0"/>
    <x v="6"/>
    <n v="1"/>
    <x v="0"/>
  </r>
  <r>
    <x v="0"/>
    <x v="7"/>
    <n v="310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3T00:00:00"/>
    <x v="0"/>
  </r>
  <r>
    <x v="0"/>
    <x v="4"/>
    <s v="ER-TD5000hkxk"/>
    <x v="0"/>
  </r>
  <r>
    <x v="0"/>
    <x v="5"/>
    <s v="ER-TD5000HK"/>
    <x v="0"/>
  </r>
  <r>
    <x v="0"/>
    <x v="6"/>
    <n v="1"/>
    <x v="0"/>
  </r>
  <r>
    <x v="0"/>
    <x v="7"/>
    <n v="720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3T00:00:00"/>
    <x v="0"/>
  </r>
  <r>
    <x v="0"/>
    <x v="4"/>
    <s v="RAC-H07F"/>
    <x v="0"/>
  </r>
  <r>
    <x v="0"/>
    <x v="5"/>
    <s v="RAC-H07F"/>
    <x v="0"/>
  </r>
  <r>
    <x v="0"/>
    <x v="6"/>
    <n v="1"/>
    <x v="0"/>
  </r>
  <r>
    <x v="0"/>
    <x v="7"/>
    <n v="296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3T00:00:00"/>
    <x v="0"/>
  </r>
  <r>
    <x v="0"/>
    <x v="4"/>
    <s v="RC-18NMFIH"/>
    <x v="0"/>
  </r>
  <r>
    <x v="0"/>
    <x v="5"/>
    <s v="RC-18NMFIH"/>
    <x v="0"/>
  </r>
  <r>
    <x v="0"/>
    <x v="6"/>
    <n v="1"/>
    <x v="0"/>
  </r>
  <r>
    <x v="0"/>
    <x v="7"/>
    <n v="828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6T00:00:00"/>
    <x v="0"/>
  </r>
  <r>
    <x v="0"/>
    <x v="4"/>
    <s v="RAS-22N3KCV(HK)1"/>
    <x v="0"/>
  </r>
  <r>
    <x v="0"/>
    <x v="5"/>
    <s v="RAS-22N3KCV(HK)"/>
    <x v="0"/>
  </r>
  <r>
    <x v="0"/>
    <x v="6"/>
    <n v="1"/>
    <x v="0"/>
  </r>
  <r>
    <x v="0"/>
    <x v="7"/>
    <n v="1319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6T00:00:00"/>
    <x v="0"/>
  </r>
  <r>
    <x v="0"/>
    <x v="4"/>
    <s v="RAS-10N3KCV(HK)1"/>
    <x v="0"/>
  </r>
  <r>
    <x v="0"/>
    <x v="5"/>
    <s v="RAS-10N3KCV(HK)"/>
    <x v="0"/>
  </r>
  <r>
    <x v="0"/>
    <x v="6"/>
    <n v="1"/>
    <x v="0"/>
  </r>
  <r>
    <x v="0"/>
    <x v="7"/>
    <n v="549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6T00:00:00"/>
    <x v="0"/>
  </r>
  <r>
    <x v="0"/>
    <x v="4"/>
    <s v="RAC-H07F"/>
    <x v="0"/>
  </r>
  <r>
    <x v="0"/>
    <x v="5"/>
    <s v="RAC-H07F"/>
    <x v="0"/>
  </r>
  <r>
    <x v="0"/>
    <x v="6"/>
    <n v="2"/>
    <x v="0"/>
  </r>
  <r>
    <x v="0"/>
    <x v="7"/>
    <n v="592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6T00:00:00"/>
    <x v="0"/>
  </r>
  <r>
    <x v="0"/>
    <x v="4"/>
    <s v="RAC-H09F"/>
    <x v="0"/>
  </r>
  <r>
    <x v="0"/>
    <x v="5"/>
    <s v="RAC-H09F"/>
    <x v="0"/>
  </r>
  <r>
    <x v="0"/>
    <x v="6"/>
    <n v="2"/>
    <x v="0"/>
  </r>
  <r>
    <x v="0"/>
    <x v="7"/>
    <n v="746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6T00:00:00"/>
    <x v="0"/>
  </r>
  <r>
    <x v="0"/>
    <x v="4"/>
    <s v="MS1-TC20SC(BK)"/>
    <x v="0"/>
  </r>
  <r>
    <x v="0"/>
    <x v="5"/>
    <s v="MS1-TC20SC(BK)"/>
    <x v="0"/>
  </r>
  <r>
    <x v="0"/>
    <x v="6"/>
    <n v="1"/>
    <x v="0"/>
  </r>
  <r>
    <x v="0"/>
    <x v="7"/>
    <n v="240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7T00:00:00"/>
    <x v="0"/>
  </r>
  <r>
    <x v="0"/>
    <x v="4"/>
    <s v="ER-SM20WHKG"/>
    <x v="0"/>
  </r>
  <r>
    <x v="0"/>
    <x v="5"/>
    <s v="ER-SM20"/>
    <x v="0"/>
  </r>
  <r>
    <x v="0"/>
    <x v="6"/>
    <n v="2"/>
    <x v="0"/>
  </r>
  <r>
    <x v="0"/>
    <x v="7"/>
    <n v="108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7T00:00:00"/>
    <x v="0"/>
  </r>
  <r>
    <x v="0"/>
    <x v="4"/>
    <s v="RAD-X250H"/>
    <x v="0"/>
  </r>
  <r>
    <x v="0"/>
    <x v="5"/>
    <s v="RAD-X250H"/>
    <x v="0"/>
  </r>
  <r>
    <x v="0"/>
    <x v="6"/>
    <n v="1"/>
    <x v="0"/>
  </r>
  <r>
    <x v="0"/>
    <x v="7"/>
    <n v="268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7T00:00:00"/>
    <x v="0"/>
  </r>
  <r>
    <x v="0"/>
    <x v="4"/>
    <s v="RAC-H09F"/>
    <x v="0"/>
  </r>
  <r>
    <x v="0"/>
    <x v="5"/>
    <s v="RAC-H09F"/>
    <x v="0"/>
  </r>
  <r>
    <x v="0"/>
    <x v="6"/>
    <n v="1"/>
    <x v="0"/>
  </r>
  <r>
    <x v="0"/>
    <x v="7"/>
    <n v="3730"/>
    <x v="0"/>
  </r>
  <r>
    <x v="0"/>
    <x v="0"/>
    <s v="T W"/>
    <x v="0"/>
  </r>
  <r>
    <x v="0"/>
    <x v="1"/>
    <s v="DAYS"/>
    <x v="0"/>
  </r>
  <r>
    <x v="0"/>
    <x v="2"/>
    <n v="7"/>
    <x v="0"/>
  </r>
  <r>
    <x v="0"/>
    <x v="3"/>
    <d v="2020-07-07T00:00:00"/>
    <x v="0"/>
  </r>
  <r>
    <x v="0"/>
    <x v="4"/>
    <s v="RC-18NMFIH"/>
    <x v="0"/>
  </r>
  <r>
    <x v="0"/>
    <x v="5"/>
    <s v="RC-18NMFIH"/>
    <x v="0"/>
  </r>
  <r>
    <x v="0"/>
    <x v="6"/>
    <n v="1"/>
    <x v="0"/>
  </r>
  <r>
    <x v="0"/>
    <x v="7"/>
    <n v="828"/>
    <x v="0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1T00:00:00"/>
    <x v="1"/>
  </r>
  <r>
    <x v="0"/>
    <x v="5"/>
    <s v="ER-TD5000hkxk"/>
    <x v="1"/>
  </r>
  <r>
    <x v="0"/>
    <x v="4"/>
    <s v="水波爐"/>
    <x v="1"/>
  </r>
  <r>
    <x v="0"/>
    <x v="8"/>
    <s v="ER-TD5000HK"/>
    <x v="1"/>
  </r>
  <r>
    <x v="0"/>
    <x v="9"/>
    <n v="1"/>
    <x v="1"/>
  </r>
  <r>
    <x v="0"/>
    <x v="7"/>
    <n v="720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1T00:00:00"/>
    <x v="1"/>
  </r>
  <r>
    <x v="0"/>
    <x v="5"/>
    <s v="RAC-H09F"/>
    <x v="1"/>
  </r>
  <r>
    <x v="0"/>
    <x v="4"/>
    <s v="冷氣機"/>
    <x v="1"/>
  </r>
  <r>
    <x v="0"/>
    <x v="8"/>
    <s v="RAC-H09F"/>
    <x v="1"/>
  </r>
  <r>
    <x v="0"/>
    <x v="9"/>
    <n v="2"/>
    <x v="1"/>
  </r>
  <r>
    <x v="0"/>
    <x v="7"/>
    <n v="746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1T00:00:00"/>
    <x v="1"/>
  </r>
  <r>
    <x v="0"/>
    <x v="5"/>
    <s v="RAC-H07F"/>
    <x v="1"/>
  </r>
  <r>
    <x v="0"/>
    <x v="4"/>
    <s v="冷氣機"/>
    <x v="1"/>
  </r>
  <r>
    <x v="0"/>
    <x v="8"/>
    <s v="RAC-H07F"/>
    <x v="1"/>
  </r>
  <r>
    <x v="0"/>
    <x v="9"/>
    <n v="2"/>
    <x v="1"/>
  </r>
  <r>
    <x v="0"/>
    <x v="7"/>
    <n v="592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1T00:00:00"/>
    <x v="1"/>
  </r>
  <r>
    <x v="0"/>
    <x v="5"/>
    <s v="RC-10NMFIH"/>
    <x v="1"/>
  </r>
  <r>
    <x v="0"/>
    <x v="4"/>
    <s v="電飯煲"/>
    <x v="1"/>
  </r>
  <r>
    <x v="0"/>
    <x v="8"/>
    <s v="RC-10NMFIH"/>
    <x v="1"/>
  </r>
  <r>
    <x v="0"/>
    <x v="9"/>
    <n v="1"/>
    <x v="1"/>
  </r>
  <r>
    <x v="0"/>
    <x v="7"/>
    <n v="738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2T00:00:00"/>
    <x v="1"/>
  </r>
  <r>
    <x v="0"/>
    <x v="5"/>
    <s v="RAC-H07F"/>
    <x v="1"/>
  </r>
  <r>
    <x v="0"/>
    <x v="4"/>
    <s v="冷氣機"/>
    <x v="1"/>
  </r>
  <r>
    <x v="0"/>
    <x v="8"/>
    <s v="RAC-H07F"/>
    <x v="1"/>
  </r>
  <r>
    <x v="0"/>
    <x v="9"/>
    <n v="1"/>
    <x v="1"/>
  </r>
  <r>
    <x v="0"/>
    <x v="7"/>
    <n v="296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2T00:00:00"/>
    <x v="1"/>
  </r>
  <r>
    <x v="0"/>
    <x v="5"/>
    <s v="GR-A25HSDS"/>
    <x v="1"/>
  </r>
  <r>
    <x v="0"/>
    <x v="4"/>
    <s v="雪櫃"/>
    <x v="1"/>
  </r>
  <r>
    <x v="0"/>
    <x v="8"/>
    <s v="GR-A25HSDS"/>
    <x v="1"/>
  </r>
  <r>
    <x v="0"/>
    <x v="9"/>
    <n v="1"/>
    <x v="1"/>
  </r>
  <r>
    <x v="0"/>
    <x v="7"/>
    <n v="268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3T00:00:00"/>
    <x v="1"/>
  </r>
  <r>
    <x v="0"/>
    <x v="5"/>
    <s v="ER-TD5000hkxk"/>
    <x v="1"/>
  </r>
  <r>
    <x v="0"/>
    <x v="4"/>
    <s v="水波爐"/>
    <x v="1"/>
  </r>
  <r>
    <x v="0"/>
    <x v="8"/>
    <s v="ER-TD5000HK"/>
    <x v="1"/>
  </r>
  <r>
    <x v="0"/>
    <x v="9"/>
    <n v="1"/>
    <x v="1"/>
  </r>
  <r>
    <x v="0"/>
    <x v="7"/>
    <n v="720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3T00:00:00"/>
    <x v="1"/>
  </r>
  <r>
    <x v="0"/>
    <x v="5"/>
    <s v="RAC-H07F"/>
    <x v="1"/>
  </r>
  <r>
    <x v="0"/>
    <x v="4"/>
    <s v="冷氣機"/>
    <x v="1"/>
  </r>
  <r>
    <x v="0"/>
    <x v="8"/>
    <s v="RAC-H07F"/>
    <x v="1"/>
  </r>
  <r>
    <x v="0"/>
    <x v="9"/>
    <n v="1"/>
    <x v="1"/>
  </r>
  <r>
    <x v="0"/>
    <x v="7"/>
    <n v="296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3T00:00:00"/>
    <x v="1"/>
  </r>
  <r>
    <x v="0"/>
    <x v="5"/>
    <s v="GR-A28HSDS"/>
    <x v="1"/>
  </r>
  <r>
    <x v="0"/>
    <x v="4"/>
    <s v="雪櫃"/>
    <x v="1"/>
  </r>
  <r>
    <x v="0"/>
    <x v="8"/>
    <s v="GR-A28HSDS"/>
    <x v="1"/>
  </r>
  <r>
    <x v="0"/>
    <x v="9"/>
    <n v="1"/>
    <x v="1"/>
  </r>
  <r>
    <x v="0"/>
    <x v="7"/>
    <n v="310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3T00:00:00"/>
    <x v="1"/>
  </r>
  <r>
    <x v="0"/>
    <x v="5"/>
    <s v="RC-18NMFIH"/>
    <x v="1"/>
  </r>
  <r>
    <x v="0"/>
    <x v="4"/>
    <s v="電飯煲"/>
    <x v="1"/>
  </r>
  <r>
    <x v="0"/>
    <x v="8"/>
    <s v="RC-18NMFIH"/>
    <x v="1"/>
  </r>
  <r>
    <x v="0"/>
    <x v="9"/>
    <n v="1"/>
    <x v="1"/>
  </r>
  <r>
    <x v="0"/>
    <x v="7"/>
    <n v="828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4T00:00:00"/>
    <x v="1"/>
  </r>
  <r>
    <x v="0"/>
    <x v="5"/>
    <s v="ER-TD5000hkxk"/>
    <x v="1"/>
  </r>
  <r>
    <x v="0"/>
    <x v="4"/>
    <s v="水波爐"/>
    <x v="1"/>
  </r>
  <r>
    <x v="0"/>
    <x v="8"/>
    <s v="ER-TD5000HK"/>
    <x v="1"/>
  </r>
  <r>
    <x v="0"/>
    <x v="9"/>
    <n v="1"/>
    <x v="1"/>
  </r>
  <r>
    <x v="0"/>
    <x v="7"/>
    <n v="720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4T00:00:00"/>
    <x v="1"/>
  </r>
  <r>
    <x v="0"/>
    <x v="5"/>
    <s v="RAC-H09FR"/>
    <x v="1"/>
  </r>
  <r>
    <x v="0"/>
    <x v="4"/>
    <s v="冷氣機"/>
    <x v="1"/>
  </r>
  <r>
    <x v="0"/>
    <x v="8"/>
    <s v="RAC-H09FR"/>
    <x v="1"/>
  </r>
  <r>
    <x v="0"/>
    <x v="9"/>
    <n v="1"/>
    <x v="1"/>
  </r>
  <r>
    <x v="0"/>
    <x v="7"/>
    <n v="432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4T00:00:00"/>
    <x v="1"/>
  </r>
  <r>
    <x v="0"/>
    <x v="5"/>
    <s v="RAC-H12F"/>
    <x v="1"/>
  </r>
  <r>
    <x v="0"/>
    <x v="4"/>
    <s v="冷氣機"/>
    <x v="1"/>
  </r>
  <r>
    <x v="0"/>
    <x v="8"/>
    <s v="RAC-H12F"/>
    <x v="1"/>
  </r>
  <r>
    <x v="0"/>
    <x v="9"/>
    <n v="1"/>
    <x v="1"/>
  </r>
  <r>
    <x v="0"/>
    <x v="7"/>
    <n v="483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4T00:00:00"/>
    <x v="1"/>
  </r>
  <r>
    <x v="0"/>
    <x v="5"/>
    <s v="RAC-H09F"/>
    <x v="1"/>
  </r>
  <r>
    <x v="0"/>
    <x v="4"/>
    <s v="冷氣機"/>
    <x v="1"/>
  </r>
  <r>
    <x v="0"/>
    <x v="8"/>
    <s v="RAC-H09F"/>
    <x v="1"/>
  </r>
  <r>
    <x v="0"/>
    <x v="9"/>
    <n v="1"/>
    <x v="1"/>
  </r>
  <r>
    <x v="0"/>
    <x v="7"/>
    <n v="373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4T00:00:00"/>
    <x v="1"/>
  </r>
  <r>
    <x v="0"/>
    <x v="5"/>
    <s v="GR-H912"/>
    <x v="1"/>
  </r>
  <r>
    <x v="0"/>
    <x v="4"/>
    <s v="雪櫃"/>
    <x v="1"/>
  </r>
  <r>
    <x v="0"/>
    <x v="8"/>
    <s v="GR-H912"/>
    <x v="1"/>
  </r>
  <r>
    <x v="0"/>
    <x v="9"/>
    <n v="1"/>
    <x v="1"/>
  </r>
  <r>
    <x v="0"/>
    <x v="7"/>
    <n v="169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4T00:00:00"/>
    <x v="1"/>
  </r>
  <r>
    <x v="0"/>
    <x v="5"/>
    <s v="RC-DS10K"/>
    <x v="1"/>
  </r>
  <r>
    <x v="0"/>
    <x v="4"/>
    <s v="電飯煲"/>
    <x v="1"/>
  </r>
  <r>
    <x v="0"/>
    <x v="8"/>
    <s v="RC-DS10K"/>
    <x v="1"/>
  </r>
  <r>
    <x v="0"/>
    <x v="9"/>
    <n v="1"/>
    <x v="1"/>
  </r>
  <r>
    <x v="0"/>
    <x v="7"/>
    <n v="298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5T00:00:00"/>
    <x v="1"/>
  </r>
  <r>
    <x v="0"/>
    <x v="5"/>
    <s v="RAS-13N3KCV(HK)"/>
    <x v="1"/>
  </r>
  <r>
    <x v="0"/>
    <x v="4"/>
    <s v="冷氣機"/>
    <x v="1"/>
  </r>
  <r>
    <x v="0"/>
    <x v="8"/>
    <s v="RAS-13N3KCV"/>
    <x v="1"/>
  </r>
  <r>
    <x v="0"/>
    <x v="9"/>
    <n v="1"/>
    <x v="1"/>
  </r>
  <r>
    <x v="0"/>
    <x v="7"/>
    <n v="699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5T00:00:00"/>
    <x v="1"/>
  </r>
  <r>
    <x v="0"/>
    <x v="5"/>
    <s v="RAC-H09F"/>
    <x v="1"/>
  </r>
  <r>
    <x v="0"/>
    <x v="4"/>
    <s v="冷氣機"/>
    <x v="1"/>
  </r>
  <r>
    <x v="0"/>
    <x v="8"/>
    <s v="RAC-H09F"/>
    <x v="1"/>
  </r>
  <r>
    <x v="0"/>
    <x v="9"/>
    <n v="1"/>
    <x v="1"/>
  </r>
  <r>
    <x v="0"/>
    <x v="7"/>
    <n v="373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5T00:00:00"/>
    <x v="1"/>
  </r>
  <r>
    <x v="0"/>
    <x v="5"/>
    <s v="RC-18NMFIH"/>
    <x v="1"/>
  </r>
  <r>
    <x v="0"/>
    <x v="4"/>
    <s v="電飯煲"/>
    <x v="1"/>
  </r>
  <r>
    <x v="0"/>
    <x v="8"/>
    <s v="RC-18NMFIH"/>
    <x v="1"/>
  </r>
  <r>
    <x v="0"/>
    <x v="9"/>
    <n v="1"/>
    <x v="1"/>
  </r>
  <r>
    <x v="0"/>
    <x v="7"/>
    <n v="828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6T00:00:00"/>
    <x v="1"/>
  </r>
  <r>
    <x v="0"/>
    <x v="5"/>
    <s v="RAS-22N3KCV(HK)1"/>
    <x v="1"/>
  </r>
  <r>
    <x v="0"/>
    <x v="4"/>
    <s v="冷氣機"/>
    <x v="1"/>
  </r>
  <r>
    <x v="0"/>
    <x v="8"/>
    <s v="RAS-22N3KCV(HK)"/>
    <x v="1"/>
  </r>
  <r>
    <x v="0"/>
    <x v="9"/>
    <n v="1"/>
    <x v="1"/>
  </r>
  <r>
    <x v="0"/>
    <x v="7"/>
    <n v="1319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6T00:00:00"/>
    <x v="1"/>
  </r>
  <r>
    <x v="0"/>
    <x v="5"/>
    <s v="RAS-10N3KCV(HK)1"/>
    <x v="1"/>
  </r>
  <r>
    <x v="0"/>
    <x v="4"/>
    <s v="冷氣機"/>
    <x v="1"/>
  </r>
  <r>
    <x v="0"/>
    <x v="8"/>
    <s v="RAS-10N3KCV(HK)"/>
    <x v="1"/>
  </r>
  <r>
    <x v="0"/>
    <x v="9"/>
    <n v="1"/>
    <x v="1"/>
  </r>
  <r>
    <x v="0"/>
    <x v="7"/>
    <n v="549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6T00:00:00"/>
    <x v="1"/>
  </r>
  <r>
    <x v="0"/>
    <x v="5"/>
    <s v="RAC-H07F"/>
    <x v="1"/>
  </r>
  <r>
    <x v="0"/>
    <x v="4"/>
    <s v="冷氣機"/>
    <x v="1"/>
  </r>
  <r>
    <x v="0"/>
    <x v="8"/>
    <s v="RAC-H07F"/>
    <x v="1"/>
  </r>
  <r>
    <x v="0"/>
    <x v="9"/>
    <n v="2"/>
    <x v="1"/>
  </r>
  <r>
    <x v="0"/>
    <x v="7"/>
    <n v="592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6T00:00:00"/>
    <x v="1"/>
  </r>
  <r>
    <x v="0"/>
    <x v="5"/>
    <s v="RAC-H09F"/>
    <x v="1"/>
  </r>
  <r>
    <x v="0"/>
    <x v="4"/>
    <s v="冷氣機"/>
    <x v="1"/>
  </r>
  <r>
    <x v="0"/>
    <x v="8"/>
    <s v="RAC-H09F"/>
    <x v="1"/>
  </r>
  <r>
    <x v="0"/>
    <x v="9"/>
    <n v="2"/>
    <x v="1"/>
  </r>
  <r>
    <x v="0"/>
    <x v="7"/>
    <n v="746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6T00:00:00"/>
    <x v="1"/>
  </r>
  <r>
    <x v="0"/>
    <x v="5"/>
    <s v="MS1-TC20SC(BK)"/>
    <x v="1"/>
  </r>
  <r>
    <x v="0"/>
    <x v="4"/>
    <s v="焗爐"/>
    <x v="1"/>
  </r>
  <r>
    <x v="0"/>
    <x v="8"/>
    <s v="MS1-TC20SC(BK)"/>
    <x v="1"/>
  </r>
  <r>
    <x v="0"/>
    <x v="9"/>
    <n v="1"/>
    <x v="1"/>
  </r>
  <r>
    <x v="0"/>
    <x v="7"/>
    <n v="240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7T00:00:00"/>
    <x v="1"/>
  </r>
  <r>
    <x v="0"/>
    <x v="5"/>
    <s v="RAC-H09F"/>
    <x v="1"/>
  </r>
  <r>
    <x v="0"/>
    <x v="4"/>
    <s v="冷氣機"/>
    <x v="1"/>
  </r>
  <r>
    <x v="0"/>
    <x v="8"/>
    <s v="RAC-H09F"/>
    <x v="1"/>
  </r>
  <r>
    <x v="0"/>
    <x v="9"/>
    <n v="1"/>
    <x v="1"/>
  </r>
  <r>
    <x v="0"/>
    <x v="7"/>
    <n v="373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7T00:00:00"/>
    <x v="1"/>
  </r>
  <r>
    <x v="0"/>
    <x v="5"/>
    <s v="RAD-X250H"/>
    <x v="1"/>
  </r>
  <r>
    <x v="0"/>
    <x v="4"/>
    <s v="抽濕機"/>
    <x v="1"/>
  </r>
  <r>
    <x v="0"/>
    <x v="8"/>
    <s v="RAD-X250H"/>
    <x v="1"/>
  </r>
  <r>
    <x v="0"/>
    <x v="9"/>
    <n v="1"/>
    <x v="1"/>
  </r>
  <r>
    <x v="0"/>
    <x v="7"/>
    <n v="268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7T00:00:00"/>
    <x v="1"/>
  </r>
  <r>
    <x v="0"/>
    <x v="5"/>
    <s v="ER-SM20WHKG"/>
    <x v="1"/>
  </r>
  <r>
    <x v="0"/>
    <x v="4"/>
    <s v="微波爐"/>
    <x v="1"/>
  </r>
  <r>
    <x v="0"/>
    <x v="8"/>
    <s v="ER-SM20"/>
    <x v="1"/>
  </r>
  <r>
    <x v="0"/>
    <x v="9"/>
    <n v="1"/>
    <x v="1"/>
  </r>
  <r>
    <x v="0"/>
    <x v="7"/>
    <n v="540"/>
    <x v="1"/>
  </r>
  <r>
    <x v="0"/>
    <x v="0"/>
    <s v="Tsuen Wan"/>
    <x v="1"/>
  </r>
  <r>
    <x v="0"/>
    <x v="1"/>
    <s v="DAYS"/>
    <x v="1"/>
  </r>
  <r>
    <x v="0"/>
    <x v="2"/>
    <n v="7"/>
    <x v="1"/>
  </r>
  <r>
    <x v="0"/>
    <x v="3"/>
    <d v="2020-07-07T00:00:00"/>
    <x v="1"/>
  </r>
  <r>
    <x v="0"/>
    <x v="5"/>
    <s v="RC-18NMFIH"/>
    <x v="1"/>
  </r>
  <r>
    <x v="0"/>
    <x v="4"/>
    <s v="電飯煲"/>
    <x v="1"/>
  </r>
  <r>
    <x v="0"/>
    <x v="8"/>
    <s v="RC-18NMFIH"/>
    <x v="1"/>
  </r>
  <r>
    <x v="0"/>
    <x v="9"/>
    <n v="1"/>
    <x v="1"/>
  </r>
  <r>
    <x v="0"/>
    <x v="7"/>
    <n v="828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3T00:00:00"/>
    <x v="1"/>
  </r>
  <r>
    <x v="1"/>
    <x v="5"/>
    <s v="RC-18NMFIH"/>
    <x v="1"/>
  </r>
  <r>
    <x v="1"/>
    <x v="4"/>
    <s v="電飯煲"/>
    <x v="1"/>
  </r>
  <r>
    <x v="1"/>
    <x v="8"/>
    <s v="RC-18NMFIH"/>
    <x v="1"/>
  </r>
  <r>
    <x v="1"/>
    <x v="9"/>
    <n v="1"/>
    <x v="1"/>
  </r>
  <r>
    <x v="1"/>
    <x v="7"/>
    <n v="871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3T00:00:00"/>
    <x v="1"/>
  </r>
  <r>
    <x v="1"/>
    <x v="5"/>
    <s v="RC-10NMFIH"/>
    <x v="1"/>
  </r>
  <r>
    <x v="1"/>
    <x v="4"/>
    <s v="電飯煲"/>
    <x v="1"/>
  </r>
  <r>
    <x v="1"/>
    <x v="8"/>
    <s v="RC-10NMFIH"/>
    <x v="1"/>
  </r>
  <r>
    <x v="1"/>
    <x v="9"/>
    <n v="1"/>
    <x v="1"/>
  </r>
  <r>
    <x v="1"/>
    <x v="7"/>
    <n v="781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3T00:00:00"/>
    <x v="1"/>
  </r>
  <r>
    <x v="1"/>
    <x v="5"/>
    <s v="RC-5MSIH (WT)"/>
    <x v="1"/>
  </r>
  <r>
    <x v="1"/>
    <x v="4"/>
    <s v="電飯煲"/>
    <x v="1"/>
  </r>
  <r>
    <x v="1"/>
    <x v="8"/>
    <s v="RC-5MSIH"/>
    <x v="1"/>
  </r>
  <r>
    <x v="1"/>
    <x v="9"/>
    <n v="1"/>
    <x v="1"/>
  </r>
  <r>
    <x v="1"/>
    <x v="7"/>
    <n v="556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3T00:00:00"/>
    <x v="1"/>
  </r>
  <r>
    <x v="1"/>
    <x v="5"/>
    <s v="KT-17SHNH"/>
    <x v="1"/>
  </r>
  <r>
    <x v="1"/>
    <x v="4"/>
    <s v="電熱水壺"/>
    <x v="1"/>
  </r>
  <r>
    <x v="1"/>
    <x v="8"/>
    <s v="KT-17SHNH"/>
    <x v="1"/>
  </r>
  <r>
    <x v="1"/>
    <x v="9"/>
    <n v="1"/>
    <x v="1"/>
  </r>
  <r>
    <x v="1"/>
    <x v="7"/>
    <n v="296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3T00:00:00"/>
    <x v="1"/>
  </r>
  <r>
    <x v="1"/>
    <x v="5"/>
    <s v="TAS-X3HKG(K)"/>
    <x v="1"/>
  </r>
  <r>
    <x v="1"/>
    <x v="4"/>
    <s v="熨斗"/>
    <x v="1"/>
  </r>
  <r>
    <x v="1"/>
    <x v="8"/>
    <s v="TAS-X3HKG"/>
    <x v="1"/>
  </r>
  <r>
    <x v="1"/>
    <x v="9"/>
    <n v="1"/>
    <x v="1"/>
  </r>
  <r>
    <x v="1"/>
    <x v="7"/>
    <n v="478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3T00:00:00"/>
    <x v="1"/>
  </r>
  <r>
    <x v="1"/>
    <x v="5"/>
    <s v="TAS-X3HKG(K)"/>
    <x v="1"/>
  </r>
  <r>
    <x v="1"/>
    <x v="4"/>
    <s v="熨斗"/>
    <x v="1"/>
  </r>
  <r>
    <x v="1"/>
    <x v="8"/>
    <s v="TAS-X3HKG"/>
    <x v="1"/>
  </r>
  <r>
    <x v="1"/>
    <x v="9"/>
    <n v="1"/>
    <x v="1"/>
  </r>
  <r>
    <x v="1"/>
    <x v="7"/>
    <n v="478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3T00:00:00"/>
    <x v="1"/>
  </r>
  <r>
    <x v="1"/>
    <x v="5"/>
    <s v="TAS-X3HKG(K)"/>
    <x v="1"/>
  </r>
  <r>
    <x v="1"/>
    <x v="4"/>
    <s v="熨斗"/>
    <x v="1"/>
  </r>
  <r>
    <x v="1"/>
    <x v="8"/>
    <s v="TAS-X3HKG"/>
    <x v="1"/>
  </r>
  <r>
    <x v="1"/>
    <x v="9"/>
    <n v="1"/>
    <x v="1"/>
  </r>
  <r>
    <x v="1"/>
    <x v="7"/>
    <n v="478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3T00:00:00"/>
    <x v="1"/>
  </r>
  <r>
    <x v="1"/>
    <x v="5"/>
    <s v="TAS-X3HKG(K)"/>
    <x v="1"/>
  </r>
  <r>
    <x v="1"/>
    <x v="4"/>
    <s v="熨斗"/>
    <x v="1"/>
  </r>
  <r>
    <x v="1"/>
    <x v="8"/>
    <s v="TAS-X3HKG"/>
    <x v="1"/>
  </r>
  <r>
    <x v="1"/>
    <x v="9"/>
    <n v="1"/>
    <x v="1"/>
  </r>
  <r>
    <x v="1"/>
    <x v="7"/>
    <n v="478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3T00:00:00"/>
    <x v="1"/>
  </r>
  <r>
    <x v="1"/>
    <x v="5"/>
    <s v="TA-FVW100"/>
    <x v="1"/>
  </r>
  <r>
    <x v="1"/>
    <x v="4"/>
    <s v="熨斗"/>
    <x v="1"/>
  </r>
  <r>
    <x v="1"/>
    <x v="8"/>
    <s v="TA-FVW100"/>
    <x v="1"/>
  </r>
  <r>
    <x v="1"/>
    <x v="9"/>
    <n v="1"/>
    <x v="1"/>
  </r>
  <r>
    <x v="1"/>
    <x v="7"/>
    <n v="1429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4T00:00:00"/>
    <x v="1"/>
  </r>
  <r>
    <x v="1"/>
    <x v="5"/>
    <s v="RC-18NMFIH"/>
    <x v="1"/>
  </r>
  <r>
    <x v="1"/>
    <x v="4"/>
    <s v="電飯煲"/>
    <x v="1"/>
  </r>
  <r>
    <x v="1"/>
    <x v="8"/>
    <s v="RC-18NMFIH"/>
    <x v="1"/>
  </r>
  <r>
    <x v="1"/>
    <x v="9"/>
    <n v="1"/>
    <x v="1"/>
  </r>
  <r>
    <x v="1"/>
    <x v="7"/>
    <n v="871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4T00:00:00"/>
    <x v="1"/>
  </r>
  <r>
    <x v="1"/>
    <x v="5"/>
    <s v="RC-5MSIH (WT)"/>
    <x v="1"/>
  </r>
  <r>
    <x v="1"/>
    <x v="4"/>
    <s v="電飯煲"/>
    <x v="1"/>
  </r>
  <r>
    <x v="1"/>
    <x v="8"/>
    <s v="RC-5MSIH"/>
    <x v="1"/>
  </r>
  <r>
    <x v="1"/>
    <x v="9"/>
    <n v="1"/>
    <x v="1"/>
  </r>
  <r>
    <x v="1"/>
    <x v="7"/>
    <n v="556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4T00:00:00"/>
    <x v="1"/>
  </r>
  <r>
    <x v="1"/>
    <x v="5"/>
    <s v="RC-7HMH"/>
    <x v="1"/>
  </r>
  <r>
    <x v="1"/>
    <x v="4"/>
    <s v="電飯煲"/>
    <x v="1"/>
  </r>
  <r>
    <x v="1"/>
    <x v="8"/>
    <s v="RC-7HMH"/>
    <x v="1"/>
  </r>
  <r>
    <x v="1"/>
    <x v="9"/>
    <n v="1"/>
    <x v="1"/>
  </r>
  <r>
    <x v="1"/>
    <x v="7"/>
    <n v="998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4T00:00:00"/>
    <x v="1"/>
  </r>
  <r>
    <x v="1"/>
    <x v="5"/>
    <s v="RC-18NMFIH"/>
    <x v="1"/>
  </r>
  <r>
    <x v="1"/>
    <x v="4"/>
    <s v="電飯煲"/>
    <x v="1"/>
  </r>
  <r>
    <x v="1"/>
    <x v="8"/>
    <s v="RC-18NMFIH"/>
    <x v="1"/>
  </r>
  <r>
    <x v="1"/>
    <x v="9"/>
    <n v="1"/>
    <x v="1"/>
  </r>
  <r>
    <x v="1"/>
    <x v="7"/>
    <n v="871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4T00:00:00"/>
    <x v="1"/>
  </r>
  <r>
    <x v="1"/>
    <x v="5"/>
    <s v="RC-10DRNH"/>
    <x v="1"/>
  </r>
  <r>
    <x v="1"/>
    <x v="4"/>
    <s v="電飯煲"/>
    <x v="1"/>
  </r>
  <r>
    <x v="1"/>
    <x v="8"/>
    <s v="RC-10DRNH"/>
    <x v="1"/>
  </r>
  <r>
    <x v="1"/>
    <x v="9"/>
    <n v="1"/>
    <x v="1"/>
  </r>
  <r>
    <x v="1"/>
    <x v="7"/>
    <n v="638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4T00:00:00"/>
    <x v="1"/>
  </r>
  <r>
    <x v="1"/>
    <x v="5"/>
    <s v="RC-10DRNH"/>
    <x v="1"/>
  </r>
  <r>
    <x v="1"/>
    <x v="4"/>
    <s v="電飯煲"/>
    <x v="1"/>
  </r>
  <r>
    <x v="1"/>
    <x v="8"/>
    <s v="RC-10DRNH"/>
    <x v="1"/>
  </r>
  <r>
    <x v="1"/>
    <x v="9"/>
    <n v="1"/>
    <x v="1"/>
  </r>
  <r>
    <x v="1"/>
    <x v="7"/>
    <n v="638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4T00:00:00"/>
    <x v="1"/>
  </r>
  <r>
    <x v="1"/>
    <x v="5"/>
    <s v="RC-18NMFIH"/>
    <x v="1"/>
  </r>
  <r>
    <x v="1"/>
    <x v="4"/>
    <s v="電飯煲"/>
    <x v="1"/>
  </r>
  <r>
    <x v="1"/>
    <x v="8"/>
    <s v="RC-18NMFIH"/>
    <x v="1"/>
  </r>
  <r>
    <x v="1"/>
    <x v="9"/>
    <n v="1"/>
    <x v="1"/>
  </r>
  <r>
    <x v="1"/>
    <x v="7"/>
    <n v="871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4T00:00:00"/>
    <x v="1"/>
  </r>
  <r>
    <x v="1"/>
    <x v="5"/>
    <s v="RC-5MSIH (WT)"/>
    <x v="1"/>
  </r>
  <r>
    <x v="1"/>
    <x v="4"/>
    <s v="電飯煲"/>
    <x v="1"/>
  </r>
  <r>
    <x v="1"/>
    <x v="8"/>
    <s v="RC-5MSIH"/>
    <x v="1"/>
  </r>
  <r>
    <x v="1"/>
    <x v="9"/>
    <n v="1"/>
    <x v="1"/>
  </r>
  <r>
    <x v="1"/>
    <x v="7"/>
    <n v="556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4T00:00:00"/>
    <x v="1"/>
  </r>
  <r>
    <x v="1"/>
    <x v="5"/>
    <s v="KT-17SHNH"/>
    <x v="1"/>
  </r>
  <r>
    <x v="1"/>
    <x v="4"/>
    <s v="電熱水壺"/>
    <x v="1"/>
  </r>
  <r>
    <x v="1"/>
    <x v="8"/>
    <s v="KT-17SHNH"/>
    <x v="1"/>
  </r>
  <r>
    <x v="1"/>
    <x v="9"/>
    <n v="1"/>
    <x v="1"/>
  </r>
  <r>
    <x v="1"/>
    <x v="7"/>
    <n v="296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4T00:00:00"/>
    <x v="1"/>
  </r>
  <r>
    <x v="1"/>
    <x v="5"/>
    <s v="KT-17SHNH"/>
    <x v="1"/>
  </r>
  <r>
    <x v="1"/>
    <x v="4"/>
    <s v="電熱水壺"/>
    <x v="1"/>
  </r>
  <r>
    <x v="1"/>
    <x v="8"/>
    <s v="KT-17SHNH"/>
    <x v="1"/>
  </r>
  <r>
    <x v="1"/>
    <x v="9"/>
    <n v="1"/>
    <x v="1"/>
  </r>
  <r>
    <x v="1"/>
    <x v="7"/>
    <n v="296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4T00:00:00"/>
    <x v="1"/>
  </r>
  <r>
    <x v="1"/>
    <x v="5"/>
    <s v="TAS-X3HKG(K)"/>
    <x v="1"/>
  </r>
  <r>
    <x v="1"/>
    <x v="4"/>
    <s v="熨斗"/>
    <x v="1"/>
  </r>
  <r>
    <x v="1"/>
    <x v="8"/>
    <s v="TAS-X3HKG"/>
    <x v="1"/>
  </r>
  <r>
    <x v="1"/>
    <x v="9"/>
    <n v="1"/>
    <x v="1"/>
  </r>
  <r>
    <x v="1"/>
    <x v="7"/>
    <n v="478"/>
    <x v="1"/>
  </r>
  <r>
    <x v="1"/>
    <x v="0"/>
    <s v="YL"/>
    <x v="1"/>
  </r>
  <r>
    <x v="1"/>
    <x v="1"/>
    <s v="Andy"/>
    <x v="1"/>
  </r>
  <r>
    <x v="1"/>
    <x v="2"/>
    <n v="7"/>
    <x v="1"/>
  </r>
  <r>
    <x v="1"/>
    <x v="3"/>
    <d v="2020-07-05T00:00:00"/>
    <x v="1"/>
  </r>
  <r>
    <x v="1"/>
    <x v="5"/>
    <s v="ER-SM20WHKG"/>
    <x v="1"/>
  </r>
  <r>
    <x v="1"/>
    <x v="4"/>
    <s v="微波爐"/>
    <x v="1"/>
  </r>
  <r>
    <x v="1"/>
    <x v="8"/>
    <s v="ER-SM20"/>
    <x v="1"/>
  </r>
  <r>
    <x v="1"/>
    <x v="9"/>
    <n v="1"/>
    <x v="1"/>
  </r>
  <r>
    <x v="1"/>
    <x v="7"/>
    <n v="542"/>
    <x v="1"/>
  </r>
  <r>
    <x v="1"/>
    <x v="0"/>
    <s v="Tsuen Wan"/>
    <x v="1"/>
  </r>
  <r>
    <x v="1"/>
    <x v="1"/>
    <s v="Karen"/>
    <x v="1"/>
  </r>
  <r>
    <x v="1"/>
    <x v="2"/>
    <n v="7"/>
    <x v="1"/>
  </r>
  <r>
    <x v="1"/>
    <x v="3"/>
    <d v="2020-07-05T00:00:00"/>
    <x v="1"/>
  </r>
  <r>
    <x v="1"/>
    <x v="5"/>
    <s v="ER-SM20WHKG"/>
    <x v="1"/>
  </r>
  <r>
    <x v="1"/>
    <x v="4"/>
    <s v="微波爐"/>
    <x v="1"/>
  </r>
  <r>
    <x v="1"/>
    <x v="8"/>
    <s v="ER-SM20"/>
    <x v="1"/>
  </r>
  <r>
    <x v="1"/>
    <x v="9"/>
    <n v="1"/>
    <x v="1"/>
  </r>
  <r>
    <x v="1"/>
    <x v="7"/>
    <n v="542"/>
    <x v="1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3T00:00:00"/>
    <x v="2"/>
  </r>
  <r>
    <x v="2"/>
    <x v="4"/>
    <s v="RAC-H07F"/>
    <x v="2"/>
  </r>
  <r>
    <x v="2"/>
    <x v="5"/>
    <s v="RAC-H07F"/>
    <x v="2"/>
  </r>
  <r>
    <x v="2"/>
    <x v="6"/>
    <n v="1"/>
    <x v="2"/>
  </r>
  <r>
    <x v="2"/>
    <x v="7"/>
    <n v="2498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3T00:00:00"/>
    <x v="2"/>
  </r>
  <r>
    <x v="2"/>
    <x v="4"/>
    <s v="RAC-H09F"/>
    <x v="2"/>
  </r>
  <r>
    <x v="2"/>
    <x v="5"/>
    <s v="RAC-H09F"/>
    <x v="2"/>
  </r>
  <r>
    <x v="2"/>
    <x v="6"/>
    <n v="1"/>
    <x v="2"/>
  </r>
  <r>
    <x v="2"/>
    <x v="7"/>
    <n v="3199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3T00:00:00"/>
    <x v="2"/>
  </r>
  <r>
    <x v="2"/>
    <x v="4"/>
    <s v="RAC-H18F"/>
    <x v="2"/>
  </r>
  <r>
    <x v="2"/>
    <x v="5"/>
    <s v="RAC-H18F"/>
    <x v="2"/>
  </r>
  <r>
    <x v="2"/>
    <x v="6"/>
    <n v="1"/>
    <x v="2"/>
  </r>
  <r>
    <x v="2"/>
    <x v="7"/>
    <n v="47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3T00:00:00"/>
    <x v="2"/>
  </r>
  <r>
    <x v="2"/>
    <x v="4"/>
    <s v="RAC-H09F"/>
    <x v="2"/>
  </r>
  <r>
    <x v="2"/>
    <x v="5"/>
    <s v="RAC-H09F"/>
    <x v="2"/>
  </r>
  <r>
    <x v="2"/>
    <x v="6"/>
    <n v="1"/>
    <x v="2"/>
  </r>
  <r>
    <x v="2"/>
    <x v="7"/>
    <n v="3199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4T00:00:00"/>
    <x v="2"/>
  </r>
  <r>
    <x v="2"/>
    <x v="4"/>
    <s v="KT-17SHNH"/>
    <x v="2"/>
  </r>
  <r>
    <x v="2"/>
    <x v="5"/>
    <s v="KT-17SHNH"/>
    <x v="2"/>
  </r>
  <r>
    <x v="2"/>
    <x v="6"/>
    <n v="1"/>
    <x v="2"/>
  </r>
  <r>
    <x v="2"/>
    <x v="7"/>
    <n v="295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4T00:00:00"/>
    <x v="2"/>
  </r>
  <r>
    <x v="2"/>
    <x v="4"/>
    <s v="RAD-X200H"/>
    <x v="2"/>
  </r>
  <r>
    <x v="2"/>
    <x v="5"/>
    <s v="RAD-X200H"/>
    <x v="2"/>
  </r>
  <r>
    <x v="2"/>
    <x v="6"/>
    <n v="1"/>
    <x v="2"/>
  </r>
  <r>
    <x v="2"/>
    <x v="7"/>
    <n v="21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4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18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4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200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4T00:00:00"/>
    <x v="2"/>
  </r>
  <r>
    <x v="2"/>
    <x v="4"/>
    <s v="GR-A28HSDS"/>
    <x v="2"/>
  </r>
  <r>
    <x v="2"/>
    <x v="5"/>
    <s v="GR-A28HSDS"/>
    <x v="2"/>
  </r>
  <r>
    <x v="2"/>
    <x v="6"/>
    <n v="1"/>
    <x v="2"/>
  </r>
  <r>
    <x v="2"/>
    <x v="7"/>
    <n v="29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4T00:00:00"/>
    <x v="2"/>
  </r>
  <r>
    <x v="2"/>
    <x v="4"/>
    <s v="RC-DR10L"/>
    <x v="2"/>
  </r>
  <r>
    <x v="2"/>
    <x v="5"/>
    <s v="RC-DR10L"/>
    <x v="2"/>
  </r>
  <r>
    <x v="2"/>
    <x v="6"/>
    <n v="1"/>
    <x v="2"/>
  </r>
  <r>
    <x v="2"/>
    <x v="7"/>
    <n v="23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RC-10NMFIH"/>
    <x v="2"/>
  </r>
  <r>
    <x v="2"/>
    <x v="5"/>
    <s v="RC-10NMFIH"/>
    <x v="2"/>
  </r>
  <r>
    <x v="2"/>
    <x v="6"/>
    <n v="1"/>
    <x v="2"/>
  </r>
  <r>
    <x v="2"/>
    <x v="7"/>
    <n v="7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RC-10NMFIH"/>
    <x v="2"/>
  </r>
  <r>
    <x v="2"/>
    <x v="5"/>
    <s v="RC-10NMFIH"/>
    <x v="2"/>
  </r>
  <r>
    <x v="2"/>
    <x v="6"/>
    <n v="1"/>
    <x v="2"/>
  </r>
  <r>
    <x v="2"/>
    <x v="7"/>
    <n v="7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RAD-X200H"/>
    <x v="2"/>
  </r>
  <r>
    <x v="2"/>
    <x v="5"/>
    <s v="RAD-X200H"/>
    <x v="2"/>
  </r>
  <r>
    <x v="2"/>
    <x v="6"/>
    <n v="1"/>
    <x v="2"/>
  </r>
  <r>
    <x v="2"/>
    <x v="7"/>
    <n v="218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RC-DS18K"/>
    <x v="2"/>
  </r>
  <r>
    <x v="2"/>
    <x v="5"/>
    <s v="RC-DS18K"/>
    <x v="2"/>
  </r>
  <r>
    <x v="2"/>
    <x v="6"/>
    <n v="1"/>
    <x v="2"/>
  </r>
  <r>
    <x v="2"/>
    <x v="7"/>
    <n v="389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KT-17SHNH"/>
    <x v="2"/>
  </r>
  <r>
    <x v="2"/>
    <x v="5"/>
    <s v="KT-17SHNH"/>
    <x v="2"/>
  </r>
  <r>
    <x v="2"/>
    <x v="6"/>
    <n v="1"/>
    <x v="2"/>
  </r>
  <r>
    <x v="2"/>
    <x v="7"/>
    <n v="295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221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2210"/>
    <x v="2"/>
  </r>
  <r>
    <x v="2"/>
    <x v="0"/>
    <s v="TKO"/>
    <x v="2"/>
  </r>
  <r>
    <x v="2"/>
    <x v="1"/>
    <s v="Terry"/>
    <x v="2"/>
  </r>
  <r>
    <x v="2"/>
    <x v="2"/>
    <n v="7"/>
    <x v="2"/>
  </r>
  <r>
    <x v="2"/>
    <x v="3"/>
    <d v="2020-07-05T00:00:00"/>
    <x v="2"/>
  </r>
  <r>
    <x v="2"/>
    <x v="4"/>
    <s v="ER-SM20WHKG"/>
    <x v="2"/>
  </r>
  <r>
    <x v="2"/>
    <x v="5"/>
    <s v="ER-SM20WHKG"/>
    <x v="2"/>
  </r>
  <r>
    <x v="2"/>
    <x v="6"/>
    <n v="1"/>
    <x v="2"/>
  </r>
  <r>
    <x v="2"/>
    <x v="7"/>
    <n v="638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3T00:00:00"/>
    <x v="2"/>
  </r>
  <r>
    <x v="2"/>
    <x v="4"/>
    <s v="RC-7HMH"/>
    <x v="2"/>
  </r>
  <r>
    <x v="2"/>
    <x v="5"/>
    <s v="RC-7HMH"/>
    <x v="2"/>
  </r>
  <r>
    <x v="2"/>
    <x v="6"/>
    <n v="1"/>
    <x v="2"/>
  </r>
  <r>
    <x v="2"/>
    <x v="7"/>
    <n v="104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3T00:00:00"/>
    <x v="2"/>
  </r>
  <r>
    <x v="2"/>
    <x v="4"/>
    <s v="RC-10DRNH"/>
    <x v="2"/>
  </r>
  <r>
    <x v="2"/>
    <x v="5"/>
    <s v="RC-10DRNH"/>
    <x v="2"/>
  </r>
  <r>
    <x v="2"/>
    <x v="6"/>
    <n v="1"/>
    <x v="2"/>
  </r>
  <r>
    <x v="2"/>
    <x v="7"/>
    <n v="718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3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236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3T00:00:00"/>
    <x v="2"/>
  </r>
  <r>
    <x v="2"/>
    <x v="4"/>
    <s v="ER-SM20WHKG"/>
    <x v="2"/>
  </r>
  <r>
    <x v="2"/>
    <x v="5"/>
    <s v="ER-SM20WHKG"/>
    <x v="2"/>
  </r>
  <r>
    <x v="2"/>
    <x v="6"/>
    <n v="1"/>
    <x v="2"/>
  </r>
  <r>
    <x v="2"/>
    <x v="7"/>
    <n v="54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3T00:00:00"/>
    <x v="2"/>
  </r>
  <r>
    <x v="2"/>
    <x v="4"/>
    <s v="RC-5MSIH (WT)"/>
    <x v="2"/>
  </r>
  <r>
    <x v="2"/>
    <x v="5"/>
    <s v="RC-5MSIH"/>
    <x v="2"/>
  </r>
  <r>
    <x v="2"/>
    <x v="6"/>
    <n v="1"/>
    <x v="2"/>
  </r>
  <r>
    <x v="2"/>
    <x v="7"/>
    <n v="557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4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241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4T00:00:00"/>
    <x v="2"/>
  </r>
  <r>
    <x v="2"/>
    <x v="4"/>
    <s v="GR-A28HSDS"/>
    <x v="2"/>
  </r>
  <r>
    <x v="2"/>
    <x v="5"/>
    <s v="GR-A28HSDS"/>
    <x v="2"/>
  </r>
  <r>
    <x v="2"/>
    <x v="6"/>
    <n v="1"/>
    <x v="2"/>
  </r>
  <r>
    <x v="2"/>
    <x v="7"/>
    <n v="318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4T00:00:00"/>
    <x v="2"/>
  </r>
  <r>
    <x v="2"/>
    <x v="4"/>
    <s v="PLK-45SFIH(WT)"/>
    <x v="2"/>
  </r>
  <r>
    <x v="2"/>
    <x v="5"/>
    <s v="PLK-45SFIH"/>
    <x v="2"/>
  </r>
  <r>
    <x v="2"/>
    <x v="6"/>
    <n v="1"/>
    <x v="2"/>
  </r>
  <r>
    <x v="2"/>
    <x v="7"/>
    <n v="652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4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241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4T00:00:00"/>
    <x v="2"/>
  </r>
  <r>
    <x v="2"/>
    <x v="4"/>
    <s v="RC-7HMH"/>
    <x v="2"/>
  </r>
  <r>
    <x v="2"/>
    <x v="5"/>
    <s v="RC-7HMH"/>
    <x v="2"/>
  </r>
  <r>
    <x v="2"/>
    <x v="6"/>
    <n v="1"/>
    <x v="2"/>
  </r>
  <r>
    <x v="2"/>
    <x v="7"/>
    <n v="104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4T00:00:00"/>
    <x v="2"/>
  </r>
  <r>
    <x v="2"/>
    <x v="4"/>
    <s v="ER-SM20WHKG"/>
    <x v="2"/>
  </r>
  <r>
    <x v="2"/>
    <x v="5"/>
    <s v="ER-SM20WHKG"/>
    <x v="2"/>
  </r>
  <r>
    <x v="2"/>
    <x v="6"/>
    <n v="1"/>
    <x v="2"/>
  </r>
  <r>
    <x v="2"/>
    <x v="7"/>
    <n v="54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RAC-H07FR"/>
    <x v="2"/>
  </r>
  <r>
    <x v="2"/>
    <x v="5"/>
    <s v="RAC-H07FR"/>
    <x v="2"/>
  </r>
  <r>
    <x v="2"/>
    <x v="6"/>
    <n v="1"/>
    <x v="2"/>
  </r>
  <r>
    <x v="2"/>
    <x v="7"/>
    <n v="302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MS1-TC20SC(BK)"/>
    <x v="2"/>
  </r>
  <r>
    <x v="2"/>
    <x v="5"/>
    <s v="MS1-TC20SC"/>
    <x v="2"/>
  </r>
  <r>
    <x v="2"/>
    <x v="6"/>
    <n v="1"/>
    <x v="2"/>
  </r>
  <r>
    <x v="2"/>
    <x v="7"/>
    <n v="241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RAC-H09F"/>
    <x v="2"/>
  </r>
  <r>
    <x v="2"/>
    <x v="5"/>
    <s v="RAC-H09F"/>
    <x v="2"/>
  </r>
  <r>
    <x v="2"/>
    <x v="6"/>
    <n v="1"/>
    <x v="2"/>
  </r>
  <r>
    <x v="2"/>
    <x v="7"/>
    <n v="320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ER-SGS20"/>
    <x v="2"/>
  </r>
  <r>
    <x v="2"/>
    <x v="5"/>
    <s v="ER-SGS20"/>
    <x v="2"/>
  </r>
  <r>
    <x v="2"/>
    <x v="6"/>
    <n v="1"/>
    <x v="2"/>
  </r>
  <r>
    <x v="2"/>
    <x v="7"/>
    <n v="79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RC-7HMH"/>
    <x v="2"/>
  </r>
  <r>
    <x v="2"/>
    <x v="5"/>
    <s v="RC-7HMH"/>
    <x v="2"/>
  </r>
  <r>
    <x v="2"/>
    <x v="6"/>
    <n v="1"/>
    <x v="2"/>
  </r>
  <r>
    <x v="2"/>
    <x v="7"/>
    <n v="104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RAC-H12FR"/>
    <x v="2"/>
  </r>
  <r>
    <x v="2"/>
    <x v="5"/>
    <s v="RAC-H12FR"/>
    <x v="2"/>
  </r>
  <r>
    <x v="2"/>
    <x v="6"/>
    <n v="1"/>
    <x v="2"/>
  </r>
  <r>
    <x v="2"/>
    <x v="7"/>
    <n v="469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RC-DS10K"/>
    <x v="2"/>
  </r>
  <r>
    <x v="2"/>
    <x v="5"/>
    <s v="RC-DS10K"/>
    <x v="2"/>
  </r>
  <r>
    <x v="2"/>
    <x v="6"/>
    <n v="1"/>
    <x v="2"/>
  </r>
  <r>
    <x v="2"/>
    <x v="7"/>
    <n v="3160"/>
    <x v="2"/>
  </r>
  <r>
    <x v="2"/>
    <x v="0"/>
    <s v="Tuen Mun"/>
    <x v="2"/>
  </r>
  <r>
    <x v="2"/>
    <x v="1"/>
    <s v="Chiu"/>
    <x v="2"/>
  </r>
  <r>
    <x v="2"/>
    <x v="2"/>
    <n v="7"/>
    <x v="2"/>
  </r>
  <r>
    <x v="2"/>
    <x v="3"/>
    <d v="2020-07-05T00:00:00"/>
    <x v="2"/>
  </r>
  <r>
    <x v="2"/>
    <x v="4"/>
    <s v="RC-DR10L"/>
    <x v="2"/>
  </r>
  <r>
    <x v="2"/>
    <x v="5"/>
    <s v="RC-DR10L"/>
    <x v="2"/>
  </r>
  <r>
    <x v="2"/>
    <x v="6"/>
    <n v="1"/>
    <x v="2"/>
  </r>
  <r>
    <x v="2"/>
    <x v="7"/>
    <n v="2380"/>
    <x v="2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1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1T00:00:00"/>
    <x v="3"/>
  </r>
  <r>
    <x v="3"/>
    <x v="4"/>
    <s v="RC-18NMFIH"/>
    <x v="3"/>
  </r>
  <r>
    <x v="3"/>
    <x v="5"/>
    <s v="RC-18NMFIH"/>
    <x v="3"/>
  </r>
  <r>
    <x v="3"/>
    <x v="6"/>
    <n v="1"/>
    <x v="3"/>
  </r>
  <r>
    <x v="3"/>
    <x v="7"/>
    <n v="871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1T00:00:00"/>
    <x v="3"/>
  </r>
  <r>
    <x v="3"/>
    <x v="4"/>
    <s v="RC-DS10K"/>
    <x v="3"/>
  </r>
  <r>
    <x v="3"/>
    <x v="5"/>
    <s v="RC-DS10K"/>
    <x v="3"/>
  </r>
  <r>
    <x v="3"/>
    <x v="6"/>
    <n v="1"/>
    <x v="3"/>
  </r>
  <r>
    <x v="3"/>
    <x v="7"/>
    <n v="3211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1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3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3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4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5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5T00:00:00"/>
    <x v="3"/>
  </r>
  <r>
    <x v="3"/>
    <x v="4"/>
    <s v="RC-10NAFIH"/>
    <x v="3"/>
  </r>
  <r>
    <x v="3"/>
    <x v="5"/>
    <s v="RC-10NAFIH"/>
    <x v="3"/>
  </r>
  <r>
    <x v="3"/>
    <x v="6"/>
    <n v="1"/>
    <x v="3"/>
  </r>
  <r>
    <x v="3"/>
    <x v="7"/>
    <n v="69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5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  <r>
    <x v="3"/>
    <x v="0"/>
    <s v="T W"/>
    <x v="3"/>
  </r>
  <r>
    <x v="3"/>
    <x v="1"/>
    <s v="Grace"/>
    <x v="3"/>
  </r>
  <r>
    <x v="3"/>
    <x v="2"/>
    <n v="7"/>
    <x v="3"/>
  </r>
  <r>
    <x v="3"/>
    <x v="3"/>
    <d v="2020-07-05T00:00:00"/>
    <x v="3"/>
  </r>
  <r>
    <x v="3"/>
    <x v="4"/>
    <s v="MS1-TC20SC(BK)"/>
    <x v="3"/>
  </r>
  <r>
    <x v="3"/>
    <x v="5"/>
    <s v="MS1-TC20SC(BK)"/>
    <x v="3"/>
  </r>
  <r>
    <x v="3"/>
    <x v="6"/>
    <n v="1"/>
    <x v="3"/>
  </r>
  <r>
    <x v="3"/>
    <x v="7"/>
    <n v="2358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0">
  <r>
    <n v="1"/>
    <s v="Aeon"/>
    <s v="Panda"/>
    <x v="0"/>
    <n v="3"/>
    <x v="0"/>
    <x v="0"/>
    <s v="超薄身前置式洗衣乾衣機 (洗8公斤 乾5公斤)"/>
    <s v="大電"/>
    <s v="WM"/>
    <s v="bn90"/>
    <n v="1"/>
    <n v="3588"/>
    <n v="3588"/>
    <n v="5817993"/>
    <m/>
    <m/>
    <s v="TWD-BN90GF4H(WK) 5817993"/>
    <n v="5980"/>
    <n v="0.6"/>
    <s v="Toshiba SRP"/>
    <m/>
    <s v="5817993"/>
  </r>
  <r>
    <n v="2"/>
    <s v="Aeon"/>
    <s v="Panda"/>
    <x v="0"/>
    <n v="3"/>
    <x v="0"/>
    <x v="1"/>
    <s v="磁應電飯煲(1.5公升)"/>
    <s v="細電"/>
    <s v="SDA"/>
    <s v="15ist"/>
    <n v="1"/>
    <n v="500"/>
    <n v="500"/>
    <n v="5817988"/>
    <m/>
    <m/>
    <s v="RC-15ISTHK(W) 5817988"/>
    <n v="1688"/>
    <n v="0.29620853080568721"/>
    <s v="Toshiba SRP"/>
    <m/>
    <s v="5817988"/>
  </r>
  <r>
    <n v="3"/>
    <s v="Aeon"/>
    <s v="Panda"/>
    <x v="0"/>
    <n v="3"/>
    <x v="0"/>
    <x v="1"/>
    <s v="磁應電飯煲(1.5公升)"/>
    <s v="細電"/>
    <s v="SDA"/>
    <s v="15ist"/>
    <n v="1"/>
    <n v="500"/>
    <n v="500"/>
    <n v="5817996"/>
    <m/>
    <m/>
    <s v="RC-15ISTHK(W) 5817996"/>
    <n v="1688"/>
    <n v="0.29620853080568721"/>
    <s v="Toshiba SRP"/>
    <n v="110"/>
    <s v="1105817996"/>
  </r>
  <r>
    <n v="4"/>
    <s v="Aeon"/>
    <s v="Panda"/>
    <x v="0"/>
    <n v="3"/>
    <x v="0"/>
    <x v="2"/>
    <s v="雙門變頻式環保雪櫃"/>
    <s v="大電"/>
    <s v="AC"/>
    <s v="a26hsz"/>
    <n v="1"/>
    <n v="1500"/>
    <n v="1500"/>
    <n v="5817973"/>
    <m/>
    <m/>
    <s v="GR-A26HSZ(DS) 5817973"/>
    <n v="3780"/>
    <n v="0.3968253968253968"/>
    <s v="Toshiba SRP"/>
    <n v="110"/>
    <s v="1105817973"/>
  </r>
  <r>
    <n v="5"/>
    <s v="Aeon"/>
    <s v="Panda"/>
    <x v="0"/>
    <n v="3"/>
    <x v="0"/>
    <x v="1"/>
    <s v="磁應電飯煲(1.5公升)"/>
    <s v="細電"/>
    <s v="SDA"/>
    <s v="15ist"/>
    <n v="1"/>
    <n v="500"/>
    <n v="500"/>
    <n v="5817973"/>
    <m/>
    <m/>
    <s v="RC-15ISTHK(W) 5817973"/>
    <n v="1688"/>
    <n v="0.29620853080568721"/>
    <s v="Toshiba SRP"/>
    <n v="110"/>
    <s v="1105817973"/>
  </r>
  <r>
    <n v="6"/>
    <s v="Aeon"/>
    <s v="Panda"/>
    <x v="0"/>
    <n v="3"/>
    <x v="0"/>
    <x v="3"/>
    <s v="7.5KG超薄身前置式變頻洗衣機"/>
    <s v="大電"/>
    <s v="WM"/>
    <s v="bl85a2"/>
    <n v="1"/>
    <n v="2588"/>
    <n v="2588"/>
    <n v="5817997"/>
    <m/>
    <m/>
    <s v="TW-BL85A2H(WW) 5817997"/>
    <n v="5080"/>
    <n v="0.50944881889763782"/>
    <s v="Toshiba SRP"/>
    <n v="110"/>
    <s v="1105817997"/>
  </r>
  <r>
    <n v="7"/>
    <s v="Aeon"/>
    <s v="Panda"/>
    <x v="0"/>
    <n v="3"/>
    <x v="0"/>
    <x v="4"/>
    <s v="RO座檯式飲水機"/>
    <s v="細電"/>
    <s v="KWH"/>
    <s v="tsr76"/>
    <n v="1"/>
    <n v="1500"/>
    <n v="1500"/>
    <n v="6053083"/>
    <m/>
    <m/>
    <s v="TWP-TSR76THK(W) 6053083"/>
    <n v="2680"/>
    <n v="0.55970149253731338"/>
    <s v="Toshiba SRP"/>
    <n v="110"/>
    <s v="1106053083"/>
  </r>
  <r>
    <n v="8"/>
    <s v="Aeon"/>
    <s v="Panda"/>
    <x v="0"/>
    <n v="3"/>
    <x v="0"/>
    <x v="1"/>
    <s v="磁應電飯煲(1.5公升)"/>
    <s v="細電"/>
    <s v="SDA"/>
    <s v="15ist"/>
    <n v="1"/>
    <n v="500"/>
    <n v="500"/>
    <n v="6053082"/>
    <m/>
    <m/>
    <s v="RC-15ISTHK(W) 6053082"/>
    <n v="1688"/>
    <n v="0.29620853080568721"/>
    <s v="Toshiba SRP"/>
    <n v="110"/>
    <s v="1106053082"/>
  </r>
  <r>
    <n v="9"/>
    <s v="Aeon"/>
    <s v="Panda"/>
    <x v="0"/>
    <n v="3"/>
    <x v="0"/>
    <x v="1"/>
    <s v="磁應電飯煲(1.5公升)"/>
    <s v="細電"/>
    <s v="SDA"/>
    <s v="15ist"/>
    <n v="1"/>
    <n v="500"/>
    <n v="500"/>
    <n v="5818000"/>
    <m/>
    <m/>
    <s v="RC-15ISTHK(W) 5818000"/>
    <n v="1688"/>
    <n v="0.29620853080568721"/>
    <s v="Toshiba SRP"/>
    <n v="110"/>
    <s v="1105818000"/>
  </r>
  <r>
    <n v="10"/>
    <s v="Aeon"/>
    <s v="Panda"/>
    <x v="0"/>
    <n v="3"/>
    <x v="0"/>
    <x v="1"/>
    <s v="磁應電飯煲(1.5公升)"/>
    <s v="細電"/>
    <s v="SDA"/>
    <s v="15ist"/>
    <n v="1"/>
    <n v="500"/>
    <n v="500"/>
    <n v="6053087"/>
    <m/>
    <m/>
    <s v="RC-15ISTHK(W) 6053087"/>
    <n v="1688"/>
    <n v="0.29620853080568721"/>
    <s v="Toshiba SRP"/>
    <n v="110"/>
    <s v="1106053087"/>
  </r>
  <r>
    <n v="11"/>
    <s v="Aeon"/>
    <s v="Panda"/>
    <x v="0"/>
    <n v="3"/>
    <x v="1"/>
    <x v="3"/>
    <s v="7.5KG超薄身前置式變頻洗衣機"/>
    <s v="大電"/>
    <s v="WM"/>
    <s v="bl85a2"/>
    <n v="1"/>
    <n v="2588"/>
    <n v="2588"/>
    <n v="6053308"/>
    <m/>
    <m/>
    <s v="TW-BL85A2H(WW) 6053308"/>
    <n v="5080"/>
    <n v="0.50944881889763782"/>
    <s v="Toshiba SRP"/>
    <n v="110"/>
    <s v="1106053308"/>
  </r>
  <r>
    <n v="12"/>
    <s v="Aeon"/>
    <s v="Panda"/>
    <x v="0"/>
    <n v="3"/>
    <x v="1"/>
    <x v="4"/>
    <s v="RO座檯式飲水機"/>
    <s v="細電"/>
    <s v="KWH"/>
    <s v="tsr76"/>
    <n v="1"/>
    <n v="1500"/>
    <n v="1500"/>
    <n v="6053308"/>
    <m/>
    <m/>
    <s v="TWP-TSR76THK(W) 6053308"/>
    <n v="2680"/>
    <n v="0.55970149253731338"/>
    <s v="Toshiba SRP"/>
    <n v="110"/>
    <s v="1106053308"/>
  </r>
  <r>
    <n v="13"/>
    <s v="Aeon"/>
    <s v="Panda"/>
    <x v="0"/>
    <n v="3"/>
    <x v="1"/>
    <x v="1"/>
    <s v="磁應電飯煲(1.5公升)"/>
    <s v="細電"/>
    <s v="SDA"/>
    <s v="15ist"/>
    <n v="1"/>
    <n v="500"/>
    <n v="500"/>
    <n v="6053092"/>
    <m/>
    <m/>
    <s v="RC-15ISTHK(W) 6053092"/>
    <n v="1688"/>
    <n v="0.29620853080568721"/>
    <s v="Toshiba SRP"/>
    <n v="110"/>
    <s v="1106053092"/>
  </r>
  <r>
    <n v="14"/>
    <s v="Aeon"/>
    <s v="Panda"/>
    <x v="0"/>
    <n v="3"/>
    <x v="1"/>
    <x v="1"/>
    <s v="磁應電飯煲(1.5公升)"/>
    <s v="細電"/>
    <s v="SDA"/>
    <s v="15ist"/>
    <n v="1"/>
    <n v="500"/>
    <n v="500"/>
    <n v="6053340"/>
    <m/>
    <m/>
    <s v="RC-15ISTHK(W) 6053340"/>
    <n v="1688"/>
    <n v="0.29620853080568721"/>
    <s v="Toshiba SRP"/>
    <n v="110"/>
    <s v="1106053340"/>
  </r>
  <r>
    <n v="15"/>
    <s v="Aeon"/>
    <s v="Panda"/>
    <x v="0"/>
    <n v="3"/>
    <x v="1"/>
    <x v="5"/>
    <s v="全自動洗衣機 (8公斤 結合高低水位)"/>
    <s v="大電"/>
    <s v="WM"/>
    <s v="m901"/>
    <n v="1"/>
    <n v="1500"/>
    <n v="1500"/>
    <n v="6053341"/>
    <m/>
    <m/>
    <s v="AW-M901BPH(WW) 6053341"/>
    <n v="3580"/>
    <n v="0.41899441340782123"/>
    <s v="Toshiba SRP"/>
    <n v="110"/>
    <s v="1106053341"/>
  </r>
  <r>
    <n v="16"/>
    <s v="Aeon"/>
    <s v="Panda"/>
    <x v="0"/>
    <n v="3"/>
    <x v="1"/>
    <x v="6"/>
    <s v="旋鈕式微波爐24L"/>
    <s v="細電"/>
    <s v="SDA"/>
    <s v="mm24"/>
    <n v="1"/>
    <n v="500"/>
    <n v="500"/>
    <n v="6053341"/>
    <m/>
    <m/>
    <s v="MW2-MM24PC(BK) 6053341"/>
    <n v="848"/>
    <n v="0.589622641509434"/>
    <s v="Toshiba SRP"/>
    <n v="110"/>
    <s v="1106053341"/>
  </r>
  <r>
    <n v="17"/>
    <s v="Aeon"/>
    <s v="Panda"/>
    <x v="0"/>
    <n v="3"/>
    <x v="1"/>
    <x v="7"/>
    <s v="4毫米厚釜電飯煲0.54L"/>
    <s v="細電"/>
    <s v="SDA"/>
    <s v="5mm"/>
    <n v="1"/>
    <n v="490"/>
    <n v="490"/>
    <n v="3061366"/>
    <m/>
    <m/>
    <s v="RC-5MMIH(WT) 3061366"/>
    <n v="618"/>
    <n v="0.79288025889967639"/>
    <s v="Toshiba SRP"/>
    <n v="110"/>
    <s v="1103061366"/>
  </r>
  <r>
    <n v="18"/>
    <s v="Aeon"/>
    <s v="Panda"/>
    <x v="0"/>
    <n v="3"/>
    <x v="1"/>
    <x v="6"/>
    <s v="旋鈕式微波爐24L"/>
    <s v="細電"/>
    <s v="SDA"/>
    <s v="mm24"/>
    <n v="1"/>
    <n v="500"/>
    <n v="500"/>
    <n v="6053339"/>
    <m/>
    <m/>
    <s v="MW2-MM24PC(BK) 6053339"/>
    <n v="848"/>
    <n v="0.589622641509434"/>
    <s v="Toshiba SRP"/>
    <n v="110"/>
    <s v="1106053339"/>
  </r>
  <r>
    <n v="19"/>
    <s v="Aeon"/>
    <s v="Panda"/>
    <x v="0"/>
    <n v="3"/>
    <x v="2"/>
    <x v="3"/>
    <s v="7.5KG超薄身前置式變頻洗衣機"/>
    <s v="大電"/>
    <s v="WM"/>
    <s v="bl85a2"/>
    <n v="1"/>
    <n v="2588"/>
    <n v="2588"/>
    <n v="6053323"/>
    <m/>
    <m/>
    <s v="TW-BL85A2H(WW) 6053323"/>
    <n v="5080"/>
    <n v="0.50944881889763782"/>
    <s v="Toshiba SRP"/>
    <n v="110"/>
    <s v="1106053323"/>
  </r>
  <r>
    <n v="20"/>
    <s v="Aeon"/>
    <s v="Panda"/>
    <x v="0"/>
    <n v="3"/>
    <x v="2"/>
    <x v="1"/>
    <s v="磁應電飯煲(1.5公升)"/>
    <s v="細電"/>
    <s v="SDA"/>
    <s v="15ist"/>
    <n v="1"/>
    <n v="500"/>
    <n v="500"/>
    <n v="6053349"/>
    <m/>
    <m/>
    <s v="RC-15ISTHK(W) 6053349"/>
    <n v="1688"/>
    <n v="0.29620853080568721"/>
    <s v="Toshiba SRP"/>
    <n v="110"/>
    <s v="1106053349"/>
  </r>
  <r>
    <n v="21"/>
    <s v="Aeon"/>
    <s v="Panda"/>
    <x v="0"/>
    <n v="3"/>
    <x v="2"/>
    <x v="4"/>
    <s v="RO座檯式飲水機"/>
    <s v="細電"/>
    <s v="KWH"/>
    <s v="tsr76"/>
    <n v="1"/>
    <n v="1500"/>
    <n v="1500"/>
    <n v="6053354"/>
    <m/>
    <m/>
    <s v="TWP-TSR76THK(W) 6053354"/>
    <n v="2680"/>
    <n v="0.55970149253731338"/>
    <s v="Toshiba SRP"/>
    <n v="110"/>
    <s v="1106053354"/>
  </r>
  <r>
    <n v="22"/>
    <s v="Aeon"/>
    <s v="Panda"/>
    <x v="0"/>
    <n v="3"/>
    <x v="2"/>
    <x v="1"/>
    <s v="磁應電飯煲(1.5公升)"/>
    <s v="細電"/>
    <s v="SDA"/>
    <s v="15ist"/>
    <n v="1"/>
    <n v="500"/>
    <n v="500"/>
    <n v="6053360"/>
    <m/>
    <m/>
    <s v="RC-15ISTHK(W) 6053360"/>
    <n v="1688"/>
    <n v="0.29620853080568721"/>
    <s v="Toshiba SRP"/>
    <n v="110"/>
    <s v="1106053360"/>
  </r>
  <r>
    <n v="23"/>
    <s v="Aeon"/>
    <s v="Panda"/>
    <x v="0"/>
    <n v="3"/>
    <x v="2"/>
    <x v="2"/>
    <s v="雙門變頻式環保雪櫃"/>
    <s v="大電"/>
    <s v="AC"/>
    <s v="a26hsz"/>
    <n v="1"/>
    <n v="1500"/>
    <n v="1500"/>
    <n v="6053359"/>
    <m/>
    <m/>
    <s v="GR-A26HSZ(DS) 6053359"/>
    <n v="3780"/>
    <n v="0.3968253968253968"/>
    <s v="Toshiba SRP"/>
    <n v="110"/>
    <s v="1106053359"/>
  </r>
  <r>
    <n v="24"/>
    <s v="Aeon"/>
    <s v="Panda"/>
    <x v="0"/>
    <n v="3"/>
    <x v="2"/>
    <x v="8"/>
    <s v="電壓力鍋"/>
    <s v="細電"/>
    <s v="SDA"/>
    <s v="48drs"/>
    <n v="1"/>
    <n v="890"/>
    <n v="890"/>
    <n v="3061458"/>
    <m/>
    <m/>
    <s v="PC-48DRSHK(K) 3061458"/>
    <n v="1188"/>
    <n v="0.74915824915824913"/>
    <s v="Shops Highest Price"/>
    <n v="110"/>
    <s v="1103061458"/>
  </r>
  <r>
    <n v="25"/>
    <s v="Aeon"/>
    <s v="Panda"/>
    <x v="0"/>
    <n v="3"/>
    <x v="3"/>
    <x v="1"/>
    <s v="磁應電飯煲(1.5公升)"/>
    <s v="細電"/>
    <s v="SDA"/>
    <s v="15ist"/>
    <n v="1"/>
    <n v="500"/>
    <n v="500"/>
    <n v="6053362"/>
    <m/>
    <m/>
    <s v="RC-15ISTHK(W) 6053362"/>
    <n v="1688"/>
    <n v="0.29620853080568721"/>
    <s v="Toshiba SRP"/>
    <n v="110"/>
    <s v="1106053362"/>
  </r>
  <r>
    <n v="26"/>
    <s v="Aeon"/>
    <s v="Panda"/>
    <x v="0"/>
    <n v="3"/>
    <x v="3"/>
    <x v="5"/>
    <s v="全自動洗衣機 (8公斤 結合高低水位)"/>
    <s v="大電"/>
    <s v="WM"/>
    <s v="m901"/>
    <n v="1"/>
    <n v="1500"/>
    <n v="1500"/>
    <n v="6053306"/>
    <m/>
    <m/>
    <s v="AW-M901BPH(WW) 6053306"/>
    <n v="3580"/>
    <n v="0.41899441340782123"/>
    <s v="Toshiba SRP"/>
    <n v="110"/>
    <s v="1106053306"/>
  </r>
  <r>
    <n v="27"/>
    <s v="Aeon"/>
    <s v="Panda"/>
    <x v="0"/>
    <n v="3"/>
    <x v="3"/>
    <x v="5"/>
    <s v="全自動洗衣機 (8公斤 結合高低水位)"/>
    <s v="大電"/>
    <s v="WM"/>
    <s v="m901"/>
    <n v="1"/>
    <n v="1500"/>
    <n v="1500"/>
    <n v="6053369"/>
    <m/>
    <m/>
    <s v="AW-M901BPH(WW) 6053369"/>
    <n v="3580"/>
    <n v="0.41899441340782123"/>
    <s v="Toshiba SRP"/>
    <n v="110"/>
    <s v="1106053369"/>
  </r>
  <r>
    <n v="28"/>
    <s v="Aeon"/>
    <s v="Panda"/>
    <x v="0"/>
    <n v="3"/>
    <x v="3"/>
    <x v="9"/>
    <s v="電熱水瓶4.5L"/>
    <s v="細電"/>
    <s v="SDA"/>
    <s v="45sf"/>
    <n v="1"/>
    <n v="500"/>
    <n v="500"/>
    <n v="6053378"/>
    <m/>
    <m/>
    <s v="PLK-45SFIH(WT) 6053378"/>
    <n v="788"/>
    <n v="0.63451776649746194"/>
    <s v="Toshiba SRP"/>
    <n v="110"/>
    <s v="1106053378"/>
  </r>
  <r>
    <n v="29"/>
    <s v="Aeon"/>
    <s v="Panda"/>
    <x v="0"/>
    <n v="3"/>
    <x v="3"/>
    <x v="5"/>
    <s v="全自動洗衣機 (8公斤 結合高低水位)"/>
    <s v="大電"/>
    <s v="WM"/>
    <s v="m901"/>
    <n v="1"/>
    <n v="1500"/>
    <n v="1500"/>
    <n v="6053388"/>
    <m/>
    <m/>
    <s v="AW-M901BPH(WW) 6053388"/>
    <n v="3580"/>
    <n v="0.41899441340782123"/>
    <s v="Toshiba SRP"/>
    <n v="110"/>
    <s v="1106053388"/>
  </r>
  <r>
    <n v="30"/>
    <s v="Aeon"/>
    <s v="Panda"/>
    <x v="0"/>
    <n v="3"/>
    <x v="3"/>
    <x v="5"/>
    <s v="全自動洗衣機 (8公斤 結合高低水位)"/>
    <s v="大電"/>
    <s v="WM"/>
    <s v="m901"/>
    <n v="1"/>
    <n v="1500"/>
    <n v="1500"/>
    <n v="6053012"/>
    <m/>
    <m/>
    <s v="AW-M901BPH(WW) 6053012"/>
    <n v="3580"/>
    <n v="0.41899441340782123"/>
    <s v="Toshiba SRP"/>
    <n v="110"/>
    <s v="1106053012"/>
  </r>
  <r>
    <n v="31"/>
    <s v="Aeon"/>
    <s v="Panda"/>
    <x v="0"/>
    <n v="3"/>
    <x v="3"/>
    <x v="1"/>
    <s v="磁應電飯煲(1.5公升)"/>
    <s v="細電"/>
    <s v="SDA"/>
    <s v="15ist"/>
    <n v="1"/>
    <n v="500"/>
    <n v="500"/>
    <n v="6053016"/>
    <m/>
    <m/>
    <s v="RC-15ISTHK(W) 6053016"/>
    <n v="1688"/>
    <n v="0.29620853080568721"/>
    <s v="Toshiba SRP"/>
    <n v="110"/>
    <s v="1106053016"/>
  </r>
  <r>
    <n v="32"/>
    <s v="Aeon"/>
    <s v="Panda"/>
    <x v="0"/>
    <n v="3"/>
    <x v="3"/>
    <x v="1"/>
    <s v="磁應電飯煲(1.5公升)"/>
    <s v="細電"/>
    <s v="SDA"/>
    <s v="15ist"/>
    <n v="1"/>
    <n v="500"/>
    <n v="500"/>
    <n v="6053023"/>
    <m/>
    <m/>
    <s v="RC-15ISTHK(W) 6053023"/>
    <n v="1688"/>
    <n v="0.29620853080568721"/>
    <s v="Toshiba SRP"/>
    <n v="110"/>
    <s v="1106053023"/>
  </r>
  <r>
    <n v="33"/>
    <s v="Aeon"/>
    <s v="Panda"/>
    <x v="0"/>
    <n v="3"/>
    <x v="3"/>
    <x v="3"/>
    <s v="7.5KG超薄身前置式變頻洗衣機"/>
    <s v="大電"/>
    <s v="WM"/>
    <s v="bl85a2"/>
    <n v="1"/>
    <n v="2588"/>
    <n v="2588"/>
    <n v="6053414"/>
    <m/>
    <m/>
    <s v="TW-BL85A2H(WW) 6053414"/>
    <n v="5080"/>
    <n v="0.50944881889763782"/>
    <s v="Toshiba SRP"/>
    <n v="110"/>
    <s v="1106053414"/>
  </r>
  <r>
    <n v="34"/>
    <s v="Aeon"/>
    <s v="Panda"/>
    <x v="0"/>
    <n v="3"/>
    <x v="3"/>
    <x v="1"/>
    <s v="磁應電飯煲(1.5公升)"/>
    <s v="細電"/>
    <s v="SDA"/>
    <s v="15ist"/>
    <n v="1"/>
    <n v="500"/>
    <n v="500"/>
    <n v="6053427"/>
    <m/>
    <m/>
    <s v="RC-15ISTHK(W) 6053427"/>
    <n v="1688"/>
    <n v="0.29620853080568721"/>
    <s v="Toshiba SRP"/>
    <n v="110"/>
    <s v="1106053427"/>
  </r>
  <r>
    <n v="35"/>
    <s v="Aeon"/>
    <s v="Panda"/>
    <x v="0"/>
    <n v="3"/>
    <x v="3"/>
    <x v="2"/>
    <s v="雙門變頻式環保雪櫃"/>
    <s v="大電"/>
    <s v="AC"/>
    <s v="a26hsz"/>
    <n v="1"/>
    <n v="1500"/>
    <n v="1500"/>
    <n v="6053438"/>
    <m/>
    <m/>
    <s v="GR-A26HSZ(DS) 6053438"/>
    <n v="3780"/>
    <n v="0.3968253968253968"/>
    <s v="Toshiba SRP"/>
    <n v="110"/>
    <s v="1106053438"/>
  </r>
  <r>
    <n v="36"/>
    <s v="Aeon"/>
    <s v="Panda"/>
    <x v="0"/>
    <n v="3"/>
    <x v="3"/>
    <x v="1"/>
    <s v="磁應電飯煲(1.5公升)"/>
    <s v="細電"/>
    <s v="SDA"/>
    <s v="15ist"/>
    <n v="1"/>
    <n v="500"/>
    <n v="500"/>
    <n v="6053437"/>
    <m/>
    <m/>
    <s v="RC-15ISTHK(W) 6053437"/>
    <n v="1688"/>
    <n v="0.29620853080568721"/>
    <s v="Toshiba SRP"/>
    <n v="110"/>
    <s v="1106053437"/>
  </r>
  <r>
    <n v="37"/>
    <s v="Aeon"/>
    <s v="Panda"/>
    <x v="0"/>
    <n v="3"/>
    <x v="3"/>
    <x v="5"/>
    <s v="全自動洗衣機 (8公斤 結合高低水位)"/>
    <s v="大電"/>
    <s v="WM"/>
    <s v="m901"/>
    <n v="1"/>
    <n v="1500"/>
    <n v="1500"/>
    <n v="6053426"/>
    <m/>
    <m/>
    <s v="AW-M901BPH(WW) 6053426"/>
    <n v="3580"/>
    <n v="0.41899441340782123"/>
    <s v="Toshiba SRP"/>
    <n v="110"/>
    <s v="1106053426"/>
  </r>
  <r>
    <n v="38"/>
    <s v="Aeon"/>
    <s v="Panda"/>
    <x v="0"/>
    <n v="3"/>
    <x v="4"/>
    <x v="0"/>
    <s v="超薄身前置式洗衣乾衣機 (洗8公斤 乾5公斤)"/>
    <s v="大電"/>
    <s v="WM"/>
    <s v="bn90"/>
    <n v="1"/>
    <n v="3588"/>
    <n v="3588"/>
    <n v="6053390"/>
    <m/>
    <m/>
    <s v="TWD-BN90GF4H(WK) 6053390"/>
    <n v="5980"/>
    <n v="0.6"/>
    <s v="Toshiba SRP"/>
    <n v="110"/>
    <s v="1106053390"/>
  </r>
  <r>
    <n v="39"/>
    <s v="Aeon"/>
    <s v="Panda"/>
    <x v="0"/>
    <n v="3"/>
    <x v="4"/>
    <x v="6"/>
    <s v="旋鈕式微波爐24L"/>
    <s v="細電"/>
    <s v="SDA"/>
    <s v="mm24"/>
    <n v="1"/>
    <n v="500"/>
    <n v="500"/>
    <n v="6053394"/>
    <m/>
    <m/>
    <s v="MW2-MM24PC(BK) 6053394"/>
    <n v="848"/>
    <n v="0.589622641509434"/>
    <s v="Toshiba SRP"/>
    <n v="110"/>
    <s v="1106053394"/>
  </r>
  <r>
    <n v="40"/>
    <s v="Aeon"/>
    <s v="Panda"/>
    <x v="0"/>
    <n v="3"/>
    <x v="4"/>
    <x v="1"/>
    <s v="磁應電飯煲(1.5公升)"/>
    <s v="細電"/>
    <s v="SDA"/>
    <s v="15ist"/>
    <n v="1"/>
    <n v="500"/>
    <n v="500"/>
    <n v="6053403"/>
    <m/>
    <m/>
    <s v="RC-15ISTHK(W) 6053403"/>
    <n v="1688"/>
    <n v="0.29620853080568721"/>
    <s v="Toshiba SRP"/>
    <n v="110"/>
    <s v="1106053403"/>
  </r>
  <r>
    <n v="41"/>
    <s v="Aeon"/>
    <s v="Panda"/>
    <x v="0"/>
    <n v="3"/>
    <x v="4"/>
    <x v="5"/>
    <s v="全自動洗衣機 (8公斤 結合高低水位)"/>
    <s v="大電"/>
    <s v="WM"/>
    <s v="m901"/>
    <n v="1"/>
    <n v="1500"/>
    <n v="1500"/>
    <n v="6053405"/>
    <m/>
    <m/>
    <s v="AW-M901BPH(WW) 6053405"/>
    <n v="3580"/>
    <n v="0.41899441340782123"/>
    <s v="Toshiba SRP"/>
    <n v="110"/>
    <s v="1106053405"/>
  </r>
  <r>
    <n v="42"/>
    <s v="Aeon"/>
    <s v="Panda"/>
    <x v="0"/>
    <n v="3"/>
    <x v="4"/>
    <x v="10"/>
    <s v="變頻上置式雙門雪櫃313L "/>
    <s v="大電"/>
    <s v="REF"/>
    <s v="rt416"/>
    <n v="1"/>
    <n v="2888"/>
    <n v="2888"/>
    <n v="6053422"/>
    <m/>
    <m/>
    <s v="GR-RT416WE-PMA(06) 6053422"/>
    <n v="5380"/>
    <n v="0.53680297397769516"/>
    <s v="Toshiba SRP"/>
    <n v="110"/>
    <s v="1106053422"/>
  </r>
  <r>
    <n v="43"/>
    <s v="Aeon"/>
    <s v="Panda"/>
    <x v="0"/>
    <n v="3"/>
    <x v="4"/>
    <x v="11"/>
    <s v="座檯式純蒸氣烤焗水波爐30L"/>
    <s v="細電"/>
    <s v="SDA"/>
    <s v="td5000"/>
    <n v="1"/>
    <n v="3588"/>
    <n v="3588"/>
    <n v="6053460"/>
    <m/>
    <m/>
    <s v="ER-TD5000HK(XK) 6053460"/>
    <n v="7998"/>
    <n v="0.44861215303825958"/>
    <s v="Toshiba SRP"/>
    <n v="110"/>
    <s v="1106053460"/>
  </r>
  <r>
    <n v="44"/>
    <s v="Aeon"/>
    <s v="Panda"/>
    <x v="0"/>
    <n v="3"/>
    <x v="4"/>
    <x v="1"/>
    <s v="磁應電飯煲(1.5公升)"/>
    <s v="細電"/>
    <s v="SDA"/>
    <s v="15ist"/>
    <n v="1"/>
    <n v="500"/>
    <n v="500"/>
    <n v="6053468"/>
    <m/>
    <m/>
    <s v="RC-15ISTHK(W) 6053468"/>
    <n v="1688"/>
    <n v="0.29620853080568721"/>
    <s v="Toshiba SRP"/>
    <n v="110"/>
    <s v="1106053468"/>
  </r>
  <r>
    <n v="45"/>
    <s v="Aeon"/>
    <s v="Panda"/>
    <x v="0"/>
    <n v="3"/>
    <x v="4"/>
    <x v="5"/>
    <s v="全自動洗衣機 (8公斤 結合高低水位)"/>
    <s v="大電"/>
    <s v="WM"/>
    <s v="m901"/>
    <n v="1"/>
    <n v="1500"/>
    <n v="1500"/>
    <n v="6053474"/>
    <m/>
    <m/>
    <s v="AW-M901BPH(WW) 6053474"/>
    <n v="3580"/>
    <n v="0.41899441340782123"/>
    <s v="Toshiba SRP"/>
    <n v="110"/>
    <s v="1106053474"/>
  </r>
  <r>
    <n v="46"/>
    <s v="Aeon"/>
    <s v="Panda"/>
    <x v="0"/>
    <n v="3"/>
    <x v="4"/>
    <x v="6"/>
    <s v="旋鈕式微波爐24L"/>
    <s v="細電"/>
    <s v="SDA"/>
    <s v="mm24"/>
    <n v="1"/>
    <n v="500"/>
    <n v="500"/>
    <n v="6053474"/>
    <m/>
    <m/>
    <s v="MW2-MM24PC(BK) 6053474"/>
    <n v="848"/>
    <n v="0.589622641509434"/>
    <s v="Toshiba SRP"/>
    <n v="110"/>
    <s v="1106053474"/>
  </r>
  <r>
    <n v="47"/>
    <s v="Aeon"/>
    <s v="Panda"/>
    <x v="0"/>
    <n v="3"/>
    <x v="4"/>
    <x v="10"/>
    <s v="變頻上置式雙門雪櫃313L "/>
    <s v="大電"/>
    <s v="REF"/>
    <s v="rt416"/>
    <n v="1"/>
    <n v="2888"/>
    <n v="2888"/>
    <n v="6053473"/>
    <m/>
    <m/>
    <s v="GR-RT416WE-PMA(06) 6053473"/>
    <n v="5380"/>
    <n v="0.53680297397769516"/>
    <s v="Toshiba SRP"/>
    <n v="110"/>
    <s v="1106053473"/>
  </r>
  <r>
    <n v="48"/>
    <s v="Aeon"/>
    <s v="Panda"/>
    <x v="0"/>
    <n v="3"/>
    <x v="4"/>
    <x v="12"/>
    <s v="Comfee 1.5匹變頻窗口式冷氣機"/>
    <s v="大電"/>
    <s v="RAC"/>
    <s v="12crfn8"/>
    <n v="1"/>
    <n v="4088"/>
    <n v="4088"/>
    <n v="6053481"/>
    <m/>
    <m/>
    <s v="CWF-12CRFN8-AD5 6053481"/>
    <n v="5200"/>
    <n v="0.7861538461538462"/>
    <s v="Shops Highest Price"/>
    <n v="110"/>
    <s v="1106053481"/>
  </r>
  <r>
    <n v="49"/>
    <s v="Aeon"/>
    <s v="Panda"/>
    <x v="0"/>
    <n v="3"/>
    <x v="4"/>
    <x v="4"/>
    <s v="RO座檯式飲水機"/>
    <s v="細電"/>
    <s v="KWH"/>
    <s v="tsr76"/>
    <n v="1"/>
    <n v="1500"/>
    <n v="1500"/>
    <n v="6053485"/>
    <m/>
    <m/>
    <s v="TWP-TSR76THK(W) 6053485"/>
    <n v="2680"/>
    <n v="0.55970149253731338"/>
    <s v="Toshiba SRP"/>
    <n v="110"/>
    <s v="1106053485"/>
  </r>
  <r>
    <n v="50"/>
    <s v="Aeon"/>
    <s v="Panda"/>
    <x v="0"/>
    <n v="3"/>
    <x v="4"/>
    <x v="1"/>
    <s v="磁應電飯煲(1.5公升)"/>
    <s v="細電"/>
    <s v="SDA"/>
    <s v="15ist"/>
    <n v="1"/>
    <n v="500"/>
    <n v="500"/>
    <n v="6053487"/>
    <m/>
    <m/>
    <s v="RC-15ISTHK(W) 6053487"/>
    <n v="1688"/>
    <n v="0.29620853080568721"/>
    <s v="Toshiba SRP"/>
    <n v="110"/>
    <s v="1106053487"/>
  </r>
  <r>
    <n v="51"/>
    <s v="Aeon"/>
    <s v="LCk"/>
    <x v="1"/>
    <n v="3"/>
    <x v="0"/>
    <x v="1"/>
    <s v="磁應電飯煲(1.5公升)"/>
    <s v="細電"/>
    <s v="SDA"/>
    <s v="15ist"/>
    <n v="1"/>
    <n v="500"/>
    <n v="500"/>
    <n v="6027003"/>
    <m/>
    <m/>
    <s v="RC-15ISTHK(W) 6027003"/>
    <n v="1688"/>
    <n v="0.29620853080568721"/>
    <s v="Toshiba SRP"/>
    <n v="110"/>
    <s v="1106027003"/>
  </r>
  <r>
    <n v="52"/>
    <s v="Aeon"/>
    <s v="LCk"/>
    <x v="1"/>
    <n v="3"/>
    <x v="0"/>
    <x v="1"/>
    <s v="磁應電飯煲(1.5公升)"/>
    <s v="細電"/>
    <s v="SDA"/>
    <s v="15ist"/>
    <n v="1"/>
    <n v="500"/>
    <n v="500"/>
    <n v="6027022"/>
    <m/>
    <m/>
    <s v="RC-15ISTHK(W) 6027022"/>
    <n v="1688"/>
    <n v="0.29620853080568721"/>
    <s v="Toshiba SRP"/>
    <n v="110"/>
    <s v="1106027022"/>
  </r>
  <r>
    <n v="53"/>
    <s v="Aeon"/>
    <s v="LCk"/>
    <x v="1"/>
    <n v="3"/>
    <x v="0"/>
    <x v="1"/>
    <s v="磁應電飯煲(1.5公升)"/>
    <s v="細電"/>
    <s v="SDA"/>
    <s v="15ist"/>
    <n v="1"/>
    <n v="500"/>
    <n v="500"/>
    <n v="6027247"/>
    <m/>
    <m/>
    <s v="RC-15ISTHK(W) 6027247"/>
    <n v="1688"/>
    <n v="0.29620853080568721"/>
    <s v="Toshiba SRP"/>
    <n v="110"/>
    <s v="1106027247"/>
  </r>
  <r>
    <n v="54"/>
    <s v="Aeon"/>
    <s v="LCk"/>
    <x v="1"/>
    <n v="3"/>
    <x v="0"/>
    <x v="1"/>
    <s v="磁應電飯煲(1.5公升)"/>
    <s v="細電"/>
    <s v="SDA"/>
    <s v="15ist"/>
    <n v="1"/>
    <n v="500"/>
    <n v="500"/>
    <n v="6027249"/>
    <m/>
    <m/>
    <s v="RC-15ISTHK(W) 6027249"/>
    <n v="1688"/>
    <n v="0.29620853080568721"/>
    <s v="Toshiba SRP"/>
    <n v="110"/>
    <s v="1106027249"/>
  </r>
  <r>
    <n v="55"/>
    <s v="Aeon"/>
    <s v="LCk"/>
    <x v="1"/>
    <n v="3"/>
    <x v="0"/>
    <x v="1"/>
    <s v="磁應電飯煲(1.5公升)"/>
    <s v="細電"/>
    <s v="SDA"/>
    <s v="15ist"/>
    <n v="1"/>
    <n v="500"/>
    <n v="500"/>
    <n v="6027251"/>
    <m/>
    <m/>
    <s v="RC-15ISTHK(W) 6027251"/>
    <n v="1688"/>
    <n v="0.29620853080568721"/>
    <s v="Toshiba SRP"/>
    <n v="110"/>
    <s v="1106027251"/>
  </r>
  <r>
    <n v="56"/>
    <s v="Aeon"/>
    <s v="LCk"/>
    <x v="1"/>
    <n v="3"/>
    <x v="0"/>
    <x v="1"/>
    <s v="磁應電飯煲(1.5公升)"/>
    <s v="細電"/>
    <s v="SDA"/>
    <s v="15ist"/>
    <n v="1"/>
    <n v="500"/>
    <n v="500"/>
    <n v="6027005"/>
    <m/>
    <m/>
    <s v="RC-15ISTHK(W) 6027005"/>
    <n v="1688"/>
    <n v="0.29620853080568721"/>
    <s v="Toshiba SRP"/>
    <n v="110"/>
    <s v="1106027005"/>
  </r>
  <r>
    <n v="57"/>
    <s v="Aeon"/>
    <s v="LCk"/>
    <x v="1"/>
    <n v="3"/>
    <x v="0"/>
    <x v="1"/>
    <s v="磁應電飯煲(1.5公升)"/>
    <s v="細電"/>
    <s v="SDA"/>
    <s v="15ist"/>
    <n v="1"/>
    <n v="500"/>
    <n v="500"/>
    <n v="6027815"/>
    <m/>
    <m/>
    <s v="RC-15ISTHK(W) 6027815"/>
    <n v="1688"/>
    <n v="0.29620853080568721"/>
    <s v="Toshiba SRP"/>
    <n v="110"/>
    <s v="1106027815"/>
  </r>
  <r>
    <n v="58"/>
    <s v="Aeon"/>
    <s v="LCk"/>
    <x v="1"/>
    <n v="3"/>
    <x v="0"/>
    <x v="1"/>
    <s v="磁應電飯煲(1.5公升)"/>
    <s v="細電"/>
    <s v="SDA"/>
    <s v="15ist"/>
    <n v="1"/>
    <n v="500"/>
    <n v="500"/>
    <n v="6027850"/>
    <m/>
    <m/>
    <s v="RC-15ISTHK(W) 6027850"/>
    <n v="1688"/>
    <n v="0.29620853080568721"/>
    <s v="Toshiba SRP"/>
    <n v="110"/>
    <s v="1106027850"/>
  </r>
  <r>
    <n v="59"/>
    <s v="Aeon"/>
    <s v="LCk"/>
    <x v="1"/>
    <n v="3"/>
    <x v="0"/>
    <x v="13"/>
    <s v="獨立式免安裝洗碗碟機"/>
    <s v="細電"/>
    <s v="DM"/>
    <s v="34ahk"/>
    <n v="1"/>
    <n v="1500"/>
    <n v="1500"/>
    <n v="6027246"/>
    <m/>
    <m/>
    <s v="DWS-34AHK 6027246"/>
    <n v="3999"/>
    <n v="0.37509377344336087"/>
    <s v="Web SRP"/>
    <n v="110"/>
    <s v="1106027246"/>
  </r>
  <r>
    <n v="60"/>
    <s v="Aeon"/>
    <s v="LCk"/>
    <x v="1"/>
    <n v="3"/>
    <x v="0"/>
    <x v="13"/>
    <s v="獨立式免安裝洗碗碟機"/>
    <s v="細電"/>
    <s v="DM"/>
    <s v="34ahk"/>
    <n v="1"/>
    <n v="1500"/>
    <n v="1500"/>
    <n v="6027888"/>
    <m/>
    <m/>
    <s v="DWS-34AHK 6027888"/>
    <n v="3999"/>
    <n v="0.37509377344336087"/>
    <s v="Web SRP"/>
    <n v="110"/>
    <s v="1106027888"/>
  </r>
  <r>
    <n v="61"/>
    <s v="Aeon"/>
    <s v="LCk"/>
    <x v="1"/>
    <n v="3"/>
    <x v="0"/>
    <x v="13"/>
    <s v="獨立式免安裝洗碗碟機"/>
    <s v="細電"/>
    <s v="DM"/>
    <s v="34ahk"/>
    <n v="1"/>
    <n v="1500"/>
    <n v="1500"/>
    <n v="6027032"/>
    <m/>
    <m/>
    <s v="DWS-34AHK 6027032"/>
    <n v="3999"/>
    <n v="0.37509377344336087"/>
    <s v="Web SRP"/>
    <n v="110"/>
    <s v="1106027032"/>
  </r>
  <r>
    <n v="62"/>
    <s v="Aeon"/>
    <s v="LCk"/>
    <x v="1"/>
    <n v="3"/>
    <x v="0"/>
    <x v="6"/>
    <s v="旋鈕式微波爐24L"/>
    <s v="細電"/>
    <s v="SDA"/>
    <s v="mm24"/>
    <n v="1"/>
    <n v="500"/>
    <n v="500"/>
    <n v="6027256"/>
    <m/>
    <m/>
    <s v="MW2-MM24PC(BK) 6027256"/>
    <n v="848"/>
    <n v="0.589622641509434"/>
    <s v="Toshiba SRP"/>
    <n v="110"/>
    <s v="1106027256"/>
  </r>
  <r>
    <n v="63"/>
    <s v="Aeon"/>
    <s v="LCk"/>
    <x v="1"/>
    <n v="3"/>
    <x v="0"/>
    <x v="6"/>
    <s v="旋鈕式微波爐24L"/>
    <s v="細電"/>
    <s v="SDA"/>
    <s v="mm24"/>
    <n v="1"/>
    <n v="500"/>
    <n v="500"/>
    <n v="6027880"/>
    <m/>
    <m/>
    <s v="MW2-MM24PC(BK) 6027880"/>
    <n v="848"/>
    <n v="0.589622641509434"/>
    <s v="Toshiba SRP"/>
    <n v="110"/>
    <s v="1106027880"/>
  </r>
  <r>
    <n v="64"/>
    <s v="Aeon"/>
    <s v="LCk"/>
    <x v="1"/>
    <n v="3"/>
    <x v="0"/>
    <x v="6"/>
    <s v="旋鈕式微波爐24L"/>
    <s v="細電"/>
    <s v="SDA"/>
    <s v="mm24"/>
    <n v="1"/>
    <n v="500"/>
    <n v="500"/>
    <n v="6027017"/>
    <m/>
    <m/>
    <s v="MW2-MM24PC(BK) 6027017"/>
    <n v="848"/>
    <n v="0.589622641509434"/>
    <s v="Toshiba SRP"/>
    <n v="110"/>
    <s v="1106027017"/>
  </r>
  <r>
    <n v="65"/>
    <s v="Aeon"/>
    <s v="LCk"/>
    <x v="1"/>
    <n v="3"/>
    <x v="0"/>
    <x v="9"/>
    <s v="電熱水瓶4.5L"/>
    <s v="細電"/>
    <s v="SDA"/>
    <s v="45sf"/>
    <n v="1"/>
    <n v="500"/>
    <n v="500"/>
    <n v="6027244"/>
    <m/>
    <m/>
    <s v="PLK-45SFIH(WT) 6027244"/>
    <n v="788"/>
    <n v="0.63451776649746194"/>
    <s v="Toshiba SRP"/>
    <n v="110"/>
    <s v="1106027244"/>
  </r>
  <r>
    <n v="66"/>
    <s v="Aeon"/>
    <s v="LCk"/>
    <x v="1"/>
    <n v="3"/>
    <x v="0"/>
    <x v="14"/>
    <s v="21L壓縮式抽濕機"/>
    <s v="大電"/>
    <s v="RAC"/>
    <s v="y200"/>
    <n v="1"/>
    <n v="1500"/>
    <n v="1500"/>
    <n v="6027251"/>
    <m/>
    <m/>
    <s v="RAD-Y200H 6027251"/>
    <n v="3280"/>
    <n v="0.45731707317073172"/>
    <s v="Toshiba SRP"/>
    <n v="110"/>
    <s v="1106027251"/>
  </r>
  <r>
    <n v="67"/>
    <s v="Aeon"/>
    <s v="LCk"/>
    <x v="1"/>
    <n v="3"/>
    <x v="0"/>
    <x v="5"/>
    <s v="全自動洗衣機 (8公斤 結合高低水位)"/>
    <s v="大電"/>
    <s v="WM"/>
    <s v="m901"/>
    <n v="1"/>
    <n v="1500"/>
    <n v="1500"/>
    <n v="6027249"/>
    <m/>
    <m/>
    <s v="AW-M901BPH(WW) 6027249"/>
    <n v="3580"/>
    <n v="0.41899441340782123"/>
    <s v="Toshiba SRP"/>
    <n v="110"/>
    <s v="1106027249"/>
  </r>
  <r>
    <n v="68"/>
    <s v="Aeon"/>
    <s v="LCk"/>
    <x v="1"/>
    <n v="3"/>
    <x v="0"/>
    <x v="5"/>
    <s v="全自動洗衣機 (8公斤 結合高低水位)"/>
    <s v="大電"/>
    <s v="WM"/>
    <s v="m901"/>
    <n v="1"/>
    <n v="1500"/>
    <n v="1500"/>
    <n v="6027861"/>
    <m/>
    <m/>
    <s v="AW-M901BPH(WW) 6027861"/>
    <n v="3580"/>
    <n v="0.41899441340782123"/>
    <s v="Toshiba SRP"/>
    <n v="110"/>
    <s v="1106027861"/>
  </r>
  <r>
    <n v="69"/>
    <s v="Aeon"/>
    <s v="LCk"/>
    <x v="1"/>
    <n v="3"/>
    <x v="0"/>
    <x v="2"/>
    <s v="雙門變頻式環保雪櫃"/>
    <s v="大電"/>
    <s v="AC"/>
    <s v="a26hsz"/>
    <n v="1"/>
    <n v="1500"/>
    <n v="1500"/>
    <n v="6027230"/>
    <m/>
    <m/>
    <s v="GR-A26HSZ(DS) 6027230"/>
    <n v="3780"/>
    <n v="0.3968253968253968"/>
    <s v="Toshiba SRP"/>
    <n v="110"/>
    <s v="1106027230"/>
  </r>
  <r>
    <n v="70"/>
    <s v="Aeon"/>
    <s v="LCk"/>
    <x v="1"/>
    <n v="3"/>
    <x v="0"/>
    <x v="15"/>
    <s v="Induction Cooker"/>
    <s v="細電"/>
    <s v="SDA"/>
    <s v="21ts"/>
    <n v="1"/>
    <n v="500"/>
    <n v="500"/>
    <n v="6027259"/>
    <m/>
    <m/>
    <s v="IC-21TSHK 6027259"/>
    <n v="998"/>
    <n v="0.50100200400801598"/>
    <s v="Web SRP"/>
    <n v="110"/>
    <s v="1106027259"/>
  </r>
  <r>
    <n v="71"/>
    <s v="Aeon"/>
    <s v="LCk"/>
    <x v="1"/>
    <n v="3"/>
    <x v="1"/>
    <x v="2"/>
    <s v="雙門變頻式環保雪櫃"/>
    <s v="大電"/>
    <s v="AC"/>
    <s v="a26hsz"/>
    <n v="1"/>
    <n v="1500"/>
    <n v="1500"/>
    <n v="6027323"/>
    <m/>
    <m/>
    <s v="GR-A26HSZ(DS) 6027323"/>
    <n v="3780"/>
    <n v="0.3968253968253968"/>
    <s v="Toshiba SRP"/>
    <n v="110"/>
    <s v="1106027323"/>
  </r>
  <r>
    <n v="72"/>
    <s v="Aeon"/>
    <s v="LCk"/>
    <x v="1"/>
    <n v="3"/>
    <x v="1"/>
    <x v="5"/>
    <s v="全自動洗衣機 (8公斤 結合高低水位)"/>
    <s v="大電"/>
    <s v="WM"/>
    <s v="m901"/>
    <n v="1"/>
    <n v="1500"/>
    <n v="1500"/>
    <n v="6027366"/>
    <m/>
    <m/>
    <s v="AW-M901BPH(WW) 6027366"/>
    <n v="3580"/>
    <n v="0.41899441340782123"/>
    <s v="Toshiba SRP"/>
    <n v="110"/>
    <s v="1106027366"/>
  </r>
  <r>
    <n v="73"/>
    <s v="Aeon"/>
    <s v="LCk"/>
    <x v="1"/>
    <n v="3"/>
    <x v="1"/>
    <x v="1"/>
    <s v="磁應電飯煲(1.5公升)"/>
    <s v="細電"/>
    <s v="SDA"/>
    <s v="15ist"/>
    <n v="1"/>
    <n v="500"/>
    <n v="500"/>
    <n v="6027072"/>
    <m/>
    <m/>
    <s v="RC-15ISTHK(W) 6027072"/>
    <n v="1688"/>
    <n v="0.29620853080568721"/>
    <s v="Toshiba SRP"/>
    <n v="110"/>
    <s v="1106027072"/>
  </r>
  <r>
    <n v="74"/>
    <s v="Aeon"/>
    <s v="LCk"/>
    <x v="1"/>
    <n v="3"/>
    <x v="1"/>
    <x v="1"/>
    <s v="磁應電飯煲(1.5公升)"/>
    <s v="細電"/>
    <s v="SDA"/>
    <s v="15ist"/>
    <n v="1"/>
    <n v="500"/>
    <n v="500"/>
    <n v="6027087"/>
    <m/>
    <m/>
    <s v="RC-15ISTHK(W) 6027087"/>
    <n v="1688"/>
    <n v="0.29620853080568721"/>
    <s v="Toshiba SRP"/>
    <n v="110"/>
    <s v="1106027087"/>
  </r>
  <r>
    <n v="75"/>
    <s v="Aeon"/>
    <s v="LCk"/>
    <x v="1"/>
    <n v="3"/>
    <x v="1"/>
    <x v="9"/>
    <s v="電熱水瓶4.5L"/>
    <s v="細電"/>
    <s v="SDA"/>
    <s v="45sf"/>
    <n v="1"/>
    <n v="500"/>
    <n v="500"/>
    <n v="6027086"/>
    <m/>
    <m/>
    <s v="PLK-45SFIH(WT) 6027086"/>
    <n v="788"/>
    <n v="0.63451776649746194"/>
    <s v="Toshiba SRP"/>
    <n v="110"/>
    <s v="1106027086"/>
  </r>
  <r>
    <n v="76"/>
    <s v="Aeon"/>
    <s v="LCk"/>
    <x v="1"/>
    <n v="3"/>
    <x v="1"/>
    <x v="1"/>
    <s v="磁應電飯煲(1.5公升)"/>
    <s v="細電"/>
    <s v="SDA"/>
    <s v="15ist"/>
    <n v="1"/>
    <n v="500"/>
    <n v="500"/>
    <n v="6027281"/>
    <m/>
    <m/>
    <s v="RC-15ISTHK(W) 6027281"/>
    <n v="1688"/>
    <n v="0.29620853080568721"/>
    <s v="Toshiba SRP"/>
    <n v="110"/>
    <s v="1106027281"/>
  </r>
  <r>
    <n v="77"/>
    <s v="Aeon"/>
    <s v="LCk"/>
    <x v="1"/>
    <n v="3"/>
    <x v="2"/>
    <x v="4"/>
    <s v="RO座檯式飲水機"/>
    <s v="細電"/>
    <s v="KWH"/>
    <s v="tsr76"/>
    <n v="1"/>
    <n v="1500"/>
    <n v="1500"/>
    <n v="6027368"/>
    <m/>
    <m/>
    <s v="TWP-TSR76THK(W) 6027368"/>
    <n v="2680"/>
    <n v="0.55970149253731338"/>
    <s v="Toshiba SRP"/>
    <n v="110"/>
    <s v="1106027368"/>
  </r>
  <r>
    <n v="78"/>
    <s v="Aeon"/>
    <s v="LCk"/>
    <x v="1"/>
    <n v="3"/>
    <x v="2"/>
    <x v="10"/>
    <s v="變頻上置式雙門雪櫃313L "/>
    <s v="大電"/>
    <s v="REF"/>
    <s v="rt416"/>
    <n v="1"/>
    <n v="2888"/>
    <n v="2888"/>
    <n v="6027333"/>
    <m/>
    <m/>
    <s v="GR-RT416WE-PMA(06) 6027333"/>
    <n v="5380"/>
    <n v="0.53680297397769516"/>
    <s v="Toshiba SRP"/>
    <n v="110"/>
    <s v="1106027333"/>
  </r>
  <r>
    <n v="79"/>
    <s v="Aeon"/>
    <s v="LCk"/>
    <x v="1"/>
    <n v="3"/>
    <x v="2"/>
    <x v="1"/>
    <s v="磁應電飯煲(1.5公升)"/>
    <s v="細電"/>
    <s v="SDA"/>
    <s v="15ist"/>
    <n v="1"/>
    <n v="500"/>
    <n v="500"/>
    <n v="5975471"/>
    <m/>
    <m/>
    <s v="RC-15ISTHK(W) 5975471"/>
    <n v="1688"/>
    <n v="0.29620853080568721"/>
    <s v="Toshiba SRP"/>
    <n v="110"/>
    <s v="1105975471"/>
  </r>
  <r>
    <n v="80"/>
    <s v="Aeon"/>
    <s v="LCk"/>
    <x v="1"/>
    <n v="3"/>
    <x v="2"/>
    <x v="1"/>
    <s v="磁應電飯煲(1.5公升)"/>
    <s v="細電"/>
    <s v="SDA"/>
    <s v="15ist"/>
    <n v="1"/>
    <n v="500"/>
    <n v="500"/>
    <n v="6027038"/>
    <m/>
    <m/>
    <s v="RC-15ISTHK(W) 6027038"/>
    <n v="1688"/>
    <n v="0.29620853080568721"/>
    <s v="Toshiba SRP"/>
    <n v="110"/>
    <s v="1106027038"/>
  </r>
  <r>
    <n v="81"/>
    <s v="Aeon"/>
    <s v="LCk"/>
    <x v="1"/>
    <n v="3"/>
    <x v="2"/>
    <x v="15"/>
    <s v="Induction Cooker"/>
    <s v="細電"/>
    <s v="SDA"/>
    <s v="21ts"/>
    <n v="1"/>
    <n v="500"/>
    <n v="500"/>
    <n v="6027271"/>
    <m/>
    <m/>
    <s v="IC-21TSHK 6027271"/>
    <n v="998"/>
    <n v="0.50100200400801598"/>
    <s v="Web SRP"/>
    <n v="110"/>
    <s v="1106027271"/>
  </r>
  <r>
    <n v="82"/>
    <s v="Aeon"/>
    <s v="LCk"/>
    <x v="1"/>
    <n v="3"/>
    <x v="2"/>
    <x v="9"/>
    <s v="電熱水瓶4.5L"/>
    <s v="細電"/>
    <s v="SDA"/>
    <s v="45sf"/>
    <n v="1"/>
    <n v="500"/>
    <n v="500"/>
    <n v="6027389"/>
    <m/>
    <m/>
    <s v="PLK-45SFIH(WT) 6027389"/>
    <n v="788"/>
    <n v="0.63451776649746194"/>
    <s v="Toshiba SRP"/>
    <n v="110"/>
    <s v="1106027389"/>
  </r>
  <r>
    <n v="83"/>
    <s v="Aeon"/>
    <s v="LCk"/>
    <x v="1"/>
    <n v="3"/>
    <x v="2"/>
    <x v="2"/>
    <s v="雙門變頻式環保雪櫃"/>
    <s v="大電"/>
    <s v="AC"/>
    <s v="a26hsz"/>
    <n v="1"/>
    <n v="1500"/>
    <n v="1500"/>
    <n v="6027252"/>
    <m/>
    <m/>
    <s v="GR-A26HSZ(DS) 6027252"/>
    <n v="3780"/>
    <n v="0.3968253968253968"/>
    <s v="Toshiba SRP"/>
    <n v="110"/>
    <s v="1106027252"/>
  </r>
  <r>
    <n v="84"/>
    <s v="Aeon"/>
    <s v="LCk"/>
    <x v="1"/>
    <n v="3"/>
    <x v="2"/>
    <x v="6"/>
    <s v="旋鈕式微波爐24L"/>
    <s v="細電"/>
    <s v="SDA"/>
    <s v="mm24"/>
    <n v="1"/>
    <n v="500"/>
    <n v="500"/>
    <n v="6027324"/>
    <m/>
    <m/>
    <s v="MW2-MM24PC(BK) 6027324"/>
    <n v="848"/>
    <n v="0.589622641509434"/>
    <s v="Toshiba SRP"/>
    <n v="110"/>
    <s v="1106027324"/>
  </r>
  <r>
    <n v="85"/>
    <s v="Aeon"/>
    <s v="LCk"/>
    <x v="1"/>
    <n v="3"/>
    <x v="2"/>
    <x v="6"/>
    <s v="旋鈕式微波爐24L"/>
    <s v="細電"/>
    <s v="SDA"/>
    <s v="mm24"/>
    <n v="1"/>
    <n v="500"/>
    <n v="500"/>
    <n v="6027322"/>
    <m/>
    <m/>
    <s v="MW2-MM24PC(BK) 6027322"/>
    <n v="848"/>
    <n v="0.589622641509434"/>
    <s v="Toshiba SRP"/>
    <n v="110"/>
    <s v="1106027322"/>
  </r>
  <r>
    <n v="86"/>
    <s v="Aeon"/>
    <s v="LCk"/>
    <x v="1"/>
    <n v="3"/>
    <x v="3"/>
    <x v="15"/>
    <s v="Induction Cooker"/>
    <s v="細電"/>
    <s v="SDA"/>
    <s v="21ts"/>
    <n v="1"/>
    <n v="500"/>
    <n v="500"/>
    <n v="6027387"/>
    <m/>
    <m/>
    <s v="IC-21TSHK 6027387"/>
    <n v="998"/>
    <n v="0.50100200400801598"/>
    <s v="Web SRP"/>
    <n v="110"/>
    <s v="1106027387"/>
  </r>
  <r>
    <n v="87"/>
    <s v="Aeon"/>
    <s v="LCk"/>
    <x v="1"/>
    <n v="3"/>
    <x v="3"/>
    <x v="5"/>
    <s v="全自動洗衣機 (8公斤 結合高低水位)"/>
    <s v="大電"/>
    <s v="WM"/>
    <s v="m901"/>
    <n v="1"/>
    <n v="1500"/>
    <n v="1500"/>
    <n v="6027950"/>
    <m/>
    <m/>
    <s v="AW-M901BPH(WW) 6027950"/>
    <n v="3580"/>
    <n v="0.41899441340782123"/>
    <s v="Toshiba SRP"/>
    <n v="110"/>
    <s v="1106027950"/>
  </r>
  <r>
    <n v="88"/>
    <s v="Aeon"/>
    <s v="LCk"/>
    <x v="1"/>
    <n v="3"/>
    <x v="3"/>
    <x v="5"/>
    <s v="全自動洗衣機 (8公斤 結合高低水位)"/>
    <s v="大電"/>
    <s v="WM"/>
    <s v="m901"/>
    <n v="1"/>
    <n v="1500"/>
    <n v="1500"/>
    <n v="6027947"/>
    <m/>
    <m/>
    <s v="AW-M901BPH(WW) 6027947"/>
    <n v="3580"/>
    <n v="0.41899441340782123"/>
    <s v="Toshiba SRP"/>
    <n v="110"/>
    <s v="1106027947"/>
  </r>
  <r>
    <n v="89"/>
    <s v="Aeon"/>
    <s v="LCk"/>
    <x v="1"/>
    <n v="3"/>
    <x v="3"/>
    <x v="0"/>
    <s v="超薄身前置式洗衣乾衣機 (洗8公斤 乾5公斤)"/>
    <s v="大電"/>
    <s v="WM"/>
    <s v="bn90"/>
    <n v="1"/>
    <n v="3588"/>
    <n v="3588"/>
    <n v="6027934"/>
    <m/>
    <m/>
    <s v="TWD-BN90GF4H(WK) 6027934"/>
    <n v="5980"/>
    <n v="0.6"/>
    <s v="Toshiba SRP"/>
    <n v="110"/>
    <s v="1106027934"/>
  </r>
  <r>
    <n v="90"/>
    <s v="Aeon"/>
    <s v="LCk"/>
    <x v="1"/>
    <n v="3"/>
    <x v="3"/>
    <x v="15"/>
    <s v="Induction Cooker"/>
    <s v="細電"/>
    <s v="SDA"/>
    <s v="21ts"/>
    <n v="1"/>
    <n v="500"/>
    <n v="500"/>
    <n v="6027908"/>
    <m/>
    <m/>
    <s v="IC-21TSHK 6027908"/>
    <n v="998"/>
    <n v="0.50100200400801598"/>
    <s v="Web SRP"/>
    <n v="110"/>
    <s v="1106027908"/>
  </r>
  <r>
    <n v="91"/>
    <s v="Aeon"/>
    <s v="LCk"/>
    <x v="1"/>
    <n v="3"/>
    <x v="3"/>
    <x v="15"/>
    <s v="Induction Cooker"/>
    <s v="細電"/>
    <s v="SDA"/>
    <s v="21ts"/>
    <n v="1"/>
    <n v="500"/>
    <n v="500"/>
    <n v="5858129"/>
    <m/>
    <m/>
    <s v="IC-21TSHK 5858129"/>
    <n v="998"/>
    <n v="0.50100200400801598"/>
    <s v="Web SRP"/>
    <n v="110"/>
    <s v="1105858129"/>
  </r>
  <r>
    <n v="92"/>
    <s v="Aeon"/>
    <s v="LCk"/>
    <x v="1"/>
    <n v="3"/>
    <x v="3"/>
    <x v="1"/>
    <s v="磁應電飯煲(1.5公升)"/>
    <s v="細電"/>
    <s v="SDA"/>
    <s v="15ist"/>
    <n v="1"/>
    <n v="500"/>
    <n v="500"/>
    <n v="6027290"/>
    <m/>
    <m/>
    <s v="RC-15ISTHK(W) 6027290"/>
    <n v="1688"/>
    <n v="0.29620853080568721"/>
    <s v="Toshiba SRP"/>
    <n v="110"/>
    <s v="1106027290"/>
  </r>
  <r>
    <n v="93"/>
    <s v="Aeon"/>
    <s v="LCk"/>
    <x v="1"/>
    <n v="3"/>
    <x v="3"/>
    <x v="5"/>
    <s v="全自動洗衣機 (8公斤 結合高低水位)"/>
    <s v="大電"/>
    <s v="WM"/>
    <s v="m901"/>
    <n v="1"/>
    <n v="1500"/>
    <n v="1500"/>
    <n v="6194048"/>
    <m/>
    <m/>
    <s v="AW-M901BPH(WW) 6194048"/>
    <n v="3580"/>
    <n v="0.41899441340782123"/>
    <s v="Toshiba SRP"/>
    <n v="110"/>
    <s v="1106194048"/>
  </r>
  <r>
    <n v="94"/>
    <s v="Aeon"/>
    <s v="LCk"/>
    <x v="1"/>
    <n v="3"/>
    <x v="3"/>
    <x v="1"/>
    <s v="磁應電飯煲(1.5公升)"/>
    <s v="細電"/>
    <s v="SDA"/>
    <s v="15ist"/>
    <n v="1"/>
    <n v="500"/>
    <n v="500"/>
    <n v="6027903"/>
    <m/>
    <m/>
    <s v="RC-15ISTHK(W) 6027903"/>
    <n v="1688"/>
    <n v="0.29620853080568721"/>
    <s v="Toshiba SRP"/>
    <n v="110"/>
    <s v="1106027903"/>
  </r>
  <r>
    <n v="95"/>
    <s v="Aeon"/>
    <s v="LCk"/>
    <x v="1"/>
    <n v="3"/>
    <x v="3"/>
    <x v="1"/>
    <s v="磁應電飯煲(1.5公升)"/>
    <s v="細電"/>
    <s v="SDA"/>
    <s v="15ist"/>
    <n v="1"/>
    <n v="500"/>
    <n v="500"/>
    <n v="6027917"/>
    <m/>
    <m/>
    <s v="RC-15ISTHK(W) 6027917"/>
    <n v="1688"/>
    <n v="0.29620853080568721"/>
    <s v="Toshiba SRP"/>
    <n v="110"/>
    <s v="1106027917"/>
  </r>
  <r>
    <n v="96"/>
    <s v="Aeon"/>
    <s v="LCk"/>
    <x v="1"/>
    <n v="3"/>
    <x v="3"/>
    <x v="1"/>
    <s v="磁應電飯煲(1.5公升)"/>
    <s v="細電"/>
    <s v="SDA"/>
    <s v="15ist"/>
    <n v="1"/>
    <n v="500"/>
    <n v="500"/>
    <n v="6027908"/>
    <s v="6027903&gt;6027908"/>
    <m/>
    <s v="RC-15ISTHK(W) 6027908"/>
    <n v="1688"/>
    <n v="0.29620853080568721"/>
    <s v="Toshiba SRP"/>
    <n v="110"/>
    <s v="1106027908"/>
  </r>
  <r>
    <n v="97"/>
    <s v="Aeon"/>
    <s v="LCk"/>
    <x v="1"/>
    <n v="3"/>
    <x v="3"/>
    <x v="5"/>
    <s v="全自動洗衣機 (8公斤 結合高低水位)"/>
    <s v="大電"/>
    <s v="WM"/>
    <s v="m901"/>
    <n v="1"/>
    <n v="1500"/>
    <n v="1500"/>
    <n v="6027412"/>
    <m/>
    <m/>
    <s v="AW-M901BPH(WW) 6027412"/>
    <n v="3580"/>
    <n v="0.41899441340782123"/>
    <s v="Toshiba SRP"/>
    <n v="110"/>
    <s v="1106027412"/>
  </r>
  <r>
    <n v="98"/>
    <s v="Aeon"/>
    <s v="LCk"/>
    <x v="1"/>
    <n v="3"/>
    <x v="3"/>
    <x v="5"/>
    <s v="全自動洗衣機 (8公斤 結合高低水位)"/>
    <s v="大電"/>
    <s v="WM"/>
    <s v="m901"/>
    <n v="1"/>
    <n v="1500"/>
    <n v="1500"/>
    <n v="6027928"/>
    <m/>
    <m/>
    <s v="AW-M901BPH(WW) 6027928"/>
    <n v="3580"/>
    <n v="0.41899441340782123"/>
    <s v="Toshiba SRP"/>
    <n v="110"/>
    <s v="1106027928"/>
  </r>
  <r>
    <n v="99"/>
    <s v="Aeon"/>
    <s v="LCk"/>
    <x v="1"/>
    <n v="3"/>
    <x v="3"/>
    <x v="11"/>
    <s v="座檯式純蒸氣烤焗水波爐30L"/>
    <s v="細電"/>
    <s v="SDA"/>
    <s v="td5000"/>
    <n v="1"/>
    <n v="3588"/>
    <n v="3588"/>
    <n v="6027921"/>
    <m/>
    <m/>
    <s v="ER-TD5000HK(XK) 6027921"/>
    <n v="7998"/>
    <n v="0.44861215303825958"/>
    <s v="Toshiba SRP"/>
    <n v="110"/>
    <s v="1106027921"/>
  </r>
  <r>
    <n v="100"/>
    <s v="Aeon"/>
    <s v="LCk"/>
    <x v="1"/>
    <n v="3"/>
    <x v="3"/>
    <x v="4"/>
    <s v="RO座檯式飲水機"/>
    <s v="細電"/>
    <s v="KWH"/>
    <s v="tsr76"/>
    <n v="1"/>
    <n v="1500"/>
    <n v="1500"/>
    <n v="6027918"/>
    <m/>
    <m/>
    <s v="TWP-TSR76THK(W) 6027918"/>
    <n v="2680"/>
    <n v="0.55970149253731338"/>
    <s v="Toshiba SRP"/>
    <n v="110"/>
    <s v="1106027918"/>
  </r>
  <r>
    <n v="101"/>
    <s v="Aeon"/>
    <s v="LCk"/>
    <x v="1"/>
    <n v="3"/>
    <x v="3"/>
    <x v="6"/>
    <s v="旋鈕式微波爐24L"/>
    <s v="細電"/>
    <s v="SDA"/>
    <s v="mm24"/>
    <n v="1"/>
    <n v="500"/>
    <n v="500"/>
    <n v="6027906"/>
    <m/>
    <m/>
    <s v="MW2-MM24PC(BK) 6027906"/>
    <n v="848"/>
    <n v="0.589622641509434"/>
    <s v="Toshiba SRP"/>
    <n v="110"/>
    <s v="1106027906"/>
  </r>
  <r>
    <n v="102"/>
    <s v="Aeon"/>
    <s v="LCk"/>
    <x v="1"/>
    <n v="3"/>
    <x v="3"/>
    <x v="6"/>
    <s v="旋鈕式微波爐24L"/>
    <s v="細電"/>
    <s v="SDA"/>
    <s v="mm24"/>
    <n v="1"/>
    <n v="500"/>
    <n v="500"/>
    <n v="6027930"/>
    <m/>
    <m/>
    <s v="MW2-MM24PC(BK) 6027930"/>
    <n v="848"/>
    <n v="0.589622641509434"/>
    <s v="Toshiba SRP"/>
    <n v="110"/>
    <s v="1106027930"/>
  </r>
  <r>
    <n v="103"/>
    <s v="Aeon"/>
    <s v="LCk"/>
    <x v="1"/>
    <n v="3"/>
    <x v="3"/>
    <x v="16"/>
    <s v="輕便式電磁爐"/>
    <s v="細電"/>
    <s v="SDA"/>
    <s v="20r1"/>
    <n v="1"/>
    <n v="290"/>
    <n v="290"/>
    <n v="3118098"/>
    <m/>
    <m/>
    <s v="IC-20R1THK 3118098"/>
    <n v="438"/>
    <n v="0.66210045662100458"/>
    <s v="Shops Highest Price"/>
    <n v="110"/>
    <s v="1103118098"/>
  </r>
  <r>
    <n v="104"/>
    <s v="Aeon"/>
    <s v="LCk"/>
    <x v="1"/>
    <n v="3"/>
    <x v="4"/>
    <x v="5"/>
    <s v="全自動洗衣機 (8公斤 結合高低水位)"/>
    <s v="大電"/>
    <s v="WM"/>
    <s v="m901"/>
    <n v="1"/>
    <n v="1500"/>
    <n v="1500"/>
    <n v="6027444"/>
    <m/>
    <m/>
    <s v="AW-M901BPH(WW) 6027444"/>
    <n v="3580"/>
    <n v="0.41899441340782123"/>
    <s v="Toshiba SRP"/>
    <n v="110"/>
    <s v="1106027444"/>
  </r>
  <r>
    <n v="105"/>
    <s v="Aeon"/>
    <s v="LCk"/>
    <x v="1"/>
    <n v="3"/>
    <x v="4"/>
    <x v="5"/>
    <s v="全自動洗衣機 (8公斤 結合高低水位)"/>
    <s v="大電"/>
    <s v="WM"/>
    <s v="m901"/>
    <n v="1"/>
    <n v="1500"/>
    <n v="1500"/>
    <n v="6027981"/>
    <m/>
    <m/>
    <s v="AW-M901BPH(WW) 6027981"/>
    <n v="3580"/>
    <n v="0.41899441340782123"/>
    <s v="Toshiba SRP"/>
    <n v="110"/>
    <s v="1106027981"/>
  </r>
  <r>
    <n v="106"/>
    <s v="Aeon"/>
    <s v="LCk"/>
    <x v="1"/>
    <n v="3"/>
    <x v="4"/>
    <x v="5"/>
    <s v="全自動洗衣機 (8公斤 結合高低水位)"/>
    <s v="大電"/>
    <s v="WM"/>
    <s v="m901"/>
    <n v="1"/>
    <n v="1500"/>
    <n v="1500"/>
    <n v="6027101"/>
    <m/>
    <m/>
    <s v="AW-M901BPH(WW) 6027101"/>
    <n v="3580"/>
    <n v="0.41899441340782123"/>
    <s v="Toshiba SRP"/>
    <n v="110"/>
    <s v="1106027101"/>
  </r>
  <r>
    <n v="107"/>
    <s v="Aeon"/>
    <s v="LCk"/>
    <x v="1"/>
    <n v="3"/>
    <x v="4"/>
    <x v="0"/>
    <s v="超薄身前置式洗衣乾衣機 (洗8公斤 乾5公斤)"/>
    <s v="大電"/>
    <s v="WM"/>
    <s v="bn90"/>
    <n v="1"/>
    <n v="3588"/>
    <n v="3588"/>
    <n v="6027990"/>
    <m/>
    <m/>
    <s v="TWD-BN90GF4H(WK) 6027990"/>
    <n v="5980"/>
    <n v="0.6"/>
    <s v="Toshiba SRP"/>
    <n v="110"/>
    <s v="1106027990"/>
  </r>
  <r>
    <n v="108"/>
    <s v="Aeon"/>
    <s v="LCk"/>
    <x v="1"/>
    <n v="3"/>
    <x v="4"/>
    <x v="0"/>
    <s v="超薄身前置式洗衣乾衣機 (洗8公斤 乾5公斤)"/>
    <s v="大電"/>
    <s v="WM"/>
    <s v="bn90"/>
    <n v="1"/>
    <n v="3588"/>
    <n v="3588"/>
    <n v="6027960"/>
    <m/>
    <m/>
    <s v="TWD-BN90GF4H(WK) 6027960"/>
    <n v="5980"/>
    <n v="0.6"/>
    <s v="Toshiba SRP"/>
    <n v="110"/>
    <s v="1106027960"/>
  </r>
  <r>
    <n v="109"/>
    <s v="Aeon"/>
    <s v="LCk"/>
    <x v="1"/>
    <n v="3"/>
    <x v="4"/>
    <x v="11"/>
    <s v="座檯式純蒸氣烤焗水波爐30L"/>
    <s v="細電"/>
    <s v="SDA"/>
    <s v="td5000"/>
    <n v="1"/>
    <n v="3588"/>
    <n v="3588"/>
    <n v="6027988"/>
    <m/>
    <m/>
    <s v="ER-TD5000HK(XK) 6027988"/>
    <n v="7998"/>
    <n v="0.44861215303825958"/>
    <s v="Toshiba SRP"/>
    <n v="110"/>
    <s v="1106027988"/>
  </r>
  <r>
    <n v="110"/>
    <s v="Aeon"/>
    <s v="LCk"/>
    <x v="1"/>
    <n v="3"/>
    <x v="4"/>
    <x v="1"/>
    <s v="磁應電飯煲(1.5公升)"/>
    <s v="細電"/>
    <s v="SDA"/>
    <s v="15ist"/>
    <n v="1"/>
    <n v="500"/>
    <n v="500"/>
    <n v="6027964"/>
    <m/>
    <m/>
    <s v="RC-15ISTHK(W) 6027964"/>
    <n v="1688"/>
    <n v="0.29620853080568721"/>
    <s v="Toshiba SRP"/>
    <n v="110"/>
    <s v="1106027964"/>
  </r>
  <r>
    <n v="111"/>
    <s v="Aeon"/>
    <s v="LCk"/>
    <x v="1"/>
    <n v="3"/>
    <x v="4"/>
    <x v="1"/>
    <s v="磁應電飯煲(1.5公升)"/>
    <s v="細電"/>
    <s v="SDA"/>
    <s v="15ist"/>
    <n v="1"/>
    <n v="500"/>
    <n v="500"/>
    <n v="6027967"/>
    <m/>
    <m/>
    <s v="RC-15ISTHK(W) 6027967"/>
    <n v="1688"/>
    <n v="0.29620853080568721"/>
    <s v="Toshiba SRP"/>
    <n v="110"/>
    <s v="1106027967"/>
  </r>
  <r>
    <n v="112"/>
    <s v="Aeon"/>
    <s v="LCk"/>
    <x v="1"/>
    <n v="3"/>
    <x v="4"/>
    <x v="1"/>
    <s v="磁應電飯煲(1.5公升)"/>
    <s v="細電"/>
    <s v="SDA"/>
    <s v="15ist"/>
    <n v="2"/>
    <n v="500"/>
    <n v="1000"/>
    <n v="6027429"/>
    <m/>
    <m/>
    <s v="RC-15ISTHK(W) 6027429"/>
    <n v="1688"/>
    <n v="0.29620853080568721"/>
    <s v="Toshiba SRP"/>
    <n v="110"/>
    <s v="1106027429"/>
  </r>
  <r>
    <n v="113"/>
    <s v="Aeon"/>
    <s v="LCk"/>
    <x v="1"/>
    <n v="3"/>
    <x v="4"/>
    <x v="17"/>
    <s v="4毫米厚釜電飯煲1L"/>
    <s v="細電"/>
    <s v="SDA"/>
    <s v="10nmf"/>
    <n v="1"/>
    <n v="720"/>
    <n v="720"/>
    <n v="6027918"/>
    <m/>
    <m/>
    <s v="RC-10NMFIH(WT) 6027918"/>
    <n v="898"/>
    <n v="0.80178173719376389"/>
    <s v="Toshiba SRP"/>
    <n v="110"/>
    <s v="1106027918"/>
  </r>
  <r>
    <n v="114"/>
    <s v="Aeon"/>
    <s v="LCk"/>
    <x v="1"/>
    <n v="3"/>
    <x v="4"/>
    <x v="16"/>
    <s v="輕便式電磁爐"/>
    <s v="細電"/>
    <s v="SDA"/>
    <s v="20r1"/>
    <n v="1"/>
    <n v="290"/>
    <n v="290"/>
    <n v="7039626"/>
    <m/>
    <m/>
    <s v="IC-20R1THK 7039626"/>
    <n v="438"/>
    <n v="0.66210045662100458"/>
    <s v="Shops Highest Price"/>
    <n v="110"/>
    <s v="1107039626"/>
  </r>
  <r>
    <n v="115"/>
    <s v="Aeon"/>
    <s v="TKO"/>
    <x v="2"/>
    <n v="3"/>
    <x v="0"/>
    <x v="1"/>
    <s v="磁應電飯煲(1.5公升)"/>
    <s v="細電"/>
    <s v="SDA"/>
    <s v="15ist"/>
    <n v="1"/>
    <n v="500"/>
    <n v="500"/>
    <n v="4016587"/>
    <m/>
    <m/>
    <s v="RC-15ISTHK(W) 4016587"/>
    <n v="1688"/>
    <n v="0.29620853080568721"/>
    <s v="Toshiba SRP"/>
    <n v="110"/>
    <s v="1104016587"/>
  </r>
  <r>
    <n v="116"/>
    <s v="Aeon"/>
    <s v="TKO"/>
    <x v="2"/>
    <n v="3"/>
    <x v="0"/>
    <x v="18"/>
    <s v="Comfee 1匹變頻窗口式冷氣機"/>
    <s v="大電"/>
    <s v="RAC"/>
    <s v="09crf"/>
    <n v="1"/>
    <n v="3588"/>
    <n v="3588"/>
    <n v="4016603"/>
    <m/>
    <m/>
    <s v="CWF-09CRFN8-AD5 4016603"/>
    <n v="4600"/>
    <n v="0.78"/>
    <s v="Shops Highest Price"/>
    <n v="110"/>
    <s v="1104016603"/>
  </r>
  <r>
    <n v="117"/>
    <s v="Aeon"/>
    <s v="TKO"/>
    <x v="2"/>
    <n v="3"/>
    <x v="0"/>
    <x v="1"/>
    <s v="磁應電飯煲(1.5公升)"/>
    <s v="細電"/>
    <s v="SDA"/>
    <s v="15ist"/>
    <n v="1"/>
    <n v="500"/>
    <n v="500"/>
    <n v="4016604"/>
    <m/>
    <m/>
    <s v="RC-15ISTHK(W) 4016604"/>
    <n v="1688"/>
    <n v="0.29620853080568721"/>
    <s v="Toshiba SRP"/>
    <n v="110"/>
    <s v="1104016604"/>
  </r>
  <r>
    <n v="118"/>
    <s v="Aeon"/>
    <s v="TKO"/>
    <x v="2"/>
    <n v="3"/>
    <x v="0"/>
    <x v="13"/>
    <s v="獨立式免安裝洗碗碟機"/>
    <s v="細電"/>
    <s v="DM"/>
    <s v="34ahk"/>
    <n v="1"/>
    <n v="1500"/>
    <n v="1500"/>
    <n v="4016579"/>
    <m/>
    <m/>
    <s v="DWS-34AHK 4016579"/>
    <n v="3999"/>
    <n v="0.37509377344336087"/>
    <s v="Web SRP"/>
    <n v="110"/>
    <s v="1104016579"/>
  </r>
  <r>
    <n v="119"/>
    <s v="Aeon"/>
    <s v="TKO"/>
    <x v="2"/>
    <n v="3"/>
    <x v="0"/>
    <x v="0"/>
    <s v="超薄身前置式洗衣乾衣機 (洗8公斤 乾5公斤)"/>
    <s v="大電"/>
    <s v="WM"/>
    <s v="bn90"/>
    <n v="1"/>
    <n v="3588"/>
    <n v="3588"/>
    <n v="4016574"/>
    <m/>
    <m/>
    <s v="TWD-BN90GF4H(WK) 4016574"/>
    <n v="5980"/>
    <n v="0.6"/>
    <s v="Toshiba SRP"/>
    <n v="110"/>
    <s v="1104016574"/>
  </r>
  <r>
    <n v="120"/>
    <s v="Aeon"/>
    <s v="TKO"/>
    <x v="2"/>
    <n v="3"/>
    <x v="0"/>
    <x v="14"/>
    <s v="21L壓縮式抽濕機"/>
    <s v="大電"/>
    <s v="RAC"/>
    <s v="y200"/>
    <n v="1"/>
    <n v="1500"/>
    <n v="1500"/>
    <n v="4016571"/>
    <m/>
    <m/>
    <s v="RAD-Y200H 4016571"/>
    <n v="3280"/>
    <n v="0.45731707317073172"/>
    <s v="Toshiba SRP"/>
    <n v="110"/>
    <s v="1104016571"/>
  </r>
  <r>
    <n v="121"/>
    <s v="Aeon"/>
    <s v="TKO"/>
    <x v="2"/>
    <n v="3"/>
    <x v="0"/>
    <x v="9"/>
    <s v="電熱水瓶4.5L"/>
    <s v="細電"/>
    <s v="SDA"/>
    <s v="45sf"/>
    <n v="1"/>
    <n v="500"/>
    <n v="500"/>
    <n v="4016571"/>
    <m/>
    <m/>
    <s v="PLK-45SFIH(WT) 4016571"/>
    <n v="788"/>
    <n v="0.63451776649746194"/>
    <s v="Toshiba SRP"/>
    <n v="110"/>
    <s v="1104016571"/>
  </r>
  <r>
    <n v="122"/>
    <s v="Aeon"/>
    <s v="TKO"/>
    <x v="2"/>
    <n v="3"/>
    <x v="0"/>
    <x v="6"/>
    <s v="旋鈕式微波爐24L"/>
    <s v="細電"/>
    <s v="SDA"/>
    <s v="mm24"/>
    <n v="1"/>
    <n v="500"/>
    <n v="500"/>
    <n v="4016572"/>
    <m/>
    <m/>
    <s v="MW2-MM24PC(BK) 4016572"/>
    <n v="848"/>
    <n v="0.589622641509434"/>
    <s v="Toshiba SRP"/>
    <n v="110"/>
    <s v="1104016572"/>
  </r>
  <r>
    <n v="123"/>
    <s v="Aeon"/>
    <s v="TKO"/>
    <x v="2"/>
    <n v="3"/>
    <x v="0"/>
    <x v="14"/>
    <s v="21L壓縮式抽濕機"/>
    <s v="大電"/>
    <s v="RAC"/>
    <s v="y200"/>
    <n v="1"/>
    <n v="1500"/>
    <n v="1500"/>
    <n v="4016444"/>
    <m/>
    <m/>
    <s v="RAD-Y200H 4016444"/>
    <n v="3280"/>
    <n v="0.45731707317073172"/>
    <s v="Toshiba SRP"/>
    <n v="110"/>
    <s v="1104016444"/>
  </r>
  <r>
    <n v="124"/>
    <s v="Aeon"/>
    <s v="TKO"/>
    <x v="2"/>
    <n v="3"/>
    <x v="0"/>
    <x v="10"/>
    <s v="變頻上置式雙門雪櫃313L "/>
    <s v="大電"/>
    <s v="REF"/>
    <s v="rt416"/>
    <n v="1"/>
    <n v="2888"/>
    <n v="2888"/>
    <n v="4026484"/>
    <m/>
    <m/>
    <s v="GR-RT416WE-PMA(06) 4026484"/>
    <n v="5380"/>
    <n v="0.53680297397769516"/>
    <s v="Toshiba SRP"/>
    <n v="110"/>
    <s v="1104026484"/>
  </r>
  <r>
    <n v="125"/>
    <s v="Aeon"/>
    <s v="TKO"/>
    <x v="2"/>
    <n v="3"/>
    <x v="0"/>
    <x v="15"/>
    <s v="Induction Cooker"/>
    <s v="細電"/>
    <s v="SDA"/>
    <s v="21ts"/>
    <n v="1"/>
    <n v="500"/>
    <n v="500"/>
    <n v="4026485"/>
    <m/>
    <m/>
    <s v="IC-21TSHK 4026485"/>
    <n v="998"/>
    <n v="0.50100200400801598"/>
    <s v="Web SRP"/>
    <n v="110"/>
    <s v="1104026485"/>
  </r>
  <r>
    <n v="126"/>
    <s v="Aeon"/>
    <s v="TKO"/>
    <x v="2"/>
    <n v="3"/>
    <x v="0"/>
    <x v="1"/>
    <s v="磁應電飯煲(1.5公升)"/>
    <s v="細電"/>
    <s v="SDA"/>
    <s v="15ist"/>
    <n v="1"/>
    <n v="500"/>
    <n v="500"/>
    <n v="4016526"/>
    <m/>
    <m/>
    <s v="RC-15ISTHK(W) 4016526"/>
    <n v="1688"/>
    <n v="0.29620853080568721"/>
    <s v="Toshiba SRP"/>
    <n v="110"/>
    <s v="1104016526"/>
  </r>
  <r>
    <n v="127"/>
    <s v="Aeon"/>
    <s v="TKO"/>
    <x v="2"/>
    <n v="3"/>
    <x v="0"/>
    <x v="3"/>
    <s v="7.5KG超薄身前置式變頻洗衣機"/>
    <s v="大電"/>
    <s v="WM"/>
    <s v="bl85a2"/>
    <n v="1"/>
    <n v="2588"/>
    <n v="2588"/>
    <n v="4026479"/>
    <m/>
    <m/>
    <s v="TW-BL85A2H(WW) 4026479"/>
    <n v="5080"/>
    <n v="0.50944881889763782"/>
    <s v="Toshiba SRP"/>
    <n v="110"/>
    <s v="1104026479"/>
  </r>
  <r>
    <n v="128"/>
    <s v="Aeon"/>
    <s v="TKO"/>
    <x v="2"/>
    <n v="3"/>
    <x v="0"/>
    <x v="14"/>
    <s v="21L壓縮式抽濕機"/>
    <s v="大電"/>
    <s v="RAC"/>
    <s v="y200"/>
    <n v="1"/>
    <n v="1500"/>
    <n v="1500"/>
    <n v="4026480"/>
    <m/>
    <m/>
    <s v="RAD-Y200H 4026480"/>
    <n v="3280"/>
    <n v="0.45731707317073172"/>
    <s v="Toshiba SRP"/>
    <n v="110"/>
    <s v="1104026480"/>
  </r>
  <r>
    <n v="129"/>
    <s v="Aeon"/>
    <s v="TKO"/>
    <x v="2"/>
    <n v="3"/>
    <x v="0"/>
    <x v="1"/>
    <s v="磁應電飯煲(1.5公升)"/>
    <s v="細電"/>
    <s v="SDA"/>
    <s v="15ist"/>
    <n v="1"/>
    <n v="500"/>
    <n v="500"/>
    <n v="4016428"/>
    <m/>
    <m/>
    <s v="RC-15ISTHK(W) 4016428"/>
    <n v="1688"/>
    <n v="0.29620853080568721"/>
    <s v="Toshiba SRP"/>
    <n v="110"/>
    <s v="1104016428"/>
  </r>
  <r>
    <n v="130"/>
    <s v="Aeon"/>
    <s v="TKO"/>
    <x v="2"/>
    <n v="3"/>
    <x v="0"/>
    <x v="3"/>
    <s v="7.5KG超薄身前置式變頻洗衣機"/>
    <s v="大電"/>
    <s v="WM"/>
    <s v="bl85a2"/>
    <n v="1"/>
    <n v="2588"/>
    <n v="2588"/>
    <n v="4026472"/>
    <m/>
    <m/>
    <s v="TW-BL85A2H(WW) 4026472"/>
    <n v="5080"/>
    <n v="0.50944881889763782"/>
    <s v="Toshiba SRP"/>
    <n v="110"/>
    <s v="1104026472"/>
  </r>
  <r>
    <n v="131"/>
    <s v="Aeon"/>
    <s v="TKO"/>
    <x v="2"/>
    <n v="3"/>
    <x v="0"/>
    <x v="19"/>
    <s v="Comfee 2匹變頻窗口式冷氣機"/>
    <s v="大電"/>
    <s v="RAC"/>
    <s v="18crf"/>
    <n v="1"/>
    <n v="4588"/>
    <n v="4588"/>
    <n v="4026465"/>
    <m/>
    <m/>
    <s v="CWF-18CRFN8-AD5 4026465"/>
    <n v="6600"/>
    <n v="0.69515151515151519"/>
    <s v="Shops Highest Price"/>
    <n v="110"/>
    <s v="1104026465"/>
  </r>
  <r>
    <n v="132"/>
    <s v="Aeon"/>
    <s v="TKO"/>
    <x v="2"/>
    <n v="3"/>
    <x v="0"/>
    <x v="14"/>
    <s v="21L壓縮式抽濕機"/>
    <s v="大電"/>
    <s v="RAC"/>
    <s v="y200"/>
    <n v="1"/>
    <n v="1500"/>
    <n v="1500"/>
    <n v="4026427"/>
    <m/>
    <m/>
    <s v="RAD-Y200H 4026427"/>
    <n v="3280"/>
    <n v="0.45731707317073172"/>
    <s v="Toshiba SRP"/>
    <n v="110"/>
    <s v="1104026427"/>
  </r>
  <r>
    <n v="133"/>
    <s v="Aeon"/>
    <s v="TKO"/>
    <x v="2"/>
    <n v="3"/>
    <x v="0"/>
    <x v="9"/>
    <s v="電熱水瓶4.5L"/>
    <s v="細電"/>
    <s v="SDA"/>
    <s v="45sf"/>
    <n v="1"/>
    <n v="500"/>
    <n v="500"/>
    <n v="4026427"/>
    <m/>
    <m/>
    <s v="PLK-45SFIH(WT) 4026427"/>
    <n v="788"/>
    <n v="0.63451776649746194"/>
    <s v="Toshiba SRP"/>
    <n v="110"/>
    <s v="1104026427"/>
  </r>
  <r>
    <n v="134"/>
    <s v="Aeon"/>
    <s v="TKO"/>
    <x v="2"/>
    <n v="3"/>
    <x v="0"/>
    <x v="19"/>
    <s v="Comfee 2匹變頻窗口式冷氣機"/>
    <s v="大電"/>
    <s v="RAC"/>
    <s v="18crf"/>
    <n v="1"/>
    <n v="4588"/>
    <n v="4588"/>
    <n v="4026640"/>
    <s v="$4288&gt;4588"/>
    <m/>
    <s v="CWF-18CRFN8-AD5 4026640"/>
    <n v="6600"/>
    <n v="0.69515151515151519"/>
    <s v="Shops Highest Price"/>
    <n v="110"/>
    <s v="1104026640"/>
  </r>
  <r>
    <n v="135"/>
    <s v="Aeon"/>
    <s v="TKO"/>
    <x v="2"/>
    <n v="3"/>
    <x v="1"/>
    <x v="1"/>
    <s v="磁應電飯煲(1.5公升)"/>
    <s v="細電"/>
    <s v="SDA"/>
    <s v="15ist"/>
    <n v="1"/>
    <n v="500"/>
    <n v="500"/>
    <n v="4026644"/>
    <m/>
    <m/>
    <s v="RC-15ISTHK(W) 4026644"/>
    <n v="1688"/>
    <n v="0.29620853080568721"/>
    <s v="Toshiba SRP"/>
    <n v="110"/>
    <s v="1104026644"/>
  </r>
  <r>
    <n v="136"/>
    <s v="Aeon"/>
    <s v="TKO"/>
    <x v="2"/>
    <n v="3"/>
    <x v="1"/>
    <x v="1"/>
    <s v="磁應電飯煲(1.5公升)"/>
    <s v="細電"/>
    <s v="SDA"/>
    <s v="15ist"/>
    <n v="1"/>
    <n v="500"/>
    <n v="500"/>
    <n v="4026761"/>
    <m/>
    <m/>
    <s v="RC-15ISTHK(W) 4026761"/>
    <n v="1688"/>
    <n v="0.29620853080568721"/>
    <s v="Toshiba SRP"/>
    <n v="110"/>
    <s v="1104026761"/>
  </r>
  <r>
    <n v="137"/>
    <s v="Aeon"/>
    <s v="TKO"/>
    <x v="2"/>
    <n v="3"/>
    <x v="1"/>
    <x v="0"/>
    <s v="超薄身前置式洗衣乾衣機 (洗8公斤 乾5公斤)"/>
    <s v="大電"/>
    <s v="WM"/>
    <s v="bn90"/>
    <n v="1"/>
    <n v="3588"/>
    <n v="3588"/>
    <n v="4026760"/>
    <m/>
    <m/>
    <s v="TWD-BN90GF4H(WK) 4026760"/>
    <n v="5980"/>
    <n v="0.6"/>
    <s v="Toshiba SRP"/>
    <n v="110"/>
    <s v="1104026760"/>
  </r>
  <r>
    <n v="138"/>
    <s v="Aeon"/>
    <s v="TKO"/>
    <x v="2"/>
    <n v="3"/>
    <x v="1"/>
    <x v="4"/>
    <s v="RO座檯式飲水機"/>
    <s v="細電"/>
    <s v="KWH"/>
    <s v="tsr76"/>
    <n v="1"/>
    <n v="1500"/>
    <n v="1500"/>
    <n v="4018190"/>
    <m/>
    <m/>
    <s v="TWP-TSR76THK(W) 4018190"/>
    <n v="2680"/>
    <n v="0.55970149253731338"/>
    <s v="Toshiba SRP"/>
    <n v="110"/>
    <s v="1104018190"/>
  </r>
  <r>
    <n v="139"/>
    <s v="Aeon"/>
    <s v="TKO"/>
    <x v="2"/>
    <n v="3"/>
    <x v="1"/>
    <x v="5"/>
    <s v="全自動洗衣機 (8公斤 結合高低水位)"/>
    <s v="大電"/>
    <s v="WM"/>
    <s v="m901"/>
    <n v="1"/>
    <n v="1500"/>
    <n v="1500"/>
    <n v="4018373"/>
    <m/>
    <m/>
    <s v="AW-M901BPH(WW) 4018373"/>
    <n v="3580"/>
    <n v="0.41899441340782123"/>
    <s v="Toshiba SRP"/>
    <n v="110"/>
    <s v="1104018373"/>
  </r>
  <r>
    <n v="140"/>
    <s v="Aeon"/>
    <s v="TKO"/>
    <x v="2"/>
    <n v="3"/>
    <x v="1"/>
    <x v="3"/>
    <s v="7.5KG超薄身前置式變頻洗衣機"/>
    <s v="大電"/>
    <s v="WM"/>
    <s v="bl85a2"/>
    <n v="1"/>
    <n v="2588"/>
    <n v="2588"/>
    <n v="4026652"/>
    <m/>
    <m/>
    <s v="TW-BL85A2H(WW) 4026652"/>
    <n v="5080"/>
    <n v="0.50944881889763782"/>
    <s v="Toshiba SRP"/>
    <n v="110"/>
    <s v="1104026652"/>
  </r>
  <r>
    <n v="141"/>
    <s v="Aeon"/>
    <s v="TKO"/>
    <x v="2"/>
    <n v="3"/>
    <x v="2"/>
    <x v="2"/>
    <s v="雙門變頻式環保雪櫃"/>
    <s v="大電"/>
    <s v="AC"/>
    <s v="a26hsz"/>
    <n v="1"/>
    <n v="1500"/>
    <n v="1500"/>
    <n v="4018572"/>
    <m/>
    <m/>
    <s v="GR-A26HSZ(DS) 4018572"/>
    <n v="3780"/>
    <n v="0.3968253968253968"/>
    <s v="Toshiba SRP"/>
    <n v="110"/>
    <s v="1104018572"/>
  </r>
  <r>
    <n v="142"/>
    <s v="Aeon"/>
    <s v="TKO"/>
    <x v="2"/>
    <n v="3"/>
    <x v="2"/>
    <x v="4"/>
    <s v="RO座檯式飲水機"/>
    <s v="細電"/>
    <s v="KWH"/>
    <s v="tsr76"/>
    <n v="1"/>
    <n v="1500"/>
    <n v="1500"/>
    <n v="4019382"/>
    <m/>
    <m/>
    <s v="TWP-TSR76THK(W) 4019382"/>
    <n v="2680"/>
    <n v="0.55970149253731338"/>
    <s v="Toshiba SRP"/>
    <n v="110"/>
    <s v="1104019382"/>
  </r>
  <r>
    <n v="143"/>
    <s v="Aeon"/>
    <s v="TKO"/>
    <x v="2"/>
    <n v="3"/>
    <x v="2"/>
    <x v="1"/>
    <s v="磁應電飯煲(1.5公升)"/>
    <s v="細電"/>
    <s v="SDA"/>
    <s v="15ist"/>
    <n v="1"/>
    <n v="500"/>
    <n v="500"/>
    <n v="4019409"/>
    <m/>
    <m/>
    <s v="RC-15ISTHK(W) 4019409"/>
    <n v="1688"/>
    <n v="0.29620853080568721"/>
    <s v="Toshiba SRP"/>
    <n v="110"/>
    <s v="1104019409"/>
  </r>
  <r>
    <n v="144"/>
    <s v="Aeon"/>
    <s v="TKO"/>
    <x v="2"/>
    <n v="3"/>
    <x v="2"/>
    <x v="6"/>
    <s v="旋鈕式微波爐24L"/>
    <s v="細電"/>
    <s v="SDA"/>
    <s v="mm24"/>
    <n v="1"/>
    <n v="500"/>
    <n v="500"/>
    <n v="4019125"/>
    <m/>
    <m/>
    <s v="MW2-MM24PC(BK) 4019125"/>
    <n v="848"/>
    <n v="0.589622641509434"/>
    <s v="Toshiba SRP"/>
    <n v="110"/>
    <s v="1104019125"/>
  </r>
  <r>
    <n v="145"/>
    <s v="Aeon"/>
    <s v="TKO"/>
    <x v="2"/>
    <n v="3"/>
    <x v="2"/>
    <x v="1"/>
    <s v="磁應電飯煲(1.5公升)"/>
    <s v="細電"/>
    <s v="SDA"/>
    <s v="15ist"/>
    <n v="1"/>
    <n v="500"/>
    <n v="500"/>
    <n v="4027689"/>
    <m/>
    <m/>
    <s v="RC-15ISTHK(W) 4027689"/>
    <n v="1688"/>
    <n v="0.29620853080568721"/>
    <s v="Toshiba SRP"/>
    <n v="110"/>
    <s v="1104027689"/>
  </r>
  <r>
    <n v="146"/>
    <s v="Aeon"/>
    <s v="TKO"/>
    <x v="2"/>
    <n v="3"/>
    <x v="2"/>
    <x v="20"/>
    <s v="壓縮式抽濕機 (22公升)"/>
    <s v="細電"/>
    <s v="RAC"/>
    <s v="d200"/>
    <n v="1"/>
    <n v="2280"/>
    <n v="2280"/>
    <n v="4028068"/>
    <m/>
    <m/>
    <s v="RAD-D200H 4028068"/>
    <n v="2880"/>
    <n v="0.79166666666666663"/>
    <s v="Shops Highest Price"/>
    <n v="110"/>
    <s v="1104028068"/>
  </r>
  <r>
    <n v="147"/>
    <s v="Aeon"/>
    <s v="TKO"/>
    <x v="2"/>
    <n v="3"/>
    <x v="3"/>
    <x v="19"/>
    <s v="Comfee 2匹變頻窗口式冷氣機"/>
    <s v="大電"/>
    <s v="RAC"/>
    <s v="18crfn"/>
    <n v="1"/>
    <n v="4588"/>
    <n v="4588"/>
    <n v="4028883"/>
    <m/>
    <m/>
    <s v="CWF-18CRFN8-AD5 4028883"/>
    <n v="6600"/>
    <n v="0.69515151515151519"/>
    <s v="Shops Highest Price"/>
    <n v="110"/>
    <s v="1104028883"/>
  </r>
  <r>
    <n v="148"/>
    <s v="Aeon"/>
    <s v="TKO"/>
    <x v="2"/>
    <n v="3"/>
    <x v="3"/>
    <x v="11"/>
    <s v="座檯式純蒸氣烤焗水波爐30L"/>
    <s v="細電"/>
    <s v="SDA"/>
    <s v="td5000"/>
    <n v="1"/>
    <n v="3588"/>
    <n v="3588"/>
    <n v="4028236"/>
    <m/>
    <m/>
    <s v="ER-TD5000HK(XK) 4028236"/>
    <n v="7998"/>
    <n v="0.44861215303825958"/>
    <s v="Toshiba SRP"/>
    <n v="110"/>
    <s v="1104028236"/>
  </r>
  <r>
    <n v="149"/>
    <s v="Aeon"/>
    <s v="TKO"/>
    <x v="2"/>
    <n v="3"/>
    <x v="3"/>
    <x v="9"/>
    <s v="電熱水瓶4.5L"/>
    <s v="細電"/>
    <s v="SDA"/>
    <s v="45sf"/>
    <n v="1"/>
    <n v="500"/>
    <n v="500"/>
    <n v="4010388"/>
    <m/>
    <m/>
    <s v="PLK-45SFIH(WT) 4010388"/>
    <n v="788"/>
    <n v="0.63451776649746194"/>
    <s v="Toshiba SRP"/>
    <n v="110"/>
    <s v="1104010388"/>
  </r>
  <r>
    <n v="150"/>
    <s v="Aeon"/>
    <s v="TKO"/>
    <x v="2"/>
    <n v="3"/>
    <x v="3"/>
    <x v="13"/>
    <s v="獨立式免安裝洗碗碟機"/>
    <s v="細電"/>
    <s v="DM"/>
    <s v="34ahk"/>
    <n v="1"/>
    <n v="1500"/>
    <n v="1500"/>
    <n v="4029714"/>
    <s v="4029174&gt;4029714"/>
    <m/>
    <s v="DWS-34AHK 4029714"/>
    <n v="3999"/>
    <n v="0.37509377344336087"/>
    <s v="Web SRP"/>
    <n v="110"/>
    <s v="1104029714"/>
  </r>
  <r>
    <n v="151"/>
    <s v="Aeon"/>
    <s v="TKO"/>
    <x v="2"/>
    <n v="3"/>
    <x v="3"/>
    <x v="3"/>
    <s v="7.5KG超薄身前置式變頻洗衣機"/>
    <s v="大電"/>
    <s v="WM"/>
    <s v="bl85a2"/>
    <n v="1"/>
    <n v="2588"/>
    <n v="2588"/>
    <n v="4012203"/>
    <m/>
    <m/>
    <s v="TW-BL85A2H(WW) 4012203"/>
    <n v="5080"/>
    <n v="0.50944881889763782"/>
    <s v="Toshiba SRP"/>
    <n v="110"/>
    <s v="1104012203"/>
  </r>
  <r>
    <n v="152"/>
    <s v="Aeon"/>
    <s v="TKO"/>
    <x v="2"/>
    <n v="3"/>
    <x v="4"/>
    <x v="3"/>
    <s v="7.5KG超薄身前置式變頻洗衣機"/>
    <s v="大電"/>
    <s v="WM"/>
    <s v="bl85a2"/>
    <n v="1"/>
    <n v="2588"/>
    <n v="2588"/>
    <n v="4029663"/>
    <m/>
    <m/>
    <s v="TW-BL85A2H(WW) 4029663"/>
    <n v="5080"/>
    <n v="0.50944881889763782"/>
    <s v="Toshiba SRP"/>
    <n v="110"/>
    <s v="1104029663"/>
  </r>
  <r>
    <n v="153"/>
    <s v="Aeon"/>
    <s v="TKO"/>
    <x v="2"/>
    <n v="3"/>
    <x v="4"/>
    <x v="13"/>
    <s v="獨立式免安裝洗碗碟機"/>
    <s v="細電"/>
    <s v="DM"/>
    <s v="34ahk"/>
    <n v="1"/>
    <n v="1500"/>
    <n v="1500"/>
    <n v="4029717"/>
    <m/>
    <m/>
    <s v="DWS-34AHK 4029717"/>
    <n v="3999"/>
    <n v="0.37509377344336087"/>
    <s v="Web SRP"/>
    <n v="110"/>
    <s v="1104029717"/>
  </r>
  <r>
    <n v="154"/>
    <s v="Aeon"/>
    <s v="TKO"/>
    <x v="2"/>
    <n v="3"/>
    <x v="4"/>
    <x v="1"/>
    <s v="磁應電飯煲(1.5公升)"/>
    <s v="細電"/>
    <s v="SDA"/>
    <s v="15ist"/>
    <n v="1"/>
    <n v="500"/>
    <n v="500"/>
    <n v="4029743"/>
    <m/>
    <m/>
    <s v="RC-15ISTHK(W) 4029743"/>
    <n v="1688"/>
    <n v="0.29620853080568721"/>
    <s v="Toshiba SRP"/>
    <n v="110"/>
    <s v="1104029743"/>
  </r>
  <r>
    <n v="155"/>
    <s v="Aeon"/>
    <s v="TKO"/>
    <x v="2"/>
    <n v="3"/>
    <x v="4"/>
    <x v="2"/>
    <s v="雙門變頻式環保雪櫃"/>
    <s v="大電"/>
    <s v="AC"/>
    <s v="a26hsz"/>
    <n v="1"/>
    <n v="1500"/>
    <n v="1500"/>
    <n v="4029671"/>
    <m/>
    <m/>
    <s v="GR-A26HSZ(DS) 4029671"/>
    <n v="3780"/>
    <n v="0.3968253968253968"/>
    <s v="Toshiba SRP"/>
    <n v="110"/>
    <s v="1104029671"/>
  </r>
  <r>
    <n v="156"/>
    <s v="Aeon"/>
    <s v="TKO"/>
    <x v="2"/>
    <n v="3"/>
    <x v="4"/>
    <x v="2"/>
    <s v="雙門變頻式環保雪櫃"/>
    <s v="大電"/>
    <s v="AC"/>
    <s v="a26hsz"/>
    <n v="1"/>
    <n v="1500"/>
    <n v="1500"/>
    <n v="4029664"/>
    <m/>
    <m/>
    <s v="GR-A26HSZ(DS) 4029664"/>
    <n v="3780"/>
    <n v="0.3968253968253968"/>
    <s v="Toshiba SRP"/>
    <n v="110"/>
    <s v="1104029664"/>
  </r>
  <r>
    <n v="157"/>
    <s v="Aeon"/>
    <s v="TKO"/>
    <x v="2"/>
    <n v="3"/>
    <x v="4"/>
    <x v="1"/>
    <s v="磁應電飯煲(1.5公升)"/>
    <s v="細電"/>
    <s v="SDA"/>
    <s v="15ist"/>
    <n v="1"/>
    <n v="500"/>
    <n v="500"/>
    <n v="4029668"/>
    <m/>
    <m/>
    <s v="RC-15ISTHK(W) 4029668"/>
    <n v="1688"/>
    <n v="0.29620853080568721"/>
    <s v="Toshiba SRP"/>
    <n v="110"/>
    <s v="1104029668"/>
  </r>
  <r>
    <n v="158"/>
    <s v="Aeon"/>
    <s v="TKO"/>
    <x v="2"/>
    <n v="3"/>
    <x v="4"/>
    <x v="1"/>
    <s v="磁應電飯煲(1.5公升)"/>
    <s v="細電"/>
    <s v="SDA"/>
    <s v="15ist"/>
    <n v="1"/>
    <n v="500"/>
    <n v="500"/>
    <n v="4012249"/>
    <m/>
    <m/>
    <s v="RC-15ISTHK(W) 4012249"/>
    <n v="1688"/>
    <n v="0.29620853080568721"/>
    <s v="Toshiba SRP"/>
    <n v="110"/>
    <s v="1104012249"/>
  </r>
  <r>
    <n v="159"/>
    <s v="Aeon"/>
    <s v="TKO"/>
    <x v="2"/>
    <n v="3"/>
    <x v="4"/>
    <x v="11"/>
    <s v="座檯式純蒸氣烤焗水波爐30L"/>
    <s v="細電"/>
    <s v="SDA"/>
    <s v="td5000"/>
    <n v="1"/>
    <n v="3588"/>
    <n v="3588"/>
    <n v="4012235"/>
    <m/>
    <m/>
    <s v="ER-TD5000HK(XK) 4012235"/>
    <n v="7998"/>
    <n v="0.44861215303825958"/>
    <s v="Toshiba SRP"/>
    <n v="110"/>
    <s v="1104012235"/>
  </r>
  <r>
    <n v="160"/>
    <s v="Aeon"/>
    <s v="TKO"/>
    <x v="2"/>
    <n v="3"/>
    <x v="4"/>
    <x v="9"/>
    <s v="電熱水瓶4.5L"/>
    <s v="細電"/>
    <s v="SDA"/>
    <s v="45sf"/>
    <n v="1"/>
    <n v="500"/>
    <n v="500"/>
    <n v="4012179"/>
    <m/>
    <m/>
    <s v="PLK-45SFIH(WT) 4012179"/>
    <n v="788"/>
    <n v="0.63451776649746194"/>
    <s v="Toshiba SRP"/>
    <n v="110"/>
    <s v="1104012179"/>
  </r>
  <r>
    <n v="161"/>
    <s v="Aeon"/>
    <s v="TKO"/>
    <x v="2"/>
    <n v="3"/>
    <x v="4"/>
    <x v="1"/>
    <s v="磁應電飯煲(1.5公升)"/>
    <s v="細電"/>
    <s v="SDA"/>
    <s v="15ist"/>
    <n v="1"/>
    <n v="500"/>
    <n v="500"/>
    <n v="4012286"/>
    <m/>
    <m/>
    <s v="RC-15ISTHK(W) 4012286"/>
    <n v="1688"/>
    <n v="0.29620853080568721"/>
    <s v="Toshiba SRP"/>
    <n v="110"/>
    <s v="1104012286"/>
  </r>
  <r>
    <n v="162"/>
    <s v="Aeon"/>
    <s v="TKO"/>
    <x v="2"/>
    <n v="3"/>
    <x v="4"/>
    <x v="5"/>
    <s v="全自動洗衣機 (8公斤 結合高低水位)"/>
    <s v="大電"/>
    <s v="WM"/>
    <s v="m901"/>
    <n v="1"/>
    <n v="1500"/>
    <n v="1500"/>
    <n v="4029669"/>
    <m/>
    <m/>
    <s v="AW-M901BPH(WW) 4029669"/>
    <n v="3580"/>
    <n v="0.41899441340782123"/>
    <s v="Toshiba SRP"/>
    <n v="110"/>
    <s v="1104029669"/>
  </r>
  <r>
    <n v="163"/>
    <s v="Aeon"/>
    <s v="TKO"/>
    <x v="2"/>
    <n v="3"/>
    <x v="4"/>
    <x v="1"/>
    <s v="磁應電飯煲(1.5公升)"/>
    <s v="細電"/>
    <s v="SDA"/>
    <s v="15ist"/>
    <n v="1"/>
    <n v="500"/>
    <n v="500"/>
    <n v="4029679"/>
    <m/>
    <m/>
    <s v="RC-15ISTHK(W) 4029679"/>
    <n v="1688"/>
    <n v="0.29620853080568721"/>
    <s v="Toshiba SRP"/>
    <n v="110"/>
    <s v="1104029679"/>
  </r>
  <r>
    <n v="164"/>
    <s v="Aeon"/>
    <s v="TKO"/>
    <x v="2"/>
    <n v="3"/>
    <x v="4"/>
    <x v="14"/>
    <s v="21L壓縮式抽濕機"/>
    <s v="大電"/>
    <s v="RAC"/>
    <s v="y200"/>
    <n v="1"/>
    <n v="1980"/>
    <n v="1980"/>
    <n v="4012263"/>
    <m/>
    <m/>
    <s v="RAD-Y200H 4012263"/>
    <n v="3280"/>
    <n v="0.60365853658536583"/>
    <s v="Toshiba SRP"/>
    <n v="110"/>
    <s v="1104012263"/>
  </r>
  <r>
    <n v="165"/>
    <s v="Aeon"/>
    <s v="TKO"/>
    <x v="2"/>
    <n v="3"/>
    <x v="4"/>
    <x v="1"/>
    <s v="磁應電飯煲(1.5公升)"/>
    <s v="細電"/>
    <s v="SDA"/>
    <s v="15ist"/>
    <n v="1"/>
    <n v="500"/>
    <n v="500"/>
    <n v="4029760"/>
    <m/>
    <m/>
    <s v="RC-15ISTHK(W) 4029760"/>
    <n v="1688"/>
    <n v="0.29620853080568721"/>
    <s v="Toshiba SRP"/>
    <n v="110"/>
    <s v="1104029760"/>
  </r>
  <r>
    <n v="166"/>
    <s v="Aeon"/>
    <s v="TKO"/>
    <x v="2"/>
    <n v="3"/>
    <x v="4"/>
    <x v="21"/>
    <s v="壓縮式抽濕機 (30公升)"/>
    <s v="細電"/>
    <s v="RAC"/>
    <s v="d300"/>
    <n v="1"/>
    <n v="2980"/>
    <n v="2980"/>
    <n v="4029732"/>
    <m/>
    <m/>
    <s v="RAD-D300H 4029732"/>
    <n v="3380"/>
    <n v="0.88165680473372776"/>
    <s v="Shops Highest Price"/>
    <n v="110"/>
    <s v="1104029732"/>
  </r>
  <r>
    <n v="167"/>
    <s v="Aeon"/>
    <s v="TKO"/>
    <x v="2"/>
    <n v="3"/>
    <x v="4"/>
    <x v="9"/>
    <s v="電熱水瓶4.5L"/>
    <s v="細電"/>
    <s v="SDA"/>
    <s v="45sf"/>
    <n v="1"/>
    <n v="500"/>
    <n v="500"/>
    <n v="4029787"/>
    <m/>
    <m/>
    <s v="PLK-45SFIH(WT) 4029787"/>
    <n v="788"/>
    <n v="0.63451776649746194"/>
    <s v="Toshiba SRP"/>
    <n v="110"/>
    <s v="1104029787"/>
  </r>
  <r>
    <n v="168"/>
    <s v="Aeon"/>
    <s v="TKO"/>
    <x v="2"/>
    <n v="3"/>
    <x v="4"/>
    <x v="15"/>
    <s v="Induction Cooker"/>
    <s v="細電"/>
    <s v="SDA"/>
    <s v="21ts"/>
    <n v="1"/>
    <n v="500"/>
    <n v="500"/>
    <n v="4029797"/>
    <m/>
    <m/>
    <s v="IC-21TSHK 4029797"/>
    <n v="998"/>
    <n v="0.50100200400801598"/>
    <s v="Web SRP"/>
    <n v="110"/>
    <s v="1104029797"/>
  </r>
  <r>
    <n v="169"/>
    <s v="Aeon"/>
    <s v="TKO"/>
    <x v="2"/>
    <n v="3"/>
    <x v="4"/>
    <x v="13"/>
    <s v="獨立式免安裝洗碗碟機"/>
    <s v="細電"/>
    <s v="DM"/>
    <s v="34ahk"/>
    <n v="1"/>
    <n v="1500"/>
    <n v="1500"/>
    <n v="4029793"/>
    <m/>
    <m/>
    <s v="DWS-34AHK 4029793"/>
    <n v="3999"/>
    <n v="0.37509377344336087"/>
    <s v="Web SRP"/>
    <n v="110"/>
    <s v="1104029793"/>
  </r>
  <r>
    <n v="170"/>
    <s v="Aeon"/>
    <s v="Yau Tong"/>
    <x v="3"/>
    <n v="3"/>
    <x v="0"/>
    <x v="5"/>
    <s v="全自動洗衣機 (8公斤 結合高低水位)"/>
    <s v="大電"/>
    <s v="WM"/>
    <s v="m901"/>
    <n v="1"/>
    <n v="1500"/>
    <n v="1500"/>
    <n v="5926389"/>
    <m/>
    <m/>
    <s v="AW-M901BPH(WW) 5926389"/>
    <n v="3580"/>
    <n v="0.41899441340782123"/>
    <s v="Toshiba SRP"/>
    <n v="110"/>
    <s v="1105926389"/>
  </r>
  <r>
    <n v="171"/>
    <s v="Aeon"/>
    <s v="Yau Tong"/>
    <x v="3"/>
    <n v="3"/>
    <x v="1"/>
    <x v="5"/>
    <s v="全自動洗衣機 (8公斤 結合高低水位)"/>
    <s v="大電"/>
    <s v="WM"/>
    <s v="m901"/>
    <n v="1"/>
    <n v="1500"/>
    <n v="1500"/>
    <n v="5926197"/>
    <m/>
    <m/>
    <s v="AW-M901BPH(WW) 5926197"/>
    <n v="3580"/>
    <n v="0.41899441340782123"/>
    <s v="Toshiba SRP"/>
    <n v="110"/>
    <s v="1105926197"/>
  </r>
  <r>
    <n v="172"/>
    <s v="Aeon"/>
    <s v="Yau Tong"/>
    <x v="3"/>
    <n v="3"/>
    <x v="1"/>
    <x v="6"/>
    <s v="旋鈕式微波爐24L"/>
    <s v="細電"/>
    <s v="SDA"/>
    <s v="mm24"/>
    <n v="1"/>
    <n v="500"/>
    <n v="500"/>
    <n v="5926197"/>
    <m/>
    <m/>
    <s v="MW2-MM24PC(BK) 5926197"/>
    <n v="848"/>
    <n v="0.589622641509434"/>
    <s v="Toshiba SRP"/>
    <n v="110"/>
    <s v="1105926197"/>
  </r>
  <r>
    <n v="173"/>
    <s v="Aeon"/>
    <s v="Yau Tong"/>
    <x v="3"/>
    <n v="3"/>
    <x v="3"/>
    <x v="11"/>
    <s v="座檯式純蒸氣烤焗水波爐30L"/>
    <s v="細電"/>
    <s v="SDA"/>
    <s v="td5000"/>
    <n v="1"/>
    <n v="3588"/>
    <n v="3588"/>
    <m/>
    <m/>
    <m/>
    <s v="ER-TD5000HK(XK) "/>
    <n v="7998"/>
    <n v="0.44861215303825958"/>
    <s v="Toshiba SRP"/>
    <n v="110"/>
    <s v="110"/>
  </r>
  <r>
    <n v="174"/>
    <s v="Aeon"/>
    <s v="Yau Tong"/>
    <x v="3"/>
    <n v="3"/>
    <x v="4"/>
    <x v="5"/>
    <s v="全自動洗衣機 (8公斤 結合高低水位)"/>
    <s v="大電"/>
    <s v="WM"/>
    <s v="m901"/>
    <n v="1"/>
    <n v="1500"/>
    <n v="1500"/>
    <n v="5926109"/>
    <m/>
    <m/>
    <s v="AW-M901BPH(WW) 5926109"/>
    <n v="3580"/>
    <n v="0.41899441340782123"/>
    <s v="Toshiba SRP"/>
    <n v="110"/>
    <s v="1105926109"/>
  </r>
  <r>
    <n v="175"/>
    <s v="Aeon"/>
    <s v="Yau Tong"/>
    <x v="3"/>
    <n v="3"/>
    <x v="4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n v="110"/>
    <s v="110"/>
  </r>
  <r>
    <n v="176"/>
    <s v="Aeon"/>
    <s v="Yau Tong"/>
    <x v="3"/>
    <n v="3"/>
    <x v="4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n v="110"/>
    <s v="110"/>
  </r>
  <r>
    <n v="177"/>
    <s v="Aeon"/>
    <s v="Megabox"/>
    <x v="4"/>
    <n v="3"/>
    <x v="0"/>
    <x v="15"/>
    <s v="Induction Cooker"/>
    <s v="細電"/>
    <s v="SDA"/>
    <s v="21ts"/>
    <n v="1"/>
    <n v="500"/>
    <n v="500"/>
    <n v="7017032"/>
    <m/>
    <m/>
    <s v="IC-21TSHK 7017032"/>
    <n v="998"/>
    <n v="0.50100200400801598"/>
    <s v="Web SRP"/>
    <n v="110"/>
    <s v="1107017032"/>
  </r>
  <r>
    <n v="178"/>
    <s v="Aeon"/>
    <s v="Megabox"/>
    <x v="4"/>
    <n v="3"/>
    <x v="0"/>
    <x v="15"/>
    <s v="Induction Cooker"/>
    <s v="細電"/>
    <s v="SDA"/>
    <s v="21ts"/>
    <n v="1"/>
    <n v="500"/>
    <n v="500"/>
    <n v="7065365"/>
    <m/>
    <m/>
    <s v="IC-21TSHK 7065365"/>
    <n v="998"/>
    <n v="0.50100200400801598"/>
    <s v="Web SRP"/>
    <n v="110"/>
    <s v="1107065365"/>
  </r>
  <r>
    <n v="179"/>
    <s v="Aeon"/>
    <s v="Megabox"/>
    <x v="4"/>
    <n v="3"/>
    <x v="0"/>
    <x v="15"/>
    <s v="Induction Cooker"/>
    <s v="細電"/>
    <s v="SDA"/>
    <s v="21ts"/>
    <n v="1"/>
    <n v="500"/>
    <n v="500"/>
    <n v="7027051"/>
    <m/>
    <m/>
    <s v="IC-21TSHK 7027051"/>
    <n v="998"/>
    <n v="0.50100200400801598"/>
    <s v="Web SRP"/>
    <n v="110"/>
    <s v="1107027051"/>
  </r>
  <r>
    <n v="180"/>
    <s v="Aeon"/>
    <s v="Megabox"/>
    <x v="4"/>
    <n v="3"/>
    <x v="0"/>
    <x v="6"/>
    <s v="旋鈕式微波爐24L"/>
    <s v="細電"/>
    <s v="SDA"/>
    <s v="mm24"/>
    <n v="1"/>
    <n v="500"/>
    <n v="500"/>
    <n v="7026898"/>
    <m/>
    <m/>
    <s v="MW2-MM24PC(BK) 7026898"/>
    <n v="848"/>
    <n v="0.589622641509434"/>
    <s v="Toshiba SRP"/>
    <n v="110"/>
    <s v="1107026898"/>
  </r>
  <r>
    <n v="181"/>
    <s v="Aeon"/>
    <s v="Megabox"/>
    <x v="4"/>
    <n v="3"/>
    <x v="0"/>
    <x v="9"/>
    <s v="電熱水瓶4.5L"/>
    <s v="細電"/>
    <s v="SDA"/>
    <s v="45sf"/>
    <n v="1"/>
    <n v="500"/>
    <n v="500"/>
    <n v="7017070"/>
    <m/>
    <m/>
    <s v="PLK-45SFIH(WT) 7017070"/>
    <n v="788"/>
    <n v="0.63451776649746194"/>
    <s v="Toshiba SRP"/>
    <n v="110"/>
    <s v="1107017070"/>
  </r>
  <r>
    <n v="182"/>
    <s v="Aeon"/>
    <s v="Megabox"/>
    <x v="4"/>
    <n v="3"/>
    <x v="0"/>
    <x v="1"/>
    <s v="磁應電飯煲(1.5公升)"/>
    <s v="細電"/>
    <s v="SDA"/>
    <s v="15ist"/>
    <n v="1"/>
    <n v="500"/>
    <n v="500"/>
    <n v="7026842"/>
    <m/>
    <m/>
    <s v="RC-15ISTHK(W) 7026842"/>
    <n v="1688"/>
    <n v="0.29620853080568721"/>
    <s v="Toshiba SRP"/>
    <n v="110"/>
    <s v="1107026842"/>
  </r>
  <r>
    <n v="183"/>
    <s v="Aeon"/>
    <s v="Megabox"/>
    <x v="4"/>
    <n v="3"/>
    <x v="0"/>
    <x v="1"/>
    <s v="磁應電飯煲(1.5公升)"/>
    <s v="細電"/>
    <s v="SDA"/>
    <s v="15ist"/>
    <n v="1"/>
    <n v="500"/>
    <n v="500"/>
    <n v="7026867"/>
    <m/>
    <m/>
    <s v="RC-15ISTHK(W) 7026867"/>
    <n v="1688"/>
    <n v="0.29620853080568721"/>
    <s v="Toshiba SRP"/>
    <n v="110"/>
    <s v="1107026867"/>
  </r>
  <r>
    <n v="184"/>
    <s v="Aeon"/>
    <s v="Megabox"/>
    <x v="4"/>
    <n v="3"/>
    <x v="0"/>
    <x v="1"/>
    <s v="磁應電飯煲(1.5公升)"/>
    <s v="細電"/>
    <s v="SDA"/>
    <s v="15ist"/>
    <n v="1"/>
    <n v="500"/>
    <n v="500"/>
    <n v="7017029"/>
    <m/>
    <m/>
    <s v="RC-15ISTHK(W) 7017029"/>
    <n v="1688"/>
    <n v="0.29620853080568721"/>
    <s v="Toshiba SRP"/>
    <n v="110"/>
    <s v="1107017029"/>
  </r>
  <r>
    <n v="185"/>
    <s v="Aeon"/>
    <s v="Megabox"/>
    <x v="4"/>
    <n v="3"/>
    <x v="0"/>
    <x v="1"/>
    <s v="磁應電飯煲(1.5公升)"/>
    <s v="細電"/>
    <s v="SDA"/>
    <s v="15ist"/>
    <n v="1"/>
    <n v="500"/>
    <n v="500"/>
    <n v="7065321"/>
    <m/>
    <m/>
    <s v="RC-15ISTHK(W) 7065321"/>
    <n v="1688"/>
    <n v="0.29620853080568721"/>
    <s v="Toshiba SRP"/>
    <n v="110"/>
    <s v="1107065321"/>
  </r>
  <r>
    <n v="186"/>
    <s v="Aeon"/>
    <s v="Megabox"/>
    <x v="4"/>
    <n v="3"/>
    <x v="0"/>
    <x v="1"/>
    <s v="磁應電飯煲(1.5公升)"/>
    <s v="細電"/>
    <s v="SDA"/>
    <s v="15ist"/>
    <n v="1"/>
    <n v="500"/>
    <n v="500"/>
    <n v="7026918"/>
    <m/>
    <m/>
    <s v="RC-15ISTHK(W) 7026918"/>
    <n v="1688"/>
    <n v="0.29620853080568721"/>
    <s v="Toshiba SRP"/>
    <n v="110"/>
    <s v="1107026918"/>
  </r>
  <r>
    <n v="187"/>
    <s v="Aeon"/>
    <s v="Megabox"/>
    <x v="4"/>
    <n v="3"/>
    <x v="0"/>
    <x v="1"/>
    <s v="磁應電飯煲(1.5公升)"/>
    <s v="細電"/>
    <s v="SDA"/>
    <s v="15ist"/>
    <n v="1"/>
    <n v="500"/>
    <n v="500"/>
    <n v="7017019"/>
    <m/>
    <m/>
    <s v="RC-15ISTHK(W) 7017019"/>
    <n v="1688"/>
    <n v="0.29620853080568721"/>
    <s v="Toshiba SRP"/>
    <n v="110"/>
    <s v="1107017019"/>
  </r>
  <r>
    <n v="188"/>
    <s v="Aeon"/>
    <s v="Megabox"/>
    <x v="4"/>
    <n v="3"/>
    <x v="0"/>
    <x v="1"/>
    <s v="磁應電飯煲(1.5公升)"/>
    <s v="細電"/>
    <s v="SDA"/>
    <s v="15ist"/>
    <n v="1"/>
    <n v="500"/>
    <n v="500"/>
    <n v="7016994"/>
    <m/>
    <m/>
    <s v="RC-15ISTHK(W) 7016994"/>
    <n v="1688"/>
    <n v="0.29620853080568721"/>
    <s v="Toshiba SRP"/>
    <n v="110"/>
    <s v="1107016994"/>
  </r>
  <r>
    <n v="189"/>
    <s v="Aeon"/>
    <s v="Megabox"/>
    <x v="4"/>
    <n v="3"/>
    <x v="0"/>
    <x v="1"/>
    <s v="磁應電飯煲(1.5公升)"/>
    <s v="細電"/>
    <s v="SDA"/>
    <s v="15ist"/>
    <n v="1"/>
    <n v="500"/>
    <n v="500"/>
    <n v="7016983"/>
    <m/>
    <m/>
    <s v="RC-15ISTHK(W) 7016983"/>
    <n v="1688"/>
    <n v="0.29620853080568721"/>
    <s v="Toshiba SRP"/>
    <n v="110"/>
    <s v="1107016983"/>
  </r>
  <r>
    <n v="190"/>
    <s v="Aeon"/>
    <s v="Megabox"/>
    <x v="4"/>
    <n v="3"/>
    <x v="0"/>
    <x v="1"/>
    <s v="磁應電飯煲(1.5公升)"/>
    <s v="細電"/>
    <s v="SDA"/>
    <s v="15ist"/>
    <n v="1"/>
    <n v="500"/>
    <n v="500"/>
    <n v="7016979"/>
    <m/>
    <m/>
    <s v="RC-15ISTHK(W) 7016979"/>
    <n v="1688"/>
    <n v="0.29620853080568721"/>
    <s v="Toshiba SRP"/>
    <n v="110"/>
    <s v="1107016979"/>
  </r>
  <r>
    <n v="191"/>
    <s v="Aeon"/>
    <s v="Megabox"/>
    <x v="4"/>
    <n v="3"/>
    <x v="0"/>
    <x v="1"/>
    <s v="磁應電飯煲(1.5公升)"/>
    <s v="細電"/>
    <s v="SDA"/>
    <s v="15ist"/>
    <n v="1"/>
    <n v="500"/>
    <n v="500"/>
    <n v="7026886"/>
    <m/>
    <m/>
    <s v="RC-15ISTHK(W) 7026886"/>
    <n v="1688"/>
    <n v="0.29620853080568721"/>
    <s v="Toshiba SRP"/>
    <n v="110"/>
    <s v="1107026886"/>
  </r>
  <r>
    <n v="192"/>
    <s v="Aeon"/>
    <s v="Megabox"/>
    <x v="4"/>
    <n v="3"/>
    <x v="0"/>
    <x v="1"/>
    <s v="磁應電飯煲(1.5公升)"/>
    <s v="細電"/>
    <s v="SDA"/>
    <s v="15ist"/>
    <n v="1"/>
    <n v="500"/>
    <n v="500"/>
    <n v="7017163"/>
    <m/>
    <m/>
    <s v="RC-15ISTHK(W) 7017163"/>
    <n v="1688"/>
    <n v="0.29620853080568721"/>
    <s v="Toshiba SRP"/>
    <n v="110"/>
    <s v="1107017163"/>
  </r>
  <r>
    <n v="193"/>
    <s v="Aeon"/>
    <s v="Megabox"/>
    <x v="4"/>
    <n v="3"/>
    <x v="0"/>
    <x v="1"/>
    <s v="磁應電飯煲(1.5公升)"/>
    <s v="細電"/>
    <s v="SDA"/>
    <s v="15ist"/>
    <n v="1"/>
    <n v="500"/>
    <n v="500"/>
    <n v="7065361"/>
    <m/>
    <m/>
    <s v="RC-15ISTHK(W) 7065361"/>
    <n v="1688"/>
    <n v="0.29620853080568721"/>
    <s v="Toshiba SRP"/>
    <n v="110"/>
    <s v="1107065361"/>
  </r>
  <r>
    <n v="194"/>
    <s v="Aeon"/>
    <s v="Megabox"/>
    <x v="4"/>
    <n v="3"/>
    <x v="0"/>
    <x v="1"/>
    <s v="磁應電飯煲(1.5公升)"/>
    <s v="細電"/>
    <s v="SDA"/>
    <s v="15ist"/>
    <n v="1"/>
    <n v="500"/>
    <n v="500"/>
    <n v="7017130"/>
    <m/>
    <m/>
    <s v="RC-15ISTHK(W) 7017130"/>
    <n v="1688"/>
    <n v="0.29620853080568721"/>
    <s v="Toshiba SRP"/>
    <n v="110"/>
    <s v="1107017130"/>
  </r>
  <r>
    <n v="195"/>
    <s v="Aeon"/>
    <s v="Megabox"/>
    <x v="4"/>
    <n v="3"/>
    <x v="0"/>
    <x v="1"/>
    <s v="磁應電飯煲(1.5公升)"/>
    <s v="細電"/>
    <s v="SDA"/>
    <s v="15ist"/>
    <n v="1"/>
    <n v="500"/>
    <n v="500"/>
    <n v="7027061"/>
    <m/>
    <m/>
    <s v="RC-15ISTHK(W) 7027061"/>
    <n v="1688"/>
    <n v="0.29620853080568721"/>
    <s v="Toshiba SRP"/>
    <n v="110"/>
    <s v="1107027061"/>
  </r>
  <r>
    <n v="196"/>
    <s v="Aeon"/>
    <s v="Megabox"/>
    <x v="4"/>
    <n v="3"/>
    <x v="0"/>
    <x v="1"/>
    <s v="磁應電飯煲(1.5公升)"/>
    <s v="細電"/>
    <s v="SDA"/>
    <s v="15ist"/>
    <n v="1"/>
    <n v="500"/>
    <n v="500"/>
    <n v="7017042"/>
    <m/>
    <m/>
    <s v="RC-15ISTHK(W) 7017042"/>
    <n v="1688"/>
    <n v="0.29620853080568721"/>
    <s v="Toshiba SRP"/>
    <n v="110"/>
    <s v="1107017042"/>
  </r>
  <r>
    <n v="197"/>
    <s v="Aeon"/>
    <s v="Megabox"/>
    <x v="4"/>
    <n v="3"/>
    <x v="0"/>
    <x v="5"/>
    <s v="全自動洗衣機 (8公斤 結合高低水位)"/>
    <s v="大電"/>
    <s v="WM"/>
    <s v="m901"/>
    <n v="1"/>
    <n v="1500"/>
    <n v="1500"/>
    <n v="7026907"/>
    <m/>
    <m/>
    <s v="AW-M901BPH(WW) 7026907"/>
    <n v="3580"/>
    <n v="0.41899441340782123"/>
    <s v="Toshiba SRP"/>
    <n v="110"/>
    <s v="1107026907"/>
  </r>
  <r>
    <n v="198"/>
    <s v="Aeon"/>
    <s v="Megabox"/>
    <x v="4"/>
    <n v="3"/>
    <x v="0"/>
    <x v="5"/>
    <s v="全自動洗衣機 (8公斤 結合高低水位)"/>
    <s v="大電"/>
    <s v="WM"/>
    <s v="m901"/>
    <n v="1"/>
    <n v="1500"/>
    <n v="1500"/>
    <n v="7026898"/>
    <m/>
    <m/>
    <s v="AW-M901BPH(WW) 7026898"/>
    <n v="3580"/>
    <n v="0.41899441340782123"/>
    <s v="Toshiba SRP"/>
    <n v="110"/>
    <s v="1107026898"/>
  </r>
  <r>
    <n v="199"/>
    <s v="Aeon"/>
    <s v="Megabox"/>
    <x v="4"/>
    <n v="3"/>
    <x v="0"/>
    <x v="5"/>
    <s v="全自動洗衣機 (8公斤 結合高低水位)"/>
    <s v="大電"/>
    <s v="WM"/>
    <s v="m901"/>
    <n v="1"/>
    <n v="1500"/>
    <n v="1500"/>
    <n v="7027061"/>
    <m/>
    <m/>
    <s v="AW-M901BPH(WW) 7027061"/>
    <n v="3580"/>
    <n v="0.41899441340782123"/>
    <s v="Toshiba SRP"/>
    <n v="110"/>
    <s v="1107027061"/>
  </r>
  <r>
    <n v="200"/>
    <s v="Aeon"/>
    <s v="Megabox"/>
    <x v="4"/>
    <n v="3"/>
    <x v="0"/>
    <x v="13"/>
    <s v="獨立式免安裝洗碗碟機"/>
    <s v="細電"/>
    <s v="DM"/>
    <s v="34ahk"/>
    <n v="1"/>
    <n v="1500"/>
    <n v="1500"/>
    <n v="7027060"/>
    <m/>
    <m/>
    <s v="DWS-34AHK 7027060"/>
    <n v="3999"/>
    <n v="0.37509377344336087"/>
    <s v="Web SRP"/>
    <n v="110"/>
    <s v="1107027060"/>
  </r>
  <r>
    <n v="201"/>
    <s v="Aeon"/>
    <s v="Megabox"/>
    <x v="4"/>
    <n v="3"/>
    <x v="0"/>
    <x v="13"/>
    <s v="獨立式免安裝洗碗碟機"/>
    <s v="細電"/>
    <s v="DM"/>
    <s v="34ahk"/>
    <n v="1"/>
    <n v="1500"/>
    <n v="1500"/>
    <n v="7017071"/>
    <m/>
    <m/>
    <s v="DWS-34AHK 7017071"/>
    <n v="3999"/>
    <n v="0.37509377344336087"/>
    <s v="Web SRP"/>
    <n v="110"/>
    <s v="1107017071"/>
  </r>
  <r>
    <n v="202"/>
    <s v="Aeon"/>
    <s v="Megabox"/>
    <x v="4"/>
    <n v="3"/>
    <x v="0"/>
    <x v="13"/>
    <s v="獨立式免安裝洗碗碟機"/>
    <s v="細電"/>
    <s v="DM"/>
    <s v="34ahk"/>
    <n v="1"/>
    <n v="1500"/>
    <n v="1500"/>
    <n v="7026996"/>
    <m/>
    <m/>
    <s v="DWS-34AHK 7026996"/>
    <n v="3999"/>
    <n v="0.37509377344336087"/>
    <s v="Web SRP"/>
    <n v="110"/>
    <s v="1107026996"/>
  </r>
  <r>
    <n v="203"/>
    <s v="Aeon"/>
    <s v="Megabox"/>
    <x v="4"/>
    <n v="3"/>
    <x v="0"/>
    <x v="13"/>
    <s v="獨立式免安裝洗碗碟機"/>
    <s v="細電"/>
    <s v="DM"/>
    <s v="34ahk"/>
    <n v="1"/>
    <n v="1500"/>
    <n v="1500"/>
    <n v="7017101"/>
    <m/>
    <m/>
    <s v="DWS-34AHK 7017101"/>
    <n v="3999"/>
    <n v="0.37509377344336087"/>
    <s v="Web SRP"/>
    <n v="110"/>
    <s v="1107017101"/>
  </r>
  <r>
    <n v="204"/>
    <s v="Aeon"/>
    <s v="Megabox"/>
    <x v="4"/>
    <n v="3"/>
    <x v="0"/>
    <x v="2"/>
    <s v="雙門變頻式環保雪櫃"/>
    <s v="大電"/>
    <s v="AC"/>
    <s v="a26hsz"/>
    <n v="1"/>
    <n v="1500"/>
    <n v="1500"/>
    <n v="7026870"/>
    <m/>
    <m/>
    <s v="GR-A26HSZ(DS) 7026870"/>
    <n v="3780"/>
    <n v="0.3968253968253968"/>
    <s v="Toshiba SRP"/>
    <n v="110"/>
    <s v="1107026870"/>
  </r>
  <r>
    <n v="205"/>
    <s v="Aeon"/>
    <s v="Megabox"/>
    <x v="4"/>
    <n v="3"/>
    <x v="0"/>
    <x v="2"/>
    <s v="雙門變頻式環保雪櫃"/>
    <s v="大電"/>
    <s v="AC"/>
    <s v="a26hsz"/>
    <n v="1"/>
    <n v="1500"/>
    <n v="1500"/>
    <n v="7026915"/>
    <m/>
    <m/>
    <s v="GR-A26HSZ(DS) 7026915"/>
    <n v="3780"/>
    <n v="0.3968253968253968"/>
    <s v="Toshiba SRP"/>
    <n v="110"/>
    <s v="1107026915"/>
  </r>
  <r>
    <n v="206"/>
    <s v="Aeon"/>
    <s v="Megabox"/>
    <x v="4"/>
    <n v="3"/>
    <x v="0"/>
    <x v="2"/>
    <s v="雙門變頻式環保雪櫃"/>
    <s v="大電"/>
    <s v="AC"/>
    <s v="a26hsz"/>
    <n v="1"/>
    <n v="1500"/>
    <n v="1500"/>
    <n v="7017262"/>
    <m/>
    <m/>
    <s v="GR-A26HSZ(DS) 7017262"/>
    <n v="3780"/>
    <n v="0.3968253968253968"/>
    <s v="Toshiba SRP"/>
    <n v="110"/>
    <s v="1107017262"/>
  </r>
  <r>
    <n v="207"/>
    <s v="Aeon"/>
    <s v="Megabox"/>
    <x v="4"/>
    <n v="3"/>
    <x v="0"/>
    <x v="14"/>
    <s v="21L壓縮式抽濕機"/>
    <s v="大電"/>
    <s v="RAC"/>
    <s v="y200"/>
    <n v="1"/>
    <n v="1500"/>
    <n v="1500"/>
    <n v="7026894"/>
    <m/>
    <m/>
    <s v="RAD-Y200H 7026894"/>
    <n v="3280"/>
    <n v="0.45731707317073172"/>
    <s v="Toshiba SRP"/>
    <n v="110"/>
    <s v="1107026894"/>
  </r>
  <r>
    <n v="208"/>
    <s v="Aeon"/>
    <s v="Megabox"/>
    <x v="4"/>
    <n v="3"/>
    <x v="0"/>
    <x v="14"/>
    <s v="21L壓縮式抽濕機"/>
    <s v="大電"/>
    <s v="RAC"/>
    <s v="y200"/>
    <n v="1"/>
    <n v="1500"/>
    <n v="1500"/>
    <n v="7027038"/>
    <m/>
    <m/>
    <s v="RAD-Y200H 7027038"/>
    <n v="3280"/>
    <n v="0.45731707317073172"/>
    <s v="Toshiba SRP"/>
    <n v="110"/>
    <s v="1107027038"/>
  </r>
  <r>
    <n v="209"/>
    <s v="Aeon"/>
    <s v="Megabox"/>
    <x v="4"/>
    <n v="3"/>
    <x v="0"/>
    <x v="14"/>
    <s v="21L壓縮式抽濕機"/>
    <s v="大電"/>
    <s v="RAC"/>
    <s v="y200"/>
    <n v="1"/>
    <n v="1500"/>
    <n v="1500"/>
    <n v="7017114"/>
    <m/>
    <m/>
    <s v="RAD-Y200H 7017114"/>
    <n v="3280"/>
    <n v="0.45731707317073172"/>
    <s v="Toshiba SRP"/>
    <n v="110"/>
    <s v="1107017114"/>
  </r>
  <r>
    <n v="210"/>
    <s v="Aeon"/>
    <s v="Megabox"/>
    <x v="4"/>
    <n v="3"/>
    <x v="0"/>
    <x v="14"/>
    <s v="21L壓縮式抽濕機"/>
    <s v="大電"/>
    <s v="RAC"/>
    <s v="y200"/>
    <n v="1"/>
    <n v="1500"/>
    <n v="1500"/>
    <n v="7065366"/>
    <m/>
    <m/>
    <s v="RAD-Y200H 7065366"/>
    <n v="3280"/>
    <n v="0.45731707317073172"/>
    <s v="Toshiba SRP"/>
    <n v="110"/>
    <s v="1107065366"/>
  </r>
  <r>
    <n v="211"/>
    <s v="Aeon"/>
    <s v="Megabox"/>
    <x v="4"/>
    <n v="3"/>
    <x v="0"/>
    <x v="14"/>
    <s v="21L壓縮式抽濕機"/>
    <s v="大電"/>
    <s v="RAC"/>
    <s v="y200"/>
    <n v="1"/>
    <n v="1500"/>
    <n v="1500"/>
    <n v="7027054"/>
    <m/>
    <m/>
    <s v="RAD-Y200H 7027054"/>
    <n v="3280"/>
    <n v="0.45731707317073172"/>
    <s v="Toshiba SRP"/>
    <n v="110"/>
    <s v="1107027054"/>
  </r>
  <r>
    <n v="212"/>
    <s v="Aeon"/>
    <s v="Megabox"/>
    <x v="4"/>
    <n v="3"/>
    <x v="0"/>
    <x v="14"/>
    <s v="21L壓縮式抽濕機"/>
    <s v="大電"/>
    <s v="RAC"/>
    <s v="y200"/>
    <n v="1"/>
    <n v="1500"/>
    <n v="1500"/>
    <n v="7017064"/>
    <m/>
    <m/>
    <s v="RAD-Y200H 7017064"/>
    <n v="3280"/>
    <n v="0.45731707317073172"/>
    <s v="Toshiba SRP"/>
    <n v="110"/>
    <s v="1107017064"/>
  </r>
  <r>
    <n v="213"/>
    <s v="Aeon"/>
    <s v="Megabox"/>
    <x v="4"/>
    <n v="3"/>
    <x v="0"/>
    <x v="14"/>
    <s v="21L壓縮式抽濕機"/>
    <s v="大電"/>
    <s v="RAC"/>
    <s v="y200"/>
    <n v="1"/>
    <n v="1500"/>
    <n v="1500"/>
    <n v="7017086"/>
    <m/>
    <m/>
    <s v="RAD-Y200H 7017086"/>
    <n v="3280"/>
    <n v="0.45731707317073172"/>
    <s v="Toshiba SRP"/>
    <n v="110"/>
    <s v="1107017086"/>
  </r>
  <r>
    <n v="214"/>
    <s v="Aeon"/>
    <s v="Megabox"/>
    <x v="4"/>
    <n v="3"/>
    <x v="0"/>
    <x v="14"/>
    <s v="21L壓縮式抽濕機"/>
    <s v="大電"/>
    <s v="RAC"/>
    <s v="y200"/>
    <n v="1"/>
    <n v="1500"/>
    <n v="1500"/>
    <n v="7027101"/>
    <m/>
    <m/>
    <s v="RAD-Y200H 7027101"/>
    <n v="3280"/>
    <n v="0.45731707317073172"/>
    <s v="Toshiba SRP"/>
    <n v="110"/>
    <s v="1107027101"/>
  </r>
  <r>
    <n v="215"/>
    <s v="Aeon"/>
    <s v="Megabox"/>
    <x v="4"/>
    <n v="3"/>
    <x v="0"/>
    <x v="14"/>
    <s v="21L壓縮式抽濕機"/>
    <s v="大電"/>
    <s v="RAC"/>
    <s v="y200"/>
    <n v="1"/>
    <n v="1500"/>
    <n v="1500"/>
    <n v="7027106"/>
    <m/>
    <m/>
    <s v="RAD-Y200H 7027106"/>
    <n v="3280"/>
    <n v="0.45731707317073172"/>
    <s v="Toshiba SRP"/>
    <n v="110"/>
    <s v="1107027106"/>
  </r>
  <r>
    <n v="216"/>
    <s v="Aeon"/>
    <s v="Megabox"/>
    <x v="4"/>
    <n v="3"/>
    <x v="0"/>
    <x v="4"/>
    <s v="RO座檯式飲水機"/>
    <s v="細電"/>
    <s v="KWH"/>
    <s v="tsr76"/>
    <n v="1"/>
    <n v="1500"/>
    <n v="1500"/>
    <n v="7016891"/>
    <m/>
    <m/>
    <s v="TWP-TSR76THK(W) 7016891"/>
    <n v="2680"/>
    <n v="0.55970149253731338"/>
    <s v="Toshiba SRP"/>
    <n v="110"/>
    <s v="1107016891"/>
  </r>
  <r>
    <n v="217"/>
    <s v="Aeon"/>
    <s v="Megabox"/>
    <x v="4"/>
    <n v="3"/>
    <x v="0"/>
    <x v="4"/>
    <s v="RO座檯式飲水機"/>
    <s v="細電"/>
    <s v="KWH"/>
    <s v="tsr76"/>
    <n v="1"/>
    <n v="1500"/>
    <n v="1500"/>
    <n v="7026964"/>
    <m/>
    <m/>
    <s v="TWP-TSR76THK(W) 7026964"/>
    <n v="2680"/>
    <n v="0.55970149253731338"/>
    <s v="Toshiba SRP"/>
    <n v="110"/>
    <s v="1107026964"/>
  </r>
  <r>
    <n v="218"/>
    <s v="Aeon"/>
    <s v="Megabox"/>
    <x v="4"/>
    <n v="3"/>
    <x v="0"/>
    <x v="4"/>
    <s v="RO座檯式飲水機"/>
    <s v="細電"/>
    <s v="KWH"/>
    <s v="tsr76"/>
    <n v="1"/>
    <n v="1500"/>
    <n v="1500"/>
    <n v="7017019"/>
    <m/>
    <m/>
    <s v="TWP-TSR76THK(W) 7017019"/>
    <n v="2680"/>
    <n v="0.55970149253731338"/>
    <s v="Toshiba SRP"/>
    <n v="110"/>
    <s v="1107017019"/>
  </r>
  <r>
    <n v="219"/>
    <s v="Aeon"/>
    <s v="Megabox"/>
    <x v="4"/>
    <n v="3"/>
    <x v="0"/>
    <x v="3"/>
    <s v="7.5KG超薄身前置式變頻洗衣機"/>
    <s v="大電"/>
    <s v="WM"/>
    <s v="bl85a2"/>
    <n v="1"/>
    <n v="2588"/>
    <n v="2588"/>
    <n v="7016906"/>
    <m/>
    <m/>
    <s v="TW-BL85A2H(WW) 7016906"/>
    <n v="5080"/>
    <n v="0.50944881889763782"/>
    <s v="Toshiba SRP"/>
    <n v="110"/>
    <s v="1107016906"/>
  </r>
  <r>
    <n v="220"/>
    <s v="Aeon"/>
    <s v="Megabox"/>
    <x v="4"/>
    <n v="3"/>
    <x v="0"/>
    <x v="3"/>
    <s v="7.5KG超薄身前置式變頻洗衣機"/>
    <s v="大電"/>
    <s v="WM"/>
    <s v="bl85a2"/>
    <n v="1"/>
    <n v="2588"/>
    <n v="2588"/>
    <n v="7026867"/>
    <m/>
    <m/>
    <s v="TW-BL85A2H(WW) 7026867"/>
    <n v="5080"/>
    <n v="0.50944881889763782"/>
    <s v="Toshiba SRP"/>
    <n v="110"/>
    <s v="1107026867"/>
  </r>
  <r>
    <n v="221"/>
    <s v="Aeon"/>
    <s v="Megabox"/>
    <x v="4"/>
    <n v="3"/>
    <x v="0"/>
    <x v="10"/>
    <s v="變頻上置式雙門雪櫃313L "/>
    <s v="大電"/>
    <s v="REF"/>
    <s v="rt416"/>
    <n v="1"/>
    <n v="2888"/>
    <n v="2888"/>
    <n v="7017102"/>
    <m/>
    <m/>
    <s v="GR-RT416WE-PMA(06) 7017102"/>
    <n v="5380"/>
    <n v="0.53680297397769516"/>
    <s v="Toshiba SRP"/>
    <n v="110"/>
    <s v="1107017102"/>
  </r>
  <r>
    <n v="222"/>
    <s v="Aeon"/>
    <s v="Megabox"/>
    <x v="4"/>
    <n v="3"/>
    <x v="0"/>
    <x v="18"/>
    <s v="Comfee 1匹變頻窗口式冷氣機"/>
    <s v="大電"/>
    <s v="RAC"/>
    <s v="09crf"/>
    <n v="1"/>
    <n v="3588"/>
    <n v="3588"/>
    <n v="7026972"/>
    <s v="$3288&gt;$3588"/>
    <m/>
    <s v="CWF-09CRFN8-AD5 7026972"/>
    <n v="4600"/>
    <n v="0.78"/>
    <s v="Shops Highest Price"/>
    <n v="110"/>
    <s v="1107026972"/>
  </r>
  <r>
    <n v="223"/>
    <s v="Aeon"/>
    <s v="Megabox"/>
    <x v="4"/>
    <n v="3"/>
    <x v="0"/>
    <x v="18"/>
    <s v="Comfee 1匹變頻窗口式冷氣機"/>
    <s v="大電"/>
    <s v="RAC"/>
    <s v="09crf"/>
    <n v="1"/>
    <n v="3588"/>
    <n v="3588"/>
    <n v="7026975"/>
    <s v="$3288&gt;$3588"/>
    <m/>
    <s v="CWF-09CRFN8-AD5 7026975"/>
    <n v="4600"/>
    <n v="0.78"/>
    <s v="Shops Highest Price"/>
    <n v="110"/>
    <s v="1107026975"/>
  </r>
  <r>
    <n v="224"/>
    <s v="Aeon"/>
    <s v="Megabox"/>
    <x v="4"/>
    <n v="3"/>
    <x v="0"/>
    <x v="11"/>
    <s v="座檯式純蒸氣烤焗水波爐30L"/>
    <s v="細電"/>
    <s v="SDA"/>
    <s v="td5000"/>
    <n v="1"/>
    <n v="3588"/>
    <n v="3588"/>
    <n v="7026866"/>
    <m/>
    <m/>
    <s v="ER-TD5000HK(XK) 7026866"/>
    <n v="7998"/>
    <n v="0.44861215303825958"/>
    <s v="Toshiba SRP"/>
    <n v="110"/>
    <s v="1107026866"/>
  </r>
  <r>
    <n v="225"/>
    <s v="Aeon"/>
    <s v="Megabox"/>
    <x v="4"/>
    <n v="3"/>
    <x v="0"/>
    <x v="0"/>
    <s v="超薄身前置式洗衣乾衣機 (洗8公斤 乾5公斤)"/>
    <s v="大電"/>
    <s v="WM"/>
    <s v="bn90"/>
    <n v="1"/>
    <n v="3588"/>
    <n v="3588"/>
    <n v="7065365"/>
    <m/>
    <m/>
    <s v="TWD-BN90GF4H(WK) 7065365"/>
    <n v="5980"/>
    <n v="0.6"/>
    <s v="Toshiba SRP"/>
    <n v="110"/>
    <s v="1107065365"/>
  </r>
  <r>
    <n v="226"/>
    <s v="Aeon"/>
    <s v="Megabox"/>
    <x v="4"/>
    <n v="3"/>
    <x v="0"/>
    <x v="12"/>
    <s v="Comfee 1.5匹變頻窗口式冷氣機"/>
    <s v="大電"/>
    <s v="RAC"/>
    <s v="12crf"/>
    <n v="1"/>
    <n v="4088"/>
    <n v="4088"/>
    <n v="7016932"/>
    <m/>
    <m/>
    <s v="CWF-12CRFN8-AD5 7016932"/>
    <n v="5200"/>
    <n v="0.7861538461538462"/>
    <s v="Shops Highest Price"/>
    <n v="110"/>
    <s v="1107016932"/>
  </r>
  <r>
    <n v="227"/>
    <s v="Aeon"/>
    <s v="Megabox"/>
    <x v="4"/>
    <n v="3"/>
    <x v="5"/>
    <x v="3"/>
    <s v="7.5KG超薄身前置式變頻洗衣機"/>
    <s v="大電"/>
    <s v="WM"/>
    <s v="bl85a2"/>
    <n v="1"/>
    <n v="2588"/>
    <n v="2588"/>
    <n v="7017113"/>
    <m/>
    <m/>
    <s v="TW-BL85A2H(WW) 7017113"/>
    <n v="5080"/>
    <n v="0.50944881889763782"/>
    <s v="Toshiba SRP"/>
    <n v="110"/>
    <s v="1107017113"/>
  </r>
  <r>
    <n v="228"/>
    <s v="Aeon"/>
    <s v="Megabox"/>
    <x v="4"/>
    <n v="3"/>
    <x v="5"/>
    <x v="1"/>
    <s v="磁應電飯煲(1.5公升)"/>
    <s v="細電"/>
    <s v="SDA"/>
    <s v="15ist"/>
    <n v="1"/>
    <n v="500"/>
    <n v="500"/>
    <n v="7017057"/>
    <m/>
    <m/>
    <s v="RC-15ISTHK(W) 7017057"/>
    <n v="1688"/>
    <n v="0.29620853080568721"/>
    <s v="Toshiba SRP"/>
    <n v="110"/>
    <s v="1107017057"/>
  </r>
  <r>
    <n v="229"/>
    <s v="Aeon"/>
    <s v="Megabox"/>
    <x v="4"/>
    <n v="3"/>
    <x v="5"/>
    <x v="1"/>
    <s v="磁應電飯煲(1.5公升)"/>
    <s v="細電"/>
    <s v="SDA"/>
    <s v="15ist"/>
    <n v="1"/>
    <n v="500"/>
    <n v="500"/>
    <n v="7017066"/>
    <m/>
    <m/>
    <s v="RC-15ISTHK(W) 7017066"/>
    <n v="1688"/>
    <n v="0.29620853080568721"/>
    <s v="Toshiba SRP"/>
    <n v="110"/>
    <s v="1107017066"/>
  </r>
  <r>
    <n v="230"/>
    <s v="Aeon"/>
    <s v="Megabox"/>
    <x v="4"/>
    <n v="3"/>
    <x v="5"/>
    <x v="1"/>
    <s v="磁應電飯煲(1.5公升)"/>
    <s v="細電"/>
    <s v="SDA"/>
    <s v="15ist"/>
    <n v="1"/>
    <n v="500"/>
    <n v="500"/>
    <n v="7017071"/>
    <m/>
    <m/>
    <s v="RC-15ISTHK(W) 7017071"/>
    <n v="1688"/>
    <n v="0.29620853080568721"/>
    <s v="Toshiba SRP"/>
    <n v="110"/>
    <s v="1107017071"/>
  </r>
  <r>
    <n v="231"/>
    <s v="Aeon"/>
    <s v="Megabox"/>
    <x v="4"/>
    <n v="3"/>
    <x v="5"/>
    <x v="1"/>
    <s v="磁應電飯煲(1.5公升)"/>
    <s v="細電"/>
    <s v="SDA"/>
    <s v="15ist"/>
    <n v="1"/>
    <n v="500"/>
    <n v="500"/>
    <n v="7017097"/>
    <m/>
    <m/>
    <s v="RC-15ISTHK(W) 7017097"/>
    <n v="1688"/>
    <n v="0.29620853080568721"/>
    <s v="Toshiba SRP"/>
    <n v="110"/>
    <s v="1107017097"/>
  </r>
  <r>
    <n v="232"/>
    <s v="Aeon"/>
    <s v="Megabox"/>
    <x v="4"/>
    <n v="3"/>
    <x v="5"/>
    <x v="1"/>
    <s v="磁應電飯煲(1.5公升)"/>
    <s v="細電"/>
    <s v="SDA"/>
    <s v="15ist"/>
    <n v="1"/>
    <n v="500"/>
    <n v="500"/>
    <n v="7017153"/>
    <m/>
    <m/>
    <s v="RC-15ISTHK(W) 7017153"/>
    <n v="1688"/>
    <n v="0.29620853080568721"/>
    <s v="Toshiba SRP"/>
    <n v="110"/>
    <s v="1107017153"/>
  </r>
  <r>
    <n v="233"/>
    <s v="Aeon"/>
    <s v="Megabox"/>
    <x v="4"/>
    <n v="3"/>
    <x v="5"/>
    <x v="6"/>
    <s v="旋鈕式微波爐24L"/>
    <s v="細電"/>
    <s v="SDA"/>
    <s v="mm24"/>
    <n v="1"/>
    <n v="500"/>
    <n v="500"/>
    <n v="7027230"/>
    <m/>
    <m/>
    <s v="MW2-MM24PC(BK) 7027230"/>
    <n v="848"/>
    <n v="0.589622641509434"/>
    <s v="Toshiba SRP"/>
    <n v="110"/>
    <s v="1107027230"/>
  </r>
  <r>
    <n v="234"/>
    <s v="Aeon"/>
    <s v="Megabox"/>
    <x v="4"/>
    <n v="3"/>
    <x v="5"/>
    <x v="9"/>
    <s v="電熱水瓶4.5L"/>
    <s v="細電"/>
    <s v="SDA"/>
    <s v="45sf"/>
    <n v="1"/>
    <n v="500"/>
    <n v="500"/>
    <n v="7017293"/>
    <m/>
    <m/>
    <s v="PLK-45SFIH(WT) 7017293"/>
    <n v="788"/>
    <n v="0.63451776649746194"/>
    <s v="Toshiba SRP"/>
    <n v="110"/>
    <s v="1107017293"/>
  </r>
  <r>
    <n v="235"/>
    <s v="Aeon"/>
    <s v="Megabox"/>
    <x v="4"/>
    <n v="3"/>
    <x v="5"/>
    <x v="13"/>
    <s v="獨立式免安裝洗碗碟機"/>
    <s v="細電"/>
    <s v="DM"/>
    <s v="34ahk"/>
    <n v="1"/>
    <n v="1500"/>
    <n v="1500"/>
    <n v="7017338"/>
    <m/>
    <m/>
    <s v="DWS-34AHK 7017338"/>
    <n v="3999"/>
    <n v="0.37509377344336087"/>
    <s v="Web SRP"/>
    <n v="110"/>
    <s v="1107017338"/>
  </r>
  <r>
    <n v="236"/>
    <s v="Aeon"/>
    <s v="Megabox"/>
    <x v="4"/>
    <n v="3"/>
    <x v="5"/>
    <x v="13"/>
    <s v="獨立式免安裝洗碗碟機"/>
    <s v="細電"/>
    <s v="DM"/>
    <s v="34ahk"/>
    <n v="1"/>
    <n v="1500"/>
    <n v="1500"/>
    <n v="7027232"/>
    <m/>
    <m/>
    <s v="DWS-34AHK 7027232"/>
    <n v="3999"/>
    <n v="0.37509377344336087"/>
    <s v="Web SRP"/>
    <n v="110"/>
    <s v="1107027232"/>
  </r>
  <r>
    <n v="237"/>
    <s v="Aeon"/>
    <s v="Megabox"/>
    <x v="4"/>
    <n v="3"/>
    <x v="5"/>
    <x v="4"/>
    <s v="RO座檯式飲水機"/>
    <s v="細電"/>
    <s v="KWH"/>
    <s v="tsr76"/>
    <n v="1"/>
    <n v="1500"/>
    <n v="1500"/>
    <n v="7017325"/>
    <m/>
    <m/>
    <s v="TWP-TSR76THK(W) 7017325"/>
    <n v="2680"/>
    <n v="0.55970149253731338"/>
    <s v="Toshiba SRP"/>
    <n v="110"/>
    <s v="1107017325"/>
  </r>
  <r>
    <n v="238"/>
    <s v="Aeon"/>
    <s v="Megabox"/>
    <x v="4"/>
    <n v="3"/>
    <x v="5"/>
    <x v="4"/>
    <s v="RO座檯式飲水機"/>
    <s v="細電"/>
    <s v="KWH"/>
    <s v="tsr76"/>
    <n v="1"/>
    <n v="1500"/>
    <n v="1500"/>
    <n v="7027167"/>
    <m/>
    <m/>
    <s v="TWP-TSR76THK(W) 7027167"/>
    <n v="2680"/>
    <n v="0.55970149253731338"/>
    <s v="Toshiba SRP"/>
    <n v="110"/>
    <s v="1107027167"/>
  </r>
  <r>
    <n v="239"/>
    <s v="Aeon"/>
    <s v="Megabox"/>
    <x v="4"/>
    <n v="3"/>
    <x v="5"/>
    <x v="0"/>
    <s v="超薄身前置式洗衣乾衣機 (洗8公斤 乾5公斤)"/>
    <s v="大電"/>
    <s v="WM"/>
    <s v="bn90"/>
    <n v="1"/>
    <n v="3588"/>
    <n v="3588"/>
    <n v="7027237"/>
    <m/>
    <m/>
    <s v="TWD-BN90GF4H(WK) 7027237"/>
    <n v="5980"/>
    <n v="0.6"/>
    <s v="Toshiba SRP"/>
    <n v="110"/>
    <s v="1107027237"/>
  </r>
  <r>
    <n v="240"/>
    <s v="Aeon"/>
    <s v="Megabox"/>
    <x v="4"/>
    <n v="3"/>
    <x v="5"/>
    <x v="0"/>
    <s v="超薄身前置式洗衣乾衣機 (洗8公斤 乾5公斤)"/>
    <s v="大電"/>
    <s v="WM"/>
    <s v="bn90"/>
    <n v="1"/>
    <n v="3588"/>
    <n v="3588"/>
    <n v="7027167"/>
    <m/>
    <m/>
    <s v="TWD-BN90GF4H(WK) 7027167"/>
    <n v="5980"/>
    <n v="0.6"/>
    <s v="Toshiba SRP"/>
    <n v="110"/>
    <s v="1107027167"/>
  </r>
  <r>
    <n v="241"/>
    <s v="Aeon"/>
    <s v="Megabox"/>
    <x v="4"/>
    <n v="3"/>
    <x v="6"/>
    <x v="1"/>
    <s v="磁應電飯煲(1.5公升)"/>
    <s v="細電"/>
    <s v="SDA"/>
    <s v="15ist"/>
    <n v="1"/>
    <n v="500"/>
    <n v="500"/>
    <n v="7027235"/>
    <m/>
    <m/>
    <s v="RC-15ISTHK(W) 7027235"/>
    <n v="1688"/>
    <n v="0.29620853080568721"/>
    <s v="Toshiba SRP"/>
    <n v="110"/>
    <s v="1107027235"/>
  </r>
  <r>
    <n v="242"/>
    <s v="Aeon"/>
    <s v="Megabox"/>
    <x v="4"/>
    <n v="3"/>
    <x v="6"/>
    <x v="1"/>
    <s v="磁應電飯煲(1.5公升)"/>
    <s v="細電"/>
    <s v="SDA"/>
    <s v="15ist"/>
    <n v="1"/>
    <n v="500"/>
    <n v="500"/>
    <n v="7017338"/>
    <m/>
    <m/>
    <s v="RC-15ISTHK(W) 7017338"/>
    <n v="1688"/>
    <n v="0.29620853080568721"/>
    <s v="Toshiba SRP"/>
    <n v="110"/>
    <s v="1107017338"/>
  </r>
  <r>
    <n v="243"/>
    <s v="Aeon"/>
    <s v="Megabox"/>
    <x v="4"/>
    <n v="3"/>
    <x v="6"/>
    <x v="1"/>
    <s v="磁應電飯煲(1.5公升)"/>
    <s v="細電"/>
    <s v="SDA"/>
    <s v="15ist"/>
    <n v="1"/>
    <n v="500"/>
    <n v="500"/>
    <n v="7027227"/>
    <m/>
    <m/>
    <s v="RC-15ISTHK(W) 7027227"/>
    <n v="1688"/>
    <n v="0.29620853080568721"/>
    <s v="Toshiba SRP"/>
    <n v="110"/>
    <s v="1107027227"/>
  </r>
  <r>
    <n v="244"/>
    <s v="Aeon"/>
    <s v="Megabox"/>
    <x v="4"/>
    <n v="3"/>
    <x v="6"/>
    <x v="1"/>
    <s v="磁應電飯煲(1.5公升)"/>
    <s v="細電"/>
    <s v="SDA"/>
    <s v="15ist"/>
    <n v="1"/>
    <n v="500"/>
    <n v="500"/>
    <n v="7017337"/>
    <m/>
    <m/>
    <s v="RC-15ISTHK(W) 7017337"/>
    <n v="1688"/>
    <n v="0.29620853080568721"/>
    <s v="Toshiba SRP"/>
    <n v="110"/>
    <s v="1107017337"/>
  </r>
  <r>
    <n v="245"/>
    <s v="Aeon"/>
    <s v="Megabox"/>
    <x v="4"/>
    <n v="3"/>
    <x v="6"/>
    <x v="1"/>
    <s v="磁應電飯煲(1.5公升)"/>
    <s v="細電"/>
    <s v="SDA"/>
    <s v="15ist"/>
    <n v="1"/>
    <n v="500"/>
    <n v="500"/>
    <n v="7017332"/>
    <m/>
    <m/>
    <s v="RC-15ISTHK(W) 7017332"/>
    <n v="1688"/>
    <n v="0.29620853080568721"/>
    <s v="Toshiba SRP"/>
    <n v="110"/>
    <s v="1107017332"/>
  </r>
  <r>
    <n v="246"/>
    <s v="Aeon"/>
    <s v="Megabox"/>
    <x v="4"/>
    <n v="3"/>
    <x v="6"/>
    <x v="3"/>
    <s v="7.5KG超薄身前置式變頻洗衣機"/>
    <s v="大電"/>
    <s v="WM"/>
    <s v="bl85a2"/>
    <n v="1"/>
    <n v="2588"/>
    <n v="2588"/>
    <n v="7017336"/>
    <m/>
    <m/>
    <s v="TW-BL85A2H(WW) 7017336"/>
    <n v="5080"/>
    <n v="0.50944881889763782"/>
    <s v="Toshiba SRP"/>
    <n v="110"/>
    <s v="1107017336"/>
  </r>
  <r>
    <n v="247"/>
    <s v="Aeon"/>
    <s v="Megabox"/>
    <x v="4"/>
    <n v="3"/>
    <x v="6"/>
    <x v="1"/>
    <s v="磁應電飯煲(1.5公升)"/>
    <s v="細電"/>
    <s v="SDA"/>
    <s v="15ist"/>
    <n v="1"/>
    <n v="500"/>
    <n v="500"/>
    <n v="7017325"/>
    <m/>
    <m/>
    <s v="RC-15ISTHK(W) 7017325"/>
    <n v="1688"/>
    <n v="0.29620853080568721"/>
    <s v="Toshiba SRP"/>
    <n v="110"/>
    <s v="1107017325"/>
  </r>
  <r>
    <n v="248"/>
    <s v="Aeon"/>
    <s v="Megabox"/>
    <x v="4"/>
    <n v="3"/>
    <x v="6"/>
    <x v="5"/>
    <s v="全自動洗衣機 (8公斤 結合高低水位)"/>
    <s v="大電"/>
    <s v="WM"/>
    <s v="m901"/>
    <n v="1"/>
    <n v="1500"/>
    <n v="1500"/>
    <n v="7017209"/>
    <m/>
    <m/>
    <s v="AW-M901BPH(WW) 7017209"/>
    <n v="3580"/>
    <n v="0.41899441340782123"/>
    <s v="Toshiba SRP"/>
    <n v="110"/>
    <s v="1107017209"/>
  </r>
  <r>
    <n v="249"/>
    <s v="Aeon"/>
    <s v="Megabox"/>
    <x v="4"/>
    <n v="3"/>
    <x v="6"/>
    <x v="0"/>
    <s v="超薄身前置式洗衣乾衣機 (洗8公斤 乾5公斤)"/>
    <s v="大電"/>
    <s v="WM"/>
    <s v="bn90"/>
    <n v="1"/>
    <n v="3588"/>
    <n v="3588"/>
    <n v="7027101"/>
    <m/>
    <m/>
    <s v="TWD-BN90GF4H(WK) 7027101"/>
    <n v="5980"/>
    <n v="0.6"/>
    <s v="Toshiba SRP"/>
    <n v="110"/>
    <s v="1107027101"/>
  </r>
  <r>
    <n v="250"/>
    <s v="Aeon"/>
    <s v="Megabox"/>
    <x v="4"/>
    <n v="3"/>
    <x v="7"/>
    <x v="0"/>
    <s v="超薄身前置式洗衣乾衣機 (洗8公斤 乾5公斤)"/>
    <s v="大電"/>
    <s v="WM"/>
    <s v="bn90"/>
    <n v="1"/>
    <n v="3588"/>
    <n v="3588"/>
    <n v="7017261"/>
    <m/>
    <m/>
    <s v="TWD-BN90GF4H(WK) 7017261"/>
    <n v="5980"/>
    <n v="0.6"/>
    <s v="Toshiba SRP"/>
    <n v="110"/>
    <s v="1107017261"/>
  </r>
  <r>
    <n v="251"/>
    <s v="Aeon"/>
    <s v="Megabox"/>
    <x v="4"/>
    <n v="3"/>
    <x v="7"/>
    <x v="0"/>
    <s v="超薄身前置式洗衣乾衣機 (洗8公斤 乾5公斤)"/>
    <s v="大電"/>
    <s v="WM"/>
    <s v="bn90"/>
    <n v="1"/>
    <n v="3588"/>
    <n v="3588"/>
    <n v="7027113"/>
    <m/>
    <m/>
    <s v="TWD-BN90GF4H(WK) 7027113"/>
    <n v="5980"/>
    <n v="0.6"/>
    <s v="Toshiba SRP"/>
    <n v="110"/>
    <s v="1107027113"/>
  </r>
  <r>
    <n v="252"/>
    <s v="Aeon"/>
    <s v="Megabox"/>
    <x v="4"/>
    <n v="3"/>
    <x v="7"/>
    <x v="1"/>
    <s v="磁應電飯煲(1.5公升)"/>
    <s v="細電"/>
    <s v="SDA"/>
    <s v="15ist"/>
    <n v="1"/>
    <n v="500"/>
    <n v="500"/>
    <n v="7027194"/>
    <m/>
    <m/>
    <s v="RC-15ISTHK(W) 7027194"/>
    <n v="1688"/>
    <n v="0.29620853080568721"/>
    <s v="Toshiba SRP"/>
    <n v="110"/>
    <s v="1107027194"/>
  </r>
  <r>
    <n v="253"/>
    <s v="Aeon"/>
    <s v="Megabox"/>
    <x v="4"/>
    <n v="3"/>
    <x v="7"/>
    <x v="1"/>
    <s v="磁應電飯煲(1.5公升)"/>
    <s v="細電"/>
    <s v="SDA"/>
    <s v="15ist"/>
    <n v="1"/>
    <n v="500"/>
    <n v="500"/>
    <n v="7065485"/>
    <m/>
    <m/>
    <s v="RC-15ISTHK(W) 7065485"/>
    <n v="1688"/>
    <n v="0.29620853080568721"/>
    <s v="Toshiba SRP"/>
    <n v="110"/>
    <s v="1107065485"/>
  </r>
  <r>
    <n v="254"/>
    <s v="Aeon"/>
    <s v="Megabox"/>
    <x v="4"/>
    <n v="3"/>
    <x v="7"/>
    <x v="1"/>
    <s v="磁應電飯煲(1.5公升)"/>
    <s v="細電"/>
    <s v="SDA"/>
    <s v="15ist"/>
    <n v="1"/>
    <n v="500"/>
    <n v="500"/>
    <n v="7017262"/>
    <m/>
    <m/>
    <s v="RC-15ISTHK(W) 7017262"/>
    <n v="1688"/>
    <n v="0.29620853080568721"/>
    <s v="Toshiba SRP"/>
    <n v="110"/>
    <s v="1107017262"/>
  </r>
  <r>
    <n v="255"/>
    <s v="Aeon"/>
    <s v="Megabox"/>
    <x v="4"/>
    <n v="3"/>
    <x v="7"/>
    <x v="1"/>
    <s v="磁應電飯煲(1.5公升)"/>
    <s v="細電"/>
    <s v="SDA"/>
    <s v="15ist"/>
    <n v="1"/>
    <n v="500"/>
    <n v="500"/>
    <n v="7027162"/>
    <m/>
    <m/>
    <s v="RC-15ISTHK(W) 7027162"/>
    <n v="1688"/>
    <n v="0.29620853080568721"/>
    <s v="Toshiba SRP"/>
    <n v="110"/>
    <s v="1107027162"/>
  </r>
  <r>
    <n v="256"/>
    <s v="Aeon"/>
    <s v="Megabox"/>
    <x v="4"/>
    <n v="3"/>
    <x v="7"/>
    <x v="1"/>
    <s v="磁應電飯煲(1.5公升)"/>
    <s v="細電"/>
    <s v="SDA"/>
    <s v="15ist"/>
    <n v="1"/>
    <n v="500"/>
    <n v="500"/>
    <n v="7027089"/>
    <m/>
    <m/>
    <s v="RC-15ISTHK(W) 7027089"/>
    <n v="1688"/>
    <n v="0.29620853080568721"/>
    <s v="Toshiba SRP"/>
    <n v="110"/>
    <s v="1107027089"/>
  </r>
  <r>
    <n v="257"/>
    <s v="Aeon"/>
    <s v="Megabox"/>
    <x v="4"/>
    <n v="3"/>
    <x v="7"/>
    <x v="5"/>
    <s v="全自動洗衣機 (8公斤 結合高低水位)"/>
    <s v="大電"/>
    <s v="WM"/>
    <s v="m901"/>
    <n v="1"/>
    <n v="1500"/>
    <n v="1500"/>
    <n v="7065650"/>
    <m/>
    <m/>
    <s v="AW-M901BPH(WW) 7065650"/>
    <n v="3580"/>
    <n v="0.41899441340782123"/>
    <s v="Toshiba SRP"/>
    <n v="110"/>
    <s v="1107065650"/>
  </r>
  <r>
    <n v="258"/>
    <s v="Aeon"/>
    <s v="Megabox"/>
    <x v="4"/>
    <n v="3"/>
    <x v="8"/>
    <x v="9"/>
    <s v="電熱水瓶4.5L"/>
    <s v="細電"/>
    <s v="SDA"/>
    <s v="45sf"/>
    <n v="1"/>
    <n v="500"/>
    <n v="500"/>
    <n v="7065646"/>
    <m/>
    <m/>
    <s v="PLK-45SFIH(WT) 7065646"/>
    <n v="788"/>
    <n v="0.63451776649746194"/>
    <s v="Toshiba SRP"/>
    <n v="110"/>
    <s v="1107065646"/>
  </r>
  <r>
    <n v="259"/>
    <s v="Aeon"/>
    <s v="Megabox"/>
    <x v="4"/>
    <n v="3"/>
    <x v="8"/>
    <x v="1"/>
    <s v="磁應電飯煲(1.5公升)"/>
    <s v="細電"/>
    <s v="SDA"/>
    <s v="15ist"/>
    <n v="1"/>
    <n v="500"/>
    <n v="500"/>
    <n v="7065650"/>
    <m/>
    <m/>
    <s v="RC-15ISTHK(W) 7065650"/>
    <n v="1688"/>
    <n v="0.29620853080568721"/>
    <s v="Toshiba SRP"/>
    <n v="110"/>
    <s v="1107065650"/>
  </r>
  <r>
    <n v="260"/>
    <s v="Aeon"/>
    <s v="Megabox"/>
    <x v="4"/>
    <n v="3"/>
    <x v="8"/>
    <x v="1"/>
    <s v="磁應電飯煲(1.5公升)"/>
    <s v="細電"/>
    <s v="SDA"/>
    <s v="15ist"/>
    <n v="1"/>
    <n v="500"/>
    <n v="500"/>
    <n v="7027376"/>
    <m/>
    <m/>
    <s v="RC-15ISTHK(W) 7027376"/>
    <n v="1688"/>
    <n v="0.29620853080568721"/>
    <s v="Toshiba SRP"/>
    <n v="110"/>
    <s v="1107027376"/>
  </r>
  <r>
    <n v="261"/>
    <s v="Aeon"/>
    <s v="Megabox"/>
    <x v="4"/>
    <n v="3"/>
    <x v="8"/>
    <x v="4"/>
    <s v="RO座檯式飲水機"/>
    <s v="細電"/>
    <s v="KWH"/>
    <s v="tsr76"/>
    <n v="1"/>
    <n v="1500"/>
    <n v="1500"/>
    <n v="7027395"/>
    <m/>
    <m/>
    <s v="TWP-TSR76THK(W) 7027395"/>
    <n v="2680"/>
    <n v="0.55970149253731338"/>
    <s v="Toshiba SRP"/>
    <n v="110"/>
    <s v="1107027395"/>
  </r>
  <r>
    <n v="262"/>
    <s v="Aeon"/>
    <s v="Megabox"/>
    <x v="4"/>
    <n v="3"/>
    <x v="8"/>
    <x v="0"/>
    <s v="超薄身前置式洗衣乾衣機 (洗8公斤 乾5公斤)"/>
    <s v="大電"/>
    <s v="WM"/>
    <s v="bn90"/>
    <n v="1"/>
    <n v="3588"/>
    <n v="3588"/>
    <n v="7027352"/>
    <m/>
    <m/>
    <s v="TWD-BN90GF4H(WK) 7027352"/>
    <n v="5980"/>
    <n v="0.6"/>
    <s v="Toshiba SRP"/>
    <n v="110"/>
    <s v="1107027352"/>
  </r>
  <r>
    <n v="263"/>
    <s v="Aeon"/>
    <s v="Megabox"/>
    <x v="4"/>
    <n v="3"/>
    <x v="1"/>
    <x v="9"/>
    <s v="電熱水瓶4.5L"/>
    <s v="細電"/>
    <s v="SDA"/>
    <s v="45sf"/>
    <n v="1"/>
    <n v="500"/>
    <n v="500"/>
    <n v="7027354"/>
    <m/>
    <m/>
    <s v="PLK-45SFIH(WT) 7027354"/>
    <n v="788"/>
    <n v="0.63451776649746194"/>
    <s v="Toshiba SRP"/>
    <n v="110"/>
    <s v="1107027354"/>
  </r>
  <r>
    <n v="264"/>
    <s v="Aeon"/>
    <s v="Megabox"/>
    <x v="4"/>
    <n v="3"/>
    <x v="1"/>
    <x v="4"/>
    <s v="RO座檯式飲水機"/>
    <s v="細電"/>
    <s v="KWH"/>
    <s v="tsr76"/>
    <n v="1"/>
    <n v="1500"/>
    <n v="1500"/>
    <n v="7065665"/>
    <m/>
    <m/>
    <s v="TWP-TSR76THK(W) 7065665"/>
    <n v="2680"/>
    <n v="0.55970149253731338"/>
    <s v="Toshiba SRP"/>
    <n v="110"/>
    <s v="1107065665"/>
  </r>
  <r>
    <n v="265"/>
    <s v="Aeon"/>
    <s v="Megabox"/>
    <x v="4"/>
    <n v="3"/>
    <x v="1"/>
    <x v="6"/>
    <s v="旋鈕式微波爐24L"/>
    <s v="細電"/>
    <s v="SDA"/>
    <s v="mm24"/>
    <n v="1"/>
    <n v="500"/>
    <n v="500"/>
    <n v="7065583"/>
    <m/>
    <m/>
    <s v="MW2-MM24PC(BK) 7065583"/>
    <n v="848"/>
    <n v="0.589622641509434"/>
    <s v="Toshiba SRP"/>
    <n v="110"/>
    <s v="1107065583"/>
  </r>
  <r>
    <n v="266"/>
    <s v="Aeon"/>
    <s v="Megabox"/>
    <x v="4"/>
    <n v="3"/>
    <x v="1"/>
    <x v="10"/>
    <s v="變頻上置式雙門雪櫃313L "/>
    <s v="大電"/>
    <s v="REF"/>
    <s v="rt416"/>
    <n v="1"/>
    <n v="2888"/>
    <n v="2888"/>
    <n v="7065582"/>
    <m/>
    <m/>
    <s v="GR-RT416WE-PMA(06) 7065582"/>
    <n v="5380"/>
    <n v="0.53680297397769516"/>
    <s v="Toshiba SRP"/>
    <n v="110"/>
    <s v="1107065582"/>
  </r>
  <r>
    <n v="267"/>
    <s v="Aeon"/>
    <s v="Megabox"/>
    <x v="4"/>
    <n v="3"/>
    <x v="1"/>
    <x v="1"/>
    <s v="磁應電飯煲(1.5公升)"/>
    <s v="細電"/>
    <s v="SDA"/>
    <s v="15ist"/>
    <n v="1"/>
    <n v="500"/>
    <n v="500"/>
    <n v="7017465"/>
    <m/>
    <m/>
    <s v="RC-15ISTHK(W) 7017465"/>
    <n v="1688"/>
    <n v="0.29620853080568721"/>
    <s v="Toshiba SRP"/>
    <n v="110"/>
    <s v="1107017465"/>
  </r>
  <r>
    <n v="268"/>
    <s v="Aeon"/>
    <s v="Megabox"/>
    <x v="4"/>
    <n v="3"/>
    <x v="1"/>
    <x v="1"/>
    <s v="磁應電飯煲(1.5公升)"/>
    <s v="細電"/>
    <s v="SDA"/>
    <s v="15ist"/>
    <n v="1"/>
    <n v="500"/>
    <n v="500"/>
    <n v="7017410"/>
    <m/>
    <m/>
    <s v="RC-15ISTHK(W) 7017410"/>
    <n v="1688"/>
    <n v="0.29620853080568721"/>
    <s v="Toshiba SRP"/>
    <n v="110"/>
    <s v="1107017410"/>
  </r>
  <r>
    <n v="269"/>
    <s v="Aeon"/>
    <s v="Megabox"/>
    <x v="4"/>
    <n v="3"/>
    <x v="1"/>
    <x v="1"/>
    <s v="磁應電飯煲(1.5公升)"/>
    <s v="細電"/>
    <s v="SDA"/>
    <s v="15ist"/>
    <n v="1"/>
    <n v="500"/>
    <n v="500"/>
    <n v="7017401"/>
    <m/>
    <m/>
    <s v="RC-15ISTHK(W) 7017401"/>
    <n v="1688"/>
    <n v="0.29620853080568721"/>
    <s v="Toshiba SRP"/>
    <n v="110"/>
    <s v="1107017401"/>
  </r>
  <r>
    <n v="270"/>
    <s v="Aeon"/>
    <s v="Megabox"/>
    <x v="4"/>
    <n v="3"/>
    <x v="1"/>
    <x v="6"/>
    <s v="旋鈕式微波爐24L"/>
    <s v="細電"/>
    <s v="SDA"/>
    <s v="mm24"/>
    <n v="1"/>
    <n v="500"/>
    <n v="500"/>
    <n v="7065644"/>
    <m/>
    <m/>
    <s v="MW2-MM24PC(BK) 7065644"/>
    <n v="848"/>
    <n v="0.589622641509434"/>
    <s v="Toshiba SRP"/>
    <n v="110"/>
    <s v="1107065644"/>
  </r>
  <r>
    <n v="271"/>
    <s v="Aeon"/>
    <s v="Megabox"/>
    <x v="4"/>
    <n v="3"/>
    <x v="2"/>
    <x v="13"/>
    <s v="獨立式免安裝洗碗碟機"/>
    <s v="細電"/>
    <s v="DM"/>
    <s v="34ahk"/>
    <n v="1"/>
    <n v="1500"/>
    <n v="1500"/>
    <n v="7017402"/>
    <m/>
    <m/>
    <s v="DWS-34AHK 7017402"/>
    <n v="3999"/>
    <n v="0.37509377344336087"/>
    <s v="Web SRP"/>
    <n v="110"/>
    <s v="1107017402"/>
  </r>
  <r>
    <n v="272"/>
    <s v="Aeon"/>
    <s v="Megabox"/>
    <x v="4"/>
    <n v="3"/>
    <x v="2"/>
    <x v="13"/>
    <s v="獨立式免安裝洗碗碟機"/>
    <s v="細電"/>
    <s v="DM"/>
    <s v="34ahk"/>
    <n v="1"/>
    <n v="1500"/>
    <n v="1500"/>
    <n v="7027462"/>
    <m/>
    <m/>
    <s v="DWS-34AHK 7027462"/>
    <n v="3999"/>
    <n v="0.37509377344336087"/>
    <s v="Web SRP"/>
    <n v="110"/>
    <s v="1107027462"/>
  </r>
  <r>
    <n v="273"/>
    <s v="Aeon"/>
    <s v="Megabox"/>
    <x v="4"/>
    <n v="3"/>
    <x v="2"/>
    <x v="4"/>
    <s v="RO座檯式飲水機"/>
    <s v="細電"/>
    <s v="KWH"/>
    <s v="tsr76"/>
    <n v="1"/>
    <n v="1500"/>
    <n v="1500"/>
    <n v="7027464"/>
    <m/>
    <m/>
    <s v="TWP-TSR76THK(W) 7027464"/>
    <n v="2680"/>
    <n v="0.55970149253731338"/>
    <s v="Toshiba SRP"/>
    <n v="110"/>
    <s v="1107027464"/>
  </r>
  <r>
    <n v="274"/>
    <s v="Aeon"/>
    <s v="Megabox"/>
    <x v="4"/>
    <n v="3"/>
    <x v="2"/>
    <x v="15"/>
    <s v="Induction Cooker"/>
    <s v="細電"/>
    <s v="SDA"/>
    <s v="21ts"/>
    <n v="1"/>
    <n v="500"/>
    <n v="500"/>
    <n v="7027445"/>
    <m/>
    <m/>
    <s v="IC-21TSHK 7027445"/>
    <n v="998"/>
    <n v="0.50100200400801598"/>
    <s v="Web SRP"/>
    <n v="110"/>
    <s v="1107027445"/>
  </r>
  <r>
    <n v="275"/>
    <s v="Aeon"/>
    <s v="Megabox"/>
    <x v="4"/>
    <n v="3"/>
    <x v="2"/>
    <x v="10"/>
    <s v="變頻上置式雙門雪櫃313L "/>
    <s v="大電"/>
    <s v="REF"/>
    <s v="rt416"/>
    <n v="1"/>
    <n v="2888"/>
    <n v="2888"/>
    <n v="7017737"/>
    <m/>
    <m/>
    <s v="GR-RT416WE-PMA(06) 7017737"/>
    <n v="5380"/>
    <n v="0.53680297397769516"/>
    <s v="Toshiba SRP"/>
    <n v="110"/>
    <s v="1107017737"/>
  </r>
  <r>
    <n v="276"/>
    <s v="Aeon"/>
    <s v="Megabox"/>
    <x v="4"/>
    <n v="3"/>
    <x v="2"/>
    <x v="15"/>
    <s v="Induction Cooker"/>
    <s v="細電"/>
    <s v="SDA"/>
    <s v="21ts"/>
    <n v="1"/>
    <n v="500"/>
    <n v="500"/>
    <n v="7027417"/>
    <m/>
    <m/>
    <s v="IC-21TSHK 7027417"/>
    <n v="998"/>
    <n v="0.50100200400801598"/>
    <s v="Web SRP"/>
    <n v="110"/>
    <s v="1107027417"/>
  </r>
  <r>
    <n v="277"/>
    <s v="Aeon"/>
    <s v="Megabox"/>
    <x v="4"/>
    <n v="3"/>
    <x v="2"/>
    <x v="1"/>
    <s v="磁應電飯煲(1.5公升)"/>
    <s v="細電"/>
    <s v="SDA"/>
    <s v="15ist"/>
    <n v="1"/>
    <n v="500"/>
    <n v="500"/>
    <n v="7017732"/>
    <m/>
    <m/>
    <s v="RC-15ISTHK(W) 7017732"/>
    <n v="1688"/>
    <n v="0.29620853080568721"/>
    <s v="Toshiba SRP"/>
    <n v="110"/>
    <s v="1107017732"/>
  </r>
  <r>
    <n v="278"/>
    <s v="Aeon"/>
    <s v="Megabox"/>
    <x v="4"/>
    <n v="3"/>
    <x v="2"/>
    <x v="1"/>
    <s v="磁應電飯煲(1.5公升)"/>
    <s v="細電"/>
    <s v="SDA"/>
    <s v="15ist"/>
    <n v="1"/>
    <n v="500"/>
    <n v="500"/>
    <n v="7017944"/>
    <m/>
    <m/>
    <s v="RC-15ISTHK(W) 7017944"/>
    <n v="1688"/>
    <n v="0.29620853080568721"/>
    <s v="Toshiba SRP"/>
    <n v="110"/>
    <s v="1107017944"/>
  </r>
  <r>
    <n v="279"/>
    <s v="Aeon"/>
    <s v="Megabox"/>
    <x v="4"/>
    <n v="3"/>
    <x v="2"/>
    <x v="1"/>
    <s v="磁應電飯煲(1.5公升)"/>
    <s v="細電"/>
    <s v="SDA"/>
    <s v="15ist"/>
    <n v="1"/>
    <n v="500"/>
    <n v="500"/>
    <n v="7017863"/>
    <m/>
    <m/>
    <s v="RC-15ISTHK(W) 7017863"/>
    <n v="1688"/>
    <n v="0.29620853080568721"/>
    <s v="Toshiba SRP"/>
    <n v="110"/>
    <s v="1107017863"/>
  </r>
  <r>
    <n v="280"/>
    <s v="Aeon"/>
    <s v="Megabox"/>
    <x v="4"/>
    <n v="3"/>
    <x v="2"/>
    <x v="1"/>
    <s v="磁應電飯煲(1.5公升)"/>
    <s v="細電"/>
    <s v="SDA"/>
    <s v="15ist"/>
    <n v="1"/>
    <n v="500"/>
    <n v="500"/>
    <n v="7017861"/>
    <m/>
    <m/>
    <s v="RC-15ISTHK(W) 7017861"/>
    <n v="1688"/>
    <n v="0.29620853080568721"/>
    <s v="Toshiba SRP"/>
    <n v="110"/>
    <s v="1107017861"/>
  </r>
  <r>
    <n v="281"/>
    <s v="Aeon"/>
    <s v="Megabox"/>
    <x v="4"/>
    <n v="3"/>
    <x v="2"/>
    <x v="1"/>
    <s v="磁應電飯煲(1.5公升)"/>
    <s v="細電"/>
    <s v="SDA"/>
    <s v="15ist"/>
    <n v="1"/>
    <n v="500"/>
    <n v="500"/>
    <n v="7017821"/>
    <m/>
    <m/>
    <s v="RC-15ISTHK(W) 7017821"/>
    <n v="1688"/>
    <n v="0.29620853080568721"/>
    <s v="Toshiba SRP"/>
    <n v="110"/>
    <s v="1107017821"/>
  </r>
  <r>
    <n v="282"/>
    <s v="Aeon"/>
    <s v="Megabox"/>
    <x v="4"/>
    <n v="3"/>
    <x v="2"/>
    <x v="5"/>
    <s v="全自動洗衣機 (8公斤 結合高低水位)"/>
    <s v="大電"/>
    <s v="WM"/>
    <s v="m901"/>
    <n v="1"/>
    <n v="1500"/>
    <n v="1500"/>
    <n v="7027609"/>
    <m/>
    <m/>
    <s v="AW-M901BPH(WW) 7027609"/>
    <n v="3580"/>
    <n v="0.41899441340782123"/>
    <s v="Toshiba SRP"/>
    <n v="110"/>
    <s v="1107027609"/>
  </r>
  <r>
    <n v="283"/>
    <s v="Aeon"/>
    <s v="Megabox"/>
    <x v="4"/>
    <n v="3"/>
    <x v="2"/>
    <x v="3"/>
    <s v="7.5KG超薄身前置式變頻洗衣機"/>
    <s v="大電"/>
    <s v="WM"/>
    <s v="bl85a2"/>
    <n v="1"/>
    <n v="2588"/>
    <n v="2588"/>
    <n v="7017927"/>
    <m/>
    <m/>
    <s v="TW-BL85A2H(WW) 7017927"/>
    <n v="5080"/>
    <n v="0.50944881889763782"/>
    <s v="Toshiba SRP"/>
    <n v="110"/>
    <s v="1107017927"/>
  </r>
  <r>
    <n v="284"/>
    <s v="Aeon"/>
    <s v="Megabox"/>
    <x v="4"/>
    <n v="3"/>
    <x v="2"/>
    <x v="14"/>
    <s v="21L壓縮式抽濕機"/>
    <s v="大電"/>
    <s v="RAC"/>
    <s v="y200"/>
    <n v="1"/>
    <n v="1500"/>
    <n v="1500"/>
    <n v="7027529"/>
    <m/>
    <m/>
    <s v="RAD-Y200H 7027529"/>
    <n v="3280"/>
    <n v="0.45731707317073172"/>
    <s v="Toshiba SRP"/>
    <n v="110"/>
    <s v="1107027529"/>
  </r>
  <r>
    <n v="285"/>
    <s v="Aeon"/>
    <s v="Megabox"/>
    <x v="4"/>
    <n v="3"/>
    <x v="9"/>
    <x v="13"/>
    <s v="獨立式免安裝洗碗碟機"/>
    <s v="細電"/>
    <s v="DM"/>
    <s v="34ahk"/>
    <n v="7"/>
    <n v="1500"/>
    <n v="10500"/>
    <n v="6048171"/>
    <m/>
    <m/>
    <s v="DWS-34AHK 6048171"/>
    <n v="3999"/>
    <n v="0.37509377344336087"/>
    <s v="Web SRP"/>
    <n v="110"/>
    <s v="1106048171"/>
  </r>
  <r>
    <n v="286"/>
    <s v="Aeon"/>
    <s v="Megabox"/>
    <x v="4"/>
    <n v="3"/>
    <x v="9"/>
    <x v="15"/>
    <s v="Induction Cooker"/>
    <s v="細電"/>
    <s v="SDA"/>
    <s v="21ts"/>
    <n v="1"/>
    <n v="500"/>
    <n v="500"/>
    <n v="7018097"/>
    <m/>
    <m/>
    <s v="IC-21TSHK 7018097"/>
    <n v="998"/>
    <n v="0.50100200400801598"/>
    <s v="Web SRP"/>
    <n v="110"/>
    <s v="1107018097"/>
  </r>
  <r>
    <n v="287"/>
    <s v="Aeon"/>
    <s v="Megabox"/>
    <x v="4"/>
    <n v="3"/>
    <x v="9"/>
    <x v="6"/>
    <s v="旋鈕式微波爐24L"/>
    <s v="細電"/>
    <s v="SDA"/>
    <s v="mm24"/>
    <n v="1"/>
    <n v="500"/>
    <n v="500"/>
    <n v="7027550"/>
    <m/>
    <m/>
    <s v="MW2-MM24PC(BK) 7027550"/>
    <n v="848"/>
    <n v="0.589622641509434"/>
    <s v="Toshiba SRP"/>
    <n v="110"/>
    <s v="1107027550"/>
  </r>
  <r>
    <n v="288"/>
    <s v="Aeon"/>
    <s v="Megabox"/>
    <x v="4"/>
    <n v="3"/>
    <x v="9"/>
    <x v="1"/>
    <s v="磁應電飯煲(1.5公升)"/>
    <s v="細電"/>
    <s v="SDA"/>
    <s v="15ist"/>
    <n v="1"/>
    <n v="500"/>
    <n v="500"/>
    <n v="7018083"/>
    <m/>
    <m/>
    <s v="RC-15ISTHK(W) 7018083"/>
    <n v="1688"/>
    <n v="0.29620853080568721"/>
    <s v="Toshiba SRP"/>
    <n v="110"/>
    <s v="1107018083"/>
  </r>
  <r>
    <n v="289"/>
    <s v="Aeon"/>
    <s v="Megabox"/>
    <x v="4"/>
    <n v="3"/>
    <x v="9"/>
    <x v="1"/>
    <s v="磁應電飯煲(1.5公升)"/>
    <s v="細電"/>
    <s v="SDA"/>
    <s v="15ist"/>
    <n v="1"/>
    <n v="500"/>
    <n v="500"/>
    <n v="7027660"/>
    <m/>
    <m/>
    <s v="RC-15ISTHK(W) 7027660"/>
    <n v="1688"/>
    <n v="0.29620853080568721"/>
    <s v="Toshiba SRP"/>
    <n v="110"/>
    <s v="1107027660"/>
  </r>
  <r>
    <n v="290"/>
    <s v="Aeon"/>
    <s v="Megabox"/>
    <x v="4"/>
    <n v="3"/>
    <x v="9"/>
    <x v="1"/>
    <s v="磁應電飯煲(1.5公升)"/>
    <s v="細電"/>
    <s v="SDA"/>
    <s v="15ist"/>
    <n v="1"/>
    <n v="500"/>
    <n v="500"/>
    <n v="7027574"/>
    <m/>
    <m/>
    <s v="RC-15ISTHK(W) 7027574"/>
    <n v="1688"/>
    <n v="0.29620853080568721"/>
    <s v="Toshiba SRP"/>
    <n v="110"/>
    <s v="1107027574"/>
  </r>
  <r>
    <n v="291"/>
    <s v="Aeon"/>
    <s v="Megabox"/>
    <x v="4"/>
    <n v="3"/>
    <x v="9"/>
    <x v="1"/>
    <s v="磁應電飯煲(1.5公升)"/>
    <s v="細電"/>
    <s v="SDA"/>
    <s v="15ist"/>
    <n v="1"/>
    <n v="500"/>
    <n v="500"/>
    <n v="7017987"/>
    <m/>
    <m/>
    <s v="RC-15ISTHK(W) 7017987"/>
    <n v="1688"/>
    <n v="0.29620853080568721"/>
    <s v="Toshiba SRP"/>
    <n v="110"/>
    <s v="1107017987"/>
  </r>
  <r>
    <n v="292"/>
    <s v="Aeon"/>
    <s v="Megabox"/>
    <x v="4"/>
    <n v="3"/>
    <x v="9"/>
    <x v="1"/>
    <s v="磁應電飯煲(1.5公升)"/>
    <s v="細電"/>
    <s v="SDA"/>
    <s v="15ist"/>
    <n v="1"/>
    <n v="500"/>
    <n v="500"/>
    <n v="7027536"/>
    <m/>
    <m/>
    <s v="RC-15ISTHK(W) 7027536"/>
    <n v="1688"/>
    <n v="0.29620853080568721"/>
    <s v="Toshiba SRP"/>
    <n v="110"/>
    <s v="1107027536"/>
  </r>
  <r>
    <n v="293"/>
    <s v="Aeon"/>
    <s v="Megabox"/>
    <x v="4"/>
    <n v="3"/>
    <x v="9"/>
    <x v="1"/>
    <s v="磁應電飯煲(1.5公升)"/>
    <s v="細電"/>
    <s v="SDA"/>
    <s v="15ist"/>
    <n v="1"/>
    <n v="500"/>
    <n v="500"/>
    <n v="7017996"/>
    <m/>
    <m/>
    <s v="RC-15ISTHK(W) 7017996"/>
    <n v="1688"/>
    <n v="0.29620853080568721"/>
    <s v="Toshiba SRP"/>
    <n v="110"/>
    <s v="1107017996"/>
  </r>
  <r>
    <n v="294"/>
    <s v="Aeon"/>
    <s v="Megabox"/>
    <x v="4"/>
    <n v="3"/>
    <x v="9"/>
    <x v="1"/>
    <s v="磁應電飯煲(1.5公升)"/>
    <s v="細電"/>
    <s v="SDA"/>
    <s v="15ist"/>
    <n v="1"/>
    <n v="500"/>
    <n v="500"/>
    <n v="7065848"/>
    <m/>
    <m/>
    <s v="RC-15ISTHK(W) 7065848"/>
    <n v="1688"/>
    <n v="0.29620853080568721"/>
    <s v="Toshiba SRP"/>
    <n v="110"/>
    <s v="1107065848"/>
  </r>
  <r>
    <n v="295"/>
    <s v="Aeon"/>
    <s v="Megabox"/>
    <x v="4"/>
    <n v="3"/>
    <x v="9"/>
    <x v="1"/>
    <s v="磁應電飯煲(1.5公升)"/>
    <s v="細電"/>
    <s v="SDA"/>
    <s v="15ist"/>
    <n v="1"/>
    <n v="500"/>
    <n v="500"/>
    <n v="7027585"/>
    <m/>
    <m/>
    <s v="RC-15ISTHK(W) 7027585"/>
    <n v="1688"/>
    <n v="0.29620853080568721"/>
    <s v="Toshiba SRP"/>
    <n v="110"/>
    <s v="1107027585"/>
  </r>
  <r>
    <n v="296"/>
    <s v="Aeon"/>
    <s v="Megabox"/>
    <x v="4"/>
    <n v="3"/>
    <x v="9"/>
    <x v="1"/>
    <s v="磁應電飯煲(1.5公升)"/>
    <s v="細電"/>
    <s v="SDA"/>
    <s v="15ist"/>
    <n v="1"/>
    <n v="500"/>
    <n v="500"/>
    <n v="7018030"/>
    <m/>
    <m/>
    <s v="RC-15ISTHK(W) 7018030"/>
    <n v="1688"/>
    <n v="0.29620853080568721"/>
    <s v="Toshiba SRP"/>
    <n v="110"/>
    <s v="1107018030"/>
  </r>
  <r>
    <n v="297"/>
    <s v="Aeon"/>
    <s v="Megabox"/>
    <x v="4"/>
    <n v="3"/>
    <x v="9"/>
    <x v="1"/>
    <s v="磁應電飯煲(1.5公升)"/>
    <s v="細電"/>
    <s v="SDA"/>
    <s v="15ist"/>
    <n v="1"/>
    <n v="500"/>
    <n v="500"/>
    <n v="7018033"/>
    <m/>
    <m/>
    <s v="RC-15ISTHK(W) 7018033"/>
    <n v="1688"/>
    <n v="0.29620853080568721"/>
    <s v="Toshiba SRP"/>
    <n v="110"/>
    <s v="1107018033"/>
  </r>
  <r>
    <n v="298"/>
    <s v="Aeon"/>
    <s v="Megabox"/>
    <x v="4"/>
    <n v="3"/>
    <x v="9"/>
    <x v="5"/>
    <s v="全自動洗衣機 (8公斤 結合高低水位)"/>
    <s v="大電"/>
    <s v="WM"/>
    <s v="m901"/>
    <n v="1"/>
    <n v="1500"/>
    <n v="1500"/>
    <n v="7027550"/>
    <m/>
    <m/>
    <s v="AW-M901BPH(WW) 7027550"/>
    <n v="3580"/>
    <n v="0.41899441340782123"/>
    <s v="Toshiba SRP"/>
    <n v="110"/>
    <s v="1107027550"/>
  </r>
  <r>
    <n v="299"/>
    <s v="Aeon"/>
    <s v="Megabox"/>
    <x v="4"/>
    <n v="3"/>
    <x v="9"/>
    <x v="5"/>
    <s v="全自動洗衣機 (8公斤 結合高低水位)"/>
    <s v="大電"/>
    <s v="WM"/>
    <s v="m901"/>
    <n v="1"/>
    <n v="1500"/>
    <n v="1500"/>
    <n v="7018033"/>
    <m/>
    <m/>
    <s v="AW-M901BPH(WW) 7018033"/>
    <n v="3580"/>
    <n v="0.41899441340782123"/>
    <s v="Toshiba SRP"/>
    <n v="110"/>
    <s v="1107018033"/>
  </r>
  <r>
    <n v="300"/>
    <s v="Aeon"/>
    <s v="Megabox"/>
    <x v="4"/>
    <n v="3"/>
    <x v="9"/>
    <x v="2"/>
    <s v="雙門變頻式環保雪櫃"/>
    <s v="大電"/>
    <s v="AC"/>
    <s v="a26hsz"/>
    <n v="1"/>
    <n v="1500"/>
    <n v="1500"/>
    <n v="7065848"/>
    <m/>
    <m/>
    <s v="GR-A26HSZ(DS) 7065848"/>
    <n v="3780"/>
    <n v="0.3968253968253968"/>
    <s v="Toshiba SRP"/>
    <n v="110"/>
    <s v="1107065848"/>
  </r>
  <r>
    <n v="301"/>
    <s v="Aeon"/>
    <s v="Megabox"/>
    <x v="4"/>
    <n v="3"/>
    <x v="9"/>
    <x v="3"/>
    <s v="7.5KG超薄身前置式變頻洗衣機"/>
    <s v="大電"/>
    <s v="WM"/>
    <s v="bl85a2"/>
    <n v="1"/>
    <n v="2588"/>
    <n v="2588"/>
    <n v="7018092"/>
    <m/>
    <m/>
    <s v="TW-BL85A2H(WW) 7018092"/>
    <n v="5080"/>
    <n v="0.50944881889763782"/>
    <s v="Toshiba SRP"/>
    <n v="110"/>
    <s v="1107018092"/>
  </r>
  <r>
    <n v="302"/>
    <s v="Aeon"/>
    <s v="Megabox"/>
    <x v="4"/>
    <n v="3"/>
    <x v="9"/>
    <x v="10"/>
    <s v="變頻上置式雙門雪櫃313L "/>
    <s v="大電"/>
    <s v="REF"/>
    <s v="rt416"/>
    <n v="1"/>
    <n v="2888"/>
    <n v="2888"/>
    <n v="7017987"/>
    <m/>
    <m/>
    <s v="GR-RT416WE-PMA(06) 7017987"/>
    <n v="5380"/>
    <n v="0.53680297397769516"/>
    <s v="Toshiba SRP"/>
    <n v="110"/>
    <s v="1107017987"/>
  </r>
  <r>
    <n v="303"/>
    <s v="Aeon"/>
    <s v="Megabox"/>
    <x v="4"/>
    <n v="3"/>
    <x v="10"/>
    <x v="13"/>
    <s v="獨立式免安裝洗碗碟機"/>
    <s v="細電"/>
    <s v="DM"/>
    <s v="34ahk"/>
    <n v="1"/>
    <n v="1500"/>
    <n v="1500"/>
    <n v="7018029"/>
    <m/>
    <m/>
    <s v="DWS-34AHK 7018029"/>
    <n v="3999"/>
    <n v="0.37509377344336087"/>
    <s v="Web SRP"/>
    <n v="110"/>
    <s v="1107018029"/>
  </r>
  <r>
    <n v="304"/>
    <s v="Aeon"/>
    <s v="Megabox"/>
    <x v="4"/>
    <n v="3"/>
    <x v="10"/>
    <x v="1"/>
    <s v="磁應電飯煲(1.5公升)"/>
    <s v="細電"/>
    <s v="SDA"/>
    <s v="15ist"/>
    <n v="1"/>
    <n v="500"/>
    <n v="500"/>
    <n v="7018038"/>
    <m/>
    <m/>
    <s v="RC-15ISTHK(W) 7018038"/>
    <n v="1688"/>
    <n v="0.29620853080568721"/>
    <s v="Toshiba SRP"/>
    <n v="110"/>
    <s v="1107018038"/>
  </r>
  <r>
    <n v="305"/>
    <s v="Aeon"/>
    <s v="Megabox"/>
    <x v="4"/>
    <n v="3"/>
    <x v="10"/>
    <x v="1"/>
    <s v="磁應電飯煲(1.5公升)"/>
    <s v="細電"/>
    <s v="SDA"/>
    <s v="15ist"/>
    <n v="1"/>
    <n v="500"/>
    <n v="500"/>
    <n v="7018057"/>
    <m/>
    <m/>
    <s v="RC-15ISTHK(W) 7018057"/>
    <n v="1688"/>
    <n v="0.29620853080568721"/>
    <s v="Toshiba SRP"/>
    <n v="110"/>
    <s v="1107018057"/>
  </r>
  <r>
    <n v="306"/>
    <s v="Aeon"/>
    <s v="Megabox"/>
    <x v="4"/>
    <n v="3"/>
    <x v="10"/>
    <x v="1"/>
    <s v="磁應電飯煲(1.5公升)"/>
    <s v="細電"/>
    <s v="SDA"/>
    <s v="15ist"/>
    <n v="1"/>
    <n v="500"/>
    <n v="500"/>
    <n v="7027628"/>
    <m/>
    <m/>
    <s v="RC-15ISTHK(W) 7027628"/>
    <n v="1688"/>
    <n v="0.29620853080568721"/>
    <s v="Toshiba SRP"/>
    <n v="110"/>
    <s v="1107027628"/>
  </r>
  <r>
    <n v="307"/>
    <s v="Aeon"/>
    <s v="Megabox"/>
    <x v="4"/>
    <n v="3"/>
    <x v="10"/>
    <x v="1"/>
    <s v="磁應電飯煲(1.5公升)"/>
    <s v="細電"/>
    <s v="SDA"/>
    <s v="15ist"/>
    <n v="1"/>
    <n v="500"/>
    <n v="500"/>
    <n v="7018065"/>
    <m/>
    <m/>
    <s v="RC-15ISTHK(W) 7018065"/>
    <n v="1688"/>
    <n v="0.29620853080568721"/>
    <s v="Toshiba SRP"/>
    <n v="110"/>
    <s v="1107018065"/>
  </r>
  <r>
    <n v="308"/>
    <s v="Aeon"/>
    <s v="Megabox"/>
    <x v="4"/>
    <n v="3"/>
    <x v="10"/>
    <x v="5"/>
    <s v="全自動洗衣機 (8公斤 結合高低水位)"/>
    <s v="大電"/>
    <s v="WM"/>
    <s v="m901"/>
    <n v="1"/>
    <n v="1500"/>
    <n v="1500"/>
    <n v="7018065"/>
    <m/>
    <m/>
    <s v="AW-M901BPH(WW) 7018065"/>
    <n v="3580"/>
    <n v="0.41899441340782123"/>
    <s v="Toshiba SRP"/>
    <n v="110"/>
    <s v="1107018065"/>
  </r>
  <r>
    <n v="309"/>
    <s v="Aeon"/>
    <s v="Megabox"/>
    <x v="4"/>
    <n v="3"/>
    <x v="10"/>
    <x v="13"/>
    <s v="獨立式免安裝洗碗碟機"/>
    <s v="細電"/>
    <s v="DM"/>
    <s v="34ahk"/>
    <n v="1"/>
    <n v="1500"/>
    <n v="1500"/>
    <n v="7018055"/>
    <m/>
    <m/>
    <s v="DWS-34AHK 7018055"/>
    <n v="3999"/>
    <n v="0.37509377344336087"/>
    <s v="Web SRP"/>
    <n v="110"/>
    <s v="1107018055"/>
  </r>
  <r>
    <n v="310"/>
    <s v="Aeon"/>
    <s v="Megabox"/>
    <x v="4"/>
    <n v="3"/>
    <x v="10"/>
    <x v="6"/>
    <s v="旋鈕式微波爐24L"/>
    <s v="細電"/>
    <s v="SDA"/>
    <s v="mm24"/>
    <n v="1"/>
    <n v="500"/>
    <n v="500"/>
    <n v="7027706"/>
    <m/>
    <m/>
    <s v="MW2-MM24PC(BK) 7027706"/>
    <n v="848"/>
    <n v="0.589622641509434"/>
    <s v="Toshiba SRP"/>
    <n v="110"/>
    <s v="1107027706"/>
  </r>
  <r>
    <n v="311"/>
    <s v="Aeon"/>
    <s v="Megabox"/>
    <x v="4"/>
    <n v="3"/>
    <x v="10"/>
    <x v="4"/>
    <s v="RO座檯式飲水機"/>
    <s v="細電"/>
    <s v="KWH"/>
    <s v="tsr76"/>
    <n v="1"/>
    <n v="1500"/>
    <n v="1500"/>
    <n v="7018136"/>
    <m/>
    <m/>
    <s v="TWP-TSR76THK(W) 7018136"/>
    <n v="2680"/>
    <n v="0.55970149253731338"/>
    <s v="Toshiba SRP"/>
    <n v="110"/>
    <s v="1107018136"/>
  </r>
  <r>
    <n v="312"/>
    <s v="Aeon"/>
    <s v="Megabox"/>
    <x v="4"/>
    <n v="3"/>
    <x v="10"/>
    <x v="12"/>
    <s v="Comfee 1.5匹變頻窗口式冷氣機"/>
    <s v="大電"/>
    <s v="RAC"/>
    <s v="12crf"/>
    <n v="1"/>
    <n v="4088"/>
    <n v="4088"/>
    <n v="7018143"/>
    <m/>
    <m/>
    <s v="CWF-12CRFN8-AD5 7018143"/>
    <n v="5200"/>
    <n v="0.7861538461538462"/>
    <s v="Shops Highest Price"/>
    <n v="110"/>
    <s v="1107018143"/>
  </r>
  <r>
    <n v="313"/>
    <s v="Aeon"/>
    <s v="Megabox"/>
    <x v="4"/>
    <n v="3"/>
    <x v="11"/>
    <x v="1"/>
    <s v="磁應電飯煲(1.5公升)"/>
    <s v="細電"/>
    <s v="SDA"/>
    <s v="15ist"/>
    <n v="1"/>
    <n v="500"/>
    <n v="500"/>
    <n v="7027669"/>
    <m/>
    <m/>
    <s v="RC-15ISTHK(W) 7027669"/>
    <n v="1688"/>
    <n v="0.29620853080568721"/>
    <s v="Toshiba SRP"/>
    <n v="110"/>
    <s v="1107027669"/>
  </r>
  <r>
    <n v="314"/>
    <s v="Aeon"/>
    <s v="Megabox"/>
    <x v="4"/>
    <n v="3"/>
    <x v="11"/>
    <x v="15"/>
    <s v="Induction Cooker"/>
    <s v="細電"/>
    <s v="SDA"/>
    <s v="21ts"/>
    <n v="1"/>
    <n v="500"/>
    <n v="500"/>
    <n v="7018332"/>
    <m/>
    <m/>
    <s v="IC-21TSHK 7018332"/>
    <n v="998"/>
    <n v="0.50100200400801598"/>
    <s v="Web SRP"/>
    <n v="110"/>
    <s v="1107018332"/>
  </r>
  <r>
    <n v="315"/>
    <s v="Aeon"/>
    <s v="Megabox"/>
    <x v="4"/>
    <n v="3"/>
    <x v="11"/>
    <x v="1"/>
    <s v="磁應電飯煲(1.5公升)"/>
    <s v="細電"/>
    <s v="SDA"/>
    <s v="15ist"/>
    <n v="1"/>
    <n v="500"/>
    <n v="500"/>
    <n v="7027762"/>
    <m/>
    <m/>
    <s v="RC-15ISTHK(W) 7027762"/>
    <n v="1688"/>
    <n v="0.29620853080568721"/>
    <s v="Toshiba SRP"/>
    <n v="110"/>
    <s v="1107027762"/>
  </r>
  <r>
    <n v="316"/>
    <s v="Aeon"/>
    <s v="Megabox"/>
    <x v="4"/>
    <n v="3"/>
    <x v="11"/>
    <x v="1"/>
    <s v="磁應電飯煲(1.5公升)"/>
    <s v="細電"/>
    <s v="SDA"/>
    <s v="15ist"/>
    <n v="1"/>
    <n v="500"/>
    <n v="500"/>
    <n v="7018222"/>
    <m/>
    <m/>
    <s v="RC-15ISTHK(W) 7018222"/>
    <n v="1688"/>
    <n v="0.29620853080568721"/>
    <s v="Toshiba SRP"/>
    <n v="110"/>
    <s v="1107018222"/>
  </r>
  <r>
    <n v="317"/>
    <s v="Aeon"/>
    <s v="Megabox"/>
    <x v="4"/>
    <n v="3"/>
    <x v="11"/>
    <x v="5"/>
    <s v="全自動洗衣機 (8公斤 結合高低水位)"/>
    <s v="大電"/>
    <s v="WM"/>
    <s v="m901"/>
    <n v="1"/>
    <n v="1500"/>
    <n v="1500"/>
    <n v="7018199"/>
    <m/>
    <m/>
    <s v="AW-M901BPH(WW) 7018199"/>
    <n v="3580"/>
    <n v="0.41899441340782123"/>
    <s v="Toshiba SRP"/>
    <n v="110"/>
    <s v="1107018199"/>
  </r>
  <r>
    <n v="318"/>
    <s v="Aeon"/>
    <s v="Megabox"/>
    <x v="4"/>
    <n v="3"/>
    <x v="11"/>
    <x v="5"/>
    <s v="全自動洗衣機 (8公斤 結合高低水位)"/>
    <s v="大電"/>
    <s v="WM"/>
    <s v="m901"/>
    <n v="1"/>
    <n v="1500"/>
    <n v="1500"/>
    <n v="7018273"/>
    <m/>
    <m/>
    <s v="AW-M901BPH(WW) 7018273"/>
    <n v="3580"/>
    <n v="0.41899441340782123"/>
    <s v="Toshiba SRP"/>
    <n v="110"/>
    <s v="1107018273"/>
  </r>
  <r>
    <n v="319"/>
    <s v="Aeon"/>
    <s v="Megabox"/>
    <x v="4"/>
    <n v="3"/>
    <x v="11"/>
    <x v="10"/>
    <s v="變頻上置式雙門雪櫃313L "/>
    <s v="大電"/>
    <s v="REF"/>
    <s v="rt416"/>
    <n v="1"/>
    <n v="2888"/>
    <n v="2888"/>
    <n v="7018263"/>
    <m/>
    <m/>
    <s v="GR-RT416WE-PMA(06) 7018263"/>
    <n v="5380"/>
    <n v="0.53680297397769516"/>
    <s v="Toshiba SRP"/>
    <n v="110"/>
    <s v="1107018263"/>
  </r>
  <r>
    <n v="320"/>
    <s v="Aeon"/>
    <s v="Megabox"/>
    <x v="4"/>
    <n v="3"/>
    <x v="11"/>
    <x v="22"/>
    <s v="變頻五門雪櫃(375L)"/>
    <s v="大電"/>
    <s v="REF"/>
    <s v="rm612"/>
    <n v="1"/>
    <n v="9980"/>
    <n v="9980"/>
    <n v="7065940"/>
    <m/>
    <m/>
    <s v="GR-RM612WE-PGA(B5) 7065940"/>
    <n v="11000"/>
    <n v="0.90727272727272723"/>
    <s v="Shops Highest Price"/>
    <n v="110"/>
    <s v="1107065940"/>
  </r>
  <r>
    <n v="321"/>
    <s v="Aeon"/>
    <s v="Megabox"/>
    <x v="4"/>
    <n v="3"/>
    <x v="12"/>
    <x v="2"/>
    <s v="雙門變頻式環保雪櫃"/>
    <s v="大電"/>
    <s v="AC"/>
    <s v="a26hsz"/>
    <n v="1"/>
    <n v="1500"/>
    <n v="1500"/>
    <n v="7027727"/>
    <m/>
    <m/>
    <s v="GR-A26HSZ(DS) 7027727"/>
    <n v="3780"/>
    <n v="0.3968253968253968"/>
    <s v="Toshiba SRP"/>
    <n v="110"/>
    <s v="1107027727"/>
  </r>
  <r>
    <n v="322"/>
    <s v="Aeon"/>
    <s v="Megabox"/>
    <x v="4"/>
    <n v="3"/>
    <x v="12"/>
    <x v="1"/>
    <s v="磁應電飯煲(1.5公升)"/>
    <s v="細電"/>
    <s v="SDA"/>
    <s v="15ist"/>
    <n v="1"/>
    <n v="500"/>
    <n v="500"/>
    <n v="7018341"/>
    <m/>
    <m/>
    <s v="RC-15ISTHK(W) 7018341"/>
    <n v="1688"/>
    <n v="0.29620853080568721"/>
    <s v="Toshiba SRP"/>
    <n v="110"/>
    <s v="1107018341"/>
  </r>
  <r>
    <n v="323"/>
    <s v="Aeon"/>
    <s v="Megabox"/>
    <x v="4"/>
    <n v="3"/>
    <x v="12"/>
    <x v="1"/>
    <s v="磁應電飯煲(1.5公升)"/>
    <s v="細電"/>
    <s v="SDA"/>
    <s v="15ist"/>
    <n v="1"/>
    <n v="500"/>
    <n v="500"/>
    <n v="7018270"/>
    <m/>
    <m/>
    <s v="RC-15ISTHK(W) 7018270"/>
    <n v="1688"/>
    <n v="0.29620853080568721"/>
    <s v="Toshiba SRP"/>
    <n v="110"/>
    <s v="1107018270"/>
  </r>
  <r>
    <n v="324"/>
    <s v="Aeon"/>
    <s v="Megabox"/>
    <x v="4"/>
    <n v="3"/>
    <x v="12"/>
    <x v="5"/>
    <s v="全自動洗衣機 (8公斤 結合高低水位)"/>
    <s v="大電"/>
    <s v="WM"/>
    <s v="m901"/>
    <n v="1"/>
    <n v="1500"/>
    <n v="1500"/>
    <n v="7018390"/>
    <m/>
    <m/>
    <s v="AW-M901BPH(WW) 7018390"/>
    <n v="3580"/>
    <n v="0.41899441340782123"/>
    <s v="Toshiba SRP"/>
    <n v="110"/>
    <s v="1107018390"/>
  </r>
  <r>
    <n v="325"/>
    <s v="Aeon"/>
    <s v="Megabox"/>
    <x v="4"/>
    <n v="3"/>
    <x v="12"/>
    <x v="13"/>
    <s v="獨立式免安裝洗碗碟機"/>
    <s v="細電"/>
    <s v="DM"/>
    <s v="34ahk"/>
    <n v="1"/>
    <n v="1500"/>
    <n v="1500"/>
    <n v="7027821"/>
    <m/>
    <m/>
    <s v="DWS-34AHK 7027821"/>
    <n v="3999"/>
    <n v="0.37509377344336087"/>
    <s v="Web SRP"/>
    <n v="110"/>
    <s v="1107027821"/>
  </r>
  <r>
    <n v="326"/>
    <s v="Aeon"/>
    <s v="Megabox"/>
    <x v="4"/>
    <n v="3"/>
    <x v="12"/>
    <x v="2"/>
    <s v="雙門變頻式環保雪櫃"/>
    <s v="大電"/>
    <s v="AC"/>
    <s v="a26hsz"/>
    <n v="1"/>
    <n v="1500"/>
    <n v="1500"/>
    <n v="7018406"/>
    <m/>
    <m/>
    <s v="GR-A26HSZ(DS) 7018406"/>
    <n v="3780"/>
    <n v="0.3968253968253968"/>
    <s v="Toshiba SRP"/>
    <n v="110"/>
    <s v="1107018406"/>
  </r>
  <r>
    <n v="327"/>
    <s v="Aeon"/>
    <s v="Megabox"/>
    <x v="4"/>
    <n v="3"/>
    <x v="12"/>
    <x v="10"/>
    <s v="變頻上置式雙門雪櫃313L "/>
    <s v="大電"/>
    <s v="REF"/>
    <s v="rt416"/>
    <n v="1"/>
    <n v="2888"/>
    <n v="2888"/>
    <n v="7018396"/>
    <m/>
    <m/>
    <s v="GR-RT416WE-PMA(06) 7018396"/>
    <n v="5380"/>
    <n v="0.53680297397769516"/>
    <s v="Toshiba SRP"/>
    <n v="110"/>
    <s v="1107018396"/>
  </r>
  <r>
    <n v="328"/>
    <s v="Aeon"/>
    <s v="Megabox"/>
    <x v="4"/>
    <n v="3"/>
    <x v="3"/>
    <x v="13"/>
    <s v="獨立式免安裝洗碗碟機"/>
    <s v="細電"/>
    <s v="DM"/>
    <s v="34ahk"/>
    <n v="1"/>
    <n v="1500"/>
    <n v="1500"/>
    <n v="7027899"/>
    <m/>
    <m/>
    <s v="DWS-34AHK 7027899"/>
    <n v="3999"/>
    <n v="0.37509377344336087"/>
    <s v="Web SRP"/>
    <n v="110"/>
    <s v="1107027899"/>
  </r>
  <r>
    <n v="329"/>
    <s v="Aeon"/>
    <s v="Megabox"/>
    <x v="4"/>
    <n v="3"/>
    <x v="3"/>
    <x v="1"/>
    <s v="磁應電飯煲(1.5公升)"/>
    <s v="細電"/>
    <s v="SDA"/>
    <s v="15ist"/>
    <n v="1"/>
    <n v="500"/>
    <n v="500"/>
    <n v="7018512"/>
    <m/>
    <m/>
    <s v="RC-15ISTHK(W) 7018512"/>
    <n v="1688"/>
    <n v="0.29620853080568721"/>
    <s v="Toshiba SRP"/>
    <n v="110"/>
    <s v="1107018512"/>
  </r>
  <r>
    <n v="330"/>
    <s v="Aeon"/>
    <s v="Megabox"/>
    <x v="4"/>
    <n v="3"/>
    <x v="3"/>
    <x v="1"/>
    <s v="磁應電飯煲(1.5公升)"/>
    <s v="細電"/>
    <s v="SDA"/>
    <s v="15ist"/>
    <n v="1"/>
    <n v="500"/>
    <n v="500"/>
    <n v="7018453"/>
    <m/>
    <m/>
    <s v="RC-15ISTHK(W) 7018453"/>
    <n v="1688"/>
    <n v="0.29620853080568721"/>
    <s v="Toshiba SRP"/>
    <n v="110"/>
    <s v="1107018453"/>
  </r>
  <r>
    <n v="331"/>
    <s v="Aeon"/>
    <s v="Megabox"/>
    <x v="4"/>
    <n v="3"/>
    <x v="3"/>
    <x v="2"/>
    <s v="雙門變頻式環保雪櫃"/>
    <s v="大電"/>
    <s v="AC"/>
    <s v="a26hsz"/>
    <n v="1"/>
    <n v="1500"/>
    <n v="1500"/>
    <n v="7018441"/>
    <m/>
    <m/>
    <s v="GR-A26HSZ(DS) 7018441"/>
    <n v="3780"/>
    <n v="0.3968253968253968"/>
    <s v="Toshiba SRP"/>
    <n v="110"/>
    <s v="1107018441"/>
  </r>
  <r>
    <n v="332"/>
    <s v="Aeon"/>
    <s v="Megabox"/>
    <x v="4"/>
    <n v="3"/>
    <x v="3"/>
    <x v="2"/>
    <s v="雙門變頻式環保雪櫃"/>
    <s v="大電"/>
    <s v="AC"/>
    <s v="a26hsz"/>
    <n v="1"/>
    <n v="1500"/>
    <n v="1500"/>
    <n v="7018454"/>
    <m/>
    <m/>
    <s v="GR-A26HSZ(DS) 7018454"/>
    <n v="3780"/>
    <n v="0.3968253968253968"/>
    <s v="Toshiba SRP"/>
    <n v="110"/>
    <s v="1107018454"/>
  </r>
  <r>
    <n v="333"/>
    <s v="Aeon"/>
    <s v="Megabox"/>
    <x v="4"/>
    <n v="3"/>
    <x v="3"/>
    <x v="10"/>
    <s v="變頻上置式雙門雪櫃313L "/>
    <s v="大電"/>
    <s v="REF"/>
    <s v="rt416"/>
    <n v="1"/>
    <n v="2888"/>
    <n v="2888"/>
    <n v="7018629"/>
    <m/>
    <m/>
    <s v="GR-RT416WE-PMA(06) 7018629"/>
    <n v="5380"/>
    <n v="0.53680297397769516"/>
    <s v="Toshiba SRP"/>
    <n v="110"/>
    <s v="1107018629"/>
  </r>
  <r>
    <n v="334"/>
    <s v="Aeon"/>
    <s v="Megabox"/>
    <x v="4"/>
    <n v="3"/>
    <x v="3"/>
    <x v="10"/>
    <s v="變頻上置式雙門雪櫃313L "/>
    <s v="大電"/>
    <s v="REF"/>
    <s v="rt416"/>
    <n v="1"/>
    <n v="2888"/>
    <n v="2888"/>
    <n v="7027911"/>
    <m/>
    <m/>
    <s v="GR-RT416WE-PMA(06) 7027911"/>
    <n v="5380"/>
    <n v="0.53680297397769516"/>
    <s v="Toshiba SRP"/>
    <n v="110"/>
    <s v="1107027911"/>
  </r>
  <r>
    <n v="335"/>
    <s v="Aeon"/>
    <s v="Megabox"/>
    <x v="4"/>
    <n v="3"/>
    <x v="3"/>
    <x v="0"/>
    <s v="超薄身前置式洗衣乾衣機 (洗8公斤 乾5公斤)"/>
    <s v="大電"/>
    <s v="WM"/>
    <s v="bn90"/>
    <n v="1"/>
    <n v="3588"/>
    <n v="3588"/>
    <n v="7018453"/>
    <m/>
    <m/>
    <s v="TWD-BN90GF4H(WK) 7018453"/>
    <n v="5980"/>
    <n v="0.6"/>
    <s v="Toshiba SRP"/>
    <n v="110"/>
    <s v="1107018453"/>
  </r>
  <r>
    <n v="336"/>
    <s v="Aeon"/>
    <s v="Megabox"/>
    <x v="4"/>
    <n v="3"/>
    <x v="4"/>
    <x v="4"/>
    <s v="RO座檯式飲水機"/>
    <s v="細電"/>
    <s v="KWH"/>
    <s v="tsr76"/>
    <n v="1"/>
    <n v="1500"/>
    <n v="1500"/>
    <n v="7018463"/>
    <m/>
    <m/>
    <s v="TWP-TSR76THK(W) 7018463"/>
    <n v="2680"/>
    <n v="0.55970149253731338"/>
    <s v="Toshiba SRP"/>
    <n v="110"/>
    <s v="1107018463"/>
  </r>
  <r>
    <n v="337"/>
    <s v="Aeon"/>
    <s v="Megabox"/>
    <x v="4"/>
    <n v="3"/>
    <x v="4"/>
    <x v="6"/>
    <s v="旋鈕式微波爐24L"/>
    <s v="細電"/>
    <s v="SDA"/>
    <s v="mm24"/>
    <n v="1"/>
    <n v="500"/>
    <n v="500"/>
    <n v="7018450"/>
    <m/>
    <m/>
    <s v="MW2-MM24PC(BK) 7018450"/>
    <n v="848"/>
    <n v="0.589622641509434"/>
    <s v="Toshiba SRP"/>
    <n v="110"/>
    <s v="1107018450"/>
  </r>
  <r>
    <n v="338"/>
    <s v="Aeon"/>
    <s v="Megabox"/>
    <x v="4"/>
    <n v="3"/>
    <x v="4"/>
    <x v="5"/>
    <s v="全自動洗衣機 (8公斤 結合高低水位)"/>
    <s v="大電"/>
    <s v="WM"/>
    <s v="m901"/>
    <n v="1"/>
    <n v="1500"/>
    <n v="1500"/>
    <n v="7018485"/>
    <m/>
    <m/>
    <s v="AW-M901BPH(WW) 7018485"/>
    <n v="3580"/>
    <n v="0.41899441340782123"/>
    <s v="Toshiba SRP"/>
    <n v="110"/>
    <s v="1107018485"/>
  </r>
  <r>
    <n v="339"/>
    <s v="Aeon"/>
    <s v="Megabox"/>
    <x v="4"/>
    <n v="3"/>
    <x v="4"/>
    <x v="5"/>
    <s v="全自動洗衣機 (8公斤 結合高低水位)"/>
    <s v="大電"/>
    <s v="WM"/>
    <s v="m901"/>
    <n v="1"/>
    <n v="1500"/>
    <n v="1500"/>
    <n v="7018491"/>
    <m/>
    <m/>
    <s v="AW-M901BPH(WW) 7018491"/>
    <n v="3580"/>
    <n v="0.41899441340782123"/>
    <s v="Toshiba SRP"/>
    <n v="110"/>
    <s v="1107018491"/>
  </r>
  <r>
    <n v="340"/>
    <s v="Aeon"/>
    <s v="Megabox"/>
    <x v="4"/>
    <n v="3"/>
    <x v="4"/>
    <x v="1"/>
    <s v="磁應電飯煲(1.5公升)"/>
    <s v="細電"/>
    <s v="SDA"/>
    <s v="15ist"/>
    <n v="1"/>
    <n v="500"/>
    <n v="500"/>
    <n v="7027864"/>
    <m/>
    <m/>
    <s v="RC-15ISTHK(W) 7027864"/>
    <n v="1688"/>
    <n v="0.29620853080568721"/>
    <s v="Toshiba SRP"/>
    <n v="110"/>
    <s v="1107027864"/>
  </r>
  <r>
    <n v="341"/>
    <s v="Aeon"/>
    <s v="Megabox"/>
    <x v="4"/>
    <n v="3"/>
    <x v="4"/>
    <x v="1"/>
    <s v="磁應電飯煲(1.5公升)"/>
    <s v="細電"/>
    <s v="SDA"/>
    <s v="15ist"/>
    <n v="1"/>
    <n v="500"/>
    <n v="500"/>
    <n v="7018524"/>
    <m/>
    <m/>
    <s v="RC-15ISTHK(W) 7018524"/>
    <n v="1688"/>
    <n v="0.29620853080568721"/>
    <s v="Toshiba SRP"/>
    <n v="110"/>
    <s v="1107018524"/>
  </r>
  <r>
    <n v="342"/>
    <s v="Aeon"/>
    <s v="Megabox"/>
    <x v="4"/>
    <n v="3"/>
    <x v="4"/>
    <x v="3"/>
    <s v="7.5KG超薄身前置式變頻洗衣機"/>
    <s v="大電"/>
    <s v="WM"/>
    <s v="bl85a2"/>
    <n v="1"/>
    <n v="2588"/>
    <n v="2588"/>
    <n v="7018538"/>
    <m/>
    <m/>
    <s v="TW-BL85A2H(WW) 7018538"/>
    <n v="5080"/>
    <n v="0.50944881889763782"/>
    <s v="Toshiba SRP"/>
    <n v="110"/>
    <s v="1107018538"/>
  </r>
  <r>
    <n v="343"/>
    <s v="Aeon"/>
    <s v="Megabox"/>
    <x v="4"/>
    <n v="3"/>
    <x v="4"/>
    <x v="3"/>
    <s v="7.5KG超薄身前置式變頻洗衣機"/>
    <s v="大電"/>
    <s v="WM"/>
    <s v="bl85a2"/>
    <n v="1"/>
    <n v="2588"/>
    <n v="2588"/>
    <n v="7027896"/>
    <m/>
    <m/>
    <s v="TW-BL85A2H(WW) 7027896"/>
    <n v="5080"/>
    <n v="0.50944881889763782"/>
    <s v="Toshiba SRP"/>
    <n v="110"/>
    <s v="1107027896"/>
  </r>
  <r>
    <n v="344"/>
    <s v="Aeon"/>
    <s v="Megabox"/>
    <x v="4"/>
    <n v="3"/>
    <x v="4"/>
    <x v="1"/>
    <s v="磁應電飯煲(1.5公升)"/>
    <s v="細電"/>
    <s v="SDA"/>
    <s v="15ist"/>
    <n v="1"/>
    <n v="500"/>
    <n v="500"/>
    <n v="7018571"/>
    <m/>
    <m/>
    <s v="RC-15ISTHK(W) 7018571"/>
    <n v="1688"/>
    <n v="0.29620853080568721"/>
    <s v="Toshiba SRP"/>
    <n v="110"/>
    <s v="1107018571"/>
  </r>
  <r>
    <n v="345"/>
    <s v="Aeon"/>
    <s v="Megabox"/>
    <x v="4"/>
    <n v="3"/>
    <x v="4"/>
    <x v="1"/>
    <s v="磁應電飯煲(1.5公升)"/>
    <s v="細電"/>
    <s v="SDA"/>
    <s v="15ist"/>
    <n v="1"/>
    <n v="500"/>
    <n v="500"/>
    <n v="7066099"/>
    <m/>
    <m/>
    <s v="RC-15ISTHK(W) 7066099"/>
    <n v="1688"/>
    <n v="0.29620853080568721"/>
    <s v="Toshiba SRP"/>
    <n v="110"/>
    <s v="1107066099"/>
  </r>
  <r>
    <n v="346"/>
    <s v="Aeon"/>
    <s v="Megabox"/>
    <x v="4"/>
    <n v="3"/>
    <x v="4"/>
    <x v="1"/>
    <s v="磁應電飯煲(1.5公升)"/>
    <s v="細電"/>
    <s v="SDA"/>
    <s v="15ist"/>
    <n v="1"/>
    <n v="500"/>
    <n v="500"/>
    <n v="7027947"/>
    <m/>
    <m/>
    <s v="RC-15ISTHK(W) 7027947"/>
    <n v="1688"/>
    <n v="0.29620853080568721"/>
    <s v="Toshiba SRP"/>
    <n v="110"/>
    <s v="1107027947"/>
  </r>
  <r>
    <n v="347"/>
    <s v="Aeon"/>
    <s v="Megabox"/>
    <x v="4"/>
    <n v="3"/>
    <x v="4"/>
    <x v="18"/>
    <s v="Comfee 1匹變頻窗口式冷氣機"/>
    <s v="大電"/>
    <s v="RAC"/>
    <s v="09crf"/>
    <n v="1"/>
    <n v="3588"/>
    <n v="3588"/>
    <n v="7027899"/>
    <s v="$3288&gt;$3588"/>
    <m/>
    <s v="CWF-09CRFN8-AD5 7027899"/>
    <n v="4600"/>
    <n v="0.78"/>
    <s v="Shops Highest Price"/>
    <n v="110"/>
    <s v="1107027899"/>
  </r>
  <r>
    <n v="348"/>
    <s v="Aeon"/>
    <s v="Megabox"/>
    <x v="4"/>
    <n v="3"/>
    <x v="4"/>
    <x v="11"/>
    <s v="座檯式純蒸氣烤焗水波爐30L"/>
    <s v="細電"/>
    <s v="SDA"/>
    <s v="td5000"/>
    <n v="1"/>
    <n v="3588"/>
    <n v="3588"/>
    <n v="7018572"/>
    <m/>
    <m/>
    <s v="ER-TD5000HK(XK) 7018572"/>
    <n v="7998"/>
    <n v="0.44861215303825958"/>
    <s v="Toshiba SRP"/>
    <n v="110"/>
    <s v="1107018572"/>
  </r>
  <r>
    <n v="349"/>
    <s v="Aeon"/>
    <s v="Megabox"/>
    <x v="4"/>
    <n v="3"/>
    <x v="4"/>
    <x v="6"/>
    <s v="旋鈕式微波爐24L"/>
    <s v="細電"/>
    <s v="SDA"/>
    <s v="mm24"/>
    <n v="1"/>
    <n v="500"/>
    <n v="500"/>
    <n v="7018572"/>
    <m/>
    <m/>
    <s v="MW2-MM24PC(BK) 7018572"/>
    <n v="848"/>
    <n v="0.589622641509434"/>
    <s v="Toshiba SRP"/>
    <n v="110"/>
    <s v="1107018572"/>
  </r>
  <r>
    <n v="350"/>
    <s v="Aeon"/>
    <s v="Megabox"/>
    <x v="4"/>
    <n v="3"/>
    <x v="4"/>
    <x v="1"/>
    <s v="磁應電飯煲(1.5公升)"/>
    <s v="細電"/>
    <s v="SDA"/>
    <s v="15ist"/>
    <n v="1"/>
    <n v="500"/>
    <n v="500"/>
    <n v="7027884"/>
    <m/>
    <m/>
    <s v="RC-15ISTHK(W) 7027884"/>
    <n v="1688"/>
    <n v="0.29620853080568721"/>
    <s v="Toshiba SRP"/>
    <n v="110"/>
    <s v="1107027884"/>
  </r>
  <r>
    <n v="351"/>
    <s v="Aeon"/>
    <s v="Megabox"/>
    <x v="4"/>
    <n v="3"/>
    <x v="4"/>
    <x v="2"/>
    <s v="雙門變頻式環保雪櫃"/>
    <s v="大電"/>
    <s v="AC"/>
    <s v="a26hsz"/>
    <n v="1"/>
    <n v="1500"/>
    <n v="1500"/>
    <n v="7018609"/>
    <m/>
    <m/>
    <s v="GR-A26HSZ(DS) 7018609"/>
    <n v="3780"/>
    <n v="0.3968253968253968"/>
    <s v="Toshiba SRP"/>
    <n v="110"/>
    <s v="1107018609"/>
  </r>
  <r>
    <n v="352"/>
    <s v="Aeon"/>
    <s v="Megabox"/>
    <x v="4"/>
    <n v="3"/>
    <x v="4"/>
    <x v="1"/>
    <s v="磁應電飯煲(1.5公升)"/>
    <s v="細電"/>
    <s v="SDA"/>
    <s v="15ist"/>
    <n v="1"/>
    <n v="500"/>
    <n v="500"/>
    <n v="7027943"/>
    <m/>
    <m/>
    <s v="RC-15ISTHK(W) 7027943"/>
    <n v="1688"/>
    <n v="0.29620853080568721"/>
    <s v="Toshiba SRP"/>
    <n v="110"/>
    <s v="1107027943"/>
  </r>
  <r>
    <n v="353"/>
    <s v="Aeon"/>
    <s v="Megabox"/>
    <x v="4"/>
    <n v="3"/>
    <x v="4"/>
    <x v="15"/>
    <s v="Induction Cooker"/>
    <s v="細電"/>
    <s v="SDA"/>
    <s v="21ts"/>
    <n v="1"/>
    <n v="500"/>
    <n v="500"/>
    <n v="7027928"/>
    <m/>
    <m/>
    <s v="IC-21TSHK 7027928"/>
    <n v="998"/>
    <n v="0.50100200400801598"/>
    <s v="Web SRP"/>
    <n v="110"/>
    <s v="1107027928"/>
  </r>
  <r>
    <n v="354"/>
    <s v="Aeon"/>
    <s v="Megabox"/>
    <x v="4"/>
    <n v="3"/>
    <x v="4"/>
    <x v="11"/>
    <s v="座檯式純蒸氣烤焗水波爐30L"/>
    <s v="細電"/>
    <s v="SDA"/>
    <s v="td5000"/>
    <n v="1"/>
    <n v="3588"/>
    <n v="3588"/>
    <n v="7018819"/>
    <m/>
    <m/>
    <s v="ER-TD5000HK(XK) 7018819"/>
    <n v="7998"/>
    <n v="0.44861215303825958"/>
    <s v="Toshiba SRP"/>
    <n v="110"/>
    <s v="1107018819"/>
  </r>
  <r>
    <n v="355"/>
    <s v="Aeon"/>
    <s v="Megabox"/>
    <x v="4"/>
    <n v="3"/>
    <x v="4"/>
    <x v="0"/>
    <s v="超薄身前置式洗衣乾衣機 (洗8公斤 乾5公斤)"/>
    <s v="大電"/>
    <s v="WM"/>
    <s v="bn90"/>
    <n v="1"/>
    <n v="3588"/>
    <n v="3588"/>
    <n v="7018736"/>
    <m/>
    <m/>
    <s v="TWD-BN90GF4H(WK) 7018736"/>
    <n v="5980"/>
    <n v="0.6"/>
    <s v="Toshiba SRP"/>
    <n v="110"/>
    <s v="1107018736"/>
  </r>
  <r>
    <n v="356"/>
    <s v="Aeon"/>
    <s v="Megabox"/>
    <x v="4"/>
    <n v="3"/>
    <x v="4"/>
    <x v="2"/>
    <s v="雙門變頻式環保雪櫃"/>
    <s v="大電"/>
    <s v="AC"/>
    <s v="a26hsz"/>
    <n v="1"/>
    <n v="1500"/>
    <n v="1500"/>
    <n v="7027961"/>
    <m/>
    <m/>
    <s v="GR-A26HSZ(DS) 7027961"/>
    <n v="3780"/>
    <n v="0.3968253968253968"/>
    <s v="Toshiba SRP"/>
    <n v="110"/>
    <s v="1107027961"/>
  </r>
  <r>
    <n v="357"/>
    <s v="Aeon"/>
    <s v="Megabox"/>
    <x v="4"/>
    <n v="3"/>
    <x v="4"/>
    <x v="1"/>
    <s v="磁應電飯煲(1.5公升)"/>
    <s v="細電"/>
    <s v="SDA"/>
    <s v="15ist"/>
    <n v="1"/>
    <n v="500"/>
    <n v="500"/>
    <n v="7027967"/>
    <m/>
    <m/>
    <s v="RC-15ISTHK(W) 7027967"/>
    <n v="1688"/>
    <n v="0.29620853080568721"/>
    <s v="Toshiba SRP"/>
    <n v="110"/>
    <s v="1107027967"/>
  </r>
  <r>
    <n v="358"/>
    <s v="Aeon"/>
    <s v="Megabox"/>
    <x v="4"/>
    <n v="3"/>
    <x v="4"/>
    <x v="3"/>
    <s v="7.5KG超薄身前置式變頻洗衣機"/>
    <s v="大電"/>
    <s v="WM"/>
    <s v="bl85a2"/>
    <n v="1"/>
    <n v="2588"/>
    <n v="2588"/>
    <n v="7027959"/>
    <m/>
    <m/>
    <s v="TW-BL85A2H(WW) 7027959"/>
    <n v="5080"/>
    <n v="0.50944881889763782"/>
    <s v="Toshiba SRP"/>
    <n v="110"/>
    <s v="1107027959"/>
  </r>
  <r>
    <n v="359"/>
    <s v="Aeon"/>
    <s v="Megabox"/>
    <x v="4"/>
    <n v="3"/>
    <x v="4"/>
    <x v="0"/>
    <s v="超薄身前置式洗衣乾衣機 (洗8公斤 乾5公斤)"/>
    <s v="大電"/>
    <s v="WM"/>
    <s v="bn90"/>
    <n v="1"/>
    <n v="3588"/>
    <n v="3588"/>
    <n v="7028075"/>
    <m/>
    <m/>
    <s v="TWD-BN90GF4H(WK) 7028075"/>
    <n v="5980"/>
    <n v="0.6"/>
    <s v="Toshiba SRP"/>
    <n v="110"/>
    <s v="1107028075"/>
  </r>
  <r>
    <n v="360"/>
    <s v="Aeon"/>
    <s v="Megabox"/>
    <x v="4"/>
    <n v="3"/>
    <x v="4"/>
    <x v="0"/>
    <s v="超薄身前置式洗衣乾衣機 (洗8公斤 乾5公斤)"/>
    <s v="大電"/>
    <s v="WM"/>
    <s v="bn90"/>
    <n v="1"/>
    <n v="3588"/>
    <n v="3588"/>
    <n v="7028021"/>
    <m/>
    <m/>
    <s v="TWD-BN90GF4H(WK) 7028021"/>
    <n v="5980"/>
    <n v="0.6"/>
    <s v="Toshiba SRP"/>
    <n v="110"/>
    <s v="1107028021"/>
  </r>
  <r>
    <n v="361"/>
    <s v="Aeon"/>
    <s v="Megabox"/>
    <x v="4"/>
    <n v="3"/>
    <x v="4"/>
    <x v="15"/>
    <s v="Induction Cooker"/>
    <s v="細電"/>
    <s v="SDA"/>
    <s v="21ts"/>
    <n v="1"/>
    <n v="500"/>
    <n v="500"/>
    <n v="7018735"/>
    <m/>
    <m/>
    <s v="IC-21TSHK 7018735"/>
    <n v="998"/>
    <n v="0.50100200400801598"/>
    <s v="Web SRP"/>
    <n v="110"/>
    <s v="1107018735"/>
  </r>
  <r>
    <n v="362"/>
    <s v="Aeon"/>
    <s v="Megabox"/>
    <x v="4"/>
    <n v="3"/>
    <x v="4"/>
    <x v="10"/>
    <s v="變頻上置式雙門雪櫃313L "/>
    <s v="大電"/>
    <s v="REF"/>
    <s v="rt416"/>
    <n v="1"/>
    <n v="2888"/>
    <n v="2888"/>
    <n v="7028084"/>
    <m/>
    <m/>
    <s v="GR-RT416WE-PMA(06) 7028084"/>
    <n v="5380"/>
    <n v="0.53680297397769516"/>
    <s v="Toshiba SRP"/>
    <n v="110"/>
    <s v="1107028084"/>
  </r>
  <r>
    <n v="363"/>
    <s v="Aeon"/>
    <s v="Megabox"/>
    <x v="4"/>
    <n v="3"/>
    <x v="4"/>
    <x v="9"/>
    <s v="電熱水瓶4.5L"/>
    <s v="細電"/>
    <s v="SDA"/>
    <s v="45sf"/>
    <n v="1"/>
    <n v="500"/>
    <n v="500"/>
    <n v="7028080"/>
    <m/>
    <m/>
    <s v="PLK-45SFIH(WT) 7028080"/>
    <n v="788"/>
    <n v="0.63451776649746194"/>
    <s v="Toshiba SRP"/>
    <n v="110"/>
    <s v="1107028080"/>
  </r>
  <r>
    <n v="364"/>
    <s v="Aeon"/>
    <s v="Megabox"/>
    <x v="4"/>
    <n v="3"/>
    <x v="4"/>
    <x v="2"/>
    <s v="雙門變頻式環保雪櫃"/>
    <s v="大電"/>
    <s v="AC"/>
    <s v="a26hsz"/>
    <n v="1"/>
    <n v="1500"/>
    <n v="1500"/>
    <n v="7028076"/>
    <m/>
    <m/>
    <s v="GR-A26HSZ(DS) 7028076"/>
    <n v="3780"/>
    <n v="0.3968253968253968"/>
    <s v="Toshiba SRP"/>
    <n v="110"/>
    <s v="1107028076"/>
  </r>
  <r>
    <n v="365"/>
    <s v="Aeon"/>
    <s v="Megabox"/>
    <x v="4"/>
    <n v="3"/>
    <x v="4"/>
    <x v="1"/>
    <s v="磁應電飯煲(1.5公升)"/>
    <s v="細電"/>
    <s v="SDA"/>
    <s v="15ist"/>
    <n v="1"/>
    <n v="500"/>
    <n v="500"/>
    <n v="7028076"/>
    <m/>
    <m/>
    <s v="RC-15ISTHK(W) 7028076"/>
    <n v="1688"/>
    <n v="0.29620853080568721"/>
    <s v="Toshiba SRP"/>
    <n v="110"/>
    <s v="1107028076"/>
  </r>
  <r>
    <n v="366"/>
    <s v="Aeon"/>
    <s v="Megabox"/>
    <x v="4"/>
    <n v="3"/>
    <x v="4"/>
    <x v="18"/>
    <s v="Comfee 1匹變頻窗口式冷氣機"/>
    <s v="大電"/>
    <s v="RAC"/>
    <s v="09crf"/>
    <n v="1"/>
    <n v="3588"/>
    <n v="3588"/>
    <n v="7028059"/>
    <s v="$3288&gt;$3588"/>
    <m/>
    <s v="CWF-09CRFN8-AD5 7028059"/>
    <n v="4600"/>
    <n v="0.78"/>
    <s v="Shops Highest Price"/>
    <n v="110"/>
    <s v="1107028059"/>
  </r>
  <r>
    <n v="367"/>
    <s v="Aeon"/>
    <s v="Megabox"/>
    <x v="4"/>
    <n v="3"/>
    <x v="4"/>
    <x v="13"/>
    <s v="獨立式免安裝洗碗碟機"/>
    <s v="細電"/>
    <s v="DM"/>
    <s v="34ahk"/>
    <n v="1"/>
    <n v="1500"/>
    <n v="1500"/>
    <n v="7018805"/>
    <m/>
    <m/>
    <s v="DWS-34AHK 7018805"/>
    <n v="3999"/>
    <n v="0.37509377344336087"/>
    <s v="Web SRP"/>
    <n v="110"/>
    <s v="1107018805"/>
  </r>
  <r>
    <n v="368"/>
    <s v="Aeon"/>
    <s v="Megabox"/>
    <x v="4"/>
    <n v="3"/>
    <x v="4"/>
    <x v="15"/>
    <s v="Induction Cooker"/>
    <s v="細電"/>
    <s v="SDA"/>
    <s v="21ts"/>
    <n v="1"/>
    <n v="500"/>
    <n v="500"/>
    <n v="7028054"/>
    <m/>
    <m/>
    <s v="IC-21TSHK 7028054"/>
    <n v="998"/>
    <n v="0.50100200400801598"/>
    <s v="Web SRP"/>
    <n v="110"/>
    <s v="1107028054"/>
  </r>
  <r>
    <n v="369"/>
    <s v="Aeon"/>
    <s v="Megabox"/>
    <x v="4"/>
    <n v="3"/>
    <x v="4"/>
    <x v="13"/>
    <s v="獨立式免安裝洗碗碟機"/>
    <s v="細電"/>
    <s v="DM"/>
    <s v="34ahk"/>
    <n v="1"/>
    <n v="1500"/>
    <n v="1500"/>
    <n v="7028046"/>
    <m/>
    <m/>
    <s v="DWS-34AHK 7028046"/>
    <n v="3999"/>
    <n v="0.37509377344336087"/>
    <s v="Web SRP"/>
    <n v="110"/>
    <s v="1107028046"/>
  </r>
  <r>
    <n v="370"/>
    <s v="Aeon"/>
    <s v="Megabox"/>
    <x v="4"/>
    <n v="3"/>
    <x v="4"/>
    <x v="15"/>
    <s v="Induction Cooker"/>
    <s v="細電"/>
    <s v="SDA"/>
    <s v="21ts"/>
    <n v="1"/>
    <n v="500"/>
    <n v="500"/>
    <n v="7018685"/>
    <m/>
    <m/>
    <s v="IC-21TSHK 7018685"/>
    <n v="998"/>
    <n v="0.50100200400801598"/>
    <s v="Web SRP"/>
    <n v="110"/>
    <s v="1107018685"/>
  </r>
  <r>
    <n v="371"/>
    <s v="Aeon"/>
    <s v="Megabox"/>
    <x v="4"/>
    <n v="3"/>
    <x v="4"/>
    <x v="0"/>
    <s v="超薄身前置式洗衣乾衣機 (洗8公斤 乾5公斤)"/>
    <s v="大電"/>
    <s v="WM"/>
    <s v="bn90"/>
    <n v="1"/>
    <n v="3588"/>
    <n v="3588"/>
    <n v="7018789"/>
    <m/>
    <m/>
    <s v="TWD-BN90GF4H(WK) 7018789"/>
    <n v="5980"/>
    <n v="0.6"/>
    <s v="Toshiba SRP"/>
    <n v="110"/>
    <s v="1107018789"/>
  </r>
  <r>
    <n v="372"/>
    <s v="Aeon"/>
    <s v="Megabox"/>
    <x v="4"/>
    <n v="3"/>
    <x v="4"/>
    <x v="1"/>
    <s v="磁應電飯煲(1.5公升)"/>
    <s v="細電"/>
    <s v="SDA"/>
    <s v="15ist"/>
    <n v="1"/>
    <n v="500"/>
    <n v="500"/>
    <n v="7018788"/>
    <m/>
    <m/>
    <s v="RC-15ISTHK(W) 7018788"/>
    <n v="1688"/>
    <n v="0.29620853080568721"/>
    <s v="Toshiba SRP"/>
    <n v="110"/>
    <s v="1107018788"/>
  </r>
  <r>
    <n v="373"/>
    <s v="Aeon"/>
    <s v="Megabox"/>
    <x v="4"/>
    <n v="3"/>
    <x v="4"/>
    <x v="15"/>
    <s v="Induction Cooker"/>
    <s v="細電"/>
    <s v="SDA"/>
    <s v="21ts"/>
    <n v="1"/>
    <n v="500"/>
    <n v="500"/>
    <n v="7028033"/>
    <m/>
    <m/>
    <s v="IC-21TSHK 7028033"/>
    <n v="998"/>
    <n v="0.50100200400801598"/>
    <s v="Web SRP"/>
    <n v="110"/>
    <s v="1107028033"/>
  </r>
  <r>
    <n v="374"/>
    <s v="Aeon"/>
    <s v="Megabox"/>
    <x v="4"/>
    <n v="3"/>
    <x v="4"/>
    <x v="9"/>
    <s v="電熱水瓶4.5L"/>
    <s v="細電"/>
    <s v="SDA"/>
    <s v="45sf"/>
    <n v="1"/>
    <n v="500"/>
    <n v="500"/>
    <n v="7028021"/>
    <m/>
    <m/>
    <s v="PLK-45SFIH(WT) 7028021"/>
    <n v="788"/>
    <n v="0.63451776649746194"/>
    <s v="Toshiba SRP"/>
    <n v="110"/>
    <s v="1107028021"/>
  </r>
  <r>
    <n v="375"/>
    <s v="Aeon"/>
    <s v="Megabox"/>
    <x v="4"/>
    <n v="3"/>
    <x v="4"/>
    <x v="6"/>
    <s v="旋鈕式微波爐24L"/>
    <s v="細電"/>
    <s v="SDA"/>
    <s v="mm24"/>
    <n v="1"/>
    <n v="500"/>
    <n v="500"/>
    <n v="7028022"/>
    <m/>
    <m/>
    <s v="MW2-MM24PC(BK) 7028022"/>
    <n v="848"/>
    <n v="0.589622641509434"/>
    <s v="Toshiba SRP"/>
    <n v="110"/>
    <s v="1107028022"/>
  </r>
  <r>
    <n v="376"/>
    <s v="Aeon"/>
    <s v="Megabox"/>
    <x v="4"/>
    <n v="3"/>
    <x v="4"/>
    <x v="6"/>
    <s v="旋鈕式微波爐24L"/>
    <s v="細電"/>
    <s v="SDA"/>
    <s v="mm24"/>
    <n v="1"/>
    <n v="500"/>
    <n v="500"/>
    <n v="7018766"/>
    <m/>
    <m/>
    <s v="MW2-MM24PC(BK) 7018766"/>
    <n v="848"/>
    <n v="0.589622641509434"/>
    <s v="Toshiba SRP"/>
    <n v="110"/>
    <s v="1107018766"/>
  </r>
  <r>
    <n v="377"/>
    <s v="Aeon"/>
    <s v="Megabox"/>
    <x v="4"/>
    <n v="3"/>
    <x v="4"/>
    <x v="1"/>
    <s v="磁應電飯煲(1.5公升)"/>
    <s v="細電"/>
    <s v="SDA"/>
    <s v="15ist"/>
    <n v="1"/>
    <n v="500"/>
    <n v="500"/>
    <n v="7028064"/>
    <m/>
    <m/>
    <s v="RC-15ISTHK(W) 7028064"/>
    <n v="1688"/>
    <n v="0.29620853080568721"/>
    <s v="Toshiba SRP"/>
    <n v="110"/>
    <s v="1107028064"/>
  </r>
  <r>
    <n v="378"/>
    <s v="Aeon"/>
    <s v="Megabox"/>
    <x v="4"/>
    <n v="3"/>
    <x v="4"/>
    <x v="1"/>
    <s v="磁應電飯煲(1.5公升)"/>
    <s v="細電"/>
    <s v="SDA"/>
    <s v="15ist"/>
    <n v="1"/>
    <n v="500"/>
    <n v="500"/>
    <n v="7018783"/>
    <m/>
    <m/>
    <s v="RC-15ISTHK(W) 7018783"/>
    <n v="1688"/>
    <n v="0.29620853080568721"/>
    <s v="Toshiba SRP"/>
    <n v="110"/>
    <s v="1107018783"/>
  </r>
  <r>
    <n v="379"/>
    <s v="Aeon"/>
    <s v="Megabox"/>
    <x v="4"/>
    <n v="3"/>
    <x v="4"/>
    <x v="1"/>
    <s v="磁應電飯煲(1.5公升)"/>
    <s v="細電"/>
    <s v="SDA"/>
    <s v="15ist"/>
    <n v="1"/>
    <n v="500"/>
    <n v="500"/>
    <n v="7028058"/>
    <m/>
    <m/>
    <s v="RC-15ISTHK(W) 7028058"/>
    <n v="1688"/>
    <n v="0.29620853080568721"/>
    <s v="Toshiba SRP"/>
    <n v="110"/>
    <s v="1107028058"/>
  </r>
  <r>
    <n v="380"/>
    <s v="Aeon"/>
    <s v="Megabox"/>
    <x v="4"/>
    <n v="3"/>
    <x v="4"/>
    <x v="1"/>
    <s v="磁應電飯煲(1.5公升)"/>
    <s v="細電"/>
    <s v="SDA"/>
    <s v="15ist"/>
    <n v="1"/>
    <n v="500"/>
    <n v="500"/>
    <n v="7018729"/>
    <m/>
    <m/>
    <s v="RC-15ISTHK(W) 7018729"/>
    <n v="1688"/>
    <n v="0.29620853080568721"/>
    <s v="Toshiba SRP"/>
    <n v="110"/>
    <s v="1107018729"/>
  </r>
  <r>
    <n v="381"/>
    <s v="Aeon"/>
    <s v="Megabox"/>
    <x v="4"/>
    <n v="3"/>
    <x v="4"/>
    <x v="9"/>
    <s v="電熱水瓶4.5L"/>
    <s v="細電"/>
    <s v="SDA"/>
    <s v="45sf"/>
    <n v="1"/>
    <n v="500"/>
    <n v="500"/>
    <n v="7028003"/>
    <m/>
    <m/>
    <s v="PLK-45SFIH(WT) 7028003"/>
    <n v="788"/>
    <n v="0.63451776649746194"/>
    <s v="Toshiba SRP"/>
    <n v="110"/>
    <s v="1107028003"/>
  </r>
  <r>
    <n v="382"/>
    <s v="Citistore"/>
    <s v="TW_1"/>
    <x v="5"/>
    <n v="3"/>
    <x v="0"/>
    <x v="21"/>
    <s v="壓縮式抽濕機 (30公升)"/>
    <s v="細電"/>
    <s v="RAC"/>
    <s v="d300"/>
    <n v="1"/>
    <n v="2280"/>
    <n v="2280"/>
    <n v="155547"/>
    <m/>
    <m/>
    <s v="RAD-D300H 155547"/>
    <n v="3380"/>
    <n v="0.67455621301775148"/>
    <s v="Shops Highest Price"/>
    <n v="110"/>
    <s v="110155547"/>
  </r>
  <r>
    <n v="383"/>
    <s v="Citistore"/>
    <s v="TW_1"/>
    <x v="5"/>
    <n v="3"/>
    <x v="0"/>
    <x v="23"/>
    <s v="電飯煲"/>
    <s v="細電"/>
    <s v="SDA"/>
    <s v="10jruh"/>
    <n v="1"/>
    <n v="250"/>
    <n v="250"/>
    <n v="438367"/>
    <m/>
    <m/>
    <s v="RC-10JRUH(N) 438367"/>
    <n v="398"/>
    <n v="0.62814070351758799"/>
    <s v="Shops Highest Price"/>
    <n v="110"/>
    <s v="110438367"/>
  </r>
  <r>
    <n v="384"/>
    <s v="Citistore"/>
    <s v="TW_1"/>
    <x v="5"/>
    <n v="3"/>
    <x v="0"/>
    <x v="21"/>
    <s v="壓縮式抽濕機 (30公升)"/>
    <s v="細電"/>
    <s v="RAC"/>
    <s v="d300"/>
    <n v="1"/>
    <n v="2280"/>
    <n v="2280"/>
    <n v="438376"/>
    <m/>
    <m/>
    <s v="RAD-D300H 438376"/>
    <n v="3380"/>
    <n v="0.67455621301775148"/>
    <s v="Shops Highest Price"/>
    <n v="110"/>
    <s v="110438376"/>
  </r>
  <r>
    <n v="385"/>
    <s v="Citistore"/>
    <s v="TW_1"/>
    <x v="5"/>
    <n v="3"/>
    <x v="0"/>
    <x v="7"/>
    <s v="4毫米厚釜電飯煲0.54L"/>
    <s v="細電"/>
    <s v="SDA"/>
    <s v="5mm"/>
    <n v="1"/>
    <n v="556"/>
    <n v="556"/>
    <n v="444847"/>
    <m/>
    <m/>
    <s v="RC-5MMIH(WT) 444847"/>
    <n v="618"/>
    <n v="0.89967637540453071"/>
    <s v="Toshiba SRP"/>
    <n v="110"/>
    <s v="110444847"/>
  </r>
  <r>
    <n v="386"/>
    <s v="Citistore"/>
    <s v="TW_1"/>
    <x v="5"/>
    <n v="3"/>
    <x v="0"/>
    <x v="24"/>
    <s v="微型電腦珍珠飯煲"/>
    <s v="細電"/>
    <s v="SDA"/>
    <s v="5sli"/>
    <n v="1"/>
    <n v="592"/>
    <n v="592"/>
    <n v="155566"/>
    <m/>
    <m/>
    <s v="RC-5SLIH(W) 155566"/>
    <n v="658"/>
    <n v="0.89969604863221886"/>
    <s v="Toshiba SRP"/>
    <n v="110"/>
    <s v="110155566"/>
  </r>
  <r>
    <n v="387"/>
    <s v="Citistore"/>
    <s v="TW_1"/>
    <x v="5"/>
    <n v="3"/>
    <x v="0"/>
    <x v="25"/>
    <s v="超輕巧2合1無線吸塵機"/>
    <s v="細電"/>
    <s v="MCA"/>
    <s v="cls1b"/>
    <n v="1"/>
    <n v="1510"/>
    <n v="1510"/>
    <n v="155602"/>
    <m/>
    <m/>
    <s v="VC-CLS1BF(R) 155602"/>
    <n v="1888"/>
    <n v="0.79978813559322037"/>
    <s v="Toshiba SRP"/>
    <n v="110"/>
    <s v="110155602"/>
  </r>
  <r>
    <n v="388"/>
    <s v="Citistore"/>
    <s v="TW_1"/>
    <x v="5"/>
    <n v="3"/>
    <x v="5"/>
    <x v="7"/>
    <s v="4毫米厚釜電飯煲0.54L"/>
    <s v="細電"/>
    <s v="SDA"/>
    <s v="5mm"/>
    <n v="1"/>
    <n v="556"/>
    <n v="556"/>
    <n v="438715"/>
    <m/>
    <m/>
    <s v="RC-5MMIH(WT) 438715"/>
    <n v="618"/>
    <n v="0.89967637540453071"/>
    <s v="Toshiba SRP"/>
    <n v="110"/>
    <s v="110438715"/>
  </r>
  <r>
    <n v="389"/>
    <s v="Citistore"/>
    <s v="TW_1"/>
    <x v="5"/>
    <n v="3"/>
    <x v="5"/>
    <x v="26"/>
    <s v="變頻頂揭式洗衣機 (7.5公斤)"/>
    <s v="大電"/>
    <s v="LAD"/>
    <s v="cfk01w75"/>
    <n v="1"/>
    <n v="3580"/>
    <n v="3580"/>
    <n v="155616"/>
    <m/>
    <m/>
    <s v="CFK01W75 155616"/>
    <n v="3888"/>
    <n v="0.92078189300411528"/>
    <s v="Shops Highest Price"/>
    <n v="110"/>
    <s v="110155616"/>
  </r>
  <r>
    <n v="390"/>
    <s v="Citistore"/>
    <s v="TW_1"/>
    <x v="5"/>
    <n v="3"/>
    <x v="5"/>
    <x v="27"/>
    <s v="4毫米厚釜電飯煲1.8L"/>
    <s v="細電"/>
    <s v="SDA"/>
    <s v="18nmf"/>
    <n v="1"/>
    <n v="799"/>
    <n v="799"/>
    <n v="438751"/>
    <m/>
    <m/>
    <s v="RC-18NMFIH(WT) 438751"/>
    <n v="998"/>
    <n v="0.80060120240480959"/>
    <s v="Toshiba SRP"/>
    <n v="110"/>
    <s v="110438751"/>
  </r>
  <r>
    <n v="391"/>
    <s v="Citistore"/>
    <s v="TW_1"/>
    <x v="5"/>
    <n v="3"/>
    <x v="5"/>
    <x v="21"/>
    <s v="壓縮式抽濕機 (30公升)"/>
    <s v="細電"/>
    <s v="RAC"/>
    <s v="d300"/>
    <n v="1"/>
    <n v="2280"/>
    <n v="2280"/>
    <n v="438816"/>
    <m/>
    <m/>
    <s v="RAD-D300H 438816"/>
    <n v="3380"/>
    <n v="0.67455621301775148"/>
    <s v="Shops Highest Price"/>
    <n v="110"/>
    <s v="110438816"/>
  </r>
  <r>
    <n v="392"/>
    <s v="Citistore"/>
    <s v="TW_1"/>
    <x v="5"/>
    <n v="3"/>
    <x v="5"/>
    <x v="28"/>
    <s v="無線雙層電熱水壺-附可鎖壺蓋(0.8公升)"/>
    <s v="細電"/>
    <s v="SDA"/>
    <s v="08dh"/>
    <n v="1"/>
    <n v="268"/>
    <n v="268"/>
    <n v="155624"/>
    <m/>
    <m/>
    <s v="KT-08DH1VHK(W) 155624"/>
    <n v="428"/>
    <n v="0.62616822429906538"/>
    <s v="Toshiba SRP"/>
    <n v="110"/>
    <s v="110155624"/>
  </r>
  <r>
    <n v="393"/>
    <s v="Citistore"/>
    <s v="TW_1"/>
    <x v="5"/>
    <n v="3"/>
    <x v="5"/>
    <x v="20"/>
    <s v="壓縮式抽濕機 (22公升)"/>
    <s v="細電"/>
    <s v="RAC"/>
    <s v="d200"/>
    <n v="1"/>
    <n v="1980"/>
    <n v="1980"/>
    <n v="445278"/>
    <m/>
    <m/>
    <s v="RAD-D200H 445278"/>
    <n v="2880"/>
    <n v="0.6875"/>
    <s v="Shops Highest Price"/>
    <n v="110"/>
    <s v="110445278"/>
  </r>
  <r>
    <n v="394"/>
    <s v="Citistore"/>
    <s v="TW_1"/>
    <x v="5"/>
    <n v="3"/>
    <x v="13"/>
    <x v="21"/>
    <s v="壓縮式抽濕機 (30公升)"/>
    <s v="細電"/>
    <s v="RAC"/>
    <s v="d300"/>
    <n v="1"/>
    <n v="2280"/>
    <n v="2280"/>
    <n v="155674"/>
    <m/>
    <m/>
    <s v="RAD-D300H 155674"/>
    <n v="3380"/>
    <n v="0.67455621301775148"/>
    <s v="Shops Highest Price"/>
    <n v="110"/>
    <s v="110155674"/>
  </r>
  <r>
    <n v="395"/>
    <s v="Citistore"/>
    <s v="TW_1"/>
    <x v="5"/>
    <n v="3"/>
    <x v="13"/>
    <x v="21"/>
    <s v="壓縮式抽濕機 (30公升)"/>
    <s v="細電"/>
    <s v="RAC"/>
    <s v="d300"/>
    <n v="1"/>
    <n v="2280"/>
    <n v="2280"/>
    <n v="439661"/>
    <m/>
    <m/>
    <s v="RAD-D300H 439661"/>
    <n v="3380"/>
    <n v="0.67455621301775148"/>
    <s v="Shops Highest Price"/>
    <n v="110"/>
    <s v="110439661"/>
  </r>
  <r>
    <n v="396"/>
    <s v="Citistore"/>
    <s v="TW_1"/>
    <x v="5"/>
    <n v="3"/>
    <x v="13"/>
    <x v="21"/>
    <s v="壓縮式抽濕機 (30公升)"/>
    <s v="細電"/>
    <s v="RAC"/>
    <s v="d300"/>
    <n v="1"/>
    <n v="2280"/>
    <n v="2280"/>
    <n v="439660"/>
    <m/>
    <m/>
    <s v="RAD-D300H 439660"/>
    <n v="3380"/>
    <n v="0.67455621301775148"/>
    <s v="Shops Highest Price"/>
    <n v="110"/>
    <s v="110439660"/>
  </r>
  <r>
    <n v="397"/>
    <s v="Citistore"/>
    <s v="TW_1"/>
    <x v="5"/>
    <n v="3"/>
    <x v="13"/>
    <x v="27"/>
    <s v="4毫米厚釜電飯煲1.8L"/>
    <s v="細電"/>
    <s v="SDA"/>
    <s v="18nmf"/>
    <n v="1"/>
    <n v="799"/>
    <n v="799"/>
    <n v="439640"/>
    <m/>
    <m/>
    <s v="RC-18NMFIH(WT) 439640"/>
    <n v="998"/>
    <n v="0.80060120240480959"/>
    <s v="Toshiba SRP"/>
    <n v="110"/>
    <s v="110439640"/>
  </r>
  <r>
    <n v="398"/>
    <s v="Citistore"/>
    <s v="TW_1"/>
    <x v="5"/>
    <n v="3"/>
    <x v="13"/>
    <x v="29"/>
    <s v="酵活炊磁應電飯煲"/>
    <s v="細電"/>
    <s v="SDA"/>
    <s v="10bh"/>
    <n v="1"/>
    <n v="1688"/>
    <n v="1688"/>
    <n v="439619"/>
    <m/>
    <m/>
    <s v="RC-10BHH(W) 439619"/>
    <n v="2088"/>
    <n v="0.80842911877394641"/>
    <s v="Shops Highest Price"/>
    <n v="110"/>
    <s v="110439619"/>
  </r>
  <r>
    <n v="399"/>
    <s v="Citistore"/>
    <s v="TW_1"/>
    <x v="5"/>
    <n v="3"/>
    <x v="13"/>
    <x v="21"/>
    <s v="壓縮式抽濕機 (30公升)"/>
    <s v="細電"/>
    <s v="RAC"/>
    <s v="d300"/>
    <n v="1"/>
    <n v="2280"/>
    <n v="2280"/>
    <n v="439749"/>
    <m/>
    <m/>
    <s v="RAD-D300H 439749"/>
    <n v="3380"/>
    <n v="0.67455621301775148"/>
    <s v="Shops Highest Price"/>
    <n v="110"/>
    <s v="110439749"/>
  </r>
  <r>
    <n v="400"/>
    <s v="Citistore"/>
    <s v="TW_1"/>
    <x v="5"/>
    <n v="3"/>
    <x v="8"/>
    <x v="30"/>
    <s v="旋鈕式燒烤微波爐20L"/>
    <s v="細電"/>
    <s v="SDA"/>
    <s v="mm20"/>
    <n v="1"/>
    <n v="518"/>
    <n v="518"/>
    <n v="155691"/>
    <m/>
    <m/>
    <s v="MWP-MM20P(WH) 155691"/>
    <n v="648"/>
    <n v="0.79938271604938271"/>
    <s v="Toshiba SRP"/>
    <n v="110"/>
    <s v="110155691"/>
  </r>
  <r>
    <n v="401"/>
    <s v="Citistore"/>
    <s v="TW_1"/>
    <x v="5"/>
    <n v="3"/>
    <x v="8"/>
    <x v="21"/>
    <s v="壓縮式抽濕機 (30公升)"/>
    <s v="細電"/>
    <s v="RAC"/>
    <s v="d300"/>
    <n v="1"/>
    <n v="2280"/>
    <n v="2280"/>
    <n v="155692"/>
    <m/>
    <m/>
    <s v="RAD-D300H 155692"/>
    <n v="3380"/>
    <n v="0.67455621301775148"/>
    <s v="Shops Highest Price"/>
    <n v="110"/>
    <s v="110155692"/>
  </r>
  <r>
    <n v="402"/>
    <s v="Citistore"/>
    <s v="TW_1"/>
    <x v="5"/>
    <n v="3"/>
    <x v="8"/>
    <x v="16"/>
    <s v="輕便式電磁爐"/>
    <s v="細電"/>
    <s v="SDA"/>
    <s v="20r1"/>
    <n v="1"/>
    <n v="298"/>
    <n v="298"/>
    <n v="440084"/>
    <m/>
    <m/>
    <s v="IC-20R1THK 440084"/>
    <n v="438"/>
    <n v="0.68036529680365299"/>
    <s v="Shops Highest Price"/>
    <n v="110"/>
    <s v="110440084"/>
  </r>
  <r>
    <n v="403"/>
    <s v="Citistore"/>
    <s v="TW_1"/>
    <x v="5"/>
    <n v="3"/>
    <x v="8"/>
    <x v="16"/>
    <s v="輕便式電磁爐"/>
    <s v="細電"/>
    <s v="SDA"/>
    <s v="20r1"/>
    <n v="1"/>
    <n v="298"/>
    <n v="298"/>
    <n v="155695"/>
    <m/>
    <m/>
    <s v="IC-20R1THK 155695"/>
    <n v="438"/>
    <n v="0.68036529680365299"/>
    <s v="Shops Highest Price"/>
    <n v="110"/>
    <s v="110155695"/>
  </r>
  <r>
    <n v="404"/>
    <s v="Citistore"/>
    <s v="TW_1"/>
    <x v="5"/>
    <n v="3"/>
    <x v="8"/>
    <x v="21"/>
    <s v="壓縮式抽濕機 (30公升)"/>
    <s v="細電"/>
    <s v="RAC"/>
    <s v="d300"/>
    <n v="1"/>
    <n v="2280"/>
    <n v="2280"/>
    <n v="440123"/>
    <m/>
    <m/>
    <s v="RAD-D300H 440123"/>
    <n v="3380"/>
    <n v="0.67455621301775148"/>
    <s v="Shops Highest Price"/>
    <n v="110"/>
    <s v="110440123"/>
  </r>
  <r>
    <n v="405"/>
    <s v="Citistore"/>
    <s v="TW_1"/>
    <x v="5"/>
    <n v="3"/>
    <x v="1"/>
    <x v="16"/>
    <s v="輕便式電磁爐"/>
    <s v="細電"/>
    <s v="SDA"/>
    <s v="20r1"/>
    <n v="1"/>
    <n v="298"/>
    <n v="298"/>
    <n v="155706"/>
    <m/>
    <m/>
    <s v="IC-20R1THK 155706"/>
    <n v="438"/>
    <n v="0.68036529680365299"/>
    <s v="Shops Highest Price"/>
    <n v="110"/>
    <s v="110155706"/>
  </r>
  <r>
    <n v="406"/>
    <s v="Citistore"/>
    <s v="TW_1"/>
    <x v="5"/>
    <n v="3"/>
    <x v="1"/>
    <x v="31"/>
    <s v="無線雙層電熱水壺(1.7公升)"/>
    <s v="細電"/>
    <s v="SDA"/>
    <s v="17drt"/>
    <n v="1"/>
    <n v="398"/>
    <n v="398"/>
    <n v="440318"/>
    <m/>
    <m/>
    <s v="KT-17DRTHK(H) 440318"/>
    <n v="498"/>
    <n v="0.79919678714859432"/>
    <s v="Toshiba SRP"/>
    <n v="110"/>
    <s v="110440318"/>
  </r>
  <r>
    <n v="407"/>
    <s v="Citistore"/>
    <s v="TW_1"/>
    <x v="5"/>
    <n v="3"/>
    <x v="1"/>
    <x v="23"/>
    <s v="電飯煲"/>
    <s v="細電"/>
    <s v="SDA"/>
    <s v="10jruh"/>
    <n v="1"/>
    <n v="250"/>
    <n v="250"/>
    <n v="155708"/>
    <m/>
    <m/>
    <s v="RC-10JRUH(N) 155708"/>
    <n v="398"/>
    <n v="0.62814070351758799"/>
    <s v="Shops Highest Price"/>
    <n v="110"/>
    <s v="110155708"/>
  </r>
  <r>
    <n v="408"/>
    <s v="Citistore"/>
    <s v="TW_1"/>
    <x v="5"/>
    <n v="3"/>
    <x v="1"/>
    <x v="32"/>
    <s v="電熱水瓶3L"/>
    <s v="細電"/>
    <s v="SDA"/>
    <s v="30fl"/>
    <n v="1"/>
    <n v="489"/>
    <n v="489"/>
    <n v="155737"/>
    <m/>
    <m/>
    <s v="PLK-30FLIH(WT) 155737"/>
    <n v="658"/>
    <n v="0.74316109422492405"/>
    <s v="Toshiba SRP"/>
    <n v="110"/>
    <s v="110155737"/>
  </r>
  <r>
    <n v="409"/>
    <s v="Citistore"/>
    <s v="TW_1"/>
    <x v="5"/>
    <n v="3"/>
    <x v="1"/>
    <x v="33"/>
    <s v="輕觸式燒烤微波爐"/>
    <s v="細電"/>
    <s v="MCA"/>
    <s v="eg20"/>
    <n v="1"/>
    <n v="698"/>
    <n v="698"/>
    <n v="155737"/>
    <m/>
    <m/>
    <s v="MM2-EG20PC(WH) 155737"/>
    <n v="918"/>
    <n v="0.76034858387799564"/>
    <s v="Shops Highest Price"/>
    <n v="110"/>
    <s v="110155737"/>
  </r>
  <r>
    <n v="410"/>
    <s v="Citistore"/>
    <s v="TW_1"/>
    <x v="5"/>
    <n v="3"/>
    <x v="1"/>
    <x v="28"/>
    <s v="無線雙層電熱水壺-附可鎖壺蓋(0.8公升)"/>
    <s v="細電"/>
    <s v="SDA"/>
    <s v="08dh"/>
    <n v="1"/>
    <n v="268"/>
    <n v="268"/>
    <n v="440468"/>
    <m/>
    <m/>
    <s v="KT-08DH1VHK(W) 440468"/>
    <n v="428"/>
    <n v="0.62616822429906538"/>
    <s v="Toshiba SRP"/>
    <n v="110"/>
    <s v="110440468"/>
  </r>
  <r>
    <n v="411"/>
    <s v="Citistore"/>
    <s v="TW_1"/>
    <x v="5"/>
    <n v="3"/>
    <x v="1"/>
    <x v="28"/>
    <s v="無線雙層電熱水壺-附可鎖壺蓋(0.8公升)"/>
    <s v="細電"/>
    <s v="SDA"/>
    <s v="08dh"/>
    <n v="1"/>
    <n v="268"/>
    <n v="268"/>
    <n v="440553"/>
    <m/>
    <m/>
    <s v="KT-08DH1VHK(W) 440553"/>
    <n v="428"/>
    <n v="0.62616822429906538"/>
    <s v="Toshiba SRP"/>
    <n v="110"/>
    <s v="110440553"/>
  </r>
  <r>
    <n v="412"/>
    <s v="Citistore"/>
    <s v="TW_1"/>
    <x v="5"/>
    <n v="3"/>
    <x v="1"/>
    <x v="23"/>
    <s v="電飯煲"/>
    <s v="細電"/>
    <s v="SDA"/>
    <s v="10jruh"/>
    <n v="1"/>
    <n v="250"/>
    <n v="250"/>
    <n v="440552"/>
    <m/>
    <m/>
    <s v="RC-10JRUH(N) 440552"/>
    <n v="398"/>
    <n v="0.62814070351758799"/>
    <s v="Shops Highest Price"/>
    <n v="110"/>
    <s v="110440552"/>
  </r>
  <r>
    <n v="413"/>
    <s v="Citistore"/>
    <s v="TW_1"/>
    <x v="5"/>
    <n v="3"/>
    <x v="1"/>
    <x v="34"/>
    <s v="智能氣炸烤焗爐(24公升)"/>
    <s v="細電"/>
    <s v="MCA"/>
    <s v="sac24"/>
    <n v="1"/>
    <n v="1398"/>
    <n v="1398"/>
    <n v="155770"/>
    <m/>
    <m/>
    <s v="MW3-SAC24SE(BK) 155770"/>
    <n v="1680"/>
    <n v="0.83214285714285718"/>
    <s v="Toshiba SRP"/>
    <n v="110"/>
    <s v="110155770"/>
  </r>
  <r>
    <n v="414"/>
    <s v="Citistore"/>
    <s v="TW_1"/>
    <x v="5"/>
    <n v="3"/>
    <x v="1"/>
    <x v="21"/>
    <s v="壓縮式抽濕機 (30公升)"/>
    <s v="細電"/>
    <s v="RAC"/>
    <s v="d300"/>
    <n v="1"/>
    <n v="2280"/>
    <n v="2280"/>
    <n v="440588"/>
    <m/>
    <m/>
    <s v="RAD-D300H 440588"/>
    <n v="3380"/>
    <n v="0.67455621301775148"/>
    <s v="Shops Highest Price"/>
    <n v="110"/>
    <s v="110440588"/>
  </r>
  <r>
    <n v="415"/>
    <s v="Citistore"/>
    <s v="TW_1"/>
    <x v="5"/>
    <n v="3"/>
    <x v="2"/>
    <x v="35"/>
    <s v="1.8公升電飯煲"/>
    <s v="細電"/>
    <s v="SDA"/>
    <s v="18jruh"/>
    <n v="1"/>
    <n v="300"/>
    <n v="300"/>
    <n v="440649"/>
    <m/>
    <m/>
    <s v="RC-18JRUH(N) 440649"/>
    <n v="458"/>
    <n v="0.65502183406113534"/>
    <s v="Shops Highest Price"/>
    <n v="110"/>
    <s v="110440649"/>
  </r>
  <r>
    <n v="416"/>
    <s v="Citistore"/>
    <s v="TW_1"/>
    <x v="5"/>
    <n v="3"/>
    <x v="2"/>
    <x v="30"/>
    <s v="旋鈕式燒烤微波爐20L"/>
    <s v="細電"/>
    <s v="SDA"/>
    <s v="mm20"/>
    <n v="1"/>
    <n v="518"/>
    <n v="518"/>
    <n v="440742"/>
    <m/>
    <m/>
    <s v="MWP-MM20P(WH) 440742"/>
    <n v="648"/>
    <n v="0.79938271604938271"/>
    <s v="Toshiba SRP"/>
    <n v="110"/>
    <s v="110440742"/>
  </r>
  <r>
    <n v="417"/>
    <s v="Citistore"/>
    <s v="TW_1"/>
    <x v="5"/>
    <n v="3"/>
    <x v="2"/>
    <x v="17"/>
    <s v="4毫米厚釜電飯煲1L"/>
    <s v="細電"/>
    <s v="SDA"/>
    <s v="10nmf"/>
    <n v="1"/>
    <n v="718"/>
    <n v="718"/>
    <n v="440783"/>
    <m/>
    <m/>
    <s v="RC-10NMFIH(WT) 440783"/>
    <n v="898"/>
    <n v="0.79955456570155903"/>
    <s v="Toshiba SRP"/>
    <n v="110"/>
    <s v="110440783"/>
  </r>
  <r>
    <n v="418"/>
    <s v="Citistore"/>
    <s v="TW_1"/>
    <x v="5"/>
    <n v="3"/>
    <x v="2"/>
    <x v="24"/>
    <s v="微型電腦珍珠飯煲"/>
    <s v="細電"/>
    <s v="SDA"/>
    <s v="5sli"/>
    <n v="1"/>
    <n v="592"/>
    <n v="592"/>
    <n v="440831"/>
    <m/>
    <m/>
    <s v="RC-5SLIH(W) 440831"/>
    <n v="658"/>
    <n v="0.89969604863221886"/>
    <s v="Toshiba SRP"/>
    <n v="110"/>
    <s v="110440831"/>
  </r>
  <r>
    <n v="419"/>
    <s v="Citistore"/>
    <s v="TW_1"/>
    <x v="5"/>
    <n v="3"/>
    <x v="2"/>
    <x v="24"/>
    <s v="微型電腦珍珠飯煲"/>
    <s v="細電"/>
    <s v="SDA"/>
    <s v="5sli"/>
    <n v="1"/>
    <n v="592"/>
    <n v="592"/>
    <n v="440827"/>
    <m/>
    <m/>
    <s v="RC-5SLIH(W) 440827"/>
    <n v="658"/>
    <n v="0.89969604863221886"/>
    <s v="Toshiba SRP"/>
    <n v="110"/>
    <s v="110440827"/>
  </r>
  <r>
    <n v="420"/>
    <s v="Citistore"/>
    <s v="TW_1"/>
    <x v="5"/>
    <n v="3"/>
    <x v="2"/>
    <x v="23"/>
    <s v="電飯煲"/>
    <s v="細電"/>
    <s v="SDA"/>
    <s v="10jruh"/>
    <n v="1"/>
    <n v="250"/>
    <n v="250"/>
    <n v="440926"/>
    <m/>
    <m/>
    <s v="RC-10JRUH(N) 440926"/>
    <n v="398"/>
    <n v="0.62814070351758799"/>
    <s v="Shops Highest Price"/>
    <n v="110"/>
    <s v="110440926"/>
  </r>
  <r>
    <n v="421"/>
    <s v="Citistore"/>
    <s v="TW_1"/>
    <x v="5"/>
    <n v="3"/>
    <x v="2"/>
    <x v="36"/>
    <s v="輕觸式微波爐 (20公升)"/>
    <s v="細電"/>
    <s v="MCA"/>
    <s v="em20"/>
    <n v="1"/>
    <n v="598"/>
    <n v="598"/>
    <n v="440901"/>
    <m/>
    <m/>
    <s v="MM2-EM20PC(WH) 440901"/>
    <n v="788"/>
    <n v="0.75888324873096447"/>
    <s v="Toshiba SRP"/>
    <n v="110"/>
    <s v="110440901"/>
  </r>
  <r>
    <n v="422"/>
    <s v="Citistore"/>
    <s v="TW_1"/>
    <x v="5"/>
    <n v="3"/>
    <x v="2"/>
    <x v="37"/>
    <s v="電熱水瓶 (5公升)"/>
    <s v="細電"/>
    <s v="SDA"/>
    <s v="50dr"/>
    <n v="1"/>
    <n v="628"/>
    <n v="628"/>
    <n v="447055"/>
    <m/>
    <m/>
    <s v="TP-50DRUHK(W) 447055"/>
    <n v="718"/>
    <n v="0.87465181058495822"/>
    <s v="Toshiba SRP"/>
    <n v="110"/>
    <s v="110447055"/>
  </r>
  <r>
    <n v="423"/>
    <s v="Citistore"/>
    <s v="TW_1"/>
    <x v="5"/>
    <n v="3"/>
    <x v="2"/>
    <x v="38"/>
    <s v="無線雙層電熱水壺-附可鎖壺蓋"/>
    <s v="細電"/>
    <s v="SDA"/>
    <s v="15drt"/>
    <n v="1"/>
    <n v="498"/>
    <n v="498"/>
    <n v="441004"/>
    <m/>
    <m/>
    <s v="KT-15DRTHK(W) 441004"/>
    <n v="598"/>
    <n v="0.83277591973244147"/>
    <s v="Toshiba SRP"/>
    <n v="110"/>
    <s v="110441004"/>
  </r>
  <r>
    <n v="424"/>
    <s v="Citistore"/>
    <s v="TW_1"/>
    <x v="5"/>
    <n v="3"/>
    <x v="2"/>
    <x v="17"/>
    <s v="4毫米厚釜電飯煲1L"/>
    <s v="細電"/>
    <s v="SDA"/>
    <s v="10nmf"/>
    <n v="1"/>
    <n v="719"/>
    <n v="719"/>
    <n v="441029"/>
    <m/>
    <m/>
    <s v="RC-10NMFIH(WT) 441029"/>
    <n v="898"/>
    <n v="0.80066815144766146"/>
    <s v="Toshiba SRP"/>
    <n v="110"/>
    <s v="110441029"/>
  </r>
  <r>
    <n v="425"/>
    <s v="Citistore"/>
    <s v="TW_1"/>
    <x v="5"/>
    <n v="3"/>
    <x v="2"/>
    <x v="25"/>
    <s v="超輕巧2合1無線吸塵機"/>
    <s v="細電"/>
    <s v="MCA"/>
    <s v="cls1b"/>
    <n v="1"/>
    <n v="1510"/>
    <n v="1510"/>
    <n v="441036"/>
    <m/>
    <m/>
    <s v="VC-CLS1BF(R) 441036"/>
    <n v="1888"/>
    <n v="0.79978813559322037"/>
    <s v="Toshiba SRP"/>
    <n v="110"/>
    <s v="110441036"/>
  </r>
  <r>
    <n v="426"/>
    <s v="Citistore"/>
    <s v="TW_1"/>
    <x v="5"/>
    <n v="3"/>
    <x v="2"/>
    <x v="39"/>
    <s v="酵活炊電飯煲(1.0公升)"/>
    <s v="細電"/>
    <s v="SDA"/>
    <s v="10amx"/>
    <n v="1"/>
    <n v="990"/>
    <n v="990"/>
    <n v="447079"/>
    <m/>
    <m/>
    <s v="RC-10AMXH(W) 447079"/>
    <n v="1288"/>
    <n v="0.76863354037267084"/>
    <s v="Toshiba SRP"/>
    <n v="110"/>
    <s v="110447079"/>
  </r>
  <r>
    <n v="427"/>
    <s v="Citistore"/>
    <s v="TW_1"/>
    <x v="5"/>
    <n v="3"/>
    <x v="9"/>
    <x v="40"/>
    <s v="400MM超薄身前置式變頻洗衣機(7公斤)"/>
    <s v="大電"/>
    <s v="LAD"/>
    <s v="bu80"/>
    <n v="1"/>
    <n v="3180"/>
    <n v="3180"/>
    <n v="441083"/>
    <m/>
    <m/>
    <s v="TW-T21BU80UWH(MG) 441083"/>
    <n v="5180"/>
    <n v="0.61389961389961389"/>
    <s v="Toshiba SRP"/>
    <n v="110"/>
    <s v="110441083"/>
  </r>
  <r>
    <n v="428"/>
    <s v="Citistore"/>
    <s v="TW_1"/>
    <x v="5"/>
    <n v="3"/>
    <x v="9"/>
    <x v="7"/>
    <s v="4毫米厚釜電飯煲0.54L"/>
    <s v="細電"/>
    <s v="SDA"/>
    <s v="5mm"/>
    <n v="1"/>
    <n v="556"/>
    <n v="556"/>
    <n v="441146"/>
    <m/>
    <m/>
    <s v="RC-5MMIH(WT) 441146"/>
    <n v="618"/>
    <n v="0.89967637540453071"/>
    <s v="Toshiba SRP"/>
    <n v="110"/>
    <s v="110441146"/>
  </r>
  <r>
    <n v="429"/>
    <s v="Citistore"/>
    <s v="TW_1"/>
    <x v="5"/>
    <n v="3"/>
    <x v="9"/>
    <x v="41"/>
    <s v="低醣磁應電飯煲1.8L"/>
    <s v="細電"/>
    <s v="SDA"/>
    <s v="18isph"/>
    <n v="1"/>
    <n v="999"/>
    <n v="999"/>
    <n v="441173"/>
    <m/>
    <m/>
    <s v="RC-18ISPH 441173"/>
    <n v="1436"/>
    <n v="0.69568245125348194"/>
    <s v="Shops Highest Price"/>
    <n v="110"/>
    <s v="110441173"/>
  </r>
  <r>
    <n v="430"/>
    <s v="Citistore"/>
    <s v="TW_1"/>
    <x v="5"/>
    <n v="3"/>
    <x v="9"/>
    <x v="42"/>
    <s v="變頻下置式雙門雪櫃系列270L"/>
    <s v="大電"/>
    <s v="REF"/>
    <s v="rb360"/>
    <n v="1"/>
    <n v="3980"/>
    <n v="3980"/>
    <n v="441180"/>
    <m/>
    <m/>
    <s v="GR-RB360WE-PMA(06) 441180"/>
    <n v="5080"/>
    <n v="0.78346456692913391"/>
    <s v="Toshiba SRP"/>
    <n v="110"/>
    <s v="110441180"/>
  </r>
  <r>
    <n v="431"/>
    <s v="Citistore"/>
    <s v="TW_1"/>
    <x v="5"/>
    <n v="3"/>
    <x v="9"/>
    <x v="43"/>
    <s v="470MM超薄身前置式變頻洗衣機(8.5公斤, 可飛頂)"/>
    <s v="大電"/>
    <s v="LAD"/>
    <s v="t2295"/>
    <n v="1"/>
    <n v="3680"/>
    <n v="3680"/>
    <n v="441179"/>
    <m/>
    <m/>
    <s v="TW-T22BU95UWH(WK)-B 441179"/>
    <n v="5880"/>
    <n v="0.62585034013605445"/>
    <s v="Toshiba SRP"/>
    <n v="110"/>
    <s v="110441179"/>
  </r>
  <r>
    <n v="432"/>
    <s v="Citistore"/>
    <s v="TW_1"/>
    <x v="5"/>
    <n v="3"/>
    <x v="9"/>
    <x v="21"/>
    <s v="壓縮式抽濕機 (30公升)"/>
    <s v="細電"/>
    <s v="RAC"/>
    <s v="d300"/>
    <n v="1"/>
    <n v="2280"/>
    <n v="2280"/>
    <n v="441284"/>
    <m/>
    <m/>
    <s v="RAD-D300H 441284"/>
    <n v="3380"/>
    <n v="0.67455621301775148"/>
    <s v="Shops Highest Price"/>
    <n v="110"/>
    <s v="110441284"/>
  </r>
  <r>
    <n v="433"/>
    <s v="Citistore"/>
    <s v="TW_1"/>
    <x v="5"/>
    <n v="3"/>
    <x v="9"/>
    <x v="21"/>
    <s v="壓縮式抽濕機 (30公升)"/>
    <s v="細電"/>
    <s v="RAC"/>
    <s v="d300"/>
    <n v="1"/>
    <n v="2280"/>
    <n v="2280"/>
    <n v="447257"/>
    <m/>
    <m/>
    <s v="RAD-D300H 447257"/>
    <n v="3380"/>
    <n v="0.67455621301775148"/>
    <s v="Shops Highest Price"/>
    <n v="110"/>
    <s v="110447257"/>
  </r>
  <r>
    <n v="434"/>
    <s v="Citistore"/>
    <s v="TW_1"/>
    <x v="5"/>
    <n v="3"/>
    <x v="9"/>
    <x v="20"/>
    <s v="壓縮式抽濕機 (22公升)"/>
    <s v="細電"/>
    <s v="RAC"/>
    <s v="d200"/>
    <n v="1"/>
    <n v="1880"/>
    <n v="1880"/>
    <n v="447247"/>
    <m/>
    <m/>
    <s v="RAD-D200H 447247"/>
    <n v="2880"/>
    <n v="0.65277777777777779"/>
    <s v="Shops Highest Price"/>
    <n v="110"/>
    <s v="110447247"/>
  </r>
  <r>
    <n v="435"/>
    <s v="Citistore"/>
    <s v="TW_1"/>
    <x v="5"/>
    <n v="3"/>
    <x v="9"/>
    <x v="20"/>
    <s v="壓縮式抽濕機 (22公升)"/>
    <s v="細電"/>
    <s v="RAC"/>
    <s v="d200"/>
    <n v="1"/>
    <n v="1880"/>
    <n v="1880"/>
    <n v="441291"/>
    <m/>
    <m/>
    <s v="RAD-D200H 441291"/>
    <n v="2880"/>
    <n v="0.65277777777777779"/>
    <s v="Shops Highest Price"/>
    <n v="110"/>
    <s v="110441291"/>
  </r>
  <r>
    <n v="436"/>
    <s v="Citistore"/>
    <s v="TW_1"/>
    <x v="5"/>
    <n v="3"/>
    <x v="9"/>
    <x v="9"/>
    <s v="電熱水瓶4.5L"/>
    <s v="細電"/>
    <s v="SDA"/>
    <s v="45sf"/>
    <n v="1"/>
    <n v="602"/>
    <n v="602"/>
    <n v="441381"/>
    <m/>
    <m/>
    <s v="PLK-45SFIH(WT) 441381"/>
    <n v="788"/>
    <n v="0.76395939086294418"/>
    <s v="Toshiba SRP"/>
    <n v="110"/>
    <s v="110441381"/>
  </r>
  <r>
    <n v="437"/>
    <s v="Citistore"/>
    <s v="TW_1"/>
    <x v="5"/>
    <n v="3"/>
    <x v="9"/>
    <x v="30"/>
    <s v="旋鈕式燒烤微波爐20L"/>
    <s v="細電"/>
    <s v="SDA"/>
    <s v="mm20"/>
    <n v="1"/>
    <n v="518"/>
    <n v="518"/>
    <n v="441394"/>
    <m/>
    <m/>
    <s v="MWP-MM20P(WH) 441394"/>
    <n v="648"/>
    <n v="0.79938271604938271"/>
    <s v="Toshiba SRP"/>
    <n v="110"/>
    <s v="110441394"/>
  </r>
  <r>
    <n v="438"/>
    <s v="Citistore"/>
    <s v="TW_1"/>
    <x v="5"/>
    <n v="3"/>
    <x v="9"/>
    <x v="27"/>
    <s v="4毫米厚釜電飯煲1.8L"/>
    <s v="細電"/>
    <s v="SDA"/>
    <s v="18nmf"/>
    <n v="1"/>
    <n v="799"/>
    <n v="799"/>
    <n v="441409"/>
    <m/>
    <m/>
    <s v="RC-18NMFIH(WT) 441409"/>
    <n v="998"/>
    <n v="0.80060120240480959"/>
    <s v="Toshiba SRP"/>
    <n v="110"/>
    <s v="110441409"/>
  </r>
  <r>
    <n v="439"/>
    <s v="Citistore"/>
    <s v="TW_1"/>
    <x v="5"/>
    <n v="3"/>
    <x v="9"/>
    <x v="32"/>
    <s v="電熱水瓶3L"/>
    <s v="細電"/>
    <s v="SDA"/>
    <s v="30fl"/>
    <n v="1"/>
    <n v="489"/>
    <n v="489"/>
    <n v="441401"/>
    <m/>
    <m/>
    <s v="PLK-30FLIH(WT) 441401"/>
    <n v="658"/>
    <n v="0.74316109422492405"/>
    <s v="Toshiba SRP"/>
    <n v="110"/>
    <s v="110441401"/>
  </r>
  <r>
    <n v="440"/>
    <s v="Citistore"/>
    <s v="TW_1"/>
    <x v="5"/>
    <n v="3"/>
    <x v="9"/>
    <x v="21"/>
    <s v="壓縮式抽濕機 (30公升)"/>
    <s v="細電"/>
    <s v="RAC"/>
    <s v="d300"/>
    <n v="1"/>
    <n v="2280"/>
    <n v="2280"/>
    <n v="447313"/>
    <m/>
    <m/>
    <s v="RAD-D300H 447313"/>
    <n v="3380"/>
    <n v="0.67455621301775148"/>
    <s v="Shops Highest Price"/>
    <n v="110"/>
    <s v="110447313"/>
  </r>
  <r>
    <n v="441"/>
    <s v="Citistore"/>
    <s v="TW_1"/>
    <x v="5"/>
    <n v="3"/>
    <x v="9"/>
    <x v="44"/>
    <s v="1.7L無線雙層電熱水壺"/>
    <s v="細電"/>
    <s v="SDA"/>
    <s v="17shnh"/>
    <n v="1"/>
    <n v="228"/>
    <n v="228"/>
    <n v="441415"/>
    <m/>
    <m/>
    <s v="KT-17SHNH 441415"/>
    <n v="299"/>
    <n v="0.76254180602006694"/>
    <s v="Shops Highest Price"/>
    <n v="110"/>
    <s v="110441415"/>
  </r>
  <r>
    <n v="442"/>
    <s v="Citistore"/>
    <s v="TW_1"/>
    <x v="5"/>
    <n v="3"/>
    <x v="10"/>
    <x v="24"/>
    <s v="微型電腦珍珠飯煲"/>
    <s v="細電"/>
    <s v="SDA"/>
    <s v="5sli"/>
    <n v="1"/>
    <n v="592"/>
    <n v="592"/>
    <n v="155794"/>
    <m/>
    <m/>
    <s v="RC-5SLIH(W) 155794"/>
    <n v="658"/>
    <n v="0.89969604863221886"/>
    <s v="Toshiba SRP"/>
    <n v="110"/>
    <s v="110155794"/>
  </r>
  <r>
    <n v="443"/>
    <s v="Citistore"/>
    <s v="TW_1"/>
    <x v="5"/>
    <n v="3"/>
    <x v="10"/>
    <x v="23"/>
    <s v="電飯煲"/>
    <s v="細電"/>
    <s v="SDA"/>
    <s v="10jruh"/>
    <n v="1"/>
    <n v="250"/>
    <n v="250"/>
    <n v="441537"/>
    <m/>
    <m/>
    <s v="RC-10JRUH(N) 441537"/>
    <n v="398"/>
    <n v="0.62814070351758799"/>
    <s v="Shops Highest Price"/>
    <n v="110"/>
    <s v="110441537"/>
  </r>
  <r>
    <n v="444"/>
    <s v="Citistore"/>
    <s v="TW_1"/>
    <x v="5"/>
    <n v="3"/>
    <x v="10"/>
    <x v="17"/>
    <s v="4毫米厚釜電飯煲1L"/>
    <s v="細電"/>
    <s v="SDA"/>
    <s v="10nmf"/>
    <n v="1"/>
    <n v="719"/>
    <n v="719"/>
    <n v="441650"/>
    <m/>
    <m/>
    <s v="RC-10NMFIH(WT) 441650"/>
    <n v="898"/>
    <n v="0.80066815144766146"/>
    <s v="Toshiba SRP"/>
    <n v="110"/>
    <s v="110441650"/>
  </r>
  <r>
    <n v="445"/>
    <s v="Citistore"/>
    <s v="TW_1"/>
    <x v="5"/>
    <n v="3"/>
    <x v="10"/>
    <x v="39"/>
    <s v="酵活炊電飯煲(1.0公升)"/>
    <s v="細電"/>
    <s v="SDA"/>
    <s v="10amx"/>
    <n v="1"/>
    <n v="990"/>
    <n v="990"/>
    <n v="447569"/>
    <m/>
    <m/>
    <s v="RC-10AMXH(W) 447569"/>
    <n v="1288"/>
    <n v="0.76863354037267084"/>
    <s v="Toshiba SRP"/>
    <n v="110"/>
    <s v="110447569"/>
  </r>
  <r>
    <n v="446"/>
    <s v="Citistore"/>
    <s v="TW_1"/>
    <x v="5"/>
    <n v="3"/>
    <x v="3"/>
    <x v="20"/>
    <s v="壓縮式抽濕機 (22公升)"/>
    <s v="細電"/>
    <s v="RAC"/>
    <s v="d200"/>
    <n v="1"/>
    <n v="1980"/>
    <n v="1980"/>
    <n v="448421"/>
    <m/>
    <m/>
    <s v="RAD-D200H 448421"/>
    <n v="2880"/>
    <n v="0.6875"/>
    <s v="Shops Highest Price"/>
    <n v="110"/>
    <s v="110448421"/>
  </r>
  <r>
    <n v="447"/>
    <s v="Citistore"/>
    <s v="TW_1"/>
    <x v="5"/>
    <n v="3"/>
    <x v="3"/>
    <x v="33"/>
    <s v="輕觸式燒烤微波爐"/>
    <s v="細電"/>
    <s v="MCA"/>
    <s v="eg20"/>
    <n v="1"/>
    <n v="698"/>
    <n v="698"/>
    <n v="442700"/>
    <m/>
    <m/>
    <s v="MM2-EG20PC(WH) 442700"/>
    <n v="918"/>
    <n v="0.76034858387799564"/>
    <s v="Shops Highest Price"/>
    <n v="110"/>
    <s v="110442700"/>
  </r>
  <r>
    <n v="448"/>
    <s v="Citistore"/>
    <s v="TW_1"/>
    <x v="5"/>
    <n v="3"/>
    <x v="3"/>
    <x v="29"/>
    <s v="酵活炊磁應電飯煲"/>
    <s v="細電"/>
    <s v="SDA"/>
    <s v="10bh"/>
    <n v="1"/>
    <n v="1688"/>
    <n v="1688"/>
    <n v="442813"/>
    <m/>
    <m/>
    <s v="RC-10BHH(W) 442813"/>
    <n v="2088"/>
    <n v="0.80842911877394641"/>
    <s v="Shops Highest Price"/>
    <n v="110"/>
    <s v="110442813"/>
  </r>
  <r>
    <n v="449"/>
    <s v="Citistore"/>
    <s v="TW_1"/>
    <x v="5"/>
    <n v="3"/>
    <x v="3"/>
    <x v="7"/>
    <s v="4毫米厚釜電飯煲0.54L"/>
    <s v="細電"/>
    <s v="SDA"/>
    <s v="5mm"/>
    <n v="1"/>
    <n v="556"/>
    <n v="556"/>
    <n v="442820"/>
    <m/>
    <m/>
    <s v="RC-5MMIH(WT) 442820"/>
    <n v="618"/>
    <n v="0.89967637540453071"/>
    <s v="Toshiba SRP"/>
    <n v="110"/>
    <s v="110442820"/>
  </r>
  <r>
    <n v="450"/>
    <s v="Citistore"/>
    <s v="TW_1"/>
    <x v="5"/>
    <n v="3"/>
    <x v="3"/>
    <x v="45"/>
    <s v="備長炭本厚釜電飯煲0.7L"/>
    <s v="細電"/>
    <s v="SDA"/>
    <s v="7hmh"/>
    <n v="1"/>
    <n v="938"/>
    <n v="938"/>
    <n v="442797"/>
    <m/>
    <m/>
    <s v="RC-7HMH 442797"/>
    <n v="1288"/>
    <n v="0.72826086956521741"/>
    <s v="Toshiba SRP"/>
    <n v="110"/>
    <s v="110442797"/>
  </r>
  <r>
    <n v="451"/>
    <s v="Citistore"/>
    <s v="TW_1"/>
    <x v="5"/>
    <n v="3"/>
    <x v="3"/>
    <x v="46"/>
    <s v="電熱水瓶 (2.5公升)"/>
    <s v="細電"/>
    <s v="SDA"/>
    <s v="25dr"/>
    <n v="1"/>
    <n v="398"/>
    <n v="398"/>
    <n v="442942"/>
    <m/>
    <m/>
    <s v="TP-25DR2UHK(W) 442942"/>
    <n v="538"/>
    <n v="0.7397769516728625"/>
    <s v="Toshiba SRP"/>
    <n v="110"/>
    <s v="110442942"/>
  </r>
  <r>
    <n v="452"/>
    <s v="Citistore"/>
    <s v="TW_1"/>
    <x v="5"/>
    <n v="3"/>
    <x v="4"/>
    <x v="44"/>
    <s v="1.7L無線雙層電熱水壺"/>
    <s v="細電"/>
    <s v="SDA"/>
    <s v="17shnh"/>
    <n v="1"/>
    <n v="228"/>
    <n v="228"/>
    <n v="443062"/>
    <m/>
    <m/>
    <s v="KT-17SHNH 443062"/>
    <n v="299"/>
    <n v="0.76254180602006694"/>
    <s v="Shops Highest Price"/>
    <n v="110"/>
    <s v="110443062"/>
  </r>
  <r>
    <n v="453"/>
    <s v="Citistore"/>
    <s v="TW_1"/>
    <x v="5"/>
    <n v="3"/>
    <x v="4"/>
    <x v="47"/>
    <s v="磁應電飯煲(1公升)"/>
    <s v="細電"/>
    <s v="SDA"/>
    <s v="10iss"/>
    <n v="1"/>
    <n v="898"/>
    <n v="898"/>
    <n v="443100"/>
    <m/>
    <m/>
    <s v="RC-10ISSHK(W) 443100"/>
    <n v="1188"/>
    <n v="0.75589225589225584"/>
    <s v="Shops Highest Price"/>
    <n v="110"/>
    <s v="110443100"/>
  </r>
  <r>
    <n v="454"/>
    <s v="Citistore"/>
    <s v="TW_1"/>
    <x v="5"/>
    <n v="3"/>
    <x v="4"/>
    <x v="44"/>
    <s v="1.7L無線雙層電熱水壺"/>
    <s v="細電"/>
    <s v="SDA"/>
    <s v="17shnh"/>
    <n v="1"/>
    <n v="228"/>
    <n v="228"/>
    <n v="443180"/>
    <m/>
    <m/>
    <s v="KT-17SHNH 443180"/>
    <n v="299"/>
    <n v="0.76254180602006694"/>
    <s v="Shops Highest Price"/>
    <n v="110"/>
    <s v="110443180"/>
  </r>
  <r>
    <n v="455"/>
    <s v="Citistore"/>
    <s v="TW_1"/>
    <x v="5"/>
    <n v="3"/>
    <x v="4"/>
    <x v="47"/>
    <s v="磁應電飯煲(1公升)"/>
    <s v="細電"/>
    <s v="SDA"/>
    <s v="10iss"/>
    <n v="1"/>
    <n v="898"/>
    <n v="898"/>
    <n v="443199"/>
    <m/>
    <m/>
    <s v="RC-10ISSHK(W) 443199"/>
    <n v="1188"/>
    <n v="0.75589225589225584"/>
    <s v="Shops Highest Price"/>
    <n v="110"/>
    <s v="110443199"/>
  </r>
  <r>
    <n v="456"/>
    <s v="Citistore"/>
    <s v="TW_1"/>
    <x v="5"/>
    <n v="3"/>
    <x v="4"/>
    <x v="30"/>
    <s v="旋鈕式燒烤微波爐20L"/>
    <s v="細電"/>
    <s v="SDA"/>
    <s v="mm20"/>
    <n v="1"/>
    <n v="518"/>
    <n v="518"/>
    <n v="155933"/>
    <m/>
    <m/>
    <s v="MWP-MM20P(WH) 155933"/>
    <n v="648"/>
    <n v="0.79938271604938271"/>
    <s v="Toshiba SRP"/>
    <n v="110"/>
    <s v="110155933"/>
  </r>
  <r>
    <n v="457"/>
    <s v="Citistore"/>
    <s v="TW_1"/>
    <x v="5"/>
    <n v="3"/>
    <x v="4"/>
    <x v="47"/>
    <s v="磁應電飯煲(1公升)"/>
    <s v="細電"/>
    <s v="SDA"/>
    <s v="10iss"/>
    <n v="1"/>
    <n v="898"/>
    <n v="898"/>
    <n v="443410"/>
    <m/>
    <m/>
    <s v="RC-10ISSHK(W) 443410"/>
    <n v="1188"/>
    <n v="0.75589225589225584"/>
    <s v="Shops Highest Price"/>
    <n v="110"/>
    <s v="110443410"/>
  </r>
  <r>
    <n v="458"/>
    <s v="Citistore"/>
    <s v="TW_1"/>
    <x v="5"/>
    <n v="3"/>
    <x v="14"/>
    <x v="17"/>
    <s v="4毫米厚釜電飯煲1L"/>
    <s v="細電"/>
    <s v="SDA"/>
    <s v="10nmf"/>
    <n v="1"/>
    <n v="719"/>
    <n v="719"/>
    <n v="443434"/>
    <m/>
    <m/>
    <s v="RC-10NMFIH(WT) 443434"/>
    <n v="898"/>
    <n v="0.80066815144766146"/>
    <s v="Toshiba SRP"/>
    <n v="110"/>
    <s v="110443434"/>
  </r>
  <r>
    <n v="459"/>
    <s v="Citistore"/>
    <s v="TW_1"/>
    <x v="5"/>
    <n v="3"/>
    <x v="14"/>
    <x v="46"/>
    <s v="電熱水瓶 (2.5公升)"/>
    <s v="細電"/>
    <s v="SDA"/>
    <s v="25dr"/>
    <n v="1"/>
    <n v="398"/>
    <n v="398"/>
    <n v="443475"/>
    <m/>
    <m/>
    <s v="TP-25DR2UHK(W) 443475"/>
    <n v="538"/>
    <n v="0.7397769516728625"/>
    <s v="Toshiba SRP"/>
    <n v="110"/>
    <s v="110443475"/>
  </r>
  <r>
    <n v="460"/>
    <s v="Citistore"/>
    <s v="TW_1"/>
    <x v="5"/>
    <n v="3"/>
    <x v="14"/>
    <x v="21"/>
    <s v="壓縮式抽濕機 (30公升)"/>
    <s v="細電"/>
    <s v="RAC"/>
    <s v="d300"/>
    <n v="1"/>
    <n v="2280"/>
    <n v="2280"/>
    <n v="155943"/>
    <m/>
    <m/>
    <s v="RAD-D300H 155943"/>
    <n v="3380"/>
    <n v="0.67455621301775148"/>
    <s v="Shops Highest Price"/>
    <n v="110"/>
    <s v="110155943"/>
  </r>
  <r>
    <n v="461"/>
    <s v="Citistore"/>
    <s v="TW_1"/>
    <x v="5"/>
    <n v="3"/>
    <x v="14"/>
    <x v="30"/>
    <s v="旋鈕式燒烤微波爐20L"/>
    <s v="細電"/>
    <s v="SDA"/>
    <s v="mm20"/>
    <n v="1"/>
    <n v="518"/>
    <n v="518"/>
    <n v="443540"/>
    <m/>
    <m/>
    <s v="MWP-MM20P(WH) 443540"/>
    <n v="648"/>
    <n v="0.79938271604938271"/>
    <s v="Toshiba SRP"/>
    <n v="110"/>
    <s v="110443540"/>
  </r>
  <r>
    <n v="462"/>
    <s v="Citistore"/>
    <s v="TW_1"/>
    <x v="5"/>
    <n v="3"/>
    <x v="14"/>
    <x v="44"/>
    <s v="1.7L無線雙層電熱水壺"/>
    <s v="細電"/>
    <s v="SDA"/>
    <s v="17shnh"/>
    <n v="1"/>
    <n v="228"/>
    <n v="228"/>
    <n v="443535"/>
    <m/>
    <m/>
    <s v="KT-17SHNH 443535"/>
    <n v="299"/>
    <n v="0.76254180602006694"/>
    <s v="Shops Highest Price"/>
    <n v="110"/>
    <s v="110443535"/>
  </r>
  <r>
    <n v="463"/>
    <s v="Citistore"/>
    <s v="TW_1"/>
    <x v="5"/>
    <n v="3"/>
    <x v="14"/>
    <x v="34"/>
    <s v="智能氣炸烤焗爐(24公升)"/>
    <s v="細電"/>
    <s v="MCA"/>
    <s v="sac24"/>
    <n v="1"/>
    <n v="1398"/>
    <n v="1398"/>
    <n v="449130"/>
    <m/>
    <m/>
    <s v="MW3-SAC24SE(BK) 449130"/>
    <n v="1680"/>
    <n v="0.83214285714285718"/>
    <s v="Toshiba SRP"/>
    <n v="110"/>
    <s v="110449130"/>
  </r>
  <r>
    <n v="464"/>
    <s v="Citistore"/>
    <s v="TW_1"/>
    <x v="5"/>
    <n v="3"/>
    <x v="14"/>
    <x v="48"/>
    <s v="3合1 微波蒸焗爐 (20公升)"/>
    <s v="細電"/>
    <s v="MCA"/>
    <s v="tt20"/>
    <n v="1"/>
    <n v="2580"/>
    <n v="2580"/>
    <n v="443561"/>
    <m/>
    <m/>
    <s v="MX2-TT20SC(WH) 443561"/>
    <n v="3580"/>
    <n v="0.72067039106145248"/>
    <s v="Toshiba SRP"/>
    <n v="110"/>
    <s v="110443561"/>
  </r>
  <r>
    <n v="465"/>
    <s v="Citistore"/>
    <s v="TW_1"/>
    <x v="5"/>
    <n v="3"/>
    <x v="14"/>
    <x v="39"/>
    <s v="酵活炊電飯煲(1.0公升)"/>
    <s v="細電"/>
    <s v="SDA"/>
    <s v="10amx"/>
    <n v="1"/>
    <n v="990"/>
    <n v="990"/>
    <n v="443575"/>
    <m/>
    <m/>
    <s v="RC-10AMXH(W) 443575"/>
    <n v="1288"/>
    <n v="0.76863354037267084"/>
    <s v="Toshiba SRP"/>
    <n v="110"/>
    <s v="110443575"/>
  </r>
  <r>
    <n v="466"/>
    <s v="Citistore"/>
    <s v="TW_1"/>
    <x v="5"/>
    <n v="3"/>
    <x v="14"/>
    <x v="16"/>
    <s v="輕便式電磁爐"/>
    <s v="細電"/>
    <s v="SDA"/>
    <s v="20r1"/>
    <n v="1"/>
    <n v="298"/>
    <n v="298"/>
    <n v="155952"/>
    <m/>
    <m/>
    <s v="IC-20R1THK 155952"/>
    <n v="438"/>
    <n v="0.68036529680365299"/>
    <s v="Shops Highest Price"/>
    <n v="110"/>
    <s v="110155952"/>
  </r>
  <r>
    <n v="467"/>
    <s v="Citistore"/>
    <s v="TW_1"/>
    <x v="5"/>
    <n v="3"/>
    <x v="14"/>
    <x v="17"/>
    <s v="4毫米厚釜電飯煲1L"/>
    <s v="細電"/>
    <s v="SDA"/>
    <s v="10nmf"/>
    <n v="1"/>
    <n v="719"/>
    <n v="719"/>
    <n v="443688"/>
    <m/>
    <m/>
    <s v="RC-10NMFIH(WT) 443688"/>
    <n v="898"/>
    <n v="0.80066815144766146"/>
    <s v="Toshiba SRP"/>
    <n v="110"/>
    <s v="110443688"/>
  </r>
  <r>
    <n v="468"/>
    <s v="Citistore"/>
    <s v="TW_1"/>
    <x v="5"/>
    <n v="3"/>
    <x v="14"/>
    <x v="49"/>
    <s v="Induction Cooker"/>
    <s v="細電"/>
    <s v="SDA"/>
    <s v="20gg"/>
    <n v="1"/>
    <n v="270"/>
    <n v="270"/>
    <n v="443727"/>
    <m/>
    <m/>
    <s v="CIC-20GGTLA0 443727"/>
    <n v="399"/>
    <n v="0.67669172932330823"/>
    <s v="Web SRP"/>
    <n v="110"/>
    <s v="110443727"/>
  </r>
  <r>
    <n v="469"/>
    <s v="Citistore"/>
    <s v="TW_1"/>
    <x v="5"/>
    <n v="3"/>
    <x v="15"/>
    <x v="16"/>
    <s v="輕便式電磁爐"/>
    <s v="細電"/>
    <s v="SDA"/>
    <s v="20r1"/>
    <n v="1"/>
    <n v="298"/>
    <n v="298"/>
    <n v="155958"/>
    <m/>
    <m/>
    <s v="IC-20R1THK 155958"/>
    <n v="438"/>
    <n v="0.68036529680365299"/>
    <s v="Shops Highest Price"/>
    <n v="110"/>
    <s v="110155958"/>
  </r>
  <r>
    <n v="470"/>
    <s v="Citistore"/>
    <s v="TW_1"/>
    <x v="5"/>
    <n v="3"/>
    <x v="15"/>
    <x v="23"/>
    <s v="電飯煲"/>
    <s v="細電"/>
    <s v="SDA"/>
    <s v="10jruh"/>
    <n v="1"/>
    <n v="250"/>
    <n v="250"/>
    <n v="443897"/>
    <m/>
    <m/>
    <s v="RC-10JRUH(N) 443897"/>
    <n v="398"/>
    <n v="0.62814070351758799"/>
    <s v="Shops Highest Price"/>
    <n v="110"/>
    <s v="110443897"/>
  </r>
  <r>
    <n v="471"/>
    <s v="Citistore"/>
    <s v="TW_1"/>
    <x v="5"/>
    <n v="3"/>
    <x v="15"/>
    <x v="26"/>
    <s v="變頻頂揭式洗衣機 (7.5公斤)"/>
    <s v="大電"/>
    <s v="LAD"/>
    <s v="cfk01w75"/>
    <n v="1"/>
    <n v="3580"/>
    <n v="3580"/>
    <n v="443975"/>
    <m/>
    <m/>
    <s v="CFK01W75 443975"/>
    <n v="3888"/>
    <n v="0.92078189300411528"/>
    <s v="Shops Highest Price"/>
    <n v="110"/>
    <s v="110443975"/>
  </r>
  <r>
    <n v="472"/>
    <s v="Citistore"/>
    <s v="TW_1"/>
    <x v="5"/>
    <n v="3"/>
    <x v="15"/>
    <x v="23"/>
    <s v="電飯煲"/>
    <s v="細電"/>
    <s v="SDA"/>
    <s v="10jruh"/>
    <n v="1"/>
    <n v="250"/>
    <n v="250"/>
    <n v="443982"/>
    <m/>
    <m/>
    <s v="RC-10JRUH(N) 443982"/>
    <n v="398"/>
    <n v="0.62814070351758799"/>
    <s v="Shops Highest Price"/>
    <n v="110"/>
    <s v="110443982"/>
  </r>
  <r>
    <n v="473"/>
    <s v="Citistore"/>
    <s v="TW_1"/>
    <x v="5"/>
    <n v="3"/>
    <x v="15"/>
    <x v="50"/>
    <s v="輕便式電磁爐7個功能"/>
    <s v="細電"/>
    <s v="SDA"/>
    <s v="s19"/>
    <n v="1"/>
    <n v="418"/>
    <n v="418"/>
    <n v="444033"/>
    <m/>
    <m/>
    <s v="IC-S19RH 444033"/>
    <n v="638"/>
    <n v="0.65517241379310343"/>
    <s v="Toshiba SRP"/>
    <n v="110"/>
    <s v="110444033"/>
  </r>
  <r>
    <n v="474"/>
    <s v="Citistore"/>
    <s v="TW_3"/>
    <x v="6"/>
    <n v="3"/>
    <x v="11"/>
    <x v="51"/>
    <s v="IH磁應電飯煲"/>
    <s v="細電"/>
    <s v="SDA"/>
    <s v="dr10tw"/>
    <n v="1"/>
    <n v="2290"/>
    <n v="2290"/>
    <n v="155927"/>
    <m/>
    <m/>
    <s v="RC-DR10T(W) 155927"/>
    <n v="3188"/>
    <n v="0.71831869510664992"/>
    <s v="Toshiba SRP"/>
    <n v="110"/>
    <s v="110155927"/>
  </r>
  <r>
    <n v="475"/>
    <s v="Citistore"/>
    <s v="TW_3"/>
    <x v="6"/>
    <n v="3"/>
    <x v="11"/>
    <x v="27"/>
    <s v="4毫米厚釜電飯煲1.8L"/>
    <s v="細電"/>
    <s v="SDA"/>
    <s v="18nmf"/>
    <n v="2"/>
    <n v="799"/>
    <n v="1598"/>
    <n v="442438"/>
    <m/>
    <m/>
    <s v="RC-18NMFIH(WT) 442438"/>
    <n v="998"/>
    <n v="0.80060120240480959"/>
    <s v="Toshiba SRP"/>
    <n v="110"/>
    <s v="110442438"/>
  </r>
  <r>
    <n v="476"/>
    <s v="Citistore"/>
    <s v="TW_3"/>
    <x v="6"/>
    <n v="3"/>
    <x v="11"/>
    <x v="23"/>
    <s v="電飯煲"/>
    <s v="細電"/>
    <s v="SDA"/>
    <s v="10jruh"/>
    <n v="1"/>
    <n v="250"/>
    <n v="250"/>
    <n v="442448"/>
    <m/>
    <m/>
    <s v="RC-10JRUH(N) 442448"/>
    <n v="398"/>
    <n v="0.62814070351758799"/>
    <s v="Shops Highest Price"/>
    <n v="110"/>
    <s v="110442448"/>
  </r>
  <r>
    <n v="477"/>
    <s v="Citistore"/>
    <s v="TW_3"/>
    <x v="6"/>
    <n v="3"/>
    <x v="11"/>
    <x v="44"/>
    <s v="1.7L無線雙層電熱水壺"/>
    <s v="細電"/>
    <s v="SDA"/>
    <s v="17shnh"/>
    <n v="1"/>
    <n v="228"/>
    <n v="228"/>
    <n v="442441"/>
    <m/>
    <m/>
    <s v="KT-17SHNH 442441"/>
    <n v="299"/>
    <n v="0.76254180602006694"/>
    <s v="Shops Highest Price"/>
    <n v="110"/>
    <s v="110442441"/>
  </r>
  <r>
    <n v="478"/>
    <s v="Citistore"/>
    <s v="TW_3"/>
    <x v="6"/>
    <n v="3"/>
    <x v="11"/>
    <x v="16"/>
    <s v="輕便式電磁爐"/>
    <s v="細電"/>
    <s v="SDA"/>
    <s v="20r1"/>
    <n v="1"/>
    <n v="298"/>
    <n v="298"/>
    <n v="442453"/>
    <m/>
    <m/>
    <s v="IC-20R1THK 442453"/>
    <n v="438"/>
    <n v="0.68036529680365299"/>
    <s v="Shops Highest Price"/>
    <n v="110"/>
    <s v="110442453"/>
  </r>
  <r>
    <n v="479"/>
    <s v="Citistore"/>
    <s v="TW_2"/>
    <x v="7"/>
    <n v="3"/>
    <x v="6"/>
    <x v="7"/>
    <s v="4毫米厚釜電飯煲0.54L"/>
    <s v="細電"/>
    <s v="SDA"/>
    <s v="5mm"/>
    <n v="1"/>
    <n v="556"/>
    <n v="556"/>
    <n v="438933"/>
    <m/>
    <m/>
    <s v="RC-5MMIH(WT) 438933"/>
    <n v="618"/>
    <n v="0.89967637540453071"/>
    <s v="Toshiba SRP"/>
    <n v="110"/>
    <s v="110438933"/>
  </r>
  <r>
    <n v="480"/>
    <s v="Citistore"/>
    <s v="TW_2"/>
    <x v="7"/>
    <n v="3"/>
    <x v="6"/>
    <x v="50"/>
    <s v="輕便式電磁爐7個功能"/>
    <s v="細電"/>
    <s v="SDA"/>
    <s v="s19"/>
    <n v="1"/>
    <n v="418"/>
    <n v="418"/>
    <n v="439022"/>
    <m/>
    <m/>
    <s v="IC-S19RH 439022"/>
    <n v="638"/>
    <n v="0.65517241379310343"/>
    <s v="Toshiba SRP"/>
    <n v="110"/>
    <s v="110439022"/>
  </r>
  <r>
    <n v="481"/>
    <s v="Citistore"/>
    <s v="TW_2"/>
    <x v="7"/>
    <n v="3"/>
    <x v="6"/>
    <x v="47"/>
    <s v="磁應電飯煲(1公升)"/>
    <s v="細電"/>
    <s v="SDA"/>
    <s v="10iss"/>
    <n v="1"/>
    <n v="898"/>
    <n v="898"/>
    <n v="438971"/>
    <m/>
    <m/>
    <s v="RC-10ISSHK(W) 438971"/>
    <n v="1188"/>
    <n v="0.75589225589225584"/>
    <s v="Shops Highest Price"/>
    <n v="110"/>
    <s v="110438971"/>
  </r>
  <r>
    <n v="482"/>
    <s v="Citistore"/>
    <s v="TW_2"/>
    <x v="7"/>
    <n v="3"/>
    <x v="6"/>
    <x v="24"/>
    <s v="微型電腦珍珠飯煲"/>
    <s v="細電"/>
    <s v="SDA"/>
    <s v="5sli"/>
    <n v="1"/>
    <n v="592"/>
    <n v="592"/>
    <n v="439029"/>
    <m/>
    <m/>
    <s v="RC-5SLIH(W) 439029"/>
    <n v="658"/>
    <n v="0.89969604863221886"/>
    <s v="Toshiba SRP"/>
    <n v="110"/>
    <s v="110439029"/>
  </r>
  <r>
    <n v="483"/>
    <s v="Citistore"/>
    <s v="TW_2"/>
    <x v="7"/>
    <n v="3"/>
    <x v="6"/>
    <x v="21"/>
    <s v="壓縮式抽濕機 (30公升)"/>
    <s v="細電"/>
    <s v="RAC"/>
    <s v="d300"/>
    <n v="1"/>
    <n v="2280"/>
    <n v="2280"/>
    <n v="155635"/>
    <m/>
    <m/>
    <s v="RAD-D300H 155635"/>
    <n v="3380"/>
    <n v="0.67455621301775148"/>
    <s v="Shops Highest Price"/>
    <n v="110"/>
    <s v="110155635"/>
  </r>
  <r>
    <n v="484"/>
    <s v="Citistore"/>
    <s v="TW_2"/>
    <x v="7"/>
    <n v="3"/>
    <x v="6"/>
    <x v="7"/>
    <s v="4毫米厚釜電飯煲0.54L"/>
    <s v="細電"/>
    <s v="SDA"/>
    <s v="5mm"/>
    <n v="1"/>
    <n v="556"/>
    <n v="556"/>
    <n v="439053"/>
    <m/>
    <m/>
    <s v="RC-5MMIH(WT) 439053"/>
    <n v="618"/>
    <n v="0.89967637540453071"/>
    <s v="Toshiba SRP"/>
    <n v="110"/>
    <s v="110439053"/>
  </r>
  <r>
    <n v="485"/>
    <s v="Citistore"/>
    <s v="TW_2"/>
    <x v="7"/>
    <n v="3"/>
    <x v="7"/>
    <x v="44"/>
    <s v="1.7L無線雙層電熱水壺"/>
    <s v="細電"/>
    <s v="SDA"/>
    <s v="17shnh"/>
    <n v="1"/>
    <n v="228"/>
    <n v="228"/>
    <n v="439226"/>
    <m/>
    <m/>
    <s v="KT-17SHNH 439226"/>
    <n v="299"/>
    <n v="0.76254180602006694"/>
    <s v="Shops Highest Price"/>
    <n v="110"/>
    <s v="110439226"/>
  </r>
  <r>
    <n v="486"/>
    <s v="Citistore"/>
    <s v="TW_2"/>
    <x v="7"/>
    <n v="3"/>
    <x v="7"/>
    <x v="21"/>
    <s v="壓縮式抽濕機 (30公升)"/>
    <s v="細電"/>
    <s v="RAC"/>
    <s v="d300"/>
    <n v="1"/>
    <n v="2280"/>
    <n v="2280"/>
    <n v="155653"/>
    <m/>
    <m/>
    <s v="RAD-D300H 155653"/>
    <n v="3380"/>
    <n v="0.67455621301775148"/>
    <s v="Shops Highest Price"/>
    <n v="110"/>
    <s v="110155653"/>
  </r>
  <r>
    <n v="487"/>
    <s v="Citistore"/>
    <s v="TW_2"/>
    <x v="7"/>
    <n v="3"/>
    <x v="7"/>
    <x v="17"/>
    <s v="4毫米厚釜電飯煲1L"/>
    <s v="細電"/>
    <s v="SDA"/>
    <s v="10nmf"/>
    <n v="1"/>
    <n v="719"/>
    <n v="719"/>
    <n v="439312"/>
    <m/>
    <m/>
    <s v="RC-10NMFIH(WT) 439312"/>
    <n v="898"/>
    <n v="0.80066815144766146"/>
    <s v="Toshiba SRP"/>
    <n v="110"/>
    <s v="110439312"/>
  </r>
  <r>
    <n v="488"/>
    <s v="Citistore"/>
    <s v="TW_2"/>
    <x v="7"/>
    <n v="3"/>
    <x v="7"/>
    <x v="21"/>
    <s v="壓縮式抽濕機 (30公升)"/>
    <s v="細電"/>
    <s v="RAC"/>
    <s v="d300"/>
    <n v="1"/>
    <n v="2280"/>
    <n v="2280"/>
    <n v="439325"/>
    <m/>
    <m/>
    <s v="RAD-D300H 439325"/>
    <n v="3380"/>
    <n v="0.67455621301775148"/>
    <s v="Shops Highest Price"/>
    <n v="110"/>
    <s v="110439325"/>
  </r>
  <r>
    <n v="489"/>
    <s v="Citistore"/>
    <s v="TW_2"/>
    <x v="7"/>
    <n v="3"/>
    <x v="16"/>
    <x v="17"/>
    <s v="4毫米厚釜電飯煲1L"/>
    <s v="細電"/>
    <s v="SDA"/>
    <s v="10nmf"/>
    <n v="1"/>
    <n v="719"/>
    <n v="719"/>
    <n v="155824"/>
    <m/>
    <m/>
    <s v="RC-10NMFIH(WT) 155824"/>
    <n v="898"/>
    <n v="0.80066815144766146"/>
    <s v="Toshiba SRP"/>
    <n v="110"/>
    <s v="110155824"/>
  </r>
  <r>
    <n v="490"/>
    <s v="Citistore"/>
    <s v="TW_2"/>
    <x v="7"/>
    <n v="3"/>
    <x v="16"/>
    <x v="52"/>
    <s v="35L多功能電焗爐"/>
    <s v="細電"/>
    <s v="SDA"/>
    <s v="mc35"/>
    <n v="1"/>
    <n v="933"/>
    <n v="933"/>
    <n v="447748"/>
    <m/>
    <m/>
    <s v="TL-MC35Z 447748"/>
    <n v="1098"/>
    <n v="0.84972677595628421"/>
    <s v="Toshiba SRP"/>
    <n v="110"/>
    <s v="110447748"/>
  </r>
  <r>
    <n v="491"/>
    <s v="Citistore"/>
    <s v="TW_2"/>
    <x v="7"/>
    <n v="3"/>
    <x v="12"/>
    <x v="53"/>
    <s v="IH磁應電飯煲"/>
    <s v="細電"/>
    <s v="SDA"/>
    <s v="dr10t"/>
    <n v="1"/>
    <n v="2290"/>
    <n v="2290"/>
    <n v="155867"/>
    <m/>
    <m/>
    <s v="RC-DR10T(R) 155867"/>
    <n v="3188"/>
    <n v="0.71831869510664992"/>
    <s v="Toshiba SRP"/>
    <n v="110"/>
    <s v="110155867"/>
  </r>
  <r>
    <n v="492"/>
    <s v="Citistore"/>
    <s v="TW_2"/>
    <x v="7"/>
    <n v="3"/>
    <x v="12"/>
    <x v="33"/>
    <s v="輕觸式燒烤微波爐"/>
    <s v="細電"/>
    <s v="MCA"/>
    <s v="eg20"/>
    <n v="1"/>
    <n v="698"/>
    <n v="698"/>
    <n v="442505"/>
    <m/>
    <m/>
    <s v="MM2-EG20PC(WH) 442505"/>
    <n v="918"/>
    <n v="0.76034858387799564"/>
    <s v="Shops Highest Price"/>
    <n v="110"/>
    <s v="110442505"/>
  </r>
  <r>
    <n v="493"/>
    <s v="Citistore"/>
    <s v="TW_2"/>
    <x v="7"/>
    <n v="3"/>
    <x v="12"/>
    <x v="30"/>
    <s v="旋鈕式燒烤微波爐20L"/>
    <s v="細電"/>
    <s v="SDA"/>
    <s v="mm20"/>
    <n v="1"/>
    <n v="518"/>
    <n v="518"/>
    <n v="442567"/>
    <m/>
    <m/>
    <s v="MWP-MM20P(WH) 442567"/>
    <n v="648"/>
    <n v="0.79938271604938271"/>
    <s v="Toshiba SRP"/>
    <n v="110"/>
    <s v="110442567"/>
  </r>
  <r>
    <n v="494"/>
    <s v="Citistore"/>
    <s v="TW_2"/>
    <x v="7"/>
    <n v="3"/>
    <x v="17"/>
    <x v="44"/>
    <s v="1.7L無線雙層電熱水壺"/>
    <s v="細電"/>
    <s v="SDA"/>
    <s v="17shnh"/>
    <n v="1"/>
    <n v="228"/>
    <n v="228"/>
    <n v="449507"/>
    <m/>
    <m/>
    <s v="KT-17SHNH 449507"/>
    <n v="299"/>
    <n v="0.76254180602006694"/>
    <s v="Shops Highest Price"/>
    <n v="110"/>
    <s v="110449507"/>
  </r>
  <r>
    <n v="495"/>
    <s v="Citistore"/>
    <s v="TW_2"/>
    <x v="7"/>
    <n v="3"/>
    <x v="17"/>
    <x v="17"/>
    <s v="4毫米厚釜電飯煲1L"/>
    <s v="細電"/>
    <s v="SDA"/>
    <s v="10nmf"/>
    <n v="1"/>
    <n v="719"/>
    <n v="719"/>
    <n v="444064"/>
    <m/>
    <m/>
    <s v="RC-10NMFIH(WT) 444064"/>
    <n v="898"/>
    <n v="0.80066815144766146"/>
    <s v="Toshiba SRP"/>
    <n v="110"/>
    <s v="110444064"/>
  </r>
  <r>
    <n v="496"/>
    <s v="Citistore"/>
    <s v="TW_2"/>
    <x v="7"/>
    <n v="3"/>
    <x v="17"/>
    <x v="45"/>
    <s v="備長炭本厚釜電飯煲0.7L"/>
    <s v="細電"/>
    <s v="SDA"/>
    <s v="7hmh"/>
    <n v="1"/>
    <n v="938"/>
    <n v="938"/>
    <n v="444071"/>
    <m/>
    <m/>
    <s v="RC-7HMH 444071"/>
    <n v="1288"/>
    <n v="0.72826086956521741"/>
    <s v="Toshiba SRP"/>
    <n v="110"/>
    <s v="110444071"/>
  </r>
  <r>
    <n v="497"/>
    <s v="Citistore"/>
    <s v="TW_2"/>
    <x v="7"/>
    <n v="3"/>
    <x v="17"/>
    <x v="54"/>
    <s v="低醣磁應電飯煲1L"/>
    <s v="細電"/>
    <s v="SDA"/>
    <s v="10irph"/>
    <n v="1"/>
    <n v="898"/>
    <n v="898"/>
    <n v="449539"/>
    <m/>
    <m/>
    <s v="RC-10IRPH 449539"/>
    <n v="1388"/>
    <n v="0.64697406340057639"/>
    <s v="Toshiba SRP"/>
    <n v="110"/>
    <s v="110449539"/>
  </r>
  <r>
    <n v="498"/>
    <s v="Citistore"/>
    <s v="TW_2"/>
    <x v="7"/>
    <n v="3"/>
    <x v="17"/>
    <x v="30"/>
    <s v="旋鈕式燒烤微波爐20L"/>
    <s v="細電"/>
    <s v="SDA"/>
    <s v="mm20"/>
    <n v="1"/>
    <n v="518"/>
    <n v="518"/>
    <n v="155966"/>
    <m/>
    <m/>
    <s v="MWP-MM20P(WH) 155966"/>
    <n v="648"/>
    <n v="0.79938271604938271"/>
    <s v="Toshiba SRP"/>
    <n v="110"/>
    <s v="110155966"/>
  </r>
  <r>
    <n v="499"/>
    <s v="Citistore"/>
    <s v="TW_2"/>
    <x v="7"/>
    <n v="3"/>
    <x v="17"/>
    <x v="23"/>
    <s v="電飯煲"/>
    <s v="細電"/>
    <s v="SDA"/>
    <s v="10jruh"/>
    <n v="1"/>
    <n v="250"/>
    <n v="250"/>
    <n v="155972"/>
    <m/>
    <m/>
    <s v="RC-10JRUH(N) 155972"/>
    <n v="398"/>
    <n v="0.62814070351758799"/>
    <s v="Shops Highest Price"/>
    <n v="110"/>
    <s v="110155972"/>
  </r>
  <r>
    <n v="500"/>
    <s v="Citistore"/>
    <s v="TW_2"/>
    <x v="7"/>
    <n v="3"/>
    <x v="17"/>
    <x v="17"/>
    <s v="4毫米厚釜電飯煲1L"/>
    <s v="細電"/>
    <s v="SDA"/>
    <s v="10nmf"/>
    <n v="1"/>
    <n v="719"/>
    <n v="719"/>
    <n v="444171"/>
    <m/>
    <m/>
    <s v="RC-10NMFIH(WT) 444171"/>
    <n v="898"/>
    <n v="0.80066815144766146"/>
    <s v="Toshiba SRP"/>
    <n v="110"/>
    <s v="110444171"/>
  </r>
  <r>
    <n v="501"/>
    <s v="Citistore"/>
    <s v="TW_2"/>
    <x v="7"/>
    <n v="3"/>
    <x v="17"/>
    <x v="30"/>
    <s v="旋鈕式燒烤微波爐20L"/>
    <s v="細電"/>
    <s v="SDA"/>
    <s v="mm20"/>
    <n v="1"/>
    <n v="518"/>
    <n v="518"/>
    <n v="155976"/>
    <m/>
    <m/>
    <s v="MWP-MM20P(WH) 155976"/>
    <n v="648"/>
    <n v="0.79938271604938271"/>
    <s v="Toshiba SRP"/>
    <n v="110"/>
    <s v="110155976"/>
  </r>
  <r>
    <n v="502"/>
    <s v="Citistore"/>
    <s v="TW_2"/>
    <x v="7"/>
    <n v="3"/>
    <x v="18"/>
    <x v="37"/>
    <s v="電熱水瓶 (5公升)"/>
    <s v="細電"/>
    <s v="SDA"/>
    <s v="50dr"/>
    <n v="1"/>
    <n v="628"/>
    <n v="628"/>
    <n v="444328"/>
    <m/>
    <m/>
    <s v="TP-50DRUHK(W) 444328"/>
    <n v="718"/>
    <n v="0.87465181058495822"/>
    <s v="Toshiba SRP"/>
    <n v="110"/>
    <s v="110444328"/>
  </r>
  <r>
    <n v="503"/>
    <s v="Citistore"/>
    <s v="TW_2"/>
    <x v="7"/>
    <n v="3"/>
    <x v="18"/>
    <x v="40"/>
    <s v="400MM超薄身前置式變頻洗衣機(7公斤)"/>
    <s v="大電"/>
    <s v="LAD"/>
    <s v="bu80"/>
    <n v="1"/>
    <n v="3180"/>
    <n v="3180"/>
    <n v="155983"/>
    <m/>
    <m/>
    <s v="TW-T21BU80UWH(MG) 155983"/>
    <n v="5180"/>
    <n v="0.61389961389961389"/>
    <s v="Toshiba SRP"/>
    <n v="110"/>
    <s v="110155983"/>
  </r>
  <r>
    <n v="504"/>
    <s v="Citistore"/>
    <s v="TW_2"/>
    <x v="7"/>
    <n v="3"/>
    <x v="18"/>
    <x v="45"/>
    <s v="備長炭本厚釜電飯煲0.7L"/>
    <s v="細電"/>
    <s v="SDA"/>
    <s v="7hmh"/>
    <n v="1"/>
    <n v="938"/>
    <n v="938"/>
    <n v="444427"/>
    <m/>
    <m/>
    <s v="RC-7HMH 444427"/>
    <n v="1288"/>
    <n v="0.72826086956521741"/>
    <s v="Toshiba SRP"/>
    <n v="110"/>
    <s v="110444427"/>
  </r>
  <r>
    <n v="505"/>
    <s v="Citistore"/>
    <s v="TW_2"/>
    <x v="7"/>
    <n v="3"/>
    <x v="18"/>
    <x v="30"/>
    <s v="旋鈕式燒烤微波爐20L"/>
    <s v="細電"/>
    <s v="SDA"/>
    <s v="mm20"/>
    <n v="1"/>
    <n v="518"/>
    <n v="518"/>
    <n v="444537"/>
    <m/>
    <m/>
    <s v="MWP-MM20P(WH) 444537"/>
    <n v="648"/>
    <n v="0.79938271604938271"/>
    <s v="Toshiba SRP"/>
    <n v="110"/>
    <s v="110444537"/>
  </r>
  <r>
    <n v="506"/>
    <s v="Yata"/>
    <s v="Shatin_2"/>
    <x v="8"/>
    <n v="3"/>
    <x v="6"/>
    <x v="28"/>
    <s v="無線雙層電熱水壺-附可鎖壺蓋(0.8公升)"/>
    <s v="細電"/>
    <s v="SDA"/>
    <s v="08dh"/>
    <n v="1"/>
    <n v="268"/>
    <n v="268"/>
    <n v="525042"/>
    <m/>
    <m/>
    <s v="KT-08DH1VHK(W) 525042"/>
    <n v="428"/>
    <n v="0.62616822429906538"/>
    <s v="Toshiba SRP"/>
    <n v="110"/>
    <s v="110525042"/>
  </r>
  <r>
    <n v="507"/>
    <s v="Yata"/>
    <s v="Shatin_2"/>
    <x v="8"/>
    <n v="3"/>
    <x v="7"/>
    <x v="31"/>
    <s v="無線雙層電熱水壺(1.7公升)"/>
    <s v="細電"/>
    <s v="SDA"/>
    <s v="17drt"/>
    <n v="1"/>
    <n v="398"/>
    <n v="398"/>
    <n v="344639"/>
    <m/>
    <m/>
    <s v="KT-17DRTHK(H) 344639"/>
    <n v="498"/>
    <n v="0.79919678714859432"/>
    <s v="Toshiba SRP"/>
    <n v="110"/>
    <s v="110344639"/>
  </r>
  <r>
    <n v="508"/>
    <s v="Yata"/>
    <s v="Shatin_2"/>
    <x v="8"/>
    <n v="3"/>
    <x v="7"/>
    <x v="24"/>
    <s v="微型電腦珍珠飯煲"/>
    <s v="細電"/>
    <s v="SDA"/>
    <s v="5sli"/>
    <n v="1"/>
    <n v="593"/>
    <n v="593"/>
    <n v="344768"/>
    <m/>
    <m/>
    <s v="RC-5SLIH(W) 344768"/>
    <n v="658"/>
    <n v="0.90121580547112456"/>
    <s v="Toshiba SRP"/>
    <n v="110"/>
    <s v="110344768"/>
  </r>
  <r>
    <n v="509"/>
    <s v="Yata"/>
    <s v="Shatin_2"/>
    <x v="8"/>
    <n v="3"/>
    <x v="17"/>
    <x v="48"/>
    <s v="3合1 微波蒸焗爐 (20公升)"/>
    <s v="細電"/>
    <s v="MCA"/>
    <s v="tt20"/>
    <n v="1"/>
    <n v="2580"/>
    <n v="2580"/>
    <n v="348376"/>
    <m/>
    <m/>
    <s v="MX2-TT20SC(WH) 348376"/>
    <n v="3580"/>
    <n v="0.72067039106145248"/>
    <s v="Toshiba SRP"/>
    <n v="110"/>
    <s v="110348376"/>
  </r>
  <r>
    <n v="510"/>
    <s v="Yata"/>
    <s v="Shatin_2"/>
    <x v="8"/>
    <n v="3"/>
    <x v="17"/>
    <x v="31"/>
    <s v="無線雙層電熱水壺(1.7公升)"/>
    <s v="細電"/>
    <s v="SDA"/>
    <s v="17drt"/>
    <n v="1"/>
    <n v="388"/>
    <n v="388"/>
    <n v="531214"/>
    <m/>
    <m/>
    <s v="KT-17DRTHK(H) 531214"/>
    <n v="498"/>
    <n v="0.77911646586345384"/>
    <s v="Toshiba SRP"/>
    <n v="110"/>
    <s v="110531214"/>
  </r>
  <r>
    <n v="511"/>
    <s v="Yata"/>
    <s v="Shatin_2"/>
    <x v="8"/>
    <n v="3"/>
    <x v="17"/>
    <x v="55"/>
    <s v="真空壓力磁應電飯煲(1.8公升)"/>
    <s v="細電"/>
    <s v="SDA"/>
    <s v="dx18t"/>
    <n v="1"/>
    <n v="4988"/>
    <n v="4988"/>
    <n v="531223"/>
    <m/>
    <m/>
    <s v="RC-DX18T(W) 531223"/>
    <n v="6388"/>
    <n v="0.7808390732623669"/>
    <s v="Toshiba SRP"/>
    <n v="110"/>
    <s v="110531223"/>
  </r>
  <r>
    <n v="512"/>
    <s v="Yata"/>
    <s v="Shatin_2"/>
    <x v="8"/>
    <n v="3"/>
    <x v="17"/>
    <x v="56"/>
    <s v="多士焗爐8L"/>
    <s v="細電"/>
    <s v="SDA"/>
    <n v="7080"/>
    <n v="1"/>
    <n v="358"/>
    <n v="358"/>
    <n v="531226"/>
    <m/>
    <m/>
    <s v="ET-TD7080(PN) 531226"/>
    <n v="498"/>
    <n v="0.71887550200803207"/>
    <s v="Toshiba SRP"/>
    <n v="110"/>
    <s v="110531226"/>
  </r>
  <r>
    <n v="513"/>
    <s v="Yata"/>
    <s v="Shatin_2"/>
    <x v="8"/>
    <n v="3"/>
    <x v="17"/>
    <x v="46"/>
    <s v="電熱水瓶 (2.5公升)"/>
    <s v="細電"/>
    <s v="SDA"/>
    <s v="25dr2"/>
    <n v="1"/>
    <n v="398"/>
    <n v="398"/>
    <n v="531316"/>
    <m/>
    <m/>
    <s v="TP-25DR2UHK(W) 531316"/>
    <n v="538"/>
    <n v="0.7397769516728625"/>
    <s v="Toshiba SRP"/>
    <n v="110"/>
    <s v="110531316"/>
  </r>
  <r>
    <n v="514"/>
    <s v="Yata"/>
    <s v="Shatin_2"/>
    <x v="8"/>
    <n v="3"/>
    <x v="17"/>
    <x v="30"/>
    <s v="旋鈕式燒烤微波爐20L"/>
    <s v="細電"/>
    <s v="SDA"/>
    <s v="mm20"/>
    <n v="1"/>
    <n v="488"/>
    <n v="488"/>
    <n v="531361"/>
    <m/>
    <m/>
    <s v="MWP-MM20P(WH) 531361"/>
    <n v="648"/>
    <n v="0.75308641975308643"/>
    <s v="Toshiba SRP"/>
    <n v="110"/>
    <s v="110531361"/>
  </r>
  <r>
    <n v="515"/>
    <s v="Yata"/>
    <s v="Shatin_2"/>
    <x v="8"/>
    <n v="3"/>
    <x v="18"/>
    <x v="51"/>
    <s v="IH磁應電飯煲"/>
    <s v="細電"/>
    <s v="SDA"/>
    <s v="dr10tw"/>
    <n v="1"/>
    <n v="2380"/>
    <n v="2380"/>
    <n v="531628"/>
    <m/>
    <m/>
    <s v="RC-DR10T(W) 531628"/>
    <n v="3188"/>
    <n v="0.74654956085319946"/>
    <s v="Toshiba SRP"/>
    <n v="110"/>
    <s v="110531628"/>
  </r>
  <r>
    <n v="516"/>
    <s v="Yata"/>
    <s v="Shatin_2"/>
    <x v="8"/>
    <n v="3"/>
    <x v="18"/>
    <x v="33"/>
    <s v="輕觸式燒烤微波爐"/>
    <s v="細電"/>
    <s v="MCA"/>
    <s v="eg20"/>
    <n v="1"/>
    <n v="698"/>
    <n v="698"/>
    <n v="320807"/>
    <m/>
    <m/>
    <s v="MM2-EG20PC(WH) 320807"/>
    <n v="918"/>
    <n v="0.76034858387799564"/>
    <s v="Shops Highest Price"/>
    <n v="110"/>
    <s v="110320807"/>
  </r>
  <r>
    <n v="517"/>
    <s v="Yata"/>
    <s v="Shatin_2"/>
    <x v="8"/>
    <n v="3"/>
    <x v="18"/>
    <x v="20"/>
    <s v="壓縮式抽濕機 (22公升)"/>
    <s v="細電"/>
    <s v="RAC"/>
    <s v="d200"/>
    <n v="1"/>
    <n v="1980"/>
    <n v="1980"/>
    <n v="320807"/>
    <m/>
    <m/>
    <s v="RAD-D200H 320807"/>
    <n v="2880"/>
    <n v="0.6875"/>
    <s v="Shops Highest Price"/>
    <n v="110"/>
    <s v="110320807"/>
  </r>
  <r>
    <n v="518"/>
    <s v="Yata"/>
    <s v="Shatin_2"/>
    <x v="8"/>
    <n v="3"/>
    <x v="18"/>
    <x v="28"/>
    <s v="無線雙層電熱水壺-附可鎖壺蓋(0.8公升)"/>
    <s v="細電"/>
    <s v="SDA"/>
    <s v="08dh"/>
    <n v="1"/>
    <n v="268"/>
    <n v="268"/>
    <n v="531766"/>
    <m/>
    <m/>
    <s v="KT-08DH1VHK(W) 531766"/>
    <n v="428"/>
    <n v="0.62616822429906538"/>
    <s v="Toshiba SRP"/>
    <n v="110"/>
    <s v="110531766"/>
  </r>
  <r>
    <n v="519"/>
    <s v="Citistore"/>
    <s v="TM"/>
    <x v="9"/>
    <n v="3"/>
    <x v="0"/>
    <x v="7"/>
    <s v="4毫米厚釜電飯煲0.54L"/>
    <s v="細電"/>
    <s v="SDA"/>
    <s v="5mm"/>
    <n v="1"/>
    <n v="548"/>
    <n v="548"/>
    <n v="382848"/>
    <m/>
    <m/>
    <s v="RC-5MMIH(WT) 382848"/>
    <n v="618"/>
    <n v="0.88673139158576053"/>
    <s v="Toshiba SRP"/>
    <n v="110"/>
    <s v="110382848"/>
  </r>
  <r>
    <n v="520"/>
    <s v="Citistore"/>
    <s v="TM"/>
    <x v="9"/>
    <n v="3"/>
    <x v="0"/>
    <x v="30"/>
    <s v="旋鈕式燒烤微波爐20L"/>
    <s v="細電"/>
    <s v="SDA"/>
    <s v="mm20"/>
    <n v="1"/>
    <n v="488"/>
    <n v="488"/>
    <n v="439357"/>
    <m/>
    <m/>
    <s v="MWP-MM20P(WH) 439357"/>
    <n v="648"/>
    <n v="0.75308641975308643"/>
    <s v="Toshiba SRP"/>
    <n v="110"/>
    <s v="110439357"/>
  </r>
  <r>
    <n v="521"/>
    <s v="Citistore"/>
    <s v="TM"/>
    <x v="9"/>
    <n v="3"/>
    <x v="0"/>
    <x v="24"/>
    <s v="微型電腦珍珠飯煲"/>
    <s v="細電"/>
    <s v="SDA"/>
    <s v="5sli"/>
    <n v="1"/>
    <n v="478"/>
    <n v="478"/>
    <s v="060673"/>
    <m/>
    <m/>
    <s v="RC-5SLIH(W) 060673"/>
    <n v="658"/>
    <n v="0.7264437689969605"/>
    <s v="Toshiba SRP"/>
    <n v="110"/>
    <s v="110060673"/>
  </r>
  <r>
    <n v="522"/>
    <s v="Citistore"/>
    <s v="TM"/>
    <x v="9"/>
    <n v="3"/>
    <x v="0"/>
    <x v="57"/>
    <s v="多功能備長炭本厚釜電飯煲1L"/>
    <s v="細電"/>
    <s v="SDA"/>
    <s v="10drnh"/>
    <n v="1"/>
    <n v="549"/>
    <n v="549"/>
    <n v="439397"/>
    <m/>
    <m/>
    <s v="RC-10DRNH 439397"/>
    <n v="798"/>
    <n v="0.68796992481203012"/>
    <s v="Toshiba SRP"/>
    <n v="110"/>
    <s v="110439397"/>
  </r>
  <r>
    <n v="523"/>
    <s v="Citistore"/>
    <s v="TM"/>
    <x v="9"/>
    <n v="3"/>
    <x v="0"/>
    <x v="16"/>
    <s v="輕便式電磁爐"/>
    <s v="細電"/>
    <s v="SDA"/>
    <s v="20r1"/>
    <n v="1"/>
    <n v="298"/>
    <n v="298"/>
    <n v="215153"/>
    <m/>
    <m/>
    <s v="IC-20R1THK 215153"/>
    <n v="438"/>
    <n v="0.68036529680365299"/>
    <s v="Shops Highest Price"/>
    <n v="110"/>
    <s v="110215153"/>
  </r>
  <r>
    <n v="524"/>
    <s v="Citistore"/>
    <s v="TM"/>
    <x v="9"/>
    <n v="3"/>
    <x v="0"/>
    <x v="17"/>
    <s v="4毫米厚釜電飯煲1L"/>
    <s v="細電"/>
    <s v="SDA"/>
    <s v="10nmf"/>
    <n v="1"/>
    <n v="719"/>
    <n v="719"/>
    <n v="382974"/>
    <m/>
    <m/>
    <s v="RC-10NMFIH(WT) 382974"/>
    <n v="898"/>
    <n v="0.80066815144766146"/>
    <s v="Toshiba SRP"/>
    <n v="110"/>
    <s v="110382974"/>
  </r>
  <r>
    <n v="525"/>
    <s v="Citistore"/>
    <s v="TM"/>
    <x v="9"/>
    <n v="3"/>
    <x v="0"/>
    <x v="30"/>
    <s v="旋鈕式燒烤微波爐20L"/>
    <s v="細電"/>
    <s v="SDA"/>
    <s v="mm20"/>
    <n v="1"/>
    <n v="488"/>
    <n v="488"/>
    <n v="382985"/>
    <m/>
    <m/>
    <s v="MWP-MM20P(WH) 382985"/>
    <n v="648"/>
    <n v="0.75308641975308643"/>
    <s v="Toshiba SRP"/>
    <n v="110"/>
    <s v="110382985"/>
  </r>
  <r>
    <n v="526"/>
    <s v="Citistore"/>
    <s v="TM"/>
    <x v="9"/>
    <n v="3"/>
    <x v="0"/>
    <x v="16"/>
    <s v="輕便式電磁爐"/>
    <s v="細電"/>
    <s v="SDA"/>
    <s v="20r1"/>
    <n v="1"/>
    <n v="298"/>
    <n v="298"/>
    <n v="439484"/>
    <m/>
    <m/>
    <s v="IC-20R1THK 439484"/>
    <n v="438"/>
    <n v="0.68036529680365299"/>
    <s v="Shops Highest Price"/>
    <n v="110"/>
    <s v="110439484"/>
  </r>
  <r>
    <n v="527"/>
    <s v="Citistore"/>
    <s v="TM"/>
    <x v="9"/>
    <n v="3"/>
    <x v="0"/>
    <x v="30"/>
    <s v="旋鈕式燒烤微波爐20L"/>
    <s v="細電"/>
    <s v="SDA"/>
    <s v="mm20"/>
    <n v="1"/>
    <n v="488"/>
    <n v="488"/>
    <n v="385079"/>
    <m/>
    <m/>
    <s v="MWP-MM20P(WH) 385079"/>
    <n v="648"/>
    <n v="0.75308641975308643"/>
    <s v="Toshiba SRP"/>
    <n v="110"/>
    <s v="110385079"/>
  </r>
  <r>
    <n v="528"/>
    <s v="Citistore"/>
    <s v="TM"/>
    <x v="9"/>
    <n v="3"/>
    <x v="0"/>
    <x v="31"/>
    <s v="無線雙層電熱水壺(1.7公升)"/>
    <s v="細電"/>
    <s v="SDA"/>
    <s v="17drt"/>
    <n v="1"/>
    <n v="388"/>
    <n v="388"/>
    <n v="439547"/>
    <m/>
    <m/>
    <s v="KT-17DRTHK(H) 439547"/>
    <n v="498"/>
    <n v="0.77911646586345384"/>
    <s v="Toshiba SRP"/>
    <n v="110"/>
    <s v="110439547"/>
  </r>
  <r>
    <n v="529"/>
    <s v="Citistore"/>
    <s v="TM"/>
    <x v="9"/>
    <n v="3"/>
    <x v="6"/>
    <x v="58"/>
    <s v="IH磁應電飯煲_x000a_鑽石銅鍋"/>
    <s v="細電"/>
    <s v="SDA"/>
    <s v="dr18tw"/>
    <n v="1"/>
    <n v="2880"/>
    <n v="2880"/>
    <n v="234500"/>
    <m/>
    <m/>
    <s v="RC-DR18T(W) 234500"/>
    <n v="3588"/>
    <n v="0.80267558528428096"/>
    <s v="Toshiba SRP"/>
    <n v="110"/>
    <s v="110234500"/>
  </r>
  <r>
    <n v="530"/>
    <s v="Citistore"/>
    <s v="TM"/>
    <x v="9"/>
    <n v="3"/>
    <x v="6"/>
    <x v="16"/>
    <s v="輕便式電磁爐"/>
    <s v="細電"/>
    <s v="SDA"/>
    <s v="20r1"/>
    <n v="1"/>
    <n v="298"/>
    <n v="298"/>
    <n v="383224"/>
    <m/>
    <m/>
    <s v="IC-20R1THK 383224"/>
    <n v="438"/>
    <n v="0.68036529680365299"/>
    <s v="Shops Highest Price"/>
    <n v="110"/>
    <s v="110383224"/>
  </r>
  <r>
    <n v="531"/>
    <s v="Citistore"/>
    <s v="TM"/>
    <x v="9"/>
    <n v="3"/>
    <x v="6"/>
    <x v="37"/>
    <s v="電熱水瓶 (5公升)"/>
    <s v="細電"/>
    <s v="SDA"/>
    <s v="50dr"/>
    <n v="1"/>
    <n v="628"/>
    <n v="628"/>
    <n v="439870"/>
    <m/>
    <m/>
    <s v="TP-50DRUHK(W) 439870"/>
    <n v="718"/>
    <n v="0.87465181058495822"/>
    <s v="Toshiba SRP"/>
    <n v="110"/>
    <s v="110439870"/>
  </r>
  <r>
    <n v="532"/>
    <s v="Citistore"/>
    <s v="TM"/>
    <x v="9"/>
    <n v="3"/>
    <x v="6"/>
    <x v="23"/>
    <s v="電飯煲"/>
    <s v="細電"/>
    <s v="SDA"/>
    <s v="10jruh"/>
    <n v="1"/>
    <n v="250"/>
    <n v="250"/>
    <n v="439872"/>
    <m/>
    <m/>
    <s v="RC-10JRUH(N) 439872"/>
    <n v="398"/>
    <n v="0.62814070351758799"/>
    <s v="Shops Highest Price"/>
    <n v="110"/>
    <s v="110439872"/>
  </r>
  <r>
    <n v="533"/>
    <s v="Citistore"/>
    <s v="TM"/>
    <x v="9"/>
    <n v="3"/>
    <x v="6"/>
    <x v="20"/>
    <s v="壓縮式抽濕機 (22公升)"/>
    <s v="細電"/>
    <s v="RAC"/>
    <s v="d200"/>
    <n v="1"/>
    <n v="1980"/>
    <n v="1980"/>
    <n v="383455"/>
    <m/>
    <m/>
    <s v="RAD-D200H 383455"/>
    <n v="2880"/>
    <n v="0.6875"/>
    <s v="Shops Highest Price"/>
    <n v="110"/>
    <s v="110383455"/>
  </r>
  <r>
    <n v="534"/>
    <s v="Citistore"/>
    <s v="TM"/>
    <x v="9"/>
    <n v="3"/>
    <x v="6"/>
    <x v="21"/>
    <s v="壓縮式抽濕機 (30公升)"/>
    <s v="細電"/>
    <s v="RAC"/>
    <s v="d300"/>
    <n v="1"/>
    <n v="2280"/>
    <n v="2280"/>
    <n v="439967"/>
    <m/>
    <m/>
    <s v="RAD-D300H 439967"/>
    <n v="3380"/>
    <n v="0.67455621301775148"/>
    <s v="Shops Highest Price"/>
    <n v="110"/>
    <s v="110439967"/>
  </r>
  <r>
    <n v="535"/>
    <s v="Citistore"/>
    <s v="TM"/>
    <x v="9"/>
    <n v="3"/>
    <x v="6"/>
    <x v="36"/>
    <s v="輕觸式微波爐 (20公升)"/>
    <s v="細電"/>
    <s v="MCA"/>
    <s v="em20"/>
    <n v="1"/>
    <n v="598"/>
    <n v="598"/>
    <n v="439989"/>
    <m/>
    <m/>
    <s v="MM2-EM20PC(WH) 439989"/>
    <n v="788"/>
    <n v="0.75888324873096447"/>
    <s v="Toshiba SRP"/>
    <n v="110"/>
    <s v="110439989"/>
  </r>
  <r>
    <n v="536"/>
    <s v="Citistore"/>
    <s v="TM"/>
    <x v="9"/>
    <n v="3"/>
    <x v="6"/>
    <x v="16"/>
    <s v="輕便式電磁爐"/>
    <s v="細電"/>
    <s v="SDA"/>
    <s v="20r1"/>
    <n v="1"/>
    <n v="298"/>
    <n v="298"/>
    <n v="383502"/>
    <m/>
    <m/>
    <s v="IC-20R1THK 383502"/>
    <n v="438"/>
    <n v="0.68036529680365299"/>
    <s v="Shops Highest Price"/>
    <n v="110"/>
    <s v="110383502"/>
  </r>
  <r>
    <n v="537"/>
    <s v="Citistore"/>
    <s v="TM"/>
    <x v="9"/>
    <n v="3"/>
    <x v="6"/>
    <x v="23"/>
    <s v="電飯煲"/>
    <s v="細電"/>
    <s v="SDA"/>
    <s v="10jruh"/>
    <n v="1"/>
    <n v="250"/>
    <n v="250"/>
    <n v="215537"/>
    <m/>
    <m/>
    <s v="RC-10JRUH(N) 215537"/>
    <n v="398"/>
    <n v="0.62814070351758799"/>
    <s v="Shops Highest Price"/>
    <s v="DA141"/>
    <s v="DA141215537"/>
  </r>
  <r>
    <n v="538"/>
    <s v="Citistore"/>
    <s v="TM"/>
    <x v="9"/>
    <n v="3"/>
    <x v="6"/>
    <x v="23"/>
    <s v="電飯煲"/>
    <s v="細電"/>
    <s v="SDA"/>
    <s v="10jruh"/>
    <n v="1"/>
    <n v="250"/>
    <n v="250"/>
    <n v="383549"/>
    <m/>
    <m/>
    <s v="RC-10JRUH(N) 383549"/>
    <n v="398"/>
    <n v="0.62814070351758799"/>
    <s v="Shops Highest Price"/>
    <s v="DA141"/>
    <s v="DA141383549"/>
  </r>
  <r>
    <n v="539"/>
    <s v="Citistore"/>
    <s v="TM"/>
    <x v="9"/>
    <n v="3"/>
    <x v="6"/>
    <x v="34"/>
    <s v="智能氣炸烤焗爐(24公升)"/>
    <s v="細電"/>
    <s v="MCA"/>
    <s v="sac24"/>
    <n v="1"/>
    <n v="1398"/>
    <n v="1398"/>
    <n v="440027"/>
    <m/>
    <m/>
    <s v="MW3-SAC24SE(BK) 440027"/>
    <n v="1680"/>
    <n v="0.83214285714285718"/>
    <s v="Toshiba SRP"/>
    <s v="DA141"/>
    <s v="DA141440027"/>
  </r>
  <r>
    <n v="540"/>
    <s v="Citistore"/>
    <s v="TM"/>
    <x v="9"/>
    <n v="3"/>
    <x v="7"/>
    <x v="59"/>
    <s v="30公升蒸氣焗爐"/>
    <s v="細電"/>
    <s v="MCA"/>
    <s v="str30"/>
    <n v="1"/>
    <n v="3980"/>
    <n v="3980"/>
    <n v="383584"/>
    <m/>
    <m/>
    <s v="MS5-STR30SC(BK) 383584"/>
    <n v="5998"/>
    <n v="0.66355451817272426"/>
    <s v="Shops Highest Price"/>
    <s v="DA141"/>
    <s v="DA141383584"/>
  </r>
  <r>
    <n v="541"/>
    <s v="Citistore"/>
    <s v="TM"/>
    <x v="9"/>
    <n v="3"/>
    <x v="7"/>
    <x v="30"/>
    <s v="旋鈕式燒烤微波爐20L"/>
    <s v="細電"/>
    <s v="SDA"/>
    <s v="mm20"/>
    <n v="1"/>
    <n v="488"/>
    <n v="488"/>
    <n v="440146"/>
    <m/>
    <m/>
    <s v="MWP-MM20P(WH) 440146"/>
    <n v="648"/>
    <n v="0.75308641975308643"/>
    <s v="Toshiba SRP"/>
    <s v="DA141"/>
    <s v="DA141440146"/>
  </r>
  <r>
    <n v="542"/>
    <s v="Citistore"/>
    <s v="TM"/>
    <x v="9"/>
    <n v="3"/>
    <x v="7"/>
    <x v="16"/>
    <s v="輕便式電磁爐"/>
    <s v="細電"/>
    <s v="SDA"/>
    <s v="20r1"/>
    <n v="1"/>
    <n v="298"/>
    <n v="298"/>
    <n v="440146"/>
    <m/>
    <m/>
    <s v="IC-20R1THK 440146"/>
    <n v="438"/>
    <n v="0.68036529680365299"/>
    <s v="Shops Highest Price"/>
    <s v="DA141"/>
    <s v="DA141440146"/>
  </r>
  <r>
    <n v="543"/>
    <s v="Citistore"/>
    <s v="TM"/>
    <x v="9"/>
    <n v="3"/>
    <x v="7"/>
    <x v="34"/>
    <s v="智能氣炸烤焗爐(24公升)"/>
    <s v="細電"/>
    <s v="MCA"/>
    <s v="sac24"/>
    <n v="1"/>
    <n v="1398"/>
    <n v="1398"/>
    <n v="440169"/>
    <m/>
    <m/>
    <s v="MW3-SAC24SE(BK) 440169"/>
    <n v="1680"/>
    <n v="0.83214285714285718"/>
    <s v="Toshiba SRP"/>
    <s v="DA141"/>
    <s v="DA141440169"/>
  </r>
  <r>
    <n v="544"/>
    <s v="Citistore"/>
    <s v="TM"/>
    <x v="9"/>
    <n v="3"/>
    <x v="7"/>
    <x v="21"/>
    <s v="壓縮式抽濕機 (30公升)"/>
    <s v="細電"/>
    <s v="RAC"/>
    <s v="d300"/>
    <n v="1"/>
    <n v="2280"/>
    <n v="2280"/>
    <n v="440179"/>
    <m/>
    <m/>
    <s v="RAD-D300H 440179"/>
    <n v="3380"/>
    <n v="0.67455621301775148"/>
    <s v="Shops Highest Price"/>
    <s v="DA141"/>
    <s v="DA141440179"/>
  </r>
  <r>
    <n v="545"/>
    <s v="Citistore"/>
    <s v="TM"/>
    <x v="9"/>
    <n v="3"/>
    <x v="7"/>
    <x v="23"/>
    <s v="電飯煲"/>
    <s v="細電"/>
    <s v="SDA"/>
    <s v="10jruh"/>
    <n v="1"/>
    <n v="250"/>
    <n v="250"/>
    <n v="440214"/>
    <m/>
    <m/>
    <s v="RC-10JRUH(N) 440214"/>
    <n v="398"/>
    <n v="0.62814070351758799"/>
    <s v="Shops Highest Price"/>
    <s v="DA141"/>
    <s v="DA141440214"/>
  </r>
  <r>
    <n v="546"/>
    <s v="Citistore"/>
    <s v="TM"/>
    <x v="9"/>
    <n v="3"/>
    <x v="7"/>
    <x v="17"/>
    <s v="4毫米厚釜電飯煲1L"/>
    <s v="細電"/>
    <s v="SDA"/>
    <s v="10nmf"/>
    <n v="1"/>
    <n v="719"/>
    <n v="719"/>
    <n v="440185"/>
    <m/>
    <m/>
    <s v="RC-10NMFIH(WT) 440185"/>
    <n v="898"/>
    <n v="0.80066815144766146"/>
    <s v="Toshiba SRP"/>
    <s v="DA141"/>
    <s v="DA141440185"/>
  </r>
  <r>
    <n v="547"/>
    <s v="Citistore"/>
    <s v="TM"/>
    <x v="9"/>
    <n v="3"/>
    <x v="7"/>
    <x v="45"/>
    <s v="備長炭本厚釜電飯煲0.7L"/>
    <s v="細電"/>
    <s v="SDA"/>
    <s v="7hmh"/>
    <n v="1"/>
    <n v="738"/>
    <n v="738"/>
    <n v="383783"/>
    <m/>
    <m/>
    <s v="RC-7HMH 383783"/>
    <n v="1288"/>
    <n v="0.57298136645962738"/>
    <s v="Toshiba SRP"/>
    <s v="DA141"/>
    <s v="DA141383783"/>
  </r>
  <r>
    <n v="548"/>
    <s v="Citistore"/>
    <s v="TM"/>
    <x v="9"/>
    <n v="3"/>
    <x v="7"/>
    <x v="20"/>
    <s v="壓縮式抽濕機 (22公升)"/>
    <s v="細電"/>
    <s v="RAC"/>
    <s v="d200"/>
    <n v="1"/>
    <n v="1880"/>
    <n v="1880"/>
    <n v="440291"/>
    <m/>
    <m/>
    <s v="RAD-D200H 440291"/>
    <n v="2880"/>
    <n v="0.65277777777777779"/>
    <s v="Shops Highest Price"/>
    <s v="DA141"/>
    <s v="DA141440291"/>
  </r>
  <r>
    <n v="549"/>
    <s v="Citistore"/>
    <s v="TM"/>
    <x v="9"/>
    <n v="3"/>
    <x v="7"/>
    <x v="20"/>
    <s v="壓縮式抽濕機 (22公升)"/>
    <s v="細電"/>
    <s v="RAC"/>
    <s v="d200"/>
    <n v="1"/>
    <n v="1880"/>
    <n v="1880"/>
    <n v="383822"/>
    <m/>
    <m/>
    <s v="RAD-D200H 383822"/>
    <n v="2880"/>
    <n v="0.65277777777777779"/>
    <s v="Shops Highest Price"/>
    <s v="DA141"/>
    <s v="DA141383822"/>
  </r>
  <r>
    <n v="550"/>
    <s v="Citistore"/>
    <s v="TM"/>
    <x v="9"/>
    <n v="3"/>
    <x v="7"/>
    <x v="16"/>
    <s v="輕便式電磁爐"/>
    <s v="細電"/>
    <s v="SDA"/>
    <s v="20r1"/>
    <n v="1"/>
    <n v="298"/>
    <n v="298"/>
    <n v="440314"/>
    <m/>
    <m/>
    <s v="IC-20R1THK 440314"/>
    <n v="438"/>
    <n v="0.68036529680365299"/>
    <s v="Shops Highest Price"/>
    <s v="DA141"/>
    <s v="DA141440314"/>
  </r>
  <r>
    <n v="551"/>
    <s v="Citistore"/>
    <s v="TM"/>
    <x v="9"/>
    <n v="3"/>
    <x v="7"/>
    <x v="20"/>
    <s v="壓縮式抽濕機 (22公升)"/>
    <s v="細電"/>
    <s v="RAC"/>
    <s v="d200"/>
    <n v="1"/>
    <n v="1880"/>
    <n v="1880"/>
    <n v="383850"/>
    <m/>
    <m/>
    <s v="RAD-D200H 383850"/>
    <n v="2880"/>
    <n v="0.65277777777777779"/>
    <s v="Shops Highest Price"/>
    <s v="DA141"/>
    <s v="DA141383850"/>
  </r>
  <r>
    <n v="552"/>
    <s v="Citistore"/>
    <s v="TM"/>
    <x v="10"/>
    <n v="3"/>
    <x v="13"/>
    <x v="24"/>
    <s v="微型電腦珍珠飯煲"/>
    <s v="細電"/>
    <s v="SDA"/>
    <s v="5sli"/>
    <n v="1"/>
    <n v="593"/>
    <n v="593"/>
    <n v="383998"/>
    <m/>
    <m/>
    <s v="RC-5SLIH(W) 383998"/>
    <n v="658"/>
    <n v="0.90121580547112456"/>
    <s v="Toshiba SRP"/>
    <s v="DA141"/>
    <s v="DA141383998"/>
  </r>
  <r>
    <n v="553"/>
    <s v="Citistore"/>
    <s v="TM"/>
    <x v="10"/>
    <n v="3"/>
    <x v="13"/>
    <x v="30"/>
    <s v="旋鈕式燒烤微波爐20L"/>
    <s v="細電"/>
    <s v="SDA"/>
    <s v="mm20"/>
    <n v="1"/>
    <n v="488"/>
    <n v="488"/>
    <n v="383969"/>
    <m/>
    <m/>
    <s v="MWP-MM20P(WH) 383969"/>
    <n v="648"/>
    <n v="0.75308641975308643"/>
    <s v="Toshiba SRP"/>
    <s v="DA141"/>
    <s v="DA141383969"/>
  </r>
  <r>
    <n v="554"/>
    <s v="Citistore"/>
    <s v="TM"/>
    <x v="9"/>
    <n v="3"/>
    <x v="8"/>
    <x v="35"/>
    <s v="1.8公升電飯煲"/>
    <s v="細電"/>
    <s v="SDA"/>
    <s v="18jruh"/>
    <n v="1"/>
    <n v="300"/>
    <n v="300"/>
    <n v="440636"/>
    <m/>
    <m/>
    <s v="RC-18JRUH(N) 440636"/>
    <n v="458"/>
    <n v="0.65502183406113534"/>
    <s v="Shops Highest Price"/>
    <s v="DA141"/>
    <s v="DA141440636"/>
  </r>
  <r>
    <n v="555"/>
    <s v="Citistore"/>
    <s v="TM"/>
    <x v="9"/>
    <n v="3"/>
    <x v="8"/>
    <x v="60"/>
    <s v="酵活炊磁應電飯煲(1.5公升)"/>
    <s v="細電"/>
    <s v="SDA"/>
    <s v="15bh"/>
    <n v="1"/>
    <n v="1888"/>
    <n v="1888"/>
    <n v="384202"/>
    <m/>
    <m/>
    <s v="RC-15BHH(W) 384202"/>
    <n v="2388"/>
    <n v="0.79061976549413737"/>
    <s v="Toshiba SRP"/>
    <s v="DA141"/>
    <s v="DA141384202"/>
  </r>
  <r>
    <n v="556"/>
    <s v="Citistore"/>
    <s v="TM"/>
    <x v="9"/>
    <n v="3"/>
    <x v="8"/>
    <x v="21"/>
    <s v="壓縮式抽濕機 (30公升)"/>
    <s v="細電"/>
    <s v="RAC"/>
    <s v="d300"/>
    <n v="1"/>
    <n v="2280"/>
    <n v="2280"/>
    <n v="384316"/>
    <m/>
    <m/>
    <s v="RAD-D300H 384316"/>
    <n v="3380"/>
    <n v="0.67455621301775148"/>
    <s v="Shops Highest Price"/>
    <s v="DA141"/>
    <s v="DA141384316"/>
  </r>
  <r>
    <n v="557"/>
    <s v="Citistore"/>
    <s v="TM"/>
    <x v="9"/>
    <n v="3"/>
    <x v="8"/>
    <x v="30"/>
    <s v="旋鈕式燒烤微波爐20L"/>
    <s v="細電"/>
    <s v="SDA"/>
    <s v="mm20"/>
    <n v="1"/>
    <n v="488"/>
    <n v="488"/>
    <n v="384333"/>
    <m/>
    <m/>
    <s v="MWP-MM20P(WH) 384333"/>
    <n v="648"/>
    <n v="0.75308641975308643"/>
    <s v="Toshiba SRP"/>
    <s v="DA141"/>
    <s v="DA141384333"/>
  </r>
  <r>
    <n v="558"/>
    <s v="Citistore"/>
    <s v="TM"/>
    <x v="9"/>
    <n v="3"/>
    <x v="8"/>
    <x v="61"/>
    <s v="酵活炊電飯煲(1.8公升)"/>
    <s v="細電"/>
    <s v="SDA"/>
    <s v="18amx"/>
    <n v="1"/>
    <n v="990"/>
    <n v="990"/>
    <n v="384372"/>
    <m/>
    <m/>
    <s v="RC-18AMXH(W) 384372"/>
    <n v="1588"/>
    <n v="0.62342569269521408"/>
    <s v="Toshiba SRP"/>
    <s v="DA141"/>
    <s v="DA141384372"/>
  </r>
  <r>
    <n v="559"/>
    <s v="Citistore"/>
    <s v="TM"/>
    <x v="9"/>
    <n v="3"/>
    <x v="8"/>
    <x v="62"/>
    <s v="智能水波爐 (26公升)"/>
    <s v="細電"/>
    <s v="MCA"/>
    <s v="sd99"/>
    <n v="1"/>
    <n v="3980"/>
    <n v="3980"/>
    <n v="384396"/>
    <m/>
    <m/>
    <s v="ER-SD99HKW 384396"/>
    <n v="5888"/>
    <n v="0.67595108695652173"/>
    <s v="Toshiba SRP"/>
    <s v="DA141"/>
    <s v="DA141384396"/>
  </r>
  <r>
    <n v="560"/>
    <s v="Citistore"/>
    <s v="TM"/>
    <x v="9"/>
    <n v="3"/>
    <x v="8"/>
    <x v="31"/>
    <s v="無線雙層電熱水壺(1.7公升)"/>
    <s v="細電"/>
    <s v="SDA"/>
    <s v="17drt"/>
    <n v="1"/>
    <n v="388"/>
    <n v="388"/>
    <n v="215738"/>
    <m/>
    <m/>
    <s v="KT-17DRTHK(H) 215738"/>
    <n v="498"/>
    <n v="0.77911646586345384"/>
    <s v="Toshiba SRP"/>
    <s v="DA141"/>
    <s v="DA141215738"/>
  </r>
  <r>
    <n v="561"/>
    <s v="Citistore"/>
    <s v="TM"/>
    <x v="9"/>
    <n v="3"/>
    <x v="8"/>
    <x v="23"/>
    <s v="電飯煲"/>
    <s v="細電"/>
    <s v="SDA"/>
    <s v="10jruh"/>
    <n v="1"/>
    <n v="250"/>
    <n v="250"/>
    <n v="384423"/>
    <m/>
    <m/>
    <s v="RC-10JRUH(N) 384423"/>
    <n v="398"/>
    <n v="0.62814070351758799"/>
    <s v="Shops Highest Price"/>
    <s v="DA141"/>
    <s v="DA141384423"/>
  </r>
  <r>
    <n v="562"/>
    <s v="Citistore"/>
    <s v="TM"/>
    <x v="9"/>
    <n v="3"/>
    <x v="1"/>
    <x v="8"/>
    <s v="電壓力鍋"/>
    <s v="細電"/>
    <s v="SDA"/>
    <s v="48drs"/>
    <n v="1"/>
    <n v="898"/>
    <n v="898"/>
    <n v="384571"/>
    <m/>
    <m/>
    <s v="PC-48DRSHK(K) 384571"/>
    <n v="1188"/>
    <n v="0.75589225589225584"/>
    <s v="Shops Highest Price"/>
    <s v="DA141"/>
    <s v="DA141384571"/>
  </r>
  <r>
    <n v="563"/>
    <s v="Citistore"/>
    <s v="TM"/>
    <x v="9"/>
    <n v="3"/>
    <x v="1"/>
    <x v="63"/>
    <s v="20L 智能蒸氣焗爐"/>
    <s v="細電"/>
    <s v="MCA"/>
    <s v="stq20"/>
    <n v="1"/>
    <n v="1980"/>
    <n v="1980"/>
    <n v="215759"/>
    <m/>
    <m/>
    <s v="MS3-STQ20SC(WH) 215759"/>
    <n v="2880"/>
    <n v="0.6875"/>
    <s v="Toshiba SRP"/>
    <s v="DA141"/>
    <s v="DA141215759"/>
  </r>
  <r>
    <n v="564"/>
    <s v="Citistore"/>
    <s v="TM"/>
    <x v="9"/>
    <n v="3"/>
    <x v="1"/>
    <x v="23"/>
    <s v="電飯煲"/>
    <s v="細電"/>
    <s v="SDA"/>
    <s v="10jruh"/>
    <n v="1"/>
    <n v="250"/>
    <n v="250"/>
    <n v="441095"/>
    <m/>
    <m/>
    <s v="RC-10JRUH(N) 441095"/>
    <n v="398"/>
    <n v="0.62814070351758799"/>
    <s v="Shops Highest Price"/>
    <s v="DA141"/>
    <s v="DA141441095"/>
  </r>
  <r>
    <n v="565"/>
    <s v="Citistore"/>
    <s v="TM"/>
    <x v="9"/>
    <n v="3"/>
    <x v="1"/>
    <x v="16"/>
    <s v="輕便式電磁爐"/>
    <s v="細電"/>
    <s v="SDA"/>
    <s v="20r1"/>
    <n v="1"/>
    <n v="298"/>
    <n v="298"/>
    <n v="384676"/>
    <m/>
    <m/>
    <s v="IC-20R1THK 384676"/>
    <n v="438"/>
    <n v="0.68036529680365299"/>
    <s v="Shops Highest Price"/>
    <s v="DA141"/>
    <s v="DA141384676"/>
  </r>
  <r>
    <n v="566"/>
    <s v="Citistore"/>
    <s v="TM"/>
    <x v="9"/>
    <n v="3"/>
    <x v="1"/>
    <x v="64"/>
    <s v="20公升 微波爐"/>
    <s v="細電"/>
    <s v="SDA"/>
    <s v="mmp0"/>
    <n v="1"/>
    <n v="450"/>
    <n v="450"/>
    <n v="215822"/>
    <m/>
    <m/>
    <s v="CMO-MMP012NDPF(GN) 215822"/>
    <n v="519"/>
    <n v="0.86705202312138729"/>
    <s v="Shops Highest Price"/>
    <s v="DA141"/>
    <s v="DA141215822"/>
  </r>
  <r>
    <n v="567"/>
    <s v="Citistore"/>
    <s v="TM"/>
    <x v="9"/>
    <n v="3"/>
    <x v="1"/>
    <x v="16"/>
    <s v="輕便式電磁爐"/>
    <s v="細電"/>
    <s v="SDA"/>
    <s v="20r1"/>
    <n v="1"/>
    <n v="298"/>
    <n v="298"/>
    <n v="441187"/>
    <m/>
    <m/>
    <s v="IC-20R1THK 441187"/>
    <n v="438"/>
    <n v="0.68036529680365299"/>
    <s v="Shops Highest Price"/>
    <s v="DA141"/>
    <s v="DA141441187"/>
  </r>
  <r>
    <n v="568"/>
    <s v="Citistore"/>
    <s v="TM"/>
    <x v="9"/>
    <n v="3"/>
    <x v="1"/>
    <x v="21"/>
    <s v="壓縮式抽濕機 (30公升)"/>
    <s v="細電"/>
    <s v="RAC"/>
    <s v="d300"/>
    <n v="1"/>
    <n v="2280"/>
    <n v="2280"/>
    <n v="441194"/>
    <m/>
    <m/>
    <s v="RAD-D300H 441194"/>
    <n v="3380"/>
    <n v="0.67455621301775148"/>
    <s v="Shops Highest Price"/>
    <s v="DA141"/>
    <s v="DA141441194"/>
  </r>
  <r>
    <n v="569"/>
    <s v="Citistore"/>
    <s v="TM"/>
    <x v="9"/>
    <n v="3"/>
    <x v="1"/>
    <x v="31"/>
    <s v="無線雙層電熱水壺(1.7公升)"/>
    <s v="細電"/>
    <s v="SDA"/>
    <s v="17drt"/>
    <n v="1"/>
    <n v="388"/>
    <n v="388"/>
    <n v="215950"/>
    <m/>
    <m/>
    <s v="KT-17DRTHK(H) 215950"/>
    <n v="498"/>
    <n v="0.77911646586345384"/>
    <s v="Toshiba SRP"/>
    <s v="DA141"/>
    <s v="DA141215950"/>
  </r>
  <r>
    <n v="570"/>
    <s v="Citistore"/>
    <s v="TM"/>
    <x v="9"/>
    <n v="3"/>
    <x v="2"/>
    <x v="21"/>
    <s v="壓縮式抽濕機 (30公升)"/>
    <s v="細電"/>
    <s v="RAC"/>
    <s v="d300"/>
    <n v="1"/>
    <n v="2280"/>
    <n v="2280"/>
    <n v="384886"/>
    <m/>
    <m/>
    <s v="RAD-D300H 384886"/>
    <n v="3380"/>
    <n v="0.67455621301775148"/>
    <s v="Shops Highest Price"/>
    <s v="DA141"/>
    <s v="DA141384886"/>
  </r>
  <r>
    <n v="571"/>
    <s v="Citistore"/>
    <s v="TM"/>
    <x v="9"/>
    <n v="3"/>
    <x v="2"/>
    <x v="35"/>
    <s v="1.8公升電飯煲"/>
    <s v="細電"/>
    <s v="SDA"/>
    <s v="18jruh"/>
    <n v="1"/>
    <n v="300"/>
    <n v="300"/>
    <n v="216027"/>
    <m/>
    <m/>
    <s v="RC-18JRUH(N) 216027"/>
    <n v="458"/>
    <n v="0.65502183406113534"/>
    <s v="Shops Highest Price"/>
    <s v="DA141"/>
    <s v="DA141216027"/>
  </r>
  <r>
    <n v="572"/>
    <s v="Citistore"/>
    <s v="TM"/>
    <x v="9"/>
    <n v="3"/>
    <x v="2"/>
    <x v="39"/>
    <s v="酵活炊電飯煲(1.0公升)"/>
    <s v="細電"/>
    <s v="SDA"/>
    <s v="10amx"/>
    <n v="1"/>
    <n v="990"/>
    <n v="990"/>
    <n v="441453"/>
    <m/>
    <m/>
    <s v="RC-10AMXH(W) 441453"/>
    <n v="1288"/>
    <n v="0.76863354037267084"/>
    <s v="Toshiba SRP"/>
    <s v="DA141"/>
    <s v="DA141441453"/>
  </r>
  <r>
    <n v="573"/>
    <s v="Citistore"/>
    <s v="TM"/>
    <x v="9"/>
    <n v="3"/>
    <x v="2"/>
    <x v="37"/>
    <s v="電熱水瓶 (5公升)"/>
    <s v="細電"/>
    <s v="SDA"/>
    <s v="50dr"/>
    <n v="1"/>
    <n v="628"/>
    <n v="628"/>
    <n v="384968"/>
    <m/>
    <m/>
    <s v="TP-50DRUHK(W) 384968"/>
    <n v="718"/>
    <n v="0.87465181058495822"/>
    <s v="Toshiba SRP"/>
    <s v="DA141"/>
    <s v="DA141384968"/>
  </r>
  <r>
    <n v="574"/>
    <s v="Citistore"/>
    <s v="TM"/>
    <x v="9"/>
    <n v="3"/>
    <x v="2"/>
    <x v="45"/>
    <s v="備長炭本厚釜電飯煲0.7L"/>
    <s v="細電"/>
    <s v="SDA"/>
    <s v="7hmh"/>
    <n v="1"/>
    <n v="788"/>
    <n v="788"/>
    <n v="384993"/>
    <m/>
    <m/>
    <s v="RC-7HMH 384993"/>
    <n v="1288"/>
    <n v="0.61180124223602483"/>
    <s v="Toshiba SRP"/>
    <s v="DA141"/>
    <s v="DA141384993"/>
  </r>
  <r>
    <n v="575"/>
    <s v="Citistore"/>
    <s v="TM"/>
    <x v="9"/>
    <n v="3"/>
    <x v="2"/>
    <x v="21"/>
    <s v="壓縮式抽濕機 (30公升)"/>
    <s v="細電"/>
    <s v="RAC"/>
    <s v="d300"/>
    <n v="1"/>
    <n v="2280"/>
    <n v="2280"/>
    <n v="216204"/>
    <m/>
    <m/>
    <s v="RAD-D300H 216204"/>
    <n v="3380"/>
    <n v="0.67455621301775148"/>
    <s v="Shops Highest Price"/>
    <s v="DA141"/>
    <s v="DA141216204"/>
  </r>
  <r>
    <n v="576"/>
    <s v="Citistore"/>
    <s v="TM"/>
    <x v="9"/>
    <n v="3"/>
    <x v="2"/>
    <x v="24"/>
    <s v="微型電腦珍珠飯煲"/>
    <s v="細電"/>
    <s v="SDA"/>
    <s v="5sli"/>
    <n v="1"/>
    <n v="593"/>
    <n v="593"/>
    <n v="441661"/>
    <m/>
    <m/>
    <s v="RC-5SLIH(W) 441661"/>
    <n v="658"/>
    <n v="0.90121580547112456"/>
    <s v="Toshiba SRP"/>
    <s v="DA141"/>
    <s v="DA141441661"/>
  </r>
  <r>
    <n v="577"/>
    <s v="Citistore"/>
    <s v="TM"/>
    <x v="9"/>
    <n v="3"/>
    <x v="2"/>
    <x v="32"/>
    <s v="電熱水瓶3L"/>
    <s v="細電"/>
    <s v="SDA"/>
    <s v="30fl"/>
    <n v="1"/>
    <n v="489"/>
    <n v="489"/>
    <n v="441674"/>
    <m/>
    <m/>
    <s v="PLK-30FLIH(WT) 441674"/>
    <n v="658"/>
    <n v="0.74316109422492405"/>
    <s v="Toshiba SRP"/>
    <s v="DA141"/>
    <s v="DA141441674"/>
  </r>
  <r>
    <n v="578"/>
    <s v="Citistore"/>
    <s v="TM"/>
    <x v="9"/>
    <n v="3"/>
    <x v="2"/>
    <x v="65"/>
    <s v="手提式打蛋器"/>
    <s v="N/A"/>
    <s v="N/A"/>
    <s v="hm30"/>
    <n v="1"/>
    <n v="200"/>
    <n v="200"/>
    <n v="441689"/>
    <m/>
    <m/>
    <s v="CF-HM30AH(Y) 441689"/>
    <n v="0"/>
    <e v="#DIV/0!"/>
    <s v="Toshiba SRP"/>
    <s v="DA141"/>
    <s v="DA141441689"/>
  </r>
  <r>
    <n v="579"/>
    <s v="Citistore"/>
    <s v="TM"/>
    <x v="9"/>
    <n v="3"/>
    <x v="9"/>
    <x v="23"/>
    <s v="電飯煲"/>
    <s v="細電"/>
    <s v="SDA"/>
    <s v="10jruh"/>
    <n v="1"/>
    <n v="237.5"/>
    <n v="237.5"/>
    <n v="441766"/>
    <m/>
    <m/>
    <s v="RC-10JRUH(N) 441766"/>
    <n v="398"/>
    <n v="0.59673366834170849"/>
    <s v="Shops Highest Price"/>
    <s v="DA141"/>
    <s v="DA141441766"/>
  </r>
  <r>
    <n v="580"/>
    <s v="Citistore"/>
    <s v="TM"/>
    <x v="9"/>
    <n v="3"/>
    <x v="9"/>
    <x v="45"/>
    <s v="備長炭本厚釜電飯煲0.7L"/>
    <s v="細電"/>
    <s v="SDA"/>
    <s v="7hmh"/>
    <n v="1"/>
    <n v="748.6"/>
    <n v="748.6"/>
    <n v="385225"/>
    <m/>
    <m/>
    <s v="RC-7HMH 385225"/>
    <n v="1288"/>
    <n v="0.58121118012422357"/>
    <s v="Toshiba SRP"/>
    <s v="DA141"/>
    <s v="DA141385225"/>
  </r>
  <r>
    <n v="581"/>
    <s v="Citistore"/>
    <s v="TM"/>
    <x v="9"/>
    <n v="3"/>
    <x v="9"/>
    <x v="20"/>
    <s v="壓縮式抽濕機 (22公升)"/>
    <s v="細電"/>
    <s v="RAC"/>
    <s v="d200"/>
    <n v="1"/>
    <n v="1786"/>
    <n v="1786"/>
    <n v="441837"/>
    <m/>
    <m/>
    <s v="RAD-D200H 441837"/>
    <n v="2880"/>
    <n v="0.62013888888888891"/>
    <s v="Shops Highest Price"/>
    <s v="DA141"/>
    <s v="DA141441837"/>
  </r>
  <r>
    <n v="582"/>
    <s v="Citistore"/>
    <s v="TM"/>
    <x v="9"/>
    <n v="3"/>
    <x v="9"/>
    <x v="16"/>
    <s v="輕便式電磁爐"/>
    <s v="細電"/>
    <s v="SDA"/>
    <s v="20r1"/>
    <n v="1"/>
    <n v="283.10000000000002"/>
    <n v="283.10000000000002"/>
    <n v="216283"/>
    <m/>
    <m/>
    <s v="IC-20R1THK 216283"/>
    <n v="438"/>
    <n v="0.64634703196347032"/>
    <s v="Shops Highest Price"/>
    <s v="DA141"/>
    <s v="DA141216283"/>
  </r>
  <r>
    <n v="583"/>
    <s v="Citistore"/>
    <s v="TM"/>
    <x v="9"/>
    <n v="3"/>
    <x v="9"/>
    <x v="63"/>
    <s v="20L 智能蒸氣焗爐"/>
    <s v="細電"/>
    <s v="MCA"/>
    <s v="stq20"/>
    <n v="1"/>
    <n v="1881"/>
    <n v="1881"/>
    <n v="441869"/>
    <m/>
    <m/>
    <s v="MS3-STQ20SC(WH) 441869"/>
    <n v="2880"/>
    <n v="0.65312499999999996"/>
    <s v="Toshiba SRP"/>
    <s v="DA141"/>
    <s v="DA141441869"/>
  </r>
  <r>
    <n v="584"/>
    <s v="Citistore"/>
    <s v="TM"/>
    <x v="9"/>
    <n v="3"/>
    <x v="9"/>
    <x v="37"/>
    <s v="電熱水瓶 (5公升)"/>
    <s v="細電"/>
    <s v="SDA"/>
    <s v="50dr"/>
    <n v="1"/>
    <n v="596.6"/>
    <n v="596.6"/>
    <n v="385295"/>
    <m/>
    <m/>
    <s v="TP-50DRUHK(W) 385295"/>
    <n v="718"/>
    <n v="0.83091922005571028"/>
    <s v="Toshiba SRP"/>
    <s v="DA141"/>
    <s v="DA141385295"/>
  </r>
  <r>
    <n v="585"/>
    <s v="Citistore"/>
    <s v="TM"/>
    <x v="9"/>
    <n v="3"/>
    <x v="9"/>
    <x v="37"/>
    <s v="電熱水瓶 (5公升)"/>
    <s v="細電"/>
    <s v="SDA"/>
    <s v="50dr"/>
    <n v="1"/>
    <n v="628"/>
    <n v="628"/>
    <n v="216357"/>
    <m/>
    <m/>
    <s v="TP-50DRUHK(W) 216357"/>
    <n v="718"/>
    <n v="0.87465181058495822"/>
    <s v="Toshiba SRP"/>
    <s v="DA141"/>
    <s v="DA141216357"/>
  </r>
  <r>
    <n v="586"/>
    <s v="Citistore"/>
    <s v="TM"/>
    <x v="9"/>
    <n v="3"/>
    <x v="9"/>
    <x v="21"/>
    <s v="壓縮式抽濕機 (30公升)"/>
    <s v="細電"/>
    <s v="RAC"/>
    <s v="d300"/>
    <n v="1"/>
    <n v="2166"/>
    <n v="2166"/>
    <n v="385334"/>
    <m/>
    <m/>
    <s v="RAD-D300H 385334"/>
    <n v="3380"/>
    <n v="0.64082840236686389"/>
    <s v="Shops Highest Price"/>
    <s v="DA141"/>
    <s v="DA141385334"/>
  </r>
  <r>
    <n v="587"/>
    <s v="Citistore"/>
    <s v="TM"/>
    <x v="9"/>
    <n v="3"/>
    <x v="9"/>
    <x v="20"/>
    <s v="壓縮式抽濕機 (22公升)"/>
    <s v="細電"/>
    <s v="RAC"/>
    <s v="d200"/>
    <n v="1"/>
    <n v="1786"/>
    <n v="1786"/>
    <n v="385340"/>
    <m/>
    <m/>
    <s v="RAD-D200H 385340"/>
    <n v="2880"/>
    <n v="0.62013888888888891"/>
    <s v="Shops Highest Price"/>
    <s v="DA141"/>
    <s v="DA141385340"/>
  </r>
  <r>
    <n v="588"/>
    <s v="Citistore"/>
    <s v="TM"/>
    <x v="9"/>
    <n v="3"/>
    <x v="9"/>
    <x v="30"/>
    <s v="旋鈕式燒烤微波爐20L"/>
    <s v="細電"/>
    <s v="SDA"/>
    <s v="mm20"/>
    <n v="1"/>
    <n v="463.6"/>
    <n v="463.6"/>
    <n v="441954"/>
    <m/>
    <m/>
    <s v="MWP-MM20P(WH) 441954"/>
    <n v="648"/>
    <n v="0.71543209876543212"/>
    <s v="Toshiba SRP"/>
    <s v="DA141"/>
    <s v="DA141441954"/>
  </r>
  <r>
    <n v="589"/>
    <s v="Citistore"/>
    <s v="TM"/>
    <x v="9"/>
    <n v="3"/>
    <x v="9"/>
    <x v="44"/>
    <s v="1.7L無線雙層電熱水壺"/>
    <s v="細電"/>
    <s v="SDA"/>
    <s v="17shnh"/>
    <n v="1"/>
    <n v="228"/>
    <n v="228"/>
    <n v="385341"/>
    <m/>
    <m/>
    <s v="KT-17SHNH 385341"/>
    <n v="299"/>
    <n v="0.76254180602006694"/>
    <s v="Shops Highest Price"/>
    <s v="DA141"/>
    <s v="DA141385341"/>
  </r>
  <r>
    <n v="590"/>
    <s v="Citistore"/>
    <s v="TM"/>
    <x v="9"/>
    <n v="3"/>
    <x v="9"/>
    <x v="66"/>
    <s v="變頻下置式雙門雪櫃（163L）"/>
    <s v="大電"/>
    <s v="REF"/>
    <s v="rb221"/>
    <n v="1"/>
    <n v="2261"/>
    <n v="2261"/>
    <n v="385359"/>
    <m/>
    <m/>
    <s v="GR-RB221WE-PMA(57) 385359"/>
    <n v="3480"/>
    <n v="0.64971264367816095"/>
    <s v="Toshiba SRP"/>
    <s v="DA141"/>
    <s v="DA141385359"/>
  </r>
  <r>
    <n v="591"/>
    <s v="Citistore"/>
    <s v="TM"/>
    <x v="10"/>
    <n v="3"/>
    <x v="10"/>
    <x v="17"/>
    <s v="4毫米厚釜電飯煲1L"/>
    <s v="細電"/>
    <s v="SDA"/>
    <s v="10nmf"/>
    <n v="1"/>
    <n v="719"/>
    <n v="719"/>
    <n v="442155"/>
    <m/>
    <m/>
    <s v="RC-10NMFIH(WT) 442155"/>
    <n v="898"/>
    <n v="0.80066815144766146"/>
    <s v="Toshiba SRP"/>
    <s v="DA141"/>
    <s v="DA141442155"/>
  </r>
  <r>
    <n v="592"/>
    <s v="Citistore"/>
    <s v="TM"/>
    <x v="9"/>
    <n v="3"/>
    <x v="16"/>
    <x v="36"/>
    <s v="輕觸式微波爐 (20公升)"/>
    <s v="細電"/>
    <s v="MCA"/>
    <s v="em20"/>
    <n v="1"/>
    <n v="598"/>
    <n v="598"/>
    <n v="442347"/>
    <m/>
    <m/>
    <s v="MM2-EM20PC(WH) 442347"/>
    <n v="788"/>
    <n v="0.75888324873096447"/>
    <s v="Toshiba SRP"/>
    <s v="DA141"/>
    <s v="DA141442347"/>
  </r>
  <r>
    <n v="593"/>
    <s v="Citistore"/>
    <s v="TM"/>
    <x v="9"/>
    <n v="3"/>
    <x v="16"/>
    <x v="23"/>
    <s v="電飯煲"/>
    <s v="細電"/>
    <s v="SDA"/>
    <s v="10jruh"/>
    <n v="1"/>
    <n v="250"/>
    <n v="250"/>
    <n v="442432"/>
    <m/>
    <m/>
    <s v="RC-10JRUH(N) 442432"/>
    <n v="398"/>
    <n v="0.62814070351758799"/>
    <s v="Shops Highest Price"/>
    <s v="DA141"/>
    <s v="DA141442432"/>
  </r>
  <r>
    <n v="594"/>
    <s v="Citistore"/>
    <s v="TM"/>
    <x v="9"/>
    <n v="3"/>
    <x v="16"/>
    <x v="24"/>
    <s v="微型電腦珍珠飯煲"/>
    <s v="細電"/>
    <s v="SDA"/>
    <s v="5sli"/>
    <n v="1"/>
    <n v="593"/>
    <n v="593"/>
    <n v="385902"/>
    <m/>
    <m/>
    <s v="RC-5SLIH(W) 385902"/>
    <n v="658"/>
    <n v="0.90121580547112456"/>
    <s v="Toshiba SRP"/>
    <s v="DA141"/>
    <s v="DA141385902"/>
  </r>
  <r>
    <n v="595"/>
    <s v="Citistore"/>
    <s v="TM"/>
    <x v="9"/>
    <n v="3"/>
    <x v="11"/>
    <x v="23"/>
    <s v="電飯煲"/>
    <s v="細電"/>
    <s v="SDA"/>
    <s v="10jruh"/>
    <n v="1"/>
    <n v="250"/>
    <n v="250"/>
    <n v="442658"/>
    <m/>
    <m/>
    <s v="RC-10JRUH(N) 442658"/>
    <n v="398"/>
    <n v="0.62814070351758799"/>
    <s v="Shops Highest Price"/>
    <s v="DA141"/>
    <s v="DA141442658"/>
  </r>
  <r>
    <n v="596"/>
    <s v="Citistore"/>
    <s v="TM"/>
    <x v="9"/>
    <n v="3"/>
    <x v="11"/>
    <x v="21"/>
    <s v="壓縮式抽濕機 (30公升)"/>
    <s v="細電"/>
    <s v="RAC"/>
    <s v="d300"/>
    <n v="1"/>
    <n v="2280"/>
    <n v="2280"/>
    <n v="442575"/>
    <m/>
    <m/>
    <s v="RAD-D300H 442575"/>
    <n v="3380"/>
    <n v="0.67455621301775148"/>
    <s v="Shops Highest Price"/>
    <s v="DA141"/>
    <s v="DA141442575"/>
  </r>
  <r>
    <n v="597"/>
    <s v="Citistore"/>
    <s v="TM"/>
    <x v="9"/>
    <n v="3"/>
    <x v="11"/>
    <x v="20"/>
    <s v="壓縮式抽濕機 (22公升)"/>
    <s v="細電"/>
    <s v="RAC"/>
    <s v="d200"/>
    <n v="1"/>
    <n v="1880"/>
    <n v="1880"/>
    <n v="386085"/>
    <m/>
    <m/>
    <s v="RAD-D200H 386085"/>
    <n v="2880"/>
    <n v="0.65277777777777779"/>
    <s v="Shops Highest Price"/>
    <s v="DA141"/>
    <s v="DA141386085"/>
  </r>
  <r>
    <n v="598"/>
    <s v="Citistore"/>
    <s v="TM"/>
    <x v="9"/>
    <n v="3"/>
    <x v="11"/>
    <x v="20"/>
    <s v="壓縮式抽濕機 (22公升)"/>
    <s v="細電"/>
    <s v="RAC"/>
    <s v="d200"/>
    <n v="1"/>
    <n v="1880"/>
    <n v="1880"/>
    <n v="442857"/>
    <m/>
    <m/>
    <s v="RAD-D200H 442857"/>
    <n v="2880"/>
    <n v="0.65277777777777779"/>
    <s v="Shops Highest Price"/>
    <s v="DA141"/>
    <s v="DA141442857"/>
  </r>
  <r>
    <n v="599"/>
    <s v="Citistore"/>
    <s v="TM"/>
    <x v="10"/>
    <n v="3"/>
    <x v="12"/>
    <x v="30"/>
    <s v="旋鈕式燒烤微波爐20L"/>
    <s v="細電"/>
    <s v="SDA"/>
    <s v="mm20"/>
    <n v="1"/>
    <n v="488"/>
    <n v="488"/>
    <n v="386371"/>
    <m/>
    <m/>
    <s v="MWP-MM20P(WH) 386371"/>
    <n v="648"/>
    <n v="0.75308641975308643"/>
    <s v="Toshiba SRP"/>
    <s v="DA141"/>
    <s v="DA141386371"/>
  </r>
  <r>
    <n v="600"/>
    <s v="Citistore"/>
    <s v="TM"/>
    <x v="10"/>
    <n v="3"/>
    <x v="12"/>
    <x v="30"/>
    <s v="旋鈕式燒烤微波爐20L"/>
    <s v="細電"/>
    <s v="SDA"/>
    <s v="mm20"/>
    <n v="1"/>
    <n v="488"/>
    <n v="488"/>
    <n v="386457"/>
    <m/>
    <m/>
    <s v="MWP-MM20P(WH) 386457"/>
    <n v="648"/>
    <n v="0.75308641975308643"/>
    <s v="Toshiba SRP"/>
    <s v="DA141"/>
    <s v="DA141386457"/>
  </r>
  <r>
    <n v="601"/>
    <s v="Citistore"/>
    <s v="TM"/>
    <x v="9"/>
    <n v="3"/>
    <x v="3"/>
    <x v="61"/>
    <s v="酵活炊電飯煲(1.8公升)"/>
    <s v="細電"/>
    <s v="SDA"/>
    <s v="18amx"/>
    <n v="1"/>
    <n v="990"/>
    <n v="990"/>
    <n v="386587"/>
    <m/>
    <m/>
    <s v="RC-18AMXH(W) 386587"/>
    <n v="1588"/>
    <n v="0.62342569269521408"/>
    <s v="Toshiba SRP"/>
    <s v="DA141"/>
    <s v="DA141386587"/>
  </r>
  <r>
    <n v="602"/>
    <s v="Citistore"/>
    <s v="TM"/>
    <x v="9"/>
    <n v="3"/>
    <x v="3"/>
    <x v="7"/>
    <s v="4毫米厚釜電飯煲0.54L"/>
    <s v="細電"/>
    <s v="SDA"/>
    <s v="5mm"/>
    <n v="1"/>
    <n v="548"/>
    <n v="548"/>
    <n v="386588"/>
    <m/>
    <m/>
    <s v="RC-5MMIH(WT) 386588"/>
    <n v="618"/>
    <n v="0.88673139158576053"/>
    <s v="Toshiba SRP"/>
    <s v="DA141"/>
    <s v="DA141386588"/>
  </r>
  <r>
    <n v="603"/>
    <s v="Citistore"/>
    <s v="TM"/>
    <x v="9"/>
    <n v="3"/>
    <x v="3"/>
    <x v="17"/>
    <s v="4毫米厚釜電飯煲1L"/>
    <s v="細電"/>
    <s v="SDA"/>
    <s v="10nmf"/>
    <n v="1"/>
    <n v="719"/>
    <n v="719"/>
    <n v="443192"/>
    <m/>
    <m/>
    <s v="RC-10NMFIH(WT) 443192"/>
    <n v="898"/>
    <n v="0.80066815144766146"/>
    <s v="Toshiba SRP"/>
    <s v="DA141"/>
    <s v="DA141443192"/>
  </r>
  <r>
    <n v="604"/>
    <s v="Citistore"/>
    <s v="TM"/>
    <x v="9"/>
    <n v="3"/>
    <x v="3"/>
    <x v="28"/>
    <s v="無線雙層電熱水壺-附可鎖壺蓋(0.8公升)"/>
    <s v="細電"/>
    <s v="SDA"/>
    <s v="08dh"/>
    <n v="1"/>
    <n v="268"/>
    <n v="268"/>
    <n v="386602"/>
    <m/>
    <m/>
    <s v="KT-08DH1VHK(W) 386602"/>
    <n v="428"/>
    <n v="0.62616822429906538"/>
    <s v="Toshiba SRP"/>
    <s v="DA141"/>
    <s v="DA141386602"/>
  </r>
  <r>
    <n v="605"/>
    <s v="Citistore"/>
    <s v="TM"/>
    <x v="9"/>
    <n v="3"/>
    <x v="3"/>
    <x v="39"/>
    <s v="酵活炊電飯煲(1.0公升)"/>
    <s v="細電"/>
    <s v="SDA"/>
    <s v="10amx"/>
    <n v="1"/>
    <n v="990"/>
    <n v="990"/>
    <n v="238034"/>
    <m/>
    <m/>
    <s v="RC-10AMXH(W) 238034"/>
    <n v="1288"/>
    <n v="0.76863354037267084"/>
    <s v="Toshiba SRP"/>
    <s v="DA141"/>
    <s v="DA141238034"/>
  </r>
  <r>
    <n v="606"/>
    <s v="Citistore"/>
    <s v="TM"/>
    <x v="9"/>
    <n v="3"/>
    <x v="3"/>
    <x v="23"/>
    <s v="電飯煲"/>
    <s v="細電"/>
    <s v="SDA"/>
    <s v="10jruh"/>
    <n v="1"/>
    <n v="250"/>
    <n v="250"/>
    <n v="216721"/>
    <m/>
    <m/>
    <s v="RC-10JRUH(N) 216721"/>
    <n v="398"/>
    <n v="0.62814070351758799"/>
    <s v="Shops Highest Price"/>
    <s v="DA141"/>
    <s v="DA141216721"/>
  </r>
  <r>
    <n v="607"/>
    <s v="Citistore"/>
    <s v="TM"/>
    <x v="9"/>
    <n v="3"/>
    <x v="3"/>
    <x v="7"/>
    <s v="4毫米厚釜電飯煲0.54L"/>
    <s v="細電"/>
    <s v="SDA"/>
    <s v="5mm"/>
    <n v="1"/>
    <n v="548"/>
    <n v="548"/>
    <n v="386711"/>
    <m/>
    <m/>
    <s v="RC-5MMIH(WT) 386711"/>
    <n v="618"/>
    <n v="0.88673139158576053"/>
    <s v="Toshiba SRP"/>
    <s v="DA141"/>
    <s v="DA141386711"/>
  </r>
  <r>
    <n v="608"/>
    <s v="Citistore"/>
    <s v="TM"/>
    <x v="9"/>
    <n v="3"/>
    <x v="3"/>
    <x v="37"/>
    <s v="電熱水瓶 (5公升)"/>
    <s v="細電"/>
    <s v="SDA"/>
    <s v="50dr"/>
    <n v="1"/>
    <n v="628"/>
    <n v="628"/>
    <n v="443385"/>
    <m/>
    <m/>
    <s v="TP-50DRUHK(W) 443385"/>
    <n v="718"/>
    <n v="0.87465181058495822"/>
    <s v="Toshiba SRP"/>
    <s v="DA141"/>
    <s v="DA141443385"/>
  </r>
  <r>
    <n v="609"/>
    <s v="Citistore"/>
    <s v="TM"/>
    <x v="9"/>
    <n v="3"/>
    <x v="3"/>
    <x v="56"/>
    <s v="多士焗爐8L"/>
    <s v="細電"/>
    <s v="SDA"/>
    <n v="7080"/>
    <n v="1"/>
    <n v="338"/>
    <n v="338"/>
    <n v="386730"/>
    <m/>
    <m/>
    <s v="ET-TD7080(PN) 386730"/>
    <n v="498"/>
    <n v="0.67871485943775101"/>
    <s v="Toshiba SRP"/>
    <s v="DA141"/>
    <s v="DA141386730"/>
  </r>
  <r>
    <n v="610"/>
    <s v="Citistore"/>
    <s v="TM"/>
    <x v="9"/>
    <n v="3"/>
    <x v="3"/>
    <x v="30"/>
    <s v="旋鈕式燒烤微波爐20L"/>
    <s v="細電"/>
    <s v="SDA"/>
    <s v="mm20"/>
    <n v="1"/>
    <n v="488"/>
    <n v="488"/>
    <n v="386868"/>
    <m/>
    <m/>
    <s v="MWP-MM20P(WH) 386868"/>
    <n v="648"/>
    <n v="0.75308641975308643"/>
    <s v="Toshiba SRP"/>
    <s v="DA141"/>
    <s v="DA141386868"/>
  </r>
  <r>
    <n v="611"/>
    <s v="Citistore"/>
    <s v="TM"/>
    <x v="9"/>
    <n v="3"/>
    <x v="3"/>
    <x v="16"/>
    <s v="輕便式電磁爐"/>
    <s v="細電"/>
    <s v="SDA"/>
    <s v="20r1"/>
    <n v="1"/>
    <n v="298"/>
    <n v="298"/>
    <n v="386869"/>
    <m/>
    <m/>
    <s v="IC-20R1THK 386869"/>
    <n v="438"/>
    <n v="0.68036529680365299"/>
    <s v="Shops Highest Price"/>
    <s v="DA141"/>
    <s v="DA141386869"/>
  </r>
  <r>
    <n v="612"/>
    <s v="Citistore"/>
    <s v="TM"/>
    <x v="9"/>
    <n v="3"/>
    <x v="4"/>
    <x v="57"/>
    <s v="多功能備長炭本厚釜電飯煲1L"/>
    <s v="細電"/>
    <s v="SDA"/>
    <s v="10drnh"/>
    <n v="1"/>
    <n v="549"/>
    <n v="549"/>
    <n v="386957"/>
    <m/>
    <m/>
    <s v="RC-10DRNH 386957"/>
    <n v="798"/>
    <n v="0.68796992481203012"/>
    <s v="Toshiba SRP"/>
    <s v="DA141"/>
    <s v="DA141386957"/>
  </r>
  <r>
    <n v="613"/>
    <s v="Citistore"/>
    <s v="TM"/>
    <x v="9"/>
    <n v="3"/>
    <x v="4"/>
    <x v="30"/>
    <s v="旋鈕式燒烤微波爐20L"/>
    <s v="細電"/>
    <s v="SDA"/>
    <s v="mm20"/>
    <n v="1"/>
    <n v="488"/>
    <n v="488"/>
    <n v="443567"/>
    <m/>
    <m/>
    <s v="MWP-MM20P(WH) 443567"/>
    <n v="648"/>
    <n v="0.75308641975308643"/>
    <s v="Toshiba SRP"/>
    <s v="DA141"/>
    <s v="DA141443567"/>
  </r>
  <r>
    <n v="614"/>
    <s v="Citistore"/>
    <s v="TM"/>
    <x v="9"/>
    <n v="3"/>
    <x v="4"/>
    <x v="7"/>
    <s v="4毫米厚釜電飯煲0.54L"/>
    <s v="細電"/>
    <s v="SDA"/>
    <s v="5mm"/>
    <n v="1"/>
    <n v="548"/>
    <n v="548"/>
    <n v="387012"/>
    <m/>
    <m/>
    <s v="RC-5MMIH(WT) 387012"/>
    <n v="618"/>
    <n v="0.88673139158576053"/>
    <s v="Toshiba SRP"/>
    <s v="DA141"/>
    <s v="DA141387012"/>
  </r>
  <r>
    <n v="615"/>
    <s v="Citistore"/>
    <s v="TM"/>
    <x v="9"/>
    <n v="3"/>
    <x v="4"/>
    <x v="31"/>
    <s v="無線雙層電熱水壺(1.7公升)"/>
    <s v="細電"/>
    <s v="SDA"/>
    <s v="17drt"/>
    <n v="1"/>
    <n v="388"/>
    <n v="388"/>
    <n v="216859"/>
    <m/>
    <m/>
    <s v="KT-17DRTHK(H) 216859"/>
    <n v="498"/>
    <n v="0.77911646586345384"/>
    <s v="Toshiba SRP"/>
    <s v="DA141"/>
    <s v="DA141216859"/>
  </r>
  <r>
    <n v="616"/>
    <s v="Citistore"/>
    <s v="TM"/>
    <x v="9"/>
    <n v="3"/>
    <x v="4"/>
    <x v="7"/>
    <s v="4毫米厚釜電飯煲0.54L"/>
    <s v="細電"/>
    <s v="SDA"/>
    <s v="5mm"/>
    <n v="1"/>
    <n v="548"/>
    <n v="548"/>
    <n v="443745"/>
    <m/>
    <m/>
    <s v="RC-5MMIH(WT) 443745"/>
    <n v="618"/>
    <n v="0.88673139158576053"/>
    <s v="Toshiba SRP"/>
    <s v="DA141"/>
    <s v="DA141443745"/>
  </r>
  <r>
    <n v="617"/>
    <s v="Citistore"/>
    <s v="TM"/>
    <x v="9"/>
    <n v="3"/>
    <x v="4"/>
    <x v="16"/>
    <s v="輕便式電磁爐"/>
    <s v="細電"/>
    <s v="SDA"/>
    <s v="20r1"/>
    <n v="1"/>
    <n v="298"/>
    <n v="298"/>
    <n v="443767"/>
    <m/>
    <m/>
    <s v="IC-20R1THK 443767"/>
    <n v="438"/>
    <n v="0.68036529680365299"/>
    <s v="Shops Highest Price"/>
    <s v="DA141"/>
    <s v="DA141443767"/>
  </r>
  <r>
    <n v="618"/>
    <s v="Citistore"/>
    <s v="TM"/>
    <x v="9"/>
    <n v="3"/>
    <x v="14"/>
    <x v="67"/>
    <s v="1.7L無線雙層電熱水壺(有窗)"/>
    <s v="細電"/>
    <s v="SDA"/>
    <s v="17sh1n"/>
    <n v="1"/>
    <n v="278"/>
    <n v="278"/>
    <n v="387267"/>
    <m/>
    <m/>
    <s v="KT-17SH1NH 387267"/>
    <n v="398"/>
    <n v="0.69849246231155782"/>
    <s v="Toshiba SRP"/>
    <s v="DA141"/>
    <s v="DA141387267"/>
  </r>
  <r>
    <n v="619"/>
    <s v="Citistore"/>
    <s v="TM"/>
    <x v="9"/>
    <n v="3"/>
    <x v="14"/>
    <x v="46"/>
    <s v="電熱水瓶 (2.5公升)"/>
    <s v="細電"/>
    <s v="SDA"/>
    <s v="25dr"/>
    <n v="1"/>
    <n v="398"/>
    <n v="398"/>
    <n v="444037"/>
    <m/>
    <m/>
    <s v="TP-25DR2UHK(W) 444037"/>
    <n v="538"/>
    <n v="0.7397769516728625"/>
    <s v="Toshiba SRP"/>
    <s v="DA141"/>
    <s v="DA141444037"/>
  </r>
  <r>
    <n v="620"/>
    <s v="Citistore"/>
    <s v="TM"/>
    <x v="9"/>
    <n v="3"/>
    <x v="14"/>
    <x v="30"/>
    <s v="旋鈕式燒烤微波爐20L"/>
    <s v="細電"/>
    <s v="SDA"/>
    <s v="mm20"/>
    <n v="1"/>
    <n v="488"/>
    <n v="488"/>
    <n v="444251"/>
    <m/>
    <m/>
    <s v="MWP-MM20P(WH) 444251"/>
    <n v="648"/>
    <n v="0.75308641975308643"/>
    <s v="Toshiba SRP"/>
    <s v="DA141"/>
    <s v="DA141444251"/>
  </r>
  <r>
    <n v="621"/>
    <s v="Citistore"/>
    <s v="TM"/>
    <x v="9"/>
    <n v="3"/>
    <x v="15"/>
    <x v="16"/>
    <s v="輕便式電磁爐"/>
    <s v="細電"/>
    <s v="SDA"/>
    <s v="20r1"/>
    <n v="1"/>
    <n v="298"/>
    <n v="298"/>
    <n v="444325"/>
    <m/>
    <m/>
    <s v="IC-20R1THK 444325"/>
    <n v="438"/>
    <n v="0.68036529680365299"/>
    <s v="Shops Highest Price"/>
    <s v="DA141"/>
    <s v="DA141444325"/>
  </r>
  <r>
    <n v="622"/>
    <s v="Citistore"/>
    <s v="TM"/>
    <x v="9"/>
    <n v="3"/>
    <x v="15"/>
    <x v="36"/>
    <s v="輕觸式微波爐 (20公升)"/>
    <s v="細電"/>
    <s v="MCA"/>
    <s v="em20"/>
    <n v="1"/>
    <n v="598"/>
    <n v="598"/>
    <n v="387731"/>
    <m/>
    <m/>
    <s v="MM2-EM20PC(WH) 387731"/>
    <n v="788"/>
    <n v="0.75888324873096447"/>
    <s v="Toshiba SRP"/>
    <s v="DA141"/>
    <s v="DA141387731"/>
  </r>
  <r>
    <n v="623"/>
    <s v="Citistore"/>
    <s v="TM"/>
    <x v="9"/>
    <n v="3"/>
    <x v="15"/>
    <x v="38"/>
    <s v="無線雙層電熱水壺-附可鎖壺蓋"/>
    <s v="細電"/>
    <s v="SDA"/>
    <s v="15drt"/>
    <n v="1"/>
    <n v="358"/>
    <n v="358"/>
    <n v="217023"/>
    <m/>
    <m/>
    <s v="KT-15DRTHK(W) 217023"/>
    <n v="598"/>
    <n v="0.59866220735785958"/>
    <s v="Toshiba SRP"/>
    <s v="DA141"/>
    <s v="DA141217023"/>
  </r>
  <r>
    <n v="624"/>
    <s v="Citistore"/>
    <s v="TM"/>
    <x v="9"/>
    <n v="3"/>
    <x v="15"/>
    <x v="38"/>
    <s v="無線雙層電熱水壺-附可鎖壺蓋"/>
    <s v="細電"/>
    <s v="SDA"/>
    <s v="15drt"/>
    <n v="1"/>
    <n v="358"/>
    <n v="358"/>
    <n v="217037"/>
    <m/>
    <m/>
    <s v="KT-15DRTHK(W) 217037"/>
    <n v="598"/>
    <n v="0.59866220735785958"/>
    <s v="Toshiba SRP"/>
    <s v="DA141"/>
    <s v="DA141217037"/>
  </r>
  <r>
    <n v="625"/>
    <s v="Citistore"/>
    <s v="TM"/>
    <x v="9"/>
    <n v="3"/>
    <x v="15"/>
    <x v="21"/>
    <s v="壓縮式抽濕機 (30公升)"/>
    <s v="細電"/>
    <s v="RAC"/>
    <s v="d300"/>
    <n v="1"/>
    <n v="2280"/>
    <n v="2280"/>
    <n v="217061"/>
    <m/>
    <m/>
    <s v="RAD-D300H 217061"/>
    <n v="3380"/>
    <n v="0.67455621301775148"/>
    <s v="Shops Highest Price"/>
    <s v="DA141"/>
    <s v="DA141217061"/>
  </r>
  <r>
    <n v="626"/>
    <s v="Citistore"/>
    <s v="TM"/>
    <x v="9"/>
    <n v="3"/>
    <x v="15"/>
    <x v="68"/>
    <s v="旋鈕式微波爐 (20公升)"/>
    <s v="細電"/>
    <s v="MCA"/>
    <s v="2mm20"/>
    <n v="1"/>
    <n v="628"/>
    <n v="628"/>
    <n v="387825"/>
    <m/>
    <m/>
    <s v="MM-2MM20PC(WH) 387825"/>
    <n v="738"/>
    <n v="0.85094850948509482"/>
    <s v="Toshiba SRP"/>
    <s v="DA141"/>
    <s v="DA141387825"/>
  </r>
  <r>
    <n v="627"/>
    <s v="Citistore"/>
    <s v="TM"/>
    <x v="9"/>
    <n v="3"/>
    <x v="15"/>
    <x v="38"/>
    <s v="無線雙層電熱水壺-附可鎖壺蓋"/>
    <s v="細電"/>
    <s v="SDA"/>
    <s v="15drt"/>
    <n v="1"/>
    <n v="358"/>
    <n v="358"/>
    <n v="217088"/>
    <m/>
    <m/>
    <s v="KT-15DRTHK(W) 217088"/>
    <n v="598"/>
    <n v="0.59866220735785958"/>
    <s v="Toshiba SRP"/>
    <s v="DA141"/>
    <s v="DA141217088"/>
  </r>
  <r>
    <n v="628"/>
    <s v="Citistore"/>
    <s v="TM"/>
    <x v="9"/>
    <n v="3"/>
    <x v="15"/>
    <x v="37"/>
    <s v="電熱水瓶 (5公升)"/>
    <s v="細電"/>
    <s v="SDA"/>
    <s v="50dr"/>
    <n v="1"/>
    <n v="628"/>
    <n v="628"/>
    <n v="444493"/>
    <m/>
    <m/>
    <s v="TP-50DRUHK(W) 444493"/>
    <n v="718"/>
    <n v="0.87465181058495822"/>
    <s v="Toshiba SRP"/>
    <s v="DA141"/>
    <s v="DA141444493"/>
  </r>
  <r>
    <n v="629"/>
    <s v="Citistore"/>
    <s v="TM"/>
    <x v="9"/>
    <n v="3"/>
    <x v="15"/>
    <x v="46"/>
    <s v="電熱水瓶 (2.5公升)"/>
    <s v="細電"/>
    <s v="SDA"/>
    <s v="25dr"/>
    <n v="1"/>
    <n v="398"/>
    <n v="398"/>
    <n v="444500"/>
    <m/>
    <m/>
    <s v="TP-25DR2UHK(W) 444500"/>
    <n v="538"/>
    <n v="0.7397769516728625"/>
    <s v="Toshiba SRP"/>
    <s v="DA141"/>
    <s v="DA141444500"/>
  </r>
  <r>
    <n v="630"/>
    <s v="Citistore"/>
    <s v="TM"/>
    <x v="10"/>
    <n v="3"/>
    <x v="17"/>
    <x v="51"/>
    <s v="IH磁應電飯煲"/>
    <s v="細電"/>
    <s v="SDA"/>
    <s v="dr10tw"/>
    <n v="1"/>
    <n v="2380"/>
    <n v="2380"/>
    <n v="387916"/>
    <m/>
    <m/>
    <s v="RC-DR10T(W) 387916"/>
    <n v="3188"/>
    <n v="0.74654956085319946"/>
    <s v="Toshiba SRP"/>
    <s v="DA141"/>
    <s v="DA141387916"/>
  </r>
  <r>
    <n v="631"/>
    <s v="Citistore"/>
    <s v="TM"/>
    <x v="10"/>
    <n v="3"/>
    <x v="17"/>
    <x v="7"/>
    <s v="4毫米厚釜電飯煲0.54L"/>
    <s v="細電"/>
    <s v="SDA"/>
    <s v="5mm"/>
    <n v="1"/>
    <n v="548"/>
    <n v="548"/>
    <n v="444555"/>
    <m/>
    <m/>
    <s v="RC-5MMIH(WT) 444555"/>
    <n v="618"/>
    <n v="0.88673139158576053"/>
    <s v="Toshiba SRP"/>
    <s v="DA141"/>
    <s v="DA141444555"/>
  </r>
  <r>
    <n v="632"/>
    <s v="Citistore"/>
    <s v="TM"/>
    <x v="9"/>
    <n v="3"/>
    <x v="19"/>
    <x v="21"/>
    <s v="壓縮式抽濕機 (30公升)"/>
    <s v="細電"/>
    <s v="RAC"/>
    <s v="d300"/>
    <n v="1"/>
    <n v="2280"/>
    <n v="2280"/>
    <n v="388281"/>
    <m/>
    <m/>
    <s v="RAD-D300H 388281"/>
    <n v="3380"/>
    <n v="0.67455621301775148"/>
    <s v="Shops Highest Price"/>
    <s v="DA141"/>
    <s v="DA141388281"/>
  </r>
  <r>
    <n v="633"/>
    <s v="Citistore"/>
    <s v="TM"/>
    <x v="9"/>
    <n v="3"/>
    <x v="19"/>
    <x v="27"/>
    <s v="4毫米厚釜電飯煲1.8L"/>
    <s v="細電"/>
    <s v="SDA"/>
    <s v="18nmf"/>
    <n v="1"/>
    <n v="799"/>
    <n v="799"/>
    <n v="388311"/>
    <m/>
    <m/>
    <s v="RC-18NMFIH(WT) 388311"/>
    <n v="998"/>
    <n v="0.80060120240480959"/>
    <s v="Toshiba SRP"/>
    <s v="DA141"/>
    <s v="DA141388311"/>
  </r>
  <r>
    <n v="634"/>
    <s v="Citistore"/>
    <s v="TM"/>
    <x v="9"/>
    <n v="3"/>
    <x v="19"/>
    <x v="28"/>
    <s v="無線雙層電熱水壺-附可鎖壺蓋(0.8公升)"/>
    <s v="細電"/>
    <s v="SDA"/>
    <s v="08dh"/>
    <n v="1"/>
    <n v="268"/>
    <n v="268"/>
    <n v="444970"/>
    <m/>
    <m/>
    <s v="KT-08DH1VHK(W) 444970"/>
    <n v="428"/>
    <n v="0.62616822429906538"/>
    <s v="Toshiba SRP"/>
    <s v="DA141"/>
    <s v="DA141444970"/>
  </r>
  <r>
    <n v="635"/>
    <s v="Citistore"/>
    <s v="TM"/>
    <x v="9"/>
    <n v="3"/>
    <x v="19"/>
    <x v="69"/>
    <s v="多功能備長炭本厚釜電飯煲1.8L"/>
    <s v="細電"/>
    <s v="SDA"/>
    <s v="18drnh"/>
    <n v="1"/>
    <n v="619"/>
    <n v="619"/>
    <n v="388401"/>
    <m/>
    <m/>
    <s v="RC-18DRNH 388401"/>
    <n v="898"/>
    <n v="0.68930957683741645"/>
    <s v="Toshiba SRP"/>
    <s v="DA141"/>
    <s v="DA141388401"/>
  </r>
  <r>
    <n v="636"/>
    <s v="Citistore"/>
    <s v="TM"/>
    <x v="9"/>
    <n v="3"/>
    <x v="19"/>
    <x v="7"/>
    <s v="4毫米厚釜電飯煲0.54L"/>
    <s v="細電"/>
    <s v="SDA"/>
    <s v="5mm"/>
    <n v="1"/>
    <n v="548"/>
    <n v="548"/>
    <n v="217179"/>
    <m/>
    <m/>
    <s v="RC-5MMIH(WT) 217179"/>
    <n v="618"/>
    <n v="0.88673139158576053"/>
    <s v="Toshiba SRP"/>
    <s v="DA141"/>
    <s v="DA141217179"/>
  </r>
  <r>
    <n v="637"/>
    <s v="Citistore"/>
    <s v="TM"/>
    <x v="9"/>
    <n v="3"/>
    <x v="19"/>
    <x v="36"/>
    <s v="輕觸式微波爐 (20公升)"/>
    <s v="細電"/>
    <s v="MCA"/>
    <s v="em20"/>
    <n v="1"/>
    <n v="598"/>
    <n v="598"/>
    <n v="388513"/>
    <m/>
    <m/>
    <s v="MM2-EM20PC(WH) 388513"/>
    <n v="788"/>
    <n v="0.75888324873096447"/>
    <s v="Toshiba SRP"/>
    <s v="DA141"/>
    <s v="DA141388513"/>
  </r>
  <r>
    <n v="638"/>
    <s v="Citistore"/>
    <s v="TM"/>
    <x v="9"/>
    <n v="3"/>
    <x v="19"/>
    <x v="46"/>
    <s v="電熱水瓶 (2.5公升)"/>
    <s v="細電"/>
    <s v="SDA"/>
    <s v="25dr"/>
    <n v="1"/>
    <n v="398"/>
    <n v="398"/>
    <n v="445134"/>
    <m/>
    <m/>
    <s v="TP-25DR2UHK(W) 445134"/>
    <n v="538"/>
    <n v="0.7397769516728625"/>
    <s v="Toshiba SRP"/>
    <s v="DA141"/>
    <s v="DA141445134"/>
  </r>
  <r>
    <n v="639"/>
    <s v="Citistore"/>
    <s v="TM"/>
    <x v="9"/>
    <n v="3"/>
    <x v="19"/>
    <x v="21"/>
    <s v="壓縮式抽濕機 (30公升)"/>
    <s v="細電"/>
    <s v="RAC"/>
    <s v="d300"/>
    <n v="1"/>
    <n v="2280"/>
    <n v="2280"/>
    <n v="445257"/>
    <m/>
    <m/>
    <s v="RAD-D300H 445257"/>
    <n v="3380"/>
    <n v="0.67455621301775148"/>
    <s v="Shops Highest Price"/>
    <s v="DA141"/>
    <s v="DA141445257"/>
  </r>
  <r>
    <n v="640"/>
    <s v="Citistore"/>
    <s v="TM"/>
    <x v="9"/>
    <n v="3"/>
    <x v="19"/>
    <x v="16"/>
    <s v="輕便式電磁爐"/>
    <s v="細電"/>
    <s v="SDA"/>
    <s v="20r1"/>
    <n v="1"/>
    <n v="298"/>
    <n v="298"/>
    <n v="217267"/>
    <m/>
    <m/>
    <s v="IC-20R1THK 217267"/>
    <n v="438"/>
    <n v="0.68036529680365299"/>
    <s v="Shops Highest Price"/>
    <s v="DA141"/>
    <s v="DA141217267"/>
  </r>
  <r>
    <n v="641"/>
    <s v="Citistore"/>
    <s v="TM"/>
    <x v="9"/>
    <n v="3"/>
    <x v="19"/>
    <x v="16"/>
    <s v="輕便式電磁爐"/>
    <s v="細電"/>
    <s v="SDA"/>
    <s v="20r1"/>
    <n v="1"/>
    <n v="298"/>
    <n v="298"/>
    <n v="388720"/>
    <m/>
    <m/>
    <s v="IC-20R1THK 388720"/>
    <n v="438"/>
    <n v="0.68036529680365299"/>
    <s v="Shops Highest Price"/>
    <s v="DA141"/>
    <s v="DA141388720"/>
  </r>
  <r>
    <n v="642"/>
    <s v="Citistore"/>
    <s v="TM"/>
    <x v="9"/>
    <n v="3"/>
    <x v="19"/>
    <x v="36"/>
    <s v="輕觸式微波爐 (20公升)"/>
    <s v="細電"/>
    <s v="MCA"/>
    <s v="em20"/>
    <n v="1"/>
    <n v="598"/>
    <n v="598"/>
    <n v="388715"/>
    <m/>
    <m/>
    <s v="MM2-EM20PC(WH) 388715"/>
    <n v="788"/>
    <n v="0.75888324873096447"/>
    <s v="Toshiba SRP"/>
    <s v="DA141"/>
    <s v="DA141388715"/>
  </r>
  <r>
    <n v="643"/>
    <s v="Citistore"/>
    <s v="TM"/>
    <x v="9"/>
    <n v="3"/>
    <x v="20"/>
    <x v="32"/>
    <s v="電熱水瓶3L"/>
    <s v="細電"/>
    <s v="SDA"/>
    <s v="30fl"/>
    <n v="1"/>
    <n v="489"/>
    <n v="489"/>
    <n v="217313"/>
    <m/>
    <m/>
    <s v="PLK-30FLIH(WT) 217313"/>
    <n v="658"/>
    <n v="0.74316109422492405"/>
    <s v="Toshiba SRP"/>
    <s v="DA141"/>
    <s v="DA141217313"/>
  </r>
  <r>
    <n v="644"/>
    <s v="Citistore"/>
    <s v="TM"/>
    <x v="9"/>
    <n v="3"/>
    <x v="20"/>
    <x v="23"/>
    <s v="電飯煲"/>
    <s v="細電"/>
    <s v="SDA"/>
    <s v="10jruh"/>
    <n v="1"/>
    <n v="250"/>
    <n v="250"/>
    <n v="217316"/>
    <m/>
    <m/>
    <s v="RC-10JRUH(N) 217316"/>
    <n v="398"/>
    <n v="0.62814070351758799"/>
    <s v="Shops Highest Price"/>
    <s v="DA141"/>
    <s v="DA141217316"/>
  </r>
  <r>
    <n v="645"/>
    <s v="Citistore"/>
    <s v="TM"/>
    <x v="9"/>
    <n v="3"/>
    <x v="20"/>
    <x v="20"/>
    <s v="壓縮式抽濕機 (22公升)"/>
    <s v="細電"/>
    <s v="RAC"/>
    <s v="d200"/>
    <n v="1"/>
    <n v="1880"/>
    <n v="1880"/>
    <n v="445457"/>
    <m/>
    <m/>
    <s v="RAD-D200H 445457"/>
    <n v="2880"/>
    <n v="0.65277777777777779"/>
    <s v="Shops Highest Price"/>
    <s v="DA141"/>
    <s v="DA141445457"/>
  </r>
  <r>
    <n v="646"/>
    <s v="Citistore"/>
    <s v="TM"/>
    <x v="9"/>
    <n v="3"/>
    <x v="20"/>
    <x v="39"/>
    <s v="酵活炊電飯煲(1.0公升)"/>
    <s v="細電"/>
    <s v="SDA"/>
    <s v="10amx"/>
    <n v="1"/>
    <n v="990"/>
    <n v="990"/>
    <s v="060931"/>
    <m/>
    <m/>
    <s v="RC-10AMXH(W) 060931"/>
    <n v="1288"/>
    <n v="0.76863354037267084"/>
    <s v="Toshiba SRP"/>
    <s v="DA141"/>
    <s v="DA141060931"/>
  </r>
  <r>
    <n v="647"/>
    <s v="Citistore"/>
    <s v="TM"/>
    <x v="9"/>
    <n v="3"/>
    <x v="20"/>
    <x v="45"/>
    <s v="備長炭本厚釜電飯煲0.7L"/>
    <s v="細電"/>
    <s v="SDA"/>
    <s v="7hmh"/>
    <n v="1"/>
    <n v="738"/>
    <n v="738"/>
    <n v="445617"/>
    <m/>
    <m/>
    <s v="RC-7HMH 445617"/>
    <n v="1288"/>
    <n v="0.57298136645962738"/>
    <s v="Toshiba SRP"/>
    <s v="DA141"/>
    <s v="DA141445617"/>
  </r>
  <r>
    <n v="648"/>
    <s v="Citistore"/>
    <s v="TM"/>
    <x v="9"/>
    <n v="3"/>
    <x v="20"/>
    <x v="45"/>
    <s v="備長炭本厚釜電飯煲0.7L"/>
    <s v="細電"/>
    <s v="SDA"/>
    <s v="7hmh"/>
    <n v="1"/>
    <n v="788"/>
    <n v="788"/>
    <n v="389009"/>
    <m/>
    <m/>
    <s v="RC-7HMH 389009"/>
    <n v="1288"/>
    <n v="0.61180124223602483"/>
    <s v="Toshiba SRP"/>
    <s v="DA141"/>
    <s v="DA141389009"/>
  </r>
  <r>
    <n v="649"/>
    <s v="Citistore"/>
    <s v="TM"/>
    <x v="9"/>
    <n v="3"/>
    <x v="20"/>
    <x v="49"/>
    <s v="Induction Cooker"/>
    <s v="細電"/>
    <s v="SDA"/>
    <s v="20gg"/>
    <n v="1"/>
    <n v="338"/>
    <n v="338"/>
    <n v="389040"/>
    <m/>
    <m/>
    <s v="CIC-20GGTLA0 389040"/>
    <n v="399"/>
    <n v="0.84711779448621549"/>
    <s v="Web SRP"/>
    <s v="DA141"/>
    <s v="DA141389040"/>
  </r>
  <r>
    <n v="650"/>
    <s v="Citistore"/>
    <s v="TM"/>
    <x v="9"/>
    <n v="3"/>
    <x v="21"/>
    <x v="16"/>
    <s v="輕便式電磁爐"/>
    <s v="細電"/>
    <s v="SDA"/>
    <s v="20r1"/>
    <n v="1"/>
    <n v="298"/>
    <n v="298"/>
    <n v="389102"/>
    <m/>
    <m/>
    <s v="IC-20R1THK 389102"/>
    <n v="438"/>
    <n v="0.68036529680365299"/>
    <s v="Shops Highest Price"/>
    <s v="DA141"/>
    <s v="DA141389102"/>
  </r>
  <r>
    <n v="651"/>
    <s v="Citistore"/>
    <s v="TM"/>
    <x v="9"/>
    <n v="3"/>
    <x v="21"/>
    <x v="9"/>
    <s v="電熱水瓶4.5L"/>
    <s v="細電"/>
    <s v="SDA"/>
    <s v="45sf"/>
    <n v="1"/>
    <n v="578"/>
    <n v="578"/>
    <n v="389117"/>
    <m/>
    <m/>
    <s v="PLK-45SFIH(WT) 389117"/>
    <n v="788"/>
    <n v="0.73350253807106602"/>
    <s v="Toshiba SRP"/>
    <s v="DA141"/>
    <s v="DA141389117"/>
  </r>
  <r>
    <n v="652"/>
    <s v="Citistore"/>
    <s v="TM"/>
    <x v="9"/>
    <n v="3"/>
    <x v="21"/>
    <x v="7"/>
    <s v="4毫米厚釜電飯煲0.54L"/>
    <s v="細電"/>
    <s v="SDA"/>
    <s v="5mm"/>
    <n v="1"/>
    <n v="548"/>
    <n v="548"/>
    <n v="445805"/>
    <m/>
    <m/>
    <s v="RC-5MMIH(WT) 445805"/>
    <n v="618"/>
    <n v="0.88673139158576053"/>
    <s v="Toshiba SRP"/>
    <s v="DA141"/>
    <s v="DA141445805"/>
  </r>
  <r>
    <n v="653"/>
    <s v="Citistore"/>
    <s v="TM"/>
    <x v="9"/>
    <n v="3"/>
    <x v="21"/>
    <x v="21"/>
    <s v="壓縮式抽濕機 (30公升)"/>
    <s v="細電"/>
    <s v="RAC"/>
    <s v="d300"/>
    <n v="1"/>
    <n v="2280"/>
    <n v="2280"/>
    <n v="445857"/>
    <m/>
    <m/>
    <s v="RAD-D300H 445857"/>
    <n v="3380"/>
    <n v="0.67455621301775148"/>
    <s v="Shops Highest Price"/>
    <s v="DA141"/>
    <s v="DA141445857"/>
  </r>
  <r>
    <n v="654"/>
    <s v="Citistore"/>
    <s v="TM"/>
    <x v="9"/>
    <n v="3"/>
    <x v="21"/>
    <x v="20"/>
    <s v="壓縮式抽濕機 (22公升)"/>
    <s v="細電"/>
    <s v="RAC"/>
    <s v="d200"/>
    <n v="1"/>
    <n v="1880"/>
    <n v="1880"/>
    <n v="217597"/>
    <s v="D300&gt;D200"/>
    <m/>
    <s v="RAD-D200H 217597"/>
    <n v="2880"/>
    <n v="0.65277777777777779"/>
    <s v="Shops Highest Price"/>
    <s v="DA141"/>
    <s v="DA141217597"/>
  </r>
  <r>
    <n v="655"/>
    <s v="Citistore"/>
    <s v="TM"/>
    <x v="9"/>
    <n v="3"/>
    <x v="22"/>
    <x v="27"/>
    <s v="4毫米厚釜電飯煲1.8L"/>
    <s v="細電"/>
    <s v="SDA"/>
    <s v="18nmf"/>
    <n v="1"/>
    <n v="799"/>
    <n v="799"/>
    <n v="217712"/>
    <m/>
    <m/>
    <s v="RC-18NMFIH(WT) 217712"/>
    <n v="998"/>
    <n v="0.80060120240480959"/>
    <s v="Toshiba SRP"/>
    <s v="DA141"/>
    <s v="DA141217712"/>
  </r>
  <r>
    <n v="656"/>
    <s v="Citistore"/>
    <s v="TM"/>
    <x v="9"/>
    <n v="3"/>
    <x v="22"/>
    <x v="20"/>
    <s v="壓縮式抽濕機 (22公升)"/>
    <s v="細電"/>
    <s v="RAC"/>
    <s v="d200"/>
    <n v="1"/>
    <n v="1880"/>
    <n v="1880"/>
    <n v="446395"/>
    <m/>
    <m/>
    <s v="RAD-D200H 446395"/>
    <n v="2880"/>
    <n v="0.65277777777777779"/>
    <s v="Shops Highest Price"/>
    <s v="DA141"/>
    <s v="DA141446395"/>
  </r>
  <r>
    <n v="657"/>
    <s v="Citistore"/>
    <s v="TM"/>
    <x v="9"/>
    <n v="3"/>
    <x v="22"/>
    <x v="21"/>
    <s v="壓縮式抽濕機 (30公升)"/>
    <s v="細電"/>
    <s v="RAC"/>
    <s v="d300"/>
    <n v="1"/>
    <n v="2280"/>
    <n v="2280"/>
    <n v="389797"/>
    <m/>
    <m/>
    <s v="RAD-D300H 389797"/>
    <n v="3380"/>
    <n v="0.67455621301775148"/>
    <s v="Shops Highest Price"/>
    <s v="DA141"/>
    <s v="DA141389797"/>
  </r>
  <r>
    <n v="658"/>
    <s v="Citistore"/>
    <s v="TM"/>
    <x v="9"/>
    <n v="3"/>
    <x v="22"/>
    <x v="44"/>
    <s v="1.7L無線雙層電熱水壺"/>
    <s v="細電"/>
    <s v="SDA"/>
    <s v="17shnh"/>
    <n v="1"/>
    <n v="228"/>
    <n v="228"/>
    <n v="217761"/>
    <m/>
    <m/>
    <s v="KT-17SHNH 217761"/>
    <n v="299"/>
    <n v="0.76254180602006694"/>
    <s v="Shops Highest Price"/>
    <s v="DA141"/>
    <s v="DA141217761"/>
  </r>
  <r>
    <n v="659"/>
    <s v="Citistore"/>
    <s v="TM"/>
    <x v="10"/>
    <n v="3"/>
    <x v="23"/>
    <x v="16"/>
    <s v="輕便式電磁爐"/>
    <s v="細電"/>
    <s v="SDA"/>
    <s v="20r1"/>
    <n v="1"/>
    <n v="298"/>
    <n v="298"/>
    <n v="446689"/>
    <m/>
    <m/>
    <s v="IC-20R1THK 446689"/>
    <n v="438"/>
    <n v="0.68036529680365299"/>
    <s v="Shops Highest Price"/>
    <s v="DA141"/>
    <s v="DA141446689"/>
  </r>
  <r>
    <n v="660"/>
    <s v="Citistore"/>
    <s v="TM"/>
    <x v="10"/>
    <n v="3"/>
    <x v="23"/>
    <x v="30"/>
    <s v="旋鈕式燒烤微波爐20L"/>
    <s v="細電"/>
    <s v="SDA"/>
    <s v="mm20"/>
    <n v="1"/>
    <n v="488"/>
    <n v="488"/>
    <n v="446632"/>
    <m/>
    <m/>
    <s v="MWP-MM20P(WH) 446632"/>
    <n v="648"/>
    <n v="0.75308641975308643"/>
    <s v="Toshiba SRP"/>
    <s v="DA141"/>
    <s v="DA141446632"/>
  </r>
  <r>
    <n v="661"/>
    <s v="Citistore"/>
    <s v="TM"/>
    <x v="10"/>
    <n v="3"/>
    <x v="23"/>
    <x v="44"/>
    <s v="1.7L無線雙層電熱水壺"/>
    <s v="細電"/>
    <s v="SDA"/>
    <s v="17shnh"/>
    <n v="1"/>
    <n v="228"/>
    <n v="228"/>
    <s v="060998"/>
    <m/>
    <m/>
    <s v="KT-17SHNH 060998"/>
    <n v="299"/>
    <n v="0.76254180602006694"/>
    <s v="Shops Highest Price"/>
    <s v="DA141"/>
    <s v="DA141060998"/>
  </r>
  <r>
    <n v="662"/>
    <s v="Citistore"/>
    <s v="TM"/>
    <x v="9"/>
    <n v="3"/>
    <x v="24"/>
    <x v="36"/>
    <s v="輕觸式微波爐 (20公升)"/>
    <s v="細電"/>
    <s v="MCA"/>
    <s v="em20"/>
    <n v="1"/>
    <n v="598"/>
    <n v="598"/>
    <n v="446946"/>
    <m/>
    <m/>
    <s v="MM2-EM20PC(WH) 446946"/>
    <n v="788"/>
    <n v="0.75888324873096447"/>
    <s v="Toshiba SRP"/>
    <s v="DA141"/>
    <s v="DA141446946"/>
  </r>
  <r>
    <n v="663"/>
    <s v="Citistore"/>
    <s v="TM"/>
    <x v="9"/>
    <n v="3"/>
    <x v="24"/>
    <x v="70"/>
    <s v="12吋2合1座地座檯電風扇連遙控"/>
    <s v="細電"/>
    <s v="EAD"/>
    <s v="ya20"/>
    <n v="1"/>
    <n v="399"/>
    <n v="399"/>
    <n v="318040"/>
    <m/>
    <m/>
    <s v="F-LYA20(W)HKG 318040"/>
    <n v="988"/>
    <n v="0.40384615384615385"/>
    <s v="Toshiba SRP"/>
    <s v="DA141"/>
    <s v="DA141318040"/>
  </r>
  <r>
    <n v="664"/>
    <s v="Citistore"/>
    <s v="TM"/>
    <x v="9"/>
    <n v="3"/>
    <x v="24"/>
    <x v="38"/>
    <s v="無線雙層電熱水壺-附可鎖壺蓋"/>
    <s v="細電"/>
    <s v="SDA"/>
    <s v="15drt"/>
    <n v="1"/>
    <n v="358"/>
    <n v="358"/>
    <n v="446891"/>
    <m/>
    <m/>
    <s v="KT-15DRTHK(W) 446891"/>
    <n v="598"/>
    <n v="0.59866220735785958"/>
    <s v="Toshiba SRP"/>
    <s v="DA141"/>
    <s v="DA141446891"/>
  </r>
  <r>
    <n v="665"/>
    <s v="Citistore"/>
    <s v="TM"/>
    <x v="9"/>
    <n v="3"/>
    <x v="24"/>
    <x v="29"/>
    <s v="酵活炊磁應電飯煲"/>
    <s v="細電"/>
    <s v="SDA"/>
    <s v="10bh"/>
    <n v="1"/>
    <n v="1688"/>
    <n v="1688"/>
    <n v="390229"/>
    <m/>
    <m/>
    <s v="RC-10BHH(W) 390229"/>
    <n v="2088"/>
    <n v="0.80842911877394641"/>
    <s v="Shops Highest Price"/>
    <s v="DA141"/>
    <s v="DA141390229"/>
  </r>
  <r>
    <n v="666"/>
    <s v="Citistore"/>
    <s v="TM"/>
    <x v="9"/>
    <n v="3"/>
    <x v="24"/>
    <x v="70"/>
    <s v="12吋2合1座地座檯電風扇連遙控"/>
    <s v="細電"/>
    <s v="EAD"/>
    <s v="ya20"/>
    <n v="1"/>
    <n v="399"/>
    <n v="399"/>
    <n v="241693"/>
    <m/>
    <m/>
    <s v="F-LYA20(W)HKG 241693"/>
    <n v="988"/>
    <n v="0.40384615384615385"/>
    <s v="Toshiba SRP"/>
    <s v="DA141"/>
    <s v="DA141241693"/>
  </r>
  <r>
    <n v="667"/>
    <s v="Citistore"/>
    <s v="TM"/>
    <x v="9"/>
    <n v="3"/>
    <x v="25"/>
    <x v="70"/>
    <s v="12吋2合1座地座檯電風扇連遙控"/>
    <s v="細電"/>
    <s v="EAD"/>
    <s v="ya20"/>
    <n v="1"/>
    <n v="399"/>
    <n v="399"/>
    <n v="218371"/>
    <m/>
    <m/>
    <s v="F-LYA20(W)HKG 218371"/>
    <n v="988"/>
    <n v="0.40384615384615385"/>
    <s v="Toshiba SRP"/>
    <s v="DA141"/>
    <s v="DA141218371"/>
  </r>
  <r>
    <n v="668"/>
    <s v="Citistore"/>
    <s v="TM"/>
    <x v="9"/>
    <n v="3"/>
    <x v="25"/>
    <x v="63"/>
    <s v="20L 智能蒸氣焗爐"/>
    <s v="細電"/>
    <s v="MCA"/>
    <s v="stq20"/>
    <n v="1"/>
    <n v="1980"/>
    <n v="1980"/>
    <n v="242126"/>
    <m/>
    <m/>
    <s v="MS3-STQ20SC(WH) 242126"/>
    <n v="2880"/>
    <n v="0.6875"/>
    <s v="Toshiba SRP"/>
    <s v="DA141"/>
    <s v="DA141242126"/>
  </r>
  <r>
    <n v="669"/>
    <s v="Citistore"/>
    <s v="TM"/>
    <x v="9"/>
    <n v="3"/>
    <x v="25"/>
    <x v="70"/>
    <s v="12吋2合1座地座檯電風扇連遙控"/>
    <s v="細電"/>
    <s v="EAD"/>
    <s v="ya20"/>
    <n v="1"/>
    <n v="399"/>
    <n v="399"/>
    <n v="242000"/>
    <m/>
    <m/>
    <s v="F-LYA20(W)HKG 242000"/>
    <n v="988"/>
    <n v="0.40384615384615385"/>
    <s v="Toshiba SRP"/>
    <s v="DA141"/>
    <s v="DA141242000"/>
  </r>
  <r>
    <n v="670"/>
    <s v="Citistore"/>
    <s v="TM"/>
    <x v="9"/>
    <n v="3"/>
    <x v="25"/>
    <x v="70"/>
    <s v="12吋2合1座地座檯電風扇連遙控"/>
    <s v="細電"/>
    <s v="EAD"/>
    <s v="ya20"/>
    <n v="1"/>
    <n v="399"/>
    <n v="399"/>
    <n v="390485"/>
    <m/>
    <m/>
    <s v="F-LYA20(W)HKG 390485"/>
    <n v="988"/>
    <n v="0.40384615384615385"/>
    <s v="Toshiba SRP"/>
    <s v="DA141"/>
    <s v="DA141390485"/>
  </r>
  <r>
    <n v="671"/>
    <s v="Citistore"/>
    <s v="TM"/>
    <x v="9"/>
    <n v="3"/>
    <x v="25"/>
    <x v="70"/>
    <s v="12吋2合1座地座檯電風扇連遙控"/>
    <s v="細電"/>
    <s v="EAD"/>
    <s v="ya20"/>
    <n v="1"/>
    <n v="399"/>
    <n v="399"/>
    <n v="447311"/>
    <m/>
    <m/>
    <s v="F-LYA20(W)HKG 447311"/>
    <n v="988"/>
    <n v="0.40384615384615385"/>
    <s v="Toshiba SRP"/>
    <s v="DA141"/>
    <s v="DA141447311"/>
  </r>
  <r>
    <n v="672"/>
    <s v="Citistore"/>
    <s v="TM"/>
    <x v="9"/>
    <n v="3"/>
    <x v="25"/>
    <x v="29"/>
    <s v="酵活炊磁應電飯煲"/>
    <s v="細電"/>
    <s v="SDA"/>
    <s v="10bh"/>
    <n v="1"/>
    <n v="1688"/>
    <n v="1688"/>
    <s v="061235"/>
    <m/>
    <m/>
    <s v="RC-10BHH(W) 061235"/>
    <n v="2088"/>
    <n v="0.80842911877394641"/>
    <s v="Shops Highest Price"/>
    <s v="DA141"/>
    <s v="DA141061235"/>
  </r>
  <r>
    <n v="673"/>
    <s v="Citistore"/>
    <s v="TM"/>
    <x v="9"/>
    <n v="3"/>
    <x v="25"/>
    <x v="29"/>
    <s v="酵活炊磁應電飯煲"/>
    <s v="細電"/>
    <s v="SDA"/>
    <s v="10bh"/>
    <n v="1"/>
    <n v="1688"/>
    <n v="1688"/>
    <s v="061252"/>
    <m/>
    <m/>
    <s v="RC-10BHH(W) 061252"/>
    <n v="2088"/>
    <n v="0.80842911877394641"/>
    <s v="Shops Highest Price"/>
    <s v="DA141"/>
    <s v="DA141061252"/>
  </r>
  <r>
    <n v="674"/>
    <s v="Citistore"/>
    <s v="TM"/>
    <x v="9"/>
    <n v="3"/>
    <x v="25"/>
    <x v="70"/>
    <s v="12吋2合1座地座檯電風扇連遙控"/>
    <s v="細電"/>
    <s v="EAD"/>
    <s v="ya20"/>
    <n v="1"/>
    <n v="399"/>
    <n v="399"/>
    <n v="390938"/>
    <m/>
    <m/>
    <s v="F-LYA20(W)HKG 390938"/>
    <n v="988"/>
    <n v="0.40384615384615385"/>
    <s v="Toshiba SRP"/>
    <s v="DA141"/>
    <s v="DA141390938"/>
  </r>
  <r>
    <n v="675"/>
    <s v="Citistore"/>
    <s v="TM"/>
    <x v="9"/>
    <n v="3"/>
    <x v="26"/>
    <x v="44"/>
    <s v="1.7L無線雙層電熱水壺"/>
    <s v="細電"/>
    <s v="SDA"/>
    <s v="17shnh"/>
    <n v="1"/>
    <n v="228"/>
    <n v="228"/>
    <n v="390093"/>
    <m/>
    <m/>
    <s v="KT-17SHNH 390093"/>
    <n v="299"/>
    <n v="0.76254180602006694"/>
    <s v="Shops Highest Price"/>
    <s v="DA141"/>
    <s v="DA141390093"/>
  </r>
  <r>
    <n v="676"/>
    <s v="Citistore"/>
    <s v="TM"/>
    <x v="9"/>
    <n v="3"/>
    <x v="26"/>
    <x v="70"/>
    <s v="12吋2合1座地座檯電風扇連遙控"/>
    <s v="細電"/>
    <s v="EAD"/>
    <s v="ya20"/>
    <n v="1"/>
    <n v="399"/>
    <n v="399"/>
    <n v="242429"/>
    <m/>
    <m/>
    <s v="F-LYA20(W)HKG 242429"/>
    <n v="988"/>
    <n v="0.40384615384615385"/>
    <s v="Toshiba SRP"/>
    <s v="DA141"/>
    <s v="DA141242429"/>
  </r>
  <r>
    <n v="677"/>
    <s v="Citistore"/>
    <s v="TM"/>
    <x v="9"/>
    <n v="3"/>
    <x v="26"/>
    <x v="70"/>
    <s v="12吋2合1座地座檯電風扇連遙控"/>
    <s v="細電"/>
    <s v="EAD"/>
    <s v="ya20"/>
    <n v="1"/>
    <n v="399"/>
    <n v="399"/>
    <n v="218693"/>
    <m/>
    <m/>
    <s v="F-LYA20(W)HKG 218693"/>
    <n v="988"/>
    <n v="0.40384615384615385"/>
    <s v="Toshiba SRP"/>
    <s v="DA141"/>
    <s v="DA141218693"/>
  </r>
  <r>
    <n v="678"/>
    <s v="Citistore"/>
    <s v="TM"/>
    <x v="9"/>
    <n v="3"/>
    <x v="26"/>
    <x v="36"/>
    <s v="輕觸式微波爐 (20公升)"/>
    <s v="細電"/>
    <s v="MCA"/>
    <s v="em20"/>
    <n v="1"/>
    <n v="598"/>
    <n v="598"/>
    <n v="447951"/>
    <m/>
    <m/>
    <s v="MM2-EM20PC(WH) 447951"/>
    <n v="788"/>
    <n v="0.75888324873096447"/>
    <s v="Toshiba SRP"/>
    <s v="DA141"/>
    <s v="DA141447951"/>
  </r>
  <r>
    <n v="679"/>
    <s v="Citistore"/>
    <s v="TM"/>
    <x v="9"/>
    <n v="3"/>
    <x v="26"/>
    <x v="70"/>
    <s v="12吋2合1座地座檯電風扇連遙控"/>
    <s v="細電"/>
    <s v="EAD"/>
    <s v="ya20"/>
    <n v="1"/>
    <n v="399"/>
    <n v="399"/>
    <n v="391188"/>
    <m/>
    <m/>
    <s v="F-LYA20(W)HKG 391188"/>
    <n v="988"/>
    <n v="0.40384615384615385"/>
    <s v="Toshiba SRP"/>
    <s v="DA141"/>
    <s v="DA141391188"/>
  </r>
  <r>
    <n v="680"/>
    <s v="Citistore"/>
    <s v="TM"/>
    <x v="9"/>
    <n v="3"/>
    <x v="26"/>
    <x v="70"/>
    <s v="12吋2合1座地座檯電風扇連遙控"/>
    <s v="細電"/>
    <s v="EAD"/>
    <s v="ya20"/>
    <n v="2"/>
    <n v="399"/>
    <n v="798"/>
    <n v="391139"/>
    <m/>
    <m/>
    <s v="F-LYA20(W)HKG 391139"/>
    <n v="988"/>
    <n v="0.40384615384615385"/>
    <s v="Toshiba SRP"/>
    <s v="DA141"/>
    <s v="DA141391139"/>
  </r>
  <r>
    <n v="681"/>
    <s v="Citistore"/>
    <s v="TM"/>
    <x v="9"/>
    <n v="3"/>
    <x v="26"/>
    <x v="70"/>
    <s v="12吋2合1座地座檯電風扇連遙控"/>
    <s v="細電"/>
    <s v="EAD"/>
    <s v="ya20"/>
    <n v="1"/>
    <n v="399"/>
    <n v="399"/>
    <n v="447985"/>
    <m/>
    <m/>
    <s v="F-LYA20(W)HKG 447985"/>
    <n v="988"/>
    <n v="0.40384615384615385"/>
    <s v="Toshiba SRP"/>
    <s v="DA141"/>
    <s v="DA141447985"/>
  </r>
  <r>
    <n v="682"/>
    <s v="Citistore"/>
    <s v="TM"/>
    <x v="9"/>
    <n v="3"/>
    <x v="27"/>
    <x v="70"/>
    <s v="12吋2合1座地座檯電風扇連遙控"/>
    <s v="細電"/>
    <s v="EAD"/>
    <s v="ya20"/>
    <n v="1"/>
    <n v="399"/>
    <n v="399"/>
    <n v="391236"/>
    <m/>
    <m/>
    <s v="F-LYA20(W)HKG 391236"/>
    <n v="988"/>
    <n v="0.40384615384615385"/>
    <s v="Toshiba SRP"/>
    <s v="DA141"/>
    <s v="DA141391236"/>
  </r>
  <r>
    <n v="683"/>
    <s v="Citistore"/>
    <s v="TM"/>
    <x v="9"/>
    <n v="3"/>
    <x v="27"/>
    <x v="70"/>
    <s v="12吋2合1座地座檯電風扇連遙控"/>
    <s v="細電"/>
    <s v="EAD"/>
    <s v="ya20"/>
    <n v="1"/>
    <n v="399"/>
    <n v="399"/>
    <n v="242784"/>
    <m/>
    <m/>
    <s v="F-LYA20(W)HKG 242784"/>
    <n v="988"/>
    <n v="0.40384615384615385"/>
    <s v="Toshiba SRP"/>
    <s v="DA141"/>
    <s v="DA141242784"/>
  </r>
  <r>
    <n v="684"/>
    <s v="Citistore"/>
    <s v="TM"/>
    <x v="9"/>
    <n v="3"/>
    <x v="27"/>
    <x v="70"/>
    <s v="12吋2合1座地座檯電風扇連遙控"/>
    <s v="細電"/>
    <s v="EAD"/>
    <s v="ya20"/>
    <n v="1"/>
    <n v="399"/>
    <n v="399"/>
    <n v="448178"/>
    <m/>
    <m/>
    <s v="F-LYA20(W)HKG 448178"/>
    <n v="988"/>
    <n v="0.40384615384615385"/>
    <s v="Toshiba SRP"/>
    <s v="DA141"/>
    <s v="DA141448178"/>
  </r>
  <r>
    <n v="685"/>
    <s v="Citistore"/>
    <s v="TM"/>
    <x v="9"/>
    <n v="3"/>
    <x v="27"/>
    <x v="57"/>
    <s v="多功能備長炭本厚釜電飯煲1L"/>
    <s v="細電"/>
    <s v="SDA"/>
    <s v="10drnh"/>
    <n v="1"/>
    <n v="549"/>
    <n v="549"/>
    <n v="448177"/>
    <m/>
    <m/>
    <s v="RC-10DRNH 448177"/>
    <n v="798"/>
    <n v="0.68796992481203012"/>
    <s v="Toshiba SRP"/>
    <s v="DA141"/>
    <s v="DA141448177"/>
  </r>
  <r>
    <n v="686"/>
    <s v="Citistore"/>
    <s v="TM"/>
    <x v="9"/>
    <n v="3"/>
    <x v="27"/>
    <x v="70"/>
    <s v="12吋2合1座地座檯電風扇連遙控"/>
    <s v="細電"/>
    <s v="EAD"/>
    <s v="ya20"/>
    <n v="1"/>
    <n v="399"/>
    <n v="399"/>
    <n v="391407"/>
    <m/>
    <m/>
    <s v="F-LYA20(W)HKG 391407"/>
    <n v="988"/>
    <n v="0.40384615384615385"/>
    <s v="Toshiba SRP"/>
    <s v="DA141"/>
    <s v="DA141391407"/>
  </r>
  <r>
    <n v="687"/>
    <s v="Citistore"/>
    <s v="TM"/>
    <x v="9"/>
    <n v="3"/>
    <x v="27"/>
    <x v="32"/>
    <s v="電熱水瓶3L"/>
    <s v="細電"/>
    <s v="SDA"/>
    <s v="30fl"/>
    <n v="1"/>
    <n v="489"/>
    <n v="489"/>
    <n v="391438"/>
    <m/>
    <m/>
    <s v="PLK-30FLIH(WT) 391438"/>
    <n v="658"/>
    <n v="0.74316109422492405"/>
    <s v="Toshiba SRP"/>
    <s v="DA141"/>
    <s v="DA141391438"/>
  </r>
  <r>
    <n v="688"/>
    <s v="Citistore"/>
    <s v="TM"/>
    <x v="9"/>
    <n v="3"/>
    <x v="27"/>
    <x v="16"/>
    <s v="輕便式電磁爐"/>
    <s v="細電"/>
    <s v="SDA"/>
    <s v="20r1"/>
    <n v="1"/>
    <n v="298"/>
    <n v="298"/>
    <n v="448275"/>
    <m/>
    <m/>
    <s v="IC-20R1THK 448275"/>
    <n v="438"/>
    <n v="0.68036529680365299"/>
    <s v="Shops Highest Price"/>
    <s v="DA141"/>
    <s v="DA141448275"/>
  </r>
  <r>
    <n v="689"/>
    <s v="Citistore"/>
    <s v="TM"/>
    <x v="9"/>
    <n v="3"/>
    <x v="27"/>
    <x v="27"/>
    <s v="4毫米厚釜電飯煲1.8L"/>
    <s v="細電"/>
    <s v="SDA"/>
    <s v="18nmf"/>
    <n v="1"/>
    <n v="799"/>
    <n v="799"/>
    <s v="031092"/>
    <m/>
    <m/>
    <s v="RC-18NMFIH(WT) 031092"/>
    <n v="998"/>
    <n v="0.80060120240480959"/>
    <s v="Toshiba SRP"/>
    <s v="DA141"/>
    <s v="DA141031092"/>
  </r>
  <r>
    <n v="690"/>
    <s v="Citistore"/>
    <s v="TM"/>
    <x v="9"/>
    <n v="3"/>
    <x v="27"/>
    <x v="70"/>
    <s v="12吋2合1座地座檯電風扇連遙控"/>
    <s v="細電"/>
    <s v="EAD"/>
    <s v="ya20"/>
    <n v="1"/>
    <n v="399"/>
    <n v="399"/>
    <s v="061429"/>
    <m/>
    <m/>
    <s v="F-LYA20(W)HKG 061429"/>
    <n v="988"/>
    <n v="0.40384615384615385"/>
    <s v="Toshiba SRP"/>
    <s v="DA141"/>
    <s v="DA141061429"/>
  </r>
  <r>
    <n v="691"/>
    <s v="Citistore"/>
    <s v="TM"/>
    <x v="9"/>
    <n v="3"/>
    <x v="27"/>
    <x v="20"/>
    <s v="壓縮式抽濕機 (22公升)"/>
    <s v="細電"/>
    <s v="RAC"/>
    <s v="d200"/>
    <n v="1"/>
    <n v="1880"/>
    <n v="1880"/>
    <n v="243115"/>
    <m/>
    <m/>
    <s v="RAD-D200H 243115"/>
    <n v="2880"/>
    <n v="0.65277777777777779"/>
    <s v="Shops Highest Price"/>
    <s v="DA141"/>
    <s v="DA141243115"/>
  </r>
  <r>
    <n v="692"/>
    <s v="Citistore"/>
    <s v="TM"/>
    <x v="9"/>
    <n v="3"/>
    <x v="27"/>
    <x v="63"/>
    <s v="20L 智能蒸氣焗爐"/>
    <s v="細電"/>
    <s v="MCA"/>
    <s v="stq20"/>
    <n v="1"/>
    <n v="1980"/>
    <n v="1980"/>
    <n v="448370"/>
    <m/>
    <m/>
    <s v="MS3-STQ20SC(WH) 448370"/>
    <n v="2880"/>
    <n v="0.6875"/>
    <s v="Toshiba SRP"/>
    <s v="DA141"/>
    <s v="DA141448370"/>
  </r>
  <r>
    <n v="693"/>
    <s v="Citistore"/>
    <s v="TM"/>
    <x v="9"/>
    <n v="3"/>
    <x v="27"/>
    <x v="30"/>
    <s v="旋鈕式燒烤微波爐20L"/>
    <s v="細電"/>
    <s v="SDA"/>
    <s v="mm20"/>
    <n v="1"/>
    <n v="488"/>
    <n v="488"/>
    <n v="448378"/>
    <m/>
    <m/>
    <s v="MWP-MM20P(WH) 448378"/>
    <n v="648"/>
    <n v="0.75308641975308643"/>
    <s v="Toshiba SRP"/>
    <s v="DA141"/>
    <s v="DA141448378"/>
  </r>
  <r>
    <n v="694"/>
    <s v="Citistore"/>
    <s v="TM"/>
    <x v="9"/>
    <n v="3"/>
    <x v="28"/>
    <x v="29"/>
    <s v="酵活炊磁應電飯煲"/>
    <s v="細電"/>
    <s v="SDA"/>
    <s v="10bh"/>
    <n v="1"/>
    <n v="1688"/>
    <n v="1688"/>
    <n v="391766"/>
    <m/>
    <m/>
    <s v="RC-10BHH(W) 391766"/>
    <n v="2088"/>
    <n v="0.80842911877394641"/>
    <s v="Shops Highest Price"/>
    <s v="DA141"/>
    <s v="DA141391766"/>
  </r>
  <r>
    <n v="695"/>
    <s v="Citistore"/>
    <s v="TM"/>
    <x v="9"/>
    <n v="3"/>
    <x v="28"/>
    <x v="56"/>
    <s v="多士焗爐8L"/>
    <s v="細電"/>
    <s v="SDA"/>
    <n v="7080"/>
    <n v="1"/>
    <n v="338"/>
    <n v="338"/>
    <s v="061486"/>
    <m/>
    <m/>
    <s v="ET-TD7080(PN) 061486"/>
    <n v="498"/>
    <n v="0.67871485943775101"/>
    <s v="Toshiba SRP"/>
    <s v="DA141"/>
    <s v="DA141061486"/>
  </r>
  <r>
    <n v="696"/>
    <s v="Citistore"/>
    <s v="TM"/>
    <x v="9"/>
    <n v="3"/>
    <x v="28"/>
    <x v="16"/>
    <s v="輕便式電磁爐"/>
    <s v="細電"/>
    <s v="SDA"/>
    <s v="20r1"/>
    <n v="1"/>
    <n v="298"/>
    <n v="298"/>
    <n v="448751"/>
    <m/>
    <m/>
    <s v="IC-20R1THK 448751"/>
    <n v="438"/>
    <n v="0.68036529680365299"/>
    <s v="Shops Highest Price"/>
    <s v="DA141"/>
    <s v="DA141448751"/>
  </r>
  <r>
    <n v="697"/>
    <s v="Citistore"/>
    <s v="TM"/>
    <x v="9"/>
    <n v="3"/>
    <x v="28"/>
    <x v="16"/>
    <s v="輕便式電磁爐"/>
    <s v="細電"/>
    <s v="SDA"/>
    <s v="20r1"/>
    <n v="1"/>
    <n v="298"/>
    <n v="298"/>
    <n v="448778"/>
    <m/>
    <m/>
    <s v="IC-20R1THK 448778"/>
    <n v="438"/>
    <n v="0.68036529680365299"/>
    <s v="Shops Highest Price"/>
    <s v="DA141"/>
    <s v="DA141448778"/>
  </r>
  <r>
    <n v="698"/>
    <s v="Citistore"/>
    <s v="TM"/>
    <x v="9"/>
    <n v="3"/>
    <x v="29"/>
    <x v="71"/>
    <s v="輕觸式平板燒烤微波爐 (26公升)"/>
    <s v="細電"/>
    <s v="MCA"/>
    <s v="eg26"/>
    <n v="1"/>
    <n v="998"/>
    <n v="998"/>
    <n v="448887"/>
    <m/>
    <m/>
    <s v="MV2-EG26PEI(BK) 448887"/>
    <n v="1180"/>
    <n v="0.84576271186440677"/>
    <s v="Toshiba SRP"/>
    <s v="DA141"/>
    <s v="DA141448887"/>
  </r>
  <r>
    <n v="699"/>
    <s v="Citistore"/>
    <s v="TM"/>
    <x v="9"/>
    <n v="3"/>
    <x v="29"/>
    <x v="17"/>
    <s v="4毫米厚釜電飯煲1L"/>
    <s v="細電"/>
    <s v="SDA"/>
    <s v="10nmf"/>
    <n v="1"/>
    <n v="719"/>
    <n v="719"/>
    <n v="219376"/>
    <m/>
    <m/>
    <s v="RC-10NMFIH(WT) 219376"/>
    <n v="898"/>
    <n v="0.80066815144766146"/>
    <s v="Toshiba SRP"/>
    <s v="DA141"/>
    <s v="DA141219376"/>
  </r>
  <r>
    <n v="700"/>
    <s v="Citistore"/>
    <s v="TM"/>
    <x v="9"/>
    <n v="3"/>
    <x v="29"/>
    <x v="31"/>
    <s v="無線雙層電熱水壺(1.7公升)"/>
    <s v="細電"/>
    <s v="SDA"/>
    <s v="17drt"/>
    <n v="1"/>
    <n v="388"/>
    <n v="388"/>
    <n v="219450"/>
    <m/>
    <m/>
    <s v="KT-17DRTHK(H) 219450"/>
    <n v="498"/>
    <n v="0.77911646586345384"/>
    <s v="Toshiba SRP"/>
    <s v="DA141"/>
    <s v="DA141219450"/>
  </r>
  <r>
    <n v="701"/>
    <s v="Citistore"/>
    <s v="TW_2"/>
    <x v="7"/>
    <n v="3"/>
    <x v="22"/>
    <x v="20"/>
    <s v="壓縮式抽濕機 (22公升)"/>
    <s v="細電"/>
    <s v="RAC"/>
    <s v="d200"/>
    <n v="1"/>
    <n v="1958"/>
    <n v="1958"/>
    <n v="446040"/>
    <m/>
    <m/>
    <s v="RAD-D200H 446040"/>
    <n v="2880"/>
    <n v="0.67986111111111114"/>
    <s v="Shops Highest Price"/>
    <s v="DA141"/>
    <s v="DA141446040"/>
  </r>
  <r>
    <n v="702"/>
    <s v="Citistore"/>
    <s v="TW_2"/>
    <x v="7"/>
    <n v="3"/>
    <x v="22"/>
    <x v="44"/>
    <s v="1.7L無線雙層電熱水壺"/>
    <s v="細電"/>
    <s v="SDA"/>
    <s v="17shnh"/>
    <n v="1"/>
    <n v="228"/>
    <n v="228"/>
    <n v="156184"/>
    <m/>
    <m/>
    <s v="KT-17SHNH 156184"/>
    <n v="299"/>
    <n v="0.76254180602006694"/>
    <s v="Shops Highest Price"/>
    <s v="DA141"/>
    <s v="DA141156184"/>
  </r>
  <r>
    <n v="703"/>
    <s v="Broadway"/>
    <s v="Diamond Hill_1"/>
    <x v="11"/>
    <n v="3"/>
    <x v="0"/>
    <x v="27"/>
    <s v="4毫米厚釜電飯煲1.8L"/>
    <s v="細電"/>
    <s v="SDA"/>
    <s v="18nmf"/>
    <n v="1"/>
    <n v="798"/>
    <n v="798"/>
    <n v="1777"/>
    <m/>
    <m/>
    <s v="RC-18NMFIH(WT) 1777"/>
    <n v="998"/>
    <n v="0.79959919839679361"/>
    <s v="Toshiba SRP"/>
    <s v="DA141"/>
    <s v="DA1411777"/>
  </r>
  <r>
    <n v="704"/>
    <s v="Broadway"/>
    <s v="Diamond Hill_1"/>
    <x v="11"/>
    <n v="3"/>
    <x v="0"/>
    <x v="72"/>
    <s v="壓縮式抽濕機 (25公升)"/>
    <s v="細電"/>
    <s v="RAC"/>
    <s v="d250"/>
    <n v="1"/>
    <n v="2080"/>
    <n v="2080"/>
    <n v="1779"/>
    <m/>
    <m/>
    <s v="RAD-D250H 1779"/>
    <n v="3380"/>
    <n v="0.61538461538461542"/>
    <s v="Shops Highest Price"/>
    <s v="DA141"/>
    <s v="DA1411779"/>
  </r>
  <r>
    <n v="705"/>
    <s v="Broadway"/>
    <s v="Diamond Hill_1"/>
    <x v="11"/>
    <n v="3"/>
    <x v="1"/>
    <x v="48"/>
    <s v="3合1 微波蒸焗爐 (20公升)"/>
    <s v="細電"/>
    <s v="MCA"/>
    <s v="tt20"/>
    <n v="1"/>
    <n v="2480"/>
    <n v="2480"/>
    <n v="24942"/>
    <m/>
    <m/>
    <s v="MX2-TT20SC(WH) 24942"/>
    <n v="3580"/>
    <n v="0.69273743016759781"/>
    <s v="Toshiba SRP"/>
    <s v="DA141"/>
    <s v="DA14124942"/>
  </r>
  <r>
    <n v="706"/>
    <s v="Broadway"/>
    <s v="Diamond Hill_1"/>
    <x v="11"/>
    <n v="3"/>
    <x v="1"/>
    <x v="50"/>
    <s v="輕便式電磁爐7個功能"/>
    <s v="細電"/>
    <s v="SDA"/>
    <s v="s19"/>
    <n v="1"/>
    <n v="493"/>
    <n v="493"/>
    <n v="2481"/>
    <m/>
    <m/>
    <s v="IC-S19RH 2481"/>
    <n v="638"/>
    <n v="0.77272727272727271"/>
    <s v="Toshiba SRP"/>
    <s v="DA141"/>
    <s v="DA1412481"/>
  </r>
  <r>
    <n v="707"/>
    <s v="Broadway"/>
    <s v="Diamond Hill_1"/>
    <x v="11"/>
    <n v="3"/>
    <x v="1"/>
    <x v="36"/>
    <s v="輕觸式微波爐 (20公升)"/>
    <s v="細電"/>
    <s v="MCA"/>
    <s v="em20"/>
    <n v="1"/>
    <n v="598"/>
    <n v="598"/>
    <n v="84237"/>
    <m/>
    <m/>
    <s v="MM2-EM20PC(WH) 84237"/>
    <n v="788"/>
    <n v="0.75888324873096447"/>
    <s v="Toshiba SRP"/>
    <s v="DA141"/>
    <s v="DA14184237"/>
  </r>
  <r>
    <n v="708"/>
    <s v="Broadway"/>
    <s v="Diamond Hill_1"/>
    <x v="11"/>
    <n v="3"/>
    <x v="2"/>
    <x v="73"/>
    <s v="Comfee 3/4匹變頻窗口式冷氣機"/>
    <s v="大電"/>
    <s v="RAC"/>
    <s v="07crfn"/>
    <n v="1"/>
    <n v="2990"/>
    <n v="2990"/>
    <n v="249463"/>
    <m/>
    <m/>
    <s v="CWF-07CRFN8-AD5 249463"/>
    <n v="3800"/>
    <n v="0.7868421052631579"/>
    <s v="Shops Highest Price"/>
    <s v="DA141"/>
    <s v="DA141249463"/>
  </r>
  <r>
    <n v="709"/>
    <s v="Broadway"/>
    <s v="Diamond Hill_1"/>
    <x v="11"/>
    <n v="3"/>
    <x v="2"/>
    <x v="48"/>
    <s v="3合1 微波蒸焗爐 (20公升)"/>
    <s v="細電"/>
    <s v="MCA"/>
    <s v="tt20"/>
    <n v="1"/>
    <n v="2480"/>
    <n v="2480"/>
    <n v="249469"/>
    <m/>
    <m/>
    <s v="MX2-TT20SC(WH) 249469"/>
    <n v="3580"/>
    <n v="0.69273743016759781"/>
    <s v="Toshiba SRP"/>
    <s v="DA141"/>
    <s v="DA141249469"/>
  </r>
  <r>
    <n v="710"/>
    <s v="Broadway"/>
    <s v="Diamond Hill_1"/>
    <x v="11"/>
    <n v="3"/>
    <x v="2"/>
    <x v="33"/>
    <s v="輕觸式燒烤微波爐"/>
    <s v="細電"/>
    <s v="MCA"/>
    <s v="eg20"/>
    <n v="1"/>
    <n v="698"/>
    <n v="698"/>
    <n v="2434"/>
    <m/>
    <m/>
    <s v="MM2-EG20PC(WH) 2434"/>
    <n v="918"/>
    <n v="0.76034858387799564"/>
    <s v="Shops Highest Price"/>
    <s v="DA141"/>
    <s v="DA1412434"/>
  </r>
  <r>
    <n v="711"/>
    <s v="Broadway"/>
    <s v="Diamond Hill_1"/>
    <x v="11"/>
    <n v="3"/>
    <x v="3"/>
    <x v="74"/>
    <s v="4合1氣炸微波蒸焗爐(25公升)"/>
    <s v="細電"/>
    <s v="MCA"/>
    <s v="str25"/>
    <n v="1"/>
    <n v="3478"/>
    <n v="3478"/>
    <n v="249644"/>
    <m/>
    <m/>
    <s v="MX2-STR25SC(WH) 249644"/>
    <n v="4998"/>
    <n v="0.69587835134053622"/>
    <s v="Toshiba SRP"/>
    <s v="DA141"/>
    <s v="DA141249644"/>
  </r>
  <r>
    <n v="712"/>
    <s v="Broadway"/>
    <s v="Diamond Hill_1"/>
    <x v="11"/>
    <n v="3"/>
    <x v="3"/>
    <x v="72"/>
    <s v="壓縮式抽濕機 (25公升)"/>
    <s v="細電"/>
    <s v="RAC"/>
    <s v="d250"/>
    <n v="1"/>
    <n v="2080"/>
    <n v="2080"/>
    <n v="2163"/>
    <m/>
    <m/>
    <s v="RAD-D250H 2163"/>
    <n v="3380"/>
    <n v="0.61538461538461542"/>
    <s v="Shops Highest Price"/>
    <s v="DA141"/>
    <s v="DA1412163"/>
  </r>
  <r>
    <n v="713"/>
    <s v="Broadway"/>
    <s v="Diamond Hill_1"/>
    <x v="11"/>
    <n v="3"/>
    <x v="3"/>
    <x v="74"/>
    <s v="4合1氣炸微波蒸焗爐(25公升)"/>
    <s v="細電"/>
    <s v="MCA"/>
    <s v="str25"/>
    <n v="1"/>
    <n v="3478"/>
    <n v="3478"/>
    <n v="750"/>
    <m/>
    <m/>
    <s v="MX2-STR25SC(WH) 750"/>
    <n v="4998"/>
    <n v="0.69587835134053622"/>
    <s v="Toshiba SRP"/>
    <s v="DA141"/>
    <s v="DA141750"/>
  </r>
  <r>
    <n v="714"/>
    <s v="Broadway"/>
    <s v="Diamond Hill_1"/>
    <x v="11"/>
    <n v="3"/>
    <x v="3"/>
    <x v="54"/>
    <s v="低醣磁應電飯煲1L"/>
    <s v="細電"/>
    <s v="SDA"/>
    <s v="10irph"/>
    <n v="1"/>
    <n v="950"/>
    <n v="950"/>
    <n v="2064"/>
    <m/>
    <m/>
    <s v="RC-10IRPH 2064"/>
    <n v="1388"/>
    <n v="0.68443804034582134"/>
    <s v="Toshiba SRP"/>
    <s v="DA141"/>
    <s v="DA1412064"/>
  </r>
  <r>
    <n v="715"/>
    <s v="Broadway"/>
    <s v="Diamond Hill_1"/>
    <x v="11"/>
    <n v="3"/>
    <x v="4"/>
    <x v="74"/>
    <s v="4合1氣炸微波蒸焗爐(25公升)"/>
    <s v="細電"/>
    <s v="MCA"/>
    <s v="str25"/>
    <n v="1"/>
    <n v="3478"/>
    <n v="3478"/>
    <n v="23997"/>
    <m/>
    <m/>
    <s v="MX2-STR25SC(WH) 23997"/>
    <n v="4998"/>
    <n v="0.69587835134053622"/>
    <s v="Toshiba SRP"/>
    <s v="DA141"/>
    <s v="DA14123997"/>
  </r>
  <r>
    <n v="716"/>
    <s v="Broadway"/>
    <s v="Diamond Hill_1"/>
    <x v="11"/>
    <n v="3"/>
    <x v="4"/>
    <x v="75"/>
    <s v="日式洗衣機 (8公斤 結合高低水位)"/>
    <s v="大電"/>
    <s v="LAD"/>
    <s v="q901"/>
    <n v="1"/>
    <n v="2280"/>
    <n v="2280"/>
    <n v="239664"/>
    <m/>
    <m/>
    <s v="AW-Q901BPH(WW) 239664"/>
    <n v="3780"/>
    <n v="0.60317460317460314"/>
    <s v="Toshiba SRP"/>
    <s v="DA141"/>
    <s v="DA141239664"/>
  </r>
  <r>
    <n v="717"/>
    <s v="Broadway"/>
    <s v="Diamond Hill_1"/>
    <x v="11"/>
    <n v="3"/>
    <x v="4"/>
    <x v="29"/>
    <s v="酵活炊磁應電飯煲"/>
    <s v="細電"/>
    <s v="SDA"/>
    <s v="10bh"/>
    <n v="1"/>
    <n v="1688"/>
    <n v="1688"/>
    <n v="248668"/>
    <m/>
    <m/>
    <s v="RC-10BHH(W) 248668"/>
    <n v="2088"/>
    <n v="0.80842911877394641"/>
    <s v="Shops Highest Price"/>
    <s v="DA141"/>
    <s v="DA141248668"/>
  </r>
  <r>
    <n v="718"/>
    <s v="Broadway"/>
    <s v="Diamond Hill_1"/>
    <x v="11"/>
    <n v="3"/>
    <x v="4"/>
    <x v="74"/>
    <s v="4合1氣炸微波蒸焗爐(25公升)"/>
    <s v="細電"/>
    <s v="MCA"/>
    <s v="str25"/>
    <n v="1"/>
    <n v="3478"/>
    <n v="3478"/>
    <n v="248668"/>
    <m/>
    <m/>
    <s v="MX2-STR25SC(WH) 248668"/>
    <n v="4998"/>
    <n v="0.69587835134053622"/>
    <s v="Toshiba SRP"/>
    <s v="DA141"/>
    <s v="DA141248668"/>
  </r>
  <r>
    <n v="719"/>
    <s v="Broadway"/>
    <s v="Diamond Hill_1"/>
    <x v="11"/>
    <n v="3"/>
    <x v="4"/>
    <x v="60"/>
    <s v="酵活炊磁應電飯煲(1.5公升)"/>
    <s v="細電"/>
    <s v="SDA"/>
    <s v="15bh"/>
    <n v="1"/>
    <n v="1888"/>
    <n v="1888"/>
    <n v="2461"/>
    <m/>
    <m/>
    <s v="RC-15BHH(W) 2461"/>
    <n v="2388"/>
    <n v="0.79061976549413737"/>
    <s v="Toshiba SRP"/>
    <s v="DA141"/>
    <s v="DA1412461"/>
  </r>
  <r>
    <n v="720"/>
    <s v="Broadway"/>
    <s v="Diamond Hill_1"/>
    <x v="11"/>
    <n v="3"/>
    <x v="4"/>
    <x v="75"/>
    <s v="日式洗衣機 (8公斤 結合高低水位)"/>
    <s v="大電"/>
    <s v="LAD"/>
    <s v="q901"/>
    <n v="1"/>
    <n v="2280"/>
    <n v="2280"/>
    <n v="249695"/>
    <m/>
    <m/>
    <s v="AW-Q901BPH(WW) 249695"/>
    <n v="3780"/>
    <n v="0.60317460317460314"/>
    <s v="Toshiba SRP"/>
    <s v="DA141"/>
    <s v="DA141249695"/>
  </r>
  <r>
    <n v="721"/>
    <s v="Broadway"/>
    <s v="Diamond Hill_1"/>
    <x v="11"/>
    <n v="3"/>
    <x v="4"/>
    <x v="48"/>
    <s v="3合1 微波蒸焗爐 (20公升)"/>
    <s v="細電"/>
    <s v="MCA"/>
    <s v="tt20"/>
    <n v="1"/>
    <n v="2480"/>
    <n v="2480"/>
    <n v="249687"/>
    <m/>
    <m/>
    <s v="MX2-TT20SC(WH) 249687"/>
    <n v="3580"/>
    <n v="0.69273743016759781"/>
    <s v="Toshiba SRP"/>
    <s v="DA141"/>
    <s v="DA141249687"/>
  </r>
  <r>
    <n v="722"/>
    <s v="Broadway"/>
    <s v="Diamond Hill_1"/>
    <x v="11"/>
    <n v="3"/>
    <x v="4"/>
    <x v="48"/>
    <s v="3合1 微波蒸焗爐 (20公升)"/>
    <s v="細電"/>
    <s v="MCA"/>
    <s v="tt20"/>
    <n v="1"/>
    <n v="2480"/>
    <n v="2480"/>
    <n v="249697"/>
    <m/>
    <m/>
    <s v="MX2-TT20SC(WH) 249697"/>
    <n v="3580"/>
    <n v="0.69273743016759781"/>
    <s v="Toshiba SRP"/>
    <s v="DA141"/>
    <s v="DA141249697"/>
  </r>
  <r>
    <n v="723"/>
    <s v="Broadway"/>
    <s v="Diamond Hill_1"/>
    <x v="11"/>
    <n v="3"/>
    <x v="4"/>
    <x v="31"/>
    <s v="無線雙層電熱水壺(1.7公升)"/>
    <s v="細電"/>
    <s v="SDA"/>
    <s v="17drt"/>
    <n v="1"/>
    <n v="388"/>
    <n v="388"/>
    <n v="1834"/>
    <m/>
    <m/>
    <s v="KT-17DRTHK(H) 1834"/>
    <n v="498"/>
    <n v="0.77911646586345384"/>
    <s v="Toshiba SRP"/>
    <s v="DA141"/>
    <s v="DA1411834"/>
  </r>
  <r>
    <n v="724"/>
    <s v="Broadway"/>
    <s v="Diamond Hill_1"/>
    <x v="11"/>
    <n v="3"/>
    <x v="4"/>
    <x v="36"/>
    <s v="輕觸式微波爐 (20公升)"/>
    <s v="細電"/>
    <s v="MCA"/>
    <s v="em20"/>
    <n v="1"/>
    <n v="598"/>
    <n v="598"/>
    <n v="485245"/>
    <m/>
    <m/>
    <s v="MM2-EM20PC(WH) 485245"/>
    <n v="788"/>
    <n v="0.75888324873096447"/>
    <s v="Toshiba SRP"/>
    <s v="DA141"/>
    <s v="DA141485245"/>
  </r>
  <r>
    <n v="725"/>
    <s v="Broadway"/>
    <s v="Diamond Hill_1"/>
    <x v="11"/>
    <n v="3"/>
    <x v="4"/>
    <x v="74"/>
    <s v="4合1氣炸微波蒸焗爐(25公升)"/>
    <s v="細電"/>
    <s v="MCA"/>
    <s v="str25"/>
    <n v="1"/>
    <n v="3478"/>
    <n v="3478"/>
    <n v="249666"/>
    <m/>
    <m/>
    <s v="MX2-STR25SC(WH) 249666"/>
    <n v="4998"/>
    <n v="0.69587835134053622"/>
    <s v="Toshiba SRP"/>
    <s v="DA141"/>
    <s v="DA141249666"/>
  </r>
  <r>
    <n v="726"/>
    <s v="Broadway"/>
    <s v="Diamond Hill_1"/>
    <x v="11"/>
    <n v="3"/>
    <x v="4"/>
    <x v="74"/>
    <s v="4合1氣炸微波蒸焗爐(25公升)"/>
    <s v="細電"/>
    <s v="MCA"/>
    <s v="str25"/>
    <n v="1"/>
    <n v="3478"/>
    <n v="3478"/>
    <n v="249668"/>
    <m/>
    <m/>
    <s v="MX2-STR25SC(WH) 249668"/>
    <n v="4998"/>
    <n v="0.69587835134053622"/>
    <s v="Toshiba SRP"/>
    <s v="DA141"/>
    <s v="DA141249668"/>
  </r>
  <r>
    <n v="727"/>
    <s v="Broadway"/>
    <s v="Diamond Hill_1"/>
    <x v="11"/>
    <n v="3"/>
    <x v="4"/>
    <x v="74"/>
    <s v="4合1氣炸微波蒸焗爐(25公升)"/>
    <s v="細電"/>
    <s v="MCA"/>
    <s v="str25"/>
    <n v="1"/>
    <n v="3478"/>
    <n v="3478"/>
    <n v="249664"/>
    <m/>
    <m/>
    <s v="MX2-STR25SC(WH) 249664"/>
    <n v="4998"/>
    <n v="0.69587835134053622"/>
    <s v="Toshiba SRP"/>
    <s v="DA141"/>
    <s v="DA141249664"/>
  </r>
  <r>
    <n v="728"/>
    <s v="Broadway"/>
    <s v="Diamond Hill_1"/>
    <x v="11"/>
    <n v="3"/>
    <x v="4"/>
    <x v="74"/>
    <s v="4合1氣炸微波蒸焗爐(25公升)"/>
    <s v="細電"/>
    <s v="MCA"/>
    <s v="str25"/>
    <n v="1"/>
    <n v="3478"/>
    <n v="3478"/>
    <n v="248660"/>
    <m/>
    <m/>
    <s v="MX2-STR25SC(WH) 248660"/>
    <n v="4998"/>
    <n v="0.69587835134053622"/>
    <s v="Toshiba SRP"/>
    <s v="DA141"/>
    <s v="DA141248660"/>
  </r>
  <r>
    <n v="729"/>
    <s v="Broadway"/>
    <s v="Diamond Hill_1"/>
    <x v="11"/>
    <n v="3"/>
    <x v="26"/>
    <x v="36"/>
    <s v="輕觸式微波爐 (20公升)"/>
    <s v="細電"/>
    <s v="MCA"/>
    <s v="em20"/>
    <n v="1"/>
    <n v="598"/>
    <n v="598"/>
    <n v="250038"/>
    <m/>
    <m/>
    <s v="MM2-EM20PC(WH) 250038"/>
    <n v="788"/>
    <n v="0.75888324873096447"/>
    <s v="Toshiba SRP"/>
    <s v="DA141"/>
    <s v="DA141250038"/>
  </r>
  <r>
    <n v="730"/>
    <s v="Broadway"/>
    <s v="Diamond Hill_1"/>
    <x v="11"/>
    <n v="3"/>
    <x v="26"/>
    <x v="27"/>
    <s v="4毫米厚釜電飯煲1.8L"/>
    <s v="細電"/>
    <s v="SDA"/>
    <s v="18nmf"/>
    <n v="1"/>
    <n v="798"/>
    <n v="798"/>
    <n v="8639"/>
    <m/>
    <m/>
    <s v="RC-18NMFIH(WT) 8639"/>
    <n v="998"/>
    <n v="0.79959919839679361"/>
    <s v="Toshiba SRP"/>
    <s v="DA141"/>
    <s v="DA1418639"/>
  </r>
  <r>
    <n v="731"/>
    <s v="Broadway"/>
    <s v="Diamond Hill_1"/>
    <x v="11"/>
    <n v="3"/>
    <x v="26"/>
    <x v="48"/>
    <s v="3合1 微波蒸焗爐 (20公升)"/>
    <s v="細電"/>
    <s v="MCA"/>
    <s v="tt20"/>
    <n v="1"/>
    <n v="2480"/>
    <n v="2480"/>
    <n v="250041"/>
    <m/>
    <m/>
    <s v="MX2-TT20SC(WH) 250041"/>
    <n v="3580"/>
    <n v="0.69273743016759781"/>
    <s v="Toshiba SRP"/>
    <s v="DA141"/>
    <s v="DA141250041"/>
  </r>
  <r>
    <n v="732"/>
    <s v="Broadway"/>
    <s v="Diamond Hill_1"/>
    <x v="11"/>
    <n v="3"/>
    <x v="27"/>
    <x v="36"/>
    <s v="輕觸式微波爐 (20公升)"/>
    <s v="細電"/>
    <s v="MCA"/>
    <s v="em20"/>
    <n v="1"/>
    <n v="598"/>
    <n v="598"/>
    <n v="250116"/>
    <m/>
    <m/>
    <s v="MM2-EM20PC(WH) 250116"/>
    <n v="788"/>
    <n v="0.75888324873096447"/>
    <s v="Toshiba SRP"/>
    <s v="DA141"/>
    <s v="DA141250116"/>
  </r>
  <r>
    <n v="733"/>
    <s v="Broadway"/>
    <s v="Diamond Hill_1"/>
    <x v="11"/>
    <n v="3"/>
    <x v="27"/>
    <x v="74"/>
    <s v="4合1氣炸微波蒸焗爐(25公升)"/>
    <s v="細電"/>
    <s v="MCA"/>
    <s v="str25"/>
    <n v="1"/>
    <n v="3180"/>
    <n v="3180"/>
    <n v="250119"/>
    <m/>
    <m/>
    <s v="MX2-STR25SC(WH) 250119"/>
    <n v="4998"/>
    <n v="0.6362545018007203"/>
    <s v="Toshiba SRP"/>
    <s v="DA141"/>
    <s v="DA141250119"/>
  </r>
  <r>
    <n v="734"/>
    <s v="Broadway"/>
    <s v="Diamond Hill_1"/>
    <x v="11"/>
    <n v="3"/>
    <x v="27"/>
    <x v="53"/>
    <s v="IH磁應電飯煲"/>
    <s v="細電"/>
    <s v="SDA"/>
    <s v="dr10t"/>
    <n v="1"/>
    <n v="2380"/>
    <n v="2380"/>
    <n v="1462"/>
    <m/>
    <m/>
    <s v="RC-DR10T(R) 1462"/>
    <n v="3188"/>
    <n v="0.74654956085319946"/>
    <s v="Toshiba SRP"/>
    <s v="DA141"/>
    <s v="DA1411462"/>
  </r>
  <r>
    <n v="735"/>
    <s v="Apita"/>
    <s v="Tai Koo_1"/>
    <x v="12"/>
    <n v="3"/>
    <x v="0"/>
    <x v="36"/>
    <s v="輕觸式微波爐 (20公升)"/>
    <s v="細電"/>
    <s v="MCA"/>
    <s v="em20"/>
    <n v="1"/>
    <n v="598"/>
    <n v="598"/>
    <n v="288951"/>
    <m/>
    <m/>
    <s v="MM2-EM20PC(WH) 288951"/>
    <n v="788"/>
    <n v="0.75888324873096447"/>
    <s v="Toshiba SRP"/>
    <s v="DA141"/>
    <s v="DA141288951"/>
  </r>
  <r>
    <n v="736"/>
    <s v="Apita"/>
    <s v="Tai Koo_1"/>
    <x v="12"/>
    <n v="3"/>
    <x v="0"/>
    <x v="61"/>
    <s v="酵活炊電飯煲(1.8公升)"/>
    <s v="細電"/>
    <s v="SDA"/>
    <s v="18amx"/>
    <n v="1"/>
    <n v="990"/>
    <n v="990"/>
    <n v="288929"/>
    <m/>
    <m/>
    <s v="RC-18AMXH(W) 288929"/>
    <n v="1588"/>
    <n v="0.62342569269521408"/>
    <s v="Toshiba SRP"/>
    <s v="DA141"/>
    <s v="DA141288929"/>
  </r>
  <r>
    <n v="737"/>
    <s v="Apita"/>
    <s v="Tai Koo_1"/>
    <x v="12"/>
    <n v="3"/>
    <x v="0"/>
    <x v="29"/>
    <s v="酵活炊磁應電飯煲"/>
    <s v="細電"/>
    <s v="SDA"/>
    <s v="10bh"/>
    <n v="1"/>
    <n v="1688"/>
    <n v="1688"/>
    <n v="289135"/>
    <m/>
    <m/>
    <s v="RC-10BHH(W) 289135"/>
    <n v="2088"/>
    <n v="0.80842911877394641"/>
    <s v="Shops Highest Price"/>
    <s v="DA141"/>
    <s v="DA141289135"/>
  </r>
  <r>
    <n v="738"/>
    <s v="Apita"/>
    <s v="Tai Koo_1"/>
    <x v="12"/>
    <n v="3"/>
    <x v="1"/>
    <x v="30"/>
    <s v="旋鈕式燒烤微波爐20L"/>
    <s v="細電"/>
    <s v="SDA"/>
    <s v="mm20"/>
    <n v="1"/>
    <n v="488"/>
    <n v="488"/>
    <n v="290784"/>
    <m/>
    <m/>
    <s v="MWP-MM20P(WH) 290784"/>
    <n v="648"/>
    <n v="0.75308641975308643"/>
    <s v="Toshiba SRP"/>
    <s v="DA141"/>
    <s v="DA141290784"/>
  </r>
  <r>
    <n v="739"/>
    <s v="Apita"/>
    <s v="Tai Koo_1"/>
    <x v="12"/>
    <n v="3"/>
    <x v="1"/>
    <x v="76"/>
    <s v="日式洗衣機 (7公斤 結合高低水位)"/>
    <s v="大電"/>
    <s v="LAD"/>
    <s v="q801"/>
    <n v="1"/>
    <n v="1782"/>
    <n v="1782"/>
    <n v="290824"/>
    <m/>
    <m/>
    <s v="AW-Q801APH(WW) 290824"/>
    <n v="3380"/>
    <n v="0.52721893491124261"/>
    <s v="Toshiba SRP"/>
    <s v="DA141"/>
    <s v="DA141290824"/>
  </r>
  <r>
    <n v="740"/>
    <s v="Apita"/>
    <s v="Tai Koo_1"/>
    <x v="12"/>
    <n v="3"/>
    <x v="1"/>
    <x v="76"/>
    <s v="日式洗衣機 (7公斤 結合高低水位)"/>
    <s v="大電"/>
    <s v="LAD"/>
    <s v="q801"/>
    <n v="1"/>
    <n v="1782"/>
    <n v="1782"/>
    <n v="290809"/>
    <m/>
    <m/>
    <s v="AW-Q801APH(WW) 290809"/>
    <n v="3380"/>
    <n v="0.52721893491124261"/>
    <s v="Toshiba SRP"/>
    <s v="DA141"/>
    <s v="DA141290809"/>
  </r>
  <r>
    <n v="741"/>
    <s v="Apita"/>
    <s v="Tai Koo_1"/>
    <x v="12"/>
    <n v="3"/>
    <x v="1"/>
    <x v="42"/>
    <s v="變頻下置式雙門雪櫃系列270L"/>
    <s v="大電"/>
    <s v="REF"/>
    <s v="rb360"/>
    <n v="1"/>
    <n v="3609"/>
    <n v="3609"/>
    <n v="290857"/>
    <m/>
    <m/>
    <s v="GR-RB360WE-PMA(06) 290857"/>
    <n v="5080"/>
    <n v="0.71043307086614171"/>
    <s v="Toshiba SRP"/>
    <s v="DA141"/>
    <s v="DA141290857"/>
  </r>
  <r>
    <n v="742"/>
    <s v="Apita"/>
    <s v="Tai Koo_1"/>
    <x v="12"/>
    <n v="3"/>
    <x v="2"/>
    <x v="76"/>
    <s v="日式洗衣機 (7公斤 結合高低水位)"/>
    <s v="大電"/>
    <s v="LAD"/>
    <s v="q801"/>
    <n v="1"/>
    <n v="1980"/>
    <n v="1980"/>
    <n v="291138"/>
    <m/>
    <m/>
    <s v="AW-Q801APH(WW) 291138"/>
    <n v="3380"/>
    <n v="0.58579881656804733"/>
    <s v="Toshiba SRP"/>
    <s v="DA141"/>
    <s v="DA141291138"/>
  </r>
  <r>
    <n v="743"/>
    <s v="Apita"/>
    <s v="Tai Koo_1"/>
    <x v="12"/>
    <n v="3"/>
    <x v="2"/>
    <x v="59"/>
    <s v="30公升蒸氣焗爐"/>
    <s v="細電"/>
    <s v="MCA"/>
    <s v="str30"/>
    <n v="1"/>
    <n v="3980"/>
    <n v="3980"/>
    <n v="291145"/>
    <m/>
    <m/>
    <s v="MS5-STR30SC(BK) 291145"/>
    <n v="5998"/>
    <n v="0.66355451817272426"/>
    <s v="Shops Highest Price"/>
    <s v="DA141"/>
    <s v="DA141291145"/>
  </r>
  <r>
    <n v="744"/>
    <s v="Apita"/>
    <s v="Tai Koo_1"/>
    <x v="12"/>
    <n v="3"/>
    <x v="3"/>
    <x v="28"/>
    <s v="無線雙層電熱水壺-附可鎖壺蓋(0.8公升)"/>
    <s v="細電"/>
    <s v="SDA"/>
    <s v="08dh"/>
    <n v="1"/>
    <n v="268"/>
    <n v="268"/>
    <n v="292841"/>
    <m/>
    <m/>
    <s v="KT-08DH1VHK(W) 292841"/>
    <n v="428"/>
    <n v="0.62616822429906538"/>
    <s v="Toshiba SRP"/>
    <s v="DA141"/>
    <s v="DA141292841"/>
  </r>
  <r>
    <n v="745"/>
    <s v="Apita"/>
    <s v="Tai Koo_1"/>
    <x v="12"/>
    <n v="3"/>
    <x v="3"/>
    <x v="28"/>
    <s v="無線雙層電熱水壺-附可鎖壺蓋(0.8公升)"/>
    <s v="細電"/>
    <s v="SDA"/>
    <s v="08dh"/>
    <n v="1"/>
    <n v="268"/>
    <n v="268"/>
    <n v="292842"/>
    <m/>
    <m/>
    <s v="KT-08DH1VHK(W) 292842"/>
    <n v="428"/>
    <n v="0.62616822429906538"/>
    <s v="Toshiba SRP"/>
    <s v="DA141"/>
    <s v="DA141292842"/>
  </r>
  <r>
    <n v="746"/>
    <s v="Apita"/>
    <s v="Tai Koo_1"/>
    <x v="12"/>
    <n v="3"/>
    <x v="3"/>
    <x v="37"/>
    <s v="電熱水瓶 (5公升)"/>
    <s v="細電"/>
    <s v="SDA"/>
    <s v="50dr"/>
    <n v="1"/>
    <n v="598"/>
    <n v="598"/>
    <n v="292919"/>
    <m/>
    <m/>
    <s v="TP-50DRUHK(W) 292919"/>
    <n v="718"/>
    <n v="0.83286908077994426"/>
    <s v="Toshiba SRP"/>
    <s v="DA141"/>
    <s v="DA141292919"/>
  </r>
  <r>
    <n v="747"/>
    <s v="Apita"/>
    <s v="Tai Koo_1"/>
    <x v="12"/>
    <n v="3"/>
    <x v="3"/>
    <x v="39"/>
    <s v="酵活炊電飯煲(1.0公升)"/>
    <s v="細電"/>
    <s v="SDA"/>
    <s v="10amx"/>
    <n v="1"/>
    <n v="990"/>
    <n v="990"/>
    <n v="292944"/>
    <m/>
    <m/>
    <s v="RC-10AMXH(W) 292944"/>
    <n v="1288"/>
    <n v="0.76863354037267084"/>
    <s v="Toshiba SRP"/>
    <s v="DA141"/>
    <s v="DA141292944"/>
  </r>
  <r>
    <n v="748"/>
    <s v="Apita"/>
    <s v="Tai Koo_1"/>
    <x v="12"/>
    <n v="3"/>
    <x v="20"/>
    <x v="20"/>
    <s v="壓縮式抽濕機 (22公升)"/>
    <s v="細電"/>
    <s v="RAC"/>
    <s v="d200"/>
    <n v="1"/>
    <n v="1880"/>
    <n v="1880"/>
    <n v="295129"/>
    <m/>
    <m/>
    <s v="RAD-D200H 295129"/>
    <n v="2880"/>
    <n v="0.65277777777777779"/>
    <s v="Shops Highest Price"/>
    <s v="DA141"/>
    <s v="DA141295129"/>
  </r>
  <r>
    <n v="749"/>
    <s v="Apita"/>
    <s v="Tai Koo_1"/>
    <x v="12"/>
    <n v="3"/>
    <x v="21"/>
    <x v="16"/>
    <s v="輕便式電磁爐"/>
    <s v="細電"/>
    <s v="SDA"/>
    <s v="20r1"/>
    <n v="1"/>
    <n v="298"/>
    <n v="298"/>
    <n v="295387"/>
    <m/>
    <m/>
    <s v="IC-20R1THK 295387"/>
    <n v="438"/>
    <n v="0.68036529680365299"/>
    <s v="Shops Highest Price"/>
    <s v="DA141"/>
    <s v="DA141295387"/>
  </r>
  <r>
    <n v="750"/>
    <s v="Apita"/>
    <s v="Tai Koo_1"/>
    <x v="12"/>
    <n v="3"/>
    <x v="21"/>
    <x v="46"/>
    <s v="電熱水瓶 (2.5公升)"/>
    <s v="細電"/>
    <s v="SDA"/>
    <s v="25dr"/>
    <n v="1"/>
    <n v="398"/>
    <n v="398"/>
    <n v="295386"/>
    <m/>
    <m/>
    <s v="TP-25DR2UHK(W) 295386"/>
    <n v="538"/>
    <n v="0.7397769516728625"/>
    <s v="Toshiba SRP"/>
    <s v="DA141"/>
    <s v="DA141295386"/>
  </r>
  <r>
    <n v="751"/>
    <s v="Apita"/>
    <s v="Tai Koo_1"/>
    <x v="12"/>
    <n v="3"/>
    <x v="21"/>
    <x v="61"/>
    <s v="酵活炊電飯煲(1.8公升)"/>
    <s v="細電"/>
    <s v="SDA"/>
    <s v="18amx"/>
    <n v="1"/>
    <n v="990"/>
    <n v="990"/>
    <n v="295544"/>
    <m/>
    <m/>
    <s v="RC-18AMXH(W) 295544"/>
    <n v="1588"/>
    <n v="0.62342569269521408"/>
    <s v="Toshiba SRP"/>
    <s v="DA141"/>
    <s v="DA141295544"/>
  </r>
  <r>
    <n v="752"/>
    <s v="Apita"/>
    <s v="Tai Koo_1"/>
    <x v="12"/>
    <n v="3"/>
    <x v="21"/>
    <x v="61"/>
    <s v="酵活炊電飯煲(1.8公升)"/>
    <s v="細電"/>
    <s v="SDA"/>
    <s v="18amx"/>
    <n v="1"/>
    <n v="990"/>
    <n v="990"/>
    <n v="295653"/>
    <m/>
    <m/>
    <s v="RC-18AMXH(W) 295653"/>
    <n v="1588"/>
    <n v="0.62342569269521408"/>
    <s v="Toshiba SRP"/>
    <s v="DA141"/>
    <s v="DA141295653"/>
  </r>
  <r>
    <n v="753"/>
    <s v="Apita"/>
    <s v="Tai Koo_1"/>
    <x v="12"/>
    <n v="3"/>
    <x v="21"/>
    <x v="77"/>
    <s v="470MM超薄身前置式變頻洗衣乾衣機 (洗8.5公斤/乾6公斤, 可飛頂)"/>
    <s v="大電"/>
    <s v="LAD"/>
    <s v="twdt22"/>
    <n v="1"/>
    <n v="4780"/>
    <n v="4780"/>
    <n v="295668"/>
    <m/>
    <m/>
    <s v="TWD-T22BU95UWH(WK)-B 295668"/>
    <n v="7480"/>
    <n v="0.63903743315508021"/>
    <s v="Toshiba SRP"/>
    <s v="DA141"/>
    <s v="DA141295668"/>
  </r>
  <r>
    <n v="754"/>
    <s v="Apita"/>
    <s v="Tai Koo_1"/>
    <x v="12"/>
    <n v="3"/>
    <x v="30"/>
    <x v="61"/>
    <s v="酵活炊電飯煲(1.8公升)"/>
    <s v="細電"/>
    <s v="SDA"/>
    <s v="18amx"/>
    <n v="1"/>
    <n v="990"/>
    <n v="990"/>
    <n v="295797"/>
    <m/>
    <m/>
    <s v="RC-18AMXH(W) 295797"/>
    <n v="1588"/>
    <n v="0.62342569269521408"/>
    <s v="Toshiba SRP"/>
    <s v="DA141"/>
    <s v="DA141295797"/>
  </r>
  <r>
    <n v="755"/>
    <s v="Apita"/>
    <s v="Tai Koo_1"/>
    <x v="12"/>
    <n v="3"/>
    <x v="30"/>
    <x v="74"/>
    <s v="4合1氣炸微波蒸焗爐(25公升)"/>
    <s v="細電"/>
    <s v="MCA"/>
    <s v="str25"/>
    <n v="1"/>
    <n v="3580"/>
    <n v="3580"/>
    <n v="296014"/>
    <m/>
    <m/>
    <s v="MX2-STR25SC(WH) 296014"/>
    <n v="4998"/>
    <n v="0.71628651460584236"/>
    <s v="Toshiba SRP"/>
    <s v="DA141"/>
    <s v="DA141296014"/>
  </r>
  <r>
    <n v="756"/>
    <s v="Apita"/>
    <s v="Tai Koo_1"/>
    <x v="12"/>
    <n v="3"/>
    <x v="22"/>
    <x v="51"/>
    <s v="IH磁應電飯煲"/>
    <s v="細電"/>
    <s v="SDA"/>
    <s v="dr10tw"/>
    <n v="1"/>
    <n v="2380"/>
    <n v="2380"/>
    <n v="296167"/>
    <m/>
    <m/>
    <s v="RC-DR10T(W) 296167"/>
    <n v="3188"/>
    <n v="0.74654956085319946"/>
    <s v="Toshiba SRP"/>
    <s v="DA141"/>
    <s v="DA141296167"/>
  </r>
  <r>
    <n v="757"/>
    <s v="Apita"/>
    <s v="Tai Koo_1"/>
    <x v="12"/>
    <n v="3"/>
    <x v="22"/>
    <x v="20"/>
    <s v="壓縮式抽濕機 (22公升)"/>
    <s v="細電"/>
    <s v="RAC"/>
    <s v="d200"/>
    <n v="3"/>
    <n v="1880"/>
    <n v="5640"/>
    <n v="296221"/>
    <m/>
    <m/>
    <s v="RAD-D200H 296221"/>
    <n v="2880"/>
    <n v="0.65277777777777779"/>
    <s v="Shops Highest Price"/>
    <s v="DA141"/>
    <s v="DA141296221"/>
  </r>
  <r>
    <n v="758"/>
    <s v="Apita"/>
    <s v="Tai Koo_1"/>
    <x v="12"/>
    <n v="3"/>
    <x v="22"/>
    <x v="39"/>
    <s v="酵活炊電飯煲(1.0公升)"/>
    <s v="細電"/>
    <s v="SDA"/>
    <s v="10amx"/>
    <n v="1"/>
    <n v="990"/>
    <n v="990"/>
    <n v="296252"/>
    <m/>
    <m/>
    <s v="RC-10AMXH(W) 296252"/>
    <n v="1288"/>
    <n v="0.76863354037267084"/>
    <s v="Toshiba SRP"/>
    <s v="DA141"/>
    <s v="DA141296252"/>
  </r>
  <r>
    <n v="759"/>
    <s v="Apita"/>
    <s v="Tai Koo_1"/>
    <x v="12"/>
    <n v="3"/>
    <x v="22"/>
    <x v="24"/>
    <s v="微型電腦珍珠飯煲"/>
    <s v="細電"/>
    <s v="SDA"/>
    <s v="5sli"/>
    <n v="1"/>
    <n v="550"/>
    <n v="550"/>
    <n v="296357"/>
    <m/>
    <m/>
    <s v="RC-5SLIH(W) 296357"/>
    <n v="658"/>
    <n v="0.83586626139817632"/>
    <s v="Toshiba SRP"/>
    <s v="DA141"/>
    <s v="DA141296357"/>
  </r>
  <r>
    <n v="760"/>
    <s v="Apita"/>
    <s v="Tai Koo_1"/>
    <x v="12"/>
    <n v="3"/>
    <x v="22"/>
    <x v="29"/>
    <s v="酵活炊磁應電飯煲"/>
    <s v="細電"/>
    <s v="SDA"/>
    <s v="10bh"/>
    <n v="1"/>
    <n v="1688"/>
    <n v="1688"/>
    <n v="296483"/>
    <m/>
    <m/>
    <s v="RC-10BHH(W) 296483"/>
    <n v="2088"/>
    <n v="0.80842911877394641"/>
    <s v="Shops Highest Price"/>
    <s v="DA141"/>
    <s v="DA141296483"/>
  </r>
  <r>
    <n v="761"/>
    <s v="Apita"/>
    <s v="Tai Koo_1"/>
    <x v="12"/>
    <n v="3"/>
    <x v="26"/>
    <x v="37"/>
    <s v="電熱水瓶 (5公升)"/>
    <s v="細電"/>
    <s v="SDA"/>
    <s v="50dr"/>
    <n v="1"/>
    <n v="598"/>
    <n v="598"/>
    <n v="297437"/>
    <m/>
    <m/>
    <s v="TP-50DRUHK(W) 297437"/>
    <n v="718"/>
    <n v="0.83286908077994426"/>
    <s v="Toshiba SRP"/>
    <s v="DA141"/>
    <s v="DA141297437"/>
  </r>
  <r>
    <n v="762"/>
    <s v="Apita"/>
    <s v="Tai Koo_1"/>
    <x v="12"/>
    <n v="3"/>
    <x v="26"/>
    <x v="17"/>
    <s v="4毫米厚釜電飯煲1L"/>
    <s v="細電"/>
    <s v="SDA"/>
    <s v="10nmf"/>
    <n v="2"/>
    <n v="718"/>
    <n v="1436"/>
    <n v="297581"/>
    <m/>
    <m/>
    <s v="RC-10NMFIH(WT) 297581"/>
    <n v="898"/>
    <n v="0.79955456570155903"/>
    <s v="Toshiba SRP"/>
    <s v="DA141"/>
    <s v="DA141297581"/>
  </r>
  <r>
    <n v="763"/>
    <s v="Apita"/>
    <s v="Tai Koo_1"/>
    <x v="12"/>
    <n v="3"/>
    <x v="26"/>
    <x v="39"/>
    <s v="酵活炊電飯煲(1.0公升)"/>
    <s v="細電"/>
    <s v="SDA"/>
    <s v="10amx"/>
    <n v="1"/>
    <n v="990"/>
    <n v="990"/>
    <n v="297592"/>
    <m/>
    <m/>
    <s v="RC-10AMXH(W) 297592"/>
    <n v="1288"/>
    <n v="0.76863354037267084"/>
    <s v="Toshiba SRP"/>
    <s v="DA141"/>
    <s v="DA141297592"/>
  </r>
  <r>
    <n v="764"/>
    <s v="Sogo"/>
    <s v="Kai Tak_2"/>
    <x v="13"/>
    <n v="3"/>
    <x v="0"/>
    <x v="24"/>
    <s v="微型電腦珍珠飯煲"/>
    <s v="細電"/>
    <s v="SDA"/>
    <s v="5sli"/>
    <n v="1"/>
    <n v="592"/>
    <n v="592"/>
    <s v="S562-0099"/>
    <m/>
    <m/>
    <s v="RC-5SLIH(W) S562-0099"/>
    <n v="658"/>
    <n v="0.89969604863221886"/>
    <s v="Toshiba SRP"/>
    <s v="DA141"/>
    <s v="DA141S562-0099"/>
  </r>
  <r>
    <n v="765"/>
    <s v="Sogo"/>
    <s v="Kai Tak_2"/>
    <x v="13"/>
    <n v="3"/>
    <x v="0"/>
    <x v="21"/>
    <s v="壓縮式抽濕機 (30公升)"/>
    <s v="細電"/>
    <s v="RAC"/>
    <s v="d300"/>
    <n v="1"/>
    <n v="2280"/>
    <n v="2280"/>
    <s v="S562-0100"/>
    <m/>
    <m/>
    <s v="RAD-D300H S562-0100"/>
    <n v="3380"/>
    <n v="0.67455621301775148"/>
    <s v="Shops Highest Price"/>
    <s v="DA141"/>
    <s v="DA141S562-0100"/>
  </r>
  <r>
    <n v="766"/>
    <s v="Sogo"/>
    <s v="Kai Tak_2"/>
    <x v="13"/>
    <n v="3"/>
    <x v="0"/>
    <x v="21"/>
    <s v="壓縮式抽濕機 (30公升)"/>
    <s v="細電"/>
    <s v="RAC"/>
    <s v="d300"/>
    <n v="1"/>
    <n v="2280"/>
    <n v="2280"/>
    <s v="S562-0101"/>
    <m/>
    <m/>
    <s v="RAD-D300H S562-0101"/>
    <n v="3380"/>
    <n v="0.67455621301775148"/>
    <s v="Shops Highest Price"/>
    <s v="DA141"/>
    <s v="DA141S562-0101"/>
  </r>
  <r>
    <n v="767"/>
    <s v="Sogo"/>
    <s v="Kai Tak_2"/>
    <x v="13"/>
    <n v="3"/>
    <x v="0"/>
    <x v="28"/>
    <s v="無線雙層電熱水壺-附可鎖壺蓋(0.8公升)"/>
    <s v="細電"/>
    <s v="SDA"/>
    <s v="08dh"/>
    <n v="1"/>
    <n v="268"/>
    <n v="268"/>
    <s v="S562-0102"/>
    <m/>
    <m/>
    <s v="KT-08DH1VHK(W) S562-0102"/>
    <n v="428"/>
    <n v="0.62616822429906538"/>
    <s v="Toshiba SRP"/>
    <s v="DA141"/>
    <s v="DA141S562-0102"/>
  </r>
  <r>
    <n v="768"/>
    <s v="Sogo"/>
    <s v="Kai Tak_2"/>
    <x v="13"/>
    <n v="3"/>
    <x v="0"/>
    <x v="45"/>
    <s v="備長炭本厚釜電飯煲0.7L"/>
    <s v="細電"/>
    <s v="SDA"/>
    <s v="7hmh"/>
    <n v="1"/>
    <n v="838"/>
    <n v="838"/>
    <s v="S056-24625"/>
    <m/>
    <m/>
    <s v="RC-7HMH S056-24625"/>
    <n v="1288"/>
    <n v="0.65062111801242239"/>
    <s v="Toshiba SRP"/>
    <s v="DA141"/>
    <s v="DA141S056-24625"/>
  </r>
  <r>
    <n v="769"/>
    <s v="Sogo"/>
    <s v="Kai Tak_2"/>
    <x v="13"/>
    <n v="3"/>
    <x v="0"/>
    <x v="46"/>
    <s v="電熱水瓶 (2.5公升)"/>
    <s v="細電"/>
    <s v="SDA"/>
    <s v="25dr"/>
    <n v="1"/>
    <n v="398"/>
    <n v="398"/>
    <s v="S056-24628"/>
    <m/>
    <m/>
    <s v="TP-25DR2UHK(W) S056-24628"/>
    <n v="538"/>
    <n v="0.7397769516728625"/>
    <s v="Toshiba SRP"/>
    <s v="DA141"/>
    <s v="DA141S056-24628"/>
  </r>
  <r>
    <n v="770"/>
    <s v="Sogo"/>
    <s v="Kai Tak_2"/>
    <x v="13"/>
    <n v="3"/>
    <x v="5"/>
    <x v="21"/>
    <s v="壓縮式抽濕機 (30公升)"/>
    <s v="細電"/>
    <s v="RAC"/>
    <s v="d300"/>
    <n v="1"/>
    <n v="2280"/>
    <n v="2280"/>
    <s v="S562-0102"/>
    <m/>
    <m/>
    <s v="RAD-D300H S562-0102"/>
    <n v="3380"/>
    <n v="0.67455621301775148"/>
    <s v="Shops Highest Price"/>
    <s v="DA141"/>
    <s v="DA141S562-0102"/>
  </r>
  <r>
    <n v="771"/>
    <s v="Sogo"/>
    <s v="Kai Tak_2"/>
    <x v="13"/>
    <n v="3"/>
    <x v="5"/>
    <x v="40"/>
    <s v="400MM超薄身前置式變頻洗衣機(7公斤)"/>
    <s v="大電"/>
    <s v="LAD"/>
    <s v="bu80"/>
    <n v="1"/>
    <n v="3180"/>
    <n v="3180"/>
    <s v="S562-0104"/>
    <m/>
    <m/>
    <s v="TW-T21BU80UWH(MG) S562-0104"/>
    <n v="5180"/>
    <n v="0.61389961389961389"/>
    <s v="Toshiba SRP"/>
    <s v="DA141"/>
    <s v="DA141S562-0104"/>
  </r>
  <r>
    <n v="772"/>
    <s v="Sogo"/>
    <s v="Kai Tak_2"/>
    <x v="13"/>
    <n v="3"/>
    <x v="5"/>
    <x v="78"/>
    <s v="變頻式環保雙門雪櫃（179L）"/>
    <s v="大電"/>
    <s v="REF"/>
    <s v="rt234"/>
    <n v="1"/>
    <n v="1980"/>
    <n v="1980"/>
    <s v="S562-0104"/>
    <m/>
    <m/>
    <s v="GR-RT234WE-PMA(57) S562-0104"/>
    <n v="3680"/>
    <n v="0.53804347826086951"/>
    <s v="Toshiba SRP"/>
    <s v="DA141"/>
    <s v="DA141S562-0104"/>
  </r>
  <r>
    <n v="773"/>
    <s v="Sogo"/>
    <s v="Kai Tak_2"/>
    <x v="13"/>
    <n v="3"/>
    <x v="6"/>
    <x v="79"/>
    <s v="IH磁應電飯煲"/>
    <s v="細電"/>
    <s v="SDA"/>
    <s v="ds10k"/>
    <n v="1"/>
    <n v="2800"/>
    <n v="2800"/>
    <s v="S056-24669"/>
    <m/>
    <m/>
    <s v="RC-DS10K(R) S056-24669"/>
    <n v="4588"/>
    <n v="0.61028770706190061"/>
    <s v="Toshiba SRP"/>
    <s v="DA141"/>
    <s v="DA141S056-24669"/>
  </r>
  <r>
    <n v="774"/>
    <s v="Sogo"/>
    <s v="Kai Tak_2"/>
    <x v="13"/>
    <n v="3"/>
    <x v="6"/>
    <x v="20"/>
    <s v="壓縮式抽濕機 (22公升)"/>
    <s v="細電"/>
    <s v="RAC"/>
    <s v="d200"/>
    <n v="1"/>
    <n v="2180"/>
    <n v="2180"/>
    <s v="S562-0106"/>
    <m/>
    <m/>
    <s v="RAD-D200H S562-0106"/>
    <n v="2880"/>
    <n v="0.75694444444444442"/>
    <s v="Shops Highest Price"/>
    <s v="DA141"/>
    <s v="DA141S562-0106"/>
  </r>
  <r>
    <n v="775"/>
    <s v="Sogo"/>
    <s v="Kai Tak_2"/>
    <x v="13"/>
    <n v="3"/>
    <x v="7"/>
    <x v="21"/>
    <s v="壓縮式抽濕機 (30公升)"/>
    <s v="細電"/>
    <s v="RAC"/>
    <s v="d300"/>
    <n v="1"/>
    <n v="2280"/>
    <n v="2280"/>
    <s v="S053-2354"/>
    <m/>
    <m/>
    <s v="RAD-D300H S053-2354"/>
    <n v="3380"/>
    <n v="0.67455621301775148"/>
    <s v="Shops Highest Price"/>
    <s v="DA141"/>
    <s v="DA141S053-2354"/>
  </r>
  <r>
    <n v="776"/>
    <s v="Sogo"/>
    <s v="Kai Tak_2"/>
    <x v="13"/>
    <n v="3"/>
    <x v="7"/>
    <x v="75"/>
    <s v="日式洗衣機 (8公斤 結合高低水位)"/>
    <s v="大電"/>
    <s v="LAD"/>
    <s v="q901"/>
    <n v="1"/>
    <n v="2280"/>
    <n v="2280"/>
    <s v="S053-2359"/>
    <m/>
    <m/>
    <s v="AW-Q901BPH(WW) S053-2359"/>
    <n v="3780"/>
    <n v="0.60317460317460314"/>
    <s v="Toshiba SRP"/>
    <s v="DA141"/>
    <s v="DA141S053-2359"/>
  </r>
  <r>
    <n v="777"/>
    <s v="Sogo"/>
    <s v="Kai Tak_2"/>
    <x v="13"/>
    <n v="3"/>
    <x v="7"/>
    <x v="80"/>
    <s v="無線雙層電熱水壺(1.4公升)"/>
    <s v="細電"/>
    <s v="SDA"/>
    <s v="14dh"/>
    <n v="1"/>
    <n v="298"/>
    <n v="298"/>
    <s v="S562-0107"/>
    <m/>
    <m/>
    <s v="KT-14DHUHK(W) S562-0107"/>
    <n v="458"/>
    <n v="0.6506550218340611"/>
    <s v="Toshiba SRP"/>
    <s v="DA141"/>
    <s v="DA141S562-0107"/>
  </r>
  <r>
    <n v="778"/>
    <s v="Sogo"/>
    <s v="Kai Tak_2"/>
    <x v="13"/>
    <n v="3"/>
    <x v="7"/>
    <x v="45"/>
    <s v="備長炭本厚釜電飯煲0.7L"/>
    <s v="細電"/>
    <s v="SDA"/>
    <s v="7hmh"/>
    <n v="1"/>
    <n v="838"/>
    <n v="838"/>
    <s v="S056-24763"/>
    <m/>
    <m/>
    <s v="RC-7HMH S056-24763"/>
    <n v="1288"/>
    <n v="0.65062111801242239"/>
    <s v="Toshiba SRP"/>
    <s v="DA141"/>
    <s v="DA141S056-24763"/>
  </r>
  <r>
    <n v="779"/>
    <s v="Sogo"/>
    <s v="Kai Tak_2"/>
    <x v="13"/>
    <n v="3"/>
    <x v="1"/>
    <x v="59"/>
    <s v="30公升蒸氣焗爐"/>
    <s v="細電"/>
    <s v="MCA"/>
    <s v="str30"/>
    <n v="1"/>
    <n v="3980"/>
    <n v="3980"/>
    <s v="S056-24828"/>
    <m/>
    <m/>
    <s v="MS5-STR30SC(BK) S056-24828"/>
    <n v="5998"/>
    <n v="0.66355451817272426"/>
    <s v="Shops Highest Price"/>
    <s v="DA141"/>
    <s v="DA141S056-24828"/>
  </r>
  <r>
    <n v="780"/>
    <s v="Sogo"/>
    <s v="Kai Tak_2"/>
    <x v="13"/>
    <n v="3"/>
    <x v="1"/>
    <x v="60"/>
    <s v="酵活炊磁應電飯煲(1.5公升)"/>
    <s v="細電"/>
    <s v="SDA"/>
    <s v="15bh"/>
    <n v="1"/>
    <n v="1888"/>
    <n v="1888"/>
    <s v="S056-24868"/>
    <m/>
    <m/>
    <s v="RC-15BHH(W) S056-24868"/>
    <n v="2388"/>
    <n v="0.79061976549413737"/>
    <s v="Toshiba SRP"/>
    <s v="DA141"/>
    <s v="DA141S056-24868"/>
  </r>
  <r>
    <n v="781"/>
    <s v="Sogo"/>
    <s v="Kai Tak_2"/>
    <x v="13"/>
    <n v="3"/>
    <x v="1"/>
    <x v="51"/>
    <s v="IH磁應電飯煲"/>
    <s v="細電"/>
    <s v="SDA"/>
    <s v="dr10tw"/>
    <n v="1"/>
    <n v="2380"/>
    <n v="2380"/>
    <s v="S056-24880"/>
    <m/>
    <m/>
    <s v="RC-DR10T(W) S056-24880"/>
    <n v="3188"/>
    <n v="0.74654956085319946"/>
    <s v="Toshiba SRP"/>
    <s v="DA141"/>
    <s v="DA141S056-24880"/>
  </r>
  <r>
    <n v="782"/>
    <s v="Sogo"/>
    <s v="Kai Tak_2"/>
    <x v="13"/>
    <n v="3"/>
    <x v="1"/>
    <x v="21"/>
    <s v="壓縮式抽濕機 (30公升)"/>
    <s v="細電"/>
    <s v="RAC"/>
    <s v="d300"/>
    <n v="1"/>
    <n v="2280"/>
    <n v="2280"/>
    <s v="S056-24892"/>
    <m/>
    <m/>
    <s v="RAD-D300H S056-24892"/>
    <n v="3380"/>
    <n v="0.67455621301775148"/>
    <s v="Shops Highest Price"/>
    <s v="DA141"/>
    <s v="DA141S056-24892"/>
  </r>
  <r>
    <n v="783"/>
    <s v="Sogo"/>
    <s v="Kai Tak_2"/>
    <x v="13"/>
    <n v="3"/>
    <x v="2"/>
    <x v="40"/>
    <s v="400MM超薄身前置式變頻洗衣機(7公斤)"/>
    <s v="大電"/>
    <s v="LAD"/>
    <s v="bu80"/>
    <n v="1"/>
    <n v="3180"/>
    <n v="3180"/>
    <s v="S056-24912"/>
    <m/>
    <m/>
    <s v="TW-T21BU80UWH(MG) S056-24912"/>
    <n v="5180"/>
    <n v="0.61389961389961389"/>
    <s v="Toshiba SRP"/>
    <s v="DA141"/>
    <s v="DA141S056-24912"/>
  </r>
  <r>
    <n v="784"/>
    <s v="Sogo"/>
    <s v="Kai Tak_2"/>
    <x v="13"/>
    <n v="3"/>
    <x v="2"/>
    <x v="36"/>
    <s v="輕觸式微波爐 (20公升)"/>
    <s v="細電"/>
    <s v="MCA"/>
    <s v="em20"/>
    <n v="1"/>
    <n v="598"/>
    <n v="598"/>
    <s v="S056-24941"/>
    <m/>
    <m/>
    <s v="MM2-EM20PC(WH) S056-24941"/>
    <n v="788"/>
    <n v="0.75888324873096447"/>
    <s v="Toshiba SRP"/>
    <s v="DA141"/>
    <s v="DA141S056-24941"/>
  </r>
  <r>
    <n v="785"/>
    <s v="Sogo"/>
    <s v="Kai Tak_2"/>
    <x v="13"/>
    <n v="3"/>
    <x v="2"/>
    <x v="74"/>
    <s v="4合1氣炸微波蒸焗爐(25公升)"/>
    <s v="細電"/>
    <s v="MCA"/>
    <s v="str25"/>
    <n v="1"/>
    <n v="3580"/>
    <n v="3580"/>
    <s v="S056-24965"/>
    <m/>
    <m/>
    <s v="MX2-STR25SC(WH) S056-24965"/>
    <n v="4998"/>
    <n v="0.71628651460584236"/>
    <s v="Toshiba SRP"/>
    <s v="DA141"/>
    <s v="DA141S056-24965"/>
  </r>
  <r>
    <n v="786"/>
    <s v="Sogo"/>
    <s v="Kai Tak_2"/>
    <x v="13"/>
    <n v="3"/>
    <x v="2"/>
    <x v="48"/>
    <s v="3合1 微波蒸焗爐 (20公升)"/>
    <s v="細電"/>
    <s v="MCA"/>
    <s v="tt20"/>
    <n v="1"/>
    <n v="2580"/>
    <n v="2580"/>
    <s v="S056-24987"/>
    <m/>
    <m/>
    <s v="MX2-TT20SC(WH) S056-24987"/>
    <n v="3580"/>
    <n v="0.72067039106145248"/>
    <s v="Toshiba SRP"/>
    <s v="DA141"/>
    <s v="DA141S056-24987"/>
  </r>
  <r>
    <n v="787"/>
    <s v="Sogo"/>
    <s v="Kai Tak_2"/>
    <x v="13"/>
    <n v="3"/>
    <x v="2"/>
    <x v="17"/>
    <s v="4毫米厚釜電飯煲1L"/>
    <s v="細電"/>
    <s v="SDA"/>
    <s v="10nmf"/>
    <n v="1"/>
    <n v="718"/>
    <n v="718"/>
    <s v="S055-10237"/>
    <m/>
    <m/>
    <s v="RC-10NMFIH(WT) S055-10237"/>
    <n v="898"/>
    <n v="0.79955456570155903"/>
    <s v="Toshiba SRP"/>
    <s v="DA141"/>
    <s v="DA141S055-10237"/>
  </r>
  <r>
    <n v="788"/>
    <s v="Sogo"/>
    <s v="Kai Tak_2"/>
    <x v="13"/>
    <n v="3"/>
    <x v="2"/>
    <x v="81"/>
    <s v="470MM超薄身前置式變頻洗衣機(7.5公斤, 可飛頂)"/>
    <s v="大電"/>
    <s v="LAD"/>
    <s v="t2285"/>
    <n v="1"/>
    <n v="3480"/>
    <n v="3480"/>
    <s v="S056-25006"/>
    <m/>
    <m/>
    <s v="TW-T22BU85UWH(WK)-B S056-25006"/>
    <n v="5480"/>
    <n v="0.63503649635036497"/>
    <s v="Toshiba SRP"/>
    <s v="DA141"/>
    <s v="DA141S056-25006"/>
  </r>
  <r>
    <n v="789"/>
    <s v="Aeon"/>
    <s v="Tsuen Wan"/>
    <x v="14"/>
    <n v="3"/>
    <x v="0"/>
    <x v="11"/>
    <s v="座檯式純蒸氣烤焗水波爐30L"/>
    <s v="細電"/>
    <s v="SDA"/>
    <s v="td5000"/>
    <n v="1"/>
    <n v="3588"/>
    <n v="3588"/>
    <n v="6004071"/>
    <m/>
    <m/>
    <s v="ER-TD5000HK(XK) 6004071"/>
    <n v="7998"/>
    <n v="0.44861215303825958"/>
    <s v="Toshiba SRP"/>
    <s v="DA141"/>
    <s v="DA1416004071"/>
  </r>
  <r>
    <n v="790"/>
    <s v="Aeon"/>
    <s v="Tsuen Wan"/>
    <x v="14"/>
    <n v="3"/>
    <x v="0"/>
    <x v="2"/>
    <s v="雙門變頻式環保雪櫃"/>
    <s v="大電"/>
    <s v="AC"/>
    <s v="a26hsz"/>
    <n v="1"/>
    <n v="1500"/>
    <n v="1500"/>
    <n v="6004022"/>
    <m/>
    <m/>
    <s v="GR-A26HSZ(DS) 6004022"/>
    <n v="3780"/>
    <n v="0.3968253968253968"/>
    <s v="Toshiba SRP"/>
    <s v="DA141"/>
    <s v="DA1416004022"/>
  </r>
  <r>
    <n v="791"/>
    <s v="Aeon"/>
    <s v="Tsuen Wan"/>
    <x v="14"/>
    <n v="3"/>
    <x v="0"/>
    <x v="0"/>
    <s v="超薄身前置式洗衣乾衣機 (洗8公斤 乾5公斤)"/>
    <s v="大電"/>
    <s v="WM"/>
    <s v="bn90"/>
    <n v="1"/>
    <n v="3588"/>
    <n v="3588"/>
    <n v="6036834"/>
    <m/>
    <m/>
    <s v="TWD-BN90GF4H(WK) 6036834"/>
    <n v="5980"/>
    <n v="0.6"/>
    <s v="Toshiba SRP"/>
    <s v="DA141"/>
    <s v="DA1416036834"/>
  </r>
  <r>
    <n v="792"/>
    <s v="Aeon"/>
    <s v="Tsuen Wan"/>
    <x v="14"/>
    <n v="3"/>
    <x v="0"/>
    <x v="14"/>
    <s v="21L壓縮式抽濕機"/>
    <s v="大電"/>
    <s v="RAC"/>
    <s v="y200"/>
    <n v="1"/>
    <n v="1500"/>
    <n v="1500"/>
    <n v="6036823"/>
    <m/>
    <m/>
    <s v="RAD-Y200H 6036823"/>
    <n v="3280"/>
    <n v="0.45731707317073172"/>
    <s v="Toshiba SRP"/>
    <s v="DA141"/>
    <s v="DA1416036823"/>
  </r>
  <r>
    <n v="793"/>
    <s v="Aeon"/>
    <s v="Tsuen Wan"/>
    <x v="14"/>
    <n v="3"/>
    <x v="0"/>
    <x v="5"/>
    <s v="全自動洗衣機 (8公斤 結合高低水位)"/>
    <s v="大電"/>
    <s v="WM"/>
    <s v="m901"/>
    <n v="1"/>
    <n v="1500"/>
    <n v="1500"/>
    <n v="6036830"/>
    <m/>
    <m/>
    <s v="AW-M901BPH(WW) 6036830"/>
    <n v="3580"/>
    <n v="0.41899441340782123"/>
    <s v="Toshiba SRP"/>
    <s v="DA141"/>
    <s v="DA1416036830"/>
  </r>
  <r>
    <n v="794"/>
    <s v="Aeon"/>
    <s v="Tsuen Wan"/>
    <x v="14"/>
    <n v="3"/>
    <x v="0"/>
    <x v="0"/>
    <s v="超薄身前置式洗衣乾衣機 (洗8公斤 乾5公斤)"/>
    <s v="大電"/>
    <s v="WM"/>
    <s v="bn90"/>
    <n v="1"/>
    <n v="3588"/>
    <n v="3588"/>
    <n v="6036085"/>
    <m/>
    <m/>
    <s v="TWD-BN90GF4H(WK) 6036085"/>
    <n v="5980"/>
    <n v="0.6"/>
    <s v="Toshiba SRP"/>
    <s v="DA141"/>
    <s v="DA1416036085"/>
  </r>
  <r>
    <n v="795"/>
    <s v="Aeon"/>
    <s v="Tsuen Wan"/>
    <x v="14"/>
    <n v="3"/>
    <x v="0"/>
    <x v="5"/>
    <s v="全自動洗衣機 (8公斤 結合高低水位)"/>
    <s v="大電"/>
    <s v="WM"/>
    <s v="m901"/>
    <n v="1"/>
    <n v="1500"/>
    <n v="1500"/>
    <n v="6031841"/>
    <m/>
    <m/>
    <s v="AW-M901BPH(WW) 6031841"/>
    <n v="3580"/>
    <n v="0.41899441340782123"/>
    <s v="Toshiba SRP"/>
    <s v="DA141"/>
    <s v="DA1416031841"/>
  </r>
  <r>
    <n v="796"/>
    <s v="Aeon"/>
    <s v="Tsuen Wan"/>
    <x v="14"/>
    <n v="3"/>
    <x v="0"/>
    <x v="5"/>
    <s v="全自動洗衣機 (8公斤 結合高低水位)"/>
    <s v="大電"/>
    <s v="WM"/>
    <s v="m901"/>
    <n v="1"/>
    <n v="1500"/>
    <n v="1500"/>
    <n v="6004032"/>
    <m/>
    <m/>
    <s v="AW-M901BPH(WW) 6004032"/>
    <n v="3580"/>
    <n v="0.41899441340782123"/>
    <s v="Toshiba SRP"/>
    <s v="DA141"/>
    <s v="DA1416004032"/>
  </r>
  <r>
    <n v="797"/>
    <s v="Aeon"/>
    <s v="Tsuen Wan"/>
    <x v="14"/>
    <n v="3"/>
    <x v="0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s v="DA141"/>
    <s v="DA141"/>
  </r>
  <r>
    <n v="798"/>
    <s v="Aeon"/>
    <s v="Tsuen Wan"/>
    <x v="14"/>
    <n v="3"/>
    <x v="0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s v="DA141"/>
    <s v="DA141"/>
  </r>
  <r>
    <n v="799"/>
    <s v="Aeon"/>
    <s v="Tsuen Wan"/>
    <x v="14"/>
    <n v="3"/>
    <x v="0"/>
    <x v="1"/>
    <s v="磁應電飯煲(1.5公升)"/>
    <s v="細電"/>
    <s v="SDA"/>
    <s v="15ist"/>
    <n v="11"/>
    <n v="500"/>
    <n v="5500"/>
    <m/>
    <m/>
    <m/>
    <s v="RC-15ISTHK(W) "/>
    <n v="1688"/>
    <n v="0.29620853080568721"/>
    <s v="Toshiba SRP"/>
    <s v="DA141"/>
    <s v="DA141"/>
  </r>
  <r>
    <n v="800"/>
    <s v="Aeon"/>
    <s v="Tsuen Wan"/>
    <x v="14"/>
    <n v="3"/>
    <x v="0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s v="DA141"/>
    <s v="DA141"/>
  </r>
  <r>
    <n v="801"/>
    <s v="Aeon"/>
    <s v="Tsuen Wan"/>
    <x v="14"/>
    <n v="3"/>
    <x v="5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s v="DA141"/>
    <s v="DA141"/>
  </r>
  <r>
    <n v="802"/>
    <s v="Aeon"/>
    <s v="Tsuen Wan"/>
    <x v="14"/>
    <n v="3"/>
    <x v="5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s v="DA141"/>
    <s v="DA141"/>
  </r>
  <r>
    <n v="803"/>
    <s v="Aeon"/>
    <s v="Tsuen Wan"/>
    <x v="14"/>
    <n v="3"/>
    <x v="5"/>
    <x v="52"/>
    <s v="35L多功能電焗爐"/>
    <s v="細電"/>
    <s v="SDA"/>
    <s v="mc35"/>
    <n v="2"/>
    <n v="890"/>
    <n v="1780"/>
    <m/>
    <m/>
    <m/>
    <s v="TL-MC35Z "/>
    <n v="1098"/>
    <n v="0.81056466302367947"/>
    <s v="Toshiba SRP"/>
    <s v="DA141"/>
    <s v="DA141"/>
  </r>
  <r>
    <n v="804"/>
    <s v="Aeon"/>
    <s v="Tsuen Wan"/>
    <x v="14"/>
    <n v="3"/>
    <x v="5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s v="DA141"/>
    <s v="DA141"/>
  </r>
  <r>
    <n v="805"/>
    <s v="Aeon"/>
    <s v="Tsuen Wan"/>
    <x v="14"/>
    <n v="3"/>
    <x v="6"/>
    <x v="11"/>
    <s v="座檯式純蒸氣烤焗水波爐30L"/>
    <s v="細電"/>
    <s v="SDA"/>
    <s v="td5000"/>
    <n v="1"/>
    <n v="3588"/>
    <n v="3588"/>
    <n v="6004055"/>
    <m/>
    <m/>
    <s v="ER-TD5000HK(XK) 6004055"/>
    <n v="7998"/>
    <n v="0.44861215303825958"/>
    <s v="Toshiba SRP"/>
    <s v="DA141"/>
    <s v="DA1416004055"/>
  </r>
  <r>
    <n v="806"/>
    <s v="Aeon"/>
    <s v="Tsuen Wan"/>
    <x v="14"/>
    <n v="3"/>
    <x v="6"/>
    <x v="2"/>
    <s v="雙門變頻式環保雪櫃"/>
    <s v="大電"/>
    <s v="AC"/>
    <s v="a26hsz"/>
    <n v="1"/>
    <n v="1500"/>
    <n v="1500"/>
    <n v="6004056"/>
    <m/>
    <m/>
    <s v="GR-A26HSZ(DS) 6004056"/>
    <n v="3780"/>
    <n v="0.3968253968253968"/>
    <s v="Toshiba SRP"/>
    <s v="DA141"/>
    <s v="DA1416004056"/>
  </r>
  <r>
    <n v="807"/>
    <s v="Aeon"/>
    <s v="Tsuen Wan"/>
    <x v="14"/>
    <n v="3"/>
    <x v="6"/>
    <x v="2"/>
    <s v="雙門變頻式環保雪櫃"/>
    <s v="大電"/>
    <s v="AC"/>
    <s v="a26hsz"/>
    <n v="1"/>
    <n v="1500"/>
    <n v="1500"/>
    <n v="6004058"/>
    <m/>
    <m/>
    <s v="GR-A26HSZ(DS) 6004058"/>
    <n v="3780"/>
    <n v="0.3968253968253968"/>
    <s v="Toshiba SRP"/>
    <s v="DA141"/>
    <s v="DA1416004058"/>
  </r>
  <r>
    <n v="808"/>
    <s v="Aeon"/>
    <s v="Tsuen Wan"/>
    <x v="14"/>
    <n v="3"/>
    <x v="6"/>
    <x v="5"/>
    <s v="全自動洗衣機 (8公斤 結合高低水位)"/>
    <s v="大電"/>
    <s v="WM"/>
    <s v="m901"/>
    <n v="1"/>
    <n v="1500"/>
    <n v="1500"/>
    <n v="6004060"/>
    <m/>
    <m/>
    <s v="AW-M901BPH(WW) 6004060"/>
    <n v="3580"/>
    <n v="0.41899441340782123"/>
    <s v="Toshiba SRP"/>
    <s v="DA141"/>
    <s v="DA1416004060"/>
  </r>
  <r>
    <n v="809"/>
    <s v="Aeon"/>
    <s v="Tsuen Wan"/>
    <x v="14"/>
    <n v="3"/>
    <x v="6"/>
    <x v="1"/>
    <s v="磁應電飯煲(1.5公升)"/>
    <s v="細電"/>
    <s v="SDA"/>
    <s v="15ist"/>
    <n v="5"/>
    <n v="500"/>
    <n v="2500"/>
    <m/>
    <m/>
    <m/>
    <s v="RC-15ISTHK(W) "/>
    <n v="1688"/>
    <n v="0.29620853080568721"/>
    <s v="Toshiba SRP"/>
    <s v="DA141"/>
    <s v="DA141"/>
  </r>
  <r>
    <n v="810"/>
    <s v="Aeon"/>
    <s v="Tsuen Wan"/>
    <x v="15"/>
    <n v="3"/>
    <x v="7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s v="DA141"/>
    <s v="DA141"/>
  </r>
  <r>
    <n v="811"/>
    <s v="Aeon"/>
    <s v="Tsuen Wan"/>
    <x v="15"/>
    <n v="3"/>
    <x v="7"/>
    <x v="16"/>
    <s v="輕便式電磁爐"/>
    <s v="細電"/>
    <s v="SDA"/>
    <s v="20r1"/>
    <n v="2"/>
    <n v="290"/>
    <n v="580"/>
    <m/>
    <m/>
    <m/>
    <s v="IC-20R1THK "/>
    <n v="438"/>
    <n v="0.66210045662100458"/>
    <s v="Shops Highest Price"/>
    <s v="DA141"/>
    <s v="DA141"/>
  </r>
  <r>
    <n v="812"/>
    <s v="Aeon"/>
    <s v="Tsuen Wan"/>
    <x v="14"/>
    <n v="3"/>
    <x v="13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s v="DA141"/>
    <s v="DA141"/>
  </r>
  <r>
    <n v="813"/>
    <s v="Aeon"/>
    <s v="Tsuen Wan"/>
    <x v="14"/>
    <n v="3"/>
    <x v="13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s v="DA141"/>
    <s v="DA141"/>
  </r>
  <r>
    <n v="814"/>
    <s v="Aeon"/>
    <s v="Tsuen Wan"/>
    <x v="14"/>
    <n v="3"/>
    <x v="13"/>
    <x v="44"/>
    <s v="1.7L無線雙層電熱水壺"/>
    <s v="細電"/>
    <s v="SDA"/>
    <s v="17shnh"/>
    <n v="2"/>
    <n v="190"/>
    <n v="380"/>
    <m/>
    <m/>
    <m/>
    <s v="KT-17SHNH "/>
    <n v="299"/>
    <n v="0.63545150501672243"/>
    <s v="Shops Highest Price"/>
    <s v="DA141"/>
    <s v="DA141"/>
  </r>
  <r>
    <n v="815"/>
    <s v="Aeon"/>
    <s v="Tsuen Wan"/>
    <x v="14"/>
    <n v="3"/>
    <x v="8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s v="DA141"/>
    <s v="DA141"/>
  </r>
  <r>
    <n v="816"/>
    <s v="Aeon"/>
    <s v="Tsuen Wan"/>
    <x v="14"/>
    <n v="3"/>
    <x v="8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s v="DA141"/>
    <s v="DA141"/>
  </r>
  <r>
    <n v="817"/>
    <s v="Aeon"/>
    <s v="Tsuen Wan"/>
    <x v="14"/>
    <n v="3"/>
    <x v="1"/>
    <x v="2"/>
    <s v="雙門變頻式環保雪櫃"/>
    <s v="大電"/>
    <s v="AC"/>
    <s v="a26hsz"/>
    <n v="1"/>
    <n v="1500"/>
    <n v="1500"/>
    <n v="6004106"/>
    <m/>
    <m/>
    <s v="GR-A26HSZ(DS) 6004106"/>
    <n v="3780"/>
    <n v="0.3968253968253968"/>
    <s v="Toshiba SRP"/>
    <s v="DA141"/>
    <s v="DA1416004106"/>
  </r>
  <r>
    <n v="818"/>
    <s v="Aeon"/>
    <s v="Tsuen Wan"/>
    <x v="14"/>
    <n v="3"/>
    <x v="1"/>
    <x v="2"/>
    <s v="雙門變頻式環保雪櫃"/>
    <s v="大電"/>
    <s v="AC"/>
    <s v="a26hsz"/>
    <n v="1"/>
    <n v="1500"/>
    <n v="1500"/>
    <n v="6004110"/>
    <m/>
    <m/>
    <s v="GR-A26HSZ(DS) 6004110"/>
    <n v="3780"/>
    <n v="0.3968253968253968"/>
    <s v="Toshiba SRP"/>
    <s v="DA141"/>
    <s v="DA1416004110"/>
  </r>
  <r>
    <n v="819"/>
    <s v="Aeon"/>
    <s v="Tsuen Wan"/>
    <x v="14"/>
    <n v="3"/>
    <x v="1"/>
    <x v="2"/>
    <s v="雙門變頻式環保雪櫃"/>
    <s v="大電"/>
    <s v="AC"/>
    <s v="a26hsz"/>
    <n v="1"/>
    <n v="1500"/>
    <n v="1500"/>
    <n v="6004124"/>
    <m/>
    <m/>
    <s v="GR-A26HSZ(DS) 6004124"/>
    <n v="3780"/>
    <n v="0.3968253968253968"/>
    <s v="Toshiba SRP"/>
    <s v="DA141"/>
    <s v="DA1416004124"/>
  </r>
  <r>
    <n v="820"/>
    <s v="Aeon"/>
    <s v="Tsuen Wan"/>
    <x v="14"/>
    <n v="3"/>
    <x v="1"/>
    <x v="13"/>
    <s v="獨立式免安裝洗碗碟機"/>
    <s v="細電"/>
    <s v="DM"/>
    <s v="34ahk"/>
    <n v="1"/>
    <n v="1500"/>
    <n v="1500"/>
    <n v="6004118"/>
    <m/>
    <m/>
    <s v="DWS-34AHK 6004118"/>
    <n v="3999"/>
    <n v="0.37509377344336087"/>
    <s v="Web SRP"/>
    <s v="DA141"/>
    <s v="DA1416004118"/>
  </r>
  <r>
    <n v="821"/>
    <s v="Aeon"/>
    <s v="Tsuen Wan"/>
    <x v="14"/>
    <n v="3"/>
    <x v="1"/>
    <x v="18"/>
    <s v="Comfee 1匹變頻窗口式冷氣機"/>
    <s v="大電"/>
    <s v="RAC"/>
    <s v="09crf"/>
    <n v="1"/>
    <n v="3588"/>
    <n v="3588"/>
    <n v="6004115"/>
    <m/>
    <m/>
    <s v="CWF-09CRFN8-AD5 6004115"/>
    <n v="4600"/>
    <n v="0.78"/>
    <s v="Shops Highest Price"/>
    <s v="DA141"/>
    <s v="DA1416004115"/>
  </r>
  <r>
    <n v="822"/>
    <s v="Aeon"/>
    <s v="Tsuen Wan"/>
    <x v="14"/>
    <n v="3"/>
    <x v="1"/>
    <x v="15"/>
    <s v="Induction Cooker"/>
    <s v="細電"/>
    <s v="SDA"/>
    <s v="21ts"/>
    <n v="3"/>
    <n v="500"/>
    <n v="1500"/>
    <m/>
    <m/>
    <m/>
    <s v="IC-21TSHK "/>
    <n v="998"/>
    <n v="0.50100200400801598"/>
    <s v="Web SRP"/>
    <s v="DA141"/>
    <s v="DA141"/>
  </r>
  <r>
    <n v="823"/>
    <s v="Aeon"/>
    <s v="Tsuen Wan"/>
    <x v="14"/>
    <n v="3"/>
    <x v="1"/>
    <x v="1"/>
    <s v="磁應電飯煲(1.5公升)"/>
    <s v="細電"/>
    <s v="SDA"/>
    <s v="15ist"/>
    <n v="2"/>
    <n v="500"/>
    <n v="1000"/>
    <m/>
    <m/>
    <m/>
    <s v="RC-15ISTHK(W) "/>
    <n v="1688"/>
    <n v="0.29620853080568721"/>
    <s v="Toshiba SRP"/>
    <s v="DA141"/>
    <s v="DA141"/>
  </r>
  <r>
    <n v="824"/>
    <s v="Aeon"/>
    <s v="Tsuen Wan"/>
    <x v="14"/>
    <n v="3"/>
    <x v="2"/>
    <x v="2"/>
    <s v="雙門變頻式環保雪櫃"/>
    <s v="大電"/>
    <s v="AC"/>
    <s v="a26hsz"/>
    <n v="1"/>
    <n v="1500"/>
    <n v="1500"/>
    <n v="6004133"/>
    <m/>
    <m/>
    <s v="GR-A26HSZ(DS) 6004133"/>
    <n v="3780"/>
    <n v="0.3968253968253968"/>
    <s v="Toshiba SRP"/>
    <s v="DA141"/>
    <s v="DA1416004133"/>
  </r>
  <r>
    <n v="825"/>
    <s v="Aeon"/>
    <s v="Tsuen Wan"/>
    <x v="14"/>
    <n v="3"/>
    <x v="2"/>
    <x v="2"/>
    <s v="雙門變頻式環保雪櫃"/>
    <s v="大電"/>
    <s v="AC"/>
    <s v="a26hsz"/>
    <n v="1"/>
    <n v="1500"/>
    <n v="1500"/>
    <n v="6004141"/>
    <m/>
    <m/>
    <s v="GR-A26HSZ(DS) 6004141"/>
    <n v="3780"/>
    <n v="0.3968253968253968"/>
    <s v="Toshiba SRP"/>
    <s v="DA141"/>
    <s v="DA1416004141"/>
  </r>
  <r>
    <n v="826"/>
    <s v="Aeon"/>
    <s v="Tsuen Wan"/>
    <x v="14"/>
    <n v="3"/>
    <x v="2"/>
    <x v="4"/>
    <s v="RO座檯式飲水機"/>
    <s v="細電"/>
    <s v="KWH"/>
    <s v="tsr76"/>
    <n v="1"/>
    <n v="1500"/>
    <n v="1500"/>
    <n v="6004171"/>
    <m/>
    <m/>
    <s v="TWP-TSR76THK(W) 6004171"/>
    <n v="2680"/>
    <n v="0.55970149253731338"/>
    <s v="Toshiba SRP"/>
    <s v="DA141"/>
    <s v="DA1416004171"/>
  </r>
  <r>
    <n v="827"/>
    <s v="Aeon"/>
    <s v="Tsuen Wan"/>
    <x v="14"/>
    <n v="3"/>
    <x v="2"/>
    <x v="9"/>
    <s v="電熱水瓶4.5L"/>
    <s v="細電"/>
    <s v="SDA"/>
    <s v="45sf"/>
    <n v="2"/>
    <n v="500"/>
    <n v="1000"/>
    <m/>
    <m/>
    <m/>
    <s v="PLK-45SFIH(WT) "/>
    <n v="788"/>
    <n v="0.63451776649746194"/>
    <s v="Toshiba SRP"/>
    <s v="DA141"/>
    <s v="DA141"/>
  </r>
  <r>
    <n v="828"/>
    <s v="Aeon"/>
    <s v="Tsuen Wan"/>
    <x v="14"/>
    <n v="3"/>
    <x v="2"/>
    <x v="6"/>
    <s v="旋鈕式微波爐24L"/>
    <s v="細電"/>
    <s v="SDA"/>
    <s v="mm24"/>
    <n v="2"/>
    <n v="500"/>
    <n v="1000"/>
    <m/>
    <m/>
    <m/>
    <s v="MW2-MM24PC(BK) "/>
    <n v="848"/>
    <n v="0.589622641509434"/>
    <s v="Toshiba SRP"/>
    <s v="DA141"/>
    <s v="DA141"/>
  </r>
  <r>
    <n v="829"/>
    <s v="Aeon"/>
    <s v="Tsuen Wan"/>
    <x v="14"/>
    <n v="3"/>
    <x v="2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s v="DA141"/>
    <s v="DA141"/>
  </r>
  <r>
    <n v="830"/>
    <s v="Aeon"/>
    <s v="Tsuen Wan"/>
    <x v="14"/>
    <n v="3"/>
    <x v="2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s v="DA141"/>
    <s v="DA141"/>
  </r>
  <r>
    <n v="831"/>
    <s v="Aeon"/>
    <s v="Tsuen Wan"/>
    <x v="14"/>
    <n v="3"/>
    <x v="9"/>
    <x v="5"/>
    <s v="全自動洗衣機 (8公斤 結合高低水位)"/>
    <s v="大電"/>
    <s v="WM"/>
    <s v="m901"/>
    <n v="1"/>
    <n v="1500"/>
    <n v="1500"/>
    <n v="6004187"/>
    <m/>
    <m/>
    <s v="AW-M901BPH(WW) 6004187"/>
    <n v="3580"/>
    <n v="0.41899441340782123"/>
    <s v="Toshiba SRP"/>
    <s v="DA141"/>
    <s v="DA1416004187"/>
  </r>
  <r>
    <n v="832"/>
    <s v="Aeon"/>
    <s v="Tsuen Wan"/>
    <x v="14"/>
    <n v="3"/>
    <x v="9"/>
    <x v="14"/>
    <s v="21L壓縮式抽濕機"/>
    <s v="大電"/>
    <s v="RAC"/>
    <s v="y200"/>
    <n v="1"/>
    <n v="1980"/>
    <n v="1980"/>
    <n v="7045657"/>
    <m/>
    <m/>
    <s v="RAD-Y200H 7045657"/>
    <n v="3280"/>
    <n v="0.60365853658536583"/>
    <s v="Toshiba SRP"/>
    <s v="DA141"/>
    <s v="DA1417045657"/>
  </r>
  <r>
    <n v="833"/>
    <s v="Aeon"/>
    <s v="Tsuen Wan"/>
    <x v="14"/>
    <n v="3"/>
    <x v="10"/>
    <x v="10"/>
    <s v="變頻上置式雙門雪櫃313L "/>
    <s v="大電"/>
    <s v="REF"/>
    <s v="rt416"/>
    <n v="1"/>
    <n v="2888"/>
    <n v="2888"/>
    <n v="6004708"/>
    <m/>
    <m/>
    <s v="GR-RT416WE-PMA(06) 6004708"/>
    <n v="5380"/>
    <n v="0.53680297397769516"/>
    <s v="Toshiba SRP"/>
    <s v="DA141"/>
    <s v="DA1416004708"/>
  </r>
  <r>
    <n v="834"/>
    <s v="Aeon"/>
    <s v="Tsuen Wan"/>
    <x v="14"/>
    <n v="3"/>
    <x v="10"/>
    <x v="5"/>
    <s v="全自動洗衣機 (8公斤 結合高低水位)"/>
    <s v="大電"/>
    <s v="WM"/>
    <s v="m901"/>
    <n v="1"/>
    <n v="1500"/>
    <n v="1500"/>
    <n v="6004711"/>
    <m/>
    <m/>
    <s v="AW-M901BPH(WW) 6004711"/>
    <n v="3580"/>
    <n v="0.41899441340782123"/>
    <s v="Toshiba SRP"/>
    <s v="DA141"/>
    <s v="DA1416004711"/>
  </r>
  <r>
    <n v="835"/>
    <s v="Aeon"/>
    <s v="Tsuen Wan"/>
    <x v="14"/>
    <n v="3"/>
    <x v="16"/>
    <x v="6"/>
    <s v="旋鈕式微波爐24L"/>
    <s v="細電"/>
    <s v="SDA"/>
    <s v="mm24"/>
    <n v="1"/>
    <n v="500"/>
    <n v="500"/>
    <m/>
    <m/>
    <m/>
    <s v="MW2-MM24PC(BK) "/>
    <n v="848"/>
    <n v="0.589622641509434"/>
    <s v="Toshiba SRP"/>
    <s v="DA141"/>
    <s v="DA141"/>
  </r>
  <r>
    <n v="836"/>
    <s v="Aeon"/>
    <s v="Tsuen Wan"/>
    <x v="14"/>
    <n v="3"/>
    <x v="16"/>
    <x v="1"/>
    <s v="磁應電飯煲(1.5公升)"/>
    <s v="細電"/>
    <s v="SDA"/>
    <s v="15ist"/>
    <n v="2"/>
    <n v="500"/>
    <n v="1000"/>
    <m/>
    <m/>
    <m/>
    <s v="RC-15ISTHK(W) "/>
    <n v="1688"/>
    <n v="0.29620853080568721"/>
    <s v="Toshiba SRP"/>
    <s v="DA141"/>
    <s v="DA141"/>
  </r>
  <r>
    <n v="837"/>
    <s v="Aeon"/>
    <s v="Tsuen Wan"/>
    <x v="14"/>
    <n v="3"/>
    <x v="16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s v="DA141"/>
    <s v="DA141"/>
  </r>
  <r>
    <n v="838"/>
    <s v="Aeon"/>
    <s v="Tsuen Wan"/>
    <x v="14"/>
    <n v="3"/>
    <x v="11"/>
    <x v="13"/>
    <s v="獨立式免安裝洗碗碟機"/>
    <s v="細電"/>
    <s v="DM"/>
    <s v="34ahk"/>
    <n v="1"/>
    <n v="1500"/>
    <n v="1500"/>
    <n v="6004754"/>
    <m/>
    <m/>
    <s v="DWS-34AHK 6004754"/>
    <n v="3999"/>
    <n v="0.37509377344336087"/>
    <s v="Web SRP"/>
    <s v="DA141"/>
    <s v="DA1416004754"/>
  </r>
  <r>
    <n v="839"/>
    <s v="Aeon"/>
    <s v="Tsuen Wan"/>
    <x v="14"/>
    <n v="3"/>
    <x v="11"/>
    <x v="12"/>
    <s v="Comfee 1.5匹變頻窗口式冷氣機"/>
    <s v="大電"/>
    <s v="RAC"/>
    <s v="12crfn"/>
    <n v="1"/>
    <n v="3588"/>
    <n v="3588"/>
    <n v="6004736"/>
    <m/>
    <m/>
    <s v="CWF-12CRFN8-AD5 6004736"/>
    <n v="5200"/>
    <n v="0.69"/>
    <s v="Shops Highest Price"/>
    <s v="DA141"/>
    <s v="DA1416004736"/>
  </r>
  <r>
    <n v="840"/>
    <s v="Aeon"/>
    <s v="Tsuen Wan"/>
    <x v="14"/>
    <n v="3"/>
    <x v="11"/>
    <x v="1"/>
    <s v="磁應電飯煲(1.5公升)"/>
    <s v="細電"/>
    <s v="SDA"/>
    <s v="15ist"/>
    <n v="2"/>
    <n v="500"/>
    <n v="1000"/>
    <m/>
    <m/>
    <m/>
    <s v="RC-15ISTHK(W) "/>
    <n v="1688"/>
    <n v="0.29620853080568721"/>
    <s v="Toshiba SRP"/>
    <s v="DA141"/>
    <s v="DA141"/>
  </r>
  <r>
    <n v="841"/>
    <s v="Aeon"/>
    <s v="Tsuen Wan"/>
    <x v="14"/>
    <n v="3"/>
    <x v="11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s v="DA141"/>
    <s v="DA141"/>
  </r>
  <r>
    <n v="842"/>
    <s v="Aeon"/>
    <s v="Tsuen Wan"/>
    <x v="14"/>
    <n v="3"/>
    <x v="11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s v="DA141"/>
    <s v="DA141"/>
  </r>
  <r>
    <n v="843"/>
    <s v="Aeon"/>
    <s v="Tsuen Wan"/>
    <x v="15"/>
    <n v="3"/>
    <x v="12"/>
    <x v="13"/>
    <s v="獨立式免安裝洗碗碟機"/>
    <s v="細電"/>
    <s v="DM"/>
    <s v="34ahk"/>
    <n v="1"/>
    <n v="1500"/>
    <n v="1500"/>
    <n v="6004780"/>
    <m/>
    <m/>
    <s v="DWS-34AHK 6004780"/>
    <n v="3999"/>
    <n v="0.37509377344336087"/>
    <s v="Web SRP"/>
    <s v="DA141"/>
    <s v="DA1416004780"/>
  </r>
  <r>
    <n v="844"/>
    <s v="Aeon"/>
    <s v="Tsuen Wan"/>
    <x v="15"/>
    <n v="3"/>
    <x v="12"/>
    <x v="10"/>
    <s v="變頻上置式雙門雪櫃313L "/>
    <s v="大電"/>
    <s v="REF"/>
    <s v="rt416"/>
    <n v="1"/>
    <n v="2888"/>
    <n v="2888"/>
    <n v="6007779"/>
    <m/>
    <m/>
    <s v="GR-RT416WE-PMA(06) 6007779"/>
    <n v="5380"/>
    <n v="0.53680297397769516"/>
    <s v="Toshiba SRP"/>
    <s v="DA141"/>
    <s v="DA1416007779"/>
  </r>
  <r>
    <n v="845"/>
    <s v="Aeon"/>
    <s v="Tsuen Wan"/>
    <x v="15"/>
    <n v="3"/>
    <x v="12"/>
    <x v="5"/>
    <s v="全自動洗衣機 (8公斤 結合高低水位)"/>
    <s v="大電"/>
    <s v="WM"/>
    <s v="m901"/>
    <n v="1"/>
    <n v="1500"/>
    <n v="1500"/>
    <n v="6004817"/>
    <m/>
    <m/>
    <s v="AW-M901BPH(WW) 6004817"/>
    <n v="3580"/>
    <n v="0.41899441340782123"/>
    <s v="Toshiba SRP"/>
    <s v="DA141"/>
    <s v="DA1416004817"/>
  </r>
  <r>
    <n v="846"/>
    <s v="Aeon"/>
    <s v="Tsuen Wan"/>
    <x v="15"/>
    <n v="3"/>
    <x v="12"/>
    <x v="63"/>
    <s v="20L 智能蒸氣焗爐"/>
    <s v="細電"/>
    <s v="MCA"/>
    <s v="stq20"/>
    <n v="1"/>
    <n v="1980"/>
    <n v="1980"/>
    <n v="7045683"/>
    <m/>
    <m/>
    <s v="MS3-STQ20SC(WH) 7045683"/>
    <n v="2880"/>
    <n v="0.6875"/>
    <s v="Toshiba SRP"/>
    <s v="DA141"/>
    <s v="DA1417045683"/>
  </r>
  <r>
    <n v="847"/>
    <s v="Aeon"/>
    <s v="Tsuen Wan"/>
    <x v="14"/>
    <n v="3"/>
    <x v="3"/>
    <x v="4"/>
    <s v="RO座檯式飲水機"/>
    <s v="細電"/>
    <s v="KWH"/>
    <s v="tsr76"/>
    <n v="1"/>
    <n v="1500"/>
    <n v="1500"/>
    <n v="6004845"/>
    <m/>
    <m/>
    <s v="TWP-TSR76THK(W) 6004845"/>
    <n v="2680"/>
    <n v="0.55970149253731338"/>
    <s v="Toshiba SRP"/>
    <s v="DA141"/>
    <s v="DA1416004845"/>
  </r>
  <r>
    <n v="848"/>
    <s v="Aeon"/>
    <s v="Tsuen Wan"/>
    <x v="14"/>
    <n v="3"/>
    <x v="3"/>
    <x v="13"/>
    <s v="獨立式免安裝洗碗碟機"/>
    <s v="細電"/>
    <s v="DM"/>
    <s v="34ahk"/>
    <n v="1"/>
    <n v="1500"/>
    <n v="1500"/>
    <n v="6004822"/>
    <m/>
    <m/>
    <s v="DWS-34AHK 6004822"/>
    <n v="3999"/>
    <n v="0.37509377344336087"/>
    <s v="Web SRP"/>
    <s v="DA141"/>
    <s v="DA1416004822"/>
  </r>
  <r>
    <n v="849"/>
    <s v="Aeon"/>
    <s v="Tsuen Wan"/>
    <x v="14"/>
    <n v="3"/>
    <x v="3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s v="DA141"/>
    <s v="DA141"/>
  </r>
  <r>
    <n v="850"/>
    <s v="Aeon"/>
    <s v="Tsuen Wan"/>
    <x v="14"/>
    <n v="3"/>
    <x v="3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s v="DA141"/>
    <s v="DA141"/>
  </r>
  <r>
    <n v="851"/>
    <s v="Aeon"/>
    <s v="Tsuen Wan"/>
    <x v="14"/>
    <n v="3"/>
    <x v="3"/>
    <x v="6"/>
    <s v="旋鈕式微波爐24L"/>
    <s v="細電"/>
    <s v="SDA"/>
    <s v="mm24"/>
    <n v="2"/>
    <n v="500"/>
    <n v="1000"/>
    <m/>
    <m/>
    <m/>
    <s v="MW2-MM24PC(BK) "/>
    <n v="848"/>
    <n v="0.589622641509434"/>
    <s v="Toshiba SRP"/>
    <s v="DA141"/>
    <s v="DA141"/>
  </r>
  <r>
    <n v="852"/>
    <s v="Aeon"/>
    <s v="Tsuen Wan"/>
    <x v="14"/>
    <n v="3"/>
    <x v="3"/>
    <x v="1"/>
    <s v="磁應電飯煲(1.5公升)"/>
    <s v="細電"/>
    <s v="SDA"/>
    <s v="15ist"/>
    <n v="10"/>
    <n v="500"/>
    <n v="5000"/>
    <m/>
    <m/>
    <m/>
    <s v="RC-15ISTHK(W) "/>
    <n v="1688"/>
    <n v="0.29620853080568721"/>
    <s v="Toshiba SRP"/>
    <s v="DA141"/>
    <s v="DA141"/>
  </r>
  <r>
    <n v="853"/>
    <s v="Aeon"/>
    <s v="Tsuen Wan"/>
    <x v="14"/>
    <n v="3"/>
    <x v="3"/>
    <x v="15"/>
    <s v="Induction Cooker"/>
    <s v="細電"/>
    <s v="SDA"/>
    <s v="21ts"/>
    <n v="1"/>
    <n v="500"/>
    <n v="500"/>
    <m/>
    <s v="20r1&gt;21ts"/>
    <m/>
    <s v="IC-21TSHK "/>
    <n v="998"/>
    <n v="0.50100200400801598"/>
    <s v="Web SRP"/>
    <s v="DA141"/>
    <s v="DA141"/>
  </r>
  <r>
    <n v="854"/>
    <s v="Aeon"/>
    <s v="Tsuen Wan"/>
    <x v="14"/>
    <n v="3"/>
    <x v="4"/>
    <x v="4"/>
    <s v="RO座檯式飲水機"/>
    <s v="細電"/>
    <s v="KWH"/>
    <s v="tsr76"/>
    <n v="1"/>
    <n v="1500"/>
    <n v="1500"/>
    <n v="6118735"/>
    <m/>
    <m/>
    <s v="TWP-TSR76THK(W) 6118735"/>
    <n v="2680"/>
    <n v="0.55970149253731338"/>
    <s v="Toshiba SRP"/>
    <s v="DA141"/>
    <s v="DA1416118735"/>
  </r>
  <r>
    <n v="855"/>
    <s v="Aeon"/>
    <s v="Tsuen Wan"/>
    <x v="14"/>
    <n v="3"/>
    <x v="4"/>
    <x v="13"/>
    <s v="獨立式免安裝洗碗碟機"/>
    <s v="細電"/>
    <s v="DM"/>
    <s v="34ahk"/>
    <n v="1"/>
    <n v="1500"/>
    <n v="1500"/>
    <n v="6118767"/>
    <m/>
    <m/>
    <s v="DWS-34AHK 6118767"/>
    <n v="3999"/>
    <n v="0.37509377344336087"/>
    <s v="Web SRP"/>
    <s v="DA141"/>
    <s v="DA1416118767"/>
  </r>
  <r>
    <n v="856"/>
    <s v="Aeon"/>
    <s v="Tsuen Wan"/>
    <x v="14"/>
    <n v="3"/>
    <x v="4"/>
    <x v="5"/>
    <s v="全自動洗衣機 (8公斤 結合高低水位)"/>
    <s v="大電"/>
    <s v="WM"/>
    <s v="m901"/>
    <n v="1"/>
    <n v="1500"/>
    <n v="1500"/>
    <n v="6118753"/>
    <m/>
    <m/>
    <s v="AW-M901BPH(WW) 6118753"/>
    <n v="3580"/>
    <n v="0.41899441340782123"/>
    <s v="Toshiba SRP"/>
    <s v="DA141"/>
    <s v="DA1416118753"/>
  </r>
  <r>
    <n v="857"/>
    <s v="Aeon"/>
    <s v="Tsuen Wan"/>
    <x v="14"/>
    <n v="3"/>
    <x v="4"/>
    <x v="5"/>
    <s v="全自動洗衣機 (8公斤 結合高低水位)"/>
    <s v="大電"/>
    <s v="WM"/>
    <s v="m901"/>
    <n v="1"/>
    <n v="1500"/>
    <n v="1500"/>
    <n v="6118784"/>
    <m/>
    <m/>
    <s v="AW-M901BPH(WW) 6118784"/>
    <n v="3580"/>
    <n v="0.41899441340782123"/>
    <s v="Toshiba SRP"/>
    <s v="DA141"/>
    <s v="DA1416118784"/>
  </r>
  <r>
    <n v="858"/>
    <s v="Aeon"/>
    <s v="Tsuen Wan"/>
    <x v="14"/>
    <n v="3"/>
    <x v="4"/>
    <x v="5"/>
    <s v="全自動洗衣機 (8公斤 結合高低水位)"/>
    <s v="大電"/>
    <s v="WM"/>
    <s v="m901"/>
    <n v="1"/>
    <n v="1500"/>
    <n v="1500"/>
    <n v="6118797"/>
    <m/>
    <m/>
    <s v="AW-M901BPH(WW) 6118797"/>
    <n v="3580"/>
    <n v="0.41899441340782123"/>
    <s v="Toshiba SRP"/>
    <s v="DA141"/>
    <s v="DA1416118797"/>
  </r>
  <r>
    <n v="859"/>
    <s v="Aeon"/>
    <s v="Tsuen Wan"/>
    <x v="14"/>
    <n v="3"/>
    <x v="4"/>
    <x v="9"/>
    <s v="電熱水瓶4.5L"/>
    <s v="細電"/>
    <s v="SDA"/>
    <s v="45sf"/>
    <n v="3"/>
    <n v="500"/>
    <n v="1500"/>
    <m/>
    <m/>
    <m/>
    <s v="PLK-45SFIH(WT) "/>
    <n v="788"/>
    <n v="0.63451776649746194"/>
    <s v="Toshiba SRP"/>
    <s v="DA141"/>
    <s v="DA141"/>
  </r>
  <r>
    <n v="860"/>
    <s v="Aeon"/>
    <s v="Tsuen Wan"/>
    <x v="14"/>
    <n v="3"/>
    <x v="4"/>
    <x v="6"/>
    <s v="旋鈕式微波爐24L"/>
    <s v="細電"/>
    <s v="SDA"/>
    <s v="mm24"/>
    <n v="1"/>
    <n v="500"/>
    <n v="500"/>
    <m/>
    <m/>
    <m/>
    <s v="MW2-MM24PC(BK) "/>
    <n v="848"/>
    <n v="0.589622641509434"/>
    <s v="Toshiba SRP"/>
    <s v="DA141"/>
    <s v="DA141"/>
  </r>
  <r>
    <n v="861"/>
    <s v="Aeon"/>
    <s v="Tsuen Wan"/>
    <x v="14"/>
    <n v="3"/>
    <x v="4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s v="DA141"/>
    <s v="DA141"/>
  </r>
  <r>
    <n v="862"/>
    <s v="Aeon"/>
    <s v="Tsuen Wan"/>
    <x v="14"/>
    <n v="3"/>
    <x v="4"/>
    <x v="1"/>
    <s v="磁應電飯煲(1.5公升)"/>
    <s v="細電"/>
    <s v="SDA"/>
    <s v="15ist"/>
    <n v="7"/>
    <n v="500"/>
    <n v="3500"/>
    <m/>
    <m/>
    <m/>
    <s v="RC-15ISTHK(W) "/>
    <n v="1688"/>
    <n v="0.29620853080568721"/>
    <s v="Toshiba SRP"/>
    <s v="DA141"/>
    <s v="DA141"/>
  </r>
  <r>
    <n v="863"/>
    <s v="Aeon"/>
    <s v="Tsuen Wan"/>
    <x v="14"/>
    <n v="3"/>
    <x v="4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s v="DA141"/>
    <s v="DA141"/>
  </r>
  <r>
    <n v="864"/>
    <s v="Aeon"/>
    <s v="Tsuen Wan"/>
    <x v="14"/>
    <n v="3"/>
    <x v="4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s v="DA141"/>
    <s v="DA141"/>
  </r>
  <r>
    <n v="865"/>
    <s v="Aeon"/>
    <s v="TM_2"/>
    <x v="16"/>
    <n v="3"/>
    <x v="15"/>
    <x v="29"/>
    <s v="酵活炊磁應電飯煲"/>
    <s v="細電"/>
    <s v="SDA"/>
    <s v="10bh"/>
    <n v="1"/>
    <n v="1880"/>
    <n v="1880"/>
    <m/>
    <m/>
    <m/>
    <s v="RC-10BHH(W) "/>
    <n v="2088"/>
    <n v="0.90038314176245215"/>
    <s v="Shops Highest Price"/>
    <s v="DA141"/>
    <s v="DA141"/>
  </r>
  <r>
    <n v="866"/>
    <s v="Aeon"/>
    <s v="TM_2"/>
    <x v="16"/>
    <n v="3"/>
    <x v="15"/>
    <x v="78"/>
    <s v="變頻式環保雙門雪櫃（179L）"/>
    <s v="大電"/>
    <s v="REF"/>
    <s v="rt234"/>
    <n v="1"/>
    <n v="1880"/>
    <n v="1880"/>
    <m/>
    <m/>
    <m/>
    <s v="GR-RT234WE-PMA(57) "/>
    <n v="3680"/>
    <n v="0.51086956521739135"/>
    <s v="Toshiba SRP"/>
    <s v="DA141"/>
    <s v="DA141"/>
  </r>
  <r>
    <n v="867"/>
    <s v="Aeon"/>
    <s v="TM_2"/>
    <x v="16"/>
    <n v="3"/>
    <x v="15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s v="DA141"/>
    <s v="DA141"/>
  </r>
  <r>
    <n v="868"/>
    <s v="Aeon"/>
    <s v="TM_2"/>
    <x v="16"/>
    <n v="3"/>
    <x v="15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s v="DA141"/>
    <s v="DA141"/>
  </r>
  <r>
    <n v="869"/>
    <s v="Aeon"/>
    <s v="TM_2"/>
    <x v="16"/>
    <n v="3"/>
    <x v="17"/>
    <x v="20"/>
    <s v="壓縮式抽濕機 (22公升)"/>
    <s v="細電"/>
    <s v="RAC"/>
    <s v="d200"/>
    <n v="1"/>
    <n v="1980"/>
    <n v="1980"/>
    <m/>
    <m/>
    <m/>
    <s v="RAD-D200H "/>
    <n v="2880"/>
    <n v="0.6875"/>
    <s v="Shops Highest Price"/>
    <s v="DA141"/>
    <s v="DA141"/>
  </r>
  <r>
    <n v="870"/>
    <s v="Aeon"/>
    <s v="TM_2"/>
    <x v="16"/>
    <n v="3"/>
    <x v="17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s v="DA141"/>
    <s v="DA141"/>
  </r>
  <r>
    <n v="871"/>
    <s v="Aeon"/>
    <s v="TM_2"/>
    <x v="16"/>
    <n v="3"/>
    <x v="17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s v="DA141"/>
    <s v="DA141"/>
  </r>
  <r>
    <n v="872"/>
    <s v="Aeon"/>
    <s v="TM_2"/>
    <x v="16"/>
    <n v="3"/>
    <x v="17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s v="DA141"/>
    <s v="DA141"/>
  </r>
  <r>
    <n v="873"/>
    <s v="Aeon"/>
    <s v="TM_2"/>
    <x v="16"/>
    <n v="3"/>
    <x v="24"/>
    <x v="66"/>
    <s v="變頻下置式雙門雪櫃（163L）"/>
    <s v="大電"/>
    <s v="REF"/>
    <s v="rb221"/>
    <n v="1"/>
    <n v="1880"/>
    <n v="1880"/>
    <m/>
    <m/>
    <m/>
    <s v="GR-RB221WE-PMA(57) "/>
    <n v="3480"/>
    <n v="0.54022988505747127"/>
    <s v="Toshiba SRP"/>
    <s v="DA141"/>
    <s v="DA141"/>
  </r>
  <r>
    <n v="874"/>
    <s v="Aeon"/>
    <s v="TM_2"/>
    <x v="16"/>
    <n v="3"/>
    <x v="24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s v="DA141"/>
    <s v="DA141"/>
  </r>
  <r>
    <n v="875"/>
    <s v="Aeon"/>
    <s v="TM_2"/>
    <x v="16"/>
    <n v="3"/>
    <x v="24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s v="DA141"/>
    <s v="DA141"/>
  </r>
  <r>
    <n v="876"/>
    <s v="Aeon"/>
    <s v="TM_2"/>
    <x v="16"/>
    <n v="3"/>
    <x v="24"/>
    <x v="82"/>
    <s v="Electric Fan"/>
    <s v="細電"/>
    <s v="SDA"/>
    <s v="dsb35"/>
    <n v="1"/>
    <n v="550"/>
    <n v="550"/>
    <m/>
    <m/>
    <m/>
    <s v="F-DSB35HK(W) "/>
    <n v="1088"/>
    <n v="0.50551470588235292"/>
    <s v="Toshiba SRP"/>
    <s v="DA141"/>
    <s v="DA141"/>
  </r>
  <r>
    <n v="877"/>
    <s v="Aeon"/>
    <s v="TM_2"/>
    <x v="16"/>
    <n v="3"/>
    <x v="28"/>
    <x v="83"/>
    <s v="R32變頻窗口式冷氣機 (獨立抽濕遙控"/>
    <s v="大電"/>
    <s v="AC"/>
    <s v="12g3cvr"/>
    <n v="1"/>
    <n v="5980"/>
    <n v="5980"/>
    <m/>
    <m/>
    <m/>
    <s v="RAC-12G3CVRGR-HK "/>
    <n v="8680"/>
    <n v="0.68894009216589858"/>
    <s v="Toshiba SRP"/>
    <s v="DA141"/>
    <s v="DA141"/>
  </r>
  <r>
    <n v="878"/>
    <s v="Aeon"/>
    <s v="TM_2"/>
    <x v="16"/>
    <n v="3"/>
    <x v="28"/>
    <x v="20"/>
    <s v="壓縮式抽濕機 (22公升)"/>
    <s v="細電"/>
    <s v="RAC"/>
    <s v="d200"/>
    <n v="1"/>
    <n v="1980"/>
    <n v="1980"/>
    <m/>
    <m/>
    <m/>
    <s v="RAD-D200H "/>
    <n v="2880"/>
    <n v="0.6875"/>
    <s v="Shops Highest Price"/>
    <s v="DA141"/>
    <s v="DA141"/>
  </r>
  <r>
    <n v="879"/>
    <s v="Aeon"/>
    <s v="TM_2"/>
    <x v="16"/>
    <n v="3"/>
    <x v="28"/>
    <x v="21"/>
    <s v="壓縮式抽濕機 (30公升)"/>
    <s v="細電"/>
    <s v="RAC"/>
    <s v="d300"/>
    <n v="1"/>
    <n v="2280"/>
    <n v="2280"/>
    <m/>
    <m/>
    <m/>
    <s v="RAD-D300H "/>
    <n v="3380"/>
    <n v="0.67455621301775148"/>
    <s v="Shops Highest Price"/>
    <s v="DA141"/>
    <s v="DA141"/>
  </r>
  <r>
    <n v="880"/>
    <s v="Aeon"/>
    <s v="TM_2"/>
    <x v="16"/>
    <n v="3"/>
    <x v="28"/>
    <x v="18"/>
    <s v="Comfee 1匹變頻窗口式冷氣機"/>
    <s v="大電"/>
    <s v="RAC"/>
    <s v="09crf"/>
    <n v="1"/>
    <n v="3090"/>
    <n v="3090"/>
    <m/>
    <m/>
    <m/>
    <s v="CWF-09CRFN8-AD5 "/>
    <n v="4600"/>
    <n v="0.67173913043478262"/>
    <s v="Shops Highest Price"/>
    <s v="DA141"/>
    <s v="DA141"/>
  </r>
  <r>
    <n v="881"/>
    <s v="Aeon"/>
    <s v="TM_2"/>
    <x v="16"/>
    <n v="3"/>
    <x v="28"/>
    <x v="18"/>
    <s v="Comfee 1匹變頻窗口式冷氣機"/>
    <s v="大電"/>
    <s v="RAC"/>
    <s v="09crf"/>
    <n v="1"/>
    <n v="3090"/>
    <n v="3090"/>
    <m/>
    <m/>
    <m/>
    <s v="CWF-09CRFN8-AD5 "/>
    <n v="4600"/>
    <n v="0.67173913043478262"/>
    <s v="Shops Highest Price"/>
    <s v="DA141"/>
    <s v="DA141"/>
  </r>
  <r>
    <n v="882"/>
    <s v="Aeon"/>
    <s v="TM_2"/>
    <x v="16"/>
    <n v="3"/>
    <x v="28"/>
    <x v="54"/>
    <s v="低醣磁應電飯煲1L"/>
    <s v="細電"/>
    <s v="SDA"/>
    <s v="10irph"/>
    <n v="1"/>
    <n v="790"/>
    <n v="790"/>
    <m/>
    <m/>
    <m/>
    <s v="RC-10IRPH "/>
    <n v="1388"/>
    <n v="0.56916426512968299"/>
    <s v="Toshiba SRP"/>
    <s v="DA141"/>
    <s v="DA141"/>
  </r>
  <r>
    <n v="883"/>
    <s v="Aeon"/>
    <s v="TM_2"/>
    <x v="16"/>
    <n v="3"/>
    <x v="28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s v="DA141"/>
    <s v="DA141"/>
  </r>
  <r>
    <n v="884"/>
    <s v="Aeon"/>
    <s v="TM_2"/>
    <x v="16"/>
    <n v="3"/>
    <x v="28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s v="DA141"/>
    <s v="DA141"/>
  </r>
  <r>
    <n v="885"/>
    <s v="Aeon"/>
    <s v="TM_2"/>
    <x v="16"/>
    <n v="3"/>
    <x v="28"/>
    <x v="82"/>
    <s v="Electric Fan"/>
    <s v="細電"/>
    <s v="SDA"/>
    <s v="dsb35"/>
    <n v="1"/>
    <n v="550"/>
    <n v="550"/>
    <m/>
    <m/>
    <m/>
    <s v="F-DSB35HK(W) "/>
    <n v="1088"/>
    <n v="0.50551470588235292"/>
    <s v="Toshiba SRP"/>
    <s v="DA141"/>
    <s v="DA141"/>
  </r>
  <r>
    <n v="886"/>
    <s v="Aeon"/>
    <s v="TM_2"/>
    <x v="16"/>
    <n v="3"/>
    <x v="28"/>
    <x v="84"/>
    <s v="9吋座檯座地循環扇連遙控"/>
    <s v="細電"/>
    <s v="SDA"/>
    <s v="cfs09"/>
    <n v="1"/>
    <n v="285"/>
    <n v="285"/>
    <m/>
    <m/>
    <m/>
    <s v="CFS-09PGR0A0 "/>
    <n v="350"/>
    <n v="0.81428571428571428"/>
    <n v="0"/>
    <s v="DA141"/>
    <s v="DA141"/>
  </r>
  <r>
    <n v="887"/>
    <s v="Tung Yuen"/>
    <s v="TC RS"/>
    <x v="17"/>
    <n v="3"/>
    <x v="19"/>
    <x v="85"/>
    <s v="旗艦級變頻三門雪櫃 (300L)"/>
    <s v="大電"/>
    <s v="REF"/>
    <s v="rm469"/>
    <n v="1"/>
    <n v="5888"/>
    <n v="5888"/>
    <m/>
    <m/>
    <m/>
    <s v="GR-RM469WE-PGA(B3) "/>
    <n v="8990"/>
    <n v="0.65494994438264742"/>
    <s v="Toshiba SRP"/>
    <s v="DA141"/>
    <s v="DA141"/>
  </r>
  <r>
    <n v="888"/>
    <s v="Tung Yuen"/>
    <s v="TC RS"/>
    <x v="17"/>
    <n v="3"/>
    <x v="19"/>
    <x v="42"/>
    <s v="變頻下置式雙門雪櫃系列270L"/>
    <s v="大電"/>
    <s v="REF"/>
    <s v="rb360"/>
    <n v="1"/>
    <n v="3650"/>
    <n v="3650"/>
    <m/>
    <m/>
    <m/>
    <s v="GR-RB360WE-PMA(06) "/>
    <n v="5080"/>
    <n v="0.71850393700787396"/>
    <s v="Toshiba SRP"/>
    <s v="DA141"/>
    <s v="DA141"/>
  </r>
  <r>
    <n v="889"/>
    <s v="Tung Yuen"/>
    <s v="TC RS"/>
    <x v="17"/>
    <n v="3"/>
    <x v="19"/>
    <x v="78"/>
    <s v="變頻式環保雙門雪櫃（179L）"/>
    <s v="大電"/>
    <s v="REF"/>
    <s v="rt234"/>
    <n v="1"/>
    <n v="1950"/>
    <n v="1950"/>
    <m/>
    <m/>
    <m/>
    <s v="GR-RT234WE-PMA(57) "/>
    <n v="3680"/>
    <n v="0.52989130434782605"/>
    <s v="Toshiba SRP"/>
    <s v="DA141"/>
    <s v="DA141"/>
  </r>
  <r>
    <n v="890"/>
    <s v="Tung Yuen"/>
    <s v="TC RS"/>
    <x v="17"/>
    <n v="3"/>
    <x v="19"/>
    <x v="0"/>
    <s v="超薄身前置式洗衣乾衣機 (洗8公斤 乾5公斤)"/>
    <s v="大電"/>
    <s v="WM"/>
    <s v="bn90"/>
    <n v="1"/>
    <n v="3650"/>
    <n v="3650"/>
    <m/>
    <m/>
    <m/>
    <s v="TWD-BN90GF4H(WK) "/>
    <n v="5980"/>
    <n v="0.61036789297658867"/>
    <s v="Toshiba SRP"/>
    <s v="DA141"/>
    <s v="DA141"/>
  </r>
  <r>
    <n v="891"/>
    <s v="Tung Yuen"/>
    <s v="TC RS"/>
    <x v="17"/>
    <n v="3"/>
    <x v="19"/>
    <x v="76"/>
    <s v="日式洗衣機 (7公斤 結合高低水位)"/>
    <s v="大電"/>
    <s v="LAD"/>
    <s v="q801"/>
    <n v="1"/>
    <n v="1880"/>
    <n v="1880"/>
    <m/>
    <m/>
    <m/>
    <s v="AW-Q801APH(WW) "/>
    <n v="3380"/>
    <n v="0.55621301775147924"/>
    <s v="Toshiba SRP"/>
    <s v="DA141"/>
    <s v="DA141"/>
  </r>
  <r>
    <n v="892"/>
    <s v="Tung Yuen"/>
    <s v="TC RS"/>
    <x v="17"/>
    <n v="3"/>
    <x v="19"/>
    <x v="63"/>
    <s v="20L 智能蒸氣焗爐"/>
    <s v="細電"/>
    <s v="MCA"/>
    <s v="stq20"/>
    <n v="1"/>
    <n v="1880"/>
    <n v="1880"/>
    <m/>
    <m/>
    <m/>
    <s v="MS3-STQ20SC(WH) "/>
    <n v="2880"/>
    <n v="0.65277777777777779"/>
    <s v="Toshiba SRP"/>
    <s v="DA141"/>
    <s v="DA141"/>
  </r>
  <r>
    <n v="893"/>
    <s v="Tung Yuen"/>
    <s v="TC RS"/>
    <x v="17"/>
    <n v="3"/>
    <x v="20"/>
    <x v="21"/>
    <s v="壓縮式抽濕機 (30公升)"/>
    <s v="細電"/>
    <s v="RAC"/>
    <s v="d300"/>
    <n v="1"/>
    <n v="2280"/>
    <n v="2280"/>
    <m/>
    <m/>
    <m/>
    <s v="RAD-D300H "/>
    <n v="3380"/>
    <n v="0.67455621301775148"/>
    <s v="Shops Highest Price"/>
    <s v="DA141"/>
    <s v="DA141"/>
  </r>
  <r>
    <n v="894"/>
    <s v="Tung Yuen"/>
    <s v="TC RS"/>
    <x v="17"/>
    <n v="3"/>
    <x v="20"/>
    <x v="21"/>
    <s v="壓縮式抽濕機 (30公升)"/>
    <s v="細電"/>
    <s v="RAC"/>
    <s v="d300"/>
    <n v="1"/>
    <n v="2280"/>
    <n v="2280"/>
    <m/>
    <m/>
    <m/>
    <s v="RAD-D300H "/>
    <n v="3380"/>
    <n v="0.67455621301775148"/>
    <s v="Shops Highest Price"/>
    <s v="DA141"/>
    <s v="DA141"/>
  </r>
  <r>
    <n v="895"/>
    <s v="Tung Yuen"/>
    <s v="TC RS"/>
    <x v="17"/>
    <n v="3"/>
    <x v="20"/>
    <x v="21"/>
    <s v="壓縮式抽濕機 (30公升)"/>
    <s v="細電"/>
    <s v="RAC"/>
    <s v="d300"/>
    <n v="1"/>
    <n v="2280"/>
    <n v="2280"/>
    <m/>
    <m/>
    <m/>
    <s v="RAD-D300H "/>
    <n v="3380"/>
    <n v="0.67455621301775148"/>
    <s v="Shops Highest Price"/>
    <s v="DA141"/>
    <s v="DA141"/>
  </r>
  <r>
    <n v="896"/>
    <s v="Tung Yuen"/>
    <s v="TC RS"/>
    <x v="17"/>
    <n v="3"/>
    <x v="20"/>
    <x v="21"/>
    <s v="壓縮式抽濕機 (30公升)"/>
    <s v="細電"/>
    <s v="RAC"/>
    <s v="d300"/>
    <n v="1"/>
    <n v="2280"/>
    <n v="2280"/>
    <m/>
    <m/>
    <m/>
    <s v="RAD-D300H "/>
    <n v="3380"/>
    <n v="0.67455621301775148"/>
    <s v="Shops Highest Price"/>
    <s v="DA141"/>
    <s v="DA141"/>
  </r>
  <r>
    <n v="897"/>
    <s v="Tung Yuen"/>
    <s v="TC RS"/>
    <x v="17"/>
    <n v="3"/>
    <x v="20"/>
    <x v="48"/>
    <s v="3合1 微波蒸焗爐 (20公升)"/>
    <s v="細電"/>
    <s v="MCA"/>
    <s v="tt20"/>
    <n v="1"/>
    <n v="2490"/>
    <n v="2490"/>
    <m/>
    <m/>
    <m/>
    <s v="MX2-TT20SC(WH) "/>
    <n v="3580"/>
    <n v="0.6955307262569832"/>
    <s v="Toshiba SRP"/>
    <s v="DA141"/>
    <s v="DA141"/>
  </r>
  <r>
    <n v="898"/>
    <s v="Tung Yuen"/>
    <s v="TC RS"/>
    <x v="17"/>
    <n v="3"/>
    <x v="20"/>
    <x v="48"/>
    <s v="3合1 微波蒸焗爐 (20公升)"/>
    <s v="細電"/>
    <s v="MCA"/>
    <s v="tt20"/>
    <n v="1"/>
    <n v="2490"/>
    <n v="2490"/>
    <m/>
    <m/>
    <m/>
    <s v="MX2-TT20SC(WH) "/>
    <n v="3580"/>
    <n v="0.6955307262569832"/>
    <s v="Toshiba SRP"/>
    <s v="DA141"/>
    <s v="DA141"/>
  </r>
  <r>
    <n v="899"/>
    <s v="Tung Yuen"/>
    <s v="TC RS"/>
    <x v="17"/>
    <n v="3"/>
    <x v="20"/>
    <x v="76"/>
    <s v="日式洗衣機 (7公斤 結合高低水位)"/>
    <s v="大電"/>
    <s v="LAD"/>
    <s v="q801"/>
    <n v="1"/>
    <n v="1880"/>
    <n v="1880"/>
    <m/>
    <m/>
    <m/>
    <s v="AW-Q801APH(WW) "/>
    <n v="3380"/>
    <n v="0.55621301775147924"/>
    <s v="Toshiba SRP"/>
    <s v="DA141"/>
    <s v="DA141"/>
  </r>
  <r>
    <n v="900"/>
    <s v="Tung Yuen"/>
    <s v="TC RS"/>
    <x v="17"/>
    <n v="3"/>
    <x v="20"/>
    <x v="78"/>
    <s v="變頻式環保雙門雪櫃（179L）"/>
    <s v="大電"/>
    <s v="REF"/>
    <s v="rt234"/>
    <n v="1"/>
    <n v="1950"/>
    <n v="1950"/>
    <m/>
    <m/>
    <m/>
    <s v="GR-RT234WE-PMA(57) "/>
    <n v="3680"/>
    <n v="0.52989130434782605"/>
    <s v="Toshiba SRP"/>
    <s v="DA141"/>
    <s v="DA141"/>
  </r>
  <r>
    <n v="901"/>
    <s v="Tung Yuen"/>
    <s v="TC RS"/>
    <x v="17"/>
    <n v="3"/>
    <x v="20"/>
    <x v="36"/>
    <s v="輕觸式微波爐 (20公升)"/>
    <s v="細電"/>
    <s v="MCA"/>
    <s v="em20"/>
    <n v="1"/>
    <n v="670"/>
    <n v="670"/>
    <m/>
    <m/>
    <m/>
    <s v="MM2-EM20PC(WH) "/>
    <n v="788"/>
    <n v="0.85025380710659904"/>
    <s v="Toshiba SRP"/>
    <s v="DA141"/>
    <s v="DA141"/>
  </r>
  <r>
    <n v="902"/>
    <s v="Tung Yuen"/>
    <s v="TC RS"/>
    <x v="17"/>
    <n v="3"/>
    <x v="21"/>
    <x v="86"/>
    <s v="470MM超薄身前置式變頻洗衣乾衣機 (洗8.5公斤 乾6公斤)"/>
    <s v="大電"/>
    <s v="LAD"/>
    <s v="twdt21"/>
    <n v="1"/>
    <n v="4450"/>
    <n v="4450"/>
    <m/>
    <m/>
    <m/>
    <s v="TWD-T21BU95UWH(WW) "/>
    <n v="7280"/>
    <n v="0.61126373626373631"/>
    <s v="Toshiba SRP"/>
    <s v="DA141"/>
    <s v="DA141"/>
  </r>
  <r>
    <n v="903"/>
    <s v="Tung Yuen"/>
    <s v="TC RS"/>
    <x v="17"/>
    <n v="3"/>
    <x v="21"/>
    <x v="59"/>
    <s v="30公升蒸氣焗爐"/>
    <s v="細電"/>
    <s v="MCA"/>
    <s v="str30"/>
    <n v="1"/>
    <n v="3680"/>
    <n v="3680"/>
    <m/>
    <m/>
    <m/>
    <s v="MS5-STR30SC(BK) "/>
    <n v="5998"/>
    <n v="0.61353784594864957"/>
    <s v="Shops Highest Price"/>
    <s v="DA141"/>
    <s v="DA141"/>
  </r>
  <r>
    <n v="904"/>
    <s v="Tung Yuen"/>
    <s v="TC RS"/>
    <x v="17"/>
    <n v="3"/>
    <x v="21"/>
    <x v="63"/>
    <s v="20L 智能蒸氣焗爐"/>
    <s v="細電"/>
    <s v="MCA"/>
    <s v="stq20"/>
    <n v="1"/>
    <n v="1880"/>
    <n v="1880"/>
    <m/>
    <m/>
    <m/>
    <s v="MS3-STQ20SC(WH) "/>
    <n v="2880"/>
    <n v="0.65277777777777779"/>
    <s v="Toshiba SRP"/>
    <s v="DA141"/>
    <s v="DA141"/>
  </r>
  <r>
    <n v="905"/>
    <s v="Tung Yuen"/>
    <s v="TC RS"/>
    <x v="17"/>
    <n v="3"/>
    <x v="21"/>
    <x v="63"/>
    <s v="20L 智能蒸氣焗爐"/>
    <s v="細電"/>
    <s v="MCA"/>
    <s v="stq20"/>
    <n v="1"/>
    <n v="1880"/>
    <n v="1880"/>
    <m/>
    <m/>
    <m/>
    <s v="MS3-STQ20SC(WH) "/>
    <n v="2880"/>
    <n v="0.65277777777777779"/>
    <s v="Toshiba SRP"/>
    <s v="DA141"/>
    <s v="DA141"/>
  </r>
  <r>
    <n v="906"/>
    <s v="Tung Yuen"/>
    <s v="TC RS"/>
    <x v="17"/>
    <n v="3"/>
    <x v="21"/>
    <x v="21"/>
    <s v="壓縮式抽濕機 (30公升)"/>
    <s v="細電"/>
    <s v="RAC"/>
    <s v="d300"/>
    <n v="1"/>
    <n v="2280"/>
    <n v="2280"/>
    <m/>
    <m/>
    <m/>
    <s v="RAD-D300H "/>
    <n v="3380"/>
    <n v="0.67455621301775148"/>
    <s v="Shops Highest Price"/>
    <s v="DA141"/>
    <s v="DA141"/>
  </r>
  <r>
    <n v="907"/>
    <s v="Tung Yuen"/>
    <s v="TC RS"/>
    <x v="17"/>
    <n v="3"/>
    <x v="21"/>
    <x v="85"/>
    <s v="旗艦級變頻三門雪櫃 (300L)"/>
    <s v="大電"/>
    <s v="REF"/>
    <s v="rm469"/>
    <n v="1"/>
    <n v="5888"/>
    <n v="5888"/>
    <m/>
    <m/>
    <m/>
    <s v="GR-RM469WE-PGA(B3) "/>
    <n v="8990"/>
    <n v="0.65494994438264742"/>
    <s v="Toshiba SRP"/>
    <s v="DA141"/>
    <s v="DA141"/>
  </r>
  <r>
    <n v="908"/>
    <s v="Tung Yuen"/>
    <s v="TC RS"/>
    <x v="17"/>
    <n v="3"/>
    <x v="21"/>
    <x v="76"/>
    <s v="日式洗衣機 (7公斤 結合高低水位)"/>
    <s v="大電"/>
    <s v="LAD"/>
    <s v="q801"/>
    <n v="1"/>
    <n v="1880"/>
    <n v="1880"/>
    <m/>
    <m/>
    <m/>
    <s v="AW-Q801APH(WW) "/>
    <n v="3380"/>
    <n v="0.55621301775147924"/>
    <s v="Toshiba SRP"/>
    <s v="DA141"/>
    <s v="DA141"/>
  </r>
  <r>
    <n v="909"/>
    <s v="Tung Yuen"/>
    <s v="TC RS"/>
    <x v="17"/>
    <n v="3"/>
    <x v="21"/>
    <x v="87"/>
    <s v="變頻式環保雙門雪櫃(233L)"/>
    <s v="大電"/>
    <s v="REF"/>
    <s v="rt300"/>
    <n v="1"/>
    <n v="2780"/>
    <n v="2780"/>
    <m/>
    <m/>
    <m/>
    <s v="GR-RT300WE-PMA(57) "/>
    <n v="4280"/>
    <n v="0.64953271028037385"/>
    <s v="Toshiba SRP"/>
    <s v="DA141"/>
    <s v="DA141"/>
  </r>
  <r>
    <n v="910"/>
    <s v="Tung Yuen"/>
    <s v="TC RS"/>
    <x v="17"/>
    <n v="3"/>
    <x v="30"/>
    <x v="76"/>
    <s v="日式洗衣機 (7公斤 結合高低水位)"/>
    <s v="大電"/>
    <s v="LAD"/>
    <s v="q801"/>
    <n v="1"/>
    <n v="1880"/>
    <n v="1880"/>
    <m/>
    <m/>
    <m/>
    <s v="AW-Q801APH(WW) "/>
    <n v="3380"/>
    <n v="0.55621301775147924"/>
    <s v="Toshiba SRP"/>
    <s v="DA141"/>
    <s v="DA141"/>
  </r>
  <r>
    <n v="911"/>
    <s v="Tung Yuen"/>
    <s v="TC RS"/>
    <x v="17"/>
    <n v="3"/>
    <x v="30"/>
    <x v="76"/>
    <s v="日式洗衣機 (7公斤 結合高低水位)"/>
    <s v="大電"/>
    <s v="LAD"/>
    <s v="q801"/>
    <n v="1"/>
    <n v="1880"/>
    <n v="1880"/>
    <m/>
    <m/>
    <m/>
    <s v="AW-Q801APH(WW) "/>
    <n v="3380"/>
    <n v="0.55621301775147924"/>
    <s v="Toshiba SRP"/>
    <s v="DA141"/>
    <s v="DA141"/>
  </r>
  <r>
    <n v="912"/>
    <s v="Tung Yuen"/>
    <s v="TC RS"/>
    <x v="17"/>
    <n v="3"/>
    <x v="30"/>
    <x v="42"/>
    <s v="變頻下置式雙門雪櫃系列270L"/>
    <s v="大電"/>
    <s v="REF"/>
    <s v="rb360"/>
    <n v="1"/>
    <n v="3650"/>
    <n v="3650"/>
    <m/>
    <m/>
    <m/>
    <s v="GR-RB360WE-PMA(06) "/>
    <n v="5080"/>
    <n v="0.71850393700787396"/>
    <s v="Toshiba SRP"/>
    <s v="DA141"/>
    <s v="DA141"/>
  </r>
  <r>
    <n v="913"/>
    <s v="Tung Yuen"/>
    <s v="TC RS"/>
    <x v="17"/>
    <n v="3"/>
    <x v="30"/>
    <x v="42"/>
    <s v="變頻下置式雙門雪櫃系列270L"/>
    <s v="大電"/>
    <s v="REF"/>
    <s v="rb360"/>
    <n v="1"/>
    <n v="3650"/>
    <n v="3650"/>
    <m/>
    <m/>
    <m/>
    <s v="GR-RB360WE-PMA(06) "/>
    <n v="5080"/>
    <n v="0.71850393700787396"/>
    <s v="Toshiba SRP"/>
    <s v="DA141"/>
    <s v="DA141"/>
  </r>
  <r>
    <n v="914"/>
    <s v="Tung Yuen"/>
    <s v="TC RS"/>
    <x v="17"/>
    <n v="3"/>
    <x v="30"/>
    <x v="78"/>
    <s v="變頻式環保雙門雪櫃（179L）"/>
    <s v="大電"/>
    <s v="REF"/>
    <s v="rt234"/>
    <n v="1"/>
    <n v="1950"/>
    <n v="1950"/>
    <m/>
    <m/>
    <m/>
    <s v="GR-RT234WE-PMA(57) "/>
    <n v="3680"/>
    <n v="0.52989130434782605"/>
    <s v="Toshiba SRP"/>
    <s v="DA141"/>
    <s v="DA141"/>
  </r>
  <r>
    <n v="915"/>
    <s v="Broadway"/>
    <s v="Diamond Hill_2"/>
    <x v="18"/>
    <n v="3"/>
    <x v="20"/>
    <x v="74"/>
    <s v="4合1氣炸微波蒸焗爐(25公升)"/>
    <s v="細電"/>
    <s v="MCA"/>
    <s v="str25"/>
    <n v="1"/>
    <n v="3180"/>
    <n v="3180"/>
    <n v="249839"/>
    <m/>
    <m/>
    <s v="MX2-STR25SC(WH) 249839"/>
    <n v="4998"/>
    <n v="0.6362545018007203"/>
    <s v="Toshiba SRP"/>
    <s v="DA141"/>
    <s v="DA141249839"/>
  </r>
  <r>
    <n v="916"/>
    <s v="Broadway"/>
    <s v="Diamond Hill_2"/>
    <x v="18"/>
    <n v="3"/>
    <x v="20"/>
    <x v="48"/>
    <s v="3合1 微波蒸焗爐 (20公升)"/>
    <s v="細電"/>
    <s v="MCA"/>
    <s v="tt20"/>
    <n v="1"/>
    <n v="2480"/>
    <n v="2480"/>
    <n v="249845"/>
    <m/>
    <m/>
    <s v="MX2-TT20SC(WH) 249845"/>
    <n v="3580"/>
    <n v="0.69273743016759781"/>
    <s v="Toshiba SRP"/>
    <s v="DA141"/>
    <s v="DA141249845"/>
  </r>
  <r>
    <n v="917"/>
    <s v="Broadway"/>
    <s v="Diamond Hill_2"/>
    <x v="18"/>
    <n v="3"/>
    <x v="20"/>
    <x v="36"/>
    <s v="輕觸式微波爐 (20公升)"/>
    <s v="細電"/>
    <s v="MCA"/>
    <s v="em20"/>
    <n v="1"/>
    <n v="598"/>
    <n v="598"/>
    <n v="1639"/>
    <m/>
    <m/>
    <s v="MM2-EM20PC(WH) 1639"/>
    <n v="788"/>
    <n v="0.75888324873096447"/>
    <s v="Toshiba SRP"/>
    <s v="DA141"/>
    <s v="DA1411639"/>
  </r>
  <r>
    <n v="918"/>
    <s v="Broadway"/>
    <s v="Diamond Hill_2"/>
    <x v="18"/>
    <n v="3"/>
    <x v="21"/>
    <x v="17"/>
    <s v="4毫米厚釜電飯煲1L"/>
    <s v="細電"/>
    <s v="SDA"/>
    <s v="10nmf"/>
    <n v="1"/>
    <n v="718"/>
    <n v="718"/>
    <n v="1642"/>
    <m/>
    <m/>
    <s v="RC-10NMFIH(WT) 1642"/>
    <n v="898"/>
    <n v="0.79955456570155903"/>
    <s v="Toshiba SRP"/>
    <s v="DA141"/>
    <s v="DA1411642"/>
  </r>
  <r>
    <n v="919"/>
    <s v="Broadway"/>
    <s v="Diamond Hill_2"/>
    <x v="18"/>
    <n v="3"/>
    <x v="21"/>
    <x v="68"/>
    <s v="旋鈕式微波爐 (20公升)"/>
    <s v="細電"/>
    <s v="MCA"/>
    <s v="2mm20"/>
    <n v="1"/>
    <n v="598"/>
    <n v="598"/>
    <n v="1647"/>
    <m/>
    <m/>
    <s v="MM-2MM20PC(WH) 1647"/>
    <n v="738"/>
    <n v="0.81029810298102978"/>
    <s v="Toshiba SRP"/>
    <s v="DA141"/>
    <s v="DA1411647"/>
  </r>
  <r>
    <n v="920"/>
    <s v="Broadway"/>
    <s v="Diamond Hill_2"/>
    <x v="18"/>
    <n v="3"/>
    <x v="21"/>
    <x v="74"/>
    <s v="4合1氣炸微波蒸焗爐(25公升)"/>
    <s v="細電"/>
    <s v="MCA"/>
    <s v="str25"/>
    <n v="1"/>
    <n v="3180"/>
    <n v="3180"/>
    <n v="249805"/>
    <m/>
    <m/>
    <s v="MX2-STR25SC(WH) 249805"/>
    <n v="4998"/>
    <n v="0.6362545018007203"/>
    <s v="Toshiba SRP"/>
    <s v="DA141"/>
    <s v="DA141249805"/>
  </r>
  <r>
    <n v="921"/>
    <s v="Broadway"/>
    <s v="Diamond Hill_2"/>
    <x v="18"/>
    <n v="3"/>
    <x v="21"/>
    <x v="88"/>
    <s v="水波爐"/>
    <s v="細電"/>
    <s v="MCA"/>
    <s v="vd7000"/>
    <n v="1"/>
    <n v="6550"/>
    <n v="6550"/>
    <n v="249811"/>
    <m/>
    <m/>
    <s v="ER-VD7000HK(XK) 249811"/>
    <n v="8998"/>
    <n v="0.72793954212047118"/>
    <s v="Toshiba SRP"/>
    <s v="DA141"/>
    <s v="DA141249811"/>
  </r>
  <r>
    <n v="922"/>
    <s v="Suning"/>
    <s v="TKO"/>
    <x v="19"/>
    <n v="3"/>
    <x v="0"/>
    <x v="21"/>
    <s v="壓縮式抽濕機 (30公升)"/>
    <s v="細電"/>
    <s v="RAC"/>
    <s v="d300"/>
    <n v="1"/>
    <n v="2280"/>
    <n v="2280"/>
    <n v="1170548"/>
    <m/>
    <m/>
    <s v="RAD-D300H 1170548"/>
    <n v="3380"/>
    <n v="0.67455621301775148"/>
    <s v="Shops Highest Price"/>
    <s v="DA141"/>
    <s v="DA1411170548"/>
  </r>
  <r>
    <n v="923"/>
    <s v="Suning"/>
    <s v="TKO"/>
    <x v="19"/>
    <n v="3"/>
    <x v="0"/>
    <x v="21"/>
    <s v="壓縮式抽濕機 (30公升)"/>
    <s v="細電"/>
    <s v="RAC"/>
    <s v="d300"/>
    <n v="1"/>
    <n v="2280"/>
    <n v="2280"/>
    <n v="1170586"/>
    <m/>
    <m/>
    <s v="RAD-D300H 1170586"/>
    <n v="3380"/>
    <n v="0.67455621301775148"/>
    <s v="Shops Highest Price"/>
    <s v="DA141"/>
    <s v="DA1411170586"/>
  </r>
  <r>
    <n v="924"/>
    <s v="Suning"/>
    <s v="TKO"/>
    <x v="19"/>
    <n v="3"/>
    <x v="0"/>
    <x v="68"/>
    <s v="旋鈕式微波爐 (20公升)"/>
    <s v="細電"/>
    <s v="MCA"/>
    <s v="2mm20"/>
    <n v="1"/>
    <n v="550"/>
    <n v="550"/>
    <n v="1170572"/>
    <m/>
    <m/>
    <s v="MM-2MM20PC(WH) 1170572"/>
    <n v="738"/>
    <n v="0.74525745257452569"/>
    <s v="Toshiba SRP"/>
    <s v="DA141"/>
    <s v="DA1411170572"/>
  </r>
  <r>
    <n v="925"/>
    <s v="Suning"/>
    <s v="TKO"/>
    <x v="19"/>
    <n v="3"/>
    <x v="0"/>
    <x v="68"/>
    <s v="旋鈕式微波爐 (20公升)"/>
    <s v="細電"/>
    <s v="MCA"/>
    <s v="2mm20"/>
    <n v="1"/>
    <n v="550"/>
    <n v="550"/>
    <n v="1170586"/>
    <m/>
    <m/>
    <s v="MM-2MM20PC(WH) 1170586"/>
    <n v="738"/>
    <n v="0.74525745257452569"/>
    <s v="Toshiba SRP"/>
    <s v="DA141"/>
    <s v="DA1411170586"/>
  </r>
  <r>
    <n v="926"/>
    <s v="Suning"/>
    <s v="TKO"/>
    <x v="19"/>
    <n v="3"/>
    <x v="0"/>
    <x v="36"/>
    <s v="輕觸式微波爐 (20公升)"/>
    <s v="細電"/>
    <s v="MCA"/>
    <s v="em20"/>
    <n v="1"/>
    <n v="568"/>
    <n v="568"/>
    <n v="1170509"/>
    <m/>
    <m/>
    <s v="MM2-EM20PC(WH) 1170509"/>
    <n v="788"/>
    <n v="0.7208121827411168"/>
    <s v="Toshiba SRP"/>
    <s v="DA141"/>
    <s v="DA1411170509"/>
  </r>
  <r>
    <n v="927"/>
    <s v="Suning"/>
    <s v="TKO"/>
    <x v="19"/>
    <n v="3"/>
    <x v="0"/>
    <x v="20"/>
    <s v="壓縮式抽濕機 (22公升)"/>
    <s v="細電"/>
    <s v="RAC"/>
    <s v="d200"/>
    <n v="1"/>
    <n v="1980"/>
    <n v="1980"/>
    <n v="1170602"/>
    <m/>
    <m/>
    <s v="RAD-D200H 1170602"/>
    <n v="2880"/>
    <n v="0.6875"/>
    <s v="Shops Highest Price"/>
    <s v="DA141"/>
    <s v="DA1411170602"/>
  </r>
  <r>
    <n v="928"/>
    <s v="Suning"/>
    <s v="TKO"/>
    <x v="19"/>
    <n v="3"/>
    <x v="6"/>
    <x v="33"/>
    <s v="輕觸式燒烤微波爐"/>
    <s v="細電"/>
    <s v="MCA"/>
    <s v="eg20"/>
    <n v="1"/>
    <n v="638"/>
    <n v="638"/>
    <n v="1170611"/>
    <m/>
    <m/>
    <s v="MM2-EG20PC(WH) 1170611"/>
    <n v="918"/>
    <n v="0.69498910675381265"/>
    <s v="Shops Highest Price"/>
    <s v="DA141"/>
    <s v="DA1411170611"/>
  </r>
  <r>
    <n v="929"/>
    <s v="Suning"/>
    <s v="TKO"/>
    <x v="19"/>
    <n v="3"/>
    <x v="6"/>
    <x v="21"/>
    <s v="壓縮式抽濕機 (30公升)"/>
    <s v="細電"/>
    <s v="RAC"/>
    <s v="d300"/>
    <n v="1"/>
    <n v="2280"/>
    <n v="2280"/>
    <n v="1170618"/>
    <m/>
    <m/>
    <s v="RAD-D300H 1170618"/>
    <n v="3380"/>
    <n v="0.67455621301775148"/>
    <s v="Shops Highest Price"/>
    <s v="DA141"/>
    <s v="DA1411170618"/>
  </r>
  <r>
    <n v="930"/>
    <s v="Suning"/>
    <s v="TKO"/>
    <x v="19"/>
    <n v="3"/>
    <x v="6"/>
    <x v="21"/>
    <s v="壓縮式抽濕機 (30公升)"/>
    <s v="細電"/>
    <s v="RAC"/>
    <s v="d300"/>
    <n v="1"/>
    <n v="2280"/>
    <n v="2280"/>
    <n v="1170622"/>
    <m/>
    <m/>
    <s v="RAD-D300H 1170622"/>
    <n v="3380"/>
    <n v="0.67455621301775148"/>
    <s v="Shops Highest Price"/>
    <s v="DA141"/>
    <s v="DA1411170622"/>
  </r>
  <r>
    <n v="931"/>
    <s v="Suning"/>
    <s v="TKO"/>
    <x v="19"/>
    <n v="3"/>
    <x v="6"/>
    <x v="21"/>
    <s v="壓縮式抽濕機 (30公升)"/>
    <s v="細電"/>
    <s v="RAC"/>
    <s v="d300"/>
    <n v="1"/>
    <n v="2280"/>
    <n v="2280"/>
    <n v="1170623"/>
    <m/>
    <m/>
    <s v="RAD-D300H 1170623"/>
    <n v="3380"/>
    <n v="0.67455621301775148"/>
    <s v="Shops Highest Price"/>
    <s v="DA141"/>
    <s v="DA1411170623"/>
  </r>
  <r>
    <n v="932"/>
    <s v="Suning"/>
    <s v="TKO"/>
    <x v="19"/>
    <n v="3"/>
    <x v="6"/>
    <x v="33"/>
    <s v="輕觸式燒烤微波爐"/>
    <s v="細電"/>
    <s v="MCA"/>
    <s v="eg20"/>
    <n v="1"/>
    <n v="638"/>
    <n v="638"/>
    <n v="1170699"/>
    <m/>
    <m/>
    <s v="MM2-EG20PC(WH) 1170699"/>
    <n v="918"/>
    <n v="0.69498910675381265"/>
    <s v="Shops Highest Price"/>
    <s v="DA141"/>
    <s v="DA1411170699"/>
  </r>
  <r>
    <n v="933"/>
    <s v="Suning"/>
    <s v="TKO"/>
    <x v="19"/>
    <n v="3"/>
    <x v="6"/>
    <x v="21"/>
    <s v="壓縮式抽濕機 (30公升)"/>
    <s v="細電"/>
    <s v="RAC"/>
    <s v="d300"/>
    <n v="1"/>
    <n v="2280"/>
    <n v="2280"/>
    <n v="1170677"/>
    <m/>
    <m/>
    <s v="RAD-D300H 1170677"/>
    <n v="3380"/>
    <n v="0.67455621301775148"/>
    <s v="Shops Highest Price"/>
    <s v="DA141"/>
    <s v="DA1411170677"/>
  </r>
  <r>
    <n v="934"/>
    <s v="Suning"/>
    <s v="TKO"/>
    <x v="19"/>
    <n v="3"/>
    <x v="6"/>
    <x v="21"/>
    <s v="壓縮式抽濕機 (30公升)"/>
    <s v="細電"/>
    <s v="RAC"/>
    <s v="d300"/>
    <n v="1"/>
    <n v="2080"/>
    <n v="2080"/>
    <n v="1170683"/>
    <m/>
    <m/>
    <s v="RAD-D300H 1170683"/>
    <n v="3380"/>
    <n v="0.61538461538461542"/>
    <s v="Shops Highest Price"/>
    <s v="DA141"/>
    <s v="DA1411170683"/>
  </r>
  <r>
    <n v="935"/>
    <s v="Suning"/>
    <s v="TKO"/>
    <x v="19"/>
    <n v="3"/>
    <x v="6"/>
    <x v="21"/>
    <s v="壓縮式抽濕機 (30公升)"/>
    <s v="細電"/>
    <s v="RAC"/>
    <s v="d300"/>
    <n v="1"/>
    <n v="2280"/>
    <n v="2280"/>
    <n v="1170685"/>
    <m/>
    <m/>
    <s v="RAD-D300H 1170685"/>
    <n v="3380"/>
    <n v="0.67455621301775148"/>
    <s v="Shops Highest Price"/>
    <s v="DA141"/>
    <s v="DA1411170685"/>
  </r>
  <r>
    <n v="936"/>
    <s v="Suning"/>
    <s v="TKO"/>
    <x v="19"/>
    <n v="3"/>
    <x v="7"/>
    <x v="44"/>
    <s v="1.7L無線雙層電熱水壺"/>
    <s v="細電"/>
    <s v="SDA"/>
    <s v="17shnh"/>
    <n v="1"/>
    <n v="198"/>
    <n v="198"/>
    <n v="1170888"/>
    <m/>
    <m/>
    <s v="KT-17SHNH 1170888"/>
    <n v="299"/>
    <n v="0.66220735785953178"/>
    <s v="Shops Highest Price"/>
    <s v="DA141"/>
    <s v="DA1411170888"/>
  </r>
  <r>
    <n v="937"/>
    <s v="Suning"/>
    <s v="TKO"/>
    <x v="19"/>
    <n v="3"/>
    <x v="7"/>
    <x v="21"/>
    <s v="壓縮式抽濕機 (30公升)"/>
    <s v="細電"/>
    <s v="RAC"/>
    <s v="d300"/>
    <n v="1"/>
    <n v="2280"/>
    <n v="2280"/>
    <n v="1170692"/>
    <m/>
    <m/>
    <s v="RAD-D300H 1170692"/>
    <n v="3380"/>
    <n v="0.67455621301775148"/>
    <s v="Shops Highest Price"/>
    <s v="DA141"/>
    <s v="DA1411170692"/>
  </r>
  <r>
    <n v="938"/>
    <s v="Suning"/>
    <s v="TKO"/>
    <x v="19"/>
    <n v="3"/>
    <x v="7"/>
    <x v="36"/>
    <s v="輕觸式微波爐 (20公升)"/>
    <s v="細電"/>
    <s v="MCA"/>
    <s v="em20"/>
    <n v="1"/>
    <n v="568"/>
    <n v="568"/>
    <n v="1170695"/>
    <m/>
    <m/>
    <s v="MM2-EM20PC(WH) 1170695"/>
    <n v="788"/>
    <n v="0.7208121827411168"/>
    <s v="Toshiba SRP"/>
    <s v="DA141"/>
    <s v="DA1411170695"/>
  </r>
  <r>
    <n v="939"/>
    <s v="Suning"/>
    <s v="TKO"/>
    <x v="19"/>
    <n v="3"/>
    <x v="7"/>
    <x v="48"/>
    <s v="3合1 微波蒸焗爐 (20公升)"/>
    <s v="細電"/>
    <s v="MCA"/>
    <s v="tt20"/>
    <n v="1"/>
    <n v="2580"/>
    <n v="2580"/>
    <n v="1170699"/>
    <m/>
    <m/>
    <s v="MX2-TT20SC(WH) 1170699"/>
    <n v="3580"/>
    <n v="0.72067039106145248"/>
    <s v="Toshiba SRP"/>
    <s v="DA141"/>
    <s v="DA1411170699"/>
  </r>
  <r>
    <n v="940"/>
    <s v="Suning"/>
    <s v="TKO"/>
    <x v="19"/>
    <n v="3"/>
    <x v="7"/>
    <x v="21"/>
    <s v="壓縮式抽濕機 (30公升)"/>
    <s v="細電"/>
    <s v="RAC"/>
    <s v="d300"/>
    <n v="1"/>
    <n v="2180"/>
    <n v="2180"/>
    <n v="1170705"/>
    <m/>
    <m/>
    <s v="RAD-D300H 1170705"/>
    <n v="3380"/>
    <n v="0.6449704142011834"/>
    <s v="Shops Highest Price"/>
    <s v="DA141"/>
    <s v="DA1411170705"/>
  </r>
  <r>
    <n v="941"/>
    <s v="Suning"/>
    <s v="TKO"/>
    <x v="19"/>
    <n v="3"/>
    <x v="7"/>
    <x v="28"/>
    <s v="無線雙層電熱水壺-附可鎖壺蓋(0.8公升)"/>
    <s v="細電"/>
    <s v="SDA"/>
    <s v="08dh"/>
    <n v="1"/>
    <n v="268"/>
    <n v="268"/>
    <n v="1170718"/>
    <m/>
    <m/>
    <s v="KT-08DH1VHK(W) 1170718"/>
    <n v="428"/>
    <n v="0.62616822429906538"/>
    <s v="Toshiba SRP"/>
    <s v="DA141"/>
    <s v="DA1411170718"/>
  </r>
  <r>
    <n v="942"/>
    <s v="Suning"/>
    <s v="TKO"/>
    <x v="19"/>
    <n v="3"/>
    <x v="7"/>
    <x v="21"/>
    <s v="壓縮式抽濕機 (30公升)"/>
    <s v="細電"/>
    <s v="RAC"/>
    <s v="d300"/>
    <n v="1"/>
    <n v="2280"/>
    <n v="2280"/>
    <n v="1170737"/>
    <m/>
    <m/>
    <s v="RAD-D300H 1170737"/>
    <n v="3380"/>
    <n v="0.67455621301775148"/>
    <s v="Shops Highest Price"/>
    <s v="DA141"/>
    <s v="DA1411170737"/>
  </r>
  <r>
    <n v="943"/>
    <s v="Suning"/>
    <s v="TKO"/>
    <x v="19"/>
    <n v="3"/>
    <x v="7"/>
    <x v="68"/>
    <s v="旋鈕式微波爐 (20公升)"/>
    <s v="細電"/>
    <s v="MCA"/>
    <s v="2mm20"/>
    <n v="1"/>
    <n v="550"/>
    <n v="550"/>
    <n v="1170738"/>
    <m/>
    <m/>
    <s v="MM-2MM20PC(WH) 1170738"/>
    <n v="738"/>
    <n v="0.74525745257452569"/>
    <s v="Toshiba SRP"/>
    <s v="DA141"/>
    <s v="DA1411170738"/>
  </r>
  <r>
    <n v="944"/>
    <s v="Suning"/>
    <s v="TKO"/>
    <x v="19"/>
    <n v="3"/>
    <x v="7"/>
    <x v="87"/>
    <s v="變頻式環保雙門雪櫃(233L)"/>
    <s v="大電"/>
    <s v="REF"/>
    <s v="rt300"/>
    <n v="1"/>
    <n v="2780"/>
    <n v="2780"/>
    <n v="1170746"/>
    <m/>
    <m/>
    <s v="GR-RT300WE-PMA(57) 1170746"/>
    <n v="4280"/>
    <n v="0.64953271028037385"/>
    <s v="Toshiba SRP"/>
    <s v="DA141"/>
    <s v="DA1411170746"/>
  </r>
  <r>
    <n v="945"/>
    <s v="Suning"/>
    <s v="TKO"/>
    <x v="19"/>
    <n v="3"/>
    <x v="7"/>
    <x v="21"/>
    <s v="壓縮式抽濕機 (30公升)"/>
    <s v="細電"/>
    <s v="RAC"/>
    <s v="d300"/>
    <n v="1"/>
    <n v="2280"/>
    <n v="2280"/>
    <n v="1170756"/>
    <m/>
    <m/>
    <s v="RAD-D300H 1170756"/>
    <n v="3380"/>
    <n v="0.67455621301775148"/>
    <s v="Shops Highest Price"/>
    <s v="DA141"/>
    <s v="DA1411170756"/>
  </r>
  <r>
    <n v="946"/>
    <s v="Suning"/>
    <s v="TKO"/>
    <x v="19"/>
    <n v="3"/>
    <x v="7"/>
    <x v="36"/>
    <s v="輕觸式微波爐 (20公升)"/>
    <s v="細電"/>
    <s v="MCA"/>
    <s v="em20"/>
    <n v="1"/>
    <n v="568"/>
    <n v="568"/>
    <n v="1170778"/>
    <m/>
    <m/>
    <s v="MM2-EM20PC(WH) 1170778"/>
    <n v="788"/>
    <n v="0.7208121827411168"/>
    <s v="Toshiba SRP"/>
    <s v="DA141"/>
    <s v="DA1411170778"/>
  </r>
  <r>
    <n v="947"/>
    <s v="Suning"/>
    <s v="TKO"/>
    <x v="19"/>
    <n v="3"/>
    <x v="13"/>
    <x v="21"/>
    <s v="壓縮式抽濕機 (30公升)"/>
    <s v="細電"/>
    <s v="RAC"/>
    <s v="d300"/>
    <n v="1"/>
    <n v="2280"/>
    <n v="2280"/>
    <n v="1170800"/>
    <m/>
    <m/>
    <s v="RAD-D300H 1170800"/>
    <n v="3380"/>
    <n v="0.67455621301775148"/>
    <s v="Shops Highest Price"/>
    <s v="DA141"/>
    <s v="DA1411170800"/>
  </r>
  <r>
    <n v="948"/>
    <s v="Suning"/>
    <s v="TKO"/>
    <x v="19"/>
    <n v="3"/>
    <x v="13"/>
    <x v="14"/>
    <s v="21L壓縮式抽濕機"/>
    <s v="大電"/>
    <s v="RAC"/>
    <s v="y200"/>
    <n v="1"/>
    <n v="1888"/>
    <n v="1888"/>
    <n v="1170825"/>
    <m/>
    <m/>
    <s v="RAD-Y200H 1170825"/>
    <n v="3280"/>
    <n v="0.57560975609756093"/>
    <s v="Toshiba SRP"/>
    <s v="DA141"/>
    <s v="DA1411170825"/>
  </r>
  <r>
    <n v="949"/>
    <s v="Suning"/>
    <s v="TKO"/>
    <x v="19"/>
    <n v="3"/>
    <x v="13"/>
    <x v="44"/>
    <s v="1.7L無線雙層電熱水壺"/>
    <s v="細電"/>
    <s v="SDA"/>
    <s v="17shnh"/>
    <n v="1"/>
    <n v="198"/>
    <n v="198"/>
    <n v="1170856"/>
    <m/>
    <m/>
    <s v="KT-17SHNH 1170856"/>
    <n v="299"/>
    <n v="0.66220735785953178"/>
    <s v="Shops Highest Price"/>
    <s v="DA141"/>
    <s v="DA1411170856"/>
  </r>
  <r>
    <n v="950"/>
    <s v="Suning"/>
    <s v="TKO"/>
    <x v="19"/>
    <n v="3"/>
    <x v="13"/>
    <x v="42"/>
    <s v="變頻下置式雙門雪櫃系列270L"/>
    <s v="大電"/>
    <s v="REF"/>
    <s v="rb360"/>
    <n v="1"/>
    <n v="3680"/>
    <n v="3680"/>
    <n v="1170894"/>
    <m/>
    <m/>
    <s v="GR-RB360WE-PMA(06) 1170894"/>
    <n v="5080"/>
    <n v="0.72440944881889768"/>
    <s v="Toshiba SRP"/>
    <s v="DA141"/>
    <s v="DA1411170894"/>
  </r>
  <r>
    <n v="951"/>
    <s v="Suning"/>
    <s v="TKO"/>
    <x v="19"/>
    <n v="3"/>
    <x v="13"/>
    <x v="43"/>
    <s v="470MM超薄身前置式變頻洗衣機(8.5公斤, 可飛頂)"/>
    <s v="大電"/>
    <s v="LAD"/>
    <s v="t2295"/>
    <n v="1"/>
    <n v="3480"/>
    <n v="3480"/>
    <n v="1170897"/>
    <m/>
    <m/>
    <s v="TW-T22BU95UWH(WK)-B 1170897"/>
    <n v="5880"/>
    <n v="0.59183673469387754"/>
    <s v="Toshiba SRP"/>
    <s v="DA141"/>
    <s v="DA1411170897"/>
  </r>
  <r>
    <n v="952"/>
    <s v="Suning"/>
    <s v="TKO"/>
    <x v="19"/>
    <n v="3"/>
    <x v="1"/>
    <x v="21"/>
    <s v="壓縮式抽濕機 (30公升)"/>
    <s v="細電"/>
    <s v="RAC"/>
    <s v="d300"/>
    <n v="1"/>
    <n v="2280"/>
    <n v="2280"/>
    <n v="1170899"/>
    <m/>
    <m/>
    <s v="RAD-D300H 1170899"/>
    <n v="3380"/>
    <n v="0.67455621301775148"/>
    <s v="Shops Highest Price"/>
    <s v="DA141"/>
    <s v="DA1411170899"/>
  </r>
  <r>
    <n v="953"/>
    <s v="Suning"/>
    <s v="TKO"/>
    <x v="19"/>
    <n v="3"/>
    <x v="1"/>
    <x v="75"/>
    <s v="日式洗衣機 (8公斤 結合高低水位)"/>
    <s v="大電"/>
    <s v="LAD"/>
    <s v="q901"/>
    <n v="1"/>
    <n v="2288"/>
    <n v="2288"/>
    <n v="1170920"/>
    <m/>
    <m/>
    <s v="AW-Q901BPH(WW) 1170920"/>
    <n v="3780"/>
    <n v="0.60529100529100532"/>
    <s v="Toshiba SRP"/>
    <s v="DA141"/>
    <s v="DA1411170920"/>
  </r>
  <r>
    <n v="954"/>
    <s v="Suning"/>
    <s v="TKO"/>
    <x v="19"/>
    <n v="3"/>
    <x v="1"/>
    <x v="21"/>
    <s v="壓縮式抽濕機 (30公升)"/>
    <s v="細電"/>
    <s v="RAC"/>
    <s v="d300"/>
    <n v="1"/>
    <n v="2280"/>
    <n v="2280"/>
    <n v="1170930"/>
    <m/>
    <m/>
    <s v="RAD-D300H 1170930"/>
    <n v="3380"/>
    <n v="0.67455621301775148"/>
    <s v="Shops Highest Price"/>
    <s v="DA141"/>
    <s v="DA1411170930"/>
  </r>
  <r>
    <n v="955"/>
    <s v="Suning"/>
    <s v="TKO"/>
    <x v="19"/>
    <n v="3"/>
    <x v="1"/>
    <x v="68"/>
    <s v="旋鈕式微波爐 (20公升)"/>
    <s v="細電"/>
    <s v="MCA"/>
    <s v="2mm20"/>
    <n v="1"/>
    <n v="550"/>
    <n v="550"/>
    <n v="1170933"/>
    <m/>
    <m/>
    <s v="MM-2MM20PC(WH) 1170933"/>
    <n v="738"/>
    <n v="0.74525745257452569"/>
    <s v="Toshiba SRP"/>
    <s v="DA141"/>
    <s v="DA1411170933"/>
  </r>
  <r>
    <n v="956"/>
    <s v="Suning"/>
    <s v="TKO"/>
    <x v="19"/>
    <n v="3"/>
    <x v="1"/>
    <x v="14"/>
    <s v="21L壓縮式抽濕機"/>
    <s v="大電"/>
    <s v="RAC"/>
    <s v="y200"/>
    <n v="1"/>
    <n v="1988"/>
    <n v="1988"/>
    <n v="1170942"/>
    <m/>
    <m/>
    <s v="RAD-Y200H 1170942"/>
    <n v="3280"/>
    <n v="0.60609756097560974"/>
    <s v="Toshiba SRP"/>
    <s v="DA141"/>
    <s v="DA1411170942"/>
  </r>
  <r>
    <n v="957"/>
    <s v="Suning"/>
    <s v="TKO"/>
    <x v="19"/>
    <n v="3"/>
    <x v="1"/>
    <x v="81"/>
    <s v="470MM超薄身前置式變頻洗衣機(7.5公斤, 可飛頂)"/>
    <s v="大電"/>
    <s v="LAD"/>
    <s v="t2285"/>
    <n v="1"/>
    <n v="3480"/>
    <n v="3480"/>
    <n v="1170944"/>
    <m/>
    <m/>
    <s v="TW-T22BU85UWH(WK)-B 1170944"/>
    <n v="5480"/>
    <n v="0.63503649635036497"/>
    <s v="Toshiba SRP"/>
    <s v="DA141"/>
    <s v="DA1411170944"/>
  </r>
  <r>
    <n v="958"/>
    <s v="Suning"/>
    <s v="TKO"/>
    <x v="19"/>
    <n v="3"/>
    <x v="2"/>
    <x v="36"/>
    <s v="輕觸式微波爐 (20公升)"/>
    <s v="細電"/>
    <s v="MCA"/>
    <s v="em20"/>
    <n v="1"/>
    <n v="568"/>
    <n v="568"/>
    <n v="1170999"/>
    <m/>
    <m/>
    <s v="MM2-EM20PC(WH) 1170999"/>
    <n v="788"/>
    <n v="0.7208121827411168"/>
    <s v="Toshiba SRP"/>
    <s v="DA141"/>
    <s v="DA1411170999"/>
  </r>
  <r>
    <n v="959"/>
    <s v="Suning"/>
    <s v="TKO"/>
    <x v="19"/>
    <n v="3"/>
    <x v="2"/>
    <x v="34"/>
    <s v="智能氣炸烤焗爐(24公升)"/>
    <s v="細電"/>
    <s v="MCA"/>
    <s v="sac24"/>
    <n v="1"/>
    <n v="1298"/>
    <n v="1298"/>
    <n v="1171012"/>
    <m/>
    <m/>
    <s v="MW3-SAC24SE(BK) 1171012"/>
    <n v="1680"/>
    <n v="0.77261904761904765"/>
    <s v="Toshiba SRP"/>
    <s v="DA141"/>
    <s v="DA1411171012"/>
  </r>
  <r>
    <n v="960"/>
    <s v="Suning"/>
    <s v="TKO"/>
    <x v="19"/>
    <n v="3"/>
    <x v="2"/>
    <x v="24"/>
    <s v="微型電腦珍珠飯煲"/>
    <s v="細電"/>
    <s v="SDA"/>
    <s v="5sli"/>
    <n v="1"/>
    <n v="538"/>
    <n v="538"/>
    <n v="1171050"/>
    <m/>
    <m/>
    <s v="RC-5SLIH(W) 1171050"/>
    <n v="658"/>
    <n v="0.81762917933130697"/>
    <s v="Toshiba SRP"/>
    <s v="DA141"/>
    <s v="DA1411171050"/>
  </r>
  <r>
    <n v="961"/>
    <s v="Suning"/>
    <s v="TKO"/>
    <x v="19"/>
    <n v="3"/>
    <x v="2"/>
    <x v="36"/>
    <s v="輕觸式微波爐 (20公升)"/>
    <s v="細電"/>
    <s v="MCA"/>
    <s v="em20"/>
    <n v="1"/>
    <n v="568"/>
    <n v="568"/>
    <n v="1171056"/>
    <m/>
    <m/>
    <s v="MM2-EM20PC(WH) 1171056"/>
    <n v="788"/>
    <n v="0.7208121827411168"/>
    <s v="Toshiba SRP"/>
    <s v="DA141"/>
    <s v="DA1411171056"/>
  </r>
  <r>
    <n v="962"/>
    <s v="Suning"/>
    <s v="TKO"/>
    <x v="19"/>
    <n v="3"/>
    <x v="2"/>
    <x v="28"/>
    <s v="無線雙層電熱水壺-附可鎖壺蓋(0.8公升)"/>
    <s v="細電"/>
    <s v="SDA"/>
    <s v="08dh"/>
    <n v="1"/>
    <n v="268"/>
    <n v="268"/>
    <n v="1171064"/>
    <m/>
    <m/>
    <s v="KT-08DH1VHK(W) 1171064"/>
    <n v="428"/>
    <n v="0.62616822429906538"/>
    <s v="Toshiba SRP"/>
    <s v="DA141"/>
    <s v="DA1411171064"/>
  </r>
  <r>
    <n v="963"/>
    <s v="Suning"/>
    <s v="TKO"/>
    <x v="19"/>
    <n v="3"/>
    <x v="2"/>
    <x v="44"/>
    <s v="1.7L無線雙層電熱水壺"/>
    <s v="細電"/>
    <s v="SDA"/>
    <s v="17shnh"/>
    <n v="1"/>
    <n v="198"/>
    <n v="198"/>
    <n v="1171061"/>
    <m/>
    <m/>
    <s v="KT-17SHNH 1171061"/>
    <n v="299"/>
    <n v="0.66220735785953178"/>
    <s v="Shops Highest Price"/>
    <s v="DA141"/>
    <s v="DA1411171061"/>
  </r>
  <r>
    <n v="964"/>
    <s v="Suning"/>
    <s v="TKO"/>
    <x v="19"/>
    <n v="3"/>
    <x v="16"/>
    <x v="89"/>
    <s v="2 匹 R32變頻窗口式冷氣機 (remote)"/>
    <s v="大電"/>
    <s v="AC"/>
    <s v="18g3cvr"/>
    <n v="1"/>
    <n v="6998"/>
    <n v="6998"/>
    <n v="1171295"/>
    <m/>
    <m/>
    <s v="RAC-18G3CVRGR-HK 1171295"/>
    <n v="10380"/>
    <n v="0.67418111753371868"/>
    <s v="Toshiba SRP"/>
    <s v="DA141"/>
    <s v="DA1411171295"/>
  </r>
  <r>
    <n v="965"/>
    <s v="Suning"/>
    <s v="TKO"/>
    <x v="19"/>
    <n v="3"/>
    <x v="16"/>
    <x v="89"/>
    <s v="2 匹 R32變頻窗口式冷氣機 (remote)"/>
    <s v="大電"/>
    <s v="AC"/>
    <s v="18g3cvr"/>
    <n v="1"/>
    <n v="6998"/>
    <n v="6998"/>
    <n v="1171294"/>
    <m/>
    <m/>
    <s v="RAC-18G3CVRGR-HK 1171294"/>
    <n v="10380"/>
    <n v="0.67418111753371868"/>
    <s v="Toshiba SRP"/>
    <s v="DA141"/>
    <s v="DA1411171294"/>
  </r>
  <r>
    <n v="966"/>
    <s v="Suning"/>
    <s v="TKO"/>
    <x v="19"/>
    <n v="3"/>
    <x v="16"/>
    <x v="36"/>
    <s v="輕觸式微波爐 (20公升)"/>
    <s v="細電"/>
    <s v="MCA"/>
    <s v="em20"/>
    <n v="1"/>
    <n v="568"/>
    <n v="568"/>
    <n v="1171301"/>
    <m/>
    <m/>
    <s v="MM2-EM20PC(WH) 1171301"/>
    <n v="788"/>
    <n v="0.7208121827411168"/>
    <s v="Toshiba SRP"/>
    <s v="DA141"/>
    <s v="DA1411171301"/>
  </r>
  <r>
    <n v="967"/>
    <s v="Suning"/>
    <s v="TKO"/>
    <x v="19"/>
    <n v="3"/>
    <x v="11"/>
    <x v="21"/>
    <s v="壓縮式抽濕機 (30公升)"/>
    <s v="細電"/>
    <s v="RAC"/>
    <s v="d300"/>
    <n v="1"/>
    <n v="2280"/>
    <n v="2280"/>
    <n v="1171329"/>
    <m/>
    <m/>
    <s v="RAD-D300H 1171329"/>
    <n v="3380"/>
    <n v="0.67455621301775148"/>
    <s v="Shops Highest Price"/>
    <s v="DA141"/>
    <s v="DA1411171329"/>
  </r>
  <r>
    <n v="968"/>
    <s v="Suning"/>
    <s v="TKO"/>
    <x v="19"/>
    <n v="3"/>
    <x v="11"/>
    <x v="17"/>
    <s v="4毫米厚釜電飯煲1L"/>
    <s v="細電"/>
    <s v="SDA"/>
    <s v="10nmf"/>
    <n v="1"/>
    <n v="709"/>
    <n v="709"/>
    <n v="1171338"/>
    <m/>
    <m/>
    <s v="RC-10NMFIH(WT) 1171338"/>
    <n v="898"/>
    <n v="0.78953229398663693"/>
    <s v="Toshiba SRP"/>
    <s v="DA141"/>
    <s v="DA1411171338"/>
  </r>
  <r>
    <n v="969"/>
    <s v="Suning"/>
    <s v="TKO"/>
    <x v="19"/>
    <n v="3"/>
    <x v="11"/>
    <x v="27"/>
    <s v="4毫米厚釜電飯煲1.8L"/>
    <s v="細電"/>
    <s v="SDA"/>
    <s v="18nmf"/>
    <n v="1"/>
    <n v="799"/>
    <n v="799"/>
    <n v="1171337"/>
    <m/>
    <m/>
    <s v="RC-18NMFIH(WT) 1171337"/>
    <n v="998"/>
    <n v="0.80060120240480959"/>
    <s v="Toshiba SRP"/>
    <s v="DA141"/>
    <s v="DA1411171337"/>
  </r>
  <r>
    <n v="970"/>
    <s v="Suning"/>
    <s v="TKO"/>
    <x v="19"/>
    <n v="3"/>
    <x v="11"/>
    <x v="52"/>
    <s v="35L多功能電焗爐"/>
    <s v="細電"/>
    <s v="SDA"/>
    <s v="mc35"/>
    <n v="1"/>
    <n v="888"/>
    <n v="888"/>
    <n v="1171357"/>
    <m/>
    <m/>
    <s v="TL-MC35Z 1171357"/>
    <n v="1098"/>
    <n v="0.80874316939890711"/>
    <s v="Toshiba SRP"/>
    <s v="DA141"/>
    <s v="DA1411171357"/>
  </r>
  <r>
    <n v="971"/>
    <s v="Suning"/>
    <s v="TKO"/>
    <x v="19"/>
    <n v="3"/>
    <x v="11"/>
    <x v="87"/>
    <s v="變頻式環保雙門雪櫃(233L)"/>
    <s v="大電"/>
    <s v="REF"/>
    <s v="rt300"/>
    <n v="1"/>
    <n v="2780"/>
    <n v="2780"/>
    <n v="1171361"/>
    <m/>
    <m/>
    <s v="GR-RT300WE-PMA(57) 1171361"/>
    <n v="4280"/>
    <n v="0.64953271028037385"/>
    <s v="Toshiba SRP"/>
    <s v="DA141"/>
    <s v="DA1411171361"/>
  </r>
  <r>
    <n v="972"/>
    <s v="Suning"/>
    <s v="TKO"/>
    <x v="19"/>
    <n v="3"/>
    <x v="11"/>
    <x v="0"/>
    <s v="超薄身前置式洗衣乾衣機 (洗8公斤 乾5公斤)"/>
    <s v="大電"/>
    <s v="WM"/>
    <s v="bn90"/>
    <n v="1"/>
    <n v="3788"/>
    <n v="3788"/>
    <n v="1171398"/>
    <m/>
    <m/>
    <s v="TWD-BN90GF4H(WK) 1171398"/>
    <n v="5980"/>
    <n v="0.63344481605351166"/>
    <s v="Toshiba SRP"/>
    <s v="DA141"/>
    <s v="DA1411171398"/>
  </r>
  <r>
    <n v="973"/>
    <s v="Suning"/>
    <s v="TKO"/>
    <x v="19"/>
    <n v="3"/>
    <x v="3"/>
    <x v="21"/>
    <s v="壓縮式抽濕機 (30公升)"/>
    <s v="細電"/>
    <s v="RAC"/>
    <s v="d300"/>
    <n v="1"/>
    <n v="2280"/>
    <n v="2280"/>
    <n v="1171472"/>
    <m/>
    <m/>
    <s v="RAD-D300H 1171472"/>
    <n v="3380"/>
    <n v="0.67455621301775148"/>
    <s v="Shops Highest Price"/>
    <s v="DA141"/>
    <s v="DA1411171472"/>
  </r>
  <r>
    <n v="974"/>
    <s v="Suning"/>
    <s v="TKO"/>
    <x v="19"/>
    <n v="3"/>
    <x v="3"/>
    <x v="47"/>
    <s v="磁應電飯煲(1公升)"/>
    <s v="細電"/>
    <s v="SDA"/>
    <s v="10iss"/>
    <n v="1"/>
    <n v="898"/>
    <n v="898"/>
    <n v="1171403"/>
    <m/>
    <m/>
    <s v="RC-10ISSHK(W) 1171403"/>
    <n v="1188"/>
    <n v="0.75589225589225584"/>
    <s v="Shops Highest Price"/>
    <s v="DA141"/>
    <s v="DA1411171403"/>
  </r>
  <r>
    <n v="975"/>
    <s v="Suning"/>
    <s v="TKO"/>
    <x v="19"/>
    <n v="3"/>
    <x v="3"/>
    <x v="90"/>
    <s v="8公斤超薄身前置式變頻洗衣機"/>
    <s v="大電"/>
    <s v="LAD"/>
    <s v="bu90"/>
    <n v="1"/>
    <n v="3080"/>
    <n v="3080"/>
    <n v="1171500"/>
    <m/>
    <m/>
    <s v="TW-T21BU90UWH(WW) 1171500"/>
    <n v="5480"/>
    <n v="0.56204379562043794"/>
    <s v="Toshiba SRP"/>
    <s v="DA141"/>
    <s v="DA1411171500"/>
  </r>
  <r>
    <n v="976"/>
    <s v="Suning"/>
    <s v="TKO"/>
    <x v="19"/>
    <n v="3"/>
    <x v="3"/>
    <x v="87"/>
    <s v="變頻式環保雙門雪櫃(233L)"/>
    <s v="大電"/>
    <s v="REF"/>
    <s v="rt300"/>
    <n v="1"/>
    <n v="2780"/>
    <n v="2780"/>
    <n v="1171504"/>
    <m/>
    <m/>
    <s v="GR-RT300WE-PMA(57) 1171504"/>
    <n v="4280"/>
    <n v="0.64953271028037385"/>
    <s v="Toshiba SRP"/>
    <s v="DA141"/>
    <s v="DA1411171504"/>
  </r>
  <r>
    <n v="977"/>
    <s v="Suning"/>
    <s v="TKO"/>
    <x v="19"/>
    <n v="3"/>
    <x v="4"/>
    <x v="21"/>
    <s v="壓縮式抽濕機 (30公升)"/>
    <s v="細電"/>
    <s v="RAC"/>
    <s v="d300"/>
    <n v="1"/>
    <n v="2280"/>
    <n v="2280"/>
    <n v="1171516"/>
    <m/>
    <m/>
    <s v="RAD-D300H 1171516"/>
    <n v="3380"/>
    <n v="0.67455621301775148"/>
    <s v="Shops Highest Price"/>
    <s v="DA141"/>
    <s v="DA1411171516"/>
  </r>
  <r>
    <n v="978"/>
    <s v="Suning"/>
    <s v="TKO"/>
    <x v="19"/>
    <n v="3"/>
    <x v="4"/>
    <x v="87"/>
    <s v="變頻式環保雙門雪櫃(233L)"/>
    <s v="大電"/>
    <s v="REF"/>
    <s v="rt300"/>
    <n v="1"/>
    <n v="2780"/>
    <n v="2780"/>
    <n v="1171522"/>
    <m/>
    <m/>
    <s v="GR-RT300WE-PMA(57) 1171522"/>
    <n v="4280"/>
    <n v="0.64953271028037385"/>
    <s v="Toshiba SRP"/>
    <s v="DA141"/>
    <s v="DA1411171522"/>
  </r>
  <r>
    <n v="979"/>
    <s v="Suning"/>
    <s v="TKO"/>
    <x v="19"/>
    <n v="3"/>
    <x v="4"/>
    <x v="17"/>
    <s v="4毫米厚釜電飯煲1L"/>
    <s v="細電"/>
    <s v="SDA"/>
    <s v="10nmf"/>
    <n v="1"/>
    <n v="709"/>
    <n v="709"/>
    <n v="1171531"/>
    <m/>
    <m/>
    <s v="RC-10NMFIH(WT) 1171531"/>
    <n v="898"/>
    <n v="0.78953229398663693"/>
    <s v="Toshiba SRP"/>
    <s v="DA141"/>
    <s v="DA1411171531"/>
  </r>
  <r>
    <n v="980"/>
    <s v="Suning"/>
    <s v="TKO"/>
    <x v="19"/>
    <n v="3"/>
    <x v="4"/>
    <x v="37"/>
    <s v="電熱水瓶 (5公升)"/>
    <s v="細電"/>
    <s v="SDA"/>
    <s v="50dr"/>
    <n v="1"/>
    <n v="598"/>
    <n v="598"/>
    <n v="1171537"/>
    <m/>
    <m/>
    <s v="TP-50DRUHK(W) 1171537"/>
    <n v="718"/>
    <n v="0.83286908077994426"/>
    <s v="Toshiba SRP"/>
    <s v="DA141"/>
    <s v="DA1411171537"/>
  </r>
  <r>
    <n v="981"/>
    <s v="Suning"/>
    <s v="TKO"/>
    <x v="19"/>
    <n v="3"/>
    <x v="4"/>
    <x v="21"/>
    <s v="壓縮式抽濕機 (30公升)"/>
    <s v="細電"/>
    <s v="RAC"/>
    <s v="d300"/>
    <n v="1"/>
    <n v="2280"/>
    <n v="2280"/>
    <n v="1171550"/>
    <m/>
    <m/>
    <s v="RAD-D300H 1171550"/>
    <n v="3380"/>
    <n v="0.67455621301775148"/>
    <s v="Shops Highest Price"/>
    <s v="DA141"/>
    <s v="DA1411171550"/>
  </r>
  <r>
    <n v="982"/>
    <s v="Suning"/>
    <s v="TKO"/>
    <x v="19"/>
    <n v="3"/>
    <x v="4"/>
    <x v="44"/>
    <s v="1.7L無線雙層電熱水壺"/>
    <s v="細電"/>
    <s v="SDA"/>
    <s v="17shnh"/>
    <n v="1"/>
    <n v="198"/>
    <n v="198"/>
    <n v="1171551"/>
    <m/>
    <m/>
    <s v="KT-17SHNH 1171551"/>
    <n v="299"/>
    <n v="0.66220735785953178"/>
    <s v="Shops Highest Price"/>
    <s v="DA141"/>
    <s v="DA1411171551"/>
  </r>
  <r>
    <n v="983"/>
    <s v="Suning"/>
    <s v="TKO"/>
    <x v="19"/>
    <n v="3"/>
    <x v="4"/>
    <x v="48"/>
    <s v="3合1 微波蒸焗爐 (20公升)"/>
    <s v="細電"/>
    <s v="MCA"/>
    <s v="tt20"/>
    <n v="1"/>
    <n v="2580"/>
    <n v="2580"/>
    <n v="1171557"/>
    <m/>
    <m/>
    <s v="MX2-TT20SC(WH) 1171557"/>
    <n v="3580"/>
    <n v="0.72067039106145248"/>
    <s v="Toshiba SRP"/>
    <s v="DA141"/>
    <s v="DA1411171557"/>
  </r>
  <r>
    <n v="984"/>
    <s v="Suning"/>
    <s v="TKO"/>
    <x v="19"/>
    <n v="3"/>
    <x v="4"/>
    <x v="37"/>
    <s v="電熱水瓶 (5公升)"/>
    <s v="細電"/>
    <s v="SDA"/>
    <s v="50dr"/>
    <n v="1"/>
    <n v="598"/>
    <n v="598"/>
    <n v="1171571"/>
    <m/>
    <m/>
    <s v="TP-50DRUHK(W) 1171571"/>
    <n v="718"/>
    <n v="0.83286908077994426"/>
    <s v="Toshiba SRP"/>
    <s v="DA141"/>
    <s v="DA1411171571"/>
  </r>
  <r>
    <n v="985"/>
    <s v="Suning"/>
    <s v="TKO"/>
    <x v="19"/>
    <n v="3"/>
    <x v="4"/>
    <x v="21"/>
    <s v="壓縮式抽濕機 (30公升)"/>
    <s v="細電"/>
    <s v="RAC"/>
    <s v="d300"/>
    <n v="1"/>
    <n v="2280"/>
    <n v="2280"/>
    <n v="1171576"/>
    <m/>
    <m/>
    <s v="RAD-D300H 1171576"/>
    <n v="3380"/>
    <n v="0.67455621301775148"/>
    <s v="Shops Highest Price"/>
    <s v="DA141"/>
    <s v="DA1411171576"/>
  </r>
  <r>
    <n v="986"/>
    <s v="Suning"/>
    <s v="TKO"/>
    <x v="19"/>
    <n v="3"/>
    <x v="15"/>
    <x v="78"/>
    <s v="變頻式環保雙門雪櫃（179L）"/>
    <s v="大電"/>
    <s v="REF"/>
    <s v="rt234"/>
    <n v="1"/>
    <n v="2180"/>
    <n v="2180"/>
    <n v="1171581"/>
    <m/>
    <m/>
    <s v="GR-RT234WE-PMA(57) 1171581"/>
    <n v="3680"/>
    <n v="0.59239130434782605"/>
    <s v="Toshiba SRP"/>
    <s v="DA141"/>
    <s v="DA1411171581"/>
  </r>
  <r>
    <n v="987"/>
    <s v="Suning"/>
    <s v="TKO"/>
    <x v="19"/>
    <n v="3"/>
    <x v="15"/>
    <x v="91"/>
    <s v="3/4 匹 R32變頻窗口式冷氣機"/>
    <s v="大電"/>
    <s v="AC"/>
    <s v="07g3cvg"/>
    <n v="1"/>
    <n v="3580"/>
    <n v="3580"/>
    <n v="1171594"/>
    <m/>
    <m/>
    <s v="RAC-07G3CVG-HK 1171594"/>
    <n v="4980"/>
    <n v="0.71887550200803207"/>
    <s v="Toshiba SRP"/>
    <s v="DA141"/>
    <s v="DA1411171594"/>
  </r>
  <r>
    <n v="988"/>
    <s v="Suning"/>
    <s v="TKO"/>
    <x v="19"/>
    <n v="3"/>
    <x v="15"/>
    <x v="24"/>
    <s v="微型電腦珍珠飯煲"/>
    <s v="細電"/>
    <s v="SDA"/>
    <s v="5sli"/>
    <n v="1"/>
    <n v="550"/>
    <n v="550"/>
    <n v="1171605"/>
    <m/>
    <m/>
    <s v="RC-5SLIH(W) 1171605"/>
    <n v="658"/>
    <n v="0.83586626139817632"/>
    <s v="Toshiba SRP"/>
    <s v="DA141"/>
    <s v="DA1411171605"/>
  </r>
  <r>
    <n v="989"/>
    <s v="Suning"/>
    <s v="TKO"/>
    <x v="19"/>
    <n v="3"/>
    <x v="15"/>
    <x v="44"/>
    <s v="1.7L無線雙層電熱水壺"/>
    <s v="細電"/>
    <s v="SDA"/>
    <s v="17shnh"/>
    <n v="1"/>
    <n v="195"/>
    <n v="195"/>
    <n v="1171644"/>
    <m/>
    <m/>
    <s v="KT-17SHNH 1171644"/>
    <n v="299"/>
    <n v="0.65217391304347827"/>
    <s v="Shops Highest Price"/>
    <s v="DA141"/>
    <s v="DA1411171644"/>
  </r>
  <r>
    <n v="990"/>
    <s v="Suning"/>
    <s v="TKO"/>
    <x v="19"/>
    <n v="3"/>
    <x v="15"/>
    <x v="36"/>
    <s v="輕觸式微波爐 (20公升)"/>
    <s v="細電"/>
    <s v="MCA"/>
    <s v="em20"/>
    <n v="1"/>
    <n v="568"/>
    <n v="568"/>
    <n v="1171664"/>
    <m/>
    <m/>
    <s v="MM2-EM20PC(WH) 1171664"/>
    <n v="788"/>
    <n v="0.7208121827411168"/>
    <s v="Toshiba SRP"/>
    <s v="DA141"/>
    <s v="DA1411171664"/>
  </r>
  <r>
    <n v="991"/>
    <s v="Suning"/>
    <s v="TKO"/>
    <x v="19"/>
    <n v="3"/>
    <x v="15"/>
    <x v="86"/>
    <s v="470MM超薄身前置式變頻洗衣乾衣機 (洗8.5公斤 乾6公斤)"/>
    <s v="大電"/>
    <s v="LAD"/>
    <s v="twdt21"/>
    <n v="1"/>
    <n v="4290"/>
    <n v="4290"/>
    <n v="1171670"/>
    <m/>
    <m/>
    <s v="TWD-T21BU95UWH(WW) 1171670"/>
    <n v="7280"/>
    <n v="0.5892857142857143"/>
    <s v="Toshiba SRP"/>
    <s v="DA141"/>
    <s v="DA1411171670"/>
  </r>
  <r>
    <n v="992"/>
    <s v="Suning"/>
    <s v="TKO"/>
    <x v="19"/>
    <n v="3"/>
    <x v="15"/>
    <x v="92"/>
    <s v="1 匹 R32變頻窗口式冷氣機 (獨立抽濕遙控"/>
    <s v="大電"/>
    <s v="AC"/>
    <s v="09g3cvr"/>
    <n v="1"/>
    <n v="4699"/>
    <n v="4699"/>
    <n v="1171681"/>
    <m/>
    <m/>
    <s v="RAC-09G3CVRGR-HK 1171681"/>
    <n v="6980"/>
    <n v="0.67320916905444128"/>
    <s v="Toshiba SRP"/>
    <s v="DA141"/>
    <s v="DA1411171681"/>
  </r>
  <r>
    <n v="993"/>
    <s v="Suning"/>
    <s v="TKO"/>
    <x v="19"/>
    <n v="3"/>
    <x v="17"/>
    <x v="81"/>
    <s v="470MM超薄身前置式變頻洗衣機(7.5公斤, 可飛頂)"/>
    <s v="大電"/>
    <s v="LAD"/>
    <s v="t2285"/>
    <n v="1"/>
    <n v="3480"/>
    <n v="3480"/>
    <n v="1171729"/>
    <m/>
    <m/>
    <s v="TW-T22BU85UWH(WK)-B 1171729"/>
    <n v="5480"/>
    <n v="0.63503649635036497"/>
    <s v="Toshiba SRP"/>
    <s v="DA141"/>
    <s v="DA1411171729"/>
  </r>
  <r>
    <n v="994"/>
    <s v="Suning"/>
    <s v="TKO"/>
    <x v="19"/>
    <n v="3"/>
    <x v="17"/>
    <x v="24"/>
    <s v="微型電腦珍珠飯煲"/>
    <s v="細電"/>
    <s v="SDA"/>
    <s v="5sli"/>
    <n v="1"/>
    <n v="550"/>
    <n v="550"/>
    <n v="1171774"/>
    <m/>
    <m/>
    <s v="RC-5SLIH(W) 1171774"/>
    <n v="658"/>
    <n v="0.83586626139817632"/>
    <s v="Toshiba SRP"/>
    <s v="DA141"/>
    <s v="DA1411171774"/>
  </r>
  <r>
    <n v="995"/>
    <s v="Suning"/>
    <s v="TKO"/>
    <x v="19"/>
    <n v="3"/>
    <x v="18"/>
    <x v="74"/>
    <s v="4合1氣炸微波蒸焗爐(25公升)"/>
    <s v="細電"/>
    <s v="MCA"/>
    <s v="str25"/>
    <n v="1"/>
    <n v="3450"/>
    <n v="3450"/>
    <n v="1171796"/>
    <m/>
    <m/>
    <s v="MX2-STR25SC(WH) 1171796"/>
    <n v="4998"/>
    <n v="0.69027611044417769"/>
    <s v="Toshiba SRP"/>
    <s v="DA141"/>
    <s v="DA1411171796"/>
  </r>
  <r>
    <n v="996"/>
    <s v="Suning"/>
    <s v="TKO"/>
    <x v="19"/>
    <n v="3"/>
    <x v="18"/>
    <x v="21"/>
    <s v="壓縮式抽濕機 (30公升)"/>
    <s v="細電"/>
    <s v="RAC"/>
    <s v="d300"/>
    <n v="1"/>
    <n v="2280"/>
    <n v="2280"/>
    <n v="1171814"/>
    <m/>
    <m/>
    <s v="RAD-D300H 1171814"/>
    <n v="3380"/>
    <n v="0.67455621301775148"/>
    <s v="Shops Highest Price"/>
    <s v="DA141"/>
    <s v="DA1411171814"/>
  </r>
  <r>
    <n v="997"/>
    <s v="Suning"/>
    <s v="TKO"/>
    <x v="19"/>
    <n v="3"/>
    <x v="18"/>
    <x v="17"/>
    <s v="4毫米厚釜電飯煲1L"/>
    <s v="細電"/>
    <s v="SDA"/>
    <s v="10nmf"/>
    <n v="1"/>
    <n v="709"/>
    <n v="709"/>
    <n v="1171881"/>
    <m/>
    <m/>
    <s v="RC-10NMFIH(WT) 1171881"/>
    <n v="898"/>
    <n v="0.78953229398663693"/>
    <s v="Toshiba SRP"/>
    <s v="DA141"/>
    <s v="DA1411171881"/>
  </r>
  <r>
    <n v="998"/>
    <s v="Suning"/>
    <s v="TKO"/>
    <x v="19"/>
    <n v="3"/>
    <x v="18"/>
    <x v="36"/>
    <s v="輕觸式微波爐 (20公升)"/>
    <s v="細電"/>
    <s v="MCA"/>
    <s v="em20"/>
    <n v="1"/>
    <n v="550"/>
    <n v="550"/>
    <n v="1171928"/>
    <m/>
    <m/>
    <s v="MM2-EM20PC(WH) 1171928"/>
    <n v="788"/>
    <n v="0.69796954314720816"/>
    <s v="Toshiba SRP"/>
    <s v="DA141"/>
    <s v="DA1411171928"/>
  </r>
  <r>
    <n v="999"/>
    <s v="Suning"/>
    <s v="TKO"/>
    <x v="19"/>
    <n v="3"/>
    <x v="18"/>
    <x v="36"/>
    <s v="輕觸式微波爐 (20公升)"/>
    <s v="細電"/>
    <s v="MCA"/>
    <s v="em20"/>
    <n v="1"/>
    <n v="568"/>
    <n v="568"/>
    <n v="1171951"/>
    <m/>
    <m/>
    <s v="MM2-EM20PC(WH) 1171951"/>
    <n v="788"/>
    <n v="0.7208121827411168"/>
    <s v="Toshiba SRP"/>
    <s v="DA141"/>
    <s v="DA1411171951"/>
  </r>
  <r>
    <n v="1000"/>
    <s v="Suning"/>
    <s v="TKO"/>
    <x v="19"/>
    <n v="3"/>
    <x v="18"/>
    <x v="25"/>
    <s v="超輕巧2合1無線吸塵機"/>
    <s v="細電"/>
    <s v="MCA"/>
    <s v="cls1b"/>
    <n v="1"/>
    <n v="1180"/>
    <n v="1180"/>
    <n v="1171983"/>
    <m/>
    <m/>
    <s v="VC-CLS1BF(R) 1171983"/>
    <n v="1888"/>
    <n v="0.625"/>
    <s v="Toshiba SRP"/>
    <s v="DA141"/>
    <s v="DA1411171983"/>
  </r>
  <r>
    <n v="1001"/>
    <s v="Suning"/>
    <s v="TKO"/>
    <x v="19"/>
    <n v="3"/>
    <x v="18"/>
    <x v="63"/>
    <s v="20L 智能蒸氣焗爐"/>
    <s v="細電"/>
    <s v="MCA"/>
    <s v="stq20"/>
    <n v="1"/>
    <n v="1980"/>
    <n v="1980"/>
    <n v="1172200"/>
    <m/>
    <m/>
    <s v="MS3-STQ20SC(WH) 1172200"/>
    <n v="2880"/>
    <n v="0.6875"/>
    <s v="Toshiba SRP"/>
    <s v="DA141"/>
    <s v="DA1411172200"/>
  </r>
  <r>
    <n v="1002"/>
    <s v="Suning"/>
    <s v="TKO"/>
    <x v="19"/>
    <n v="3"/>
    <x v="18"/>
    <x v="59"/>
    <s v="30公升蒸氣焗爐"/>
    <s v="細電"/>
    <s v="MCA"/>
    <s v="str30"/>
    <n v="1"/>
    <n v="3680"/>
    <n v="3680"/>
    <n v="1172014"/>
    <m/>
    <m/>
    <s v="MS5-STR30SC(BK) 1172014"/>
    <n v="5998"/>
    <n v="0.61353784594864957"/>
    <s v="Shops Highest Price"/>
    <s v="DA141"/>
    <s v="DA1411172014"/>
  </r>
  <r>
    <n v="1003"/>
    <s v="Suning"/>
    <s v="TKO"/>
    <x v="19"/>
    <n v="3"/>
    <x v="18"/>
    <x v="46"/>
    <s v="電熱水瓶 (2.5公升)"/>
    <s v="細電"/>
    <s v="SDA"/>
    <s v="25dr"/>
    <n v="1"/>
    <n v="398"/>
    <n v="398"/>
    <n v="1172019"/>
    <m/>
    <m/>
    <s v="TP-25DR2UHK(W) 1172019"/>
    <n v="538"/>
    <n v="0.7397769516728625"/>
    <s v="Toshiba SRP"/>
    <s v="DA141"/>
    <s v="DA1411172019"/>
  </r>
  <r>
    <n v="1004"/>
    <s v="Suning"/>
    <s v="TKO"/>
    <x v="19"/>
    <n v="3"/>
    <x v="22"/>
    <x v="87"/>
    <s v="變頻式環保雙門雪櫃(233L)"/>
    <s v="大電"/>
    <s v="REF"/>
    <s v="rt300"/>
    <n v="1"/>
    <n v="2780"/>
    <n v="2780"/>
    <n v="1172072"/>
    <m/>
    <m/>
    <s v="GR-RT300WE-PMA(57) 1172072"/>
    <n v="4280"/>
    <n v="0.64953271028037385"/>
    <s v="Toshiba SRP"/>
    <s v="DA141"/>
    <s v="DA1411172072"/>
  </r>
  <r>
    <n v="1005"/>
    <s v="Suning"/>
    <s v="TKO"/>
    <x v="19"/>
    <n v="3"/>
    <x v="22"/>
    <x v="90"/>
    <s v="8公斤超薄身前置式變頻洗衣機"/>
    <s v="大電"/>
    <s v="LAD"/>
    <s v="bu90"/>
    <n v="1"/>
    <n v="3080"/>
    <n v="3080"/>
    <n v="1172174"/>
    <m/>
    <m/>
    <s v="TW-T21BU90UWH(WW) 1172174"/>
    <n v="5480"/>
    <n v="0.56204379562043794"/>
    <s v="Toshiba SRP"/>
    <s v="DA141"/>
    <s v="DA1411172174"/>
  </r>
  <r>
    <n v="1006"/>
    <s v="Suning"/>
    <s v="TKO"/>
    <x v="19"/>
    <n v="3"/>
    <x v="22"/>
    <x v="74"/>
    <s v="4合1氣炸微波蒸焗爐(25公升)"/>
    <s v="細電"/>
    <s v="MCA"/>
    <s v="str25"/>
    <n v="1"/>
    <n v="3480"/>
    <n v="3480"/>
    <n v="1172177"/>
    <m/>
    <m/>
    <s v="MX2-STR25SC(WH) 1172177"/>
    <n v="4998"/>
    <n v="0.69627851140456187"/>
    <s v="Toshiba SRP"/>
    <s v="DA141"/>
    <s v="DA1411172177"/>
  </r>
  <r>
    <n v="1007"/>
    <s v="Suning"/>
    <s v="TKO"/>
    <x v="19"/>
    <n v="3"/>
    <x v="22"/>
    <x v="25"/>
    <s v="超輕巧2合1無線吸塵機"/>
    <s v="細電"/>
    <s v="MCA"/>
    <s v="cls1b"/>
    <n v="1"/>
    <n v="1180"/>
    <n v="1180"/>
    <n v="1172182"/>
    <m/>
    <m/>
    <s v="VC-CLS1BF(R) 1172182"/>
    <n v="1888"/>
    <n v="0.625"/>
    <s v="Toshiba SRP"/>
    <s v="DA141"/>
    <s v="DA1411172182"/>
  </r>
  <r>
    <n v="1008"/>
    <s v="Suning"/>
    <s v="TKO"/>
    <x v="19"/>
    <n v="3"/>
    <x v="22"/>
    <x v="21"/>
    <s v="壓縮式抽濕機 (30公升)"/>
    <s v="細電"/>
    <s v="RAC"/>
    <s v="d300"/>
    <n v="1"/>
    <n v="2280"/>
    <n v="2280"/>
    <n v="1172192"/>
    <m/>
    <m/>
    <s v="RAD-D300H 1172192"/>
    <n v="3380"/>
    <n v="0.67455621301775148"/>
    <s v="Shops Highest Price"/>
    <s v="DA141"/>
    <s v="DA1411172192"/>
  </r>
  <r>
    <n v="1009"/>
    <s v="Suning"/>
    <s v="TKO"/>
    <x v="19"/>
    <n v="3"/>
    <x v="22"/>
    <x v="78"/>
    <s v="變頻式環保雙門雪櫃（179L）"/>
    <s v="大電"/>
    <s v="REF"/>
    <s v="rt234"/>
    <n v="1"/>
    <n v="2180"/>
    <n v="2180"/>
    <n v="1172194"/>
    <m/>
    <m/>
    <s v="GR-RT234WE-PMA(57) 1172194"/>
    <n v="3680"/>
    <n v="0.59239130434782605"/>
    <s v="Toshiba SRP"/>
    <s v="DA141"/>
    <s v="DA1411172194"/>
  </r>
  <r>
    <n v="1010"/>
    <s v="Suning"/>
    <s v="TKO"/>
    <x v="19"/>
    <n v="3"/>
    <x v="23"/>
    <x v="79"/>
    <s v="IH磁應電飯煲"/>
    <s v="細電"/>
    <s v="SDA"/>
    <s v="ds10k"/>
    <n v="1"/>
    <n v="2980"/>
    <n v="2980"/>
    <n v="1172217"/>
    <m/>
    <m/>
    <s v="RC-DS10K(R) 1172217"/>
    <n v="4588"/>
    <n v="0.64952048823016562"/>
    <s v="Toshiba SRP"/>
    <s v="DA141"/>
    <s v="DA1411172217"/>
  </r>
  <r>
    <n v="1011"/>
    <s v="Suning"/>
    <s v="TKO"/>
    <x v="19"/>
    <n v="3"/>
    <x v="23"/>
    <x v="17"/>
    <s v="4毫米厚釜電飯煲1L"/>
    <s v="細電"/>
    <s v="SDA"/>
    <s v="10nmf"/>
    <n v="1"/>
    <n v="709"/>
    <n v="709"/>
    <n v="1172224"/>
    <m/>
    <m/>
    <s v="RC-10NMFIH(WT) 1172224"/>
    <n v="898"/>
    <n v="0.78953229398663693"/>
    <s v="Toshiba SRP"/>
    <s v="DA141"/>
    <s v="DA1411172224"/>
  </r>
  <r>
    <n v="1012"/>
    <s v="Suning"/>
    <s v="TKO"/>
    <x v="19"/>
    <n v="3"/>
    <x v="23"/>
    <x v="43"/>
    <s v="470MM超薄身前置式變頻洗衣機(8.5公斤, 可飛頂)"/>
    <s v="大電"/>
    <s v="LAD"/>
    <s v="t2295"/>
    <n v="1"/>
    <n v="3480"/>
    <n v="3480"/>
    <n v="1172224"/>
    <m/>
    <m/>
    <s v="TW-T22BU95UWH(WK)-B 1172224"/>
    <n v="5880"/>
    <n v="0.59183673469387754"/>
    <s v="Toshiba SRP"/>
    <s v="DA141"/>
    <s v="DA1411172224"/>
  </r>
  <r>
    <n v="1013"/>
    <s v="Suning"/>
    <s v="TKO"/>
    <x v="19"/>
    <n v="3"/>
    <x v="23"/>
    <x v="75"/>
    <s v="日式洗衣機 (8公斤 結合高低水位)"/>
    <s v="大電"/>
    <s v="LAD"/>
    <s v="q901"/>
    <n v="1"/>
    <n v="2280"/>
    <n v="2280"/>
    <n v="1172225"/>
    <m/>
    <m/>
    <s v="AW-Q901BPH(WW) 1172225"/>
    <n v="3780"/>
    <n v="0.60317460317460314"/>
    <s v="Toshiba SRP"/>
    <s v="DA141"/>
    <s v="DA1411172225"/>
  </r>
  <r>
    <n v="1014"/>
    <s v="Suning"/>
    <s v="TKO"/>
    <x v="19"/>
    <n v="3"/>
    <x v="23"/>
    <x v="28"/>
    <s v="無線雙層電熱水壺-附可鎖壺蓋(0.8公升)"/>
    <s v="細電"/>
    <s v="SDA"/>
    <s v="08dh"/>
    <n v="1"/>
    <n v="268"/>
    <n v="268"/>
    <n v="1172234"/>
    <m/>
    <m/>
    <s v="KT-08DH1VHK(W) 1172234"/>
    <n v="428"/>
    <n v="0.62616822429906538"/>
    <s v="Toshiba SRP"/>
    <s v="DA141"/>
    <s v="DA1411172234"/>
  </r>
  <r>
    <n v="1015"/>
    <s v="Suning"/>
    <s v="TKO"/>
    <x v="19"/>
    <n v="3"/>
    <x v="24"/>
    <x v="42"/>
    <s v="變頻下置式雙門雪櫃系列270L"/>
    <s v="大電"/>
    <s v="REF"/>
    <s v="rb360"/>
    <n v="1"/>
    <n v="3680"/>
    <n v="3680"/>
    <n v="1172273"/>
    <m/>
    <m/>
    <s v="GR-RB360WE-PMA(06) 1172273"/>
    <n v="5080"/>
    <n v="0.72440944881889768"/>
    <s v="Toshiba SRP"/>
    <s v="DA141"/>
    <s v="DA1411172273"/>
  </r>
  <r>
    <n v="1016"/>
    <s v="Suning"/>
    <s v="TKO"/>
    <x v="19"/>
    <n v="3"/>
    <x v="24"/>
    <x v="24"/>
    <s v="微型電腦珍珠飯煲"/>
    <s v="細電"/>
    <s v="SDA"/>
    <s v="5sli"/>
    <n v="1"/>
    <n v="550"/>
    <n v="550"/>
    <n v="1172297"/>
    <m/>
    <m/>
    <s v="RC-5SLIH(W) 1172297"/>
    <n v="658"/>
    <n v="0.83586626139817632"/>
    <s v="Toshiba SRP"/>
    <s v="DA141"/>
    <s v="DA1411172297"/>
  </r>
  <r>
    <n v="1017"/>
    <s v="Suning"/>
    <s v="TKO"/>
    <x v="19"/>
    <n v="3"/>
    <x v="24"/>
    <x v="93"/>
    <s v="座檯式洗碗碟機"/>
    <s v="細電"/>
    <s v="DW"/>
    <s v="05t2"/>
    <n v="1"/>
    <n v="3360"/>
    <n v="3360"/>
    <n v="1172306"/>
    <m/>
    <m/>
    <s v="DW-05T2-HK 1172306"/>
    <n v="4580"/>
    <n v="0.73362445414847166"/>
    <s v="Toshiba SRP"/>
    <s v="DA141"/>
    <s v="DA1411172306"/>
  </r>
  <r>
    <n v="1018"/>
    <s v="Suning"/>
    <s v="TKO"/>
    <x v="19"/>
    <n v="3"/>
    <x v="24"/>
    <x v="50"/>
    <s v="輕便式電磁爐7個功能"/>
    <s v="細電"/>
    <s v="SDA"/>
    <s v="s19"/>
    <n v="1"/>
    <n v="419"/>
    <n v="419"/>
    <n v="1172302"/>
    <m/>
    <m/>
    <s v="IC-S19RH 1172302"/>
    <n v="638"/>
    <n v="0.65673981191222575"/>
    <s v="Toshiba SRP"/>
    <s v="DA141"/>
    <s v="DA1411172302"/>
  </r>
  <r>
    <n v="1019"/>
    <s v="Suning"/>
    <s v="TKO"/>
    <x v="19"/>
    <n v="3"/>
    <x v="26"/>
    <x v="22"/>
    <s v="變頻五門雪櫃(375L)"/>
    <s v="大電"/>
    <s v="REF"/>
    <s v="rm612"/>
    <n v="1"/>
    <n v="9480"/>
    <n v="9480"/>
    <n v="1172360"/>
    <m/>
    <m/>
    <s v="GR-RM612WE-PGA(B5) 1172360"/>
    <n v="11000"/>
    <n v="0.86181818181818182"/>
    <s v="Shops Highest Price"/>
    <s v="DA141"/>
    <s v="DA1411172360"/>
  </r>
  <r>
    <n v="1020"/>
    <s v="Suning"/>
    <s v="TKO"/>
    <x v="19"/>
    <n v="3"/>
    <x v="26"/>
    <x v="44"/>
    <s v="1.7L無線雙層電熱水壺"/>
    <s v="細電"/>
    <s v="SDA"/>
    <s v="17shnh"/>
    <n v="1"/>
    <n v="198"/>
    <n v="198"/>
    <n v="1172371"/>
    <m/>
    <m/>
    <s v="KT-17SHNH 1172371"/>
    <n v="299"/>
    <n v="0.66220735785953178"/>
    <s v="Shops Highest Price"/>
    <s v="DA141"/>
    <s v="DA1411172371"/>
  </r>
  <r>
    <n v="1021"/>
    <s v="Suning"/>
    <s v="TKO"/>
    <x v="19"/>
    <n v="3"/>
    <x v="26"/>
    <x v="21"/>
    <s v="壓縮式抽濕機 (30公升)"/>
    <s v="細電"/>
    <s v="RAC"/>
    <s v="d300"/>
    <n v="1"/>
    <n v="2280"/>
    <n v="2280"/>
    <n v="1172428"/>
    <m/>
    <m/>
    <s v="RAD-D300H 1172428"/>
    <n v="3380"/>
    <n v="0.67455621301775148"/>
    <s v="Shops Highest Price"/>
    <s v="DA141"/>
    <s v="DA1411172428"/>
  </r>
  <r>
    <n v="1022"/>
    <s v="Suning"/>
    <s v="TKO"/>
    <x v="19"/>
    <n v="3"/>
    <x v="26"/>
    <x v="21"/>
    <s v="壓縮式抽濕機 (30公升)"/>
    <s v="細電"/>
    <s v="RAC"/>
    <s v="d300"/>
    <n v="1"/>
    <n v="2280"/>
    <n v="2280"/>
    <n v="1172430"/>
    <m/>
    <m/>
    <s v="RAD-D300H 1172430"/>
    <n v="3380"/>
    <n v="0.67455621301775148"/>
    <s v="Shops Highest Price"/>
    <s v="DA141"/>
    <s v="DA1411172430"/>
  </r>
  <r>
    <n v="1023"/>
    <s v="Suning"/>
    <s v="TKO"/>
    <x v="19"/>
    <n v="3"/>
    <x v="26"/>
    <x v="68"/>
    <s v="旋鈕式微波爐 (20公升)"/>
    <s v="細電"/>
    <s v="MCA"/>
    <s v="2mm20"/>
    <n v="1"/>
    <n v="550"/>
    <n v="550"/>
    <n v="1172431"/>
    <m/>
    <m/>
    <s v="MM-2MM20PC(WH) 1172431"/>
    <n v="738"/>
    <n v="0.74525745257452569"/>
    <s v="Toshiba SRP"/>
    <s v="DA141"/>
    <s v="DA1411172431"/>
  </r>
  <r>
    <n v="1024"/>
    <s v="Suning"/>
    <s v="TKO"/>
    <x v="19"/>
    <n v="3"/>
    <x v="26"/>
    <x v="94"/>
    <s v="3/4 匹 窗口式冷氣機(remote)"/>
    <s v="大電"/>
    <s v="AC"/>
    <s v="07g3cvr"/>
    <n v="1"/>
    <n v="3580"/>
    <n v="3580"/>
    <n v="1172435"/>
    <m/>
    <m/>
    <s v="RAC-07G3CVRGR-HK 1172435"/>
    <n v="5580"/>
    <n v="0.64157706093189959"/>
    <s v="Toshiba SRP"/>
    <s v="DA141"/>
    <s v="DA1411172435"/>
  </r>
  <r>
    <n v="1025"/>
    <s v="Suning"/>
    <s v="TKO"/>
    <x v="19"/>
    <n v="3"/>
    <x v="26"/>
    <x v="89"/>
    <s v="2 匹 R32變頻窗口式冷氣機 (remote)"/>
    <s v="大電"/>
    <s v="AC"/>
    <s v="18g3cvr"/>
    <n v="1"/>
    <n v="6480"/>
    <n v="6480"/>
    <n v="1172434"/>
    <m/>
    <m/>
    <s v="RAC-18G3CVRGR-HK 1172434"/>
    <n v="10380"/>
    <n v="0.62427745664739887"/>
    <s v="Toshiba SRP"/>
    <s v="DA141"/>
    <s v="DA1411172434"/>
  </r>
  <r>
    <n v="1026"/>
    <s v="Suning"/>
    <s v="TKO"/>
    <x v="19"/>
    <n v="3"/>
    <x v="26"/>
    <x v="21"/>
    <s v="壓縮式抽濕機 (30公升)"/>
    <s v="細電"/>
    <s v="RAC"/>
    <s v="d300"/>
    <n v="1"/>
    <n v="2280"/>
    <n v="2280"/>
    <n v="1172465"/>
    <m/>
    <m/>
    <s v="RAD-D300H 1172465"/>
    <n v="3380"/>
    <n v="0.67455621301775148"/>
    <s v="Shops Highest Price"/>
    <s v="DA141"/>
    <s v="DA1411172465"/>
  </r>
  <r>
    <n v="1027"/>
    <s v="Suning"/>
    <s v="TKO"/>
    <x v="19"/>
    <n v="3"/>
    <x v="27"/>
    <x v="21"/>
    <s v="壓縮式抽濕機 (30公升)"/>
    <s v="細電"/>
    <s v="RAC"/>
    <s v="d300"/>
    <n v="1"/>
    <n v="2280"/>
    <n v="2280"/>
    <n v="1172496"/>
    <m/>
    <m/>
    <s v="RAD-D300H 1172496"/>
    <n v="3380"/>
    <n v="0.67455621301775148"/>
    <s v="Shops Highest Price"/>
    <s v="DA141"/>
    <s v="DA1411172496"/>
  </r>
  <r>
    <n v="1028"/>
    <s v="Suning"/>
    <s v="TKO"/>
    <x v="19"/>
    <n v="3"/>
    <x v="27"/>
    <x v="68"/>
    <s v="旋鈕式微波爐 (20公升)"/>
    <s v="細電"/>
    <s v="MCA"/>
    <s v="2mm20"/>
    <n v="1"/>
    <n v="550"/>
    <n v="550"/>
    <n v="1172499"/>
    <m/>
    <m/>
    <s v="MM-2MM20PC(WH) 1172499"/>
    <n v="738"/>
    <n v="0.74525745257452569"/>
    <s v="Toshiba SRP"/>
    <s v="DA141"/>
    <s v="DA1411172499"/>
  </r>
  <r>
    <n v="1029"/>
    <s v="Suning"/>
    <s v="TKO"/>
    <x v="19"/>
    <n v="3"/>
    <x v="27"/>
    <x v="37"/>
    <s v="電熱水瓶 (5公升)"/>
    <s v="細電"/>
    <s v="SDA"/>
    <s v="50dr"/>
    <n v="1"/>
    <n v="598"/>
    <n v="598"/>
    <n v="1172521"/>
    <m/>
    <m/>
    <s v="TP-50DRUHK(W) 1172521"/>
    <n v="718"/>
    <n v="0.83286908077994426"/>
    <s v="Toshiba SRP"/>
    <s v="DA141"/>
    <s v="DA1411172521"/>
  </r>
  <r>
    <n v="1030"/>
    <s v="Suning"/>
    <s v="TKO"/>
    <x v="19"/>
    <n v="3"/>
    <x v="27"/>
    <x v="95"/>
    <s v="抗菌除臭空氣清淨機"/>
    <s v="細電"/>
    <s v="AP"/>
    <s v="a400"/>
    <n v="1"/>
    <n v="888"/>
    <n v="888"/>
    <n v="1172536"/>
    <m/>
    <m/>
    <s v="CAF-A400HK(H) 1172536"/>
    <n v="1500"/>
    <n v="0.59199999999999997"/>
    <s v="Shops Highest Price"/>
    <s v="DA141"/>
    <s v="DA1411172536"/>
  </r>
  <r>
    <n v="1031"/>
    <s v="Suning"/>
    <s v="TKO"/>
    <x v="19"/>
    <n v="3"/>
    <x v="27"/>
    <x v="21"/>
    <s v="壓縮式抽濕機 (30公升)"/>
    <s v="細電"/>
    <s v="RAC"/>
    <s v="d300"/>
    <n v="1"/>
    <n v="2180"/>
    <n v="2180"/>
    <n v="1172551"/>
    <m/>
    <m/>
    <s v="RAD-D300H 1172551"/>
    <n v="3380"/>
    <n v="0.6449704142011834"/>
    <s v="Shops Highest Price"/>
    <s v="DA141"/>
    <s v="DA1411172551"/>
  </r>
  <r>
    <n v="1032"/>
    <s v="Suning"/>
    <s v="TKO"/>
    <x v="19"/>
    <n v="3"/>
    <x v="28"/>
    <x v="75"/>
    <s v="日式洗衣機 (8公斤 結合高低水位)"/>
    <s v="大電"/>
    <s v="LAD"/>
    <s v="q901"/>
    <n v="1"/>
    <n v="2280"/>
    <n v="2280"/>
    <n v="1172562"/>
    <m/>
    <m/>
    <s v="AW-Q901BPH(WW) 1172562"/>
    <n v="3780"/>
    <n v="0.60317460317460314"/>
    <s v="Toshiba SRP"/>
    <s v="DA141"/>
    <s v="DA1411172562"/>
  </r>
  <r>
    <n v="1033"/>
    <s v="Suning"/>
    <s v="TKO"/>
    <x v="19"/>
    <n v="3"/>
    <x v="28"/>
    <x v="36"/>
    <s v="輕觸式微波爐 (20公升)"/>
    <s v="細電"/>
    <s v="MCA"/>
    <s v="em20"/>
    <n v="1"/>
    <n v="550"/>
    <n v="550"/>
    <n v="1172572"/>
    <m/>
    <m/>
    <s v="MM2-EM20PC(WH) 1172572"/>
    <n v="788"/>
    <n v="0.69796954314720816"/>
    <s v="Toshiba SRP"/>
    <s v="DA141"/>
    <s v="DA1411172572"/>
  </r>
  <r>
    <n v="1034"/>
    <s v="Suning"/>
    <s v="TKO"/>
    <x v="19"/>
    <n v="3"/>
    <x v="29"/>
    <x v="48"/>
    <s v="3合1 微波蒸焗爐 (20公升)"/>
    <s v="細電"/>
    <s v="MCA"/>
    <s v="tt20"/>
    <n v="1"/>
    <n v="2580"/>
    <n v="2580"/>
    <n v="1172657"/>
    <m/>
    <m/>
    <s v="MX2-TT20SC(WH) 1172657"/>
    <n v="3580"/>
    <n v="0.72067039106145248"/>
    <s v="Toshiba SRP"/>
    <s v="DA141"/>
    <s v="DA1411172657"/>
  </r>
  <r>
    <n v="1035"/>
    <s v="Suning"/>
    <s v="TKO"/>
    <x v="19"/>
    <n v="3"/>
    <x v="29"/>
    <x v="21"/>
    <s v="壓縮式抽濕機 (30公升)"/>
    <s v="細電"/>
    <s v="RAC"/>
    <s v="d300"/>
    <n v="1"/>
    <n v="2280"/>
    <n v="2280"/>
    <n v="1172659"/>
    <m/>
    <m/>
    <s v="RAD-D300H 1172659"/>
    <n v="3380"/>
    <n v="0.67455621301775148"/>
    <s v="Shops Highest Price"/>
    <s v="DA141"/>
    <s v="DA1411172659"/>
  </r>
  <r>
    <n v="1036"/>
    <s v="Suning"/>
    <s v="TKO"/>
    <x v="19"/>
    <n v="3"/>
    <x v="29"/>
    <x v="42"/>
    <s v="變頻下置式雙門雪櫃系列270L"/>
    <s v="大電"/>
    <s v="REF"/>
    <s v="rb360"/>
    <n v="1"/>
    <n v="3880"/>
    <n v="3880"/>
    <n v="1172668"/>
    <m/>
    <m/>
    <s v="GR-RB360WE-PMA(06) 1172668"/>
    <n v="5080"/>
    <n v="0.76377952755905509"/>
    <s v="Toshiba SRP"/>
    <s v="DA141"/>
    <s v="DA1411172668"/>
  </r>
  <r>
    <n v="1037"/>
    <s v="Fortress"/>
    <s v="Diamond Hill"/>
    <x v="20"/>
    <n v="3"/>
    <x v="18"/>
    <x v="96"/>
    <s v="日式洗衣機 (7公斤 結合高低水位)"/>
    <s v="大電"/>
    <s v="LAD"/>
    <s v="q800"/>
    <n v="1"/>
    <n v="2080"/>
    <n v="2080"/>
    <n v="901624"/>
    <m/>
    <m/>
    <s v="AW-Q800APH(WW) 901624"/>
    <n v="3580"/>
    <n v="0.58100558659217882"/>
    <s v="Toshiba SRP"/>
    <s v="DA141"/>
    <s v="DA141901624"/>
  </r>
  <r>
    <n v="1038"/>
    <s v="Fortress"/>
    <s v="Diamond Hill"/>
    <x v="20"/>
    <n v="3"/>
    <x v="14"/>
    <x v="97"/>
    <s v="變頻二合一空氣淨化抽濕機 (28公升)"/>
    <s v="大電"/>
    <s v="RAC"/>
    <s v="dia17"/>
    <n v="1"/>
    <n v="3580"/>
    <n v="3580"/>
    <n v="816038"/>
    <m/>
    <m/>
    <s v="RAD-DIA17HK 816038"/>
    <n v="4980"/>
    <n v="0.71887550200803207"/>
    <s v="Toshiba SRP"/>
    <s v="DA141"/>
    <s v="DA141816038"/>
  </r>
  <r>
    <n v="1039"/>
    <s v="Fortress"/>
    <s v="Diamond Hill"/>
    <x v="20"/>
    <n v="3"/>
    <x v="20"/>
    <x v="86"/>
    <s v="470MM超薄身前置式變頻洗衣乾衣機 (洗8.5公斤 乾6公斤)"/>
    <s v="大電"/>
    <s v="LAD"/>
    <s v="twdt21"/>
    <n v="1"/>
    <n v="3999"/>
    <n v="3999"/>
    <n v="816332"/>
    <m/>
    <m/>
    <s v="TWD-T21BU95UWH(WW) 816332"/>
    <n v="7280"/>
    <n v="0.54931318681318686"/>
    <s v="Toshiba SRP"/>
    <s v="DA141"/>
    <s v="DA141816332"/>
  </r>
  <r>
    <n v="1040"/>
    <s v="Fortress"/>
    <s v="Diamond Hill"/>
    <x v="20"/>
    <n v="3"/>
    <x v="20"/>
    <x v="40"/>
    <s v="400MM超薄身前置式變頻洗衣機(7公斤)"/>
    <s v="大電"/>
    <s v="LAD"/>
    <s v="bu80"/>
    <n v="1"/>
    <n v="3190"/>
    <n v="3190"/>
    <n v="816355"/>
    <m/>
    <m/>
    <s v="TW-T21BU80UWH(MG) 816355"/>
    <n v="5180"/>
    <n v="0.61583011583011582"/>
    <s v="Toshiba SRP"/>
    <s v="DA141"/>
    <s v="DA141816355"/>
  </r>
  <r>
    <n v="1041"/>
    <s v="Fortress"/>
    <s v="Diamond Hill"/>
    <x v="20"/>
    <n v="3"/>
    <x v="20"/>
    <x v="98"/>
    <s v="1.5 匹 R32變頻窗口式冷氣機"/>
    <s v="大電"/>
    <s v="AC"/>
    <s v="12g3cvg"/>
    <n v="1"/>
    <n v="5057"/>
    <n v="5057"/>
    <n v="816364"/>
    <m/>
    <m/>
    <s v="RAC-12G3CVG-HK 816364"/>
    <n v="7980"/>
    <n v="0.63370927318295744"/>
    <s v="Toshiba SRP"/>
    <s v="DA141"/>
    <s v="DA141816364"/>
  </r>
  <r>
    <n v="1042"/>
    <s v="Fortress"/>
    <s v="Diamond Hill"/>
    <x v="20"/>
    <n v="3"/>
    <x v="20"/>
    <x v="42"/>
    <s v="變頻下置式雙門雪櫃系列270L"/>
    <s v="大電"/>
    <s v="REF"/>
    <s v="rb360"/>
    <n v="1"/>
    <n v="3122"/>
    <n v="3122"/>
    <n v="816364"/>
    <m/>
    <m/>
    <s v="GR-RB360WE-PMA(06) 816364"/>
    <n v="5080"/>
    <n v="0.61456692913385824"/>
    <s v="Toshiba SRP"/>
    <s v="DA141"/>
    <s v="DA141816364"/>
  </r>
  <r>
    <n v="1043"/>
    <s v="Fortress"/>
    <s v="Diamond Hill"/>
    <x v="20"/>
    <n v="3"/>
    <x v="20"/>
    <x v="99"/>
    <s v="前置式變頻洗衣乾衣機 (洗10.5公斤 乾7公斤)"/>
    <s v="大電"/>
    <s v="LAD"/>
    <s v="twdt25"/>
    <n v="1"/>
    <n v="5181"/>
    <n v="5181"/>
    <n v="816373"/>
    <m/>
    <m/>
    <s v="TWD-T25BZU115MWH(MG) 816373"/>
    <n v="8280"/>
    <n v="0.62572463768115938"/>
    <s v="Toshiba SRP"/>
    <s v="DA141"/>
    <s v="DA141816373"/>
  </r>
  <r>
    <n v="1044"/>
    <s v="Fortress"/>
    <s v="Diamond Hill"/>
    <x v="20"/>
    <n v="3"/>
    <x v="20"/>
    <x v="88"/>
    <s v="水波爐"/>
    <s v="細電"/>
    <s v="MCA"/>
    <s v="vd7000"/>
    <n v="1"/>
    <n v="6043"/>
    <n v="6043"/>
    <n v="816372"/>
    <m/>
    <m/>
    <s v="ER-VD7000HK(XK) 816372"/>
    <n v="8998"/>
    <n v="0.67159368748610804"/>
    <s v="Toshiba SRP"/>
    <s v="DA141"/>
    <s v="DA141816372"/>
  </r>
  <r>
    <n v="1045"/>
    <s v="Fortress"/>
    <s v="Diamond Hill"/>
    <x v="20"/>
    <n v="3"/>
    <x v="21"/>
    <x v="21"/>
    <s v="壓縮式抽濕機 (30公升)"/>
    <s v="細電"/>
    <s v="RAC"/>
    <s v="d300"/>
    <n v="1"/>
    <n v="2280"/>
    <n v="2280"/>
    <n v="816390"/>
    <m/>
    <m/>
    <s v="RAD-D300H 816390"/>
    <n v="3380"/>
    <n v="0.67455621301775148"/>
    <s v="Shops Highest Price"/>
    <s v="DA141"/>
    <s v="DA141816390"/>
  </r>
  <r>
    <n v="1046"/>
    <s v="Fortress"/>
    <s v="Diamond Hill"/>
    <x v="20"/>
    <n v="3"/>
    <x v="21"/>
    <x v="21"/>
    <s v="壓縮式抽濕機 (30公升)"/>
    <s v="細電"/>
    <s v="RAC"/>
    <s v="d300"/>
    <n v="1"/>
    <n v="2280"/>
    <n v="2280"/>
    <n v="816417"/>
    <m/>
    <m/>
    <s v="RAD-D300H 816417"/>
    <n v="3380"/>
    <n v="0.67455621301775148"/>
    <s v="Shops Highest Price"/>
    <s v="DA141"/>
    <s v="DA141816417"/>
  </r>
  <r>
    <n v="1047"/>
    <s v="Fortress"/>
    <s v="Diamond Hill"/>
    <x v="20"/>
    <n v="3"/>
    <x v="21"/>
    <x v="75"/>
    <s v="日式洗衣機 (8公斤 結合高低水位)"/>
    <s v="大電"/>
    <s v="LAD"/>
    <s v="q901"/>
    <n v="1"/>
    <n v="2280"/>
    <n v="2280"/>
    <n v="901791"/>
    <m/>
    <m/>
    <s v="AW-Q901BPH(WW) 901791"/>
    <n v="3780"/>
    <n v="0.60317460317460314"/>
    <s v="Toshiba SRP"/>
    <s v="DA141"/>
    <s v="DA141901791"/>
  </r>
  <r>
    <n v="1048"/>
    <s v="Fortress"/>
    <s v="Diamond Hill"/>
    <x v="20"/>
    <n v="3"/>
    <x v="18"/>
    <x v="75"/>
    <s v="日式洗衣機 (8公斤 結合高低水位)"/>
    <s v="大電"/>
    <s v="LAD"/>
    <s v="q901"/>
    <n v="1"/>
    <n v="2280"/>
    <n v="2280"/>
    <n v="901636"/>
    <m/>
    <m/>
    <s v="AW-Q901BPH(WW) 901636"/>
    <n v="3780"/>
    <n v="0.60317460317460314"/>
    <s v="Toshiba SRP"/>
    <s v="DA141"/>
    <s v="DA141901636"/>
  </r>
  <r>
    <n v="1049"/>
    <s v="Fortress"/>
    <s v="Diamond Hill"/>
    <x v="20"/>
    <n v="3"/>
    <x v="30"/>
    <x v="75"/>
    <s v="日式洗衣機 (8公斤 結合高低水位)"/>
    <s v="大電"/>
    <s v="LAD"/>
    <s v="q901"/>
    <n v="1"/>
    <n v="2280"/>
    <n v="2280"/>
    <n v="816541"/>
    <m/>
    <m/>
    <s v="AW-Q901BPH(WW) 816541"/>
    <n v="3780"/>
    <n v="0.60317460317460314"/>
    <s v="Toshiba SRP"/>
    <s v="DA141"/>
    <s v="DA141816541"/>
  </r>
  <r>
    <n v="1050"/>
    <s v="Fortress"/>
    <s v="Diamond Hill"/>
    <x v="20"/>
    <n v="3"/>
    <x v="30"/>
    <x v="66"/>
    <s v="變頻下置式雙門雪櫃（163L）"/>
    <s v="大電"/>
    <s v="REF"/>
    <s v="rb221"/>
    <n v="1"/>
    <n v="1880"/>
    <n v="1880"/>
    <n v="816542"/>
    <m/>
    <m/>
    <s v="GR-RB221WE-PMA(57) 816542"/>
    <n v="3480"/>
    <n v="0.54022988505747127"/>
    <s v="Toshiba SRP"/>
    <s v="DA141"/>
    <s v="DA141816542"/>
  </r>
  <r>
    <n v="1051"/>
    <s v="Fortress"/>
    <s v="Diamond Hill"/>
    <x v="20"/>
    <n v="3"/>
    <x v="30"/>
    <x v="78"/>
    <s v="變頻式環保雙門雪櫃（179L）"/>
    <s v="大電"/>
    <s v="REF"/>
    <s v="rt234"/>
    <n v="1"/>
    <n v="1980"/>
    <n v="1980"/>
    <n v="816537"/>
    <m/>
    <m/>
    <s v="GR-RT234WE-PMA(57) 816537"/>
    <n v="3680"/>
    <n v="0.53804347826086951"/>
    <s v="Toshiba SRP"/>
    <s v="DA141"/>
    <s v="DA141816537"/>
  </r>
  <r>
    <n v="1052"/>
    <s v="Fortress"/>
    <s v="Diamond Hill"/>
    <x v="20"/>
    <n v="3"/>
    <x v="30"/>
    <x v="87"/>
    <s v="變頻式環保雙門雪櫃(233L)"/>
    <s v="大電"/>
    <s v="REF"/>
    <s v="rt300"/>
    <n v="1"/>
    <n v="2780"/>
    <n v="2780"/>
    <n v="816533"/>
    <m/>
    <m/>
    <s v="GR-RT300WE-PMA(57) 816533"/>
    <n v="4280"/>
    <n v="0.64953271028037385"/>
    <s v="Toshiba SRP"/>
    <s v="DA141"/>
    <s v="DA141816533"/>
  </r>
  <r>
    <n v="1053"/>
    <s v="Fortress"/>
    <s v="Diamond Hill"/>
    <x v="20"/>
    <n v="3"/>
    <x v="30"/>
    <x v="86"/>
    <s v="470MM超薄身前置式變頻洗衣乾衣機 (洗8.5公斤 乾6公斤)"/>
    <s v="大電"/>
    <s v="LAD"/>
    <s v="twdt21"/>
    <n v="1"/>
    <n v="3999"/>
    <n v="3999"/>
    <n v="816613"/>
    <m/>
    <m/>
    <s v="TWD-T21BU95UWH(WW) 816613"/>
    <n v="7280"/>
    <n v="0.54931318681318686"/>
    <s v="Toshiba SRP"/>
    <s v="DA141"/>
    <s v="DA141816613"/>
  </r>
  <r>
    <n v="1054"/>
    <s v="Fortress"/>
    <s v="Diamond Hill"/>
    <x v="20"/>
    <n v="3"/>
    <x v="30"/>
    <x v="40"/>
    <s v="400MM超薄身前置式變頻洗衣機(7公斤)"/>
    <s v="大電"/>
    <s v="LAD"/>
    <s v="bu80"/>
    <n v="1"/>
    <n v="3190"/>
    <n v="3190"/>
    <n v="816548"/>
    <m/>
    <m/>
    <s v="TW-T21BU80UWH(MG) 816548"/>
    <n v="5180"/>
    <n v="0.61583011583011582"/>
    <s v="Toshiba SRP"/>
    <s v="DA141"/>
    <s v="DA141816548"/>
  </r>
  <r>
    <n v="1055"/>
    <s v="Fortress"/>
    <s v="Diamond Hill"/>
    <x v="20"/>
    <n v="3"/>
    <x v="18"/>
    <x v="87"/>
    <s v="變頻式環保雙門雪櫃(233L)"/>
    <s v="大電"/>
    <s v="REF"/>
    <s v="rt300"/>
    <n v="1"/>
    <n v="2780"/>
    <n v="2780"/>
    <n v="816226"/>
    <m/>
    <m/>
    <s v="GR-RT300WE-PMA(57) 816226"/>
    <n v="4280"/>
    <n v="0.64953271028037385"/>
    <s v="Toshiba SRP"/>
    <s v="DA141"/>
    <s v="DA141816226"/>
  </r>
  <r>
    <n v="1056"/>
    <s v="Fortress"/>
    <s v="Diamond Hill"/>
    <x v="20"/>
    <n v="3"/>
    <x v="4"/>
    <x v="66"/>
    <s v="變頻下置式雙門雪櫃（163L）"/>
    <s v="大電"/>
    <s v="REF"/>
    <s v="rb221"/>
    <n v="1"/>
    <n v="1880"/>
    <n v="1880"/>
    <n v="815889"/>
    <m/>
    <m/>
    <s v="GR-RB221WE-PMA(57) 815889"/>
    <n v="3480"/>
    <n v="0.54022988505747127"/>
    <s v="Toshiba SRP"/>
    <s v="DA141"/>
    <s v="DA141815889"/>
  </r>
  <r>
    <n v="1057"/>
    <s v="Fortress"/>
    <s v="Diamond Hill"/>
    <x v="20"/>
    <n v="3"/>
    <x v="15"/>
    <x v="77"/>
    <s v="470MM超薄身前置式變頻洗衣乾衣機 (洗8.5公斤/乾6公斤, 可飛頂)"/>
    <s v="大電"/>
    <s v="LAD"/>
    <s v="twdt22"/>
    <n v="1"/>
    <n v="4780"/>
    <n v="4780"/>
    <n v="816062"/>
    <m/>
    <m/>
    <s v="TWD-T22BU95UWH(WK)-B 816062"/>
    <n v="7480"/>
    <n v="0.63903743315508021"/>
    <s v="Toshiba SRP"/>
    <s v="DA141"/>
    <s v="DA141816062"/>
  </r>
  <r>
    <n v="1058"/>
    <s v="Fortress"/>
    <s v="Diamond Hill"/>
    <x v="20"/>
    <n v="3"/>
    <x v="30"/>
    <x v="96"/>
    <s v="日式洗衣機 (7公斤 結合高低水位)"/>
    <s v="大電"/>
    <s v="LAD"/>
    <s v="q800"/>
    <n v="1"/>
    <n v="2080"/>
    <n v="2080"/>
    <n v="816618"/>
    <m/>
    <m/>
    <s v="AW-Q800APH(WW) 816618"/>
    <n v="3580"/>
    <n v="0.58100558659217882"/>
    <s v="Toshiba SRP"/>
    <s v="DA141"/>
    <s v="DA141816618"/>
  </r>
  <r>
    <n v="1059"/>
    <s v="Fortress"/>
    <s v="Diamond Hill"/>
    <x v="20"/>
    <n v="3"/>
    <x v="21"/>
    <x v="96"/>
    <s v="日式洗衣機 (7公斤 結合高低水位)"/>
    <s v="大電"/>
    <s v="LAD"/>
    <s v="q800"/>
    <n v="1"/>
    <n v="2080"/>
    <n v="2080"/>
    <n v="816470"/>
    <m/>
    <m/>
    <s v="AW-Q800APH(WW) 816470"/>
    <n v="3580"/>
    <n v="0.58100558659217882"/>
    <s v="Toshiba SRP"/>
    <s v="DA141"/>
    <s v="DA141816470"/>
  </r>
  <r>
    <n v="1060"/>
    <s v="Fortress"/>
    <s v="Diamond Hill"/>
    <x v="20"/>
    <n v="3"/>
    <x v="22"/>
    <x v="66"/>
    <s v="變頻下置式雙門雪櫃（163L）"/>
    <s v="大電"/>
    <s v="REF"/>
    <s v="rb221"/>
    <n v="1"/>
    <n v="1880"/>
    <n v="1880"/>
    <n v="816660"/>
    <m/>
    <m/>
    <s v="GR-RB221WE-PMA(57) 816660"/>
    <n v="3480"/>
    <n v="0.54022988505747127"/>
    <s v="Toshiba SRP"/>
    <s v="DA141"/>
    <s v="DA141816660"/>
  </r>
  <r>
    <n v="1061"/>
    <s v="Fortress"/>
    <s v="Diamond Hill"/>
    <x v="20"/>
    <n v="3"/>
    <x v="22"/>
    <x v="96"/>
    <s v="日式洗衣機 (7公斤 結合高低水位)"/>
    <s v="大電"/>
    <s v="LAD"/>
    <s v="q800"/>
    <n v="1"/>
    <n v="2080"/>
    <n v="2080"/>
    <n v="816689"/>
    <m/>
    <m/>
    <s v="AW-Q800APH(WW) 816689"/>
    <n v="3580"/>
    <n v="0.58100558659217882"/>
    <s v="Toshiba SRP"/>
    <s v="DA141"/>
    <s v="DA141816689"/>
  </r>
  <r>
    <n v="1062"/>
    <s v="Fortress"/>
    <s v="Diamond Hill"/>
    <x v="20"/>
    <n v="3"/>
    <x v="22"/>
    <x v="86"/>
    <s v="470MM超薄身前置式變頻洗衣乾衣機 (洗8.5公斤 乾6公斤)"/>
    <s v="大電"/>
    <s v="LAD"/>
    <s v="twdt21"/>
    <n v="1"/>
    <n v="3999"/>
    <n v="3999"/>
    <n v="816699"/>
    <m/>
    <m/>
    <s v="TWD-T21BU95UWH(WW) 816699"/>
    <n v="7280"/>
    <n v="0.54931318681318686"/>
    <s v="Toshiba SRP"/>
    <s v="DA141"/>
    <s v="DA141816699"/>
  </r>
  <r>
    <n v="1063"/>
    <s v="Fortress"/>
    <s v="Diamond Hill"/>
    <x v="20"/>
    <n v="3"/>
    <x v="22"/>
    <x v="87"/>
    <s v="變頻式環保雙門雪櫃(233L)"/>
    <s v="大電"/>
    <s v="REF"/>
    <s v="rt300"/>
    <n v="1"/>
    <n v="2780"/>
    <n v="2780"/>
    <n v="816699"/>
    <m/>
    <m/>
    <s v="GR-RT300WE-PMA(57) 816699"/>
    <n v="4280"/>
    <n v="0.64953271028037385"/>
    <s v="Toshiba SRP"/>
    <s v="DA141"/>
    <s v="DA141816699"/>
  </r>
  <r>
    <n v="1064"/>
    <s v="Fortress"/>
    <s v="Diamond Hill"/>
    <x v="20"/>
    <n v="3"/>
    <x v="23"/>
    <x v="86"/>
    <s v="470MM超薄身前置式變頻洗衣乾衣機 (洗8.5公斤 乾6公斤)"/>
    <s v="大電"/>
    <s v="LAD"/>
    <s v="twdt21"/>
    <n v="1"/>
    <n v="3999"/>
    <n v="3999"/>
    <n v="901937"/>
    <m/>
    <m/>
    <s v="TWD-T21BU95UWH(WW) 901937"/>
    <n v="7280"/>
    <n v="0.54931318681318686"/>
    <s v="Toshiba SRP"/>
    <s v="DA141"/>
    <s v="DA141901937"/>
  </r>
  <r>
    <n v="1065"/>
    <s v="Fortress"/>
    <s v="Diamond Hill"/>
    <x v="20"/>
    <n v="3"/>
    <x v="23"/>
    <x v="43"/>
    <s v="470MM超薄身前置式變頻洗衣機(8.5公斤, 可飛頂)"/>
    <s v="大電"/>
    <s v="LAD"/>
    <s v="t2295"/>
    <n v="1"/>
    <n v="3680"/>
    <n v="3680"/>
    <n v="816709"/>
    <m/>
    <m/>
    <s v="TW-T22BU95UWH(WK)-B 816709"/>
    <n v="5880"/>
    <n v="0.62585034013605445"/>
    <s v="Toshiba SRP"/>
    <s v="DA141"/>
    <s v="DA141816709"/>
  </r>
  <r>
    <n v="1066"/>
    <s v="Fortress"/>
    <s v="Diamond Hill"/>
    <x v="20"/>
    <n v="3"/>
    <x v="24"/>
    <x v="100"/>
    <s v="3/4 匹 窗口式冷氣機(remote/fortress)"/>
    <s v="大電"/>
    <s v="AC"/>
    <s v="07g3cvf"/>
    <n v="1"/>
    <n v="3880"/>
    <n v="3880"/>
    <n v="816786"/>
    <m/>
    <m/>
    <s v="RAC-07G3CVRG-HK 816786"/>
    <n v="5580"/>
    <n v="0.69534050179211471"/>
    <s v="Toshiba SRP"/>
    <s v="DA141"/>
    <s v="DA141816786"/>
  </r>
  <r>
    <n v="1067"/>
    <s v="Fortress"/>
    <s v="Diamond Hill"/>
    <x v="21"/>
    <n v="3"/>
    <x v="6"/>
    <x v="27"/>
    <s v="4毫米厚釜電飯煲1.8L"/>
    <s v="細電"/>
    <s v="SDA"/>
    <s v="18nmf"/>
    <n v="1"/>
    <n v="799"/>
    <n v="799"/>
    <n v="814711"/>
    <m/>
    <m/>
    <s v="RC-18NMFIH(WT) 814711"/>
    <n v="998"/>
    <n v="0.80060120240480959"/>
    <s v="Toshiba SRP"/>
    <s v="DA141"/>
    <s v="DA141814711"/>
  </r>
  <r>
    <n v="1068"/>
    <s v="Fortress"/>
    <s v="Diamond Hill"/>
    <x v="21"/>
    <n v="3"/>
    <x v="13"/>
    <x v="27"/>
    <s v="4毫米厚釜電飯煲1.8L"/>
    <s v="細電"/>
    <s v="SDA"/>
    <s v="18nmf"/>
    <n v="1"/>
    <n v="799"/>
    <n v="799"/>
    <n v="900925"/>
    <m/>
    <m/>
    <s v="RC-18NMFIH(WT) 900925"/>
    <n v="998"/>
    <n v="0.80060120240480959"/>
    <s v="Toshiba SRP"/>
    <s v="DA141"/>
    <s v="DA141900925"/>
  </r>
  <r>
    <n v="1069"/>
    <s v="Fortress"/>
    <s v="Diamond Hill"/>
    <x v="21"/>
    <n v="3"/>
    <x v="16"/>
    <x v="27"/>
    <s v="4毫米厚釜電飯煲1.8L"/>
    <s v="細電"/>
    <s v="SDA"/>
    <s v="18nmf"/>
    <n v="1"/>
    <n v="799"/>
    <n v="799"/>
    <n v="815524"/>
    <m/>
    <m/>
    <s v="RC-18NMFIH(WT) 815524"/>
    <n v="998"/>
    <n v="0.80060120240480959"/>
    <s v="Toshiba SRP"/>
    <s v="DA141"/>
    <s v="DA141815524"/>
  </r>
  <r>
    <n v="1070"/>
    <s v="Fortress"/>
    <s v="Diamond Hill"/>
    <x v="21"/>
    <n v="3"/>
    <x v="10"/>
    <x v="47"/>
    <s v="磁應電飯煲(1公升)"/>
    <s v="細電"/>
    <s v="SDA"/>
    <s v="10iss"/>
    <n v="1"/>
    <n v="938"/>
    <n v="938"/>
    <n v="815488"/>
    <m/>
    <m/>
    <s v="RC-10ISSHK(W) 815488"/>
    <n v="1188"/>
    <n v="0.78956228956228958"/>
    <s v="Shops Highest Price"/>
    <s v="DA141"/>
    <s v="DA141815488"/>
  </r>
  <r>
    <n v="1071"/>
    <s v="Fortress"/>
    <s v="Diamond Hill"/>
    <x v="20"/>
    <n v="3"/>
    <x v="2"/>
    <x v="45"/>
    <s v="備長炭本厚釜電飯煲0.7L"/>
    <s v="細電"/>
    <s v="SDA"/>
    <s v="7hmh"/>
    <n v="1"/>
    <n v="838"/>
    <n v="838"/>
    <n v="815210"/>
    <m/>
    <m/>
    <s v="RC-7HMH 815210"/>
    <n v="1288"/>
    <n v="0.65062111801242239"/>
    <s v="Toshiba SRP"/>
    <s v="DA141"/>
    <s v="DA141815210"/>
  </r>
  <r>
    <n v="1072"/>
    <s v="Fortress"/>
    <s v="Diamond Hill"/>
    <x v="20"/>
    <n v="3"/>
    <x v="8"/>
    <x v="57"/>
    <s v="多功能備長炭本厚釜電飯煲1L"/>
    <s v="細電"/>
    <s v="SDA"/>
    <s v="10drnh"/>
    <n v="1"/>
    <n v="499"/>
    <n v="499"/>
    <n v="815057"/>
    <m/>
    <m/>
    <s v="RC-10DRNH 815057"/>
    <n v="798"/>
    <n v="0.62531328320802004"/>
    <s v="Toshiba SRP"/>
    <s v="DA141"/>
    <s v="DA141815057"/>
  </r>
  <r>
    <n v="1073"/>
    <s v="Fortress"/>
    <s v="Diamond Hill"/>
    <x v="21"/>
    <n v="3"/>
    <x v="11"/>
    <x v="57"/>
    <s v="多功能備長炭本厚釜電飯煲1L"/>
    <s v="細電"/>
    <s v="SDA"/>
    <s v="10drnh"/>
    <n v="1"/>
    <n v="499"/>
    <n v="499"/>
    <n v="815579"/>
    <m/>
    <m/>
    <s v="RC-10DRNH 815579"/>
    <n v="798"/>
    <n v="0.62531328320802004"/>
    <s v="Toshiba SRP"/>
    <s v="DA141"/>
    <s v="DA141815579"/>
  </r>
  <r>
    <n v="1074"/>
    <s v="Fortress"/>
    <s v="Diamond Hill"/>
    <x v="20"/>
    <n v="3"/>
    <x v="0"/>
    <x v="69"/>
    <s v="多功能備長炭本厚釜電飯煲1.8L"/>
    <s v="細電"/>
    <s v="SDA"/>
    <s v="18drnh"/>
    <n v="1"/>
    <n v="619"/>
    <n v="619"/>
    <n v="814549"/>
    <m/>
    <m/>
    <s v="RC-18DRNH 814549"/>
    <n v="898"/>
    <n v="0.68930957683741645"/>
    <s v="Toshiba SRP"/>
    <s v="DA141"/>
    <s v="DA141814549"/>
  </r>
  <r>
    <n v="1075"/>
    <s v="Fortress"/>
    <s v="Diamond Hill"/>
    <x v="21"/>
    <n v="3"/>
    <x v="10"/>
    <x v="69"/>
    <s v="多功能備長炭本厚釜電飯煲1.8L"/>
    <s v="細電"/>
    <s v="SDA"/>
    <s v="18drnh"/>
    <n v="1"/>
    <n v="619"/>
    <n v="619"/>
    <n v="815437"/>
    <m/>
    <m/>
    <s v="RC-18DRNH 815437"/>
    <n v="898"/>
    <n v="0.68930957683741645"/>
    <s v="Toshiba SRP"/>
    <s v="DA141"/>
    <s v="DA141815437"/>
  </r>
  <r>
    <n v="1076"/>
    <s v="Fortress"/>
    <s v="Diamond Hill"/>
    <x v="20"/>
    <n v="3"/>
    <x v="12"/>
    <x v="51"/>
    <s v="IH磁應電飯煲"/>
    <s v="細電"/>
    <s v="SDA"/>
    <s v="dr10tw"/>
    <n v="1"/>
    <n v="2380"/>
    <n v="2380"/>
    <n v="815670"/>
    <m/>
    <m/>
    <s v="RC-DR10T(W) 815670"/>
    <n v="3188"/>
    <n v="0.74654956085319946"/>
    <s v="Toshiba SRP"/>
    <s v="DA141"/>
    <s v="DA141815670"/>
  </r>
  <r>
    <n v="1077"/>
    <s v="Fortress"/>
    <s v="Diamond Hill"/>
    <x v="20"/>
    <n v="3"/>
    <x v="3"/>
    <x v="66"/>
    <s v="變頻下置式雙門雪櫃（163L）"/>
    <s v="大電"/>
    <s v="REF"/>
    <s v="rb221"/>
    <n v="1"/>
    <n v="1655"/>
    <n v="1655"/>
    <n v="815761"/>
    <m/>
    <m/>
    <s v="GR-RB221WE-PMA(57) 815761"/>
    <n v="3480"/>
    <n v="0.47557471264367818"/>
    <s v="Toshiba SRP"/>
    <s v="DA141"/>
    <s v="DA141815761"/>
  </r>
  <r>
    <n v="1078"/>
    <s v="Fortress"/>
    <s v="Diamond Hill"/>
    <x v="20"/>
    <n v="3"/>
    <x v="3"/>
    <x v="66"/>
    <s v="變頻下置式雙門雪櫃（163L）"/>
    <s v="大電"/>
    <s v="REF"/>
    <s v="rb221"/>
    <n v="1"/>
    <n v="1888"/>
    <n v="1888"/>
    <n v="815777"/>
    <m/>
    <m/>
    <s v="GR-RB221WE-PMA(57) 815777"/>
    <n v="3480"/>
    <n v="0.54252873563218396"/>
    <s v="Toshiba SRP"/>
    <s v="DA141"/>
    <s v="DA141815777"/>
  </r>
  <r>
    <n v="1079"/>
    <s v="Fortress"/>
    <s v="Diamond Hill"/>
    <x v="20"/>
    <n v="3"/>
    <x v="3"/>
    <x v="77"/>
    <s v="470MM超薄身前置式變頻洗衣乾衣機 (洗8.5公斤/乾6公斤, 可飛頂)"/>
    <s v="大電"/>
    <s v="LAD"/>
    <s v="twdt22"/>
    <n v="1"/>
    <n v="4209"/>
    <n v="4209"/>
    <n v="815761"/>
    <m/>
    <m/>
    <s v="TWD-T22BU95UWH(WK)-B 815761"/>
    <n v="7480"/>
    <n v="0.56270053475935833"/>
    <s v="Toshiba SRP"/>
    <s v="DA141"/>
    <s v="DA141815761"/>
  </r>
  <r>
    <n v="1080"/>
    <s v="Fortress"/>
    <s v="Diamond Hill"/>
    <x v="20"/>
    <n v="3"/>
    <x v="4"/>
    <x v="75"/>
    <s v="日式洗衣機 (8公斤 結合高低水位)"/>
    <s v="大電"/>
    <s v="LAD"/>
    <s v="q901"/>
    <n v="1"/>
    <n v="2280"/>
    <n v="2280"/>
    <n v="815910"/>
    <m/>
    <m/>
    <s v="AW-Q901BPH(WW) 815910"/>
    <n v="3780"/>
    <n v="0.60317460317460314"/>
    <s v="Toshiba SRP"/>
    <s v="DA141"/>
    <s v="DA141815910"/>
  </r>
  <r>
    <n v="1081"/>
    <s v="Fortress"/>
    <s v="Diamond Hill"/>
    <x v="20"/>
    <n v="3"/>
    <x v="4"/>
    <x v="75"/>
    <s v="日式洗衣機 (8公斤 結合高低水位)"/>
    <s v="大電"/>
    <s v="LAD"/>
    <s v="q901"/>
    <n v="1"/>
    <n v="2280"/>
    <n v="2280"/>
    <n v="815878"/>
    <m/>
    <m/>
    <s v="AW-Q901BPH(WW) 815878"/>
    <n v="3780"/>
    <n v="0.60317460317460314"/>
    <s v="Toshiba SRP"/>
    <s v="DA141"/>
    <s v="DA141815878"/>
  </r>
  <r>
    <n v="1082"/>
    <s v="Fortress"/>
    <s v="Diamond Hill"/>
    <x v="20"/>
    <n v="3"/>
    <x v="4"/>
    <x v="101"/>
    <s v="旋鈕式微波爐 (25公升)"/>
    <s v="細電"/>
    <s v="MOA"/>
    <s v="mm25"/>
    <n v="1"/>
    <n v="719"/>
    <n v="719"/>
    <n v="901486"/>
    <m/>
    <m/>
    <s v="MW3-MM25PC(BK) 901486"/>
    <n v="998"/>
    <n v="0.72044088176352705"/>
    <s v="Toshiba SRP"/>
    <s v="DA141"/>
    <s v="DA141901486"/>
  </r>
  <r>
    <n v="1083"/>
    <s v="Fortress"/>
    <s v="Diamond Hill"/>
    <x v="20"/>
    <n v="3"/>
    <x v="4"/>
    <x v="52"/>
    <s v="35L多功能電焗爐"/>
    <s v="細電"/>
    <s v="SDA"/>
    <s v="mc35"/>
    <n v="1"/>
    <n v="888"/>
    <n v="888"/>
    <n v="815893"/>
    <m/>
    <m/>
    <s v="TL-MC35Z 815893"/>
    <n v="1098"/>
    <n v="0.80874316939890711"/>
    <s v="Toshiba SRP"/>
    <s v="DA141"/>
    <s v="DA141815893"/>
  </r>
  <r>
    <n v="1084"/>
    <s v="Fortress"/>
    <s v="Diamond Hill"/>
    <x v="20"/>
    <n v="3"/>
    <x v="4"/>
    <x v="86"/>
    <s v="470MM超薄身前置式變頻洗衣乾衣機 (洗8.5公斤 乾6公斤)"/>
    <s v="大電"/>
    <s v="LAD"/>
    <s v="twdt21"/>
    <n v="1"/>
    <n v="3999"/>
    <n v="3999"/>
    <n v="815888"/>
    <m/>
    <m/>
    <s v="TWD-T21BU95UWH(WW) 815888"/>
    <n v="7280"/>
    <n v="0.54931318681318686"/>
    <s v="Toshiba SRP"/>
    <s v="DA141"/>
    <s v="DA141815888"/>
  </r>
  <r>
    <n v="1085"/>
    <s v="Fortress"/>
    <s v="Diamond Hill"/>
    <x v="20"/>
    <n v="3"/>
    <x v="14"/>
    <x v="78"/>
    <s v="變頻式環保雙門雪櫃（179L）"/>
    <s v="大電"/>
    <s v="REF"/>
    <s v="rt234"/>
    <n v="1"/>
    <n v="1980"/>
    <n v="1980"/>
    <n v="815990"/>
    <m/>
    <m/>
    <s v="GR-RT234WE-PMA(57) 815990"/>
    <n v="3680"/>
    <n v="0.53804347826086951"/>
    <s v="Toshiba SRP"/>
    <s v="DA141"/>
    <s v="DA141815990"/>
  </r>
  <r>
    <n v="1086"/>
    <s v="Fortress"/>
    <s v="Diamond Hill"/>
    <x v="20"/>
    <n v="3"/>
    <x v="14"/>
    <x v="86"/>
    <s v="470MM超薄身前置式變頻洗衣乾衣機 (洗8.5公斤 乾6公斤)"/>
    <s v="大電"/>
    <s v="LAD"/>
    <s v="twdt21"/>
    <n v="1"/>
    <n v="3682"/>
    <n v="3682"/>
    <n v="816004"/>
    <m/>
    <m/>
    <s v="TWD-T21BU95UWH(WW) 816004"/>
    <n v="7280"/>
    <n v="0.50576923076923075"/>
    <s v="Toshiba SRP"/>
    <s v="DA141"/>
    <s v="DA141816004"/>
  </r>
  <r>
    <n v="1087"/>
    <s v="Fortress"/>
    <s v="Diamond Hill"/>
    <x v="20"/>
    <n v="3"/>
    <x v="14"/>
    <x v="43"/>
    <s v="470MM超薄身前置式變頻洗衣機(8.5公斤, 可飛頂)"/>
    <s v="大電"/>
    <s v="LAD"/>
    <s v="t2295"/>
    <n v="1"/>
    <n v="3680"/>
    <n v="3680"/>
    <n v="815980"/>
    <m/>
    <m/>
    <s v="TW-T22BU95UWH(WK)-B 815980"/>
    <n v="5880"/>
    <n v="0.62585034013605445"/>
    <s v="Toshiba SRP"/>
    <s v="DA141"/>
    <s v="DA141815980"/>
  </r>
  <r>
    <n v="1088"/>
    <s v="Fortress"/>
    <s v="Diamond Hill"/>
    <x v="20"/>
    <n v="3"/>
    <x v="14"/>
    <x v="83"/>
    <s v="R32變頻窗口式冷氣機 (獨立抽濕遙控"/>
    <s v="大電"/>
    <s v="AC"/>
    <s v="12g3cvr"/>
    <n v="1"/>
    <n v="5980"/>
    <n v="5980"/>
    <n v="901538"/>
    <m/>
    <m/>
    <s v="RAC-12G3CVRGR-HK 901538"/>
    <n v="8680"/>
    <n v="0.68894009216589858"/>
    <s v="Toshiba SRP"/>
    <s v="DA141"/>
    <s v="DA141901538"/>
  </r>
  <r>
    <n v="1089"/>
    <s v="Fortress"/>
    <s v="Diamond Hill"/>
    <x v="20"/>
    <n v="3"/>
    <x v="15"/>
    <x v="21"/>
    <s v="壓縮式抽濕機 (30公升)"/>
    <s v="細電"/>
    <s v="RAC"/>
    <s v="d300"/>
    <n v="1"/>
    <n v="2280"/>
    <n v="2280"/>
    <n v="816044"/>
    <m/>
    <m/>
    <s v="RAD-D300H 816044"/>
    <n v="3380"/>
    <n v="0.67455621301775148"/>
    <s v="Shops Highest Price"/>
    <s v="DA141"/>
    <s v="DA141816044"/>
  </r>
  <r>
    <n v="1090"/>
    <s v="Fortress"/>
    <s v="Diamond Hill"/>
    <x v="20"/>
    <n v="3"/>
    <x v="15"/>
    <x v="102"/>
    <s v="變頻頂揭式洗衣機 (8公斤)"/>
    <s v="大電"/>
    <s v="LAD"/>
    <s v="cfk01w80"/>
    <n v="1"/>
    <n v="3690"/>
    <n v="3690"/>
    <n v="816043"/>
    <m/>
    <m/>
    <s v="CFK01W80 816043"/>
    <n v="3690"/>
    <n v="1"/>
    <s v="Shops Highest Price"/>
    <s v="DA141"/>
    <s v="DA141816043"/>
  </r>
  <r>
    <n v="1091"/>
    <s v="Fortress"/>
    <s v="Diamond Hill"/>
    <x v="20"/>
    <n v="3"/>
    <x v="15"/>
    <x v="86"/>
    <s v="470MM超薄身前置式變頻洗衣乾衣機 (洗8.5公斤 乾6公斤)"/>
    <s v="大電"/>
    <s v="LAD"/>
    <s v="twdt21"/>
    <n v="1"/>
    <n v="3909"/>
    <n v="3909"/>
    <n v="816054"/>
    <m/>
    <m/>
    <s v="TWD-T21BU95UWH(WW) 816054"/>
    <n v="7280"/>
    <n v="0.53695054945054943"/>
    <s v="Toshiba SRP"/>
    <s v="DA141"/>
    <s v="DA141816054"/>
  </r>
  <r>
    <n v="1092"/>
    <s v="Fortress"/>
    <s v="Diamond Hill"/>
    <x v="20"/>
    <n v="3"/>
    <x v="15"/>
    <x v="96"/>
    <s v="日式洗衣機 (7公斤 結合高低水位)"/>
    <s v="大電"/>
    <s v="LAD"/>
    <s v="q800"/>
    <n v="1"/>
    <n v="2080"/>
    <n v="2080"/>
    <n v="816085"/>
    <m/>
    <m/>
    <s v="AW-Q800APH(WW) 816085"/>
    <n v="3580"/>
    <n v="0.58100558659217882"/>
    <s v="Toshiba SRP"/>
    <s v="DA141"/>
    <s v="DA141816085"/>
  </r>
  <r>
    <n v="1093"/>
    <s v="Fortress"/>
    <s v="Diamond Hill"/>
    <x v="20"/>
    <n v="3"/>
    <x v="15"/>
    <x v="99"/>
    <s v="前置式變頻洗衣乾衣機 (洗10.5公斤 乾7公斤)"/>
    <s v="大電"/>
    <s v="LAD"/>
    <s v="twdt25"/>
    <n v="1"/>
    <n v="5985"/>
    <n v="5985"/>
    <n v="816053"/>
    <m/>
    <m/>
    <s v="TWD-T25BZU115MWH(MG) 816053"/>
    <n v="8280"/>
    <n v="0.72282608695652173"/>
    <s v="Toshiba SRP"/>
    <s v="DA141"/>
    <s v="DA141816053"/>
  </r>
  <r>
    <n v="1094"/>
    <s v="Fortress"/>
    <s v="Diamond Hill"/>
    <x v="20"/>
    <n v="3"/>
    <x v="17"/>
    <x v="103"/>
    <s v="變頻下置式雙門雪櫃"/>
    <s v="大電"/>
    <s v="REF"/>
    <s v="rb449"/>
    <n v="1"/>
    <n v="4880"/>
    <n v="4880"/>
    <n v="816121"/>
    <m/>
    <m/>
    <s v="GR-RB449WE-PMA(57) 816121"/>
    <n v="6280"/>
    <n v="0.77707006369426757"/>
    <s v="Toshiba SRP"/>
    <s v="DA141"/>
    <s v="DA141816121"/>
  </r>
  <r>
    <n v="1095"/>
    <s v="Fortress"/>
    <s v="Diamond Hill"/>
    <x v="20"/>
    <n v="3"/>
    <x v="17"/>
    <x v="100"/>
    <s v="3/4 匹 窗口式冷氣機(remote/fortress)"/>
    <s v="大電"/>
    <s v="AC"/>
    <s v="07g3cvf"/>
    <n v="2"/>
    <n v="3880"/>
    <n v="7760"/>
    <n v="901604"/>
    <s v="qty 1&gt;2"/>
    <m/>
    <s v="RAC-07G3CVRG-HK 901604"/>
    <n v="5580"/>
    <n v="0.69534050179211471"/>
    <s v="Toshiba SRP"/>
    <s v="DA141"/>
    <s v="DA141901604"/>
  </r>
  <r>
    <n v="1096"/>
    <s v="Fortress"/>
    <s v="Diamond Hill"/>
    <x v="20"/>
    <n v="3"/>
    <x v="17"/>
    <x v="104"/>
    <e v="#N/A"/>
    <e v="#N/A"/>
    <e v="#N/A"/>
    <m/>
    <m/>
    <m/>
    <n v="0"/>
    <m/>
    <s v="del 正本"/>
    <m/>
    <s v="Model-Input-Ref2 "/>
    <e v="#N/A"/>
    <e v="#N/A"/>
    <e v="#N/A"/>
    <s v="DA141"/>
    <s v="DA141"/>
  </r>
  <r>
    <n v="1097"/>
    <s v="Fortress"/>
    <s v="Diamond Hill"/>
    <x v="20"/>
    <n v="3"/>
    <x v="14"/>
    <x v="68"/>
    <s v="旋鈕式微波爐 (20公升)"/>
    <s v="細電"/>
    <s v="MCA"/>
    <s v="2mm20"/>
    <n v="1"/>
    <n v="599"/>
    <n v="599"/>
    <n v="815996"/>
    <m/>
    <m/>
    <s v="MM-2MM20PC(WH) 815996"/>
    <n v="738"/>
    <n v="0.81165311653116534"/>
    <s v="Toshiba SRP"/>
    <s v="DA141"/>
    <s v="DA141815996"/>
  </r>
  <r>
    <n v="1098"/>
    <s v="Fortress"/>
    <s v="Diamond Hill"/>
    <x v="20"/>
    <n v="3"/>
    <x v="12"/>
    <x v="6"/>
    <s v="旋鈕式微波爐24L"/>
    <s v="細電"/>
    <s v="SDA"/>
    <s v="mm24"/>
    <n v="1"/>
    <n v="679"/>
    <n v="679"/>
    <n v="901388"/>
    <m/>
    <m/>
    <s v="MW2-MM24PC(BK) 901388"/>
    <n v="848"/>
    <n v="0.8007075471698113"/>
    <s v="Toshiba SRP"/>
    <s v="DA141"/>
    <s v="DA141901388"/>
  </r>
  <r>
    <n v="1099"/>
    <s v="Fortress"/>
    <s v="Diamond Hill"/>
    <x v="20"/>
    <n v="3"/>
    <x v="17"/>
    <x v="6"/>
    <s v="旋鈕式微波爐24L"/>
    <s v="細電"/>
    <s v="SDA"/>
    <s v="mm24"/>
    <n v="1"/>
    <n v="679"/>
    <n v="679"/>
    <n v="816152"/>
    <m/>
    <m/>
    <s v="MW2-MM24PC(BK) 816152"/>
    <n v="848"/>
    <n v="0.8007075471698113"/>
    <s v="Toshiba SRP"/>
    <s v="DA141"/>
    <s v="DA141816152"/>
  </r>
  <r>
    <n v="1100"/>
    <s v="Fortress"/>
    <s v="Diamond Hill"/>
    <x v="21"/>
    <n v="3"/>
    <x v="19"/>
    <x v="6"/>
    <s v="旋鈕式微波爐24L"/>
    <s v="細電"/>
    <s v="SDA"/>
    <s v="mm24"/>
    <n v="1"/>
    <n v="679"/>
    <n v="679"/>
    <n v="902215"/>
    <m/>
    <m/>
    <s v="MW2-MM24PC(BK) 902215"/>
    <n v="848"/>
    <n v="0.8007075471698113"/>
    <s v="Toshiba SRP"/>
    <s v="DA141"/>
    <s v="DA141902215"/>
  </r>
  <r>
    <n v="1101"/>
    <s v="Fortress"/>
    <s v="Diamond Hill"/>
    <x v="21"/>
    <n v="3"/>
    <x v="19"/>
    <x v="36"/>
    <s v="輕觸式微波爐 (20公升)"/>
    <s v="細電"/>
    <s v="MCA"/>
    <s v="em20"/>
    <n v="1"/>
    <n v="598"/>
    <n v="598"/>
    <n v="816262"/>
    <m/>
    <m/>
    <s v="MM2-EM20PC(WH) 816262"/>
    <n v="788"/>
    <n v="0.75888324873096447"/>
    <s v="Toshiba SRP"/>
    <s v="DA141"/>
    <s v="DA141816262"/>
  </r>
  <r>
    <n v="1102"/>
    <s v="Fortress"/>
    <s v="Diamond Hill"/>
    <x v="20"/>
    <n v="3"/>
    <x v="14"/>
    <x v="105"/>
    <s v="旋鈕式燒烤微波爐20L黑色"/>
    <s v="細電"/>
    <s v="SDA"/>
    <s v="mg20"/>
    <n v="1"/>
    <n v="698"/>
    <n v="698"/>
    <n v="901524"/>
    <m/>
    <m/>
    <s v="MWP-MG20P(BK) 901524"/>
    <n v="918"/>
    <n v="0.76034858387799564"/>
    <s v="Toshiba SRP"/>
    <s v="DA141"/>
    <s v="DA141901524"/>
  </r>
  <r>
    <n v="1103"/>
    <s v="Fortress"/>
    <s v="Diamond Hill"/>
    <x v="20"/>
    <n v="3"/>
    <x v="14"/>
    <x v="106"/>
    <s v="燒烤微波爐21L"/>
    <s v="細電"/>
    <s v="SDA"/>
    <s v="ag21"/>
    <n v="1"/>
    <n v="798"/>
    <n v="798"/>
    <n v="816023"/>
    <m/>
    <m/>
    <s v="MV-AG21TF(BK) 816023"/>
    <n v="1098"/>
    <n v="0.72677595628415304"/>
    <s v="Toshiba SRP"/>
    <s v="DA141"/>
    <s v="DA141816023"/>
  </r>
  <r>
    <n v="1104"/>
    <s v="Fortress"/>
    <s v="Diamond Hill"/>
    <x v="20"/>
    <n v="3"/>
    <x v="21"/>
    <x v="106"/>
    <s v="燒烤微波爐21L"/>
    <s v="細電"/>
    <s v="SDA"/>
    <s v="ag21"/>
    <n v="1"/>
    <n v="798"/>
    <n v="798"/>
    <n v="901776"/>
    <m/>
    <m/>
    <s v="MV-AG21TF(BK) 901776"/>
    <n v="1098"/>
    <n v="0.72677595628415304"/>
    <s v="Toshiba SRP"/>
    <s v="DA141"/>
    <s v="DA141901776"/>
  </r>
  <r>
    <n v="1105"/>
    <s v="Fortress"/>
    <s v="Diamond Hill"/>
    <x v="20"/>
    <n v="3"/>
    <x v="27"/>
    <x v="106"/>
    <s v="燒烤微波爐21L"/>
    <s v="細電"/>
    <s v="SDA"/>
    <s v="ag21"/>
    <n v="1"/>
    <n v="798"/>
    <n v="798"/>
    <n v="817121"/>
    <m/>
    <m/>
    <s v="MV-AG21TF(BK) 817121"/>
    <n v="1098"/>
    <n v="0.72677595628415304"/>
    <s v="Toshiba SRP"/>
    <s v="DA141"/>
    <s v="DA141817121"/>
  </r>
  <r>
    <n v="1106"/>
    <s v="Fortress"/>
    <s v="Diamond Hill"/>
    <x v="20"/>
    <n v="3"/>
    <x v="4"/>
    <x v="34"/>
    <s v="智能氣炸烤焗爐(24公升)"/>
    <s v="細電"/>
    <s v="MCA"/>
    <s v="sac24"/>
    <n v="1"/>
    <n v="1320"/>
    <n v="1320"/>
    <n v="815940"/>
    <m/>
    <m/>
    <s v="MW3-SAC24SE(BK) 815940"/>
    <n v="1680"/>
    <n v="0.7857142857142857"/>
    <s v="Toshiba SRP"/>
    <s v="DA141"/>
    <s v="DA141815940"/>
  </r>
  <r>
    <n v="1107"/>
    <s v="Fortress"/>
    <s v="Diamond Hill"/>
    <x v="20"/>
    <n v="3"/>
    <x v="14"/>
    <x v="34"/>
    <s v="智能氣炸烤焗爐(24公升)"/>
    <s v="細電"/>
    <s v="MCA"/>
    <s v="sac24"/>
    <n v="1"/>
    <n v="1320"/>
    <n v="1320"/>
    <n v="816022"/>
    <m/>
    <m/>
    <s v="MW3-SAC24SE(BK) 816022"/>
    <n v="1680"/>
    <n v="0.7857142857142857"/>
    <s v="Toshiba SRP"/>
    <s v="DA141"/>
    <s v="DA141816022"/>
  </r>
  <r>
    <n v="1108"/>
    <s v="Fortress"/>
    <s v="Diamond Hill"/>
    <x v="20"/>
    <n v="3"/>
    <x v="24"/>
    <x v="34"/>
    <s v="智能氣炸烤焗爐(24公升)"/>
    <s v="細電"/>
    <s v="MCA"/>
    <s v="sac24"/>
    <n v="1"/>
    <n v="1320"/>
    <n v="1320"/>
    <n v="901967"/>
    <m/>
    <m/>
    <s v="MW3-SAC24SE(BK) 901967"/>
    <n v="1680"/>
    <n v="0.7857142857142857"/>
    <s v="Toshiba SRP"/>
    <s v="DA141"/>
    <s v="DA141901967"/>
  </r>
  <r>
    <n v="1109"/>
    <s v="Fortress"/>
    <s v="Diamond Hill"/>
    <x v="21"/>
    <n v="3"/>
    <x v="9"/>
    <x v="56"/>
    <s v="多士焗爐8L"/>
    <s v="細電"/>
    <s v="SDA"/>
    <n v="7080"/>
    <n v="1"/>
    <n v="318"/>
    <n v="318"/>
    <n v="815385"/>
    <m/>
    <m/>
    <s v="ET-TD7080(PN) 815385"/>
    <n v="498"/>
    <n v="0.63855421686746983"/>
    <s v="Toshiba SRP"/>
    <s v="DA141"/>
    <s v="DA141815385"/>
  </r>
  <r>
    <n v="1110"/>
    <s v="Fortress"/>
    <s v="Diamond Hill"/>
    <x v="20"/>
    <n v="3"/>
    <x v="24"/>
    <x v="56"/>
    <s v="多士焗爐8L"/>
    <s v="細電"/>
    <s v="SDA"/>
    <n v="7080"/>
    <n v="1"/>
    <n v="338"/>
    <n v="338"/>
    <n v="901968"/>
    <m/>
    <m/>
    <s v="ET-TD7080(PN) 901968"/>
    <n v="498"/>
    <n v="0.67871485943775101"/>
    <s v="Toshiba SRP"/>
    <s v="DA141"/>
    <s v="DA141901968"/>
  </r>
  <r>
    <n v="1111"/>
    <s v="Fortress"/>
    <s v="Diamond Hill"/>
    <x v="20"/>
    <n v="3"/>
    <x v="4"/>
    <x v="104"/>
    <e v="#N/A"/>
    <e v="#N/A"/>
    <e v="#N/A"/>
    <m/>
    <m/>
    <m/>
    <n v="0"/>
    <m/>
    <s v="duplicated,mc35,$888,815893"/>
    <m/>
    <s v="Model-Input-Ref2 "/>
    <e v="#N/A"/>
    <e v="#N/A"/>
    <e v="#N/A"/>
    <s v="DA141"/>
    <s v="DA141"/>
  </r>
  <r>
    <n v="1112"/>
    <s v="Fortress"/>
    <s v="Diamond Hill"/>
    <x v="20"/>
    <n v="3"/>
    <x v="3"/>
    <x v="50"/>
    <s v="輕便式電磁爐7個功能"/>
    <s v="細電"/>
    <s v="SDA"/>
    <s v="s19"/>
    <n v="1"/>
    <n v="418"/>
    <n v="418"/>
    <n v="815775"/>
    <m/>
    <m/>
    <s v="IC-S19RH 815775"/>
    <n v="638"/>
    <n v="0.65517241379310343"/>
    <s v="Toshiba SRP"/>
    <s v="DA141"/>
    <s v="DA141815775"/>
  </r>
  <r>
    <n v="1113"/>
    <s v="Fortress"/>
    <s v="Diamond Hill"/>
    <x v="20"/>
    <n v="3"/>
    <x v="3"/>
    <x v="50"/>
    <s v="輕便式電磁爐7個功能"/>
    <s v="細電"/>
    <s v="SDA"/>
    <s v="s19"/>
    <n v="1"/>
    <n v="418"/>
    <n v="418"/>
    <n v="815778"/>
    <m/>
    <m/>
    <s v="IC-S19RH 815778"/>
    <n v="638"/>
    <n v="0.65517241379310343"/>
    <s v="Toshiba SRP"/>
    <s v="DA141"/>
    <s v="DA141815778"/>
  </r>
  <r>
    <n v="1114"/>
    <s v="Fortress"/>
    <s v="Diamond Hill"/>
    <x v="20"/>
    <n v="3"/>
    <x v="17"/>
    <x v="50"/>
    <s v="輕便式電磁爐7個功能"/>
    <s v="細電"/>
    <s v="SDA"/>
    <s v="s19"/>
    <n v="1"/>
    <n v="418"/>
    <n v="418"/>
    <n v="816114"/>
    <m/>
    <m/>
    <s v="IC-S19RH 816114"/>
    <n v="638"/>
    <n v="0.65517241379310343"/>
    <s v="Toshiba SRP"/>
    <s v="DA141"/>
    <s v="DA141816114"/>
  </r>
  <r>
    <n v="1115"/>
    <s v="Fortress"/>
    <s v="Diamond Hill"/>
    <x v="20"/>
    <n v="3"/>
    <x v="23"/>
    <x v="50"/>
    <s v="輕便式電磁爐7個功能"/>
    <s v="細電"/>
    <s v="SDA"/>
    <s v="s19"/>
    <n v="1"/>
    <n v="418"/>
    <n v="418"/>
    <n v="816760"/>
    <m/>
    <m/>
    <s v="IC-S19RH 816760"/>
    <n v="638"/>
    <n v="0.65517241379310343"/>
    <s v="Toshiba SRP"/>
    <s v="DA141"/>
    <s v="DA141816760"/>
  </r>
  <r>
    <n v="1116"/>
    <s v="Fortress"/>
    <s v="Diamond Hill"/>
    <x v="20"/>
    <n v="3"/>
    <x v="14"/>
    <x v="32"/>
    <s v="電熱水瓶3L"/>
    <s v="細電"/>
    <s v="SDA"/>
    <s v="30fl"/>
    <n v="1"/>
    <n v="489"/>
    <n v="489"/>
    <n v="815974"/>
    <m/>
    <m/>
    <s v="PLK-30FLIH(WT) 815974"/>
    <n v="658"/>
    <n v="0.74316109422492405"/>
    <s v="Toshiba SRP"/>
    <s v="DA141"/>
    <s v="DA141815974"/>
  </r>
  <r>
    <n v="1117"/>
    <s v="Fortress"/>
    <s v="Diamond Hill"/>
    <x v="20"/>
    <n v="3"/>
    <x v="17"/>
    <x v="9"/>
    <s v="電熱水瓶4.5L"/>
    <s v="細電"/>
    <s v="SDA"/>
    <s v="45sf"/>
    <n v="1"/>
    <n v="589"/>
    <n v="589"/>
    <n v="816164"/>
    <m/>
    <m/>
    <s v="PLK-45SFIH(WT) 816164"/>
    <n v="788"/>
    <n v="0.7474619289340102"/>
    <s v="Toshiba SRP"/>
    <s v="DA141"/>
    <s v="DA141816164"/>
  </r>
  <r>
    <n v="1118"/>
    <s v="Fortress"/>
    <s v="Diamond Hill"/>
    <x v="20"/>
    <n v="3"/>
    <x v="28"/>
    <x v="9"/>
    <s v="電熱水瓶4.5L"/>
    <s v="細電"/>
    <s v="SDA"/>
    <s v="45sf"/>
    <n v="1"/>
    <n v="589"/>
    <n v="589"/>
    <n v="817235"/>
    <m/>
    <m/>
    <s v="PLK-45SFIH(WT) 817235"/>
    <n v="788"/>
    <n v="0.7474619289340102"/>
    <s v="Toshiba SRP"/>
    <s v="DA141"/>
    <s v="DA141817235"/>
  </r>
  <r>
    <n v="1119"/>
    <s v="Fortress"/>
    <s v="Diamond Hill"/>
    <x v="20"/>
    <n v="3"/>
    <x v="14"/>
    <x v="44"/>
    <s v="1.7L無線雙層電熱水壺"/>
    <s v="細電"/>
    <s v="SDA"/>
    <s v="17shnh"/>
    <n v="1"/>
    <n v="198"/>
    <n v="198"/>
    <n v="815976"/>
    <m/>
    <m/>
    <s v="KT-17SHNH 815976"/>
    <n v="299"/>
    <n v="0.66220735785953178"/>
    <s v="Shops Highest Price"/>
    <s v="DA141"/>
    <s v="DA141815976"/>
  </r>
  <r>
    <n v="1120"/>
    <s v="Fortress"/>
    <s v="Diamond Hill"/>
    <x v="20"/>
    <n v="3"/>
    <x v="24"/>
    <x v="44"/>
    <s v="1.7L無線雙層電熱水壺"/>
    <s v="細電"/>
    <s v="SDA"/>
    <s v="17shnh"/>
    <n v="1"/>
    <n v="198"/>
    <n v="198"/>
    <n v="816815"/>
    <m/>
    <m/>
    <s v="KT-17SHNH 816815"/>
    <n v="299"/>
    <n v="0.66220735785953178"/>
    <s v="Shops Highest Price"/>
    <s v="DA141"/>
    <s v="DA141816815"/>
  </r>
  <r>
    <n v="1121"/>
    <s v="Fortress"/>
    <s v="Diamond Hill"/>
    <x v="20"/>
    <n v="3"/>
    <x v="27"/>
    <x v="44"/>
    <s v="1.7L無線雙層電熱水壺"/>
    <s v="細電"/>
    <s v="SDA"/>
    <s v="17shnh"/>
    <n v="1"/>
    <n v="198"/>
    <n v="198"/>
    <n v="817154"/>
    <m/>
    <m/>
    <s v="KT-17SHNH 817154"/>
    <n v="299"/>
    <n v="0.66220735785953178"/>
    <s v="Shops Highest Price"/>
    <s v="DA141"/>
    <s v="DA141817154"/>
  </r>
  <r>
    <n v="1122"/>
    <s v="Fortress"/>
    <s v="Diamond Hill"/>
    <x v="20"/>
    <n v="3"/>
    <x v="20"/>
    <x v="107"/>
    <s v="1.5L無線雙層電熱水壺"/>
    <s v="細電"/>
    <s v="SDA"/>
    <s v="15drr"/>
    <n v="1"/>
    <n v="298"/>
    <n v="298"/>
    <n v="901734"/>
    <m/>
    <m/>
    <s v="KT-15DRRH 901734"/>
    <n v="438"/>
    <n v="0.68036529680365299"/>
    <s v="Toshiba SRP"/>
    <s v="DA141"/>
    <s v="DA141901734"/>
  </r>
  <r>
    <n v="1123"/>
    <s v="Fortress"/>
    <s v="Diamond Hill"/>
    <x v="20"/>
    <n v="3"/>
    <x v="30"/>
    <x v="107"/>
    <s v="1.5L無線雙層電熱水壺"/>
    <s v="細電"/>
    <s v="SDA"/>
    <s v="15drr"/>
    <n v="1"/>
    <n v="298"/>
    <n v="298"/>
    <n v="816581"/>
    <m/>
    <m/>
    <s v="KT-15DRRH 816581"/>
    <n v="438"/>
    <n v="0.68036529680365299"/>
    <s v="Toshiba SRP"/>
    <s v="DA141"/>
    <s v="DA141816581"/>
  </r>
  <r>
    <n v="1124"/>
    <s v="Fortress"/>
    <s v="Diamond Hill"/>
    <x v="20"/>
    <n v="3"/>
    <x v="30"/>
    <x v="107"/>
    <s v="1.5L無線雙層電熱水壺"/>
    <s v="細電"/>
    <s v="SDA"/>
    <s v="15drr"/>
    <n v="1"/>
    <n v="298"/>
    <n v="298"/>
    <n v="901865"/>
    <m/>
    <m/>
    <s v="KT-15DRRH 901865"/>
    <n v="438"/>
    <n v="0.68036529680365299"/>
    <s v="Toshiba SRP"/>
    <s v="DA141"/>
    <s v="DA141901865"/>
  </r>
  <r>
    <n v="1125"/>
    <s v="Fortress"/>
    <s v="Diamond Hill"/>
    <x v="20"/>
    <n v="3"/>
    <x v="26"/>
    <x v="107"/>
    <s v="1.5L無線雙層電熱水壺"/>
    <s v="細電"/>
    <s v="SDA"/>
    <s v="15drr"/>
    <n v="1"/>
    <n v="298"/>
    <n v="298"/>
    <n v="902058"/>
    <m/>
    <m/>
    <s v="KT-15DRRH 902058"/>
    <n v="438"/>
    <n v="0.68036529680365299"/>
    <s v="Toshiba SRP"/>
    <s v="DA141"/>
    <s v="DA141902058"/>
  </r>
  <r>
    <n v="1126"/>
    <s v="Fortress"/>
    <s v="Diamond Hill"/>
    <x v="20"/>
    <n v="3"/>
    <x v="27"/>
    <x v="108"/>
    <s v="濾芯"/>
    <s v="細電"/>
    <s v="KWH"/>
    <s v="fistpro"/>
    <n v="1"/>
    <n v="798"/>
    <n v="798"/>
    <n v="817088"/>
    <m/>
    <m/>
    <s v="FIST(PRO) 817088"/>
    <n v="798"/>
    <n v="1"/>
    <s v="Shops Highest Price"/>
    <s v="DA141"/>
    <s v="DA141817088"/>
  </r>
  <r>
    <n v="1127"/>
    <s v="Fortress"/>
    <s v="Diamond Hill"/>
    <x v="20"/>
    <n v="3"/>
    <x v="29"/>
    <x v="21"/>
    <s v="壓縮式抽濕機 (30公升)"/>
    <s v="細電"/>
    <s v="RAC"/>
    <s v="d300"/>
    <n v="1"/>
    <n v="2280"/>
    <n v="2280"/>
    <n v="817243"/>
    <m/>
    <m/>
    <s v="RAD-D300H 817243"/>
    <n v="3380"/>
    <n v="0.67455621301775148"/>
    <s v="Shops Highest Price"/>
    <s v="DA141"/>
    <s v="DA141817243"/>
  </r>
  <r>
    <n v="1128"/>
    <s v="Fortress"/>
    <s v="Diamond Hill"/>
    <x v="20"/>
    <n v="3"/>
    <x v="30"/>
    <x v="95"/>
    <s v="抗菌除臭空氣清淨機"/>
    <s v="細電"/>
    <s v="AP"/>
    <s v="a400"/>
    <n v="1"/>
    <n v="888"/>
    <n v="888"/>
    <n v="901856"/>
    <m/>
    <m/>
    <s v="CAF-A400HK(H) 901856"/>
    <n v="1500"/>
    <n v="0.59199999999999997"/>
    <s v="Shops Highest Price"/>
    <s v="DA141"/>
    <s v="DA141901856"/>
  </r>
  <r>
    <n v="1129"/>
    <s v="Fortress"/>
    <s v="Diamond Hill"/>
    <x v="20"/>
    <n v="3"/>
    <x v="27"/>
    <x v="39"/>
    <s v="酵活炊電飯煲(1.0公升)"/>
    <s v="細電"/>
    <s v="SDA"/>
    <s v="10amx"/>
    <n v="1"/>
    <n v="990"/>
    <n v="990"/>
    <n v="817094"/>
    <m/>
    <m/>
    <s v="RC-10AMXH(W) 817094"/>
    <n v="1288"/>
    <n v="0.76863354037267084"/>
    <s v="Toshiba SRP"/>
    <s v="DA141"/>
    <s v="DA141817094"/>
  </r>
  <r>
    <n v="1130"/>
    <s v="Fortress"/>
    <s v="Diamond Hill"/>
    <x v="20"/>
    <n v="3"/>
    <x v="15"/>
    <x v="45"/>
    <s v="備長炭本厚釜電飯煲0.7L"/>
    <s v="細電"/>
    <s v="SDA"/>
    <s v="7hmh"/>
    <n v="1"/>
    <n v="838"/>
    <n v="838"/>
    <n v="816067"/>
    <m/>
    <m/>
    <s v="RC-7HMH 816067"/>
    <n v="1288"/>
    <n v="0.65062111801242239"/>
    <s v="Toshiba SRP"/>
    <s v="DA141"/>
    <s v="DA141816067"/>
  </r>
  <r>
    <n v="1131"/>
    <s v="Fortress"/>
    <s v="Diamond Hill"/>
    <x v="20"/>
    <n v="3"/>
    <x v="17"/>
    <x v="45"/>
    <s v="備長炭本厚釜電飯煲0.7L"/>
    <s v="細電"/>
    <s v="SDA"/>
    <s v="7hmh"/>
    <n v="1"/>
    <n v="838"/>
    <n v="838"/>
    <n v="816165"/>
    <m/>
    <m/>
    <s v="RC-7HMH 816165"/>
    <n v="1288"/>
    <n v="0.65062111801242239"/>
    <s v="Toshiba SRP"/>
    <s v="DA141"/>
    <s v="DA141816165"/>
  </r>
  <r>
    <n v="1132"/>
    <s v="Fortress"/>
    <s v="Diamond Hill"/>
    <x v="20"/>
    <n v="3"/>
    <x v="27"/>
    <x v="45"/>
    <s v="備長炭本厚釜電飯煲0.7L"/>
    <s v="細電"/>
    <s v="SDA"/>
    <s v="7hmh"/>
    <n v="1"/>
    <n v="838"/>
    <n v="838"/>
    <n v="817134"/>
    <m/>
    <m/>
    <s v="RC-7HMH 817134"/>
    <n v="1288"/>
    <n v="0.65062111801242239"/>
    <s v="Toshiba SRP"/>
    <s v="DA141"/>
    <s v="DA141817134"/>
  </r>
  <r>
    <n v="1133"/>
    <s v="Fortress"/>
    <s v="Diamond Hill"/>
    <x v="20"/>
    <n v="3"/>
    <x v="26"/>
    <x v="47"/>
    <s v="磁應電飯煲(1公升)"/>
    <s v="細電"/>
    <s v="SDA"/>
    <s v="10iss"/>
    <n v="1"/>
    <n v="938"/>
    <n v="938"/>
    <n v="816997"/>
    <m/>
    <m/>
    <s v="RC-10ISSHK(W) 816997"/>
    <n v="1188"/>
    <n v="0.78956228956228958"/>
    <s v="Shops Highest Price"/>
    <s v="DA141"/>
    <s v="DA141816997"/>
  </r>
  <r>
    <n v="1134"/>
    <s v="Fortress"/>
    <s v="Diamond Hill"/>
    <x v="20"/>
    <n v="3"/>
    <x v="15"/>
    <x v="17"/>
    <s v="4毫米厚釜電飯煲1L"/>
    <s v="細電"/>
    <s v="SDA"/>
    <s v="10nmf"/>
    <n v="1"/>
    <n v="719"/>
    <n v="719"/>
    <n v="816093"/>
    <m/>
    <m/>
    <s v="RC-10NMFIH(WT) 816093"/>
    <n v="898"/>
    <n v="0.80066815144766146"/>
    <s v="Toshiba SRP"/>
    <s v="DA141"/>
    <s v="DA141816093"/>
  </r>
  <r>
    <n v="1135"/>
    <s v="Fortress"/>
    <s v="Diamond Hill"/>
    <x v="20"/>
    <n v="3"/>
    <x v="30"/>
    <x v="17"/>
    <s v="4毫米厚釜電飯煲1L"/>
    <s v="細電"/>
    <s v="SDA"/>
    <s v="10nmf"/>
    <n v="1"/>
    <n v="719"/>
    <n v="719"/>
    <n v="816592"/>
    <m/>
    <m/>
    <s v="RC-10NMFIH(WT) 816592"/>
    <n v="898"/>
    <n v="0.80066815144766146"/>
    <s v="Toshiba SRP"/>
    <s v="DA141"/>
    <s v="DA141816592"/>
  </r>
  <r>
    <n v="1136"/>
    <s v="Fortress"/>
    <s v="Diamond Hill"/>
    <x v="20"/>
    <n v="3"/>
    <x v="25"/>
    <x v="17"/>
    <s v="4毫米厚釜電飯煲1L"/>
    <s v="細電"/>
    <s v="SDA"/>
    <s v="10nmf"/>
    <n v="1"/>
    <n v="719"/>
    <n v="719"/>
    <n v="816949"/>
    <m/>
    <m/>
    <s v="RC-10NMFIH(WT) 816949"/>
    <n v="898"/>
    <n v="0.80066815144766146"/>
    <s v="Toshiba SRP"/>
    <s v="DA141"/>
    <s v="DA141816949"/>
  </r>
  <r>
    <n v="1137"/>
    <s v="Fortress"/>
    <s v="Diamond Hill"/>
    <x v="20"/>
    <n v="3"/>
    <x v="25"/>
    <x v="17"/>
    <s v="4毫米厚釜電飯煲1L"/>
    <s v="細電"/>
    <s v="SDA"/>
    <s v="10nmf"/>
    <n v="1"/>
    <n v="719"/>
    <n v="719"/>
    <n v="816957"/>
    <m/>
    <m/>
    <s v="RC-10NMFIH(WT) 816957"/>
    <n v="898"/>
    <n v="0.80066815144766146"/>
    <s v="Toshiba SRP"/>
    <s v="DA141"/>
    <s v="DA141816957"/>
  </r>
  <r>
    <n v="1138"/>
    <s v="Fortress"/>
    <s v="Diamond Hill"/>
    <x v="20"/>
    <n v="3"/>
    <x v="27"/>
    <x v="17"/>
    <s v="4毫米厚釜電飯煲1L"/>
    <s v="細電"/>
    <s v="SDA"/>
    <s v="10nmf"/>
    <n v="1"/>
    <n v="719"/>
    <n v="719"/>
    <n v="817043"/>
    <m/>
    <m/>
    <s v="RC-10NMFIH(WT) 817043"/>
    <n v="898"/>
    <n v="0.80066815144766146"/>
    <s v="Toshiba SRP"/>
    <s v="DA141"/>
    <s v="DA141817043"/>
  </r>
  <r>
    <n v="1139"/>
    <s v="Fortress"/>
    <s v="Diamond Hill"/>
    <x v="20"/>
    <n v="3"/>
    <x v="27"/>
    <x v="17"/>
    <s v="4毫米厚釜電飯煲1L"/>
    <s v="細電"/>
    <s v="SDA"/>
    <s v="10nmf"/>
    <n v="1"/>
    <n v="719"/>
    <n v="719"/>
    <n v="817113"/>
    <m/>
    <m/>
    <s v="RC-10NMFIH(WT) 817113"/>
    <n v="898"/>
    <n v="0.80066815144766146"/>
    <s v="Toshiba SRP"/>
    <s v="DA141"/>
    <s v="DA141817113"/>
  </r>
  <r>
    <n v="1140"/>
    <s v="Fortress"/>
    <s v="Diamond Hill"/>
    <x v="20"/>
    <n v="3"/>
    <x v="27"/>
    <x v="17"/>
    <s v="4毫米厚釜電飯煲1L"/>
    <s v="細電"/>
    <s v="SDA"/>
    <s v="10nmf"/>
    <n v="1"/>
    <n v="719"/>
    <n v="719"/>
    <n v="817139"/>
    <m/>
    <m/>
    <s v="RC-10NMFIH(WT) 817139"/>
    <n v="898"/>
    <n v="0.80066815144766146"/>
    <s v="Toshiba SRP"/>
    <s v="DA141"/>
    <s v="DA141817139"/>
  </r>
  <r>
    <n v="1141"/>
    <s v="Fortress"/>
    <s v="Diamond Hill"/>
    <x v="20"/>
    <n v="3"/>
    <x v="12"/>
    <x v="27"/>
    <s v="4毫米厚釜電飯煲1.8L"/>
    <s v="細電"/>
    <s v="SDA"/>
    <s v="18nmf"/>
    <n v="1"/>
    <n v="799"/>
    <n v="799"/>
    <n v="815697"/>
    <m/>
    <m/>
    <s v="RC-18NMFIH(WT) 815697"/>
    <n v="998"/>
    <n v="0.80060120240480959"/>
    <s v="Toshiba SRP"/>
    <s v="DA141"/>
    <s v="DA141815697"/>
  </r>
  <r>
    <n v="1142"/>
    <s v="Fortress"/>
    <s v="Diamond Hill"/>
    <x v="20"/>
    <n v="3"/>
    <x v="3"/>
    <x v="27"/>
    <s v="4毫米厚釜電飯煲1.8L"/>
    <s v="細電"/>
    <s v="SDA"/>
    <s v="18nmf"/>
    <n v="1"/>
    <n v="799"/>
    <n v="799"/>
    <n v="815810"/>
    <m/>
    <m/>
    <s v="RC-18NMFIH(WT) 815810"/>
    <n v="998"/>
    <n v="0.80060120240480959"/>
    <s v="Toshiba SRP"/>
    <s v="DA141"/>
    <s v="DA141815810"/>
  </r>
  <r>
    <n v="1143"/>
    <s v="Fortress"/>
    <s v="Diamond Hill"/>
    <x v="20"/>
    <n v="3"/>
    <x v="4"/>
    <x v="27"/>
    <s v="4毫米厚釜電飯煲1.8L"/>
    <s v="細電"/>
    <s v="SDA"/>
    <s v="18nmf"/>
    <n v="1"/>
    <n v="799"/>
    <n v="799"/>
    <n v="815864"/>
    <m/>
    <m/>
    <s v="RC-18NMFIH(WT) 815864"/>
    <n v="998"/>
    <n v="0.80060120240480959"/>
    <s v="Toshiba SRP"/>
    <s v="DA141"/>
    <s v="DA141815864"/>
  </r>
  <r>
    <n v="1144"/>
    <s v="Fortress"/>
    <s v="Diamond Hill"/>
    <x v="20"/>
    <n v="3"/>
    <x v="4"/>
    <x v="27"/>
    <s v="4毫米厚釜電飯煲1.8L"/>
    <s v="細電"/>
    <s v="SDA"/>
    <s v="18nmf"/>
    <n v="1"/>
    <n v="799"/>
    <n v="799"/>
    <n v="815918"/>
    <m/>
    <m/>
    <s v="RC-18NMFIH(WT) 815918"/>
    <n v="998"/>
    <n v="0.80060120240480959"/>
    <s v="Toshiba SRP"/>
    <s v="DA141"/>
    <s v="DA141815918"/>
  </r>
  <r>
    <n v="1145"/>
    <s v="Fortress"/>
    <s v="Diamond Hill"/>
    <x v="20"/>
    <n v="3"/>
    <x v="14"/>
    <x v="27"/>
    <s v="4毫米厚釜電飯煲1.8L"/>
    <s v="細電"/>
    <s v="SDA"/>
    <s v="18nmf"/>
    <n v="1"/>
    <n v="799"/>
    <n v="799"/>
    <n v="815978"/>
    <m/>
    <m/>
    <s v="RC-18NMFIH(WT) 815978"/>
    <n v="998"/>
    <n v="0.80060120240480959"/>
    <s v="Toshiba SRP"/>
    <s v="DA141"/>
    <s v="DA141815978"/>
  </r>
  <r>
    <n v="1146"/>
    <s v="Fortress"/>
    <s v="Diamond Hill"/>
    <x v="20"/>
    <n v="3"/>
    <x v="15"/>
    <x v="27"/>
    <s v="4毫米厚釜電飯煲1.8L"/>
    <s v="細電"/>
    <s v="SDA"/>
    <s v="18nmf"/>
    <n v="1"/>
    <n v="799"/>
    <n v="799"/>
    <n v="816088"/>
    <m/>
    <m/>
    <s v="RC-18NMFIH(WT) 816088"/>
    <n v="998"/>
    <n v="0.80060120240480959"/>
    <s v="Toshiba SRP"/>
    <s v="DA141"/>
    <s v="DA141816088"/>
  </r>
  <r>
    <n v="1147"/>
    <s v="Fortress"/>
    <s v="Diamond Hill"/>
    <x v="20"/>
    <n v="3"/>
    <x v="17"/>
    <x v="27"/>
    <s v="4毫米厚釜電飯煲1.8L"/>
    <s v="細電"/>
    <s v="SDA"/>
    <s v="18nmf"/>
    <n v="1"/>
    <n v="799"/>
    <n v="799"/>
    <n v="816208"/>
    <m/>
    <m/>
    <s v="RC-18NMFIH(WT) 816208"/>
    <n v="998"/>
    <n v="0.80060120240480959"/>
    <s v="Toshiba SRP"/>
    <s v="DA141"/>
    <s v="DA141816208"/>
  </r>
  <r>
    <n v="1148"/>
    <s v="Fortress"/>
    <s v="Diamond Hill"/>
    <x v="20"/>
    <n v="3"/>
    <x v="18"/>
    <x v="27"/>
    <s v="4毫米厚釜電飯煲1.8L"/>
    <s v="細電"/>
    <s v="SDA"/>
    <s v="18nmf"/>
    <n v="1"/>
    <n v="799"/>
    <n v="799"/>
    <n v="816209"/>
    <m/>
    <m/>
    <s v="RC-18NMFIH(WT) 816209"/>
    <n v="998"/>
    <n v="0.80060120240480959"/>
    <s v="Toshiba SRP"/>
    <s v="DA141"/>
    <s v="DA141816209"/>
  </r>
  <r>
    <n v="1149"/>
    <s v="Fortress"/>
    <s v="Diamond Hill"/>
    <x v="20"/>
    <n v="3"/>
    <x v="18"/>
    <x v="27"/>
    <s v="4毫米厚釜電飯煲1.8L"/>
    <s v="細電"/>
    <s v="SDA"/>
    <s v="18nmf"/>
    <n v="1"/>
    <n v="799"/>
    <n v="799"/>
    <n v="816109"/>
    <m/>
    <m/>
    <s v="RC-18NMFIH(WT) 816109"/>
    <n v="998"/>
    <n v="0.80060120240480959"/>
    <s v="Toshiba SRP"/>
    <s v="DA141"/>
    <s v="DA141816109"/>
  </r>
  <r>
    <n v="1150"/>
    <s v="Fortress"/>
    <s v="Diamond Hill"/>
    <x v="20"/>
    <n v="3"/>
    <x v="27"/>
    <x v="27"/>
    <s v="4毫米厚釜電飯煲1.8L"/>
    <s v="細電"/>
    <s v="SDA"/>
    <s v="18nmf"/>
    <n v="1"/>
    <n v="799"/>
    <n v="799"/>
    <n v="902176"/>
    <m/>
    <m/>
    <s v="RC-18NMFIH(WT) 902176"/>
    <n v="998"/>
    <n v="0.80060120240480959"/>
    <s v="Toshiba SRP"/>
    <s v="DA141"/>
    <s v="DA141902176"/>
  </r>
  <r>
    <n v="1151"/>
    <s v="Fortress"/>
    <s v="Diamond Hill"/>
    <x v="20"/>
    <n v="3"/>
    <x v="26"/>
    <x v="109"/>
    <s v="12吋座地座檯電風扇"/>
    <s v="細電"/>
    <s v="SDA"/>
    <s v="b60"/>
    <n v="1"/>
    <n v="499"/>
    <n v="499"/>
    <n v="902055"/>
    <m/>
    <m/>
    <s v="F-ALB60HK(B) 902055"/>
    <n v="839"/>
    <n v="0.59475566150178782"/>
    <s v="Shops Highest Price"/>
    <s v="DA141"/>
    <s v="DA141902055"/>
  </r>
  <r>
    <n v="1152"/>
    <s v="Fortress"/>
    <s v="Diamond Hill"/>
    <x v="20"/>
    <n v="3"/>
    <x v="26"/>
    <x v="109"/>
    <s v="12吋座地座檯電風扇"/>
    <s v="細電"/>
    <s v="SDA"/>
    <s v="b60"/>
    <n v="1"/>
    <n v="499"/>
    <n v="499"/>
    <n v="902062"/>
    <m/>
    <m/>
    <s v="F-ALB60HK(B) 902062"/>
    <n v="839"/>
    <n v="0.59475566150178782"/>
    <s v="Shops Highest Price"/>
    <s v="DA141"/>
    <s v="DA141902062"/>
  </r>
  <r>
    <n v="1153"/>
    <s v="Fortress"/>
    <s v="Diamond Hill"/>
    <x v="20"/>
    <n v="3"/>
    <x v="29"/>
    <x v="9"/>
    <s v="電熱水瓶4.5L"/>
    <s v="細電"/>
    <s v="SDA"/>
    <s v="45sf"/>
    <n v="1"/>
    <n v="589"/>
    <n v="589"/>
    <n v="817251"/>
    <m/>
    <m/>
    <s v="PLK-45SFIH(WT) 817251"/>
    <n v="788"/>
    <n v="0.7474619289340102"/>
    <s v="Toshiba SRP"/>
    <s v="DA141"/>
    <s v="DA141817251"/>
  </r>
  <r>
    <n v="1154"/>
    <s v="Fortress"/>
    <s v="Diamond Hill"/>
    <x v="20"/>
    <n v="3"/>
    <x v="29"/>
    <x v="17"/>
    <s v="4毫米厚釜電飯煲1L"/>
    <s v="細電"/>
    <s v="SDA"/>
    <s v="10nmf"/>
    <n v="1"/>
    <n v="719"/>
    <n v="719"/>
    <n v="902234"/>
    <m/>
    <m/>
    <s v="RC-10NMFIH(WT) 902234"/>
    <n v="898"/>
    <n v="0.80066815144766146"/>
    <s v="Toshiba SRP"/>
    <s v="DA141"/>
    <s v="DA141902234"/>
  </r>
  <r>
    <n v="1155"/>
    <s v="Fortress"/>
    <s v="Diamond Hill"/>
    <x v="20"/>
    <n v="3"/>
    <x v="29"/>
    <x v="102"/>
    <s v="變頻頂揭式洗衣機 (8公斤)"/>
    <s v="大電"/>
    <s v="LAD"/>
    <s v="cfk01w80"/>
    <n v="1"/>
    <n v="3690"/>
    <n v="3690"/>
    <n v="817276"/>
    <m/>
    <m/>
    <s v="CFK01W80 817276"/>
    <n v="3690"/>
    <n v="1"/>
    <s v="Shops Highest Price"/>
    <s v="DA141"/>
    <s v="DA141817276"/>
  </r>
  <r>
    <n v="1156"/>
    <s v="Fortress"/>
    <s v="Diamond Hill"/>
    <x v="20"/>
    <n v="3"/>
    <x v="29"/>
    <x v="110"/>
    <s v="變頻六門雪櫃(451L)"/>
    <s v="大電"/>
    <s v="REF"/>
    <s v="rm598"/>
    <n v="1"/>
    <n v="10990"/>
    <n v="10990"/>
    <n v="817266"/>
    <m/>
    <m/>
    <s v="GR-RM598WE-PGA(B3) 817266"/>
    <n v="14980"/>
    <n v="0.73364485981308414"/>
    <s v="Toshiba SRP"/>
    <s v="DA141"/>
    <s v="DA141817266"/>
  </r>
  <r>
    <n v="1157"/>
    <s v="Fortress"/>
    <s v="Diamond Hill"/>
    <x v="20"/>
    <n v="3"/>
    <x v="8"/>
    <x v="100"/>
    <s v="3/4 匹 窗口式冷氣機(remote/fortress)"/>
    <s v="大電"/>
    <s v="AC"/>
    <s v="07g3cvf"/>
    <n v="3"/>
    <n v="3880"/>
    <n v="11640"/>
    <n v="815038"/>
    <s v="qty 1&gt;3"/>
    <m/>
    <s v="RAC-07G3CVRG-HK 815038"/>
    <n v="5580"/>
    <n v="0.69534050179211471"/>
    <s v="Toshiba SRP"/>
    <s v="DA141"/>
    <s v="DA141815038"/>
  </r>
  <r>
    <n v="1158"/>
    <s v="Fortress"/>
    <s v="Diamond Hill"/>
    <x v="20"/>
    <n v="3"/>
    <x v="8"/>
    <x v="104"/>
    <e v="#N/A"/>
    <e v="#N/A"/>
    <e v="#N/A"/>
    <m/>
    <m/>
    <m/>
    <n v="0"/>
    <m/>
    <s v="del 正本"/>
    <m/>
    <s v="Model-Input-Ref2 "/>
    <e v="#N/A"/>
    <e v="#N/A"/>
    <e v="#N/A"/>
    <s v="DA141"/>
    <s v="DA141"/>
  </r>
  <r>
    <n v="1159"/>
    <s v="Fortress"/>
    <s v="Diamond Hill"/>
    <x v="20"/>
    <n v="3"/>
    <x v="8"/>
    <x v="104"/>
    <e v="#N/A"/>
    <e v="#N/A"/>
    <e v="#N/A"/>
    <m/>
    <m/>
    <m/>
    <n v="0"/>
    <m/>
    <s v="del 正本"/>
    <m/>
    <s v="Model-Input-Ref2 "/>
    <e v="#N/A"/>
    <e v="#N/A"/>
    <e v="#N/A"/>
    <s v="DA141"/>
    <s v="DA141"/>
  </r>
  <r>
    <n v="1160"/>
    <s v="Fortress"/>
    <s v="Diamond Hill"/>
    <x v="21"/>
    <n v="3"/>
    <x v="10"/>
    <x v="87"/>
    <s v="變頻式環保雙門雪櫃(233L)"/>
    <s v="大電"/>
    <s v="REF"/>
    <s v="rt300"/>
    <n v="1"/>
    <n v="2780"/>
    <n v="2780"/>
    <n v="901272"/>
    <m/>
    <m/>
    <s v="GR-RT300WE-PMA(57) 901272"/>
    <n v="4280"/>
    <n v="0.64953271028037385"/>
    <s v="Toshiba SRP"/>
    <s v="DA141"/>
    <s v="DA141901272"/>
  </r>
  <r>
    <n v="1161"/>
    <s v="Fortress"/>
    <s v="Diamond Hill"/>
    <x v="21"/>
    <n v="3"/>
    <x v="11"/>
    <x v="87"/>
    <s v="變頻式環保雙門雪櫃(233L)"/>
    <s v="大電"/>
    <s v="REF"/>
    <s v="rt300"/>
    <n v="1"/>
    <n v="2780"/>
    <n v="2780"/>
    <n v="815615"/>
    <m/>
    <m/>
    <s v="GR-RT300WE-PMA(57) 815615"/>
    <n v="4280"/>
    <n v="0.64953271028037385"/>
    <s v="Toshiba SRP"/>
    <s v="DA141"/>
    <s v="DA141815615"/>
  </r>
  <r>
    <n v="1162"/>
    <s v="Fortress"/>
    <s v="Diamond Hill"/>
    <x v="20"/>
    <n v="3"/>
    <x v="2"/>
    <x v="21"/>
    <s v="壓縮式抽濕機 (30公升)"/>
    <s v="細電"/>
    <s v="RAC"/>
    <s v="d300"/>
    <n v="1"/>
    <n v="2280"/>
    <n v="2280"/>
    <n v="815203"/>
    <m/>
    <m/>
    <s v="RAD-D300H 815203"/>
    <n v="3380"/>
    <n v="0.67455621301775148"/>
    <s v="Shops Highest Price"/>
    <s v="DA141"/>
    <s v="DA141815203"/>
  </r>
  <r>
    <n v="1163"/>
    <s v="Fortress"/>
    <s v="Diamond Hill"/>
    <x v="21"/>
    <n v="3"/>
    <x v="11"/>
    <x v="21"/>
    <s v="壓縮式抽濕機 (30公升)"/>
    <s v="細電"/>
    <s v="RAC"/>
    <s v="d300"/>
    <n v="1"/>
    <n v="2280"/>
    <n v="2280"/>
    <n v="815587"/>
    <m/>
    <m/>
    <s v="RAD-D300H 815587"/>
    <n v="3380"/>
    <n v="0.67455621301775148"/>
    <s v="Shops Highest Price"/>
    <s v="DA141"/>
    <s v="DA141815587"/>
  </r>
  <r>
    <n v="1164"/>
    <s v="Fortress"/>
    <s v="Diamond Hill"/>
    <x v="20"/>
    <n v="3"/>
    <x v="2"/>
    <x v="66"/>
    <s v="變頻下置式雙門雪櫃（163L）"/>
    <s v="大電"/>
    <s v="REF"/>
    <s v="rb221"/>
    <n v="1"/>
    <n v="2190"/>
    <n v="2190"/>
    <n v="815205"/>
    <m/>
    <m/>
    <s v="GR-RB221WE-PMA(57) 815205"/>
    <n v="3480"/>
    <n v="0.62931034482758619"/>
    <s v="Toshiba SRP"/>
    <s v="DA141"/>
    <s v="DA141815205"/>
  </r>
  <r>
    <n v="1165"/>
    <s v="Fortress"/>
    <s v="Diamond Hill"/>
    <x v="21"/>
    <n v="3"/>
    <x v="10"/>
    <x v="66"/>
    <s v="變頻下置式雙門雪櫃（163L）"/>
    <s v="大電"/>
    <s v="REF"/>
    <s v="rb221"/>
    <n v="1"/>
    <n v="2190"/>
    <n v="2190"/>
    <n v="901283"/>
    <m/>
    <m/>
    <s v="GR-RB221WE-PMA(57) 901283"/>
    <n v="3480"/>
    <n v="0.62931034482758619"/>
    <s v="Toshiba SRP"/>
    <s v="DA141"/>
    <s v="DA141901283"/>
  </r>
  <r>
    <n v="1166"/>
    <s v="Fortress"/>
    <s v="Diamond Hill"/>
    <x v="21"/>
    <n v="3"/>
    <x v="11"/>
    <x v="66"/>
    <s v="變頻下置式雙門雪櫃（163L）"/>
    <s v="大電"/>
    <s v="REF"/>
    <s v="rb221"/>
    <n v="1"/>
    <n v="2190"/>
    <n v="2190"/>
    <n v="815594"/>
    <m/>
    <m/>
    <s v="GR-RB221WE-PMA(57) 815594"/>
    <n v="3480"/>
    <n v="0.62931034482758619"/>
    <s v="Toshiba SRP"/>
    <s v="DA141"/>
    <s v="DA141815594"/>
  </r>
  <r>
    <n v="1167"/>
    <s v="Fortress"/>
    <s v="Diamond Hill"/>
    <x v="20"/>
    <n v="3"/>
    <x v="2"/>
    <x v="22"/>
    <s v="變頻五門雪櫃(375L)"/>
    <s v="大電"/>
    <s v="REF"/>
    <s v="rm612"/>
    <n v="1"/>
    <n v="9980"/>
    <n v="9980"/>
    <n v="815226"/>
    <m/>
    <m/>
    <s v="GR-RM612WE-PGA(B5) 815226"/>
    <n v="11000"/>
    <n v="0.90727272727272723"/>
    <s v="Shops Highest Price"/>
    <s v="DA141"/>
    <s v="DA141815226"/>
  </r>
  <r>
    <n v="1168"/>
    <s v="Fortress"/>
    <s v="Diamond Hill"/>
    <x v="20"/>
    <n v="3"/>
    <x v="2"/>
    <x v="111"/>
    <s v="470MM超薄身前置式變頻洗衣機(8.5公斤)"/>
    <s v="大電"/>
    <s v="LAD"/>
    <s v="bu95"/>
    <n v="1"/>
    <n v="3590"/>
    <n v="3590"/>
    <n v="815266"/>
    <m/>
    <m/>
    <s v="TW-T21BU95UWH(MG) 815266"/>
    <n v="3980"/>
    <n v="0.90201005025125625"/>
    <s v="Shops Highest Price"/>
    <s v="DA141"/>
    <s v="DA141815266"/>
  </r>
  <r>
    <n v="1169"/>
    <s v="Fortress"/>
    <s v="Diamond Hill"/>
    <x v="20"/>
    <n v="3"/>
    <x v="0"/>
    <x v="30"/>
    <s v="旋鈕式燒烤微波爐20L"/>
    <s v="細電"/>
    <s v="SDA"/>
    <s v="mm20"/>
    <n v="1"/>
    <n v="488"/>
    <n v="488"/>
    <n v="900805"/>
    <m/>
    <m/>
    <s v="MWP-MM20P(WH) 900805"/>
    <n v="648"/>
    <n v="0.75308641975308643"/>
    <s v="Toshiba SRP"/>
    <s v="DA141"/>
    <s v="DA141900805"/>
  </r>
  <r>
    <n v="1170"/>
    <s v="Fortress"/>
    <s v="Diamond Hill"/>
    <x v="20"/>
    <n v="3"/>
    <x v="5"/>
    <x v="30"/>
    <s v="旋鈕式燒烤微波爐20L"/>
    <s v="細電"/>
    <s v="SDA"/>
    <s v="mm20"/>
    <n v="1"/>
    <n v="488"/>
    <n v="488"/>
    <n v="814673"/>
    <m/>
    <m/>
    <s v="MWP-MM20P(WH) 814673"/>
    <n v="648"/>
    <n v="0.75308641975308643"/>
    <s v="Toshiba SRP"/>
    <s v="DA141"/>
    <s v="DA141814673"/>
  </r>
  <r>
    <n v="1171"/>
    <s v="Fortress"/>
    <s v="Diamond Hill"/>
    <x v="20"/>
    <n v="3"/>
    <x v="2"/>
    <x v="30"/>
    <s v="旋鈕式燒烤微波爐20L"/>
    <s v="細電"/>
    <s v="SDA"/>
    <s v="mm20"/>
    <n v="1"/>
    <n v="488"/>
    <n v="488"/>
    <n v="815283"/>
    <m/>
    <m/>
    <s v="MWP-MM20P(WH) 815283"/>
    <n v="648"/>
    <n v="0.75308641975308643"/>
    <s v="Toshiba SRP"/>
    <s v="DA141"/>
    <s v="DA141815283"/>
  </r>
  <r>
    <n v="1172"/>
    <s v="Fortress"/>
    <s v="Diamond Hill"/>
    <x v="20"/>
    <n v="3"/>
    <x v="2"/>
    <x v="30"/>
    <s v="旋鈕式燒烤微波爐20L"/>
    <s v="細電"/>
    <s v="SDA"/>
    <s v="mm20"/>
    <n v="1"/>
    <n v="488"/>
    <n v="488"/>
    <n v="901192"/>
    <m/>
    <m/>
    <s v="MWP-MM20P(WH) 901192"/>
    <n v="648"/>
    <n v="0.75308641975308643"/>
    <s v="Toshiba SRP"/>
    <s v="DA141"/>
    <s v="DA141901192"/>
  </r>
  <r>
    <n v="1173"/>
    <s v="Fortress"/>
    <s v="Diamond Hill"/>
    <x v="20"/>
    <n v="3"/>
    <x v="0"/>
    <x v="68"/>
    <s v="旋鈕式微波爐 (20公升)"/>
    <s v="細電"/>
    <s v="MCA"/>
    <s v="2mm20"/>
    <n v="1"/>
    <n v="599"/>
    <n v="599"/>
    <n v="814544"/>
    <m/>
    <m/>
    <s v="MM-2MM20PC(WH) 814544"/>
    <n v="738"/>
    <n v="0.81165311653116534"/>
    <s v="Toshiba SRP"/>
    <s v="DA141"/>
    <s v="DA141814544"/>
  </r>
  <r>
    <n v="1174"/>
    <s v="Fortress"/>
    <s v="Diamond Hill"/>
    <x v="20"/>
    <n v="3"/>
    <x v="1"/>
    <x v="68"/>
    <s v="旋鈕式微波爐 (20公升)"/>
    <s v="細電"/>
    <s v="MCA"/>
    <s v="2mm20"/>
    <n v="1"/>
    <n v="599"/>
    <n v="599"/>
    <n v="901024"/>
    <m/>
    <m/>
    <s v="MM-2MM20PC(WH) 901024"/>
    <n v="738"/>
    <n v="0.81165311653116534"/>
    <s v="Toshiba SRP"/>
    <s v="DA141"/>
    <s v="DA141901024"/>
  </r>
  <r>
    <n v="1175"/>
    <s v="Fortress"/>
    <s v="Diamond Hill"/>
    <x v="20"/>
    <n v="3"/>
    <x v="2"/>
    <x v="68"/>
    <s v="旋鈕式微波爐 (20公升)"/>
    <s v="細電"/>
    <s v="MCA"/>
    <s v="2mm20"/>
    <n v="1"/>
    <n v="599"/>
    <n v="599"/>
    <n v="901156"/>
    <m/>
    <m/>
    <s v="MM-2MM20PC(WH) 901156"/>
    <n v="738"/>
    <n v="0.81165311653116534"/>
    <s v="Toshiba SRP"/>
    <s v="DA141"/>
    <s v="DA141901156"/>
  </r>
  <r>
    <n v="1176"/>
    <s v="Fortress"/>
    <s v="Diamond Hill"/>
    <x v="20"/>
    <n v="3"/>
    <x v="8"/>
    <x v="6"/>
    <s v="旋鈕式微波爐24L"/>
    <s v="細電"/>
    <s v="SDA"/>
    <s v="mm24"/>
    <n v="1"/>
    <n v="679"/>
    <n v="679"/>
    <n v="814962"/>
    <m/>
    <m/>
    <s v="MW2-MM24PC(BK) 814962"/>
    <n v="848"/>
    <n v="0.8007075471698113"/>
    <s v="Toshiba SRP"/>
    <s v="DA141"/>
    <s v="DA141814962"/>
  </r>
  <r>
    <n v="1177"/>
    <s v="Fortress"/>
    <s v="Diamond Hill"/>
    <x v="21"/>
    <n v="3"/>
    <x v="10"/>
    <x v="6"/>
    <s v="旋鈕式微波爐24L"/>
    <s v="細電"/>
    <s v="SDA"/>
    <s v="mm24"/>
    <n v="1"/>
    <n v="679"/>
    <n v="679"/>
    <n v="901250"/>
    <m/>
    <m/>
    <s v="MW2-MM24PC(BK) 901250"/>
    <n v="848"/>
    <n v="0.8007075471698113"/>
    <s v="Toshiba SRP"/>
    <s v="DA141"/>
    <s v="DA141901250"/>
  </r>
  <r>
    <n v="1178"/>
    <s v="Fortress"/>
    <s v="Diamond Hill"/>
    <x v="21"/>
    <n v="3"/>
    <x v="9"/>
    <x v="56"/>
    <s v="多士焗爐8L"/>
    <s v="細電"/>
    <s v="SDA"/>
    <n v="7080"/>
    <n v="1"/>
    <n v="318"/>
    <n v="318"/>
    <n v="814869"/>
    <m/>
    <m/>
    <s v="ET-TD7080(PN) 814869"/>
    <n v="498"/>
    <n v="0.63855421686746983"/>
    <s v="Toshiba SRP"/>
    <s v="DA141"/>
    <s v="DA141814869"/>
  </r>
  <r>
    <n v="1179"/>
    <s v="Fortress"/>
    <s v="Diamond Hill"/>
    <x v="21"/>
    <n v="3"/>
    <x v="6"/>
    <x v="52"/>
    <s v="35L多功能電焗爐"/>
    <s v="細電"/>
    <s v="SDA"/>
    <s v="mc35"/>
    <n v="1"/>
    <n v="888"/>
    <n v="888"/>
    <n v="814773"/>
    <m/>
    <m/>
    <s v="TL-MC35Z 814773"/>
    <n v="1098"/>
    <n v="0.80874316939890711"/>
    <s v="Toshiba SRP"/>
    <s v="DA141"/>
    <s v="DA141814773"/>
  </r>
  <r>
    <n v="1180"/>
    <s v="Fortress"/>
    <s v="Diamond Hill"/>
    <x v="20"/>
    <n v="3"/>
    <x v="5"/>
    <x v="50"/>
    <s v="輕便式電磁爐7個功能"/>
    <s v="細電"/>
    <s v="SDA"/>
    <s v="s19"/>
    <n v="1"/>
    <n v="418"/>
    <n v="418"/>
    <n v="900839"/>
    <m/>
    <m/>
    <s v="IC-S19RH 900839"/>
    <n v="638"/>
    <n v="0.65517241379310343"/>
    <s v="Toshiba SRP"/>
    <s v="DA141"/>
    <s v="DA141900839"/>
  </r>
  <r>
    <n v="1181"/>
    <s v="Fortress"/>
    <s v="Diamond Hill"/>
    <x v="20"/>
    <n v="3"/>
    <x v="5"/>
    <x v="50"/>
    <s v="輕便式電磁爐7個功能"/>
    <s v="細電"/>
    <s v="SDA"/>
    <s v="s19"/>
    <n v="1"/>
    <n v="418"/>
    <n v="418"/>
    <n v="814641"/>
    <m/>
    <m/>
    <s v="IC-S19RH 814641"/>
    <n v="638"/>
    <n v="0.65517241379310343"/>
    <s v="Toshiba SRP"/>
    <s v="DA141"/>
    <s v="DA141814641"/>
  </r>
  <r>
    <n v="1182"/>
    <s v="Fortress"/>
    <s v="Diamond Hill"/>
    <x v="20"/>
    <n v="3"/>
    <x v="7"/>
    <x v="50"/>
    <s v="輕便式電磁爐7個功能"/>
    <s v="細電"/>
    <s v="SDA"/>
    <s v="s19"/>
    <n v="1"/>
    <n v="418"/>
    <n v="418"/>
    <n v="814886"/>
    <m/>
    <m/>
    <s v="IC-S19RH 814886"/>
    <n v="638"/>
    <n v="0.65517241379310343"/>
    <s v="Toshiba SRP"/>
    <s v="DA141"/>
    <s v="DA141814886"/>
  </r>
  <r>
    <n v="1183"/>
    <s v="Fortress"/>
    <s v="Diamond Hill"/>
    <x v="20"/>
    <n v="3"/>
    <x v="7"/>
    <x v="50"/>
    <s v="輕便式電磁爐7個功能"/>
    <s v="細電"/>
    <s v="SDA"/>
    <s v="s19"/>
    <n v="1"/>
    <n v="418"/>
    <n v="418"/>
    <n v="815357"/>
    <m/>
    <m/>
    <s v="IC-S19RH 815357"/>
    <n v="638"/>
    <n v="0.65517241379310343"/>
    <s v="Toshiba SRP"/>
    <s v="DA141"/>
    <s v="DA141815357"/>
  </r>
  <r>
    <n v="1184"/>
    <s v="Fortress"/>
    <s v="Diamond Hill"/>
    <x v="21"/>
    <n v="3"/>
    <x v="9"/>
    <x v="50"/>
    <s v="輕便式電磁爐7個功能"/>
    <s v="細電"/>
    <s v="SDA"/>
    <s v="s19"/>
    <n v="1"/>
    <n v="418"/>
    <n v="418"/>
    <n v="815444"/>
    <m/>
    <m/>
    <s v="IC-S19RH 815444"/>
    <n v="638"/>
    <n v="0.65517241379310343"/>
    <s v="Toshiba SRP"/>
    <s v="DA141"/>
    <s v="DA141815444"/>
  </r>
  <r>
    <n v="1185"/>
    <s v="Fortress"/>
    <s v="Diamond Hill"/>
    <x v="20"/>
    <n v="3"/>
    <x v="8"/>
    <x v="112"/>
    <s v="變頻日式洗衣機 (8.5公斤 結合高低水位)"/>
    <s v="大電"/>
    <s v="LAD"/>
    <s v="dq950"/>
    <n v="1"/>
    <n v="2580"/>
    <n v="2580"/>
    <n v="814986"/>
    <m/>
    <m/>
    <s v="AW-DQ950FPH(WW) 814986"/>
    <n v="3980"/>
    <n v="0.64824120603015079"/>
    <s v="Toshiba SRP"/>
    <s v="DA141"/>
    <s v="DA141814986"/>
  </r>
  <r>
    <n v="1186"/>
    <s v="Fortress"/>
    <s v="Diamond Hill"/>
    <x v="20"/>
    <n v="3"/>
    <x v="1"/>
    <x v="112"/>
    <s v="變頻日式洗衣機 (8.5公斤 結合高低水位)"/>
    <s v="大電"/>
    <s v="LAD"/>
    <s v="dq950"/>
    <n v="1"/>
    <n v="2580"/>
    <n v="2580"/>
    <n v="815169"/>
    <m/>
    <m/>
    <s v="AW-DQ950FPH(WW) 815169"/>
    <n v="3980"/>
    <n v="0.64824120603015079"/>
    <s v="Toshiba SRP"/>
    <s v="DA141"/>
    <s v="DA141815169"/>
  </r>
  <r>
    <n v="1187"/>
    <s v="Fortress"/>
    <s v="Diamond Hill"/>
    <x v="20"/>
    <n v="3"/>
    <x v="1"/>
    <x v="87"/>
    <s v="變頻式環保雙門雪櫃(233L)"/>
    <s v="大電"/>
    <s v="REF"/>
    <s v="rt300"/>
    <n v="1"/>
    <n v="2780"/>
    <n v="2780"/>
    <n v="815069"/>
    <m/>
    <m/>
    <s v="GR-RT300WE-PMA(57) 815069"/>
    <n v="4280"/>
    <n v="0.64953271028037385"/>
    <s v="Toshiba SRP"/>
    <s v="DA141"/>
    <s v="DA141815069"/>
  </r>
  <r>
    <n v="1188"/>
    <s v="Fortress"/>
    <s v="Diamond Hill"/>
    <x v="20"/>
    <n v="3"/>
    <x v="1"/>
    <x v="21"/>
    <s v="壓縮式抽濕機 (30公升)"/>
    <s v="細電"/>
    <s v="RAC"/>
    <s v="d300"/>
    <n v="1"/>
    <n v="2280"/>
    <n v="2280"/>
    <n v="815133"/>
    <m/>
    <m/>
    <s v="RAD-D300H 815133"/>
    <n v="3380"/>
    <n v="0.67455621301775148"/>
    <s v="Shops Highest Price"/>
    <s v="DA141"/>
    <s v="DA141815133"/>
  </r>
  <r>
    <n v="1189"/>
    <s v="Fortress"/>
    <s v="Diamond Hill"/>
    <x v="20"/>
    <n v="3"/>
    <x v="1"/>
    <x v="21"/>
    <s v="壓縮式抽濕機 (30公升)"/>
    <s v="細電"/>
    <s v="RAC"/>
    <s v="d300"/>
    <n v="1"/>
    <n v="2280"/>
    <n v="2280"/>
    <n v="815152"/>
    <m/>
    <m/>
    <s v="RAD-D300H 815152"/>
    <n v="3380"/>
    <n v="0.67455621301775148"/>
    <s v="Shops Highest Price"/>
    <s v="DA141"/>
    <s v="DA141815152"/>
  </r>
  <r>
    <n v="1190"/>
    <s v="Fortress"/>
    <s v="Diamond Hill"/>
    <x v="20"/>
    <n v="3"/>
    <x v="1"/>
    <x v="21"/>
    <s v="壓縮式抽濕機 (30公升)"/>
    <s v="細電"/>
    <s v="RAC"/>
    <s v="d300"/>
    <n v="1"/>
    <n v="2280"/>
    <n v="2280"/>
    <n v="815162"/>
    <m/>
    <m/>
    <s v="RAD-D300H 815162"/>
    <n v="3380"/>
    <n v="0.67455621301775148"/>
    <s v="Shops Highest Price"/>
    <s v="DA141"/>
    <s v="DA141815162"/>
  </r>
  <r>
    <n v="1191"/>
    <s v="Fortress"/>
    <s v="Diamond Hill"/>
    <x v="21"/>
    <n v="3"/>
    <x v="10"/>
    <x v="104"/>
    <e v="#N/A"/>
    <e v="#N/A"/>
    <e v="#N/A"/>
    <m/>
    <m/>
    <m/>
    <n v="0"/>
    <m/>
    <s v="duplicated,s19,$418,815444"/>
    <m/>
    <s v="Model-Input-Ref2 "/>
    <e v="#N/A"/>
    <e v="#N/A"/>
    <e v="#N/A"/>
    <s v="DA141"/>
    <s v="DA141"/>
  </r>
  <r>
    <n v="1192"/>
    <s v="Fortress"/>
    <s v="Diamond Hill"/>
    <x v="20"/>
    <n v="3"/>
    <x v="8"/>
    <x v="32"/>
    <s v="電熱水瓶3L"/>
    <s v="細電"/>
    <s v="SDA"/>
    <s v="30fl"/>
    <n v="1"/>
    <n v="489"/>
    <n v="489"/>
    <n v="814997"/>
    <m/>
    <m/>
    <s v="PLK-30FLIH(WT) 814997"/>
    <n v="658"/>
    <n v="0.74316109422492405"/>
    <s v="Toshiba SRP"/>
    <s v="DA141"/>
    <s v="DA141814997"/>
  </r>
  <r>
    <n v="1193"/>
    <s v="Fortress"/>
    <s v="Diamond Hill"/>
    <x v="20"/>
    <n v="3"/>
    <x v="2"/>
    <x v="32"/>
    <s v="電熱水瓶3L"/>
    <s v="細電"/>
    <s v="SDA"/>
    <s v="30fl"/>
    <n v="1"/>
    <n v="489"/>
    <n v="489"/>
    <n v="815315"/>
    <m/>
    <m/>
    <s v="PLK-30FLIH(WT) 815315"/>
    <n v="658"/>
    <n v="0.74316109422492405"/>
    <s v="Toshiba SRP"/>
    <s v="DA141"/>
    <s v="DA141815315"/>
  </r>
  <r>
    <n v="1194"/>
    <s v="Fortress"/>
    <s v="Diamond Hill"/>
    <x v="20"/>
    <n v="3"/>
    <x v="0"/>
    <x v="9"/>
    <s v="電熱水瓶4.5L"/>
    <s v="細電"/>
    <s v="SDA"/>
    <s v="45sf"/>
    <n v="1"/>
    <n v="589"/>
    <n v="589"/>
    <n v="814459"/>
    <m/>
    <m/>
    <s v="PLK-45SFIH(WT) 814459"/>
    <n v="788"/>
    <n v="0.7474619289340102"/>
    <s v="Toshiba SRP"/>
    <s v="DA141"/>
    <s v="DA141814459"/>
  </r>
  <r>
    <n v="1195"/>
    <s v="Fortress"/>
    <s v="Diamond Hill"/>
    <x v="20"/>
    <n v="3"/>
    <x v="7"/>
    <x v="9"/>
    <s v="電熱水瓶4.5L"/>
    <s v="細電"/>
    <s v="SDA"/>
    <s v="45sf"/>
    <n v="1"/>
    <n v="589"/>
    <n v="589"/>
    <n v="900895"/>
    <m/>
    <m/>
    <s v="PLK-45SFIH(WT) 900895"/>
    <n v="788"/>
    <n v="0.7474619289340102"/>
    <s v="Toshiba SRP"/>
    <s v="DA141"/>
    <s v="DA141900895"/>
  </r>
  <r>
    <n v="1196"/>
    <s v="Fortress"/>
    <s v="Diamond Hill"/>
    <x v="20"/>
    <n v="3"/>
    <x v="7"/>
    <x v="9"/>
    <s v="電熱水瓶4.5L"/>
    <s v="細電"/>
    <s v="SDA"/>
    <s v="45sf"/>
    <n v="1"/>
    <n v="589"/>
    <n v="589"/>
    <n v="814842"/>
    <m/>
    <m/>
    <s v="PLK-45SFIH(WT) 814842"/>
    <n v="788"/>
    <n v="0.7474619289340102"/>
    <s v="Toshiba SRP"/>
    <s v="DA141"/>
    <s v="DA141814842"/>
  </r>
  <r>
    <n v="1197"/>
    <s v="Fortress"/>
    <s v="Diamond Hill"/>
    <x v="20"/>
    <n v="3"/>
    <x v="1"/>
    <x v="44"/>
    <s v="1.7L無線雙層電熱水壺"/>
    <s v="細電"/>
    <s v="SDA"/>
    <s v="17shnh"/>
    <n v="1"/>
    <n v="198"/>
    <n v="198"/>
    <n v="901035"/>
    <m/>
    <m/>
    <s v="KT-17SHNH 901035"/>
    <n v="299"/>
    <n v="0.66220735785953178"/>
    <s v="Shops Highest Price"/>
    <s v="DA141"/>
    <s v="DA141901035"/>
  </r>
  <r>
    <n v="1198"/>
    <s v="Fortress"/>
    <s v="Diamond Hill"/>
    <x v="20"/>
    <n v="3"/>
    <x v="2"/>
    <x v="44"/>
    <s v="1.7L無線雙層電熱水壺"/>
    <s v="細電"/>
    <s v="SDA"/>
    <s v="17shnh"/>
    <n v="1"/>
    <n v="198"/>
    <n v="198"/>
    <n v="815286"/>
    <m/>
    <m/>
    <s v="KT-17SHNH 815286"/>
    <n v="299"/>
    <n v="0.66220735785953178"/>
    <s v="Shops Highest Price"/>
    <s v="DA141"/>
    <s v="DA141815286"/>
  </r>
  <r>
    <n v="1199"/>
    <s v="Fortress"/>
    <s v="Diamond Hill"/>
    <x v="21"/>
    <n v="3"/>
    <x v="9"/>
    <x v="44"/>
    <s v="1.7L無線雙層電熱水壺"/>
    <s v="細電"/>
    <s v="SDA"/>
    <s v="17shnh"/>
    <n v="1"/>
    <n v="198"/>
    <n v="198"/>
    <n v="815349"/>
    <m/>
    <m/>
    <s v="KT-17SHNH 815349"/>
    <n v="299"/>
    <n v="0.66220735785953178"/>
    <s v="Shops Highest Price"/>
    <s v="DA141"/>
    <s v="DA141815349"/>
  </r>
  <r>
    <n v="1200"/>
    <s v="Fortress"/>
    <s v="Diamond Hill"/>
    <x v="21"/>
    <n v="3"/>
    <x v="16"/>
    <x v="44"/>
    <s v="1.7L無線雙層電熱水壺"/>
    <s v="細電"/>
    <s v="SDA"/>
    <s v="17shnh"/>
    <n v="1"/>
    <n v="198"/>
    <n v="198"/>
    <n v="815512"/>
    <m/>
    <m/>
    <s v="KT-17SHNH 815512"/>
    <n v="299"/>
    <n v="0.66220735785953178"/>
    <s v="Shops Highest Price"/>
    <s v="DA141"/>
    <s v="DA141815512"/>
  </r>
  <r>
    <n v="1201"/>
    <s v="Fortress"/>
    <s v="Diamond Hill"/>
    <x v="21"/>
    <n v="3"/>
    <x v="16"/>
    <x v="44"/>
    <s v="1.7L無線雙層電熱水壺"/>
    <s v="細電"/>
    <s v="SDA"/>
    <s v="17shnh"/>
    <n v="1"/>
    <n v="198"/>
    <n v="198"/>
    <n v="815549"/>
    <m/>
    <m/>
    <s v="KT-17SHNH 815549"/>
    <n v="299"/>
    <n v="0.66220735785953178"/>
    <s v="Shops Highest Price"/>
    <s v="DA141"/>
    <s v="DA141815549"/>
  </r>
  <r>
    <n v="1202"/>
    <s v="Fortress"/>
    <s v="Diamond Hill"/>
    <x v="21"/>
    <n v="3"/>
    <x v="10"/>
    <x v="107"/>
    <s v="1.5L無線雙層電熱水壺"/>
    <s v="細電"/>
    <s v="SDA"/>
    <s v="15drr"/>
    <n v="1"/>
    <n v="268"/>
    <n v="268"/>
    <n v="815486"/>
    <m/>
    <m/>
    <s v="KT-15DRRH 815486"/>
    <n v="438"/>
    <n v="0.61187214611872143"/>
    <s v="Toshiba SRP"/>
    <s v="DA141"/>
    <s v="DA141815486"/>
  </r>
  <r>
    <n v="1203"/>
    <s v="Fortress"/>
    <s v="Diamond Hill"/>
    <x v="21"/>
    <n v="3"/>
    <x v="16"/>
    <x v="107"/>
    <s v="1.5L無線雙層電熱水壺"/>
    <s v="細電"/>
    <s v="SDA"/>
    <s v="15drr"/>
    <n v="1"/>
    <n v="268"/>
    <n v="268"/>
    <n v="815526"/>
    <m/>
    <m/>
    <s v="KT-15DRRH 815526"/>
    <n v="438"/>
    <n v="0.61187214611872143"/>
    <s v="Toshiba SRP"/>
    <s v="DA141"/>
    <s v="DA141815526"/>
  </r>
  <r>
    <n v="1204"/>
    <s v="Fortress"/>
    <s v="Diamond Hill"/>
    <x v="21"/>
    <n v="3"/>
    <x v="16"/>
    <x v="86"/>
    <s v="470MM超薄身前置式變頻洗衣乾衣機 (洗8.5公斤 乾6公斤)"/>
    <s v="大電"/>
    <s v="LAD"/>
    <s v="twdt21"/>
    <n v="1"/>
    <n v="4380"/>
    <n v="4380"/>
    <n v="815563"/>
    <m/>
    <m/>
    <s v="TWD-T21BU95UWH(WW) 815563"/>
    <n v="7280"/>
    <n v="0.60164835164835162"/>
    <s v="Toshiba SRP"/>
    <s v="DA141"/>
    <s v="DA141815563"/>
  </r>
  <r>
    <n v="1205"/>
    <s v="Fortress"/>
    <s v="Diamond Hill"/>
    <x v="20"/>
    <n v="3"/>
    <x v="0"/>
    <x v="113"/>
    <s v="迷你壓力磁應電飯煲(0.63公升)"/>
    <s v="細電"/>
    <s v="SDA"/>
    <s v="6px"/>
    <n v="1"/>
    <n v="938"/>
    <n v="938"/>
    <n v="814455"/>
    <m/>
    <m/>
    <s v="RC-6PXTHK(W) 814455"/>
    <n v="1398"/>
    <n v="0.67095851216022895"/>
    <s v="Toshiba SRP"/>
    <s v="DA141"/>
    <s v="DA141814455"/>
  </r>
  <r>
    <n v="1206"/>
    <s v="Fortress"/>
    <s v="Diamond Hill"/>
    <x v="21"/>
    <n v="3"/>
    <x v="13"/>
    <x v="113"/>
    <s v="迷你壓力磁應電飯煲(0.63公升)"/>
    <s v="細電"/>
    <s v="SDA"/>
    <s v="6px"/>
    <n v="1"/>
    <n v="938"/>
    <n v="938"/>
    <n v="814967"/>
    <m/>
    <m/>
    <s v="RC-6PXTHK(W) 814967"/>
    <n v="1398"/>
    <n v="0.67095851216022895"/>
    <s v="Toshiba SRP"/>
    <s v="DA141"/>
    <s v="DA141814967"/>
  </r>
  <r>
    <n v="1207"/>
    <s v="Fortress"/>
    <s v="Diamond Hill"/>
    <x v="20"/>
    <n v="3"/>
    <x v="2"/>
    <x v="113"/>
    <s v="迷你壓力磁應電飯煲(0.63公升)"/>
    <s v="細電"/>
    <s v="SDA"/>
    <s v="6px"/>
    <n v="1"/>
    <n v="938"/>
    <n v="938"/>
    <n v="815254"/>
    <m/>
    <m/>
    <s v="RC-6PXTHK(W) 815254"/>
    <n v="1398"/>
    <n v="0.67095851216022895"/>
    <s v="Toshiba SRP"/>
    <s v="DA141"/>
    <s v="DA141815254"/>
  </r>
  <r>
    <n v="1208"/>
    <s v="Fortress"/>
    <s v="Diamond Hill"/>
    <x v="21"/>
    <n v="3"/>
    <x v="10"/>
    <x v="39"/>
    <s v="酵活炊電飯煲(1.0公升)"/>
    <s v="細電"/>
    <s v="SDA"/>
    <s v="10amx"/>
    <n v="1"/>
    <n v="990"/>
    <n v="990"/>
    <n v="901280"/>
    <m/>
    <m/>
    <s v="RC-10AMXH(W) 901280"/>
    <n v="1288"/>
    <n v="0.76863354037267084"/>
    <s v="Toshiba SRP"/>
    <s v="DA141"/>
    <s v="DA141901280"/>
  </r>
  <r>
    <n v="1209"/>
    <s v="Fortress"/>
    <s v="Diamond Hill"/>
    <x v="20"/>
    <n v="3"/>
    <x v="8"/>
    <x v="17"/>
    <s v="4毫米厚釜電飯煲1L"/>
    <s v="細電"/>
    <s v="SDA"/>
    <s v="10nmf"/>
    <n v="1"/>
    <n v="719"/>
    <n v="719"/>
    <n v="814993"/>
    <m/>
    <m/>
    <s v="RC-10NMFIH(WT) 814993"/>
    <n v="898"/>
    <n v="0.80066815144766146"/>
    <s v="Toshiba SRP"/>
    <s v="DA141"/>
    <s v="DA141814993"/>
  </r>
  <r>
    <n v="1210"/>
    <s v="Fortress"/>
    <s v="Diamond Hill"/>
    <x v="20"/>
    <n v="3"/>
    <x v="2"/>
    <x v="17"/>
    <s v="4毫米厚釜電飯煲1L"/>
    <s v="細電"/>
    <s v="SDA"/>
    <s v="10nmf"/>
    <n v="1"/>
    <n v="719"/>
    <n v="719"/>
    <n v="815308"/>
    <m/>
    <m/>
    <s v="RC-10NMFIH(WT) 815308"/>
    <n v="898"/>
    <n v="0.80066815144766146"/>
    <s v="Toshiba SRP"/>
    <s v="DA141"/>
    <s v="DA141815308"/>
  </r>
  <r>
    <n v="1211"/>
    <s v="Fortress"/>
    <s v="Diamond Hill"/>
    <x v="21"/>
    <n v="3"/>
    <x v="10"/>
    <x v="17"/>
    <s v="4毫米厚釜電飯煲1L"/>
    <s v="細電"/>
    <s v="SDA"/>
    <s v="10nmf"/>
    <n v="1"/>
    <n v="719"/>
    <n v="719"/>
    <n v="815402"/>
    <m/>
    <m/>
    <s v="RC-10NMFIH(WT) 815402"/>
    <n v="898"/>
    <n v="0.80066815144766146"/>
    <s v="Toshiba SRP"/>
    <s v="DA141"/>
    <s v="DA141815402"/>
  </r>
  <r>
    <n v="1212"/>
    <s v="Fortress"/>
    <s v="Diamond Hill"/>
    <x v="21"/>
    <n v="3"/>
    <x v="10"/>
    <x v="17"/>
    <s v="4毫米厚釜電飯煲1L"/>
    <s v="細電"/>
    <s v="SDA"/>
    <s v="10nmf"/>
    <n v="1"/>
    <n v="719"/>
    <n v="719"/>
    <n v="815403"/>
    <m/>
    <m/>
    <s v="RC-10NMFIH(WT) 815403"/>
    <n v="898"/>
    <n v="0.80066815144766146"/>
    <s v="Toshiba SRP"/>
    <s v="DA141"/>
    <s v="DA141815403"/>
  </r>
  <r>
    <n v="1213"/>
    <s v="Fortress"/>
    <s v="Diamond Hill"/>
    <x v="20"/>
    <n v="3"/>
    <x v="18"/>
    <x v="104"/>
    <e v="#N/A"/>
    <e v="#N/A"/>
    <e v="#N/A"/>
    <m/>
    <m/>
    <m/>
    <n v="0"/>
    <m/>
    <s v="duplicated,q901,$2280,901636"/>
    <m/>
    <s v="Model-Input-Ref2 "/>
    <e v="#N/A"/>
    <e v="#N/A"/>
    <e v="#N/A"/>
    <s v="DA141"/>
    <s v="DA141"/>
  </r>
  <r>
    <n v="1214"/>
    <s v="Fortress"/>
    <s v="Diamond Hill"/>
    <x v="20"/>
    <n v="3"/>
    <x v="0"/>
    <x v="75"/>
    <s v="日式洗衣機 (8公斤 結合高低水位)"/>
    <s v="大電"/>
    <s v="LAD"/>
    <s v="q901"/>
    <n v="1"/>
    <n v="2280"/>
    <n v="2280"/>
    <n v="900771"/>
    <m/>
    <m/>
    <s v="AW-Q901BPH(WW) 900771"/>
    <n v="3780"/>
    <n v="0.60317460317460314"/>
    <s v="Toshiba SRP"/>
    <s v="DA141"/>
    <s v="DA141900771"/>
  </r>
  <r>
    <n v="1215"/>
    <s v="Fortress"/>
    <s v="Diamond Hill"/>
    <x v="20"/>
    <n v="3"/>
    <x v="0"/>
    <x v="100"/>
    <s v="3/4 匹 窗口式冷氣機(remote/fortress)"/>
    <s v="大電"/>
    <s v="AC"/>
    <s v="07g3cvf"/>
    <n v="1"/>
    <n v="3880"/>
    <n v="3880"/>
    <n v="814428"/>
    <m/>
    <m/>
    <s v="RAC-07G3CVRG-HK 814428"/>
    <n v="5580"/>
    <n v="0.69534050179211471"/>
    <s v="Toshiba SRP"/>
    <s v="DA141"/>
    <s v="DA141814428"/>
  </r>
  <r>
    <n v="1216"/>
    <s v="Fortress"/>
    <s v="Diamond Hill"/>
    <x v="20"/>
    <n v="3"/>
    <x v="0"/>
    <x v="100"/>
    <s v="3/4 匹 窗口式冷氣機(remote/fortress)"/>
    <s v="大電"/>
    <s v="AC"/>
    <s v="07g3cvf"/>
    <n v="1"/>
    <n v="3880"/>
    <n v="3880"/>
    <n v="814482"/>
    <m/>
    <m/>
    <s v="RAC-07G3CVRG-HK 814482"/>
    <n v="5580"/>
    <n v="0.69534050179211471"/>
    <s v="Toshiba SRP"/>
    <s v="DA141"/>
    <s v="DA141814482"/>
  </r>
  <r>
    <n v="1217"/>
    <s v="Fortress"/>
    <s v="Diamond Hill"/>
    <x v="20"/>
    <n v="3"/>
    <x v="0"/>
    <x v="86"/>
    <s v="470MM超薄身前置式變頻洗衣乾衣機 (洗8.5公斤 乾6公斤)"/>
    <s v="大電"/>
    <s v="LAD"/>
    <s v="twdt21"/>
    <n v="1"/>
    <n v="4380"/>
    <n v="4380"/>
    <n v="814478"/>
    <m/>
    <m/>
    <s v="TWD-T21BU95UWH(WW) 814478"/>
    <n v="7280"/>
    <n v="0.60164835164835162"/>
    <s v="Toshiba SRP"/>
    <s v="DA141"/>
    <s v="DA141814478"/>
  </r>
  <r>
    <n v="1218"/>
    <s v="Fortress"/>
    <s v="Diamond Hill"/>
    <x v="20"/>
    <n v="3"/>
    <x v="0"/>
    <x v="87"/>
    <s v="變頻式環保雙門雪櫃(233L)"/>
    <s v="大電"/>
    <s v="REF"/>
    <s v="rt300"/>
    <n v="1"/>
    <n v="2780"/>
    <n v="2780"/>
    <n v="814423"/>
    <m/>
    <m/>
    <s v="GR-RT300WE-PMA(57) 814423"/>
    <n v="4280"/>
    <n v="0.64953271028037385"/>
    <s v="Toshiba SRP"/>
    <s v="DA141"/>
    <s v="DA141814423"/>
  </r>
  <r>
    <n v="1219"/>
    <s v="Fortress"/>
    <s v="Diamond Hill"/>
    <x v="20"/>
    <n v="3"/>
    <x v="0"/>
    <x v="21"/>
    <s v="壓縮式抽濕機 (30公升)"/>
    <s v="細電"/>
    <s v="RAC"/>
    <s v="d300"/>
    <n v="2"/>
    <n v="2280"/>
    <n v="4560"/>
    <n v="814438"/>
    <s v="qty 1&gt;2"/>
    <m/>
    <s v="RAD-D300H 814438"/>
    <n v="3380"/>
    <n v="0.67455621301775148"/>
    <s v="Shops Highest Price"/>
    <s v="DA141"/>
    <s v="DA141814438"/>
  </r>
  <r>
    <n v="1220"/>
    <s v="Fortress"/>
    <s v="Diamond Hill"/>
    <x v="20"/>
    <n v="3"/>
    <x v="0"/>
    <x v="104"/>
    <e v="#N/A"/>
    <e v="#N/A"/>
    <e v="#N/A"/>
    <m/>
    <m/>
    <m/>
    <n v="0"/>
    <m/>
    <m/>
    <m/>
    <s v="Model-Input-Ref2 "/>
    <e v="#N/A"/>
    <e v="#N/A"/>
    <e v="#N/A"/>
    <s v="DA141"/>
    <s v="DA141"/>
  </r>
  <r>
    <n v="1221"/>
    <s v="Fortress"/>
    <s v="Diamond Hill"/>
    <x v="20"/>
    <n v="3"/>
    <x v="0"/>
    <x v="48"/>
    <s v="3合1 微波蒸焗爐 (20公升)"/>
    <s v="細電"/>
    <s v="MCA"/>
    <s v="tt20"/>
    <n v="1"/>
    <n v="2580"/>
    <n v="2580"/>
    <n v="814466"/>
    <m/>
    <m/>
    <s v="MX2-TT20SC(WH) 814466"/>
    <n v="3580"/>
    <n v="0.72067039106145248"/>
    <s v="Toshiba SRP"/>
    <s v="DA141"/>
    <s v="DA141814466"/>
  </r>
  <r>
    <n v="1222"/>
    <s v="Fortress"/>
    <s v="Diamond Hill"/>
    <x v="20"/>
    <n v="3"/>
    <x v="0"/>
    <x v="21"/>
    <s v="壓縮式抽濕機 (30公升)"/>
    <s v="細電"/>
    <s v="RAC"/>
    <s v="d300"/>
    <n v="1"/>
    <n v="2280"/>
    <n v="2280"/>
    <n v="900774"/>
    <m/>
    <m/>
    <s v="RAD-D300H 900774"/>
    <n v="3380"/>
    <n v="0.67455621301775148"/>
    <s v="Shops Highest Price"/>
    <s v="DA141"/>
    <s v="DA141900774"/>
  </r>
  <r>
    <n v="1223"/>
    <s v="Fortress"/>
    <s v="Diamond Hill"/>
    <x v="20"/>
    <n v="3"/>
    <x v="0"/>
    <x v="21"/>
    <s v="壓縮式抽濕機 (30公升)"/>
    <s v="細電"/>
    <s v="RAC"/>
    <s v="d300"/>
    <n v="1"/>
    <n v="2280"/>
    <n v="2280"/>
    <n v="900775"/>
    <m/>
    <m/>
    <s v="RAD-D300H 900775"/>
    <n v="3380"/>
    <n v="0.67455621301775148"/>
    <s v="Shops Highest Price"/>
    <s v="DA141"/>
    <s v="DA141900775"/>
  </r>
  <r>
    <n v="1224"/>
    <s v="Fortress"/>
    <s v="Diamond Hill"/>
    <x v="20"/>
    <n v="3"/>
    <x v="0"/>
    <x v="110"/>
    <s v="變頻六門雪櫃(451L)"/>
    <s v="大電"/>
    <s v="REF"/>
    <s v="rm598"/>
    <n v="1"/>
    <n v="10990"/>
    <n v="10990"/>
    <n v="900816"/>
    <m/>
    <m/>
    <s v="GR-RM598WE-PGA(B3) 900816"/>
    <n v="14980"/>
    <n v="0.73364485981308414"/>
    <s v="Toshiba SRP"/>
    <s v="DA141"/>
    <s v="DA141900816"/>
  </r>
  <r>
    <n v="1225"/>
    <s v="Fortress"/>
    <s v="Diamond Hill"/>
    <x v="20"/>
    <n v="3"/>
    <x v="5"/>
    <x v="78"/>
    <s v="變頻式環保雙門雪櫃（179L）"/>
    <s v="大電"/>
    <s v="REF"/>
    <s v="rt234"/>
    <n v="1"/>
    <n v="1782"/>
    <n v="1782"/>
    <n v="814602"/>
    <m/>
    <m/>
    <s v="GR-RT234WE-PMA(57) 814602"/>
    <n v="3680"/>
    <n v="0.48423913043478262"/>
    <s v="Toshiba SRP"/>
    <s v="DA141"/>
    <s v="DA141814602"/>
  </r>
  <r>
    <n v="1226"/>
    <s v="Fortress"/>
    <s v="Diamond Hill"/>
    <x v="20"/>
    <n v="3"/>
    <x v="5"/>
    <x v="40"/>
    <s v="400MM超薄身前置式變頻洗衣機(7公斤)"/>
    <s v="大電"/>
    <s v="LAD"/>
    <s v="bu80"/>
    <n v="1"/>
    <n v="2781"/>
    <n v="2781"/>
    <n v="814602"/>
    <m/>
    <m/>
    <s v="TW-T21BU80UWH(MG) 814602"/>
    <n v="5180"/>
    <n v="0.53687258687258688"/>
    <s v="Toshiba SRP"/>
    <s v="DA141"/>
    <s v="DA141814602"/>
  </r>
  <r>
    <n v="1227"/>
    <s v="Fortress"/>
    <s v="Diamond Hill"/>
    <x v="20"/>
    <n v="3"/>
    <x v="5"/>
    <x v="66"/>
    <s v="變頻下置式雙門雪櫃（163L）"/>
    <s v="大電"/>
    <s v="REF"/>
    <s v="rb221"/>
    <n v="1"/>
    <n v="2380"/>
    <n v="2380"/>
    <n v="814611"/>
    <m/>
    <m/>
    <s v="GR-RB221WE-PMA(57) 814611"/>
    <n v="3480"/>
    <n v="0.68390804597701149"/>
    <s v="Toshiba SRP"/>
    <s v="DA141"/>
    <s v="DA141814611"/>
  </r>
  <r>
    <n v="1228"/>
    <s v="Fortress"/>
    <s v="Diamond Hill"/>
    <x v="20"/>
    <n v="3"/>
    <x v="5"/>
    <x v="100"/>
    <s v="3/4 匹 窗口式冷氣機(remote/fortress)"/>
    <s v="大電"/>
    <s v="AC"/>
    <s v="07g3cvf"/>
    <n v="1"/>
    <n v="3880"/>
    <n v="3880"/>
    <n v="814571"/>
    <m/>
    <m/>
    <s v="RAC-07G3CVRG-HK 814571"/>
    <n v="5580"/>
    <n v="0.69534050179211471"/>
    <s v="Toshiba SRP"/>
    <s v="DA141"/>
    <s v="DA141814571"/>
  </r>
  <r>
    <n v="1229"/>
    <s v="Fortress"/>
    <s v="Diamond Hill"/>
    <x v="20"/>
    <n v="3"/>
    <x v="5"/>
    <x v="40"/>
    <s v="400MM超薄身前置式變頻洗衣機(7公斤)"/>
    <s v="大電"/>
    <s v="LAD"/>
    <s v="bu80"/>
    <n v="1"/>
    <n v="3090"/>
    <n v="3090"/>
    <n v="814634"/>
    <m/>
    <m/>
    <s v="TW-T21BU80UWH(MG) 814634"/>
    <n v="5180"/>
    <n v="0.59652509652509655"/>
    <s v="Toshiba SRP"/>
    <m/>
    <s v="814634"/>
  </r>
  <r>
    <n v="1230"/>
    <s v="Fortress"/>
    <s v="Diamond Hill"/>
    <x v="21"/>
    <n v="3"/>
    <x v="6"/>
    <x v="21"/>
    <s v="壓縮式抽濕機 (30公升)"/>
    <s v="細電"/>
    <s v="RAC"/>
    <s v="d300"/>
    <n v="1"/>
    <n v="2280"/>
    <n v="2280"/>
    <n v="814760"/>
    <m/>
    <m/>
    <s v="RAD-D300H 814760"/>
    <n v="3380"/>
    <n v="0.67455621301775148"/>
    <s v="Shops Highest Price"/>
    <m/>
    <s v="814760"/>
  </r>
  <r>
    <n v="1231"/>
    <s v="Fortress"/>
    <s v="Diamond Hill"/>
    <x v="21"/>
    <n v="3"/>
    <x v="6"/>
    <x v="21"/>
    <s v="壓縮式抽濕機 (30公升)"/>
    <s v="細電"/>
    <s v="RAC"/>
    <s v="d300"/>
    <n v="1"/>
    <n v="2280"/>
    <n v="2280"/>
    <n v="814765"/>
    <m/>
    <m/>
    <s v="RAD-D300H 814765"/>
    <n v="3380"/>
    <n v="0.67455621301775148"/>
    <s v="Shops Highest Price"/>
    <m/>
    <s v="814765"/>
  </r>
  <r>
    <n v="1232"/>
    <s v="Fortress"/>
    <s v="Diamond Hill"/>
    <x v="21"/>
    <n v="3"/>
    <x v="6"/>
    <x v="21"/>
    <s v="壓縮式抽濕機 (30公升)"/>
    <s v="細電"/>
    <s v="RAC"/>
    <s v="d300"/>
    <n v="1"/>
    <n v="2280"/>
    <n v="2280"/>
    <n v="814781"/>
    <m/>
    <m/>
    <s v="RAD-D300H 814781"/>
    <n v="3380"/>
    <n v="0.67455621301775148"/>
    <s v="Shops Highest Price"/>
    <m/>
    <s v="814781"/>
  </r>
  <r>
    <n v="1233"/>
    <s v="Fortress"/>
    <s v="Diamond Hill"/>
    <x v="20"/>
    <n v="3"/>
    <x v="5"/>
    <x v="114"/>
    <s v="變頻三門雪櫃 (233L)"/>
    <s v="大電"/>
    <s v="REF"/>
    <s v="rm352"/>
    <n v="1"/>
    <n v="3790"/>
    <n v="3790"/>
    <n v="814666"/>
    <m/>
    <m/>
    <s v="GR-RM352WI-PMA(53) 814666"/>
    <n v="5580"/>
    <n v="0.67921146953405021"/>
    <s v="Toshiba SRP"/>
    <m/>
    <s v="814666"/>
  </r>
  <r>
    <n v="1234"/>
    <s v="Fortress"/>
    <s v="Diamond Hill"/>
    <x v="20"/>
    <n v="3"/>
    <x v="7"/>
    <x v="114"/>
    <s v="變頻三門雪櫃 (233L)"/>
    <s v="大電"/>
    <s v="REF"/>
    <s v="rm352"/>
    <n v="1"/>
    <n v="3411"/>
    <n v="3411"/>
    <n v="900896"/>
    <m/>
    <m/>
    <s v="GR-RM352WI-PMA(53) 900896"/>
    <n v="5580"/>
    <n v="0.6112903225806452"/>
    <s v="Toshiba SRP"/>
    <m/>
    <s v="900896"/>
  </r>
  <r>
    <n v="1235"/>
    <s v="Fortress"/>
    <s v="Diamond Hill"/>
    <x v="20"/>
    <n v="3"/>
    <x v="7"/>
    <x v="48"/>
    <s v="3合1 微波蒸焗爐 (20公升)"/>
    <s v="細電"/>
    <s v="MCA"/>
    <s v="tt20"/>
    <n v="1"/>
    <n v="2580"/>
    <n v="2580"/>
    <n v="814840"/>
    <m/>
    <m/>
    <s v="MX2-TT20SC(WH) 814840"/>
    <n v="3580"/>
    <n v="0.72067039106145248"/>
    <s v="Toshiba SRP"/>
    <m/>
    <s v="814840"/>
  </r>
  <r>
    <n v="1236"/>
    <s v="Fortress"/>
    <s v="Diamond Hill"/>
    <x v="20"/>
    <n v="3"/>
    <x v="7"/>
    <x v="97"/>
    <s v="變頻二合一空氣淨化抽濕機 (28公升)"/>
    <s v="大電"/>
    <s v="RAC"/>
    <s v="dia17"/>
    <n v="1"/>
    <n v="3580"/>
    <n v="3580"/>
    <n v="814846"/>
    <m/>
    <m/>
    <s v="RAD-DIA17HK 814846"/>
    <n v="4980"/>
    <n v="0.71887550200803207"/>
    <s v="Toshiba SRP"/>
    <m/>
    <s v="814846"/>
  </r>
  <r>
    <n v="1237"/>
    <s v="Fortress"/>
    <s v="Diamond Hill"/>
    <x v="20"/>
    <n v="3"/>
    <x v="7"/>
    <x v="110"/>
    <s v="變頻六門雪櫃(451L)"/>
    <s v="大電"/>
    <s v="REF"/>
    <s v="rm598"/>
    <n v="1"/>
    <n v="10590"/>
    <n v="10590"/>
    <n v="814833"/>
    <m/>
    <m/>
    <s v="GR-RM598WE-PGA(B3) 814833"/>
    <n v="14980"/>
    <n v="0.70694259012016025"/>
    <s v="Toshiba SRP"/>
    <m/>
    <s v="814833"/>
  </r>
  <r>
    <n v="1238"/>
    <s v="Fortress"/>
    <s v="Diamond Hill"/>
    <x v="20"/>
    <n v="3"/>
    <x v="7"/>
    <x v="100"/>
    <s v="3/4 匹 窗口式冷氣機(remote/fortress)"/>
    <s v="大電"/>
    <s v="AC"/>
    <s v="07g3cvf"/>
    <n v="1"/>
    <n v="3880"/>
    <n v="3880"/>
    <n v="814873"/>
    <m/>
    <m/>
    <s v="RAC-07G3CVRG-HK 814873"/>
    <n v="5580"/>
    <n v="0.69534050179211471"/>
    <s v="Toshiba SRP"/>
    <m/>
    <s v="814873"/>
  </r>
  <r>
    <n v="1239"/>
    <s v="Fortress"/>
    <s v="Diamond Hill"/>
    <x v="20"/>
    <n v="3"/>
    <x v="7"/>
    <x v="92"/>
    <s v="1 匹 R32變頻窗口式冷氣機 (獨立抽濕遙控"/>
    <s v="大電"/>
    <s v="AC"/>
    <s v="09g3cvr"/>
    <n v="1"/>
    <n v="4980"/>
    <n v="4980"/>
    <n v="814873"/>
    <m/>
    <m/>
    <s v="RAC-09G3CVRGR-HK 814873"/>
    <n v="6980"/>
    <n v="0.71346704871060174"/>
    <s v="Toshiba SRP"/>
    <m/>
    <s v="814873"/>
  </r>
  <r>
    <n v="1240"/>
    <s v="Fortress"/>
    <s v="Diamond Hill"/>
    <x v="20"/>
    <n v="3"/>
    <x v="7"/>
    <x v="83"/>
    <s v="R32變頻窗口式冷氣機 (獨立抽濕遙控"/>
    <s v="大電"/>
    <s v="AC"/>
    <s v="12g3cvr"/>
    <n v="1"/>
    <n v="3980"/>
    <n v="3980"/>
    <n v="814874"/>
    <m/>
    <m/>
    <s v="RAC-12G3CVRGR-HK 814874"/>
    <n v="8680"/>
    <n v="0.45852534562211983"/>
    <s v="Toshiba SRP"/>
    <m/>
    <s v="814874"/>
  </r>
  <r>
    <n v="1241"/>
    <s v="Fortress"/>
    <s v="Diamond Hill"/>
    <x v="20"/>
    <n v="3"/>
    <x v="8"/>
    <x v="87"/>
    <s v="變頻式環保雙門雪櫃(233L)"/>
    <s v="大電"/>
    <s v="REF"/>
    <s v="rt300"/>
    <n v="1"/>
    <n v="2780"/>
    <n v="2780"/>
    <n v="817986"/>
    <m/>
    <m/>
    <s v="GR-RT300WE-PMA(57) 817986"/>
    <n v="4280"/>
    <n v="0.64953271028037385"/>
    <s v="Toshiba SRP"/>
    <m/>
    <s v="817986"/>
  </r>
  <r>
    <n v="1242"/>
    <s v="Fortress"/>
    <s v="Diamond Hill"/>
    <x v="20"/>
    <n v="3"/>
    <x v="8"/>
    <x v="104"/>
    <e v="#N/A"/>
    <e v="#N/A"/>
    <e v="#N/A"/>
    <m/>
    <m/>
    <m/>
    <n v="0"/>
    <m/>
    <s v="duplicated,dq950,$2580,814986"/>
    <m/>
    <s v="Model-Input-Ref2 "/>
    <e v="#N/A"/>
    <e v="#N/A"/>
    <e v="#N/A"/>
    <m/>
    <s v=""/>
  </r>
  <r>
    <n v="1243"/>
    <s v="Fortress"/>
    <s v="Diamond Hill"/>
    <x v="21"/>
    <n v="3"/>
    <x v="13"/>
    <x v="87"/>
    <s v="變頻式環保雙門雪櫃(233L)"/>
    <s v="大電"/>
    <s v="REF"/>
    <s v="rt300"/>
    <n v="1"/>
    <n v="2780"/>
    <n v="2780"/>
    <n v="814902"/>
    <m/>
    <m/>
    <s v="GR-RT300WE-PMA(57) 814902"/>
    <n v="4280"/>
    <n v="0.64953271028037385"/>
    <s v="Toshiba SRP"/>
    <m/>
    <s v="814902"/>
  </r>
  <r>
    <n v="1244"/>
    <s v="Fortress"/>
    <s v="Diamond Hill"/>
    <x v="20"/>
    <n v="3"/>
    <x v="29"/>
    <x v="21"/>
    <s v="壓縮式抽濕機 (30公升)"/>
    <s v="細電"/>
    <s v="RAC"/>
    <s v="d300"/>
    <n v="1"/>
    <n v="2280"/>
    <n v="2280"/>
    <n v="817279"/>
    <m/>
    <m/>
    <s v="RAD-D300H 817279"/>
    <n v="3380"/>
    <n v="0.67455621301775148"/>
    <s v="Shops Highest Price"/>
    <m/>
    <s v="817279"/>
  </r>
  <r>
    <n v="1245"/>
    <s v="Fortress"/>
    <s v="Diamond Hill"/>
    <x v="20"/>
    <n v="3"/>
    <x v="29"/>
    <x v="107"/>
    <s v="1.5L無線雙層電熱水壺"/>
    <s v="細電"/>
    <s v="SDA"/>
    <s v="15drr"/>
    <n v="1"/>
    <n v="298"/>
    <n v="298"/>
    <n v="902250"/>
    <m/>
    <m/>
    <s v="KT-15DRRH 902250"/>
    <n v="438"/>
    <n v="0.68036529680365299"/>
    <s v="Toshiba SRP"/>
    <m/>
    <s v="902250"/>
  </r>
  <r>
    <n v="1246"/>
    <s v="Fortress"/>
    <s v="Diamond Hill"/>
    <x v="20"/>
    <n v="3"/>
    <x v="29"/>
    <x v="22"/>
    <s v="變頻五門雪櫃(375L)"/>
    <s v="大電"/>
    <s v="REF"/>
    <s v="rm612"/>
    <n v="1"/>
    <n v="9980"/>
    <n v="9980"/>
    <n v="817311"/>
    <m/>
    <m/>
    <s v="GR-RM612WE-PGA(B5) 817311"/>
    <n v="11000"/>
    <n v="0.90727272727272723"/>
    <s v="Shops Highest Price"/>
    <m/>
    <s v="817311"/>
  </r>
  <r>
    <n v="1247"/>
    <s v="Fortress"/>
    <s v="Diamond Hill"/>
    <x v="20"/>
    <n v="3"/>
    <x v="29"/>
    <x v="115"/>
    <s v="微波蒸焗爐23L"/>
    <s v="細電"/>
    <s v="SDA"/>
    <s v="th23"/>
    <n v="1"/>
    <n v="2580"/>
    <n v="2580"/>
    <n v="902261"/>
    <s v="$258&gt;$2580"/>
    <m/>
    <s v="MX1-TH23SC(WH) 902261"/>
    <n v="3380"/>
    <n v="0.76331360946745563"/>
    <s v="Toshiba SRP"/>
    <m/>
    <s v="902261"/>
  </r>
  <r>
    <n v="1248"/>
    <s v="Fortress"/>
    <s v="Diamond Hill"/>
    <x v="20"/>
    <n v="3"/>
    <x v="17"/>
    <x v="86"/>
    <s v="470MM超薄身前置式變頻洗衣乾衣機 (洗8.5公斤 乾6公斤)"/>
    <s v="大電"/>
    <s v="LAD"/>
    <s v="twdt21"/>
    <n v="1"/>
    <n v="3999"/>
    <n v="3999"/>
    <n v="816157"/>
    <m/>
    <m/>
    <s v="TWD-T21BU95UWH(WW) 816157"/>
    <n v="7280"/>
    <n v="0.54931318681318686"/>
    <s v="Toshiba SRP"/>
    <m/>
    <s v="816157"/>
  </r>
  <r>
    <n v="1249"/>
    <s v="Fortress"/>
    <s v="Diamond Hill"/>
    <x v="20"/>
    <n v="3"/>
    <x v="24"/>
    <x v="42"/>
    <s v="變頻下置式雙門雪櫃系列270L"/>
    <s v="大電"/>
    <s v="REF"/>
    <s v="rb360"/>
    <n v="1"/>
    <n v="3580"/>
    <n v="3580"/>
    <n v="816848"/>
    <m/>
    <m/>
    <s v="GR-RB360WE-PMA(06) 816848"/>
    <n v="5080"/>
    <n v="0.70472440944881887"/>
    <s v="Toshiba SRP"/>
    <m/>
    <s v="816848"/>
  </r>
  <r>
    <n v="1250"/>
    <s v="Fortress"/>
    <s v="Diamond Hill"/>
    <x v="20"/>
    <n v="3"/>
    <x v="24"/>
    <x v="40"/>
    <s v="400MM超薄身前置式變頻洗衣機(7公斤)"/>
    <s v="大電"/>
    <s v="LAD"/>
    <s v="bu80"/>
    <n v="1"/>
    <n v="3190"/>
    <n v="3190"/>
    <n v="816814"/>
    <m/>
    <m/>
    <s v="TW-T21BU80UWH(MG) 816814"/>
    <n v="5180"/>
    <n v="0.61583011583011582"/>
    <s v="Toshiba SRP"/>
    <m/>
    <s v="816814"/>
  </r>
  <r>
    <n v="1251"/>
    <s v="Fortress"/>
    <s v="Diamond Hill"/>
    <x v="20"/>
    <n v="3"/>
    <x v="24"/>
    <x v="75"/>
    <s v="日式洗衣機 (8公斤 結合高低水位)"/>
    <s v="大電"/>
    <s v="LAD"/>
    <s v="q901"/>
    <n v="1"/>
    <n v="2280"/>
    <n v="2280"/>
    <n v="816839"/>
    <m/>
    <m/>
    <s v="AW-Q901BPH(WW) 816839"/>
    <n v="3780"/>
    <n v="0.60317460317460314"/>
    <s v="Toshiba SRP"/>
    <m/>
    <s v="816839"/>
  </r>
  <r>
    <n v="1252"/>
    <s v="Fortress"/>
    <s v="Diamond Hill"/>
    <x v="20"/>
    <n v="3"/>
    <x v="24"/>
    <x v="66"/>
    <s v="變頻下置式雙門雪櫃（163L）"/>
    <s v="大電"/>
    <s v="REF"/>
    <s v="rb221"/>
    <n v="1"/>
    <n v="1880"/>
    <n v="1880"/>
    <n v="816823"/>
    <m/>
    <m/>
    <s v="GR-RB221WE-PMA(57) 816823"/>
    <n v="3480"/>
    <n v="0.54022988505747127"/>
    <s v="Toshiba SRP"/>
    <m/>
    <s v="816823"/>
  </r>
  <r>
    <n v="1253"/>
    <s v="Fortress"/>
    <s v="Diamond Hill"/>
    <x v="20"/>
    <n v="3"/>
    <x v="25"/>
    <x v="96"/>
    <s v="日式洗衣機 (7公斤 結合高低水位)"/>
    <s v="大電"/>
    <s v="LAD"/>
    <s v="q800"/>
    <n v="1"/>
    <n v="1980"/>
    <n v="1980"/>
    <n v="816903"/>
    <m/>
    <m/>
    <s v="AW-Q800APH(WW) 816903"/>
    <n v="3580"/>
    <n v="0.55307262569832405"/>
    <s v="Toshiba SRP"/>
    <m/>
    <s v="816903"/>
  </r>
  <r>
    <n v="1254"/>
    <s v="Fortress"/>
    <s v="Diamond Hill"/>
    <x v="20"/>
    <n v="3"/>
    <x v="25"/>
    <x v="77"/>
    <s v="470MM超薄身前置式變頻洗衣乾衣機 (洗8.5公斤/乾6公斤, 可飛頂)"/>
    <s v="大電"/>
    <s v="LAD"/>
    <s v="twdt22"/>
    <n v="1"/>
    <n v="4780"/>
    <n v="4780"/>
    <n v="816877"/>
    <m/>
    <m/>
    <s v="TWD-T22BU95UWH(WK)-B 816877"/>
    <n v="7480"/>
    <n v="0.63903743315508021"/>
    <s v="Toshiba SRP"/>
    <m/>
    <s v="816877"/>
  </r>
  <r>
    <n v="1255"/>
    <s v="Fortress"/>
    <s v="Diamond Hill"/>
    <x v="20"/>
    <n v="3"/>
    <x v="25"/>
    <x v="93"/>
    <s v="座檯式洗碗碟機"/>
    <s v="細電"/>
    <s v="DW"/>
    <s v="05t2"/>
    <n v="1"/>
    <n v="3780"/>
    <n v="3780"/>
    <n v="816927"/>
    <m/>
    <m/>
    <s v="DW-05T2-HK 816927"/>
    <n v="4580"/>
    <n v="0.8253275109170306"/>
    <s v="Toshiba SRP"/>
    <m/>
    <s v="816927"/>
  </r>
  <r>
    <n v="1256"/>
    <s v="Fortress"/>
    <s v="Diamond Hill"/>
    <x v="20"/>
    <n v="3"/>
    <x v="26"/>
    <x v="75"/>
    <s v="日式洗衣機 (8公斤 結合高低水位)"/>
    <s v="大電"/>
    <s v="LAD"/>
    <s v="q901"/>
    <n v="1"/>
    <n v="2280"/>
    <n v="2280"/>
    <n v="816969"/>
    <m/>
    <m/>
    <s v="AW-Q901BPH(WW) 816969"/>
    <n v="3780"/>
    <n v="0.60317460317460314"/>
    <s v="Toshiba SRP"/>
    <m/>
    <s v="816969"/>
  </r>
  <r>
    <n v="1257"/>
    <s v="Fortress"/>
    <s v="Diamond Hill"/>
    <x v="20"/>
    <n v="3"/>
    <x v="26"/>
    <x v="100"/>
    <s v="3/4 匹 窗口式冷氣機(remote/fortress)"/>
    <s v="大電"/>
    <s v="AC"/>
    <s v="07g3cvf"/>
    <n v="1"/>
    <n v="3400"/>
    <n v="3400"/>
    <n v="816970"/>
    <m/>
    <m/>
    <s v="RAC-07G3CVRG-HK 816970"/>
    <n v="5580"/>
    <n v="0.60931899641577059"/>
    <s v="Toshiba SRP"/>
    <m/>
    <s v="816970"/>
  </r>
  <r>
    <n v="1258"/>
    <s v="Fortress"/>
    <s v="Diamond Hill"/>
    <x v="20"/>
    <n v="3"/>
    <x v="26"/>
    <x v="21"/>
    <s v="壓縮式抽濕機 (30公升)"/>
    <s v="細電"/>
    <s v="RAC"/>
    <s v="d300"/>
    <n v="1"/>
    <n v="2280"/>
    <n v="2280"/>
    <n v="902062"/>
    <m/>
    <m/>
    <s v="RAD-D300H 902062"/>
    <n v="3380"/>
    <n v="0.67455621301775148"/>
    <s v="Shops Highest Price"/>
    <m/>
    <s v="902062"/>
  </r>
  <r>
    <n v="1259"/>
    <s v="Fortress"/>
    <s v="Diamond Hill"/>
    <x v="20"/>
    <n v="3"/>
    <x v="26"/>
    <x v="22"/>
    <s v="變頻五門雪櫃(375L)"/>
    <s v="大電"/>
    <s v="REF"/>
    <s v="rm612"/>
    <n v="1"/>
    <n v="8847"/>
    <n v="8847"/>
    <n v="902086"/>
    <m/>
    <m/>
    <s v="GR-RM612WE-PGA(B5) 902086"/>
    <n v="11000"/>
    <n v="0.80427272727272725"/>
    <s v="Shops Highest Price"/>
    <m/>
    <s v="902086"/>
  </r>
  <r>
    <n v="1260"/>
    <s v="Fortress"/>
    <s v="Diamond Hill"/>
    <x v="20"/>
    <n v="3"/>
    <x v="26"/>
    <x v="96"/>
    <s v="日式洗衣機 (7公斤 結合高低水位)"/>
    <s v="大電"/>
    <s v="LAD"/>
    <s v="q800"/>
    <n v="1"/>
    <n v="1980"/>
    <n v="1980"/>
    <n v="817017"/>
    <m/>
    <m/>
    <s v="AW-Q800APH(WW) 817017"/>
    <n v="3580"/>
    <n v="0.55307262569832405"/>
    <s v="Toshiba SRP"/>
    <m/>
    <s v="817017"/>
  </r>
  <r>
    <n v="1261"/>
    <s v="Fortress"/>
    <s v="Diamond Hill"/>
    <x v="20"/>
    <n v="3"/>
    <x v="26"/>
    <x v="116"/>
    <s v="IH磁應電飯煲"/>
    <s v="細電"/>
    <s v="SDA"/>
    <s v="ds18kw"/>
    <n v="1"/>
    <n v="3490"/>
    <n v="3490"/>
    <n v="902070"/>
    <m/>
    <m/>
    <s v="RC-DS18K(N) 902070"/>
    <n v="4988"/>
    <n v="0.69967923015236566"/>
    <s v="Toshiba SRP"/>
    <m/>
    <s v="902070"/>
  </r>
  <r>
    <n v="1262"/>
    <s v="Fortress"/>
    <s v="Diamond Hill"/>
    <x v="20"/>
    <n v="3"/>
    <x v="27"/>
    <x v="66"/>
    <s v="變頻下置式雙門雪櫃（163L）"/>
    <s v="大電"/>
    <s v="REF"/>
    <s v="rb221"/>
    <n v="1"/>
    <n v="1880"/>
    <n v="1880"/>
    <n v="902134"/>
    <m/>
    <m/>
    <s v="GR-RB221WE-PMA(57) 902134"/>
    <n v="3480"/>
    <n v="0.54022988505747127"/>
    <s v="Toshiba SRP"/>
    <m/>
    <s v="902134"/>
  </r>
  <r>
    <n v="1263"/>
    <s v="Fortress"/>
    <s v="Diamond Hill"/>
    <x v="20"/>
    <n v="3"/>
    <x v="27"/>
    <x v="100"/>
    <s v="3/4 匹 窗口式冷氣機(remote/fortress)"/>
    <s v="大電"/>
    <s v="AC"/>
    <s v="07g3cvf"/>
    <n v="1"/>
    <n v="3880"/>
    <n v="3880"/>
    <n v="902148"/>
    <m/>
    <m/>
    <s v="RAC-07G3CVRG-HK 902148"/>
    <n v="5580"/>
    <n v="0.69534050179211471"/>
    <s v="Toshiba SRP"/>
    <m/>
    <s v="902148"/>
  </r>
  <r>
    <n v="1264"/>
    <s v="Fortress"/>
    <s v="Diamond Hill"/>
    <x v="20"/>
    <n v="3"/>
    <x v="27"/>
    <x v="97"/>
    <s v="變頻二合一空氣淨化抽濕機 (28公升)"/>
    <s v="大電"/>
    <s v="RAC"/>
    <s v="dia17"/>
    <n v="1"/>
    <n v="3398"/>
    <n v="3398"/>
    <n v="817069"/>
    <m/>
    <m/>
    <s v="RAD-DIA17HK 817069"/>
    <n v="4980"/>
    <n v="0.68232931726907631"/>
    <s v="Toshiba SRP"/>
    <m/>
    <s v="817069"/>
  </r>
  <r>
    <n v="1265"/>
    <s v="Fortress"/>
    <s v="Diamond Hill"/>
    <x v="20"/>
    <n v="3"/>
    <x v="27"/>
    <x v="110"/>
    <s v="變頻六門雪櫃(451L)"/>
    <s v="大電"/>
    <s v="REF"/>
    <s v="rm598"/>
    <n v="1"/>
    <n v="10990"/>
    <n v="10990"/>
    <n v="817097"/>
    <m/>
    <m/>
    <s v="GR-RM598WE-PGA(B3) 817097"/>
    <n v="14980"/>
    <n v="0.73364485981308414"/>
    <s v="Toshiba SRP"/>
    <m/>
    <s v="817097"/>
  </r>
  <r>
    <n v="1266"/>
    <s v="Fortress"/>
    <s v="Diamond Hill"/>
    <x v="20"/>
    <n v="3"/>
    <x v="27"/>
    <x v="102"/>
    <s v="變頻頂揭式洗衣機 (8公斤)"/>
    <s v="大電"/>
    <s v="LAD"/>
    <s v="cfk01w80"/>
    <n v="1"/>
    <n v="3690"/>
    <n v="3690"/>
    <n v="902177"/>
    <m/>
    <m/>
    <s v="CFK01W80 902177"/>
    <n v="3690"/>
    <n v="1"/>
    <s v="Shops Highest Price"/>
    <m/>
    <s v="902177"/>
  </r>
  <r>
    <n v="1267"/>
    <s v="Fortress"/>
    <s v="Diamond Hill"/>
    <x v="20"/>
    <n v="3"/>
    <x v="28"/>
    <x v="86"/>
    <s v="470MM超薄身前置式變頻洗衣乾衣機 (洗8.5公斤 乾6公斤)"/>
    <s v="大電"/>
    <s v="LAD"/>
    <s v="twdt21"/>
    <n v="1"/>
    <n v="3999"/>
    <n v="3999"/>
    <n v="817176"/>
    <m/>
    <m/>
    <s v="TWD-T21BU95UWH(WW) 817176"/>
    <n v="7280"/>
    <n v="0.54931318681318686"/>
    <s v="Toshiba SRP"/>
    <m/>
    <s v="817176"/>
  </r>
  <r>
    <n v="1268"/>
    <s v="Fortress"/>
    <s v="Diamond Hill"/>
    <x v="20"/>
    <n v="3"/>
    <x v="28"/>
    <x v="43"/>
    <s v="470MM超薄身前置式變頻洗衣機(8.5公斤, 可飛頂)"/>
    <s v="大電"/>
    <s v="LAD"/>
    <s v="t2295"/>
    <n v="1"/>
    <n v="3680"/>
    <n v="3680"/>
    <n v="817221"/>
    <m/>
    <m/>
    <s v="TW-T22BU95UWH(WK)-B 817221"/>
    <n v="5880"/>
    <n v="0.62585034013605445"/>
    <s v="Toshiba SRP"/>
    <m/>
    <s v="817221"/>
  </r>
  <r>
    <n v="1269"/>
    <s v="Fortress"/>
    <s v="Diamond Hill"/>
    <x v="20"/>
    <n v="3"/>
    <x v="3"/>
    <x v="30"/>
    <s v="旋鈕式燒烤微波爐20L"/>
    <s v="細電"/>
    <s v="SDA"/>
    <s v="mm20"/>
    <n v="1"/>
    <n v="488"/>
    <n v="488"/>
    <n v="815777"/>
    <m/>
    <m/>
    <s v="MWP-MM20P(WH) 815777"/>
    <n v="648"/>
    <n v="0.75308641975308643"/>
    <s v="Toshiba SRP"/>
    <m/>
    <s v="815777"/>
  </r>
  <r>
    <n v="1270"/>
    <s v="Fortress"/>
    <s v="Diamond Hill"/>
    <x v="20"/>
    <n v="3"/>
    <x v="15"/>
    <x v="30"/>
    <s v="旋鈕式燒烤微波爐20L"/>
    <s v="細電"/>
    <s v="SDA"/>
    <s v="mm20"/>
    <n v="1"/>
    <n v="488"/>
    <n v="488"/>
    <n v="901804"/>
    <m/>
    <m/>
    <s v="MWP-MM20P(WH) 901804"/>
    <n v="648"/>
    <n v="0.75308641975308643"/>
    <s v="Toshiba SRP"/>
    <m/>
    <s v="901804"/>
  </r>
  <r>
    <n v="1271"/>
    <s v="Fortress"/>
    <s v="Diamond Hill"/>
    <x v="20"/>
    <n v="3"/>
    <x v="18"/>
    <x v="30"/>
    <s v="旋鈕式燒烤微波爐20L"/>
    <s v="細電"/>
    <s v="SDA"/>
    <s v="mm20"/>
    <n v="1"/>
    <n v="488"/>
    <n v="488"/>
    <n v="901850"/>
    <m/>
    <m/>
    <s v="MWP-MM20P(WH) 901850"/>
    <n v="648"/>
    <n v="0.75308641975308643"/>
    <s v="Toshiba SRP"/>
    <m/>
    <s v="901850"/>
  </r>
  <r>
    <n v="1272"/>
    <s v="Fortress"/>
    <s v="Diamond Hill"/>
    <x v="20"/>
    <n v="3"/>
    <x v="21"/>
    <x v="30"/>
    <s v="旋鈕式燒烤微波爐20L"/>
    <s v="細電"/>
    <s v="SDA"/>
    <s v="mm20"/>
    <n v="1"/>
    <n v="488"/>
    <n v="488"/>
    <n v="901887"/>
    <m/>
    <m/>
    <s v="MWP-MM20P(WH) 901887"/>
    <n v="648"/>
    <n v="0.75308641975308643"/>
    <s v="Toshiba SRP"/>
    <m/>
    <s v="901887"/>
  </r>
  <r>
    <n v="1273"/>
    <s v="Fortress"/>
    <s v="Diamond Hill"/>
    <x v="20"/>
    <n v="3"/>
    <x v="30"/>
    <x v="30"/>
    <s v="旋鈕式燒烤微波爐20L"/>
    <s v="細電"/>
    <s v="SDA"/>
    <s v="mm20"/>
    <n v="1"/>
    <n v="488"/>
    <n v="488"/>
    <n v="901978"/>
    <m/>
    <m/>
    <s v="MWP-MM20P(WH) 901978"/>
    <n v="648"/>
    <n v="0.75308641975308643"/>
    <s v="Toshiba SRP"/>
    <m/>
    <s v="901978"/>
  </r>
  <r>
    <n v="1274"/>
    <s v="Fortress"/>
    <s v="Diamond Hill"/>
    <x v="20"/>
    <n v="3"/>
    <x v="30"/>
    <x v="30"/>
    <s v="旋鈕式燒烤微波爐20L"/>
    <s v="細電"/>
    <s v="SDA"/>
    <s v="mm20"/>
    <n v="1"/>
    <n v="488"/>
    <n v="488"/>
    <n v="901563"/>
    <m/>
    <m/>
    <s v="MWP-MM20P(WH) 901563"/>
    <n v="648"/>
    <n v="0.75308641975308643"/>
    <s v="Toshiba SRP"/>
    <m/>
    <s v="901563"/>
  </r>
  <r>
    <n v="1275"/>
    <s v="Fortress"/>
    <s v="Diamond Hill"/>
    <x v="20"/>
    <n v="3"/>
    <x v="22"/>
    <x v="30"/>
    <s v="旋鈕式燒烤微波爐20L"/>
    <s v="細電"/>
    <s v="SDA"/>
    <s v="mm20"/>
    <n v="1"/>
    <n v="488"/>
    <n v="488"/>
    <n v="901648"/>
    <m/>
    <m/>
    <s v="MWP-MM20P(WH) 901648"/>
    <n v="648"/>
    <n v="0.75308641975308643"/>
    <s v="Toshiba SRP"/>
    <m/>
    <s v="901648"/>
  </r>
  <r>
    <n v="1276"/>
    <s v="Fortress"/>
    <s v="Diamond Hill"/>
    <x v="20"/>
    <n v="3"/>
    <x v="24"/>
    <x v="30"/>
    <s v="旋鈕式燒烤微波爐20L"/>
    <s v="細電"/>
    <s v="SDA"/>
    <s v="mm20"/>
    <n v="1"/>
    <n v="488"/>
    <n v="488"/>
    <n v="901831"/>
    <m/>
    <m/>
    <s v="MWP-MM20P(WH) 901831"/>
    <n v="648"/>
    <n v="0.75308641975308643"/>
    <s v="Toshiba SRP"/>
    <m/>
    <s v="901831"/>
  </r>
  <r>
    <n v="1277"/>
    <s v="Fortress"/>
    <s v="Diamond Hill"/>
    <x v="20"/>
    <n v="3"/>
    <x v="25"/>
    <x v="30"/>
    <s v="旋鈕式燒烤微波爐20L"/>
    <s v="細電"/>
    <s v="SDA"/>
    <s v="mm20"/>
    <n v="1"/>
    <n v="488"/>
    <n v="488"/>
    <n v="902004"/>
    <m/>
    <m/>
    <s v="MWP-MM20P(WH) 902004"/>
    <n v="648"/>
    <n v="0.75308641975308643"/>
    <s v="Toshiba SRP"/>
    <m/>
    <s v="902004"/>
  </r>
  <r>
    <n v="1278"/>
    <s v="Fortress"/>
    <s v="Diamond Hill"/>
    <x v="20"/>
    <n v="3"/>
    <x v="27"/>
    <x v="30"/>
    <s v="旋鈕式燒烤微波爐20L"/>
    <s v="細電"/>
    <s v="SDA"/>
    <s v="mm20"/>
    <n v="1"/>
    <n v="488"/>
    <n v="488"/>
    <n v="902158"/>
    <m/>
    <m/>
    <s v="MWP-MM20P(WH) 902158"/>
    <n v="648"/>
    <n v="0.75308641975308643"/>
    <s v="Toshiba SRP"/>
    <m/>
    <s v="902158"/>
  </r>
  <r>
    <n v="1279"/>
    <s v="Sogo"/>
    <s v="Kai Tak_3"/>
    <x v="22"/>
    <n v="3"/>
    <x v="13"/>
    <x v="70"/>
    <s v="12吋2合1座地座檯電風扇連遙控"/>
    <s v="細電"/>
    <s v="EAD"/>
    <s v="ya20"/>
    <n v="1"/>
    <n v="398"/>
    <n v="398"/>
    <s v="S056-24756"/>
    <m/>
    <m/>
    <s v="F-LYA20(W)HKG S056-24756"/>
    <n v="988"/>
    <n v="0.40283400809716602"/>
    <s v="Toshiba SRP"/>
    <m/>
    <s v="S056-24756"/>
  </r>
  <r>
    <n v="1280"/>
    <s v="Sogo"/>
    <s v="Kai Tak_3"/>
    <x v="22"/>
    <n v="3"/>
    <x v="13"/>
    <x v="21"/>
    <s v="壓縮式抽濕機 (30公升)"/>
    <s v="細電"/>
    <s v="RAC"/>
    <s v="d300"/>
    <n v="1"/>
    <n v="2280"/>
    <n v="2280"/>
    <s v="S056-24782"/>
    <m/>
    <m/>
    <s v="RAD-D300H S056-24782"/>
    <n v="3380"/>
    <n v="0.67455621301775148"/>
    <s v="Shops Highest Price"/>
    <m/>
    <s v="S056-24782"/>
  </r>
  <r>
    <n v="1281"/>
    <s v="Sogo"/>
    <s v="Kai Tak_3"/>
    <x v="22"/>
    <n v="3"/>
    <x v="13"/>
    <x v="70"/>
    <s v="12吋2合1座地座檯電風扇連遙控"/>
    <s v="細電"/>
    <s v="EAD"/>
    <s v="ya20"/>
    <n v="1"/>
    <n v="398"/>
    <n v="398"/>
    <s v="S056-24782"/>
    <m/>
    <m/>
    <s v="F-LYA20(W)HKG S056-24782"/>
    <n v="988"/>
    <n v="0.40283400809716602"/>
    <s v="Toshiba SRP"/>
    <m/>
    <s v="S056-24782"/>
  </r>
  <r>
    <n v="1282"/>
    <s v="Sogo"/>
    <s v="Kai Tak_3"/>
    <x v="22"/>
    <n v="3"/>
    <x v="13"/>
    <x v="45"/>
    <s v="備長炭本厚釜電飯煲0.7L"/>
    <s v="細電"/>
    <s v="SDA"/>
    <s v="7hmh"/>
    <n v="1"/>
    <n v="838"/>
    <n v="838"/>
    <s v="S056-24787"/>
    <m/>
    <m/>
    <s v="RC-7HMH S056-24787"/>
    <n v="1288"/>
    <n v="0.65062111801242239"/>
    <s v="Toshiba SRP"/>
    <m/>
    <s v="S056-24787"/>
  </r>
  <r>
    <n v="1283"/>
    <s v="Sogo"/>
    <s v="Kai Tak_3"/>
    <x v="22"/>
    <n v="3"/>
    <x v="9"/>
    <x v="61"/>
    <s v="酵活炊電飯煲(1.8公升)"/>
    <s v="細電"/>
    <s v="SDA"/>
    <s v="18amx"/>
    <n v="1"/>
    <n v="1000"/>
    <n v="1000"/>
    <s v="S056-25481"/>
    <m/>
    <m/>
    <s v="RC-18AMXH(W) S056-25481"/>
    <n v="1588"/>
    <n v="0.62972292191435764"/>
    <s v="Toshiba SRP"/>
    <m/>
    <s v="S056-25481"/>
  </r>
  <r>
    <n v="1284"/>
    <s v="Sogo"/>
    <s v="Kai Tak_3"/>
    <x v="22"/>
    <n v="3"/>
    <x v="9"/>
    <x v="15"/>
    <s v="Induction Cooker"/>
    <s v="細電"/>
    <s v="SDA"/>
    <s v="21ts"/>
    <n v="1"/>
    <n v="698"/>
    <n v="698"/>
    <s v="S056-10279"/>
    <m/>
    <m/>
    <s v="IC-21TSHK S056-10279"/>
    <n v="998"/>
    <n v="0.69939879759519041"/>
    <s v="Web SRP"/>
    <m/>
    <s v="S056-10279"/>
  </r>
  <r>
    <n v="1285"/>
    <s v="Sogo"/>
    <s v="Kai Tak_3"/>
    <x v="22"/>
    <n v="3"/>
    <x v="10"/>
    <x v="76"/>
    <s v="日式洗衣機 (7公斤 結合高低水位)"/>
    <s v="大電"/>
    <s v="LAD"/>
    <s v="q801"/>
    <n v="1"/>
    <n v="2000"/>
    <n v="2000"/>
    <s v="S056-25124"/>
    <m/>
    <m/>
    <s v="AW-Q801APH(WW) S056-25124"/>
    <n v="3380"/>
    <n v="0.59171597633136097"/>
    <s v="Toshiba SRP"/>
    <m/>
    <s v="S056-25124"/>
  </r>
  <r>
    <n v="1286"/>
    <s v="Sogo"/>
    <s v="Kai Tak_3"/>
    <x v="22"/>
    <n v="3"/>
    <x v="16"/>
    <x v="28"/>
    <s v="無線雙層電熱水壺-附可鎖壺蓋(0.8公升)"/>
    <s v="細電"/>
    <s v="SDA"/>
    <s v="08dh"/>
    <n v="1"/>
    <n v="268"/>
    <n v="268"/>
    <s v="S056-25160"/>
    <m/>
    <m/>
    <s v="KT-08DH1VHK(W) S056-25160"/>
    <n v="428"/>
    <n v="0.62616822429906538"/>
    <s v="Toshiba SRP"/>
    <m/>
    <s v="S056-25160"/>
  </r>
  <r>
    <n v="1287"/>
    <s v="Sogo"/>
    <s v="Kai Tak_3"/>
    <x v="22"/>
    <n v="3"/>
    <x v="16"/>
    <x v="36"/>
    <s v="輕觸式微波爐 (20公升)"/>
    <s v="細電"/>
    <s v="MCA"/>
    <s v="em20"/>
    <n v="1"/>
    <n v="598"/>
    <n v="598"/>
    <s v="S055-10341"/>
    <m/>
    <m/>
    <s v="MM2-EM20PC(WH) S055-10341"/>
    <n v="788"/>
    <n v="0.75888324873096447"/>
    <s v="Toshiba SRP"/>
    <m/>
    <s v="S055-10341"/>
  </r>
  <r>
    <n v="1288"/>
    <s v="Sogo"/>
    <s v="Kai Tak_3"/>
    <x v="22"/>
    <n v="3"/>
    <x v="11"/>
    <x v="22"/>
    <s v="變頻五門雪櫃(375L)"/>
    <s v="大電"/>
    <s v="REF"/>
    <s v="rm612"/>
    <n v="1"/>
    <n v="10000"/>
    <n v="10000"/>
    <s v="S056-25184"/>
    <m/>
    <m/>
    <s v="GR-RM612WE-PGA(B5) S056-25184"/>
    <n v="11000"/>
    <n v="0.90909090909090906"/>
    <s v="Shops Highest Price"/>
    <m/>
    <s v="S056-25184"/>
  </r>
  <r>
    <n v="1289"/>
    <s v="Sogo"/>
    <s v="Kai Tak_3"/>
    <x v="22"/>
    <n v="3"/>
    <x v="11"/>
    <x v="36"/>
    <s v="輕觸式微波爐 (20公升)"/>
    <s v="細電"/>
    <s v="MCA"/>
    <s v="em20"/>
    <n v="1"/>
    <n v="598"/>
    <n v="598"/>
    <s v="S056-25199"/>
    <m/>
    <m/>
    <s v="MM2-EM20PC(WH) S056-25199"/>
    <n v="788"/>
    <n v="0.75888324873096447"/>
    <s v="Toshiba SRP"/>
    <m/>
    <s v="S056-25199"/>
  </r>
  <r>
    <n v="1290"/>
    <s v="Sogo"/>
    <s v="Kai Tak_3"/>
    <x v="22"/>
    <n v="3"/>
    <x v="11"/>
    <x v="36"/>
    <s v="輕觸式微波爐 (20公升)"/>
    <s v="細電"/>
    <s v="MCA"/>
    <s v="em20"/>
    <n v="1"/>
    <n v="598"/>
    <n v="598"/>
    <s v="S056-25203"/>
    <m/>
    <m/>
    <s v="MM2-EM20PC(WH) S056-25203"/>
    <n v="788"/>
    <n v="0.75888324873096447"/>
    <s v="Toshiba SRP"/>
    <m/>
    <s v="S056-25203"/>
  </r>
  <r>
    <n v="1291"/>
    <s v="Sogo"/>
    <s v="Kai Tak_3"/>
    <x v="22"/>
    <n v="3"/>
    <x v="11"/>
    <x v="93"/>
    <s v="座檯式洗碗碟機"/>
    <s v="細電"/>
    <s v="DW"/>
    <s v="05t2"/>
    <n v="1"/>
    <n v="4000"/>
    <n v="4000"/>
    <s v="S053-2384"/>
    <m/>
    <m/>
    <s v="DW-05T2-HK S053-2384"/>
    <n v="4580"/>
    <n v="0.8733624454148472"/>
    <s v="Toshiba SRP"/>
    <m/>
    <s v="S053-2384"/>
  </r>
  <r>
    <n v="1292"/>
    <s v="Sogo"/>
    <s v="Kai Tak_3"/>
    <x v="22"/>
    <n v="3"/>
    <x v="11"/>
    <x v="74"/>
    <s v="4合1氣炸微波蒸焗爐(25公升)"/>
    <s v="細電"/>
    <s v="MCA"/>
    <s v="str25"/>
    <n v="1"/>
    <n v="3580"/>
    <n v="3580"/>
    <s v="S053-2390"/>
    <m/>
    <m/>
    <s v="MX2-STR25SC(WH) S053-2390"/>
    <n v="4998"/>
    <n v="0.71628651460584236"/>
    <s v="Toshiba SRP"/>
    <m/>
    <s v="S053-2390"/>
  </r>
  <r>
    <n v="1293"/>
    <s v="Sogo"/>
    <s v="Kai Tak_3"/>
    <x v="22"/>
    <n v="3"/>
    <x v="12"/>
    <x v="51"/>
    <s v="IH磁應電飯煲"/>
    <s v="細電"/>
    <s v="SDA"/>
    <s v="dr10tw"/>
    <n v="1"/>
    <n v="2380"/>
    <n v="2380"/>
    <s v="S056-25214"/>
    <m/>
    <m/>
    <s v="RC-DR10T(W) S056-25214"/>
    <n v="3188"/>
    <n v="0.74654956085319946"/>
    <s v="Toshiba SRP"/>
    <m/>
    <s v="S056-25214"/>
  </r>
  <r>
    <n v="1294"/>
    <s v="Sogo"/>
    <s v="Kai Tak_3"/>
    <x v="22"/>
    <n v="3"/>
    <x v="12"/>
    <x v="74"/>
    <s v="4合1氣炸微波蒸焗爐(25公升)"/>
    <s v="細電"/>
    <s v="MCA"/>
    <s v="str25"/>
    <n v="1"/>
    <n v="3580"/>
    <n v="3580"/>
    <s v="S055-10377"/>
    <m/>
    <m/>
    <s v="MX2-STR25SC(WH) S055-10377"/>
    <n v="4998"/>
    <n v="0.71628651460584236"/>
    <s v="Toshiba SRP"/>
    <m/>
    <s v="S055-10377"/>
  </r>
  <r>
    <n v="1295"/>
    <s v="Sogo"/>
    <s v="Kai Tak_3"/>
    <x v="22"/>
    <n v="3"/>
    <x v="12"/>
    <x v="93"/>
    <s v="座檯式洗碗碟機"/>
    <s v="細電"/>
    <s v="DW"/>
    <s v="05t2"/>
    <n v="1"/>
    <n v="4000"/>
    <n v="4000"/>
    <s v="S053-2395"/>
    <m/>
    <m/>
    <s v="DW-05T2-HK S053-2395"/>
    <n v="4580"/>
    <n v="0.8733624454148472"/>
    <s v="Toshiba SRP"/>
    <m/>
    <s v="S053-2395"/>
  </r>
  <r>
    <n v="1296"/>
    <s v="Sogo"/>
    <s v="Kai Tak_3"/>
    <x v="22"/>
    <n v="3"/>
    <x v="12"/>
    <x v="36"/>
    <s v="輕觸式微波爐 (20公升)"/>
    <s v="細電"/>
    <s v="MCA"/>
    <s v="em20"/>
    <n v="1"/>
    <n v="598"/>
    <n v="598"/>
    <s v="S055-10383"/>
    <m/>
    <m/>
    <s v="MM2-EM20PC(WH) S055-10383"/>
    <n v="788"/>
    <n v="0.75888324873096447"/>
    <s v="Toshiba SRP"/>
    <m/>
    <s v="S055-10383"/>
  </r>
  <r>
    <n v="1297"/>
    <s v="Sogo"/>
    <s v="Kai Tak_3"/>
    <x v="22"/>
    <n v="3"/>
    <x v="12"/>
    <x v="51"/>
    <s v="IH磁應電飯煲"/>
    <s v="細電"/>
    <s v="SDA"/>
    <s v="dr10tw"/>
    <n v="1"/>
    <n v="2380"/>
    <n v="2380"/>
    <s v="S056-25233"/>
    <m/>
    <m/>
    <s v="RC-DR10T(W) S056-25233"/>
    <n v="3188"/>
    <n v="0.74654956085319946"/>
    <s v="Toshiba SRP"/>
    <m/>
    <s v="S056-25233"/>
  </r>
  <r>
    <n v="1298"/>
    <s v="Sogo"/>
    <s v="Kai Tak_3"/>
    <x v="22"/>
    <n v="3"/>
    <x v="12"/>
    <x v="74"/>
    <s v="4合1氣炸微波蒸焗爐(25公升)"/>
    <s v="細電"/>
    <s v="MCA"/>
    <s v="str25"/>
    <n v="1"/>
    <n v="3580"/>
    <n v="3580"/>
    <s v="S056-25233"/>
    <m/>
    <m/>
    <s v="MX2-STR25SC(WH) S056-25233"/>
    <n v="4998"/>
    <n v="0.71628651460584236"/>
    <s v="Toshiba SRP"/>
    <m/>
    <s v="S056-25233"/>
  </r>
  <r>
    <n v="1299"/>
    <s v="Sogo"/>
    <s v="Kai Tak_3"/>
    <x v="22"/>
    <n v="3"/>
    <x v="12"/>
    <x v="31"/>
    <s v="無線雙層電熱水壺(1.7公升)"/>
    <s v="細電"/>
    <s v="SDA"/>
    <s v="17drt"/>
    <n v="1"/>
    <n v="388"/>
    <n v="388"/>
    <s v="S056-25233"/>
    <m/>
    <m/>
    <s v="KT-17DRTHK(H) S056-25233"/>
    <n v="498"/>
    <n v="0.77911646586345384"/>
    <s v="Toshiba SRP"/>
    <m/>
    <s v="S056-25233"/>
  </r>
  <r>
    <n v="1300"/>
    <s v="Sogo"/>
    <s v="Kai Tak_3"/>
    <x v="22"/>
    <n v="3"/>
    <x v="12"/>
    <x v="17"/>
    <s v="4毫米厚釜電飯煲1L"/>
    <s v="細電"/>
    <s v="SDA"/>
    <s v="10nmf"/>
    <n v="1"/>
    <n v="718"/>
    <n v="718"/>
    <s v="S056-25243"/>
    <m/>
    <m/>
    <s v="RC-10NMFIH(WT) S056-25243"/>
    <n v="898"/>
    <n v="0.79955456570155903"/>
    <s v="Toshiba SRP"/>
    <m/>
    <s v="S056-25243"/>
  </r>
  <r>
    <n v="1301"/>
    <s v="Sogo"/>
    <s v="Kai Tak_3"/>
    <x v="22"/>
    <n v="3"/>
    <x v="14"/>
    <x v="36"/>
    <s v="輕觸式微波爐 (20公升)"/>
    <s v="細電"/>
    <s v="MCA"/>
    <s v="em20"/>
    <n v="1"/>
    <n v="598"/>
    <n v="598"/>
    <s v="S050-2544"/>
    <m/>
    <m/>
    <s v="MM2-EM20PC(WH) S050-2544"/>
    <n v="788"/>
    <n v="0.75888324873096447"/>
    <s v="Toshiba SRP"/>
    <m/>
    <s v="S050-2544"/>
  </r>
  <r>
    <n v="1302"/>
    <s v="Sogo"/>
    <s v="Kai Tak_3"/>
    <x v="22"/>
    <n v="3"/>
    <x v="14"/>
    <x v="40"/>
    <s v="400MM超薄身前置式變頻洗衣機(7公斤)"/>
    <s v="大電"/>
    <s v="LAD"/>
    <s v="bu80"/>
    <n v="1"/>
    <n v="3180"/>
    <n v="3180"/>
    <s v="S056-25421"/>
    <m/>
    <m/>
    <s v="TW-T21BU80UWH(MG) S056-25421"/>
    <n v="5180"/>
    <n v="0.61389961389961389"/>
    <s v="Toshiba SRP"/>
    <m/>
    <s v="S056-25421"/>
  </r>
  <r>
    <n v="1303"/>
    <s v="Sogo"/>
    <s v="Kai Tak_3"/>
    <x v="22"/>
    <n v="3"/>
    <x v="14"/>
    <x v="84"/>
    <s v="9吋座檯座地循環扇連遙控"/>
    <s v="細電"/>
    <s v="SDA"/>
    <s v="cfs09"/>
    <n v="1"/>
    <n v="299"/>
    <n v="299"/>
    <s v="S056-25421"/>
    <m/>
    <m/>
    <s v="CFS-09PGR0A0 S056-25421"/>
    <n v="350"/>
    <n v="0.85428571428571431"/>
    <n v="0"/>
    <s v="DA138"/>
    <s v="DA138S056-25421"/>
  </r>
  <r>
    <n v="1304"/>
    <s v="Sogo"/>
    <s v="Kai Tak_3"/>
    <x v="22"/>
    <n v="3"/>
    <x v="14"/>
    <x v="61"/>
    <s v="酵活炊電飯煲(1.8公升)"/>
    <s v="細電"/>
    <s v="SDA"/>
    <s v="18amx"/>
    <n v="2"/>
    <n v="990"/>
    <n v="1980"/>
    <s v="S056-25432"/>
    <m/>
    <m/>
    <s v="RC-18AMXH(W) S056-25432"/>
    <n v="1588"/>
    <n v="0.62342569269521408"/>
    <s v="Toshiba SRP"/>
    <s v="DA138"/>
    <s v="DA138S056-25432"/>
  </r>
  <r>
    <n v="1305"/>
    <s v="Sogo"/>
    <s v="Kai Tak_3"/>
    <x v="22"/>
    <n v="3"/>
    <x v="14"/>
    <x v="104"/>
    <e v="#N/A"/>
    <e v="#N/A"/>
    <e v="#N/A"/>
    <m/>
    <m/>
    <m/>
    <n v="0"/>
    <m/>
    <m/>
    <m/>
    <s v="Model-Input-Ref2 "/>
    <e v="#N/A"/>
    <e v="#N/A"/>
    <e v="#N/A"/>
    <s v="DA138"/>
    <s v="DA138"/>
  </r>
  <r>
    <n v="1306"/>
    <s v="Sogo"/>
    <s v="Kai Tak_3"/>
    <x v="22"/>
    <n v="3"/>
    <x v="14"/>
    <x v="39"/>
    <s v="酵活炊電飯煲(1.0公升)"/>
    <s v="細電"/>
    <s v="SDA"/>
    <s v="10amx"/>
    <n v="1"/>
    <n v="1000"/>
    <n v="1000"/>
    <s v="S056-25444"/>
    <m/>
    <m/>
    <s v="RC-10AMXH(W) S056-25444"/>
    <n v="1288"/>
    <n v="0.77639751552795033"/>
    <s v="Toshiba SRP"/>
    <s v="DA138"/>
    <s v="DA138S056-25444"/>
  </r>
  <r>
    <n v="1307"/>
    <s v="Sogo"/>
    <s v="Kai Tak_3"/>
    <x v="22"/>
    <n v="3"/>
    <x v="14"/>
    <x v="36"/>
    <s v="輕觸式微波爐 (20公升)"/>
    <s v="細電"/>
    <s v="MCA"/>
    <s v="em20"/>
    <n v="1"/>
    <n v="598"/>
    <n v="598"/>
    <s v="S056-25448"/>
    <m/>
    <m/>
    <s v="MM2-EM20PC(WH) S056-25448"/>
    <n v="788"/>
    <n v="0.75888324873096447"/>
    <s v="Toshiba SRP"/>
    <s v="DA138"/>
    <s v="DA138S056-25448"/>
  </r>
  <r>
    <n v="1308"/>
    <s v="Sogo"/>
    <s v="Kai Tak_3"/>
    <x v="22"/>
    <n v="3"/>
    <x v="14"/>
    <x v="43"/>
    <s v="470MM超薄身前置式變頻洗衣機(8.5公斤, 可飛頂)"/>
    <s v="大電"/>
    <s v="LAD"/>
    <s v="t2295"/>
    <n v="1"/>
    <n v="3680"/>
    <n v="3680"/>
    <s v="S056-25451"/>
    <m/>
    <m/>
    <s v="TW-T22BU95UWH(WK)-B S056-25451"/>
    <n v="5880"/>
    <n v="0.62585034013605445"/>
    <s v="Toshiba SRP"/>
    <s v="DA138"/>
    <s v="DA138S056-25451"/>
  </r>
  <r>
    <n v="1309"/>
    <s v="Sogo"/>
    <s v="Kai Tak_3"/>
    <x v="22"/>
    <n v="3"/>
    <x v="14"/>
    <x v="84"/>
    <s v="9吋座檯座地循環扇連遙控"/>
    <s v="細電"/>
    <s v="SDA"/>
    <s v="cfs09"/>
    <n v="1"/>
    <n v="299"/>
    <n v="299"/>
    <s v="S056-25466"/>
    <m/>
    <m/>
    <s v="CFS-09PGR0A0 S056-25466"/>
    <n v="350"/>
    <n v="0.85428571428571431"/>
    <n v="0"/>
    <s v="DA138"/>
    <s v="DA138S056-25466"/>
  </r>
  <r>
    <n v="1310"/>
    <s v="Sogo"/>
    <s v="Kai Tak_3"/>
    <x v="22"/>
    <n v="3"/>
    <x v="14"/>
    <x v="117"/>
    <s v="JAPANDi 嵌入式微波氣炸蒸焗爐 (45厘米)"/>
    <s v="大電"/>
    <s v="MCA"/>
    <s v="t500a"/>
    <n v="1"/>
    <n v="13800"/>
    <n v="13800"/>
    <s v="S056-25466"/>
    <m/>
    <m/>
    <s v="EB-T500APW S056-25466"/>
    <n v="28800"/>
    <n v="0.47916666666666669"/>
    <s v="Toshiba SRP"/>
    <s v="DA138"/>
    <s v="DA138S056-25466"/>
  </r>
  <r>
    <n v="1311"/>
    <s v="Sogo"/>
    <s v="Kai Tak_3"/>
    <x v="22"/>
    <n v="3"/>
    <x v="15"/>
    <x v="11"/>
    <s v="座檯式純蒸氣烤焗水波爐30L"/>
    <s v="細電"/>
    <s v="SDA"/>
    <s v="td5000"/>
    <n v="1"/>
    <n v="5000"/>
    <n v="5000"/>
    <s v="S056-25481"/>
    <m/>
    <m/>
    <s v="ER-TD5000HK(XK) S056-25481"/>
    <n v="7998"/>
    <n v="0.62515628907226806"/>
    <s v="Toshiba SRP"/>
    <s v="DA138"/>
    <s v="DA138S056-25481"/>
  </r>
  <r>
    <n v="1312"/>
    <s v="Sogo"/>
    <s v="Kai Tak_3"/>
    <x v="22"/>
    <n v="3"/>
    <x v="15"/>
    <x v="60"/>
    <s v="酵活炊磁應電飯煲(1.5公升)"/>
    <s v="細電"/>
    <s v="SDA"/>
    <s v="15bh"/>
    <n v="1"/>
    <n v="1888"/>
    <n v="1888"/>
    <s v="S056-25488"/>
    <m/>
    <m/>
    <s v="RC-15BHH(W) S056-25488"/>
    <n v="2388"/>
    <n v="0.79061976549413737"/>
    <s v="Toshiba SRP"/>
    <s v="DA138"/>
    <s v="DA138S056-25488"/>
  </r>
  <r>
    <n v="1313"/>
    <s v="Sogo"/>
    <s v="Kai Tak_3"/>
    <x v="22"/>
    <n v="3"/>
    <x v="15"/>
    <x v="70"/>
    <s v="12吋2合1座地座檯電風扇連遙控"/>
    <s v="細電"/>
    <s v="EAD"/>
    <s v="ya20"/>
    <n v="1"/>
    <n v="398"/>
    <n v="398"/>
    <s v="S056-25488"/>
    <m/>
    <m/>
    <s v="F-LYA20(W)HKG S056-25488"/>
    <n v="988"/>
    <n v="0.40283400809716602"/>
    <s v="Toshiba SRP"/>
    <s v="DA138"/>
    <s v="DA138S056-25488"/>
  </r>
  <r>
    <n v="1314"/>
    <s v="Sogo"/>
    <s v="Kai Tak_3"/>
    <x v="22"/>
    <n v="3"/>
    <x v="15"/>
    <x v="17"/>
    <s v="4毫米厚釜電飯煲1L"/>
    <s v="細電"/>
    <s v="SDA"/>
    <s v="10nmf"/>
    <n v="1"/>
    <n v="718"/>
    <n v="718"/>
    <s v="S056-25496"/>
    <m/>
    <m/>
    <s v="RC-10NMFIH(WT) S056-25496"/>
    <n v="898"/>
    <n v="0.79955456570155903"/>
    <s v="Toshiba SRP"/>
    <s v="DA138"/>
    <s v="DA138S056-25496"/>
  </r>
  <r>
    <n v="1315"/>
    <s v="Sogo"/>
    <s v="Kai Tak_3"/>
    <x v="22"/>
    <n v="3"/>
    <x v="15"/>
    <x v="116"/>
    <s v="IH磁應電飯煲"/>
    <s v="細電"/>
    <s v="SDA"/>
    <s v="ds18kw"/>
    <n v="1"/>
    <n v="3490"/>
    <n v="3490"/>
    <s v="S056-25503"/>
    <m/>
    <m/>
    <s v="RC-DS18K(N) S056-25503"/>
    <n v="4988"/>
    <n v="0.69967923015236566"/>
    <s v="Toshiba SRP"/>
    <s v="DA138"/>
    <s v="DA138S056-25503"/>
  </r>
  <r>
    <n v="1316"/>
    <s v="Sogo"/>
    <s v="Kai Tak_3"/>
    <x v="22"/>
    <n v="3"/>
    <x v="15"/>
    <x v="48"/>
    <s v="3合1 微波蒸焗爐 (20公升)"/>
    <s v="細電"/>
    <s v="MCA"/>
    <s v="tt20"/>
    <n v="1"/>
    <n v="2600"/>
    <n v="2600"/>
    <s v="S056-25503"/>
    <m/>
    <m/>
    <s v="MX2-TT20SC(WH) S056-25503"/>
    <n v="3580"/>
    <n v="0.72625698324022347"/>
    <s v="Toshiba SRP"/>
    <s v="DA138"/>
    <s v="DA138S056-25503"/>
  </r>
  <r>
    <n v="1317"/>
    <s v="Sogo"/>
    <s v="Kai Tak_3"/>
    <x v="22"/>
    <n v="3"/>
    <x v="15"/>
    <x v="39"/>
    <s v="酵活炊電飯煲(1.0公升)"/>
    <s v="細電"/>
    <s v="SDA"/>
    <s v="10amx"/>
    <n v="1"/>
    <n v="1000"/>
    <n v="1000"/>
    <s v="S056-25503"/>
    <m/>
    <m/>
    <s v="RC-10AMXH(W) S056-25503"/>
    <n v="1288"/>
    <n v="0.77639751552795033"/>
    <s v="Toshiba SRP"/>
    <s v="DA138"/>
    <s v="DA138S056-25503"/>
  </r>
  <r>
    <n v="1318"/>
    <s v="Sogo"/>
    <s v="Kai Tak_3"/>
    <x v="22"/>
    <n v="3"/>
    <x v="15"/>
    <x v="70"/>
    <s v="12吋2合1座地座檯電風扇連遙控"/>
    <s v="細電"/>
    <s v="EAD"/>
    <s v="ya20"/>
    <n v="1"/>
    <n v="400"/>
    <n v="400"/>
    <s v="S056-25505"/>
    <m/>
    <m/>
    <s v="F-LYA20(W)HKG S056-25505"/>
    <n v="988"/>
    <n v="0.40485829959514169"/>
    <s v="Toshiba SRP"/>
    <s v="DA138"/>
    <s v="DA138S056-25505"/>
  </r>
  <r>
    <n v="1319"/>
    <s v="Sogo"/>
    <s v="Kai Tak_3"/>
    <x v="22"/>
    <n v="3"/>
    <x v="17"/>
    <x v="53"/>
    <s v="IH磁應電飯煲"/>
    <s v="細電"/>
    <s v="SDA"/>
    <s v="dr10t"/>
    <n v="1"/>
    <n v="2380"/>
    <n v="2380"/>
    <s v="S053-2454"/>
    <m/>
    <m/>
    <s v="RC-DR10T(R) S053-2454"/>
    <n v="3188"/>
    <n v="0.74654956085319946"/>
    <s v="Toshiba SRP"/>
    <s v="DA138"/>
    <s v="DA138S053-2454"/>
  </r>
  <r>
    <n v="1320"/>
    <s v="Sogo"/>
    <s v="Kai Tak_3"/>
    <x v="22"/>
    <n v="3"/>
    <x v="17"/>
    <x v="21"/>
    <s v="壓縮式抽濕機 (30公升)"/>
    <s v="細電"/>
    <s v="RAC"/>
    <s v="d300"/>
    <n v="1"/>
    <n v="2280"/>
    <n v="2280"/>
    <s v="S056-25533"/>
    <m/>
    <m/>
    <s v="RAD-D300H S056-25533"/>
    <n v="3380"/>
    <n v="0.67455621301775148"/>
    <s v="Shops Highest Price"/>
    <s v="DA138"/>
    <s v="DA138S056-25533"/>
  </r>
  <r>
    <n v="1321"/>
    <s v="Sogo"/>
    <s v="Kai Tak_3"/>
    <x v="22"/>
    <n v="3"/>
    <x v="17"/>
    <x v="40"/>
    <s v="400MM超薄身前置式變頻洗衣機(7公斤)"/>
    <s v="大電"/>
    <s v="LAD"/>
    <s v="bu80"/>
    <n v="1"/>
    <n v="3180"/>
    <n v="3180"/>
    <s v="S053-2459"/>
    <m/>
    <m/>
    <s v="TW-T21BU80UWH(MG) S053-2459"/>
    <n v="5180"/>
    <n v="0.61389961389961389"/>
    <s v="Toshiba SRP"/>
    <s v="DA138"/>
    <s v="DA138S053-2459"/>
  </r>
  <r>
    <n v="1322"/>
    <s v="Sogo"/>
    <s v="Kai Tak_3"/>
    <x v="22"/>
    <n v="3"/>
    <x v="17"/>
    <x v="27"/>
    <s v="4毫米厚釜電飯煲1.8L"/>
    <s v="細電"/>
    <s v="SDA"/>
    <s v="18nmf"/>
    <n v="1"/>
    <n v="798"/>
    <n v="798"/>
    <s v="S055-10638"/>
    <m/>
    <m/>
    <s v="RC-18NMFIH(WT) S055-10638"/>
    <n v="998"/>
    <n v="0.79959919839679361"/>
    <s v="Toshiba SRP"/>
    <s v="DA138"/>
    <s v="DA138S055-10638"/>
  </r>
  <r>
    <n v="1323"/>
    <s v="Sogo"/>
    <s v="Kai Tak_3"/>
    <x v="22"/>
    <n v="3"/>
    <x v="17"/>
    <x v="11"/>
    <s v="座檯式純蒸氣烤焗水波爐30L"/>
    <s v="細電"/>
    <s v="SDA"/>
    <s v="td5000"/>
    <n v="1"/>
    <n v="5000"/>
    <n v="5000"/>
    <s v="S056-25550"/>
    <m/>
    <m/>
    <s v="ER-TD5000HK(XK) S056-25550"/>
    <n v="7998"/>
    <n v="0.62515628907226806"/>
    <s v="Toshiba SRP"/>
    <s v="DA138"/>
    <s v="DA138S056-25550"/>
  </r>
  <r>
    <n v="1324"/>
    <s v="Sogo"/>
    <s v="Kai Tak_3"/>
    <x v="22"/>
    <n v="3"/>
    <x v="18"/>
    <x v="103"/>
    <s v="變頻下置式雙門雪櫃"/>
    <s v="大電"/>
    <s v="REF"/>
    <s v="rb449"/>
    <n v="1"/>
    <n v="4880"/>
    <n v="4880"/>
    <s v="S053-2475"/>
    <m/>
    <m/>
    <s v="GR-RB449WE-PMA(57) S053-2475"/>
    <n v="6280"/>
    <n v="0.77707006369426757"/>
    <s v="Toshiba SRP"/>
    <s v="DA138"/>
    <s v="DA138S053-2475"/>
  </r>
  <r>
    <n v="1325"/>
    <s v="Sogo"/>
    <s v="Kai Tak_3"/>
    <x v="22"/>
    <n v="3"/>
    <x v="18"/>
    <x v="42"/>
    <s v="變頻下置式雙門雪櫃系列270L"/>
    <s v="大電"/>
    <s v="REF"/>
    <s v="rb360"/>
    <n v="1"/>
    <n v="4000"/>
    <n v="4000"/>
    <s v="S056-25587"/>
    <m/>
    <m/>
    <s v="GR-RB360WE-PMA(06) S056-25587"/>
    <n v="5080"/>
    <n v="0.78740157480314965"/>
    <s v="Toshiba SRP"/>
    <s v="DA138"/>
    <s v="DA138S056-25587"/>
  </r>
  <r>
    <n v="1326"/>
    <s v="Sogo"/>
    <s v="Kai Tak_3"/>
    <x v="22"/>
    <n v="3"/>
    <x v="18"/>
    <x v="93"/>
    <s v="座檯式洗碗碟機"/>
    <s v="細電"/>
    <s v="DW"/>
    <s v="05t2"/>
    <n v="1"/>
    <n v="4000"/>
    <n v="4000"/>
    <s v="S055-10670"/>
    <m/>
    <m/>
    <s v="DW-05T2-HK S055-10670"/>
    <n v="4580"/>
    <n v="0.8733624454148472"/>
    <s v="Toshiba SRP"/>
    <s v="DA138"/>
    <s v="DA138S055-10670"/>
  </r>
  <r>
    <n v="1327"/>
    <s v="Sogo"/>
    <s v="Kai Tak_3"/>
    <x v="22"/>
    <n v="3"/>
    <x v="18"/>
    <x v="40"/>
    <s v="400MM超薄身前置式變頻洗衣機(7公斤)"/>
    <s v="大電"/>
    <s v="LAD"/>
    <s v="bu80"/>
    <n v="1"/>
    <n v="3180"/>
    <n v="3180"/>
    <s v="S056-25598"/>
    <m/>
    <m/>
    <s v="TW-T21BU80UWH(MG) S056-25598"/>
    <n v="5180"/>
    <n v="0.61389961389961389"/>
    <s v="Toshiba SRP"/>
    <s v="DA138"/>
    <s v="DA138S056-25598"/>
  </r>
  <r>
    <n v="1328"/>
    <s v="Sogo"/>
    <s v="Kai Tak_3"/>
    <x v="23"/>
    <n v="3"/>
    <x v="19"/>
    <x v="31"/>
    <s v="無線雙層電熱水壺(1.7公升)"/>
    <s v="細電"/>
    <s v="SDA"/>
    <s v="17drt"/>
    <n v="1"/>
    <n v="388"/>
    <n v="388"/>
    <s v="S056-25617"/>
    <m/>
    <m/>
    <s v="KT-17DRTHK(H) S056-25617"/>
    <n v="498"/>
    <n v="0.77911646586345384"/>
    <s v="Toshiba SRP"/>
    <s v="DA138"/>
    <s v="DA138S056-25617"/>
  </r>
  <r>
    <n v="1329"/>
    <s v="Sogo"/>
    <s v="Kai Tak_3"/>
    <x v="23"/>
    <n v="3"/>
    <x v="19"/>
    <x v="61"/>
    <s v="酵活炊電飯煲(1.8公升)"/>
    <s v="細電"/>
    <s v="SDA"/>
    <s v="18amx"/>
    <n v="1"/>
    <n v="1100"/>
    <n v="1100"/>
    <s v="S056-25617"/>
    <m/>
    <m/>
    <s v="RC-18AMXH(W) S056-25617"/>
    <n v="1588"/>
    <n v="0.69269521410579349"/>
    <s v="Toshiba SRP"/>
    <s v="DA138"/>
    <s v="DA138S056-25617"/>
  </r>
  <r>
    <n v="1330"/>
    <s v="Sogo"/>
    <s v="Kai Tak_3"/>
    <x v="23"/>
    <n v="3"/>
    <x v="19"/>
    <x v="79"/>
    <s v="IH磁應電飯煲"/>
    <s v="細電"/>
    <s v="SDA"/>
    <s v="ds10k"/>
    <n v="1"/>
    <n v="2800"/>
    <n v="2800"/>
    <s v="S056-25849"/>
    <m/>
    <m/>
    <s v="RC-DS10K(R) S056-25849"/>
    <n v="4588"/>
    <n v="0.61028770706190061"/>
    <s v="Toshiba SRP"/>
    <s v="DA138"/>
    <s v="DA138S056-25849"/>
  </r>
  <r>
    <n v="1331"/>
    <s v="Sogo"/>
    <s v="Kai Tak_3"/>
    <x v="23"/>
    <n v="3"/>
    <x v="19"/>
    <x v="17"/>
    <s v="4毫米厚釜電飯煲1L"/>
    <s v="細電"/>
    <s v="SDA"/>
    <s v="10nmf"/>
    <n v="1"/>
    <n v="718"/>
    <n v="718"/>
    <s v="S056-5853"/>
    <m/>
    <m/>
    <s v="RC-10NMFIH(WT) S056-5853"/>
    <n v="898"/>
    <n v="0.79955456570155903"/>
    <s v="Toshiba SRP"/>
    <s v="DA138"/>
    <s v="DA138S056-5853"/>
  </r>
  <r>
    <n v="1332"/>
    <s v="Sogo"/>
    <s v="Kai Tak_3"/>
    <x v="22"/>
    <n v="3"/>
    <x v="23"/>
    <x v="45"/>
    <s v="備長炭本厚釜電飯煲0.7L"/>
    <s v="細電"/>
    <s v="SDA"/>
    <s v="7hmh"/>
    <n v="1"/>
    <n v="838"/>
    <n v="838"/>
    <s v="S056-25926"/>
    <m/>
    <m/>
    <s v="RC-7HMH S056-25926"/>
    <n v="1288"/>
    <n v="0.65062111801242239"/>
    <s v="Toshiba SRP"/>
    <s v="DA138"/>
    <s v="DA138S056-25926"/>
  </r>
  <r>
    <n v="1333"/>
    <s v="Sogo"/>
    <s v="Kai Tak_3"/>
    <x v="22"/>
    <n v="3"/>
    <x v="24"/>
    <x v="24"/>
    <s v="微型電腦珍珠飯煲"/>
    <s v="細電"/>
    <s v="SDA"/>
    <s v="5sli"/>
    <n v="1"/>
    <n v="592"/>
    <n v="592"/>
    <s v="S056-25991"/>
    <m/>
    <m/>
    <s v="RC-5SLIH(W) S056-25991"/>
    <n v="658"/>
    <n v="0.89969604863221886"/>
    <s v="Toshiba SRP"/>
    <s v="DA138"/>
    <s v="DA138S056-25991"/>
  </r>
  <r>
    <n v="1334"/>
    <s v="Sogo"/>
    <s v="Kai Tak_3"/>
    <x v="22"/>
    <n v="3"/>
    <x v="24"/>
    <x v="27"/>
    <s v="4毫米厚釜電飯煲1.8L"/>
    <s v="細電"/>
    <s v="SDA"/>
    <s v="18nmf"/>
    <n v="1"/>
    <n v="798"/>
    <n v="798"/>
    <s v="S056-25991"/>
    <m/>
    <m/>
    <s v="RC-18NMFIH(WT) S056-25991"/>
    <n v="998"/>
    <n v="0.79959919839679361"/>
    <s v="Toshiba SRP"/>
    <s v="DA138"/>
    <s v="DA138S056-25991"/>
  </r>
  <r>
    <n v="1335"/>
    <s v="Suning"/>
    <s v="TKW"/>
    <x v="24"/>
    <n v="3"/>
    <x v="0"/>
    <x v="5"/>
    <s v="全自動洗衣機 (8公斤 結合高低水位)"/>
    <s v="大電"/>
    <s v="WM"/>
    <s v="m901"/>
    <n v="1"/>
    <n v="1980"/>
    <n v="1980"/>
    <n v="4015"/>
    <m/>
    <m/>
    <s v="AW-M901BPH(WW) 4015"/>
    <n v="3580"/>
    <n v="0.55307262569832405"/>
    <s v="Toshiba SRP"/>
    <s v="DA138"/>
    <s v="DA1384015"/>
  </r>
  <r>
    <n v="1336"/>
    <s v="Suning"/>
    <s v="TKW"/>
    <x v="24"/>
    <n v="3"/>
    <x v="0"/>
    <x v="17"/>
    <s v="4毫米厚釜電飯煲1L"/>
    <s v="細電"/>
    <s v="SDA"/>
    <s v="10nmf"/>
    <n v="1"/>
    <n v="720"/>
    <n v="720"/>
    <n v="4014"/>
    <m/>
    <m/>
    <s v="RC-10NMFIH(WT) 4014"/>
    <n v="898"/>
    <n v="0.80178173719376389"/>
    <s v="Toshiba SRP"/>
    <s v="DA138"/>
    <s v="DA1384014"/>
  </r>
  <r>
    <n v="1337"/>
    <s v="Suning"/>
    <s v="TKW"/>
    <x v="24"/>
    <n v="3"/>
    <x v="0"/>
    <x v="5"/>
    <s v="全自動洗衣機 (8公斤 結合高低水位)"/>
    <s v="大電"/>
    <s v="WM"/>
    <s v="m901"/>
    <n v="1"/>
    <n v="1980"/>
    <n v="1980"/>
    <n v="4011"/>
    <m/>
    <m/>
    <s v="AW-M901BPH(WW) 4011"/>
    <n v="3580"/>
    <n v="0.55307262569832405"/>
    <s v="Toshiba SRP"/>
    <s v="DA138"/>
    <s v="DA1384011"/>
  </r>
  <r>
    <n v="1338"/>
    <s v="Suning"/>
    <s v="TKW"/>
    <x v="24"/>
    <n v="3"/>
    <x v="0"/>
    <x v="26"/>
    <s v="變頻頂揭式洗衣機 (7.5公斤)"/>
    <s v="大電"/>
    <s v="LAD"/>
    <s v="cfk01w75"/>
    <n v="1"/>
    <n v="3580"/>
    <n v="3580"/>
    <n v="4013"/>
    <m/>
    <m/>
    <s v="CFK01W75 4013"/>
    <n v="3888"/>
    <n v="0.92078189300411528"/>
    <s v="Shops Highest Price"/>
    <s v="DA138"/>
    <s v="DA1384013"/>
  </r>
  <r>
    <n v="1339"/>
    <s v="Suning"/>
    <s v="TKW"/>
    <x v="24"/>
    <n v="3"/>
    <x v="0"/>
    <x v="17"/>
    <s v="4毫米厚釜電飯煲1L"/>
    <s v="細電"/>
    <s v="SDA"/>
    <s v="10nmf"/>
    <n v="1"/>
    <n v="720"/>
    <n v="720"/>
    <n v="4007"/>
    <m/>
    <m/>
    <s v="RC-10NMFIH(WT) 4007"/>
    <n v="898"/>
    <n v="0.80178173719376389"/>
    <s v="Toshiba SRP"/>
    <s v="DA138"/>
    <s v="DA1384007"/>
  </r>
  <r>
    <n v="1340"/>
    <s v="Suning"/>
    <s v="TKW"/>
    <x v="24"/>
    <n v="3"/>
    <x v="5"/>
    <x v="21"/>
    <s v="壓縮式抽濕機 (30公升)"/>
    <s v="細電"/>
    <s v="RAC"/>
    <s v="d300"/>
    <n v="1"/>
    <n v="2180"/>
    <n v="2180"/>
    <n v="4019"/>
    <m/>
    <m/>
    <s v="RAD-D300H 4019"/>
    <n v="3380"/>
    <n v="0.6449704142011834"/>
    <s v="Shops Highest Price"/>
    <s v="DA138"/>
    <s v="DA1384019"/>
  </r>
  <r>
    <n v="1341"/>
    <s v="Suning"/>
    <s v="TKW"/>
    <x v="24"/>
    <n v="3"/>
    <x v="5"/>
    <x v="17"/>
    <s v="4毫米厚釜電飯煲1L"/>
    <s v="細電"/>
    <s v="SDA"/>
    <s v="10nmf"/>
    <n v="1"/>
    <n v="720"/>
    <n v="720"/>
    <n v="4026"/>
    <m/>
    <m/>
    <s v="RC-10NMFIH(WT) 4026"/>
    <n v="898"/>
    <n v="0.80178173719376389"/>
    <s v="Toshiba SRP"/>
    <s v="DA138"/>
    <s v="DA1384026"/>
  </r>
  <r>
    <n v="1342"/>
    <s v="Suning"/>
    <s v="TKW"/>
    <x v="24"/>
    <n v="3"/>
    <x v="5"/>
    <x v="77"/>
    <s v="470MM超薄身前置式變頻洗衣乾衣機 (洗8.5公斤/乾6公斤, 可飛頂)"/>
    <s v="大電"/>
    <s v="LAD"/>
    <s v="twdt22"/>
    <n v="1"/>
    <n v="4880"/>
    <n v="4880"/>
    <n v="4021"/>
    <m/>
    <m/>
    <s v="TWD-T22BU95UWH(WK)-B 4021"/>
    <n v="7480"/>
    <n v="0.65240641711229952"/>
    <s v="Toshiba SRP"/>
    <s v="DA138"/>
    <s v="DA1384021"/>
  </r>
  <r>
    <n v="1343"/>
    <s v="Suning"/>
    <s v="TKW"/>
    <x v="24"/>
    <n v="3"/>
    <x v="5"/>
    <x v="94"/>
    <s v="3/4 匹 窗口式冷氣機(remote)"/>
    <s v="大電"/>
    <s v="AC"/>
    <s v="07g3cvr"/>
    <n v="1"/>
    <n v="3798"/>
    <n v="3798"/>
    <n v="4022"/>
    <m/>
    <m/>
    <s v="RAC-07G3CVRGR-HK 4022"/>
    <n v="5580"/>
    <n v="0.6806451612903226"/>
    <s v="Toshiba SRP"/>
    <s v="DA138"/>
    <s v="DA1384022"/>
  </r>
  <r>
    <n v="1344"/>
    <s v="Suning"/>
    <s v="TKW"/>
    <x v="24"/>
    <n v="3"/>
    <x v="5"/>
    <x v="5"/>
    <s v="全自動洗衣機 (8公斤 結合高低水位)"/>
    <s v="大電"/>
    <s v="WM"/>
    <s v="m901"/>
    <n v="1"/>
    <n v="1980"/>
    <n v="1980"/>
    <n v="4029"/>
    <m/>
    <m/>
    <s v="AW-M901BPH(WW) 4029"/>
    <n v="3580"/>
    <n v="0.55307262569832405"/>
    <s v="Toshiba SRP"/>
    <s v="DA138"/>
    <s v="DA1384029"/>
  </r>
  <r>
    <n v="1345"/>
    <s v="Suning"/>
    <s v="TKW"/>
    <x v="24"/>
    <n v="3"/>
    <x v="5"/>
    <x v="90"/>
    <s v="8公斤超薄身前置式變頻洗衣機"/>
    <s v="大電"/>
    <s v="LAD"/>
    <s v="bu90"/>
    <n v="1"/>
    <n v="3180"/>
    <n v="3180"/>
    <n v="4020"/>
    <m/>
    <m/>
    <s v="TW-T21BU90UWH(WW) 4020"/>
    <n v="5480"/>
    <n v="0.58029197080291972"/>
    <s v="Toshiba SRP"/>
    <s v="DA138"/>
    <s v="DA1384020"/>
  </r>
  <r>
    <n v="1346"/>
    <s v="Suning"/>
    <s v="TKW"/>
    <x v="24"/>
    <n v="3"/>
    <x v="5"/>
    <x v="87"/>
    <s v="變頻式環保雙門雪櫃(233L)"/>
    <s v="大電"/>
    <s v="REF"/>
    <s v="rt300"/>
    <n v="1"/>
    <n v="2780"/>
    <n v="2780"/>
    <n v="4030"/>
    <m/>
    <m/>
    <s v="GR-RT300WE-PMA(57) 4030"/>
    <n v="4280"/>
    <n v="0.64953271028037385"/>
    <s v="Toshiba SRP"/>
    <s v="DA138"/>
    <s v="DA1384030"/>
  </r>
  <r>
    <n v="1347"/>
    <s v="Suning"/>
    <s v="TKW"/>
    <x v="24"/>
    <n v="3"/>
    <x v="5"/>
    <x v="87"/>
    <s v="變頻式環保雙門雪櫃(233L)"/>
    <s v="大電"/>
    <s v="REF"/>
    <s v="rt300"/>
    <n v="1"/>
    <n v="2780"/>
    <n v="2780"/>
    <n v="4033"/>
    <m/>
    <m/>
    <s v="GR-RT300WE-PMA(57) 4033"/>
    <n v="4280"/>
    <n v="0.64953271028037385"/>
    <s v="Toshiba SRP"/>
    <s v="DA138"/>
    <s v="DA1384033"/>
  </r>
  <r>
    <n v="1348"/>
    <s v="Suning"/>
    <s v="TKW"/>
    <x v="24"/>
    <n v="3"/>
    <x v="5"/>
    <x v="24"/>
    <s v="微型電腦珍珠飯煲"/>
    <s v="細電"/>
    <s v="SDA"/>
    <s v="5sli"/>
    <n v="1"/>
    <n v="598"/>
    <n v="598"/>
    <n v="4032"/>
    <m/>
    <m/>
    <s v="RC-5SLIH(W) 4032"/>
    <n v="658"/>
    <n v="0.90881458966565354"/>
    <s v="Toshiba SRP"/>
    <s v="DA138"/>
    <s v="DA1384032"/>
  </r>
  <r>
    <n v="1349"/>
    <s v="Suning"/>
    <s v="TKW"/>
    <x v="24"/>
    <n v="3"/>
    <x v="5"/>
    <x v="14"/>
    <s v="21L壓縮式抽濕機"/>
    <s v="大電"/>
    <s v="RAC"/>
    <s v="y200"/>
    <n v="1"/>
    <n v="1988"/>
    <n v="1988"/>
    <n v="4018"/>
    <m/>
    <m/>
    <s v="RAD-Y200H 4018"/>
    <n v="3280"/>
    <n v="0.60609756097560974"/>
    <s v="Toshiba SRP"/>
    <s v="DA138"/>
    <s v="DA1384018"/>
  </r>
  <r>
    <n v="1350"/>
    <s v="Suning"/>
    <s v="TKW"/>
    <x v="24"/>
    <n v="3"/>
    <x v="6"/>
    <x v="82"/>
    <s v="Electric Fan"/>
    <s v="細電"/>
    <s v="SDA"/>
    <s v="dsb35"/>
    <n v="1"/>
    <n v="340"/>
    <n v="340"/>
    <n v="4040"/>
    <m/>
    <m/>
    <s v="F-DSB35HK(W) 4040"/>
    <n v="1088"/>
    <n v="0.3125"/>
    <s v="Toshiba SRP"/>
    <s v="DA138"/>
    <s v="DA1384040"/>
  </r>
  <r>
    <n v="1351"/>
    <s v="Suning"/>
    <s v="TKW"/>
    <x v="24"/>
    <n v="3"/>
    <x v="6"/>
    <x v="87"/>
    <s v="變頻式環保雙門雪櫃(233L)"/>
    <s v="大電"/>
    <s v="REF"/>
    <s v="rt300"/>
    <n v="1"/>
    <n v="2780"/>
    <n v="2780"/>
    <n v="4044"/>
    <m/>
    <m/>
    <s v="GR-RT300WE-PMA(57) 4044"/>
    <n v="4280"/>
    <n v="0.64953271028037385"/>
    <s v="Toshiba SRP"/>
    <s v="DA138"/>
    <s v="DA1384044"/>
  </r>
  <r>
    <n v="1352"/>
    <s v="Suning"/>
    <s v="TKW"/>
    <x v="24"/>
    <n v="3"/>
    <x v="6"/>
    <x v="14"/>
    <s v="21L壓縮式抽濕機"/>
    <s v="大電"/>
    <s v="RAC"/>
    <s v="y200"/>
    <n v="1"/>
    <n v="1988"/>
    <n v="1988"/>
    <n v="4049"/>
    <m/>
    <m/>
    <s v="RAD-Y200H 4049"/>
    <n v="3280"/>
    <n v="0.60609756097560974"/>
    <s v="Toshiba SRP"/>
    <s v="DA138"/>
    <s v="DA1384049"/>
  </r>
  <r>
    <n v="1353"/>
    <s v="Suning"/>
    <s v="TKW"/>
    <x v="24"/>
    <n v="3"/>
    <x v="6"/>
    <x v="80"/>
    <s v="無線雙層電熱水壺(1.4公升)"/>
    <s v="細電"/>
    <s v="SDA"/>
    <s v="14dh"/>
    <n v="1"/>
    <n v="280"/>
    <n v="280"/>
    <n v="4039"/>
    <m/>
    <m/>
    <s v="KT-14DHUHK(W) 4039"/>
    <n v="458"/>
    <n v="0.611353711790393"/>
    <s v="Toshiba SRP"/>
    <s v="DA138"/>
    <s v="DA1384039"/>
  </r>
  <r>
    <n v="1354"/>
    <s v="Suning"/>
    <s v="TKW"/>
    <x v="24"/>
    <n v="3"/>
    <x v="6"/>
    <x v="5"/>
    <s v="全自動洗衣機 (8公斤 結合高低水位)"/>
    <s v="大電"/>
    <s v="WM"/>
    <s v="m901"/>
    <n v="1"/>
    <n v="1980"/>
    <n v="1980"/>
    <n v="4042"/>
    <m/>
    <m/>
    <s v="AW-M901BPH(WW) 4042"/>
    <n v="3580"/>
    <n v="0.55307262569832405"/>
    <s v="Toshiba SRP"/>
    <s v="DA138"/>
    <s v="DA1384042"/>
  </r>
  <r>
    <n v="1355"/>
    <s v="Suning"/>
    <s v="TKW"/>
    <x v="24"/>
    <n v="3"/>
    <x v="7"/>
    <x v="20"/>
    <s v="壓縮式抽濕機 (22公升)"/>
    <s v="細電"/>
    <s v="RAC"/>
    <s v="d200"/>
    <n v="1"/>
    <n v="2040"/>
    <n v="2040"/>
    <n v="4057"/>
    <m/>
    <m/>
    <s v="RAD-D200H 4057"/>
    <n v="2880"/>
    <n v="0.70833333333333337"/>
    <s v="Shops Highest Price"/>
    <s v="DA138"/>
    <s v="DA1384057"/>
  </r>
  <r>
    <n v="1356"/>
    <s v="Suning"/>
    <s v="TKW"/>
    <x v="24"/>
    <n v="3"/>
    <x v="7"/>
    <x v="66"/>
    <s v="變頻下置式雙門雪櫃（163L）"/>
    <s v="大電"/>
    <s v="REF"/>
    <s v="rb221"/>
    <n v="1"/>
    <n v="2080"/>
    <n v="2080"/>
    <n v="4066"/>
    <m/>
    <m/>
    <s v="GR-RB221WE-PMA(57) 4066"/>
    <n v="3480"/>
    <n v="0.5977011494252874"/>
    <s v="Toshiba SRP"/>
    <s v="DA138"/>
    <s v="DA1384066"/>
  </r>
  <r>
    <n v="1357"/>
    <s v="Suning"/>
    <s v="TKW"/>
    <x v="24"/>
    <n v="3"/>
    <x v="7"/>
    <x v="40"/>
    <s v="400MM超薄身前置式變頻洗衣機(7公斤)"/>
    <s v="大電"/>
    <s v="LAD"/>
    <s v="bu80"/>
    <n v="1"/>
    <n v="2880"/>
    <n v="2880"/>
    <n v="4067"/>
    <m/>
    <m/>
    <s v="TW-T21BU80UWH(MG) 4067"/>
    <n v="5180"/>
    <n v="0.55598455598455598"/>
    <s v="Toshiba SRP"/>
    <s v="DA138"/>
    <s v="DA1384067"/>
  </r>
  <r>
    <n v="1358"/>
    <s v="Suning"/>
    <s v="TKW"/>
    <x v="24"/>
    <n v="3"/>
    <x v="7"/>
    <x v="90"/>
    <s v="8公斤超薄身前置式變頻洗衣機"/>
    <s v="大電"/>
    <s v="LAD"/>
    <s v="bu90"/>
    <n v="1"/>
    <n v="3080"/>
    <n v="3080"/>
    <n v="4073"/>
    <m/>
    <m/>
    <s v="TW-T21BU90UWH(WW) 4073"/>
    <n v="5480"/>
    <n v="0.56204379562043794"/>
    <s v="Toshiba SRP"/>
    <s v="DA138"/>
    <s v="DA1384073"/>
  </r>
  <r>
    <n v="1359"/>
    <s v="Suning"/>
    <s v="TKW"/>
    <x v="24"/>
    <n v="3"/>
    <x v="1"/>
    <x v="26"/>
    <s v="變頻頂揭式洗衣機 (7.5公斤)"/>
    <s v="大電"/>
    <s v="LAD"/>
    <s v="cfk01w75"/>
    <n v="1"/>
    <n v="3580"/>
    <n v="3580"/>
    <n v="4079"/>
    <m/>
    <m/>
    <s v="CFK01W75 4079"/>
    <n v="3888"/>
    <n v="0.92078189300411528"/>
    <s v="Shops Highest Price"/>
    <s v="DA138"/>
    <s v="DA1384079"/>
  </r>
  <r>
    <n v="1360"/>
    <s v="Suning"/>
    <s v="TKW"/>
    <x v="24"/>
    <n v="3"/>
    <x v="1"/>
    <x v="50"/>
    <s v="輕便式電磁爐7個功能"/>
    <s v="細電"/>
    <s v="SDA"/>
    <s v="s19"/>
    <n v="1"/>
    <n v="400"/>
    <n v="400"/>
    <n v="4089"/>
    <m/>
    <m/>
    <s v="IC-S19RH 4089"/>
    <n v="638"/>
    <n v="0.62695924764890287"/>
    <s v="Toshiba SRP"/>
    <s v="DA138"/>
    <s v="DA1384089"/>
  </r>
  <r>
    <n v="1361"/>
    <s v="Suning"/>
    <s v="TKW"/>
    <x v="24"/>
    <n v="3"/>
    <x v="1"/>
    <x v="21"/>
    <s v="壓縮式抽濕機 (30公升)"/>
    <s v="細電"/>
    <s v="RAC"/>
    <s v="d300"/>
    <n v="1"/>
    <n v="2180"/>
    <n v="2180"/>
    <n v="4084"/>
    <m/>
    <m/>
    <s v="RAD-D300H 4084"/>
    <n v="3380"/>
    <n v="0.6449704142011834"/>
    <s v="Shops Highest Price"/>
    <s v="DA138"/>
    <s v="DA1384084"/>
  </r>
  <r>
    <n v="1362"/>
    <s v="Suning"/>
    <s v="TKW"/>
    <x v="24"/>
    <n v="3"/>
    <x v="1"/>
    <x v="21"/>
    <s v="壓縮式抽濕機 (30公升)"/>
    <s v="細電"/>
    <s v="RAC"/>
    <s v="d300"/>
    <n v="1"/>
    <n v="2180"/>
    <n v="2180"/>
    <n v="4083"/>
    <m/>
    <m/>
    <s v="RAD-D300H 4083"/>
    <n v="3380"/>
    <n v="0.6449704142011834"/>
    <s v="Shops Highest Price"/>
    <s v="DA138"/>
    <s v="DA1384083"/>
  </r>
  <r>
    <n v="1363"/>
    <s v="Suning"/>
    <s v="TKW"/>
    <x v="24"/>
    <n v="3"/>
    <x v="2"/>
    <x v="5"/>
    <s v="全自動洗衣機 (8公斤 結合高低水位)"/>
    <s v="大電"/>
    <s v="WM"/>
    <s v="m901"/>
    <n v="1"/>
    <n v="1980"/>
    <n v="1980"/>
    <n v="4093"/>
    <m/>
    <m/>
    <s v="AW-M901BPH(WW) 4093"/>
    <n v="3580"/>
    <n v="0.55307262569832405"/>
    <s v="Toshiba SRP"/>
    <s v="DA138"/>
    <s v="DA1384093"/>
  </r>
  <r>
    <n v="1364"/>
    <s v="Suning"/>
    <s v="TKW"/>
    <x v="24"/>
    <n v="3"/>
    <x v="2"/>
    <x v="83"/>
    <s v="R32變頻窗口式冷氣機 (獨立抽濕遙控"/>
    <s v="大電"/>
    <s v="AC"/>
    <s v="12g3cvr"/>
    <n v="1"/>
    <n v="5480"/>
    <n v="5480"/>
    <n v="4094"/>
    <m/>
    <m/>
    <s v="RAC-12G3CVRGR-HK 4094"/>
    <n v="8680"/>
    <n v="0.63133640552995396"/>
    <s v="Toshiba SRP"/>
    <s v="DA138"/>
    <s v="DA1384094"/>
  </r>
  <r>
    <n v="1365"/>
    <s v="Suning"/>
    <s v="TKW"/>
    <x v="24"/>
    <n v="3"/>
    <x v="2"/>
    <x v="46"/>
    <s v="電熱水瓶 (2.5公升)"/>
    <s v="細電"/>
    <s v="SDA"/>
    <s v="25dr"/>
    <n v="1"/>
    <n v="388"/>
    <n v="388"/>
    <n v="4097"/>
    <m/>
    <m/>
    <s v="TP-25DR2UHK(W) 4097"/>
    <n v="538"/>
    <n v="0.72118959107806691"/>
    <s v="Toshiba SRP"/>
    <s v="DA138"/>
    <s v="DA1384097"/>
  </r>
  <r>
    <n v="1366"/>
    <s v="Suning"/>
    <s v="TKW"/>
    <x v="24"/>
    <n v="3"/>
    <x v="9"/>
    <x v="15"/>
    <s v="Induction Cooker"/>
    <s v="細電"/>
    <s v="SDA"/>
    <s v="21ts"/>
    <n v="1"/>
    <n v="798"/>
    <n v="798"/>
    <n v="4112"/>
    <m/>
    <m/>
    <s v="IC-21TSHK 4112"/>
    <n v="998"/>
    <n v="0.79959919839679361"/>
    <s v="Web SRP"/>
    <s v="DA138"/>
    <s v="DA1384112"/>
  </r>
  <r>
    <n v="1367"/>
    <s v="Suning"/>
    <s v="TKW"/>
    <x v="24"/>
    <n v="3"/>
    <x v="9"/>
    <x v="43"/>
    <s v="470MM超薄身前置式變頻洗衣機(8.5公斤, 可飛頂)"/>
    <s v="大電"/>
    <s v="LAD"/>
    <s v="t2295"/>
    <n v="1"/>
    <n v="3680"/>
    <n v="3680"/>
    <n v="4106"/>
    <m/>
    <m/>
    <s v="TW-T22BU95UWH(WK)-B 4106"/>
    <n v="5880"/>
    <n v="0.62585034013605445"/>
    <s v="Toshiba SRP"/>
    <s v="DA138"/>
    <s v="DA1384106"/>
  </r>
  <r>
    <n v="1368"/>
    <s v="Suning"/>
    <s v="TKW"/>
    <x v="24"/>
    <n v="3"/>
    <x v="9"/>
    <x v="76"/>
    <s v="日式洗衣機 (7公斤 結合高低水位)"/>
    <s v="大電"/>
    <s v="LAD"/>
    <s v="q801"/>
    <n v="1"/>
    <n v="2080"/>
    <n v="2080"/>
    <n v="4103"/>
    <m/>
    <m/>
    <s v="AW-Q801APH(WW) 4103"/>
    <n v="3380"/>
    <n v="0.61538461538461542"/>
    <s v="Toshiba SRP"/>
    <s v="DA138"/>
    <s v="DA1384103"/>
  </r>
  <r>
    <n v="1369"/>
    <s v="Suning"/>
    <s v="TKW"/>
    <x v="24"/>
    <n v="3"/>
    <x v="9"/>
    <x v="77"/>
    <s v="470MM超薄身前置式變頻洗衣乾衣機 (洗8.5公斤/乾6公斤, 可飛頂)"/>
    <s v="大電"/>
    <s v="LAD"/>
    <s v="twdt22"/>
    <n v="1"/>
    <n v="4580"/>
    <n v="4580"/>
    <n v="4121"/>
    <m/>
    <m/>
    <s v="TWD-T22BU95UWH(WK)-B 4121"/>
    <n v="7480"/>
    <n v="0.61229946524064172"/>
    <s v="Toshiba SRP"/>
    <s v="DA140"/>
    <s v="DA1404121"/>
  </r>
  <r>
    <n v="1370"/>
    <s v="Suning"/>
    <s v="TKW"/>
    <x v="24"/>
    <n v="3"/>
    <x v="9"/>
    <x v="77"/>
    <s v="470MM超薄身前置式變頻洗衣乾衣機 (洗8.5公斤/乾6公斤, 可飛頂)"/>
    <s v="大電"/>
    <s v="LAD"/>
    <s v="twdt22"/>
    <n v="1"/>
    <n v="4580"/>
    <n v="4580"/>
    <n v="4116"/>
    <m/>
    <m/>
    <s v="TWD-T22BU95UWH(WK)-B 4116"/>
    <n v="7480"/>
    <n v="0.61229946524064172"/>
    <s v="Toshiba SRP"/>
    <s v="DA140"/>
    <s v="DA1404116"/>
  </r>
  <r>
    <n v="1371"/>
    <s v="Suning"/>
    <s v="TKW"/>
    <x v="24"/>
    <n v="3"/>
    <x v="9"/>
    <x v="43"/>
    <s v="470MM超薄身前置式變頻洗衣機(8.5公斤, 可飛頂)"/>
    <s v="大電"/>
    <s v="LAD"/>
    <s v="t2295"/>
    <n v="1"/>
    <n v="3480"/>
    <n v="3480"/>
    <n v="4115"/>
    <m/>
    <m/>
    <s v="TW-T22BU95UWH(WK)-B 4115"/>
    <n v="5880"/>
    <n v="0.59183673469387754"/>
    <s v="Toshiba SRP"/>
    <s v="DA140"/>
    <s v="DA1404115"/>
  </r>
  <r>
    <n v="1372"/>
    <s v="Suning"/>
    <s v="TKW"/>
    <x v="24"/>
    <n v="3"/>
    <x v="10"/>
    <x v="5"/>
    <s v="全自動洗衣機 (8公斤 結合高低水位)"/>
    <s v="大電"/>
    <s v="WM"/>
    <s v="m901"/>
    <n v="1"/>
    <n v="1980"/>
    <n v="1980"/>
    <n v="4123"/>
    <m/>
    <m/>
    <s v="AW-M901BPH(WW) 4123"/>
    <n v="3580"/>
    <n v="0.55307262569832405"/>
    <s v="Toshiba SRP"/>
    <s v="DA140"/>
    <s v="DA1404123"/>
  </r>
  <r>
    <n v="1373"/>
    <s v="Suning"/>
    <s v="TKW"/>
    <x v="24"/>
    <n v="3"/>
    <x v="10"/>
    <x v="90"/>
    <s v="8公斤超薄身前置式變頻洗衣機"/>
    <s v="大電"/>
    <s v="LAD"/>
    <s v="bu90"/>
    <n v="1"/>
    <n v="3180"/>
    <n v="3180"/>
    <n v="4125"/>
    <m/>
    <m/>
    <s v="TW-T21BU90UWH(WW) 4125"/>
    <n v="5480"/>
    <n v="0.58029197080291972"/>
    <s v="Toshiba SRP"/>
    <s v="DA140"/>
    <s v="DA1404125"/>
  </r>
  <r>
    <n v="1374"/>
    <s v="Suning"/>
    <s v="TKW"/>
    <x v="24"/>
    <n v="3"/>
    <x v="16"/>
    <x v="76"/>
    <s v="日式洗衣機 (7公斤 結合高低水位)"/>
    <s v="大電"/>
    <s v="LAD"/>
    <s v="q801"/>
    <n v="1"/>
    <n v="2080"/>
    <n v="2080"/>
    <n v="4128"/>
    <m/>
    <m/>
    <s v="AW-Q801APH(WW) 4128"/>
    <n v="3380"/>
    <n v="0.61538461538461542"/>
    <s v="Toshiba SRP"/>
    <s v="DA140"/>
    <s v="DA1404128"/>
  </r>
  <r>
    <n v="1375"/>
    <s v="Suning"/>
    <s v="TKW"/>
    <x v="24"/>
    <n v="3"/>
    <x v="16"/>
    <x v="17"/>
    <s v="4毫米厚釜電飯煲1L"/>
    <s v="細電"/>
    <s v="SDA"/>
    <s v="10nmf"/>
    <n v="1"/>
    <n v="720"/>
    <n v="720"/>
    <n v="4130"/>
    <m/>
    <m/>
    <s v="RC-10NMFIH(WT) 4130"/>
    <n v="898"/>
    <n v="0.80178173719376389"/>
    <s v="Toshiba SRP"/>
    <s v="DA140"/>
    <s v="DA1404130"/>
  </r>
  <r>
    <n v="1376"/>
    <s v="Suning"/>
    <s v="TKW"/>
    <x v="24"/>
    <n v="3"/>
    <x v="16"/>
    <x v="46"/>
    <s v="電熱水瓶 (2.5公升)"/>
    <s v="細電"/>
    <s v="SDA"/>
    <s v="25dr"/>
    <n v="1"/>
    <n v="388"/>
    <n v="388"/>
    <n v="4129"/>
    <m/>
    <m/>
    <s v="TP-25DR2UHK(W) 4129"/>
    <n v="538"/>
    <n v="0.72118959107806691"/>
    <s v="Toshiba SRP"/>
    <s v="DA140"/>
    <s v="DA1404129"/>
  </r>
  <r>
    <n v="1377"/>
    <s v="Suning"/>
    <s v="TKW"/>
    <x v="24"/>
    <n v="3"/>
    <x v="3"/>
    <x v="24"/>
    <s v="微型電腦珍珠飯煲"/>
    <s v="細電"/>
    <s v="SDA"/>
    <s v="5sli"/>
    <n v="1"/>
    <n v="598"/>
    <n v="598"/>
    <n v="4144"/>
    <m/>
    <m/>
    <s v="RC-5SLIH(W) 4144"/>
    <n v="658"/>
    <n v="0.90881458966565354"/>
    <s v="Toshiba SRP"/>
    <s v="DA140"/>
    <s v="DA1404144"/>
  </r>
  <r>
    <n v="1378"/>
    <s v="Suning"/>
    <s v="TKW"/>
    <x v="24"/>
    <n v="3"/>
    <x v="3"/>
    <x v="21"/>
    <s v="壓縮式抽濕機 (30公升)"/>
    <s v="細電"/>
    <s v="RAC"/>
    <s v="d300"/>
    <n v="1"/>
    <n v="2180"/>
    <n v="2180"/>
    <n v="4153"/>
    <m/>
    <m/>
    <s v="RAD-D300H 4153"/>
    <n v="3380"/>
    <n v="0.6449704142011834"/>
    <s v="Shops Highest Price"/>
    <s v="DA140"/>
    <s v="DA1404153"/>
  </r>
  <r>
    <n v="1379"/>
    <s v="Suning"/>
    <s v="TKW"/>
    <x v="24"/>
    <n v="3"/>
    <x v="3"/>
    <x v="91"/>
    <s v="3/4 匹 R32變頻窗口式冷氣機"/>
    <s v="大電"/>
    <s v="AC"/>
    <s v="07g3cvg"/>
    <n v="1"/>
    <n v="3099"/>
    <n v="3099"/>
    <n v="4151"/>
    <m/>
    <m/>
    <s v="RAC-07G3CVG-HK 4151"/>
    <n v="4980"/>
    <n v="0.62228915662650608"/>
    <s v="Toshiba SRP"/>
    <s v="DA140"/>
    <s v="DA1404151"/>
  </r>
  <r>
    <n v="1380"/>
    <s v="Suning"/>
    <s v="TKW"/>
    <x v="24"/>
    <n v="3"/>
    <x v="3"/>
    <x v="83"/>
    <s v="R32變頻窗口式冷氣機 (獨立抽濕遙控"/>
    <s v="大電"/>
    <s v="AC"/>
    <s v="12g3cvr"/>
    <n v="1"/>
    <n v="5480"/>
    <n v="5480"/>
    <n v="4152"/>
    <m/>
    <m/>
    <s v="RAC-12G3CVRGR-HK 4152"/>
    <n v="8680"/>
    <n v="0.63133640552995396"/>
    <s v="Toshiba SRP"/>
    <s v="DA140"/>
    <s v="DA1404152"/>
  </r>
  <r>
    <n v="1381"/>
    <s v="Suning"/>
    <s v="TKW"/>
    <x v="24"/>
    <n v="3"/>
    <x v="3"/>
    <x v="5"/>
    <s v="全自動洗衣機 (8公斤 結合高低水位)"/>
    <s v="大電"/>
    <s v="WM"/>
    <s v="m901"/>
    <n v="1"/>
    <n v="1980"/>
    <n v="1980"/>
    <n v="4155"/>
    <m/>
    <m/>
    <s v="AW-M901BPH(WW) 4155"/>
    <n v="3580"/>
    <n v="0.55307262569832405"/>
    <s v="Toshiba SRP"/>
    <s v="DA140"/>
    <s v="DA1404155"/>
  </r>
  <r>
    <n v="1382"/>
    <s v="Suning"/>
    <s v="TKW"/>
    <x v="24"/>
    <n v="3"/>
    <x v="3"/>
    <x v="87"/>
    <s v="變頻式環保雙門雪櫃(233L)"/>
    <s v="大電"/>
    <s v="REF"/>
    <s v="rt300"/>
    <n v="1"/>
    <n v="2780"/>
    <n v="2780"/>
    <n v="4149"/>
    <m/>
    <m/>
    <s v="GR-RT300WE-PMA(57) 4149"/>
    <n v="4280"/>
    <n v="0.64953271028037385"/>
    <s v="Toshiba SRP"/>
    <s v="DA140"/>
    <s v="DA1404149"/>
  </r>
  <r>
    <n v="1383"/>
    <s v="Suning"/>
    <s v="TKW"/>
    <x v="24"/>
    <n v="3"/>
    <x v="4"/>
    <x v="35"/>
    <s v="1.8公升電飯煲"/>
    <s v="細電"/>
    <s v="SDA"/>
    <s v="18jruh"/>
    <n v="1"/>
    <n v="368"/>
    <n v="368"/>
    <n v="4169"/>
    <m/>
    <m/>
    <s v="RC-18JRUH(N) 4169"/>
    <n v="458"/>
    <n v="0.80349344978165937"/>
    <s v="Shops Highest Price"/>
    <s v="DA140"/>
    <s v="DA1404169"/>
  </r>
  <r>
    <n v="1384"/>
    <s v="Suning"/>
    <s v="TKW"/>
    <x v="24"/>
    <n v="3"/>
    <x v="4"/>
    <x v="90"/>
    <s v="8公斤超薄身前置式變頻洗衣機"/>
    <s v="大電"/>
    <s v="LAD"/>
    <s v="bu90"/>
    <n v="1"/>
    <n v="3180"/>
    <n v="3180"/>
    <n v="4177"/>
    <m/>
    <m/>
    <s v="TW-T21BU90UWH(WW) 4177"/>
    <n v="5480"/>
    <n v="0.58029197080291972"/>
    <s v="Toshiba SRP"/>
    <s v="DA140"/>
    <s v="DA1404177"/>
  </r>
  <r>
    <n v="1385"/>
    <s v="Suning"/>
    <s v="TKW"/>
    <x v="24"/>
    <n v="3"/>
    <x v="4"/>
    <x v="33"/>
    <s v="輕觸式燒烤微波爐"/>
    <s v="細電"/>
    <s v="MCA"/>
    <s v="eg20"/>
    <n v="1"/>
    <n v="668"/>
    <n v="668"/>
    <n v="4174"/>
    <m/>
    <m/>
    <s v="MM2-EG20PC(WH) 4174"/>
    <n v="918"/>
    <n v="0.72766884531590414"/>
    <s v="Shops Highest Price"/>
    <s v="DA140"/>
    <s v="DA1404174"/>
  </r>
  <r>
    <n v="1386"/>
    <s v="Suning"/>
    <s v="TKW"/>
    <x v="24"/>
    <n v="3"/>
    <x v="4"/>
    <x v="103"/>
    <s v="變頻下置式雙門雪櫃"/>
    <s v="大電"/>
    <s v="REF"/>
    <s v="rb449"/>
    <n v="1"/>
    <n v="4498"/>
    <n v="4498"/>
    <n v="4173"/>
    <m/>
    <m/>
    <s v="GR-RB449WE-PMA(57) 4173"/>
    <n v="6280"/>
    <n v="0.71624203821656052"/>
    <s v="Toshiba SRP"/>
    <s v="DA140"/>
    <s v="DA1404173"/>
  </r>
  <r>
    <n v="1387"/>
    <s v="Suning"/>
    <s v="TKW"/>
    <x v="24"/>
    <n v="3"/>
    <x v="14"/>
    <x v="75"/>
    <s v="日式洗衣機 (8公斤 結合高低水位)"/>
    <s v="大電"/>
    <s v="LAD"/>
    <s v="q901"/>
    <n v="1"/>
    <n v="2380"/>
    <n v="2380"/>
    <n v="4186"/>
    <m/>
    <m/>
    <s v="AW-Q901BPH(WW) 4186"/>
    <n v="3780"/>
    <n v="0.62962962962962965"/>
    <s v="Toshiba SRP"/>
    <s v="DA140"/>
    <s v="DA1404186"/>
  </r>
  <r>
    <n v="1388"/>
    <s v="Suning"/>
    <s v="TKW"/>
    <x v="24"/>
    <n v="3"/>
    <x v="14"/>
    <x v="90"/>
    <s v="8公斤超薄身前置式變頻洗衣機"/>
    <s v="大電"/>
    <s v="LAD"/>
    <s v="bu90"/>
    <n v="1"/>
    <n v="3180"/>
    <n v="3180"/>
    <n v="4189"/>
    <m/>
    <m/>
    <s v="TW-T21BU90UWH(WW) 4189"/>
    <n v="5480"/>
    <n v="0.58029197080291972"/>
    <s v="Toshiba SRP"/>
    <s v="DA140"/>
    <s v="DA1404189"/>
  </r>
  <r>
    <n v="1389"/>
    <s v="Suning"/>
    <s v="TKW"/>
    <x v="24"/>
    <n v="3"/>
    <x v="14"/>
    <x v="21"/>
    <s v="壓縮式抽濕機 (30公升)"/>
    <s v="細電"/>
    <s v="RAC"/>
    <s v="d300"/>
    <n v="1"/>
    <n v="2180"/>
    <n v="2180"/>
    <n v="4187"/>
    <m/>
    <m/>
    <s v="RAD-D300H 4187"/>
    <n v="3380"/>
    <n v="0.6449704142011834"/>
    <s v="Shops Highest Price"/>
    <s v="DA140"/>
    <s v="DA1404187"/>
  </r>
  <r>
    <n v="1390"/>
    <s v="Suning"/>
    <s v="TKW"/>
    <x v="24"/>
    <n v="3"/>
    <x v="15"/>
    <x v="91"/>
    <s v="3/4 匹 R32變頻窗口式冷氣機"/>
    <s v="大電"/>
    <s v="AC"/>
    <s v="07g3cvg"/>
    <n v="1"/>
    <n v="3280"/>
    <n v="3280"/>
    <n v="4192"/>
    <m/>
    <m/>
    <s v="RAC-07G3CVG-HK 4192"/>
    <n v="4980"/>
    <n v="0.65863453815261042"/>
    <s v="Toshiba SRP"/>
    <s v="DA140"/>
    <s v="DA1404192"/>
  </r>
  <r>
    <n v="1391"/>
    <s v="Suning"/>
    <s v="TKW"/>
    <x v="24"/>
    <n v="3"/>
    <x v="15"/>
    <x v="39"/>
    <s v="酵活炊電飯煲(1.0公升)"/>
    <s v="細電"/>
    <s v="SDA"/>
    <s v="10amx"/>
    <n v="1"/>
    <n v="1068"/>
    <n v="1068"/>
    <n v="4196"/>
    <m/>
    <m/>
    <s v="RC-10AMXH(W) 4196"/>
    <n v="1288"/>
    <n v="0.82919254658385089"/>
    <s v="Toshiba SRP"/>
    <s v="DA140"/>
    <s v="DA1404196"/>
  </r>
  <r>
    <n v="1392"/>
    <s v="Suning"/>
    <s v="TKW"/>
    <x v="24"/>
    <n v="3"/>
    <x v="15"/>
    <x v="46"/>
    <s v="電熱水瓶 (2.5公升)"/>
    <s v="細電"/>
    <s v="SDA"/>
    <s v="25dr"/>
    <n v="1"/>
    <n v="388"/>
    <n v="388"/>
    <n v="4191"/>
    <m/>
    <m/>
    <s v="TP-25DR2UHK(W) 4191"/>
    <n v="538"/>
    <n v="0.72118959107806691"/>
    <s v="Toshiba SRP"/>
    <s v="DA140"/>
    <s v="DA1404191"/>
  </r>
  <r>
    <n v="1393"/>
    <s v="Suning"/>
    <s v="TKW"/>
    <x v="24"/>
    <n v="3"/>
    <x v="15"/>
    <x v="26"/>
    <s v="變頻頂揭式洗衣機 (7.5公斤)"/>
    <s v="大電"/>
    <s v="LAD"/>
    <s v="cfk01w75"/>
    <n v="1"/>
    <n v="3580"/>
    <n v="3580"/>
    <n v="4199"/>
    <m/>
    <m/>
    <s v="CFK01W75 4199"/>
    <n v="3888"/>
    <n v="0.92078189300411528"/>
    <s v="Shops Highest Price"/>
    <s v="DA140"/>
    <s v="DA1404199"/>
  </r>
  <r>
    <n v="1394"/>
    <s v="Suning"/>
    <s v="TKW"/>
    <x v="25"/>
    <n v="3"/>
    <x v="17"/>
    <x v="21"/>
    <s v="壓縮式抽濕機 (30公升)"/>
    <s v="細電"/>
    <s v="RAC"/>
    <s v="d300"/>
    <n v="1"/>
    <n v="2180"/>
    <n v="2180"/>
    <n v="4205"/>
    <m/>
    <m/>
    <s v="RAD-D300H 4205"/>
    <n v="3380"/>
    <n v="0.6449704142011834"/>
    <s v="Shops Highest Price"/>
    <s v="DA140"/>
    <s v="DA1404205"/>
  </r>
  <r>
    <n v="1395"/>
    <s v="Suning"/>
    <s v="TKW"/>
    <x v="24"/>
    <n v="3"/>
    <x v="20"/>
    <x v="31"/>
    <s v="無線雙層電熱水壺(1.7公升)"/>
    <s v="細電"/>
    <s v="SDA"/>
    <s v="17drt"/>
    <n v="1"/>
    <n v="388"/>
    <n v="388"/>
    <n v="4206"/>
    <m/>
    <m/>
    <s v="KT-17DRTHK(H) 4206"/>
    <n v="498"/>
    <n v="0.77911646586345384"/>
    <s v="Toshiba SRP"/>
    <s v="DA140"/>
    <s v="DA1404206"/>
  </r>
  <r>
    <n v="1396"/>
    <s v="Suning"/>
    <s v="TKW"/>
    <x v="24"/>
    <n v="3"/>
    <x v="20"/>
    <x v="33"/>
    <s v="輕觸式燒烤微波爐"/>
    <s v="細電"/>
    <s v="MCA"/>
    <s v="eg20"/>
    <n v="1"/>
    <n v="668"/>
    <n v="668"/>
    <n v="4219"/>
    <m/>
    <m/>
    <s v="MM2-EG20PC(WH) 4219"/>
    <n v="918"/>
    <n v="0.72766884531590414"/>
    <s v="Shops Highest Price"/>
    <s v="DA140"/>
    <s v="DA1404219"/>
  </r>
  <r>
    <n v="1397"/>
    <s v="Suning"/>
    <s v="TKW"/>
    <x v="24"/>
    <n v="3"/>
    <x v="20"/>
    <x v="23"/>
    <s v="電飯煲"/>
    <s v="細電"/>
    <s v="SDA"/>
    <s v="10jruh"/>
    <n v="1"/>
    <n v="308"/>
    <n v="308"/>
    <n v="4214"/>
    <m/>
    <m/>
    <s v="RC-10JRUH(N) 4214"/>
    <n v="398"/>
    <n v="0.77386934673366836"/>
    <s v="Shops Highest Price"/>
    <s v="DA140"/>
    <s v="DA1404214"/>
  </r>
  <r>
    <n v="1398"/>
    <s v="Suning"/>
    <s v="TKW"/>
    <x v="24"/>
    <n v="3"/>
    <x v="20"/>
    <x v="76"/>
    <s v="日式洗衣機 (7公斤 結合高低水位)"/>
    <s v="大電"/>
    <s v="LAD"/>
    <s v="q801"/>
    <n v="1"/>
    <n v="2080"/>
    <n v="2080"/>
    <n v="4216"/>
    <m/>
    <m/>
    <s v="AW-Q801APH(WW) 4216"/>
    <n v="3380"/>
    <n v="0.61538461538461542"/>
    <s v="Toshiba SRP"/>
    <s v="DA140"/>
    <s v="DA1404216"/>
  </r>
  <r>
    <n v="1399"/>
    <s v="Suning"/>
    <s v="TKW"/>
    <x v="24"/>
    <n v="3"/>
    <x v="20"/>
    <x v="17"/>
    <s v="4毫米厚釜電飯煲1L"/>
    <s v="細電"/>
    <s v="SDA"/>
    <s v="10nmf"/>
    <n v="1"/>
    <n v="720"/>
    <n v="720"/>
    <n v="4243"/>
    <m/>
    <m/>
    <s v="RC-10NMFIH(WT) 4243"/>
    <n v="898"/>
    <n v="0.80178173719376389"/>
    <s v="Toshiba SRP"/>
    <s v="DA140"/>
    <s v="DA1404243"/>
  </r>
  <r>
    <n v="1400"/>
    <s v="Suning"/>
    <s v="TKW"/>
    <x v="24"/>
    <n v="3"/>
    <x v="21"/>
    <x v="81"/>
    <s v="470MM超薄身前置式變頻洗衣機(7.5公斤, 可飛頂)"/>
    <s v="大電"/>
    <s v="LAD"/>
    <s v="t2285"/>
    <n v="1"/>
    <n v="3480"/>
    <n v="3480"/>
    <n v="4265"/>
    <m/>
    <m/>
    <s v="TW-T22BU85UWH(WK)-B 4265"/>
    <n v="5480"/>
    <n v="0.63503649635036497"/>
    <s v="Toshiba SRP"/>
    <s v="DA140"/>
    <s v="DA1404265"/>
  </r>
  <r>
    <n v="1401"/>
    <s v="Suning"/>
    <s v="TKW"/>
    <x v="24"/>
    <n v="3"/>
    <x v="21"/>
    <x v="26"/>
    <s v="變頻頂揭式洗衣機 (7.5公斤)"/>
    <s v="大電"/>
    <s v="LAD"/>
    <s v="cfk01w75"/>
    <n v="1"/>
    <n v="3280"/>
    <n v="3280"/>
    <n v="4264"/>
    <m/>
    <m/>
    <s v="CFK01W75 4264"/>
    <n v="3888"/>
    <n v="0.84362139917695478"/>
    <s v="Shops Highest Price"/>
    <s v="DA140"/>
    <s v="DA1404264"/>
  </r>
  <r>
    <n v="1402"/>
    <s v="Suning"/>
    <s v="TKW"/>
    <x v="24"/>
    <n v="3"/>
    <x v="21"/>
    <x v="21"/>
    <s v="壓縮式抽濕機 (30公升)"/>
    <s v="細電"/>
    <s v="RAC"/>
    <s v="d300"/>
    <n v="1"/>
    <n v="2180"/>
    <n v="2180"/>
    <n v="4259"/>
    <m/>
    <m/>
    <s v="RAD-D300H 4259"/>
    <n v="3380"/>
    <n v="0.6449704142011834"/>
    <s v="Shops Highest Price"/>
    <s v="DA140"/>
    <s v="DA1404259"/>
  </r>
  <r>
    <n v="1403"/>
    <s v="Suning"/>
    <s v="TKW"/>
    <x v="24"/>
    <n v="3"/>
    <x v="21"/>
    <x v="92"/>
    <s v="1 匹 R32變頻窗口式冷氣機 (獨立抽濕遙控"/>
    <s v="大電"/>
    <s v="AC"/>
    <s v="09g3cvr"/>
    <n v="1"/>
    <n v="4280"/>
    <n v="4280"/>
    <n v="4268"/>
    <m/>
    <m/>
    <s v="RAC-09G3CVRGR-HK 4268"/>
    <n v="6980"/>
    <n v="0.61318051575931232"/>
    <s v="Toshiba SRP"/>
    <s v="DA140"/>
    <s v="DA1404268"/>
  </r>
  <r>
    <n v="1404"/>
    <s v="Suning"/>
    <s v="TKW"/>
    <x v="24"/>
    <n v="3"/>
    <x v="21"/>
    <x v="80"/>
    <s v="無線雙層電熱水壺(1.4公升)"/>
    <s v="細電"/>
    <s v="SDA"/>
    <s v="14dh"/>
    <n v="1"/>
    <n v="280"/>
    <n v="280"/>
    <n v="4273"/>
    <m/>
    <m/>
    <s v="KT-14DHUHK(W) 4273"/>
    <n v="458"/>
    <n v="0.611353711790393"/>
    <s v="Toshiba SRP"/>
    <s v="DA140"/>
    <s v="DA1404273"/>
  </r>
  <r>
    <n v="1405"/>
    <s v="Suning"/>
    <s v="TKW"/>
    <x v="24"/>
    <n v="3"/>
    <x v="21"/>
    <x v="26"/>
    <s v="變頻頂揭式洗衣機 (7.5公斤)"/>
    <s v="大電"/>
    <s v="LAD"/>
    <s v="cfk01w75"/>
    <n v="1"/>
    <n v="3280"/>
    <n v="3280"/>
    <n v="4272"/>
    <m/>
    <m/>
    <s v="CFK01W75 4272"/>
    <n v="3888"/>
    <n v="0.84362139917695478"/>
    <s v="Shops Highest Price"/>
    <s v="DA140"/>
    <s v="DA1404272"/>
  </r>
  <r>
    <n v="1406"/>
    <s v="Suning"/>
    <s v="TKW"/>
    <x v="24"/>
    <n v="3"/>
    <x v="30"/>
    <x v="42"/>
    <s v="變頻下置式雙門雪櫃系列270L"/>
    <s v="大電"/>
    <s v="REF"/>
    <s v="rb360"/>
    <n v="1"/>
    <n v="3523"/>
    <n v="3523"/>
    <n v="4279"/>
    <m/>
    <m/>
    <s v="GR-RB360WE-PMA(06) 4279"/>
    <n v="5080"/>
    <n v="0.69350393700787405"/>
    <s v="Toshiba SRP"/>
    <s v="DA140"/>
    <s v="DA1404279"/>
  </r>
  <r>
    <n v="1407"/>
    <s v="Suning"/>
    <s v="TKW"/>
    <x v="24"/>
    <n v="3"/>
    <x v="30"/>
    <x v="24"/>
    <s v="微型電腦珍珠飯煲"/>
    <s v="細電"/>
    <s v="SDA"/>
    <s v="5sli"/>
    <n v="1"/>
    <n v="598"/>
    <n v="598"/>
    <n v="4278"/>
    <m/>
    <m/>
    <s v="RC-5SLIH(W) 4278"/>
    <n v="658"/>
    <n v="0.90881458966565354"/>
    <s v="Toshiba SRP"/>
    <s v="DA140"/>
    <s v="DA1404278"/>
  </r>
  <r>
    <n v="1408"/>
    <s v="Suning"/>
    <s v="TKW"/>
    <x v="24"/>
    <n v="3"/>
    <x v="30"/>
    <x v="90"/>
    <s v="8公斤超薄身前置式變頻洗衣機"/>
    <s v="大電"/>
    <s v="LAD"/>
    <s v="bu90"/>
    <n v="1"/>
    <n v="3080"/>
    <n v="3080"/>
    <n v="4277"/>
    <m/>
    <m/>
    <s v="TW-T21BU90UWH(WW) 4277"/>
    <n v="5480"/>
    <n v="0.56204379562043794"/>
    <s v="Toshiba SRP"/>
    <s v="DA140"/>
    <s v="DA1404277"/>
  </r>
  <r>
    <n v="1409"/>
    <s v="Suning"/>
    <s v="TKW"/>
    <x v="24"/>
    <n v="3"/>
    <x v="22"/>
    <x v="46"/>
    <s v="電熱水瓶 (2.5公升)"/>
    <s v="細電"/>
    <s v="SDA"/>
    <s v="25dr"/>
    <n v="1"/>
    <n v="388"/>
    <n v="388"/>
    <n v="4289"/>
    <m/>
    <m/>
    <s v="TP-25DR2UHK(W) 4289"/>
    <n v="538"/>
    <n v="0.72118959107806691"/>
    <s v="Toshiba SRP"/>
    <s v="DA140"/>
    <s v="DA1404289"/>
  </r>
  <r>
    <n v="1410"/>
    <s v="Suning"/>
    <s v="TKW"/>
    <x v="24"/>
    <n v="3"/>
    <x v="22"/>
    <x v="87"/>
    <s v="變頻式環保雙門雪櫃(233L)"/>
    <s v="大電"/>
    <s v="REF"/>
    <s v="rt300"/>
    <n v="1"/>
    <n v="2780"/>
    <n v="2780"/>
    <n v="4284"/>
    <m/>
    <m/>
    <s v="GR-RT300WE-PMA(57) 4284"/>
    <n v="4280"/>
    <n v="0.64953271028037385"/>
    <s v="Toshiba SRP"/>
    <s v="DA140"/>
    <s v="DA1404284"/>
  </r>
  <r>
    <n v="1411"/>
    <s v="Suning"/>
    <s v="TKW"/>
    <x v="24"/>
    <n v="3"/>
    <x v="22"/>
    <x v="17"/>
    <s v="4毫米厚釜電飯煲1L"/>
    <s v="細電"/>
    <s v="SDA"/>
    <s v="10nmf"/>
    <n v="1"/>
    <n v="720"/>
    <n v="720"/>
    <n v="4285"/>
    <m/>
    <m/>
    <s v="RC-10NMFIH(WT) 4285"/>
    <n v="898"/>
    <n v="0.80178173719376389"/>
    <s v="Toshiba SRP"/>
    <s v="DA140"/>
    <s v="DA1404285"/>
  </r>
  <r>
    <n v="1412"/>
    <s v="Suning"/>
    <s v="TKW"/>
    <x v="24"/>
    <n v="3"/>
    <x v="23"/>
    <x v="87"/>
    <s v="變頻式環保雙門雪櫃(233L)"/>
    <s v="大電"/>
    <s v="REF"/>
    <s v="rt300"/>
    <n v="1"/>
    <n v="2880"/>
    <n v="2880"/>
    <n v="4294"/>
    <m/>
    <m/>
    <s v="GR-RT300WE-PMA(57) 4294"/>
    <n v="4280"/>
    <n v="0.67289719626168221"/>
    <s v="Toshiba SRP"/>
    <s v="DA140"/>
    <s v="DA1404294"/>
  </r>
  <r>
    <n v="1413"/>
    <s v="Suning"/>
    <s v="TKW"/>
    <x v="24"/>
    <n v="3"/>
    <x v="23"/>
    <x v="66"/>
    <s v="變頻下置式雙門雪櫃（163L）"/>
    <s v="大電"/>
    <s v="REF"/>
    <s v="rb221"/>
    <n v="1"/>
    <n v="2430"/>
    <n v="2430"/>
    <n v="4295"/>
    <m/>
    <m/>
    <s v="GR-RB221WE-PMA(57) 4295"/>
    <n v="3480"/>
    <n v="0.69827586206896552"/>
    <s v="Toshiba SRP"/>
    <s v="DA140"/>
    <s v="DA1404295"/>
  </r>
  <r>
    <n v="1414"/>
    <s v="Suning"/>
    <s v="TKW"/>
    <x v="24"/>
    <n v="3"/>
    <x v="23"/>
    <x v="66"/>
    <s v="變頻下置式雙門雪櫃（163L）"/>
    <s v="大電"/>
    <s v="REF"/>
    <s v="rb221"/>
    <n v="1"/>
    <n v="2430"/>
    <n v="2430"/>
    <n v="4297"/>
    <m/>
    <m/>
    <s v="GR-RB221WE-PMA(57) 4297"/>
    <n v="3480"/>
    <n v="0.69827586206896552"/>
    <s v="Toshiba SRP"/>
    <s v="DA140"/>
    <s v="DA1404297"/>
  </r>
  <r>
    <n v="1415"/>
    <s v="Suning"/>
    <s v="TKW"/>
    <x v="24"/>
    <n v="3"/>
    <x v="23"/>
    <x v="90"/>
    <s v="8公斤超薄身前置式變頻洗衣機"/>
    <s v="大電"/>
    <s v="LAD"/>
    <s v="bu90"/>
    <n v="1"/>
    <n v="3180"/>
    <n v="3180"/>
    <n v="4298"/>
    <m/>
    <m/>
    <s v="TW-T21BU90UWH(WW) 4298"/>
    <n v="5480"/>
    <n v="0.58029197080291972"/>
    <s v="Toshiba SRP"/>
    <s v="DA140"/>
    <s v="DA1404298"/>
  </r>
  <r>
    <n v="1416"/>
    <s v="Suning"/>
    <s v="TKW"/>
    <x v="24"/>
    <n v="3"/>
    <x v="23"/>
    <x v="92"/>
    <s v="1 匹 R32變頻窗口式冷氣機 (獨立抽濕遙控"/>
    <s v="大電"/>
    <s v="AC"/>
    <s v="09g3cvr"/>
    <n v="1"/>
    <n v="4280"/>
    <n v="4280"/>
    <n v="4305"/>
    <m/>
    <m/>
    <s v="RAC-09G3CVRGR-HK 4305"/>
    <n v="6980"/>
    <n v="0.61318051575931232"/>
    <s v="Toshiba SRP"/>
    <s v="DA140"/>
    <s v="DA1404305"/>
  </r>
  <r>
    <n v="1417"/>
    <s v="Suning"/>
    <s v="TKW"/>
    <x v="24"/>
    <n v="3"/>
    <x v="26"/>
    <x v="14"/>
    <s v="21L壓縮式抽濕機"/>
    <s v="大電"/>
    <s v="RAC"/>
    <s v="y200"/>
    <n v="1"/>
    <n v="1998"/>
    <n v="1998"/>
    <n v="4309"/>
    <m/>
    <m/>
    <s v="RAD-Y200H 4309"/>
    <n v="3280"/>
    <n v="0.60914634146341462"/>
    <s v="Toshiba SRP"/>
    <s v="DA140"/>
    <s v="DA1404309"/>
  </r>
  <r>
    <n v="1418"/>
    <s v="Suning"/>
    <s v="TKW"/>
    <x v="24"/>
    <n v="3"/>
    <x v="26"/>
    <x v="78"/>
    <s v="變頻式環保雙門雪櫃（179L）"/>
    <s v="大電"/>
    <s v="REF"/>
    <s v="rt234"/>
    <n v="1"/>
    <n v="1795"/>
    <n v="1795"/>
    <n v="4324"/>
    <m/>
    <m/>
    <s v="GR-RT234WE-PMA(57) 4324"/>
    <n v="3680"/>
    <n v="0.48777173913043476"/>
    <s v="Toshiba SRP"/>
    <s v="DA140"/>
    <s v="DA1404324"/>
  </r>
  <r>
    <n v="1419"/>
    <s v="Suning"/>
    <s v="TKW"/>
    <x v="24"/>
    <n v="3"/>
    <x v="26"/>
    <x v="81"/>
    <s v="470MM超薄身前置式變頻洗衣機(7.5公斤, 可飛頂)"/>
    <s v="大電"/>
    <s v="LAD"/>
    <s v="t2285"/>
    <n v="1"/>
    <n v="3380"/>
    <n v="3380"/>
    <n v="4326"/>
    <m/>
    <m/>
    <s v="TW-T22BU85UWH(WK)-B 4326"/>
    <n v="5480"/>
    <n v="0.61678832116788318"/>
    <s v="Toshiba SRP"/>
    <s v="DA140"/>
    <s v="DA1404326"/>
  </r>
  <r>
    <n v="1420"/>
    <s v="Suning"/>
    <s v="TKW"/>
    <x v="24"/>
    <n v="3"/>
    <x v="26"/>
    <x v="75"/>
    <s v="日式洗衣機 (8公斤 結合高低水位)"/>
    <s v="大電"/>
    <s v="LAD"/>
    <s v="q901"/>
    <n v="1"/>
    <n v="2288"/>
    <n v="2288"/>
    <n v="4314"/>
    <m/>
    <m/>
    <s v="AW-Q901BPH(WW) 4314"/>
    <n v="3780"/>
    <n v="0.60529100529100532"/>
    <s v="Toshiba SRP"/>
    <s v="DA140"/>
    <s v="DA1404314"/>
  </r>
  <r>
    <n v="1421"/>
    <s v="Suning"/>
    <s v="TKW"/>
    <x v="24"/>
    <n v="3"/>
    <x v="26"/>
    <x v="75"/>
    <s v="日式洗衣機 (8公斤 結合高低水位)"/>
    <s v="大電"/>
    <s v="LAD"/>
    <s v="q901"/>
    <n v="1"/>
    <n v="2208"/>
    <n v="2208"/>
    <n v="4335"/>
    <m/>
    <m/>
    <s v="AW-Q901BPH(WW) 4335"/>
    <n v="3780"/>
    <n v="0.58412698412698416"/>
    <s v="Toshiba SRP"/>
    <s v="DA140"/>
    <s v="DA1404335"/>
  </r>
  <r>
    <n v="1422"/>
    <s v="Suning"/>
    <s v="TKW"/>
    <x v="24"/>
    <n v="3"/>
    <x v="26"/>
    <x v="27"/>
    <s v="4毫米厚釜電飯煲1.8L"/>
    <s v="細電"/>
    <s v="SDA"/>
    <s v="18nmf"/>
    <n v="1"/>
    <n v="800"/>
    <n v="800"/>
    <n v="4336"/>
    <m/>
    <m/>
    <s v="RC-18NMFIH(WT) 4336"/>
    <n v="998"/>
    <n v="0.80160320641282568"/>
    <s v="Toshiba SRP"/>
    <s v="DA140"/>
    <s v="DA1404336"/>
  </r>
  <r>
    <n v="1423"/>
    <s v="Suning"/>
    <s v="TKW"/>
    <x v="24"/>
    <n v="3"/>
    <x v="26"/>
    <x v="76"/>
    <s v="日式洗衣機 (7公斤 結合高低水位)"/>
    <s v="大電"/>
    <s v="LAD"/>
    <s v="q801"/>
    <n v="1"/>
    <n v="1820"/>
    <n v="1820"/>
    <n v="4337"/>
    <m/>
    <m/>
    <s v="AW-Q801APH(WW) 4337"/>
    <n v="3380"/>
    <n v="0.53846153846153844"/>
    <s v="Toshiba SRP"/>
    <s v="DA140"/>
    <s v="DA1404337"/>
  </r>
  <r>
    <n v="1424"/>
    <s v="Suning"/>
    <s v="TKW"/>
    <x v="24"/>
    <n v="3"/>
    <x v="26"/>
    <x v="21"/>
    <s v="壓縮式抽濕機 (30公升)"/>
    <s v="細電"/>
    <s v="RAC"/>
    <s v="d300"/>
    <n v="1"/>
    <n v="2180"/>
    <n v="2180"/>
    <n v="4338"/>
    <m/>
    <m/>
    <s v="RAD-D300H 4338"/>
    <n v="3380"/>
    <n v="0.6449704142011834"/>
    <s v="Shops Highest Price"/>
    <s v="DA140"/>
    <s v="DA1404338"/>
  </r>
  <r>
    <n v="1425"/>
    <s v="Suning"/>
    <s v="TKW"/>
    <x v="24"/>
    <n v="3"/>
    <x v="26"/>
    <x v="21"/>
    <s v="壓縮式抽濕機 (30公升)"/>
    <s v="細電"/>
    <s v="RAC"/>
    <s v="d300"/>
    <n v="1"/>
    <n v="2180"/>
    <n v="2180"/>
    <n v="4339"/>
    <m/>
    <m/>
    <s v="RAD-D300H 4339"/>
    <n v="3380"/>
    <n v="0.6449704142011834"/>
    <s v="Shops Highest Price"/>
    <s v="DA140"/>
    <s v="DA1404339"/>
  </r>
  <r>
    <n v="1426"/>
    <s v="Suning"/>
    <s v="TKW"/>
    <x v="24"/>
    <n v="3"/>
    <x v="27"/>
    <x v="90"/>
    <s v="8公斤超薄身前置式變頻洗衣機"/>
    <s v="大電"/>
    <s v="LAD"/>
    <s v="bu90"/>
    <n v="1"/>
    <n v="3180"/>
    <n v="3180"/>
    <n v="4350"/>
    <m/>
    <m/>
    <s v="TW-T21BU90UWH(WW) 4350"/>
    <n v="5480"/>
    <n v="0.58029197080291972"/>
    <s v="Toshiba SRP"/>
    <s v="DA140"/>
    <s v="DA1404350"/>
  </r>
  <r>
    <n v="1427"/>
    <s v="Suning"/>
    <s v="TKW"/>
    <x v="24"/>
    <n v="3"/>
    <x v="27"/>
    <x v="25"/>
    <s v="超輕巧2合1無線吸塵機"/>
    <s v="細電"/>
    <s v="MCA"/>
    <s v="cls1b"/>
    <n v="1"/>
    <n v="1200"/>
    <n v="1200"/>
    <n v="4346"/>
    <m/>
    <m/>
    <s v="VC-CLS1BF(R) 4346"/>
    <n v="1888"/>
    <n v="0.63559322033898302"/>
    <s v="Toshiba SRP"/>
    <s v="DA140"/>
    <s v="DA1404346"/>
  </r>
  <r>
    <n v="1428"/>
    <s v="Suning"/>
    <s v="TKW"/>
    <x v="24"/>
    <n v="3"/>
    <x v="27"/>
    <x v="68"/>
    <s v="旋鈕式微波爐 (20公升)"/>
    <s v="細電"/>
    <s v="MCA"/>
    <s v="2mm20"/>
    <n v="1"/>
    <n v="588"/>
    <n v="588"/>
    <n v="4345"/>
    <m/>
    <m/>
    <s v="MM-2MM20PC(WH) 4345"/>
    <n v="738"/>
    <n v="0.7967479674796748"/>
    <s v="Toshiba SRP"/>
    <s v="DA140"/>
    <s v="DA1404345"/>
  </r>
  <r>
    <n v="1429"/>
    <s v="Suning"/>
    <s v="TKW"/>
    <x v="24"/>
    <n v="3"/>
    <x v="28"/>
    <x v="78"/>
    <s v="變頻式環保雙門雪櫃（179L）"/>
    <s v="大電"/>
    <s v="REF"/>
    <s v="rt234"/>
    <n v="1"/>
    <n v="1980"/>
    <n v="1980"/>
    <n v="4353"/>
    <m/>
    <m/>
    <s v="GR-RT234WE-PMA(57) 4353"/>
    <n v="3680"/>
    <n v="0.53804347826086951"/>
    <s v="Toshiba SRP"/>
    <s v="DA140"/>
    <s v="DA1404353"/>
  </r>
  <r>
    <n v="1430"/>
    <s v="Suning"/>
    <s v="TKW"/>
    <x v="24"/>
    <n v="3"/>
    <x v="28"/>
    <x v="61"/>
    <s v="酵活炊電飯煲(1.8公升)"/>
    <s v="細電"/>
    <s v="SDA"/>
    <s v="18amx"/>
    <n v="1"/>
    <n v="1188"/>
    <n v="1188"/>
    <n v="4364"/>
    <m/>
    <m/>
    <s v="RC-18AMXH(W) 4364"/>
    <n v="1588"/>
    <n v="0.74811083123425692"/>
    <s v="Toshiba SRP"/>
    <s v="DA140"/>
    <s v="DA1404364"/>
  </r>
  <r>
    <n v="1431"/>
    <s v="Suning"/>
    <s v="TKW"/>
    <x v="24"/>
    <n v="3"/>
    <x v="28"/>
    <x v="90"/>
    <s v="8公斤超薄身前置式變頻洗衣機"/>
    <s v="大電"/>
    <s v="LAD"/>
    <s v="bu90"/>
    <n v="1"/>
    <n v="3080"/>
    <n v="3080"/>
    <n v="4358"/>
    <m/>
    <m/>
    <s v="TW-T21BU90UWH(WW) 4358"/>
    <n v="5480"/>
    <n v="0.56204379562043794"/>
    <s v="Toshiba SRP"/>
    <s v="DA140"/>
    <s v="DA1404358"/>
  </r>
  <r>
    <n v="1432"/>
    <s v="Suning"/>
    <s v="TKW"/>
    <x v="24"/>
    <n v="3"/>
    <x v="28"/>
    <x v="76"/>
    <s v="日式洗衣機 (7公斤 結合高低水位)"/>
    <s v="大電"/>
    <s v="LAD"/>
    <s v="q801"/>
    <n v="1"/>
    <n v="1813"/>
    <n v="1813"/>
    <n v="4359"/>
    <m/>
    <m/>
    <s v="AW-Q801APH(WW) 4359"/>
    <n v="3380"/>
    <n v="0.53639053254437874"/>
    <s v="Toshiba SRP"/>
    <s v="DA140"/>
    <s v="DA1404359"/>
  </r>
  <r>
    <n v="1433"/>
    <s v="Suning"/>
    <s v="TKW"/>
    <x v="24"/>
    <n v="3"/>
    <x v="28"/>
    <x v="44"/>
    <s v="1.7L無線雙層電熱水壺"/>
    <s v="細電"/>
    <s v="SDA"/>
    <s v="17shnh"/>
    <n v="1"/>
    <n v="188"/>
    <n v="188"/>
    <n v="4351"/>
    <m/>
    <m/>
    <s v="KT-17SHNH 4351"/>
    <n v="299"/>
    <n v="0.62876254180602009"/>
    <s v="Shops Highest Price"/>
    <s v="DA140"/>
    <s v="DA1404351"/>
  </r>
  <r>
    <n v="1434"/>
    <s v="Suning"/>
    <s v="TKW"/>
    <x v="24"/>
    <n v="3"/>
    <x v="28"/>
    <x v="44"/>
    <s v="1.7L無線雙層電熱水壺"/>
    <s v="細電"/>
    <s v="SDA"/>
    <s v="17shnh"/>
    <n v="1"/>
    <n v="188"/>
    <n v="188"/>
    <n v="4352"/>
    <m/>
    <m/>
    <s v="KT-17SHNH 4352"/>
    <n v="299"/>
    <n v="0.62876254180602009"/>
    <s v="Shops Highest Price"/>
    <s v="DA140"/>
    <s v="DA1404352"/>
  </r>
  <r>
    <n v="1435"/>
    <s v="Suning"/>
    <s v="TKW"/>
    <x v="24"/>
    <n v="3"/>
    <x v="28"/>
    <x v="44"/>
    <s v="1.7L無線雙層電熱水壺"/>
    <s v="細電"/>
    <s v="SDA"/>
    <s v="17shnh"/>
    <n v="1"/>
    <n v="188"/>
    <n v="188"/>
    <n v="4361"/>
    <m/>
    <m/>
    <s v="KT-17SHNH 4361"/>
    <n v="299"/>
    <n v="0.62876254180602009"/>
    <s v="Shops Highest Price"/>
    <s v="DA140"/>
    <s v="DA1404361"/>
  </r>
  <r>
    <n v="1436"/>
    <s v="Suning"/>
    <s v="TKW"/>
    <x v="24"/>
    <n v="3"/>
    <x v="28"/>
    <x v="21"/>
    <s v="壓縮式抽濕機 (30公升)"/>
    <s v="細電"/>
    <s v="RAC"/>
    <s v="d300"/>
    <n v="1"/>
    <n v="2073"/>
    <n v="2073"/>
    <n v="4362"/>
    <m/>
    <m/>
    <s v="RAD-D300H 4362"/>
    <n v="3380"/>
    <n v="0.61331360946745561"/>
    <s v="Shops Highest Price"/>
    <s v="DA140"/>
    <s v="DA1404362"/>
  </r>
  <r>
    <n v="1437"/>
    <s v="Suning"/>
    <s v="TKW"/>
    <x v="24"/>
    <n v="3"/>
    <x v="29"/>
    <x v="66"/>
    <s v="變頻下置式雙門雪櫃（163L）"/>
    <s v="大電"/>
    <s v="REF"/>
    <s v="rb221"/>
    <n v="1"/>
    <n v="2430"/>
    <n v="2430"/>
    <n v="4368"/>
    <s v="4373&gt;4368"/>
    <m/>
    <s v="GR-RB221WE-PMA(57) 4368"/>
    <n v="3480"/>
    <n v="0.69827586206896552"/>
    <s v="Toshiba SRP"/>
    <s v="DA140"/>
    <s v="DA1404368"/>
  </r>
  <r>
    <n v="1438"/>
    <s v="Suning"/>
    <s v="TKW"/>
    <x v="24"/>
    <n v="3"/>
    <x v="28"/>
    <x v="90"/>
    <s v="8公斤超薄身前置式變頻洗衣機"/>
    <s v="大電"/>
    <s v="LAD"/>
    <s v="bu90"/>
    <n v="1"/>
    <n v="3080"/>
    <n v="3080"/>
    <n v="3940"/>
    <m/>
    <m/>
    <s v="TW-T21BU90UWH(WW) 3940"/>
    <n v="5480"/>
    <n v="0.56204379562043794"/>
    <s v="Toshiba SRP"/>
    <s v="DA140"/>
    <s v="DA1403940"/>
  </r>
  <r>
    <n v="1439"/>
    <s v="Suning"/>
    <s v="TKW"/>
    <x v="24"/>
    <n v="3"/>
    <x v="29"/>
    <x v="66"/>
    <s v="變頻下置式雙門雪櫃（163L）"/>
    <s v="大電"/>
    <s v="REF"/>
    <s v="rb221"/>
    <n v="1"/>
    <n v="2430"/>
    <n v="2430"/>
    <n v="4373"/>
    <m/>
    <m/>
    <s v="GR-RB221WE-PMA(57) 4373"/>
    <n v="3480"/>
    <n v="0.69827586206896552"/>
    <s v="Toshiba SRP"/>
    <s v="DA140"/>
    <s v="DA1404373"/>
  </r>
  <r>
    <n v="1440"/>
    <s v="Suning"/>
    <s v="TKW"/>
    <x v="24"/>
    <n v="3"/>
    <x v="29"/>
    <x v="68"/>
    <s v="旋鈕式微波爐 (20公升)"/>
    <s v="細電"/>
    <s v="MCA"/>
    <s v="2mm20"/>
    <n v="1"/>
    <n v="550"/>
    <n v="550"/>
    <n v="4368"/>
    <m/>
    <m/>
    <s v="MM-2MM20PC(WH) 4368"/>
    <n v="738"/>
    <n v="0.74525745257452569"/>
    <s v="Toshiba SRP"/>
    <s v="DA140"/>
    <s v="DA1404368"/>
  </r>
  <r>
    <n v="1441"/>
    <s v="Suning"/>
    <s v="TKW"/>
    <x v="24"/>
    <n v="3"/>
    <x v="29"/>
    <x v="27"/>
    <s v="4毫米厚釜電飯煲1.8L"/>
    <s v="細電"/>
    <s v="SDA"/>
    <s v="18nmf"/>
    <n v="1"/>
    <n v="800"/>
    <n v="800"/>
    <n v="4367"/>
    <m/>
    <m/>
    <s v="RC-18NMFIH(WT) 4367"/>
    <n v="998"/>
    <n v="0.80160320641282568"/>
    <s v="Toshiba SRP"/>
    <s v="DA140"/>
    <s v="DA1404367"/>
  </r>
  <r>
    <n v="1442"/>
    <s v="Suning"/>
    <s v="TKW"/>
    <x v="24"/>
    <n v="3"/>
    <x v="29"/>
    <x v="94"/>
    <s v="3/4 匹 窗口式冷氣機(remote)"/>
    <s v="大電"/>
    <s v="AC"/>
    <s v="07g3cvr"/>
    <n v="1"/>
    <n v="3380"/>
    <n v="3380"/>
    <n v="4376"/>
    <m/>
    <m/>
    <s v="RAC-07G3CVRGR-HK 4376"/>
    <n v="5580"/>
    <n v="0.60573476702508966"/>
    <s v="Toshiba SRP"/>
    <s v="DA140"/>
    <s v="DA1404376"/>
  </r>
  <r>
    <n v="1443"/>
    <s v="Suning"/>
    <s v="TKW"/>
    <x v="24"/>
    <n v="3"/>
    <x v="29"/>
    <x v="21"/>
    <s v="壓縮式抽濕機 (30公升)"/>
    <s v="細電"/>
    <s v="RAC"/>
    <s v="d300"/>
    <n v="1"/>
    <n v="2073"/>
    <n v="2073"/>
    <n v="4375"/>
    <m/>
    <m/>
    <s v="RAD-D300H 4375"/>
    <n v="3380"/>
    <n v="0.61331360946745561"/>
    <s v="Shops Highest Price"/>
    <s v="DA140"/>
    <s v="DA1404375"/>
  </r>
  <r>
    <n v="1444"/>
    <s v="Yata"/>
    <s v="TP_3"/>
    <x v="26"/>
    <n v="3"/>
    <x v="5"/>
    <x v="47"/>
    <s v="磁應電飯煲(1公升)"/>
    <s v="細電"/>
    <s v="SDA"/>
    <s v="10iss"/>
    <n v="1"/>
    <n v="898"/>
    <n v="898"/>
    <n v="403935"/>
    <m/>
    <m/>
    <s v="RC-10ISSHK(W) 403935"/>
    <n v="1188"/>
    <n v="0.75589225589225584"/>
    <s v="Shops Highest Price"/>
    <s v="DA140"/>
    <s v="DA140403935"/>
  </r>
  <r>
    <n v="1445"/>
    <s v="Yata"/>
    <s v="TP_3"/>
    <x v="26"/>
    <n v="3"/>
    <x v="5"/>
    <x v="17"/>
    <s v="4毫米厚釜電飯煲1L"/>
    <s v="細電"/>
    <s v="SDA"/>
    <s v="10nmf"/>
    <n v="1"/>
    <n v="719"/>
    <n v="719"/>
    <n v="416880"/>
    <m/>
    <m/>
    <s v="RC-10NMFIH(WT) 416880"/>
    <n v="898"/>
    <n v="0.80066815144766146"/>
    <s v="Toshiba SRP"/>
    <s v="DA140"/>
    <s v="DA140416880"/>
  </r>
  <r>
    <n v="1446"/>
    <s v="Yata"/>
    <s v="TP_3"/>
    <x v="26"/>
    <n v="3"/>
    <x v="5"/>
    <x v="16"/>
    <s v="輕便式電磁爐"/>
    <s v="細電"/>
    <s v="SDA"/>
    <s v="20r1"/>
    <n v="1"/>
    <n v="338"/>
    <n v="338"/>
    <s v="089370"/>
    <m/>
    <m/>
    <s v="IC-20R1THK 089370"/>
    <n v="438"/>
    <n v="0.77168949771689499"/>
    <s v="Shops Highest Price"/>
    <s v="DA140"/>
    <s v="DA140089370"/>
  </r>
  <r>
    <n v="1447"/>
    <s v="Yata"/>
    <s v="TP_3"/>
    <x v="26"/>
    <n v="3"/>
    <x v="5"/>
    <x v="16"/>
    <s v="輕便式電磁爐"/>
    <s v="細電"/>
    <s v="SDA"/>
    <s v="20r1"/>
    <n v="1"/>
    <n v="338"/>
    <n v="338"/>
    <n v="403953"/>
    <m/>
    <m/>
    <s v="IC-20R1THK 403953"/>
    <n v="438"/>
    <n v="0.77168949771689499"/>
    <s v="Shops Highest Price"/>
    <s v="DA140"/>
    <s v="DA140403953"/>
  </r>
  <r>
    <n v="1448"/>
    <s v="Yata"/>
    <s v="TP_3"/>
    <x v="26"/>
    <n v="3"/>
    <x v="5"/>
    <x v="30"/>
    <s v="旋鈕式燒烤微波爐20L"/>
    <s v="細電"/>
    <s v="SDA"/>
    <s v="mm20"/>
    <n v="1"/>
    <n v="488"/>
    <n v="488"/>
    <s v="089408"/>
    <m/>
    <m/>
    <s v="MWP-MM20P(WH) 089408"/>
    <n v="648"/>
    <n v="0.75308641975308643"/>
    <s v="Toshiba SRP"/>
    <s v="DA140"/>
    <s v="DA140089408"/>
  </r>
  <r>
    <n v="1449"/>
    <s v="Fortress"/>
    <s v="Vcity_2"/>
    <x v="27"/>
    <n v="3"/>
    <x v="1"/>
    <x v="50"/>
    <s v="輕便式電磁爐7個功能"/>
    <s v="細電"/>
    <s v="SDA"/>
    <s v="s19"/>
    <n v="1"/>
    <n v="418"/>
    <n v="418"/>
    <n v="414216"/>
    <m/>
    <m/>
    <s v="IC-S19RH 414216"/>
    <n v="638"/>
    <n v="0.65517241379310343"/>
    <s v="Toshiba SRP"/>
    <s v="DA140"/>
    <s v="DA140414216"/>
  </r>
  <r>
    <n v="1450"/>
    <s v="Fortress"/>
    <s v="Vcity_2"/>
    <x v="27"/>
    <n v="3"/>
    <x v="1"/>
    <x v="30"/>
    <s v="旋鈕式燒烤微波爐20L"/>
    <s v="細電"/>
    <s v="SDA"/>
    <s v="mm20"/>
    <n v="1"/>
    <n v="488"/>
    <n v="488"/>
    <n v="414227"/>
    <m/>
    <m/>
    <s v="MWP-MM20P(WH) 414227"/>
    <n v="648"/>
    <n v="0.75308641975308643"/>
    <s v="Toshiba SRP"/>
    <s v="DA140"/>
    <s v="DA140414227"/>
  </r>
  <r>
    <n v="1451"/>
    <s v="Fortress"/>
    <s v="Vcity_2"/>
    <x v="27"/>
    <n v="3"/>
    <x v="1"/>
    <x v="31"/>
    <s v="無線雙層電熱水壺(1.7公升)"/>
    <s v="細電"/>
    <s v="SDA"/>
    <s v="17drt"/>
    <n v="1"/>
    <n v="388"/>
    <n v="388"/>
    <n v="321197"/>
    <m/>
    <m/>
    <s v="KT-17DRTHK(H) 321197"/>
    <n v="498"/>
    <n v="0.77911646586345384"/>
    <s v="Toshiba SRP"/>
    <s v="DA140"/>
    <s v="DA140321197"/>
  </r>
  <r>
    <n v="1452"/>
    <s v="Fortress"/>
    <s v="Vcity_2"/>
    <x v="27"/>
    <n v="3"/>
    <x v="1"/>
    <x v="47"/>
    <s v="磁應電飯煲(1公升)"/>
    <s v="細電"/>
    <s v="SDA"/>
    <s v="10iss"/>
    <n v="1"/>
    <n v="938"/>
    <n v="938"/>
    <n v="321197"/>
    <m/>
    <m/>
    <s v="RC-10ISSHK(W) 321197"/>
    <n v="1188"/>
    <n v="0.78956228956228958"/>
    <s v="Shops Highest Price"/>
    <s v="DA140"/>
    <s v="DA140321197"/>
  </r>
  <r>
    <n v="1453"/>
    <s v="Fortress"/>
    <s v="Vcity_2"/>
    <x v="27"/>
    <n v="3"/>
    <x v="1"/>
    <x v="51"/>
    <s v="IH磁應電飯煲"/>
    <s v="細電"/>
    <s v="SDA"/>
    <s v="dr10tw"/>
    <n v="1"/>
    <n v="2380"/>
    <n v="2380"/>
    <n v="414244"/>
    <m/>
    <m/>
    <s v="RC-DR10T(W) 414244"/>
    <n v="3188"/>
    <n v="0.74654956085319946"/>
    <s v="Toshiba SRP"/>
    <s v="DA140"/>
    <s v="DA140414244"/>
  </r>
  <r>
    <n v="1454"/>
    <s v="Fortress"/>
    <s v="Vcity_2"/>
    <x v="27"/>
    <n v="3"/>
    <x v="2"/>
    <x v="17"/>
    <s v="4毫米厚釜電飯煲1L"/>
    <s v="細電"/>
    <s v="SDA"/>
    <s v="10nmf"/>
    <n v="1"/>
    <n v="719"/>
    <n v="719"/>
    <n v="414313"/>
    <m/>
    <m/>
    <s v="RC-10NMFIH(WT) 414313"/>
    <n v="898"/>
    <n v="0.80066815144766146"/>
    <s v="Toshiba SRP"/>
    <s v="DA140"/>
    <s v="DA140414313"/>
  </r>
  <r>
    <n v="1455"/>
    <s v="Fortress"/>
    <s v="Vcity_2"/>
    <x v="27"/>
    <n v="3"/>
    <x v="2"/>
    <x v="112"/>
    <s v="變頻日式洗衣機 (8.5公斤 結合高低水位)"/>
    <s v="大電"/>
    <s v="LAD"/>
    <s v="dq950"/>
    <n v="1"/>
    <n v="2580"/>
    <n v="2580"/>
    <n v="321263"/>
    <m/>
    <m/>
    <s v="AW-DQ950FPH(WW) 321263"/>
    <n v="3980"/>
    <n v="0.64824120603015079"/>
    <s v="Toshiba SRP"/>
    <s v="DA140"/>
    <s v="DA140321263"/>
  </r>
  <r>
    <n v="1456"/>
    <s v="Yata"/>
    <s v="Shatin_4"/>
    <x v="28"/>
    <n v="3"/>
    <x v="16"/>
    <x v="31"/>
    <s v="無線雙層電熱水壺(1.7公升)"/>
    <s v="細電"/>
    <s v="SDA"/>
    <s v="17drt"/>
    <n v="1"/>
    <n v="388"/>
    <n v="388"/>
    <n v="527948"/>
    <m/>
    <m/>
    <s v="KT-17DRTHK(H) 527948"/>
    <n v="498"/>
    <n v="0.77911646586345384"/>
    <s v="Toshiba SRP"/>
    <s v="DA140"/>
    <s v="DA140527948"/>
  </r>
  <r>
    <n v="1457"/>
    <s v="Yata"/>
    <s v="Shatin_4"/>
    <x v="28"/>
    <n v="3"/>
    <x v="16"/>
    <x v="36"/>
    <s v="輕觸式微波爐 (20公升)"/>
    <s v="細電"/>
    <s v="MCA"/>
    <s v="em20"/>
    <n v="1"/>
    <n v="598"/>
    <n v="598"/>
    <n v="346648"/>
    <m/>
    <m/>
    <s v="MM2-EM20PC(WH) 346648"/>
    <n v="788"/>
    <n v="0.75888324873096447"/>
    <s v="Toshiba SRP"/>
    <s v="DA140"/>
    <s v="DA140346648"/>
  </r>
  <r>
    <n v="1458"/>
    <s v="Yata"/>
    <s v="Shatin_4"/>
    <x v="28"/>
    <n v="3"/>
    <x v="16"/>
    <x v="118"/>
    <s v="IH磁應電飯煲"/>
    <s v="細電"/>
    <s v="SDA"/>
    <s v="dz4k"/>
    <n v="1"/>
    <n v="3280"/>
    <n v="3280"/>
    <n v="319056"/>
    <m/>
    <m/>
    <s v="RC-DZ4K(N) 319056"/>
    <n v="3888"/>
    <n v="0.84362139917695478"/>
    <s v="Shops Highest Price"/>
    <s v="DA140"/>
    <s v="DA140319056"/>
  </r>
  <r>
    <n v="1459"/>
    <s v="Yata"/>
    <s v="Shatin_4"/>
    <x v="28"/>
    <n v="3"/>
    <x v="16"/>
    <x v="31"/>
    <s v="無線雙層電熱水壺(1.7公升)"/>
    <s v="細電"/>
    <s v="SDA"/>
    <s v="17drt"/>
    <n v="1"/>
    <n v="388"/>
    <n v="388"/>
    <n v="346729"/>
    <m/>
    <m/>
    <s v="KT-17DRTHK(H) 346729"/>
    <n v="498"/>
    <n v="0.77911646586345384"/>
    <s v="Toshiba SRP"/>
    <s v="DA140"/>
    <s v="DA140346729"/>
  </r>
  <r>
    <n v="1460"/>
    <s v="Yata"/>
    <s v="Shatin_4"/>
    <x v="28"/>
    <n v="3"/>
    <x v="16"/>
    <x v="38"/>
    <s v="無線雙層電熱水壺-附可鎖壺蓋"/>
    <s v="細電"/>
    <s v="SDA"/>
    <s v="15drt"/>
    <n v="1"/>
    <n v="358"/>
    <n v="358"/>
    <n v="346738"/>
    <m/>
    <m/>
    <s v="KT-15DRTHK(W) 346738"/>
    <n v="598"/>
    <n v="0.59866220735785958"/>
    <s v="Toshiba SRP"/>
    <s v="DA140"/>
    <s v="DA140346738"/>
  </r>
  <r>
    <n v="1461"/>
    <s v="Yata"/>
    <s v="Shatin_4"/>
    <x v="28"/>
    <n v="3"/>
    <x v="16"/>
    <x v="39"/>
    <s v="酵活炊電飯煲(1.0公升)"/>
    <s v="細電"/>
    <s v="SDA"/>
    <s v="10amx"/>
    <n v="1"/>
    <n v="990"/>
    <n v="990"/>
    <n v="346738"/>
    <m/>
    <m/>
    <s v="RC-10AMXH(W) 346738"/>
    <n v="1288"/>
    <n v="0.76863354037267084"/>
    <s v="Toshiba SRP"/>
    <s v="DA140"/>
    <s v="DA140346738"/>
  </r>
  <r>
    <n v="1462"/>
    <s v="Yata"/>
    <s v="Shatin_4"/>
    <x v="28"/>
    <n v="3"/>
    <x v="16"/>
    <x v="21"/>
    <s v="壓縮式抽濕機 (30公升)"/>
    <s v="細電"/>
    <s v="RAC"/>
    <s v="d300"/>
    <n v="1"/>
    <n v="2280"/>
    <n v="2280"/>
    <n v="177128"/>
    <m/>
    <m/>
    <s v="RAD-D300H 177128"/>
    <n v="3380"/>
    <n v="0.67455621301775148"/>
    <s v="Shops Highest Price"/>
    <s v="DA140"/>
    <s v="DA140177128"/>
  </r>
  <r>
    <n v="1463"/>
    <s v="Yata"/>
    <s v="Shatin_4"/>
    <x v="28"/>
    <n v="3"/>
    <x v="16"/>
    <x v="44"/>
    <s v="1.7L無線雙層電熱水壺"/>
    <s v="細電"/>
    <s v="SDA"/>
    <s v="17shnh"/>
    <n v="1"/>
    <n v="198"/>
    <n v="198"/>
    <n v="346862"/>
    <m/>
    <m/>
    <s v="KT-17SHNH 346862"/>
    <n v="299"/>
    <n v="0.66220735785953178"/>
    <s v="Shops Highest Price"/>
    <s v="DA140"/>
    <s v="DA140346862"/>
  </r>
  <r>
    <n v="1464"/>
    <s v="Yata"/>
    <s v="Shatin_4"/>
    <x v="28"/>
    <n v="3"/>
    <x v="16"/>
    <x v="45"/>
    <s v="備長炭本厚釜電飯煲0.7L"/>
    <s v="細電"/>
    <s v="SDA"/>
    <s v="7hmh"/>
    <n v="1"/>
    <n v="838"/>
    <n v="838"/>
    <n v="528310"/>
    <m/>
    <m/>
    <s v="RC-7HMH 528310"/>
    <n v="1288"/>
    <n v="0.65062111801242239"/>
    <s v="Toshiba SRP"/>
    <s v="DA140"/>
    <s v="DA140528310"/>
  </r>
  <r>
    <n v="1465"/>
    <s v="Yata"/>
    <s v="Shatin_4"/>
    <x v="28"/>
    <n v="3"/>
    <x v="16"/>
    <x v="75"/>
    <s v="日式洗衣機 (8公斤 結合高低水位)"/>
    <s v="大電"/>
    <s v="LAD"/>
    <s v="q901"/>
    <n v="1"/>
    <n v="2280"/>
    <n v="2280"/>
    <n v="346887"/>
    <m/>
    <m/>
    <s v="AW-Q901BPH(WW) 346887"/>
    <n v="3780"/>
    <n v="0.60317460317460314"/>
    <s v="Toshiba SRP"/>
    <s v="DA140"/>
    <s v="DA140346887"/>
  </r>
  <r>
    <n v="1466"/>
    <s v="Yata"/>
    <s v="Shatin_4"/>
    <x v="28"/>
    <n v="3"/>
    <x v="11"/>
    <x v="38"/>
    <s v="無線雙層電熱水壺-附可鎖壺蓋"/>
    <s v="細電"/>
    <s v="SDA"/>
    <s v="15drt"/>
    <n v="1"/>
    <n v="358"/>
    <n v="358"/>
    <n v="528499"/>
    <m/>
    <m/>
    <s v="KT-15DRTHK(W) 528499"/>
    <n v="598"/>
    <n v="0.59866220735785958"/>
    <s v="Toshiba SRP"/>
    <s v="DA140"/>
    <s v="DA140528499"/>
  </r>
  <r>
    <n v="1467"/>
    <s v="Yata"/>
    <s v="Shatin_4"/>
    <x v="28"/>
    <n v="3"/>
    <x v="11"/>
    <x v="39"/>
    <s v="酵活炊電飯煲(1.0公升)"/>
    <s v="細電"/>
    <s v="SDA"/>
    <s v="10amx"/>
    <n v="1"/>
    <n v="990"/>
    <n v="990"/>
    <n v="528499"/>
    <m/>
    <m/>
    <s v="RC-10AMXH(W) 528499"/>
    <n v="1288"/>
    <n v="0.76863354037267084"/>
    <s v="Toshiba SRP"/>
    <s v="DA140"/>
    <s v="DA140528499"/>
  </r>
  <r>
    <n v="1468"/>
    <s v="Yata"/>
    <s v="Shatin_4"/>
    <x v="28"/>
    <n v="3"/>
    <x v="11"/>
    <x v="61"/>
    <s v="酵活炊電飯煲(1.8公升)"/>
    <s v="細電"/>
    <s v="SDA"/>
    <s v="18amx"/>
    <n v="1"/>
    <n v="990"/>
    <n v="990"/>
    <n v="346932"/>
    <m/>
    <m/>
    <s v="RC-18AMXH(W) 346932"/>
    <n v="1588"/>
    <n v="0.62342569269521408"/>
    <s v="Toshiba SRP"/>
    <s v="DA140"/>
    <s v="DA140346932"/>
  </r>
  <r>
    <n v="1469"/>
    <s v="Yata"/>
    <s v="Shatin_4"/>
    <x v="28"/>
    <n v="3"/>
    <x v="11"/>
    <x v="27"/>
    <s v="4毫米厚釜電飯煲1.8L"/>
    <s v="細電"/>
    <s v="SDA"/>
    <s v="18nmf"/>
    <n v="1"/>
    <n v="799"/>
    <n v="799"/>
    <n v="319194"/>
    <m/>
    <m/>
    <s v="RC-18NMFIH(WT) 319194"/>
    <n v="998"/>
    <n v="0.80060120240480959"/>
    <s v="Toshiba SRP"/>
    <s v="DA140"/>
    <s v="DA140319194"/>
  </r>
  <r>
    <n v="1470"/>
    <s v="Yata"/>
    <s v="Shatin_4"/>
    <x v="28"/>
    <n v="3"/>
    <x v="11"/>
    <x v="39"/>
    <s v="酵活炊電飯煲(1.0公升)"/>
    <s v="細電"/>
    <s v="SDA"/>
    <s v="10amx"/>
    <n v="1"/>
    <n v="990"/>
    <n v="990"/>
    <n v="319257"/>
    <m/>
    <m/>
    <s v="RC-10AMXH(W) 319257"/>
    <n v="1288"/>
    <n v="0.76863354037267084"/>
    <s v="Toshiba SRP"/>
    <s v="DA140"/>
    <s v="DA140319257"/>
  </r>
  <r>
    <n v="1471"/>
    <s v="Yata"/>
    <s v="Shatin_4"/>
    <x v="28"/>
    <n v="3"/>
    <x v="11"/>
    <x v="45"/>
    <s v="備長炭本厚釜電飯煲0.7L"/>
    <s v="細電"/>
    <s v="SDA"/>
    <s v="7hmh"/>
    <n v="1"/>
    <n v="838"/>
    <n v="838"/>
    <n v="319272"/>
    <m/>
    <m/>
    <s v="RC-7HMH 319272"/>
    <n v="1288"/>
    <n v="0.65062111801242239"/>
    <s v="Toshiba SRP"/>
    <s v="DA140"/>
    <s v="DA140319272"/>
  </r>
  <r>
    <n v="1472"/>
    <s v="Yata"/>
    <s v="Shatin_4"/>
    <x v="28"/>
    <n v="3"/>
    <x v="11"/>
    <x v="44"/>
    <s v="1.7L無線雙層電熱水壺"/>
    <s v="細電"/>
    <s v="SDA"/>
    <s v="17shnh"/>
    <n v="1"/>
    <n v="198"/>
    <n v="198"/>
    <n v="528687"/>
    <m/>
    <m/>
    <s v="KT-17SHNH 528687"/>
    <n v="299"/>
    <n v="0.66220735785953178"/>
    <s v="Shops Highest Price"/>
    <s v="DA140"/>
    <s v="DA140528687"/>
  </r>
  <r>
    <n v="1473"/>
    <s v="Yata"/>
    <s v="Shatin_4"/>
    <x v="28"/>
    <n v="3"/>
    <x v="12"/>
    <x v="27"/>
    <s v="4毫米厚釜電飯煲1.8L"/>
    <s v="細電"/>
    <s v="SDA"/>
    <s v="18nmf"/>
    <n v="1"/>
    <n v="799"/>
    <n v="799"/>
    <n v="528862"/>
    <m/>
    <m/>
    <s v="RC-18NMFIH(WT) 528862"/>
    <n v="998"/>
    <n v="0.80060120240480959"/>
    <s v="Toshiba SRP"/>
    <s v="DA140"/>
    <s v="DA140528862"/>
  </r>
  <r>
    <n v="1474"/>
    <s v="Yata"/>
    <s v="Shatin_4"/>
    <x v="28"/>
    <n v="3"/>
    <x v="12"/>
    <x v="56"/>
    <s v="多士焗爐8L"/>
    <s v="細電"/>
    <s v="SDA"/>
    <n v="7080"/>
    <n v="1"/>
    <n v="358"/>
    <n v="358"/>
    <n v="528941"/>
    <m/>
    <m/>
    <s v="ET-TD7080(PN) 528941"/>
    <n v="498"/>
    <n v="0.71887550200803207"/>
    <s v="Toshiba SRP"/>
    <s v="DA140"/>
    <s v="DA140528941"/>
  </r>
  <r>
    <n v="1475"/>
    <s v="Yata"/>
    <s v="Shatin_4"/>
    <x v="28"/>
    <n v="3"/>
    <x v="12"/>
    <x v="44"/>
    <s v="1.7L無線雙層電熱水壺"/>
    <s v="細電"/>
    <s v="SDA"/>
    <s v="17shnh"/>
    <n v="1"/>
    <n v="198"/>
    <n v="198"/>
    <n v="319399"/>
    <m/>
    <m/>
    <s v="KT-17SHNH 319399"/>
    <n v="299"/>
    <n v="0.66220735785953178"/>
    <s v="Shops Highest Price"/>
    <s v="DA140"/>
    <s v="DA140319399"/>
  </r>
  <r>
    <n v="1476"/>
    <s v="Yata"/>
    <s v="Shatin_4"/>
    <x v="28"/>
    <n v="3"/>
    <x v="12"/>
    <x v="29"/>
    <s v="酵活炊磁應電飯煲"/>
    <s v="細電"/>
    <s v="SDA"/>
    <s v="10bh"/>
    <n v="1"/>
    <n v="1888"/>
    <n v="1888"/>
    <n v="529219"/>
    <m/>
    <m/>
    <s v="RC-10BHH(W) 529219"/>
    <n v="2088"/>
    <n v="0.90421455938697315"/>
    <s v="Shops Highest Price"/>
    <s v="DA140"/>
    <s v="DA140529219"/>
  </r>
  <r>
    <n v="1477"/>
    <s v="Yata"/>
    <s v="TP_3"/>
    <x v="26"/>
    <n v="3"/>
    <x v="14"/>
    <x v="38"/>
    <s v="無線雙層電熱水壺-附可鎖壺蓋"/>
    <s v="細電"/>
    <s v="SDA"/>
    <s v="15drt"/>
    <n v="1"/>
    <n v="358"/>
    <n v="358"/>
    <s v="020244"/>
    <m/>
    <m/>
    <s v="KT-15DRTHK(W) 020244"/>
    <n v="598"/>
    <n v="0.59866220735785958"/>
    <s v="Toshiba SRP"/>
    <s v="DA140"/>
    <s v="DA140020244"/>
  </r>
  <r>
    <n v="1478"/>
    <s v="Yata"/>
    <s v="TP_3"/>
    <x v="26"/>
    <n v="3"/>
    <x v="14"/>
    <x v="29"/>
    <s v="酵活炊磁應電飯煲"/>
    <s v="細電"/>
    <s v="SDA"/>
    <s v="10bh"/>
    <n v="1"/>
    <n v="1888"/>
    <n v="1888"/>
    <s v="090867"/>
    <m/>
    <m/>
    <s v="RC-10BHH(W) 090867"/>
    <n v="2088"/>
    <n v="0.90421455938697315"/>
    <s v="Shops Highest Price"/>
    <s v="DA140"/>
    <s v="DA140090867"/>
  </r>
  <r>
    <n v="1479"/>
    <s v="Yata"/>
    <s v="TP_3"/>
    <x v="26"/>
    <n v="3"/>
    <x v="14"/>
    <x v="36"/>
    <s v="輕觸式微波爐 (20公升)"/>
    <s v="細電"/>
    <s v="MCA"/>
    <s v="em20"/>
    <n v="1"/>
    <n v="598"/>
    <n v="598"/>
    <n v="420357"/>
    <m/>
    <m/>
    <s v="MM2-EM20PC(WH) 420357"/>
    <n v="788"/>
    <n v="0.75888324873096447"/>
    <s v="Toshiba SRP"/>
    <s v="DA140"/>
    <s v="DA140420357"/>
  </r>
  <r>
    <n v="1480"/>
    <s v="Yata"/>
    <s v="TP_3"/>
    <x v="26"/>
    <n v="3"/>
    <x v="15"/>
    <x v="7"/>
    <s v="4毫米厚釜電飯煲0.54L"/>
    <s v="細電"/>
    <s v="SDA"/>
    <s v="5mm"/>
    <n v="1"/>
    <n v="557"/>
    <n v="557"/>
    <n v="324564"/>
    <m/>
    <m/>
    <s v="RC-5MMIH(WT) 324564"/>
    <n v="618"/>
    <n v="0.90129449838187703"/>
    <s v="Toshiba SRP"/>
    <s v="DA140"/>
    <s v="DA140324564"/>
  </r>
  <r>
    <n v="1481"/>
    <s v="Yata"/>
    <s v="TP_3"/>
    <x v="26"/>
    <n v="3"/>
    <x v="15"/>
    <x v="31"/>
    <s v="無線雙層電熱水壺(1.7公升)"/>
    <s v="細電"/>
    <s v="SDA"/>
    <s v="17drt"/>
    <n v="1"/>
    <n v="388"/>
    <n v="388"/>
    <n v="324697"/>
    <m/>
    <m/>
    <s v="KT-17DRTHK(H) 324697"/>
    <n v="498"/>
    <n v="0.77911646586345384"/>
    <s v="Toshiba SRP"/>
    <s v="DA140"/>
    <s v="DA140324697"/>
  </r>
  <r>
    <n v="1482"/>
    <s v="Yata"/>
    <s v="TP_3"/>
    <x v="26"/>
    <n v="3"/>
    <x v="15"/>
    <x v="20"/>
    <s v="壓縮式抽濕機 (22公升)"/>
    <s v="細電"/>
    <s v="RAC"/>
    <s v="d200"/>
    <n v="1"/>
    <n v="1980"/>
    <n v="1980"/>
    <n v="324673"/>
    <m/>
    <m/>
    <s v="RAD-D200H 324673"/>
    <n v="2880"/>
    <n v="0.6875"/>
    <s v="Shops Highest Price"/>
    <s v="DA140"/>
    <s v="DA140324673"/>
  </r>
  <r>
    <n v="1483"/>
    <s v="Suning"/>
    <s v="TM"/>
    <x v="29"/>
    <n v="3"/>
    <x v="0"/>
    <x v="116"/>
    <s v="IH磁應電飯煲"/>
    <s v="細電"/>
    <s v="SDA"/>
    <s v="ds18kw"/>
    <n v="1"/>
    <n v="3480"/>
    <n v="3480"/>
    <s v="DA1418598"/>
    <m/>
    <m/>
    <s v="RC-DS18K(N) DA1418598"/>
    <n v="4988"/>
    <n v="0.69767441860465118"/>
    <s v="Toshiba SRP"/>
    <s v="DA141"/>
    <s v="DA141DA1418598"/>
  </r>
  <r>
    <n v="1484"/>
    <s v="Suning"/>
    <s v="TM"/>
    <x v="29"/>
    <n v="3"/>
    <x v="0"/>
    <x v="33"/>
    <s v="輕觸式燒烤微波爐"/>
    <s v="細電"/>
    <s v="MCA"/>
    <s v="eg20"/>
    <n v="1"/>
    <n v="698"/>
    <n v="698"/>
    <s v="DA1418675"/>
    <m/>
    <m/>
    <s v="MM2-EG20PC(WH) DA1418675"/>
    <n v="918"/>
    <n v="0.76034858387799564"/>
    <s v="Shops Highest Price"/>
    <s v="DA141"/>
    <s v="DA141DA1418675"/>
  </r>
  <r>
    <n v="1485"/>
    <s v="Suning"/>
    <s v="TM"/>
    <x v="29"/>
    <n v="3"/>
    <x v="0"/>
    <x v="78"/>
    <s v="變頻式環保雙門雪櫃（179L）"/>
    <s v="大電"/>
    <s v="REF"/>
    <s v="rt234"/>
    <n v="1"/>
    <n v="1980"/>
    <n v="1980"/>
    <s v="DA1418689"/>
    <m/>
    <m/>
    <s v="GR-RT234WE-PMA(57) DA1418689"/>
    <n v="3680"/>
    <n v="0.53804347826086951"/>
    <s v="Toshiba SRP"/>
    <s v="DA141"/>
    <s v="DA141DA1418689"/>
  </r>
  <r>
    <n v="1486"/>
    <s v="Suning"/>
    <s v="TM"/>
    <x v="29"/>
    <n v="3"/>
    <x v="0"/>
    <x v="68"/>
    <s v="旋鈕式微波爐 (20公升)"/>
    <s v="細電"/>
    <s v="MCA"/>
    <s v="2mm20"/>
    <n v="1"/>
    <n v="610"/>
    <n v="610"/>
    <s v="DA1418699"/>
    <m/>
    <m/>
    <s v="MM-2MM20PC(WH) DA1418699"/>
    <n v="738"/>
    <n v="0.82655826558265577"/>
    <s v="Toshiba SRP"/>
    <s v="DA141"/>
    <s v="DA141DA1418699"/>
  </r>
  <r>
    <n v="1487"/>
    <s v="Suning"/>
    <s v="TM"/>
    <x v="29"/>
    <n v="3"/>
    <x v="0"/>
    <x v="74"/>
    <s v="4合1氣炸微波蒸焗爐(25公升)"/>
    <s v="細電"/>
    <s v="MCA"/>
    <s v="str25"/>
    <n v="1"/>
    <n v="3250"/>
    <n v="3250"/>
    <s v="DA1418713"/>
    <m/>
    <m/>
    <s v="MX2-STR25SC(WH) DA1418713"/>
    <n v="4998"/>
    <n v="0.6502601040416166"/>
    <s v="Toshiba SRP"/>
    <s v="DA141"/>
    <s v="DA141DA1418713"/>
  </r>
  <r>
    <n v="1488"/>
    <s v="Suning"/>
    <s v="TM"/>
    <x v="29"/>
    <n v="3"/>
    <x v="0"/>
    <x v="38"/>
    <s v="無線雙層電熱水壺-附可鎖壺蓋"/>
    <s v="細電"/>
    <s v="SDA"/>
    <s v="15drt"/>
    <n v="1"/>
    <n v="358"/>
    <n v="358"/>
    <s v="DA1418728"/>
    <m/>
    <m/>
    <s v="KT-15DRTHK(W) DA1418728"/>
    <n v="598"/>
    <n v="0.59866220735785958"/>
    <s v="Toshiba SRP"/>
    <s v="DA141"/>
    <s v="DA141DA1418728"/>
  </r>
  <r>
    <n v="1489"/>
    <s v="Suning"/>
    <s v="TM"/>
    <x v="29"/>
    <n v="3"/>
    <x v="5"/>
    <x v="36"/>
    <s v="輕觸式微波爐 (20公升)"/>
    <s v="細電"/>
    <s v="MCA"/>
    <s v="em20"/>
    <n v="1"/>
    <n v="650"/>
    <n v="650"/>
    <s v="DA1418786"/>
    <m/>
    <m/>
    <s v="MM2-EM20PC(WH) DA1418786"/>
    <n v="788"/>
    <n v="0.82487309644670048"/>
    <s v="Toshiba SRP"/>
    <s v="DA141"/>
    <s v="DA141DA1418786"/>
  </r>
  <r>
    <n v="1490"/>
    <s v="Suning"/>
    <s v="TM"/>
    <x v="29"/>
    <n v="3"/>
    <x v="5"/>
    <x v="63"/>
    <s v="20L 智能蒸氣焗爐"/>
    <s v="細電"/>
    <s v="MCA"/>
    <s v="stq20"/>
    <n v="1"/>
    <n v="1998"/>
    <n v="1998"/>
    <s v="DA1418816"/>
    <m/>
    <m/>
    <s v="MS3-STQ20SC(WH) DA1418816"/>
    <n v="2880"/>
    <n v="0.69374999999999998"/>
    <s v="Toshiba SRP"/>
    <s v="DA141"/>
    <s v="DA141DA1418816"/>
  </r>
  <r>
    <n v="1491"/>
    <s v="Suning"/>
    <s v="TM"/>
    <x v="29"/>
    <n v="3"/>
    <x v="5"/>
    <x v="29"/>
    <s v="酵活炊磁應電飯煲"/>
    <s v="細電"/>
    <s v="SDA"/>
    <s v="10bh"/>
    <n v="1"/>
    <n v="1700"/>
    <n v="1700"/>
    <s v="DA1418854"/>
    <m/>
    <m/>
    <s v="RC-10BHH(W) DA1418854"/>
    <n v="2088"/>
    <n v="0.81417624521072796"/>
    <s v="Shops Highest Price"/>
    <s v="DA141"/>
    <s v="DA141DA1418854"/>
  </r>
  <r>
    <n v="1492"/>
    <s v="Suning"/>
    <s v="TM"/>
    <x v="29"/>
    <n v="3"/>
    <x v="5"/>
    <x v="34"/>
    <s v="智能氣炸烤焗爐(24公升)"/>
    <s v="細電"/>
    <s v="MCA"/>
    <s v="sac24"/>
    <n v="1"/>
    <n v="1194"/>
    <n v="1194"/>
    <s v="DA1418870"/>
    <m/>
    <m/>
    <s v="MW3-SAC24SE(BK) DA1418870"/>
    <n v="1680"/>
    <n v="0.71071428571428574"/>
    <s v="Toshiba SRP"/>
    <s v="DA141"/>
    <s v="DA141DA1418870"/>
  </r>
  <r>
    <n v="1493"/>
    <s v="Suning"/>
    <s v="TM"/>
    <x v="29"/>
    <n v="3"/>
    <x v="6"/>
    <x v="21"/>
    <s v="壓縮式抽濕機 (30公升)"/>
    <s v="細電"/>
    <s v="RAC"/>
    <s v="d300"/>
    <n v="1"/>
    <n v="2280"/>
    <n v="2280"/>
    <s v="DA1418914"/>
    <m/>
    <m/>
    <s v="RAD-D300H DA1418914"/>
    <n v="3380"/>
    <n v="0.67455621301775148"/>
    <s v="Shops Highest Price"/>
    <s v="DA141"/>
    <s v="DA141DA1418914"/>
  </r>
  <r>
    <n v="1494"/>
    <s v="Suning"/>
    <s v="TM"/>
    <x v="29"/>
    <n v="3"/>
    <x v="6"/>
    <x v="33"/>
    <s v="輕觸式燒烤微波爐"/>
    <s v="細電"/>
    <s v="MCA"/>
    <s v="eg20"/>
    <n v="1"/>
    <n v="698"/>
    <n v="698"/>
    <s v="DA1418942"/>
    <m/>
    <m/>
    <s v="MM2-EG20PC(WH) DA1418942"/>
    <n v="918"/>
    <n v="0.76034858387799564"/>
    <s v="Shops Highest Price"/>
    <s v="DA141"/>
    <s v="DA141DA1418942"/>
  </r>
  <r>
    <n v="1495"/>
    <s v="Suning"/>
    <s v="TM"/>
    <x v="29"/>
    <n v="3"/>
    <x v="6"/>
    <x v="21"/>
    <s v="壓縮式抽濕機 (30公升)"/>
    <s v="細電"/>
    <s v="RAC"/>
    <s v="d300"/>
    <n v="1"/>
    <n v="2280"/>
    <n v="2280"/>
    <s v="DA1418953"/>
    <m/>
    <m/>
    <s v="RAD-D300H DA1418953"/>
    <n v="3380"/>
    <n v="0.67455621301775148"/>
    <s v="Shops Highest Price"/>
    <s v="DA141"/>
    <s v="DA141DA1418953"/>
  </r>
  <r>
    <n v="1496"/>
    <s v="Suning"/>
    <s v="TM"/>
    <x v="29"/>
    <n v="3"/>
    <x v="6"/>
    <x v="94"/>
    <s v="3/4 匹 窗口式冷氣機(remote)"/>
    <s v="大電"/>
    <s v="AC"/>
    <s v="07g3cvr"/>
    <n v="1"/>
    <n v="3980"/>
    <n v="3980"/>
    <s v="DA1418957"/>
    <m/>
    <m/>
    <s v="RAC-07G3CVRGR-HK DA1418957"/>
    <n v="5580"/>
    <n v="0.71326164874551967"/>
    <s v="Toshiba SRP"/>
    <s v="DA141"/>
    <s v="DA141DA1418957"/>
  </r>
  <r>
    <n v="1497"/>
    <s v="Suning"/>
    <s v="TM"/>
    <x v="29"/>
    <n v="3"/>
    <x v="6"/>
    <x v="21"/>
    <s v="壓縮式抽濕機 (30公升)"/>
    <s v="細電"/>
    <s v="RAC"/>
    <s v="d300"/>
    <n v="1"/>
    <n v="2280"/>
    <n v="2280"/>
    <s v="DA1418962"/>
    <m/>
    <m/>
    <s v="RAD-D300H DA1418962"/>
    <n v="3380"/>
    <n v="0.67455621301775148"/>
    <s v="Shops Highest Price"/>
    <s v="DA141"/>
    <s v="DA141DA1418962"/>
  </r>
  <r>
    <n v="1498"/>
    <s v="Suning"/>
    <s v="TM"/>
    <x v="29"/>
    <n v="3"/>
    <x v="6"/>
    <x v="21"/>
    <s v="壓縮式抽濕機 (30公升)"/>
    <s v="細電"/>
    <s v="RAC"/>
    <s v="d300"/>
    <n v="1"/>
    <n v="2280"/>
    <n v="2280"/>
    <s v="DA1418998"/>
    <m/>
    <m/>
    <s v="RAD-D300H DA1418998"/>
    <n v="3380"/>
    <n v="0.67455621301775148"/>
    <s v="Shops Highest Price"/>
    <s v="DA141"/>
    <s v="DA141DA1418998"/>
  </r>
  <r>
    <n v="1499"/>
    <s v="Suning"/>
    <s v="TM"/>
    <x v="29"/>
    <n v="3"/>
    <x v="6"/>
    <x v="21"/>
    <s v="壓縮式抽濕機 (30公升)"/>
    <s v="細電"/>
    <s v="RAC"/>
    <s v="d300"/>
    <n v="1"/>
    <n v="2280"/>
    <n v="2280"/>
    <s v="DA1419013"/>
    <m/>
    <m/>
    <s v="RAD-D300H DA1419013"/>
    <n v="3380"/>
    <n v="0.67455621301775148"/>
    <s v="Shops Highest Price"/>
    <s v="DA141"/>
    <s v="DA141DA1419013"/>
  </r>
  <r>
    <n v="1500"/>
    <s v="Suning"/>
    <s v="TM"/>
    <x v="29"/>
    <n v="3"/>
    <x v="6"/>
    <x v="74"/>
    <s v="4合1氣炸微波蒸焗爐(25公升)"/>
    <s v="細電"/>
    <s v="MCA"/>
    <s v="str25"/>
    <n v="1"/>
    <n v="3250"/>
    <n v="3250"/>
    <s v="DA1419018"/>
    <m/>
    <m/>
    <s v="MX2-STR25SC(WH) DA1419018"/>
    <n v="4998"/>
    <n v="0.6502601040416166"/>
    <s v="Toshiba SRP"/>
    <s v="DA141"/>
    <s v="DA141DA1419018"/>
  </r>
  <r>
    <n v="1501"/>
    <s v="Suning"/>
    <s v="TM"/>
    <x v="29"/>
    <n v="3"/>
    <x v="7"/>
    <x v="36"/>
    <s v="輕觸式微波爐 (20公升)"/>
    <s v="細電"/>
    <s v="MCA"/>
    <s v="em20"/>
    <n v="1"/>
    <n v="568"/>
    <n v="568"/>
    <s v="DA1419076"/>
    <m/>
    <m/>
    <s v="MM2-EM20PC(WH) DA1419076"/>
    <n v="788"/>
    <n v="0.7208121827411168"/>
    <s v="Toshiba SRP"/>
    <s v="DA141"/>
    <s v="DA141DA1419076"/>
  </r>
  <r>
    <n v="1502"/>
    <s v="Suning"/>
    <s v="TM"/>
    <x v="29"/>
    <n v="3"/>
    <x v="7"/>
    <x v="74"/>
    <s v="4合1氣炸微波蒸焗爐(25公升)"/>
    <s v="細電"/>
    <s v="MCA"/>
    <s v="str25"/>
    <n v="1"/>
    <n v="3250"/>
    <n v="3250"/>
    <s v="DA1419080"/>
    <m/>
    <m/>
    <s v="MX2-STR25SC(WH) DA1419080"/>
    <n v="4998"/>
    <n v="0.6502601040416166"/>
    <s v="Toshiba SRP"/>
    <s v="DA141"/>
    <s v="DA141DA1419080"/>
  </r>
  <r>
    <n v="1503"/>
    <s v="Suning"/>
    <s v="TM"/>
    <x v="29"/>
    <n v="3"/>
    <x v="7"/>
    <x v="47"/>
    <s v="磁應電飯煲(1公升)"/>
    <s v="細電"/>
    <s v="SDA"/>
    <s v="10iss"/>
    <n v="1"/>
    <n v="898"/>
    <n v="898"/>
    <s v="DA1419089"/>
    <m/>
    <m/>
    <s v="RC-10ISSHK(W) DA1419089"/>
    <n v="1188"/>
    <n v="0.75589225589225584"/>
    <s v="Shops Highest Price"/>
    <s v="DA141"/>
    <s v="DA141DA1419089"/>
  </r>
  <r>
    <n v="1504"/>
    <s v="Suning"/>
    <s v="TM"/>
    <x v="29"/>
    <n v="3"/>
    <x v="7"/>
    <x v="31"/>
    <s v="無線雙層電熱水壺(1.7公升)"/>
    <s v="細電"/>
    <s v="SDA"/>
    <s v="17drt"/>
    <n v="1"/>
    <n v="358"/>
    <n v="358"/>
    <s v="DA1419098"/>
    <m/>
    <m/>
    <s v="KT-17DRTHK(H) DA1419098"/>
    <n v="498"/>
    <n v="0.71887550200803207"/>
    <s v="Toshiba SRP"/>
    <s v="DA141"/>
    <s v="DA141DA1419098"/>
  </r>
  <r>
    <n v="1505"/>
    <s v="Suning"/>
    <s v="TM"/>
    <x v="29"/>
    <n v="3"/>
    <x v="7"/>
    <x v="29"/>
    <s v="酵活炊磁應電飯煲"/>
    <s v="細電"/>
    <s v="SDA"/>
    <s v="10bh"/>
    <n v="1"/>
    <n v="1700"/>
    <n v="1700"/>
    <s v="DA1419100"/>
    <m/>
    <m/>
    <s v="RC-10BHH(W) DA1419100"/>
    <n v="2088"/>
    <n v="0.81417624521072796"/>
    <s v="Shops Highest Price"/>
    <s v="DA141"/>
    <s v="DA141DA1419100"/>
  </r>
  <r>
    <n v="1506"/>
    <s v="Suning"/>
    <s v="TM"/>
    <x v="29"/>
    <n v="3"/>
    <x v="7"/>
    <x v="20"/>
    <s v="壓縮式抽濕機 (22公升)"/>
    <s v="細電"/>
    <s v="RAC"/>
    <s v="d200"/>
    <n v="1"/>
    <n v="2180"/>
    <n v="2180"/>
    <s v="DA1419112"/>
    <m/>
    <m/>
    <s v="RAD-D200H DA1419112"/>
    <n v="2880"/>
    <n v="0.75694444444444442"/>
    <s v="Shops Highest Price"/>
    <s v="DA141"/>
    <s v="DA141DA1419112"/>
  </r>
  <r>
    <n v="1507"/>
    <s v="Suning"/>
    <s v="TM"/>
    <x v="29"/>
    <n v="3"/>
    <x v="7"/>
    <x v="47"/>
    <s v="磁應電飯煲(1公升)"/>
    <s v="細電"/>
    <s v="SDA"/>
    <s v="10iss"/>
    <n v="1"/>
    <n v="898"/>
    <n v="898"/>
    <s v="DA1419124"/>
    <m/>
    <m/>
    <s v="RC-10ISSHK(W) DA1419124"/>
    <n v="1188"/>
    <n v="0.75589225589225584"/>
    <s v="Shops Highest Price"/>
    <s v="DA141"/>
    <s v="DA141DA1419124"/>
  </r>
  <r>
    <n v="1508"/>
    <s v="Suning"/>
    <s v="TM"/>
    <x v="29"/>
    <n v="3"/>
    <x v="7"/>
    <x v="93"/>
    <s v="座檯式洗碗碟機"/>
    <s v="細電"/>
    <s v="DW"/>
    <s v="05t2"/>
    <n v="1"/>
    <n v="3498"/>
    <n v="3498"/>
    <s v="DA1419164"/>
    <m/>
    <m/>
    <s v="DW-05T2-HK DA1419164"/>
    <n v="4580"/>
    <n v="0.76375545851528381"/>
    <s v="Toshiba SRP"/>
    <s v="DA141"/>
    <s v="DA141DA1419164"/>
  </r>
  <r>
    <n v="1509"/>
    <s v="Suning"/>
    <s v="TM"/>
    <x v="29"/>
    <n v="3"/>
    <x v="1"/>
    <x v="63"/>
    <s v="20L 智能蒸氣焗爐"/>
    <s v="細電"/>
    <s v="MCA"/>
    <s v="stq20"/>
    <n v="1"/>
    <n v="1998"/>
    <n v="1998"/>
    <s v="DA1419220"/>
    <m/>
    <m/>
    <s v="MS3-STQ20SC(WH) DA1419220"/>
    <n v="2880"/>
    <n v="0.69374999999999998"/>
    <s v="Toshiba SRP"/>
    <s v="DA141"/>
    <s v="DA141DA1419220"/>
  </r>
  <r>
    <n v="1510"/>
    <s v="Suning"/>
    <s v="TM"/>
    <x v="29"/>
    <n v="3"/>
    <x v="1"/>
    <x v="25"/>
    <s v="超輕巧2合1無線吸塵機"/>
    <s v="細電"/>
    <s v="MCA"/>
    <s v="cls1b"/>
    <n v="1"/>
    <n v="1088"/>
    <n v="1088"/>
    <s v="DA1419278"/>
    <m/>
    <m/>
    <s v="VC-CLS1BF(R) DA1419278"/>
    <n v="1888"/>
    <n v="0.57627118644067798"/>
    <s v="Toshiba SRP"/>
    <s v="DA141"/>
    <s v="DA141DA1419278"/>
  </r>
  <r>
    <n v="1511"/>
    <s v="Suning"/>
    <s v="TM"/>
    <x v="29"/>
    <n v="3"/>
    <x v="1"/>
    <x v="46"/>
    <s v="電熱水瓶 (2.5公升)"/>
    <s v="細電"/>
    <s v="SDA"/>
    <s v="25dr"/>
    <n v="1"/>
    <n v="398"/>
    <n v="398"/>
    <s v="DA1419284"/>
    <m/>
    <m/>
    <s v="TP-25DR2UHK(W) DA1419284"/>
    <n v="538"/>
    <n v="0.7397769516728625"/>
    <s v="Toshiba SRP"/>
    <s v="DA141"/>
    <s v="DA141DA1419284"/>
  </r>
  <r>
    <n v="1512"/>
    <s v="Suning"/>
    <s v="TM"/>
    <x v="29"/>
    <n v="3"/>
    <x v="1"/>
    <x v="93"/>
    <s v="座檯式洗碗碟機"/>
    <s v="細電"/>
    <s v="DW"/>
    <s v="05t2"/>
    <n v="1"/>
    <n v="3499"/>
    <n v="3499"/>
    <s v="DA1419292"/>
    <m/>
    <m/>
    <s v="DW-05T2-HK DA1419292"/>
    <n v="4580"/>
    <n v="0.76397379912663754"/>
    <s v="Toshiba SRP"/>
    <s v="DA141"/>
    <s v="DA141DA1419292"/>
  </r>
  <r>
    <n v="1513"/>
    <s v="Suning"/>
    <s v="TM"/>
    <x v="29"/>
    <n v="3"/>
    <x v="1"/>
    <x v="46"/>
    <s v="電熱水瓶 (2.5公升)"/>
    <s v="細電"/>
    <s v="SDA"/>
    <s v="25dr"/>
    <n v="1"/>
    <n v="398"/>
    <n v="398"/>
    <s v="DA1419339"/>
    <m/>
    <m/>
    <s v="TP-25DR2UHK(W) DA1419339"/>
    <n v="538"/>
    <n v="0.7397769516728625"/>
    <s v="Toshiba SRP"/>
    <s v="DA141"/>
    <s v="DA141DA1419339"/>
  </r>
  <r>
    <n v="1514"/>
    <s v="Suning"/>
    <s v="TM"/>
    <x v="29"/>
    <n v="3"/>
    <x v="1"/>
    <x v="17"/>
    <s v="4毫米厚釜電飯煲1L"/>
    <s v="細電"/>
    <s v="SDA"/>
    <s v="10nmf"/>
    <n v="1"/>
    <n v="708"/>
    <n v="708"/>
    <s v="DA1419472"/>
    <m/>
    <m/>
    <s v="RC-10NMFIH(WT) DA1419472"/>
    <n v="898"/>
    <n v="0.7884187082405345"/>
    <s v="Toshiba SRP"/>
    <s v="DA141"/>
    <s v="DA141DA1419472"/>
  </r>
  <r>
    <n v="1515"/>
    <s v="Suning"/>
    <s v="TM"/>
    <x v="29"/>
    <n v="3"/>
    <x v="1"/>
    <x v="66"/>
    <s v="變頻下置式雙門雪櫃（163L）"/>
    <s v="大電"/>
    <s v="REF"/>
    <s v="rb221"/>
    <n v="1"/>
    <n v="2080"/>
    <n v="2080"/>
    <s v="DA1419516"/>
    <m/>
    <m/>
    <s v="GR-RB221WE-PMA(57) DA1419516"/>
    <n v="3480"/>
    <n v="0.5977011494252874"/>
    <s v="Toshiba SRP"/>
    <s v="DA141"/>
    <s v="DA141DA1419516"/>
  </r>
  <r>
    <n v="1516"/>
    <s v="Suning"/>
    <s v="TM"/>
    <x v="29"/>
    <n v="3"/>
    <x v="1"/>
    <x v="21"/>
    <s v="壓縮式抽濕機 (30公升)"/>
    <s v="細電"/>
    <s v="RAC"/>
    <s v="d300"/>
    <n v="1"/>
    <n v="2280"/>
    <n v="2280"/>
    <s v="DA1419600"/>
    <m/>
    <m/>
    <s v="RAD-D300H DA1419600"/>
    <n v="3380"/>
    <n v="0.67455621301775148"/>
    <s v="Shops Highest Price"/>
    <s v="DA141"/>
    <s v="DA141DA1419600"/>
  </r>
  <r>
    <n v="1517"/>
    <s v="Suning"/>
    <s v="TM"/>
    <x v="29"/>
    <n v="3"/>
    <x v="2"/>
    <x v="37"/>
    <s v="電熱水瓶 (5公升)"/>
    <s v="細電"/>
    <s v="SDA"/>
    <s v="50dr"/>
    <n v="1"/>
    <n v="598"/>
    <n v="598"/>
    <s v="DA1419626"/>
    <m/>
    <m/>
    <s v="TP-50DRUHK(W) DA1419626"/>
    <n v="718"/>
    <n v="0.83286908077994426"/>
    <s v="Toshiba SRP"/>
    <s v="DA141"/>
    <s v="DA141DA1419626"/>
  </r>
  <r>
    <n v="1518"/>
    <s v="Suning"/>
    <s v="TM"/>
    <x v="29"/>
    <n v="3"/>
    <x v="2"/>
    <x v="61"/>
    <s v="酵活炊電飯煲(1.8公升)"/>
    <s v="細電"/>
    <s v="SDA"/>
    <s v="18amx"/>
    <n v="1"/>
    <n v="990"/>
    <n v="990"/>
    <s v="DA1419658"/>
    <m/>
    <m/>
    <s v="RC-18AMXH(W) DA1419658"/>
    <n v="1588"/>
    <n v="0.62342569269521408"/>
    <s v="Toshiba SRP"/>
    <s v="DA141"/>
    <s v="DA141DA1419658"/>
  </r>
  <r>
    <n v="1519"/>
    <s v="Suning"/>
    <s v="TM"/>
    <x v="29"/>
    <n v="3"/>
    <x v="2"/>
    <x v="93"/>
    <s v="座檯式洗碗碟機"/>
    <s v="細電"/>
    <s v="DW"/>
    <s v="05t2"/>
    <n v="1"/>
    <n v="3499"/>
    <n v="3499"/>
    <s v="DA1419691"/>
    <m/>
    <m/>
    <s v="DW-05T2-HK DA1419691"/>
    <n v="4580"/>
    <n v="0.76397379912663754"/>
    <s v="Toshiba SRP"/>
    <s v="DA141"/>
    <s v="DA141DA1419691"/>
  </r>
  <r>
    <n v="1520"/>
    <s v="Suning"/>
    <s v="TM"/>
    <x v="29"/>
    <n v="3"/>
    <x v="2"/>
    <x v="17"/>
    <s v="4毫米厚釜電飯煲1L"/>
    <s v="細電"/>
    <s v="SDA"/>
    <s v="10nmf"/>
    <n v="1"/>
    <n v="708"/>
    <n v="708"/>
    <s v="DA1419707"/>
    <m/>
    <m/>
    <s v="RC-10NMFIH(WT) DA1419707"/>
    <n v="898"/>
    <n v="0.7884187082405345"/>
    <s v="Toshiba SRP"/>
    <s v="DA141"/>
    <s v="DA141DA1419707"/>
  </r>
  <r>
    <n v="1521"/>
    <s v="Suning"/>
    <s v="TM"/>
    <x v="29"/>
    <n v="3"/>
    <x v="2"/>
    <x v="45"/>
    <s v="備長炭本厚釜電飯煲0.7L"/>
    <s v="細電"/>
    <s v="SDA"/>
    <s v="7hmh"/>
    <n v="1"/>
    <n v="788"/>
    <n v="788"/>
    <s v="DA1419710"/>
    <m/>
    <m/>
    <s v="RC-7HMH DA1419710"/>
    <n v="1288"/>
    <n v="0.61180124223602483"/>
    <s v="Toshiba SRP"/>
    <s v="DA141"/>
    <s v="DA141DA1419710"/>
  </r>
  <r>
    <n v="1522"/>
    <s v="Suning"/>
    <s v="TM"/>
    <x v="29"/>
    <n v="3"/>
    <x v="2"/>
    <x v="31"/>
    <s v="無線雙層電熱水壺(1.7公升)"/>
    <s v="細電"/>
    <s v="SDA"/>
    <s v="17drt"/>
    <n v="1"/>
    <n v="358"/>
    <n v="358"/>
    <s v="DA1419737"/>
    <m/>
    <m/>
    <s v="KT-17DRTHK(H) DA1419737"/>
    <n v="498"/>
    <n v="0.71887550200803207"/>
    <s v="Toshiba SRP"/>
    <s v="DA141"/>
    <s v="DA141DA1419737"/>
  </r>
  <r>
    <n v="1523"/>
    <s v="Suning"/>
    <s v="TM"/>
    <x v="29"/>
    <n v="3"/>
    <x v="2"/>
    <x v="36"/>
    <s v="輕觸式微波爐 (20公升)"/>
    <s v="細電"/>
    <s v="MCA"/>
    <s v="em20"/>
    <n v="1"/>
    <n v="650"/>
    <n v="650"/>
    <s v="DA1419756"/>
    <m/>
    <m/>
    <s v="MM2-EM20PC(WH) DA1419756"/>
    <n v="788"/>
    <n v="0.82487309644670048"/>
    <s v="Toshiba SRP"/>
    <s v="DA141"/>
    <s v="DA141DA1419756"/>
  </r>
  <r>
    <n v="1524"/>
    <s v="Suning"/>
    <s v="TM"/>
    <x v="29"/>
    <n v="3"/>
    <x v="2"/>
    <x v="48"/>
    <s v="3合1 微波蒸焗爐 (20公升)"/>
    <s v="細電"/>
    <s v="MCA"/>
    <s v="tt20"/>
    <n v="1"/>
    <n v="2480"/>
    <n v="2480"/>
    <s v="DA1419776"/>
    <m/>
    <m/>
    <s v="MX2-TT20SC(WH) DA1419776"/>
    <n v="3580"/>
    <n v="0.69273743016759781"/>
    <s v="Toshiba SRP"/>
    <s v="DA141"/>
    <s v="DA141DA1419776"/>
  </r>
  <r>
    <n v="1525"/>
    <s v="Suning"/>
    <s v="TM"/>
    <x v="29"/>
    <n v="3"/>
    <x v="2"/>
    <x v="74"/>
    <s v="4合1氣炸微波蒸焗爐(25公升)"/>
    <s v="細電"/>
    <s v="MCA"/>
    <s v="str25"/>
    <n v="1"/>
    <n v="3250"/>
    <n v="3250"/>
    <s v="DA1419774"/>
    <m/>
    <m/>
    <s v="MX2-STR25SC(WH) DA1419774"/>
    <n v="4998"/>
    <n v="0.6502601040416166"/>
    <s v="Toshiba SRP"/>
    <s v="DA141"/>
    <s v="DA141DA1419774"/>
  </r>
  <r>
    <n v="1526"/>
    <s v="Suning"/>
    <s v="TM"/>
    <x v="29"/>
    <n v="3"/>
    <x v="2"/>
    <x v="17"/>
    <s v="4毫米厚釜電飯煲1L"/>
    <s v="細電"/>
    <s v="SDA"/>
    <s v="10nmf"/>
    <n v="1"/>
    <n v="708"/>
    <n v="708"/>
    <s v="DA1419784"/>
    <m/>
    <m/>
    <s v="RC-10NMFIH(WT) DA1419784"/>
    <n v="898"/>
    <n v="0.7884187082405345"/>
    <s v="Toshiba SRP"/>
    <s v="DA141"/>
    <s v="DA141DA1419784"/>
  </r>
  <r>
    <n v="1527"/>
    <s v="Suning"/>
    <s v="TM"/>
    <x v="29"/>
    <n v="3"/>
    <x v="9"/>
    <x v="47"/>
    <s v="磁應電飯煲(1公升)"/>
    <s v="細電"/>
    <s v="SDA"/>
    <s v="10iss"/>
    <n v="1"/>
    <n v="898"/>
    <n v="898"/>
    <s v="DA1419863"/>
    <m/>
    <m/>
    <s v="RC-10ISSHK(W) DA1419863"/>
    <n v="1188"/>
    <n v="0.75589225589225584"/>
    <s v="Shops Highest Price"/>
    <s v="DA141"/>
    <s v="DA141DA1419863"/>
  </r>
  <r>
    <n v="1528"/>
    <s v="Suning"/>
    <s v="TM"/>
    <x v="29"/>
    <n v="3"/>
    <x v="9"/>
    <x v="31"/>
    <s v="無線雙層電熱水壺(1.7公升)"/>
    <s v="細電"/>
    <s v="SDA"/>
    <s v="17drt"/>
    <n v="1"/>
    <n v="358"/>
    <n v="358"/>
    <s v="DA1419877"/>
    <m/>
    <m/>
    <s v="KT-17DRTHK(H) DA1419877"/>
    <n v="498"/>
    <n v="0.71887550200803207"/>
    <s v="Toshiba SRP"/>
    <s v="DA141"/>
    <s v="DA141DA1419877"/>
  </r>
  <r>
    <n v="1529"/>
    <s v="Suning"/>
    <s v="TM"/>
    <x v="29"/>
    <n v="3"/>
    <x v="9"/>
    <x v="119"/>
    <s v="雙門變頻式環保雪櫃231L"/>
    <s v="大電"/>
    <s v="REF"/>
    <s v="a28hsz"/>
    <n v="1"/>
    <n v="2488"/>
    <n v="2488"/>
    <s v="DA1419884"/>
    <m/>
    <m/>
    <s v="GR-A28HSZ(DS) DA1419884"/>
    <n v="3780"/>
    <n v="0.65820105820105823"/>
    <s v="Shops Highest Price"/>
    <s v="DA141"/>
    <s v="DA141DA1419884"/>
  </r>
  <r>
    <n v="1530"/>
    <s v="Suning"/>
    <s v="TM"/>
    <x v="29"/>
    <n v="3"/>
    <x v="9"/>
    <x v="21"/>
    <s v="壓縮式抽濕機 (30公升)"/>
    <s v="細電"/>
    <s v="RAC"/>
    <s v="d300"/>
    <n v="1"/>
    <n v="2280"/>
    <n v="2280"/>
    <s v="DA1419900"/>
    <m/>
    <m/>
    <s v="RAD-D300H DA1419900"/>
    <n v="3380"/>
    <n v="0.67455621301775148"/>
    <s v="Shops Highest Price"/>
    <s v="DA141"/>
    <s v="DA141DA1419900"/>
  </r>
  <r>
    <n v="1531"/>
    <s v="Suning"/>
    <s v="TM"/>
    <x v="29"/>
    <n v="3"/>
    <x v="10"/>
    <x v="120"/>
    <s v="真空壓力磁應電飯煲(1.0公升)"/>
    <s v="細電"/>
    <s v="SDA"/>
    <s v="dx10t"/>
    <n v="1"/>
    <n v="4648"/>
    <n v="4648"/>
    <s v="DA1419970"/>
    <m/>
    <m/>
    <s v="RC-DX10T(W) DA1419970"/>
    <n v="5988"/>
    <n v="0.77621910487641954"/>
    <s v="Toshiba SRP"/>
    <s v="DA141"/>
    <s v="DA141DA1419970"/>
  </r>
  <r>
    <n v="1532"/>
    <s v="Suning"/>
    <s v="TM"/>
    <x v="29"/>
    <n v="3"/>
    <x v="10"/>
    <x v="61"/>
    <s v="酵活炊電飯煲(1.8公升)"/>
    <s v="細電"/>
    <s v="SDA"/>
    <s v="18amx"/>
    <n v="1"/>
    <n v="990"/>
    <n v="990"/>
    <s v="DA1419977"/>
    <m/>
    <m/>
    <s v="RC-18AMXH(W) DA1419977"/>
    <n v="1588"/>
    <n v="0.62342569269521408"/>
    <s v="Toshiba SRP"/>
    <s v="DA141"/>
    <s v="DA141DA1419977"/>
  </r>
  <r>
    <n v="1533"/>
    <s v="Suning"/>
    <s v="TM"/>
    <x v="29"/>
    <n v="3"/>
    <x v="10"/>
    <x v="27"/>
    <s v="4毫米厚釜電飯煲1.8L"/>
    <s v="細電"/>
    <s v="SDA"/>
    <s v="18nmf"/>
    <n v="1"/>
    <n v="788"/>
    <n v="788"/>
    <s v="DA1419978"/>
    <m/>
    <m/>
    <s v="RC-18NMFIH(WT) DA1419978"/>
    <n v="998"/>
    <n v="0.78957915831663328"/>
    <s v="Toshiba SRP"/>
    <s v="DA141"/>
    <s v="DA141DA1419978"/>
  </r>
  <r>
    <n v="1534"/>
    <s v="Suning"/>
    <s v="TM"/>
    <x v="29"/>
    <n v="3"/>
    <x v="10"/>
    <x v="36"/>
    <s v="輕觸式微波爐 (20公升)"/>
    <s v="細電"/>
    <s v="MCA"/>
    <s v="em20"/>
    <n v="1"/>
    <n v="650"/>
    <n v="650"/>
    <s v="DA1420033"/>
    <m/>
    <m/>
    <s v="MM2-EM20PC(WH) DA1420033"/>
    <n v="788"/>
    <n v="0.82487309644670048"/>
    <s v="Toshiba SRP"/>
    <s v="DA141"/>
    <s v="DA141DA1420033"/>
  </r>
  <r>
    <n v="1535"/>
    <s v="Suning"/>
    <s v="TM"/>
    <x v="29"/>
    <n v="3"/>
    <x v="10"/>
    <x v="45"/>
    <s v="備長炭本厚釜電飯煲0.7L"/>
    <s v="細電"/>
    <s v="SDA"/>
    <s v="7hmh"/>
    <n v="1"/>
    <n v="788"/>
    <n v="788"/>
    <s v="DA1420131"/>
    <m/>
    <m/>
    <s v="RC-7HMH DA1420131"/>
    <n v="1288"/>
    <n v="0.61180124223602483"/>
    <s v="Toshiba SRP"/>
    <s v="DA141"/>
    <s v="DA141DA1420131"/>
  </r>
  <r>
    <n v="1536"/>
    <s v="Suning"/>
    <s v="TM"/>
    <x v="29"/>
    <n v="3"/>
    <x v="10"/>
    <x v="17"/>
    <s v="4毫米厚釜電飯煲1L"/>
    <s v="細電"/>
    <s v="SDA"/>
    <s v="10nmf"/>
    <n v="1"/>
    <n v="708"/>
    <n v="708"/>
    <s v="DA1420157"/>
    <m/>
    <m/>
    <s v="RC-10NMFIH(WT) DA1420157"/>
    <n v="898"/>
    <n v="0.7884187082405345"/>
    <s v="Toshiba SRP"/>
    <s v="DA1420"/>
    <s v="DA1420DA1420157"/>
  </r>
  <r>
    <n v="1537"/>
    <s v="Suning"/>
    <s v="TM"/>
    <x v="29"/>
    <n v="3"/>
    <x v="10"/>
    <x v="31"/>
    <s v="無線雙層電熱水壺(1.7公升)"/>
    <s v="細電"/>
    <s v="SDA"/>
    <s v="17drt"/>
    <n v="1"/>
    <n v="358"/>
    <n v="358"/>
    <s v="DA1420191"/>
    <m/>
    <m/>
    <s v="KT-17DRTHK(H) DA1420191"/>
    <n v="498"/>
    <n v="0.71887550200803207"/>
    <s v="Toshiba SRP"/>
    <s v="DA1420"/>
    <s v="DA1420DA1420191"/>
  </r>
  <r>
    <n v="1538"/>
    <s v="Suning"/>
    <s v="TM"/>
    <x v="29"/>
    <n v="3"/>
    <x v="10"/>
    <x v="27"/>
    <s v="4毫米厚釜電飯煲1.8L"/>
    <s v="細電"/>
    <s v="SDA"/>
    <s v="18nmf"/>
    <n v="1"/>
    <n v="788"/>
    <n v="788"/>
    <s v="DA1420209"/>
    <m/>
    <m/>
    <s v="RC-18NMFIH(WT) DA1420209"/>
    <n v="998"/>
    <n v="0.78957915831663328"/>
    <s v="Toshiba SRP"/>
    <s v="DA1420"/>
    <s v="DA1420DA1420209"/>
  </r>
  <r>
    <n v="1539"/>
    <s v="Suning"/>
    <s v="TM"/>
    <x v="29"/>
    <n v="3"/>
    <x v="10"/>
    <x v="21"/>
    <s v="壓縮式抽濕機 (30公升)"/>
    <s v="細電"/>
    <s v="RAC"/>
    <s v="d300"/>
    <n v="1"/>
    <n v="2080"/>
    <n v="2080"/>
    <s v="DA1420220"/>
    <m/>
    <m/>
    <s v="RAD-D300H DA1420220"/>
    <n v="3380"/>
    <n v="0.61538461538461542"/>
    <s v="Shops Highest Price"/>
    <s v="DA1420"/>
    <s v="DA1420DA1420220"/>
  </r>
  <r>
    <n v="1540"/>
    <s v="Suning"/>
    <s v="TM"/>
    <x v="29"/>
    <n v="3"/>
    <x v="3"/>
    <x v="119"/>
    <s v="雙門變頻式環保雪櫃231L"/>
    <s v="大電"/>
    <s v="REF"/>
    <s v="a28hsz"/>
    <n v="1"/>
    <n v="2388"/>
    <n v="2388"/>
    <s v="DA1420284"/>
    <m/>
    <m/>
    <s v="GR-A28HSZ(DS) DA1420284"/>
    <n v="3780"/>
    <n v="0.63174603174603172"/>
    <s v="Shops Highest Price"/>
    <s v="DA1420"/>
    <s v="DA1420DA1420284"/>
  </r>
  <r>
    <n v="1541"/>
    <s v="Suning"/>
    <s v="TM"/>
    <x v="29"/>
    <n v="3"/>
    <x v="3"/>
    <x v="48"/>
    <s v="3合1 微波蒸焗爐 (20公升)"/>
    <s v="細電"/>
    <s v="MCA"/>
    <s v="tt20"/>
    <n v="1"/>
    <n v="2480"/>
    <n v="2480"/>
    <s v="DA1420331"/>
    <m/>
    <m/>
    <s v="MX2-TT20SC(WH) DA1420331"/>
    <n v="3580"/>
    <n v="0.69273743016759781"/>
    <s v="Toshiba SRP"/>
    <s v="DA1420"/>
    <s v="DA1420DA1420331"/>
  </r>
  <r>
    <n v="1542"/>
    <s v="Suning"/>
    <s v="TM"/>
    <x v="29"/>
    <n v="3"/>
    <x v="3"/>
    <x v="91"/>
    <s v="3/4 匹 R32變頻窗口式冷氣機"/>
    <s v="大電"/>
    <s v="AC"/>
    <s v="07g3cvg"/>
    <n v="1"/>
    <n v="3288"/>
    <n v="3288"/>
    <s v="DA1420248"/>
    <m/>
    <m/>
    <s v="RAC-07G3CVG-HK DA1420248"/>
    <n v="4980"/>
    <n v="0.66024096385542164"/>
    <s v="Toshiba SRP"/>
    <s v="DA1420"/>
    <s v="DA1420DA1420248"/>
  </r>
  <r>
    <n v="1543"/>
    <s v="Suning"/>
    <s v="TM"/>
    <x v="29"/>
    <n v="3"/>
    <x v="3"/>
    <x v="27"/>
    <s v="4毫米厚釜電飯煲1.8L"/>
    <s v="細電"/>
    <s v="SDA"/>
    <s v="18nmf"/>
    <n v="1"/>
    <n v="788"/>
    <n v="788"/>
    <s v="DA1420429"/>
    <m/>
    <m/>
    <s v="RC-18NMFIH(WT) DA1420429"/>
    <n v="998"/>
    <n v="0.78957915831663328"/>
    <s v="Toshiba SRP"/>
    <s v="DA1420"/>
    <s v="DA1420DA1420429"/>
  </r>
  <r>
    <n v="1544"/>
    <s v="Suning"/>
    <s v="TM"/>
    <x v="29"/>
    <n v="3"/>
    <x v="3"/>
    <x v="74"/>
    <s v="4合1氣炸微波蒸焗爐(25公升)"/>
    <s v="細電"/>
    <s v="MCA"/>
    <s v="str25"/>
    <n v="1"/>
    <n v="3250"/>
    <n v="3250"/>
    <s v="DA1420494"/>
    <m/>
    <m/>
    <s v="MX2-STR25SC(WH) DA1420494"/>
    <n v="4998"/>
    <n v="0.6502601040416166"/>
    <s v="Toshiba SRP"/>
    <s v="DA1420"/>
    <s v="DA1420DA1420494"/>
  </r>
  <r>
    <n v="1545"/>
    <s v="Suning"/>
    <s v="TM"/>
    <x v="29"/>
    <n v="3"/>
    <x v="3"/>
    <x v="121"/>
    <s v="IH磁應電飯煲"/>
    <s v="細電"/>
    <s v="SDA"/>
    <s v="ds10kw"/>
    <n v="1"/>
    <n v="2980"/>
    <n v="2980"/>
    <s v="DA1420520"/>
    <m/>
    <m/>
    <s v="RC-DS10K(N) DA1420520"/>
    <n v="4588"/>
    <n v="0.64952048823016562"/>
    <s v="Toshiba SRP"/>
    <s v="DA1420"/>
    <s v="DA1420DA1420520"/>
  </r>
  <r>
    <n v="1546"/>
    <s v="Suning"/>
    <s v="TM"/>
    <x v="29"/>
    <n v="3"/>
    <x v="3"/>
    <x v="61"/>
    <s v="酵活炊電飯煲(1.8公升)"/>
    <s v="細電"/>
    <s v="SDA"/>
    <s v="18amx"/>
    <n v="1"/>
    <n v="990"/>
    <n v="990"/>
    <s v="DA1420556"/>
    <m/>
    <m/>
    <s v="RC-18AMXH(W) DA1420556"/>
    <n v="1588"/>
    <n v="0.62342569269521408"/>
    <s v="Toshiba SRP"/>
    <s v="DA1420"/>
    <s v="DA1420DA1420556"/>
  </r>
  <r>
    <n v="1547"/>
    <s v="Suning"/>
    <s v="TM"/>
    <x v="29"/>
    <n v="3"/>
    <x v="3"/>
    <x v="122"/>
    <s v="多功能焗爐 (25公升)"/>
    <s v="細電"/>
    <s v="MOA"/>
    <s v="mc25"/>
    <n v="1"/>
    <n v="798"/>
    <n v="798"/>
    <s v="DA1420577"/>
    <m/>
    <m/>
    <s v="TL2-MC25CZE(GR) DA1420577"/>
    <n v="798"/>
    <n v="1"/>
    <s v="Shops Highest Price"/>
    <s v="DA1420"/>
    <s v="DA1420DA1420577"/>
  </r>
  <r>
    <n v="1548"/>
    <s v="Suning"/>
    <s v="TM"/>
    <x v="29"/>
    <n v="3"/>
    <x v="3"/>
    <x v="37"/>
    <s v="電熱水瓶 (5公升)"/>
    <s v="細電"/>
    <s v="SDA"/>
    <s v="50dr"/>
    <n v="1"/>
    <n v="598"/>
    <n v="598"/>
    <s v="DA1420579"/>
    <m/>
    <m/>
    <s v="TP-50DRUHK(W) DA1420579"/>
    <n v="718"/>
    <n v="0.83286908077994426"/>
    <s v="Toshiba SRP"/>
    <s v="DA1420"/>
    <s v="DA1420DA1420579"/>
  </r>
  <r>
    <n v="1549"/>
    <s v="Suning"/>
    <s v="TM"/>
    <x v="29"/>
    <n v="3"/>
    <x v="3"/>
    <x v="27"/>
    <s v="4毫米厚釜電飯煲1.8L"/>
    <s v="細電"/>
    <s v="SDA"/>
    <s v="18nmf"/>
    <n v="1"/>
    <n v="788"/>
    <n v="788"/>
    <s v="DA1420585"/>
    <m/>
    <m/>
    <s v="RC-18NMFIH(WT) DA1420585"/>
    <n v="998"/>
    <n v="0.78957915831663328"/>
    <s v="Toshiba SRP"/>
    <s v="DA1420"/>
    <s v="DA1420DA1420585"/>
  </r>
  <r>
    <n v="1550"/>
    <s v="Suning"/>
    <s v="TM"/>
    <x v="29"/>
    <n v="3"/>
    <x v="3"/>
    <x v="39"/>
    <s v="酵活炊電飯煲(1.0公升)"/>
    <s v="細電"/>
    <s v="SDA"/>
    <s v="10amx"/>
    <n v="1"/>
    <n v="890"/>
    <n v="890"/>
    <s v="DA1420588"/>
    <m/>
    <m/>
    <s v="RC-10AMXH(W) DA1420588"/>
    <n v="1288"/>
    <n v="0.69099378881987583"/>
    <s v="Toshiba SRP"/>
    <s v="DA1420"/>
    <s v="DA1420DA1420588"/>
  </r>
  <r>
    <n v="1551"/>
    <s v="Suning"/>
    <s v="TM"/>
    <x v="29"/>
    <n v="3"/>
    <x v="3"/>
    <x v="74"/>
    <s v="4合1氣炸微波蒸焗爐(25公升)"/>
    <s v="細電"/>
    <s v="MCA"/>
    <s v="str25"/>
    <n v="1"/>
    <n v="3250"/>
    <n v="3250"/>
    <s v="DA1420636"/>
    <m/>
    <m/>
    <s v="MX2-STR25SC(WH) DA1420636"/>
    <n v="4998"/>
    <n v="0.6502601040416166"/>
    <s v="Toshiba SRP"/>
    <s v="DA1420"/>
    <s v="DA1420DA1420636"/>
  </r>
  <r>
    <n v="1552"/>
    <s v="Suning"/>
    <s v="TM"/>
    <x v="29"/>
    <n v="3"/>
    <x v="3"/>
    <x v="110"/>
    <s v="變頻六門雪櫃(451L)"/>
    <s v="大電"/>
    <s v="REF"/>
    <s v="rm598"/>
    <n v="1"/>
    <n v="9600"/>
    <n v="9600"/>
    <s v="DA1420638"/>
    <m/>
    <m/>
    <s v="GR-RM598WE-PGA(B3) DA1420638"/>
    <n v="14980"/>
    <n v="0.64085447263017359"/>
    <s v="Toshiba SRP"/>
    <s v="DA1420"/>
    <s v="DA1420DA1420638"/>
  </r>
  <r>
    <n v="1553"/>
    <s v="Suning"/>
    <s v="TM"/>
    <x v="29"/>
    <n v="3"/>
    <x v="3"/>
    <x v="35"/>
    <s v="1.8公升電飯煲"/>
    <s v="細電"/>
    <s v="SDA"/>
    <s v="18jruh"/>
    <n v="1"/>
    <n v="340"/>
    <n v="340"/>
    <s v="DA1420643"/>
    <m/>
    <m/>
    <s v="RC-18JRUH(N) DA1420643"/>
    <n v="458"/>
    <n v="0.74235807860262004"/>
    <s v="Shops Highest Price"/>
    <s v="DA1420"/>
    <s v="DA1420DA1420643"/>
  </r>
  <r>
    <n v="1554"/>
    <s v="Suning"/>
    <s v="TM"/>
    <x v="29"/>
    <n v="3"/>
    <x v="3"/>
    <x v="38"/>
    <s v="無線雙層電熱水壺-附可鎖壺蓋"/>
    <s v="細電"/>
    <s v="SDA"/>
    <s v="15drt"/>
    <n v="1"/>
    <n v="358"/>
    <n v="358"/>
    <s v="DA1420647"/>
    <m/>
    <m/>
    <s v="KT-15DRTHK(W) DA1420647"/>
    <n v="598"/>
    <n v="0.59866220735785958"/>
    <s v="Toshiba SRP"/>
    <s v="DA1420"/>
    <s v="DA1420DA1420647"/>
  </r>
  <r>
    <n v="1555"/>
    <s v="Suning"/>
    <s v="TM"/>
    <x v="29"/>
    <n v="3"/>
    <x v="4"/>
    <x v="74"/>
    <s v="4合1氣炸微波蒸焗爐(25公升)"/>
    <s v="細電"/>
    <s v="MCA"/>
    <s v="str25"/>
    <n v="1"/>
    <n v="3250"/>
    <n v="3250"/>
    <s v="DA1420684"/>
    <m/>
    <m/>
    <s v="MX2-STR25SC(WH) DA1420684"/>
    <n v="4998"/>
    <n v="0.6502601040416166"/>
    <s v="Toshiba SRP"/>
    <s v="DA1420"/>
    <s v="DA1420DA1420684"/>
  </r>
  <r>
    <n v="1556"/>
    <s v="Suning"/>
    <s v="TM"/>
    <x v="29"/>
    <n v="3"/>
    <x v="4"/>
    <x v="74"/>
    <s v="4合1氣炸微波蒸焗爐(25公升)"/>
    <s v="細電"/>
    <s v="MCA"/>
    <s v="str25"/>
    <n v="1"/>
    <n v="3250"/>
    <n v="3250"/>
    <s v="DA1420695"/>
    <m/>
    <m/>
    <s v="MX2-STR25SC(WH) DA1420695"/>
    <n v="4998"/>
    <n v="0.6502601040416166"/>
    <s v="Toshiba SRP"/>
    <s v="DA1420"/>
    <s v="DA1420DA1420695"/>
  </r>
  <r>
    <n v="1557"/>
    <s v="Suning"/>
    <s v="TM"/>
    <x v="29"/>
    <n v="3"/>
    <x v="4"/>
    <x v="91"/>
    <s v="3/4 匹 R32變頻窗口式冷氣機"/>
    <s v="大電"/>
    <s v="AC"/>
    <s v="07g3cvg"/>
    <n v="1"/>
    <n v="3100"/>
    <n v="3100"/>
    <s v="DA1420733"/>
    <m/>
    <m/>
    <s v="RAC-07G3CVG-HK DA1420733"/>
    <n v="4980"/>
    <n v="0.6224899598393574"/>
    <s v="Toshiba SRP"/>
    <s v="DA1420"/>
    <s v="DA1420DA1420733"/>
  </r>
  <r>
    <n v="1558"/>
    <s v="Suning"/>
    <s v="TM"/>
    <x v="29"/>
    <n v="3"/>
    <x v="4"/>
    <x v="91"/>
    <s v="3/4 匹 R32變頻窗口式冷氣機"/>
    <s v="大電"/>
    <s v="AC"/>
    <s v="07g3cvg"/>
    <n v="1"/>
    <n v="3100"/>
    <n v="3100"/>
    <s v="DA1420734"/>
    <m/>
    <m/>
    <s v="RAC-07G3CVG-HK DA1420734"/>
    <n v="4980"/>
    <n v="0.6224899598393574"/>
    <s v="Toshiba SRP"/>
    <s v="DA1420"/>
    <s v="DA1420DA1420734"/>
  </r>
  <r>
    <n v="1559"/>
    <s v="Suning"/>
    <s v="TM"/>
    <x v="29"/>
    <n v="3"/>
    <x v="4"/>
    <x v="17"/>
    <s v="4毫米厚釜電飯煲1L"/>
    <s v="細電"/>
    <s v="SDA"/>
    <s v="10nmf"/>
    <n v="1"/>
    <n v="708"/>
    <n v="708"/>
    <s v="DA1420771"/>
    <m/>
    <m/>
    <s v="RC-10NMFIH(WT) DA1420771"/>
    <n v="898"/>
    <n v="0.7884187082405345"/>
    <s v="Toshiba SRP"/>
    <s v="DA1420"/>
    <s v="DA1420DA1420771"/>
  </r>
  <r>
    <n v="1560"/>
    <s v="Suning"/>
    <s v="TM"/>
    <x v="29"/>
    <n v="3"/>
    <x v="4"/>
    <x v="123"/>
    <s v="1匹 R32變頻窗口式冷氣機 "/>
    <s v="大電"/>
    <s v="AC"/>
    <s v="09g3cvg"/>
    <n v="1"/>
    <n v="4080"/>
    <n v="4080"/>
    <s v="DA1420799"/>
    <m/>
    <m/>
    <s v="RAC-09G3CVG-HK DA1420799"/>
    <n v="6380"/>
    <n v="0.63949843260188088"/>
    <s v="Toshiba SRP"/>
    <s v="DA1420"/>
    <s v="DA1420DA1420799"/>
  </r>
  <r>
    <n v="1561"/>
    <s v="Suning"/>
    <s v="TM"/>
    <x v="29"/>
    <n v="3"/>
    <x v="4"/>
    <x v="93"/>
    <s v="座檯式洗碗碟機"/>
    <s v="細電"/>
    <s v="DW"/>
    <s v="05t2"/>
    <n v="1"/>
    <n v="3499"/>
    <n v="3499"/>
    <s v="DA1420819"/>
    <m/>
    <m/>
    <s v="DW-05T2-HK DA1420819"/>
    <n v="4580"/>
    <n v="0.76397379912663754"/>
    <s v="Toshiba SRP"/>
    <s v="DA1420"/>
    <s v="DA1420DA1420819"/>
  </r>
  <r>
    <n v="1562"/>
    <s v="Suning"/>
    <s v="TM"/>
    <x v="29"/>
    <n v="3"/>
    <x v="4"/>
    <x v="21"/>
    <s v="壓縮式抽濕機 (30公升)"/>
    <s v="細電"/>
    <s v="RAC"/>
    <s v="d300"/>
    <n v="1"/>
    <n v="2080"/>
    <n v="2080"/>
    <s v="DA1420824"/>
    <m/>
    <m/>
    <s v="RAD-D300H DA1420824"/>
    <n v="3380"/>
    <n v="0.61538461538461542"/>
    <s v="Shops Highest Price"/>
    <s v="DA1420"/>
    <s v="DA1420DA1420824"/>
  </r>
  <r>
    <n v="1563"/>
    <s v="Suning"/>
    <s v="TM"/>
    <x v="29"/>
    <n v="3"/>
    <x v="4"/>
    <x v="29"/>
    <s v="酵活炊磁應電飯煲"/>
    <s v="細電"/>
    <s v="SDA"/>
    <s v="10bh"/>
    <n v="1"/>
    <n v="1700"/>
    <n v="1700"/>
    <s v="DA1420872"/>
    <m/>
    <m/>
    <s v="RC-10BHH(W) DA1420872"/>
    <n v="2088"/>
    <n v="0.81417624521072796"/>
    <s v="Shops Highest Price"/>
    <s v="DA1420"/>
    <s v="DA1420DA1420872"/>
  </r>
  <r>
    <n v="1564"/>
    <s v="Suning"/>
    <s v="TM"/>
    <x v="29"/>
    <n v="3"/>
    <x v="4"/>
    <x v="62"/>
    <s v="智能水波爐 (26公升)"/>
    <s v="細電"/>
    <s v="MCA"/>
    <s v="sd99"/>
    <n v="1"/>
    <n v="3500"/>
    <n v="3500"/>
    <s v="DA1420940"/>
    <m/>
    <m/>
    <s v="ER-SD99HKW DA1420940"/>
    <n v="5888"/>
    <n v="0.59442934782608692"/>
    <s v="Toshiba SRP"/>
    <s v="DA1420"/>
    <s v="DA1420DA1420940"/>
  </r>
  <r>
    <n v="1565"/>
    <s v="Suning"/>
    <s v="TM"/>
    <x v="29"/>
    <n v="3"/>
    <x v="4"/>
    <x v="45"/>
    <s v="備長炭本厚釜電飯煲0.7L"/>
    <s v="細電"/>
    <s v="SDA"/>
    <s v="7hmh"/>
    <n v="1"/>
    <n v="788"/>
    <n v="788"/>
    <s v="DA1420972"/>
    <m/>
    <m/>
    <s v="RC-7HMH DA1420972"/>
    <n v="1288"/>
    <n v="0.61180124223602483"/>
    <s v="Toshiba SRP"/>
    <s v="DA1420"/>
    <s v="DA1420DA1420972"/>
  </r>
  <r>
    <n v="1566"/>
    <s v="Suning"/>
    <s v="TM"/>
    <x v="29"/>
    <n v="3"/>
    <x v="14"/>
    <x v="48"/>
    <s v="3合1 微波蒸焗爐 (20公升)"/>
    <s v="細電"/>
    <s v="MCA"/>
    <s v="tt20"/>
    <n v="1"/>
    <n v="2480"/>
    <n v="2480"/>
    <s v="DA1421003"/>
    <m/>
    <m/>
    <s v="MX2-TT20SC(WH) DA1421003"/>
    <n v="3580"/>
    <n v="0.69273743016759781"/>
    <s v="Toshiba SRP"/>
    <s v="DA142"/>
    <s v="DA142DA1421003"/>
  </r>
  <r>
    <n v="1567"/>
    <s v="Suning"/>
    <s v="TM"/>
    <x v="29"/>
    <n v="3"/>
    <x v="14"/>
    <x v="31"/>
    <s v="無線雙層電熱水壺(1.7公升)"/>
    <s v="細電"/>
    <s v="SDA"/>
    <s v="17drt"/>
    <n v="1"/>
    <n v="358"/>
    <n v="358"/>
    <s v="DA1421005"/>
    <m/>
    <m/>
    <s v="KT-17DRTHK(H) DA1421005"/>
    <n v="498"/>
    <n v="0.71887550200803207"/>
    <s v="Toshiba SRP"/>
    <s v="DA142"/>
    <s v="DA142DA1421005"/>
  </r>
  <r>
    <n v="1568"/>
    <s v="Suning"/>
    <s v="TM"/>
    <x v="29"/>
    <n v="3"/>
    <x v="14"/>
    <x v="24"/>
    <s v="微型電腦珍珠飯煲"/>
    <s v="細電"/>
    <s v="SDA"/>
    <s v="5sli"/>
    <n v="1"/>
    <n v="568"/>
    <n v="568"/>
    <s v="DA1421021"/>
    <m/>
    <m/>
    <s v="RC-5SLIH(W) DA1421021"/>
    <n v="658"/>
    <n v="0.86322188449848025"/>
    <s v="Toshiba SRP"/>
    <s v="DA142"/>
    <s v="DA142DA1421021"/>
  </r>
  <r>
    <n v="1569"/>
    <s v="Suning"/>
    <s v="TM"/>
    <x v="29"/>
    <n v="3"/>
    <x v="14"/>
    <x v="63"/>
    <s v="20L 智能蒸氣焗爐"/>
    <s v="細電"/>
    <s v="MCA"/>
    <s v="stq20"/>
    <n v="1"/>
    <n v="1999"/>
    <n v="1999"/>
    <s v="DA1421044"/>
    <m/>
    <m/>
    <s v="MS3-STQ20SC(WH) DA1421044"/>
    <n v="2880"/>
    <n v="0.69409722222222225"/>
    <s v="Toshiba SRP"/>
    <s v="DA142"/>
    <s v="DA142DA1421044"/>
  </r>
  <r>
    <n v="1570"/>
    <s v="Suning"/>
    <s v="TM"/>
    <x v="29"/>
    <n v="3"/>
    <x v="14"/>
    <x v="68"/>
    <s v="旋鈕式微波爐 (20公升)"/>
    <s v="細電"/>
    <s v="MCA"/>
    <s v="2mm20"/>
    <n v="1"/>
    <n v="610"/>
    <n v="610"/>
    <s v="DA1421069"/>
    <m/>
    <m/>
    <s v="MM-2MM20PC(WH) DA1421069"/>
    <n v="738"/>
    <n v="0.82655826558265577"/>
    <s v="Toshiba SRP"/>
    <s v="DA142"/>
    <s v="DA142DA1421069"/>
  </r>
  <r>
    <n v="1571"/>
    <s v="Suning"/>
    <s v="TM"/>
    <x v="29"/>
    <n v="3"/>
    <x v="15"/>
    <x v="51"/>
    <s v="IH磁應電飯煲"/>
    <s v="細電"/>
    <s v="SDA"/>
    <s v="dr10tw"/>
    <n v="1"/>
    <n v="2080"/>
    <n v="2080"/>
    <s v="DA1421110"/>
    <m/>
    <m/>
    <s v="RC-DR10T(W) DA1421110"/>
    <n v="3188"/>
    <n v="0.65244667503136766"/>
    <s v="Toshiba SRP"/>
    <s v="DA142"/>
    <s v="DA142DA1421110"/>
  </r>
  <r>
    <n v="1572"/>
    <s v="Suning"/>
    <s v="TM"/>
    <x v="29"/>
    <n v="3"/>
    <x v="15"/>
    <x v="48"/>
    <s v="3合1 微波蒸焗爐 (20公升)"/>
    <s v="細電"/>
    <s v="MCA"/>
    <s v="tt20"/>
    <n v="1"/>
    <n v="2480"/>
    <n v="2480"/>
    <s v="DA1421142"/>
    <m/>
    <m/>
    <s v="MX2-TT20SC(WH) DA1421142"/>
    <n v="3580"/>
    <n v="0.69273743016759781"/>
    <s v="Toshiba SRP"/>
    <s v="DA142"/>
    <s v="DA142DA1421142"/>
  </r>
  <r>
    <n v="1573"/>
    <s v="Suning"/>
    <s v="TM"/>
    <x v="29"/>
    <n v="3"/>
    <x v="15"/>
    <x v="68"/>
    <s v="旋鈕式微波爐 (20公升)"/>
    <s v="細電"/>
    <s v="MCA"/>
    <s v="2mm20"/>
    <n v="1"/>
    <n v="590"/>
    <n v="590"/>
    <s v="DA1421150"/>
    <m/>
    <m/>
    <s v="MM-2MM20PC(WH) DA1421150"/>
    <n v="738"/>
    <n v="0.79945799457994582"/>
    <s v="Toshiba SRP"/>
    <s v="DA142"/>
    <s v="DA142DA1421150"/>
  </r>
  <r>
    <n v="1574"/>
    <s v="Suning"/>
    <s v="TM"/>
    <x v="29"/>
    <n v="3"/>
    <x v="15"/>
    <x v="39"/>
    <s v="酵活炊電飯煲(1.0公升)"/>
    <s v="細電"/>
    <s v="SDA"/>
    <s v="10amx"/>
    <n v="1"/>
    <n v="990"/>
    <n v="990"/>
    <s v="DA1421159"/>
    <m/>
    <m/>
    <s v="RC-10AMXH(W) DA1421159"/>
    <n v="1288"/>
    <n v="0.76863354037267084"/>
    <s v="Toshiba SRP"/>
    <s v="DA142"/>
    <s v="DA142DA1421159"/>
  </r>
  <r>
    <n v="1575"/>
    <s v="Suning"/>
    <s v="TM"/>
    <x v="29"/>
    <n v="3"/>
    <x v="15"/>
    <x v="92"/>
    <s v="1 匹 R32變頻窗口式冷氣機 (獨立抽濕遙控"/>
    <s v="大電"/>
    <s v="AC"/>
    <s v="09g3cvr"/>
    <n v="2"/>
    <n v="4280"/>
    <n v="8560"/>
    <s v="DA1421161"/>
    <m/>
    <m/>
    <s v="RAC-09G3CVRGR-HK DA1421161"/>
    <n v="6980"/>
    <n v="0.61318051575931232"/>
    <s v="Toshiba SRP"/>
    <s v="DA142"/>
    <s v="DA142DA1421161"/>
  </r>
  <r>
    <n v="1576"/>
    <s v="Suning"/>
    <s v="TM"/>
    <x v="29"/>
    <n v="3"/>
    <x v="17"/>
    <x v="24"/>
    <s v="微型電腦珍珠飯煲"/>
    <s v="細電"/>
    <s v="SDA"/>
    <s v="5sli"/>
    <n v="1"/>
    <n v="568"/>
    <n v="568"/>
    <s v="DA1421251"/>
    <m/>
    <m/>
    <s v="RC-5SLIH(W) DA1421251"/>
    <n v="658"/>
    <n v="0.86322188449848025"/>
    <s v="Toshiba SRP"/>
    <s v="DA142"/>
    <s v="DA142DA1421251"/>
  </r>
  <r>
    <n v="1577"/>
    <s v="Suning"/>
    <s v="TM"/>
    <x v="29"/>
    <n v="3"/>
    <x v="17"/>
    <x v="45"/>
    <s v="備長炭本厚釜電飯煲0.7L"/>
    <s v="細電"/>
    <s v="SDA"/>
    <s v="7hmh"/>
    <n v="1"/>
    <n v="788"/>
    <n v="788"/>
    <s v="DA1421253"/>
    <m/>
    <m/>
    <s v="RC-7HMH DA1421253"/>
    <n v="1288"/>
    <n v="0.61180124223602483"/>
    <s v="Toshiba SRP"/>
    <s v="DA142"/>
    <s v="DA142DA1421253"/>
  </r>
  <r>
    <n v="1578"/>
    <s v="Suning"/>
    <s v="TM"/>
    <x v="29"/>
    <n v="3"/>
    <x v="17"/>
    <x v="27"/>
    <s v="4毫米厚釜電飯煲1.8L"/>
    <s v="細電"/>
    <s v="SDA"/>
    <s v="18nmf"/>
    <n v="1"/>
    <n v="788"/>
    <n v="788"/>
    <s v="DA1421281"/>
    <m/>
    <m/>
    <s v="RC-18NMFIH(WT) DA1421281"/>
    <n v="998"/>
    <n v="0.78957915831663328"/>
    <s v="Toshiba SRP"/>
    <s v="DA142"/>
    <s v="DA142DA1421281"/>
  </r>
  <r>
    <n v="1579"/>
    <s v="Suning"/>
    <s v="TM"/>
    <x v="29"/>
    <n v="3"/>
    <x v="17"/>
    <x v="59"/>
    <s v="30公升蒸氣焗爐"/>
    <s v="細電"/>
    <s v="MCA"/>
    <s v="str30"/>
    <n v="1"/>
    <n v="3688"/>
    <n v="3688"/>
    <s v="DA1421302"/>
    <m/>
    <m/>
    <s v="MS5-STR30SC(BK) DA1421302"/>
    <n v="5998"/>
    <n v="0.61487162387462491"/>
    <s v="Shops Highest Price"/>
    <s v="DA142"/>
    <s v="DA142DA1421302"/>
  </r>
  <r>
    <n v="1580"/>
    <s v="Suning"/>
    <s v="TM"/>
    <x v="29"/>
    <n v="3"/>
    <x v="19"/>
    <x v="88"/>
    <s v="水波爐"/>
    <s v="細電"/>
    <s v="MCA"/>
    <s v="vd7000"/>
    <n v="1"/>
    <n v="6180"/>
    <n v="6180"/>
    <s v="DA1421341"/>
    <m/>
    <m/>
    <s v="ER-VD7000HK(XK) DA1421341"/>
    <n v="8998"/>
    <n v="0.68681929317626134"/>
    <s v="Toshiba SRP"/>
    <s v="DA142"/>
    <s v="DA142DA1421341"/>
  </r>
  <r>
    <n v="1581"/>
    <s v="Suning"/>
    <s v="TM"/>
    <x v="29"/>
    <n v="3"/>
    <x v="19"/>
    <x v="68"/>
    <s v="旋鈕式微波爐 (20公升)"/>
    <s v="細電"/>
    <s v="MCA"/>
    <s v="2mm20"/>
    <n v="1"/>
    <n v="610"/>
    <n v="610"/>
    <s v="DA1421370"/>
    <m/>
    <m/>
    <s v="MM-2MM20PC(WH) DA1421370"/>
    <n v="738"/>
    <n v="0.82655826558265577"/>
    <s v="Toshiba SRP"/>
    <s v="DA142"/>
    <s v="DA142DA1421370"/>
  </r>
  <r>
    <n v="1582"/>
    <s v="Suning"/>
    <s v="TM"/>
    <x v="29"/>
    <n v="3"/>
    <x v="19"/>
    <x v="46"/>
    <s v="電熱水瓶 (2.5公升)"/>
    <s v="細電"/>
    <s v="SDA"/>
    <s v="25dr"/>
    <n v="1"/>
    <n v="398"/>
    <n v="398"/>
    <s v="DA1421375"/>
    <m/>
    <m/>
    <s v="TP-25DR2UHK(W) DA1421375"/>
    <n v="538"/>
    <n v="0.7397769516728625"/>
    <s v="Toshiba SRP"/>
    <s v="DA142"/>
    <s v="DA142DA1421375"/>
  </r>
  <r>
    <n v="1583"/>
    <s v="Suning"/>
    <s v="TM"/>
    <x v="29"/>
    <n v="3"/>
    <x v="19"/>
    <x v="50"/>
    <s v="輕便式電磁爐7個功能"/>
    <s v="細電"/>
    <s v="SDA"/>
    <s v="s19"/>
    <n v="1"/>
    <n v="450"/>
    <n v="450"/>
    <s v="DA1421444"/>
    <m/>
    <m/>
    <s v="IC-S19RH DA1421444"/>
    <n v="638"/>
    <n v="0.70532915360501569"/>
    <s v="Toshiba SRP"/>
    <s v="DA142"/>
    <s v="DA142DA1421444"/>
  </r>
  <r>
    <n v="1584"/>
    <s v="Suning"/>
    <s v="TM"/>
    <x v="29"/>
    <n v="3"/>
    <x v="19"/>
    <x v="47"/>
    <s v="磁應電飯煲(1公升)"/>
    <s v="細電"/>
    <s v="SDA"/>
    <s v="10iss"/>
    <n v="1"/>
    <n v="898"/>
    <n v="898"/>
    <s v="DA1421476"/>
    <m/>
    <m/>
    <s v="RC-10ISSHK(W) DA1421476"/>
    <n v="1188"/>
    <n v="0.75589225589225584"/>
    <s v="Shops Highest Price"/>
    <s v="DA142"/>
    <s v="DA142DA1421476"/>
  </r>
  <r>
    <n v="1585"/>
    <s v="Suning"/>
    <s v="TM"/>
    <x v="29"/>
    <n v="3"/>
    <x v="19"/>
    <x v="119"/>
    <s v="雙門變頻式環保雪櫃231L"/>
    <s v="大電"/>
    <s v="REF"/>
    <s v="a28hsz"/>
    <n v="1"/>
    <n v="2388"/>
    <n v="2388"/>
    <s v="DA1421484"/>
    <m/>
    <m/>
    <s v="GR-A28HSZ(DS) DA1421484"/>
    <n v="3780"/>
    <n v="0.63174603174603172"/>
    <s v="Shops Highest Price"/>
    <s v="DA142"/>
    <s v="DA142DA1421484"/>
  </r>
  <r>
    <n v="1586"/>
    <s v="Suning"/>
    <s v="TM"/>
    <x v="29"/>
    <n v="3"/>
    <x v="19"/>
    <x v="21"/>
    <s v="壓縮式抽濕機 (30公升)"/>
    <s v="細電"/>
    <s v="RAC"/>
    <s v="d300"/>
    <n v="1"/>
    <n v="2280"/>
    <n v="2280"/>
    <s v="DA1421506"/>
    <m/>
    <m/>
    <s v="RAD-D300H DA1421506"/>
    <n v="3380"/>
    <n v="0.67455621301775148"/>
    <s v="Shops Highest Price"/>
    <s v="DA142"/>
    <s v="DA142DA1421506"/>
  </r>
  <r>
    <n v="1587"/>
    <s v="Suning"/>
    <s v="TM"/>
    <x v="29"/>
    <n v="3"/>
    <x v="19"/>
    <x v="55"/>
    <s v="真空壓力磁應電飯煲(1.8公升)"/>
    <s v="細電"/>
    <s v="SDA"/>
    <s v="dx18t"/>
    <n v="1"/>
    <n v="4548"/>
    <n v="4548"/>
    <s v="DA1421526"/>
    <m/>
    <m/>
    <s v="RC-DX18T(W) DA1421526"/>
    <n v="6388"/>
    <n v="0.71195992485911086"/>
    <s v="Toshiba SRP"/>
    <s v="DA142"/>
    <s v="DA142DA1421526"/>
  </r>
  <r>
    <n v="1588"/>
    <s v="Suning"/>
    <s v="TM"/>
    <x v="29"/>
    <n v="3"/>
    <x v="20"/>
    <x v="68"/>
    <s v="旋鈕式微波爐 (20公升)"/>
    <s v="細電"/>
    <s v="MCA"/>
    <s v="2mm20"/>
    <n v="1"/>
    <n v="610"/>
    <n v="610"/>
    <s v="DA1421606"/>
    <m/>
    <m/>
    <s v="MM-2MM20PC(WH) DA1421606"/>
    <n v="738"/>
    <n v="0.82655826558265577"/>
    <s v="Toshiba SRP"/>
    <s v="DA142"/>
    <s v="DA142DA1421606"/>
  </r>
  <r>
    <n v="1589"/>
    <s v="Suning"/>
    <s v="TM"/>
    <x v="29"/>
    <n v="3"/>
    <x v="20"/>
    <x v="83"/>
    <s v="R32變頻窗口式冷氣機 (獨立抽濕遙控"/>
    <s v="大電"/>
    <s v="AC"/>
    <s v="12g3cvr"/>
    <n v="1"/>
    <n v="6080"/>
    <n v="6080"/>
    <s v="DA1421613"/>
    <m/>
    <m/>
    <s v="RAC-12G3CVRGR-HK DA1421613"/>
    <n v="8680"/>
    <n v="0.70046082949308752"/>
    <s v="Toshiba SRP"/>
    <s v="DA142"/>
    <s v="DA142DA1421613"/>
  </r>
  <r>
    <n v="1590"/>
    <s v="Suning"/>
    <s v="TM"/>
    <x v="29"/>
    <n v="3"/>
    <x v="20"/>
    <x v="91"/>
    <s v="3/4 匹 R32變頻窗口式冷氣機"/>
    <s v="大電"/>
    <s v="AC"/>
    <s v="07g3cvg"/>
    <n v="1"/>
    <n v="3280"/>
    <n v="3280"/>
    <s v="DA1421612"/>
    <m/>
    <m/>
    <s v="RAC-07G3CVG-HK DA1421612"/>
    <n v="4980"/>
    <n v="0.65863453815261042"/>
    <s v="Toshiba SRP"/>
    <s v="DA142"/>
    <s v="DA142DA1421612"/>
  </r>
  <r>
    <n v="1591"/>
    <s v="Suning"/>
    <s v="TM"/>
    <x v="29"/>
    <n v="3"/>
    <x v="20"/>
    <x v="24"/>
    <s v="微型電腦珍珠飯煲"/>
    <s v="細電"/>
    <s v="SDA"/>
    <s v="5sli"/>
    <n v="1"/>
    <n v="568"/>
    <n v="568"/>
    <s v="DA1421762"/>
    <m/>
    <m/>
    <s v="RC-5SLIH(W) DA1421762"/>
    <n v="658"/>
    <n v="0.86322188449848025"/>
    <s v="Toshiba SRP"/>
    <s v="DA142"/>
    <s v="DA142DA1421762"/>
  </r>
  <r>
    <n v="1592"/>
    <s v="Suning"/>
    <s v="TM"/>
    <x v="29"/>
    <n v="3"/>
    <x v="21"/>
    <x v="37"/>
    <s v="電熱水瓶 (5公升)"/>
    <s v="細電"/>
    <s v="SDA"/>
    <s v="50dr"/>
    <n v="1"/>
    <n v="598"/>
    <n v="598"/>
    <s v="DA1421781"/>
    <m/>
    <m/>
    <s v="TP-50DRUHK(W) DA1421781"/>
    <n v="718"/>
    <n v="0.83286908077994426"/>
    <s v="Toshiba SRP"/>
    <s v="DA142"/>
    <s v="DA142DA1421781"/>
  </r>
  <r>
    <n v="1593"/>
    <s v="Suning"/>
    <s v="TM"/>
    <x v="29"/>
    <n v="3"/>
    <x v="21"/>
    <x v="93"/>
    <s v="座檯式洗碗碟機"/>
    <s v="細電"/>
    <s v="DW"/>
    <s v="05t2"/>
    <n v="1"/>
    <n v="3499"/>
    <n v="3499"/>
    <s v="DA1421793"/>
    <m/>
    <m/>
    <s v="DW-05T2-HK DA1421793"/>
    <n v="4580"/>
    <n v="0.76397379912663754"/>
    <s v="Toshiba SRP"/>
    <s v="DA142"/>
    <s v="DA142DA1421793"/>
  </r>
  <r>
    <n v="1594"/>
    <s v="Suning"/>
    <s v="TM"/>
    <x v="29"/>
    <n v="3"/>
    <x v="21"/>
    <x v="93"/>
    <s v="座檯式洗碗碟機"/>
    <s v="細電"/>
    <s v="DW"/>
    <s v="05t2"/>
    <n v="1"/>
    <n v="3499"/>
    <n v="3499"/>
    <s v="DA1421816"/>
    <m/>
    <m/>
    <s v="DW-05T2-HK DA1421816"/>
    <n v="4580"/>
    <n v="0.76397379912663754"/>
    <s v="Toshiba SRP"/>
    <s v="DA142"/>
    <s v="DA142DA1421816"/>
  </r>
  <r>
    <n v="1595"/>
    <s v="Suning"/>
    <s v="TM"/>
    <x v="29"/>
    <n v="3"/>
    <x v="21"/>
    <x v="61"/>
    <s v="酵活炊電飯煲(1.8公升)"/>
    <s v="細電"/>
    <s v="SDA"/>
    <s v="18amx"/>
    <n v="1"/>
    <n v="990"/>
    <n v="990"/>
    <s v="DA1421831"/>
    <m/>
    <m/>
    <s v="RC-18AMXH(W) DA1421831"/>
    <n v="1588"/>
    <n v="0.62342569269521408"/>
    <s v="Toshiba SRP"/>
    <s v="DA142"/>
    <s v="DA142DA1421831"/>
  </r>
  <r>
    <n v="1596"/>
    <s v="Suning"/>
    <s v="TM"/>
    <x v="29"/>
    <n v="3"/>
    <x v="21"/>
    <x v="121"/>
    <s v="IH磁應電飯煲"/>
    <s v="細電"/>
    <s v="SDA"/>
    <s v="ds10kw"/>
    <n v="1"/>
    <n v="3100"/>
    <n v="3100"/>
    <s v="DA1421907"/>
    <m/>
    <m/>
    <s v="RC-DS10K(N) DA1421907"/>
    <n v="4588"/>
    <n v="0.67567567567567566"/>
    <s v="Toshiba SRP"/>
    <s v="DA142"/>
    <s v="DA142DA1421907"/>
  </r>
  <r>
    <n v="1597"/>
    <s v="Suning"/>
    <s v="TM"/>
    <x v="29"/>
    <n v="3"/>
    <x v="21"/>
    <x v="124"/>
    <s v="RO座檯式冷熱飲水機"/>
    <s v="細電"/>
    <s v="KWH"/>
    <s v="w2265"/>
    <n v="1"/>
    <n v="2888"/>
    <n v="2888"/>
    <s v="DA1421938"/>
    <m/>
    <m/>
    <s v="TWP-W2265THK(W) DA1421938"/>
    <n v="3480"/>
    <n v="0.8298850574712644"/>
    <s v="Shops Highest Price"/>
    <s v="DA142"/>
    <s v="DA142DA1421938"/>
  </r>
  <r>
    <n v="1598"/>
    <s v="Suning"/>
    <s v="TM"/>
    <x v="29"/>
    <n v="3"/>
    <x v="30"/>
    <x v="92"/>
    <s v="1 匹 R32變頻窗口式冷氣機 (獨立抽濕遙控"/>
    <s v="大電"/>
    <s v="AC"/>
    <s v="09g3cvr"/>
    <n v="1"/>
    <n v="4300"/>
    <n v="4300"/>
    <s v="DA1422004"/>
    <m/>
    <m/>
    <s v="RAC-09G3CVRGR-HK DA1422004"/>
    <n v="6980"/>
    <n v="0.61604584527220629"/>
    <s v="Toshiba SRP"/>
    <s v="DA142"/>
    <s v="DA142DA1422004"/>
  </r>
  <r>
    <n v="1599"/>
    <s v="Suning"/>
    <s v="TM"/>
    <x v="29"/>
    <n v="3"/>
    <x v="30"/>
    <x v="121"/>
    <s v="IH磁應電飯煲"/>
    <s v="細電"/>
    <s v="SDA"/>
    <s v="ds10kw"/>
    <n v="1"/>
    <n v="3100"/>
    <n v="3100"/>
    <s v="DA1422045"/>
    <m/>
    <m/>
    <s v="RC-DS10K(N) DA1422045"/>
    <n v="4588"/>
    <n v="0.67567567567567566"/>
    <s v="Toshiba SRP"/>
    <s v="DA142"/>
    <s v="DA142DA1422045"/>
  </r>
  <r>
    <n v="1600"/>
    <s v="Suning"/>
    <s v="TM"/>
    <x v="29"/>
    <n v="3"/>
    <x v="30"/>
    <x v="69"/>
    <s v="多功能備長炭本厚釜電飯煲1.8L"/>
    <s v="細電"/>
    <s v="SDA"/>
    <s v="18drnh"/>
    <n v="1"/>
    <n v="330"/>
    <n v="330"/>
    <s v="DA1422055"/>
    <s v="陳列品"/>
    <m/>
    <s v="RC-18DRNH DA1422055"/>
    <n v="898"/>
    <n v="0.36748329621380849"/>
    <s v="Toshiba SRP"/>
    <s v="DA142"/>
    <s v="DA142DA1422055"/>
  </r>
  <r>
    <n v="1601"/>
    <s v="Suning"/>
    <s v="TM"/>
    <x v="29"/>
    <n v="3"/>
    <x v="30"/>
    <x v="63"/>
    <s v="20L 智能蒸氣焗爐"/>
    <s v="細電"/>
    <s v="MCA"/>
    <s v="stq20"/>
    <n v="1"/>
    <n v="1998"/>
    <n v="1998"/>
    <s v="DA1422057"/>
    <m/>
    <m/>
    <s v="MS3-STQ20SC(WH) DA1422057"/>
    <n v="2880"/>
    <n v="0.69374999999999998"/>
    <s v="Toshiba SRP"/>
    <s v="DA142"/>
    <s v="DA142DA1422057"/>
  </r>
  <r>
    <n v="1602"/>
    <s v="Suning"/>
    <s v="TM"/>
    <x v="29"/>
    <n v="3"/>
    <x v="30"/>
    <x v="17"/>
    <s v="4毫米厚釜電飯煲1L"/>
    <s v="細電"/>
    <s v="SDA"/>
    <s v="10nmf"/>
    <n v="1"/>
    <n v="708"/>
    <n v="708"/>
    <s v="DA1422076"/>
    <m/>
    <m/>
    <s v="RC-10NMFIH(WT) DA1422076"/>
    <n v="898"/>
    <n v="0.7884187082405345"/>
    <s v="Toshiba SRP"/>
    <s v="DA142"/>
    <s v="DA142DA1422076"/>
  </r>
  <r>
    <n v="1603"/>
    <s v="Suning"/>
    <s v="TM"/>
    <x v="29"/>
    <n v="3"/>
    <x v="30"/>
    <x v="21"/>
    <s v="壓縮式抽濕機 (30公升)"/>
    <s v="細電"/>
    <s v="RAC"/>
    <s v="d300"/>
    <n v="1"/>
    <n v="2073"/>
    <n v="2073"/>
    <s v="DA1422077"/>
    <m/>
    <m/>
    <s v="RAD-D300H DA1422077"/>
    <n v="3380"/>
    <n v="0.61331360946745561"/>
    <s v="Shops Highest Price"/>
    <s v="DA142"/>
    <s v="DA142DA1422077"/>
  </r>
  <r>
    <n v="1604"/>
    <s v="Suning"/>
    <s v="TM"/>
    <x v="29"/>
    <n v="3"/>
    <x v="30"/>
    <x v="86"/>
    <s v="470MM超薄身前置式變頻洗衣乾衣機 (洗8.5公斤 乾6公斤)"/>
    <s v="大電"/>
    <s v="LAD"/>
    <s v="twdt21"/>
    <n v="1"/>
    <n v="4080"/>
    <n v="4080"/>
    <s v="DA1422083"/>
    <m/>
    <m/>
    <s v="TWD-T21BU95UWH(WW) DA1422083"/>
    <n v="7280"/>
    <n v="0.56043956043956045"/>
    <s v="Toshiba SRP"/>
    <s v="DA142"/>
    <s v="DA142DA1422083"/>
  </r>
  <r>
    <n v="1605"/>
    <s v="Suning"/>
    <s v="TM"/>
    <x v="29"/>
    <n v="3"/>
    <x v="30"/>
    <x v="110"/>
    <s v="變頻六門雪櫃(451L)"/>
    <s v="大電"/>
    <s v="REF"/>
    <s v="rm598"/>
    <n v="1"/>
    <n v="9600"/>
    <n v="9600"/>
    <s v="DA1422084"/>
    <m/>
    <m/>
    <s v="GR-RM598WE-PGA(B3) DA1422084"/>
    <n v="14980"/>
    <n v="0.64085447263017359"/>
    <s v="Toshiba SRP"/>
    <s v="DA142"/>
    <s v="DA142DA1422084"/>
  </r>
  <r>
    <n v="1606"/>
    <s v="Suning"/>
    <s v="TM"/>
    <x v="29"/>
    <n v="3"/>
    <x v="22"/>
    <x v="68"/>
    <s v="旋鈕式微波爐 (20公升)"/>
    <s v="細電"/>
    <s v="MCA"/>
    <s v="2mm20"/>
    <n v="1"/>
    <n v="610"/>
    <n v="610"/>
    <s v="DA1422120"/>
    <m/>
    <m/>
    <s v="MM-2MM20PC(WH) DA1422120"/>
    <n v="738"/>
    <n v="0.82655826558265577"/>
    <s v="Toshiba SRP"/>
    <s v="DA142"/>
    <s v="DA142DA1422120"/>
  </r>
  <r>
    <n v="1607"/>
    <s v="Suning"/>
    <s v="TM"/>
    <x v="29"/>
    <n v="3"/>
    <x v="22"/>
    <x v="45"/>
    <s v="備長炭本厚釜電飯煲0.7L"/>
    <s v="細電"/>
    <s v="SDA"/>
    <s v="7hmh"/>
    <n v="1"/>
    <n v="788"/>
    <n v="788"/>
    <s v="DA1422147"/>
    <m/>
    <m/>
    <s v="RC-7HMH DA1422147"/>
    <n v="1288"/>
    <n v="0.61180124223602483"/>
    <s v="Toshiba SRP"/>
    <s v="DA142"/>
    <s v="DA142DA1422147"/>
  </r>
  <r>
    <n v="1608"/>
    <s v="Suning"/>
    <s v="TM"/>
    <x v="29"/>
    <n v="3"/>
    <x v="22"/>
    <x v="37"/>
    <s v="電熱水瓶 (5公升)"/>
    <s v="細電"/>
    <s v="SDA"/>
    <s v="50dr"/>
    <n v="1"/>
    <n v="598"/>
    <n v="598"/>
    <s v="DA1422158"/>
    <m/>
    <m/>
    <s v="TP-50DRUHK(W) DA1422158"/>
    <n v="718"/>
    <n v="0.83286908077994426"/>
    <s v="Toshiba SRP"/>
    <s v="DA142"/>
    <s v="DA142DA1422158"/>
  </r>
  <r>
    <n v="1609"/>
    <s v="Suning"/>
    <s v="TM"/>
    <x v="29"/>
    <n v="3"/>
    <x v="22"/>
    <x v="21"/>
    <s v="壓縮式抽濕機 (30公升)"/>
    <s v="細電"/>
    <s v="RAC"/>
    <s v="d300"/>
    <n v="1"/>
    <n v="2080"/>
    <n v="2080"/>
    <s v="DA1422167"/>
    <m/>
    <m/>
    <s v="RAD-D300H DA1422167"/>
    <n v="3380"/>
    <n v="0.61538461538461542"/>
    <s v="Shops Highest Price"/>
    <s v="DA142"/>
    <s v="DA142DA1422167"/>
  </r>
  <r>
    <n v="1610"/>
    <s v="Suning"/>
    <s v="TM"/>
    <x v="29"/>
    <n v="3"/>
    <x v="23"/>
    <x v="24"/>
    <s v="微型電腦珍珠飯煲"/>
    <s v="細電"/>
    <s v="SDA"/>
    <s v="5sli"/>
    <n v="1"/>
    <n v="568"/>
    <n v="568"/>
    <s v="DA1422219"/>
    <m/>
    <m/>
    <s v="RC-5SLIH(W) DA1422219"/>
    <n v="658"/>
    <n v="0.86322188449848025"/>
    <s v="Toshiba SRP"/>
    <s v="DA142"/>
    <s v="DA142DA1422219"/>
  </r>
  <r>
    <n v="1611"/>
    <s v="Suning"/>
    <s v="TM"/>
    <x v="29"/>
    <n v="3"/>
    <x v="23"/>
    <x v="39"/>
    <s v="酵活炊電飯煲(1.0公升)"/>
    <s v="細電"/>
    <s v="SDA"/>
    <s v="10amx"/>
    <n v="1"/>
    <n v="990"/>
    <n v="990"/>
    <s v="DA1422258"/>
    <m/>
    <m/>
    <s v="RC-10AMXH(W) DA1422258"/>
    <n v="1288"/>
    <n v="0.76863354037267084"/>
    <s v="Toshiba SRP"/>
    <s v="DA142"/>
    <s v="DA142DA1422258"/>
  </r>
  <r>
    <n v="1612"/>
    <s v="Suning"/>
    <s v="TM"/>
    <x v="29"/>
    <n v="3"/>
    <x v="23"/>
    <x v="78"/>
    <s v="變頻式環保雙門雪櫃（179L）"/>
    <s v="大電"/>
    <s v="REF"/>
    <s v="rt234"/>
    <n v="1"/>
    <n v="1795"/>
    <n v="1795"/>
    <s v="DA1422358"/>
    <m/>
    <m/>
    <s v="GR-RT234WE-PMA(57) DA1422358"/>
    <n v="3680"/>
    <n v="0.48777173913043476"/>
    <s v="Toshiba SRP"/>
    <s v="DA142"/>
    <s v="DA142DA1422358"/>
  </r>
  <r>
    <n v="1613"/>
    <s v="Suning"/>
    <s v="TM"/>
    <x v="29"/>
    <n v="3"/>
    <x v="26"/>
    <x v="87"/>
    <s v="變頻式環保雙門雪櫃(233L)"/>
    <s v="大電"/>
    <s v="REF"/>
    <s v="rt300"/>
    <n v="1"/>
    <n v="2680"/>
    <n v="2680"/>
    <s v="DA1422402"/>
    <m/>
    <m/>
    <s v="GR-RT300WE-PMA(57) DA1422402"/>
    <n v="4280"/>
    <n v="0.62616822429906538"/>
    <s v="Toshiba SRP"/>
    <s v="DA142"/>
    <s v="DA142DA1422402"/>
  </r>
  <r>
    <n v="1614"/>
    <s v="Suning"/>
    <s v="TM"/>
    <x v="29"/>
    <n v="3"/>
    <x v="26"/>
    <x v="83"/>
    <s v="R32變頻窗口式冷氣機 (獨立抽濕遙控"/>
    <s v="大電"/>
    <s v="AC"/>
    <s v="12g3cvr"/>
    <n v="1"/>
    <n v="5480"/>
    <n v="5480"/>
    <s v="DA1422431"/>
    <m/>
    <m/>
    <s v="RAC-12G3CVRGR-HK DA1422431"/>
    <n v="8680"/>
    <n v="0.63133640552995396"/>
    <s v="Toshiba SRP"/>
    <s v="DA142"/>
    <s v="DA142DA1422431"/>
  </r>
  <r>
    <n v="1615"/>
    <s v="Suning"/>
    <s v="TM"/>
    <x v="29"/>
    <n v="3"/>
    <x v="26"/>
    <x v="27"/>
    <s v="4毫米厚釜電飯煲1.8L"/>
    <s v="細電"/>
    <s v="SDA"/>
    <s v="18nmf"/>
    <n v="1"/>
    <n v="788"/>
    <n v="788"/>
    <s v="DA1422444"/>
    <m/>
    <m/>
    <s v="RC-18NMFIH(WT) DA1422444"/>
    <n v="998"/>
    <n v="0.78957915831663328"/>
    <s v="Toshiba SRP"/>
    <s v="DA142"/>
    <s v="DA142DA1422444"/>
  </r>
  <r>
    <n v="1616"/>
    <s v="Suning"/>
    <s v="TM"/>
    <x v="29"/>
    <n v="3"/>
    <x v="26"/>
    <x v="27"/>
    <s v="4毫米厚釜電飯煲1.8L"/>
    <s v="細電"/>
    <s v="SDA"/>
    <s v="18nmf"/>
    <n v="1"/>
    <n v="788"/>
    <n v="788"/>
    <s v="DA1422445"/>
    <m/>
    <m/>
    <s v="RC-18NMFIH(WT) DA1422445"/>
    <n v="998"/>
    <n v="0.78957915831663328"/>
    <s v="Toshiba SRP"/>
    <s v="DA142"/>
    <s v="DA142DA1422445"/>
  </r>
  <r>
    <n v="1617"/>
    <s v="Suning"/>
    <s v="TM"/>
    <x v="29"/>
    <n v="3"/>
    <x v="26"/>
    <x v="89"/>
    <s v="2 匹 R32變頻窗口式冷氣機 (remote)"/>
    <s v="大電"/>
    <s v="AC"/>
    <s v="18g3cvr"/>
    <n v="1"/>
    <n v="6253"/>
    <n v="6253"/>
    <s v="DA1422483"/>
    <m/>
    <m/>
    <s v="RAC-18G3CVRGR-HK DA1422483"/>
    <n v="10380"/>
    <n v="0.60240847784200391"/>
    <s v="Toshiba SRP"/>
    <s v="DA142"/>
    <s v="DA142DA1422483"/>
  </r>
  <r>
    <n v="1618"/>
    <s v="Suning"/>
    <s v="TM"/>
    <x v="29"/>
    <n v="3"/>
    <x v="26"/>
    <x v="17"/>
    <s v="4毫米厚釜電飯煲1L"/>
    <s v="細電"/>
    <s v="SDA"/>
    <s v="10nmf"/>
    <n v="1"/>
    <n v="708"/>
    <n v="708"/>
    <s v="DA1422545"/>
    <m/>
    <m/>
    <s v="RC-10NMFIH(WT) DA1422545"/>
    <n v="898"/>
    <n v="0.7884187082405345"/>
    <s v="Toshiba SRP"/>
    <s v="DA142"/>
    <s v="DA142DA1422545"/>
  </r>
  <r>
    <n v="1619"/>
    <s v="Suning"/>
    <s v="TM"/>
    <x v="29"/>
    <n v="3"/>
    <x v="26"/>
    <x v="121"/>
    <s v="IH磁應電飯煲"/>
    <s v="細電"/>
    <s v="SDA"/>
    <s v="ds10kw"/>
    <n v="1"/>
    <n v="2980"/>
    <n v="2980"/>
    <s v="DA1422671"/>
    <m/>
    <m/>
    <s v="RC-DS10K(N) DA1422671"/>
    <n v="4588"/>
    <n v="0.64952048823016562"/>
    <s v="Toshiba SRP"/>
    <s v="DA142"/>
    <s v="DA142DA1422671"/>
  </r>
  <r>
    <n v="1620"/>
    <s v="Suning"/>
    <s v="TM"/>
    <x v="29"/>
    <n v="3"/>
    <x v="26"/>
    <x v="21"/>
    <s v="壓縮式抽濕機 (30公升)"/>
    <s v="細電"/>
    <s v="RAC"/>
    <s v="d300"/>
    <n v="1"/>
    <n v="2080"/>
    <n v="2080"/>
    <s v="DA1422678"/>
    <m/>
    <m/>
    <s v="RAD-D300H DA1422678"/>
    <n v="3380"/>
    <n v="0.61538461538461542"/>
    <s v="Shops Highest Price"/>
    <s v="DA142"/>
    <s v="DA142DA1422678"/>
  </r>
  <r>
    <n v="1621"/>
    <s v="Suning"/>
    <s v="TM"/>
    <x v="29"/>
    <n v="3"/>
    <x v="26"/>
    <x v="37"/>
    <s v="電熱水瓶 (5公升)"/>
    <s v="細電"/>
    <s v="SDA"/>
    <s v="50dr"/>
    <n v="1"/>
    <n v="598"/>
    <n v="598"/>
    <s v="DA1422704"/>
    <m/>
    <m/>
    <s v="TP-50DRUHK(W) DA1422704"/>
    <n v="718"/>
    <n v="0.83286908077994426"/>
    <s v="Toshiba SRP"/>
    <s v="DA142"/>
    <s v="DA142DA1422704"/>
  </r>
  <r>
    <n v="1622"/>
    <s v="Suning"/>
    <s v="TM"/>
    <x v="29"/>
    <n v="3"/>
    <x v="26"/>
    <x v="31"/>
    <s v="無線雙層電熱水壺(1.7公升)"/>
    <s v="細電"/>
    <s v="SDA"/>
    <s v="17drt"/>
    <n v="1"/>
    <n v="358"/>
    <n v="358"/>
    <s v="DA1422782"/>
    <m/>
    <m/>
    <s v="KT-17DRTHK(H) DA1422782"/>
    <n v="498"/>
    <n v="0.71887550200803207"/>
    <s v="Toshiba SRP"/>
    <s v="DA142"/>
    <s v="DA142DA1422782"/>
  </r>
  <r>
    <n v="1623"/>
    <s v="Suning"/>
    <s v="TM"/>
    <x v="29"/>
    <n v="3"/>
    <x v="26"/>
    <x v="75"/>
    <s v="日式洗衣機 (8公斤 結合高低水位)"/>
    <s v="大電"/>
    <s v="LAD"/>
    <s v="q901"/>
    <n v="1"/>
    <n v="2208"/>
    <n v="2208"/>
    <s v="DA1422873"/>
    <m/>
    <m/>
    <s v="AW-Q901BPH(WW) DA1422873"/>
    <n v="3780"/>
    <n v="0.58412698412698416"/>
    <s v="Toshiba SRP"/>
    <s v="DA142"/>
    <s v="DA142DA1422873"/>
  </r>
  <r>
    <n v="1624"/>
    <s v="Suning"/>
    <s v="TM"/>
    <x v="29"/>
    <n v="3"/>
    <x v="26"/>
    <x v="41"/>
    <s v="低醣磁應電飯煲1.8L"/>
    <s v="細電"/>
    <s v="SDA"/>
    <s v="18isph"/>
    <n v="1"/>
    <n v="628"/>
    <n v="628"/>
    <s v="DA1422794"/>
    <s v="陳列品"/>
    <m/>
    <s v="RC-18ISPH DA1422794"/>
    <n v="1436"/>
    <n v="0.43732590529247911"/>
    <s v="Shops Highest Price"/>
    <s v="DA142"/>
    <s v="DA142DA1422794"/>
  </r>
  <r>
    <n v="1625"/>
    <s v="Suning"/>
    <s v="TM"/>
    <x v="29"/>
    <n v="3"/>
    <x v="26"/>
    <x v="36"/>
    <s v="輕觸式微波爐 (20公升)"/>
    <s v="細電"/>
    <s v="MCA"/>
    <s v="em20"/>
    <n v="1"/>
    <n v="650"/>
    <n v="650"/>
    <s v="DA1422829"/>
    <m/>
    <m/>
    <s v="MM2-EM20PC(WH) DA1422829"/>
    <n v="788"/>
    <n v="0.82487309644670048"/>
    <s v="Toshiba SRP"/>
    <s v="DA142"/>
    <s v="DA142DA1422829"/>
  </r>
  <r>
    <n v="1626"/>
    <s v="Suning"/>
    <s v="TM"/>
    <x v="29"/>
    <n v="3"/>
    <x v="27"/>
    <x v="63"/>
    <s v="20L 智能蒸氣焗爐"/>
    <s v="細電"/>
    <s v="MCA"/>
    <s v="stq20"/>
    <n v="1"/>
    <n v="1998"/>
    <n v="1998"/>
    <s v="DA1422888"/>
    <m/>
    <m/>
    <s v="MS3-STQ20SC(WH) DA1422888"/>
    <n v="2880"/>
    <n v="0.69374999999999998"/>
    <s v="Toshiba SRP"/>
    <s v="DA142"/>
    <s v="DA142DA1422888"/>
  </r>
  <r>
    <n v="1627"/>
    <s v="Suning"/>
    <s v="TM"/>
    <x v="29"/>
    <n v="3"/>
    <x v="27"/>
    <x v="125"/>
    <s v="2 匹 R32變頻窗口式冷氣機"/>
    <s v="大電"/>
    <s v="AC"/>
    <s v="18g3cvg"/>
    <n v="1"/>
    <n v="6290"/>
    <n v="6290"/>
    <s v="DA1422946"/>
    <m/>
    <m/>
    <s v="RAC-18G3CVG-HK DA1422946"/>
    <n v="9680"/>
    <n v="0.64979338842975209"/>
    <s v="Toshiba SRP"/>
    <s v="DA142"/>
    <s v="DA142DA1422946"/>
  </r>
  <r>
    <n v="1628"/>
    <s v="Suning"/>
    <s v="TM"/>
    <x v="29"/>
    <n v="3"/>
    <x v="27"/>
    <x v="74"/>
    <s v="4合1氣炸微波蒸焗爐(25公升)"/>
    <s v="細電"/>
    <s v="MCA"/>
    <s v="str25"/>
    <n v="1"/>
    <n v="3250"/>
    <n v="3250"/>
    <s v="DA1422955"/>
    <m/>
    <m/>
    <s v="MX2-STR25SC(WH) DA1422955"/>
    <n v="4998"/>
    <n v="0.6502601040416166"/>
    <s v="Toshiba SRP"/>
    <s v="DA142"/>
    <s v="DA142DA1422955"/>
  </r>
  <r>
    <n v="1629"/>
    <s v="Suning"/>
    <s v="TM"/>
    <x v="29"/>
    <n v="3"/>
    <x v="27"/>
    <x v="123"/>
    <s v="1匹 R32變頻窗口式冷氣機 "/>
    <s v="大電"/>
    <s v="AC"/>
    <s v="09g3cvg"/>
    <n v="1"/>
    <n v="3680"/>
    <n v="3680"/>
    <s v="DA1422980"/>
    <m/>
    <m/>
    <s v="RAC-09G3CVG-HK DA1422980"/>
    <n v="6380"/>
    <n v="0.57680250783699061"/>
    <s v="Toshiba SRP"/>
    <s v="DA142"/>
    <s v="DA142DA1422980"/>
  </r>
  <r>
    <n v="1630"/>
    <s v="Suning"/>
    <s v="TM"/>
    <x v="29"/>
    <n v="3"/>
    <x v="27"/>
    <x v="34"/>
    <s v="智能氣炸烤焗爐(24公升)"/>
    <s v="細電"/>
    <s v="MCA"/>
    <s v="sac24"/>
    <n v="1"/>
    <n v="1298"/>
    <n v="1298"/>
    <s v="DA1422987"/>
    <m/>
    <m/>
    <s v="MW3-SAC24SE(BK) DA1422987"/>
    <n v="1680"/>
    <n v="0.77261904761904765"/>
    <s v="Toshiba SRP"/>
    <s v="DA142"/>
    <s v="DA142DA1422987"/>
  </r>
  <r>
    <n v="1631"/>
    <s v="Suning"/>
    <s v="TM"/>
    <x v="29"/>
    <n v="3"/>
    <x v="27"/>
    <x v="54"/>
    <s v="低醣磁應電飯煲1L"/>
    <s v="細電"/>
    <s v="SDA"/>
    <s v="10irph"/>
    <n v="1"/>
    <n v="760"/>
    <n v="760"/>
    <s v="DA1423003"/>
    <m/>
    <m/>
    <s v="RC-10IRPH DA1423003"/>
    <n v="1388"/>
    <n v="0.54755043227665701"/>
    <s v="Toshiba SRP"/>
    <s v="DA142"/>
    <s v="DA142DA1423003"/>
  </r>
  <r>
    <n v="1632"/>
    <s v="Suning"/>
    <s v="TM"/>
    <x v="29"/>
    <n v="3"/>
    <x v="27"/>
    <x v="94"/>
    <s v="3/4 匹 窗口式冷氣機(remote)"/>
    <s v="大電"/>
    <s v="AC"/>
    <s v="07g3cvr"/>
    <n v="1"/>
    <n v="3580"/>
    <n v="3580"/>
    <s v="DA1423020"/>
    <m/>
    <m/>
    <s v="RAC-07G3CVRGR-HK DA1423020"/>
    <n v="5580"/>
    <n v="0.64157706093189959"/>
    <s v="Toshiba SRP"/>
    <s v="DA142"/>
    <s v="DA142DA1423020"/>
  </r>
  <r>
    <n v="1633"/>
    <s v="Suning"/>
    <s v="TM"/>
    <x v="29"/>
    <n v="3"/>
    <x v="27"/>
    <x v="17"/>
    <s v="4毫米厚釜電飯煲1L"/>
    <s v="細電"/>
    <s v="SDA"/>
    <s v="10nmf"/>
    <n v="1"/>
    <n v="708"/>
    <n v="708"/>
    <s v="DA1423025"/>
    <m/>
    <m/>
    <s v="RC-10NMFIH(WT) DA1423025"/>
    <n v="898"/>
    <n v="0.7884187082405345"/>
    <s v="Toshiba SRP"/>
    <s v="DA142"/>
    <s v="DA142DA1423025"/>
  </r>
  <r>
    <n v="1634"/>
    <s v="Suning"/>
    <s v="TM"/>
    <x v="29"/>
    <n v="3"/>
    <x v="27"/>
    <x v="74"/>
    <s v="4合1氣炸微波蒸焗爐(25公升)"/>
    <s v="細電"/>
    <s v="MCA"/>
    <s v="str25"/>
    <n v="1"/>
    <n v="3250"/>
    <n v="3250"/>
    <s v="DA1423035"/>
    <m/>
    <m/>
    <s v="MX2-STR25SC(WH) DA1423035"/>
    <n v="4998"/>
    <n v="0.6502601040416166"/>
    <s v="Toshiba SRP"/>
    <s v="DA142"/>
    <s v="DA142DA1423035"/>
  </r>
  <r>
    <n v="1635"/>
    <s v="Suning"/>
    <s v="TM"/>
    <x v="29"/>
    <n v="3"/>
    <x v="27"/>
    <x v="60"/>
    <s v="酵活炊磁應電飯煲(1.5公升)"/>
    <s v="細電"/>
    <s v="SDA"/>
    <s v="15bh"/>
    <n v="1"/>
    <n v="1938"/>
    <n v="1938"/>
    <s v="DA1423043"/>
    <m/>
    <m/>
    <s v="RC-15BHH(W) DA1423043"/>
    <n v="2388"/>
    <n v="0.81155778894472363"/>
    <s v="Toshiba SRP"/>
    <s v="DA142"/>
    <s v="DA142DA1423043"/>
  </r>
  <r>
    <n v="1636"/>
    <s v="Suning"/>
    <s v="TM"/>
    <x v="29"/>
    <n v="3"/>
    <x v="28"/>
    <x v="27"/>
    <s v="4毫米厚釜電飯煲1.8L"/>
    <s v="細電"/>
    <s v="SDA"/>
    <s v="18nmf"/>
    <n v="1"/>
    <n v="788"/>
    <n v="788"/>
    <s v="DA1423123"/>
    <m/>
    <m/>
    <s v="RC-18NMFIH(WT) DA1423123"/>
    <n v="998"/>
    <n v="0.78957915831663328"/>
    <s v="Toshiba SRP"/>
    <s v="DA142"/>
    <s v="DA142DA1423123"/>
  </r>
  <r>
    <n v="1637"/>
    <s v="Suning"/>
    <s v="TM"/>
    <x v="29"/>
    <n v="3"/>
    <x v="28"/>
    <x v="47"/>
    <s v="磁應電飯煲(1公升)"/>
    <s v="細電"/>
    <s v="SDA"/>
    <s v="10iss"/>
    <n v="1"/>
    <n v="898"/>
    <n v="898"/>
    <s v="DA1423127"/>
    <m/>
    <m/>
    <s v="RC-10ISSHK(W) DA1423127"/>
    <n v="1188"/>
    <n v="0.75589225589225584"/>
    <s v="Shops Highest Price"/>
    <s v="DA142"/>
    <s v="DA142DA1423127"/>
  </r>
  <r>
    <n v="1638"/>
    <s v="Suning"/>
    <s v="TM"/>
    <x v="29"/>
    <n v="3"/>
    <x v="28"/>
    <x v="45"/>
    <s v="備長炭本厚釜電飯煲0.7L"/>
    <s v="細電"/>
    <s v="SDA"/>
    <s v="7hmh"/>
    <n v="1"/>
    <n v="788"/>
    <n v="788"/>
    <s v="DA1423159"/>
    <m/>
    <m/>
    <s v="RC-7HMH DA1423159"/>
    <n v="1288"/>
    <n v="0.61180124223602483"/>
    <s v="Toshiba SRP"/>
    <s v="DA142"/>
    <s v="DA142DA1423159"/>
  </r>
  <r>
    <n v="1639"/>
    <s v="Suning"/>
    <s v="TM"/>
    <x v="29"/>
    <n v="3"/>
    <x v="28"/>
    <x v="21"/>
    <s v="壓縮式抽濕機 (30公升)"/>
    <s v="細電"/>
    <s v="RAC"/>
    <s v="d300"/>
    <n v="1"/>
    <n v="2073"/>
    <n v="2073"/>
    <s v="DA1423163"/>
    <m/>
    <m/>
    <s v="RAD-D300H DA1423163"/>
    <n v="3380"/>
    <n v="0.61331360946745561"/>
    <s v="Shops Highest Price"/>
    <s v="DA142"/>
    <s v="DA142DA1423163"/>
  </r>
  <r>
    <n v="1640"/>
    <s v="Suning"/>
    <s v="TM"/>
    <x v="29"/>
    <n v="3"/>
    <x v="28"/>
    <x v="124"/>
    <s v="RO座檯式冷熱飲水機"/>
    <s v="細電"/>
    <s v="KWH"/>
    <s v="w2265"/>
    <n v="1"/>
    <n v="2888"/>
    <n v="2888"/>
    <s v="DA1423219"/>
    <m/>
    <m/>
    <s v="TWP-W2265THK(W) DA1423219"/>
    <n v="3480"/>
    <n v="0.8298850574712644"/>
    <s v="Shops Highest Price"/>
    <s v="DA142"/>
    <s v="DA142DA1423219"/>
  </r>
  <r>
    <n v="1641"/>
    <s v="Suning"/>
    <s v="TM"/>
    <x v="29"/>
    <n v="3"/>
    <x v="28"/>
    <x v="68"/>
    <s v="旋鈕式微波爐 (20公升)"/>
    <s v="細電"/>
    <s v="MCA"/>
    <s v="2mm20"/>
    <n v="1"/>
    <n v="610"/>
    <n v="610"/>
    <s v="DA1423220"/>
    <m/>
    <m/>
    <s v="MM-2MM20PC(WH) DA1423220"/>
    <n v="738"/>
    <n v="0.82655826558265577"/>
    <s v="Toshiba SRP"/>
    <s v="DA142"/>
    <s v="DA142DA1423220"/>
  </r>
  <r>
    <n v="1642"/>
    <s v="Suning"/>
    <s v="TM"/>
    <x v="29"/>
    <n v="3"/>
    <x v="29"/>
    <x v="31"/>
    <s v="無線雙層電熱水壺(1.7公升)"/>
    <s v="細電"/>
    <s v="SDA"/>
    <s v="17drt"/>
    <n v="1"/>
    <n v="358"/>
    <n v="358"/>
    <s v="DA1423286"/>
    <m/>
    <m/>
    <s v="KT-17DRTHK(H) DA1423286"/>
    <n v="498"/>
    <n v="0.71887550200803207"/>
    <s v="Toshiba SRP"/>
    <s v="DA142"/>
    <s v="DA142DA1423286"/>
  </r>
  <r>
    <n v="1643"/>
    <s v="Suning"/>
    <s v="TM"/>
    <x v="29"/>
    <n v="3"/>
    <x v="29"/>
    <x v="94"/>
    <s v="3/4 匹 窗口式冷氣機(remote)"/>
    <s v="大電"/>
    <s v="AC"/>
    <s v="07g3cvr"/>
    <n v="1"/>
    <n v="3390"/>
    <n v="3390"/>
    <s v="DA1423373"/>
    <m/>
    <m/>
    <s v="RAC-07G3CVRGR-HK DA1423373"/>
    <n v="5580"/>
    <n v="0.60752688172043012"/>
    <s v="Toshiba SRP"/>
    <s v="DA142"/>
    <s v="DA142DA1423373"/>
  </r>
  <r>
    <n v="1644"/>
    <s v="Suning"/>
    <s v="TM"/>
    <x v="29"/>
    <n v="3"/>
    <x v="29"/>
    <x v="125"/>
    <s v="2 匹 R32變頻窗口式冷氣機"/>
    <s v="大電"/>
    <s v="AC"/>
    <s v="18g3cvg"/>
    <n v="2"/>
    <n v="6390"/>
    <n v="12780"/>
    <s v="DA1423372"/>
    <m/>
    <m/>
    <s v="RAC-18G3CVG-HK DA1423372"/>
    <n v="9680"/>
    <n v="0.66012396694214881"/>
    <s v="Toshiba SRP"/>
    <s v="DA142"/>
    <s v="DA142DA1423372"/>
  </r>
  <r>
    <n v="1645"/>
    <s v="Aeon"/>
    <s v="LCk"/>
    <x v="1"/>
    <n v="3"/>
    <x v="0"/>
    <x v="9"/>
    <s v="電熱水瓶4.5L"/>
    <s v="細電"/>
    <s v="SDA"/>
    <s v="45sf"/>
    <n v="1"/>
    <n v="500"/>
    <n v="500"/>
    <n v="6027009"/>
    <m/>
    <m/>
    <s v="PLK-45SFIH(WT) 6027009"/>
    <n v="788"/>
    <n v="0.63451776649746194"/>
    <s v="Toshiba SRP"/>
    <s v="DA142"/>
    <s v="DA1426027009"/>
  </r>
  <r>
    <n v="1646"/>
    <s v="Aeon"/>
    <s v="LCk"/>
    <x v="1"/>
    <n v="3"/>
    <x v="0"/>
    <x v="67"/>
    <s v="1.7L無線雙層電熱水壺(有窗)"/>
    <s v="細電"/>
    <s v="SDA"/>
    <s v="17sh1n"/>
    <n v="1"/>
    <n v="298"/>
    <n v="298"/>
    <n v="7038085"/>
    <m/>
    <m/>
    <s v="KT-17SH1NH 7038085"/>
    <n v="398"/>
    <n v="0.74874371859296485"/>
    <s v="Toshiba SRP"/>
    <s v="DA142"/>
    <s v="DA1427038085"/>
  </r>
  <r>
    <n v="1647"/>
    <s v="Aeon"/>
    <s v="LCk"/>
    <x v="1"/>
    <n v="3"/>
    <x v="2"/>
    <x v="5"/>
    <s v="全自動洗衣機 (8公斤 結合高低水位)"/>
    <s v="大電"/>
    <s v="WM"/>
    <s v="m901"/>
    <n v="1"/>
    <n v="1500"/>
    <n v="1500"/>
    <n v="6027387"/>
    <m/>
    <m/>
    <s v="AW-M901BPH(WW) 6027387"/>
    <n v="3580"/>
    <n v="0.41899441340782123"/>
    <s v="Toshiba SRP"/>
    <s v="DA142"/>
    <s v="DA1426027387"/>
  </r>
  <r>
    <n v="1648"/>
    <s v="Aeon"/>
    <s v="LCk"/>
    <x v="1"/>
    <n v="3"/>
    <x v="2"/>
    <x v="5"/>
    <s v="全自動洗衣機 (8公斤 結合高低水位)"/>
    <s v="大電"/>
    <s v="WM"/>
    <s v="m901"/>
    <n v="1"/>
    <n v="1500"/>
    <n v="1500"/>
    <n v="6027391"/>
    <m/>
    <m/>
    <s v="AW-M901BPH(WW) 6027391"/>
    <n v="3580"/>
    <n v="0.41899441340782123"/>
    <s v="Toshiba SRP"/>
    <s v="DA142"/>
    <s v="DA1426027391"/>
  </r>
  <r>
    <n v="1649"/>
    <s v="Aeon"/>
    <s v="LCk"/>
    <x v="1"/>
    <n v="3"/>
    <x v="3"/>
    <x v="5"/>
    <s v="全自動洗衣機 (8公斤 結合高低水位)"/>
    <s v="大電"/>
    <s v="WM"/>
    <s v="m901"/>
    <n v="1"/>
    <n v="1500"/>
    <n v="1500"/>
    <n v="6027331"/>
    <m/>
    <m/>
    <s v="AW-M901BPH(WW) 6027331"/>
    <n v="3580"/>
    <n v="0.41899441340782123"/>
    <s v="Toshiba SRP"/>
    <s v="DA142"/>
    <s v="DA1426027331"/>
  </r>
  <r>
    <n v="1650"/>
    <s v="Aeon"/>
    <s v="LCk"/>
    <x v="1"/>
    <n v="3"/>
    <x v="3"/>
    <x v="0"/>
    <s v="超薄身前置式洗衣乾衣機 (洗8公斤 乾5公斤)"/>
    <s v="大電"/>
    <s v="WM"/>
    <s v="bn90"/>
    <n v="1"/>
    <n v="3588"/>
    <n v="3588"/>
    <n v="6027937"/>
    <m/>
    <m/>
    <s v="TWD-BN90GF4H(WK) 6027937"/>
    <n v="5980"/>
    <n v="0.6"/>
    <s v="Toshiba SRP"/>
    <s v="DA142"/>
    <s v="DA1426027937"/>
  </r>
  <r>
    <n v="1651"/>
    <s v="Citistore"/>
    <s v="TW_1"/>
    <x v="5"/>
    <n v="3"/>
    <x v="19"/>
    <x v="23"/>
    <s v="電飯煲"/>
    <s v="細電"/>
    <s v="SDA"/>
    <s v="10jruh"/>
    <n v="1"/>
    <n v="250"/>
    <n v="250"/>
    <n v="444732"/>
    <m/>
    <m/>
    <s v="RC-10JRUH(N) 444732"/>
    <n v="398"/>
    <n v="0.62814070351758799"/>
    <s v="Shops Highest Price"/>
    <s v="DA142"/>
    <s v="DA142444732"/>
  </r>
  <r>
    <n v="1652"/>
    <s v="Citistore"/>
    <s v="TW_1"/>
    <x v="5"/>
    <n v="3"/>
    <x v="19"/>
    <x v="126"/>
    <s v="氣炸鍋(7.4公升)"/>
    <s v="細電"/>
    <s v="SDA"/>
    <s v="74c"/>
    <n v="1"/>
    <n v="988"/>
    <n v="988"/>
    <n v="444742"/>
    <m/>
    <m/>
    <s v="AF-74CS1TRHK(H) 444742"/>
    <n v="1288"/>
    <n v="0.76708074534161486"/>
    <s v="Toshiba SRP"/>
    <s v="DA142"/>
    <s v="DA142444742"/>
  </r>
  <r>
    <n v="1653"/>
    <s v="Citistore"/>
    <s v="TW_1"/>
    <x v="5"/>
    <n v="3"/>
    <x v="19"/>
    <x v="44"/>
    <s v="1.7L無線雙層電熱水壺"/>
    <s v="細電"/>
    <s v="SDA"/>
    <s v="17shnh"/>
    <n v="1"/>
    <n v="228"/>
    <n v="228"/>
    <n v="444785"/>
    <m/>
    <m/>
    <s v="KT-17SHNH 444785"/>
    <n v="299"/>
    <n v="0.76254180602006694"/>
    <s v="Shops Highest Price"/>
    <s v="DA142"/>
    <s v="DA142444785"/>
  </r>
  <r>
    <n v="1654"/>
    <s v="Citistore"/>
    <s v="TW_1"/>
    <x v="5"/>
    <n v="3"/>
    <x v="19"/>
    <x v="20"/>
    <s v="壓縮式抽濕機 (22公升)"/>
    <s v="細電"/>
    <s v="RAC"/>
    <s v="d200"/>
    <n v="2"/>
    <n v="1980"/>
    <n v="3960"/>
    <n v="156008"/>
    <m/>
    <m/>
    <s v="RAD-D200H 156008"/>
    <n v="2880"/>
    <n v="0.6875"/>
    <s v="Shops Highest Price"/>
    <s v="DA142"/>
    <s v="DA142156008"/>
  </r>
  <r>
    <n v="1655"/>
    <s v="Citistore"/>
    <s v="TW_1"/>
    <x v="5"/>
    <n v="3"/>
    <x v="19"/>
    <x v="43"/>
    <s v="470MM超薄身前置式變頻洗衣機(8.5公斤, 可飛頂)"/>
    <s v="大電"/>
    <s v="LAD"/>
    <s v="t2295"/>
    <n v="1"/>
    <n v="3680"/>
    <n v="3680"/>
    <n v="444932"/>
    <m/>
    <m/>
    <s v="TW-T22BU95UWH(WK)-B 444932"/>
    <n v="5880"/>
    <n v="0.62585034013605445"/>
    <s v="Toshiba SRP"/>
    <s v="DA142"/>
    <s v="DA142444932"/>
  </r>
  <r>
    <n v="1656"/>
    <s v="Citistore"/>
    <s v="TW_1"/>
    <x v="5"/>
    <n v="3"/>
    <x v="20"/>
    <x v="17"/>
    <s v="4毫米厚釜電飯煲1L"/>
    <s v="細電"/>
    <s v="SDA"/>
    <s v="10nmf"/>
    <n v="1"/>
    <n v="719"/>
    <n v="719"/>
    <n v="445005"/>
    <m/>
    <m/>
    <s v="RC-10NMFIH(WT) 445005"/>
    <n v="898"/>
    <n v="0.80066815144766146"/>
    <s v="Toshiba SRP"/>
    <s v="DA142"/>
    <s v="DA142445005"/>
  </r>
  <r>
    <n v="1657"/>
    <s v="Citistore"/>
    <s v="TW_1"/>
    <x v="5"/>
    <n v="3"/>
    <x v="20"/>
    <x v="70"/>
    <s v="12吋2合1座地座檯電風扇連遙控"/>
    <s v="細電"/>
    <s v="EAD"/>
    <s v="ya20"/>
    <n v="1"/>
    <n v="399"/>
    <n v="399"/>
    <n v="156011"/>
    <m/>
    <m/>
    <s v="F-LYA20(W)HKG 156011"/>
    <n v="988"/>
    <n v="0.40384615384615385"/>
    <s v="Toshiba SRP"/>
    <s v="DA142"/>
    <s v="DA142156011"/>
  </r>
  <r>
    <n v="1658"/>
    <s v="Citistore"/>
    <s v="TW_1"/>
    <x v="5"/>
    <n v="3"/>
    <x v="20"/>
    <x v="87"/>
    <s v="變頻式環保雙門雪櫃(233L)"/>
    <s v="大電"/>
    <s v="REF"/>
    <s v="rt300"/>
    <n v="1"/>
    <n v="2980"/>
    <n v="2980"/>
    <n v="156015"/>
    <m/>
    <m/>
    <s v="GR-RT300WE-PMA(57) 156015"/>
    <n v="4280"/>
    <n v="0.69626168224299068"/>
    <s v="Toshiba SRP"/>
    <s v="DA142"/>
    <s v="DA142156015"/>
  </r>
  <r>
    <n v="1659"/>
    <s v="Citistore"/>
    <s v="TW_1"/>
    <x v="5"/>
    <n v="3"/>
    <x v="20"/>
    <x v="30"/>
    <s v="旋鈕式燒烤微波爐20L"/>
    <s v="細電"/>
    <s v="SDA"/>
    <s v="mm20"/>
    <n v="1"/>
    <n v="518"/>
    <n v="518"/>
    <n v="156033"/>
    <m/>
    <m/>
    <s v="MWP-MM20P(WH) 156033"/>
    <n v="648"/>
    <n v="0.79938271604938271"/>
    <s v="Toshiba SRP"/>
    <s v="DA142"/>
    <s v="DA142156033"/>
  </r>
  <r>
    <n v="1660"/>
    <s v="Citistore"/>
    <s v="TW_1"/>
    <x v="5"/>
    <n v="3"/>
    <x v="20"/>
    <x v="0"/>
    <s v="超薄身前置式洗衣乾衣機 (洗8公斤 乾5公斤)"/>
    <s v="大電"/>
    <s v="WM"/>
    <s v="bn90"/>
    <n v="1"/>
    <n v="3980"/>
    <n v="3980"/>
    <n v="156063"/>
    <m/>
    <m/>
    <s v="TWD-BN90GF4H(WK) 156063"/>
    <n v="5980"/>
    <n v="0.66555183946488294"/>
    <s v="Toshiba SRP"/>
    <s v="DA142"/>
    <s v="DA142156063"/>
  </r>
  <r>
    <n v="1661"/>
    <s v="Citistore"/>
    <s v="TW_1"/>
    <x v="5"/>
    <n v="3"/>
    <x v="20"/>
    <x v="32"/>
    <s v="電熱水瓶3L"/>
    <s v="細電"/>
    <s v="SDA"/>
    <s v="30fl"/>
    <n v="1"/>
    <n v="489"/>
    <n v="489"/>
    <n v="445275"/>
    <m/>
    <m/>
    <s v="PLK-30FLIH(WT) 445275"/>
    <n v="658"/>
    <n v="0.74316109422492405"/>
    <s v="Toshiba SRP"/>
    <s v="DA142"/>
    <s v="DA142445275"/>
  </r>
  <r>
    <n v="1662"/>
    <s v="Citistore"/>
    <s v="TW_1"/>
    <x v="5"/>
    <n v="3"/>
    <x v="21"/>
    <x v="27"/>
    <s v="4毫米厚釜電飯煲1.8L"/>
    <s v="細電"/>
    <s v="SDA"/>
    <s v="18nmf"/>
    <n v="1"/>
    <n v="799"/>
    <n v="799"/>
    <n v="445468"/>
    <m/>
    <m/>
    <s v="RC-18NMFIH(WT) 445468"/>
    <n v="998"/>
    <n v="0.80060120240480959"/>
    <s v="Toshiba SRP"/>
    <s v="DA142"/>
    <s v="DA142445468"/>
  </r>
  <r>
    <n v="1663"/>
    <s v="Citistore"/>
    <s v="TW_1"/>
    <x v="5"/>
    <n v="3"/>
    <x v="21"/>
    <x v="16"/>
    <s v="輕便式電磁爐"/>
    <s v="細電"/>
    <s v="SDA"/>
    <s v="20r1"/>
    <n v="1"/>
    <n v="298"/>
    <n v="298"/>
    <n v="156099"/>
    <m/>
    <m/>
    <s v="IC-20R1THK 156099"/>
    <n v="438"/>
    <n v="0.68036529680365299"/>
    <s v="Shops Highest Price"/>
    <s v="DA142"/>
    <s v="DA142156099"/>
  </r>
  <r>
    <n v="1664"/>
    <s v="Citistore"/>
    <s v="TW_1"/>
    <x v="5"/>
    <n v="3"/>
    <x v="21"/>
    <x v="4"/>
    <s v="RO座檯式飲水機"/>
    <s v="細電"/>
    <s v="KWH"/>
    <s v="tsr76"/>
    <n v="1"/>
    <n v="1980"/>
    <n v="1980"/>
    <n v="156108"/>
    <m/>
    <m/>
    <s v="TWP-TSR76THK(W) 156108"/>
    <n v="2680"/>
    <n v="0.73880597014925375"/>
    <s v="Toshiba SRP"/>
    <s v="DA142"/>
    <s v="DA142156108"/>
  </r>
  <r>
    <n v="1665"/>
    <s v="Citistore"/>
    <s v="TW_1"/>
    <x v="5"/>
    <n v="3"/>
    <x v="21"/>
    <x v="51"/>
    <s v="IH磁應電飯煲"/>
    <s v="細電"/>
    <s v="SDA"/>
    <s v="dr10tw"/>
    <n v="1"/>
    <n v="2290"/>
    <n v="2290"/>
    <n v="156108"/>
    <m/>
    <m/>
    <s v="RC-DR10T(W) 156108"/>
    <n v="3188"/>
    <n v="0.71831869510664992"/>
    <s v="Toshiba SRP"/>
    <s v="DA142"/>
    <s v="DA142156108"/>
  </r>
  <r>
    <n v="1666"/>
    <s v="Citistore"/>
    <s v="TW_1"/>
    <x v="5"/>
    <n v="3"/>
    <x v="21"/>
    <x v="74"/>
    <s v="4合1氣炸微波蒸焗爐(25公升)"/>
    <s v="細電"/>
    <s v="MCA"/>
    <s v="str25"/>
    <n v="1"/>
    <n v="3580"/>
    <n v="3580"/>
    <n v="156137"/>
    <m/>
    <m/>
    <s v="MX2-STR25SC(WH) 156137"/>
    <n v="4998"/>
    <n v="0.71628651460584236"/>
    <s v="Toshiba SRP"/>
    <s v="DA142"/>
    <s v="DA142156137"/>
  </r>
  <r>
    <n v="1667"/>
    <s v="Citistore"/>
    <s v="TW_1"/>
    <x v="5"/>
    <n v="3"/>
    <x v="21"/>
    <x v="56"/>
    <s v="多士焗爐8L"/>
    <s v="細電"/>
    <s v="SDA"/>
    <n v="7080"/>
    <n v="1"/>
    <n v="338"/>
    <n v="338"/>
    <n v="445650"/>
    <m/>
    <m/>
    <s v="ET-TD7080(PN) 445650"/>
    <n v="498"/>
    <n v="0.67871485943775101"/>
    <s v="Toshiba SRP"/>
    <s v="DA142"/>
    <s v="DA142445650"/>
  </r>
  <r>
    <n v="1668"/>
    <s v="Citistore"/>
    <s v="TW_1"/>
    <x v="5"/>
    <n v="3"/>
    <x v="30"/>
    <x v="44"/>
    <s v="1.7L無線雙層電熱水壺"/>
    <s v="細電"/>
    <s v="SDA"/>
    <s v="17shnh"/>
    <n v="1"/>
    <n v="228"/>
    <n v="228"/>
    <n v="156146"/>
    <m/>
    <m/>
    <s v="KT-17SHNH 156146"/>
    <n v="299"/>
    <n v="0.76254180602006694"/>
    <s v="Shops Highest Price"/>
    <s v="DA142"/>
    <s v="DA142156146"/>
  </r>
  <r>
    <n v="1669"/>
    <s v="Citistore"/>
    <s v="TW_1"/>
    <x v="5"/>
    <n v="3"/>
    <x v="30"/>
    <x v="7"/>
    <s v="4毫米厚釜電飯煲0.54L"/>
    <s v="細電"/>
    <s v="SDA"/>
    <s v="5mm"/>
    <n v="1"/>
    <n v="556"/>
    <n v="556"/>
    <n v="445851"/>
    <m/>
    <m/>
    <s v="RC-5MMIH(WT) 445851"/>
    <n v="618"/>
    <n v="0.89967637540453071"/>
    <s v="Toshiba SRP"/>
    <s v="DA142"/>
    <s v="DA142445851"/>
  </r>
  <r>
    <n v="1670"/>
    <s v="Citistore"/>
    <s v="TW_1"/>
    <x v="5"/>
    <n v="3"/>
    <x v="30"/>
    <x v="21"/>
    <s v="壓縮式抽濕機 (30公升)"/>
    <s v="細電"/>
    <s v="RAC"/>
    <s v="d300"/>
    <n v="1"/>
    <n v="2280"/>
    <n v="2280"/>
    <n v="156169"/>
    <m/>
    <m/>
    <s v="RAD-D300H 156169"/>
    <n v="3380"/>
    <n v="0.67455621301775148"/>
    <s v="Shops Highest Price"/>
    <s v="DA142"/>
    <s v="DA142156169"/>
  </r>
  <r>
    <n v="1671"/>
    <s v="Citistore"/>
    <s v="TW_1"/>
    <x v="5"/>
    <n v="3"/>
    <x v="30"/>
    <x v="78"/>
    <s v="變頻式環保雙門雪櫃（179L）"/>
    <s v="大電"/>
    <s v="REF"/>
    <s v="rt234"/>
    <n v="1"/>
    <n v="1980"/>
    <n v="1980"/>
    <n v="445950"/>
    <m/>
    <m/>
    <s v="GR-RT234WE-PMA(57) 445950"/>
    <n v="3680"/>
    <n v="0.53804347826086951"/>
    <s v="Toshiba SRP"/>
    <s v="DA142"/>
    <s v="DA142445950"/>
  </r>
  <r>
    <n v="1672"/>
    <s v="Citistore"/>
    <s v="TW RS_1"/>
    <x v="30"/>
    <n v="3"/>
    <x v="23"/>
    <x v="7"/>
    <s v="4毫米厚釜電飯煲0.54L"/>
    <s v="細電"/>
    <s v="SDA"/>
    <s v="5mm"/>
    <n v="2"/>
    <n v="450"/>
    <n v="900"/>
    <n v="367046"/>
    <m/>
    <m/>
    <s v="RC-5MMIH(WT) 367046"/>
    <n v="618"/>
    <n v="0.72815533980582525"/>
    <s v="Toshiba SRP"/>
    <s v="DA142"/>
    <s v="DA142367046"/>
  </r>
  <r>
    <n v="1673"/>
    <s v="Citistore"/>
    <s v="TW RS_1"/>
    <x v="30"/>
    <n v="3"/>
    <x v="23"/>
    <x v="103"/>
    <s v="變頻下置式雙門雪櫃"/>
    <s v="大電"/>
    <s v="REF"/>
    <s v="rb449"/>
    <n v="1"/>
    <n v="4880"/>
    <n v="4880"/>
    <n v="512019"/>
    <m/>
    <m/>
    <s v="GR-RB449WE-PMA(57) 512019"/>
    <n v="6280"/>
    <n v="0.77707006369426757"/>
    <s v="Toshiba SRP"/>
    <s v="DA142"/>
    <s v="DA142512019"/>
  </r>
  <r>
    <n v="1674"/>
    <s v="Citistore"/>
    <s v="TW RS_1"/>
    <x v="30"/>
    <n v="3"/>
    <x v="23"/>
    <x v="29"/>
    <s v="酵活炊磁應電飯煲"/>
    <s v="細電"/>
    <s v="SDA"/>
    <s v="10bh"/>
    <n v="1"/>
    <n v="1888"/>
    <n v="1888"/>
    <n v="367123"/>
    <m/>
    <m/>
    <s v="RC-10BHH(W) 367123"/>
    <n v="2088"/>
    <n v="0.90421455938697315"/>
    <s v="Shops Highest Price"/>
    <s v="DA142"/>
    <s v="DA142367123"/>
  </r>
  <r>
    <n v="1675"/>
    <s v="Citistore"/>
    <s v="TW RS_1"/>
    <x v="30"/>
    <n v="3"/>
    <x v="23"/>
    <x v="7"/>
    <s v="4毫米厚釜電飯煲0.54L"/>
    <s v="細電"/>
    <s v="SDA"/>
    <s v="5mm"/>
    <n v="1"/>
    <n v="450"/>
    <n v="450"/>
    <n v="367155"/>
    <m/>
    <m/>
    <s v="RC-5MMIH(WT) 367155"/>
    <n v="618"/>
    <n v="0.72815533980582525"/>
    <s v="Toshiba SRP"/>
    <m/>
    <s v="367155"/>
  </r>
  <r>
    <n v="1676"/>
    <s v="Citistore"/>
    <s v="TW RS_1"/>
    <x v="30"/>
    <n v="3"/>
    <x v="23"/>
    <x v="36"/>
    <s v="輕觸式微波爐 (20公升)"/>
    <s v="細電"/>
    <s v="MCA"/>
    <s v="em20"/>
    <n v="1"/>
    <n v="598"/>
    <n v="598"/>
    <n v="374551"/>
    <m/>
    <m/>
    <s v="MM2-EM20PC(WH) 374551"/>
    <n v="788"/>
    <n v="0.75888324873096447"/>
    <s v="Toshiba SRP"/>
    <m/>
    <s v="374551"/>
  </r>
  <r>
    <n v="1677"/>
    <s v="Citistore"/>
    <s v="TW RS_1"/>
    <x v="30"/>
    <n v="3"/>
    <x v="23"/>
    <x v="36"/>
    <s v="輕觸式微波爐 (20公升)"/>
    <s v="細電"/>
    <s v="MCA"/>
    <s v="em20"/>
    <n v="1"/>
    <n v="598"/>
    <n v="598"/>
    <n v="374560"/>
    <m/>
    <m/>
    <s v="MM2-EM20PC(WH) 374560"/>
    <n v="788"/>
    <n v="0.75888324873096447"/>
    <s v="Toshiba SRP"/>
    <m/>
    <s v="374560"/>
  </r>
  <r>
    <n v="1678"/>
    <s v="Citistore"/>
    <s v="TW RS_1"/>
    <x v="30"/>
    <n v="3"/>
    <x v="23"/>
    <x v="7"/>
    <s v="4毫米厚釜電飯煲0.54L"/>
    <s v="細電"/>
    <s v="SDA"/>
    <s v="5mm"/>
    <n v="1"/>
    <n v="450"/>
    <n v="450"/>
    <n v="367170"/>
    <m/>
    <m/>
    <s v="RC-5MMIH(WT) 367170"/>
    <n v="618"/>
    <n v="0.72815533980582525"/>
    <s v="Toshiba SRP"/>
    <m/>
    <s v="367170"/>
  </r>
  <r>
    <n v="1679"/>
    <s v="Citistore"/>
    <s v="TW RS_1"/>
    <x v="30"/>
    <n v="3"/>
    <x v="23"/>
    <x v="28"/>
    <s v="無線雙層電熱水壺-附可鎖壺蓋(0.8公升)"/>
    <s v="細電"/>
    <s v="SDA"/>
    <s v="08dh"/>
    <n v="1"/>
    <n v="268"/>
    <n v="268"/>
    <n v="367186"/>
    <m/>
    <m/>
    <s v="KT-08DH1VHK(W) 367186"/>
    <n v="428"/>
    <n v="0.62616822429906538"/>
    <s v="Toshiba SRP"/>
    <m/>
    <s v="367186"/>
  </r>
  <r>
    <n v="1680"/>
    <s v="Citistore"/>
    <s v="TW RS_1"/>
    <x v="30"/>
    <n v="3"/>
    <x v="23"/>
    <x v="24"/>
    <s v="微型電腦珍珠飯煲"/>
    <s v="細電"/>
    <s v="SDA"/>
    <s v="5sli"/>
    <n v="1"/>
    <n v="550"/>
    <n v="550"/>
    <n v="367192"/>
    <m/>
    <m/>
    <s v="RC-5SLIH(W) 367192"/>
    <n v="658"/>
    <n v="0.83586626139817632"/>
    <s v="Toshiba SRP"/>
    <m/>
    <s v="367192"/>
  </r>
  <r>
    <n v="1681"/>
    <s v="Citistore"/>
    <s v="TW RS_1"/>
    <x v="30"/>
    <n v="3"/>
    <x v="23"/>
    <x v="29"/>
    <s v="酵活炊磁應電飯煲"/>
    <s v="細電"/>
    <s v="SDA"/>
    <s v="10bh"/>
    <n v="1"/>
    <n v="1888"/>
    <n v="1888"/>
    <n v="367197"/>
    <m/>
    <m/>
    <s v="RC-10BHH(W) 367197"/>
    <n v="2088"/>
    <n v="0.90421455938697315"/>
    <s v="Shops Highest Price"/>
    <m/>
    <s v="367197"/>
  </r>
  <r>
    <n v="1682"/>
    <s v="Citistore"/>
    <s v="TW RS_1"/>
    <x v="30"/>
    <n v="3"/>
    <x v="23"/>
    <x v="75"/>
    <s v="日式洗衣機 (8公斤 結合高低水位)"/>
    <s v="大電"/>
    <s v="LAD"/>
    <s v="q901"/>
    <n v="1"/>
    <n v="2280"/>
    <n v="2280"/>
    <n v="446531"/>
    <m/>
    <m/>
    <s v="AW-Q901BPH(WW) 446531"/>
    <n v="3780"/>
    <n v="0.60317460317460314"/>
    <s v="Toshiba SRP"/>
    <m/>
    <s v="446531"/>
  </r>
  <r>
    <n v="1683"/>
    <s v="Citistore"/>
    <s v="TW RS_1"/>
    <x v="30"/>
    <n v="3"/>
    <x v="23"/>
    <x v="47"/>
    <s v="磁應電飯煲(1公升)"/>
    <s v="細電"/>
    <s v="SDA"/>
    <s v="10iss"/>
    <n v="1"/>
    <n v="938"/>
    <n v="938"/>
    <n v="367232"/>
    <m/>
    <m/>
    <s v="RC-10ISSHK(W) 367232"/>
    <n v="1188"/>
    <n v="0.78956228956228958"/>
    <s v="Shops Highest Price"/>
    <m/>
    <s v="367232"/>
  </r>
  <r>
    <n v="1684"/>
    <s v="Citistore"/>
    <s v="TW RS_1"/>
    <x v="30"/>
    <n v="3"/>
    <x v="24"/>
    <x v="35"/>
    <s v="1.8公升電飯煲"/>
    <s v="細電"/>
    <s v="SDA"/>
    <s v="18jruh"/>
    <n v="1"/>
    <n v="300"/>
    <n v="300"/>
    <n v="367259"/>
    <m/>
    <m/>
    <s v="RC-18JRUH(N) 367259"/>
    <n v="458"/>
    <n v="0.65502183406113534"/>
    <s v="Shops Highest Price"/>
    <m/>
    <s v="367259"/>
  </r>
  <r>
    <n v="1685"/>
    <s v="Citistore"/>
    <s v="TW RS_1"/>
    <x v="30"/>
    <n v="3"/>
    <x v="24"/>
    <x v="7"/>
    <s v="4毫米厚釜電飯煲0.54L"/>
    <s v="細電"/>
    <s v="SDA"/>
    <s v="5mm"/>
    <n v="1"/>
    <n v="450"/>
    <n v="450"/>
    <n v="367257"/>
    <m/>
    <m/>
    <s v="RC-5MMIH(WT) 367257"/>
    <n v="618"/>
    <n v="0.72815533980582525"/>
    <s v="Toshiba SRP"/>
    <m/>
    <s v="367257"/>
  </r>
  <r>
    <n v="1686"/>
    <s v="Citistore"/>
    <s v="TW RS_1"/>
    <x v="30"/>
    <n v="3"/>
    <x v="24"/>
    <x v="45"/>
    <s v="備長炭本厚釜電飯煲0.7L"/>
    <s v="細電"/>
    <s v="SDA"/>
    <s v="7hmh"/>
    <n v="1"/>
    <n v="788"/>
    <n v="788"/>
    <n v="367246"/>
    <m/>
    <m/>
    <s v="RC-7HMH 367246"/>
    <n v="1288"/>
    <n v="0.61180124223602483"/>
    <s v="Toshiba SRP"/>
    <m/>
    <s v="367246"/>
  </r>
  <r>
    <n v="1687"/>
    <s v="Citistore"/>
    <s v="TW RS_1"/>
    <x v="30"/>
    <n v="3"/>
    <x v="24"/>
    <x v="61"/>
    <s v="酵活炊電飯煲(1.8公升)"/>
    <s v="細電"/>
    <s v="SDA"/>
    <s v="18amx"/>
    <n v="1"/>
    <n v="990"/>
    <n v="990"/>
    <n v="367288"/>
    <m/>
    <m/>
    <s v="RC-18AMXH(W) 367288"/>
    <n v="1588"/>
    <n v="0.62342569269521408"/>
    <s v="Toshiba SRP"/>
    <m/>
    <s v="367288"/>
  </r>
  <r>
    <n v="1688"/>
    <s v="Citistore"/>
    <s v="TW RS_1"/>
    <x v="30"/>
    <n v="3"/>
    <x v="24"/>
    <x v="58"/>
    <s v="IH磁應電飯煲_x000a_鑽石銅鍋"/>
    <s v="細電"/>
    <s v="SDA"/>
    <s v="dr18tw"/>
    <n v="1"/>
    <n v="2690"/>
    <n v="2690"/>
    <n v="367309"/>
    <m/>
    <m/>
    <s v="RC-DR18T(W) 367309"/>
    <n v="3588"/>
    <n v="0.74972129319955405"/>
    <s v="Toshiba SRP"/>
    <m/>
    <s v="367309"/>
  </r>
  <r>
    <n v="1689"/>
    <s v="Citistore"/>
    <s v="TW RS_1"/>
    <x v="30"/>
    <n v="3"/>
    <x v="24"/>
    <x v="75"/>
    <s v="日式洗衣機 (8公斤 結合高低水位)"/>
    <s v="大電"/>
    <s v="LAD"/>
    <s v="q901"/>
    <n v="1"/>
    <n v="2280"/>
    <n v="2280"/>
    <n v="367279"/>
    <m/>
    <m/>
    <s v="AW-Q901BPH(WW) 367279"/>
    <n v="3780"/>
    <n v="0.60317460317460314"/>
    <s v="Toshiba SRP"/>
    <m/>
    <s v="367279"/>
  </r>
  <r>
    <n v="1690"/>
    <s v="Citistore"/>
    <s v="TW RS_1"/>
    <x v="30"/>
    <n v="3"/>
    <x v="24"/>
    <x v="66"/>
    <s v="變頻下置式雙門雪櫃（163L）"/>
    <s v="大電"/>
    <s v="REF"/>
    <s v="rb221"/>
    <n v="1"/>
    <n v="1880"/>
    <n v="1880"/>
    <n v="367279"/>
    <m/>
    <m/>
    <s v="GR-RB221WE-PMA(57) 367279"/>
    <n v="3480"/>
    <n v="0.54022988505747127"/>
    <s v="Toshiba SRP"/>
    <m/>
    <s v="367279"/>
  </r>
  <r>
    <n v="1691"/>
    <s v="Citistore"/>
    <s v="TW RS_1"/>
    <x v="30"/>
    <n v="3"/>
    <x v="24"/>
    <x v="70"/>
    <s v="12吋2合1座地座檯電風扇連遙控"/>
    <s v="細電"/>
    <s v="EAD"/>
    <s v="ya20"/>
    <n v="1"/>
    <n v="399"/>
    <n v="399"/>
    <s v="TG260326N00087"/>
    <m/>
    <m/>
    <s v="F-LYA20(W)HKG TG260326N00087"/>
    <n v="988"/>
    <n v="0.40384615384615385"/>
    <s v="Toshiba SRP"/>
    <m/>
    <s v="TG260326N00087"/>
  </r>
  <r>
    <n v="1692"/>
    <s v="Citistore"/>
    <s v="TW RS_1"/>
    <x v="30"/>
    <n v="3"/>
    <x v="24"/>
    <x v="24"/>
    <s v="微型電腦珍珠飯煲"/>
    <s v="細電"/>
    <s v="SDA"/>
    <s v="5sli"/>
    <n v="1"/>
    <n v="550"/>
    <n v="550"/>
    <n v="367370"/>
    <m/>
    <m/>
    <s v="RC-5SLIH(W) 367370"/>
    <n v="658"/>
    <n v="0.83586626139817632"/>
    <s v="Toshiba SRP"/>
    <m/>
    <s v="367370"/>
  </r>
  <r>
    <n v="1693"/>
    <s v="Citistore"/>
    <s v="TW RS_1"/>
    <x v="30"/>
    <n v="3"/>
    <x v="24"/>
    <x v="23"/>
    <s v="電飯煲"/>
    <s v="細電"/>
    <s v="SDA"/>
    <s v="10jruh"/>
    <n v="1"/>
    <n v="250"/>
    <n v="250"/>
    <n v="367383"/>
    <m/>
    <m/>
    <s v="RC-10JRUH(N) 367383"/>
    <n v="398"/>
    <n v="0.62814070351758799"/>
    <s v="Shops Highest Price"/>
    <m/>
    <s v="367383"/>
  </r>
  <r>
    <n v="1694"/>
    <s v="Citistore"/>
    <s v="TW RS_1"/>
    <x v="30"/>
    <n v="3"/>
    <x v="24"/>
    <x v="38"/>
    <s v="無線雙層電熱水壺-附可鎖壺蓋"/>
    <s v="細電"/>
    <s v="SDA"/>
    <s v="15drt"/>
    <n v="1"/>
    <n v="338"/>
    <n v="338"/>
    <n v="367382"/>
    <m/>
    <m/>
    <s v="KT-15DRTHK(W) 367382"/>
    <n v="598"/>
    <n v="0.56521739130434778"/>
    <s v="Toshiba SRP"/>
    <m/>
    <s v="367382"/>
  </r>
  <r>
    <n v="1695"/>
    <s v="Citistore"/>
    <s v="TW RS_1"/>
    <x v="30"/>
    <n v="3"/>
    <x v="24"/>
    <x v="31"/>
    <s v="無線雙層電熱水壺(1.7公升)"/>
    <s v="細電"/>
    <s v="SDA"/>
    <s v="17drt"/>
    <n v="1"/>
    <n v="388"/>
    <n v="388"/>
    <n v="367424"/>
    <m/>
    <m/>
    <s v="KT-17DRTHK(H) 367424"/>
    <n v="498"/>
    <n v="0.77911646586345384"/>
    <s v="Toshiba SRP"/>
    <m/>
    <s v="367424"/>
  </r>
  <r>
    <n v="1696"/>
    <s v="Citistore"/>
    <s v="TW RS_1"/>
    <x v="30"/>
    <n v="3"/>
    <x v="24"/>
    <x v="23"/>
    <s v="電飯煲"/>
    <s v="細電"/>
    <s v="SDA"/>
    <s v="10jruh"/>
    <n v="1"/>
    <n v="250"/>
    <n v="250"/>
    <n v="367430"/>
    <m/>
    <m/>
    <s v="RC-10JRUH(N) 367430"/>
    <n v="398"/>
    <n v="0.62814070351758799"/>
    <s v="Shops Highest Price"/>
    <m/>
    <s v="367430"/>
  </r>
  <r>
    <n v="1697"/>
    <s v="Citistore"/>
    <s v="TW RS_1"/>
    <x v="30"/>
    <n v="3"/>
    <x v="24"/>
    <x v="44"/>
    <s v="1.7L無線雙層電熱水壺"/>
    <s v="細電"/>
    <s v="SDA"/>
    <s v="17shnh"/>
    <n v="1"/>
    <n v="198"/>
    <n v="198"/>
    <n v="367430"/>
    <m/>
    <m/>
    <s v="KT-17SHNH 367430"/>
    <n v="299"/>
    <n v="0.66220735785953178"/>
    <s v="Shops Highest Price"/>
    <m/>
    <s v="367430"/>
  </r>
  <r>
    <n v="1698"/>
    <s v="Citistore"/>
    <s v="TW RS_1"/>
    <x v="30"/>
    <n v="3"/>
    <x v="24"/>
    <x v="45"/>
    <s v="備長炭本厚釜電飯煲0.7L"/>
    <s v="細電"/>
    <s v="SDA"/>
    <s v="7hmh"/>
    <n v="1"/>
    <n v="788"/>
    <n v="788"/>
    <n v="367447"/>
    <m/>
    <m/>
    <s v="RC-7HMH 367447"/>
    <n v="1288"/>
    <n v="0.61180124223602483"/>
    <s v="Toshiba SRP"/>
    <m/>
    <s v="367447"/>
  </r>
  <r>
    <n v="1699"/>
    <s v="Citistore"/>
    <s v="TW RS_1"/>
    <x v="30"/>
    <n v="3"/>
    <x v="24"/>
    <x v="35"/>
    <s v="1.8公升電飯煲"/>
    <s v="細電"/>
    <s v="SDA"/>
    <s v="18jruh"/>
    <n v="1"/>
    <n v="300"/>
    <n v="300"/>
    <n v="367449"/>
    <m/>
    <m/>
    <s v="RC-18JRUH(N) 367449"/>
    <n v="458"/>
    <n v="0.65502183406113534"/>
    <s v="Shops Highest Price"/>
    <m/>
    <s v="367449"/>
  </r>
  <r>
    <n v="1700"/>
    <s v="Citistore"/>
    <s v="TW RS_1"/>
    <x v="30"/>
    <n v="3"/>
    <x v="24"/>
    <x v="80"/>
    <s v="無線雙層電熱水壺(1.4公升)"/>
    <s v="細電"/>
    <s v="SDA"/>
    <s v="14dh"/>
    <n v="1"/>
    <n v="298"/>
    <n v="298"/>
    <n v="156341"/>
    <m/>
    <m/>
    <s v="KT-14DHUHK(W) 156341"/>
    <n v="458"/>
    <n v="0.6506550218340611"/>
    <s v="Toshiba SRP"/>
    <m/>
    <s v="156341"/>
  </r>
  <r>
    <n v="1701"/>
    <s v="Citistore"/>
    <s v="TW RS_1"/>
    <x v="30"/>
    <n v="3"/>
    <x v="24"/>
    <x v="70"/>
    <s v="12吋2合1座地座檯電風扇連遙控"/>
    <s v="細電"/>
    <s v="EAD"/>
    <s v="ya20"/>
    <n v="1"/>
    <n v="399"/>
    <n v="399"/>
    <n v="156235"/>
    <m/>
    <m/>
    <s v="F-LYA20(W)HKG 156235"/>
    <n v="988"/>
    <n v="0.40384615384615385"/>
    <s v="Toshiba SRP"/>
    <m/>
    <s v="156235"/>
  </r>
  <r>
    <n v="1702"/>
    <s v="Citistore"/>
    <s v="TW RS_1"/>
    <x v="30"/>
    <n v="3"/>
    <x v="24"/>
    <x v="31"/>
    <s v="無線雙層電熱水壺(1.7公升)"/>
    <s v="細電"/>
    <s v="SDA"/>
    <s v="17drt"/>
    <n v="1"/>
    <n v="388"/>
    <n v="388"/>
    <n v="367472"/>
    <m/>
    <m/>
    <s v="KT-17DRTHK(H) 367472"/>
    <n v="498"/>
    <n v="0.77911646586345384"/>
    <s v="Toshiba SRP"/>
    <m/>
    <s v="367472"/>
  </r>
  <r>
    <n v="1703"/>
    <s v="Citistore"/>
    <s v="TW RS_1"/>
    <x v="30"/>
    <n v="3"/>
    <x v="24"/>
    <x v="28"/>
    <s v="無線雙層電熱水壺-附可鎖壺蓋(0.8公升)"/>
    <s v="細電"/>
    <s v="SDA"/>
    <s v="08dh"/>
    <n v="1"/>
    <n v="268"/>
    <n v="268"/>
    <n v="367505"/>
    <m/>
    <m/>
    <s v="KT-08DH1VHK(W) 367505"/>
    <n v="428"/>
    <n v="0.62616822429906538"/>
    <s v="Toshiba SRP"/>
    <m/>
    <s v="367505"/>
  </r>
  <r>
    <n v="1704"/>
    <s v="Citistore"/>
    <s v="TW RS_1"/>
    <x v="30"/>
    <n v="3"/>
    <x v="24"/>
    <x v="24"/>
    <s v="微型電腦珍珠飯煲"/>
    <s v="細電"/>
    <s v="SDA"/>
    <s v="5sli"/>
    <n v="1"/>
    <n v="550"/>
    <n v="550"/>
    <n v="367537"/>
    <m/>
    <m/>
    <s v="RC-5SLIH(W) 367537"/>
    <n v="658"/>
    <n v="0.83586626139817632"/>
    <s v="Toshiba SRP"/>
    <m/>
    <s v="367537"/>
  </r>
  <r>
    <n v="1705"/>
    <s v="Citistore"/>
    <s v="TW RS_1"/>
    <x v="30"/>
    <n v="3"/>
    <x v="24"/>
    <x v="30"/>
    <s v="旋鈕式燒烤微波爐20L"/>
    <s v="細電"/>
    <s v="SDA"/>
    <s v="mm20"/>
    <n v="1"/>
    <n v="488"/>
    <n v="488"/>
    <n v="367552"/>
    <m/>
    <m/>
    <s v="MWP-MM20P(WH) 367552"/>
    <n v="648"/>
    <n v="0.75308641975308643"/>
    <s v="Toshiba SRP"/>
    <m/>
    <s v="367552"/>
  </r>
  <r>
    <n v="1706"/>
    <s v="Citistore"/>
    <s v="TW RS_1"/>
    <x v="30"/>
    <n v="3"/>
    <x v="24"/>
    <x v="16"/>
    <s v="輕便式電磁爐"/>
    <s v="細電"/>
    <s v="SDA"/>
    <s v="20r1"/>
    <n v="1"/>
    <n v="298"/>
    <n v="298"/>
    <n v="367555"/>
    <m/>
    <m/>
    <s v="IC-20R1THK 367555"/>
    <n v="438"/>
    <n v="0.68036529680365299"/>
    <s v="Shops Highest Price"/>
    <m/>
    <s v="367555"/>
  </r>
  <r>
    <n v="1707"/>
    <s v="Citistore"/>
    <s v="TW RS_1"/>
    <x v="30"/>
    <n v="3"/>
    <x v="24"/>
    <x v="30"/>
    <s v="旋鈕式燒烤微波爐20L"/>
    <s v="細電"/>
    <s v="SDA"/>
    <s v="mm20"/>
    <n v="1"/>
    <n v="488"/>
    <n v="488"/>
    <n v="367562"/>
    <m/>
    <m/>
    <s v="MWP-MM20P(WH) 367562"/>
    <n v="648"/>
    <n v="0.75308641975308643"/>
    <s v="Toshiba SRP"/>
    <m/>
    <s v="367562"/>
  </r>
  <r>
    <n v="1708"/>
    <s v="Citistore"/>
    <s v="TW RS_1"/>
    <x v="30"/>
    <n v="3"/>
    <x v="24"/>
    <x v="39"/>
    <s v="酵活炊電飯煲(1.0公升)"/>
    <s v="細電"/>
    <s v="SDA"/>
    <s v="10amx"/>
    <n v="1"/>
    <n v="990"/>
    <n v="990"/>
    <n v="452039"/>
    <m/>
    <m/>
    <s v="RC-10AMXH(W) 452039"/>
    <n v="1288"/>
    <n v="0.76863354037267084"/>
    <s v="Toshiba SRP"/>
    <m/>
    <s v="452039"/>
  </r>
  <r>
    <n v="1709"/>
    <s v="Citistore"/>
    <s v="TW RS_1"/>
    <x v="30"/>
    <n v="3"/>
    <x v="25"/>
    <x v="15"/>
    <s v="Induction Cooker"/>
    <s v="細電"/>
    <s v="SDA"/>
    <s v="21ts"/>
    <n v="1"/>
    <n v="698"/>
    <n v="698"/>
    <n v="367578"/>
    <m/>
    <m/>
    <s v="IC-21TSHK 367578"/>
    <n v="998"/>
    <n v="0.69939879759519041"/>
    <s v="Web SRP"/>
    <m/>
    <s v="367578"/>
  </r>
  <r>
    <n v="1710"/>
    <s v="Citistore"/>
    <s v="TW RS_1"/>
    <x v="30"/>
    <n v="3"/>
    <x v="25"/>
    <x v="31"/>
    <s v="無線雙層電熱水壺(1.7公升)"/>
    <s v="細電"/>
    <s v="SDA"/>
    <s v="17drt"/>
    <n v="1"/>
    <n v="388"/>
    <n v="388"/>
    <n v="367646"/>
    <m/>
    <m/>
    <s v="KT-17DRTHK(H) 367646"/>
    <n v="498"/>
    <n v="0.77911646586345384"/>
    <s v="Toshiba SRP"/>
    <m/>
    <s v="367646"/>
  </r>
  <r>
    <n v="1711"/>
    <s v="Citistore"/>
    <s v="TW RS_1"/>
    <x v="30"/>
    <n v="3"/>
    <x v="25"/>
    <x v="27"/>
    <s v="4毫米厚釜電飯煲1.8L"/>
    <s v="細電"/>
    <s v="SDA"/>
    <s v="18nmf"/>
    <n v="1"/>
    <n v="799"/>
    <n v="799"/>
    <n v="367572"/>
    <m/>
    <m/>
    <s v="RC-18NMFIH(WT) 367572"/>
    <n v="998"/>
    <n v="0.80060120240480959"/>
    <s v="Toshiba SRP"/>
    <m/>
    <s v="367572"/>
  </r>
  <r>
    <n v="1712"/>
    <s v="Citistore"/>
    <s v="TW RS_1"/>
    <x v="30"/>
    <n v="3"/>
    <x v="25"/>
    <x v="17"/>
    <s v="4毫米厚釜電飯煲1L"/>
    <s v="細電"/>
    <s v="SDA"/>
    <s v="10nmf"/>
    <n v="1"/>
    <n v="719"/>
    <n v="719"/>
    <n v="367576"/>
    <m/>
    <m/>
    <s v="RC-10NMFIH(WT) 367576"/>
    <n v="898"/>
    <n v="0.80066815144766146"/>
    <s v="Toshiba SRP"/>
    <m/>
    <s v="367576"/>
  </r>
  <r>
    <n v="1713"/>
    <s v="Citistore"/>
    <s v="TW RS_1"/>
    <x v="30"/>
    <n v="3"/>
    <x v="25"/>
    <x v="24"/>
    <s v="微型電腦珍珠飯煲"/>
    <s v="細電"/>
    <s v="SDA"/>
    <s v="5sli"/>
    <n v="1"/>
    <n v="550"/>
    <n v="550"/>
    <n v="367575"/>
    <m/>
    <m/>
    <s v="RC-5SLIH(W) 367575"/>
    <n v="658"/>
    <n v="0.83586626139817632"/>
    <s v="Toshiba SRP"/>
    <m/>
    <s v="367575"/>
  </r>
  <r>
    <n v="1714"/>
    <s v="Citistore"/>
    <s v="TW RS_1"/>
    <x v="30"/>
    <n v="3"/>
    <x v="25"/>
    <x v="58"/>
    <s v="IH磁應電飯煲_x000a_鑽石銅鍋"/>
    <s v="細電"/>
    <s v="SDA"/>
    <s v="dr18tw"/>
    <n v="1"/>
    <n v="2690"/>
    <n v="2690"/>
    <n v="367586"/>
    <m/>
    <m/>
    <s v="RC-DR18T(W) 367586"/>
    <n v="3588"/>
    <n v="0.74972129319955405"/>
    <s v="Toshiba SRP"/>
    <m/>
    <s v="367586"/>
  </r>
  <r>
    <n v="1715"/>
    <s v="Citistore"/>
    <s v="TW RS_1"/>
    <x v="30"/>
    <n v="3"/>
    <x v="25"/>
    <x v="46"/>
    <s v="電熱水瓶 (2.5公升)"/>
    <s v="細電"/>
    <s v="SDA"/>
    <s v="25dr"/>
    <n v="1"/>
    <n v="398"/>
    <n v="398"/>
    <n v="367579"/>
    <m/>
    <m/>
    <s v="TP-25DR2UHK(W) 367579"/>
    <n v="538"/>
    <n v="0.7397769516728625"/>
    <s v="Toshiba SRP"/>
    <m/>
    <s v="367579"/>
  </r>
  <r>
    <n v="1716"/>
    <s v="Citistore"/>
    <s v="TW RS_1"/>
    <x v="30"/>
    <n v="3"/>
    <x v="25"/>
    <x v="27"/>
    <s v="4毫米厚釜電飯煲1.8L"/>
    <s v="細電"/>
    <s v="SDA"/>
    <s v="18nmf"/>
    <n v="1"/>
    <n v="799"/>
    <n v="799"/>
    <n v="416146"/>
    <m/>
    <m/>
    <s v="RC-18NMFIH(WT) 416146"/>
    <n v="998"/>
    <n v="0.80060120240480959"/>
    <s v="Toshiba SRP"/>
    <m/>
    <s v="416146"/>
  </r>
  <r>
    <n v="1717"/>
    <s v="Citistore"/>
    <s v="TW RS_1"/>
    <x v="30"/>
    <n v="3"/>
    <x v="25"/>
    <x v="45"/>
    <s v="備長炭本厚釜電飯煲0.7L"/>
    <s v="細電"/>
    <s v="SDA"/>
    <s v="7hmh"/>
    <n v="1"/>
    <n v="788"/>
    <n v="788"/>
    <n v="606333"/>
    <m/>
    <m/>
    <s v="RC-7HMH 606333"/>
    <n v="1288"/>
    <n v="0.61180124223602483"/>
    <s v="Toshiba SRP"/>
    <m/>
    <s v="606333"/>
  </r>
  <r>
    <n v="1718"/>
    <s v="Citistore"/>
    <s v="TW RS_1"/>
    <x v="30"/>
    <n v="3"/>
    <x v="25"/>
    <x v="7"/>
    <s v="4毫米厚釜電飯煲0.54L"/>
    <s v="細電"/>
    <s v="SDA"/>
    <s v="5mm"/>
    <n v="1"/>
    <n v="450"/>
    <n v="450"/>
    <n v="367667"/>
    <m/>
    <m/>
    <s v="RC-5MMIH(WT) 367667"/>
    <n v="618"/>
    <n v="0.72815533980582525"/>
    <s v="Toshiba SRP"/>
    <m/>
    <s v="367667"/>
  </r>
  <r>
    <n v="1719"/>
    <s v="Citistore"/>
    <s v="TW RS_1"/>
    <x v="30"/>
    <n v="3"/>
    <x v="25"/>
    <x v="23"/>
    <s v="電飯煲"/>
    <s v="細電"/>
    <s v="SDA"/>
    <s v="10jruh"/>
    <n v="1"/>
    <n v="250"/>
    <n v="250"/>
    <n v="367670"/>
    <m/>
    <m/>
    <s v="RC-10JRUH(N) 367670"/>
    <n v="398"/>
    <n v="0.62814070351758799"/>
    <s v="Shops Highest Price"/>
    <m/>
    <s v="367670"/>
  </r>
  <r>
    <n v="1720"/>
    <s v="Citistore"/>
    <s v="TW RS_1"/>
    <x v="30"/>
    <n v="3"/>
    <x v="25"/>
    <x v="7"/>
    <s v="4毫米厚釜電飯煲0.54L"/>
    <s v="細電"/>
    <s v="SDA"/>
    <s v="5mm"/>
    <n v="1"/>
    <n v="450"/>
    <n v="450"/>
    <n v="367690"/>
    <m/>
    <m/>
    <s v="RC-5MMIH(WT) 367690"/>
    <n v="618"/>
    <n v="0.72815533980582525"/>
    <s v="Toshiba SRP"/>
    <m/>
    <s v="367690"/>
  </r>
  <r>
    <n v="1721"/>
    <s v="Citistore"/>
    <s v="TW RS_1"/>
    <x v="30"/>
    <n v="3"/>
    <x v="25"/>
    <x v="39"/>
    <s v="酵活炊電飯煲(1.0公升)"/>
    <s v="細電"/>
    <s v="SDA"/>
    <s v="10amx"/>
    <n v="1"/>
    <n v="990"/>
    <n v="990"/>
    <n v="367702"/>
    <m/>
    <m/>
    <s v="RC-10AMXH(W) 367702"/>
    <n v="1288"/>
    <n v="0.76863354037267084"/>
    <s v="Toshiba SRP"/>
    <m/>
    <s v="367702"/>
  </r>
  <r>
    <n v="1722"/>
    <s v="Citistore"/>
    <s v="TW RS_1"/>
    <x v="30"/>
    <n v="3"/>
    <x v="25"/>
    <x v="30"/>
    <s v="旋鈕式燒烤微波爐20L"/>
    <s v="細電"/>
    <s v="SDA"/>
    <s v="mm20"/>
    <n v="1"/>
    <n v="488"/>
    <n v="488"/>
    <n v="367709"/>
    <m/>
    <m/>
    <s v="MWP-MM20P(WH) 367709"/>
    <n v="648"/>
    <n v="0.75308641975308643"/>
    <s v="Toshiba SRP"/>
    <m/>
    <s v="367709"/>
  </r>
  <r>
    <n v="1723"/>
    <s v="Citistore"/>
    <s v="TW RS_1"/>
    <x v="30"/>
    <n v="3"/>
    <x v="25"/>
    <x v="18"/>
    <s v="Comfee 1匹變頻窗口式冷氣機"/>
    <s v="大電"/>
    <s v="RAC"/>
    <s v="09crf"/>
    <n v="1"/>
    <n v="3890"/>
    <n v="3890"/>
    <n v="156452"/>
    <m/>
    <m/>
    <s v="CWF-09CRFN8-AD5 156452"/>
    <n v="4600"/>
    <n v="0.84565217391304348"/>
    <s v="Shops Highest Price"/>
    <m/>
    <s v="156452"/>
  </r>
  <r>
    <n v="1724"/>
    <s v="Citistore"/>
    <s v="TW RS_1"/>
    <x v="30"/>
    <n v="3"/>
    <x v="25"/>
    <x v="21"/>
    <s v="壓縮式抽濕機 (30公升)"/>
    <s v="細電"/>
    <s v="RAC"/>
    <s v="d300"/>
    <n v="1"/>
    <n v="2280"/>
    <n v="2280"/>
    <n v="156456"/>
    <m/>
    <m/>
    <s v="RAD-D300H 156456"/>
    <n v="3380"/>
    <n v="0.67455621301775148"/>
    <s v="Shops Highest Price"/>
    <m/>
    <s v="156456"/>
  </r>
  <r>
    <n v="1725"/>
    <s v="Citistore"/>
    <s v="TW RS_1"/>
    <x v="30"/>
    <n v="3"/>
    <x v="25"/>
    <x v="24"/>
    <s v="微型電腦珍珠飯煲"/>
    <s v="細電"/>
    <s v="SDA"/>
    <s v="5sli"/>
    <n v="1"/>
    <n v="550"/>
    <n v="550"/>
    <n v="367716"/>
    <m/>
    <m/>
    <s v="RC-5SLIH(W) 367716"/>
    <n v="658"/>
    <n v="0.83586626139817632"/>
    <s v="Toshiba SRP"/>
    <m/>
    <s v="367716"/>
  </r>
  <r>
    <n v="1726"/>
    <s v="Citistore"/>
    <s v="TW RS_1"/>
    <x v="30"/>
    <n v="3"/>
    <x v="25"/>
    <x v="57"/>
    <s v="多功能備長炭本厚釜電飯煲1L"/>
    <s v="細電"/>
    <s v="SDA"/>
    <s v="10drnh"/>
    <n v="1"/>
    <n v="499"/>
    <n v="499"/>
    <n v="367714"/>
    <m/>
    <m/>
    <s v="RC-10DRNH 367714"/>
    <n v="798"/>
    <n v="0.62531328320802004"/>
    <s v="Toshiba SRP"/>
    <m/>
    <s v="367714"/>
  </r>
  <r>
    <n v="1727"/>
    <s v="Citistore"/>
    <s v="TW RS_1"/>
    <x v="30"/>
    <n v="3"/>
    <x v="25"/>
    <x v="80"/>
    <s v="無線雙層電熱水壺(1.4公升)"/>
    <s v="細電"/>
    <s v="SDA"/>
    <s v="14dhu"/>
    <n v="1"/>
    <n v="298"/>
    <n v="298"/>
    <n v="367732"/>
    <m/>
    <m/>
    <s v="KT-14DHUHK(W) 367732"/>
    <n v="458"/>
    <n v="0.6506550218340611"/>
    <s v="Toshiba SRP"/>
    <m/>
    <s v="367732"/>
  </r>
  <r>
    <n v="1728"/>
    <s v="Citistore"/>
    <s v="TW RS_1"/>
    <x v="30"/>
    <n v="3"/>
    <x v="25"/>
    <x v="23"/>
    <s v="電飯煲"/>
    <s v="細電"/>
    <s v="SDA"/>
    <s v="10jruh"/>
    <n v="1"/>
    <n v="250"/>
    <n v="250"/>
    <n v="367729"/>
    <m/>
    <m/>
    <s v="RC-10JRUH(N) 367729"/>
    <n v="398"/>
    <n v="0.62814070351758799"/>
    <s v="Shops Highest Price"/>
    <m/>
    <s v="367729"/>
  </r>
  <r>
    <n v="1729"/>
    <s v="Citistore"/>
    <s v="TW RS_1"/>
    <x v="30"/>
    <n v="3"/>
    <x v="25"/>
    <x v="23"/>
    <s v="電飯煲"/>
    <s v="細電"/>
    <s v="SDA"/>
    <s v="10jruh"/>
    <n v="1"/>
    <n v="250"/>
    <n v="250"/>
    <n v="367721"/>
    <m/>
    <m/>
    <s v="RC-10JRUH(N) 367721"/>
    <n v="398"/>
    <n v="0.62814070351758799"/>
    <s v="Shops Highest Price"/>
    <m/>
    <s v="367721"/>
  </r>
  <r>
    <n v="1730"/>
    <s v="Citistore"/>
    <s v="TW RS_1"/>
    <x v="30"/>
    <n v="3"/>
    <x v="25"/>
    <x v="61"/>
    <s v="酵活炊電飯煲(1.8公升)"/>
    <s v="細電"/>
    <s v="SDA"/>
    <s v="18amx"/>
    <n v="1"/>
    <n v="990"/>
    <n v="990"/>
    <n v="367783"/>
    <m/>
    <m/>
    <s v="RC-18AMXH(W) 367783"/>
    <n v="1588"/>
    <n v="0.62342569269521408"/>
    <s v="Toshiba SRP"/>
    <m/>
    <s v="367783"/>
  </r>
  <r>
    <n v="1731"/>
    <s v="Citistore"/>
    <s v="TW RS_1"/>
    <x v="30"/>
    <n v="3"/>
    <x v="25"/>
    <x v="42"/>
    <s v="變頻下置式雙門雪櫃系列270L"/>
    <s v="大電"/>
    <s v="REF"/>
    <s v="rb360"/>
    <n v="1"/>
    <n v="3680"/>
    <n v="3680"/>
    <n v="367782"/>
    <m/>
    <m/>
    <s v="GR-RB360WE-PMA(06) 367782"/>
    <n v="5080"/>
    <n v="0.72440944881889768"/>
    <s v="Toshiba SRP"/>
    <m/>
    <s v="367782"/>
  </r>
  <r>
    <n v="1732"/>
    <s v="Citistore"/>
    <s v="TW RS_1"/>
    <x v="30"/>
    <n v="3"/>
    <x v="25"/>
    <x v="30"/>
    <s v="旋鈕式燒烤微波爐20L"/>
    <s v="細電"/>
    <s v="SDA"/>
    <s v="mm20"/>
    <n v="1"/>
    <n v="488"/>
    <n v="488"/>
    <n v="367812"/>
    <m/>
    <m/>
    <s v="MWP-MM20P(WH) 367812"/>
    <n v="648"/>
    <n v="0.75308641975308643"/>
    <s v="Toshiba SRP"/>
    <m/>
    <s v="367812"/>
  </r>
  <r>
    <n v="1733"/>
    <s v="Citistore"/>
    <s v="TW RS_1"/>
    <x v="30"/>
    <n v="3"/>
    <x v="25"/>
    <x v="23"/>
    <s v="電飯煲"/>
    <s v="細電"/>
    <s v="SDA"/>
    <s v="10jruh"/>
    <n v="1"/>
    <n v="250"/>
    <n v="250"/>
    <n v="367828"/>
    <m/>
    <m/>
    <s v="RC-10JRUH(N) 367828"/>
    <n v="398"/>
    <n v="0.62814070351758799"/>
    <s v="Shops Highest Price"/>
    <m/>
    <s v="367828"/>
  </r>
  <r>
    <n v="1734"/>
    <s v="Citistore"/>
    <s v="TW RS_1"/>
    <x v="30"/>
    <n v="3"/>
    <x v="25"/>
    <x v="23"/>
    <s v="電飯煲"/>
    <s v="細電"/>
    <s v="SDA"/>
    <s v="10jruh"/>
    <n v="1"/>
    <n v="250"/>
    <n v="250"/>
    <n v="367834"/>
    <m/>
    <m/>
    <s v="RC-10JRUH(N) 367834"/>
    <n v="398"/>
    <n v="0.62814070351758799"/>
    <s v="Shops Highest Price"/>
    <m/>
    <s v="367834"/>
  </r>
  <r>
    <n v="1735"/>
    <s v="Citistore"/>
    <s v="TW RS_1"/>
    <x v="30"/>
    <n v="3"/>
    <x v="25"/>
    <x v="39"/>
    <s v="酵活炊電飯煲(1.0公升)"/>
    <s v="細電"/>
    <s v="SDA"/>
    <s v="10amx"/>
    <n v="1"/>
    <n v="990"/>
    <n v="990"/>
    <n v="367851"/>
    <m/>
    <m/>
    <s v="RC-10AMXH(W) 367851"/>
    <n v="1288"/>
    <n v="0.76863354037267084"/>
    <s v="Toshiba SRP"/>
    <m/>
    <s v="367851"/>
  </r>
  <r>
    <n v="1736"/>
    <s v="Citistore"/>
    <s v="TW RS_1"/>
    <x v="30"/>
    <n v="3"/>
    <x v="26"/>
    <x v="46"/>
    <s v="電熱水瓶 (2.5公升)"/>
    <s v="細電"/>
    <s v="SDA"/>
    <s v="25dr"/>
    <n v="1"/>
    <n v="398"/>
    <n v="398"/>
    <n v="387814"/>
    <m/>
    <m/>
    <s v="TP-25DR2UHK(W) 387814"/>
    <n v="538"/>
    <n v="0.7397769516728625"/>
    <s v="Toshiba SRP"/>
    <m/>
    <s v="387814"/>
  </r>
  <r>
    <n v="1737"/>
    <s v="Citistore"/>
    <s v="TW RS_1"/>
    <x v="30"/>
    <n v="3"/>
    <x v="26"/>
    <x v="39"/>
    <s v="酵活炊電飯煲(1.0公升)"/>
    <s v="細電"/>
    <s v="SDA"/>
    <s v="10amx"/>
    <n v="1"/>
    <n v="990"/>
    <n v="990"/>
    <n v="387885"/>
    <m/>
    <m/>
    <s v="RC-10AMXH(W) 387885"/>
    <n v="1288"/>
    <n v="0.76863354037267084"/>
    <s v="Toshiba SRP"/>
    <m/>
    <s v="387885"/>
  </r>
  <r>
    <n v="1738"/>
    <s v="Citistore"/>
    <s v="TW RS_1"/>
    <x v="30"/>
    <n v="3"/>
    <x v="26"/>
    <x v="21"/>
    <s v="壓縮式抽濕機 (30公升)"/>
    <s v="細電"/>
    <s v="RAC"/>
    <s v="d300"/>
    <n v="1"/>
    <n v="2180"/>
    <n v="2180"/>
    <n v="367891"/>
    <m/>
    <m/>
    <s v="RAD-D300H 367891"/>
    <n v="3380"/>
    <n v="0.6449704142011834"/>
    <s v="Shops Highest Price"/>
    <m/>
    <s v="367891"/>
  </r>
  <r>
    <n v="1739"/>
    <s v="Citistore"/>
    <s v="TW RS_1"/>
    <x v="30"/>
    <n v="3"/>
    <x v="26"/>
    <x v="28"/>
    <s v="無線雙層電熱水壺-附可鎖壺蓋(0.8公升)"/>
    <s v="細電"/>
    <s v="SDA"/>
    <s v="08dh"/>
    <n v="1"/>
    <n v="268"/>
    <n v="268"/>
    <n v="367895"/>
    <m/>
    <m/>
    <s v="KT-08DH1VHK(W) 367895"/>
    <n v="428"/>
    <n v="0.62616822429906538"/>
    <s v="Toshiba SRP"/>
    <m/>
    <s v="367895"/>
  </r>
  <r>
    <n v="1740"/>
    <s v="Citistore"/>
    <s v="TW RS_1"/>
    <x v="30"/>
    <n v="3"/>
    <x v="26"/>
    <x v="51"/>
    <s v="IH磁應電飯煲"/>
    <s v="細電"/>
    <s v="SDA"/>
    <s v="dr10tw"/>
    <n v="1"/>
    <n v="2290"/>
    <n v="2290"/>
    <n v="367913"/>
    <m/>
    <m/>
    <s v="RC-DR10T(W) 367913"/>
    <n v="3188"/>
    <n v="0.71831869510664992"/>
    <s v="Toshiba SRP"/>
    <m/>
    <s v="367913"/>
  </r>
  <r>
    <n v="1741"/>
    <s v="Citistore"/>
    <s v="TW RS_1"/>
    <x v="30"/>
    <n v="3"/>
    <x v="26"/>
    <x v="45"/>
    <s v="備長炭本厚釜電飯煲0.7L"/>
    <s v="細電"/>
    <s v="SDA"/>
    <s v="7hmh"/>
    <n v="1"/>
    <n v="788"/>
    <n v="788"/>
    <n v="367953"/>
    <m/>
    <m/>
    <s v="RC-7HMH 367953"/>
    <n v="1288"/>
    <n v="0.61180124223602483"/>
    <s v="Toshiba SRP"/>
    <m/>
    <s v="367953"/>
  </r>
  <r>
    <n v="1742"/>
    <s v="Citistore"/>
    <s v="TW RS_1"/>
    <x v="30"/>
    <n v="3"/>
    <x v="26"/>
    <x v="36"/>
    <s v="輕觸式微波爐 (20公升)"/>
    <s v="細電"/>
    <s v="MCA"/>
    <s v="em20"/>
    <n v="1"/>
    <n v="598"/>
    <n v="598"/>
    <n v="367960"/>
    <m/>
    <m/>
    <s v="MM2-EM20PC(WH) 367960"/>
    <n v="788"/>
    <n v="0.75888324873096447"/>
    <s v="Toshiba SRP"/>
    <m/>
    <s v="367960"/>
  </r>
  <r>
    <n v="1743"/>
    <s v="Citistore"/>
    <s v="TW RS_1"/>
    <x v="30"/>
    <n v="3"/>
    <x v="26"/>
    <x v="15"/>
    <s v="Induction Cooker"/>
    <s v="細電"/>
    <s v="SDA"/>
    <s v="21ts"/>
    <n v="1"/>
    <n v="698"/>
    <n v="698"/>
    <n v="375451"/>
    <m/>
    <m/>
    <s v="IC-21TSHK 375451"/>
    <n v="998"/>
    <n v="0.69939879759519041"/>
    <s v="Web SRP"/>
    <m/>
    <s v="375451"/>
  </r>
  <r>
    <n v="1744"/>
    <s v="Citistore"/>
    <s v="TW RS_1"/>
    <x v="30"/>
    <n v="3"/>
    <x v="26"/>
    <x v="28"/>
    <s v="無線雙層電熱水壺-附可鎖壺蓋(0.8公升)"/>
    <s v="細電"/>
    <s v="SDA"/>
    <s v="08dh"/>
    <n v="1"/>
    <n v="268"/>
    <n v="268"/>
    <n v="375451"/>
    <m/>
    <m/>
    <s v="KT-08DH1VHK(W) 375451"/>
    <n v="428"/>
    <n v="0.62616822429906538"/>
    <s v="Toshiba SRP"/>
    <m/>
    <s v="375451"/>
  </r>
  <r>
    <n v="1745"/>
    <s v="Citistore"/>
    <s v="TW RS_1"/>
    <x v="30"/>
    <n v="3"/>
    <x v="26"/>
    <x v="23"/>
    <s v="電飯煲"/>
    <s v="細電"/>
    <s v="SDA"/>
    <s v="10jruh"/>
    <n v="1"/>
    <n v="250"/>
    <n v="250"/>
    <n v="368006"/>
    <m/>
    <m/>
    <s v="RC-10JRUH(N) 368006"/>
    <n v="398"/>
    <n v="0.62814070351758799"/>
    <s v="Shops Highest Price"/>
    <m/>
    <s v="368006"/>
  </r>
  <r>
    <n v="1746"/>
    <s v="Citistore"/>
    <s v="TW RS_1"/>
    <x v="30"/>
    <n v="3"/>
    <x v="26"/>
    <x v="44"/>
    <s v="1.7L無線雙層電熱水壺"/>
    <s v="細電"/>
    <s v="SDA"/>
    <s v="17shnh"/>
    <n v="1"/>
    <n v="198"/>
    <n v="198"/>
    <n v="606967"/>
    <m/>
    <m/>
    <s v="KT-17SHNH 606967"/>
    <n v="299"/>
    <n v="0.66220735785953178"/>
    <s v="Shops Highest Price"/>
    <m/>
    <s v="606967"/>
  </r>
  <r>
    <n v="1747"/>
    <s v="Citistore"/>
    <s v="TW RS_1"/>
    <x v="30"/>
    <n v="3"/>
    <x v="26"/>
    <x v="23"/>
    <s v="電飯煲"/>
    <s v="細電"/>
    <s v="SDA"/>
    <s v="10jruh"/>
    <n v="1"/>
    <n v="250"/>
    <n v="250"/>
    <n v="368069"/>
    <m/>
    <m/>
    <s v="RC-10JRUH(N) 368069"/>
    <n v="398"/>
    <n v="0.62814070351758799"/>
    <s v="Shops Highest Price"/>
    <m/>
    <s v="368069"/>
  </r>
  <r>
    <n v="1748"/>
    <s v="Citistore"/>
    <s v="TW RS_1"/>
    <x v="30"/>
    <n v="3"/>
    <x v="26"/>
    <x v="54"/>
    <s v="低醣磁應電飯煲1L"/>
    <s v="細電"/>
    <s v="SDA"/>
    <s v="10irph"/>
    <n v="1"/>
    <n v="798"/>
    <n v="798"/>
    <n v="368100"/>
    <m/>
    <m/>
    <s v="RC-10IRPH 368100"/>
    <n v="1388"/>
    <n v="0.5749279538904899"/>
    <s v="Toshiba SRP"/>
    <m/>
    <s v="368100"/>
  </r>
  <r>
    <n v="1749"/>
    <s v="Citistore"/>
    <s v="TW RS_1"/>
    <x v="30"/>
    <n v="3"/>
    <x v="26"/>
    <x v="70"/>
    <s v="12吋2合1座地座檯電風扇連遙控"/>
    <s v="細電"/>
    <s v="EAD"/>
    <s v="ya20"/>
    <n v="1"/>
    <n v="399"/>
    <n v="399"/>
    <n v="368114"/>
    <m/>
    <m/>
    <s v="F-LYA20(W)HKG 368114"/>
    <n v="988"/>
    <n v="0.40384615384615385"/>
    <s v="Toshiba SRP"/>
    <m/>
    <s v="368114"/>
  </r>
  <r>
    <n v="1750"/>
    <s v="Citistore"/>
    <s v="TW RS_1"/>
    <x v="30"/>
    <n v="3"/>
    <x v="26"/>
    <x v="27"/>
    <s v="4毫米厚釜電飯煲1.8L"/>
    <s v="細電"/>
    <s v="SDA"/>
    <s v="18nmf"/>
    <n v="1"/>
    <n v="799"/>
    <n v="799"/>
    <n v="368127"/>
    <m/>
    <m/>
    <s v="RC-18NMFIH(WT) 368127"/>
    <n v="998"/>
    <n v="0.80060120240480959"/>
    <s v="Toshiba SRP"/>
    <m/>
    <s v="368127"/>
  </r>
  <r>
    <n v="1751"/>
    <s v="Citistore"/>
    <s v="TW RS_1"/>
    <x v="30"/>
    <n v="3"/>
    <x v="26"/>
    <x v="29"/>
    <s v="酵活炊磁應電飯煲"/>
    <s v="細電"/>
    <s v="SDA"/>
    <s v="10bh"/>
    <n v="1"/>
    <n v="1688"/>
    <n v="1688"/>
    <n v="368135"/>
    <m/>
    <m/>
    <s v="RC-10BHH(W) 368135"/>
    <n v="2088"/>
    <n v="0.80842911877394641"/>
    <s v="Shops Highest Price"/>
    <m/>
    <s v="368135"/>
  </r>
  <r>
    <n v="1752"/>
    <s v="Citistore"/>
    <s v="TW RS_1"/>
    <x v="30"/>
    <n v="3"/>
    <x v="26"/>
    <x v="70"/>
    <s v="12吋2合1座地座檯電風扇連遙控"/>
    <s v="細電"/>
    <s v="EAD"/>
    <s v="ya20"/>
    <n v="1"/>
    <n v="399"/>
    <n v="399"/>
    <n v="368195"/>
    <m/>
    <m/>
    <s v="F-LYA20(W)HKG 368195"/>
    <n v="988"/>
    <n v="0.40384615384615385"/>
    <s v="Toshiba SRP"/>
    <m/>
    <s v="368195"/>
  </r>
  <r>
    <n v="1753"/>
    <s v="Citistore"/>
    <s v="TW RS_1"/>
    <x v="30"/>
    <n v="3"/>
    <x v="27"/>
    <x v="30"/>
    <s v="旋鈕式燒烤微波爐20L"/>
    <s v="細電"/>
    <s v="SDA"/>
    <s v="mm20"/>
    <n v="1"/>
    <n v="488"/>
    <n v="488"/>
    <n v="368315"/>
    <m/>
    <m/>
    <s v="MWP-MM20P(WH) 368315"/>
    <n v="648"/>
    <n v="0.75308641975308643"/>
    <s v="Toshiba SRP"/>
    <m/>
    <s v="368315"/>
  </r>
  <r>
    <n v="1754"/>
    <s v="Citistore"/>
    <s v="TW RS_1"/>
    <x v="30"/>
    <n v="3"/>
    <x v="27"/>
    <x v="114"/>
    <s v="變頻三門雪櫃 (233L)"/>
    <s v="大電"/>
    <s v="REF"/>
    <s v="rm352"/>
    <n v="1"/>
    <n v="3490"/>
    <n v="3490"/>
    <n v="368345"/>
    <m/>
    <m/>
    <s v="GR-RM352WI-PMA(53) 368345"/>
    <n v="5580"/>
    <n v="0.62544802867383509"/>
    <s v="Toshiba SRP"/>
    <m/>
    <s v="368345"/>
  </r>
  <r>
    <n v="1755"/>
    <s v="Citistore"/>
    <s v="TW RS_1"/>
    <x v="30"/>
    <n v="3"/>
    <x v="27"/>
    <x v="7"/>
    <s v="4毫米厚釜電飯煲0.54L"/>
    <s v="細電"/>
    <s v="SDA"/>
    <s v="5mm"/>
    <n v="1"/>
    <n v="450"/>
    <n v="450"/>
    <n v="368366"/>
    <m/>
    <m/>
    <s v="RC-5MMIH(WT) 368366"/>
    <n v="618"/>
    <n v="0.72815533980582525"/>
    <s v="Toshiba SRP"/>
    <m/>
    <s v="368366"/>
  </r>
  <r>
    <n v="1756"/>
    <s v="Citistore"/>
    <s v="TW RS_1"/>
    <x v="30"/>
    <n v="3"/>
    <x v="27"/>
    <x v="28"/>
    <s v="無線雙層電熱水壺-附可鎖壺蓋(0.8公升)"/>
    <s v="細電"/>
    <s v="SDA"/>
    <s v="08dh"/>
    <n v="1"/>
    <n v="268"/>
    <n v="268"/>
    <n v="368379"/>
    <m/>
    <m/>
    <s v="KT-08DH1VHK(W) 368379"/>
    <n v="428"/>
    <n v="0.62616822429906538"/>
    <s v="Toshiba SRP"/>
    <m/>
    <s v="368379"/>
  </r>
  <r>
    <n v="1757"/>
    <s v="Citistore"/>
    <s v="TW RS_1"/>
    <x v="30"/>
    <n v="3"/>
    <x v="27"/>
    <x v="44"/>
    <s v="1.7L無線雙層電熱水壺"/>
    <s v="細電"/>
    <s v="SDA"/>
    <s v="17shnh"/>
    <n v="1"/>
    <n v="198"/>
    <n v="198"/>
    <n v="368385"/>
    <m/>
    <m/>
    <s v="KT-17SHNH 368385"/>
    <n v="299"/>
    <n v="0.66220735785953178"/>
    <s v="Shops Highest Price"/>
    <m/>
    <s v="368385"/>
  </r>
  <r>
    <n v="1758"/>
    <s v="Citistore"/>
    <s v="TW RS_1"/>
    <x v="30"/>
    <n v="3"/>
    <x v="27"/>
    <x v="61"/>
    <s v="酵活炊電飯煲(1.8公升)"/>
    <s v="細電"/>
    <s v="SDA"/>
    <s v="18amx"/>
    <n v="1"/>
    <n v="990"/>
    <n v="990"/>
    <n v="368403"/>
    <m/>
    <m/>
    <s v="RC-18AMXH(W) 368403"/>
    <n v="1588"/>
    <n v="0.62342569269521408"/>
    <s v="Toshiba SRP"/>
    <m/>
    <s v="368403"/>
  </r>
  <r>
    <n v="1759"/>
    <s v="Citistore"/>
    <s v="TW RS_1"/>
    <x v="30"/>
    <n v="3"/>
    <x v="27"/>
    <x v="35"/>
    <s v="1.8公升電飯煲"/>
    <s v="細電"/>
    <s v="SDA"/>
    <s v="18jruh"/>
    <n v="1"/>
    <n v="300"/>
    <n v="300"/>
    <n v="607541"/>
    <m/>
    <m/>
    <s v="RC-18JRUH(N) 607541"/>
    <n v="458"/>
    <n v="0.65502183406113534"/>
    <s v="Shops Highest Price"/>
    <m/>
    <s v="607541"/>
  </r>
  <r>
    <n v="1760"/>
    <s v="Citistore"/>
    <s v="TW RS_1"/>
    <x v="30"/>
    <n v="3"/>
    <x v="27"/>
    <x v="42"/>
    <s v="變頻下置式雙門雪櫃系列270L"/>
    <s v="大電"/>
    <s v="REF"/>
    <s v="rb360"/>
    <n v="1"/>
    <n v="3580"/>
    <n v="3580"/>
    <n v="368416"/>
    <m/>
    <m/>
    <s v="GR-RB360WE-PMA(06) 368416"/>
    <n v="5080"/>
    <n v="0.70472440944881887"/>
    <s v="Toshiba SRP"/>
    <m/>
    <s v="368416"/>
  </r>
  <r>
    <n v="1761"/>
    <s v="Citistore"/>
    <s v="TW RS_1"/>
    <x v="30"/>
    <n v="3"/>
    <x v="27"/>
    <x v="51"/>
    <s v="IH磁應電飯煲"/>
    <s v="細電"/>
    <s v="SDA"/>
    <s v="dr10tw"/>
    <n v="1"/>
    <n v="2290"/>
    <n v="2290"/>
    <n v="368421"/>
    <m/>
    <m/>
    <s v="RC-DR10T(W) 368421"/>
    <n v="3188"/>
    <n v="0.71831869510664992"/>
    <s v="Toshiba SRP"/>
    <m/>
    <s v="368421"/>
  </r>
  <r>
    <n v="1762"/>
    <s v="Citistore"/>
    <s v="TW RS_1"/>
    <x v="30"/>
    <n v="3"/>
    <x v="27"/>
    <x v="101"/>
    <s v="旋鈕式微波爐 (25公升)"/>
    <s v="細電"/>
    <s v="MOA"/>
    <s v="mm25"/>
    <n v="1"/>
    <n v="698"/>
    <n v="698"/>
    <n v="368423"/>
    <m/>
    <m/>
    <s v="MW3-MM25PC(BK) 368423"/>
    <n v="998"/>
    <n v="0.69939879759519041"/>
    <s v="Toshiba SRP"/>
    <m/>
    <s v="368423"/>
  </r>
  <r>
    <n v="1763"/>
    <s v="Citistore"/>
    <s v="TW RS_1"/>
    <x v="30"/>
    <n v="3"/>
    <x v="27"/>
    <x v="51"/>
    <s v="IH磁應電飯煲"/>
    <s v="細電"/>
    <s v="SDA"/>
    <s v="dr10tw"/>
    <n v="1"/>
    <n v="2290"/>
    <n v="2290"/>
    <n v="368423"/>
    <m/>
    <m/>
    <s v="RC-DR10T(W) 368423"/>
    <n v="3188"/>
    <n v="0.71831869510664992"/>
    <s v="Toshiba SRP"/>
    <m/>
    <s v="368423"/>
  </r>
  <r>
    <n v="1764"/>
    <s v="Citistore"/>
    <s v="TW RS_1"/>
    <x v="30"/>
    <n v="3"/>
    <x v="27"/>
    <x v="21"/>
    <s v="壓縮式抽濕機 (30公升)"/>
    <s v="細電"/>
    <s v="RAC"/>
    <s v="d300"/>
    <n v="1"/>
    <n v="2180"/>
    <n v="2180"/>
    <n v="376007"/>
    <m/>
    <m/>
    <s v="RAD-D300H 376007"/>
    <n v="3380"/>
    <n v="0.6449704142011834"/>
    <s v="Shops Highest Price"/>
    <m/>
    <s v="376007"/>
  </r>
  <r>
    <n v="1765"/>
    <s v="Citistore"/>
    <s v="TW RS_1"/>
    <x v="30"/>
    <n v="3"/>
    <x v="27"/>
    <x v="43"/>
    <s v="470MM超薄身前置式變頻洗衣機(8.5公斤, 可飛頂)"/>
    <s v="大電"/>
    <s v="LAD"/>
    <s v="t2295"/>
    <n v="1"/>
    <n v="3680"/>
    <n v="3680"/>
    <n v="376007"/>
    <m/>
    <m/>
    <s v="TW-T22BU95UWH(WK)-B 376007"/>
    <n v="5880"/>
    <n v="0.62585034013605445"/>
    <s v="Toshiba SRP"/>
    <m/>
    <s v="376007"/>
  </r>
  <r>
    <n v="1766"/>
    <s v="Citistore"/>
    <s v="TW RS_1"/>
    <x v="30"/>
    <n v="3"/>
    <x v="27"/>
    <x v="24"/>
    <s v="微型電腦珍珠飯煲"/>
    <s v="細電"/>
    <s v="SDA"/>
    <s v="5sli"/>
    <n v="1"/>
    <n v="550"/>
    <n v="550"/>
    <n v="368476"/>
    <m/>
    <m/>
    <s v="RC-5SLIH(W) 368476"/>
    <n v="658"/>
    <n v="0.83586626139817632"/>
    <s v="Toshiba SRP"/>
    <m/>
    <s v="368476"/>
  </r>
  <r>
    <n v="1767"/>
    <s v="Citistore"/>
    <s v="TW RS_1"/>
    <x v="30"/>
    <n v="3"/>
    <x v="27"/>
    <x v="15"/>
    <s v="Induction Cooker"/>
    <s v="細電"/>
    <s v="SDA"/>
    <s v="21ts"/>
    <n v="1"/>
    <n v="698"/>
    <n v="698"/>
    <n v="490587"/>
    <m/>
    <m/>
    <s v="IC-21TSHK 490587"/>
    <n v="998"/>
    <n v="0.69939879759519041"/>
    <s v="Web SRP"/>
    <m/>
    <s v="490587"/>
  </r>
  <r>
    <n v="1768"/>
    <s v="Citistore"/>
    <s v="TW RS_1"/>
    <x v="30"/>
    <n v="3"/>
    <x v="27"/>
    <x v="70"/>
    <s v="12吋2合1座地座檯電風扇連遙控"/>
    <s v="細電"/>
    <s v="EAD"/>
    <s v="ya20"/>
    <n v="1"/>
    <n v="399"/>
    <n v="399"/>
    <n v="453121"/>
    <m/>
    <m/>
    <s v="F-LYA20(W)HKG 453121"/>
    <n v="988"/>
    <n v="0.40384615384615385"/>
    <s v="Toshiba SRP"/>
    <m/>
    <s v="453121"/>
  </r>
  <r>
    <n v="1769"/>
    <s v="Citistore"/>
    <s v="TW RS_1"/>
    <x v="30"/>
    <n v="3"/>
    <x v="27"/>
    <x v="57"/>
    <s v="多功能備長炭本厚釜電飯煲1L"/>
    <s v="細電"/>
    <s v="SDA"/>
    <s v="10drnh"/>
    <n v="1"/>
    <n v="499"/>
    <n v="499"/>
    <n v="368561"/>
    <m/>
    <m/>
    <s v="RC-10DRNH 368561"/>
    <n v="798"/>
    <n v="0.62531328320802004"/>
    <s v="Toshiba SRP"/>
    <m/>
    <s v="368561"/>
  </r>
  <r>
    <n v="1770"/>
    <s v="Citistore"/>
    <s v="TW RS_1"/>
    <x v="30"/>
    <n v="3"/>
    <x v="27"/>
    <x v="55"/>
    <s v="真空壓力磁應電飯煲(1.8公升)"/>
    <s v="細電"/>
    <s v="SDA"/>
    <s v="dx18t"/>
    <n v="1"/>
    <n v="4988"/>
    <n v="4988"/>
    <n v="368559"/>
    <m/>
    <m/>
    <s v="RC-DX18T(W) 368559"/>
    <n v="6388"/>
    <n v="0.7808390732623669"/>
    <s v="Toshiba SRP"/>
    <m/>
    <s v="368559"/>
  </r>
  <r>
    <n v="1771"/>
    <s v="Citistore"/>
    <s v="TW RS_1"/>
    <x v="30"/>
    <n v="3"/>
    <x v="27"/>
    <x v="45"/>
    <s v="備長炭本厚釜電飯煲0.7L"/>
    <s v="細電"/>
    <s v="SDA"/>
    <s v="7hmh"/>
    <n v="1"/>
    <n v="788"/>
    <n v="788"/>
    <n v="368551"/>
    <m/>
    <m/>
    <s v="RC-7HMH 368551"/>
    <n v="1288"/>
    <n v="0.61180124223602483"/>
    <s v="Toshiba SRP"/>
    <m/>
    <s v="368551"/>
  </r>
  <r>
    <n v="1772"/>
    <s v="Citistore"/>
    <s v="TW RS_1"/>
    <x v="30"/>
    <n v="3"/>
    <x v="27"/>
    <x v="61"/>
    <s v="酵活炊電飯煲(1.8公升)"/>
    <s v="細電"/>
    <s v="SDA"/>
    <s v="18amx"/>
    <n v="1"/>
    <n v="990"/>
    <n v="990"/>
    <n v="368539"/>
    <m/>
    <m/>
    <s v="RC-18AMXH(W) 368539"/>
    <n v="1588"/>
    <n v="0.62342569269521408"/>
    <s v="Toshiba SRP"/>
    <m/>
    <s v="368539"/>
  </r>
  <r>
    <n v="1773"/>
    <s v="Citistore"/>
    <s v="TW RS_1"/>
    <x v="30"/>
    <n v="3"/>
    <x v="27"/>
    <x v="70"/>
    <s v="12吋2合1座地座檯電風扇連遙控"/>
    <s v="細電"/>
    <s v="EAD"/>
    <s v="ya20"/>
    <n v="1"/>
    <n v="399"/>
    <n v="399"/>
    <n v="368589"/>
    <m/>
    <m/>
    <s v="F-LYA20(W)HKG 368589"/>
    <n v="988"/>
    <n v="0.40384615384615385"/>
    <s v="Toshiba SRP"/>
    <m/>
    <s v="368589"/>
  </r>
  <r>
    <n v="1774"/>
    <s v="Citistore"/>
    <s v="TW RS_1"/>
    <x v="30"/>
    <n v="3"/>
    <x v="27"/>
    <x v="61"/>
    <s v="酵活炊電飯煲(1.8公升)"/>
    <s v="細電"/>
    <s v="SDA"/>
    <s v="18amx"/>
    <n v="1"/>
    <n v="990"/>
    <n v="990"/>
    <n v="368593"/>
    <m/>
    <m/>
    <s v="RC-18AMXH(W) 368593"/>
    <n v="1588"/>
    <n v="0.62342569269521408"/>
    <s v="Toshiba SRP"/>
    <m/>
    <s v="368593"/>
  </r>
  <r>
    <n v="1775"/>
    <s v="Citistore"/>
    <s v="TW RS_1"/>
    <x v="30"/>
    <n v="3"/>
    <x v="27"/>
    <x v="20"/>
    <s v="壓縮式抽濕機 (22公升)"/>
    <s v="細電"/>
    <s v="RAC"/>
    <s v="d200"/>
    <n v="1"/>
    <n v="1880"/>
    <n v="1880"/>
    <n v="453382"/>
    <m/>
    <m/>
    <s v="RAD-D200H 453382"/>
    <n v="2880"/>
    <n v="0.65277777777777779"/>
    <s v="Shops Highest Price"/>
    <m/>
    <s v="453382"/>
  </r>
  <r>
    <n v="1776"/>
    <s v="Citistore"/>
    <s v="TW RS_1"/>
    <x v="30"/>
    <n v="3"/>
    <x v="27"/>
    <x v="61"/>
    <s v="酵活炊電飯煲(1.8公升)"/>
    <s v="細電"/>
    <s v="SDA"/>
    <s v="18amx"/>
    <n v="1"/>
    <n v="990"/>
    <n v="990"/>
    <n v="490792"/>
    <m/>
    <m/>
    <s v="RC-18AMXH(W) 490792"/>
    <n v="1588"/>
    <n v="0.62342569269521408"/>
    <s v="Toshiba SRP"/>
    <n v="123"/>
    <s v="123490792"/>
  </r>
  <r>
    <n v="1777"/>
    <s v="Citistore"/>
    <s v="TW RS_1"/>
    <x v="30"/>
    <n v="3"/>
    <x v="27"/>
    <x v="86"/>
    <s v="470MM超薄身前置式變頻洗衣乾衣機 (洗8.5公斤 乾6公斤)"/>
    <s v="大電"/>
    <s v="LAD"/>
    <s v="twdt21"/>
    <n v="1"/>
    <n v="4480"/>
    <n v="4480"/>
    <n v="368610"/>
    <m/>
    <m/>
    <s v="TWD-T21BU95UWH(WW) 368610"/>
    <n v="7280"/>
    <n v="0.61538461538461542"/>
    <s v="Toshiba SRP"/>
    <n v="123"/>
    <s v="123368610"/>
  </r>
  <r>
    <n v="1778"/>
    <s v="Citistore"/>
    <s v="TW RS_1"/>
    <x v="30"/>
    <n v="3"/>
    <x v="27"/>
    <x v="127"/>
    <s v="1.7L電熱水壺"/>
    <s v="細電"/>
    <s v="SDA"/>
    <s v="17drnh"/>
    <n v="1"/>
    <n v="388"/>
    <n v="388"/>
    <n v="368640"/>
    <m/>
    <m/>
    <s v="KT-17DRNH 368640"/>
    <n v="498"/>
    <n v="0.77911646586345384"/>
    <s v="Toshiba SRP"/>
    <n v="123"/>
    <s v="123368640"/>
  </r>
  <r>
    <n v="1779"/>
    <s v="Citistore"/>
    <s v="TW RS_1"/>
    <x v="30"/>
    <n v="3"/>
    <x v="27"/>
    <x v="71"/>
    <s v="輕觸式平板燒烤微波爐 (26公升)"/>
    <s v="細電"/>
    <s v="MCA"/>
    <s v="eg26"/>
    <n v="1"/>
    <n v="888"/>
    <n v="888"/>
    <n v="448304"/>
    <m/>
    <m/>
    <s v="MV2-EG26PEI(BK) 448304"/>
    <n v="1180"/>
    <n v="0.75254237288135595"/>
    <s v="Toshiba SRP"/>
    <n v="123"/>
    <s v="123448304"/>
  </r>
  <r>
    <n v="1780"/>
    <s v="Citistore"/>
    <s v="TW RS_1"/>
    <x v="30"/>
    <n v="3"/>
    <x v="27"/>
    <x v="24"/>
    <s v="微型電腦珍珠飯煲"/>
    <s v="細電"/>
    <s v="SDA"/>
    <s v="5sli"/>
    <n v="1"/>
    <n v="550"/>
    <n v="550"/>
    <n v="368672"/>
    <m/>
    <m/>
    <s v="RC-5SLIH(W) 368672"/>
    <n v="658"/>
    <n v="0.83586626139817632"/>
    <s v="Toshiba SRP"/>
    <n v="123"/>
    <s v="123368672"/>
  </r>
  <r>
    <n v="1781"/>
    <s v="Citistore"/>
    <s v="TW RS_1"/>
    <x v="30"/>
    <n v="3"/>
    <x v="27"/>
    <x v="80"/>
    <s v="無線雙層電熱水壺(1.4公升)"/>
    <s v="細電"/>
    <s v="SDA"/>
    <s v="14dhu"/>
    <n v="1"/>
    <n v="298"/>
    <n v="298"/>
    <n v="368705"/>
    <m/>
    <m/>
    <s v="KT-14DHUHK(W) 368705"/>
    <n v="458"/>
    <n v="0.6506550218340611"/>
    <s v="Toshiba SRP"/>
    <n v="123"/>
    <s v="123368705"/>
  </r>
  <r>
    <n v="1782"/>
    <s v="Citistore"/>
    <s v="TW RS_1"/>
    <x v="30"/>
    <n v="3"/>
    <x v="27"/>
    <x v="31"/>
    <s v="無線雙層電熱水壺(1.7公升)"/>
    <s v="細電"/>
    <s v="SDA"/>
    <s v="17drt"/>
    <n v="1"/>
    <n v="388"/>
    <n v="388"/>
    <n v="368720"/>
    <m/>
    <m/>
    <s v="KT-17DRTHK(H) 368720"/>
    <n v="498"/>
    <n v="0.77911646586345384"/>
    <s v="Toshiba SRP"/>
    <n v="123"/>
    <s v="123368720"/>
  </r>
  <r>
    <n v="1783"/>
    <s v="Citistore"/>
    <s v="TW RS_1"/>
    <x v="30"/>
    <n v="3"/>
    <x v="27"/>
    <x v="70"/>
    <s v="12吋2合1座地座檯電風扇連遙控"/>
    <s v="細電"/>
    <s v="EAD"/>
    <s v="ya20"/>
    <n v="1"/>
    <n v="399"/>
    <n v="399"/>
    <n v="368757"/>
    <m/>
    <m/>
    <s v="F-LYA20(W)HKG 368757"/>
    <n v="988"/>
    <n v="0.40384615384615385"/>
    <s v="Toshiba SRP"/>
    <n v="123"/>
    <s v="123368757"/>
  </r>
  <r>
    <n v="1784"/>
    <s v="Citistore"/>
    <s v="TW RS_1"/>
    <x v="30"/>
    <n v="3"/>
    <x v="28"/>
    <x v="39"/>
    <s v="酵活炊電飯煲(1.0公升)"/>
    <s v="細電"/>
    <s v="SDA"/>
    <s v="10amx"/>
    <n v="1"/>
    <n v="990"/>
    <n v="990"/>
    <n v="368799"/>
    <m/>
    <m/>
    <s v="RC-10AMXH(W) 368799"/>
    <n v="1288"/>
    <n v="0.76863354037267084"/>
    <s v="Toshiba SRP"/>
    <n v="123"/>
    <s v="123368799"/>
  </r>
  <r>
    <n v="1785"/>
    <s v="Citistore"/>
    <s v="TW RS_1"/>
    <x v="30"/>
    <n v="3"/>
    <x v="28"/>
    <x v="7"/>
    <s v="4毫米厚釜電飯煲0.54L"/>
    <s v="細電"/>
    <s v="SDA"/>
    <s v="5mm"/>
    <n v="1"/>
    <n v="450"/>
    <n v="450"/>
    <n v="368810"/>
    <m/>
    <m/>
    <s v="RC-5MMIH(WT) 368810"/>
    <n v="618"/>
    <n v="0.72815533980582525"/>
    <s v="Toshiba SRP"/>
    <n v="123"/>
    <s v="123368810"/>
  </r>
  <r>
    <n v="1786"/>
    <s v="Citistore"/>
    <s v="TW RS_1"/>
    <x v="30"/>
    <n v="3"/>
    <x v="28"/>
    <x v="24"/>
    <s v="微型電腦珍珠飯煲"/>
    <s v="細電"/>
    <s v="SDA"/>
    <s v="5sli"/>
    <n v="1"/>
    <n v="550"/>
    <n v="550"/>
    <n v="368818"/>
    <m/>
    <m/>
    <s v="RC-5SLIH(W) 368818"/>
    <n v="658"/>
    <n v="0.83586626139817632"/>
    <s v="Toshiba SRP"/>
    <n v="123"/>
    <s v="123368818"/>
  </r>
  <r>
    <n v="1787"/>
    <s v="Citistore"/>
    <s v="TW RS_1"/>
    <x v="30"/>
    <n v="3"/>
    <x v="28"/>
    <x v="87"/>
    <s v="變頻式環保雙門雪櫃(233L)"/>
    <s v="大電"/>
    <s v="REF"/>
    <s v="rt300"/>
    <n v="1"/>
    <n v="2780"/>
    <n v="2780"/>
    <n v="368824"/>
    <m/>
    <m/>
    <s v="GR-RT300WE-PMA(57) 368824"/>
    <n v="4280"/>
    <n v="0.64953271028037385"/>
    <s v="Toshiba SRP"/>
    <n v="123"/>
    <s v="123368824"/>
  </r>
  <r>
    <n v="1788"/>
    <s v="Citistore"/>
    <s v="TW RS_1"/>
    <x v="30"/>
    <n v="3"/>
    <x v="28"/>
    <x v="35"/>
    <s v="1.8公升電飯煲"/>
    <s v="細電"/>
    <s v="SDA"/>
    <s v="18jruh"/>
    <n v="1"/>
    <n v="300"/>
    <n v="300"/>
    <n v="368842"/>
    <m/>
    <m/>
    <s v="RC-18JRUH(N) 368842"/>
    <n v="458"/>
    <n v="0.65502183406113534"/>
    <s v="Shops Highest Price"/>
    <n v="123"/>
    <s v="123368842"/>
  </r>
  <r>
    <n v="1789"/>
    <s v="Citistore"/>
    <s v="TW RS_1"/>
    <x v="30"/>
    <n v="3"/>
    <x v="28"/>
    <x v="36"/>
    <s v="輕觸式微波爐 (20公升)"/>
    <s v="細電"/>
    <s v="MCA"/>
    <s v="em20"/>
    <n v="1"/>
    <n v="598"/>
    <n v="598"/>
    <n v="388845"/>
    <m/>
    <m/>
    <s v="MM2-EM20PC(WH) 388845"/>
    <n v="788"/>
    <n v="0.75888324873096447"/>
    <s v="Toshiba SRP"/>
    <n v="123"/>
    <s v="123388845"/>
  </r>
  <r>
    <n v="1790"/>
    <s v="Citistore"/>
    <s v="TW RS_1"/>
    <x v="30"/>
    <n v="3"/>
    <x v="28"/>
    <x v="17"/>
    <s v="4毫米厚釜電飯煲1L"/>
    <s v="細電"/>
    <s v="SDA"/>
    <s v="10nmf"/>
    <n v="1"/>
    <n v="719"/>
    <n v="719"/>
    <n v="368873"/>
    <m/>
    <m/>
    <s v="RC-10NMFIH(WT) 368873"/>
    <n v="898"/>
    <n v="0.80066815144766146"/>
    <s v="Toshiba SRP"/>
    <n v="123"/>
    <s v="123368873"/>
  </r>
  <r>
    <n v="1791"/>
    <s v="Citistore"/>
    <s v="TW RS_1"/>
    <x v="30"/>
    <n v="3"/>
    <x v="28"/>
    <x v="7"/>
    <s v="4毫米厚釜電飯煲0.54L"/>
    <s v="細電"/>
    <s v="SDA"/>
    <s v="5mm"/>
    <n v="1"/>
    <n v="450"/>
    <n v="450"/>
    <n v="368875"/>
    <m/>
    <m/>
    <s v="RC-5MMIH(WT) 368875"/>
    <n v="618"/>
    <n v="0.72815533980582525"/>
    <s v="Toshiba SRP"/>
    <n v="123"/>
    <s v="123368875"/>
  </r>
  <r>
    <n v="1792"/>
    <s v="Citistore"/>
    <s v="TW RS_1"/>
    <x v="30"/>
    <n v="3"/>
    <x v="28"/>
    <x v="37"/>
    <s v="電熱水瓶 (5公升)"/>
    <s v="細電"/>
    <s v="SDA"/>
    <s v="50dr"/>
    <n v="1"/>
    <n v="598"/>
    <n v="598"/>
    <n v="368931"/>
    <m/>
    <m/>
    <s v="TP-50DRUHK(W) 368931"/>
    <n v="718"/>
    <n v="0.83286908077994426"/>
    <s v="Toshiba SRP"/>
    <n v="123"/>
    <s v="123368931"/>
  </r>
  <r>
    <n v="1793"/>
    <s v="Citistore"/>
    <s v="TW RS_1"/>
    <x v="30"/>
    <n v="3"/>
    <x v="28"/>
    <x v="21"/>
    <s v="壓縮式抽濕機 (30公升)"/>
    <s v="細電"/>
    <s v="RAC"/>
    <s v="d300"/>
    <n v="1"/>
    <n v="2080"/>
    <n v="2080"/>
    <n v="368932"/>
    <m/>
    <m/>
    <s v="RAD-D300H 368932"/>
    <n v="3380"/>
    <n v="0.61538461538461542"/>
    <s v="Shops Highest Price"/>
    <n v="123"/>
    <s v="123368932"/>
  </r>
  <r>
    <n v="1794"/>
    <s v="Citistore"/>
    <s v="TW RS_1"/>
    <x v="30"/>
    <n v="3"/>
    <x v="28"/>
    <x v="56"/>
    <s v="多士焗爐8L"/>
    <s v="細電"/>
    <s v="SDA"/>
    <n v="7080"/>
    <n v="1"/>
    <n v="338"/>
    <n v="338"/>
    <n v="447895"/>
    <m/>
    <m/>
    <s v="ET-TD7080(PN) 447895"/>
    <n v="498"/>
    <n v="0.67871485943775101"/>
    <s v="Toshiba SRP"/>
    <n v="123"/>
    <s v="123447895"/>
  </r>
  <r>
    <n v="1795"/>
    <s v="Citistore"/>
    <s v="TW RS_1"/>
    <x v="30"/>
    <n v="3"/>
    <x v="28"/>
    <x v="23"/>
    <s v="電飯煲"/>
    <s v="細電"/>
    <s v="SDA"/>
    <s v="10jruh"/>
    <n v="1"/>
    <n v="250"/>
    <n v="250"/>
    <n v="368956"/>
    <m/>
    <m/>
    <s v="RC-10JRUH(N) 368956"/>
    <n v="398"/>
    <n v="0.62814070351758799"/>
    <s v="Shops Highest Price"/>
    <n v="123"/>
    <s v="123368956"/>
  </r>
  <r>
    <n v="1796"/>
    <s v="Citistore"/>
    <s v="TW RS_1"/>
    <x v="30"/>
    <n v="3"/>
    <x v="28"/>
    <x v="127"/>
    <s v="1.7L電熱水壺"/>
    <s v="細電"/>
    <s v="SDA"/>
    <s v="17drnh"/>
    <n v="1"/>
    <n v="388"/>
    <n v="388"/>
    <n v="368965"/>
    <m/>
    <m/>
    <s v="KT-17DRNH 368965"/>
    <n v="498"/>
    <n v="0.77911646586345384"/>
    <s v="Toshiba SRP"/>
    <n v="123"/>
    <s v="123368965"/>
  </r>
  <r>
    <n v="1797"/>
    <s v="Citistore"/>
    <s v="TW RS_1"/>
    <x v="30"/>
    <n v="3"/>
    <x v="28"/>
    <x v="30"/>
    <s v="旋鈕式燒烤微波爐20L"/>
    <s v="細電"/>
    <s v="SDA"/>
    <s v="mm20"/>
    <n v="1"/>
    <n v="488"/>
    <n v="488"/>
    <n v="369015"/>
    <m/>
    <m/>
    <s v="MWP-MM20P(WH) 369015"/>
    <n v="648"/>
    <n v="0.75308641975308643"/>
    <s v="Toshiba SRP"/>
    <n v="123"/>
    <s v="123369015"/>
  </r>
  <r>
    <n v="1798"/>
    <s v="Citistore"/>
    <s v="TW RS_1"/>
    <x v="30"/>
    <n v="3"/>
    <x v="28"/>
    <x v="9"/>
    <s v="電熱水瓶4.5L"/>
    <s v="細電"/>
    <s v="SDA"/>
    <s v="45sf"/>
    <n v="1"/>
    <n v="589"/>
    <n v="589"/>
    <n v="369020"/>
    <m/>
    <m/>
    <s v="PLK-45SFIH(WT) 369020"/>
    <n v="788"/>
    <n v="0.7474619289340102"/>
    <s v="Toshiba SRP"/>
    <n v="123"/>
    <s v="123369020"/>
  </r>
  <r>
    <n v="1799"/>
    <s v="Citistore"/>
    <s v="TW RS_1"/>
    <x v="30"/>
    <n v="3"/>
    <x v="28"/>
    <x v="44"/>
    <s v="1.7L無線雙層電熱水壺"/>
    <s v="細電"/>
    <s v="SDA"/>
    <s v="17shnh"/>
    <n v="1"/>
    <n v="198"/>
    <n v="198"/>
    <n v="369024"/>
    <m/>
    <m/>
    <s v="KT-17SHNH 369024"/>
    <n v="299"/>
    <n v="0.66220735785953178"/>
    <s v="Shops Highest Price"/>
    <n v="123"/>
    <s v="123369024"/>
  </r>
  <r>
    <n v="1800"/>
    <s v="Citistore"/>
    <s v="TW RS_1"/>
    <x v="30"/>
    <n v="3"/>
    <x v="28"/>
    <x v="75"/>
    <s v="日式洗衣機 (8公斤 結合高低水位)"/>
    <s v="大電"/>
    <s v="LAD"/>
    <s v="q901"/>
    <n v="1"/>
    <n v="2166"/>
    <n v="2166"/>
    <n v="369001"/>
    <m/>
    <m/>
    <s v="AW-Q901BPH(WW) 369001"/>
    <n v="3780"/>
    <n v="0.57301587301587298"/>
    <s v="Toshiba SRP"/>
    <n v="123"/>
    <s v="123369001"/>
  </r>
  <r>
    <n v="1801"/>
    <s v="Citistore"/>
    <s v="TW RS_1"/>
    <x v="30"/>
    <n v="3"/>
    <x v="28"/>
    <x v="66"/>
    <s v="變頻下置式雙門雪櫃（163L）"/>
    <s v="大電"/>
    <s v="REF"/>
    <s v="rb221"/>
    <n v="1"/>
    <n v="1786"/>
    <n v="1786"/>
    <n v="369001"/>
    <m/>
    <m/>
    <s v="GR-RB221WE-PMA(57) 369001"/>
    <n v="3480"/>
    <n v="0.51321839080459775"/>
    <s v="Toshiba SRP"/>
    <n v="123"/>
    <s v="123369001"/>
  </r>
  <r>
    <n v="1802"/>
    <s v="Citistore"/>
    <s v="TW RS_1"/>
    <x v="30"/>
    <n v="3"/>
    <x v="28"/>
    <x v="30"/>
    <s v="旋鈕式燒烤微波爐20L"/>
    <s v="細電"/>
    <s v="SDA"/>
    <s v="mm20"/>
    <n v="1"/>
    <n v="463.6"/>
    <n v="463.6"/>
    <n v="369001"/>
    <m/>
    <m/>
    <s v="MWP-MM20P(WH) 369001"/>
    <n v="648"/>
    <n v="0.71543209876543212"/>
    <s v="Toshiba SRP"/>
    <n v="123"/>
    <s v="123369001"/>
  </r>
  <r>
    <n v="1803"/>
    <s v="Citistore"/>
    <s v="TW RS_1"/>
    <x v="30"/>
    <n v="3"/>
    <x v="28"/>
    <x v="70"/>
    <s v="12吋2合1座地座檯電風扇連遙控"/>
    <s v="細電"/>
    <s v="EAD"/>
    <s v="ya20"/>
    <n v="1"/>
    <n v="399"/>
    <n v="399"/>
    <n v="376416"/>
    <m/>
    <m/>
    <s v="F-LYA20(W)HKG 376416"/>
    <n v="988"/>
    <n v="0.40384615384615385"/>
    <s v="Toshiba SRP"/>
    <n v="123"/>
    <s v="123376416"/>
  </r>
  <r>
    <n v="1804"/>
    <s v="Citistore"/>
    <s v="TW RS_1"/>
    <x v="30"/>
    <n v="3"/>
    <x v="28"/>
    <x v="57"/>
    <s v="多功能備長炭本厚釜電飯煲1L"/>
    <s v="細電"/>
    <s v="SDA"/>
    <s v="10drnh"/>
    <n v="1"/>
    <n v="499"/>
    <n v="499"/>
    <n v="369032"/>
    <m/>
    <m/>
    <s v="RC-10DRNH 369032"/>
    <n v="798"/>
    <n v="0.62531328320802004"/>
    <s v="Toshiba SRP"/>
    <n v="123"/>
    <s v="123369032"/>
  </r>
  <r>
    <n v="1805"/>
    <s v="Citistore"/>
    <s v="TW RS_1"/>
    <x v="30"/>
    <n v="3"/>
    <x v="28"/>
    <x v="70"/>
    <s v="12吋2合1座地座檯電風扇連遙控"/>
    <s v="細電"/>
    <s v="EAD"/>
    <s v="ya20"/>
    <n v="1"/>
    <n v="399"/>
    <n v="399"/>
    <n v="369043"/>
    <m/>
    <m/>
    <s v="F-LYA20(W)HKG 369043"/>
    <n v="988"/>
    <n v="0.40384615384615385"/>
    <s v="Toshiba SRP"/>
    <n v="123"/>
    <s v="123369043"/>
  </r>
  <r>
    <n v="1806"/>
    <s v="Citistore"/>
    <s v="TW RS_1"/>
    <x v="30"/>
    <n v="3"/>
    <x v="28"/>
    <x v="66"/>
    <s v="變頻下置式雙門雪櫃（163L）"/>
    <s v="大電"/>
    <s v="REF"/>
    <s v="rb221"/>
    <n v="1"/>
    <n v="1786"/>
    <n v="1786"/>
    <n v="369068"/>
    <m/>
    <m/>
    <s v="GR-RB221WE-PMA(57) 369068"/>
    <n v="3480"/>
    <n v="0.51321839080459775"/>
    <s v="Toshiba SRP"/>
    <n v="123"/>
    <s v="123369068"/>
  </r>
  <r>
    <n v="1807"/>
    <s v="Citistore"/>
    <s v="TW RS_1"/>
    <x v="30"/>
    <n v="3"/>
    <x v="29"/>
    <x v="45"/>
    <s v="備長炭本厚釜電飯煲0.7L"/>
    <s v="細電"/>
    <s v="SDA"/>
    <s v="7hmh"/>
    <n v="1"/>
    <n v="788"/>
    <n v="788"/>
    <n v="369080"/>
    <m/>
    <m/>
    <s v="RC-7HMH 369080"/>
    <n v="1288"/>
    <n v="0.61180124223602483"/>
    <s v="Toshiba SRP"/>
    <n v="123"/>
    <s v="123369080"/>
  </r>
  <r>
    <n v="1808"/>
    <s v="Citistore"/>
    <s v="TW RS_1"/>
    <x v="30"/>
    <n v="3"/>
    <x v="29"/>
    <x v="39"/>
    <s v="酵活炊電飯煲(1.0公升)"/>
    <s v="細電"/>
    <s v="SDA"/>
    <s v="10amx"/>
    <n v="1"/>
    <n v="990"/>
    <n v="990"/>
    <n v="369088"/>
    <m/>
    <m/>
    <s v="RC-10AMXH(W) 369088"/>
    <n v="1288"/>
    <n v="0.76863354037267084"/>
    <s v="Toshiba SRP"/>
    <n v="123"/>
    <s v="123369088"/>
  </r>
  <r>
    <n v="1809"/>
    <s v="Citistore"/>
    <s v="TW RS_1"/>
    <x v="30"/>
    <n v="3"/>
    <x v="29"/>
    <x v="24"/>
    <s v="微型電腦珍珠飯煲"/>
    <s v="細電"/>
    <s v="SDA"/>
    <s v="5sli"/>
    <n v="1"/>
    <n v="550"/>
    <n v="550"/>
    <n v="369082"/>
    <m/>
    <m/>
    <s v="RC-5SLIH(W) 369082"/>
    <n v="658"/>
    <n v="0.83586626139817632"/>
    <s v="Toshiba SRP"/>
    <n v="123"/>
    <s v="123369082"/>
  </r>
  <r>
    <n v="1810"/>
    <s v="Citistore"/>
    <s v="TW RS_1"/>
    <x v="30"/>
    <n v="3"/>
    <x v="29"/>
    <x v="70"/>
    <s v="12吋2合1座地座檯電風扇連遙控"/>
    <s v="細電"/>
    <s v="EAD"/>
    <s v="ya20"/>
    <n v="1"/>
    <n v="399"/>
    <n v="399"/>
    <s v="TG260330T00100"/>
    <m/>
    <m/>
    <s v="F-LYA20(W)HKG TG260330T00100"/>
    <n v="988"/>
    <n v="0.40384615384615385"/>
    <s v="Toshiba SRP"/>
    <n v="123"/>
    <s v="123TG260330T00100"/>
  </r>
  <r>
    <n v="1811"/>
    <s v="Citistore"/>
    <s v="TW RS_1"/>
    <x v="30"/>
    <n v="3"/>
    <x v="29"/>
    <x v="61"/>
    <s v="酵活炊電飯煲(1.8公升)"/>
    <s v="細電"/>
    <s v="SDA"/>
    <s v="18amx"/>
    <n v="1"/>
    <n v="990"/>
    <n v="990"/>
    <n v="369105"/>
    <m/>
    <m/>
    <s v="RC-18AMXH(W) 369105"/>
    <n v="1588"/>
    <n v="0.62342569269521408"/>
    <s v="Toshiba SRP"/>
    <n v="123"/>
    <s v="123369105"/>
  </r>
  <r>
    <n v="1812"/>
    <s v="Citistore"/>
    <s v="TW RS_1"/>
    <x v="30"/>
    <n v="3"/>
    <x v="29"/>
    <x v="87"/>
    <s v="變頻式環保雙門雪櫃(233L)"/>
    <s v="大電"/>
    <s v="REF"/>
    <s v="rt300"/>
    <n v="1"/>
    <n v="2641"/>
    <n v="2641"/>
    <n v="369134"/>
    <m/>
    <m/>
    <s v="GR-RT300WE-PMA(57) 369134"/>
    <n v="4280"/>
    <n v="0.61705607476635516"/>
    <s v="Toshiba SRP"/>
    <n v="123"/>
    <s v="123369134"/>
  </r>
  <r>
    <n v="1813"/>
    <s v="Citistore"/>
    <s v="TW RS_1"/>
    <x v="30"/>
    <n v="3"/>
    <x v="29"/>
    <x v="7"/>
    <s v="4毫米厚釜電飯煲0.54L"/>
    <s v="細電"/>
    <s v="SDA"/>
    <s v="5mm"/>
    <n v="1"/>
    <n v="450"/>
    <n v="450"/>
    <n v="369150"/>
    <m/>
    <m/>
    <s v="RC-5MMIH(WT) 369150"/>
    <n v="618"/>
    <n v="0.72815533980582525"/>
    <s v="Toshiba SRP"/>
    <n v="123"/>
    <s v="123369150"/>
  </r>
  <r>
    <n v="1814"/>
    <s v="Citistore"/>
    <s v="TW RS_1"/>
    <x v="30"/>
    <n v="3"/>
    <x v="29"/>
    <x v="39"/>
    <s v="酵活炊電飯煲(1.0公升)"/>
    <s v="細電"/>
    <s v="SDA"/>
    <s v="10amx"/>
    <n v="1"/>
    <n v="990"/>
    <n v="990"/>
    <n v="369174"/>
    <m/>
    <m/>
    <s v="RC-10AMXH(W) 369174"/>
    <n v="1288"/>
    <n v="0.76863354037267084"/>
    <s v="Toshiba SRP"/>
    <n v="123"/>
    <s v="123369174"/>
  </r>
  <r>
    <n v="1815"/>
    <s v="Citistore"/>
    <s v="TW RS_1"/>
    <x v="30"/>
    <n v="3"/>
    <x v="29"/>
    <x v="7"/>
    <s v="4毫米厚釜電飯煲0.54L"/>
    <s v="細電"/>
    <s v="SDA"/>
    <s v="5mm"/>
    <n v="1"/>
    <n v="450"/>
    <n v="450"/>
    <n v="369222"/>
    <m/>
    <m/>
    <s v="RC-5MMIH(WT) 369222"/>
    <n v="618"/>
    <n v="0.72815533980582525"/>
    <s v="Toshiba SRP"/>
    <n v="123"/>
    <s v="123369222"/>
  </r>
  <r>
    <n v="1816"/>
    <s v="Citistore"/>
    <s v="TW RS_1"/>
    <x v="30"/>
    <n v="3"/>
    <x v="29"/>
    <x v="35"/>
    <s v="1.8公升電飯煲"/>
    <s v="細電"/>
    <s v="SDA"/>
    <s v="18jruh"/>
    <n v="1"/>
    <n v="300"/>
    <n v="300"/>
    <n v="369227"/>
    <m/>
    <m/>
    <s v="RC-18JRUH(N) 369227"/>
    <n v="458"/>
    <n v="0.65502183406113534"/>
    <s v="Shops Highest Price"/>
    <n v="123"/>
    <s v="123369227"/>
  </r>
  <r>
    <n v="1817"/>
    <s v="Citistore"/>
    <s v="TW RS_1"/>
    <x v="30"/>
    <n v="3"/>
    <x v="29"/>
    <x v="30"/>
    <s v="旋鈕式燒烤微波爐20L"/>
    <s v="細電"/>
    <s v="SDA"/>
    <s v="mm20"/>
    <n v="1"/>
    <n v="488"/>
    <n v="488"/>
    <n v="369250"/>
    <m/>
    <m/>
    <s v="MWP-MM20P(WH) 369250"/>
    <n v="648"/>
    <n v="0.75308641975308643"/>
    <s v="Toshiba SRP"/>
    <n v="123"/>
    <s v="123369250"/>
  </r>
  <r>
    <n v="1818"/>
    <s v="Citistore"/>
    <s v="TW RS_1"/>
    <x v="30"/>
    <n v="3"/>
    <x v="29"/>
    <x v="35"/>
    <s v="1.8公升電飯煲"/>
    <s v="細電"/>
    <s v="SDA"/>
    <s v="18jruh"/>
    <n v="1"/>
    <n v="300"/>
    <n v="300"/>
    <n v="369260"/>
    <m/>
    <m/>
    <s v="RC-18JRUH(N) 369260"/>
    <n v="458"/>
    <n v="0.65502183406113534"/>
    <s v="Shops Highest Price"/>
    <n v="123"/>
    <s v="123369260"/>
  </r>
  <r>
    <n v="1819"/>
    <s v="Citistore"/>
    <s v="TW RS_1"/>
    <x v="30"/>
    <n v="3"/>
    <x v="29"/>
    <x v="44"/>
    <s v="1.7L無線雙層電熱水壺"/>
    <s v="細電"/>
    <s v="SDA"/>
    <s v="17shnh"/>
    <n v="1"/>
    <n v="198"/>
    <n v="198"/>
    <n v="369284"/>
    <m/>
    <m/>
    <s v="KT-17SHNH 369284"/>
    <n v="299"/>
    <n v="0.66220735785953178"/>
    <s v="Shops Highest Price"/>
    <n v="123"/>
    <s v="123369284"/>
  </r>
  <r>
    <n v="1820"/>
    <s v="Citistore"/>
    <s v="TW RS_1"/>
    <x v="30"/>
    <n v="3"/>
    <x v="29"/>
    <x v="70"/>
    <s v="12吋2合1座地座檯電風扇連遙控"/>
    <s v="細電"/>
    <s v="EAD"/>
    <s v="ya20"/>
    <n v="1"/>
    <n v="399"/>
    <n v="399"/>
    <n v="369281"/>
    <m/>
    <m/>
    <s v="F-LYA20(W)HKG 369281"/>
    <n v="988"/>
    <n v="0.40384615384615385"/>
    <s v="Toshiba SRP"/>
    <n v="123"/>
    <s v="123369281"/>
  </r>
  <r>
    <n v="1821"/>
    <s v="Citistore"/>
    <s v="TW RS_1"/>
    <x v="30"/>
    <n v="3"/>
    <x v="29"/>
    <x v="51"/>
    <s v="IH磁應電飯煲"/>
    <s v="細電"/>
    <s v="SDA"/>
    <s v="dr10tw"/>
    <n v="1"/>
    <n v="2175.5"/>
    <n v="2175.5"/>
    <n v="369274"/>
    <m/>
    <m/>
    <s v="RC-DR10T(W) 369274"/>
    <n v="3188"/>
    <n v="0.68240276035131742"/>
    <s v="Toshiba SRP"/>
    <n v="123"/>
    <s v="123369274"/>
  </r>
  <r>
    <n v="1822"/>
    <s v="Citistore"/>
    <s v="TW RS_1"/>
    <x v="30"/>
    <n v="3"/>
    <x v="29"/>
    <x v="38"/>
    <s v="無線雙層電熱水壺-附可鎖壺蓋"/>
    <s v="細電"/>
    <s v="SDA"/>
    <s v="15drt"/>
    <n v="1"/>
    <n v="338"/>
    <n v="338"/>
    <n v="369299"/>
    <m/>
    <m/>
    <s v="KT-15DRTHK(W) 369299"/>
    <n v="598"/>
    <n v="0.56521739130434778"/>
    <s v="Toshiba SRP"/>
    <n v="123"/>
    <s v="123369299"/>
  </r>
  <r>
    <n v="1823"/>
    <s v="Citistore"/>
    <s v="TW RS_1"/>
    <x v="30"/>
    <n v="3"/>
    <x v="29"/>
    <x v="38"/>
    <s v="無線雙層電熱水壺-附可鎖壺蓋"/>
    <s v="細電"/>
    <s v="SDA"/>
    <s v="15drt"/>
    <n v="1"/>
    <n v="338"/>
    <n v="338"/>
    <n v="369297"/>
    <m/>
    <m/>
    <s v="KT-15DRTHK(W) 369297"/>
    <n v="598"/>
    <n v="0.56521739130434778"/>
    <s v="Toshiba SRP"/>
    <n v="123"/>
    <s v="123369297"/>
  </r>
  <r>
    <n v="1824"/>
    <s v="Citistore"/>
    <s v="TW RS_1"/>
    <x v="30"/>
    <n v="3"/>
    <x v="29"/>
    <x v="44"/>
    <s v="1.7L無線雙層電熱水壺"/>
    <s v="細電"/>
    <s v="SDA"/>
    <s v="17shnh"/>
    <n v="1"/>
    <n v="198"/>
    <n v="198"/>
    <n v="369315"/>
    <m/>
    <m/>
    <s v="KT-17SHNH 369315"/>
    <n v="299"/>
    <n v="0.66220735785953178"/>
    <s v="Shops Highest Price"/>
    <n v="123"/>
    <s v="123369315"/>
  </r>
  <r>
    <n v="1825"/>
    <s v="Citistore"/>
    <s v="TW RS_1"/>
    <x v="30"/>
    <n v="3"/>
    <x v="29"/>
    <x v="17"/>
    <s v="4毫米厚釜電飯煲1L"/>
    <s v="細電"/>
    <s v="SDA"/>
    <s v="10nmf"/>
    <n v="1"/>
    <n v="798"/>
    <n v="798"/>
    <n v="369326"/>
    <m/>
    <m/>
    <s v="RC-10NMFIH(WT) 369326"/>
    <n v="898"/>
    <n v="0.88864142538975499"/>
    <s v="Toshiba SRP"/>
    <n v="123"/>
    <s v="123369326"/>
  </r>
  <r>
    <n v="1826"/>
    <s v="Citistore"/>
    <s v="TW RS_1"/>
    <x v="30"/>
    <n v="3"/>
    <x v="29"/>
    <x v="61"/>
    <s v="酵活炊電飯煲(1.8公升)"/>
    <s v="細電"/>
    <s v="SDA"/>
    <s v="18amx"/>
    <n v="1"/>
    <n v="990"/>
    <n v="990"/>
    <n v="369339"/>
    <m/>
    <m/>
    <s v="RC-18AMXH(W) 369339"/>
    <n v="1588"/>
    <n v="0.62342569269521408"/>
    <s v="Toshiba SRP"/>
    <n v="123"/>
    <s v="123369339"/>
  </r>
  <r>
    <n v="1827"/>
    <s v="Citistore"/>
    <s v="TW RS_1"/>
    <x v="30"/>
    <n v="3"/>
    <x v="29"/>
    <x v="114"/>
    <s v="變頻三門雪櫃 (233L)"/>
    <s v="大電"/>
    <s v="REF"/>
    <s v="rm352"/>
    <n v="1"/>
    <n v="3315.5"/>
    <n v="3315.5"/>
    <n v="273300"/>
    <m/>
    <m/>
    <s v="GR-RM352WI-PMA(53) 273300"/>
    <n v="5580"/>
    <n v="0.59417562724014339"/>
    <s v="Toshiba SRP"/>
    <n v="123"/>
    <s v="123273300"/>
  </r>
  <r>
    <n v="1828"/>
    <s v="Citistore"/>
    <s v="TW RS_1"/>
    <x v="30"/>
    <n v="3"/>
    <x v="29"/>
    <x v="70"/>
    <s v="12吋2合1座地座檯電風扇連遙控"/>
    <s v="細電"/>
    <s v="EAD"/>
    <s v="ya20"/>
    <n v="1"/>
    <n v="399"/>
    <n v="399"/>
    <n v="369401"/>
    <m/>
    <m/>
    <s v="F-LYA20(W)HKG 369401"/>
    <n v="988"/>
    <n v="0.40384615384615385"/>
    <s v="Toshiba SRP"/>
    <n v="123"/>
    <s v="123369401"/>
  </r>
  <r>
    <n v="1829"/>
    <s v="Citistore"/>
    <s v="TW RS_1"/>
    <x v="30"/>
    <n v="3"/>
    <x v="29"/>
    <x v="70"/>
    <s v="12吋2合1座地座檯電風扇連遙控"/>
    <s v="細電"/>
    <s v="EAD"/>
    <s v="ya20"/>
    <n v="1"/>
    <n v="399"/>
    <n v="399"/>
    <n v="369406"/>
    <m/>
    <m/>
    <s v="F-LYA20(W)HKG 369406"/>
    <n v="988"/>
    <n v="0.40384615384615385"/>
    <s v="Toshiba SRP"/>
    <n v="123"/>
    <s v="123369406"/>
  </r>
  <r>
    <n v="1830"/>
    <s v="Citistore"/>
    <s v="TW RS_1"/>
    <x v="30"/>
    <n v="3"/>
    <x v="29"/>
    <x v="31"/>
    <s v="無線雙層電熱水壺(1.7公升)"/>
    <s v="細電"/>
    <s v="SDA"/>
    <s v="17drt"/>
    <n v="1"/>
    <n v="388"/>
    <n v="388"/>
    <n v="369407"/>
    <m/>
    <m/>
    <s v="KT-17DRTHK(H) 369407"/>
    <n v="498"/>
    <n v="0.77911646586345384"/>
    <s v="Toshiba SRP"/>
    <n v="123"/>
    <s v="123369407"/>
  </r>
  <r>
    <n v="1831"/>
    <s v="Citistore"/>
    <s v="TW RS_1"/>
    <x v="30"/>
    <n v="3"/>
    <x v="29"/>
    <x v="70"/>
    <s v="12吋2合1座地座檯電風扇連遙控"/>
    <s v="細電"/>
    <s v="EAD"/>
    <s v="ya20"/>
    <n v="1"/>
    <n v="399"/>
    <n v="399"/>
    <n v="369410"/>
    <m/>
    <m/>
    <s v="F-LYA20(W)HKG 369410"/>
    <n v="988"/>
    <n v="0.40384615384615385"/>
    <s v="Toshiba SRP"/>
    <n v="123"/>
    <s v="123369410"/>
  </r>
  <r>
    <n v="1832"/>
    <s v="Suning"/>
    <s v="Yoho"/>
    <x v="31"/>
    <n v="3"/>
    <x v="0"/>
    <x v="26"/>
    <s v="變頻頂揭式洗衣機 (7.5公斤)"/>
    <s v="大電"/>
    <s v="LAD"/>
    <s v="cfk01w75"/>
    <n v="1"/>
    <n v="3298"/>
    <n v="3298"/>
    <n v="1110679"/>
    <m/>
    <m/>
    <s v="CFK01W75 1110679"/>
    <n v="3888"/>
    <n v="0.84825102880658432"/>
    <s v="Shops Highest Price"/>
    <n v="1110"/>
    <s v="11101110679"/>
  </r>
  <r>
    <n v="1833"/>
    <s v="Suning"/>
    <s v="Yoho"/>
    <x v="31"/>
    <n v="3"/>
    <x v="0"/>
    <x v="31"/>
    <s v="無線雙層電熱水壺(1.7公升)"/>
    <s v="細電"/>
    <s v="SDA"/>
    <s v="17drt"/>
    <n v="1"/>
    <n v="358"/>
    <n v="358"/>
    <n v="1110658"/>
    <m/>
    <m/>
    <s v="KT-17DRTHK(H) 1110658"/>
    <n v="498"/>
    <n v="0.71887550200803207"/>
    <s v="Toshiba SRP"/>
    <n v="1110"/>
    <s v="11101110658"/>
  </r>
  <r>
    <n v="1834"/>
    <s v="Suning"/>
    <s v="Yoho"/>
    <x v="31"/>
    <n v="3"/>
    <x v="0"/>
    <x v="21"/>
    <s v="壓縮式抽濕機 (30公升)"/>
    <s v="細電"/>
    <s v="RAC"/>
    <s v="d300"/>
    <n v="1"/>
    <n v="1980"/>
    <n v="1980"/>
    <n v="1110657"/>
    <m/>
    <m/>
    <s v="RAD-D300H 1110657"/>
    <n v="3380"/>
    <n v="0.58579881656804733"/>
    <s v="Shops Highest Price"/>
    <n v="1110"/>
    <s v="11101110657"/>
  </r>
  <r>
    <n v="1835"/>
    <s v="Suning"/>
    <s v="Yoho"/>
    <x v="31"/>
    <n v="3"/>
    <x v="0"/>
    <x v="50"/>
    <s v="輕便式電磁爐7個功能"/>
    <s v="細電"/>
    <s v="SDA"/>
    <s v="s19"/>
    <n v="1"/>
    <n v="400"/>
    <n v="400"/>
    <n v="1110700"/>
    <m/>
    <m/>
    <s v="IC-S19RH 1110700"/>
    <n v="638"/>
    <n v="0.62695924764890287"/>
    <s v="Toshiba SRP"/>
    <n v="1110"/>
    <s v="11101110700"/>
  </r>
  <r>
    <n v="1836"/>
    <s v="Suning"/>
    <s v="Yoho"/>
    <x v="31"/>
    <n v="3"/>
    <x v="0"/>
    <x v="17"/>
    <s v="4毫米厚釜電飯煲1L"/>
    <s v="細電"/>
    <s v="SDA"/>
    <s v="10nmf"/>
    <n v="1"/>
    <n v="708"/>
    <n v="708"/>
    <n v="1110699"/>
    <m/>
    <m/>
    <s v="RC-10NMFIH(WT) 1110699"/>
    <n v="898"/>
    <n v="0.7884187082405345"/>
    <s v="Toshiba SRP"/>
    <n v="1110"/>
    <s v="11101110699"/>
  </r>
  <r>
    <n v="1837"/>
    <s v="Suning"/>
    <s v="Yoho"/>
    <x v="31"/>
    <n v="3"/>
    <x v="0"/>
    <x v="87"/>
    <s v="變頻式環保雙門雪櫃(233L)"/>
    <s v="大電"/>
    <s v="REF"/>
    <s v="rt300"/>
    <n v="1"/>
    <n v="2680"/>
    <n v="2680"/>
    <n v="1110695"/>
    <m/>
    <m/>
    <s v="GR-RT300WE-PMA(57) 1110695"/>
    <n v="4280"/>
    <n v="0.62616822429906538"/>
    <s v="Toshiba SRP"/>
    <n v="1110"/>
    <s v="11101110695"/>
  </r>
  <r>
    <n v="1838"/>
    <s v="Suning"/>
    <s v="Yoho"/>
    <x v="31"/>
    <n v="3"/>
    <x v="0"/>
    <x v="21"/>
    <s v="壓縮式抽濕機 (30公升)"/>
    <s v="細電"/>
    <s v="RAC"/>
    <s v="d300"/>
    <n v="1"/>
    <n v="1980"/>
    <n v="1980"/>
    <n v="1110690"/>
    <m/>
    <m/>
    <s v="RAD-D300H 1110690"/>
    <n v="3380"/>
    <n v="0.58579881656804733"/>
    <s v="Shops Highest Price"/>
    <n v="1110"/>
    <s v="11101110690"/>
  </r>
  <r>
    <n v="1839"/>
    <s v="Suning"/>
    <s v="Yoho"/>
    <x v="31"/>
    <n v="3"/>
    <x v="0"/>
    <x v="42"/>
    <s v="變頻下置式雙門雪櫃系列270L"/>
    <s v="大電"/>
    <s v="REF"/>
    <s v="rb360"/>
    <n v="1"/>
    <n v="3480"/>
    <n v="3480"/>
    <n v="1110665"/>
    <m/>
    <m/>
    <s v="GR-RB360WE-PMA(06) 1110665"/>
    <n v="5080"/>
    <n v="0.68503937007874016"/>
    <s v="Toshiba SRP"/>
    <n v="1110"/>
    <s v="11101110665"/>
  </r>
  <r>
    <n v="1840"/>
    <s v="Suning"/>
    <s v="Yoho"/>
    <x v="31"/>
    <n v="3"/>
    <x v="0"/>
    <x v="14"/>
    <s v="21L壓縮式抽濕機"/>
    <s v="大電"/>
    <s v="RAC"/>
    <s v="y200"/>
    <n v="1"/>
    <n v="1888"/>
    <n v="1888"/>
    <n v="1110713"/>
    <m/>
    <m/>
    <s v="RAD-Y200H 1110713"/>
    <n v="3280"/>
    <n v="0.57560975609756093"/>
    <s v="Toshiba SRP"/>
    <n v="1110"/>
    <s v="11101110713"/>
  </r>
  <r>
    <n v="1841"/>
    <s v="Suning"/>
    <s v="Yoho"/>
    <x v="31"/>
    <n v="3"/>
    <x v="0"/>
    <x v="21"/>
    <s v="壓縮式抽濕機 (30公升)"/>
    <s v="細電"/>
    <s v="RAC"/>
    <s v="d300"/>
    <n v="1"/>
    <n v="2280"/>
    <n v="2280"/>
    <n v="1110660"/>
    <m/>
    <m/>
    <s v="RAD-D300H 1110660"/>
    <n v="3380"/>
    <n v="0.67455621301775148"/>
    <s v="Shops Highest Price"/>
    <n v="1110"/>
    <s v="11101110660"/>
  </r>
  <r>
    <n v="1842"/>
    <s v="Suning"/>
    <s v="Yoho"/>
    <x v="32"/>
    <n v="3"/>
    <x v="5"/>
    <x v="21"/>
    <s v="壓縮式抽濕機 (30公升)"/>
    <s v="細電"/>
    <s v="RAC"/>
    <s v="d300"/>
    <n v="1"/>
    <n v="1980"/>
    <n v="1980"/>
    <n v="1110725"/>
    <m/>
    <m/>
    <s v="RAD-D300H 1110725"/>
    <n v="3380"/>
    <n v="0.58579881656804733"/>
    <s v="Shops Highest Price"/>
    <n v="1110"/>
    <s v="11101110725"/>
  </r>
  <r>
    <n v="1843"/>
    <s v="Suning"/>
    <s v="Yoho"/>
    <x v="32"/>
    <n v="3"/>
    <x v="5"/>
    <x v="21"/>
    <s v="壓縮式抽濕機 (30公升)"/>
    <s v="細電"/>
    <s v="RAC"/>
    <s v="d300"/>
    <n v="1"/>
    <n v="1980"/>
    <n v="1980"/>
    <n v="1110722"/>
    <m/>
    <m/>
    <s v="RAD-D300H 1110722"/>
    <n v="3380"/>
    <n v="0.58579881656804733"/>
    <s v="Shops Highest Price"/>
    <n v="1110"/>
    <s v="11101110722"/>
  </r>
  <r>
    <n v="1844"/>
    <s v="Suning"/>
    <s v="Yoho"/>
    <x v="32"/>
    <n v="3"/>
    <x v="5"/>
    <x v="36"/>
    <s v="輕觸式微波爐 (20公升)"/>
    <s v="細電"/>
    <s v="MCA"/>
    <s v="em20"/>
    <n v="1"/>
    <n v="568"/>
    <n v="568"/>
    <n v="1110734"/>
    <m/>
    <m/>
    <s v="MM2-EM20PC(WH) 1110734"/>
    <n v="788"/>
    <n v="0.7208121827411168"/>
    <s v="Toshiba SRP"/>
    <n v="1110"/>
    <s v="11101110734"/>
  </r>
  <r>
    <n v="1845"/>
    <s v="Suning"/>
    <s v="Yoho"/>
    <x v="32"/>
    <n v="3"/>
    <x v="5"/>
    <x v="17"/>
    <s v="4毫米厚釜電飯煲1L"/>
    <s v="細電"/>
    <s v="SDA"/>
    <s v="10nmf"/>
    <n v="1"/>
    <n v="708"/>
    <n v="708"/>
    <n v="1110754"/>
    <m/>
    <m/>
    <s v="RC-10NMFIH(WT) 1110754"/>
    <n v="898"/>
    <n v="0.7884187082405345"/>
    <s v="Toshiba SRP"/>
    <n v="1110"/>
    <s v="11101110754"/>
  </r>
  <r>
    <n v="1846"/>
    <s v="Suning"/>
    <s v="Yoho"/>
    <x v="32"/>
    <n v="3"/>
    <x v="5"/>
    <x v="39"/>
    <s v="酵活炊電飯煲(1.0公升)"/>
    <s v="細電"/>
    <s v="SDA"/>
    <s v="10amx"/>
    <n v="1"/>
    <n v="880"/>
    <n v="880"/>
    <n v="1110751"/>
    <m/>
    <m/>
    <s v="RC-10AMXH(W) 1110751"/>
    <n v="1288"/>
    <n v="0.68322981366459623"/>
    <s v="Toshiba SRP"/>
    <n v="1110"/>
    <s v="11101110751"/>
  </r>
  <r>
    <n v="1847"/>
    <s v="Suning"/>
    <s v="Yoho"/>
    <x v="32"/>
    <n v="3"/>
    <x v="5"/>
    <x v="36"/>
    <s v="輕觸式微波爐 (20公升)"/>
    <s v="細電"/>
    <s v="MCA"/>
    <s v="em20"/>
    <n v="1"/>
    <n v="598"/>
    <n v="598"/>
    <n v="1110743"/>
    <m/>
    <m/>
    <s v="MM2-EM20PC(WH) 1110743"/>
    <n v="788"/>
    <n v="0.75888324873096447"/>
    <s v="Toshiba SRP"/>
    <n v="1110"/>
    <s v="11101110743"/>
  </r>
  <r>
    <n v="1848"/>
    <s v="Suning"/>
    <s v="Yoho"/>
    <x v="32"/>
    <n v="3"/>
    <x v="6"/>
    <x v="40"/>
    <s v="400MM超薄身前置式變頻洗衣機(7公斤)"/>
    <s v="大電"/>
    <s v="LAD"/>
    <s v="bu80"/>
    <n v="1"/>
    <n v="2880"/>
    <n v="2880"/>
    <n v="1110766"/>
    <m/>
    <m/>
    <s v="TW-T21BU80UWH(MG) 1110766"/>
    <n v="5180"/>
    <n v="0.55598455598455598"/>
    <s v="Toshiba SRP"/>
    <n v="1110"/>
    <s v="11101110766"/>
  </r>
  <r>
    <n v="1849"/>
    <s v="Suning"/>
    <s v="Yoho"/>
    <x v="32"/>
    <n v="3"/>
    <x v="6"/>
    <x v="28"/>
    <s v="無線雙層電熱水壺-附可鎖壺蓋(0.8公升)"/>
    <s v="細電"/>
    <s v="SDA"/>
    <s v="08dh"/>
    <n v="1"/>
    <n v="268"/>
    <n v="268"/>
    <n v="1110763"/>
    <m/>
    <m/>
    <s v="KT-08DH1VHK(W) 1110763"/>
    <n v="428"/>
    <n v="0.62616822429906538"/>
    <s v="Toshiba SRP"/>
    <n v="1110"/>
    <s v="11101110763"/>
  </r>
  <r>
    <n v="1850"/>
    <s v="Suning"/>
    <s v="Yoho"/>
    <x v="31"/>
    <n v="3"/>
    <x v="7"/>
    <x v="21"/>
    <s v="壓縮式抽濕機 (30公升)"/>
    <s v="細電"/>
    <s v="RAC"/>
    <s v="d300"/>
    <n v="1"/>
    <n v="2032"/>
    <n v="2032"/>
    <n v="1110788"/>
    <m/>
    <m/>
    <s v="RAD-D300H 1110788"/>
    <n v="3380"/>
    <n v="0.60118343195266277"/>
    <s v="Shops Highest Price"/>
    <n v="1110"/>
    <s v="11101110788"/>
  </r>
  <r>
    <n v="1851"/>
    <s v="Suning"/>
    <s v="Yoho"/>
    <x v="31"/>
    <n v="3"/>
    <x v="7"/>
    <x v="21"/>
    <s v="壓縮式抽濕機 (30公升)"/>
    <s v="細電"/>
    <s v="RAC"/>
    <s v="d300"/>
    <n v="1"/>
    <n v="1980"/>
    <n v="1980"/>
    <n v="1110824"/>
    <m/>
    <m/>
    <s v="RAD-D300H 1110824"/>
    <n v="3380"/>
    <n v="0.58579881656804733"/>
    <s v="Shops Highest Price"/>
    <n v="1110"/>
    <s v="11101110824"/>
  </r>
  <r>
    <n v="1852"/>
    <s v="Suning"/>
    <s v="Yoho"/>
    <x v="32"/>
    <n v="3"/>
    <x v="13"/>
    <x v="71"/>
    <s v="輕觸式平板燒烤微波爐 (26公升)"/>
    <s v="細電"/>
    <s v="MCA"/>
    <s v="eg26"/>
    <n v="1"/>
    <n v="930"/>
    <n v="930"/>
    <n v="1110867"/>
    <m/>
    <m/>
    <s v="MV2-EG26PEI(BK) 1110867"/>
    <n v="1180"/>
    <n v="0.78813559322033899"/>
    <s v="Toshiba SRP"/>
    <n v="1110"/>
    <s v="11101110867"/>
  </r>
  <r>
    <n v="1853"/>
    <s v="Suning"/>
    <s v="Yoho"/>
    <x v="32"/>
    <n v="3"/>
    <x v="13"/>
    <x v="39"/>
    <s v="酵活炊電飯煲(1.0公升)"/>
    <s v="細電"/>
    <s v="SDA"/>
    <s v="10amx"/>
    <n v="1"/>
    <n v="880"/>
    <n v="880"/>
    <n v="1110863"/>
    <m/>
    <m/>
    <s v="RC-10AMXH(W) 1110863"/>
    <n v="1288"/>
    <n v="0.68322981366459623"/>
    <s v="Toshiba SRP"/>
    <n v="1110"/>
    <s v="11101110863"/>
  </r>
  <r>
    <n v="1854"/>
    <s v="Suning"/>
    <s v="Yoho"/>
    <x v="32"/>
    <n v="3"/>
    <x v="13"/>
    <x v="26"/>
    <s v="變頻頂揭式洗衣機 (7.5公斤)"/>
    <s v="大電"/>
    <s v="LAD"/>
    <s v="cfk01w75"/>
    <n v="1"/>
    <n v="3298"/>
    <n v="3298"/>
    <n v="1110845"/>
    <m/>
    <m/>
    <s v="CFK01W75 1110845"/>
    <n v="3888"/>
    <n v="0.84825102880658432"/>
    <s v="Shops Highest Price"/>
    <n v="1110"/>
    <s v="11101110845"/>
  </r>
  <r>
    <n v="1855"/>
    <s v="Suning"/>
    <s v="Yoho"/>
    <x v="31"/>
    <n v="3"/>
    <x v="8"/>
    <x v="76"/>
    <s v="日式洗衣機 (7公斤 結合高低水位)"/>
    <s v="大電"/>
    <s v="LAD"/>
    <s v="q801"/>
    <n v="1"/>
    <n v="1980"/>
    <n v="1980"/>
    <n v="1110909"/>
    <m/>
    <m/>
    <s v="AW-Q801APH(WW) 1110909"/>
    <n v="3380"/>
    <n v="0.58579881656804733"/>
    <s v="Toshiba SRP"/>
    <n v="1110"/>
    <s v="11101110909"/>
  </r>
  <r>
    <n v="1856"/>
    <s v="Suning"/>
    <s v="Yoho"/>
    <x v="31"/>
    <n v="3"/>
    <x v="8"/>
    <x v="37"/>
    <s v="電熱水瓶 (5公升)"/>
    <s v="細電"/>
    <s v="SDA"/>
    <s v="50dr"/>
    <n v="1"/>
    <n v="598"/>
    <n v="598"/>
    <n v="1110910"/>
    <m/>
    <m/>
    <s v="TP-50DRUHK(W) 1110910"/>
    <n v="718"/>
    <n v="0.83286908077994426"/>
    <s v="Toshiba SRP"/>
    <n v="1110"/>
    <s v="11101110910"/>
  </r>
  <r>
    <n v="1857"/>
    <s v="Suning"/>
    <s v="Yoho"/>
    <x v="32"/>
    <n v="3"/>
    <x v="1"/>
    <x v="39"/>
    <s v="酵活炊電飯煲(1.0公升)"/>
    <s v="細電"/>
    <s v="SDA"/>
    <s v="10amx"/>
    <n v="1"/>
    <n v="880"/>
    <n v="880"/>
    <n v="1110920"/>
    <m/>
    <m/>
    <s v="RC-10AMXH(W) 1110920"/>
    <n v="1288"/>
    <n v="0.68322981366459623"/>
    <s v="Toshiba SRP"/>
    <n v="1110"/>
    <s v="11101110920"/>
  </r>
  <r>
    <n v="1858"/>
    <s v="Suning"/>
    <s v="Yoho"/>
    <x v="32"/>
    <n v="3"/>
    <x v="1"/>
    <x v="48"/>
    <s v="3合1 微波蒸焗爐 (20公升)"/>
    <s v="細電"/>
    <s v="MCA"/>
    <s v="tt20"/>
    <n v="1"/>
    <n v="2440"/>
    <n v="2440"/>
    <n v="1110932"/>
    <m/>
    <m/>
    <s v="MX2-TT20SC(WH) 1110932"/>
    <n v="3580"/>
    <n v="0.68156424581005581"/>
    <s v="Toshiba SRP"/>
    <n v="1110"/>
    <s v="11101110932"/>
  </r>
  <r>
    <n v="1859"/>
    <s v="Suning"/>
    <s v="Yoho"/>
    <x v="32"/>
    <n v="3"/>
    <x v="1"/>
    <x v="24"/>
    <s v="微型電腦珍珠飯煲"/>
    <s v="細電"/>
    <s v="SDA"/>
    <s v="5sli"/>
    <n v="1"/>
    <n v="538"/>
    <n v="538"/>
    <n v="1110964"/>
    <m/>
    <m/>
    <s v="RC-5SLIH(W) 1110964"/>
    <n v="658"/>
    <n v="0.81762917933130697"/>
    <s v="Toshiba SRP"/>
    <n v="1110"/>
    <s v="11101110964"/>
  </r>
  <r>
    <n v="1860"/>
    <s v="Suning"/>
    <s v="Yoho"/>
    <x v="32"/>
    <n v="3"/>
    <x v="1"/>
    <x v="24"/>
    <s v="微型電腦珍珠飯煲"/>
    <s v="細電"/>
    <s v="SDA"/>
    <s v="5sli"/>
    <n v="1"/>
    <n v="538"/>
    <n v="538"/>
    <n v="1110946"/>
    <m/>
    <m/>
    <s v="RC-5SLIH(W) 1110946"/>
    <n v="658"/>
    <n v="0.81762917933130697"/>
    <s v="Toshiba SRP"/>
    <n v="1110"/>
    <s v="11101110946"/>
  </r>
  <r>
    <n v="1861"/>
    <s v="Suning"/>
    <s v="Yoho"/>
    <x v="32"/>
    <n v="3"/>
    <x v="1"/>
    <x v="43"/>
    <s v="470MM超薄身前置式變頻洗衣機(8.5公斤, 可飛頂)"/>
    <s v="大電"/>
    <s v="LAD"/>
    <s v="t2295"/>
    <n v="1"/>
    <n v="4989"/>
    <n v="4989"/>
    <n v="1110927"/>
    <m/>
    <m/>
    <s v="TW-T22BU95UWH(WK)-B 1110927"/>
    <n v="5880"/>
    <n v="0.84846938775510206"/>
    <s v="Toshiba SRP"/>
    <n v="1110"/>
    <s v="11101110927"/>
  </r>
  <r>
    <n v="1862"/>
    <s v="Suning"/>
    <s v="Yoho"/>
    <x v="32"/>
    <n v="3"/>
    <x v="2"/>
    <x v="90"/>
    <s v="8公斤超薄身前置式變頻洗衣機"/>
    <s v="大電"/>
    <s v="LAD"/>
    <s v="bu90"/>
    <n v="1"/>
    <n v="3080"/>
    <n v="3080"/>
    <n v="1110986"/>
    <m/>
    <m/>
    <s v="TW-T21BU90UWH(WW) 1110986"/>
    <n v="5480"/>
    <n v="0.56204379562043794"/>
    <s v="Toshiba SRP"/>
    <n v="1110"/>
    <s v="11101110986"/>
  </r>
  <r>
    <n v="1863"/>
    <s v="Suning"/>
    <s v="Yoho"/>
    <x v="32"/>
    <n v="3"/>
    <x v="2"/>
    <x v="45"/>
    <s v="備長炭本厚釜電飯煲0.7L"/>
    <s v="細電"/>
    <s v="SDA"/>
    <s v="7hmh"/>
    <n v="1"/>
    <n v="780"/>
    <n v="780"/>
    <n v="1110969"/>
    <m/>
    <m/>
    <s v="RC-7HMH 1110969"/>
    <n v="1288"/>
    <n v="0.60559006211180122"/>
    <s v="Toshiba SRP"/>
    <n v="1110"/>
    <s v="11101110969"/>
  </r>
  <r>
    <n v="1864"/>
    <s v="Suning"/>
    <s v="Yoho"/>
    <x v="32"/>
    <n v="3"/>
    <x v="2"/>
    <x v="4"/>
    <s v="RO座檯式飲水機"/>
    <s v="細電"/>
    <s v="KWH"/>
    <s v="tsr76"/>
    <n v="1"/>
    <n v="1770"/>
    <n v="1770"/>
    <n v="1110990"/>
    <m/>
    <m/>
    <s v="TWP-TSR76THK(W) 1110990"/>
    <n v="2680"/>
    <n v="0.66044776119402981"/>
    <s v="Toshiba SRP"/>
    <n v="1110"/>
    <s v="11101110990"/>
  </r>
  <r>
    <n v="1865"/>
    <s v="Suning"/>
    <s v="Yoho"/>
    <x v="32"/>
    <n v="3"/>
    <x v="2"/>
    <x v="128"/>
    <s v="蒸氣焗爐30L"/>
    <s v="細電"/>
    <s v="MCA"/>
    <s v="tr30"/>
    <n v="1"/>
    <n v="2109"/>
    <n v="2109"/>
    <n v="1110981"/>
    <s v="陳列品"/>
    <m/>
    <s v="MS5-TR30SC(BK) 1110981"/>
    <n v="5998"/>
    <n v="0.35161720573524508"/>
    <s v="Toshiba SRP"/>
    <n v="1110"/>
    <s v="11101110981"/>
  </r>
  <r>
    <n v="1866"/>
    <s v="Suning"/>
    <s v="Yoho"/>
    <x v="32"/>
    <n v="3"/>
    <x v="2"/>
    <x v="103"/>
    <s v="變頻下置式雙門雪櫃"/>
    <s v="大電"/>
    <s v="REF"/>
    <s v="rb449"/>
    <n v="1"/>
    <n v="4298"/>
    <n v="4298"/>
    <n v="1110980"/>
    <m/>
    <m/>
    <s v="GR-RB449WE-PMA(57) 1110980"/>
    <n v="6280"/>
    <n v="0.68439490445859874"/>
    <s v="Toshiba SRP"/>
    <n v="1110"/>
    <s v="11101110980"/>
  </r>
  <r>
    <n v="1867"/>
    <s v="Suning"/>
    <s v="Yoho"/>
    <x v="32"/>
    <n v="3"/>
    <x v="2"/>
    <x v="21"/>
    <s v="壓縮式抽濕機 (30公升)"/>
    <s v="細電"/>
    <s v="RAC"/>
    <s v="d300"/>
    <n v="1"/>
    <n v="1980"/>
    <n v="1980"/>
    <n v="1111001"/>
    <m/>
    <m/>
    <s v="RAD-D300H 1111001"/>
    <n v="3380"/>
    <n v="0.58579881656804733"/>
    <s v="Shops Highest Price"/>
    <n v="1111"/>
    <s v="11111111001"/>
  </r>
  <r>
    <n v="1868"/>
    <s v="Suning"/>
    <s v="Yoho"/>
    <x v="32"/>
    <n v="3"/>
    <x v="2"/>
    <x v="21"/>
    <s v="壓縮式抽濕機 (30公升)"/>
    <s v="細電"/>
    <s v="RAC"/>
    <s v="d300"/>
    <n v="1"/>
    <n v="2000"/>
    <n v="2000"/>
    <n v="1110997"/>
    <m/>
    <m/>
    <s v="RAD-D300H 1110997"/>
    <n v="3380"/>
    <n v="0.59171597633136097"/>
    <s v="Shops Highest Price"/>
    <n v="1110"/>
    <s v="11101110997"/>
  </r>
  <r>
    <n v="1869"/>
    <s v="Suning"/>
    <s v="Yoho"/>
    <x v="32"/>
    <n v="3"/>
    <x v="9"/>
    <x v="21"/>
    <s v="壓縮式抽濕機 (30公升)"/>
    <s v="細電"/>
    <s v="RAC"/>
    <s v="d300"/>
    <n v="1"/>
    <n v="1980"/>
    <n v="1980"/>
    <n v="1111030"/>
    <m/>
    <m/>
    <s v="RAD-D300H 1111030"/>
    <n v="3380"/>
    <n v="0.58579881656804733"/>
    <s v="Shops Highest Price"/>
    <n v="1110"/>
    <s v="11101111030"/>
  </r>
  <r>
    <n v="1870"/>
    <s v="Suning"/>
    <s v="Yoho"/>
    <x v="32"/>
    <n v="3"/>
    <x v="9"/>
    <x v="26"/>
    <s v="變頻頂揭式洗衣機 (7.5公斤)"/>
    <s v="大電"/>
    <s v="LAD"/>
    <s v="cfk01w75"/>
    <n v="1"/>
    <n v="3398"/>
    <n v="3398"/>
    <n v="1111015"/>
    <m/>
    <m/>
    <s v="CFK01W75 1111015"/>
    <n v="3888"/>
    <n v="0.87397119341563789"/>
    <s v="Shops Highest Price"/>
    <n v="1110"/>
    <s v="11101111015"/>
  </r>
  <r>
    <n v="1871"/>
    <s v="Suning"/>
    <s v="Yoho"/>
    <x v="32"/>
    <n v="3"/>
    <x v="9"/>
    <x v="42"/>
    <s v="變頻下置式雙門雪櫃系列270L"/>
    <s v="大電"/>
    <s v="REF"/>
    <s v="rb360"/>
    <n v="1"/>
    <n v="3480"/>
    <n v="3480"/>
    <n v="1111037"/>
    <m/>
    <m/>
    <s v="GR-RB360WE-PMA(06) 1111037"/>
    <n v="5080"/>
    <n v="0.68503937007874016"/>
    <s v="Toshiba SRP"/>
    <n v="1110"/>
    <s v="11101111037"/>
  </r>
  <r>
    <n v="1872"/>
    <s v="Suning"/>
    <s v="Yoho"/>
    <x v="32"/>
    <n v="3"/>
    <x v="9"/>
    <x v="87"/>
    <s v="變頻式環保雙門雪櫃(233L)"/>
    <s v="大電"/>
    <s v="REF"/>
    <s v="rt300"/>
    <n v="1"/>
    <n v="2680"/>
    <n v="2680"/>
    <n v="1111036"/>
    <m/>
    <m/>
    <s v="GR-RT300WE-PMA(57) 1111036"/>
    <n v="4280"/>
    <n v="0.62616822429906538"/>
    <s v="Toshiba SRP"/>
    <n v="1110"/>
    <s v="11101111036"/>
  </r>
  <r>
    <n v="1873"/>
    <s v="Suning"/>
    <s v="Yoho"/>
    <x v="32"/>
    <n v="3"/>
    <x v="10"/>
    <x v="58"/>
    <s v="IH磁應電飯煲_x000a_鑽石銅鍋"/>
    <s v="細電"/>
    <s v="SDA"/>
    <s v="dr18tw"/>
    <n v="1"/>
    <n v="2550"/>
    <n v="2550"/>
    <n v="1111068"/>
    <m/>
    <m/>
    <s v="RC-DR18T(W) 1111068"/>
    <n v="3588"/>
    <n v="0.71070234113712372"/>
    <s v="Toshiba SRP"/>
    <n v="1110"/>
    <s v="11101111068"/>
  </r>
  <r>
    <n v="1874"/>
    <s v="Suning"/>
    <s v="Yoho"/>
    <x v="32"/>
    <n v="3"/>
    <x v="10"/>
    <x v="50"/>
    <s v="輕便式電磁爐7個功能"/>
    <s v="細電"/>
    <s v="SDA"/>
    <s v="s19"/>
    <n v="1"/>
    <n v="400"/>
    <n v="400"/>
    <n v="1111044"/>
    <m/>
    <m/>
    <s v="IC-S19RH 1111044"/>
    <n v="638"/>
    <n v="0.62695924764890287"/>
    <s v="Toshiba SRP"/>
    <n v="1110"/>
    <s v="11101111044"/>
  </r>
  <r>
    <n v="1875"/>
    <s v="Suning"/>
    <s v="Yoho"/>
    <x v="32"/>
    <n v="3"/>
    <x v="10"/>
    <x v="21"/>
    <s v="壓縮式抽濕機 (30公升)"/>
    <s v="細電"/>
    <s v="RAC"/>
    <s v="d300"/>
    <n v="1"/>
    <n v="1980"/>
    <n v="1980"/>
    <n v="1111041"/>
    <m/>
    <m/>
    <s v="RAD-D300H 1111041"/>
    <n v="3380"/>
    <n v="0.58579881656804733"/>
    <s v="Shops Highest Price"/>
    <n v="1110"/>
    <s v="11101111041"/>
  </r>
  <r>
    <n v="1876"/>
    <s v="Suning"/>
    <s v="Yoho"/>
    <x v="32"/>
    <n v="3"/>
    <x v="10"/>
    <x v="26"/>
    <s v="變頻頂揭式洗衣機 (7.5公斤)"/>
    <s v="大電"/>
    <s v="LAD"/>
    <s v="cfk01w75"/>
    <n v="1"/>
    <n v="3298"/>
    <n v="3298"/>
    <n v="1111054"/>
    <m/>
    <m/>
    <s v="CFK01W75 1111054"/>
    <n v="3888"/>
    <n v="0.84825102880658432"/>
    <s v="Shops Highest Price"/>
    <n v="1110"/>
    <s v="11101111054"/>
  </r>
  <r>
    <n v="1877"/>
    <s v="Suning"/>
    <s v="Yoho"/>
    <x v="32"/>
    <n v="3"/>
    <x v="10"/>
    <x v="77"/>
    <s v="470MM超薄身前置式變頻洗衣乾衣機 (洗8.5公斤/乾6公斤, 可飛頂)"/>
    <s v="大電"/>
    <s v="LAD"/>
    <s v="twdt22"/>
    <n v="1"/>
    <n v="4580"/>
    <n v="4580"/>
    <n v="1111064"/>
    <m/>
    <m/>
    <s v="TWD-T22BU95UWH(WK)-B 1111064"/>
    <n v="7480"/>
    <n v="0.61229946524064172"/>
    <s v="Toshiba SRP"/>
    <n v="1110"/>
    <s v="11101111064"/>
  </r>
  <r>
    <n v="1878"/>
    <s v="Suning"/>
    <s v="Yoho"/>
    <x v="32"/>
    <n v="3"/>
    <x v="10"/>
    <x v="43"/>
    <s v="470MM超薄身前置式變頻洗衣機(8.5公斤, 可飛頂)"/>
    <s v="大電"/>
    <s v="LAD"/>
    <s v="t2295"/>
    <n v="1"/>
    <n v="3480"/>
    <n v="3480"/>
    <n v="1111080"/>
    <m/>
    <m/>
    <s v="TW-T22BU95UWH(WK)-B 1111080"/>
    <n v="5880"/>
    <n v="0.59183673469387754"/>
    <s v="Toshiba SRP"/>
    <n v="1110"/>
    <s v="11101111080"/>
  </r>
  <r>
    <n v="1879"/>
    <s v="Suning"/>
    <s v="Yoho"/>
    <x v="32"/>
    <n v="3"/>
    <x v="10"/>
    <x v="15"/>
    <s v="Induction Cooker"/>
    <s v="細電"/>
    <s v="SDA"/>
    <s v="21ts"/>
    <n v="1"/>
    <n v="798"/>
    <n v="798"/>
    <n v="1111050"/>
    <m/>
    <m/>
    <s v="IC-21TSHK 1111050"/>
    <n v="998"/>
    <n v="0.79959919839679361"/>
    <s v="Web SRP"/>
    <n v="1110"/>
    <s v="11101111050"/>
  </r>
  <r>
    <n v="1880"/>
    <s v="Suning"/>
    <s v="Yoho"/>
    <x v="32"/>
    <n v="3"/>
    <x v="10"/>
    <x v="48"/>
    <s v="3合1 微波蒸焗爐 (20公升)"/>
    <s v="細電"/>
    <s v="MCA"/>
    <s v="tt20"/>
    <n v="1"/>
    <n v="2440"/>
    <n v="2440"/>
    <n v="1111073"/>
    <m/>
    <m/>
    <s v="MX2-TT20SC(WH) 1111073"/>
    <n v="3580"/>
    <n v="0.68156424581005581"/>
    <s v="Toshiba SRP"/>
    <n v="1110"/>
    <s v="11101111073"/>
  </r>
  <r>
    <n v="1881"/>
    <s v="Suning"/>
    <s v="Yoho"/>
    <x v="32"/>
    <n v="3"/>
    <x v="10"/>
    <x v="21"/>
    <s v="壓縮式抽濕機 (30公升)"/>
    <s v="細電"/>
    <s v="RAC"/>
    <s v="d300"/>
    <n v="1"/>
    <n v="1980"/>
    <n v="1980"/>
    <n v="1111058"/>
    <m/>
    <m/>
    <s v="RAD-D300H 1111058"/>
    <n v="3380"/>
    <n v="0.58579881656804733"/>
    <s v="Shops Highest Price"/>
    <n v="1110"/>
    <s v="11101111058"/>
  </r>
  <r>
    <n v="1882"/>
    <s v="Suning"/>
    <s v="Yoho"/>
    <x v="31"/>
    <n v="3"/>
    <x v="16"/>
    <x v="80"/>
    <s v="無線雙層電熱水壺(1.4公升)"/>
    <s v="細電"/>
    <s v="SDA"/>
    <s v="14dh"/>
    <n v="1"/>
    <n v="298"/>
    <n v="298"/>
    <n v="1111137"/>
    <m/>
    <m/>
    <s v="KT-14DHUHK(W) 1111137"/>
    <n v="458"/>
    <n v="0.6506550218340611"/>
    <s v="Toshiba SRP"/>
    <n v="1110"/>
    <s v="11101111137"/>
  </r>
  <r>
    <n v="1883"/>
    <s v="Suning"/>
    <s v="Yoho"/>
    <x v="31"/>
    <n v="3"/>
    <x v="16"/>
    <x v="0"/>
    <s v="超薄身前置式洗衣乾衣機 (洗8公斤 乾5公斤)"/>
    <s v="大電"/>
    <s v="WM"/>
    <s v="bn90"/>
    <n v="1"/>
    <n v="3560"/>
    <n v="3560"/>
    <n v="1111134"/>
    <m/>
    <m/>
    <s v="TWD-BN90GF4H(WK) 1111134"/>
    <n v="5980"/>
    <n v="0.59531772575250841"/>
    <s v="Toshiba SRP"/>
    <n v="1110"/>
    <s v="11101111134"/>
  </r>
  <r>
    <n v="1884"/>
    <s v="Suning"/>
    <s v="Yoho"/>
    <x v="31"/>
    <n v="3"/>
    <x v="16"/>
    <x v="21"/>
    <s v="壓縮式抽濕機 (30公升)"/>
    <s v="細電"/>
    <s v="RAC"/>
    <s v="d300"/>
    <n v="1"/>
    <n v="1980"/>
    <n v="1980"/>
    <n v="1111127"/>
    <m/>
    <m/>
    <s v="RAD-D300H 1111127"/>
    <n v="3380"/>
    <n v="0.58579881656804733"/>
    <s v="Shops Highest Price"/>
    <n v="1110"/>
    <s v="11101111127"/>
  </r>
  <r>
    <n v="1885"/>
    <s v="Suning"/>
    <s v="Yoho"/>
    <x v="31"/>
    <n v="3"/>
    <x v="16"/>
    <x v="90"/>
    <s v="8公斤超薄身前置式變頻洗衣機"/>
    <s v="大電"/>
    <s v="LAD"/>
    <s v="bu90"/>
    <n v="1"/>
    <n v="3080"/>
    <n v="3080"/>
    <n v="1111100"/>
    <m/>
    <m/>
    <s v="TW-T21BU90UWH(WW) 1111100"/>
    <n v="5480"/>
    <n v="0.56204379562043794"/>
    <s v="Toshiba SRP"/>
    <n v="1110"/>
    <s v="11101111100"/>
  </r>
  <r>
    <n v="1886"/>
    <s v="Suning"/>
    <s v="Yoho"/>
    <x v="32"/>
    <n v="3"/>
    <x v="11"/>
    <x v="4"/>
    <s v="RO座檯式飲水機"/>
    <s v="細電"/>
    <s v="KWH"/>
    <s v="tsr76"/>
    <n v="1"/>
    <n v="1800"/>
    <n v="1800"/>
    <n v="1111165"/>
    <m/>
    <m/>
    <s v="TWP-TSR76THK(W) 1111165"/>
    <n v="2680"/>
    <n v="0.67164179104477617"/>
    <s v="Toshiba SRP"/>
    <n v="1110"/>
    <s v="11101111165"/>
  </r>
  <r>
    <n v="1887"/>
    <s v="Suning"/>
    <s v="Yoho"/>
    <x v="32"/>
    <n v="3"/>
    <x v="11"/>
    <x v="30"/>
    <s v="旋鈕式燒烤微波爐20L"/>
    <s v="細電"/>
    <s v="SDA"/>
    <s v="mm20"/>
    <n v="1"/>
    <n v="532"/>
    <n v="532"/>
    <n v="1111144"/>
    <m/>
    <m/>
    <s v="MWP-MM20P(WH) 1111144"/>
    <n v="648"/>
    <n v="0.82098765432098764"/>
    <s v="Toshiba SRP"/>
    <n v="1110"/>
    <s v="11101111144"/>
  </r>
  <r>
    <n v="1888"/>
    <s v="Suning"/>
    <s v="Yoho"/>
    <x v="32"/>
    <n v="3"/>
    <x v="12"/>
    <x v="33"/>
    <s v="輕觸式燒烤微波爐"/>
    <s v="細電"/>
    <s v="MCA"/>
    <s v="eg20"/>
    <n v="1"/>
    <n v="640"/>
    <n v="640"/>
    <n v="1111186"/>
    <m/>
    <m/>
    <s v="MM2-EG20PC(WH) 1111186"/>
    <n v="918"/>
    <n v="0.69716775599128544"/>
    <s v="Shops Highest Price"/>
    <n v="1111"/>
    <s v="11111111186"/>
  </r>
  <r>
    <n v="1889"/>
    <s v="Suning"/>
    <s v="Yoho"/>
    <x v="32"/>
    <n v="3"/>
    <x v="12"/>
    <x v="18"/>
    <s v="Comfee 1匹變頻窗口式冷氣機"/>
    <s v="大電"/>
    <s v="RAC"/>
    <s v="09cr"/>
    <n v="1"/>
    <n v="3698"/>
    <n v="3698"/>
    <n v="1111171"/>
    <m/>
    <m/>
    <s v="CWF-09CRFN8-AD5 1111171"/>
    <n v="4600"/>
    <n v="0.80391304347826087"/>
    <s v="Shops Highest Price"/>
    <n v="1111"/>
    <s v="11111111171"/>
  </r>
  <r>
    <n v="1890"/>
    <s v="Suning"/>
    <s v="Yoho"/>
    <x v="32"/>
    <n v="3"/>
    <x v="12"/>
    <x v="46"/>
    <s v="電熱水瓶 (2.5公升)"/>
    <s v="細電"/>
    <s v="SDA"/>
    <s v="25dr"/>
    <n v="1"/>
    <n v="398"/>
    <n v="398"/>
    <n v="1111202"/>
    <m/>
    <m/>
    <s v="TP-25DR2UHK(W) 1111202"/>
    <n v="538"/>
    <n v="0.7397769516728625"/>
    <s v="Toshiba SRP"/>
    <n v="1111"/>
    <s v="11111111202"/>
  </r>
  <r>
    <n v="1891"/>
    <s v="Suning"/>
    <s v="Yoho"/>
    <x v="32"/>
    <n v="3"/>
    <x v="3"/>
    <x v="30"/>
    <s v="旋鈕式燒烤微波爐20L"/>
    <s v="細電"/>
    <s v="SDA"/>
    <s v="mm20"/>
    <n v="1"/>
    <n v="532"/>
    <n v="532"/>
    <n v="1111214"/>
    <m/>
    <m/>
    <s v="MWP-MM20P(WH) 1111214"/>
    <n v="648"/>
    <n v="0.82098765432098764"/>
    <s v="Toshiba SRP"/>
    <n v="1111"/>
    <s v="11111111214"/>
  </r>
  <r>
    <n v="1892"/>
    <s v="Suning"/>
    <s v="Yoho"/>
    <x v="32"/>
    <n v="3"/>
    <x v="3"/>
    <x v="24"/>
    <s v="微型電腦珍珠飯煲"/>
    <s v="細電"/>
    <s v="SDA"/>
    <s v="5sli"/>
    <n v="1"/>
    <n v="538"/>
    <n v="538"/>
    <n v="1111228"/>
    <m/>
    <m/>
    <s v="RC-5SLIH(W) 1111228"/>
    <n v="658"/>
    <n v="0.81762917933130697"/>
    <s v="Toshiba SRP"/>
    <n v="1111"/>
    <s v="11111111228"/>
  </r>
  <r>
    <n v="1893"/>
    <s v="Suning"/>
    <s v="Yoho"/>
    <x v="32"/>
    <n v="3"/>
    <x v="3"/>
    <x v="28"/>
    <s v="無線雙層電熱水壺-附可鎖壺蓋(0.8公升)"/>
    <s v="細電"/>
    <s v="SDA"/>
    <s v="08dh"/>
    <n v="1"/>
    <n v="268"/>
    <n v="268"/>
    <n v="1111241"/>
    <m/>
    <m/>
    <s v="KT-08DH1VHK(W) 1111241"/>
    <n v="428"/>
    <n v="0.62616822429906538"/>
    <s v="Toshiba SRP"/>
    <n v="1111"/>
    <s v="11111111241"/>
  </r>
  <r>
    <n v="1894"/>
    <s v="Suning"/>
    <s v="Yoho"/>
    <x v="32"/>
    <n v="3"/>
    <x v="4"/>
    <x v="75"/>
    <s v="日式洗衣機 (8公斤 結合高低水位)"/>
    <s v="大電"/>
    <s v="LAD"/>
    <s v="q901"/>
    <n v="1"/>
    <n v="2298"/>
    <n v="2298"/>
    <n v="1111303"/>
    <m/>
    <m/>
    <s v="AW-Q901BPH(WW) 1111303"/>
    <n v="3780"/>
    <n v="0.60793650793650789"/>
    <s v="Toshiba SRP"/>
    <n v="1111"/>
    <s v="11111111303"/>
  </r>
  <r>
    <n v="1895"/>
    <s v="Suning"/>
    <s v="Yoho"/>
    <x v="32"/>
    <n v="3"/>
    <x v="4"/>
    <x v="31"/>
    <s v="無線雙層電熱水壺(1.7公升)"/>
    <s v="細電"/>
    <s v="SDA"/>
    <s v="17drt"/>
    <n v="1"/>
    <n v="358"/>
    <n v="358"/>
    <n v="1111274"/>
    <m/>
    <m/>
    <s v="KT-17DRTHK(H) 1111274"/>
    <n v="498"/>
    <n v="0.71887550200803207"/>
    <s v="Toshiba SRP"/>
    <n v="1111"/>
    <s v="11111111274"/>
  </r>
  <r>
    <n v="1896"/>
    <s v="Suning"/>
    <s v="Yoho"/>
    <x v="32"/>
    <n v="3"/>
    <x v="4"/>
    <x v="45"/>
    <s v="備長炭本厚釜電飯煲0.7L"/>
    <s v="細電"/>
    <s v="SDA"/>
    <s v="7hmh"/>
    <n v="1"/>
    <n v="780"/>
    <n v="780"/>
    <n v="1111273"/>
    <m/>
    <m/>
    <s v="RC-7HMH 1111273"/>
    <n v="1288"/>
    <n v="0.60559006211180122"/>
    <s v="Toshiba SRP"/>
    <n v="1111"/>
    <s v="11111111273"/>
  </r>
  <r>
    <n v="1897"/>
    <s v="Suning"/>
    <s v="Yoho"/>
    <x v="32"/>
    <n v="3"/>
    <x v="4"/>
    <x v="26"/>
    <s v="變頻頂揭式洗衣機 (7.5公斤)"/>
    <s v="大電"/>
    <s v="LAD"/>
    <s v="cfk01w75"/>
    <n v="1"/>
    <n v="3298"/>
    <n v="3298"/>
    <n v="1111299"/>
    <m/>
    <m/>
    <s v="CFK01W75 1111299"/>
    <n v="3888"/>
    <n v="0.84825102880658432"/>
    <s v="Shops Highest Price"/>
    <n v="1111"/>
    <s v="11111111299"/>
  </r>
  <r>
    <n v="1898"/>
    <s v="Suning"/>
    <s v="Yoho"/>
    <x v="32"/>
    <n v="3"/>
    <x v="4"/>
    <x v="124"/>
    <s v="RO座檯式冷熱飲水機"/>
    <s v="細電"/>
    <s v="KWH"/>
    <n v="2265"/>
    <n v="1"/>
    <n v="2880"/>
    <n v="2880"/>
    <n v="1111268"/>
    <m/>
    <m/>
    <s v="TWP-W2265THK(W) 1111268"/>
    <n v="3480"/>
    <n v="0.82758620689655171"/>
    <s v="Shops Highest Price"/>
    <n v="1111"/>
    <s v="11111111268"/>
  </r>
  <r>
    <n v="1899"/>
    <s v="Suning"/>
    <s v="Yoho"/>
    <x v="32"/>
    <n v="3"/>
    <x v="4"/>
    <x v="92"/>
    <s v="1 匹 R32變頻窗口式冷氣機 (獨立抽濕遙控"/>
    <s v="大電"/>
    <s v="AC"/>
    <s v="09g3cvr"/>
    <n v="1"/>
    <n v="4280"/>
    <n v="4280"/>
    <n v="1111310"/>
    <m/>
    <m/>
    <s v="RAC-09G3CVRGR-HK 1111310"/>
    <n v="6980"/>
    <n v="0.61318051575931232"/>
    <s v="Toshiba SRP"/>
    <n v="1111"/>
    <s v="11111111310"/>
  </r>
  <r>
    <n v="1900"/>
    <s v="Suning"/>
    <s v="Yoho"/>
    <x v="32"/>
    <n v="3"/>
    <x v="4"/>
    <x v="21"/>
    <s v="壓縮式抽濕機 (30公升)"/>
    <s v="細電"/>
    <s v="RAC"/>
    <s v="d300"/>
    <n v="1"/>
    <n v="2280"/>
    <n v="2280"/>
    <n v="1111294"/>
    <m/>
    <m/>
    <s v="RAD-D300H 1111294"/>
    <n v="3380"/>
    <n v="0.67455621301775148"/>
    <s v="Shops Highest Price"/>
    <n v="1111"/>
    <s v="11111111294"/>
  </r>
  <r>
    <n v="1901"/>
    <s v="Suning"/>
    <s v="Yoho"/>
    <x v="32"/>
    <n v="3"/>
    <x v="4"/>
    <x v="90"/>
    <s v="8公斤超薄身前置式變頻洗衣機"/>
    <s v="大電"/>
    <s v="LAD"/>
    <s v="bu90"/>
    <n v="1"/>
    <n v="2980"/>
    <n v="2980"/>
    <n v="1111264"/>
    <m/>
    <m/>
    <s v="TW-T21BU90UWH(WW) 1111264"/>
    <n v="5480"/>
    <n v="0.54379562043795615"/>
    <s v="Toshiba SRP"/>
    <n v="1111"/>
    <s v="11111111264"/>
  </r>
  <r>
    <n v="1902"/>
    <s v="Suning"/>
    <s v="Yoho"/>
    <x v="32"/>
    <n v="3"/>
    <x v="4"/>
    <x v="42"/>
    <s v="變頻下置式雙門雪櫃系列270L"/>
    <s v="大電"/>
    <s v="REF"/>
    <s v="rb360"/>
    <n v="1"/>
    <n v="3680"/>
    <n v="3680"/>
    <n v="1111304"/>
    <m/>
    <m/>
    <s v="GR-RB360WE-PMA(06) 1111304"/>
    <n v="5080"/>
    <n v="0.72440944881889768"/>
    <s v="Toshiba SRP"/>
    <n v="1111"/>
    <s v="11111111304"/>
  </r>
  <r>
    <n v="1903"/>
    <s v="Suning"/>
    <s v="Yoho"/>
    <x v="32"/>
    <n v="3"/>
    <x v="4"/>
    <x v="21"/>
    <s v="壓縮式抽濕機 (30公升)"/>
    <s v="細電"/>
    <s v="RAC"/>
    <s v="d300"/>
    <n v="1"/>
    <n v="1980"/>
    <n v="1980"/>
    <n v="1111293"/>
    <m/>
    <m/>
    <s v="RAD-D300H 1111293"/>
    <n v="3380"/>
    <n v="0.58579881656804733"/>
    <s v="Shops Highest Price"/>
    <n v="1111"/>
    <s v="11111111293"/>
  </r>
  <r>
    <n v="1904"/>
    <s v="Suning"/>
    <s v="Yoho"/>
    <x v="32"/>
    <n v="3"/>
    <x v="4"/>
    <x v="0"/>
    <s v="超薄身前置式洗衣乾衣機 (洗8公斤 乾5公斤)"/>
    <s v="大電"/>
    <s v="WM"/>
    <s v="bn90"/>
    <n v="1"/>
    <n v="3560"/>
    <n v="3560"/>
    <n v="1111292"/>
    <m/>
    <m/>
    <s v="TWD-BN90GF4H(WK) 1111292"/>
    <n v="5980"/>
    <n v="0.59531772575250841"/>
    <s v="Toshiba SRP"/>
    <n v="1111"/>
    <s v="11111111292"/>
  </r>
  <r>
    <n v="1905"/>
    <s v="Suning"/>
    <s v="Yoho"/>
    <x v="32"/>
    <n v="3"/>
    <x v="14"/>
    <x v="76"/>
    <s v="日式洗衣機 (7公斤 結合高低水位)"/>
    <s v="大電"/>
    <s v="LAD"/>
    <s v="q801"/>
    <n v="1"/>
    <n v="1980"/>
    <n v="1980"/>
    <n v="1111320"/>
    <m/>
    <m/>
    <s v="AW-Q801APH(WW) 1111320"/>
    <n v="3380"/>
    <n v="0.58579881656804733"/>
    <s v="Toshiba SRP"/>
    <n v="1111"/>
    <s v="11111111320"/>
  </r>
  <r>
    <n v="1906"/>
    <s v="Suning"/>
    <s v="Yoho"/>
    <x v="32"/>
    <n v="3"/>
    <x v="14"/>
    <x v="43"/>
    <s v="470MM超薄身前置式變頻洗衣機(8.5公斤, 可飛頂)"/>
    <s v="大電"/>
    <s v="LAD"/>
    <s v="t2295"/>
    <n v="1"/>
    <n v="4580"/>
    <n v="4580"/>
    <n v="1111315"/>
    <m/>
    <m/>
    <s v="TW-T22BU95UWH(WK)-B 1111315"/>
    <n v="5880"/>
    <n v="0.77891156462585032"/>
    <s v="Toshiba SRP"/>
    <n v="1111"/>
    <s v="11111111315"/>
  </r>
  <r>
    <n v="1907"/>
    <s v="Suning"/>
    <s v="Yoho"/>
    <x v="32"/>
    <n v="3"/>
    <x v="15"/>
    <x v="73"/>
    <s v="Comfee 3/4匹變頻窗口式冷氣機"/>
    <s v="大電"/>
    <s v="RAC"/>
    <s v="07cr"/>
    <n v="1"/>
    <n v="2650"/>
    <n v="2650"/>
    <n v="1111377"/>
    <m/>
    <m/>
    <s v="CWF-07CRFN8-AD5 1111377"/>
    <n v="3800"/>
    <n v="0.69736842105263153"/>
    <s v="Shops Highest Price"/>
    <n v="1111"/>
    <s v="11111111377"/>
  </r>
  <r>
    <n v="1908"/>
    <s v="Suning"/>
    <s v="Yoho"/>
    <x v="32"/>
    <n v="3"/>
    <x v="15"/>
    <x v="4"/>
    <s v="RO座檯式飲水機"/>
    <s v="細電"/>
    <s v="KWH"/>
    <s v="tsr76"/>
    <n v="1"/>
    <n v="1800"/>
    <n v="1800"/>
    <n v="1111385"/>
    <m/>
    <m/>
    <s v="TWP-TSR76THK(W) 1111385"/>
    <n v="2680"/>
    <n v="0.67164179104477617"/>
    <s v="Toshiba SRP"/>
    <n v="1111"/>
    <s v="11111111385"/>
  </r>
  <r>
    <n v="1909"/>
    <s v="Suning"/>
    <s v="Yoho"/>
    <x v="31"/>
    <n v="3"/>
    <x v="17"/>
    <x v="25"/>
    <s v="超輕巧2合1無線吸塵機"/>
    <s v="細電"/>
    <s v="MCA"/>
    <s v="cls1b"/>
    <n v="1"/>
    <n v="1088"/>
    <n v="1088"/>
    <n v="1111419"/>
    <m/>
    <m/>
    <s v="VC-CLS1BF(R) 1111419"/>
    <n v="1888"/>
    <n v="0.57627118644067798"/>
    <s v="Toshiba SRP"/>
    <n v="1111"/>
    <s v="11111111419"/>
  </r>
  <r>
    <n v="1910"/>
    <s v="Suning"/>
    <s v="Yoho"/>
    <x v="31"/>
    <n v="3"/>
    <x v="17"/>
    <x v="30"/>
    <s v="旋鈕式燒烤微波爐20L"/>
    <s v="細電"/>
    <s v="SDA"/>
    <s v="mm20"/>
    <n v="1"/>
    <n v="550"/>
    <n v="550"/>
    <n v="1111461"/>
    <m/>
    <m/>
    <s v="MWP-MM20P(WH) 1111461"/>
    <n v="648"/>
    <n v="0.84876543209876543"/>
    <s v="Toshiba SRP"/>
    <n v="1111"/>
    <s v="11111111461"/>
  </r>
  <r>
    <n v="1911"/>
    <s v="Suning"/>
    <s v="Yoho"/>
    <x v="31"/>
    <n v="3"/>
    <x v="17"/>
    <x v="21"/>
    <s v="壓縮式抽濕機 (30公升)"/>
    <s v="細電"/>
    <s v="RAC"/>
    <s v="d300"/>
    <n v="1"/>
    <n v="2030"/>
    <n v="2030"/>
    <n v="1111435"/>
    <m/>
    <m/>
    <s v="RAD-D300H 1111435"/>
    <n v="3380"/>
    <n v="0.60059171597633132"/>
    <s v="Shops Highest Price"/>
    <n v="1111"/>
    <s v="11111111435"/>
  </r>
  <r>
    <n v="1912"/>
    <s v="Suning"/>
    <s v="Yoho"/>
    <x v="31"/>
    <n v="3"/>
    <x v="17"/>
    <x v="14"/>
    <s v="21L壓縮式抽濕機"/>
    <s v="大電"/>
    <s v="RAC"/>
    <s v="y200"/>
    <n v="1"/>
    <n v="1788"/>
    <n v="1788"/>
    <n v="1111433"/>
    <m/>
    <m/>
    <s v="RAD-Y200H 1111433"/>
    <n v="3280"/>
    <n v="0.54512195121951224"/>
    <s v="Toshiba SRP"/>
    <n v="1111"/>
    <s v="11111111433"/>
  </r>
  <r>
    <n v="1913"/>
    <s v="Suning"/>
    <s v="Yoho"/>
    <x v="32"/>
    <n v="3"/>
    <x v="20"/>
    <x v="73"/>
    <s v="Comfee 3/4匹變頻窗口式冷氣機"/>
    <s v="大電"/>
    <s v="RAC"/>
    <s v="07cr"/>
    <n v="1"/>
    <n v="2650"/>
    <n v="2650"/>
    <n v="1111541"/>
    <m/>
    <m/>
    <s v="CWF-07CRFN8-AD5 1111541"/>
    <n v="3800"/>
    <n v="0.69736842105263153"/>
    <s v="Shops Highest Price"/>
    <n v="1111"/>
    <s v="11111111541"/>
  </r>
  <r>
    <n v="1914"/>
    <s v="Suning"/>
    <s v="Yoho"/>
    <x v="32"/>
    <n v="3"/>
    <x v="20"/>
    <x v="76"/>
    <s v="日式洗衣機 (7公斤 結合高低水位)"/>
    <s v="大電"/>
    <s v="LAD"/>
    <s v="q801"/>
    <n v="1"/>
    <n v="1980"/>
    <n v="1980"/>
    <n v="1111591"/>
    <m/>
    <m/>
    <s v="AW-Q801APH(WW) 1111591"/>
    <n v="3380"/>
    <n v="0.58579881656804733"/>
    <s v="Toshiba SRP"/>
    <n v="1111"/>
    <s v="11111111591"/>
  </r>
  <r>
    <n v="1915"/>
    <s v="Suning"/>
    <s v="Yoho"/>
    <x v="32"/>
    <n v="3"/>
    <x v="20"/>
    <x v="37"/>
    <s v="電熱水瓶 (5公升)"/>
    <s v="細電"/>
    <s v="SDA"/>
    <s v="50dr"/>
    <n v="1"/>
    <n v="598"/>
    <n v="598"/>
    <n v="1111564"/>
    <m/>
    <m/>
    <s v="TP-50DRUHK(W) 1111564"/>
    <n v="718"/>
    <n v="0.83286908077994426"/>
    <s v="Toshiba SRP"/>
    <n v="1111"/>
    <s v="11111111564"/>
  </r>
  <r>
    <n v="1916"/>
    <s v="Suning"/>
    <s v="Yoho"/>
    <x v="32"/>
    <n v="3"/>
    <x v="21"/>
    <x v="70"/>
    <s v="12吋2合1座地座檯電風扇連遙控"/>
    <s v="細電"/>
    <s v="EAD"/>
    <s v="ya20"/>
    <n v="1"/>
    <n v="398"/>
    <n v="398"/>
    <n v="1111600"/>
    <m/>
    <m/>
    <s v="F-LYA20(W)HKG 1111600"/>
    <n v="988"/>
    <n v="0.40283400809716602"/>
    <s v="Toshiba SRP"/>
    <n v="1111"/>
    <s v="11111111600"/>
  </r>
  <r>
    <n v="1917"/>
    <s v="Suning"/>
    <s v="Yoho"/>
    <x v="32"/>
    <n v="3"/>
    <x v="21"/>
    <x v="17"/>
    <s v="4毫米厚釜電飯煲1L"/>
    <s v="細電"/>
    <s v="SDA"/>
    <s v="10nmf"/>
    <n v="1"/>
    <n v="708"/>
    <n v="708"/>
    <n v="1111622"/>
    <m/>
    <m/>
    <s v="RC-10NMFIH(WT) 1111622"/>
    <n v="898"/>
    <n v="0.7884187082405345"/>
    <s v="Toshiba SRP"/>
    <n v="1111"/>
    <s v="11111111622"/>
  </r>
  <r>
    <n v="1918"/>
    <s v="Suning"/>
    <s v="Yoho"/>
    <x v="32"/>
    <n v="3"/>
    <x v="21"/>
    <x v="43"/>
    <s v="470MM超薄身前置式變頻洗衣機(8.5公斤, 可飛頂)"/>
    <s v="大電"/>
    <s v="LAD"/>
    <s v="t2295"/>
    <n v="1"/>
    <n v="3480"/>
    <n v="3480"/>
    <n v="1111598"/>
    <m/>
    <m/>
    <s v="TW-T22BU95UWH(WK)-B 1111598"/>
    <n v="5880"/>
    <n v="0.59183673469387754"/>
    <s v="Toshiba SRP"/>
    <n v="1111"/>
    <s v="11111111598"/>
  </r>
  <r>
    <n v="1919"/>
    <s v="Suning"/>
    <s v="Yoho"/>
    <x v="32"/>
    <n v="3"/>
    <x v="21"/>
    <x v="21"/>
    <s v="壓縮式抽濕機 (30公升)"/>
    <s v="細電"/>
    <s v="RAC"/>
    <s v="d300"/>
    <n v="1"/>
    <n v="1980"/>
    <n v="1980"/>
    <n v="1111615"/>
    <m/>
    <m/>
    <s v="RAD-D300H 1111615"/>
    <n v="3380"/>
    <n v="0.58579881656804733"/>
    <s v="Shops Highest Price"/>
    <n v="1111"/>
    <s v="11111111615"/>
  </r>
  <r>
    <n v="1920"/>
    <s v="Suning"/>
    <s v="Yoho"/>
    <x v="32"/>
    <n v="3"/>
    <x v="21"/>
    <x v="39"/>
    <s v="酵活炊電飯煲(1.0公升)"/>
    <s v="細電"/>
    <s v="SDA"/>
    <s v="10amx"/>
    <n v="1"/>
    <n v="880"/>
    <n v="880"/>
    <n v="1111627"/>
    <m/>
    <m/>
    <s v="RC-10AMXH(W) 1111627"/>
    <n v="1288"/>
    <n v="0.68322981366459623"/>
    <s v="Toshiba SRP"/>
    <n v="1111"/>
    <s v="11111111627"/>
  </r>
  <r>
    <n v="1921"/>
    <s v="Suning"/>
    <s v="Yoho"/>
    <x v="32"/>
    <n v="3"/>
    <x v="21"/>
    <x v="36"/>
    <s v="輕觸式微波爐 (20公升)"/>
    <s v="細電"/>
    <s v="MCA"/>
    <s v="em20"/>
    <n v="1"/>
    <n v="598"/>
    <n v="598"/>
    <n v="1111624"/>
    <m/>
    <m/>
    <s v="MM2-EM20PC(WH) 1111624"/>
    <n v="788"/>
    <n v="0.75888324873096447"/>
    <s v="Toshiba SRP"/>
    <n v="1111"/>
    <s v="11111111624"/>
  </r>
  <r>
    <n v="1922"/>
    <s v="Suning"/>
    <s v="Yoho"/>
    <x v="32"/>
    <n v="3"/>
    <x v="21"/>
    <x v="90"/>
    <s v="8公斤超薄身前置式變頻洗衣機"/>
    <s v="大電"/>
    <s v="LAD"/>
    <s v="bu90"/>
    <n v="1"/>
    <n v="3080"/>
    <n v="3080"/>
    <n v="1111658"/>
    <m/>
    <m/>
    <s v="TW-T21BU90UWH(WW) 1111658"/>
    <n v="5480"/>
    <n v="0.56204379562043794"/>
    <s v="Toshiba SRP"/>
    <n v="1111"/>
    <s v="11111111658"/>
  </r>
  <r>
    <n v="1923"/>
    <s v="Suning"/>
    <s v="Yoho"/>
    <x v="32"/>
    <n v="3"/>
    <x v="21"/>
    <x v="24"/>
    <s v="微型電腦珍珠飯煲"/>
    <s v="細電"/>
    <s v="SDA"/>
    <s v="5sli"/>
    <n v="1"/>
    <n v="538"/>
    <n v="538"/>
    <n v="1111660"/>
    <m/>
    <m/>
    <s v="RC-5SLIH(W) 1111660"/>
    <n v="658"/>
    <n v="0.81762917933130697"/>
    <s v="Toshiba SRP"/>
    <n v="1111"/>
    <s v="11111111660"/>
  </r>
  <r>
    <n v="1924"/>
    <s v="Suning"/>
    <s v="Yoho"/>
    <x v="32"/>
    <n v="3"/>
    <x v="21"/>
    <x v="30"/>
    <s v="旋鈕式燒烤微波爐20L"/>
    <s v="細電"/>
    <s v="SDA"/>
    <s v="mm20"/>
    <n v="1"/>
    <n v="550"/>
    <n v="550"/>
    <n v="1111636"/>
    <m/>
    <m/>
    <s v="MWP-MM20P(WH) 1111636"/>
    <n v="648"/>
    <n v="0.84876543209876543"/>
    <s v="Toshiba SRP"/>
    <n v="1111"/>
    <s v="11111111636"/>
  </r>
  <r>
    <n v="1925"/>
    <s v="Suning"/>
    <s v="Yoho"/>
    <x v="32"/>
    <n v="3"/>
    <x v="21"/>
    <x v="45"/>
    <s v="備長炭本厚釜電飯煲0.7L"/>
    <s v="細電"/>
    <s v="SDA"/>
    <s v="7hmh"/>
    <n v="1"/>
    <n v="780"/>
    <n v="780"/>
    <n v="1111655"/>
    <m/>
    <m/>
    <s v="RC-7HMH 1111655"/>
    <n v="1288"/>
    <n v="0.60559006211180122"/>
    <s v="Toshiba SRP"/>
    <n v="1111"/>
    <s v="11111111655"/>
  </r>
  <r>
    <n v="1926"/>
    <s v="Suning"/>
    <s v="Yoho"/>
    <x v="32"/>
    <n v="3"/>
    <x v="21"/>
    <x v="103"/>
    <s v="變頻下置式雙門雪櫃"/>
    <s v="大電"/>
    <s v="REF"/>
    <s v="rb449"/>
    <n v="1"/>
    <n v="4198"/>
    <n v="4198"/>
    <n v="1111652"/>
    <m/>
    <m/>
    <s v="GR-RB449WE-PMA(57) 1111652"/>
    <n v="6280"/>
    <n v="0.66847133757961785"/>
    <s v="Toshiba SRP"/>
    <n v="1111"/>
    <s v="11111111652"/>
  </r>
  <r>
    <n v="1927"/>
    <s v="Suning"/>
    <s v="Yoho"/>
    <x v="32"/>
    <n v="3"/>
    <x v="21"/>
    <x v="30"/>
    <s v="旋鈕式燒烤微波爐20L"/>
    <s v="細電"/>
    <s v="SDA"/>
    <s v="mm20"/>
    <n v="1"/>
    <n v="550"/>
    <n v="550"/>
    <n v="1111633"/>
    <m/>
    <m/>
    <s v="MWP-MM20P(WH) 1111633"/>
    <n v="648"/>
    <n v="0.84876543209876543"/>
    <s v="Toshiba SRP"/>
    <n v="1111"/>
    <s v="11111111633"/>
  </r>
  <r>
    <n v="1928"/>
    <s v="Suning"/>
    <s v="Yoho"/>
    <x v="32"/>
    <n v="3"/>
    <x v="30"/>
    <x v="21"/>
    <s v="壓縮式抽濕機 (30公升)"/>
    <s v="細電"/>
    <s v="RAC"/>
    <s v="d300"/>
    <n v="1"/>
    <n v="1980"/>
    <n v="1980"/>
    <n v="1111700"/>
    <m/>
    <m/>
    <s v="RAD-D300H 1111700"/>
    <n v="3380"/>
    <n v="0.58579881656804733"/>
    <s v="Shops Highest Price"/>
    <n v="1111"/>
    <s v="11111111700"/>
  </r>
  <r>
    <n v="1929"/>
    <s v="Suning"/>
    <s v="Yoho"/>
    <x v="32"/>
    <n v="3"/>
    <x v="30"/>
    <x v="26"/>
    <s v="變頻頂揭式洗衣機 (7.5公斤)"/>
    <s v="大電"/>
    <s v="LAD"/>
    <s v="cfk01w75"/>
    <n v="1"/>
    <n v="3398"/>
    <n v="3398"/>
    <n v="1111684"/>
    <m/>
    <m/>
    <s v="CFK01W75 1111684"/>
    <n v="3888"/>
    <n v="0.87397119341563789"/>
    <s v="Shops Highest Price"/>
    <n v="1111"/>
    <s v="11111111684"/>
  </r>
  <r>
    <n v="1930"/>
    <s v="Suning"/>
    <s v="Yoho"/>
    <x v="32"/>
    <n v="3"/>
    <x v="30"/>
    <x v="26"/>
    <s v="變頻頂揭式洗衣機 (7.5公斤)"/>
    <s v="大電"/>
    <s v="LAD"/>
    <s v="cfk01w75"/>
    <n v="1"/>
    <n v="3298"/>
    <n v="3298"/>
    <n v="1111695"/>
    <m/>
    <m/>
    <s v="CFK01W75 1111695"/>
    <n v="3888"/>
    <n v="0.84825102880658432"/>
    <s v="Shops Highest Price"/>
    <n v="1111"/>
    <s v="11111111695"/>
  </r>
  <r>
    <n v="1931"/>
    <s v="Suning"/>
    <s v="Yoho"/>
    <x v="32"/>
    <n v="3"/>
    <x v="30"/>
    <x v="18"/>
    <s v="Comfee 1匹變頻窗口式冷氣機"/>
    <s v="大電"/>
    <s v="RAC"/>
    <s v="09crf"/>
    <n v="1"/>
    <n v="3540"/>
    <n v="3540"/>
    <n v="1111682"/>
    <m/>
    <m/>
    <s v="CWF-09CRFN8-AD5 1111682"/>
    <n v="4600"/>
    <n v="0.76956521739130435"/>
    <s v="Shops Highest Price"/>
    <n v="1111"/>
    <s v="11111111682"/>
  </r>
  <r>
    <n v="1932"/>
    <s v="Suning"/>
    <s v="Yoho"/>
    <x v="32"/>
    <n v="3"/>
    <x v="30"/>
    <x v="90"/>
    <s v="8公斤超薄身前置式變頻洗衣機"/>
    <s v="大電"/>
    <s v="LAD"/>
    <s v="bu90"/>
    <n v="1"/>
    <n v="3080"/>
    <n v="3080"/>
    <n v="1111692"/>
    <m/>
    <m/>
    <s v="TW-T21BU90UWH(WW) 1111692"/>
    <n v="5480"/>
    <n v="0.56204379562043794"/>
    <s v="Toshiba SRP"/>
    <n v="1111"/>
    <s v="11111111692"/>
  </r>
  <r>
    <n v="1933"/>
    <s v="Suning"/>
    <s v="Yoho"/>
    <x v="32"/>
    <n v="3"/>
    <x v="30"/>
    <x v="36"/>
    <s v="輕觸式微波爐 (20公升)"/>
    <s v="細電"/>
    <s v="MCA"/>
    <s v="em20"/>
    <n v="1"/>
    <n v="546"/>
    <n v="546"/>
    <n v="1111676"/>
    <m/>
    <m/>
    <s v="MM2-EM20PC(WH) 1111676"/>
    <n v="788"/>
    <n v="0.69289340101522845"/>
    <s v="Toshiba SRP"/>
    <n v="1111"/>
    <s v="11111111676"/>
  </r>
  <r>
    <n v="1934"/>
    <s v="Suning"/>
    <s v="Yoho"/>
    <x v="32"/>
    <n v="3"/>
    <x v="30"/>
    <x v="90"/>
    <s v="8公斤超薄身前置式變頻洗衣機"/>
    <s v="大電"/>
    <s v="LAD"/>
    <s v="bu90"/>
    <n v="1"/>
    <n v="3080"/>
    <n v="3080"/>
    <n v="1111689"/>
    <m/>
    <m/>
    <s v="TW-T21BU90UWH(WW) 1111689"/>
    <n v="5480"/>
    <n v="0.56204379562043794"/>
    <s v="Toshiba SRP"/>
    <n v="1111"/>
    <s v="11111111689"/>
  </r>
  <r>
    <n v="1935"/>
    <s v="Suning"/>
    <s v="Yoho"/>
    <x v="32"/>
    <n v="3"/>
    <x v="30"/>
    <x v="43"/>
    <s v="470MM超薄身前置式變頻洗衣機(8.5公斤, 可飛頂)"/>
    <s v="大電"/>
    <s v="LAD"/>
    <s v="t2295"/>
    <n v="1"/>
    <n v="4580"/>
    <n v="4580"/>
    <n v="1111703"/>
    <m/>
    <m/>
    <s v="TW-T22BU95UWH(WK)-B 1111703"/>
    <n v="5880"/>
    <n v="0.77891156462585032"/>
    <s v="Toshiba SRP"/>
    <n v="1111"/>
    <s v="11111111703"/>
  </r>
  <r>
    <n v="1936"/>
    <s v="Suning"/>
    <s v="Yoho"/>
    <x v="32"/>
    <n v="3"/>
    <x v="30"/>
    <x v="74"/>
    <s v="4合1氣炸微波蒸焗爐(25公升)"/>
    <s v="細電"/>
    <s v="MCA"/>
    <s v="str25"/>
    <n v="1"/>
    <n v="3280"/>
    <n v="3280"/>
    <n v="1111688"/>
    <m/>
    <m/>
    <s v="MX2-STR25SC(WH) 1111688"/>
    <n v="4998"/>
    <n v="0.65626250500200078"/>
    <s v="Toshiba SRP"/>
    <n v="1111"/>
    <s v="11111111688"/>
  </r>
  <r>
    <n v="1937"/>
    <s v="Suning"/>
    <s v="Yoho"/>
    <x v="32"/>
    <n v="3"/>
    <x v="30"/>
    <x v="48"/>
    <s v="3合1 微波蒸焗爐 (20公升)"/>
    <s v="細電"/>
    <s v="MCA"/>
    <s v="tt20"/>
    <n v="1"/>
    <n v="2388"/>
    <n v="2388"/>
    <n v="1111699"/>
    <m/>
    <m/>
    <s v="MX2-TT20SC(WH) 1111699"/>
    <n v="3580"/>
    <n v="0.66703910614525141"/>
    <s v="Toshiba SRP"/>
    <n v="1111"/>
    <s v="11111111699"/>
  </r>
  <r>
    <n v="1938"/>
    <s v="Suning"/>
    <s v="Yoho"/>
    <x v="32"/>
    <n v="3"/>
    <x v="22"/>
    <x v="54"/>
    <s v="低醣磁應電飯煲1L"/>
    <s v="細電"/>
    <s v="SDA"/>
    <s v="10irph"/>
    <n v="5"/>
    <n v="698"/>
    <n v="3490"/>
    <n v="1111727"/>
    <m/>
    <m/>
    <s v="RC-10IRPH 1111727"/>
    <n v="1388"/>
    <n v="0.50288184438040351"/>
    <s v="Toshiba SRP"/>
    <n v="1111"/>
    <s v="11111111727"/>
  </r>
  <r>
    <n v="1939"/>
    <s v="Suning"/>
    <s v="Yoho"/>
    <x v="32"/>
    <n v="3"/>
    <x v="22"/>
    <x v="41"/>
    <s v="低醣磁應電飯煲1.8L"/>
    <s v="細電"/>
    <s v="SDA"/>
    <s v="18isph"/>
    <n v="5"/>
    <n v="788"/>
    <n v="3940"/>
    <n v="1111736"/>
    <m/>
    <m/>
    <s v="RC-18ISPH 1111736"/>
    <n v="1436"/>
    <n v="0.54874651810584962"/>
    <s v="Shops Highest Price"/>
    <n v="1111"/>
    <s v="11111111736"/>
  </r>
  <r>
    <n v="1940"/>
    <s v="Suning"/>
    <s v="Yoho"/>
    <x v="32"/>
    <n v="3"/>
    <x v="22"/>
    <x v="34"/>
    <s v="智能氣炸烤焗爐(24公升)"/>
    <s v="細電"/>
    <s v="MCA"/>
    <s v="sac24"/>
    <n v="5"/>
    <n v="1052"/>
    <n v="5260"/>
    <n v="1111735"/>
    <m/>
    <m/>
    <s v="MW3-SAC24SE(BK) 1111735"/>
    <n v="1680"/>
    <n v="0.62619047619047619"/>
    <s v="Toshiba SRP"/>
    <n v="1111"/>
    <s v="11111111735"/>
  </r>
  <r>
    <n v="1941"/>
    <s v="Suning"/>
    <s v="Yoho"/>
    <x v="32"/>
    <n v="3"/>
    <x v="22"/>
    <x v="47"/>
    <s v="磁應電飯煲(1公升)"/>
    <s v="細電"/>
    <s v="SDA"/>
    <s v="10iss"/>
    <n v="1"/>
    <n v="880"/>
    <n v="880"/>
    <n v="1111708"/>
    <m/>
    <m/>
    <s v="RC-10ISSHK(W) 1111708"/>
    <n v="1188"/>
    <n v="0.7407407407407407"/>
    <s v="Shops Highest Price"/>
    <n v="1111"/>
    <s v="11111111708"/>
  </r>
  <r>
    <n v="1942"/>
    <s v="Suning"/>
    <s v="Yoho"/>
    <x v="32"/>
    <n v="3"/>
    <x v="22"/>
    <x v="93"/>
    <s v="座檯式洗碗碟機"/>
    <s v="細電"/>
    <s v="DW"/>
    <s v="05t2"/>
    <n v="1"/>
    <n v="3480"/>
    <n v="3480"/>
    <n v="1111767"/>
    <m/>
    <m/>
    <s v="DW-05T2-HK 1111767"/>
    <n v="4580"/>
    <n v="0.75982532751091703"/>
    <s v="Toshiba SRP"/>
    <n v="1111"/>
    <s v="11111111767"/>
  </r>
  <r>
    <n v="1943"/>
    <s v="Suning"/>
    <s v="Yoho"/>
    <x v="31"/>
    <n v="3"/>
    <x v="23"/>
    <x v="129"/>
    <s v="日式洗衣機 (6.5公斤 結合高低水位)"/>
    <s v="大電"/>
    <s v="LAD"/>
    <s v="q751"/>
    <n v="1"/>
    <n v="1780"/>
    <n v="1780"/>
    <n v="1111785"/>
    <m/>
    <m/>
    <s v="AW-Q751APH(WW) 1111785"/>
    <n v="2880"/>
    <n v="0.61805555555555558"/>
    <s v="Toshiba SRP"/>
    <n v="1111"/>
    <s v="11111111785"/>
  </r>
  <r>
    <n v="1944"/>
    <s v="Suning"/>
    <s v="Yoho"/>
    <x v="31"/>
    <n v="3"/>
    <x v="23"/>
    <x v="73"/>
    <s v="Comfee 3/4匹變頻窗口式冷氣機"/>
    <s v="大電"/>
    <s v="RAC"/>
    <s v="07crf"/>
    <n v="1"/>
    <n v="2650"/>
    <n v="2650"/>
    <n v="1111797"/>
    <m/>
    <m/>
    <s v="CWF-07CRFN8-AD5 1111797"/>
    <n v="3800"/>
    <n v="0.69736842105263153"/>
    <s v="Shops Highest Price"/>
    <n v="1111"/>
    <s v="11111111797"/>
  </r>
  <r>
    <n v="1945"/>
    <s v="Suning"/>
    <s v="Yoho"/>
    <x v="32"/>
    <n v="3"/>
    <x v="24"/>
    <x v="73"/>
    <s v="Comfee 3/4匹變頻窗口式冷氣機"/>
    <s v="大電"/>
    <s v="RAC"/>
    <s v="07crf"/>
    <n v="1"/>
    <n v="2650"/>
    <n v="2650"/>
    <n v="1111803"/>
    <m/>
    <m/>
    <s v="CWF-07CRFN8-AD5 1111803"/>
    <n v="3800"/>
    <n v="0.69736842105263153"/>
    <s v="Shops Highest Price"/>
    <n v="1111"/>
    <s v="11111111803"/>
  </r>
  <r>
    <n v="1946"/>
    <s v="Suning"/>
    <s v="Yoho"/>
    <x v="32"/>
    <n v="3"/>
    <x v="24"/>
    <x v="70"/>
    <s v="12吋2合1座地座檯電風扇連遙控"/>
    <s v="細電"/>
    <s v="EAD"/>
    <s v="ya20"/>
    <n v="1"/>
    <n v="398"/>
    <n v="398"/>
    <n v="1111810"/>
    <m/>
    <m/>
    <s v="F-LYA20(W)HKG 1111810"/>
    <n v="988"/>
    <n v="0.40283400809716602"/>
    <s v="Toshiba SRP"/>
    <n v="1111"/>
    <s v="11111111810"/>
  </r>
  <r>
    <n v="1947"/>
    <s v="Suning"/>
    <s v="Yoho"/>
    <x v="31"/>
    <n v="3"/>
    <x v="25"/>
    <x v="75"/>
    <s v="日式洗衣機 (8公斤 結合高低水位)"/>
    <s v="大電"/>
    <s v="LAD"/>
    <s v="q901"/>
    <n v="1"/>
    <n v="2210"/>
    <n v="2210"/>
    <n v="1111877"/>
    <m/>
    <m/>
    <s v="AW-Q901BPH(WW) 1111877"/>
    <n v="3780"/>
    <n v="0.58465608465608465"/>
    <s v="Toshiba SRP"/>
    <n v="1111"/>
    <s v="11111111877"/>
  </r>
  <r>
    <n v="1948"/>
    <s v="Suning"/>
    <s v="Yoho"/>
    <x v="31"/>
    <n v="3"/>
    <x v="25"/>
    <x v="90"/>
    <s v="8公斤超薄身前置式變頻洗衣機"/>
    <s v="大電"/>
    <s v="LAD"/>
    <s v="bu90"/>
    <n v="1"/>
    <n v="3080"/>
    <n v="3080"/>
    <n v="1111863"/>
    <m/>
    <m/>
    <s v="TW-T21BU90UWH(WW) 1111863"/>
    <n v="5480"/>
    <n v="0.56204379562043794"/>
    <s v="Toshiba SRP"/>
    <n v="1111"/>
    <s v="11111111863"/>
  </r>
  <r>
    <n v="1949"/>
    <s v="Suning"/>
    <s v="Yoho"/>
    <x v="31"/>
    <n v="3"/>
    <x v="25"/>
    <x v="33"/>
    <s v="輕觸式燒烤微波爐"/>
    <s v="細電"/>
    <s v="MCA"/>
    <s v="eg20"/>
    <n v="1"/>
    <n v="596"/>
    <n v="596"/>
    <n v="1111887"/>
    <m/>
    <m/>
    <s v="MM2-EG20PC(WH) 1111887"/>
    <n v="918"/>
    <n v="0.64923747276688448"/>
    <s v="Shops Highest Price"/>
    <n v="1111"/>
    <s v="11111111887"/>
  </r>
  <r>
    <n v="1950"/>
    <s v="Suning"/>
    <s v="Yoho"/>
    <x v="31"/>
    <n v="3"/>
    <x v="25"/>
    <x v="45"/>
    <s v="備長炭本厚釜電飯煲0.7L"/>
    <s v="細電"/>
    <s v="SDA"/>
    <s v="7hmh"/>
    <n v="1"/>
    <n v="780"/>
    <n v="780"/>
    <n v="1111872"/>
    <m/>
    <m/>
    <s v="RC-7HMH 1111872"/>
    <n v="1288"/>
    <n v="0.60559006211180122"/>
    <s v="Toshiba SRP"/>
    <n v="1111"/>
    <s v="11111111872"/>
  </r>
  <r>
    <n v="1951"/>
    <s v="Suning"/>
    <s v="Yoho"/>
    <x v="31"/>
    <n v="3"/>
    <x v="25"/>
    <x v="75"/>
    <s v="日式洗衣機 (8公斤 結合高低水位)"/>
    <s v="大電"/>
    <s v="LAD"/>
    <s v="q901"/>
    <n v="1"/>
    <n v="2210"/>
    <n v="2210"/>
    <n v="1111883"/>
    <m/>
    <m/>
    <s v="AW-Q901BPH(WW) 1111883"/>
    <n v="3780"/>
    <n v="0.58465608465608465"/>
    <s v="Toshiba SRP"/>
    <n v="1111"/>
    <s v="11111111883"/>
  </r>
  <r>
    <n v="1952"/>
    <s v="Suning"/>
    <s v="Yoho"/>
    <x v="31"/>
    <n v="3"/>
    <x v="26"/>
    <x v="75"/>
    <s v="日式洗衣機 (8公斤 結合高低水位)"/>
    <s v="大電"/>
    <s v="LAD"/>
    <s v="q901"/>
    <n v="1"/>
    <n v="2210"/>
    <n v="2210"/>
    <n v="1111925"/>
    <m/>
    <m/>
    <s v="AW-Q901BPH(WW) 1111925"/>
    <n v="3780"/>
    <n v="0.58465608465608465"/>
    <s v="Toshiba SRP"/>
    <n v="1111"/>
    <s v="11111111925"/>
  </r>
  <r>
    <n v="1953"/>
    <s v="Suning"/>
    <s v="Yoho"/>
    <x v="31"/>
    <n v="3"/>
    <x v="26"/>
    <x v="70"/>
    <s v="12吋2合1座地座檯電風扇連遙控"/>
    <s v="細電"/>
    <s v="EAD"/>
    <s v="ya20"/>
    <n v="1"/>
    <n v="398"/>
    <n v="398"/>
    <n v="1111916"/>
    <m/>
    <m/>
    <s v="F-LYA20(W)HKG 1111916"/>
    <n v="988"/>
    <n v="0.40283400809716602"/>
    <s v="Toshiba SRP"/>
    <n v="1111"/>
    <s v="11111111916"/>
  </r>
  <r>
    <n v="1954"/>
    <s v="Suning"/>
    <s v="Yoho"/>
    <x v="31"/>
    <n v="3"/>
    <x v="26"/>
    <x v="28"/>
    <s v="無線雙層電熱水壺-附可鎖壺蓋(0.8公升)"/>
    <s v="細電"/>
    <s v="SDA"/>
    <s v="08dh"/>
    <n v="1"/>
    <n v="248"/>
    <n v="248"/>
    <n v="1111897"/>
    <m/>
    <m/>
    <s v="KT-08DH1VHK(W) 1111897"/>
    <n v="428"/>
    <n v="0.57943925233644855"/>
    <s v="Toshiba SRP"/>
    <n v="1111"/>
    <s v="11111111897"/>
  </r>
  <r>
    <n v="1955"/>
    <s v="Suning"/>
    <s v="Yoho"/>
    <x v="31"/>
    <n v="3"/>
    <x v="26"/>
    <x v="124"/>
    <s v="RO座檯式冷熱飲水機"/>
    <s v="細電"/>
    <s v="KWH"/>
    <s v="w2265"/>
    <n v="1"/>
    <n v="2880"/>
    <n v="2880"/>
    <n v="1111930"/>
    <m/>
    <m/>
    <s v="TWP-W2265THK(W) 1111930"/>
    <n v="3480"/>
    <n v="0.82758620689655171"/>
    <s v="Shops Highest Price"/>
    <n v="1111"/>
    <s v="11111111930"/>
  </r>
  <r>
    <n v="1956"/>
    <s v="Suning"/>
    <s v="Yoho"/>
    <x v="31"/>
    <n v="3"/>
    <x v="26"/>
    <x v="103"/>
    <s v="變頻下置式雙門雪櫃"/>
    <s v="大電"/>
    <s v="REF"/>
    <s v="rb449"/>
    <n v="1"/>
    <n v="4298"/>
    <n v="4298"/>
    <n v="1111929"/>
    <m/>
    <m/>
    <s v="GR-RB449WE-PMA(57) 1111929"/>
    <n v="6280"/>
    <n v="0.68439490445859874"/>
    <s v="Toshiba SRP"/>
    <n v="1111"/>
    <s v="11111111929"/>
  </r>
  <r>
    <n v="1957"/>
    <s v="Suning"/>
    <s v="Yoho"/>
    <x v="32"/>
    <n v="3"/>
    <x v="27"/>
    <x v="45"/>
    <s v="備長炭本厚釜電飯煲0.7L"/>
    <s v="細電"/>
    <s v="SDA"/>
    <s v="7hmh"/>
    <n v="1"/>
    <n v="780"/>
    <n v="780"/>
    <n v="1111979"/>
    <m/>
    <m/>
    <s v="RC-7HMH 1111979"/>
    <n v="1288"/>
    <n v="0.60559006211180122"/>
    <s v="Toshiba SRP"/>
    <n v="1111"/>
    <s v="11111111979"/>
  </r>
  <r>
    <n v="1958"/>
    <s v="Suning"/>
    <s v="Yoho"/>
    <x v="32"/>
    <n v="3"/>
    <x v="27"/>
    <x v="119"/>
    <s v="雙門變頻式環保雪櫃231L"/>
    <s v="大電"/>
    <s v="REF"/>
    <s v="a28hsz"/>
    <n v="1"/>
    <n v="2380"/>
    <n v="2380"/>
    <n v="1111999"/>
    <m/>
    <m/>
    <s v="GR-A28HSZ(DS) 1111999"/>
    <n v="3780"/>
    <n v="0.62962962962962965"/>
    <s v="Shops Highest Price"/>
    <n v="1111"/>
    <s v="11111111999"/>
  </r>
  <r>
    <n v="1959"/>
    <s v="Suning"/>
    <s v="Yoho"/>
    <x v="32"/>
    <n v="3"/>
    <x v="27"/>
    <x v="36"/>
    <s v="輕觸式微波爐 (20公升)"/>
    <s v="細電"/>
    <s v="MCA"/>
    <s v="em20"/>
    <n v="1"/>
    <n v="568"/>
    <n v="568"/>
    <n v="1111976"/>
    <m/>
    <m/>
    <s v="MM2-EM20PC(WH) 1111976"/>
    <n v="788"/>
    <n v="0.7208121827411168"/>
    <s v="Toshiba SRP"/>
    <n v="1111"/>
    <s v="11111111976"/>
  </r>
  <r>
    <n v="1960"/>
    <s v="Suning"/>
    <s v="Yoho"/>
    <x v="32"/>
    <n v="3"/>
    <x v="27"/>
    <x v="110"/>
    <s v="變頻六門雪櫃(451L)"/>
    <s v="大電"/>
    <s v="REF"/>
    <s v="rm598"/>
    <n v="1"/>
    <n v="9554"/>
    <n v="9554"/>
    <n v="1112004"/>
    <m/>
    <m/>
    <s v="GR-RM598WE-PGA(B3) 1112004"/>
    <n v="14980"/>
    <n v="0.6377837116154873"/>
    <s v="Toshiba SRP"/>
    <n v="1111"/>
    <s v="11111112004"/>
  </r>
  <r>
    <n v="1961"/>
    <s v="Suning"/>
    <s v="Yoho"/>
    <x v="32"/>
    <n v="3"/>
    <x v="27"/>
    <x v="114"/>
    <s v="變頻三門雪櫃 (233L)"/>
    <s v="大電"/>
    <s v="REF"/>
    <s v="rm352"/>
    <n v="1"/>
    <n v="3470"/>
    <n v="3470"/>
    <n v="1112011"/>
    <m/>
    <m/>
    <s v="GR-RM352WI-PMA(53) 1112011"/>
    <n v="5580"/>
    <n v="0.62186379928315416"/>
    <s v="Toshiba SRP"/>
    <n v="1111"/>
    <s v="11111112011"/>
  </r>
  <r>
    <n v="1962"/>
    <s v="Suning"/>
    <s v="Yoho"/>
    <x v="32"/>
    <n v="3"/>
    <x v="27"/>
    <x v="119"/>
    <s v="雙門變頻式環保雪櫃231L"/>
    <s v="大電"/>
    <s v="REF"/>
    <s v="a28hsz"/>
    <n v="1"/>
    <n v="2380"/>
    <n v="2380"/>
    <n v="1111987"/>
    <m/>
    <m/>
    <s v="GR-A28HSZ(DS) 1111987"/>
    <n v="3780"/>
    <n v="0.62962962962962965"/>
    <s v="Shops Highest Price"/>
    <n v="1111"/>
    <s v="11111111987"/>
  </r>
  <r>
    <n v="1963"/>
    <s v="Suning"/>
    <s v="Yoho"/>
    <x v="32"/>
    <n v="3"/>
    <x v="27"/>
    <x v="70"/>
    <s v="12吋2合1座地座檯電風扇連遙控"/>
    <s v="細電"/>
    <s v="EAD"/>
    <s v="ya20"/>
    <n v="1"/>
    <n v="398"/>
    <n v="398"/>
    <n v="1111960"/>
    <m/>
    <m/>
    <s v="F-LYA20(W)HKG 1111960"/>
    <n v="988"/>
    <n v="0.40283400809716602"/>
    <s v="Toshiba SRP"/>
    <n v="1111"/>
    <s v="11111111960"/>
  </r>
  <r>
    <n v="1964"/>
    <s v="Suning"/>
    <s v="Yoho"/>
    <x v="32"/>
    <n v="3"/>
    <x v="28"/>
    <x v="42"/>
    <s v="變頻下置式雙門雪櫃系列270L"/>
    <s v="大電"/>
    <s v="REF"/>
    <s v="rb360"/>
    <n v="1"/>
    <n v="3680"/>
    <n v="3680"/>
    <n v="1112052"/>
    <m/>
    <m/>
    <s v="GR-RB360WE-PMA(06) 1112052"/>
    <n v="5080"/>
    <n v="0.72440944881889768"/>
    <s v="Toshiba SRP"/>
    <n v="1111"/>
    <s v="11111112052"/>
  </r>
  <r>
    <n v="1965"/>
    <s v="Suning"/>
    <s v="Yoho"/>
    <x v="32"/>
    <n v="3"/>
    <x v="28"/>
    <x v="24"/>
    <s v="微型電腦珍珠飯煲"/>
    <s v="細電"/>
    <s v="SDA"/>
    <s v="5sli"/>
    <n v="1"/>
    <n v="538"/>
    <n v="538"/>
    <n v="1112053"/>
    <m/>
    <m/>
    <s v="RC-5SLIH(W) 1112053"/>
    <n v="658"/>
    <n v="0.81762917933130697"/>
    <s v="Toshiba SRP"/>
    <n v="1111"/>
    <s v="11111112053"/>
  </r>
  <r>
    <n v="1966"/>
    <s v="Suning"/>
    <s v="Yoho"/>
    <x v="32"/>
    <n v="3"/>
    <x v="28"/>
    <x v="76"/>
    <s v="日式洗衣機 (7公斤 結合高低水位)"/>
    <s v="大電"/>
    <s v="LAD"/>
    <s v="q801"/>
    <n v="1"/>
    <n v="1880"/>
    <n v="1880"/>
    <n v="1112032"/>
    <m/>
    <m/>
    <s v="AW-Q801APH(WW) 1112032"/>
    <n v="3380"/>
    <n v="0.55621301775147924"/>
    <s v="Toshiba SRP"/>
    <n v="1111"/>
    <s v="11111112032"/>
  </r>
  <r>
    <n v="1967"/>
    <s v="Suning"/>
    <s v="Yoho"/>
    <x v="32"/>
    <n v="3"/>
    <x v="28"/>
    <x v="70"/>
    <s v="12吋2合1座地座檯電風扇連遙控"/>
    <s v="細電"/>
    <s v="EAD"/>
    <s v="ya20"/>
    <n v="1"/>
    <n v="398"/>
    <n v="398"/>
    <n v="1112059"/>
    <m/>
    <m/>
    <s v="F-LYA20(W)HKG 1112059"/>
    <n v="988"/>
    <n v="0.40283400809716602"/>
    <s v="Toshiba SRP"/>
    <n v="1111"/>
    <s v="11111112059"/>
  </r>
  <r>
    <n v="1968"/>
    <s v="Suning"/>
    <s v="Yoho"/>
    <x v="32"/>
    <n v="3"/>
    <x v="28"/>
    <x v="43"/>
    <s v="470MM超薄身前置式變頻洗衣機(8.5公斤, 可飛頂)"/>
    <s v="大電"/>
    <s v="LAD"/>
    <s v="t2295"/>
    <n v="1"/>
    <n v="4580"/>
    <n v="4580"/>
    <n v="1112046"/>
    <m/>
    <m/>
    <s v="TW-T22BU95UWH(WK)-B 1112046"/>
    <n v="5880"/>
    <n v="0.77891156462585032"/>
    <s v="Toshiba SRP"/>
    <n v="1111"/>
    <s v="11111112046"/>
  </r>
  <r>
    <n v="1969"/>
    <s v="Suning"/>
    <s v="Yoho"/>
    <x v="32"/>
    <n v="3"/>
    <x v="29"/>
    <x v="36"/>
    <s v="輕觸式微波爐 (20公升)"/>
    <s v="細電"/>
    <s v="MCA"/>
    <s v="em20"/>
    <n v="1"/>
    <n v="568"/>
    <n v="568"/>
    <n v="1112078"/>
    <m/>
    <m/>
    <s v="MM2-EM20PC(WH) 1112078"/>
    <n v="788"/>
    <n v="0.7208121827411168"/>
    <s v="Toshiba SRP"/>
    <n v="1111"/>
    <s v="11111112078"/>
  </r>
  <r>
    <n v="1970"/>
    <s v="Suning"/>
    <s v="Yoho"/>
    <x v="32"/>
    <n v="3"/>
    <x v="29"/>
    <x v="90"/>
    <s v="8公斤超薄身前置式變頻洗衣機"/>
    <s v="大電"/>
    <s v="LAD"/>
    <s v="bu90"/>
    <n v="1"/>
    <n v="3080"/>
    <n v="3080"/>
    <n v="1112088"/>
    <m/>
    <m/>
    <s v="TW-T21BU90UWH(WW) 1112088"/>
    <n v="5480"/>
    <n v="0.56204379562043794"/>
    <s v="Toshiba SRP"/>
    <n v="1111"/>
    <s v="11111112088"/>
  </r>
  <r>
    <n v="1971"/>
    <s v="Suning"/>
    <s v="Yoho"/>
    <x v="32"/>
    <n v="3"/>
    <x v="29"/>
    <x v="90"/>
    <s v="8公斤超薄身前置式變頻洗衣機"/>
    <s v="大電"/>
    <s v="LAD"/>
    <s v="bu90"/>
    <n v="1"/>
    <n v="2980"/>
    <n v="2980"/>
    <n v="1112074"/>
    <m/>
    <m/>
    <s v="TW-T21BU90UWH(WW) 1112074"/>
    <n v="5480"/>
    <n v="0.54379562043795615"/>
    <s v="Toshiba SRP"/>
    <n v="1111"/>
    <s v="11111112074"/>
  </r>
  <r>
    <n v="1972"/>
    <s v="Suning"/>
    <s v="Yoho"/>
    <x v="32"/>
    <n v="3"/>
    <x v="29"/>
    <x v="36"/>
    <s v="輕觸式微波爐 (20公升)"/>
    <s v="細電"/>
    <s v="MCA"/>
    <s v="em20"/>
    <n v="1"/>
    <n v="546"/>
    <n v="546"/>
    <n v="1112073"/>
    <m/>
    <m/>
    <s v="MM2-EM20PC(WH) 1112073"/>
    <n v="788"/>
    <n v="0.69289340101522845"/>
    <s v="Toshiba SRP"/>
    <n v="1111"/>
    <s v="11111112073"/>
  </r>
  <r>
    <n v="1973"/>
    <s v="Fortress"/>
    <s v="good hope"/>
    <x v="33"/>
    <n v="3"/>
    <x v="0"/>
    <x v="17"/>
    <s v="4毫米厚釜電飯煲1L"/>
    <s v="細電"/>
    <s v="SDA"/>
    <s v="10nmf"/>
    <n v="2"/>
    <n v="719"/>
    <n v="1438"/>
    <n v="519084"/>
    <m/>
    <m/>
    <s v="RC-10NMFIH(WT) 519084"/>
    <n v="898"/>
    <n v="0.80066815144766146"/>
    <s v="Toshiba SRP"/>
    <n v="1111"/>
    <s v="1111519084"/>
  </r>
  <r>
    <n v="1974"/>
    <s v="Fortress"/>
    <s v="good hope"/>
    <x v="33"/>
    <n v="3"/>
    <x v="0"/>
    <x v="17"/>
    <s v="4毫米厚釜電飯煲1L"/>
    <s v="細電"/>
    <s v="SDA"/>
    <s v="10nmf"/>
    <n v="1"/>
    <n v="719"/>
    <n v="719"/>
    <n v="519102"/>
    <m/>
    <m/>
    <s v="RC-10NMFIH(WT) 519102"/>
    <n v="898"/>
    <n v="0.80066815144766146"/>
    <s v="Toshiba SRP"/>
    <n v="1111"/>
    <s v="1111519102"/>
  </r>
  <r>
    <n v="1975"/>
    <s v="Fortress"/>
    <s v="good hope"/>
    <x v="33"/>
    <n v="3"/>
    <x v="0"/>
    <x v="27"/>
    <s v="4毫米厚釜電飯煲1.8L"/>
    <s v="細電"/>
    <s v="SDA"/>
    <s v="18nmf"/>
    <n v="1"/>
    <n v="799"/>
    <n v="799"/>
    <n v="519086"/>
    <m/>
    <m/>
    <s v="RC-18NMFIH(WT) 519086"/>
    <n v="998"/>
    <n v="0.80060120240480959"/>
    <s v="Toshiba SRP"/>
    <n v="1111"/>
    <s v="1111519086"/>
  </r>
  <r>
    <n v="1976"/>
    <s v="Fortress"/>
    <s v="good hope"/>
    <x v="33"/>
    <n v="3"/>
    <x v="0"/>
    <x v="39"/>
    <s v="酵活炊電飯煲(1.0公升)"/>
    <s v="細電"/>
    <s v="SDA"/>
    <s v="10amx"/>
    <n v="1"/>
    <n v="990"/>
    <n v="990"/>
    <n v="519081"/>
    <m/>
    <m/>
    <s v="RC-10AMXH(W) 519081"/>
    <n v="1288"/>
    <n v="0.76863354037267084"/>
    <s v="Toshiba SRP"/>
    <n v="1111"/>
    <s v="1111519081"/>
  </r>
  <r>
    <n v="1977"/>
    <s v="Fortress"/>
    <s v="good hope"/>
    <x v="33"/>
    <n v="3"/>
    <x v="0"/>
    <x v="36"/>
    <s v="輕觸式微波爐 (20公升)"/>
    <s v="細電"/>
    <s v="MCA"/>
    <s v="em20"/>
    <n v="1"/>
    <n v="598"/>
    <n v="598"/>
    <n v="519083"/>
    <m/>
    <m/>
    <s v="MM2-EM20PC(WH) 519083"/>
    <n v="788"/>
    <n v="0.75888324873096447"/>
    <s v="Toshiba SRP"/>
    <n v="1111"/>
    <s v="1111519083"/>
  </r>
  <r>
    <n v="1978"/>
    <s v="Fortress"/>
    <s v="good hope"/>
    <x v="33"/>
    <n v="3"/>
    <x v="0"/>
    <x v="106"/>
    <s v="燒烤微波爐21L"/>
    <s v="細電"/>
    <s v="SDA"/>
    <s v="ag21"/>
    <n v="1"/>
    <n v="798"/>
    <n v="798"/>
    <n v="519127"/>
    <m/>
    <m/>
    <s v="MV-AG21TF(BK) 519127"/>
    <n v="1098"/>
    <n v="0.72677595628415304"/>
    <s v="Toshiba SRP"/>
    <n v="1111"/>
    <s v="1111519127"/>
  </r>
  <r>
    <n v="1979"/>
    <s v="Fortress"/>
    <s v="good hope"/>
    <x v="33"/>
    <n v="3"/>
    <x v="0"/>
    <x v="44"/>
    <s v="1.7L無線雙層電熱水壺"/>
    <s v="細電"/>
    <s v="SDA"/>
    <s v="17shnh"/>
    <n v="1"/>
    <n v="198"/>
    <n v="198"/>
    <n v="519124"/>
    <m/>
    <m/>
    <s v="KT-17SHNH 519124"/>
    <n v="299"/>
    <n v="0.66220735785953178"/>
    <s v="Shops Highest Price"/>
    <n v="1111"/>
    <s v="1111519124"/>
  </r>
  <r>
    <n v="1980"/>
    <s v="Fortress"/>
    <s v="good hope"/>
    <x v="34"/>
    <n v="3"/>
    <x v="5"/>
    <x v="27"/>
    <s v="4毫米厚釜電飯煲1.8L"/>
    <s v="細電"/>
    <s v="SDA"/>
    <s v="18nmf"/>
    <n v="1"/>
    <n v="799"/>
    <n v="799"/>
    <n v="519139"/>
    <m/>
    <m/>
    <s v="RC-18NMFIH(WT) 519139"/>
    <n v="998"/>
    <n v="0.80060120240480959"/>
    <s v="Toshiba SRP"/>
    <n v="1111"/>
    <s v="1111519139"/>
  </r>
  <r>
    <n v="1981"/>
    <s v="Fortress"/>
    <s v="good hope"/>
    <x v="34"/>
    <n v="3"/>
    <x v="5"/>
    <x v="21"/>
    <s v="壓縮式抽濕機 (30公升)"/>
    <s v="細電"/>
    <s v="RAC"/>
    <s v="d300"/>
    <n v="1"/>
    <n v="2280"/>
    <n v="2280"/>
    <n v="519171"/>
    <m/>
    <m/>
    <s v="RAD-D300H 519171"/>
    <n v="3380"/>
    <n v="0.67455621301775148"/>
    <s v="Shops Highest Price"/>
    <n v="1111"/>
    <s v="1111519171"/>
  </r>
  <r>
    <n v="1982"/>
    <s v="Fortress"/>
    <s v="good hope"/>
    <x v="34"/>
    <n v="3"/>
    <x v="5"/>
    <x v="37"/>
    <s v="電熱水瓶 (5公升)"/>
    <s v="細電"/>
    <s v="SDA"/>
    <s v="50dr"/>
    <n v="1"/>
    <n v="598"/>
    <n v="598"/>
    <n v="519148"/>
    <m/>
    <m/>
    <s v="TP-50DRUHK(W) 519148"/>
    <n v="718"/>
    <n v="0.83286908077994426"/>
    <s v="Toshiba SRP"/>
    <n v="1111"/>
    <s v="1111519148"/>
  </r>
  <r>
    <n v="1983"/>
    <s v="Fortress"/>
    <s v="good hope"/>
    <x v="34"/>
    <n v="3"/>
    <x v="6"/>
    <x v="57"/>
    <s v="多功能備長炭本厚釜電飯煲1L"/>
    <s v="細電"/>
    <s v="SDA"/>
    <s v="10drnh"/>
    <n v="1"/>
    <n v="499"/>
    <n v="499"/>
    <n v="519214"/>
    <m/>
    <m/>
    <s v="RC-10DRNH 519214"/>
    <n v="798"/>
    <n v="0.62531328320802004"/>
    <s v="Toshiba SRP"/>
    <n v="1111"/>
    <s v="1111519214"/>
  </r>
  <r>
    <n v="1984"/>
    <s v="Fortress"/>
    <s v="good hope"/>
    <x v="34"/>
    <n v="3"/>
    <x v="6"/>
    <x v="47"/>
    <s v="磁應電飯煲(1公升)"/>
    <s v="細電"/>
    <s v="SDA"/>
    <s v="10iss"/>
    <n v="1"/>
    <n v="938"/>
    <n v="938"/>
    <n v="415410"/>
    <m/>
    <m/>
    <s v="RC-10ISSHK(W) 415410"/>
    <n v="1188"/>
    <n v="0.78956228956228958"/>
    <s v="Shops Highest Price"/>
    <n v="1111"/>
    <s v="1111415410"/>
  </r>
  <r>
    <n v="1985"/>
    <s v="Fortress"/>
    <s v="good hope"/>
    <x v="34"/>
    <n v="3"/>
    <x v="6"/>
    <x v="0"/>
    <s v="超薄身前置式洗衣乾衣機 (洗8公斤 乾5公斤)"/>
    <s v="大電"/>
    <s v="WM"/>
    <s v="bn90"/>
    <n v="1"/>
    <n v="3780"/>
    <n v="3780"/>
    <n v="519181"/>
    <m/>
    <m/>
    <s v="TWD-BN90GF4H(WK) 519181"/>
    <n v="5980"/>
    <n v="0.63210702341137126"/>
    <s v="Toshiba SRP"/>
    <n v="1111"/>
    <s v="1111519181"/>
  </r>
  <r>
    <n v="1986"/>
    <s v="Fortress"/>
    <s v="good hope"/>
    <x v="34"/>
    <n v="3"/>
    <x v="6"/>
    <x v="107"/>
    <s v="1.5L無線雙層電熱水壺"/>
    <s v="細電"/>
    <s v="SDA"/>
    <s v="15drr"/>
    <n v="1"/>
    <n v="298"/>
    <n v="298"/>
    <n v="519214"/>
    <m/>
    <m/>
    <s v="KT-15DRRH 519214"/>
    <n v="438"/>
    <n v="0.68036529680365299"/>
    <s v="Toshiba SRP"/>
    <n v="1111"/>
    <s v="1111519214"/>
  </r>
  <r>
    <n v="1987"/>
    <s v="Fortress"/>
    <s v="good hope"/>
    <x v="34"/>
    <n v="3"/>
    <x v="7"/>
    <x v="96"/>
    <s v="日式洗衣機 (7公斤 結合高低水位)"/>
    <s v="大電"/>
    <s v="LAD"/>
    <s v="q800"/>
    <n v="1"/>
    <n v="2088"/>
    <n v="2088"/>
    <n v="519249"/>
    <m/>
    <m/>
    <s v="AW-Q800APH(WW) 519249"/>
    <n v="3580"/>
    <n v="0.5832402234636872"/>
    <s v="Toshiba SRP"/>
    <n v="1111"/>
    <s v="1111519249"/>
  </r>
  <r>
    <n v="1988"/>
    <s v="Fortress"/>
    <s v="good hope"/>
    <x v="33"/>
    <n v="3"/>
    <x v="13"/>
    <x v="24"/>
    <s v="微型電腦珍珠飯煲"/>
    <s v="細電"/>
    <s v="SDA"/>
    <s v="5sli"/>
    <n v="1"/>
    <n v="593"/>
    <n v="593"/>
    <n v="519252"/>
    <m/>
    <m/>
    <s v="RC-5SLIH(W) 519252"/>
    <n v="658"/>
    <n v="0.90121580547112456"/>
    <s v="Toshiba SRP"/>
    <n v="1111"/>
    <s v="1111519252"/>
  </r>
  <r>
    <n v="1989"/>
    <s v="Fortress"/>
    <s v="good hope"/>
    <x v="33"/>
    <n v="3"/>
    <x v="13"/>
    <x v="51"/>
    <s v="IH磁應電飯煲"/>
    <s v="細電"/>
    <s v="SDA"/>
    <s v="dr10tw"/>
    <n v="1"/>
    <n v="2380"/>
    <n v="2380"/>
    <n v="519259"/>
    <m/>
    <m/>
    <s v="RC-DR10T(W) 519259"/>
    <n v="3188"/>
    <n v="0.74654956085319946"/>
    <s v="Toshiba SRP"/>
    <n v="1111"/>
    <s v="1111519259"/>
  </r>
  <r>
    <n v="1990"/>
    <s v="Fortress"/>
    <s v="good hope"/>
    <x v="33"/>
    <n v="3"/>
    <x v="13"/>
    <x v="118"/>
    <s v="IH磁應電飯煲"/>
    <s v="細電"/>
    <s v="SDA"/>
    <s v="dz4k"/>
    <n v="1"/>
    <n v="3280"/>
    <n v="3280"/>
    <n v="519206"/>
    <m/>
    <m/>
    <s v="RC-DZ4K(N) 519206"/>
    <n v="3888"/>
    <n v="0.84362139917695478"/>
    <s v="Shops Highest Price"/>
    <n v="1111"/>
    <s v="1111519206"/>
  </r>
  <r>
    <n v="1991"/>
    <s v="Fortress"/>
    <s v="good hope"/>
    <x v="33"/>
    <n v="3"/>
    <x v="13"/>
    <x v="118"/>
    <s v="IH磁應電飯煲"/>
    <s v="細電"/>
    <s v="SDA"/>
    <s v="dz4k"/>
    <n v="1"/>
    <n v="3280"/>
    <n v="3280"/>
    <n v="519267"/>
    <m/>
    <m/>
    <s v="RC-DZ4K(N) 519267"/>
    <n v="3888"/>
    <n v="0.84362139917695478"/>
    <s v="Shops Highest Price"/>
    <n v="1111"/>
    <s v="1111519267"/>
  </r>
  <r>
    <n v="1992"/>
    <s v="Fortress"/>
    <s v="good hope"/>
    <x v="33"/>
    <n v="3"/>
    <x v="13"/>
    <x v="36"/>
    <s v="輕觸式微波爐 (20公升)"/>
    <s v="細電"/>
    <s v="MCA"/>
    <s v="em20"/>
    <n v="1"/>
    <n v="598"/>
    <n v="598"/>
    <n v="519260"/>
    <m/>
    <m/>
    <s v="MM2-EM20PC(WH) 519260"/>
    <n v="788"/>
    <n v="0.75888324873096447"/>
    <s v="Toshiba SRP"/>
    <n v="1111"/>
    <s v="1111519260"/>
  </r>
  <r>
    <n v="1993"/>
    <s v="Fortress"/>
    <s v="good hope"/>
    <x v="33"/>
    <n v="3"/>
    <x v="13"/>
    <x v="103"/>
    <s v="變頻下置式雙門雪櫃"/>
    <s v="大電"/>
    <s v="REF"/>
    <s v="rb449"/>
    <n v="1"/>
    <n v="4880"/>
    <n v="4880"/>
    <n v="519298"/>
    <m/>
    <m/>
    <s v="GR-RB449WE-PMA(57) 519298"/>
    <n v="6280"/>
    <n v="0.77707006369426757"/>
    <s v="Toshiba SRP"/>
    <n v="1111"/>
    <s v="1111519298"/>
  </r>
  <r>
    <n v="1994"/>
    <s v="Fortress"/>
    <s v="good hope"/>
    <x v="33"/>
    <n v="3"/>
    <x v="13"/>
    <x v="21"/>
    <s v="壓縮式抽濕機 (30公升)"/>
    <s v="細電"/>
    <s v="RAC"/>
    <s v="d300"/>
    <n v="1"/>
    <n v="2280"/>
    <n v="2280"/>
    <n v="519291"/>
    <m/>
    <m/>
    <s v="RAD-D300H 519291"/>
    <n v="3380"/>
    <n v="0.67455621301775148"/>
    <s v="Shops Highest Price"/>
    <n v="1111"/>
    <s v="1111519291"/>
  </r>
  <r>
    <n v="1995"/>
    <s v="Fortress"/>
    <s v="good hope"/>
    <x v="33"/>
    <n v="3"/>
    <x v="13"/>
    <x v="52"/>
    <s v="35L多功能電焗爐"/>
    <s v="細電"/>
    <s v="SDA"/>
    <s v="mc35"/>
    <n v="1"/>
    <n v="888"/>
    <n v="888"/>
    <n v="519282"/>
    <m/>
    <m/>
    <s v="TL-MC35Z 519282"/>
    <n v="1098"/>
    <n v="0.80874316939890711"/>
    <s v="Toshiba SRP"/>
    <n v="1111"/>
    <s v="1111519282"/>
  </r>
  <r>
    <n v="1996"/>
    <s v="Fortress"/>
    <s v="good hope"/>
    <x v="33"/>
    <n v="3"/>
    <x v="13"/>
    <x v="31"/>
    <s v="無線雙層電熱水壺(1.7公升)"/>
    <s v="細電"/>
    <s v="SDA"/>
    <s v="17drt"/>
    <n v="1"/>
    <n v="388"/>
    <n v="388"/>
    <n v="519297"/>
    <m/>
    <m/>
    <s v="KT-17DRTHK(H) 519297"/>
    <n v="498"/>
    <n v="0.77911646586345384"/>
    <s v="Toshiba SRP"/>
    <n v="1111"/>
    <s v="1111519297"/>
  </r>
  <r>
    <n v="1997"/>
    <s v="Fortress"/>
    <s v="good hope"/>
    <x v="33"/>
    <n v="3"/>
    <x v="8"/>
    <x v="30"/>
    <s v="旋鈕式燒烤微波爐20L"/>
    <s v="細電"/>
    <s v="SDA"/>
    <s v="mm20"/>
    <n v="1"/>
    <n v="488"/>
    <n v="488"/>
    <n v="519330"/>
    <m/>
    <m/>
    <s v="MWP-MM20P(WH) 519330"/>
    <n v="648"/>
    <n v="0.75308641975308643"/>
    <s v="Toshiba SRP"/>
    <n v="1111"/>
    <s v="1111519330"/>
  </r>
  <r>
    <n v="1998"/>
    <s v="Fortress"/>
    <s v="good hope"/>
    <x v="33"/>
    <n v="3"/>
    <x v="8"/>
    <x v="44"/>
    <s v="1.7L無線雙層電熱水壺"/>
    <s v="細電"/>
    <s v="SDA"/>
    <s v="17shnh"/>
    <n v="1"/>
    <n v="198"/>
    <n v="198"/>
    <n v="519321"/>
    <m/>
    <m/>
    <s v="KT-17SHNH 519321"/>
    <n v="299"/>
    <n v="0.66220735785953178"/>
    <s v="Shops Highest Price"/>
    <n v="1111"/>
    <s v="1111519321"/>
  </r>
  <r>
    <n v="1999"/>
    <s v="Fortress"/>
    <s v="good hope"/>
    <x v="33"/>
    <n v="3"/>
    <x v="1"/>
    <x v="27"/>
    <s v="4毫米厚釜電飯煲1.8L"/>
    <s v="細電"/>
    <s v="SDA"/>
    <s v="18nmf"/>
    <n v="1"/>
    <n v="799"/>
    <n v="799"/>
    <n v="519336"/>
    <m/>
    <m/>
    <s v="RC-18NMFIH(WT) 519336"/>
    <n v="998"/>
    <n v="0.80060120240480959"/>
    <s v="Toshiba SRP"/>
    <n v="1111"/>
    <s v="1111519336"/>
  </r>
  <r>
    <n v="2000"/>
    <s v="Fortress"/>
    <s v="good hope"/>
    <x v="33"/>
    <n v="3"/>
    <x v="1"/>
    <x v="57"/>
    <s v="多功能備長炭本厚釜電飯煲1L"/>
    <s v="細電"/>
    <s v="SDA"/>
    <s v="10drnh"/>
    <n v="1"/>
    <n v="499"/>
    <n v="499"/>
    <n v="519339"/>
    <m/>
    <m/>
    <s v="RC-10DRNH 519339"/>
    <n v="798"/>
    <n v="0.62531328320802004"/>
    <s v="Toshiba SRP"/>
    <n v="1111"/>
    <s v="1111519339"/>
  </r>
  <r>
    <n v="2001"/>
    <s v="Fortress"/>
    <s v="good hope"/>
    <x v="33"/>
    <n v="3"/>
    <x v="1"/>
    <x v="74"/>
    <s v="4合1氣炸微波蒸焗爐(25公升)"/>
    <s v="細電"/>
    <s v="MCA"/>
    <s v="str25"/>
    <n v="1"/>
    <n v="3580"/>
    <n v="3580"/>
    <n v="519392"/>
    <m/>
    <m/>
    <s v="MX2-STR25SC(WH) 519392"/>
    <n v="4998"/>
    <n v="0.71628651460584236"/>
    <s v="Toshiba SRP"/>
    <n v="1111"/>
    <s v="1111519392"/>
  </r>
  <r>
    <n v="2002"/>
    <s v="Fortress"/>
    <s v="good hope"/>
    <x v="33"/>
    <n v="3"/>
    <x v="1"/>
    <x v="87"/>
    <s v="變頻式環保雙門雪櫃(233L)"/>
    <s v="大電"/>
    <s v="REF"/>
    <s v="rt300"/>
    <n v="1"/>
    <n v="2780"/>
    <n v="2780"/>
    <n v="519372"/>
    <m/>
    <m/>
    <s v="GR-RT300WE-PMA(57) 519372"/>
    <n v="4280"/>
    <n v="0.64953271028037385"/>
    <s v="Toshiba SRP"/>
    <n v="1111"/>
    <s v="1111519372"/>
  </r>
  <r>
    <n v="2003"/>
    <s v="Fortress"/>
    <s v="good hope"/>
    <x v="33"/>
    <n v="3"/>
    <x v="1"/>
    <x v="103"/>
    <s v="變頻下置式雙門雪櫃"/>
    <s v="大電"/>
    <s v="REF"/>
    <s v="rb449"/>
    <n v="1"/>
    <n v="4880"/>
    <n v="4880"/>
    <n v="519393"/>
    <m/>
    <m/>
    <s v="GR-RB449WE-PMA(57) 519393"/>
    <n v="6280"/>
    <n v="0.77707006369426757"/>
    <s v="Toshiba SRP"/>
    <n v="1111"/>
    <s v="1111519393"/>
  </r>
  <r>
    <n v="2004"/>
    <s v="Fortress"/>
    <s v="good hope"/>
    <x v="33"/>
    <n v="3"/>
    <x v="1"/>
    <x v="103"/>
    <s v="變頻下置式雙門雪櫃"/>
    <s v="大電"/>
    <s v="REF"/>
    <s v="rb449"/>
    <n v="1"/>
    <n v="4880"/>
    <n v="4880"/>
    <n v="519395"/>
    <m/>
    <m/>
    <s v="GR-RB449WE-PMA(57) 519395"/>
    <n v="6280"/>
    <n v="0.77707006369426757"/>
    <s v="Toshiba SRP"/>
    <n v="1111"/>
    <s v="1111519395"/>
  </r>
  <r>
    <n v="2005"/>
    <s v="Fortress"/>
    <s v="good hope"/>
    <x v="33"/>
    <n v="3"/>
    <x v="1"/>
    <x v="110"/>
    <s v="變頻六門雪櫃(451L)"/>
    <s v="大電"/>
    <s v="REF"/>
    <s v="rm598"/>
    <n v="1"/>
    <n v="10590"/>
    <n v="10590"/>
    <n v="519391"/>
    <m/>
    <m/>
    <s v="GR-RM598WE-PGA(B3) 519391"/>
    <n v="14980"/>
    <n v="0.70694259012016025"/>
    <s v="Toshiba SRP"/>
    <n v="1111"/>
    <s v="1111519391"/>
  </r>
  <r>
    <n v="2006"/>
    <s v="Fortress"/>
    <s v="good hope"/>
    <x v="33"/>
    <n v="3"/>
    <x v="1"/>
    <x v="40"/>
    <s v="400MM超薄身前置式變頻洗衣機(7公斤)"/>
    <s v="大電"/>
    <s v="LAD"/>
    <s v="bu80"/>
    <n v="1"/>
    <n v="3090"/>
    <n v="3090"/>
    <n v="519372"/>
    <m/>
    <m/>
    <s v="TW-T21BU80UWH(MG) 519372"/>
    <n v="5180"/>
    <n v="0.59652509652509655"/>
    <s v="Toshiba SRP"/>
    <n v="1111"/>
    <s v="1111519372"/>
  </r>
  <r>
    <n v="2007"/>
    <s v="Fortress"/>
    <s v="good hope"/>
    <x v="33"/>
    <n v="3"/>
    <x v="2"/>
    <x v="17"/>
    <s v="4毫米厚釜電飯煲1L"/>
    <s v="細電"/>
    <s v="SDA"/>
    <s v="10nmf"/>
    <n v="1"/>
    <n v="719"/>
    <n v="719"/>
    <n v="519419"/>
    <m/>
    <m/>
    <s v="RC-10NMFIH(WT) 519419"/>
    <n v="898"/>
    <n v="0.80066815144766146"/>
    <s v="Toshiba SRP"/>
    <n v="1111"/>
    <s v="1111519419"/>
  </r>
  <r>
    <n v="2008"/>
    <s v="Fortress"/>
    <s v="good hope"/>
    <x v="33"/>
    <n v="3"/>
    <x v="2"/>
    <x v="69"/>
    <s v="多功能備長炭本厚釜電飯煲1.8L"/>
    <s v="細電"/>
    <s v="SDA"/>
    <s v="18drnh"/>
    <n v="1"/>
    <n v="619"/>
    <n v="619"/>
    <n v="519449"/>
    <m/>
    <m/>
    <s v="RC-18DRNH 519449"/>
    <n v="898"/>
    <n v="0.68930957683741645"/>
    <s v="Toshiba SRP"/>
    <n v="1111"/>
    <s v="1111519449"/>
  </r>
  <r>
    <n v="2009"/>
    <s v="Fortress"/>
    <s v="good hope"/>
    <x v="33"/>
    <n v="3"/>
    <x v="2"/>
    <x v="47"/>
    <s v="磁應電飯煲(1公升)"/>
    <s v="細電"/>
    <s v="SDA"/>
    <s v="10iss"/>
    <n v="1"/>
    <n v="938"/>
    <n v="938"/>
    <n v="519401"/>
    <m/>
    <m/>
    <s v="RC-10ISSHK(W) 519401"/>
    <n v="1188"/>
    <n v="0.78956228956228958"/>
    <s v="Shops Highest Price"/>
    <n v="1111"/>
    <s v="1111519401"/>
  </r>
  <r>
    <n v="2010"/>
    <s v="Fortress"/>
    <s v="good hope"/>
    <x v="33"/>
    <n v="3"/>
    <x v="2"/>
    <x v="30"/>
    <s v="旋鈕式燒烤微波爐20L"/>
    <s v="細電"/>
    <s v="SDA"/>
    <s v="mm20"/>
    <n v="1"/>
    <n v="579"/>
    <n v="579"/>
    <n v="519461"/>
    <m/>
    <m/>
    <s v="MWP-MM20P(WH) 519461"/>
    <n v="648"/>
    <n v="0.89351851851851849"/>
    <s v="Toshiba SRP"/>
    <n v="1111"/>
    <s v="1111519461"/>
  </r>
  <r>
    <n v="2011"/>
    <s v="Fortress"/>
    <s v="good hope"/>
    <x v="33"/>
    <n v="3"/>
    <x v="2"/>
    <x v="78"/>
    <s v="變頻式環保雙門雪櫃（179L）"/>
    <s v="大電"/>
    <s v="REF"/>
    <s v="rt234"/>
    <n v="1"/>
    <n v="1980"/>
    <n v="1980"/>
    <n v="519408"/>
    <m/>
    <m/>
    <s v="GR-RT234WE-PMA(57) 519408"/>
    <n v="3680"/>
    <n v="0.53804347826086951"/>
    <s v="Toshiba SRP"/>
    <n v="1111"/>
    <s v="1111519408"/>
  </r>
  <r>
    <n v="2012"/>
    <s v="Fortress"/>
    <s v="good hope"/>
    <x v="33"/>
    <n v="3"/>
    <x v="2"/>
    <x v="87"/>
    <s v="變頻式環保雙門雪櫃(233L)"/>
    <s v="大電"/>
    <s v="REF"/>
    <s v="rt300"/>
    <n v="1"/>
    <n v="2780"/>
    <n v="2780"/>
    <n v="519413"/>
    <m/>
    <m/>
    <s v="GR-RT300WE-PMA(57) 519413"/>
    <n v="4280"/>
    <n v="0.64953271028037385"/>
    <s v="Toshiba SRP"/>
    <n v="1111"/>
    <s v="1111519413"/>
  </r>
  <r>
    <n v="2013"/>
    <s v="Fortress"/>
    <s v="good hope"/>
    <x v="33"/>
    <n v="3"/>
    <x v="2"/>
    <x v="87"/>
    <s v="變頻式環保雙門雪櫃(233L)"/>
    <s v="大電"/>
    <s v="REF"/>
    <s v="rt300"/>
    <n v="1"/>
    <n v="2780"/>
    <n v="2780"/>
    <n v="519425"/>
    <m/>
    <m/>
    <s v="GR-RT300WE-PMA(57) 519425"/>
    <n v="4280"/>
    <n v="0.64953271028037385"/>
    <s v="Toshiba SRP"/>
    <n v="1111"/>
    <s v="1111519425"/>
  </r>
  <r>
    <n v="2014"/>
    <s v="Fortress"/>
    <s v="good hope"/>
    <x v="33"/>
    <n v="3"/>
    <x v="2"/>
    <x v="40"/>
    <s v="400MM超薄身前置式變頻洗衣機(7公斤)"/>
    <s v="大電"/>
    <s v="LAD"/>
    <s v="bu80"/>
    <n v="1"/>
    <n v="3090"/>
    <n v="3090"/>
    <n v="519425"/>
    <m/>
    <m/>
    <s v="TW-T21BU80UWH(MG) 519425"/>
    <n v="5180"/>
    <n v="0.59652509652509655"/>
    <s v="Toshiba SRP"/>
    <n v="1111"/>
    <s v="1111519425"/>
  </r>
  <r>
    <n v="2015"/>
    <s v="Fortress"/>
    <s v="good hope"/>
    <x v="33"/>
    <n v="3"/>
    <x v="2"/>
    <x v="31"/>
    <s v="無線雙層電熱水壺(1.7公升)"/>
    <s v="細電"/>
    <s v="SDA"/>
    <s v="17drt"/>
    <n v="1"/>
    <n v="388"/>
    <n v="388"/>
    <n v="519409"/>
    <m/>
    <m/>
    <s v="KT-17DRTHK(H) 519409"/>
    <n v="498"/>
    <n v="0.77911646586345384"/>
    <s v="Toshiba SRP"/>
    <n v="1111"/>
    <s v="1111519409"/>
  </r>
  <r>
    <n v="2016"/>
    <s v="Fortress"/>
    <s v="good hope"/>
    <x v="34"/>
    <n v="3"/>
    <x v="9"/>
    <x v="54"/>
    <s v="低醣磁應電飯煲1L"/>
    <s v="細電"/>
    <s v="SDA"/>
    <s v="10irph"/>
    <n v="1"/>
    <n v="798"/>
    <n v="798"/>
    <n v="519491"/>
    <m/>
    <m/>
    <s v="RC-10IRPH 519491"/>
    <n v="1388"/>
    <n v="0.5749279538904899"/>
    <s v="Toshiba SRP"/>
    <n v="1111"/>
    <s v="1111519491"/>
  </r>
  <r>
    <n v="2017"/>
    <s v="Fortress"/>
    <s v="good hope"/>
    <x v="34"/>
    <n v="3"/>
    <x v="9"/>
    <x v="105"/>
    <s v="旋鈕式燒烤微波爐20L黑色"/>
    <s v="細電"/>
    <s v="SDA"/>
    <s v="mg20"/>
    <n v="1"/>
    <n v="579"/>
    <n v="579"/>
    <n v="519469"/>
    <m/>
    <m/>
    <s v="MWP-MG20P(BK) 519469"/>
    <n v="918"/>
    <n v="0.63071895424836599"/>
    <s v="Toshiba SRP"/>
    <n v="1111"/>
    <s v="1111519469"/>
  </r>
  <r>
    <n v="2018"/>
    <s v="Fortress"/>
    <s v="good hope"/>
    <x v="34"/>
    <n v="3"/>
    <x v="9"/>
    <x v="96"/>
    <s v="日式洗衣機 (7公斤 結合高低水位)"/>
    <s v="大電"/>
    <s v="LAD"/>
    <s v="q800"/>
    <n v="1"/>
    <n v="2080"/>
    <n v="2080"/>
    <n v="519471"/>
    <m/>
    <m/>
    <s v="AW-Q800APH(WW) 519471"/>
    <n v="3580"/>
    <n v="0.58100558659217882"/>
    <s v="Toshiba SRP"/>
    <n v="1111"/>
    <s v="1111519471"/>
  </r>
  <r>
    <n v="2019"/>
    <s v="Fortress"/>
    <s v="good hope"/>
    <x v="34"/>
    <n v="3"/>
    <x v="10"/>
    <x v="27"/>
    <s v="4毫米厚釜電飯煲1.8L"/>
    <s v="細電"/>
    <s v="SDA"/>
    <s v="18nmf"/>
    <n v="1"/>
    <n v="799"/>
    <n v="799"/>
    <n v="519531"/>
    <m/>
    <m/>
    <s v="RC-18NMFIH(WT) 519531"/>
    <n v="998"/>
    <n v="0.80060120240480959"/>
    <s v="Toshiba SRP"/>
    <n v="1111"/>
    <s v="1111519531"/>
  </r>
  <r>
    <n v="2020"/>
    <s v="Fortress"/>
    <s v="good hope"/>
    <x v="34"/>
    <n v="3"/>
    <x v="10"/>
    <x v="47"/>
    <s v="磁應電飯煲(1公升)"/>
    <s v="細電"/>
    <s v="SDA"/>
    <s v="10iss"/>
    <n v="1"/>
    <n v="938"/>
    <n v="938"/>
    <n v="519550"/>
    <m/>
    <m/>
    <s v="RC-10ISSHK(W) 519550"/>
    <n v="1188"/>
    <n v="0.78956228956228958"/>
    <s v="Shops Highest Price"/>
    <n v="1111"/>
    <s v="1111519550"/>
  </r>
  <r>
    <n v="2021"/>
    <s v="Fortress"/>
    <s v="good hope"/>
    <x v="34"/>
    <n v="3"/>
    <x v="10"/>
    <x v="30"/>
    <s v="旋鈕式燒烤微波爐20L"/>
    <s v="細電"/>
    <s v="SDA"/>
    <s v="mm20"/>
    <n v="1"/>
    <n v="488"/>
    <n v="488"/>
    <n v="519518"/>
    <m/>
    <m/>
    <s v="MWP-MM20P(WH) 519518"/>
    <n v="648"/>
    <n v="0.75308641975308643"/>
    <s v="Toshiba SRP"/>
    <n v="1111"/>
    <s v="1111519518"/>
  </r>
  <r>
    <n v="2022"/>
    <s v="Fortress"/>
    <s v="good hope"/>
    <x v="34"/>
    <n v="3"/>
    <x v="10"/>
    <x v="30"/>
    <s v="旋鈕式燒烤微波爐20L"/>
    <s v="細電"/>
    <s v="SDA"/>
    <s v="mm20"/>
    <n v="1"/>
    <n v="488"/>
    <n v="488"/>
    <n v="519574"/>
    <m/>
    <m/>
    <s v="MWP-MM20P(WH) 519574"/>
    <n v="648"/>
    <n v="0.75308641975308643"/>
    <s v="Toshiba SRP"/>
    <n v="1111"/>
    <s v="1111519574"/>
  </r>
  <r>
    <n v="2023"/>
    <s v="Fortress"/>
    <s v="good hope"/>
    <x v="34"/>
    <n v="3"/>
    <x v="10"/>
    <x v="42"/>
    <s v="變頻下置式雙門雪櫃系列270L"/>
    <s v="大電"/>
    <s v="REF"/>
    <s v="rb360"/>
    <n v="1"/>
    <n v="3980"/>
    <n v="3980"/>
    <n v="519559"/>
    <m/>
    <m/>
    <s v="GR-RB360WE-PMA(06) 519559"/>
    <n v="5080"/>
    <n v="0.78346456692913391"/>
    <s v="Toshiba SRP"/>
    <n v="1111"/>
    <s v="1111519559"/>
  </r>
  <r>
    <n v="2024"/>
    <s v="Fortress"/>
    <s v="good hope"/>
    <x v="34"/>
    <n v="3"/>
    <x v="10"/>
    <x v="43"/>
    <s v="470MM超薄身前置式變頻洗衣機(8.5公斤, 可飛頂)"/>
    <s v="大電"/>
    <s v="LAD"/>
    <s v="t2295"/>
    <n v="1"/>
    <n v="3680"/>
    <n v="3680"/>
    <n v="519559"/>
    <m/>
    <m/>
    <s v="TW-T22BU95UWH(WK)-B 519559"/>
    <n v="5880"/>
    <n v="0.62585034013605445"/>
    <s v="Toshiba SRP"/>
    <n v="1111"/>
    <s v="1111519559"/>
  </r>
  <r>
    <n v="2025"/>
    <s v="Fortress"/>
    <s v="good hope"/>
    <x v="34"/>
    <n v="3"/>
    <x v="10"/>
    <x v="130"/>
    <s v="All-in-one 輕巧無線吸塵機"/>
    <s v="細電"/>
    <s v="MCA"/>
    <s v="clx50"/>
    <n v="1"/>
    <n v="1798"/>
    <n v="1798"/>
    <n v="519573"/>
    <m/>
    <m/>
    <s v="VC-CLX50BF(R) 519573"/>
    <n v="3188"/>
    <n v="0.56398996235884569"/>
    <s v="Toshiba SRP"/>
    <n v="1111"/>
    <s v="1111519573"/>
  </r>
  <r>
    <n v="2026"/>
    <s v="Fortress"/>
    <s v="good hope"/>
    <x v="34"/>
    <n v="3"/>
    <x v="10"/>
    <x v="97"/>
    <s v="變頻二合一空氣淨化抽濕機 (28公升)"/>
    <s v="大電"/>
    <s v="RAC"/>
    <s v="dia17"/>
    <n v="1"/>
    <n v="3580"/>
    <n v="3580"/>
    <n v="519532"/>
    <m/>
    <m/>
    <s v="RAD-DIA17HK 519532"/>
    <n v="4980"/>
    <n v="0.71887550200803207"/>
    <s v="Toshiba SRP"/>
    <n v="1111"/>
    <s v="1111519532"/>
  </r>
  <r>
    <n v="2027"/>
    <s v="Fortress"/>
    <s v="good hope"/>
    <x v="33"/>
    <n v="3"/>
    <x v="16"/>
    <x v="116"/>
    <s v="IH磁應電飯煲"/>
    <s v="細電"/>
    <s v="SDA"/>
    <s v="ds18kw"/>
    <n v="1"/>
    <n v="3490"/>
    <n v="3490"/>
    <n v="519592"/>
    <m/>
    <m/>
    <s v="RC-DS18K(N) 519592"/>
    <n v="4988"/>
    <n v="0.69967923015236566"/>
    <s v="Toshiba SRP"/>
    <n v="1111"/>
    <s v="1111519592"/>
  </r>
  <r>
    <n v="2028"/>
    <s v="Fortress"/>
    <s v="good hope"/>
    <x v="33"/>
    <n v="3"/>
    <x v="16"/>
    <x v="34"/>
    <s v="智能氣炸烤焗爐(24公升)"/>
    <s v="細電"/>
    <s v="MCA"/>
    <s v="sac24"/>
    <n v="1"/>
    <n v="1320"/>
    <n v="1320"/>
    <n v="519599"/>
    <m/>
    <m/>
    <s v="MW3-SAC24SE(BK) 519599"/>
    <n v="1680"/>
    <n v="0.7857142857142857"/>
    <s v="Toshiba SRP"/>
    <n v="1111"/>
    <s v="1111519599"/>
  </r>
  <r>
    <n v="2029"/>
    <s v="Fortress"/>
    <s v="good hope"/>
    <x v="33"/>
    <n v="3"/>
    <x v="16"/>
    <x v="78"/>
    <s v="變頻式環保雙門雪櫃（179L）"/>
    <s v="大電"/>
    <s v="REF"/>
    <s v="rt234"/>
    <n v="1"/>
    <n v="1980"/>
    <n v="1980"/>
    <n v="519586"/>
    <m/>
    <m/>
    <s v="GR-RT234WE-PMA(57) 519586"/>
    <n v="3680"/>
    <n v="0.53804347826086951"/>
    <s v="Toshiba SRP"/>
    <n v="1111"/>
    <s v="1111519586"/>
  </r>
  <r>
    <n v="2030"/>
    <s v="Fortress"/>
    <s v="good hope"/>
    <x v="33"/>
    <n v="3"/>
    <x v="16"/>
    <x v="0"/>
    <s v="超薄身前置式洗衣乾衣機 (洗8公斤 乾5公斤)"/>
    <s v="大電"/>
    <s v="WM"/>
    <s v="bn90"/>
    <n v="1"/>
    <n v="3780"/>
    <n v="3780"/>
    <n v="519598"/>
    <m/>
    <m/>
    <s v="TWD-BN90GF4H(WK) 519598"/>
    <n v="5980"/>
    <n v="0.63210702341137126"/>
    <s v="Toshiba SRP"/>
    <n v="1111"/>
    <s v="1111519598"/>
  </r>
  <r>
    <n v="2031"/>
    <s v="Fortress"/>
    <s v="good hope"/>
    <x v="33"/>
    <n v="3"/>
    <x v="16"/>
    <x v="32"/>
    <s v="電熱水瓶3L"/>
    <s v="細電"/>
    <s v="SDA"/>
    <s v="30fl"/>
    <n v="1"/>
    <n v="489"/>
    <n v="489"/>
    <n v="519588"/>
    <m/>
    <m/>
    <s v="PLK-30FLIH(WT) 519588"/>
    <n v="658"/>
    <n v="0.74316109422492405"/>
    <s v="Toshiba SRP"/>
    <n v="1111"/>
    <s v="1111519588"/>
  </r>
  <r>
    <n v="2032"/>
    <s v="Fortress"/>
    <s v="good hope"/>
    <x v="33"/>
    <n v="3"/>
    <x v="11"/>
    <x v="17"/>
    <s v="4毫米厚釜電飯煲1L"/>
    <s v="細電"/>
    <s v="SDA"/>
    <s v="10nmf"/>
    <n v="1"/>
    <n v="719"/>
    <n v="719"/>
    <n v="519640"/>
    <m/>
    <m/>
    <s v="RC-10NMFIH(WT) 519640"/>
    <n v="898"/>
    <n v="0.80066815144766146"/>
    <s v="Toshiba SRP"/>
    <n v="1111"/>
    <s v="1111519640"/>
  </r>
  <r>
    <n v="2033"/>
    <s v="Fortress"/>
    <s v="good hope"/>
    <x v="33"/>
    <n v="3"/>
    <x v="11"/>
    <x v="17"/>
    <s v="4毫米厚釜電飯煲1L"/>
    <s v="細電"/>
    <s v="SDA"/>
    <s v="10nmf"/>
    <n v="1"/>
    <n v="719"/>
    <n v="719"/>
    <n v="519665"/>
    <m/>
    <m/>
    <s v="RC-10NMFIH(WT) 519665"/>
    <n v="898"/>
    <n v="0.80066815144766146"/>
    <s v="Toshiba SRP"/>
    <n v="1111"/>
    <s v="1111519665"/>
  </r>
  <r>
    <n v="2034"/>
    <s v="Fortress"/>
    <s v="good hope"/>
    <x v="33"/>
    <n v="3"/>
    <x v="11"/>
    <x v="27"/>
    <s v="4毫米厚釜電飯煲1.8L"/>
    <s v="細電"/>
    <s v="SDA"/>
    <s v="18nmf"/>
    <n v="1"/>
    <n v="799"/>
    <n v="799"/>
    <n v="519635"/>
    <m/>
    <m/>
    <s v="RC-18NMFIH(WT) 519635"/>
    <n v="998"/>
    <n v="0.80060120240480959"/>
    <s v="Toshiba SRP"/>
    <n v="1111"/>
    <s v="1111519635"/>
  </r>
  <r>
    <n v="2035"/>
    <s v="Fortress"/>
    <s v="good hope"/>
    <x v="33"/>
    <n v="3"/>
    <x v="11"/>
    <x v="120"/>
    <s v="真空壓力磁應電飯煲(1.0公升)"/>
    <s v="細電"/>
    <s v="SDA"/>
    <s v="dx10t"/>
    <n v="1"/>
    <n v="4680"/>
    <n v="4680"/>
    <n v="519638"/>
    <m/>
    <m/>
    <s v="RC-DX10T(W) 519638"/>
    <n v="5988"/>
    <n v="0.78156312625250501"/>
    <s v="Toshiba SRP"/>
    <n v="1111"/>
    <s v="1111519638"/>
  </r>
  <r>
    <n v="2036"/>
    <s v="Fortress"/>
    <s v="good hope"/>
    <x v="33"/>
    <n v="3"/>
    <x v="11"/>
    <x v="86"/>
    <s v="470MM超薄身前置式變頻洗衣乾衣機 (洗8.5公斤 乾6公斤)"/>
    <s v="大電"/>
    <s v="LAD"/>
    <s v="twdt21"/>
    <n v="1"/>
    <n v="4380"/>
    <n v="4380"/>
    <n v="519673"/>
    <m/>
    <m/>
    <s v="TWD-T21BU95UWH(WW) 519673"/>
    <n v="7280"/>
    <n v="0.60164835164835162"/>
    <s v="Toshiba SRP"/>
    <n v="1111"/>
    <s v="1111519673"/>
  </r>
  <r>
    <n v="2037"/>
    <s v="Fortress"/>
    <s v="good hope"/>
    <x v="33"/>
    <n v="3"/>
    <x v="11"/>
    <x v="32"/>
    <s v="電熱水瓶3L"/>
    <s v="細電"/>
    <s v="SDA"/>
    <s v="30fl"/>
    <n v="1"/>
    <n v="487"/>
    <n v="487"/>
    <n v="519643"/>
    <m/>
    <m/>
    <s v="PLK-30FLIH(WT) 519643"/>
    <n v="658"/>
    <n v="0.74012158054711241"/>
    <s v="Toshiba SRP"/>
    <n v="1111"/>
    <s v="1111519643"/>
  </r>
  <r>
    <n v="2038"/>
    <s v="Fortress"/>
    <s v="good hope"/>
    <x v="33"/>
    <n v="3"/>
    <x v="11"/>
    <x v="44"/>
    <s v="1.7L無線雙層電熱水壺"/>
    <s v="細電"/>
    <s v="SDA"/>
    <s v="17shnh"/>
    <n v="1"/>
    <n v="198"/>
    <n v="198"/>
    <n v="519663"/>
    <m/>
    <m/>
    <s v="KT-17SHNH 519663"/>
    <n v="299"/>
    <n v="0.66220735785953178"/>
    <s v="Shops Highest Price"/>
    <n v="1111"/>
    <s v="1111519663"/>
  </r>
  <r>
    <n v="2039"/>
    <s v="Fortress"/>
    <s v="good hope"/>
    <x v="33"/>
    <n v="3"/>
    <x v="12"/>
    <x v="32"/>
    <s v="電熱水瓶3L"/>
    <s v="細電"/>
    <s v="SDA"/>
    <s v="30fl"/>
    <n v="1"/>
    <n v="489"/>
    <n v="489"/>
    <n v="519678"/>
    <m/>
    <m/>
    <s v="PLK-30FLIH(WT) 519678"/>
    <n v="658"/>
    <n v="0.74316109422492405"/>
    <s v="Toshiba SRP"/>
    <n v="1111"/>
    <s v="1111519678"/>
  </r>
  <r>
    <n v="2040"/>
    <s v="Fortress"/>
    <s v="good hope"/>
    <x v="33"/>
    <n v="3"/>
    <x v="12"/>
    <x v="17"/>
    <s v="4毫米厚釜電飯煲1L"/>
    <s v="細電"/>
    <s v="SDA"/>
    <s v="10nmf"/>
    <n v="1"/>
    <n v="719"/>
    <n v="719"/>
    <n v="519702"/>
    <m/>
    <m/>
    <s v="RC-10NMFIH(WT) 519702"/>
    <n v="898"/>
    <n v="0.80066815144766146"/>
    <s v="Toshiba SRP"/>
    <n v="1111"/>
    <s v="1111519702"/>
  </r>
  <r>
    <n v="2041"/>
    <s v="Fortress"/>
    <s v="good hope"/>
    <x v="33"/>
    <n v="3"/>
    <x v="12"/>
    <x v="54"/>
    <s v="低醣磁應電飯煲1L"/>
    <s v="細電"/>
    <s v="SDA"/>
    <s v="10irph"/>
    <n v="1"/>
    <n v="798"/>
    <n v="798"/>
    <n v="519690"/>
    <m/>
    <m/>
    <s v="RC-10IRPH 519690"/>
    <n v="1388"/>
    <n v="0.5749279538904899"/>
    <s v="Toshiba SRP"/>
    <n v="1111"/>
    <s v="1111519690"/>
  </r>
  <r>
    <n v="2042"/>
    <s v="Fortress"/>
    <s v="good hope"/>
    <x v="33"/>
    <n v="3"/>
    <x v="12"/>
    <x v="87"/>
    <s v="變頻式環保雙門雪櫃(233L)"/>
    <s v="大電"/>
    <s v="REF"/>
    <s v="rt300"/>
    <n v="1"/>
    <n v="2780"/>
    <n v="2780"/>
    <n v="519705"/>
    <m/>
    <m/>
    <s v="GR-RT300WE-PMA(57) 519705"/>
    <n v="4280"/>
    <n v="0.64953271028037385"/>
    <s v="Toshiba SRP"/>
    <n v="1111"/>
    <s v="1111519705"/>
  </r>
  <r>
    <n v="2043"/>
    <s v="Fortress"/>
    <s v="good hope"/>
    <x v="33"/>
    <n v="3"/>
    <x v="12"/>
    <x v="42"/>
    <s v="變頻下置式雙門雪櫃系列270L"/>
    <s v="大電"/>
    <s v="REF"/>
    <s v="rb360"/>
    <n v="1"/>
    <n v="3580"/>
    <n v="3580"/>
    <n v="519715"/>
    <m/>
    <m/>
    <s v="GR-RB360WE-PMA(06) 519715"/>
    <n v="5080"/>
    <n v="0.70472440944881887"/>
    <s v="Toshiba SRP"/>
    <n v="1111"/>
    <s v="1111519715"/>
  </r>
  <r>
    <n v="2044"/>
    <s v="Fortress"/>
    <s v="good hope"/>
    <x v="33"/>
    <n v="3"/>
    <x v="3"/>
    <x v="77"/>
    <s v="470MM超薄身前置式變頻洗衣乾衣機 (洗8.5公斤/乾6公斤, 可飛頂)"/>
    <s v="大電"/>
    <s v="LAD"/>
    <s v="twdt22"/>
    <n v="1"/>
    <n v="4780"/>
    <n v="4780"/>
    <n v="519737"/>
    <m/>
    <m/>
    <s v="TWD-T22BU95UWH(WK)-B 519737"/>
    <n v="7480"/>
    <n v="0.63903743315508021"/>
    <s v="Toshiba SRP"/>
    <n v="1111"/>
    <s v="1111519737"/>
  </r>
  <r>
    <n v="2045"/>
    <s v="Fortress"/>
    <s v="good hope"/>
    <x v="33"/>
    <n v="3"/>
    <x v="3"/>
    <x v="21"/>
    <s v="壓縮式抽濕機 (30公升)"/>
    <s v="細電"/>
    <s v="RAC"/>
    <s v="d300"/>
    <n v="1"/>
    <n v="2280"/>
    <n v="2280"/>
    <n v="519759"/>
    <m/>
    <m/>
    <s v="RAD-D300H 519759"/>
    <n v="3380"/>
    <n v="0.67455621301775148"/>
    <s v="Shops Highest Price"/>
    <n v="1111"/>
    <s v="1111519759"/>
  </r>
  <r>
    <n v="2046"/>
    <s v="Fortress"/>
    <s v="good hope"/>
    <x v="33"/>
    <n v="3"/>
    <x v="3"/>
    <x v="36"/>
    <s v="輕觸式微波爐 (20公升)"/>
    <s v="細電"/>
    <s v="MCA"/>
    <s v="em20"/>
    <n v="1"/>
    <n v="598"/>
    <n v="598"/>
    <n v="519721"/>
    <m/>
    <m/>
    <s v="MM2-EM20PC(WH) 519721"/>
    <n v="788"/>
    <n v="0.75888324873096447"/>
    <s v="Toshiba SRP"/>
    <n v="1111"/>
    <s v="1111519721"/>
  </r>
  <r>
    <n v="2047"/>
    <s v="Fortress"/>
    <s v="good hope"/>
    <x v="33"/>
    <n v="3"/>
    <x v="3"/>
    <x v="74"/>
    <s v="4合1氣炸微波蒸焗爐(25公升)"/>
    <s v="細電"/>
    <s v="MCA"/>
    <s v="str25"/>
    <n v="1"/>
    <n v="3580"/>
    <n v="3580"/>
    <n v="519748"/>
    <m/>
    <m/>
    <s v="MX2-STR25SC(WH) 519748"/>
    <n v="4998"/>
    <n v="0.71628651460584236"/>
    <s v="Toshiba SRP"/>
    <n v="1111"/>
    <s v="1111519748"/>
  </r>
  <r>
    <n v="2048"/>
    <s v="Fortress"/>
    <s v="good hope"/>
    <x v="33"/>
    <n v="3"/>
    <x v="3"/>
    <x v="37"/>
    <s v="電熱水瓶 (5公升)"/>
    <s v="細電"/>
    <s v="SDA"/>
    <s v="50dr"/>
    <n v="1"/>
    <n v="598"/>
    <n v="598"/>
    <n v="519725"/>
    <m/>
    <m/>
    <s v="TP-50DRUHK(W) 519725"/>
    <n v="718"/>
    <n v="0.83286908077994426"/>
    <s v="Toshiba SRP"/>
    <n v="1111"/>
    <s v="1111519725"/>
  </r>
  <r>
    <n v="2049"/>
    <s v="Fortress"/>
    <s v="good hope"/>
    <x v="33"/>
    <n v="3"/>
    <x v="3"/>
    <x v="37"/>
    <s v="電熱水瓶 (5公升)"/>
    <s v="細電"/>
    <s v="SDA"/>
    <s v="50dr"/>
    <n v="1"/>
    <n v="598"/>
    <n v="598"/>
    <n v="519726"/>
    <m/>
    <m/>
    <s v="TP-50DRUHK(W) 519726"/>
    <n v="718"/>
    <n v="0.83286908077994426"/>
    <s v="Toshiba SRP"/>
    <n v="1111"/>
    <s v="1111519726"/>
  </r>
  <r>
    <n v="2050"/>
    <s v="Fortress"/>
    <s v="good hope"/>
    <x v="33"/>
    <n v="3"/>
    <x v="3"/>
    <x v="83"/>
    <s v="R32變頻窗口式冷氣機 (獨立抽濕遙控"/>
    <s v="大電"/>
    <s v="AC"/>
    <s v="12g3cvr"/>
    <n v="1"/>
    <n v="5980"/>
    <n v="5980"/>
    <n v="519737"/>
    <m/>
    <m/>
    <s v="RAC-12G3CVRGR-HK 519737"/>
    <n v="8680"/>
    <n v="0.68894009216589858"/>
    <s v="Toshiba SRP"/>
    <n v="1111"/>
    <s v="1111519737"/>
  </r>
  <r>
    <n v="2051"/>
    <s v="Fortress"/>
    <s v="good hope"/>
    <x v="33"/>
    <n v="3"/>
    <x v="3"/>
    <x v="54"/>
    <s v="低醣磁應電飯煲1L"/>
    <s v="細電"/>
    <s v="SDA"/>
    <s v="10irph"/>
    <n v="1"/>
    <n v="798"/>
    <n v="798"/>
    <n v="519733"/>
    <m/>
    <m/>
    <s v="RC-10IRPH 519733"/>
    <n v="1388"/>
    <n v="0.5749279538904899"/>
    <s v="Toshiba SRP"/>
    <n v="1111"/>
    <s v="1111519733"/>
  </r>
  <r>
    <n v="2052"/>
    <s v="Fortress"/>
    <s v="good hope"/>
    <x v="33"/>
    <n v="3"/>
    <x v="3"/>
    <x v="103"/>
    <s v="變頻下置式雙門雪櫃"/>
    <s v="大電"/>
    <s v="REF"/>
    <s v="rb449"/>
    <n v="1"/>
    <n v="4880"/>
    <n v="4880"/>
    <n v="519721"/>
    <m/>
    <m/>
    <s v="GR-RB449WE-PMA(57) 519721"/>
    <n v="6280"/>
    <n v="0.77707006369426757"/>
    <s v="Toshiba SRP"/>
    <n v="1111"/>
    <s v="1111519721"/>
  </r>
  <r>
    <n v="2053"/>
    <s v="Fortress"/>
    <s v="good hope"/>
    <x v="33"/>
    <n v="3"/>
    <x v="3"/>
    <x v="103"/>
    <s v="變頻下置式雙門雪櫃"/>
    <s v="大電"/>
    <s v="REF"/>
    <s v="rb449"/>
    <n v="1"/>
    <n v="4880"/>
    <n v="4880"/>
    <n v="519737"/>
    <m/>
    <m/>
    <s v="GR-RB449WE-PMA(57) 519737"/>
    <n v="6280"/>
    <n v="0.77707006369426757"/>
    <s v="Toshiba SRP"/>
    <n v="1111"/>
    <s v="1111519737"/>
  </r>
  <r>
    <n v="2054"/>
    <s v="Fortress"/>
    <s v="good hope"/>
    <x v="33"/>
    <n v="3"/>
    <x v="3"/>
    <x v="33"/>
    <s v="輕觸式燒烤微波爐"/>
    <s v="細電"/>
    <s v="MCA"/>
    <s v="eg20"/>
    <n v="1"/>
    <n v="698"/>
    <n v="698"/>
    <n v="519925"/>
    <m/>
    <m/>
    <s v="MM2-EG20PC(WH) 519925"/>
    <n v="918"/>
    <n v="0.76034858387799564"/>
    <s v="Shops Highest Price"/>
    <n v="1111"/>
    <s v="1111519925"/>
  </r>
  <r>
    <n v="2055"/>
    <s v="Fortress"/>
    <s v="good hope"/>
    <x v="33"/>
    <n v="3"/>
    <x v="4"/>
    <x v="17"/>
    <s v="4毫米厚釜電飯煲1L"/>
    <s v="細電"/>
    <s v="SDA"/>
    <s v="10nmf"/>
    <n v="1"/>
    <n v="719"/>
    <n v="719"/>
    <n v="519780"/>
    <s v="519980&gt;519780"/>
    <m/>
    <s v="RC-10NMFIH(WT) 519780"/>
    <n v="898"/>
    <n v="0.80066815144766146"/>
    <s v="Toshiba SRP"/>
    <n v="1111"/>
    <s v="1111519780"/>
  </r>
  <r>
    <n v="2056"/>
    <s v="Fortress"/>
    <s v="good hope"/>
    <x v="33"/>
    <n v="3"/>
    <x v="4"/>
    <x v="57"/>
    <s v="多功能備長炭本厚釜電飯煲1L"/>
    <s v="細電"/>
    <s v="SDA"/>
    <s v="10drnh"/>
    <n v="1"/>
    <n v="499"/>
    <n v="499"/>
    <n v="519781"/>
    <m/>
    <m/>
    <s v="RC-10DRNH 519781"/>
    <n v="798"/>
    <n v="0.62531328320802004"/>
    <s v="Toshiba SRP"/>
    <n v="1111"/>
    <s v="1111519781"/>
  </r>
  <r>
    <n v="2057"/>
    <s v="Fortress"/>
    <s v="good hope"/>
    <x v="33"/>
    <n v="3"/>
    <x v="4"/>
    <x v="39"/>
    <s v="酵活炊電飯煲(1.0公升)"/>
    <s v="細電"/>
    <s v="SDA"/>
    <s v="10amx"/>
    <n v="1"/>
    <n v="990"/>
    <n v="990"/>
    <n v="519800"/>
    <m/>
    <m/>
    <s v="RC-10AMXH(W) 519800"/>
    <n v="1288"/>
    <n v="0.76863354037267084"/>
    <s v="Toshiba SRP"/>
    <n v="1111"/>
    <s v="1111519800"/>
  </r>
  <r>
    <n v="2058"/>
    <s v="Fortress"/>
    <s v="good hope"/>
    <x v="33"/>
    <n v="3"/>
    <x v="4"/>
    <x v="39"/>
    <s v="酵活炊電飯煲(1.0公升)"/>
    <s v="細電"/>
    <s v="SDA"/>
    <s v="10amx"/>
    <n v="1"/>
    <n v="990"/>
    <n v="990"/>
    <n v="519811"/>
    <m/>
    <m/>
    <s v="RC-10AMXH(W) 519811"/>
    <n v="1288"/>
    <n v="0.76863354037267084"/>
    <s v="Toshiba SRP"/>
    <n v="1111"/>
    <s v="1111519811"/>
  </r>
  <r>
    <n v="2059"/>
    <s v="Fortress"/>
    <s v="good hope"/>
    <x v="33"/>
    <n v="3"/>
    <x v="4"/>
    <x v="60"/>
    <s v="酵活炊磁應電飯煲(1.5公升)"/>
    <s v="細電"/>
    <s v="SDA"/>
    <s v="15bh"/>
    <n v="1"/>
    <n v="2088"/>
    <n v="2088"/>
    <n v="519800"/>
    <m/>
    <m/>
    <s v="RC-15BHH(W) 519800"/>
    <n v="2388"/>
    <n v="0.87437185929648242"/>
    <s v="Toshiba SRP"/>
    <n v="1111"/>
    <s v="1111519800"/>
  </r>
  <r>
    <n v="2060"/>
    <s v="Fortress"/>
    <s v="good hope"/>
    <x v="33"/>
    <n v="3"/>
    <x v="4"/>
    <x v="87"/>
    <s v="變頻式環保雙門雪櫃(233L)"/>
    <s v="大電"/>
    <s v="REF"/>
    <s v="rt300"/>
    <n v="1"/>
    <n v="2780"/>
    <n v="2780"/>
    <n v="519779"/>
    <m/>
    <m/>
    <s v="GR-RT300WE-PMA(57) 519779"/>
    <n v="4280"/>
    <n v="0.64953271028037385"/>
    <s v="Toshiba SRP"/>
    <n v="1111"/>
    <s v="1111519779"/>
  </r>
  <r>
    <n v="2061"/>
    <s v="Fortress"/>
    <s v="good hope"/>
    <x v="33"/>
    <n v="3"/>
    <x v="4"/>
    <x v="42"/>
    <s v="變頻下置式雙門雪櫃系列270L"/>
    <s v="大電"/>
    <s v="REF"/>
    <s v="rb360"/>
    <n v="1"/>
    <n v="3580"/>
    <n v="3580"/>
    <n v="519772"/>
    <m/>
    <m/>
    <s v="GR-RB360WE-PMA(06) 519772"/>
    <n v="5080"/>
    <n v="0.70472440944881887"/>
    <s v="Toshiba SRP"/>
    <n v="1111"/>
    <s v="1111519772"/>
  </r>
  <r>
    <n v="2062"/>
    <s v="Fortress"/>
    <s v="good hope"/>
    <x v="33"/>
    <n v="3"/>
    <x v="4"/>
    <x v="42"/>
    <s v="變頻下置式雙門雪櫃系列270L"/>
    <s v="大電"/>
    <s v="REF"/>
    <s v="rb360"/>
    <n v="1"/>
    <n v="3580"/>
    <n v="3580"/>
    <n v="519803"/>
    <m/>
    <m/>
    <s v="GR-RB360WE-PMA(06) 519803"/>
    <n v="5080"/>
    <n v="0.70472440944881887"/>
    <s v="Toshiba SRP"/>
    <n v="1111"/>
    <s v="1111519803"/>
  </r>
  <r>
    <n v="2063"/>
    <s v="Fortress"/>
    <s v="good hope"/>
    <x v="33"/>
    <n v="3"/>
    <x v="4"/>
    <x v="22"/>
    <s v="變頻五門雪櫃(375L)"/>
    <s v="大電"/>
    <s v="REF"/>
    <s v="rm612"/>
    <n v="1"/>
    <n v="9980"/>
    <n v="9980"/>
    <n v="519785"/>
    <m/>
    <m/>
    <s v="GR-RM612WE-PGA(B5) 519785"/>
    <n v="11000"/>
    <n v="0.90727272727272723"/>
    <s v="Shops Highest Price"/>
    <n v="1111"/>
    <s v="1111519785"/>
  </r>
  <r>
    <n v="2064"/>
    <s v="Fortress"/>
    <s v="good hope"/>
    <x v="33"/>
    <n v="3"/>
    <x v="4"/>
    <x v="131"/>
    <s v="前置式變頻洗衣機(10.5公斤)"/>
    <s v="大電"/>
    <s v="LAD"/>
    <s v="bzu115"/>
    <n v="1"/>
    <n v="4980"/>
    <n v="4980"/>
    <n v="519784"/>
    <m/>
    <m/>
    <s v="TW-T25BZU115MWH(MG) 519784"/>
    <n v="7980"/>
    <n v="0.62406015037593987"/>
    <s v="Toshiba SRP"/>
    <n v="1111"/>
    <s v="1111519784"/>
  </r>
  <r>
    <n v="2065"/>
    <s v="Fortress"/>
    <s v="good hope"/>
    <x v="33"/>
    <n v="3"/>
    <x v="4"/>
    <x v="30"/>
    <s v="旋鈕式燒烤微波爐20L"/>
    <s v="細電"/>
    <s v="SDA"/>
    <s v="mm20"/>
    <n v="1"/>
    <n v="488"/>
    <n v="488"/>
    <n v="519796"/>
    <m/>
    <m/>
    <s v="MWP-MM20P(WH) 519796"/>
    <n v="648"/>
    <n v="0.75308641975308643"/>
    <s v="Toshiba SRP"/>
    <n v="1111"/>
    <s v="1111519796"/>
  </r>
  <r>
    <n v="2066"/>
    <s v="Fortress"/>
    <s v="good hope"/>
    <x v="33"/>
    <n v="3"/>
    <x v="4"/>
    <x v="63"/>
    <s v="20L 智能蒸氣焗爐"/>
    <s v="細電"/>
    <s v="MCA"/>
    <s v="stq20"/>
    <n v="1"/>
    <n v="2100"/>
    <n v="2100"/>
    <n v="519778"/>
    <m/>
    <m/>
    <s v="MS3-STQ20SC(WH) 519778"/>
    <n v="2880"/>
    <n v="0.72916666666666663"/>
    <s v="Toshiba SRP"/>
    <n v="1111"/>
    <s v="1111519778"/>
  </r>
  <r>
    <n v="2067"/>
    <s v="Fortress"/>
    <s v="good hope"/>
    <x v="33"/>
    <n v="3"/>
    <x v="4"/>
    <x v="38"/>
    <s v="無線雙層電熱水壺-附可鎖壺蓋"/>
    <s v="細電"/>
    <s v="SDA"/>
    <s v="15drt"/>
    <n v="1"/>
    <n v="358"/>
    <n v="358"/>
    <n v="519811"/>
    <m/>
    <m/>
    <s v="KT-15DRTHK(W) 519811"/>
    <n v="598"/>
    <n v="0.59866220735785958"/>
    <s v="Toshiba SRP"/>
    <n v="1111"/>
    <s v="1111519811"/>
  </r>
  <r>
    <n v="2068"/>
    <s v="Fortress"/>
    <s v="good hope"/>
    <x v="33"/>
    <n v="3"/>
    <x v="4"/>
    <x v="33"/>
    <s v="輕觸式燒烤微波爐"/>
    <s v="細電"/>
    <s v="MCA"/>
    <s v="eg20"/>
    <n v="1"/>
    <n v="698"/>
    <n v="698"/>
    <n v="519814"/>
    <m/>
    <m/>
    <s v="MM2-EG20PC(WH) 519814"/>
    <n v="918"/>
    <n v="0.76034858387799564"/>
    <s v="Shops Highest Price"/>
    <n v="1111"/>
    <s v="1111519814"/>
  </r>
  <r>
    <n v="2069"/>
    <s v="Fortress"/>
    <s v="good hope"/>
    <x v="34"/>
    <n v="3"/>
    <x v="14"/>
    <x v="13"/>
    <s v="獨立式免安裝洗碗碟機"/>
    <s v="細電"/>
    <s v="DM"/>
    <s v="34ahk"/>
    <n v="1"/>
    <n v="2380"/>
    <n v="2380"/>
    <n v="519843"/>
    <m/>
    <m/>
    <s v="DWS-34AHK 519843"/>
    <n v="3999"/>
    <n v="0.5951487871967992"/>
    <s v="Web SRP"/>
    <n v="1111"/>
    <s v="1111519843"/>
  </r>
  <r>
    <n v="2070"/>
    <s v="Fortress"/>
    <s v="good hope"/>
    <x v="34"/>
    <n v="3"/>
    <x v="14"/>
    <x v="36"/>
    <s v="輕觸式微波爐 (20公升)"/>
    <s v="細電"/>
    <s v="MCA"/>
    <s v="em20"/>
    <n v="1"/>
    <n v="698"/>
    <n v="698"/>
    <n v="519870"/>
    <m/>
    <m/>
    <s v="MM2-EM20PC(WH) 519870"/>
    <n v="788"/>
    <n v="0.8857868020304569"/>
    <s v="Toshiba SRP"/>
    <n v="1111"/>
    <s v="1111519870"/>
  </r>
  <r>
    <n v="2071"/>
    <s v="Fortress"/>
    <s v="good hope"/>
    <x v="34"/>
    <n v="3"/>
    <x v="14"/>
    <x v="59"/>
    <s v="30公升蒸氣焗爐"/>
    <s v="細電"/>
    <s v="MCA"/>
    <s v="str30"/>
    <n v="1"/>
    <n v="3980"/>
    <n v="3980"/>
    <n v="519849"/>
    <m/>
    <m/>
    <s v="MS5-STR30SC(BK) 519849"/>
    <n v="5998"/>
    <n v="0.66355451817272426"/>
    <s v="Shops Highest Price"/>
    <n v="1111"/>
    <s v="1111519849"/>
  </r>
  <r>
    <n v="2072"/>
    <s v="Fortress"/>
    <s v="good hope"/>
    <x v="34"/>
    <n v="3"/>
    <x v="14"/>
    <x v="44"/>
    <s v="1.7L無線雙層電熱水壺"/>
    <s v="細電"/>
    <s v="SDA"/>
    <s v="17shnh"/>
    <n v="1"/>
    <n v="198"/>
    <n v="198"/>
    <n v="519833"/>
    <m/>
    <m/>
    <s v="KT-17SHNH 519833"/>
    <n v="299"/>
    <n v="0.66220735785953178"/>
    <s v="Shops Highest Price"/>
    <n v="1111"/>
    <s v="1111519833"/>
  </r>
  <r>
    <n v="2073"/>
    <s v="Fortress"/>
    <s v="good hope"/>
    <x v="34"/>
    <n v="3"/>
    <x v="14"/>
    <x v="7"/>
    <s v="4毫米厚釜電飯煲0.54L"/>
    <s v="細電"/>
    <s v="SDA"/>
    <s v="5mm"/>
    <n v="1"/>
    <n v="557"/>
    <n v="557"/>
    <n v="519869"/>
    <m/>
    <m/>
    <s v="RC-5MMIH(WT) 519869"/>
    <n v="618"/>
    <n v="0.90129449838187703"/>
    <s v="Toshiba SRP"/>
    <n v="1111"/>
    <s v="1111519869"/>
  </r>
  <r>
    <n v="2074"/>
    <s v="Fortress"/>
    <s v="good hope"/>
    <x v="34"/>
    <n v="3"/>
    <x v="14"/>
    <x v="87"/>
    <s v="變頻式環保雙門雪櫃(233L)"/>
    <s v="大電"/>
    <s v="REF"/>
    <s v="rt300"/>
    <n v="1"/>
    <n v="2780"/>
    <n v="2780"/>
    <n v="519822"/>
    <m/>
    <m/>
    <s v="GR-RT300WE-PMA(57) 519822"/>
    <n v="4280"/>
    <n v="0.64953271028037385"/>
    <s v="Toshiba SRP"/>
    <n v="1111"/>
    <s v="1111519822"/>
  </r>
  <r>
    <n v="2075"/>
    <s v="Fortress"/>
    <s v="good hope"/>
    <x v="33"/>
    <n v="3"/>
    <x v="15"/>
    <x v="27"/>
    <s v="4毫米厚釜電飯煲1.8L"/>
    <s v="細電"/>
    <s v="SDA"/>
    <s v="18nmf"/>
    <n v="1"/>
    <n v="799"/>
    <n v="799"/>
    <n v="519882"/>
    <m/>
    <m/>
    <s v="RC-18NMFIH(WT) 519882"/>
    <n v="998"/>
    <n v="0.80060120240480959"/>
    <s v="Toshiba SRP"/>
    <n v="1111"/>
    <s v="1111519882"/>
  </r>
  <r>
    <n v="2076"/>
    <s v="Fortress"/>
    <s v="good hope"/>
    <x v="33"/>
    <n v="3"/>
    <x v="15"/>
    <x v="45"/>
    <s v="備長炭本厚釜電飯煲0.7L"/>
    <s v="細電"/>
    <s v="SDA"/>
    <s v="7hmh"/>
    <n v="1"/>
    <n v="838"/>
    <n v="838"/>
    <n v="519879"/>
    <m/>
    <m/>
    <s v="RC-7HMH 519879"/>
    <n v="1288"/>
    <n v="0.65062111801242239"/>
    <s v="Toshiba SRP"/>
    <n v="1111"/>
    <s v="1111519879"/>
  </r>
  <r>
    <n v="2077"/>
    <s v="Fortress"/>
    <s v="good hope"/>
    <x v="33"/>
    <n v="3"/>
    <x v="15"/>
    <x v="120"/>
    <s v="真空壓力磁應電飯煲(1.0公升)"/>
    <s v="細電"/>
    <s v="SDA"/>
    <s v="dx10t"/>
    <n v="1"/>
    <n v="4680"/>
    <n v="4680"/>
    <n v="519873"/>
    <m/>
    <m/>
    <s v="RC-DX10T(W) 519873"/>
    <n v="5988"/>
    <n v="0.78156312625250501"/>
    <s v="Toshiba SRP"/>
    <n v="1111"/>
    <s v="1111519873"/>
  </r>
  <r>
    <n v="2078"/>
    <s v="Fortress"/>
    <s v="good hope"/>
    <x v="33"/>
    <n v="3"/>
    <x v="15"/>
    <x v="29"/>
    <s v="酵活炊磁應電飯煲"/>
    <s v="細電"/>
    <s v="SDA"/>
    <s v="10bh"/>
    <n v="1"/>
    <n v="1888"/>
    <n v="1888"/>
    <n v="519875"/>
    <m/>
    <m/>
    <s v="RC-10BHH(W) 519875"/>
    <n v="2088"/>
    <n v="0.90421455938697315"/>
    <s v="Shops Highest Price"/>
    <n v="1111"/>
    <s v="1111519875"/>
  </r>
  <r>
    <n v="2079"/>
    <s v="Fortress"/>
    <s v="good hope"/>
    <x v="33"/>
    <n v="3"/>
    <x v="15"/>
    <x v="92"/>
    <s v="1 匹 R32變頻窗口式冷氣機 (獨立抽濕遙控"/>
    <s v="大電"/>
    <s v="AC"/>
    <s v="09g3cvr"/>
    <n v="1"/>
    <n v="4980"/>
    <n v="4980"/>
    <n v="519877"/>
    <m/>
    <m/>
    <s v="RAC-09G3CVRGR-HK 519877"/>
    <n v="6980"/>
    <n v="0.71346704871060174"/>
    <s v="Toshiba SRP"/>
    <n v="1111"/>
    <s v="1111519877"/>
  </r>
  <r>
    <n v="2080"/>
    <s v="Fortress"/>
    <s v="good hope"/>
    <x v="33"/>
    <n v="3"/>
    <x v="17"/>
    <x v="21"/>
    <s v="壓縮式抽濕機 (30公升)"/>
    <s v="細電"/>
    <s v="RAC"/>
    <s v="d300"/>
    <n v="1"/>
    <n v="2280"/>
    <n v="2280"/>
    <n v="519959"/>
    <m/>
    <m/>
    <s v="RAD-D300H 519959"/>
    <n v="3380"/>
    <n v="0.67455621301775148"/>
    <s v="Shops Highest Price"/>
    <n v="1111"/>
    <s v="1111519959"/>
  </r>
  <r>
    <n v="2081"/>
    <s v="Fortress"/>
    <s v="good hope"/>
    <x v="33"/>
    <n v="3"/>
    <x v="17"/>
    <x v="36"/>
    <s v="輕觸式微波爐 (20公升)"/>
    <s v="細電"/>
    <s v="MCA"/>
    <s v="em20"/>
    <n v="1"/>
    <n v="598"/>
    <n v="598"/>
    <n v="519919"/>
    <m/>
    <m/>
    <s v="MM2-EM20PC(WH) 519919"/>
    <n v="788"/>
    <n v="0.75888324873096447"/>
    <s v="Toshiba SRP"/>
    <n v="1111"/>
    <s v="1111519919"/>
  </r>
  <r>
    <n v="2082"/>
    <s v="Fortress"/>
    <s v="good hope"/>
    <x v="33"/>
    <n v="3"/>
    <x v="17"/>
    <x v="74"/>
    <s v="4合1氣炸微波蒸焗爐(25公升)"/>
    <s v="細電"/>
    <s v="MCA"/>
    <s v="str25"/>
    <n v="1"/>
    <n v="3580"/>
    <n v="3580"/>
    <n v="519938"/>
    <m/>
    <m/>
    <s v="MX2-STR25SC(WH) 519938"/>
    <n v="4998"/>
    <n v="0.71628651460584236"/>
    <s v="Toshiba SRP"/>
    <n v="1111"/>
    <s v="1111519938"/>
  </r>
  <r>
    <n v="2083"/>
    <s v="Fortress"/>
    <s v="good hope"/>
    <x v="33"/>
    <n v="3"/>
    <x v="17"/>
    <x v="47"/>
    <s v="磁應電飯煲(1公升)"/>
    <s v="細電"/>
    <s v="SDA"/>
    <s v="10iss"/>
    <n v="1"/>
    <n v="968"/>
    <n v="968"/>
    <n v="519931"/>
    <m/>
    <m/>
    <s v="RC-10ISSHK(W) 519931"/>
    <n v="1188"/>
    <n v="0.81481481481481477"/>
    <s v="Shops Highest Price"/>
    <n v="1111"/>
    <s v="1111519931"/>
  </r>
  <r>
    <n v="2084"/>
    <s v="Fortress"/>
    <s v="good hope"/>
    <x v="33"/>
    <n v="3"/>
    <x v="17"/>
    <x v="39"/>
    <s v="酵活炊電飯煲(1.0公升)"/>
    <s v="細電"/>
    <s v="SDA"/>
    <s v="10amx"/>
    <n v="1"/>
    <n v="990"/>
    <n v="990"/>
    <n v="519953"/>
    <m/>
    <m/>
    <s v="RC-10AMXH(W) 519953"/>
    <n v="1288"/>
    <n v="0.76863354037267084"/>
    <s v="Toshiba SRP"/>
    <n v="1111"/>
    <s v="1111519953"/>
  </r>
  <r>
    <n v="2085"/>
    <s v="Fortress"/>
    <s v="good hope"/>
    <x v="33"/>
    <n v="3"/>
    <x v="17"/>
    <x v="110"/>
    <s v="變頻六門雪櫃(451L)"/>
    <s v="大電"/>
    <s v="REF"/>
    <s v="rm598"/>
    <n v="1"/>
    <n v="10090"/>
    <n v="10090"/>
    <n v="519926"/>
    <m/>
    <m/>
    <s v="GR-RM598WE-PGA(B3) 519926"/>
    <n v="14980"/>
    <n v="0.67356475300400531"/>
    <s v="Toshiba SRP"/>
    <n v="1111"/>
    <s v="1111519926"/>
  </r>
  <r>
    <n v="2086"/>
    <s v="Fortress"/>
    <s v="good hope"/>
    <x v="33"/>
    <n v="3"/>
    <x v="17"/>
    <x v="96"/>
    <s v="日式洗衣機 (7公斤 結合高低水位)"/>
    <s v="大電"/>
    <s v="LAD"/>
    <s v="q800"/>
    <n v="1"/>
    <n v="2080"/>
    <n v="2080"/>
    <n v="519961"/>
    <m/>
    <m/>
    <s v="AW-Q800APH(WW) 519961"/>
    <n v="3580"/>
    <n v="0.58100558659217882"/>
    <s v="Toshiba SRP"/>
    <n v="1111"/>
    <s v="1111519961"/>
  </r>
  <r>
    <n v="2087"/>
    <s v="Fortress"/>
    <s v="good hope"/>
    <x v="33"/>
    <n v="3"/>
    <x v="17"/>
    <x v="86"/>
    <s v="470MM超薄身前置式變頻洗衣乾衣機 (洗8.5公斤 乾6公斤)"/>
    <s v="大電"/>
    <s v="LAD"/>
    <s v="twdt21"/>
    <n v="1"/>
    <n v="3999"/>
    <n v="3999"/>
    <n v="519940"/>
    <m/>
    <m/>
    <s v="TWD-T21BU95UWH(WW) 519940"/>
    <n v="7280"/>
    <n v="0.54931318681318686"/>
    <s v="Toshiba SRP"/>
    <n v="1111"/>
    <s v="1111519940"/>
  </r>
  <r>
    <n v="2088"/>
    <s v="Fortress"/>
    <s v="good hope"/>
    <x v="33"/>
    <n v="3"/>
    <x v="17"/>
    <x v="86"/>
    <s v="470MM超薄身前置式變頻洗衣乾衣機 (洗8.5公斤 乾6公斤)"/>
    <s v="大電"/>
    <s v="LAD"/>
    <s v="twdt21"/>
    <n v="1"/>
    <n v="3999"/>
    <n v="3999"/>
    <n v="519944"/>
    <m/>
    <m/>
    <s v="TWD-T21BU95UWH(WW) 519944"/>
    <n v="7280"/>
    <n v="0.54931318681318686"/>
    <s v="Toshiba SRP"/>
    <n v="1111"/>
    <s v="1111519944"/>
  </r>
  <r>
    <n v="2089"/>
    <s v="Fortress"/>
    <s v="good hope"/>
    <x v="33"/>
    <n v="3"/>
    <x v="18"/>
    <x v="27"/>
    <s v="4毫米厚釜電飯煲1.8L"/>
    <s v="細電"/>
    <s v="SDA"/>
    <s v="18nmf"/>
    <n v="1"/>
    <n v="799"/>
    <n v="799"/>
    <n v="519972"/>
    <m/>
    <m/>
    <s v="RC-18NMFIH(WT) 519972"/>
    <n v="998"/>
    <n v="0.80060120240480959"/>
    <s v="Toshiba SRP"/>
    <n v="1111"/>
    <s v="1111519972"/>
  </r>
  <r>
    <n v="2090"/>
    <s v="Fortress"/>
    <s v="good hope"/>
    <x v="33"/>
    <n v="3"/>
    <x v="18"/>
    <x v="27"/>
    <s v="4毫米厚釜電飯煲1.8L"/>
    <s v="細電"/>
    <s v="SDA"/>
    <s v="18nmf"/>
    <n v="1"/>
    <n v="799"/>
    <n v="799"/>
    <n v="519978"/>
    <m/>
    <m/>
    <s v="RC-18NMFIH(WT) 519978"/>
    <n v="998"/>
    <n v="0.80060120240480959"/>
    <s v="Toshiba SRP"/>
    <n v="1111"/>
    <s v="1111519978"/>
  </r>
  <r>
    <n v="2091"/>
    <s v="Fortress"/>
    <s v="good hope"/>
    <x v="33"/>
    <n v="3"/>
    <x v="18"/>
    <x v="66"/>
    <s v="變頻下置式雙門雪櫃（163L）"/>
    <s v="大電"/>
    <s v="REF"/>
    <s v="rb221"/>
    <n v="1"/>
    <n v="1880"/>
    <n v="1880"/>
    <n v="519965"/>
    <m/>
    <m/>
    <s v="GR-RB221WE-PMA(57) 519965"/>
    <n v="3480"/>
    <n v="0.54022988505747127"/>
    <s v="Toshiba SRP"/>
    <n v="1111"/>
    <s v="1111519965"/>
  </r>
  <r>
    <n v="2092"/>
    <s v="Fortress"/>
    <s v="good hope"/>
    <x v="33"/>
    <n v="3"/>
    <x v="18"/>
    <x v="87"/>
    <s v="變頻式環保雙門雪櫃(233L)"/>
    <s v="大電"/>
    <s v="REF"/>
    <s v="rt300"/>
    <n v="1"/>
    <n v="2780"/>
    <n v="2780"/>
    <n v="519974"/>
    <m/>
    <m/>
    <s v="GR-RT300WE-PMA(57) 519974"/>
    <n v="4280"/>
    <n v="0.64953271028037385"/>
    <s v="Toshiba SRP"/>
    <n v="1111"/>
    <s v="1111519974"/>
  </r>
  <r>
    <n v="2093"/>
    <s v="Fortress"/>
    <s v="good hope"/>
    <x v="33"/>
    <n v="3"/>
    <x v="18"/>
    <x v="17"/>
    <s v="4毫米厚釜電飯煲1L"/>
    <s v="細電"/>
    <s v="SDA"/>
    <s v="10nmf"/>
    <n v="1"/>
    <n v="719"/>
    <n v="719"/>
    <n v="519980"/>
    <m/>
    <m/>
    <s v="RC-10NMFIH(WT) 519980"/>
    <n v="898"/>
    <n v="0.80066815144766146"/>
    <s v="Toshiba SRP"/>
    <n v="1111"/>
    <s v="1111519980"/>
  </r>
  <r>
    <n v="2094"/>
    <s v="Fortress"/>
    <s v="good hope"/>
    <x v="33"/>
    <n v="3"/>
    <x v="19"/>
    <x v="45"/>
    <s v="備長炭本厚釜電飯煲0.7L"/>
    <s v="細電"/>
    <s v="SDA"/>
    <s v="7hmh"/>
    <n v="1"/>
    <n v="898"/>
    <n v="898"/>
    <n v="520020"/>
    <m/>
    <m/>
    <s v="RC-7HMH 520020"/>
    <n v="1288"/>
    <n v="0.69720496894409933"/>
    <s v="Toshiba SRP"/>
    <n v="1111"/>
    <s v="1111520020"/>
  </r>
  <r>
    <n v="2095"/>
    <s v="Fortress"/>
    <s v="good hope"/>
    <x v="33"/>
    <n v="3"/>
    <x v="19"/>
    <x v="86"/>
    <s v="470MM超薄身前置式變頻洗衣乾衣機 (洗8.5公斤 乾6公斤)"/>
    <s v="大電"/>
    <s v="LAD"/>
    <s v="twdt21"/>
    <n v="1"/>
    <n v="3999"/>
    <n v="3999"/>
    <n v="520019"/>
    <m/>
    <m/>
    <s v="TWD-T21BU95UWH(WW) 520019"/>
    <n v="7280"/>
    <n v="0.54931318681318686"/>
    <s v="Toshiba SRP"/>
    <n v="1111"/>
    <s v="1111520019"/>
  </r>
  <r>
    <n v="2096"/>
    <s v="Fortress"/>
    <s v="good hope"/>
    <x v="33"/>
    <n v="3"/>
    <x v="19"/>
    <x v="0"/>
    <s v="超薄身前置式洗衣乾衣機 (洗8公斤 乾5公斤)"/>
    <s v="大電"/>
    <s v="WM"/>
    <s v="bn90"/>
    <n v="1"/>
    <n v="3980"/>
    <n v="3980"/>
    <n v="520049"/>
    <m/>
    <m/>
    <s v="TWD-BN90GF4H(WK) 520049"/>
    <n v="5980"/>
    <n v="0.66555183946488294"/>
    <s v="Toshiba SRP"/>
    <n v="1111"/>
    <s v="1111520049"/>
  </r>
  <r>
    <n v="2097"/>
    <s v="Fortress"/>
    <s v="good hope"/>
    <x v="33"/>
    <n v="3"/>
    <x v="19"/>
    <x v="77"/>
    <s v="470MM超薄身前置式變頻洗衣乾衣機 (洗8.5公斤/乾6公斤, 可飛頂)"/>
    <s v="大電"/>
    <s v="LAD"/>
    <s v="twdt22"/>
    <n v="1"/>
    <n v="4780"/>
    <n v="4780"/>
    <n v="520071"/>
    <m/>
    <m/>
    <s v="TWD-T22BU95UWH(WK)-B 520071"/>
    <n v="7480"/>
    <n v="0.63903743315508021"/>
    <s v="Toshiba SRP"/>
    <n v="1111"/>
    <s v="1111520071"/>
  </r>
  <r>
    <n v="2098"/>
    <s v="Fortress"/>
    <s v="good hope"/>
    <x v="33"/>
    <n v="3"/>
    <x v="19"/>
    <x v="30"/>
    <s v="旋鈕式燒烤微波爐20L"/>
    <s v="細電"/>
    <s v="SDA"/>
    <s v="mm20"/>
    <n v="1"/>
    <n v="488"/>
    <n v="488"/>
    <n v="520008"/>
    <m/>
    <m/>
    <s v="MWP-MM20P(WH) 520008"/>
    <n v="648"/>
    <n v="0.75308641975308643"/>
    <s v="Toshiba SRP"/>
    <n v="1111"/>
    <s v="1111520008"/>
  </r>
  <r>
    <n v="2099"/>
    <s v="Fortress"/>
    <s v="good hope"/>
    <x v="33"/>
    <n v="3"/>
    <x v="19"/>
    <x v="93"/>
    <s v="座檯式洗碗碟機"/>
    <s v="細電"/>
    <s v="DW"/>
    <s v="05t2"/>
    <n v="1"/>
    <n v="3780"/>
    <n v="3780"/>
    <n v="520063"/>
    <m/>
    <m/>
    <s v="DW-05T2-HK 520063"/>
    <n v="4580"/>
    <n v="0.8253275109170306"/>
    <s v="Toshiba SRP"/>
    <n v="1111"/>
    <s v="1111520063"/>
  </r>
  <r>
    <n v="2100"/>
    <s v="Fortress"/>
    <s v="good hope"/>
    <x v="33"/>
    <n v="3"/>
    <x v="20"/>
    <x v="30"/>
    <s v="旋鈕式燒烤微波爐20L"/>
    <s v="細電"/>
    <s v="SDA"/>
    <s v="mm20"/>
    <n v="1"/>
    <n v="488"/>
    <n v="488"/>
    <n v="520087"/>
    <m/>
    <m/>
    <s v="MWP-MM20P(WH) 520087"/>
    <n v="648"/>
    <n v="0.75308641975308643"/>
    <s v="Toshiba SRP"/>
    <n v="1111"/>
    <s v="1111520087"/>
  </r>
  <r>
    <n v="2101"/>
    <s v="Fortress"/>
    <s v="good hope"/>
    <x v="33"/>
    <n v="3"/>
    <x v="20"/>
    <x v="74"/>
    <s v="4合1氣炸微波蒸焗爐(25公升)"/>
    <s v="細電"/>
    <s v="MCA"/>
    <s v="str25"/>
    <n v="1"/>
    <n v="3580"/>
    <n v="3580"/>
    <n v="520113"/>
    <m/>
    <m/>
    <s v="MX2-STR25SC(WH) 520113"/>
    <n v="4998"/>
    <n v="0.71628651460584236"/>
    <s v="Toshiba SRP"/>
    <n v="1111"/>
    <s v="1111520113"/>
  </r>
  <r>
    <n v="2102"/>
    <s v="Fortress"/>
    <s v="good hope"/>
    <x v="33"/>
    <n v="3"/>
    <x v="20"/>
    <x v="31"/>
    <s v="無線雙層電熱水壺(1.7公升)"/>
    <s v="細電"/>
    <s v="SDA"/>
    <s v="17drt"/>
    <n v="1"/>
    <n v="388"/>
    <n v="388"/>
    <n v="520088"/>
    <m/>
    <m/>
    <s v="KT-17DRTHK(H) 520088"/>
    <n v="498"/>
    <n v="0.77911646586345384"/>
    <s v="Toshiba SRP"/>
    <n v="1111"/>
    <s v="1111520088"/>
  </r>
  <r>
    <n v="2103"/>
    <s v="Fortress"/>
    <s v="good hope"/>
    <x v="33"/>
    <n v="3"/>
    <x v="20"/>
    <x v="31"/>
    <s v="無線雙層電熱水壺(1.7公升)"/>
    <s v="細電"/>
    <s v="SDA"/>
    <s v="17drt"/>
    <n v="1"/>
    <n v="388"/>
    <n v="388"/>
    <n v="520091"/>
    <m/>
    <m/>
    <s v="KT-17DRTHK(H) 520091"/>
    <n v="498"/>
    <n v="0.77911646586345384"/>
    <s v="Toshiba SRP"/>
    <n v="1111"/>
    <s v="1111520091"/>
  </r>
  <r>
    <n v="2104"/>
    <s v="Fortress"/>
    <s v="good hope"/>
    <x v="33"/>
    <n v="3"/>
    <x v="20"/>
    <x v="47"/>
    <s v="磁應電飯煲(1公升)"/>
    <s v="細電"/>
    <s v="SDA"/>
    <s v="10iss"/>
    <n v="1"/>
    <n v="938"/>
    <n v="938"/>
    <n v="520106"/>
    <m/>
    <m/>
    <s v="RC-10ISSHK(W) 520106"/>
    <n v="1188"/>
    <n v="0.78956228956228958"/>
    <s v="Shops Highest Price"/>
    <n v="1111"/>
    <s v="1111520106"/>
  </r>
  <r>
    <n v="2105"/>
    <s v="Fortress"/>
    <s v="good hope"/>
    <x v="33"/>
    <n v="3"/>
    <x v="20"/>
    <x v="66"/>
    <s v="變頻下置式雙門雪櫃（163L）"/>
    <s v="大電"/>
    <s v="REF"/>
    <s v="rb221"/>
    <n v="1"/>
    <n v="1880"/>
    <n v="1880"/>
    <n v="520083"/>
    <m/>
    <m/>
    <s v="GR-RB221WE-PMA(57) 520083"/>
    <n v="3480"/>
    <n v="0.54022988505747127"/>
    <s v="Toshiba SRP"/>
    <n v="1111"/>
    <s v="1111520083"/>
  </r>
  <r>
    <n v="2106"/>
    <s v="Fortress"/>
    <s v="good hope"/>
    <x v="33"/>
    <n v="3"/>
    <x v="20"/>
    <x v="132"/>
    <s v="雙門雪櫃"/>
    <s v="大電"/>
    <s v="REF"/>
    <s v="rb410"/>
    <n v="1"/>
    <n v="3980"/>
    <n v="3980"/>
    <n v="520104"/>
    <m/>
    <m/>
    <s v="GR-RB410WE-PMA(06) 520104"/>
    <n v="4000"/>
    <n v="0.995"/>
    <s v="Shops Highest Price"/>
    <n v="1111"/>
    <s v="1111520104"/>
  </r>
  <r>
    <n v="2107"/>
    <s v="Fortress"/>
    <s v="good hope"/>
    <x v="33"/>
    <n v="3"/>
    <x v="20"/>
    <x v="86"/>
    <s v="470MM超薄身前置式變頻洗衣乾衣機 (洗8.5公斤 乾6公斤)"/>
    <s v="大電"/>
    <s v="LAD"/>
    <s v="twdt21"/>
    <n v="1"/>
    <n v="3999"/>
    <n v="3999"/>
    <n v="520095"/>
    <m/>
    <m/>
    <s v="TWD-T21BU95UWH(WW) 520095"/>
    <n v="7280"/>
    <n v="0.54931318681318686"/>
    <s v="Toshiba SRP"/>
    <n v="1111"/>
    <s v="1111520095"/>
  </r>
  <r>
    <n v="2108"/>
    <s v="Fortress"/>
    <s v="good hope"/>
    <x v="33"/>
    <n v="3"/>
    <x v="20"/>
    <x v="86"/>
    <s v="470MM超薄身前置式變頻洗衣乾衣機 (洗8.5公斤 乾6公斤)"/>
    <s v="大電"/>
    <s v="LAD"/>
    <s v="twdt21"/>
    <n v="1"/>
    <n v="3999"/>
    <n v="3999"/>
    <n v="520104"/>
    <m/>
    <m/>
    <s v="TWD-T21BU95UWH(WW) 520104"/>
    <n v="7280"/>
    <n v="0.54931318681318686"/>
    <s v="Toshiba SRP"/>
    <n v="1111"/>
    <s v="1111520104"/>
  </r>
  <r>
    <n v="2109"/>
    <s v="Fortress"/>
    <s v="good hope"/>
    <x v="33"/>
    <n v="3"/>
    <x v="21"/>
    <x v="17"/>
    <s v="4毫米厚釜電飯煲1L"/>
    <s v="細電"/>
    <s v="SDA"/>
    <s v="10nmf"/>
    <n v="1"/>
    <n v="719"/>
    <n v="719"/>
    <n v="520149"/>
    <m/>
    <m/>
    <s v="RC-10NMFIH(WT) 520149"/>
    <n v="898"/>
    <n v="0.80066815144766146"/>
    <s v="Toshiba SRP"/>
    <n v="1111"/>
    <s v="1111520149"/>
  </r>
  <r>
    <n v="2110"/>
    <s v="Fortress"/>
    <s v="good hope"/>
    <x v="33"/>
    <n v="3"/>
    <x v="21"/>
    <x v="69"/>
    <s v="多功能備長炭本厚釜電飯煲1.8L"/>
    <s v="細電"/>
    <s v="SDA"/>
    <s v="18drnh"/>
    <n v="1"/>
    <n v="549"/>
    <n v="549"/>
    <n v="520173"/>
    <m/>
    <m/>
    <s v="RC-18DRNH 520173"/>
    <n v="898"/>
    <n v="0.61135857461024501"/>
    <s v="Toshiba SRP"/>
    <n v="1111"/>
    <s v="1111520173"/>
  </r>
  <r>
    <n v="2111"/>
    <s v="Fortress"/>
    <s v="good hope"/>
    <x v="33"/>
    <n v="3"/>
    <x v="21"/>
    <x v="54"/>
    <s v="低醣磁應電飯煲1L"/>
    <s v="細電"/>
    <s v="SDA"/>
    <s v="10irph"/>
    <n v="1"/>
    <n v="798"/>
    <n v="798"/>
    <n v="520164"/>
    <m/>
    <m/>
    <s v="RC-10IRPH 520164"/>
    <n v="1388"/>
    <n v="0.5749279538904899"/>
    <s v="Toshiba SRP"/>
    <n v="1111"/>
    <s v="1111520164"/>
  </r>
  <r>
    <n v="2112"/>
    <s v="Fortress"/>
    <s v="good hope"/>
    <x v="33"/>
    <n v="3"/>
    <x v="21"/>
    <x v="41"/>
    <s v="低醣磁應電飯煲1.8L"/>
    <s v="細電"/>
    <s v="SDA"/>
    <s v="18isph"/>
    <n v="1"/>
    <n v="898"/>
    <n v="898"/>
    <n v="520147"/>
    <m/>
    <m/>
    <s v="RC-18ISPH 520147"/>
    <n v="1436"/>
    <n v="0.62534818941504178"/>
    <s v="Shops Highest Price"/>
    <n v="1111"/>
    <s v="1111520147"/>
  </r>
  <r>
    <n v="2113"/>
    <s v="Fortress"/>
    <s v="good hope"/>
    <x v="33"/>
    <n v="3"/>
    <x v="21"/>
    <x v="121"/>
    <s v="IH磁應電飯煲"/>
    <s v="細電"/>
    <s v="SDA"/>
    <s v="ds10kw"/>
    <n v="1"/>
    <n v="3150"/>
    <n v="3150"/>
    <n v="520178"/>
    <m/>
    <m/>
    <s v="RC-DS10K(N) 520178"/>
    <n v="4588"/>
    <n v="0.68657367044463824"/>
    <s v="Toshiba SRP"/>
    <n v="1111"/>
    <s v="1111520178"/>
  </r>
  <r>
    <n v="2114"/>
    <s v="Fortress"/>
    <s v="good hope"/>
    <x v="33"/>
    <n v="3"/>
    <x v="21"/>
    <x v="66"/>
    <s v="變頻下置式雙門雪櫃（163L）"/>
    <s v="大電"/>
    <s v="REF"/>
    <s v="rb221"/>
    <n v="1"/>
    <n v="1880"/>
    <n v="1880"/>
    <n v="520136"/>
    <m/>
    <m/>
    <s v="GR-RB221WE-PMA(57) 520136"/>
    <n v="3480"/>
    <n v="0.54022988505747127"/>
    <s v="Toshiba SRP"/>
    <n v="1111"/>
    <s v="1111520136"/>
  </r>
  <r>
    <n v="2115"/>
    <s v="Fortress"/>
    <s v="good hope"/>
    <x v="33"/>
    <n v="3"/>
    <x v="21"/>
    <x v="66"/>
    <s v="變頻下置式雙門雪櫃（163L）"/>
    <s v="大電"/>
    <s v="REF"/>
    <s v="rb221"/>
    <n v="1"/>
    <n v="1880"/>
    <n v="1880"/>
    <n v="520154"/>
    <m/>
    <m/>
    <s v="GR-RB221WE-PMA(57) 520154"/>
    <n v="3480"/>
    <n v="0.54022988505747127"/>
    <s v="Toshiba SRP"/>
    <n v="1111"/>
    <s v="1111520154"/>
  </r>
  <r>
    <n v="2116"/>
    <s v="Fortress"/>
    <s v="good hope"/>
    <x v="33"/>
    <n v="3"/>
    <x v="21"/>
    <x v="87"/>
    <s v="變頻式環保雙門雪櫃(233L)"/>
    <s v="大電"/>
    <s v="REF"/>
    <s v="rt300"/>
    <n v="1"/>
    <n v="2780"/>
    <n v="2780"/>
    <n v="520139"/>
    <m/>
    <m/>
    <s v="GR-RT300WE-PMA(57) 520139"/>
    <n v="4280"/>
    <n v="0.64953271028037385"/>
    <s v="Toshiba SRP"/>
    <n v="1111"/>
    <s v="1111520139"/>
  </r>
  <r>
    <n v="2117"/>
    <s v="Fortress"/>
    <s v="good hope"/>
    <x v="33"/>
    <n v="3"/>
    <x v="21"/>
    <x v="22"/>
    <s v="變頻五門雪櫃(375L)"/>
    <s v="大電"/>
    <s v="REF"/>
    <s v="rm612"/>
    <n v="1"/>
    <n v="8880"/>
    <n v="8880"/>
    <n v="520172"/>
    <m/>
    <m/>
    <s v="GR-RM612WE-PGA(B5) 520172"/>
    <n v="11000"/>
    <n v="0.80727272727272725"/>
    <s v="Shops Highest Price"/>
    <n v="1111"/>
    <s v="1111520172"/>
  </r>
  <r>
    <n v="2118"/>
    <s v="Fortress"/>
    <s v="good hope"/>
    <x v="33"/>
    <n v="3"/>
    <x v="21"/>
    <x v="40"/>
    <s v="400MM超薄身前置式變頻洗衣機(7公斤)"/>
    <s v="大電"/>
    <s v="LAD"/>
    <s v="bu80"/>
    <n v="1"/>
    <n v="3190"/>
    <n v="3190"/>
    <n v="520143"/>
    <m/>
    <m/>
    <s v="TW-T21BU80UWH(MG) 520143"/>
    <n v="5180"/>
    <n v="0.61583011583011582"/>
    <s v="Toshiba SRP"/>
    <n v="1111"/>
    <s v="1111520143"/>
  </r>
  <r>
    <n v="2119"/>
    <s v="Fortress"/>
    <s v="good hope"/>
    <x v="33"/>
    <n v="3"/>
    <x v="21"/>
    <x v="40"/>
    <s v="400MM超薄身前置式變頻洗衣機(7公斤)"/>
    <s v="大電"/>
    <s v="LAD"/>
    <s v="bu80"/>
    <n v="1"/>
    <n v="3190"/>
    <n v="3190"/>
    <n v="520154"/>
    <m/>
    <m/>
    <s v="TW-T21BU80UWH(MG) 520154"/>
    <n v="5180"/>
    <n v="0.61583011583011582"/>
    <s v="Toshiba SRP"/>
    <n v="1111"/>
    <s v="1111520154"/>
  </r>
  <r>
    <n v="2120"/>
    <s v="Fortress"/>
    <s v="good hope"/>
    <x v="33"/>
    <n v="3"/>
    <x v="21"/>
    <x v="43"/>
    <s v="470MM超薄身前置式變頻洗衣機(8.5公斤, 可飛頂)"/>
    <s v="大電"/>
    <s v="LAD"/>
    <s v="t2295"/>
    <n v="1"/>
    <n v="3680"/>
    <n v="3680"/>
    <n v="520133"/>
    <m/>
    <m/>
    <s v="TW-T22BU95UWH(WK)-B 520133"/>
    <n v="5880"/>
    <n v="0.62585034013605445"/>
    <s v="Toshiba SRP"/>
    <n v="1111"/>
    <s v="1111520133"/>
  </r>
  <r>
    <n v="2121"/>
    <s v="Fortress"/>
    <s v="good hope"/>
    <x v="33"/>
    <n v="3"/>
    <x v="21"/>
    <x v="95"/>
    <s v="抗菌除臭空氣清淨機"/>
    <s v="細電"/>
    <s v="AP"/>
    <s v="a400"/>
    <n v="1"/>
    <n v="888"/>
    <n v="888"/>
    <n v="520180"/>
    <m/>
    <m/>
    <s v="CAF-A400HK(H) 520180"/>
    <n v="1500"/>
    <n v="0.59199999999999997"/>
    <s v="Shops Highest Price"/>
    <n v="1111"/>
    <s v="1111520180"/>
  </r>
  <r>
    <n v="2122"/>
    <s v="Fortress"/>
    <s v="good hope"/>
    <x v="33"/>
    <n v="3"/>
    <x v="21"/>
    <x v="63"/>
    <s v="20L 智能蒸氣焗爐"/>
    <s v="細電"/>
    <s v="MCA"/>
    <s v="stq20"/>
    <n v="1"/>
    <n v="2100"/>
    <n v="2100"/>
    <n v="520162"/>
    <m/>
    <m/>
    <s v="MS3-STQ20SC(WH) 520162"/>
    <n v="2880"/>
    <n v="0.72916666666666663"/>
    <s v="Toshiba SRP"/>
    <n v="1111"/>
    <s v="1111520162"/>
  </r>
  <r>
    <n v="2123"/>
    <s v="Fortress"/>
    <s v="good hope"/>
    <x v="33"/>
    <n v="3"/>
    <x v="21"/>
    <x v="74"/>
    <s v="4合1氣炸微波蒸焗爐(25公升)"/>
    <s v="細電"/>
    <s v="MCA"/>
    <s v="str25"/>
    <n v="1"/>
    <n v="3580"/>
    <n v="3580"/>
    <n v="520189"/>
    <m/>
    <m/>
    <s v="MX2-STR25SC(WH) 520189"/>
    <n v="4998"/>
    <n v="0.71628651460584236"/>
    <s v="Toshiba SRP"/>
    <n v="1111"/>
    <s v="1111520189"/>
  </r>
  <r>
    <n v="2124"/>
    <s v="Fortress"/>
    <s v="good hope"/>
    <x v="33"/>
    <n v="3"/>
    <x v="21"/>
    <x v="37"/>
    <s v="電熱水瓶 (5公升)"/>
    <s v="細電"/>
    <s v="SDA"/>
    <s v="50dr"/>
    <n v="1"/>
    <n v="598"/>
    <n v="598"/>
    <n v="520141"/>
    <m/>
    <m/>
    <s v="TP-50DRUHK(W) 520141"/>
    <n v="718"/>
    <n v="0.83286908077994426"/>
    <s v="Toshiba SRP"/>
    <n v="1111"/>
    <s v="1111520141"/>
  </r>
  <r>
    <n v="2125"/>
    <s v="Fortress"/>
    <s v="good hope"/>
    <x v="33"/>
    <n v="3"/>
    <x v="21"/>
    <x v="44"/>
    <s v="1.7L無線雙層電熱水壺"/>
    <s v="細電"/>
    <s v="SDA"/>
    <s v="17shnh"/>
    <n v="1"/>
    <n v="198"/>
    <n v="198"/>
    <n v="520121"/>
    <m/>
    <m/>
    <s v="KT-17SHNH 520121"/>
    <n v="299"/>
    <n v="0.66220735785953178"/>
    <s v="Shops Highest Price"/>
    <n v="1111"/>
    <s v="1111520121"/>
  </r>
  <r>
    <n v="2126"/>
    <s v="Fortress"/>
    <s v="good hope"/>
    <x v="33"/>
    <n v="3"/>
    <x v="21"/>
    <x v="73"/>
    <s v="Comfee 3/4匹變頻窗口式冷氣機"/>
    <s v="大電"/>
    <s v="RAC"/>
    <s v="07crf"/>
    <n v="1"/>
    <n v="2990"/>
    <n v="2990"/>
    <n v="520163"/>
    <m/>
    <m/>
    <s v="CWF-07CRFN8-AD5 520163"/>
    <n v="3800"/>
    <n v="0.7868421052631579"/>
    <s v="Shops Highest Price"/>
    <n v="1111"/>
    <s v="1111520163"/>
  </r>
  <r>
    <n v="2127"/>
    <s v="Fortress"/>
    <s v="good hope"/>
    <x v="34"/>
    <n v="3"/>
    <x v="30"/>
    <x v="133"/>
    <s v="單門直冷式環保雪櫃81L"/>
    <s v="大電"/>
    <s v="REF"/>
    <s v="913m"/>
    <n v="1"/>
    <n v="1480"/>
    <n v="1480"/>
    <n v="520217"/>
    <m/>
    <m/>
    <s v="GR-H913(MG) 520217"/>
    <n v="1980"/>
    <n v="0.74747474747474751"/>
    <s v="Toshiba SRP"/>
    <n v="1111"/>
    <s v="1111520217"/>
  </r>
  <r>
    <n v="2128"/>
    <s v="Fortress"/>
    <s v="good hope"/>
    <x v="34"/>
    <n v="3"/>
    <x v="30"/>
    <x v="133"/>
    <s v="單門直冷式環保雪櫃81L"/>
    <s v="大電"/>
    <s v="REF"/>
    <s v="913m"/>
    <n v="1"/>
    <n v="1480"/>
    <n v="1480"/>
    <n v="520223"/>
    <m/>
    <m/>
    <s v="GR-H913(MG) 520223"/>
    <n v="1980"/>
    <n v="0.74747474747474751"/>
    <s v="Toshiba SRP"/>
    <n v="1111"/>
    <s v="1111520223"/>
  </r>
  <r>
    <n v="2129"/>
    <s v="Fortress"/>
    <s v="good hope"/>
    <x v="34"/>
    <n v="3"/>
    <x v="30"/>
    <x v="110"/>
    <s v="變頻六門雪櫃(451L)"/>
    <s v="大電"/>
    <s v="REF"/>
    <s v="rm598"/>
    <n v="1"/>
    <n v="9600"/>
    <n v="9600"/>
    <n v="520206"/>
    <m/>
    <m/>
    <s v="GR-RM598WE-PGA(B3) 520206"/>
    <n v="14980"/>
    <n v="0.64085447263017359"/>
    <s v="Toshiba SRP"/>
    <n v="1111"/>
    <s v="1111520206"/>
  </r>
  <r>
    <n v="2130"/>
    <s v="Fortress"/>
    <s v="good hope"/>
    <x v="34"/>
    <n v="3"/>
    <x v="22"/>
    <x v="17"/>
    <s v="4毫米厚釜電飯煲1L"/>
    <s v="細電"/>
    <s v="SDA"/>
    <s v="10nmf"/>
    <n v="1"/>
    <n v="719"/>
    <n v="719"/>
    <n v="520246"/>
    <m/>
    <m/>
    <s v="RC-10NMFIH(WT) 520246"/>
    <n v="898"/>
    <n v="0.80066815144766146"/>
    <s v="Toshiba SRP"/>
    <n v="1111"/>
    <s v="1111520246"/>
  </r>
  <r>
    <n v="2131"/>
    <s v="Fortress"/>
    <s v="good hope"/>
    <x v="34"/>
    <n v="3"/>
    <x v="22"/>
    <x v="39"/>
    <s v="酵活炊電飯煲(1.0公升)"/>
    <s v="細電"/>
    <s v="SDA"/>
    <s v="10amx"/>
    <n v="1"/>
    <n v="990"/>
    <n v="990"/>
    <n v="520238"/>
    <m/>
    <m/>
    <s v="RC-10AMXH(W) 520238"/>
    <n v="1288"/>
    <n v="0.76863354037267084"/>
    <s v="Toshiba SRP"/>
    <n v="1111"/>
    <s v="1111520238"/>
  </r>
  <r>
    <n v="2132"/>
    <s v="Fortress"/>
    <s v="good hope"/>
    <x v="33"/>
    <n v="3"/>
    <x v="23"/>
    <x v="39"/>
    <s v="酵活炊電飯煲(1.0公升)"/>
    <s v="細電"/>
    <s v="SDA"/>
    <s v="10amx"/>
    <n v="1"/>
    <n v="990"/>
    <n v="990"/>
    <n v="520282"/>
    <m/>
    <m/>
    <s v="RC-10AMXH(W) 520282"/>
    <n v="1288"/>
    <n v="0.76863354037267084"/>
    <s v="Toshiba SRP"/>
    <n v="1111"/>
    <s v="1111520282"/>
  </r>
  <r>
    <n v="2133"/>
    <s v="Fortress"/>
    <s v="good hope"/>
    <x v="33"/>
    <n v="3"/>
    <x v="23"/>
    <x v="66"/>
    <s v="變頻下置式雙門雪櫃（163L）"/>
    <s v="大電"/>
    <s v="REF"/>
    <s v="rb221"/>
    <n v="1"/>
    <n v="1880"/>
    <n v="1880"/>
    <n v="520305"/>
    <m/>
    <m/>
    <s v="GR-RB221WE-PMA(57) 520305"/>
    <n v="3480"/>
    <n v="0.54022988505747127"/>
    <s v="Toshiba SRP"/>
    <n v="1111"/>
    <s v="1111520305"/>
  </r>
  <r>
    <n v="2134"/>
    <s v="Fortress"/>
    <s v="good hope"/>
    <x v="33"/>
    <n v="3"/>
    <x v="23"/>
    <x v="111"/>
    <s v="470MM超薄身前置式變頻洗衣機(8.5公斤)"/>
    <s v="大電"/>
    <s v="LAD"/>
    <s v="bu95"/>
    <n v="1"/>
    <n v="3680"/>
    <n v="3680"/>
    <n v="520303"/>
    <m/>
    <m/>
    <s v="TW-T21BU95UWH(MG) 520303"/>
    <n v="3980"/>
    <n v="0.92462311557788945"/>
    <s v="Shops Highest Price"/>
    <n v="1111"/>
    <s v="1111520303"/>
  </r>
  <r>
    <n v="2135"/>
    <s v="Fortress"/>
    <s v="good hope"/>
    <x v="33"/>
    <n v="3"/>
    <x v="23"/>
    <x v="8"/>
    <s v="電壓力鍋"/>
    <s v="細電"/>
    <s v="SDA"/>
    <s v="48drs"/>
    <n v="1"/>
    <n v="838"/>
    <n v="838"/>
    <n v="520294"/>
    <m/>
    <m/>
    <s v="PC-48DRSHK(K) 520294"/>
    <n v="1188"/>
    <n v="0.70538720538720534"/>
    <s v="Shops Highest Price"/>
    <n v="1111"/>
    <s v="1111520294"/>
  </r>
  <r>
    <n v="2136"/>
    <s v="Fortress"/>
    <s v="good hope"/>
    <x v="33"/>
    <n v="3"/>
    <x v="23"/>
    <x v="37"/>
    <s v="電熱水瓶 (5公升)"/>
    <s v="細電"/>
    <s v="SDA"/>
    <s v="50dr"/>
    <n v="1"/>
    <n v="598"/>
    <n v="598"/>
    <n v="520285"/>
    <m/>
    <m/>
    <s v="TP-50DRUHK(W) 520285"/>
    <n v="718"/>
    <n v="0.83286908077994426"/>
    <s v="Toshiba SRP"/>
    <n v="1111"/>
    <s v="1111520285"/>
  </r>
  <r>
    <n v="2137"/>
    <s v="Fortress"/>
    <s v="good hope"/>
    <x v="33"/>
    <n v="3"/>
    <x v="24"/>
    <x v="0"/>
    <s v="超薄身前置式洗衣乾衣機 (洗8公斤 乾5公斤)"/>
    <s v="大電"/>
    <s v="WM"/>
    <s v="bn90"/>
    <n v="1"/>
    <n v="3980"/>
    <n v="3980"/>
    <n v="520321"/>
    <m/>
    <m/>
    <s v="TWD-BN90GF4H(WK) 520321"/>
    <n v="5980"/>
    <n v="0.66555183946488294"/>
    <s v="Toshiba SRP"/>
    <n v="1111"/>
    <s v="1111520321"/>
  </r>
  <r>
    <n v="2138"/>
    <s v="Fortress"/>
    <s v="good hope"/>
    <x v="33"/>
    <n v="3"/>
    <x v="24"/>
    <x v="24"/>
    <s v="微型電腦珍珠飯煲"/>
    <s v="細電"/>
    <s v="SDA"/>
    <s v="5sli"/>
    <n v="1"/>
    <n v="593"/>
    <n v="593"/>
    <n v="520314"/>
    <m/>
    <m/>
    <s v="RC-5SLIH(W) 520314"/>
    <n v="658"/>
    <n v="0.90121580547112456"/>
    <s v="Toshiba SRP"/>
    <n v="1111"/>
    <s v="1111520314"/>
  </r>
  <r>
    <n v="2139"/>
    <s v="Fortress"/>
    <s v="good hope"/>
    <x v="33"/>
    <n v="3"/>
    <x v="24"/>
    <x v="27"/>
    <s v="4毫米厚釜電飯煲1.8L"/>
    <s v="細電"/>
    <s v="SDA"/>
    <s v="18nmf"/>
    <n v="1"/>
    <n v="799"/>
    <n v="799"/>
    <n v="520310"/>
    <m/>
    <m/>
    <s v="RC-18NMFIH(WT) 520310"/>
    <n v="998"/>
    <n v="0.80060120240480959"/>
    <s v="Toshiba SRP"/>
    <n v="1111"/>
    <s v="1111520310"/>
  </r>
  <r>
    <n v="2140"/>
    <s v="Fortress"/>
    <s v="good hope"/>
    <x v="33"/>
    <n v="3"/>
    <x v="24"/>
    <x v="69"/>
    <s v="多功能備長炭本厚釜電飯煲1.8L"/>
    <s v="細電"/>
    <s v="SDA"/>
    <s v="18drnh"/>
    <n v="1"/>
    <n v="619"/>
    <n v="619"/>
    <n v="520334"/>
    <m/>
    <m/>
    <s v="RC-18DRNH 520334"/>
    <n v="898"/>
    <n v="0.68930957683741645"/>
    <s v="Toshiba SRP"/>
    <n v="1111"/>
    <s v="1111520334"/>
  </r>
  <r>
    <n v="2141"/>
    <s v="Fortress"/>
    <s v="good hope"/>
    <x v="33"/>
    <n v="3"/>
    <x v="24"/>
    <x v="41"/>
    <s v="低醣磁應電飯煲1.8L"/>
    <s v="細電"/>
    <s v="SDA"/>
    <s v="18isph"/>
    <n v="1"/>
    <n v="898"/>
    <n v="898"/>
    <n v="520340"/>
    <m/>
    <m/>
    <s v="RC-18ISPH 520340"/>
    <n v="1436"/>
    <n v="0.62534818941504178"/>
    <s v="Shops Highest Price"/>
    <n v="1111"/>
    <s v="1111520340"/>
  </r>
  <r>
    <n v="2142"/>
    <s v="Fortress"/>
    <s v="good hope"/>
    <x v="33"/>
    <n v="3"/>
    <x v="24"/>
    <x v="39"/>
    <s v="酵活炊電飯煲(1.0公升)"/>
    <s v="細電"/>
    <s v="SDA"/>
    <s v="10amx"/>
    <n v="1"/>
    <n v="990"/>
    <n v="990"/>
    <n v="520311"/>
    <m/>
    <m/>
    <s v="RC-10AMXH(W) 520311"/>
    <n v="1288"/>
    <n v="0.76863354037267084"/>
    <s v="Toshiba SRP"/>
    <n v="1111"/>
    <s v="1111520311"/>
  </r>
  <r>
    <n v="2143"/>
    <s v="Fortress"/>
    <s v="good hope"/>
    <x v="33"/>
    <n v="3"/>
    <x v="24"/>
    <x v="110"/>
    <s v="變頻六門雪櫃(451L)"/>
    <s v="大電"/>
    <s v="REF"/>
    <s v="rm598"/>
    <n v="1"/>
    <n v="10990"/>
    <n v="10990"/>
    <n v="520308"/>
    <m/>
    <m/>
    <s v="GR-RM598WE-PGA(B3) 520308"/>
    <n v="14980"/>
    <n v="0.73364485981308414"/>
    <s v="Toshiba SRP"/>
    <n v="1111"/>
    <s v="1111520308"/>
  </r>
  <r>
    <n v="2144"/>
    <s v="Fortress"/>
    <s v="good hope"/>
    <x v="33"/>
    <n v="3"/>
    <x v="25"/>
    <x v="54"/>
    <s v="低醣磁應電飯煲1L"/>
    <s v="細電"/>
    <s v="SDA"/>
    <s v="10irph"/>
    <n v="1"/>
    <n v="798"/>
    <n v="798"/>
    <n v="520376"/>
    <m/>
    <m/>
    <s v="RC-10IRPH 520376"/>
    <n v="1388"/>
    <n v="0.5749279538904899"/>
    <s v="Toshiba SRP"/>
    <n v="1111"/>
    <s v="1111520376"/>
  </r>
  <r>
    <n v="2145"/>
    <s v="Fortress"/>
    <s v="good hope"/>
    <x v="33"/>
    <n v="3"/>
    <x v="25"/>
    <x v="66"/>
    <s v="變頻下置式雙門雪櫃（163L）"/>
    <s v="大電"/>
    <s v="REF"/>
    <s v="rb221"/>
    <n v="1"/>
    <n v="1880"/>
    <n v="1880"/>
    <n v="520348"/>
    <m/>
    <m/>
    <s v="GR-RB221WE-PMA(57) 520348"/>
    <n v="3480"/>
    <n v="0.54022988505747127"/>
    <s v="Toshiba SRP"/>
    <n v="1111"/>
    <s v="1111520348"/>
  </r>
  <r>
    <n v="2146"/>
    <s v="Fortress"/>
    <s v="good hope"/>
    <x v="33"/>
    <n v="3"/>
    <x v="25"/>
    <x v="76"/>
    <s v="日式洗衣機 (7公斤 結合高低水位)"/>
    <s v="大電"/>
    <s v="LAD"/>
    <s v="q801"/>
    <n v="1"/>
    <n v="1880"/>
    <n v="1880"/>
    <n v="520348"/>
    <m/>
    <m/>
    <s v="AW-Q801APH(WW) 520348"/>
    <n v="3380"/>
    <n v="0.55621301775147924"/>
    <s v="Toshiba SRP"/>
    <n v="1111"/>
    <s v="1111520348"/>
  </r>
  <r>
    <n v="2147"/>
    <s v="Fortress"/>
    <s v="good hope"/>
    <x v="33"/>
    <n v="3"/>
    <x v="25"/>
    <x v="63"/>
    <s v="20L 智能蒸氣焗爐"/>
    <s v="細電"/>
    <s v="MCA"/>
    <s v="stq20"/>
    <n v="1"/>
    <n v="2100"/>
    <n v="2100"/>
    <n v="520379"/>
    <m/>
    <m/>
    <s v="MS3-STQ20SC(WH) 520379"/>
    <n v="2880"/>
    <n v="0.72916666666666663"/>
    <s v="Toshiba SRP"/>
    <n v="1111"/>
    <s v="1111520379"/>
  </r>
  <r>
    <n v="2148"/>
    <s v="Fortress"/>
    <s v="good hope"/>
    <x v="33"/>
    <n v="3"/>
    <x v="25"/>
    <x v="107"/>
    <s v="1.5L無線雙層電熱水壺"/>
    <s v="細電"/>
    <s v="SDA"/>
    <s v="15drr"/>
    <n v="1"/>
    <n v="298"/>
    <n v="298"/>
    <n v="520373"/>
    <m/>
    <m/>
    <s v="KT-15DRRH 520373"/>
    <n v="438"/>
    <n v="0.68036529680365299"/>
    <s v="Toshiba SRP"/>
    <n v="1111"/>
    <s v="1111520373"/>
  </r>
  <r>
    <n v="2149"/>
    <s v="Fortress"/>
    <s v="good hope"/>
    <x v="33"/>
    <n v="3"/>
    <x v="26"/>
    <x v="31"/>
    <s v="無線雙層電熱水壺(1.7公升)"/>
    <s v="細電"/>
    <s v="SDA"/>
    <s v="17drt"/>
    <n v="1"/>
    <n v="388"/>
    <n v="388"/>
    <n v="126071"/>
    <m/>
    <m/>
    <s v="KT-17DRTHK(H) 126071"/>
    <n v="498"/>
    <n v="0.77911646586345384"/>
    <s v="Toshiba SRP"/>
    <n v="1111"/>
    <s v="1111126071"/>
  </r>
  <r>
    <n v="2150"/>
    <s v="Fortress"/>
    <s v="good hope"/>
    <x v="33"/>
    <n v="3"/>
    <x v="26"/>
    <x v="41"/>
    <s v="低醣磁應電飯煲1.8L"/>
    <s v="細電"/>
    <s v="SDA"/>
    <s v="18isph"/>
    <n v="1"/>
    <n v="898"/>
    <n v="898"/>
    <n v="520387"/>
    <m/>
    <m/>
    <s v="RC-18ISPH 520387"/>
    <n v="1436"/>
    <n v="0.62534818941504178"/>
    <s v="Shops Highest Price"/>
    <n v="1111"/>
    <s v="1111520387"/>
  </r>
  <r>
    <n v="2151"/>
    <s v="Fortress"/>
    <s v="good hope"/>
    <x v="33"/>
    <n v="3"/>
    <x v="26"/>
    <x v="39"/>
    <s v="酵活炊電飯煲(1.0公升)"/>
    <s v="細電"/>
    <s v="SDA"/>
    <s v="10amx"/>
    <n v="1"/>
    <n v="990"/>
    <n v="990"/>
    <n v="126081"/>
    <m/>
    <m/>
    <s v="RC-10AMXH(W) 126081"/>
    <n v="1288"/>
    <n v="0.76863354037267084"/>
    <s v="Toshiba SRP"/>
    <n v="1111"/>
    <s v="1111126081"/>
  </r>
  <r>
    <n v="2152"/>
    <s v="Fortress"/>
    <s v="good hope"/>
    <x v="33"/>
    <n v="3"/>
    <x v="26"/>
    <x v="78"/>
    <s v="變頻式環保雙門雪櫃（179L）"/>
    <s v="大電"/>
    <s v="REF"/>
    <s v="rt234"/>
    <n v="1"/>
    <n v="1980"/>
    <n v="1980"/>
    <n v="126078"/>
    <m/>
    <m/>
    <s v="GR-RT234WE-PMA(57) 126078"/>
    <n v="3680"/>
    <n v="0.53804347826086951"/>
    <s v="Toshiba SRP"/>
    <n v="1111"/>
    <s v="1111126078"/>
  </r>
  <r>
    <n v="2153"/>
    <s v="Fortress"/>
    <s v="good hope"/>
    <x v="33"/>
    <n v="3"/>
    <x v="26"/>
    <x v="66"/>
    <s v="變頻下置式雙門雪櫃（163L）"/>
    <s v="大電"/>
    <s v="REF"/>
    <s v="rb221"/>
    <n v="1"/>
    <n v="1880"/>
    <n v="1880"/>
    <n v="520426"/>
    <m/>
    <m/>
    <s v="GR-RB221WE-PMA(57) 520426"/>
    <n v="3480"/>
    <n v="0.54022988505747127"/>
    <s v="Toshiba SRP"/>
    <n v="1111"/>
    <s v="1111520426"/>
  </r>
  <r>
    <n v="2154"/>
    <s v="Fortress"/>
    <s v="good hope"/>
    <x v="33"/>
    <n v="3"/>
    <x v="26"/>
    <x v="87"/>
    <s v="變頻式環保雙門雪櫃(233L)"/>
    <s v="大電"/>
    <s v="REF"/>
    <s v="rt300"/>
    <n v="1"/>
    <n v="2780"/>
    <n v="2780"/>
    <n v="126072"/>
    <m/>
    <m/>
    <s v="GR-RT300WE-PMA(57) 126072"/>
    <n v="4280"/>
    <n v="0.64953271028037385"/>
    <s v="Toshiba SRP"/>
    <n v="1111"/>
    <s v="1111126072"/>
  </r>
  <r>
    <n v="2155"/>
    <s v="Fortress"/>
    <s v="good hope"/>
    <x v="33"/>
    <n v="3"/>
    <x v="27"/>
    <x v="66"/>
    <s v="變頻下置式雙門雪櫃（163L）"/>
    <s v="大電"/>
    <s v="REF"/>
    <s v="rb221"/>
    <n v="1"/>
    <n v="1880"/>
    <n v="1880"/>
    <n v="520488"/>
    <m/>
    <m/>
    <s v="GR-RB221WE-PMA(57) 520488"/>
    <n v="3480"/>
    <n v="0.54022988505747127"/>
    <s v="Toshiba SRP"/>
    <n v="1111"/>
    <s v="1111520488"/>
  </r>
  <r>
    <n v="2156"/>
    <s v="Fortress"/>
    <s v="good hope"/>
    <x v="33"/>
    <n v="3"/>
    <x v="27"/>
    <x v="87"/>
    <s v="變頻式環保雙門雪櫃(233L)"/>
    <s v="大電"/>
    <s v="REF"/>
    <s v="rt300"/>
    <n v="1"/>
    <n v="2780"/>
    <n v="2780"/>
    <n v="520472"/>
    <m/>
    <m/>
    <s v="GR-RT300WE-PMA(57) 520472"/>
    <n v="4280"/>
    <n v="0.64953271028037385"/>
    <s v="Toshiba SRP"/>
    <n v="1111"/>
    <s v="1111520472"/>
  </r>
  <r>
    <n v="2157"/>
    <s v="Fortress"/>
    <s v="good hope"/>
    <x v="33"/>
    <n v="3"/>
    <x v="27"/>
    <x v="87"/>
    <s v="變頻式環保雙門雪櫃(233L)"/>
    <s v="大電"/>
    <s v="REF"/>
    <s v="rt300"/>
    <n v="1"/>
    <n v="2780"/>
    <n v="2780"/>
    <n v="520486"/>
    <m/>
    <m/>
    <s v="GR-RT300WE-PMA(57) 520486"/>
    <n v="4280"/>
    <n v="0.64953271028037385"/>
    <s v="Toshiba SRP"/>
    <n v="1111"/>
    <s v="1111520486"/>
  </r>
  <r>
    <n v="2158"/>
    <s v="Fortress"/>
    <s v="good hope"/>
    <x v="33"/>
    <n v="3"/>
    <x v="27"/>
    <x v="111"/>
    <s v="470MM超薄身前置式變頻洗衣機(8.5公斤)"/>
    <s v="大電"/>
    <s v="LAD"/>
    <s v="bu95"/>
    <n v="1"/>
    <n v="3590"/>
    <n v="3590"/>
    <n v="520486"/>
    <m/>
    <m/>
    <s v="TW-T21BU95UWH(MG) 520486"/>
    <n v="3980"/>
    <n v="0.90201005025125625"/>
    <s v="Shops Highest Price"/>
    <n v="1111"/>
    <s v="1111520486"/>
  </r>
  <r>
    <n v="2159"/>
    <s v="Fortress"/>
    <s v="good hope"/>
    <x v="33"/>
    <n v="3"/>
    <x v="27"/>
    <x v="77"/>
    <s v="470MM超薄身前置式變頻洗衣乾衣機 (洗8.5公斤/乾6公斤, 可飛頂)"/>
    <s v="大電"/>
    <s v="LAD"/>
    <s v="twdt22"/>
    <n v="1"/>
    <n v="4780"/>
    <n v="4780"/>
    <n v="520461"/>
    <m/>
    <m/>
    <s v="TWD-T22BU95UWH(WK)-B 520461"/>
    <n v="7480"/>
    <n v="0.63903743315508021"/>
    <s v="Toshiba SRP"/>
    <n v="1111"/>
    <s v="1111520461"/>
  </r>
  <r>
    <n v="2160"/>
    <s v="Fortress"/>
    <s v="good hope"/>
    <x v="33"/>
    <n v="3"/>
    <x v="27"/>
    <x v="30"/>
    <s v="旋鈕式燒烤微波爐20L"/>
    <s v="細電"/>
    <s v="SDA"/>
    <s v="mm20"/>
    <n v="1"/>
    <n v="488"/>
    <n v="488"/>
    <n v="520450"/>
    <m/>
    <m/>
    <s v="MWP-MM20P(WH) 520450"/>
    <n v="648"/>
    <n v="0.75308641975308643"/>
    <s v="Toshiba SRP"/>
    <n v="1111"/>
    <s v="1111520450"/>
  </r>
  <r>
    <n v="2161"/>
    <s v="Fortress"/>
    <s v="good hope"/>
    <x v="33"/>
    <n v="3"/>
    <x v="27"/>
    <x v="9"/>
    <s v="電熱水瓶4.5L"/>
    <s v="細電"/>
    <s v="SDA"/>
    <s v="45sf"/>
    <n v="1"/>
    <n v="589"/>
    <n v="589"/>
    <n v="520472"/>
    <m/>
    <m/>
    <s v="PLK-45SFIH(WT) 520472"/>
    <n v="788"/>
    <n v="0.7474619289340102"/>
    <s v="Toshiba SRP"/>
    <n v="1111"/>
    <s v="1111520472"/>
  </r>
  <r>
    <n v="2162"/>
    <s v="Fortress"/>
    <s v="good hope"/>
    <x v="33"/>
    <n v="3"/>
    <x v="27"/>
    <x v="33"/>
    <s v="輕觸式燒烤微波爐"/>
    <s v="細電"/>
    <s v="MCA"/>
    <s v="eg20"/>
    <n v="1"/>
    <n v="698"/>
    <n v="698"/>
    <n v="520490"/>
    <m/>
    <m/>
    <s v="MM2-EG20PC(WH) 520490"/>
    <n v="918"/>
    <n v="0.76034858387799564"/>
    <s v="Shops Highest Price"/>
    <n v="1111"/>
    <s v="1111520490"/>
  </r>
  <r>
    <n v="2163"/>
    <s v="Fortress"/>
    <s v="good hope"/>
    <x v="34"/>
    <n v="3"/>
    <x v="28"/>
    <x v="83"/>
    <s v="R32變頻窗口式冷氣機 (獨立抽濕遙控"/>
    <s v="大電"/>
    <s v="AC"/>
    <s v="12g3cvr"/>
    <n v="1"/>
    <n v="5980"/>
    <n v="5980"/>
    <n v="520538"/>
    <m/>
    <m/>
    <s v="RAC-12G3CVRGR-HK 520538"/>
    <n v="8680"/>
    <n v="0.68894009216589858"/>
    <s v="Toshiba SRP"/>
    <n v="1111"/>
    <s v="1111520538"/>
  </r>
  <r>
    <n v="2164"/>
    <s v="Fortress"/>
    <s v="good hope"/>
    <x v="34"/>
    <n v="3"/>
    <x v="28"/>
    <x v="87"/>
    <s v="變頻式環保雙門雪櫃(233L)"/>
    <s v="大電"/>
    <s v="REF"/>
    <s v="rt300"/>
    <n v="1"/>
    <n v="2780"/>
    <n v="2780"/>
    <n v="520496"/>
    <m/>
    <m/>
    <s v="GR-RT300WE-PMA(57) 520496"/>
    <n v="4280"/>
    <n v="0.64953271028037385"/>
    <s v="Toshiba SRP"/>
    <n v="1111"/>
    <s v="1111520496"/>
  </r>
  <r>
    <n v="2165"/>
    <s v="Fortress"/>
    <s v="good hope"/>
    <x v="34"/>
    <n v="3"/>
    <x v="28"/>
    <x v="87"/>
    <s v="變頻式環保雙門雪櫃(233L)"/>
    <s v="大電"/>
    <s v="REF"/>
    <s v="rt300"/>
    <n v="1"/>
    <n v="2780"/>
    <n v="2780"/>
    <n v="520503"/>
    <m/>
    <m/>
    <s v="GR-RT300WE-PMA(57) 520503"/>
    <n v="4280"/>
    <n v="0.64953271028037385"/>
    <s v="Toshiba SRP"/>
    <n v="1111"/>
    <s v="1111520503"/>
  </r>
  <r>
    <n v="2166"/>
    <s v="Fortress"/>
    <s v="good hope"/>
    <x v="34"/>
    <n v="3"/>
    <x v="28"/>
    <x v="42"/>
    <s v="變頻下置式雙門雪櫃系列270L"/>
    <s v="大電"/>
    <s v="REF"/>
    <s v="rb360"/>
    <n v="1"/>
    <n v="3580"/>
    <n v="3580"/>
    <n v="520495"/>
    <m/>
    <m/>
    <s v="GR-RB360WE-PMA(06) 520495"/>
    <n v="5080"/>
    <n v="0.70472440944881887"/>
    <s v="Toshiba SRP"/>
    <n v="1111"/>
    <s v="1111520495"/>
  </r>
  <r>
    <n v="2167"/>
    <s v="Fortress"/>
    <s v="good hope"/>
    <x v="34"/>
    <n v="3"/>
    <x v="28"/>
    <x v="111"/>
    <s v="470MM超薄身前置式變頻洗衣機(8.5公斤)"/>
    <s v="大電"/>
    <s v="LAD"/>
    <s v="bu95"/>
    <n v="1"/>
    <n v="3590"/>
    <n v="3590"/>
    <n v="520538"/>
    <m/>
    <m/>
    <s v="TW-T21BU95UWH(MG) 520538"/>
    <n v="3980"/>
    <n v="0.90201005025125625"/>
    <s v="Shops Highest Price"/>
    <n v="1111"/>
    <s v="1111520538"/>
  </r>
  <r>
    <n v="2168"/>
    <s v="Fortress"/>
    <s v="good hope"/>
    <x v="33"/>
    <n v="3"/>
    <x v="29"/>
    <x v="22"/>
    <s v="變頻五門雪櫃(375L)"/>
    <s v="大電"/>
    <s v="REF"/>
    <s v="rm612"/>
    <n v="1"/>
    <n v="9980"/>
    <n v="9980"/>
    <n v="520567"/>
    <m/>
    <m/>
    <s v="GR-RM612WE-PGA(B5) 520567"/>
    <n v="11000"/>
    <n v="0.90727272727272723"/>
    <s v="Shops Highest Price"/>
    <n v="1111"/>
    <s v="1111520567"/>
  </r>
  <r>
    <n v="2169"/>
    <s v="Fortress"/>
    <s v="good hope"/>
    <x v="33"/>
    <n v="3"/>
    <x v="29"/>
    <x v="77"/>
    <s v="470MM超薄身前置式變頻洗衣乾衣機 (洗8.5公斤/乾6公斤, 可飛頂)"/>
    <s v="大電"/>
    <s v="LAD"/>
    <s v="twdt22"/>
    <n v="1"/>
    <n v="4780"/>
    <n v="4780"/>
    <n v="520590"/>
    <m/>
    <m/>
    <s v="TWD-T22BU95UWH(WK)-B 520590"/>
    <n v="7480"/>
    <n v="0.63903743315508021"/>
    <s v="Toshiba SRP"/>
    <n v="1111"/>
    <s v="1111520590"/>
  </r>
  <r>
    <n v="2170"/>
    <s v="Fortress"/>
    <s v="good hope"/>
    <x v="33"/>
    <n v="3"/>
    <x v="29"/>
    <x v="36"/>
    <s v="輕觸式微波爐 (20公升)"/>
    <s v="細電"/>
    <s v="MCA"/>
    <s v="em20"/>
    <n v="1"/>
    <n v="598"/>
    <n v="598"/>
    <n v="520605"/>
    <m/>
    <m/>
    <s v="MM2-EM20PC(WH) 520605"/>
    <n v="788"/>
    <n v="0.75888324873096447"/>
    <s v="Toshiba SRP"/>
    <n v="1111"/>
    <s v="1111520605"/>
  </r>
  <r>
    <n v="2171"/>
    <s v="Fortress"/>
    <s v="good hope"/>
    <x v="33"/>
    <n v="3"/>
    <x v="29"/>
    <x v="44"/>
    <s v="1.7L無線雙層電熱水壺"/>
    <s v="細電"/>
    <s v="SDA"/>
    <s v="17shnh"/>
    <n v="1"/>
    <n v="198"/>
    <n v="198"/>
    <n v="520570"/>
    <m/>
    <m/>
    <s v="KT-17SHNH 520570"/>
    <n v="299"/>
    <n v="0.66220735785953178"/>
    <s v="Shops Highest Price"/>
    <n v="1111"/>
    <s v="1111520570"/>
  </r>
  <r>
    <n v="2172"/>
    <s v="Citistore"/>
    <s v="Mos_1"/>
    <x v="35"/>
    <n v="3"/>
    <x v="0"/>
    <x v="21"/>
    <s v="壓縮式抽濕機 (30公升)"/>
    <s v="細電"/>
    <s v="RAC"/>
    <s v="d300"/>
    <n v="1"/>
    <n v="2280"/>
    <n v="2280"/>
    <s v="051974"/>
    <m/>
    <m/>
    <s v="RAD-D300H 051974"/>
    <n v="3380"/>
    <n v="0.67455621301775148"/>
    <s v="Shops Highest Price"/>
    <n v="1111"/>
    <s v="1111051974"/>
  </r>
  <r>
    <n v="2173"/>
    <s v="Citistore"/>
    <s v="Mos_1"/>
    <x v="35"/>
    <n v="3"/>
    <x v="0"/>
    <x v="20"/>
    <s v="壓縮式抽濕機 (22公升)"/>
    <s v="細電"/>
    <s v="RAC"/>
    <s v="d200"/>
    <n v="1"/>
    <n v="1980"/>
    <n v="1980"/>
    <s v="052068"/>
    <m/>
    <m/>
    <s v="RAD-D200H 052068"/>
    <n v="2880"/>
    <n v="0.6875"/>
    <s v="Shops Highest Price"/>
    <n v="1111"/>
    <s v="1111052068"/>
  </r>
  <r>
    <n v="2174"/>
    <s v="Citistore"/>
    <s v="Mos_1"/>
    <x v="35"/>
    <n v="3"/>
    <x v="0"/>
    <x v="78"/>
    <s v="變頻式環保雙門雪櫃（179L）"/>
    <s v="大電"/>
    <s v="REF"/>
    <s v="rt234"/>
    <n v="1"/>
    <n v="1980"/>
    <n v="1980"/>
    <s v="052206"/>
    <m/>
    <m/>
    <s v="GR-RT234WE-PMA(57) 052206"/>
    <n v="3680"/>
    <n v="0.53804347826086951"/>
    <s v="Toshiba SRP"/>
    <n v="1111"/>
    <s v="1111052206"/>
  </r>
  <r>
    <n v="2175"/>
    <s v="Citistore"/>
    <s v="Mos_1"/>
    <x v="35"/>
    <n v="3"/>
    <x v="0"/>
    <x v="78"/>
    <s v="變頻式環保雙門雪櫃（179L）"/>
    <s v="大電"/>
    <s v="REF"/>
    <s v="rt234"/>
    <n v="1"/>
    <n v="1980"/>
    <n v="1980"/>
    <s v="095746"/>
    <m/>
    <m/>
    <s v="GR-RT234WE-PMA(57) 095746"/>
    <n v="3680"/>
    <n v="0.53804347826086951"/>
    <s v="Toshiba SRP"/>
    <n v="1111"/>
    <s v="1111095746"/>
  </r>
  <r>
    <n v="2176"/>
    <s v="Citistore"/>
    <s v="Mos_1"/>
    <x v="36"/>
    <n v="3"/>
    <x v="5"/>
    <x v="36"/>
    <s v="輕觸式微波爐 (20公升)"/>
    <s v="細電"/>
    <s v="MCA"/>
    <s v="em20"/>
    <n v="1"/>
    <n v="668"/>
    <n v="668"/>
    <n v="133690"/>
    <m/>
    <m/>
    <s v="MM2-EM20PC(WH) 133690"/>
    <n v="788"/>
    <n v="0.84771573604060912"/>
    <s v="Toshiba SRP"/>
    <n v="1111"/>
    <s v="1111133690"/>
  </r>
  <r>
    <n v="2177"/>
    <s v="Citistore"/>
    <s v="Mos_1"/>
    <x v="36"/>
    <n v="3"/>
    <x v="5"/>
    <x v="24"/>
    <s v="微型電腦珍珠飯煲"/>
    <s v="細電"/>
    <s v="SDA"/>
    <s v="5sli"/>
    <n v="1"/>
    <n v="558"/>
    <n v="558"/>
    <s v="052520"/>
    <m/>
    <m/>
    <s v="RC-5SLIH(W) 052520"/>
    <n v="658"/>
    <n v="0.84802431610942253"/>
    <s v="Toshiba SRP"/>
    <n v="1111"/>
    <s v="1111052520"/>
  </r>
  <r>
    <n v="2178"/>
    <s v="Citistore"/>
    <s v="Mos_1"/>
    <x v="36"/>
    <n v="3"/>
    <x v="5"/>
    <x v="23"/>
    <s v="電飯煲"/>
    <s v="細電"/>
    <s v="SDA"/>
    <s v="10jruh"/>
    <n v="1"/>
    <n v="250"/>
    <n v="250"/>
    <n v="133619"/>
    <m/>
    <m/>
    <s v="RC-10JRUH(N) 133619"/>
    <n v="398"/>
    <n v="0.62814070351758799"/>
    <s v="Shops Highest Price"/>
    <n v="1111"/>
    <s v="1111133619"/>
  </r>
  <r>
    <n v="2179"/>
    <s v="Citistore"/>
    <s v="Mos_1"/>
    <x v="36"/>
    <n v="3"/>
    <x v="5"/>
    <x v="25"/>
    <s v="超輕巧2合1無線吸塵機"/>
    <s v="細電"/>
    <s v="MCA"/>
    <s v="cls1b"/>
    <n v="1"/>
    <n v="1480"/>
    <n v="1480"/>
    <s v="052490"/>
    <m/>
    <m/>
    <s v="VC-CLS1BF(R) 052490"/>
    <n v="1888"/>
    <n v="0.78389830508474578"/>
    <s v="Toshiba SRP"/>
    <n v="1111"/>
    <s v="1111052490"/>
  </r>
  <r>
    <n v="2180"/>
    <s v="Citistore"/>
    <s v="Mos_1"/>
    <x v="35"/>
    <n v="3"/>
    <x v="6"/>
    <x v="46"/>
    <s v="電熱水瓶 (2.5公升)"/>
    <s v="細電"/>
    <s v="SDA"/>
    <s v="25dr"/>
    <n v="1"/>
    <n v="398"/>
    <n v="398"/>
    <s v="052662"/>
    <m/>
    <m/>
    <s v="TP-25DR2UHK(W) 052662"/>
    <n v="538"/>
    <n v="0.7397769516728625"/>
    <s v="Toshiba SRP"/>
    <n v="1111"/>
    <s v="1111052662"/>
  </r>
  <r>
    <n v="2181"/>
    <s v="Citistore"/>
    <s v="Mos_1"/>
    <x v="35"/>
    <n v="3"/>
    <x v="6"/>
    <x v="21"/>
    <s v="壓縮式抽濕機 (30公升)"/>
    <s v="細電"/>
    <s v="RAC"/>
    <s v="d300"/>
    <n v="1"/>
    <n v="2280"/>
    <n v="2280"/>
    <s v="052685"/>
    <m/>
    <m/>
    <s v="RAD-D300H 052685"/>
    <n v="3380"/>
    <n v="0.67455621301775148"/>
    <s v="Shops Highest Price"/>
    <n v="1111"/>
    <s v="1111052685"/>
  </r>
  <r>
    <n v="2182"/>
    <s v="Citistore"/>
    <s v="Mos_1"/>
    <x v="35"/>
    <n v="3"/>
    <x v="6"/>
    <x v="21"/>
    <s v="壓縮式抽濕機 (30公升)"/>
    <s v="細電"/>
    <s v="RAC"/>
    <s v="d300"/>
    <n v="1"/>
    <n v="2280"/>
    <n v="2280"/>
    <s v="052752"/>
    <m/>
    <m/>
    <s v="RAD-D300H 052752"/>
    <n v="3380"/>
    <n v="0.67455621301775148"/>
    <s v="Shops Highest Price"/>
    <n v="1111"/>
    <s v="1111052752"/>
  </r>
  <r>
    <n v="2183"/>
    <s v="Citistore"/>
    <s v="Mos_1"/>
    <x v="35"/>
    <n v="3"/>
    <x v="6"/>
    <x v="20"/>
    <s v="壓縮式抽濕機 (22公升)"/>
    <s v="細電"/>
    <s v="RAC"/>
    <s v="d200"/>
    <n v="1"/>
    <n v="1880"/>
    <n v="1880"/>
    <n v="366640"/>
    <m/>
    <m/>
    <s v="RAD-D200H 366640"/>
    <n v="2880"/>
    <n v="0.65277777777777779"/>
    <s v="Shops Highest Price"/>
    <n v="1111"/>
    <s v="1111366640"/>
  </r>
  <r>
    <n v="2184"/>
    <s v="Citistore"/>
    <s v="Mos_1"/>
    <x v="35"/>
    <n v="3"/>
    <x v="6"/>
    <x v="30"/>
    <s v="旋鈕式燒烤微波爐20L"/>
    <s v="細電"/>
    <s v="SDA"/>
    <s v="mm20"/>
    <n v="1"/>
    <n v="488"/>
    <n v="488"/>
    <n v="133909"/>
    <m/>
    <m/>
    <s v="MWP-MM20P(WH) 133909"/>
    <n v="648"/>
    <n v="0.75308641975308643"/>
    <s v="Toshiba SRP"/>
    <n v="1111"/>
    <s v="1111133909"/>
  </r>
  <r>
    <n v="2185"/>
    <s v="Citistore"/>
    <s v="Mos_1"/>
    <x v="35"/>
    <n v="3"/>
    <x v="6"/>
    <x v="20"/>
    <s v="壓縮式抽濕機 (22公升)"/>
    <s v="細電"/>
    <s v="RAC"/>
    <s v="d200"/>
    <n v="1"/>
    <n v="1880"/>
    <n v="1880"/>
    <n v="231917"/>
    <m/>
    <m/>
    <s v="RAD-D200H 231917"/>
    <n v="2880"/>
    <n v="0.65277777777777779"/>
    <s v="Shops Highest Price"/>
    <n v="1111"/>
    <s v="1111231917"/>
  </r>
  <r>
    <n v="2186"/>
    <s v="Citistore"/>
    <s v="Mos_1"/>
    <x v="35"/>
    <n v="3"/>
    <x v="7"/>
    <x v="31"/>
    <s v="無線雙層電熱水壺(1.7公升)"/>
    <s v="細電"/>
    <s v="SDA"/>
    <s v="17drt"/>
    <n v="1"/>
    <n v="398"/>
    <n v="398"/>
    <s v="053062"/>
    <m/>
    <m/>
    <s v="KT-17DRTHK(H) 053062"/>
    <n v="498"/>
    <n v="0.79919678714859432"/>
    <s v="Toshiba SRP"/>
    <n v="1111"/>
    <s v="1111053062"/>
  </r>
  <r>
    <n v="2187"/>
    <s v="Citistore"/>
    <s v="Mos_1"/>
    <x v="35"/>
    <n v="3"/>
    <x v="7"/>
    <x v="46"/>
    <s v="電熱水瓶 (2.5公升)"/>
    <s v="細電"/>
    <s v="SDA"/>
    <s v="25dr"/>
    <n v="1"/>
    <n v="398"/>
    <n v="398"/>
    <n v="133982"/>
    <m/>
    <m/>
    <s v="TP-25DR2UHK(W) 133982"/>
    <n v="538"/>
    <n v="0.7397769516728625"/>
    <s v="Toshiba SRP"/>
    <n v="1111"/>
    <s v="1111133982"/>
  </r>
  <r>
    <n v="2188"/>
    <s v="Citistore"/>
    <s v="Mos_1"/>
    <x v="35"/>
    <n v="3"/>
    <x v="7"/>
    <x v="31"/>
    <s v="無線雙層電熱水壺(1.7公升)"/>
    <s v="細電"/>
    <s v="SDA"/>
    <s v="17drt"/>
    <n v="1"/>
    <n v="398"/>
    <n v="398"/>
    <n v="366905"/>
    <m/>
    <m/>
    <s v="KT-17DRTHK(H) 366905"/>
    <n v="498"/>
    <n v="0.79919678714859432"/>
    <s v="Toshiba SRP"/>
    <n v="1111"/>
    <s v="1111366905"/>
  </r>
  <r>
    <n v="2189"/>
    <s v="Citistore"/>
    <s v="Mos_1"/>
    <x v="35"/>
    <n v="3"/>
    <x v="7"/>
    <x v="24"/>
    <s v="微型電腦珍珠飯煲"/>
    <s v="細電"/>
    <s v="SDA"/>
    <s v="5sli"/>
    <n v="1"/>
    <n v="558"/>
    <n v="558"/>
    <s v="053007"/>
    <m/>
    <m/>
    <s v="RC-5SLIH(W) 053007"/>
    <n v="658"/>
    <n v="0.84802431610942253"/>
    <s v="Toshiba SRP"/>
    <n v="1111"/>
    <s v="1111053007"/>
  </r>
  <r>
    <n v="2190"/>
    <s v="Citistore"/>
    <s v="Mos_1"/>
    <x v="35"/>
    <n v="3"/>
    <x v="7"/>
    <x v="36"/>
    <s v="輕觸式微波爐 (20公升)"/>
    <s v="細電"/>
    <s v="MCA"/>
    <s v="em20"/>
    <n v="1"/>
    <n v="668"/>
    <n v="668"/>
    <s v="053010"/>
    <m/>
    <m/>
    <s v="MM2-EM20PC(WH) 053010"/>
    <n v="788"/>
    <n v="0.84771573604060912"/>
    <s v="Toshiba SRP"/>
    <n v="1111"/>
    <s v="1111053010"/>
  </r>
  <r>
    <n v="2191"/>
    <s v="Citistore"/>
    <s v="Mos_1"/>
    <x v="35"/>
    <n v="3"/>
    <x v="7"/>
    <x v="20"/>
    <s v="壓縮式抽濕機 (22公升)"/>
    <s v="細電"/>
    <s v="RAC"/>
    <s v="d200"/>
    <n v="1"/>
    <n v="1880"/>
    <n v="1880"/>
    <s v="053055"/>
    <m/>
    <m/>
    <s v="RAD-D200H 053055"/>
    <n v="2880"/>
    <n v="0.65277777777777779"/>
    <s v="Shops Highest Price"/>
    <n v="1111"/>
    <s v="1111053055"/>
  </r>
  <r>
    <n v="2192"/>
    <s v="Citistore"/>
    <s v="Mos_1"/>
    <x v="35"/>
    <n v="3"/>
    <x v="7"/>
    <x v="71"/>
    <s v="輕觸式平板燒烤微波爐 (26公升)"/>
    <s v="細電"/>
    <s v="MCA"/>
    <s v="eg26"/>
    <n v="1"/>
    <n v="888"/>
    <n v="888"/>
    <n v="134117"/>
    <m/>
    <m/>
    <s v="MV2-EG26PEI(BK) 134117"/>
    <n v="1180"/>
    <n v="0.75254237288135595"/>
    <s v="Toshiba SRP"/>
    <n v="1111"/>
    <s v="1111134117"/>
  </r>
  <r>
    <n v="2193"/>
    <s v="Citistore"/>
    <s v="Mos_1"/>
    <x v="35"/>
    <n v="3"/>
    <x v="7"/>
    <x v="71"/>
    <s v="輕觸式平板燒烤微波爐 (26公升)"/>
    <s v="細電"/>
    <s v="MCA"/>
    <s v="eg26"/>
    <n v="1"/>
    <n v="888"/>
    <n v="888"/>
    <s v="039521"/>
    <m/>
    <m/>
    <s v="MV2-EG26PEI(BK) 039521"/>
    <n v="1180"/>
    <n v="0.75254237288135595"/>
    <s v="Toshiba SRP"/>
    <n v="1111"/>
    <s v="1111039521"/>
  </r>
  <r>
    <n v="2194"/>
    <s v="Citistore"/>
    <s v="Mos_1"/>
    <x v="35"/>
    <n v="3"/>
    <x v="7"/>
    <x v="86"/>
    <s v="470MM超薄身前置式變頻洗衣乾衣機 (洗8.5公斤 乾6公斤)"/>
    <s v="大電"/>
    <s v="LAD"/>
    <s v="twdt21"/>
    <n v="1"/>
    <n v="4480"/>
    <n v="4480"/>
    <n v="134153"/>
    <m/>
    <m/>
    <s v="TWD-T21BU95UWH(WW) 134153"/>
    <n v="7280"/>
    <n v="0.61538461538461542"/>
    <s v="Toshiba SRP"/>
    <n v="1111"/>
    <s v="1111134153"/>
  </r>
  <r>
    <n v="2195"/>
    <s v="Citistore"/>
    <s v="Mos_1"/>
    <x v="35"/>
    <n v="3"/>
    <x v="7"/>
    <x v="20"/>
    <s v="壓縮式抽濕機 (22公升)"/>
    <s v="細電"/>
    <s v="RAC"/>
    <s v="d200"/>
    <n v="1"/>
    <n v="1880"/>
    <n v="1880"/>
    <n v="367208"/>
    <m/>
    <m/>
    <s v="RAD-D200H 367208"/>
    <n v="2880"/>
    <n v="0.65277777777777779"/>
    <s v="Shops Highest Price"/>
    <n v="1111"/>
    <s v="1111367208"/>
  </r>
  <r>
    <n v="2196"/>
    <s v="Citistore"/>
    <s v="Mos_1"/>
    <x v="35"/>
    <n v="3"/>
    <x v="13"/>
    <x v="20"/>
    <s v="壓縮式抽濕機 (22公升)"/>
    <s v="細電"/>
    <s v="RAC"/>
    <s v="d200"/>
    <n v="1"/>
    <n v="1880"/>
    <n v="1880"/>
    <s v="053234"/>
    <m/>
    <m/>
    <s v="RAD-D200H 053234"/>
    <n v="2880"/>
    <n v="0.65277777777777779"/>
    <s v="Shops Highest Price"/>
    <n v="1111"/>
    <s v="1111053234"/>
  </r>
  <r>
    <n v="2197"/>
    <s v="Citistore"/>
    <s v="Mos_1"/>
    <x v="35"/>
    <n v="3"/>
    <x v="13"/>
    <x v="31"/>
    <s v="無線雙層電熱水壺(1.7公升)"/>
    <s v="細電"/>
    <s v="SDA"/>
    <s v="17drt"/>
    <n v="1"/>
    <n v="398"/>
    <n v="398"/>
    <n v="134259"/>
    <m/>
    <m/>
    <s v="KT-17DRTHK(H) 134259"/>
    <n v="498"/>
    <n v="0.79919678714859432"/>
    <s v="Toshiba SRP"/>
    <n v="1111"/>
    <s v="1111134259"/>
  </r>
  <r>
    <n v="2198"/>
    <s v="Citistore"/>
    <s v="Mos_1"/>
    <x v="36"/>
    <n v="3"/>
    <x v="8"/>
    <x v="31"/>
    <s v="無線雙層電熱水壺(1.7公升)"/>
    <s v="細電"/>
    <s v="SDA"/>
    <s v="17drt"/>
    <n v="1"/>
    <n v="398"/>
    <n v="398"/>
    <s v="053649"/>
    <m/>
    <m/>
    <s v="KT-17DRTHK(H) 053649"/>
    <n v="498"/>
    <n v="0.79919678714859432"/>
    <s v="Toshiba SRP"/>
    <n v="1111"/>
    <s v="1111053649"/>
  </r>
  <r>
    <n v="2199"/>
    <s v="Citistore"/>
    <s v="Mos_1"/>
    <x v="36"/>
    <n v="3"/>
    <x v="8"/>
    <x v="63"/>
    <s v="20L 智能蒸氣焗爐"/>
    <s v="細電"/>
    <s v="MCA"/>
    <s v="stq20"/>
    <n v="1"/>
    <n v="2100"/>
    <n v="2100"/>
    <s v="039599"/>
    <m/>
    <m/>
    <s v="MS3-STQ20SC(WH) 039599"/>
    <n v="2880"/>
    <n v="0.72916666666666663"/>
    <s v="Toshiba SRP"/>
    <n v="1111"/>
    <s v="1111039599"/>
  </r>
  <r>
    <n v="2200"/>
    <s v="Citistore"/>
    <s v="Mos_1"/>
    <x v="35"/>
    <n v="3"/>
    <x v="1"/>
    <x v="44"/>
    <s v="1.7L無線雙層電熱水壺"/>
    <s v="細電"/>
    <s v="SDA"/>
    <s v="17shnh"/>
    <n v="1"/>
    <n v="228"/>
    <n v="228"/>
    <s v="053818"/>
    <m/>
    <m/>
    <s v="KT-17SHNH 053818"/>
    <n v="299"/>
    <n v="0.76254180602006694"/>
    <s v="Shops Highest Price"/>
    <n v="1111"/>
    <s v="1111053818"/>
  </r>
  <r>
    <n v="2201"/>
    <s v="Citistore"/>
    <s v="Mos_1"/>
    <x v="35"/>
    <n v="3"/>
    <x v="1"/>
    <x v="75"/>
    <s v="日式洗衣機 (8公斤 結合高低水位)"/>
    <s v="大電"/>
    <s v="LAD"/>
    <s v="q901"/>
    <n v="1"/>
    <n v="2380"/>
    <n v="2380"/>
    <s v="053853"/>
    <m/>
    <m/>
    <s v="AW-Q901BPH(WW) 053853"/>
    <n v="3780"/>
    <n v="0.62962962962962965"/>
    <s v="Toshiba SRP"/>
    <n v="1111"/>
    <s v="1111053853"/>
  </r>
  <r>
    <n v="2202"/>
    <s v="Citistore"/>
    <s v="Mos_1"/>
    <x v="35"/>
    <n v="3"/>
    <x v="1"/>
    <x v="20"/>
    <s v="壓縮式抽濕機 (22公升)"/>
    <s v="細電"/>
    <s v="RAC"/>
    <s v="d200"/>
    <n v="1"/>
    <n v="1830"/>
    <n v="1830"/>
    <s v="054112"/>
    <m/>
    <m/>
    <s v="RAD-D200H 054112"/>
    <n v="2880"/>
    <n v="0.63541666666666663"/>
    <s v="Shops Highest Price"/>
    <n v="1111"/>
    <s v="1111054112"/>
  </r>
  <r>
    <n v="2203"/>
    <s v="Citistore"/>
    <s v="Mos_1"/>
    <x v="35"/>
    <n v="3"/>
    <x v="2"/>
    <x v="23"/>
    <s v="電飯煲"/>
    <s v="細電"/>
    <s v="SDA"/>
    <s v="10jruh"/>
    <n v="1"/>
    <n v="250"/>
    <n v="250"/>
    <n v="135241"/>
    <m/>
    <m/>
    <s v="RC-10JRUH(N) 135241"/>
    <n v="398"/>
    <n v="0.62814070351758799"/>
    <s v="Shops Highest Price"/>
    <n v="1111"/>
    <s v="1111135241"/>
  </r>
  <r>
    <n v="2204"/>
    <s v="Citistore"/>
    <s v="Mos_1"/>
    <x v="35"/>
    <n v="3"/>
    <x v="2"/>
    <x v="35"/>
    <s v="1.8公升電飯煲"/>
    <s v="細電"/>
    <s v="SDA"/>
    <s v="18jruh"/>
    <n v="1"/>
    <n v="300"/>
    <n v="300"/>
    <s v="054450"/>
    <m/>
    <m/>
    <s v="RC-18JRUH(N) 054450"/>
    <n v="458"/>
    <n v="0.65502183406113534"/>
    <s v="Shops Highest Price"/>
    <n v="1111"/>
    <s v="1111054450"/>
  </r>
  <r>
    <n v="2205"/>
    <s v="Citistore"/>
    <s v="Mos_1"/>
    <x v="35"/>
    <n v="3"/>
    <x v="2"/>
    <x v="24"/>
    <s v="微型電腦珍珠飯煲"/>
    <s v="細電"/>
    <s v="SDA"/>
    <s v="5sli"/>
    <n v="1"/>
    <n v="558"/>
    <n v="558"/>
    <s v="054269"/>
    <m/>
    <m/>
    <s v="RC-5SLIH(W) 054269"/>
    <n v="658"/>
    <n v="0.84802431610942253"/>
    <s v="Toshiba SRP"/>
    <n v="1111"/>
    <s v="1111054269"/>
  </r>
  <r>
    <n v="2206"/>
    <s v="Citistore"/>
    <s v="Mos_1"/>
    <x v="35"/>
    <n v="3"/>
    <x v="2"/>
    <x v="24"/>
    <s v="微型電腦珍珠飯煲"/>
    <s v="細電"/>
    <s v="SDA"/>
    <s v="5sli"/>
    <n v="1"/>
    <n v="558"/>
    <n v="558"/>
    <n v="368855"/>
    <m/>
    <m/>
    <s v="RC-5SLIH(W) 368855"/>
    <n v="658"/>
    <n v="0.84802431610942253"/>
    <s v="Toshiba SRP"/>
    <n v="1111"/>
    <s v="1111368855"/>
  </r>
  <r>
    <n v="2207"/>
    <s v="Citistore"/>
    <s v="Mos_1"/>
    <x v="35"/>
    <n v="3"/>
    <x v="2"/>
    <x v="23"/>
    <s v="電飯煲"/>
    <s v="細電"/>
    <s v="SDA"/>
    <s v="10jruh"/>
    <n v="1"/>
    <n v="250"/>
    <n v="250"/>
    <s v="054579"/>
    <m/>
    <m/>
    <s v="RC-10JRUH(N) 054579"/>
    <n v="398"/>
    <n v="0.62814070351758799"/>
    <s v="Shops Highest Price"/>
    <n v="1111"/>
    <s v="1111054579"/>
  </r>
  <r>
    <n v="2208"/>
    <s v="Citistore"/>
    <s v="Mos_1"/>
    <x v="35"/>
    <n v="3"/>
    <x v="9"/>
    <x v="36"/>
    <s v="輕觸式微波爐 (20公升)"/>
    <s v="細電"/>
    <s v="MCA"/>
    <s v="em20"/>
    <n v="1"/>
    <n v="634.6"/>
    <n v="634.6"/>
    <s v="054659"/>
    <m/>
    <m/>
    <s v="MM2-EM20PC(WH) 054659"/>
    <n v="788"/>
    <n v="0.8053299492385787"/>
    <s v="Toshiba SRP"/>
    <n v="1111"/>
    <s v="1111054659"/>
  </r>
  <r>
    <n v="2209"/>
    <s v="Citistore"/>
    <s v="Mos_1"/>
    <x v="35"/>
    <n v="3"/>
    <x v="9"/>
    <x v="21"/>
    <s v="壓縮式抽濕機 (30公升)"/>
    <s v="細電"/>
    <s v="RAC"/>
    <s v="d300"/>
    <n v="1"/>
    <n v="2280"/>
    <n v="2280"/>
    <s v="054691"/>
    <m/>
    <m/>
    <s v="RAD-D300H 054691"/>
    <n v="3380"/>
    <n v="0.67455621301775148"/>
    <s v="Shops Highest Price"/>
    <n v="1111"/>
    <s v="1111054691"/>
  </r>
  <r>
    <n v="2210"/>
    <s v="Citistore"/>
    <s v="Mos_1"/>
    <x v="35"/>
    <n v="3"/>
    <x v="9"/>
    <x v="44"/>
    <s v="1.7L無線雙層電熱水壺"/>
    <s v="細電"/>
    <s v="SDA"/>
    <s v="17shnh"/>
    <n v="1"/>
    <n v="228"/>
    <n v="228"/>
    <s v="054707"/>
    <m/>
    <m/>
    <s v="KT-17SHNH 054707"/>
    <n v="299"/>
    <n v="0.76254180602006694"/>
    <s v="Shops Highest Price"/>
    <n v="1111"/>
    <s v="1111054707"/>
  </r>
  <r>
    <n v="2211"/>
    <s v="Citistore"/>
    <s v="Mos_1"/>
    <x v="35"/>
    <n v="3"/>
    <x v="9"/>
    <x v="28"/>
    <s v="無線雙層電熱水壺-附可鎖壺蓋(0.8公升)"/>
    <s v="細電"/>
    <s v="SDA"/>
    <s v="08dh"/>
    <n v="1"/>
    <n v="268"/>
    <n v="268"/>
    <n v="135666"/>
    <m/>
    <m/>
    <s v="KT-08DH1VHK(W) 135666"/>
    <n v="428"/>
    <n v="0.62616822429906538"/>
    <s v="Toshiba SRP"/>
    <n v="1111"/>
    <s v="1111135666"/>
  </r>
  <r>
    <n v="2212"/>
    <s v="Citistore"/>
    <s v="Mos_1"/>
    <x v="35"/>
    <n v="3"/>
    <x v="10"/>
    <x v="14"/>
    <s v="21L壓縮式抽濕機"/>
    <s v="大電"/>
    <s v="RAC"/>
    <s v="y200"/>
    <n v="1"/>
    <n v="1880"/>
    <n v="1880"/>
    <s v="054967"/>
    <m/>
    <m/>
    <s v="RAD-Y200H 054967"/>
    <n v="3280"/>
    <n v="0.57317073170731703"/>
    <s v="Toshiba SRP"/>
    <n v="1111"/>
    <s v="1111054967"/>
  </r>
  <r>
    <n v="2213"/>
    <s v="Citistore"/>
    <s v="Mos_1"/>
    <x v="35"/>
    <n v="3"/>
    <x v="10"/>
    <x v="16"/>
    <s v="輕便式電磁爐"/>
    <s v="細電"/>
    <s v="SDA"/>
    <s v="20r1"/>
    <n v="1"/>
    <n v="298"/>
    <n v="298"/>
    <n v="135691"/>
    <m/>
    <m/>
    <s v="IC-20R1THK 135691"/>
    <n v="438"/>
    <n v="0.68036529680365299"/>
    <s v="Shops Highest Price"/>
    <n v="1111"/>
    <s v="1111135691"/>
  </r>
  <r>
    <n v="2214"/>
    <s v="Citistore"/>
    <s v="Mos_1"/>
    <x v="35"/>
    <n v="3"/>
    <x v="10"/>
    <x v="47"/>
    <s v="磁應電飯煲(1公升)"/>
    <s v="細電"/>
    <s v="SDA"/>
    <s v="10iss"/>
    <n v="1"/>
    <n v="898"/>
    <n v="898"/>
    <n v="369683"/>
    <m/>
    <m/>
    <s v="RC-10ISSHK(W) 369683"/>
    <n v="1188"/>
    <n v="0.75589225589225584"/>
    <s v="Shops Highest Price"/>
    <n v="1111"/>
    <s v="1111369683"/>
  </r>
  <r>
    <n v="2215"/>
    <s v="Citistore"/>
    <s v="Mos_1"/>
    <x v="35"/>
    <n v="3"/>
    <x v="10"/>
    <x v="46"/>
    <s v="電熱水瓶 (2.5公升)"/>
    <s v="細電"/>
    <s v="SDA"/>
    <s v="25dr"/>
    <n v="1"/>
    <n v="398"/>
    <n v="398"/>
    <n v="575134"/>
    <m/>
    <m/>
    <s v="TP-25DR2UHK(W) 575134"/>
    <n v="538"/>
    <n v="0.7397769516728625"/>
    <s v="Toshiba SRP"/>
    <n v="1111"/>
    <s v="1111575134"/>
  </r>
  <r>
    <n v="2216"/>
    <s v="Citistore"/>
    <s v="Mos_1"/>
    <x v="35"/>
    <n v="3"/>
    <x v="11"/>
    <x v="17"/>
    <s v="4毫米厚釜電飯煲1L"/>
    <s v="細電"/>
    <s v="SDA"/>
    <s v="10nmf"/>
    <n v="1"/>
    <n v="719"/>
    <n v="719"/>
    <n v="136357"/>
    <m/>
    <m/>
    <s v="RC-10NMFIH(WT) 136357"/>
    <n v="898"/>
    <n v="0.80066815144766146"/>
    <s v="Toshiba SRP"/>
    <n v="1111"/>
    <s v="1111136357"/>
  </r>
  <r>
    <n v="2217"/>
    <s v="Citistore"/>
    <s v="Mos_1"/>
    <x v="35"/>
    <n v="3"/>
    <x v="11"/>
    <x v="70"/>
    <s v="12吋2合1座地座檯電風扇連遙控"/>
    <s v="細電"/>
    <s v="EAD"/>
    <s v="ya20"/>
    <n v="1"/>
    <n v="368"/>
    <n v="368"/>
    <n v="370369"/>
    <m/>
    <m/>
    <s v="F-LYA20(W)HKG 370369"/>
    <n v="988"/>
    <n v="0.37246963562753038"/>
    <s v="Toshiba SRP"/>
    <n v="1111"/>
    <s v="1111370369"/>
  </r>
  <r>
    <n v="2218"/>
    <s v="Citistore"/>
    <s v="Mos_1"/>
    <x v="35"/>
    <n v="3"/>
    <x v="11"/>
    <x v="28"/>
    <s v="無線雙層電熱水壺-附可鎖壺蓋(0.8公升)"/>
    <s v="細電"/>
    <s v="SDA"/>
    <s v="08dh"/>
    <n v="1"/>
    <n v="268"/>
    <n v="268"/>
    <s v="055532"/>
    <m/>
    <m/>
    <s v="KT-08DH1VHK(W) 055532"/>
    <n v="428"/>
    <n v="0.62616822429906538"/>
    <s v="Toshiba SRP"/>
    <n v="1111"/>
    <s v="1111055532"/>
  </r>
  <r>
    <n v="2219"/>
    <s v="Citistore"/>
    <s v="Mos_1"/>
    <x v="35"/>
    <n v="3"/>
    <x v="11"/>
    <x v="21"/>
    <s v="壓縮式抽濕機 (30公升)"/>
    <s v="細電"/>
    <s v="RAC"/>
    <s v="d300"/>
    <n v="1"/>
    <n v="2280"/>
    <n v="2280"/>
    <s v="055551"/>
    <m/>
    <m/>
    <s v="RAD-D300H 055551"/>
    <n v="3380"/>
    <n v="0.67455621301775148"/>
    <s v="Shops Highest Price"/>
    <n v="1111"/>
    <s v="1111055551"/>
  </r>
  <r>
    <n v="2220"/>
    <s v="Citistore"/>
    <s v="Mos_1"/>
    <x v="35"/>
    <n v="3"/>
    <x v="11"/>
    <x v="129"/>
    <s v="日式洗衣機 (6.5公斤 結合高低水位)"/>
    <s v="大電"/>
    <s v="LAD"/>
    <s v="q751"/>
    <n v="1"/>
    <n v="1860"/>
    <n v="1860"/>
    <s v="055511"/>
    <m/>
    <m/>
    <s v="AW-Q751APH(WW) 055511"/>
    <n v="2880"/>
    <n v="0.64583333333333337"/>
    <s v="Toshiba SRP"/>
    <n v="1111"/>
    <s v="1111055511"/>
  </r>
  <r>
    <n v="2221"/>
    <s v="Citistore"/>
    <s v="Mos_1"/>
    <x v="35"/>
    <n v="3"/>
    <x v="12"/>
    <x v="16"/>
    <s v="輕便式電磁爐"/>
    <s v="細電"/>
    <s v="SDA"/>
    <s v="20r1"/>
    <n v="1"/>
    <n v="298"/>
    <n v="298"/>
    <n v="136761"/>
    <m/>
    <m/>
    <s v="IC-20R1THK 136761"/>
    <n v="438"/>
    <n v="0.68036529680365299"/>
    <s v="Shops Highest Price"/>
    <n v="1111"/>
    <s v="1111136761"/>
  </r>
  <r>
    <n v="2222"/>
    <s v="Citistore"/>
    <s v="Mos_1"/>
    <x v="35"/>
    <n v="3"/>
    <x v="12"/>
    <x v="44"/>
    <s v="1.7L無線雙層電熱水壺"/>
    <s v="細電"/>
    <s v="SDA"/>
    <s v="17shnh"/>
    <n v="1"/>
    <n v="228"/>
    <n v="228"/>
    <n v="136501"/>
    <m/>
    <m/>
    <s v="KT-17SHNH 136501"/>
    <n v="299"/>
    <n v="0.76254180602006694"/>
    <s v="Shops Highest Price"/>
    <n v="1111"/>
    <s v="1111136501"/>
  </r>
  <r>
    <n v="2223"/>
    <s v="Citistore"/>
    <s v="Mos_1"/>
    <x v="35"/>
    <n v="3"/>
    <x v="12"/>
    <x v="27"/>
    <s v="4毫米厚釜電飯煲1.8L"/>
    <s v="細電"/>
    <s v="SDA"/>
    <s v="18nmf"/>
    <n v="1"/>
    <n v="799"/>
    <n v="799"/>
    <n v="136698"/>
    <m/>
    <m/>
    <s v="RC-18NMFIH(WT) 136698"/>
    <n v="998"/>
    <n v="0.80060120240480959"/>
    <s v="Toshiba SRP"/>
    <n v="1111"/>
    <s v="1111136698"/>
  </r>
  <r>
    <n v="2224"/>
    <s v="Citistore"/>
    <s v="Mos_1"/>
    <x v="35"/>
    <n v="3"/>
    <x v="12"/>
    <x v="24"/>
    <s v="微型電腦珍珠飯煲"/>
    <s v="細電"/>
    <s v="SDA"/>
    <s v="5sli"/>
    <n v="1"/>
    <n v="558"/>
    <n v="558"/>
    <n v="136687"/>
    <m/>
    <m/>
    <s v="RC-5SLIH(W) 136687"/>
    <n v="658"/>
    <n v="0.84802431610942253"/>
    <s v="Toshiba SRP"/>
    <n v="1111"/>
    <s v="1111136687"/>
  </r>
  <r>
    <n v="2225"/>
    <s v="Citistore"/>
    <s v="Mos_1"/>
    <x v="35"/>
    <n v="3"/>
    <x v="12"/>
    <x v="39"/>
    <s v="酵活炊電飯煲(1.0公升)"/>
    <s v="細電"/>
    <s v="SDA"/>
    <s v="10amx"/>
    <n v="1"/>
    <n v="990"/>
    <n v="990"/>
    <n v="136741"/>
    <m/>
    <m/>
    <s v="RC-10AMXH(W) 136741"/>
    <n v="1288"/>
    <n v="0.76863354037267084"/>
    <s v="Toshiba SRP"/>
    <n v="1111"/>
    <s v="1111136741"/>
  </r>
  <r>
    <n v="2226"/>
    <s v="Citistore"/>
    <s v="Mos_1"/>
    <x v="35"/>
    <n v="3"/>
    <x v="3"/>
    <x v="23"/>
    <s v="電飯煲"/>
    <s v="細電"/>
    <s v="SDA"/>
    <s v="10jruh"/>
    <n v="1"/>
    <n v="250"/>
    <n v="250"/>
    <n v="371053"/>
    <m/>
    <m/>
    <s v="RC-10JRUH(N) 371053"/>
    <n v="398"/>
    <n v="0.62814070351758799"/>
    <s v="Shops Highest Price"/>
    <n v="1111"/>
    <s v="1111371053"/>
  </r>
  <r>
    <n v="2227"/>
    <s v="Citistore"/>
    <s v="Mos_1"/>
    <x v="35"/>
    <n v="3"/>
    <x v="3"/>
    <x v="23"/>
    <s v="電飯煲"/>
    <s v="細電"/>
    <s v="SDA"/>
    <s v="10jruh"/>
    <n v="1"/>
    <n v="250"/>
    <n v="250"/>
    <n v="136780"/>
    <m/>
    <m/>
    <s v="RC-10JRUH(N) 136780"/>
    <n v="398"/>
    <n v="0.62814070351758799"/>
    <s v="Shops Highest Price"/>
    <n v="1111"/>
    <s v="1111136780"/>
  </r>
  <r>
    <n v="2228"/>
    <s v="Citistore"/>
    <s v="Mos_1"/>
    <x v="35"/>
    <n v="3"/>
    <x v="3"/>
    <x v="38"/>
    <s v="無線雙層電熱水壺-附可鎖壺蓋"/>
    <s v="細電"/>
    <s v="SDA"/>
    <s v="15drt"/>
    <n v="1"/>
    <n v="498"/>
    <n v="498"/>
    <n v="371248"/>
    <m/>
    <m/>
    <s v="KT-15DRTHK(W) 371248"/>
    <n v="598"/>
    <n v="0.83277591973244147"/>
    <s v="Toshiba SRP"/>
    <n v="1111"/>
    <s v="1111371248"/>
  </r>
  <r>
    <n v="2229"/>
    <s v="Citistore"/>
    <s v="Mos_1"/>
    <x v="35"/>
    <n v="3"/>
    <x v="3"/>
    <x v="134"/>
    <s v="迷你電飯煲 0.36公升"/>
    <s v="細電"/>
    <s v="SDA"/>
    <s v="12pg"/>
    <n v="1"/>
    <n v="298"/>
    <n v="298"/>
    <s v="056218"/>
    <m/>
    <m/>
    <s v="CRM-12PG10A0 056218"/>
    <n v="329"/>
    <n v="0.9057750759878419"/>
    <s v="Web SRP"/>
    <n v="1111"/>
    <s v="1111056218"/>
  </r>
  <r>
    <n v="2230"/>
    <s v="Citistore"/>
    <s v="Mos_1"/>
    <x v="35"/>
    <n v="3"/>
    <x v="4"/>
    <x v="24"/>
    <s v="微型電腦珍珠飯煲"/>
    <s v="細電"/>
    <s v="SDA"/>
    <s v="5sli"/>
    <n v="1"/>
    <n v="558"/>
    <n v="558"/>
    <s v="056538"/>
    <m/>
    <m/>
    <s v="RC-5SLIH(W) 056538"/>
    <n v="658"/>
    <n v="0.84802431610942253"/>
    <s v="Toshiba SRP"/>
    <n v="1111"/>
    <s v="1111056538"/>
  </r>
  <r>
    <n v="2231"/>
    <s v="Citistore"/>
    <s v="Mos_1"/>
    <x v="35"/>
    <n v="3"/>
    <x v="4"/>
    <x v="36"/>
    <s v="輕觸式微波爐 (20公升)"/>
    <s v="細電"/>
    <s v="MCA"/>
    <s v="em20"/>
    <n v="1"/>
    <n v="668"/>
    <n v="668"/>
    <n v="137343"/>
    <m/>
    <m/>
    <s v="MM2-EM20PC(WH) 137343"/>
    <n v="788"/>
    <n v="0.84771573604060912"/>
    <s v="Toshiba SRP"/>
    <n v="1111"/>
    <s v="1111137343"/>
  </r>
  <r>
    <n v="2232"/>
    <s v="Citistore"/>
    <s v="Mos_1"/>
    <x v="35"/>
    <n v="3"/>
    <x v="4"/>
    <x v="20"/>
    <s v="壓縮式抽濕機 (22公升)"/>
    <s v="細電"/>
    <s v="RAC"/>
    <s v="d200"/>
    <n v="1"/>
    <n v="1880"/>
    <n v="1880"/>
    <s v="056469"/>
    <m/>
    <m/>
    <s v="RAD-D200H 056469"/>
    <n v="2880"/>
    <n v="0.65277777777777779"/>
    <s v="Shops Highest Price"/>
    <n v="1111"/>
    <s v="1111056469"/>
  </r>
  <r>
    <n v="2233"/>
    <s v="Citistore"/>
    <s v="Mos_1"/>
    <x v="35"/>
    <n v="3"/>
    <x v="4"/>
    <x v="70"/>
    <s v="12吋2合1座地座檯電風扇連遙控"/>
    <s v="細電"/>
    <s v="EAD"/>
    <s v="ya20"/>
    <n v="1"/>
    <n v="368"/>
    <n v="368"/>
    <n v="137297"/>
    <m/>
    <m/>
    <s v="F-LYA20(W)HKG 137297"/>
    <n v="988"/>
    <n v="0.37246963562753038"/>
    <s v="Toshiba SRP"/>
    <n v="1111"/>
    <s v="1111137297"/>
  </r>
  <r>
    <n v="2234"/>
    <s v="Citistore"/>
    <s v="Mos_1"/>
    <x v="35"/>
    <n v="3"/>
    <x v="4"/>
    <x v="29"/>
    <s v="酵活炊磁應電飯煲"/>
    <s v="細電"/>
    <s v="SDA"/>
    <s v="10bh"/>
    <n v="1"/>
    <n v="1688"/>
    <n v="1688"/>
    <s v="056632"/>
    <m/>
    <m/>
    <s v="RC-10BHH(W) 056632"/>
    <n v="2088"/>
    <n v="0.80842911877394641"/>
    <s v="Shops Highest Price"/>
    <n v="1111"/>
    <s v="1111056632"/>
  </r>
  <r>
    <n v="2235"/>
    <s v="Citistore"/>
    <s v="Mos_1"/>
    <x v="35"/>
    <n v="3"/>
    <x v="4"/>
    <x v="24"/>
    <s v="微型電腦珍珠飯煲"/>
    <s v="細電"/>
    <s v="SDA"/>
    <s v="5sli"/>
    <n v="1"/>
    <n v="558"/>
    <n v="558"/>
    <n v="137493"/>
    <m/>
    <m/>
    <s v="RC-5SLIH(W) 137493"/>
    <n v="658"/>
    <n v="0.84802431610942253"/>
    <s v="Toshiba SRP"/>
    <n v="1111"/>
    <s v="1111137493"/>
  </r>
  <r>
    <n v="2236"/>
    <s v="Citistore"/>
    <s v="Mos_1"/>
    <x v="35"/>
    <n v="3"/>
    <x v="14"/>
    <x v="17"/>
    <s v="4毫米厚釜電飯煲1L"/>
    <s v="細電"/>
    <s v="SDA"/>
    <s v="10nmf"/>
    <n v="1"/>
    <n v="719"/>
    <n v="719"/>
    <s v="056839"/>
    <m/>
    <m/>
    <s v="RC-10NMFIH(WT) 056839"/>
    <n v="898"/>
    <n v="0.80066815144766146"/>
    <s v="Toshiba SRP"/>
    <n v="1111"/>
    <s v="1111056839"/>
  </r>
  <r>
    <n v="2237"/>
    <s v="Citistore"/>
    <s v="Mos_1"/>
    <x v="35"/>
    <n v="3"/>
    <x v="14"/>
    <x v="30"/>
    <s v="旋鈕式燒烤微波爐20L"/>
    <s v="細電"/>
    <s v="SDA"/>
    <s v="mm20"/>
    <n v="1"/>
    <n v="488"/>
    <n v="488"/>
    <s v="056739"/>
    <m/>
    <m/>
    <s v="MWP-MM20P(WH) 056739"/>
    <n v="648"/>
    <n v="0.75308641975308643"/>
    <s v="Toshiba SRP"/>
    <n v="1111"/>
    <s v="1111056739"/>
  </r>
  <r>
    <n v="2238"/>
    <s v="Citistore"/>
    <s v="Mos_1"/>
    <x v="35"/>
    <n v="3"/>
    <x v="14"/>
    <x v="31"/>
    <s v="無線雙層電熱水壺(1.7公升)"/>
    <s v="細電"/>
    <s v="SDA"/>
    <s v="17drt"/>
    <n v="1"/>
    <n v="398"/>
    <n v="398"/>
    <s v="056745"/>
    <m/>
    <m/>
    <s v="KT-17DRTHK(H) 056745"/>
    <n v="498"/>
    <n v="0.79919678714859432"/>
    <s v="Toshiba SRP"/>
    <n v="1111"/>
    <s v="1111056745"/>
  </r>
  <r>
    <n v="2239"/>
    <s v="Citistore"/>
    <s v="Mos_1"/>
    <x v="35"/>
    <n v="3"/>
    <x v="14"/>
    <x v="21"/>
    <s v="壓縮式抽濕機 (30公升)"/>
    <s v="細電"/>
    <s v="RAC"/>
    <s v="d300"/>
    <n v="1"/>
    <n v="2280"/>
    <n v="2280"/>
    <s v="056792"/>
    <m/>
    <m/>
    <s v="RAD-D300H 056792"/>
    <n v="3380"/>
    <n v="0.67455621301775148"/>
    <s v="Shops Highest Price"/>
    <n v="1111"/>
    <s v="1111056792"/>
  </r>
  <r>
    <n v="2240"/>
    <s v="Citistore"/>
    <s v="Mos_1"/>
    <x v="35"/>
    <n v="3"/>
    <x v="14"/>
    <x v="20"/>
    <s v="壓縮式抽濕機 (22公升)"/>
    <s v="細電"/>
    <s v="RAC"/>
    <s v="d200"/>
    <n v="1"/>
    <n v="1880"/>
    <n v="1880"/>
    <s v="056795"/>
    <m/>
    <m/>
    <s v="RAD-D200H 056795"/>
    <n v="2880"/>
    <n v="0.65277777777777779"/>
    <s v="Shops Highest Price"/>
    <n v="1111"/>
    <s v="1111056795"/>
  </r>
  <r>
    <n v="2241"/>
    <s v="Citistore"/>
    <s v="Mos_1"/>
    <x v="35"/>
    <n v="3"/>
    <x v="14"/>
    <x v="60"/>
    <s v="酵活炊磁應電飯煲(1.5公升)"/>
    <s v="細電"/>
    <s v="SDA"/>
    <s v="15bh"/>
    <n v="1"/>
    <n v="1888"/>
    <n v="1888"/>
    <s v="056856"/>
    <m/>
    <m/>
    <s v="RC-15BHH(W) 056856"/>
    <n v="2388"/>
    <n v="0.79061976549413737"/>
    <s v="Toshiba SRP"/>
    <n v="1111"/>
    <s v="1111056856"/>
  </r>
  <r>
    <n v="2242"/>
    <s v="Citistore"/>
    <s v="Mos_1"/>
    <x v="35"/>
    <n v="3"/>
    <x v="14"/>
    <x v="20"/>
    <s v="壓縮式抽濕機 (22公升)"/>
    <s v="細電"/>
    <s v="RAC"/>
    <s v="d200"/>
    <n v="1"/>
    <n v="1880"/>
    <n v="1880"/>
    <n v="137740"/>
    <m/>
    <m/>
    <s v="RAD-D200H 137740"/>
    <n v="2880"/>
    <n v="0.65277777777777779"/>
    <s v="Shops Highest Price"/>
    <n v="1111"/>
    <s v="1111137740"/>
  </r>
  <r>
    <n v="2243"/>
    <s v="Citistore"/>
    <s v="Mos_1"/>
    <x v="36"/>
    <n v="3"/>
    <x v="15"/>
    <x v="30"/>
    <s v="旋鈕式燒烤微波爐20L"/>
    <s v="細電"/>
    <s v="SDA"/>
    <s v="mm20"/>
    <n v="1"/>
    <n v="488"/>
    <n v="488"/>
    <n v="137835"/>
    <m/>
    <m/>
    <s v="MWP-MM20P(WH) 137835"/>
    <n v="648"/>
    <n v="0.75308641975308643"/>
    <s v="Toshiba SRP"/>
    <n v="1111"/>
    <s v="1111137835"/>
  </r>
  <r>
    <n v="2244"/>
    <s v="Citistore"/>
    <s v="Mos_1"/>
    <x v="36"/>
    <n v="3"/>
    <x v="15"/>
    <x v="70"/>
    <s v="12吋2合1座地座檯電風扇連遙控"/>
    <s v="細電"/>
    <s v="EAD"/>
    <s v="ya20"/>
    <n v="1"/>
    <n v="368"/>
    <n v="368"/>
    <n v="137882"/>
    <m/>
    <m/>
    <s v="F-LYA20(W)HKG 137882"/>
    <n v="988"/>
    <n v="0.37246963562753038"/>
    <s v="Toshiba SRP"/>
    <n v="1111"/>
    <s v="1111137882"/>
  </r>
  <r>
    <n v="2245"/>
    <s v="Citistore"/>
    <s v="Mos_1"/>
    <x v="35"/>
    <n v="3"/>
    <x v="17"/>
    <x v="28"/>
    <s v="無線雙層電熱水壺-附可鎖壺蓋(0.8公升)"/>
    <s v="細電"/>
    <s v="SDA"/>
    <s v="08dh"/>
    <n v="1"/>
    <n v="268"/>
    <n v="268"/>
    <n v="138073"/>
    <m/>
    <m/>
    <s v="KT-08DH1VHK(W) 138073"/>
    <n v="428"/>
    <n v="0.62616822429906538"/>
    <s v="Toshiba SRP"/>
    <n v="1111"/>
    <s v="1111138073"/>
  </r>
  <r>
    <n v="2246"/>
    <s v="Citistore"/>
    <s v="Mos_1"/>
    <x v="36"/>
    <n v="3"/>
    <x v="18"/>
    <x v="47"/>
    <s v="磁應電飯煲(1公升)"/>
    <s v="細電"/>
    <s v="SDA"/>
    <s v="10iss"/>
    <n v="1"/>
    <n v="898"/>
    <n v="898"/>
    <s v="057416"/>
    <m/>
    <m/>
    <s v="RC-10ISSHK(W) 057416"/>
    <n v="1188"/>
    <n v="0.75589225589225584"/>
    <s v="Shops Highest Price"/>
    <n v="1111"/>
    <s v="1111057416"/>
  </r>
  <r>
    <n v="2247"/>
    <s v="Citistore"/>
    <s v="Mos_1"/>
    <x v="36"/>
    <n v="3"/>
    <x v="19"/>
    <x v="76"/>
    <s v="日式洗衣機 (7公斤 結合高低水位)"/>
    <s v="大電"/>
    <s v="LAD"/>
    <s v="q801"/>
    <n v="1"/>
    <n v="1980"/>
    <n v="1980"/>
    <n v="138613"/>
    <m/>
    <m/>
    <s v="AW-Q801APH(WW) 138613"/>
    <n v="3380"/>
    <n v="0.58579881656804733"/>
    <s v="Toshiba SRP"/>
    <m/>
    <s v="138613"/>
  </r>
  <r>
    <n v="2248"/>
    <s v="Citistore"/>
    <s v="Mos_1"/>
    <x v="36"/>
    <n v="3"/>
    <x v="19"/>
    <x v="37"/>
    <s v="電熱水瓶 (5公升)"/>
    <s v="細電"/>
    <s v="SDA"/>
    <s v="50dr"/>
    <n v="1"/>
    <n v="628"/>
    <n v="628"/>
    <s v="057812"/>
    <m/>
    <m/>
    <s v="TP-50DRUHK(W) 057812"/>
    <n v="718"/>
    <n v="0.87465181058495822"/>
    <s v="Toshiba SRP"/>
    <m/>
    <s v="057812"/>
  </r>
  <r>
    <n v="2249"/>
    <s v="Citistore"/>
    <s v="Mos_1"/>
    <x v="36"/>
    <n v="3"/>
    <x v="19"/>
    <x v="46"/>
    <s v="電熱水瓶 (2.5公升)"/>
    <s v="細電"/>
    <s v="SDA"/>
    <s v="25dr"/>
    <n v="1"/>
    <n v="398"/>
    <n v="398"/>
    <s v="057812"/>
    <m/>
    <m/>
    <s v="TP-25DR2UHK(W) 057812"/>
    <n v="538"/>
    <n v="0.7397769516728625"/>
    <s v="Toshiba SRP"/>
    <m/>
    <s v="057812"/>
  </r>
  <r>
    <n v="2250"/>
    <s v="Citistore"/>
    <s v="Mos_1"/>
    <x v="36"/>
    <n v="3"/>
    <x v="19"/>
    <x v="56"/>
    <s v="多士焗爐8L"/>
    <s v="細電"/>
    <s v="SDA"/>
    <n v="7080"/>
    <n v="1"/>
    <n v="338"/>
    <n v="338"/>
    <n v="138732"/>
    <m/>
    <m/>
    <s v="ET-TD7080(PN) 138732"/>
    <n v="498"/>
    <n v="0.67871485943775101"/>
    <s v="Toshiba SRP"/>
    <m/>
    <s v="138732"/>
  </r>
  <r>
    <n v="2251"/>
    <s v="Citistore"/>
    <s v="Mos_1"/>
    <x v="36"/>
    <n v="3"/>
    <x v="30"/>
    <x v="30"/>
    <s v="旋鈕式燒烤微波爐20L"/>
    <s v="細電"/>
    <s v="SDA"/>
    <s v="mm20"/>
    <n v="1"/>
    <n v="488"/>
    <n v="488"/>
    <s v="058698"/>
    <m/>
    <m/>
    <s v="MWP-MM20P(WH) 058698"/>
    <n v="648"/>
    <n v="0.75308641975308643"/>
    <s v="Toshiba SRP"/>
    <m/>
    <s v="058698"/>
  </r>
  <r>
    <n v="2252"/>
    <s v="Citistore"/>
    <s v="Mos_1"/>
    <x v="36"/>
    <n v="3"/>
    <x v="30"/>
    <x v="17"/>
    <s v="4毫米厚釜電飯煲1L"/>
    <s v="細電"/>
    <s v="SDA"/>
    <s v="10nmf"/>
    <n v="1"/>
    <n v="719"/>
    <n v="719"/>
    <s v="058705"/>
    <m/>
    <m/>
    <s v="RC-10NMFIH(WT) 058705"/>
    <n v="898"/>
    <n v="0.80066815144766146"/>
    <s v="Toshiba SRP"/>
    <m/>
    <s v="058705"/>
  </r>
  <r>
    <n v="2253"/>
    <s v="Citistore"/>
    <s v="Mos_1"/>
    <x v="35"/>
    <n v="3"/>
    <x v="22"/>
    <x v="27"/>
    <s v="4毫米厚釜電飯煲1.8L"/>
    <s v="細電"/>
    <s v="SDA"/>
    <s v="18nmf"/>
    <n v="1"/>
    <n v="799"/>
    <n v="799"/>
    <s v="058760"/>
    <m/>
    <m/>
    <s v="RC-18NMFIH(WT) 058760"/>
    <n v="998"/>
    <n v="0.80060120240480959"/>
    <s v="Toshiba SRP"/>
    <m/>
    <s v="058760"/>
  </r>
  <r>
    <n v="2254"/>
    <s v="Citistore"/>
    <s v="Mos_1"/>
    <x v="35"/>
    <n v="3"/>
    <x v="23"/>
    <x v="70"/>
    <s v="12吋2合1座地座檯電風扇連遙控"/>
    <s v="細電"/>
    <s v="EAD"/>
    <s v="ya20"/>
    <n v="1"/>
    <n v="368"/>
    <n v="368"/>
    <n v="140129"/>
    <m/>
    <m/>
    <s v="F-LYA20(W)HKG 140129"/>
    <n v="988"/>
    <n v="0.37246963562753038"/>
    <s v="Toshiba SRP"/>
    <m/>
    <s v="140129"/>
  </r>
  <r>
    <n v="2255"/>
    <s v="Citistore"/>
    <s v="Mos_1"/>
    <x v="35"/>
    <n v="3"/>
    <x v="23"/>
    <x v="70"/>
    <s v="12吋2合1座地座檯電風扇連遙控"/>
    <s v="細電"/>
    <s v="EAD"/>
    <s v="ya20"/>
    <n v="1"/>
    <n v="368"/>
    <n v="368"/>
    <s v="058960"/>
    <m/>
    <m/>
    <s v="F-LYA20(W)HKG 058960"/>
    <n v="988"/>
    <n v="0.37246963562753038"/>
    <s v="Toshiba SRP"/>
    <m/>
    <s v="058960"/>
  </r>
  <r>
    <n v="2256"/>
    <s v="Citistore"/>
    <s v="Mos_1"/>
    <x v="35"/>
    <n v="3"/>
    <x v="23"/>
    <x v="27"/>
    <s v="4毫米厚釜電飯煲1.8L"/>
    <s v="細電"/>
    <s v="SDA"/>
    <s v="18nmf"/>
    <n v="1"/>
    <n v="799"/>
    <n v="799"/>
    <s v="059062"/>
    <m/>
    <m/>
    <s v="RC-18NMFIH(WT) 059062"/>
    <n v="998"/>
    <n v="0.80060120240480959"/>
    <s v="Toshiba SRP"/>
    <m/>
    <s v="059062"/>
  </r>
  <r>
    <n v="2257"/>
    <s v="Citistore"/>
    <s v="Mos_1"/>
    <x v="35"/>
    <n v="3"/>
    <x v="23"/>
    <x v="70"/>
    <s v="12吋2合1座地座檯電風扇連遙控"/>
    <s v="細電"/>
    <s v="EAD"/>
    <s v="ya20"/>
    <n v="1"/>
    <n v="368"/>
    <n v="368"/>
    <n v="140229"/>
    <m/>
    <m/>
    <s v="F-LYA20(W)HKG 140229"/>
    <n v="988"/>
    <n v="0.37246963562753038"/>
    <s v="Toshiba SRP"/>
    <m/>
    <s v="140229"/>
  </r>
  <r>
    <n v="2258"/>
    <s v="Citistore"/>
    <s v="Mos_1"/>
    <x v="35"/>
    <n v="3"/>
    <x v="23"/>
    <x v="70"/>
    <s v="12吋2合1座地座檯電風扇連遙控"/>
    <s v="細電"/>
    <s v="EAD"/>
    <s v="ya20"/>
    <n v="1"/>
    <n v="368"/>
    <n v="368"/>
    <s v="001705"/>
    <m/>
    <m/>
    <s v="F-LYA20(W)HKG 001705"/>
    <n v="988"/>
    <n v="0.37246963562753038"/>
    <s v="Toshiba SRP"/>
    <m/>
    <s v="001705"/>
  </r>
  <r>
    <n v="2259"/>
    <s v="Citistore"/>
    <s v="Mos_1"/>
    <x v="35"/>
    <n v="3"/>
    <x v="24"/>
    <x v="30"/>
    <s v="旋鈕式燒烤微波爐20L"/>
    <s v="細電"/>
    <s v="SDA"/>
    <s v="mm20"/>
    <n v="1"/>
    <n v="488"/>
    <n v="488"/>
    <n v="582172"/>
    <m/>
    <m/>
    <s v="MWP-MM20P(WH) 582172"/>
    <n v="648"/>
    <n v="0.75308641975308643"/>
    <s v="Toshiba SRP"/>
    <m/>
    <s v="582172"/>
  </r>
  <r>
    <n v="2260"/>
    <s v="Citistore"/>
    <s v="Mos_1"/>
    <x v="35"/>
    <n v="3"/>
    <x v="24"/>
    <x v="70"/>
    <s v="12吋2合1座地座檯電風扇連遙控"/>
    <s v="細電"/>
    <s v="EAD"/>
    <s v="ya20"/>
    <n v="1"/>
    <n v="399"/>
    <n v="399"/>
    <s v="059457"/>
    <m/>
    <m/>
    <s v="F-LYA20(W)HKG 059457"/>
    <n v="988"/>
    <n v="0.40384615384615385"/>
    <s v="Toshiba SRP"/>
    <m/>
    <s v="059457"/>
  </r>
  <r>
    <n v="2261"/>
    <s v="Citistore"/>
    <s v="Mos_1"/>
    <x v="36"/>
    <n v="3"/>
    <x v="25"/>
    <x v="16"/>
    <s v="輕便式電磁爐"/>
    <s v="細電"/>
    <s v="SDA"/>
    <s v="20r1"/>
    <n v="1"/>
    <n v="298"/>
    <n v="298"/>
    <n v="140934"/>
    <m/>
    <m/>
    <s v="IC-20R1THK 140934"/>
    <n v="438"/>
    <n v="0.68036529680365299"/>
    <s v="Shops Highest Price"/>
    <m/>
    <s v="140934"/>
  </r>
  <r>
    <n v="2262"/>
    <s v="Citistore"/>
    <s v="Mos_1"/>
    <x v="36"/>
    <n v="3"/>
    <x v="25"/>
    <x v="70"/>
    <s v="12吋2合1座地座檯電風扇連遙控"/>
    <s v="細電"/>
    <s v="EAD"/>
    <s v="ya20"/>
    <n v="1"/>
    <n v="399"/>
    <n v="399"/>
    <n v="140663"/>
    <m/>
    <m/>
    <s v="F-LYA20(W)HKG 140663"/>
    <n v="988"/>
    <n v="0.40384615384615385"/>
    <s v="Toshiba SRP"/>
    <m/>
    <s v="140663"/>
  </r>
  <r>
    <n v="2263"/>
    <s v="Citistore"/>
    <s v="Mos_1"/>
    <x v="36"/>
    <n v="3"/>
    <x v="25"/>
    <x v="58"/>
    <s v="IH磁應電飯煲_x000a_鑽石銅鍋"/>
    <s v="細電"/>
    <s v="SDA"/>
    <s v="dr18tw"/>
    <n v="1"/>
    <n v="2690"/>
    <n v="2690"/>
    <s v="059966"/>
    <m/>
    <m/>
    <s v="RC-DR18T(W) 059966"/>
    <n v="3588"/>
    <n v="0.74972129319955405"/>
    <s v="Toshiba SRP"/>
    <m/>
    <s v="059966"/>
  </r>
  <r>
    <n v="2264"/>
    <s v="Citistore"/>
    <s v="Mos_1"/>
    <x v="36"/>
    <n v="3"/>
    <x v="25"/>
    <x v="17"/>
    <s v="4毫米厚釜電飯煲1L"/>
    <s v="細電"/>
    <s v="SDA"/>
    <s v="10nmf"/>
    <n v="1"/>
    <n v="719"/>
    <n v="719"/>
    <s v="059901"/>
    <m/>
    <m/>
    <s v="RC-10NMFIH(WT) 059901"/>
    <n v="898"/>
    <n v="0.80066815144766146"/>
    <s v="Toshiba SRP"/>
    <m/>
    <s v="059901"/>
  </r>
  <r>
    <n v="2265"/>
    <s v="Citistore"/>
    <s v="Mos_1"/>
    <x v="36"/>
    <n v="3"/>
    <x v="25"/>
    <x v="70"/>
    <s v="12吋2合1座地座檯電風扇連遙控"/>
    <s v="細電"/>
    <s v="EAD"/>
    <s v="ya20"/>
    <n v="1"/>
    <n v="399"/>
    <n v="399"/>
    <s v="059796"/>
    <m/>
    <m/>
    <s v="F-LYA20(W)HKG 059796"/>
    <n v="988"/>
    <n v="0.40384615384615385"/>
    <s v="Toshiba SRP"/>
    <m/>
    <s v="059796"/>
  </r>
  <r>
    <n v="2266"/>
    <s v="Citistore"/>
    <s v="Mos_1"/>
    <x v="35"/>
    <n v="3"/>
    <x v="26"/>
    <x v="25"/>
    <s v="超輕巧2合1無線吸塵機"/>
    <s v="細電"/>
    <s v="MCA"/>
    <s v="cls1b"/>
    <n v="1"/>
    <n v="1480"/>
    <n v="1480"/>
    <n v="297218"/>
    <m/>
    <m/>
    <s v="VC-CLS1BF(R) 297218"/>
    <n v="1888"/>
    <n v="0.78389830508474578"/>
    <s v="Toshiba SRP"/>
    <m/>
    <s v="297218"/>
  </r>
  <r>
    <n v="2267"/>
    <s v="Citistore"/>
    <s v="Mos_1"/>
    <x v="35"/>
    <n v="3"/>
    <x v="26"/>
    <x v="103"/>
    <s v="變頻下置式雙門雪櫃"/>
    <s v="大電"/>
    <s v="REF"/>
    <s v="rb449"/>
    <n v="1"/>
    <n v="4880"/>
    <n v="4880"/>
    <n v="297235"/>
    <m/>
    <m/>
    <s v="GR-RB449WE-PMA(57) 297235"/>
    <n v="6280"/>
    <n v="0.77707006369426757"/>
    <s v="Toshiba SRP"/>
    <m/>
    <s v="297235"/>
  </r>
  <r>
    <n v="2268"/>
    <s v="Citistore"/>
    <s v="Mos_1"/>
    <x v="35"/>
    <n v="3"/>
    <x v="26"/>
    <x v="70"/>
    <s v="12吋2合1座地座檯電風扇連遙控"/>
    <s v="細電"/>
    <s v="EAD"/>
    <s v="ya20"/>
    <n v="1"/>
    <n v="399"/>
    <n v="399"/>
    <n v="297342"/>
    <m/>
    <m/>
    <s v="F-LYA20(W)HKG 297342"/>
    <n v="988"/>
    <n v="0.40384615384615385"/>
    <s v="Toshiba SRP"/>
    <m/>
    <s v="297342"/>
  </r>
  <r>
    <n v="2269"/>
    <s v="Citistore"/>
    <s v="Mos_1"/>
    <x v="35"/>
    <n v="3"/>
    <x v="26"/>
    <x v="47"/>
    <s v="磁應電飯煲(1公升)"/>
    <s v="細電"/>
    <s v="SDA"/>
    <s v="10iss"/>
    <n v="1"/>
    <n v="898"/>
    <n v="898"/>
    <s v="060315"/>
    <m/>
    <m/>
    <s v="RC-10ISSHK(W) 060315"/>
    <n v="1188"/>
    <n v="0.75589225589225584"/>
    <s v="Shops Highest Price"/>
    <m/>
    <s v="060315"/>
  </r>
  <r>
    <n v="2270"/>
    <s v="Citistore"/>
    <s v="Mos_1"/>
    <x v="35"/>
    <n v="3"/>
    <x v="26"/>
    <x v="70"/>
    <s v="12吋2合1座地座檯電風扇連遙控"/>
    <s v="細電"/>
    <s v="EAD"/>
    <s v="ya20"/>
    <n v="1"/>
    <n v="399"/>
    <n v="399"/>
    <s v="040508"/>
    <m/>
    <m/>
    <s v="F-LYA20(W)HKG 040508"/>
    <n v="988"/>
    <n v="0.40384615384615385"/>
    <s v="Toshiba SRP"/>
    <m/>
    <s v="040508"/>
  </r>
  <r>
    <n v="2271"/>
    <s v="Citistore"/>
    <s v="Mos_1"/>
    <x v="35"/>
    <n v="3"/>
    <x v="26"/>
    <x v="70"/>
    <s v="12吋2合1座地座檯電風扇連遙控"/>
    <s v="細電"/>
    <s v="EAD"/>
    <s v="ya20"/>
    <n v="1"/>
    <n v="399"/>
    <n v="399"/>
    <s v="060452"/>
    <m/>
    <m/>
    <s v="F-LYA20(W)HKG 060452"/>
    <n v="988"/>
    <n v="0.40384615384615385"/>
    <s v="Toshiba SRP"/>
    <m/>
    <s v="060452"/>
  </r>
  <r>
    <n v="2272"/>
    <s v="Citistore"/>
    <s v="Mos_1"/>
    <x v="35"/>
    <n v="3"/>
    <x v="26"/>
    <x v="20"/>
    <s v="壓縮式抽濕機 (22公升)"/>
    <s v="細電"/>
    <s v="RAC"/>
    <s v="d200"/>
    <n v="1"/>
    <n v="1880"/>
    <n v="1880"/>
    <s v="060457"/>
    <m/>
    <m/>
    <s v="RAD-D200H 060457"/>
    <n v="2880"/>
    <n v="0.65277777777777779"/>
    <s v="Shops Highest Price"/>
    <m/>
    <s v="060457"/>
  </r>
  <r>
    <n v="2273"/>
    <s v="Citistore"/>
    <s v="Mos_1"/>
    <x v="35"/>
    <n v="3"/>
    <x v="27"/>
    <x v="70"/>
    <s v="12吋2合1座地座檯電風扇連遙控"/>
    <s v="細電"/>
    <s v="EAD"/>
    <s v="ya20"/>
    <n v="1"/>
    <n v="399"/>
    <n v="399"/>
    <n v="583777"/>
    <m/>
    <m/>
    <s v="F-LYA20(W)HKG 583777"/>
    <n v="988"/>
    <n v="0.40384615384615385"/>
    <s v="Toshiba SRP"/>
    <m/>
    <s v="583777"/>
  </r>
  <r>
    <n v="2274"/>
    <s v="Citistore"/>
    <s v="Mos_1"/>
    <x v="35"/>
    <n v="3"/>
    <x v="27"/>
    <x v="70"/>
    <s v="12吋2合1座地座檯電風扇連遙控"/>
    <s v="細電"/>
    <s v="EAD"/>
    <s v="ya20"/>
    <n v="1"/>
    <n v="399"/>
    <n v="399"/>
    <s v="060684"/>
    <m/>
    <m/>
    <s v="F-LYA20(W)HKG 060684"/>
    <n v="988"/>
    <n v="0.40384615384615385"/>
    <s v="Toshiba SRP"/>
    <m/>
    <s v="060684"/>
  </r>
  <r>
    <n v="2275"/>
    <s v="Citistore"/>
    <s v="Mos_1"/>
    <x v="35"/>
    <n v="3"/>
    <x v="27"/>
    <x v="27"/>
    <s v="4毫米厚釜電飯煲1.8L"/>
    <s v="細電"/>
    <s v="SDA"/>
    <s v="18nmf"/>
    <n v="1"/>
    <n v="799"/>
    <n v="799"/>
    <n v="297457"/>
    <m/>
    <m/>
    <s v="RC-18NMFIH(WT) 297457"/>
    <n v="998"/>
    <n v="0.80060120240480959"/>
    <s v="Toshiba SRP"/>
    <m/>
    <s v="297457"/>
  </r>
  <r>
    <n v="2276"/>
    <s v="Citistore"/>
    <s v="Mos_1"/>
    <x v="35"/>
    <n v="3"/>
    <x v="27"/>
    <x v="70"/>
    <s v="12吋2合1座地座檯電風扇連遙控"/>
    <s v="細電"/>
    <s v="EAD"/>
    <s v="ya20"/>
    <n v="1"/>
    <n v="399"/>
    <n v="399"/>
    <n v="297535"/>
    <m/>
    <m/>
    <s v="F-LYA20(W)HKG 297535"/>
    <n v="988"/>
    <n v="0.40384615384615385"/>
    <s v="Toshiba SRP"/>
    <m/>
    <s v="297535"/>
  </r>
  <r>
    <n v="2277"/>
    <s v="Citistore"/>
    <s v="Mos_1"/>
    <x v="35"/>
    <n v="3"/>
    <x v="27"/>
    <x v="25"/>
    <s v="超輕巧2合1無線吸塵機"/>
    <s v="細電"/>
    <s v="MCA"/>
    <s v="cls1b"/>
    <n v="1"/>
    <n v="1480"/>
    <n v="1480"/>
    <n v="584140"/>
    <m/>
    <m/>
    <s v="VC-CLS1BF(R) 584140"/>
    <n v="1888"/>
    <n v="0.78389830508474578"/>
    <s v="Toshiba SRP"/>
    <m/>
    <s v="584140"/>
  </r>
  <r>
    <n v="2278"/>
    <s v="Citistore"/>
    <s v="Mos_1"/>
    <x v="35"/>
    <n v="3"/>
    <x v="27"/>
    <x v="70"/>
    <s v="12吋2合1座地座檯電風扇連遙控"/>
    <s v="細電"/>
    <s v="EAD"/>
    <s v="ya20"/>
    <n v="1"/>
    <n v="399"/>
    <n v="399"/>
    <n v="147776"/>
    <m/>
    <m/>
    <s v="F-LYA20(W)HKG 147776"/>
    <n v="988"/>
    <n v="0.40384615384615385"/>
    <s v="Toshiba SRP"/>
    <m/>
    <s v="147776"/>
  </r>
  <r>
    <n v="2279"/>
    <s v="Citistore"/>
    <s v="Mos_1"/>
    <x v="35"/>
    <n v="3"/>
    <x v="27"/>
    <x v="20"/>
    <s v="壓縮式抽濕機 (22公升)"/>
    <s v="細電"/>
    <s v="RAC"/>
    <s v="d200"/>
    <n v="1"/>
    <n v="1880"/>
    <n v="1880"/>
    <s v="061055"/>
    <m/>
    <m/>
    <s v="RAD-D200H 061055"/>
    <n v="2880"/>
    <n v="0.65277777777777779"/>
    <s v="Shops Highest Price"/>
    <m/>
    <s v="061055"/>
  </r>
  <r>
    <n v="2280"/>
    <s v="Citistore"/>
    <s v="Mos_1"/>
    <x v="35"/>
    <n v="3"/>
    <x v="27"/>
    <x v="48"/>
    <s v="3合1 微波蒸焗爐 (20公升)"/>
    <s v="細電"/>
    <s v="MCA"/>
    <s v="tt20"/>
    <n v="1"/>
    <n v="2580"/>
    <n v="2580"/>
    <s v="061082"/>
    <m/>
    <m/>
    <s v="MX2-TT20SC(WH) 061082"/>
    <n v="3580"/>
    <n v="0.72067039106145248"/>
    <s v="Toshiba SRP"/>
    <m/>
    <s v="061082"/>
  </r>
  <r>
    <n v="2281"/>
    <s v="Citistore"/>
    <s v="Mos_1"/>
    <x v="35"/>
    <n v="3"/>
    <x v="28"/>
    <x v="90"/>
    <s v="8公斤超薄身前置式變頻洗衣機"/>
    <s v="大電"/>
    <s v="LAD"/>
    <s v="bu90"/>
    <n v="1"/>
    <n v="3480"/>
    <n v="3480"/>
    <n v="141933"/>
    <m/>
    <m/>
    <s v="TW-T21BU90UWH(WW) 141933"/>
    <n v="5480"/>
    <n v="0.63503649635036497"/>
    <s v="Toshiba SRP"/>
    <m/>
    <s v="141933"/>
  </r>
  <r>
    <n v="2282"/>
    <s v="Citistore"/>
    <s v="Mos_1"/>
    <x v="35"/>
    <n v="3"/>
    <x v="28"/>
    <x v="45"/>
    <s v="備長炭本厚釜電飯煲0.7L"/>
    <s v="細電"/>
    <s v="SDA"/>
    <s v="7hmh"/>
    <n v="1"/>
    <n v="798"/>
    <n v="798"/>
    <n v="141950"/>
    <m/>
    <m/>
    <s v="RC-7HMH 141950"/>
    <n v="1288"/>
    <n v="0.61956521739130432"/>
    <s v="Toshiba SRP"/>
    <m/>
    <s v="141950"/>
  </r>
  <r>
    <n v="2283"/>
    <s v="Citistore"/>
    <s v="Mos_1"/>
    <x v="35"/>
    <n v="3"/>
    <x v="28"/>
    <x v="36"/>
    <s v="輕觸式微波爐 (20公升)"/>
    <s v="細電"/>
    <s v="MCA"/>
    <s v="em20"/>
    <n v="1"/>
    <n v="668"/>
    <n v="668"/>
    <s v="061330"/>
    <m/>
    <m/>
    <s v="MM2-EM20PC(WH) 061330"/>
    <n v="788"/>
    <n v="0.84771573604060912"/>
    <s v="Toshiba SRP"/>
    <m/>
    <s v="061330"/>
  </r>
  <r>
    <n v="2284"/>
    <s v="Citistore"/>
    <s v="Mos_1"/>
    <x v="35"/>
    <n v="3"/>
    <x v="28"/>
    <x v="7"/>
    <s v="4毫米厚釜電飯煲0.54L"/>
    <s v="細電"/>
    <s v="SDA"/>
    <s v="5mm"/>
    <n v="1"/>
    <n v="556"/>
    <n v="556"/>
    <s v="061334"/>
    <m/>
    <m/>
    <s v="RC-5MMIH(WT) 061334"/>
    <n v="618"/>
    <n v="0.89967637540453071"/>
    <s v="Toshiba SRP"/>
    <m/>
    <s v="061334"/>
  </r>
  <r>
    <n v="2285"/>
    <s v="Citistore"/>
    <s v="Mos_1"/>
    <x v="35"/>
    <n v="3"/>
    <x v="29"/>
    <x v="36"/>
    <s v="輕觸式微波爐 (20公升)"/>
    <s v="細電"/>
    <s v="MCA"/>
    <s v="em20"/>
    <n v="1"/>
    <n v="668"/>
    <n v="668"/>
    <s v="061602"/>
    <m/>
    <m/>
    <s v="MM2-EM20PC(WH) 061602"/>
    <n v="788"/>
    <n v="0.84771573604060912"/>
    <s v="Toshiba SRP"/>
    <m/>
    <s v="061602"/>
  </r>
  <r>
    <n v="2286"/>
    <s v="Citistore"/>
    <s v="Mos_1"/>
    <x v="35"/>
    <n v="3"/>
    <x v="29"/>
    <x v="45"/>
    <s v="備長炭本厚釜電飯煲0.7L"/>
    <s v="細電"/>
    <s v="SDA"/>
    <s v="7hmh"/>
    <n v="1"/>
    <n v="798"/>
    <n v="798"/>
    <s v="061644"/>
    <m/>
    <m/>
    <s v="RC-7HMH 061644"/>
    <n v="1288"/>
    <n v="0.61956521739130432"/>
    <s v="Toshiba SRP"/>
    <m/>
    <s v="061644"/>
  </r>
  <r>
    <n v="2287"/>
    <s v="Citistore"/>
    <s v="Mos_1"/>
    <x v="35"/>
    <n v="3"/>
    <x v="29"/>
    <x v="135"/>
    <s v="變頻日式洗衣機 (10公斤 結合高低水位)"/>
    <s v="大電"/>
    <s v="LAD"/>
    <s v="dq110"/>
    <n v="1"/>
    <n v="2780"/>
    <n v="2780"/>
    <s v="061730"/>
    <m/>
    <m/>
    <s v="AW-DQ110JPH(WW) 061730"/>
    <n v="4680"/>
    <n v="0.59401709401709402"/>
    <s v="Toshiba SRP"/>
    <m/>
    <s v="061730"/>
  </r>
  <r>
    <n v="2288"/>
    <s v="Apita"/>
    <s v="Tai Koo_3"/>
    <x v="37"/>
    <n v="3"/>
    <x v="18"/>
    <x v="28"/>
    <s v="無線雙層電熱水壺-附可鎖壺蓋(0.8公升)"/>
    <s v="細電"/>
    <s v="SDA"/>
    <s v="08dh"/>
    <n v="1"/>
    <n v="268"/>
    <n v="268"/>
    <s v="018756"/>
    <m/>
    <m/>
    <s v="KT-08DH1VHK(W) 018756"/>
    <n v="428"/>
    <n v="0.62616822429906538"/>
    <s v="Toshiba SRP"/>
    <m/>
    <s v="018756"/>
  </r>
  <r>
    <n v="2289"/>
    <s v="Apita"/>
    <s v="Tai Koo_3"/>
    <x v="37"/>
    <n v="3"/>
    <x v="18"/>
    <x v="36"/>
    <s v="輕觸式微波爐 (20公升)"/>
    <s v="細電"/>
    <s v="MCA"/>
    <s v="em20"/>
    <n v="1"/>
    <n v="598"/>
    <n v="598"/>
    <s v="018751"/>
    <m/>
    <m/>
    <s v="MM2-EM20PC(WH) 018751"/>
    <n v="788"/>
    <n v="0.75888324873096447"/>
    <s v="Toshiba SRP"/>
    <m/>
    <s v="018751"/>
  </r>
  <r>
    <n v="2290"/>
    <s v="Apita"/>
    <s v="Tai Koo_3"/>
    <x v="37"/>
    <n v="3"/>
    <x v="18"/>
    <x v="17"/>
    <s v="4毫米厚釜電飯煲1L"/>
    <s v="細電"/>
    <s v="SDA"/>
    <s v="10nmf"/>
    <n v="1"/>
    <n v="719"/>
    <n v="719"/>
    <s v="029040"/>
    <m/>
    <m/>
    <s v="RC-10NMFIH(WT) 029040"/>
    <n v="898"/>
    <n v="0.80066815144766146"/>
    <s v="Toshiba SRP"/>
    <m/>
    <s v="029040"/>
  </r>
  <r>
    <n v="2291"/>
    <s v="Apita"/>
    <s v="Tai Koo_3"/>
    <x v="37"/>
    <n v="3"/>
    <x v="19"/>
    <x v="78"/>
    <s v="變頻式環保雙門雪櫃（179L）"/>
    <s v="大電"/>
    <s v="REF"/>
    <s v="rt234"/>
    <n v="1"/>
    <n v="1980"/>
    <n v="1980"/>
    <s v="029240"/>
    <m/>
    <m/>
    <s v="GR-RT234WE-PMA(57) 029240"/>
    <n v="3680"/>
    <n v="0.53804347826086951"/>
    <s v="Toshiba SRP"/>
    <m/>
    <s v="029240"/>
  </r>
  <r>
    <n v="2292"/>
    <s v="Apita"/>
    <s v="Tai Koo_3"/>
    <x v="37"/>
    <n v="3"/>
    <x v="23"/>
    <x v="47"/>
    <s v="磁應電飯煲(1公升)"/>
    <s v="細電"/>
    <s v="SDA"/>
    <s v="10iss"/>
    <n v="1"/>
    <n v="898"/>
    <n v="898"/>
    <s v="030405"/>
    <m/>
    <m/>
    <s v="RC-10ISSHK(W) 030405"/>
    <n v="1188"/>
    <n v="0.75589225589225584"/>
    <s v="Shops Highest Price"/>
    <m/>
    <s v="030405"/>
  </r>
  <r>
    <n v="2293"/>
    <s v="Apita"/>
    <s v="Tai Koo_3"/>
    <x v="37"/>
    <n v="3"/>
    <x v="23"/>
    <x v="85"/>
    <s v="旗艦級變頻三門雪櫃 (300L)"/>
    <s v="大電"/>
    <s v="REF"/>
    <s v="rm469"/>
    <n v="1"/>
    <n v="6580"/>
    <n v="6580"/>
    <s v="030405"/>
    <m/>
    <m/>
    <s v="GR-RM469WE-PGA(B3) 030405"/>
    <n v="8990"/>
    <n v="0.73192436040044495"/>
    <s v="Toshiba SRP"/>
    <m/>
    <s v="030405"/>
  </r>
  <r>
    <n v="2294"/>
    <s v="Yata"/>
    <s v="Shatin_1"/>
    <x v="38"/>
    <n v="3"/>
    <x v="0"/>
    <x v="38"/>
    <s v="無線雙層電熱水壺-附可鎖壺蓋"/>
    <s v="細電"/>
    <s v="SDA"/>
    <s v="15drt"/>
    <n v="1"/>
    <n v="358"/>
    <n v="358"/>
    <n v="343137"/>
    <m/>
    <m/>
    <s v="KT-15DRTHK(W) 343137"/>
    <n v="598"/>
    <n v="0.59866220735785958"/>
    <s v="Toshiba SRP"/>
    <m/>
    <s v="343137"/>
  </r>
  <r>
    <n v="2295"/>
    <s v="Yata"/>
    <s v="Shatin_1"/>
    <x v="38"/>
    <n v="3"/>
    <x v="0"/>
    <x v="44"/>
    <s v="1.7L無線雙層電熱水壺"/>
    <s v="細電"/>
    <s v="SDA"/>
    <s v="17shnh"/>
    <n v="1"/>
    <n v="198"/>
    <n v="198"/>
    <n v="343261"/>
    <m/>
    <m/>
    <s v="KT-17SHNH 343261"/>
    <n v="299"/>
    <n v="0.66220735785953178"/>
    <s v="Shops Highest Price"/>
    <m/>
    <s v="343261"/>
  </r>
  <r>
    <n v="2296"/>
    <s v="Yata"/>
    <s v="Shatin_1"/>
    <x v="38"/>
    <n v="3"/>
    <x v="0"/>
    <x v="28"/>
    <s v="無線雙層電熱水壺-附可鎖壺蓋(0.8公升)"/>
    <s v="細電"/>
    <s v="SDA"/>
    <s v="08dh"/>
    <n v="1"/>
    <n v="268"/>
    <n v="268"/>
    <n v="343451"/>
    <m/>
    <m/>
    <s v="KT-08DH1VHK(W) 343451"/>
    <n v="428"/>
    <n v="0.62616822429906538"/>
    <s v="Toshiba SRP"/>
    <m/>
    <s v="343451"/>
  </r>
  <r>
    <n v="2297"/>
    <s v="Yata"/>
    <s v="Shatin_1"/>
    <x v="38"/>
    <n v="3"/>
    <x v="0"/>
    <x v="37"/>
    <s v="電熱水瓶 (5公升)"/>
    <s v="細電"/>
    <s v="SDA"/>
    <s v="50dr"/>
    <n v="1"/>
    <n v="598"/>
    <n v="598"/>
    <n v="524872"/>
    <m/>
    <m/>
    <s v="TP-50DRUHK(W) 524872"/>
    <n v="718"/>
    <n v="0.83286908077994426"/>
    <s v="Toshiba SRP"/>
    <m/>
    <s v="524872"/>
  </r>
  <r>
    <n v="2298"/>
    <s v="Yata"/>
    <s v="Shatin_1"/>
    <x v="38"/>
    <n v="3"/>
    <x v="5"/>
    <x v="56"/>
    <s v="多士焗爐8L"/>
    <s v="細電"/>
    <s v="SDA"/>
    <n v="7080"/>
    <n v="1"/>
    <n v="358"/>
    <n v="358"/>
    <n v="343750"/>
    <m/>
    <m/>
    <s v="ET-TD7080(PN) 343750"/>
    <n v="498"/>
    <n v="0.71887550200803207"/>
    <s v="Toshiba SRP"/>
    <m/>
    <s v="343750"/>
  </r>
  <r>
    <n v="2299"/>
    <s v="Yata"/>
    <s v="Shatin_1"/>
    <x v="38"/>
    <n v="3"/>
    <x v="5"/>
    <x v="7"/>
    <s v="4毫米厚釜電飯煲0.54L"/>
    <s v="細電"/>
    <s v="SDA"/>
    <s v="5mm"/>
    <n v="1"/>
    <n v="557"/>
    <n v="557"/>
    <s v="013988"/>
    <m/>
    <m/>
    <s v="RC-5MMIH(WT) 013988"/>
    <n v="618"/>
    <n v="0.90129449838187703"/>
    <s v="Toshiba SRP"/>
    <m/>
    <s v="013988"/>
  </r>
  <r>
    <n v="2300"/>
    <s v="Yata"/>
    <s v="Shatin_1"/>
    <x v="38"/>
    <n v="3"/>
    <x v="13"/>
    <x v="31"/>
    <s v="無線雙層電熱水壺(1.7公升)"/>
    <s v="細電"/>
    <s v="SDA"/>
    <s v="17drt"/>
    <n v="1"/>
    <n v="398"/>
    <n v="398"/>
    <n v="525234"/>
    <m/>
    <m/>
    <s v="KT-17DRTHK(H) 525234"/>
    <n v="498"/>
    <n v="0.79919678714859432"/>
    <s v="Toshiba SRP"/>
    <m/>
    <s v="525234"/>
  </r>
  <r>
    <n v="2301"/>
    <s v="Yata"/>
    <s v="Shatin_1"/>
    <x v="38"/>
    <n v="3"/>
    <x v="13"/>
    <x v="20"/>
    <s v="壓縮式抽濕機 (22公升)"/>
    <s v="細電"/>
    <s v="RAC"/>
    <s v="d200"/>
    <n v="1"/>
    <n v="1980"/>
    <n v="1980"/>
    <n v="344936"/>
    <m/>
    <m/>
    <s v="RAD-D200H 344936"/>
    <n v="2880"/>
    <n v="0.6875"/>
    <s v="Shops Highest Price"/>
    <m/>
    <s v="344936"/>
  </r>
  <r>
    <n v="2302"/>
    <s v="Yata"/>
    <s v="Shatin_1"/>
    <x v="38"/>
    <n v="3"/>
    <x v="13"/>
    <x v="116"/>
    <s v="IH磁應電飯煲"/>
    <s v="細電"/>
    <s v="SDA"/>
    <s v="ds18kw"/>
    <n v="1"/>
    <n v="3490"/>
    <n v="3490"/>
    <n v="318105"/>
    <m/>
    <m/>
    <s v="RC-DS18K(N) 318105"/>
    <n v="4988"/>
    <n v="0.69967923015236566"/>
    <s v="Toshiba SRP"/>
    <m/>
    <s v="318105"/>
  </r>
  <r>
    <n v="2303"/>
    <s v="Yata"/>
    <s v="Shatin_1"/>
    <x v="38"/>
    <n v="3"/>
    <x v="8"/>
    <x v="28"/>
    <s v="無線雙層電熱水壺-附可鎖壺蓋(0.8公升)"/>
    <s v="細電"/>
    <s v="SDA"/>
    <s v="08dh"/>
    <n v="1"/>
    <n v="268"/>
    <n v="268"/>
    <n v="525708"/>
    <m/>
    <m/>
    <s v="KT-08DH1VHK(W) 525708"/>
    <n v="428"/>
    <n v="0.62616822429906538"/>
    <s v="Toshiba SRP"/>
    <m/>
    <s v="525708"/>
  </r>
  <r>
    <n v="2304"/>
    <s v="Yata"/>
    <s v="Shatin_1"/>
    <x v="38"/>
    <n v="3"/>
    <x v="8"/>
    <x v="15"/>
    <s v="Induction Cooker"/>
    <s v="細電"/>
    <s v="SDA"/>
    <s v="21ts"/>
    <n v="1"/>
    <n v="798"/>
    <n v="798"/>
    <n v="525841"/>
    <m/>
    <m/>
    <s v="IC-21TSHK 525841"/>
    <n v="998"/>
    <n v="0.79959919839679361"/>
    <s v="Web SRP"/>
    <m/>
    <s v="525841"/>
  </r>
  <r>
    <n v="2305"/>
    <s v="Yata"/>
    <s v="Shatin_1"/>
    <x v="38"/>
    <n v="3"/>
    <x v="8"/>
    <x v="56"/>
    <s v="多士焗爐8L"/>
    <s v="細電"/>
    <s v="SDA"/>
    <n v="7080"/>
    <n v="1"/>
    <n v="358"/>
    <n v="358"/>
    <n v="525937"/>
    <m/>
    <m/>
    <s v="ET-TD7080(PN) 525937"/>
    <n v="498"/>
    <n v="0.71887550200803207"/>
    <s v="Toshiba SRP"/>
    <m/>
    <s v="525937"/>
  </r>
  <r>
    <n v="2306"/>
    <s v="Yata"/>
    <s v="Shatin_1"/>
    <x v="38"/>
    <n v="3"/>
    <x v="8"/>
    <x v="121"/>
    <s v="IH磁應電飯煲"/>
    <s v="細電"/>
    <s v="SDA"/>
    <s v="ds10kw"/>
    <n v="1"/>
    <n v="3150"/>
    <n v="3150"/>
    <n v="525979"/>
    <m/>
    <m/>
    <s v="RC-DS10K(N) 525979"/>
    <n v="4588"/>
    <n v="0.68657367044463824"/>
    <s v="Toshiba SRP"/>
    <m/>
    <s v="525979"/>
  </r>
  <r>
    <n v="2307"/>
    <s v="Yata"/>
    <s v="Shatin_1"/>
    <x v="38"/>
    <n v="3"/>
    <x v="8"/>
    <x v="24"/>
    <s v="微型電腦珍珠飯煲"/>
    <s v="細電"/>
    <s v="SDA"/>
    <s v="5sli"/>
    <n v="1"/>
    <n v="593"/>
    <n v="593"/>
    <n v="526026"/>
    <m/>
    <m/>
    <s v="RC-5SLIH(W) 526026"/>
    <n v="658"/>
    <n v="0.90121580547112456"/>
    <s v="Toshiba SRP"/>
    <m/>
    <s v="526026"/>
  </r>
  <r>
    <n v="2308"/>
    <s v="Yata"/>
    <s v="Shatin_1"/>
    <x v="38"/>
    <n v="3"/>
    <x v="8"/>
    <x v="31"/>
    <s v="無線雙層電熱水壺(1.7公升)"/>
    <s v="細電"/>
    <s v="SDA"/>
    <s v="17drt"/>
    <n v="1"/>
    <n v="388"/>
    <n v="388"/>
    <n v="526026"/>
    <m/>
    <m/>
    <s v="KT-17DRTHK(H) 526026"/>
    <n v="498"/>
    <n v="0.77911646586345384"/>
    <s v="Toshiba SRP"/>
    <m/>
    <s v="526026"/>
  </r>
  <r>
    <n v="2309"/>
    <s v="Yata"/>
    <s v="Shatin_1"/>
    <x v="38"/>
    <n v="3"/>
    <x v="8"/>
    <x v="54"/>
    <s v="低醣磁應電飯煲1L"/>
    <s v="細電"/>
    <s v="SDA"/>
    <s v="10irph"/>
    <n v="1"/>
    <n v="798"/>
    <n v="798"/>
    <n v="526191"/>
    <m/>
    <m/>
    <s v="RC-10IRPH 526191"/>
    <n v="1388"/>
    <n v="0.5749279538904899"/>
    <s v="Toshiba SRP"/>
    <m/>
    <s v="526191"/>
  </r>
  <r>
    <n v="2310"/>
    <s v="Yata"/>
    <s v="Shatin_1"/>
    <x v="38"/>
    <n v="3"/>
    <x v="1"/>
    <x v="44"/>
    <s v="1.7L無線雙層電熱水壺"/>
    <s v="細電"/>
    <s v="SDA"/>
    <s v="17shnh"/>
    <n v="1"/>
    <n v="198"/>
    <n v="198"/>
    <n v="345474"/>
    <m/>
    <m/>
    <s v="KT-17SHNH 345474"/>
    <n v="299"/>
    <n v="0.66220735785953178"/>
    <s v="Shops Highest Price"/>
    <m/>
    <s v="345474"/>
  </r>
  <r>
    <n v="2311"/>
    <s v="Yata"/>
    <s v="Shatin_1"/>
    <x v="38"/>
    <n v="3"/>
    <x v="1"/>
    <x v="20"/>
    <s v="壓縮式抽濕機 (22公升)"/>
    <s v="細電"/>
    <s v="RAC"/>
    <s v="d200"/>
    <n v="1"/>
    <n v="1980"/>
    <n v="1980"/>
    <n v="526380"/>
    <m/>
    <m/>
    <s v="RAD-D200H 526380"/>
    <n v="2880"/>
    <n v="0.6875"/>
    <s v="Shops Highest Price"/>
    <m/>
    <s v="526380"/>
  </r>
  <r>
    <n v="2312"/>
    <s v="Yata"/>
    <s v="Shatin_1"/>
    <x v="38"/>
    <n v="3"/>
    <x v="1"/>
    <x v="54"/>
    <s v="低醣磁應電飯煲1L"/>
    <s v="細電"/>
    <s v="SDA"/>
    <s v="10irph"/>
    <n v="1"/>
    <n v="798"/>
    <n v="798"/>
    <n v="345583"/>
    <m/>
    <m/>
    <s v="RC-10IRPH 345583"/>
    <n v="1388"/>
    <n v="0.5749279538904899"/>
    <s v="Toshiba SRP"/>
    <m/>
    <s v="345583"/>
  </r>
  <r>
    <n v="2313"/>
    <s v="Yata"/>
    <s v="Shatin_1"/>
    <x v="38"/>
    <n v="3"/>
    <x v="1"/>
    <x v="45"/>
    <s v="備長炭本厚釜電飯煲0.7L"/>
    <s v="細電"/>
    <s v="SDA"/>
    <s v="7hmh"/>
    <n v="1"/>
    <n v="838"/>
    <n v="838"/>
    <n v="318328"/>
    <m/>
    <m/>
    <s v="RC-7HMH 318328"/>
    <n v="1288"/>
    <n v="0.65062111801242239"/>
    <s v="Toshiba SRP"/>
    <m/>
    <s v="318328"/>
  </r>
  <r>
    <n v="2314"/>
    <s v="Yata"/>
    <s v="Shatin_1"/>
    <x v="38"/>
    <n v="3"/>
    <x v="1"/>
    <x v="33"/>
    <s v="輕觸式燒烤微波爐"/>
    <s v="細電"/>
    <s v="MCA"/>
    <s v="eg20"/>
    <n v="1"/>
    <n v="698"/>
    <n v="698"/>
    <n v="345623"/>
    <m/>
    <m/>
    <s v="MM2-EG20PC(WH) 345623"/>
    <n v="918"/>
    <n v="0.76034858387799564"/>
    <s v="Shops Highest Price"/>
    <m/>
    <s v="345623"/>
  </r>
  <r>
    <n v="2315"/>
    <s v="Yata"/>
    <s v="Shatin_1"/>
    <x v="38"/>
    <n v="3"/>
    <x v="1"/>
    <x v="44"/>
    <s v="1.7L無線雙層電熱水壺"/>
    <s v="細電"/>
    <s v="SDA"/>
    <s v="17shnh"/>
    <n v="1"/>
    <n v="198"/>
    <n v="198"/>
    <n v="345650"/>
    <m/>
    <m/>
    <s v="KT-17SHNH 345650"/>
    <n v="299"/>
    <n v="0.66220735785953178"/>
    <s v="Shops Highest Price"/>
    <m/>
    <s v="345650"/>
  </r>
  <r>
    <n v="2316"/>
    <s v="Yata"/>
    <s v="Shatin_1"/>
    <x v="38"/>
    <n v="3"/>
    <x v="1"/>
    <x v="27"/>
    <s v="4毫米厚釜電飯煲1.8L"/>
    <s v="細電"/>
    <s v="SDA"/>
    <s v="18nmf"/>
    <n v="1"/>
    <n v="799"/>
    <n v="799"/>
    <n v="318436"/>
    <m/>
    <m/>
    <s v="RC-18NMFIH(WT) 318436"/>
    <n v="998"/>
    <n v="0.80060120240480959"/>
    <s v="Toshiba SRP"/>
    <m/>
    <s v="318436"/>
  </r>
  <r>
    <n v="2317"/>
    <s v="Yata"/>
    <s v="Shatin_1"/>
    <x v="38"/>
    <n v="3"/>
    <x v="2"/>
    <x v="17"/>
    <s v="4毫米厚釜電飯煲1L"/>
    <s v="細電"/>
    <s v="SDA"/>
    <s v="10nmf"/>
    <n v="1"/>
    <n v="719"/>
    <n v="719"/>
    <n v="345748"/>
    <m/>
    <m/>
    <s v="RC-10NMFIH(WT) 345748"/>
    <n v="898"/>
    <n v="0.80066815144766146"/>
    <s v="Toshiba SRP"/>
    <m/>
    <s v="345748"/>
  </r>
  <r>
    <n v="2318"/>
    <s v="Yata"/>
    <s v="Shatin_1"/>
    <x v="38"/>
    <n v="3"/>
    <x v="2"/>
    <x v="38"/>
    <s v="無線雙層電熱水壺-附可鎖壺蓋"/>
    <s v="細電"/>
    <s v="SDA"/>
    <s v="15drt"/>
    <n v="1"/>
    <n v="358"/>
    <n v="358"/>
    <n v="318657"/>
    <m/>
    <m/>
    <s v="KT-15DRTHK(W) 318657"/>
    <n v="598"/>
    <n v="0.59866220735785958"/>
    <s v="Toshiba SRP"/>
    <m/>
    <s v="318657"/>
  </r>
  <r>
    <n v="2319"/>
    <s v="Yata"/>
    <s v="Shatin_1"/>
    <x v="38"/>
    <n v="3"/>
    <x v="2"/>
    <x v="31"/>
    <s v="無線雙層電熱水壺(1.7公升)"/>
    <s v="細電"/>
    <s v="SDA"/>
    <s v="17drt"/>
    <n v="1"/>
    <n v="388"/>
    <n v="388"/>
    <n v="345933"/>
    <m/>
    <m/>
    <s v="KT-17DRTHK(H) 345933"/>
    <n v="498"/>
    <n v="0.77911646586345384"/>
    <s v="Toshiba SRP"/>
    <m/>
    <s v="345933"/>
  </r>
  <r>
    <n v="2320"/>
    <s v="Yata"/>
    <s v="Shatin_1"/>
    <x v="38"/>
    <n v="3"/>
    <x v="2"/>
    <x v="42"/>
    <s v="變頻下置式雙門雪櫃系列270L"/>
    <s v="大電"/>
    <s v="REF"/>
    <s v="rb360"/>
    <n v="1"/>
    <n v="3980"/>
    <n v="3980"/>
    <n v="526974"/>
    <m/>
    <m/>
    <s v="GR-RB360WE-PMA(06) 526974"/>
    <n v="5080"/>
    <n v="0.78346456692913391"/>
    <s v="Toshiba SRP"/>
    <m/>
    <s v="526974"/>
  </r>
  <r>
    <n v="2321"/>
    <s v="Yata"/>
    <s v="Shatin_1"/>
    <x v="38"/>
    <n v="3"/>
    <x v="2"/>
    <x v="31"/>
    <s v="無線雙層電熱水壺(1.7公升)"/>
    <s v="細電"/>
    <s v="SDA"/>
    <s v="17drt"/>
    <n v="1"/>
    <n v="388"/>
    <n v="388"/>
    <n v="318673"/>
    <m/>
    <m/>
    <s v="KT-17DRTHK(H) 318673"/>
    <n v="498"/>
    <n v="0.77911646586345384"/>
    <s v="Toshiba SRP"/>
    <m/>
    <s v="318673"/>
  </r>
  <r>
    <n v="2322"/>
    <s v="Yata"/>
    <s v="Shatin_1"/>
    <x v="38"/>
    <n v="3"/>
    <x v="2"/>
    <x v="29"/>
    <s v="酵活炊磁應電飯煲"/>
    <s v="細電"/>
    <s v="SDA"/>
    <s v="10bh"/>
    <n v="1"/>
    <n v="1888"/>
    <n v="1888"/>
    <n v="346010"/>
    <m/>
    <m/>
    <s v="RC-10BHH(W) 346010"/>
    <n v="2088"/>
    <n v="0.90421455938697315"/>
    <s v="Shops Highest Price"/>
    <m/>
    <s v="346010"/>
  </r>
  <r>
    <n v="2323"/>
    <s v="Yata"/>
    <s v="Shatin_1"/>
    <x v="38"/>
    <n v="3"/>
    <x v="9"/>
    <x v="51"/>
    <s v="IH磁應電飯煲"/>
    <s v="細電"/>
    <s v="SDA"/>
    <s v="dr10tw"/>
    <n v="1"/>
    <n v="2380"/>
    <n v="2380"/>
    <n v="346190"/>
    <m/>
    <m/>
    <s v="RC-DR10T(W) 346190"/>
    <n v="3188"/>
    <n v="0.74654956085319946"/>
    <s v="Toshiba SRP"/>
    <m/>
    <s v="346190"/>
  </r>
  <r>
    <n v="2324"/>
    <s v="Yata"/>
    <s v="Shatin_1"/>
    <x v="38"/>
    <n v="3"/>
    <x v="9"/>
    <x v="120"/>
    <s v="真空壓力磁應電飯煲(1.0公升)"/>
    <s v="細電"/>
    <s v="SDA"/>
    <s v="dx10t"/>
    <n v="1"/>
    <n v="4888"/>
    <n v="4888"/>
    <n v="527450"/>
    <m/>
    <m/>
    <s v="RC-DX10T(W) 527450"/>
    <n v="5988"/>
    <n v="0.81629926519706075"/>
    <s v="Toshiba SRP"/>
    <m/>
    <s v="527450"/>
  </r>
  <r>
    <n v="2325"/>
    <s v="Yata"/>
    <s v="Shatin_1"/>
    <x v="38"/>
    <n v="3"/>
    <x v="9"/>
    <x v="24"/>
    <s v="微型電腦珍珠飯煲"/>
    <s v="細電"/>
    <s v="SDA"/>
    <s v="5sli"/>
    <n v="1"/>
    <n v="593"/>
    <n v="593"/>
    <n v="527498"/>
    <m/>
    <m/>
    <s v="RC-5SLIH(W) 527498"/>
    <n v="658"/>
    <n v="0.90121580547112456"/>
    <s v="Toshiba SRP"/>
    <m/>
    <s v="527498"/>
  </r>
  <r>
    <n v="2326"/>
    <s v="Yata"/>
    <s v="Shatin_1"/>
    <x v="38"/>
    <n v="3"/>
    <x v="10"/>
    <x v="30"/>
    <s v="旋鈕式燒烤微波爐20L"/>
    <s v="細電"/>
    <s v="SDA"/>
    <s v="mm20"/>
    <n v="1"/>
    <n v="488"/>
    <n v="488"/>
    <n v="346407"/>
    <m/>
    <m/>
    <s v="MWP-MM20P(WH) 346407"/>
    <n v="648"/>
    <n v="0.75308641975308643"/>
    <s v="Toshiba SRP"/>
    <m/>
    <s v="346407"/>
  </r>
  <r>
    <n v="2327"/>
    <s v="Yata"/>
    <s v="Shatin_1"/>
    <x v="38"/>
    <n v="3"/>
    <x v="10"/>
    <x v="27"/>
    <s v="4毫米厚釜電飯煲1.8L"/>
    <s v="細電"/>
    <s v="SDA"/>
    <s v="18nmf"/>
    <n v="1"/>
    <n v="799"/>
    <n v="799"/>
    <n v="346562"/>
    <m/>
    <m/>
    <s v="RC-18NMFIH(WT) 346562"/>
    <n v="998"/>
    <n v="0.80060120240480959"/>
    <s v="Toshiba SRP"/>
    <m/>
    <s v="346562"/>
  </r>
  <r>
    <n v="2328"/>
    <s v="Yata"/>
    <s v="Shatin_1"/>
    <x v="38"/>
    <n v="3"/>
    <x v="10"/>
    <x v="56"/>
    <s v="多士焗爐8L"/>
    <s v="細電"/>
    <s v="SDA"/>
    <n v="7080"/>
    <n v="1"/>
    <n v="358"/>
    <n v="358"/>
    <n v="346566"/>
    <m/>
    <m/>
    <s v="ET-TD7080(PN) 346566"/>
    <n v="498"/>
    <n v="0.71887550200803207"/>
    <s v="Toshiba SRP"/>
    <m/>
    <s v="346566"/>
  </r>
  <r>
    <n v="2329"/>
    <s v="Yata"/>
    <s v="Shatin_1"/>
    <x v="38"/>
    <n v="3"/>
    <x v="10"/>
    <x v="9"/>
    <s v="電熱水瓶4.5L"/>
    <s v="細電"/>
    <s v="SDA"/>
    <s v="45sf"/>
    <n v="1"/>
    <n v="589"/>
    <n v="589"/>
    <n v="346578"/>
    <m/>
    <m/>
    <s v="PLK-45SFIH(WT) 346578"/>
    <n v="788"/>
    <n v="0.7474619289340102"/>
    <s v="Toshiba SRP"/>
    <m/>
    <s v="346578"/>
  </r>
  <r>
    <n v="2330"/>
    <s v="Yata"/>
    <s v="Shatin_1"/>
    <x v="38"/>
    <n v="3"/>
    <x v="3"/>
    <x v="34"/>
    <s v="智能氣炸烤焗爐(24公升)"/>
    <s v="細電"/>
    <s v="MCA"/>
    <s v="sac24"/>
    <n v="1"/>
    <n v="1320"/>
    <n v="1320"/>
    <n v="529426"/>
    <m/>
    <m/>
    <s v="MW3-SAC24SE(BK) 529426"/>
    <n v="1680"/>
    <n v="0.7857142857142857"/>
    <s v="Toshiba SRP"/>
    <m/>
    <s v="529426"/>
  </r>
  <r>
    <n v="2331"/>
    <s v="Yata"/>
    <s v="Shatin_1"/>
    <x v="38"/>
    <n v="3"/>
    <x v="3"/>
    <x v="47"/>
    <s v="磁應電飯煲(1公升)"/>
    <s v="細電"/>
    <s v="SDA"/>
    <s v="10iss"/>
    <n v="1"/>
    <n v="938"/>
    <n v="938"/>
    <n v="529350"/>
    <m/>
    <m/>
    <s v="RC-10ISSHK(W) 529350"/>
    <n v="1188"/>
    <n v="0.78956228956228958"/>
    <s v="Shops Highest Price"/>
    <m/>
    <s v="529350"/>
  </r>
  <r>
    <n v="2332"/>
    <s v="Yata"/>
    <s v="Shatin_1"/>
    <x v="38"/>
    <n v="3"/>
    <x v="3"/>
    <x v="35"/>
    <s v="1.8公升電飯煲"/>
    <s v="細電"/>
    <s v="SDA"/>
    <s v="18jruh"/>
    <n v="1"/>
    <n v="388"/>
    <n v="388"/>
    <n v="529434"/>
    <m/>
    <m/>
    <s v="RC-18JRUH(N) 529434"/>
    <n v="458"/>
    <n v="0.84716157205240172"/>
    <s v="Shops Highest Price"/>
    <m/>
    <s v="529434"/>
  </r>
  <r>
    <n v="2333"/>
    <s v="Yata"/>
    <s v="Shatin_1"/>
    <x v="38"/>
    <n v="3"/>
    <x v="3"/>
    <x v="56"/>
    <s v="多士焗爐8L"/>
    <s v="細電"/>
    <s v="SDA"/>
    <n v="7080"/>
    <n v="1"/>
    <n v="358"/>
    <n v="358"/>
    <s v="014687"/>
    <m/>
    <m/>
    <s v="ET-TD7080(PN) 014687"/>
    <n v="498"/>
    <n v="0.71887550200803207"/>
    <s v="Toshiba SRP"/>
    <m/>
    <s v="014687"/>
  </r>
  <r>
    <n v="2334"/>
    <s v="Yata"/>
    <s v="Shatin_1"/>
    <x v="38"/>
    <n v="3"/>
    <x v="3"/>
    <x v="8"/>
    <s v="電壓力鍋"/>
    <s v="細電"/>
    <s v="SDA"/>
    <s v="48drs"/>
    <n v="1"/>
    <n v="838"/>
    <n v="838"/>
    <n v="347584"/>
    <m/>
    <m/>
    <s v="PC-48DRSHK(K) 347584"/>
    <n v="1188"/>
    <n v="0.70538720538720534"/>
    <s v="Shops Highest Price"/>
    <m/>
    <s v="347584"/>
  </r>
  <r>
    <n v="2335"/>
    <s v="Yata"/>
    <s v="Shatin_1"/>
    <x v="38"/>
    <n v="3"/>
    <x v="3"/>
    <x v="51"/>
    <s v="IH磁應電飯煲"/>
    <s v="細電"/>
    <s v="SDA"/>
    <s v="dr10tw"/>
    <n v="1"/>
    <n v="2380"/>
    <n v="2380"/>
    <n v="319743"/>
    <m/>
    <m/>
    <s v="RC-DR10T(W) 319743"/>
    <n v="3188"/>
    <n v="0.74654956085319946"/>
    <s v="Toshiba SRP"/>
    <m/>
    <s v="319743"/>
  </r>
  <r>
    <n v="2336"/>
    <s v="Yata"/>
    <s v="Shatin_1"/>
    <x v="38"/>
    <n v="3"/>
    <x v="3"/>
    <x v="29"/>
    <s v="酵活炊磁應電飯煲"/>
    <s v="細電"/>
    <s v="SDA"/>
    <s v="10bh"/>
    <n v="1"/>
    <n v="1888"/>
    <n v="1888"/>
    <n v="529587"/>
    <m/>
    <m/>
    <s v="RC-10BHH(W) 529587"/>
    <n v="2088"/>
    <n v="0.90421455938697315"/>
    <s v="Shops Highest Price"/>
    <m/>
    <s v="529587"/>
  </r>
  <r>
    <n v="2337"/>
    <s v="Yata"/>
    <s v="Shatin_1"/>
    <x v="38"/>
    <n v="3"/>
    <x v="3"/>
    <x v="24"/>
    <s v="微型電腦珍珠飯煲"/>
    <s v="細電"/>
    <s v="SDA"/>
    <s v="5sli"/>
    <n v="1"/>
    <n v="593"/>
    <n v="593"/>
    <n v="319789"/>
    <m/>
    <m/>
    <s v="RC-5SLIH(W) 319789"/>
    <n v="658"/>
    <n v="0.90121580547112456"/>
    <s v="Toshiba SRP"/>
    <m/>
    <s v="319789"/>
  </r>
  <r>
    <n v="2338"/>
    <s v="Yata"/>
    <s v="Shatin_1"/>
    <x v="38"/>
    <n v="3"/>
    <x v="3"/>
    <x v="44"/>
    <s v="1.7L無線雙層電熱水壺"/>
    <s v="細電"/>
    <s v="SDA"/>
    <s v="17shnh"/>
    <n v="1"/>
    <n v="198"/>
    <n v="198"/>
    <n v="529626"/>
    <m/>
    <m/>
    <s v="KT-17SHNH 529626"/>
    <n v="299"/>
    <n v="0.66220735785953178"/>
    <s v="Shops Highest Price"/>
    <m/>
    <s v="529626"/>
  </r>
  <r>
    <n v="2339"/>
    <s v="Yata"/>
    <s v="Shatin_1"/>
    <x v="38"/>
    <n v="3"/>
    <x v="4"/>
    <x v="24"/>
    <s v="微型電腦珍珠飯煲"/>
    <s v="細電"/>
    <s v="SDA"/>
    <s v="5sli"/>
    <n v="1"/>
    <n v="593"/>
    <n v="593"/>
    <n v="319881"/>
    <m/>
    <m/>
    <s v="RC-5SLIH(W) 319881"/>
    <n v="658"/>
    <n v="0.90121580547112456"/>
    <s v="Toshiba SRP"/>
    <m/>
    <s v="319881"/>
  </r>
  <r>
    <n v="2340"/>
    <s v="Yata"/>
    <s v="Shatin_1"/>
    <x v="38"/>
    <n v="3"/>
    <x v="4"/>
    <x v="118"/>
    <s v="IH磁應電飯煲"/>
    <s v="細電"/>
    <s v="SDA"/>
    <s v="dz4k"/>
    <n v="1"/>
    <n v="3280"/>
    <n v="3280"/>
    <n v="529843"/>
    <m/>
    <m/>
    <s v="RC-DZ4K(N) 529843"/>
    <n v="3888"/>
    <n v="0.84362139917695478"/>
    <s v="Shops Highest Price"/>
    <m/>
    <s v="529843"/>
  </r>
  <r>
    <n v="2341"/>
    <s v="Yata"/>
    <s v="Shatin_1"/>
    <x v="38"/>
    <n v="3"/>
    <x v="4"/>
    <x v="17"/>
    <s v="4毫米厚釜電飯煲1L"/>
    <s v="細電"/>
    <s v="SDA"/>
    <s v="10nmf"/>
    <n v="1"/>
    <n v="719"/>
    <n v="719"/>
    <n v="319920"/>
    <m/>
    <m/>
    <s v="RC-10NMFIH(WT) 319920"/>
    <n v="898"/>
    <n v="0.80066815144766146"/>
    <s v="Toshiba SRP"/>
    <m/>
    <s v="319920"/>
  </r>
  <r>
    <n v="2342"/>
    <s v="Yata"/>
    <s v="Shatin_1"/>
    <x v="38"/>
    <n v="3"/>
    <x v="4"/>
    <x v="39"/>
    <s v="酵活炊電飯煲(1.0公升)"/>
    <s v="細電"/>
    <s v="SDA"/>
    <s v="10amx"/>
    <n v="1"/>
    <n v="990"/>
    <n v="990"/>
    <n v="319985"/>
    <m/>
    <m/>
    <s v="RC-10AMXH(W) 319985"/>
    <n v="1288"/>
    <n v="0.76863354037267084"/>
    <s v="Toshiba SRP"/>
    <m/>
    <s v="319985"/>
  </r>
  <r>
    <n v="2343"/>
    <s v="Yata"/>
    <s v="Shatin_1"/>
    <x v="38"/>
    <n v="3"/>
    <x v="4"/>
    <x v="17"/>
    <s v="4毫米厚釜電飯煲1L"/>
    <s v="細電"/>
    <s v="SDA"/>
    <s v="10nmf"/>
    <n v="1"/>
    <n v="719"/>
    <n v="719"/>
    <n v="320120"/>
    <m/>
    <m/>
    <s v="RC-10NMFIH(WT) 320120"/>
    <n v="898"/>
    <n v="0.80066815144766146"/>
    <s v="Toshiba SRP"/>
    <m/>
    <s v="320120"/>
  </r>
  <r>
    <n v="2344"/>
    <s v="Yata"/>
    <s v="Shatin_1"/>
    <x v="38"/>
    <n v="3"/>
    <x v="4"/>
    <x v="37"/>
    <s v="電熱水瓶 (5公升)"/>
    <s v="細電"/>
    <s v="SDA"/>
    <s v="50dr"/>
    <n v="1"/>
    <n v="598"/>
    <n v="598"/>
    <n v="320134"/>
    <m/>
    <m/>
    <s v="TP-50DRUHK(W) 320134"/>
    <n v="718"/>
    <n v="0.83286908077994426"/>
    <s v="Toshiba SRP"/>
    <m/>
    <s v="320134"/>
  </r>
  <r>
    <n v="2345"/>
    <s v="Yata"/>
    <s v="Shatin_1"/>
    <x v="38"/>
    <n v="3"/>
    <x v="4"/>
    <x v="52"/>
    <s v="35L多功能電焗爐"/>
    <s v="細電"/>
    <s v="SDA"/>
    <s v="mc35"/>
    <n v="1"/>
    <n v="888"/>
    <n v="888"/>
    <n v="320222"/>
    <m/>
    <m/>
    <s v="TL-MC35Z 320222"/>
    <n v="1098"/>
    <n v="0.80874316939890711"/>
    <s v="Toshiba SRP"/>
    <m/>
    <s v="320222"/>
  </r>
  <r>
    <n v="2346"/>
    <s v="Yata"/>
    <s v="Shatin_1"/>
    <x v="38"/>
    <n v="3"/>
    <x v="4"/>
    <x v="16"/>
    <s v="輕便式電磁爐"/>
    <s v="細電"/>
    <s v="SDA"/>
    <s v="20r1"/>
    <n v="1"/>
    <n v="338"/>
    <n v="338"/>
    <n v="530151"/>
    <m/>
    <m/>
    <s v="IC-20R1THK 530151"/>
    <n v="438"/>
    <n v="0.77168949771689499"/>
    <s v="Shops Highest Price"/>
    <m/>
    <s v="530151"/>
  </r>
  <r>
    <n v="2347"/>
    <s v="Yata"/>
    <s v="Shatin_1"/>
    <x v="38"/>
    <n v="3"/>
    <x v="4"/>
    <x v="29"/>
    <s v="酵活炊磁應電飯煲"/>
    <s v="細電"/>
    <s v="SDA"/>
    <s v="10bh"/>
    <n v="1"/>
    <n v="1888"/>
    <n v="1888"/>
    <n v="530158"/>
    <m/>
    <m/>
    <s v="RC-10BHH(W) 530158"/>
    <n v="2088"/>
    <n v="0.90421455938697315"/>
    <s v="Shops Highest Price"/>
    <m/>
    <s v="530158"/>
  </r>
  <r>
    <n v="2348"/>
    <s v="Yata"/>
    <s v="Shatin_1"/>
    <x v="38"/>
    <n v="3"/>
    <x v="14"/>
    <x v="30"/>
    <s v="旋鈕式燒烤微波爐20L"/>
    <s v="細電"/>
    <s v="SDA"/>
    <s v="mm20"/>
    <n v="1"/>
    <n v="488"/>
    <n v="488"/>
    <n v="530291"/>
    <m/>
    <m/>
    <s v="MWP-MM20P(WH) 530291"/>
    <n v="648"/>
    <n v="0.75308641975308643"/>
    <s v="Toshiba SRP"/>
    <m/>
    <s v="530291"/>
  </r>
  <r>
    <n v="2349"/>
    <s v="Yata"/>
    <s v="Shatin_1"/>
    <x v="38"/>
    <n v="3"/>
    <x v="14"/>
    <x v="36"/>
    <s v="輕觸式微波爐 (20公升)"/>
    <s v="細電"/>
    <s v="MCA"/>
    <s v="em20"/>
    <n v="1"/>
    <n v="598"/>
    <n v="598"/>
    <n v="530293"/>
    <m/>
    <m/>
    <s v="MM2-EM20PC(WH) 530293"/>
    <n v="788"/>
    <n v="0.75888324873096447"/>
    <s v="Toshiba SRP"/>
    <m/>
    <s v="530293"/>
  </r>
  <r>
    <n v="2350"/>
    <s v="Yata"/>
    <s v="Shatin_1"/>
    <x v="38"/>
    <n v="3"/>
    <x v="14"/>
    <x v="54"/>
    <s v="低醣磁應電飯煲1L"/>
    <s v="細電"/>
    <s v="SDA"/>
    <s v="10irph"/>
    <n v="1"/>
    <n v="798"/>
    <n v="798"/>
    <n v="530332"/>
    <m/>
    <m/>
    <s v="RC-10IRPH 530332"/>
    <n v="1388"/>
    <n v="0.5749279538904899"/>
    <s v="Toshiba SRP"/>
    <m/>
    <s v="530332"/>
  </r>
  <r>
    <n v="2351"/>
    <s v="Yata"/>
    <s v="Shatin_1"/>
    <x v="38"/>
    <n v="3"/>
    <x v="14"/>
    <x v="38"/>
    <s v="無線雙層電熱水壺-附可鎖壺蓋"/>
    <s v="細電"/>
    <s v="SDA"/>
    <s v="15drt"/>
    <n v="1"/>
    <n v="358"/>
    <n v="358"/>
    <n v="530397"/>
    <m/>
    <m/>
    <s v="KT-15DRTHK(W) 530397"/>
    <n v="598"/>
    <n v="0.59866220735785958"/>
    <s v="Toshiba SRP"/>
    <m/>
    <s v="530397"/>
  </r>
  <r>
    <n v="2352"/>
    <s v="Yata"/>
    <s v="Shatin_1"/>
    <x v="38"/>
    <n v="3"/>
    <x v="15"/>
    <x v="121"/>
    <s v="IH磁應電飯煲"/>
    <s v="細電"/>
    <s v="SDA"/>
    <s v="ds10kw"/>
    <n v="1"/>
    <n v="3150"/>
    <n v="3150"/>
    <n v="530655"/>
    <m/>
    <m/>
    <s v="RC-DS10K(N) 530655"/>
    <n v="4588"/>
    <n v="0.68657367044463824"/>
    <s v="Toshiba SRP"/>
    <m/>
    <s v="530655"/>
  </r>
  <r>
    <n v="2353"/>
    <s v="Yata"/>
    <s v="Shatin_1"/>
    <x v="38"/>
    <n v="3"/>
    <x v="15"/>
    <x v="42"/>
    <s v="變頻下置式雙門雪櫃系列270L"/>
    <s v="大電"/>
    <s v="REF"/>
    <s v="rb360"/>
    <n v="1"/>
    <n v="3680"/>
    <n v="3680"/>
    <n v="530869"/>
    <m/>
    <m/>
    <s v="GR-RB360WE-PMA(06) 530869"/>
    <n v="5080"/>
    <n v="0.72440944881889768"/>
    <s v="Toshiba SRP"/>
    <m/>
    <s v="530869"/>
  </r>
  <r>
    <n v="2354"/>
    <s v="Yata"/>
    <s v="Shatin_1"/>
    <x v="38"/>
    <n v="3"/>
    <x v="15"/>
    <x v="69"/>
    <s v="多功能備長炭本厚釜電飯煲1.8L"/>
    <s v="細電"/>
    <s v="SDA"/>
    <s v="18drnh"/>
    <n v="1"/>
    <n v="619"/>
    <n v="619"/>
    <n v="530869"/>
    <m/>
    <m/>
    <s v="RC-18DRNH 530869"/>
    <n v="898"/>
    <n v="0.68930957683741645"/>
    <s v="Toshiba SRP"/>
    <m/>
    <s v="530869"/>
  </r>
  <r>
    <n v="2355"/>
    <s v="Yata"/>
    <s v="Shatin_1"/>
    <x v="38"/>
    <n v="3"/>
    <x v="15"/>
    <x v="34"/>
    <s v="智能氣炸烤焗爐(24公升)"/>
    <s v="細電"/>
    <s v="MCA"/>
    <s v="sac24"/>
    <n v="1"/>
    <n v="1320"/>
    <n v="1320"/>
    <n v="530941"/>
    <m/>
    <m/>
    <s v="MW3-SAC24SE(BK) 530941"/>
    <n v="1680"/>
    <n v="0.7857142857142857"/>
    <s v="Toshiba SRP"/>
    <m/>
    <s v="530941"/>
  </r>
  <r>
    <n v="2356"/>
    <s v="Yata"/>
    <s v="Shatin_1"/>
    <x v="38"/>
    <n v="3"/>
    <x v="19"/>
    <x v="56"/>
    <s v="多士焗爐8L"/>
    <s v="細電"/>
    <s v="SDA"/>
    <n v="7080"/>
    <n v="1"/>
    <n v="358"/>
    <n v="358"/>
    <n v="349159"/>
    <m/>
    <m/>
    <s v="ET-TD7080(PN) 349159"/>
    <n v="498"/>
    <n v="0.71887550200803207"/>
    <s v="Toshiba SRP"/>
    <m/>
    <s v="349159"/>
  </r>
  <r>
    <n v="2357"/>
    <s v="Yata"/>
    <s v="Shatin_1"/>
    <x v="38"/>
    <n v="3"/>
    <x v="19"/>
    <x v="39"/>
    <s v="酵活炊電飯煲(1.0公升)"/>
    <s v="細電"/>
    <s v="SDA"/>
    <s v="10amx"/>
    <n v="1"/>
    <n v="990"/>
    <n v="990"/>
    <n v="532117"/>
    <m/>
    <m/>
    <s v="RC-10AMXH(W) 532117"/>
    <n v="1288"/>
    <n v="0.76863354037267084"/>
    <s v="Toshiba SRP"/>
    <m/>
    <s v="532117"/>
  </r>
  <r>
    <n v="2358"/>
    <s v="Yata"/>
    <s v="Shatin_1"/>
    <x v="38"/>
    <n v="3"/>
    <x v="19"/>
    <x v="41"/>
    <s v="低醣磁應電飯煲1.8L"/>
    <s v="細電"/>
    <s v="SDA"/>
    <s v="18isph"/>
    <n v="1"/>
    <n v="898"/>
    <n v="898"/>
    <n v="532230"/>
    <m/>
    <m/>
    <s v="RC-18ISPH 532230"/>
    <n v="1436"/>
    <n v="0.62534818941504178"/>
    <s v="Shops Highest Price"/>
    <m/>
    <s v="532230"/>
  </r>
  <r>
    <n v="2359"/>
    <s v="Yata"/>
    <s v="Shatin_1"/>
    <x v="38"/>
    <n v="3"/>
    <x v="20"/>
    <x v="9"/>
    <s v="電熱水瓶4.5L"/>
    <s v="細電"/>
    <s v="SDA"/>
    <s v="45sf"/>
    <n v="1"/>
    <n v="589"/>
    <n v="589"/>
    <n v="349385"/>
    <m/>
    <m/>
    <s v="PLK-45SFIH(WT) 349385"/>
    <n v="788"/>
    <n v="0.7474619289340102"/>
    <s v="Toshiba SRP"/>
    <m/>
    <s v="349385"/>
  </r>
  <r>
    <n v="2360"/>
    <s v="Yata"/>
    <s v="Shatin_1"/>
    <x v="38"/>
    <n v="3"/>
    <x v="20"/>
    <x v="31"/>
    <s v="無線雙層電熱水壺(1.7公升)"/>
    <s v="細電"/>
    <s v="SDA"/>
    <s v="17drt"/>
    <n v="1"/>
    <n v="388"/>
    <n v="388"/>
    <n v="349420"/>
    <m/>
    <m/>
    <s v="KT-17DRTHK(H) 349420"/>
    <n v="498"/>
    <n v="0.77911646586345384"/>
    <s v="Toshiba SRP"/>
    <m/>
    <s v="349420"/>
  </r>
  <r>
    <n v="2361"/>
    <s v="Yata"/>
    <s v="Shatin_1"/>
    <x v="38"/>
    <n v="3"/>
    <x v="20"/>
    <x v="56"/>
    <s v="多士焗爐8L"/>
    <s v="細電"/>
    <s v="SDA"/>
    <n v="7080"/>
    <n v="1"/>
    <n v="358"/>
    <n v="358"/>
    <n v="349524"/>
    <m/>
    <m/>
    <s v="ET-TD7080(PN) 349524"/>
    <n v="498"/>
    <n v="0.71887550200803207"/>
    <s v="Toshiba SRP"/>
    <m/>
    <s v="349524"/>
  </r>
  <r>
    <n v="2362"/>
    <s v="Yata"/>
    <s v="Shatin_1"/>
    <x v="38"/>
    <n v="3"/>
    <x v="20"/>
    <x v="44"/>
    <s v="1.7L無線雙層電熱水壺"/>
    <s v="細電"/>
    <s v="SDA"/>
    <s v="17shnh"/>
    <n v="1"/>
    <n v="198"/>
    <n v="198"/>
    <n v="532713"/>
    <m/>
    <m/>
    <s v="KT-17SHNH 532713"/>
    <n v="299"/>
    <n v="0.66220735785953178"/>
    <s v="Shops Highest Price"/>
    <m/>
    <s v="532713"/>
  </r>
  <r>
    <n v="2363"/>
    <s v="Yata"/>
    <s v="Shatin_1"/>
    <x v="38"/>
    <n v="3"/>
    <x v="21"/>
    <x v="37"/>
    <s v="電熱水瓶 (5公升)"/>
    <s v="細電"/>
    <s v="SDA"/>
    <s v="50dr"/>
    <n v="1"/>
    <n v="598"/>
    <n v="598"/>
    <n v="532844"/>
    <m/>
    <m/>
    <s v="TP-50DRUHK(W) 532844"/>
    <n v="718"/>
    <n v="0.83286908077994426"/>
    <s v="Toshiba SRP"/>
    <m/>
    <s v="532844"/>
  </r>
  <r>
    <n v="2364"/>
    <s v="Yata"/>
    <s v="Shatin_1"/>
    <x v="38"/>
    <n v="3"/>
    <x v="21"/>
    <x v="7"/>
    <s v="4毫米厚釜電飯煲0.54L"/>
    <s v="細電"/>
    <s v="SDA"/>
    <s v="5mm"/>
    <n v="1"/>
    <n v="557"/>
    <n v="557"/>
    <n v="349789"/>
    <m/>
    <m/>
    <s v="RC-5MMIH(WT) 349789"/>
    <n v="618"/>
    <n v="0.90129449838187703"/>
    <s v="Toshiba SRP"/>
    <m/>
    <s v="349789"/>
  </r>
  <r>
    <n v="2365"/>
    <s v="Yata"/>
    <s v="Shatin_1"/>
    <x v="38"/>
    <n v="3"/>
    <x v="21"/>
    <x v="51"/>
    <s v="IH磁應電飯煲"/>
    <s v="細電"/>
    <s v="SDA"/>
    <s v="dr10tw"/>
    <n v="1"/>
    <n v="2380"/>
    <n v="2380"/>
    <n v="321488"/>
    <m/>
    <m/>
    <s v="RC-DR10T(W) 321488"/>
    <n v="3188"/>
    <n v="0.74654956085319946"/>
    <s v="Toshiba SRP"/>
    <m/>
    <s v="321488"/>
  </r>
  <r>
    <n v="2366"/>
    <s v="Yata"/>
    <s v="Shatin_1"/>
    <x v="38"/>
    <n v="3"/>
    <x v="21"/>
    <x v="118"/>
    <s v="IH磁應電飯煲"/>
    <s v="細電"/>
    <s v="SDA"/>
    <s v="dz4k"/>
    <n v="1"/>
    <n v="3280"/>
    <n v="3280"/>
    <n v="532988"/>
    <m/>
    <m/>
    <s v="RC-DZ4K(N) 532988"/>
    <n v="3888"/>
    <n v="0.84362139917695478"/>
    <s v="Shops Highest Price"/>
    <m/>
    <s v="532988"/>
  </r>
  <r>
    <n v="2367"/>
    <s v="Yata"/>
    <s v="Shatin_1"/>
    <x v="38"/>
    <n v="3"/>
    <x v="21"/>
    <x v="39"/>
    <s v="酵活炊電飯煲(1.0公升)"/>
    <s v="細電"/>
    <s v="SDA"/>
    <s v="10amx"/>
    <n v="1"/>
    <n v="990"/>
    <n v="990"/>
    <n v="349878"/>
    <m/>
    <m/>
    <s v="RC-10AMXH(W) 349878"/>
    <n v="1288"/>
    <n v="0.76863354037267084"/>
    <s v="Toshiba SRP"/>
    <m/>
    <s v="349878"/>
  </r>
  <r>
    <n v="2368"/>
    <s v="Yata"/>
    <s v="Shatin_1"/>
    <x v="38"/>
    <n v="3"/>
    <x v="21"/>
    <x v="51"/>
    <s v="IH磁應電飯煲"/>
    <s v="細電"/>
    <s v="SDA"/>
    <s v="dr10tw"/>
    <n v="1"/>
    <n v="2380"/>
    <n v="2380"/>
    <n v="349891"/>
    <m/>
    <m/>
    <s v="RC-DR10T(W) 349891"/>
    <n v="3188"/>
    <n v="0.74654956085319946"/>
    <s v="Toshiba SRP"/>
    <m/>
    <s v="349891"/>
  </r>
  <r>
    <n v="2369"/>
    <s v="Yata"/>
    <s v="Shatin_1"/>
    <x v="38"/>
    <n v="3"/>
    <x v="21"/>
    <x v="44"/>
    <s v="1.7L無線雙層電熱水壺"/>
    <s v="細電"/>
    <s v="SDA"/>
    <s v="17shnh"/>
    <n v="1"/>
    <n v="198"/>
    <n v="198"/>
    <n v="321593"/>
    <m/>
    <m/>
    <s v="KT-17SHNH 321593"/>
    <n v="299"/>
    <n v="0.66220735785953178"/>
    <s v="Shops Highest Price"/>
    <m/>
    <s v="321593"/>
  </r>
  <r>
    <n v="2370"/>
    <s v="Yata"/>
    <s v="Shatin_1"/>
    <x v="38"/>
    <n v="3"/>
    <x v="21"/>
    <x v="28"/>
    <s v="無線雙層電熱水壺-附可鎖壺蓋(0.8公升)"/>
    <s v="細電"/>
    <s v="SDA"/>
    <s v="08dh"/>
    <n v="1"/>
    <n v="268"/>
    <n v="268"/>
    <n v="321606"/>
    <m/>
    <m/>
    <s v="KT-08DH1VHK(W) 321606"/>
    <n v="428"/>
    <n v="0.62616822429906538"/>
    <s v="Toshiba SRP"/>
    <m/>
    <s v="321606"/>
  </r>
  <r>
    <n v="2371"/>
    <s v="Yata"/>
    <s v="Shatin_1"/>
    <x v="38"/>
    <n v="3"/>
    <x v="30"/>
    <x v="44"/>
    <s v="1.7L無線雙層電熱水壺"/>
    <s v="細電"/>
    <s v="SDA"/>
    <s v="17shnh"/>
    <n v="1"/>
    <n v="198"/>
    <n v="198"/>
    <n v="533392"/>
    <m/>
    <m/>
    <s v="KT-17SHNH 533392"/>
    <n v="299"/>
    <n v="0.66220735785953178"/>
    <s v="Shops Highest Price"/>
    <m/>
    <s v="533392"/>
  </r>
  <r>
    <n v="2372"/>
    <s v="Yata"/>
    <s v="Shatin_1"/>
    <x v="38"/>
    <n v="3"/>
    <x v="30"/>
    <x v="7"/>
    <s v="4毫米厚釜電飯煲0.54L"/>
    <s v="細電"/>
    <s v="SDA"/>
    <s v="5mm"/>
    <n v="1"/>
    <n v="557"/>
    <n v="557"/>
    <n v="533519"/>
    <m/>
    <m/>
    <s v="RC-5MMIH(WT) 533519"/>
    <n v="618"/>
    <n v="0.90129449838187703"/>
    <s v="Toshiba SRP"/>
    <m/>
    <s v="533519"/>
  </r>
  <r>
    <n v="2373"/>
    <s v="Yata"/>
    <s v="Shatin_1"/>
    <x v="38"/>
    <n v="3"/>
    <x v="30"/>
    <x v="23"/>
    <s v="電飯煲"/>
    <s v="細電"/>
    <s v="SDA"/>
    <s v="10jruh"/>
    <n v="1"/>
    <n v="328"/>
    <n v="328"/>
    <n v="533549"/>
    <m/>
    <m/>
    <s v="RC-10JRUH(N) 533549"/>
    <n v="398"/>
    <n v="0.82412060301507539"/>
    <s v="Shops Highest Price"/>
    <m/>
    <s v="533549"/>
  </r>
  <r>
    <n v="2374"/>
    <s v="Yata"/>
    <s v="Shatin_1"/>
    <x v="38"/>
    <n v="3"/>
    <x v="30"/>
    <x v="70"/>
    <s v="12吋2合1座地座檯電風扇連遙控"/>
    <s v="細電"/>
    <s v="EAD"/>
    <s v="ya20"/>
    <n v="1"/>
    <n v="398"/>
    <n v="398"/>
    <n v="533573"/>
    <m/>
    <m/>
    <s v="F-LYA20(W)HKG 533573"/>
    <n v="988"/>
    <n v="0.40283400809716602"/>
    <s v="Toshiba SRP"/>
    <m/>
    <s v="533573"/>
  </r>
  <r>
    <n v="2375"/>
    <s v="Yata"/>
    <s v="Shatin_1"/>
    <x v="38"/>
    <n v="3"/>
    <x v="30"/>
    <x v="24"/>
    <s v="微型電腦珍珠飯煲"/>
    <s v="細電"/>
    <s v="SDA"/>
    <s v="5sli"/>
    <n v="1"/>
    <n v="593"/>
    <n v="593"/>
    <n v="533588"/>
    <m/>
    <m/>
    <s v="RC-5SLIH(W) 533588"/>
    <n v="658"/>
    <n v="0.90121580547112456"/>
    <s v="Toshiba SRP"/>
    <m/>
    <s v="533588"/>
  </r>
  <r>
    <n v="2376"/>
    <s v="Yata"/>
    <s v="Shatin_1"/>
    <x v="38"/>
    <n v="3"/>
    <x v="22"/>
    <x v="69"/>
    <s v="多功能備長炭本厚釜電飯煲1.8L"/>
    <s v="細電"/>
    <s v="SDA"/>
    <s v="18drnh"/>
    <n v="1"/>
    <n v="619"/>
    <n v="619"/>
    <n v="533894"/>
    <m/>
    <m/>
    <s v="RC-18DRNH 533894"/>
    <n v="898"/>
    <n v="0.68930957683741645"/>
    <s v="Toshiba SRP"/>
    <m/>
    <s v="533894"/>
  </r>
  <r>
    <n v="2377"/>
    <s v="Yata"/>
    <s v="Shatin_1"/>
    <x v="38"/>
    <n v="3"/>
    <x v="22"/>
    <x v="21"/>
    <s v="壓縮式抽濕機 (30公升)"/>
    <s v="細電"/>
    <s v="RAC"/>
    <s v="d300"/>
    <n v="1"/>
    <n v="2280"/>
    <n v="2280"/>
    <n v="350437"/>
    <m/>
    <m/>
    <s v="RAD-D300H 350437"/>
    <n v="3380"/>
    <n v="0.67455621301775148"/>
    <s v="Shops Highest Price"/>
    <m/>
    <s v="350437"/>
  </r>
  <r>
    <n v="2378"/>
    <s v="Yata"/>
    <s v="Shatin_1"/>
    <x v="38"/>
    <n v="3"/>
    <x v="22"/>
    <x v="121"/>
    <s v="IH磁應電飯煲"/>
    <s v="細電"/>
    <s v="SDA"/>
    <s v="ds10kw"/>
    <n v="1"/>
    <n v="3150"/>
    <n v="3150"/>
    <n v="533978"/>
    <m/>
    <m/>
    <s v="RC-DS10K(N) 533978"/>
    <n v="4588"/>
    <n v="0.68657367044463824"/>
    <s v="Toshiba SRP"/>
    <m/>
    <s v="533978"/>
  </r>
  <r>
    <n v="2379"/>
    <s v="Yata"/>
    <s v="Shatin_1"/>
    <x v="38"/>
    <n v="3"/>
    <x v="22"/>
    <x v="33"/>
    <s v="輕觸式燒烤微波爐"/>
    <s v="細電"/>
    <s v="MCA"/>
    <s v="eg20"/>
    <n v="1"/>
    <n v="698"/>
    <n v="698"/>
    <n v="533979"/>
    <m/>
    <m/>
    <s v="MM2-EG20PC(WH) 533979"/>
    <n v="918"/>
    <n v="0.76034858387799564"/>
    <s v="Shops Highest Price"/>
    <m/>
    <s v="533979"/>
  </r>
  <r>
    <n v="2380"/>
    <s v="Yata"/>
    <s v="Shatin_1"/>
    <x v="38"/>
    <n v="3"/>
    <x v="22"/>
    <x v="52"/>
    <s v="35L多功能電焗爐"/>
    <s v="細電"/>
    <s v="SDA"/>
    <s v="mc35"/>
    <n v="1"/>
    <n v="888"/>
    <n v="888"/>
    <n v="321997"/>
    <m/>
    <m/>
    <s v="TL-MC35Z 321997"/>
    <n v="1098"/>
    <n v="0.80874316939890711"/>
    <s v="Toshiba SRP"/>
    <m/>
    <s v="321997"/>
  </r>
  <r>
    <n v="2381"/>
    <s v="Yata"/>
    <s v="Shatin_1"/>
    <x v="38"/>
    <n v="3"/>
    <x v="22"/>
    <x v="64"/>
    <s v="20公升 微波爐"/>
    <s v="細電"/>
    <s v="SDA"/>
    <s v="mmp0"/>
    <n v="1"/>
    <n v="428"/>
    <n v="428"/>
    <n v="350598"/>
    <m/>
    <m/>
    <s v="CMO-MMP012NDPF(GN) 350598"/>
    <n v="519"/>
    <n v="0.82466281310211942"/>
    <s v="Shops Highest Price"/>
    <m/>
    <s v="350598"/>
  </r>
  <r>
    <n v="2382"/>
    <s v="Yata"/>
    <s v="Shatin_1"/>
    <x v="38"/>
    <n v="3"/>
    <x v="22"/>
    <x v="44"/>
    <s v="1.7L無線雙層電熱水壺"/>
    <s v="細電"/>
    <s v="SDA"/>
    <s v="17shnh"/>
    <n v="1"/>
    <n v="198"/>
    <n v="198"/>
    <n v="350643"/>
    <m/>
    <m/>
    <s v="KT-17SHNH 350643"/>
    <n v="299"/>
    <n v="0.66220735785953178"/>
    <s v="Shops Highest Price"/>
    <m/>
    <s v="350643"/>
  </r>
  <r>
    <n v="2383"/>
    <s v="Yata"/>
    <s v="Shatin_1"/>
    <x v="38"/>
    <n v="3"/>
    <x v="25"/>
    <x v="24"/>
    <s v="微型電腦珍珠飯煲"/>
    <s v="細電"/>
    <s v="SDA"/>
    <s v="5sli"/>
    <n v="1"/>
    <n v="593"/>
    <n v="593"/>
    <n v="535173"/>
    <m/>
    <m/>
    <s v="RC-5SLIH(W) 535173"/>
    <n v="658"/>
    <n v="0.90121580547112456"/>
    <s v="Toshiba SRP"/>
    <m/>
    <s v="535173"/>
  </r>
  <r>
    <n v="2384"/>
    <s v="Yata"/>
    <s v="Shatin_1"/>
    <x v="38"/>
    <n v="3"/>
    <x v="25"/>
    <x v="24"/>
    <s v="微型電腦珍珠飯煲"/>
    <s v="細電"/>
    <s v="SDA"/>
    <s v="5sli"/>
    <n v="1"/>
    <n v="593"/>
    <n v="593"/>
    <n v="535174"/>
    <m/>
    <m/>
    <s v="RC-5SLIH(W) 535174"/>
    <n v="658"/>
    <n v="0.90121580547112456"/>
    <s v="Toshiba SRP"/>
    <m/>
    <s v="535174"/>
  </r>
  <r>
    <n v="2385"/>
    <s v="Yata"/>
    <s v="Shatin_1"/>
    <x v="38"/>
    <n v="3"/>
    <x v="25"/>
    <x v="41"/>
    <s v="低醣磁應電飯煲1.8L"/>
    <s v="細電"/>
    <s v="SDA"/>
    <s v="18isph"/>
    <n v="1"/>
    <n v="898"/>
    <n v="898"/>
    <n v="535179"/>
    <m/>
    <m/>
    <s v="RC-18ISPH 535179"/>
    <n v="1436"/>
    <n v="0.62534818941504178"/>
    <s v="Shops Highest Price"/>
    <m/>
    <s v="535179"/>
  </r>
  <r>
    <n v="2386"/>
    <s v="Yata"/>
    <s v="Shatin_1"/>
    <x v="38"/>
    <n v="3"/>
    <x v="25"/>
    <x v="7"/>
    <s v="4毫米厚釜電飯煲0.54L"/>
    <s v="細電"/>
    <s v="SDA"/>
    <s v="5mm"/>
    <n v="1"/>
    <n v="557"/>
    <n v="557"/>
    <s v="031428"/>
    <m/>
    <m/>
    <s v="RC-5MMIH(WT) 031428"/>
    <n v="618"/>
    <n v="0.90129449838187703"/>
    <s v="Toshiba SRP"/>
    <m/>
    <s v="031428"/>
  </r>
  <r>
    <n v="2387"/>
    <s v="Yata"/>
    <s v="Shatin_1"/>
    <x v="38"/>
    <n v="3"/>
    <x v="25"/>
    <x v="24"/>
    <s v="微型電腦珍珠飯煲"/>
    <s v="細電"/>
    <s v="SDA"/>
    <s v="5sli"/>
    <n v="1"/>
    <n v="593"/>
    <n v="593"/>
    <n v="535347"/>
    <m/>
    <m/>
    <s v="RC-5SLIH(W) 535347"/>
    <n v="658"/>
    <n v="0.90121580547112456"/>
    <s v="Toshiba SRP"/>
    <m/>
    <s v="535347"/>
  </r>
  <r>
    <n v="2388"/>
    <s v="Yata"/>
    <s v="Shatin_1"/>
    <x v="38"/>
    <n v="3"/>
    <x v="25"/>
    <x v="9"/>
    <s v="電熱水瓶4.5L"/>
    <s v="細電"/>
    <s v="SDA"/>
    <s v="45sf"/>
    <n v="1"/>
    <n v="589"/>
    <n v="589"/>
    <n v="351398"/>
    <m/>
    <m/>
    <s v="PLK-45SFIH(WT) 351398"/>
    <n v="788"/>
    <n v="0.7474619289340102"/>
    <s v="Toshiba SRP"/>
    <m/>
    <s v="351398"/>
  </r>
  <r>
    <n v="2389"/>
    <s v="Yata"/>
    <s v="Shatin_1"/>
    <x v="38"/>
    <n v="3"/>
    <x v="25"/>
    <x v="9"/>
    <s v="電熱水瓶4.5L"/>
    <s v="細電"/>
    <s v="SDA"/>
    <s v="45sf"/>
    <n v="1"/>
    <n v="589"/>
    <n v="589"/>
    <n v="535387"/>
    <m/>
    <m/>
    <s v="PLK-45SFIH(WT) 535387"/>
    <n v="788"/>
    <n v="0.7474619289340102"/>
    <s v="Toshiba SRP"/>
    <m/>
    <s v="535387"/>
  </r>
  <r>
    <n v="2390"/>
    <s v="Yata"/>
    <s v="Shatin_1"/>
    <x v="38"/>
    <n v="3"/>
    <x v="25"/>
    <x v="17"/>
    <s v="4毫米厚釜電飯煲1L"/>
    <s v="細電"/>
    <s v="SDA"/>
    <s v="10nmf"/>
    <n v="1"/>
    <n v="719"/>
    <n v="719"/>
    <n v="351427"/>
    <m/>
    <m/>
    <s v="RC-10NMFIH(WT) 351427"/>
    <n v="898"/>
    <n v="0.80066815144766146"/>
    <s v="Toshiba SRP"/>
    <m/>
    <s v="351427"/>
  </r>
  <r>
    <n v="2391"/>
    <s v="Yata"/>
    <s v="Shatin_1"/>
    <x v="38"/>
    <n v="3"/>
    <x v="26"/>
    <x v="31"/>
    <s v="無線雙層電熱水壺(1.7公升)"/>
    <s v="細電"/>
    <s v="SDA"/>
    <s v="17drt"/>
    <n v="1"/>
    <n v="388"/>
    <n v="388"/>
    <n v="535682"/>
    <m/>
    <m/>
    <s v="KT-17DRTHK(H) 535682"/>
    <n v="498"/>
    <n v="0.77911646586345384"/>
    <s v="Toshiba SRP"/>
    <m/>
    <s v="535682"/>
  </r>
  <r>
    <n v="2392"/>
    <s v="Yata"/>
    <s v="Shatin_1"/>
    <x v="38"/>
    <n v="3"/>
    <x v="26"/>
    <x v="24"/>
    <s v="微型電腦珍珠飯煲"/>
    <s v="細電"/>
    <s v="SDA"/>
    <s v="5sli"/>
    <n v="1"/>
    <n v="593"/>
    <n v="593"/>
    <n v="351722"/>
    <m/>
    <m/>
    <s v="RC-5SLIH(W) 351722"/>
    <n v="658"/>
    <n v="0.90121580547112456"/>
    <s v="Toshiba SRP"/>
    <m/>
    <s v="351722"/>
  </r>
  <r>
    <n v="2393"/>
    <s v="Yata"/>
    <s v="Shatin_1"/>
    <x v="38"/>
    <n v="3"/>
    <x v="26"/>
    <x v="8"/>
    <s v="電壓力鍋"/>
    <s v="細電"/>
    <s v="SDA"/>
    <s v="48drs"/>
    <n v="1"/>
    <n v="838"/>
    <n v="838"/>
    <n v="322660"/>
    <m/>
    <m/>
    <s v="PC-48DRSHK(K) 322660"/>
    <n v="1188"/>
    <n v="0.70538720538720534"/>
    <s v="Shops Highest Price"/>
    <m/>
    <s v="322660"/>
  </r>
  <r>
    <n v="2394"/>
    <s v="Yata"/>
    <s v="Shatin_1"/>
    <x v="38"/>
    <n v="3"/>
    <x v="26"/>
    <x v="31"/>
    <s v="無線雙層電熱水壺(1.7公升)"/>
    <s v="細電"/>
    <s v="SDA"/>
    <s v="17drt"/>
    <n v="1"/>
    <n v="388"/>
    <n v="388"/>
    <n v="536073"/>
    <m/>
    <m/>
    <s v="KT-17DRTHK(H) 536073"/>
    <n v="498"/>
    <n v="0.77911646586345384"/>
    <s v="Toshiba SRP"/>
    <m/>
    <s v="536073"/>
  </r>
  <r>
    <n v="2395"/>
    <s v="Yata"/>
    <s v="Shatin_1"/>
    <x v="38"/>
    <n v="3"/>
    <x v="26"/>
    <x v="70"/>
    <s v="12吋2合1座地座檯電風扇連遙控"/>
    <s v="細電"/>
    <s v="EAD"/>
    <s v="ya20"/>
    <n v="1"/>
    <n v="398"/>
    <n v="398"/>
    <n v="536152"/>
    <m/>
    <m/>
    <s v="F-LYA20(W)HKG 536152"/>
    <n v="988"/>
    <n v="0.40283400809716602"/>
    <s v="Toshiba SRP"/>
    <m/>
    <s v="536152"/>
  </r>
  <r>
    <n v="2396"/>
    <s v="Yata"/>
    <s v="Shatin_1"/>
    <x v="38"/>
    <n v="3"/>
    <x v="27"/>
    <x v="31"/>
    <s v="無線雙層電熱水壺(1.7公升)"/>
    <s v="細電"/>
    <s v="SDA"/>
    <s v="17drt"/>
    <n v="1"/>
    <n v="388"/>
    <n v="388"/>
    <n v="322840"/>
    <m/>
    <m/>
    <s v="KT-17DRTHK(H) 322840"/>
    <n v="498"/>
    <n v="0.77911646586345384"/>
    <s v="Toshiba SRP"/>
    <m/>
    <s v="322840"/>
  </r>
  <r>
    <n v="2397"/>
    <s v="Yata"/>
    <s v="Shatin_1"/>
    <x v="38"/>
    <n v="3"/>
    <x v="27"/>
    <x v="70"/>
    <s v="12吋2合1座地座檯電風扇連遙控"/>
    <s v="細電"/>
    <s v="EAD"/>
    <s v="ya20"/>
    <n v="1"/>
    <n v="398"/>
    <n v="398"/>
    <n v="322863"/>
    <m/>
    <m/>
    <s v="F-LYA20(W)HKG 322863"/>
    <n v="988"/>
    <n v="0.40283400809716602"/>
    <s v="Toshiba SRP"/>
    <m/>
    <s v="322863"/>
  </r>
  <r>
    <n v="2398"/>
    <s v="Yata"/>
    <s v="Shatin_1"/>
    <x v="38"/>
    <n v="3"/>
    <x v="27"/>
    <x v="44"/>
    <s v="1.7L無線雙層電熱水壺"/>
    <s v="細電"/>
    <s v="SDA"/>
    <s v="17shnh"/>
    <n v="1"/>
    <n v="198"/>
    <n v="198"/>
    <n v="536375"/>
    <m/>
    <m/>
    <s v="KT-17SHNH 536375"/>
    <n v="299"/>
    <n v="0.66220735785953178"/>
    <s v="Shops Highest Price"/>
    <m/>
    <s v="536375"/>
  </r>
  <r>
    <n v="2399"/>
    <s v="Yata"/>
    <s v="Shatin_1"/>
    <x v="38"/>
    <n v="3"/>
    <x v="27"/>
    <x v="44"/>
    <s v="1.7L無線雙層電熱水壺"/>
    <s v="細電"/>
    <s v="SDA"/>
    <s v="17shnh"/>
    <n v="1"/>
    <n v="198"/>
    <n v="198"/>
    <n v="322907"/>
    <m/>
    <m/>
    <s v="KT-17SHNH 322907"/>
    <n v="299"/>
    <n v="0.66220735785953178"/>
    <s v="Shops Highest Price"/>
    <m/>
    <s v="322907"/>
  </r>
  <r>
    <n v="2400"/>
    <s v="Yata"/>
    <s v="Shatin_1"/>
    <x v="38"/>
    <n v="3"/>
    <x v="27"/>
    <x v="46"/>
    <s v="電熱水瓶 (2.5公升)"/>
    <s v="細電"/>
    <s v="SDA"/>
    <s v="25dr"/>
    <n v="1"/>
    <n v="398"/>
    <n v="398"/>
    <n v="536493"/>
    <m/>
    <m/>
    <s v="TP-25DR2UHK(W) 536493"/>
    <n v="538"/>
    <n v="0.7397769516728625"/>
    <s v="Toshiba SRP"/>
    <m/>
    <s v="536493"/>
  </r>
  <r>
    <n v="2401"/>
    <s v="Yata"/>
    <s v="Shatin_1"/>
    <x v="38"/>
    <n v="3"/>
    <x v="27"/>
    <x v="44"/>
    <s v="1.7L無線雙層電熱水壺"/>
    <s v="細電"/>
    <s v="SDA"/>
    <s v="17shnh"/>
    <n v="1"/>
    <n v="198"/>
    <n v="198"/>
    <n v="323109"/>
    <m/>
    <m/>
    <s v="KT-17SHNH 323109"/>
    <n v="299"/>
    <n v="0.66220735785953178"/>
    <s v="Shops Highest Price"/>
    <m/>
    <s v="323109"/>
  </r>
  <r>
    <n v="2402"/>
    <s v="Yata"/>
    <s v="Shatin_1"/>
    <x v="38"/>
    <n v="3"/>
    <x v="28"/>
    <x v="51"/>
    <s v="IH磁應電飯煲"/>
    <s v="細電"/>
    <s v="SDA"/>
    <s v="dr10tw"/>
    <n v="1"/>
    <n v="2380"/>
    <n v="2380"/>
    <n v="352401"/>
    <m/>
    <m/>
    <s v="RC-DR10T(W) 352401"/>
    <n v="3188"/>
    <n v="0.74654956085319946"/>
    <s v="Toshiba SRP"/>
    <m/>
    <s v="352401"/>
  </r>
  <r>
    <n v="2403"/>
    <s v="Yata"/>
    <s v="Shatin_1"/>
    <x v="38"/>
    <n v="3"/>
    <x v="28"/>
    <x v="27"/>
    <s v="4毫米厚釜電飯煲1.8L"/>
    <s v="細電"/>
    <s v="SDA"/>
    <s v="18nmf"/>
    <n v="1"/>
    <n v="799"/>
    <n v="799"/>
    <n v="536872"/>
    <m/>
    <m/>
    <s v="RC-18NMFIH(WT) 536872"/>
    <n v="998"/>
    <n v="0.80060120240480959"/>
    <s v="Toshiba SRP"/>
    <m/>
    <s v="536872"/>
  </r>
  <r>
    <n v="2404"/>
    <s v="Yata"/>
    <s v="Shatin_1"/>
    <x v="38"/>
    <n v="3"/>
    <x v="28"/>
    <x v="29"/>
    <s v="酵活炊磁應電飯煲"/>
    <s v="細電"/>
    <s v="SDA"/>
    <s v="10bh"/>
    <n v="1"/>
    <n v="1888"/>
    <n v="1888"/>
    <n v="536919"/>
    <m/>
    <m/>
    <s v="RC-10BHH(W) 536919"/>
    <n v="2088"/>
    <n v="0.90421455938697315"/>
    <s v="Shops Highest Price"/>
    <m/>
    <s v="536919"/>
  </r>
  <r>
    <n v="2405"/>
    <s v="Yata"/>
    <s v="Shatin_1"/>
    <x v="38"/>
    <n v="3"/>
    <x v="28"/>
    <x v="61"/>
    <s v="酵活炊電飯煲(1.8公升)"/>
    <s v="細電"/>
    <s v="SDA"/>
    <s v="18amx"/>
    <n v="1"/>
    <n v="990"/>
    <n v="990"/>
    <n v="352522"/>
    <m/>
    <m/>
    <s v="RC-18AMXH(W) 352522"/>
    <n v="1588"/>
    <n v="0.62342569269521408"/>
    <s v="Toshiba SRP"/>
    <m/>
    <s v="352522"/>
  </r>
  <r>
    <n v="2406"/>
    <s v="Yata"/>
    <s v="Shatin_1"/>
    <x v="38"/>
    <n v="3"/>
    <x v="29"/>
    <x v="54"/>
    <s v="低醣磁應電飯煲1L"/>
    <s v="細電"/>
    <s v="SDA"/>
    <s v="10irph"/>
    <n v="1"/>
    <n v="798"/>
    <n v="798"/>
    <n v="537248"/>
    <m/>
    <m/>
    <s v="RC-10IRPH 537248"/>
    <n v="1388"/>
    <n v="0.5749279538904899"/>
    <s v="Toshiba SRP"/>
    <m/>
    <s v="537248"/>
  </r>
  <r>
    <n v="2407"/>
    <s v="Yata"/>
    <s v="Shatin_1"/>
    <x v="38"/>
    <n v="3"/>
    <x v="29"/>
    <x v="61"/>
    <s v="酵活炊電飯煲(1.8公升)"/>
    <s v="細電"/>
    <s v="SDA"/>
    <s v="18amx"/>
    <n v="1"/>
    <n v="990"/>
    <n v="990"/>
    <n v="352618"/>
    <m/>
    <m/>
    <s v="RC-18AMXH(W) 352618"/>
    <n v="1588"/>
    <n v="0.62342569269521408"/>
    <s v="Toshiba SRP"/>
    <m/>
    <s v="352618"/>
  </r>
  <r>
    <n v="2408"/>
    <s v="Yata"/>
    <s v="Shatin_1"/>
    <x v="38"/>
    <n v="3"/>
    <x v="29"/>
    <x v="46"/>
    <s v="電熱水瓶 (2.5公升)"/>
    <s v="細電"/>
    <s v="SDA"/>
    <s v="25dr"/>
    <n v="1"/>
    <n v="398"/>
    <n v="398"/>
    <n v="352618"/>
    <m/>
    <m/>
    <s v="TP-25DR2UHK(W) 352618"/>
    <n v="538"/>
    <n v="0.7397769516728625"/>
    <s v="Toshiba SRP"/>
    <m/>
    <s v="352618"/>
  </r>
  <r>
    <n v="2409"/>
    <s v="Yata"/>
    <s v="Shatin_1"/>
    <x v="38"/>
    <n v="3"/>
    <x v="29"/>
    <x v="24"/>
    <s v="微型電腦珍珠飯煲"/>
    <s v="細電"/>
    <s v="SDA"/>
    <s v="5sli"/>
    <n v="1"/>
    <n v="593"/>
    <n v="593"/>
    <n v="352627"/>
    <m/>
    <m/>
    <s v="RC-5SLIH(W) 352627"/>
    <n v="658"/>
    <n v="0.90121580547112456"/>
    <s v="Toshiba SRP"/>
    <m/>
    <s v="352627"/>
  </r>
  <r>
    <n v="2410"/>
    <s v="Yata"/>
    <s v="Shatin_1"/>
    <x v="38"/>
    <n v="3"/>
    <x v="29"/>
    <x v="9"/>
    <s v="電熱水瓶4.5L"/>
    <s v="細電"/>
    <s v="SDA"/>
    <s v="45sf"/>
    <n v="1"/>
    <n v="589"/>
    <n v="589"/>
    <n v="323395"/>
    <m/>
    <m/>
    <s v="PLK-45SFIH(WT) 323395"/>
    <n v="788"/>
    <n v="0.7474619289340102"/>
    <s v="Toshiba SRP"/>
    <m/>
    <s v="323395"/>
  </r>
  <r>
    <n v="2411"/>
    <s v="Yata"/>
    <s v="Shatin_1"/>
    <x v="38"/>
    <n v="3"/>
    <x v="29"/>
    <x v="7"/>
    <s v="4毫米厚釜電飯煲0.54L"/>
    <s v="細電"/>
    <s v="SDA"/>
    <s v="5mm"/>
    <n v="1"/>
    <n v="557"/>
    <n v="557"/>
    <n v="352699"/>
    <m/>
    <m/>
    <s v="RC-5MMIH(WT) 352699"/>
    <n v="618"/>
    <n v="0.90129449838187703"/>
    <s v="Toshiba SRP"/>
    <m/>
    <s v="352699"/>
  </r>
  <r>
    <n v="2412"/>
    <s v="Yata"/>
    <s v="Shatin_1"/>
    <x v="38"/>
    <n v="3"/>
    <x v="29"/>
    <x v="7"/>
    <s v="4毫米厚釜電飯煲0.54L"/>
    <s v="細電"/>
    <s v="SDA"/>
    <s v="5mm"/>
    <n v="1"/>
    <n v="557"/>
    <n v="557"/>
    <n v="352710"/>
    <m/>
    <m/>
    <s v="RC-5MMIH(WT) 352710"/>
    <n v="618"/>
    <n v="0.90129449838187703"/>
    <s v="Toshiba SRP"/>
    <m/>
    <s v="352710"/>
  </r>
  <r>
    <n v="2413"/>
    <s v="Yata"/>
    <s v="Shatin_1"/>
    <x v="38"/>
    <n v="3"/>
    <x v="29"/>
    <x v="93"/>
    <s v="座檯式洗碗碟機"/>
    <s v="細電"/>
    <s v="DW"/>
    <s v="05t2"/>
    <n v="1"/>
    <n v="3980"/>
    <n v="3980"/>
    <n v="537321"/>
    <m/>
    <m/>
    <s v="DW-05T2-HK 537321"/>
    <n v="4580"/>
    <n v="0.86899563318777295"/>
    <s v="Toshiba SRP"/>
    <m/>
    <s v="537321"/>
  </r>
  <r>
    <n v="2414"/>
    <s v="Yata"/>
    <s v="Shatin_1"/>
    <x v="38"/>
    <n v="3"/>
    <x v="29"/>
    <x v="44"/>
    <s v="1.7L無線雙層電熱水壺"/>
    <s v="細電"/>
    <s v="SDA"/>
    <s v="17shnh"/>
    <n v="1"/>
    <n v="198"/>
    <n v="198"/>
    <n v="323453"/>
    <m/>
    <m/>
    <s v="KT-17SHNH 323453"/>
    <n v="299"/>
    <n v="0.66220735785953178"/>
    <s v="Shops Highest Price"/>
    <m/>
    <s v="323453"/>
  </r>
  <r>
    <n v="2415"/>
    <s v="Yata"/>
    <s v="Shatin_1"/>
    <x v="38"/>
    <n v="3"/>
    <x v="29"/>
    <x v="20"/>
    <s v="壓縮式抽濕機 (22公升)"/>
    <s v="細電"/>
    <s v="RAC"/>
    <s v="d200"/>
    <n v="1"/>
    <n v="1980"/>
    <n v="1980"/>
    <n v="537421"/>
    <m/>
    <m/>
    <s v="RAD-D200H 537421"/>
    <n v="2880"/>
    <n v="0.6875"/>
    <s v="Shops Highest Price"/>
    <m/>
    <s v="537421"/>
  </r>
  <r>
    <n v="2416"/>
    <s v="Yata"/>
    <s v="Shatin_1"/>
    <x v="38"/>
    <n v="3"/>
    <x v="29"/>
    <x v="47"/>
    <s v="磁應電飯煲(1公升)"/>
    <s v="細電"/>
    <s v="SDA"/>
    <s v="10iss"/>
    <n v="1"/>
    <n v="938"/>
    <n v="938"/>
    <n v="537426"/>
    <m/>
    <m/>
    <s v="RC-10ISSHK(W) 537426"/>
    <n v="1188"/>
    <n v="0.78956228956228958"/>
    <s v="Shops Highest Price"/>
    <m/>
    <s v="537426"/>
  </r>
  <r>
    <n v="2417"/>
    <s v="Yata"/>
    <s v="Shatin_1"/>
    <x v="38"/>
    <n v="3"/>
    <x v="29"/>
    <x v="39"/>
    <s v="酵活炊電飯煲(1.0公升)"/>
    <s v="細電"/>
    <s v="SDA"/>
    <s v="10amx"/>
    <n v="1"/>
    <n v="990"/>
    <n v="990"/>
    <n v="537437"/>
    <m/>
    <m/>
    <s v="RC-10AMXH(W) 537437"/>
    <n v="1288"/>
    <n v="0.76863354037267084"/>
    <s v="Toshiba SRP"/>
    <m/>
    <s v="537437"/>
  </r>
  <r>
    <n v="2418"/>
    <s v="Yata"/>
    <s v="Shatin_1"/>
    <x v="38"/>
    <n v="3"/>
    <x v="29"/>
    <x v="48"/>
    <s v="3合1 微波蒸焗爐 (20公升)"/>
    <s v="細電"/>
    <s v="MCA"/>
    <s v="tt20"/>
    <n v="1"/>
    <n v="2580"/>
    <n v="2580"/>
    <n v="537564"/>
    <m/>
    <m/>
    <s v="MX2-TT20SC(WH) 537564"/>
    <n v="3580"/>
    <n v="0.72067039106145248"/>
    <s v="Toshiba SRP"/>
    <m/>
    <s v="537564"/>
  </r>
  <r>
    <n v="2419"/>
    <s v="Fortress"/>
    <s v="Tai Koo"/>
    <x v="39"/>
    <n v="3"/>
    <x v="0"/>
    <x v="21"/>
    <s v="壓縮式抽濕機 (30公升)"/>
    <s v="細電"/>
    <s v="RAC"/>
    <s v="d300"/>
    <n v="1"/>
    <n v="2280"/>
    <n v="2280"/>
    <n v="1718266"/>
    <m/>
    <m/>
    <s v="RAD-D300H 1718266"/>
    <n v="3380"/>
    <n v="0.67455621301775148"/>
    <s v="Shops Highest Price"/>
    <m/>
    <s v="1718266"/>
  </r>
  <r>
    <n v="2420"/>
    <s v="Fortress"/>
    <s v="Tai Koo"/>
    <x v="39"/>
    <n v="3"/>
    <x v="0"/>
    <x v="21"/>
    <s v="壓縮式抽濕機 (30公升)"/>
    <s v="細電"/>
    <s v="RAC"/>
    <s v="d300"/>
    <n v="2"/>
    <n v="2280"/>
    <n v="4560"/>
    <n v="1325710"/>
    <m/>
    <m/>
    <s v="RAD-D300H 1325710"/>
    <n v="3380"/>
    <n v="0.67455621301775148"/>
    <s v="Shops Highest Price"/>
    <m/>
    <s v="1325710"/>
  </r>
  <r>
    <n v="2421"/>
    <s v="Fortress"/>
    <s v="Tai Koo"/>
    <x v="39"/>
    <n v="3"/>
    <x v="0"/>
    <x v="21"/>
    <s v="壓縮式抽濕機 (30公升)"/>
    <s v="細電"/>
    <s v="RAC"/>
    <s v="d300"/>
    <n v="1"/>
    <n v="2280"/>
    <n v="2280"/>
    <n v="1325682"/>
    <m/>
    <m/>
    <s v="RAD-D300H 1325682"/>
    <n v="3380"/>
    <n v="0.67455621301775148"/>
    <s v="Shops Highest Price"/>
    <m/>
    <s v="1325682"/>
  </r>
  <r>
    <n v="2422"/>
    <s v="Fortress"/>
    <s v="Tai Koo"/>
    <x v="39"/>
    <n v="3"/>
    <x v="0"/>
    <x v="21"/>
    <s v="壓縮式抽濕機 (30公升)"/>
    <s v="細電"/>
    <s v="RAC"/>
    <s v="d300"/>
    <n v="1"/>
    <n v="2280"/>
    <n v="2280"/>
    <n v="1510755"/>
    <m/>
    <m/>
    <s v="RAD-D300H 1510755"/>
    <n v="3380"/>
    <n v="0.67455621301775148"/>
    <s v="Shops Highest Price"/>
    <m/>
    <s v="1510755"/>
  </r>
  <r>
    <n v="2423"/>
    <s v="Fortress"/>
    <s v="Tai Koo"/>
    <x v="39"/>
    <n v="3"/>
    <x v="0"/>
    <x v="21"/>
    <s v="壓縮式抽濕機 (30公升)"/>
    <s v="細電"/>
    <s v="RAC"/>
    <s v="d300"/>
    <n v="1"/>
    <n v="2280"/>
    <n v="2280"/>
    <n v="1718206"/>
    <m/>
    <m/>
    <s v="RAD-D300H 1718206"/>
    <n v="3380"/>
    <n v="0.67455621301775148"/>
    <s v="Shops Highest Price"/>
    <m/>
    <s v="1718206"/>
  </r>
  <r>
    <n v="2424"/>
    <s v="Fortress"/>
    <s v="Tai Koo"/>
    <x v="39"/>
    <n v="3"/>
    <x v="0"/>
    <x v="39"/>
    <s v="酵活炊電飯煲(1.0公升)"/>
    <s v="細電"/>
    <s v="SDA"/>
    <s v="10amx"/>
    <n v="1"/>
    <n v="990"/>
    <n v="990"/>
    <n v="1718284"/>
    <m/>
    <m/>
    <s v="RC-10AMXH(W) 1718284"/>
    <n v="1288"/>
    <n v="0.76863354037267084"/>
    <s v="Toshiba SRP"/>
    <m/>
    <s v="1718284"/>
  </r>
  <r>
    <n v="2425"/>
    <s v="Fortress"/>
    <s v="Tai Koo"/>
    <x v="39"/>
    <n v="3"/>
    <x v="0"/>
    <x v="110"/>
    <s v="變頻六門雪櫃(451L)"/>
    <s v="大電"/>
    <s v="REF"/>
    <s v="rm598"/>
    <n v="1"/>
    <n v="10590"/>
    <n v="10590"/>
    <n v="1510765"/>
    <m/>
    <m/>
    <s v="GR-RM598WE-PGA(B3) 1510765"/>
    <n v="14980"/>
    <n v="0.70694259012016025"/>
    <s v="Toshiba SRP"/>
    <m/>
    <s v="1510765"/>
  </r>
  <r>
    <n v="2426"/>
    <s v="Fortress"/>
    <s v="Tai Koo"/>
    <x v="39"/>
    <n v="3"/>
    <x v="0"/>
    <x v="48"/>
    <s v="3合1 微波蒸焗爐 (20公升)"/>
    <s v="細電"/>
    <s v="MCA"/>
    <s v="tt20"/>
    <n v="1"/>
    <n v="2580"/>
    <n v="2580"/>
    <n v="1325647"/>
    <m/>
    <m/>
    <s v="MX2-TT20SC(WH) 1325647"/>
    <n v="3580"/>
    <n v="0.72067039106145248"/>
    <s v="Toshiba SRP"/>
    <m/>
    <s v="1325647"/>
  </r>
  <r>
    <n v="2427"/>
    <s v="Fortress"/>
    <s v="Tai Koo"/>
    <x v="39"/>
    <n v="3"/>
    <x v="0"/>
    <x v="87"/>
    <s v="變頻式環保雙門雪櫃(233L)"/>
    <s v="大電"/>
    <s v="REF"/>
    <s v="rt300"/>
    <n v="1"/>
    <n v="2780"/>
    <n v="2780"/>
    <n v="1718200"/>
    <m/>
    <m/>
    <s v="GR-RT300WE-PMA(57) 1718200"/>
    <n v="4280"/>
    <n v="0.64953271028037385"/>
    <s v="Toshiba SRP"/>
    <m/>
    <s v="1718200"/>
  </r>
  <r>
    <n v="2428"/>
    <s v="Fortress"/>
    <s v="Tai Koo"/>
    <x v="39"/>
    <n v="3"/>
    <x v="0"/>
    <x v="33"/>
    <s v="輕觸式燒烤微波爐"/>
    <s v="細電"/>
    <s v="MCA"/>
    <s v="eg20"/>
    <n v="1"/>
    <n v="698"/>
    <n v="698"/>
    <n v="1510793"/>
    <m/>
    <m/>
    <s v="MM2-EG20PC(WH) 1510793"/>
    <n v="918"/>
    <n v="0.76034858387799564"/>
    <s v="Shops Highest Price"/>
    <m/>
    <s v="1510793"/>
  </r>
  <r>
    <n v="2429"/>
    <s v="Fortress"/>
    <s v="Tai Koo"/>
    <x v="39"/>
    <n v="3"/>
    <x v="0"/>
    <x v="17"/>
    <s v="4毫米厚釜電飯煲1L"/>
    <s v="細電"/>
    <s v="SDA"/>
    <s v="10nmf"/>
    <n v="1"/>
    <n v="719"/>
    <n v="719"/>
    <n v="1718269"/>
    <m/>
    <m/>
    <s v="RC-10NMFIH(WT) 1718269"/>
    <n v="898"/>
    <n v="0.80066815144766146"/>
    <s v="Toshiba SRP"/>
    <m/>
    <s v="1718269"/>
  </r>
  <r>
    <n v="2430"/>
    <s v="Fortress"/>
    <s v="Tai Koo"/>
    <x v="39"/>
    <n v="3"/>
    <x v="0"/>
    <x v="29"/>
    <s v="酵活炊磁應電飯煲"/>
    <s v="細電"/>
    <s v="SDA"/>
    <s v="10bh"/>
    <n v="1"/>
    <n v="1888"/>
    <n v="1888"/>
    <n v="1718206"/>
    <m/>
    <m/>
    <s v="RC-10BHH(W) 1718206"/>
    <n v="2088"/>
    <n v="0.90421455938697315"/>
    <s v="Shops Highest Price"/>
    <m/>
    <s v="1718206"/>
  </r>
  <r>
    <n v="2431"/>
    <s v="Fortress"/>
    <s v="Tai Koo"/>
    <x v="39"/>
    <n v="3"/>
    <x v="5"/>
    <x v="48"/>
    <s v="3合1 微波蒸焗爐 (20公升)"/>
    <s v="細電"/>
    <s v="MCA"/>
    <s v="tt20"/>
    <n v="1"/>
    <n v="2580"/>
    <n v="2580"/>
    <n v="1718377"/>
    <m/>
    <m/>
    <s v="MX2-TT20SC(WH) 1718377"/>
    <n v="3580"/>
    <n v="0.72067039106145248"/>
    <s v="Toshiba SRP"/>
    <m/>
    <s v="1718377"/>
  </r>
  <r>
    <n v="2432"/>
    <s v="Fortress"/>
    <s v="Tai Koo"/>
    <x v="39"/>
    <n v="3"/>
    <x v="5"/>
    <x v="21"/>
    <s v="壓縮式抽濕機 (30公升)"/>
    <s v="細電"/>
    <s v="RAC"/>
    <s v="d300"/>
    <n v="1"/>
    <n v="2280"/>
    <n v="2280"/>
    <n v="1718408"/>
    <m/>
    <m/>
    <s v="RAD-D300H 1718408"/>
    <n v="3380"/>
    <n v="0.67455621301775148"/>
    <s v="Shops Highest Price"/>
    <m/>
    <s v="1718408"/>
  </r>
  <r>
    <n v="2433"/>
    <s v="Fortress"/>
    <s v="Tai Koo"/>
    <x v="39"/>
    <n v="3"/>
    <x v="5"/>
    <x v="21"/>
    <s v="壓縮式抽濕機 (30公升)"/>
    <s v="細電"/>
    <s v="RAC"/>
    <s v="d300"/>
    <n v="1"/>
    <n v="2280"/>
    <n v="2280"/>
    <n v="1325808"/>
    <m/>
    <m/>
    <s v="RAD-D300H 1325808"/>
    <n v="3380"/>
    <n v="0.67455621301775148"/>
    <s v="Shops Highest Price"/>
    <m/>
    <s v="1325808"/>
  </r>
  <r>
    <n v="2434"/>
    <s v="Fortress"/>
    <s v="Tai Koo"/>
    <x v="39"/>
    <n v="3"/>
    <x v="5"/>
    <x v="21"/>
    <s v="壓縮式抽濕機 (30公升)"/>
    <s v="細電"/>
    <s v="RAC"/>
    <s v="d300"/>
    <n v="1"/>
    <n v="2280"/>
    <n v="2280"/>
    <n v="1718449"/>
    <m/>
    <m/>
    <s v="RAD-D300H 1718449"/>
    <n v="3380"/>
    <n v="0.67455621301775148"/>
    <s v="Shops Highest Price"/>
    <m/>
    <s v="1718449"/>
  </r>
  <r>
    <n v="2435"/>
    <s v="Fortress"/>
    <s v="Tai Koo"/>
    <x v="39"/>
    <n v="3"/>
    <x v="5"/>
    <x v="21"/>
    <s v="壓縮式抽濕機 (30公升)"/>
    <s v="細電"/>
    <s v="RAC"/>
    <s v="d300"/>
    <n v="1"/>
    <n v="2280"/>
    <n v="2280"/>
    <n v="1718451"/>
    <m/>
    <m/>
    <s v="RAD-D300H 1718451"/>
    <n v="3380"/>
    <n v="0.67455621301775148"/>
    <s v="Shops Highest Price"/>
    <m/>
    <s v="1718451"/>
  </r>
  <r>
    <n v="2436"/>
    <s v="Fortress"/>
    <s v="Tai Koo"/>
    <x v="39"/>
    <n v="3"/>
    <x v="5"/>
    <x v="21"/>
    <s v="壓縮式抽濕機 (30公升)"/>
    <s v="細電"/>
    <s v="RAC"/>
    <s v="d300"/>
    <n v="1"/>
    <n v="2280"/>
    <n v="2280"/>
    <n v="1718492"/>
    <m/>
    <m/>
    <s v="RAD-D300H 1718492"/>
    <n v="3380"/>
    <n v="0.67455621301775148"/>
    <s v="Shops Highest Price"/>
    <m/>
    <s v="1718492"/>
  </r>
  <r>
    <n v="2437"/>
    <s v="Fortress"/>
    <s v="Tai Koo"/>
    <x v="39"/>
    <n v="3"/>
    <x v="5"/>
    <x v="21"/>
    <s v="壓縮式抽濕機 (30公升)"/>
    <s v="細電"/>
    <s v="RAC"/>
    <s v="d300"/>
    <n v="1"/>
    <n v="2280"/>
    <n v="2280"/>
    <n v="1718511"/>
    <m/>
    <m/>
    <s v="RAD-D300H 1718511"/>
    <n v="3380"/>
    <n v="0.67455621301775148"/>
    <s v="Shops Highest Price"/>
    <m/>
    <s v="1718511"/>
  </r>
  <r>
    <n v="2438"/>
    <s v="Fortress"/>
    <s v="Tai Koo"/>
    <x v="39"/>
    <n v="3"/>
    <x v="5"/>
    <x v="21"/>
    <s v="壓縮式抽濕機 (30公升)"/>
    <s v="細電"/>
    <s v="RAC"/>
    <s v="d300"/>
    <n v="1"/>
    <n v="2280"/>
    <n v="2280"/>
    <n v="1718551"/>
    <m/>
    <m/>
    <s v="RAD-D300H 1718551"/>
    <n v="3380"/>
    <n v="0.67455621301775148"/>
    <s v="Shops Highest Price"/>
    <m/>
    <s v="1718551"/>
  </r>
  <r>
    <n v="2439"/>
    <s v="Fortress"/>
    <s v="Tai Koo"/>
    <x v="39"/>
    <n v="3"/>
    <x v="5"/>
    <x v="39"/>
    <s v="酵活炊電飯煲(1.0公升)"/>
    <s v="細電"/>
    <s v="SDA"/>
    <s v="10amx"/>
    <n v="1"/>
    <n v="990"/>
    <n v="990"/>
    <n v="1718429"/>
    <m/>
    <m/>
    <s v="RC-10AMXH(W) 1718429"/>
    <n v="1288"/>
    <n v="0.76863354037267084"/>
    <s v="Toshiba SRP"/>
    <m/>
    <s v="1718429"/>
  </r>
  <r>
    <n v="2440"/>
    <s v="Fortress"/>
    <s v="Tai Koo"/>
    <x v="39"/>
    <n v="3"/>
    <x v="6"/>
    <x v="21"/>
    <s v="壓縮式抽濕機 (30公升)"/>
    <s v="細電"/>
    <s v="RAC"/>
    <s v="d300"/>
    <n v="1"/>
    <n v="2280"/>
    <n v="2280"/>
    <n v="1718585"/>
    <m/>
    <m/>
    <s v="RAD-D300H 1718585"/>
    <n v="3380"/>
    <n v="0.67455621301775148"/>
    <s v="Shops Highest Price"/>
    <m/>
    <s v="1718585"/>
  </r>
  <r>
    <n v="2441"/>
    <s v="Fortress"/>
    <s v="Tai Koo"/>
    <x v="39"/>
    <n v="3"/>
    <x v="6"/>
    <x v="21"/>
    <s v="壓縮式抽濕機 (30公升)"/>
    <s v="細電"/>
    <s v="RAC"/>
    <s v="d300"/>
    <n v="1"/>
    <n v="2280"/>
    <n v="2280"/>
    <n v="1718604"/>
    <m/>
    <m/>
    <s v="RAD-D300H 1718604"/>
    <n v="3380"/>
    <n v="0.67455621301775148"/>
    <s v="Shops Highest Price"/>
    <m/>
    <s v="1718604"/>
  </r>
  <r>
    <n v="2442"/>
    <s v="Fortress"/>
    <s v="Tai Koo"/>
    <x v="39"/>
    <n v="3"/>
    <x v="6"/>
    <x v="21"/>
    <s v="壓縮式抽濕機 (30公升)"/>
    <s v="細電"/>
    <s v="RAC"/>
    <s v="d300"/>
    <n v="1"/>
    <n v="2280"/>
    <n v="2280"/>
    <n v="1718659"/>
    <m/>
    <m/>
    <s v="RAD-D300H 1718659"/>
    <n v="3380"/>
    <n v="0.67455621301775148"/>
    <s v="Shops Highest Price"/>
    <m/>
    <s v="1718659"/>
  </r>
  <r>
    <n v="2443"/>
    <s v="Fortress"/>
    <s v="Tai Koo"/>
    <x v="39"/>
    <n v="3"/>
    <x v="6"/>
    <x v="87"/>
    <s v="變頻式環保雙門雪櫃(233L)"/>
    <s v="大電"/>
    <s v="REF"/>
    <s v="rt300"/>
    <n v="1"/>
    <n v="2780"/>
    <n v="2780"/>
    <n v="1325848"/>
    <m/>
    <m/>
    <s v="GR-RT300WE-PMA(57) 1325848"/>
    <n v="4280"/>
    <n v="0.64953271028037385"/>
    <s v="Toshiba SRP"/>
    <m/>
    <s v="1325848"/>
  </r>
  <r>
    <n v="2444"/>
    <s v="Fortress"/>
    <s v="Tai Koo"/>
    <x v="39"/>
    <n v="3"/>
    <x v="6"/>
    <x v="21"/>
    <s v="壓縮式抽濕機 (30公升)"/>
    <s v="細電"/>
    <s v="RAC"/>
    <s v="d300"/>
    <n v="1"/>
    <n v="2280"/>
    <n v="2280"/>
    <n v="1718859"/>
    <s v="1718659&gt;1718859"/>
    <m/>
    <s v="RAD-D300H 1718859"/>
    <n v="3380"/>
    <n v="0.67455621301775148"/>
    <s v="Shops Highest Price"/>
    <m/>
    <s v="1718859"/>
  </r>
  <r>
    <n v="2445"/>
    <s v="Fortress"/>
    <s v="Tai Koo"/>
    <x v="39"/>
    <n v="3"/>
    <x v="6"/>
    <x v="21"/>
    <s v="壓縮式抽濕機 (30公升)"/>
    <s v="細電"/>
    <s v="RAC"/>
    <s v="d300"/>
    <n v="1"/>
    <n v="2280"/>
    <n v="2280"/>
    <n v="1718744"/>
    <m/>
    <m/>
    <s v="RAD-D300H 1718744"/>
    <n v="3380"/>
    <n v="0.67455621301775148"/>
    <s v="Shops Highest Price"/>
    <m/>
    <s v="1718744"/>
  </r>
  <r>
    <n v="2446"/>
    <s v="Fortress"/>
    <s v="Tai Koo"/>
    <x v="39"/>
    <n v="3"/>
    <x v="6"/>
    <x v="21"/>
    <s v="壓縮式抽濕機 (30公升)"/>
    <s v="細電"/>
    <s v="RAC"/>
    <s v="d300"/>
    <n v="1"/>
    <n v="2280"/>
    <n v="2280"/>
    <n v="1325860"/>
    <m/>
    <m/>
    <s v="RAD-D300H 1325860"/>
    <n v="3380"/>
    <n v="0.67455621301775148"/>
    <s v="Shops Highest Price"/>
    <m/>
    <s v="1325860"/>
  </r>
  <r>
    <n v="2447"/>
    <s v="Fortress"/>
    <s v="Tai Koo"/>
    <x v="39"/>
    <n v="3"/>
    <x v="6"/>
    <x v="132"/>
    <s v="雙門雪櫃"/>
    <s v="大電"/>
    <s v="REF"/>
    <s v="rb410"/>
    <n v="1"/>
    <n v="3890"/>
    <n v="3890"/>
    <n v="1718772"/>
    <m/>
    <m/>
    <s v="GR-RB410WE-PMA(06) 1718772"/>
    <n v="4000"/>
    <n v="0.97250000000000003"/>
    <s v="Shops Highest Price"/>
    <m/>
    <s v="1718772"/>
  </r>
  <r>
    <n v="2448"/>
    <s v="Fortress"/>
    <s v="Tai Koo"/>
    <x v="39"/>
    <n v="3"/>
    <x v="6"/>
    <x v="106"/>
    <s v="燒烤微波爐21L"/>
    <s v="細電"/>
    <s v="SDA"/>
    <s v="ag21"/>
    <n v="1"/>
    <n v="798"/>
    <n v="798"/>
    <n v="1718666"/>
    <m/>
    <m/>
    <s v="MV-AG21TF(BK) 1718666"/>
    <n v="1098"/>
    <n v="0.72677595628415304"/>
    <s v="Toshiba SRP"/>
    <m/>
    <s v="1718666"/>
  </r>
  <r>
    <n v="2449"/>
    <s v="Fortress"/>
    <s v="Tai Koo"/>
    <x v="39"/>
    <n v="3"/>
    <x v="6"/>
    <x v="57"/>
    <s v="多功能備長炭本厚釜電飯煲1L"/>
    <s v="細電"/>
    <s v="SDA"/>
    <s v="10drnh"/>
    <n v="1"/>
    <n v="499"/>
    <n v="499"/>
    <n v="1718610"/>
    <m/>
    <m/>
    <s v="RC-10DRNH 1718610"/>
    <n v="798"/>
    <n v="0.62531328320802004"/>
    <s v="Toshiba SRP"/>
    <m/>
    <s v="1718610"/>
  </r>
  <r>
    <n v="2450"/>
    <s v="Fortress"/>
    <s v="Tai Koo"/>
    <x v="39"/>
    <n v="3"/>
    <x v="6"/>
    <x v="107"/>
    <s v="1.5L無線雙層電熱水壺"/>
    <s v="細電"/>
    <s v="SDA"/>
    <s v="15drr"/>
    <n v="1"/>
    <n v="268"/>
    <n v="268"/>
    <n v="1718572"/>
    <m/>
    <m/>
    <s v="KT-15DRRH 1718572"/>
    <n v="438"/>
    <n v="0.61187214611872143"/>
    <s v="Toshiba SRP"/>
    <m/>
    <s v="1718572"/>
  </r>
  <r>
    <n v="2451"/>
    <s v="Fortress"/>
    <s v="Tai Koo"/>
    <x v="39"/>
    <n v="3"/>
    <x v="6"/>
    <x v="52"/>
    <s v="35L多功能電焗爐"/>
    <s v="細電"/>
    <s v="SDA"/>
    <s v="mc35"/>
    <n v="1"/>
    <n v="888"/>
    <n v="888"/>
    <n v="1718587"/>
    <m/>
    <m/>
    <s v="TL-MC35Z 1718587"/>
    <n v="1098"/>
    <n v="0.80874316939890711"/>
    <s v="Toshiba SRP"/>
    <m/>
    <s v="1718587"/>
  </r>
  <r>
    <n v="2452"/>
    <s v="Fortress"/>
    <s v="Tai Koo"/>
    <x v="39"/>
    <n v="3"/>
    <x v="6"/>
    <x v="96"/>
    <s v="日式洗衣機 (7公斤 結合高低水位)"/>
    <s v="大電"/>
    <s v="LAD"/>
    <s v="q800"/>
    <n v="1"/>
    <n v="2080"/>
    <n v="2080"/>
    <n v="1510885"/>
    <m/>
    <m/>
    <s v="AW-Q800APH(WW) 1510885"/>
    <n v="3580"/>
    <n v="0.58100558659217882"/>
    <s v="Toshiba SRP"/>
    <m/>
    <s v="1510885"/>
  </r>
  <r>
    <n v="2453"/>
    <s v="Fortress"/>
    <s v="Tai Koo"/>
    <x v="39"/>
    <n v="3"/>
    <x v="6"/>
    <x v="96"/>
    <s v="日式洗衣機 (7公斤 結合高低水位)"/>
    <s v="大電"/>
    <s v="LAD"/>
    <s v="q800"/>
    <n v="1"/>
    <n v="2080"/>
    <n v="2080"/>
    <n v="1718911"/>
    <m/>
    <m/>
    <s v="AW-Q800APH(WW) 1718911"/>
    <n v="3580"/>
    <n v="0.58100558659217882"/>
    <s v="Toshiba SRP"/>
    <m/>
    <s v="1718911"/>
  </r>
  <r>
    <n v="2454"/>
    <s v="Fortress"/>
    <s v="Tai Koo"/>
    <x v="39"/>
    <n v="3"/>
    <x v="6"/>
    <x v="93"/>
    <s v="座檯式洗碗碟機"/>
    <s v="細電"/>
    <s v="DW"/>
    <s v="05t2"/>
    <n v="1"/>
    <n v="3780"/>
    <n v="3780"/>
    <n v="1718930"/>
    <m/>
    <m/>
    <s v="DW-05T2-HK 1718930"/>
    <n v="4580"/>
    <n v="0.8253275109170306"/>
    <s v="Toshiba SRP"/>
    <m/>
    <s v="1718930"/>
  </r>
  <r>
    <n v="2455"/>
    <s v="Fortress"/>
    <s v="Tai Koo"/>
    <x v="39"/>
    <n v="3"/>
    <x v="6"/>
    <x v="97"/>
    <s v="變頻二合一空氣淨化抽濕機 (28公升)"/>
    <s v="大電"/>
    <s v="RAC"/>
    <s v="dia17"/>
    <n v="1"/>
    <n v="3580"/>
    <n v="3580"/>
    <n v="1718909"/>
    <m/>
    <m/>
    <s v="RAD-DIA17HK 1718909"/>
    <n v="4980"/>
    <n v="0.71887550200803207"/>
    <s v="Toshiba SRP"/>
    <m/>
    <s v="1718909"/>
  </r>
  <r>
    <n v="2456"/>
    <s v="Fortress"/>
    <s v="Tai Koo"/>
    <x v="39"/>
    <n v="3"/>
    <x v="6"/>
    <x v="6"/>
    <s v="旋鈕式微波爐24L"/>
    <s v="細電"/>
    <s v="SDA"/>
    <s v="mm24"/>
    <n v="1"/>
    <n v="679"/>
    <n v="679"/>
    <n v="1718840"/>
    <m/>
    <m/>
    <s v="MW2-MM24PC(BK) 1718840"/>
    <n v="848"/>
    <n v="0.8007075471698113"/>
    <s v="Toshiba SRP"/>
    <m/>
    <s v="1718840"/>
  </r>
  <r>
    <n v="2457"/>
    <s v="Fortress"/>
    <s v="Tai Koo"/>
    <x v="39"/>
    <n v="3"/>
    <x v="6"/>
    <x v="34"/>
    <s v="智能氣炸烤焗爐(24公升)"/>
    <s v="細電"/>
    <s v="MCA"/>
    <s v="sac24"/>
    <n v="1"/>
    <n v="1320"/>
    <n v="1320"/>
    <n v="1718849"/>
    <m/>
    <m/>
    <s v="MW3-SAC24SE(BK) 1718849"/>
    <n v="1680"/>
    <n v="0.7857142857142857"/>
    <s v="Toshiba SRP"/>
    <m/>
    <s v="1718849"/>
  </r>
  <r>
    <n v="2458"/>
    <s v="Fortress"/>
    <s v="Tai Koo"/>
    <x v="39"/>
    <n v="3"/>
    <x v="6"/>
    <x v="105"/>
    <s v="旋鈕式燒烤微波爐20L黑色"/>
    <s v="細電"/>
    <s v="SDA"/>
    <s v="mg20"/>
    <n v="1"/>
    <n v="579"/>
    <n v="579"/>
    <n v="1718933"/>
    <m/>
    <m/>
    <s v="MWP-MG20P(BK) 1718933"/>
    <n v="918"/>
    <n v="0.63071895424836599"/>
    <s v="Toshiba SRP"/>
    <m/>
    <s v="1718933"/>
  </r>
  <r>
    <n v="2459"/>
    <s v="Fortress"/>
    <s v="Tai Koo"/>
    <x v="39"/>
    <n v="3"/>
    <x v="6"/>
    <x v="33"/>
    <s v="輕觸式燒烤微波爐"/>
    <s v="細電"/>
    <s v="MCA"/>
    <s v="eg20"/>
    <n v="1"/>
    <n v="698"/>
    <n v="698"/>
    <n v="1718875"/>
    <m/>
    <m/>
    <s v="MM2-EG20PC(WH) 1718875"/>
    <n v="918"/>
    <n v="0.76034858387799564"/>
    <s v="Shops Highest Price"/>
    <m/>
    <s v="1718875"/>
  </r>
  <r>
    <n v="2460"/>
    <s v="Fortress"/>
    <s v="Tai Koo"/>
    <x v="39"/>
    <n v="3"/>
    <x v="6"/>
    <x v="36"/>
    <s v="輕觸式微波爐 (20公升)"/>
    <s v="細電"/>
    <s v="MCA"/>
    <s v="em20"/>
    <n v="1"/>
    <n v="638"/>
    <n v="638"/>
    <n v="1510904"/>
    <m/>
    <m/>
    <s v="MM2-EM20PC(WH) 1510904"/>
    <n v="788"/>
    <n v="0.80964467005076146"/>
    <s v="Toshiba SRP"/>
    <m/>
    <s v="1510904"/>
  </r>
  <r>
    <n v="2461"/>
    <s v="Fortress"/>
    <s v="Tai Koo"/>
    <x v="39"/>
    <n v="3"/>
    <x v="1"/>
    <x v="37"/>
    <s v="電熱水瓶 (5公升)"/>
    <s v="細電"/>
    <s v="SDA"/>
    <s v="50dr"/>
    <n v="1"/>
    <n v="598"/>
    <n v="598"/>
    <n v="1718865"/>
    <m/>
    <m/>
    <s v="TP-50DRUHK(W) 1718865"/>
    <n v="718"/>
    <n v="0.83286908077994426"/>
    <s v="Toshiba SRP"/>
    <m/>
    <s v="1718865"/>
  </r>
  <r>
    <n v="2462"/>
    <s v="Fortress"/>
    <s v="Tai Koo"/>
    <x v="39"/>
    <n v="3"/>
    <x v="1"/>
    <x v="8"/>
    <s v="電壓力鍋"/>
    <s v="細電"/>
    <s v="SDA"/>
    <s v="48drs"/>
    <n v="1"/>
    <n v="838"/>
    <n v="838"/>
    <n v="1325869"/>
    <m/>
    <m/>
    <s v="PC-48DRSHK(K) 1325869"/>
    <n v="1188"/>
    <n v="0.70538720538720534"/>
    <s v="Shops Highest Price"/>
    <m/>
    <s v="1325869"/>
  </r>
  <r>
    <n v="2463"/>
    <s v="Fortress"/>
    <s v="Tai Koo"/>
    <x v="39"/>
    <n v="3"/>
    <x v="1"/>
    <x v="21"/>
    <s v="壓縮式抽濕機 (30公升)"/>
    <s v="細電"/>
    <s v="RAC"/>
    <s v="d300"/>
    <n v="1"/>
    <n v="2280"/>
    <n v="2280"/>
    <n v="1719038"/>
    <m/>
    <m/>
    <s v="RAD-D300H 1719038"/>
    <n v="3380"/>
    <n v="0.67455621301775148"/>
    <s v="Shops Highest Price"/>
    <m/>
    <s v="1719038"/>
  </r>
  <r>
    <n v="2464"/>
    <s v="Fortress"/>
    <s v="Tai Koo"/>
    <x v="39"/>
    <n v="3"/>
    <x v="1"/>
    <x v="36"/>
    <s v="輕觸式微波爐 (20公升)"/>
    <s v="細電"/>
    <s v="MCA"/>
    <s v="em20"/>
    <n v="1"/>
    <n v="598"/>
    <n v="598"/>
    <n v="1719020"/>
    <m/>
    <m/>
    <s v="MM2-EM20PC(WH) 1719020"/>
    <n v="788"/>
    <n v="0.75888324873096447"/>
    <s v="Toshiba SRP"/>
    <m/>
    <s v="1719020"/>
  </r>
  <r>
    <n v="2465"/>
    <s v="Fortress"/>
    <s v="Tai Koo"/>
    <x v="39"/>
    <n v="3"/>
    <x v="1"/>
    <x v="36"/>
    <s v="輕觸式微波爐 (20公升)"/>
    <s v="細電"/>
    <s v="MCA"/>
    <s v="em20"/>
    <n v="1"/>
    <n v="598"/>
    <n v="598"/>
    <n v="1719034"/>
    <m/>
    <m/>
    <s v="MM2-EM20PC(WH) 1719034"/>
    <n v="788"/>
    <n v="0.75888324873096447"/>
    <s v="Toshiba SRP"/>
    <m/>
    <s v="1719034"/>
  </r>
  <r>
    <n v="2466"/>
    <s v="Fortress"/>
    <s v="Tai Koo"/>
    <x v="39"/>
    <n v="3"/>
    <x v="1"/>
    <x v="41"/>
    <s v="低醣磁應電飯煲1.8L"/>
    <s v="細電"/>
    <s v="SDA"/>
    <s v="18isph"/>
    <n v="1"/>
    <n v="898"/>
    <n v="898"/>
    <n v="1719046"/>
    <m/>
    <m/>
    <s v="RC-18ISPH 1719046"/>
    <n v="1436"/>
    <n v="0.62534818941504178"/>
    <s v="Shops Highest Price"/>
    <m/>
    <s v="1719046"/>
  </r>
  <r>
    <n v="2467"/>
    <s v="Fortress"/>
    <s v="Tai Koo"/>
    <x v="39"/>
    <n v="3"/>
    <x v="1"/>
    <x v="32"/>
    <s v="電熱水瓶3L"/>
    <s v="細電"/>
    <s v="SDA"/>
    <s v="30fl"/>
    <n v="1"/>
    <n v="489"/>
    <n v="489"/>
    <n v="1719014"/>
    <m/>
    <m/>
    <s v="PLK-30FLIH(WT) 1719014"/>
    <n v="658"/>
    <n v="0.74316109422492405"/>
    <s v="Toshiba SRP"/>
    <m/>
    <s v="1719014"/>
  </r>
  <r>
    <n v="2468"/>
    <s v="Fortress"/>
    <s v="Tai Koo"/>
    <x v="39"/>
    <n v="3"/>
    <x v="1"/>
    <x v="44"/>
    <s v="1.7L無線雙層電熱水壺"/>
    <s v="細電"/>
    <s v="SDA"/>
    <s v="17shnh"/>
    <n v="1"/>
    <n v="198"/>
    <n v="198"/>
    <n v="1718992"/>
    <m/>
    <m/>
    <s v="KT-17SHNH 1718992"/>
    <n v="299"/>
    <n v="0.66220735785953178"/>
    <s v="Shops Highest Price"/>
    <m/>
    <s v="1718992"/>
  </r>
  <r>
    <n v="2469"/>
    <s v="Fortress"/>
    <s v="Tai Koo"/>
    <x v="39"/>
    <n v="3"/>
    <x v="1"/>
    <x v="31"/>
    <s v="無線雙層電熱水壺(1.7公升)"/>
    <s v="細電"/>
    <s v="SDA"/>
    <s v="17drt"/>
    <n v="1"/>
    <n v="388"/>
    <n v="388"/>
    <n v="1719086"/>
    <m/>
    <m/>
    <s v="KT-17DRTHK(H) 1719086"/>
    <n v="498"/>
    <n v="0.77911646586345384"/>
    <s v="Toshiba SRP"/>
    <m/>
    <s v="1719086"/>
  </r>
  <r>
    <n v="2470"/>
    <s v="Fortress"/>
    <s v="Tai Koo"/>
    <x v="39"/>
    <n v="3"/>
    <x v="1"/>
    <x v="38"/>
    <s v="無線雙層電熱水壺-附可鎖壺蓋"/>
    <s v="細電"/>
    <s v="SDA"/>
    <s v="15drt"/>
    <n v="1"/>
    <n v="338"/>
    <n v="338"/>
    <n v="1719121"/>
    <m/>
    <m/>
    <s v="KT-15DRTHK(W) 1719121"/>
    <n v="598"/>
    <n v="0.56521739130434778"/>
    <s v="Toshiba SRP"/>
    <m/>
    <s v="1719121"/>
  </r>
  <r>
    <n v="2471"/>
    <s v="Fortress"/>
    <s v="Tai Koo"/>
    <x v="39"/>
    <n v="3"/>
    <x v="1"/>
    <x v="57"/>
    <s v="多功能備長炭本厚釜電飯煲1L"/>
    <s v="細電"/>
    <s v="SDA"/>
    <s v="10drnh"/>
    <n v="1"/>
    <n v="499"/>
    <n v="499"/>
    <n v="1719073"/>
    <m/>
    <m/>
    <s v="RC-10DRNH 1719073"/>
    <n v="798"/>
    <n v="0.62531328320802004"/>
    <s v="Toshiba SRP"/>
    <m/>
    <s v="1719073"/>
  </r>
  <r>
    <n v="2472"/>
    <s v="Fortress"/>
    <s v="Tai Koo"/>
    <x v="39"/>
    <n v="3"/>
    <x v="1"/>
    <x v="77"/>
    <s v="470MM超薄身前置式變頻洗衣乾衣機 (洗8.5公斤/乾6公斤, 可飛頂)"/>
    <s v="大電"/>
    <s v="LAD"/>
    <s v="twdt22"/>
    <n v="1"/>
    <n v="4780"/>
    <n v="4780"/>
    <n v="1719167"/>
    <m/>
    <m/>
    <s v="TWD-T22BU95UWH(WK)-B 1719167"/>
    <n v="7480"/>
    <n v="0.63903743315508021"/>
    <s v="Toshiba SRP"/>
    <m/>
    <s v="1719167"/>
  </r>
  <r>
    <n v="2473"/>
    <s v="Fortress"/>
    <s v="Tai Koo"/>
    <x v="39"/>
    <n v="3"/>
    <x v="1"/>
    <x v="21"/>
    <s v="壓縮式抽濕機 (30公升)"/>
    <s v="細電"/>
    <s v="RAC"/>
    <s v="d300"/>
    <n v="1"/>
    <n v="2280"/>
    <n v="2280"/>
    <n v="1719348"/>
    <m/>
    <m/>
    <s v="RAD-D300H 1719348"/>
    <n v="3380"/>
    <n v="0.67455621301775148"/>
    <s v="Shops Highest Price"/>
    <m/>
    <s v="1719348"/>
  </r>
  <r>
    <n v="2474"/>
    <s v="Fortress"/>
    <s v="Tai Koo"/>
    <x v="39"/>
    <n v="3"/>
    <x v="1"/>
    <x v="34"/>
    <s v="智能氣炸烤焗爐(24公升)"/>
    <s v="細電"/>
    <s v="MCA"/>
    <s v="sac24"/>
    <n v="1"/>
    <n v="1320"/>
    <n v="1320"/>
    <n v="1719281"/>
    <m/>
    <m/>
    <s v="MW3-SAC24SE(BK) 1719281"/>
    <n v="1680"/>
    <n v="0.7857142857142857"/>
    <s v="Toshiba SRP"/>
    <m/>
    <s v="1719281"/>
  </r>
  <r>
    <n v="2475"/>
    <s v="Fortress"/>
    <s v="Tai Koo"/>
    <x v="39"/>
    <n v="3"/>
    <x v="1"/>
    <x v="31"/>
    <s v="無線雙層電熱水壺(1.7公升)"/>
    <s v="細電"/>
    <s v="SDA"/>
    <s v="17drt"/>
    <n v="1"/>
    <n v="388"/>
    <n v="388"/>
    <n v="1719283"/>
    <m/>
    <m/>
    <s v="KT-17DRTHK(H) 1719283"/>
    <n v="498"/>
    <n v="0.77911646586345384"/>
    <s v="Toshiba SRP"/>
    <m/>
    <s v="1719283"/>
  </r>
  <r>
    <n v="2476"/>
    <s v="Fortress"/>
    <s v="Tai Koo"/>
    <x v="39"/>
    <n v="3"/>
    <x v="1"/>
    <x v="105"/>
    <s v="旋鈕式燒烤微波爐20L黑色"/>
    <s v="細電"/>
    <s v="SDA"/>
    <s v="mg20"/>
    <n v="1"/>
    <n v="579"/>
    <n v="579"/>
    <n v="1719436"/>
    <m/>
    <m/>
    <s v="MWP-MG20P(BK) 1719436"/>
    <n v="918"/>
    <n v="0.63071895424836599"/>
    <s v="Toshiba SRP"/>
    <m/>
    <s v="1719436"/>
  </r>
  <r>
    <n v="2477"/>
    <s v="Fortress"/>
    <s v="Tai Koo"/>
    <x v="39"/>
    <n v="3"/>
    <x v="1"/>
    <x v="33"/>
    <s v="輕觸式燒烤微波爐"/>
    <s v="細電"/>
    <s v="MCA"/>
    <s v="eg20"/>
    <n v="1"/>
    <n v="698"/>
    <n v="698"/>
    <n v="1719483"/>
    <m/>
    <m/>
    <s v="MM2-EG20PC(WH) 1719483"/>
    <n v="918"/>
    <n v="0.76034858387799564"/>
    <s v="Shops Highest Price"/>
    <m/>
    <s v="1719483"/>
  </r>
  <r>
    <n v="2478"/>
    <s v="Fortress"/>
    <s v="Tai Koo"/>
    <x v="39"/>
    <n v="3"/>
    <x v="1"/>
    <x v="36"/>
    <s v="輕觸式微波爐 (20公升)"/>
    <s v="細電"/>
    <s v="MCA"/>
    <s v="em20"/>
    <n v="1"/>
    <n v="598"/>
    <n v="598"/>
    <n v="1719461"/>
    <m/>
    <m/>
    <s v="MM2-EM20PC(WH) 1719461"/>
    <n v="788"/>
    <n v="0.75888324873096447"/>
    <s v="Toshiba SRP"/>
    <m/>
    <s v="1719461"/>
  </r>
  <r>
    <n v="2479"/>
    <s v="Fortress"/>
    <s v="Tai Koo"/>
    <x v="39"/>
    <n v="3"/>
    <x v="1"/>
    <x v="21"/>
    <s v="壓縮式抽濕機 (30公升)"/>
    <s v="細電"/>
    <s v="RAC"/>
    <s v="d300"/>
    <n v="1"/>
    <n v="2280"/>
    <n v="2280"/>
    <n v="1719420"/>
    <m/>
    <m/>
    <s v="RAD-D300H 1719420"/>
    <n v="3380"/>
    <n v="0.67455621301775148"/>
    <s v="Shops Highest Price"/>
    <m/>
    <s v="1719420"/>
  </r>
  <r>
    <n v="2480"/>
    <s v="Fortress"/>
    <s v="Tai Koo"/>
    <x v="39"/>
    <n v="3"/>
    <x v="1"/>
    <x v="21"/>
    <s v="壓縮式抽濕機 (30公升)"/>
    <s v="細電"/>
    <s v="RAC"/>
    <s v="d300"/>
    <n v="1"/>
    <n v="2280"/>
    <n v="2280"/>
    <n v="1326050"/>
    <m/>
    <m/>
    <s v="RAD-D300H 1326050"/>
    <n v="3380"/>
    <n v="0.67455621301775148"/>
    <s v="Shops Highest Price"/>
    <m/>
    <s v="1326050"/>
  </r>
  <r>
    <n v="2481"/>
    <s v="Fortress"/>
    <s v="Tai Koo"/>
    <x v="39"/>
    <n v="3"/>
    <x v="1"/>
    <x v="44"/>
    <s v="1.7L無線雙層電熱水壺"/>
    <s v="細電"/>
    <s v="SDA"/>
    <s v="17shnh"/>
    <n v="1"/>
    <n v="198"/>
    <n v="198"/>
    <n v="1719528"/>
    <m/>
    <m/>
    <s v="KT-17SHNH 1719528"/>
    <n v="299"/>
    <n v="0.66220735785953178"/>
    <s v="Shops Highest Price"/>
    <m/>
    <s v="1719528"/>
  </r>
  <r>
    <n v="2482"/>
    <s v="Fortress"/>
    <s v="Tai Koo"/>
    <x v="39"/>
    <n v="3"/>
    <x v="1"/>
    <x v="87"/>
    <s v="變頻式環保雙門雪櫃(233L)"/>
    <s v="大電"/>
    <s v="REF"/>
    <s v="rt300"/>
    <n v="1"/>
    <n v="2780"/>
    <n v="2780"/>
    <n v="1326044"/>
    <m/>
    <m/>
    <s v="GR-RT300WE-PMA(57) 1326044"/>
    <n v="4280"/>
    <n v="0.64953271028037385"/>
    <s v="Toshiba SRP"/>
    <m/>
    <s v="1326044"/>
  </r>
  <r>
    <n v="2483"/>
    <s v="Fortress"/>
    <s v="Tai Koo"/>
    <x v="39"/>
    <n v="3"/>
    <x v="2"/>
    <x v="75"/>
    <s v="日式洗衣機 (8公斤 結合高低水位)"/>
    <s v="大電"/>
    <s v="LAD"/>
    <s v="q901"/>
    <n v="1"/>
    <n v="2280"/>
    <n v="2280"/>
    <n v="1719405"/>
    <s v="1719905&gt;1719405"/>
    <m/>
    <s v="AW-Q901BPH(WW) 1719405"/>
    <n v="3780"/>
    <n v="0.60317460317460314"/>
    <s v="Toshiba SRP"/>
    <m/>
    <s v="1719405"/>
  </r>
  <r>
    <n v="2484"/>
    <s v="Fortress"/>
    <s v="Tai Koo"/>
    <x v="39"/>
    <n v="3"/>
    <x v="2"/>
    <x v="11"/>
    <s v="座檯式純蒸氣烤焗水波爐30L"/>
    <s v="細電"/>
    <s v="SDA"/>
    <s v="td5000"/>
    <n v="1"/>
    <n v="5880"/>
    <n v="5880"/>
    <n v="1326047"/>
    <m/>
    <m/>
    <s v="ER-TD5000HK(XK) 1326047"/>
    <n v="7998"/>
    <n v="0.7351837959489872"/>
    <s v="Toshiba SRP"/>
    <m/>
    <s v="1326047"/>
  </r>
  <r>
    <n v="2485"/>
    <s v="Fortress"/>
    <s v="Tai Koo"/>
    <x v="39"/>
    <n v="3"/>
    <x v="2"/>
    <x v="101"/>
    <s v="旋鈕式微波爐 (25公升)"/>
    <s v="細電"/>
    <s v="MOA"/>
    <s v="mm25"/>
    <n v="1"/>
    <n v="719"/>
    <n v="719"/>
    <n v="1719425"/>
    <m/>
    <m/>
    <s v="MW3-MM25PC(BK) 1719425"/>
    <n v="998"/>
    <n v="0.72044088176352705"/>
    <s v="Toshiba SRP"/>
    <m/>
    <s v="1719425"/>
  </r>
  <r>
    <n v="2486"/>
    <s v="Fortress"/>
    <s v="Tai Koo"/>
    <x v="39"/>
    <n v="3"/>
    <x v="2"/>
    <x v="24"/>
    <s v="微型電腦珍珠飯煲"/>
    <s v="細電"/>
    <s v="SDA"/>
    <s v="5sli"/>
    <n v="1"/>
    <n v="593"/>
    <n v="593"/>
    <n v="1326037"/>
    <m/>
    <m/>
    <s v="RC-5SLIH(W) 1326037"/>
    <n v="658"/>
    <n v="0.90121580547112456"/>
    <s v="Toshiba SRP"/>
    <m/>
    <s v="1326037"/>
  </r>
  <r>
    <n v="2487"/>
    <s v="Fortress"/>
    <s v="Tai Koo"/>
    <x v="39"/>
    <n v="3"/>
    <x v="2"/>
    <x v="50"/>
    <s v="輕便式電磁爐7個功能"/>
    <s v="細電"/>
    <s v="SDA"/>
    <s v="s19"/>
    <n v="1"/>
    <n v="418"/>
    <n v="418"/>
    <n v="1719439"/>
    <m/>
    <m/>
    <s v="IC-S19RH 1719439"/>
    <n v="638"/>
    <n v="0.65517241379310343"/>
    <s v="Toshiba SRP"/>
    <m/>
    <s v="1719439"/>
  </r>
  <r>
    <n v="2488"/>
    <s v="Fortress"/>
    <s v="Tai Koo"/>
    <x v="39"/>
    <n v="3"/>
    <x v="2"/>
    <x v="21"/>
    <s v="壓縮式抽濕機 (30公升)"/>
    <s v="細電"/>
    <s v="RAC"/>
    <s v="d300"/>
    <n v="1"/>
    <n v="2280"/>
    <n v="2280"/>
    <n v="1326143"/>
    <m/>
    <m/>
    <s v="RAD-D300H 1326143"/>
    <n v="3380"/>
    <n v="0.67455621301775148"/>
    <s v="Shops Highest Price"/>
    <m/>
    <s v="1326143"/>
  </r>
  <r>
    <n v="2489"/>
    <s v="Fortress"/>
    <s v="Tai Koo"/>
    <x v="39"/>
    <n v="3"/>
    <x v="2"/>
    <x v="87"/>
    <s v="變頻式環保雙門雪櫃(233L)"/>
    <s v="大電"/>
    <s v="REF"/>
    <s v="rt300"/>
    <n v="1"/>
    <n v="2780"/>
    <n v="2780"/>
    <n v="1326130"/>
    <m/>
    <m/>
    <s v="GR-RT300WE-PMA(57) 1326130"/>
    <n v="4280"/>
    <n v="0.64953271028037385"/>
    <s v="Toshiba SRP"/>
    <m/>
    <s v="1326130"/>
  </r>
  <r>
    <n v="2490"/>
    <s v="Fortress"/>
    <s v="Tai Koo"/>
    <x v="39"/>
    <n v="3"/>
    <x v="2"/>
    <x v="36"/>
    <s v="輕觸式微波爐 (20公升)"/>
    <s v="細電"/>
    <s v="MCA"/>
    <s v="em20"/>
    <n v="1"/>
    <n v="598"/>
    <n v="598"/>
    <n v="1326102"/>
    <m/>
    <m/>
    <s v="MM2-EM20PC(WH) 1326102"/>
    <n v="788"/>
    <n v="0.75888324873096447"/>
    <s v="Toshiba SRP"/>
    <m/>
    <s v="1326102"/>
  </r>
  <r>
    <n v="2491"/>
    <s v="Fortress"/>
    <s v="Tai Koo"/>
    <x v="39"/>
    <n v="3"/>
    <x v="2"/>
    <x v="33"/>
    <s v="輕觸式燒烤微波爐"/>
    <s v="細電"/>
    <s v="MCA"/>
    <s v="eg20"/>
    <n v="1"/>
    <n v="698"/>
    <n v="698"/>
    <n v="1326099"/>
    <m/>
    <m/>
    <s v="MM2-EG20PC(WH) 1326099"/>
    <n v="918"/>
    <n v="0.76034858387799564"/>
    <s v="Shops Highest Price"/>
    <m/>
    <s v="1326099"/>
  </r>
  <r>
    <n v="2492"/>
    <s v="Fortress"/>
    <s v="Tai Koo"/>
    <x v="39"/>
    <n v="3"/>
    <x v="2"/>
    <x v="34"/>
    <s v="智能氣炸烤焗爐(24公升)"/>
    <s v="細電"/>
    <s v="MCA"/>
    <s v="sac24"/>
    <n v="1"/>
    <n v="1320"/>
    <n v="1320"/>
    <n v="1326066"/>
    <m/>
    <m/>
    <s v="MW3-SAC24SE(BK) 1326066"/>
    <n v="1680"/>
    <n v="0.7857142857142857"/>
    <s v="Toshiba SRP"/>
    <m/>
    <s v="1326066"/>
  </r>
  <r>
    <n v="2493"/>
    <s v="Fortress"/>
    <s v="Tai Koo"/>
    <x v="39"/>
    <n v="3"/>
    <x v="2"/>
    <x v="31"/>
    <s v="無線雙層電熱水壺(1.7公升)"/>
    <s v="細電"/>
    <s v="SDA"/>
    <s v="17drt"/>
    <n v="1"/>
    <n v="388"/>
    <n v="388"/>
    <n v="1511030"/>
    <m/>
    <m/>
    <s v="KT-17DRTHK(H) 1511030"/>
    <n v="498"/>
    <n v="0.77911646586345384"/>
    <s v="Toshiba SRP"/>
    <m/>
    <s v="1511030"/>
  </r>
  <r>
    <n v="2494"/>
    <s v="Fortress"/>
    <s v="Tai Koo"/>
    <x v="39"/>
    <n v="3"/>
    <x v="2"/>
    <x v="17"/>
    <s v="4毫米厚釜電飯煲1L"/>
    <s v="細電"/>
    <s v="SDA"/>
    <s v="10nmf"/>
    <n v="1"/>
    <n v="719"/>
    <n v="719"/>
    <n v="1719685"/>
    <m/>
    <m/>
    <s v="RC-10NMFIH(WT) 1719685"/>
    <n v="898"/>
    <n v="0.80066815144766146"/>
    <s v="Toshiba SRP"/>
    <m/>
    <s v="1719685"/>
  </r>
  <r>
    <n v="2495"/>
    <s v="Fortress"/>
    <s v="Tai Koo"/>
    <x v="39"/>
    <n v="3"/>
    <x v="2"/>
    <x v="51"/>
    <s v="IH磁應電飯煲"/>
    <s v="細電"/>
    <s v="SDA"/>
    <s v="dr10tw"/>
    <n v="1"/>
    <n v="2380"/>
    <n v="2380"/>
    <n v="1326167"/>
    <m/>
    <m/>
    <s v="RC-DR10T(W) 1326167"/>
    <n v="3188"/>
    <n v="0.74654956085319946"/>
    <s v="Toshiba SRP"/>
    <m/>
    <s v="1326167"/>
  </r>
  <r>
    <n v="2496"/>
    <s v="Fortress"/>
    <s v="Tai Koo"/>
    <x v="39"/>
    <n v="3"/>
    <x v="2"/>
    <x v="37"/>
    <s v="電熱水瓶 (5公升)"/>
    <s v="細電"/>
    <s v="SDA"/>
    <s v="50dr"/>
    <n v="1"/>
    <n v="598"/>
    <n v="598"/>
    <n v="1326188"/>
    <m/>
    <m/>
    <s v="TP-50DRUHK(W) 1326188"/>
    <n v="718"/>
    <n v="0.83286908077994426"/>
    <s v="Toshiba SRP"/>
    <m/>
    <s v="1326188"/>
  </r>
  <r>
    <n v="2497"/>
    <s v="Fortress"/>
    <s v="Tai Koo"/>
    <x v="39"/>
    <n v="3"/>
    <x v="2"/>
    <x v="59"/>
    <s v="30公升蒸氣焗爐"/>
    <s v="細電"/>
    <s v="MCA"/>
    <s v="str30"/>
    <n v="1"/>
    <n v="3980"/>
    <n v="3980"/>
    <n v="1719658"/>
    <m/>
    <m/>
    <s v="MS5-STR30SC(BK) 1719658"/>
    <n v="5998"/>
    <n v="0.66355451817272426"/>
    <s v="Shops Highest Price"/>
    <m/>
    <s v="1719658"/>
  </r>
  <r>
    <n v="2498"/>
    <s v="Fortress"/>
    <s v="Tai Koo"/>
    <x v="39"/>
    <n v="3"/>
    <x v="9"/>
    <x v="59"/>
    <s v="30公升蒸氣焗爐"/>
    <s v="細電"/>
    <s v="MCA"/>
    <s v="str30"/>
    <n v="1"/>
    <n v="3980"/>
    <n v="3980"/>
    <n v="1719759"/>
    <m/>
    <m/>
    <s v="MS5-STR30SC(BK) 1719759"/>
    <n v="5998"/>
    <n v="0.66355451817272426"/>
    <s v="Shops Highest Price"/>
    <m/>
    <s v="1719759"/>
  </r>
  <r>
    <n v="2499"/>
    <s v="Fortress"/>
    <s v="Tai Koo"/>
    <x v="39"/>
    <n v="3"/>
    <x v="9"/>
    <x v="21"/>
    <s v="壓縮式抽濕機 (30公升)"/>
    <s v="細電"/>
    <s v="RAC"/>
    <s v="d300"/>
    <n v="1"/>
    <n v="2280"/>
    <n v="2280"/>
    <n v="1326154"/>
    <m/>
    <m/>
    <s v="RAD-D300H 1326154"/>
    <n v="3380"/>
    <n v="0.67455621301775148"/>
    <s v="Shops Highest Price"/>
    <m/>
    <s v="1326154"/>
  </r>
  <r>
    <n v="2500"/>
    <s v="Fortress"/>
    <s v="Tai Koo"/>
    <x v="39"/>
    <n v="3"/>
    <x v="9"/>
    <x v="124"/>
    <s v="RO座檯式冷熱飲水機"/>
    <s v="細電"/>
    <s v="KWH"/>
    <s v="w2265"/>
    <n v="1"/>
    <n v="3050"/>
    <n v="3050"/>
    <n v="1719745"/>
    <m/>
    <m/>
    <s v="TWP-W2265THK(W) 1719745"/>
    <n v="3480"/>
    <n v="0.87643678160919536"/>
    <s v="Shops Highest Price"/>
    <m/>
    <s v="1719745"/>
  </r>
  <r>
    <n v="2501"/>
    <s v="Fortress"/>
    <s v="Tai Koo"/>
    <x v="39"/>
    <n v="3"/>
    <x v="9"/>
    <x v="63"/>
    <s v="20L 智能蒸氣焗爐"/>
    <s v="細電"/>
    <s v="MCA"/>
    <s v="stq20"/>
    <n v="1"/>
    <n v="2100"/>
    <n v="2100"/>
    <n v="1719777"/>
    <m/>
    <m/>
    <s v="MS3-STQ20SC(WH) 1719777"/>
    <n v="2880"/>
    <n v="0.72916666666666663"/>
    <s v="Toshiba SRP"/>
    <m/>
    <s v="1719777"/>
  </r>
  <r>
    <n v="2502"/>
    <s v="Fortress"/>
    <s v="Tai Koo"/>
    <x v="39"/>
    <n v="3"/>
    <x v="9"/>
    <x v="31"/>
    <s v="無線雙層電熱水壺(1.7公升)"/>
    <s v="細電"/>
    <s v="SDA"/>
    <s v="17drt"/>
    <n v="1"/>
    <n v="388"/>
    <n v="388"/>
    <n v="1719824"/>
    <m/>
    <m/>
    <s v="KT-17DRTHK(H) 1719824"/>
    <n v="498"/>
    <n v="0.77911646586345384"/>
    <s v="Toshiba SRP"/>
    <m/>
    <s v="1719824"/>
  </r>
  <r>
    <n v="2503"/>
    <s v="Fortress"/>
    <s v="Tai Koo"/>
    <x v="39"/>
    <n v="3"/>
    <x v="9"/>
    <x v="77"/>
    <s v="470MM超薄身前置式變頻洗衣乾衣機 (洗8.5公斤/乾6公斤, 可飛頂)"/>
    <s v="大電"/>
    <s v="LAD"/>
    <s v="twdt22"/>
    <n v="1"/>
    <n v="4780"/>
    <n v="4780"/>
    <n v="1719865"/>
    <m/>
    <m/>
    <s v="TWD-T22BU95UWH(WK)-B 1719865"/>
    <n v="7480"/>
    <n v="0.63903743315508021"/>
    <s v="Toshiba SRP"/>
    <m/>
    <s v="1719865"/>
  </r>
  <r>
    <n v="2504"/>
    <s v="Fortress"/>
    <s v="Tai Koo"/>
    <x v="39"/>
    <n v="3"/>
    <x v="10"/>
    <x v="88"/>
    <s v="水波爐"/>
    <s v="細電"/>
    <s v="MCA"/>
    <s v="vd7000"/>
    <n v="1"/>
    <n v="6798"/>
    <n v="6798"/>
    <n v="1719938"/>
    <m/>
    <m/>
    <s v="ER-VD7000HK(XK) 1719938"/>
    <n v="8998"/>
    <n v="0.75550122249388751"/>
    <s v="Toshiba SRP"/>
    <m/>
    <s v="1719938"/>
  </r>
  <r>
    <n v="2505"/>
    <s v="Fortress"/>
    <s v="Tai Koo"/>
    <x v="39"/>
    <n v="3"/>
    <x v="10"/>
    <x v="124"/>
    <s v="RO座檯式冷熱飲水機"/>
    <s v="細電"/>
    <s v="KWH"/>
    <s v="w2265"/>
    <n v="1"/>
    <n v="3480"/>
    <n v="3480"/>
    <n v="1719937"/>
    <m/>
    <m/>
    <s v="TWP-W2265THK(W) 1719937"/>
    <n v="3480"/>
    <n v="1"/>
    <s v="Shops Highest Price"/>
    <m/>
    <s v="1719937"/>
  </r>
  <r>
    <n v="2506"/>
    <s v="Fortress"/>
    <s v="Tai Koo"/>
    <x v="39"/>
    <n v="3"/>
    <x v="10"/>
    <x v="31"/>
    <s v="無線雙層電熱水壺(1.7公升)"/>
    <s v="細電"/>
    <s v="SDA"/>
    <s v="17drt"/>
    <n v="1"/>
    <n v="388"/>
    <n v="388"/>
    <n v="1719980"/>
    <m/>
    <m/>
    <s v="KT-17DRTHK(H) 1719980"/>
    <n v="498"/>
    <n v="0.77911646586345384"/>
    <s v="Toshiba SRP"/>
    <m/>
    <s v="1719980"/>
  </r>
  <r>
    <n v="2507"/>
    <s v="Fortress"/>
    <s v="Tai Koo"/>
    <x v="39"/>
    <n v="3"/>
    <x v="10"/>
    <x v="21"/>
    <s v="壓縮式抽濕機 (30公升)"/>
    <s v="細電"/>
    <s v="RAC"/>
    <s v="d300"/>
    <n v="1"/>
    <n v="2580"/>
    <n v="2580"/>
    <n v="1719953"/>
    <m/>
    <m/>
    <s v="RAD-D300H 1719953"/>
    <n v="3380"/>
    <n v="0.76331360946745563"/>
    <s v="Shops Highest Price"/>
    <m/>
    <s v="1719953"/>
  </r>
  <r>
    <n v="2508"/>
    <s v="Fortress"/>
    <s v="Tai Koo"/>
    <x v="39"/>
    <n v="3"/>
    <x v="10"/>
    <x v="15"/>
    <s v="Induction Cooker"/>
    <s v="細電"/>
    <s v="SDA"/>
    <s v="21ts"/>
    <n v="1"/>
    <n v="798"/>
    <n v="798"/>
    <n v="1719979"/>
    <m/>
    <m/>
    <s v="IC-21TSHK 1719979"/>
    <n v="998"/>
    <n v="0.79959919839679361"/>
    <s v="Web SRP"/>
    <m/>
    <s v="1719979"/>
  </r>
  <r>
    <n v="2509"/>
    <s v="Fortress"/>
    <s v="Tai Koo"/>
    <x v="39"/>
    <n v="3"/>
    <x v="10"/>
    <x v="75"/>
    <s v="日式洗衣機 (8公斤 結合高低水位)"/>
    <s v="大電"/>
    <s v="LAD"/>
    <s v="q901"/>
    <n v="1"/>
    <n v="2280"/>
    <n v="2280"/>
    <n v="1719905"/>
    <m/>
    <m/>
    <s v="AW-Q901BPH(WW) 1719905"/>
    <n v="3780"/>
    <n v="0.60317460317460314"/>
    <s v="Toshiba SRP"/>
    <m/>
    <s v="1719905"/>
  </r>
  <r>
    <n v="2510"/>
    <s v="Fortress"/>
    <s v="Tai Koo"/>
    <x v="39"/>
    <n v="3"/>
    <x v="10"/>
    <x v="66"/>
    <s v="變頻下置式雙門雪櫃（163L）"/>
    <s v="大電"/>
    <s v="REF"/>
    <s v="rb221"/>
    <n v="1"/>
    <n v="2190"/>
    <n v="2190"/>
    <n v="1720063"/>
    <m/>
    <m/>
    <s v="GR-RB221WE-PMA(57) 1720063"/>
    <n v="3480"/>
    <n v="0.62931034482758619"/>
    <s v="Toshiba SRP"/>
    <m/>
    <s v="1720063"/>
  </r>
  <r>
    <n v="2511"/>
    <s v="Fortress"/>
    <s v="Tai Koo"/>
    <x v="39"/>
    <n v="3"/>
    <x v="10"/>
    <x v="17"/>
    <s v="4毫米厚釜電飯煲1L"/>
    <s v="細電"/>
    <s v="SDA"/>
    <s v="10nmf"/>
    <n v="1"/>
    <n v="719"/>
    <n v="719"/>
    <n v="1719914"/>
    <m/>
    <m/>
    <s v="RC-10NMFIH(WT) 1719914"/>
    <n v="898"/>
    <n v="0.80066815144766146"/>
    <s v="Toshiba SRP"/>
    <m/>
    <s v="1719914"/>
  </r>
  <r>
    <n v="2512"/>
    <s v="Fortress"/>
    <s v="Tai Koo"/>
    <x v="39"/>
    <n v="3"/>
    <x v="10"/>
    <x v="32"/>
    <s v="電熱水瓶3L"/>
    <s v="細電"/>
    <s v="SDA"/>
    <s v="30fl"/>
    <n v="1"/>
    <n v="489"/>
    <n v="489"/>
    <n v="1326226"/>
    <m/>
    <m/>
    <s v="PLK-30FLIH(WT) 1326226"/>
    <n v="658"/>
    <n v="0.74316109422492405"/>
    <s v="Toshiba SRP"/>
    <m/>
    <s v="1326226"/>
  </r>
  <r>
    <n v="2513"/>
    <s v="Fortress"/>
    <s v="Tai Koo"/>
    <x v="39"/>
    <n v="3"/>
    <x v="16"/>
    <x v="110"/>
    <s v="變頻六門雪櫃(451L)"/>
    <s v="大電"/>
    <s v="REF"/>
    <s v="rm598"/>
    <n v="1"/>
    <n v="10590"/>
    <n v="10590"/>
    <n v="1720169"/>
    <m/>
    <m/>
    <s v="GR-RM598WE-PGA(B3) 1720169"/>
    <n v="14980"/>
    <n v="0.70694259012016025"/>
    <s v="Toshiba SRP"/>
    <m/>
    <s v="1720169"/>
  </r>
  <r>
    <n v="2514"/>
    <s v="Fortress"/>
    <s v="Tai Koo"/>
    <x v="39"/>
    <n v="3"/>
    <x v="16"/>
    <x v="87"/>
    <s v="變頻式環保雙門雪櫃(233L)"/>
    <s v="大電"/>
    <s v="REF"/>
    <s v="rt300"/>
    <n v="1"/>
    <n v="2780"/>
    <n v="2780"/>
    <n v="1326253"/>
    <m/>
    <m/>
    <s v="GR-RT300WE-PMA(57) 1326253"/>
    <n v="4280"/>
    <n v="0.64953271028037385"/>
    <s v="Toshiba SRP"/>
    <m/>
    <s v="1326253"/>
  </r>
  <r>
    <n v="2515"/>
    <s v="Fortress"/>
    <s v="Tai Koo"/>
    <x v="39"/>
    <n v="3"/>
    <x v="16"/>
    <x v="87"/>
    <s v="變頻式環保雙門雪櫃(233L)"/>
    <s v="大電"/>
    <s v="REF"/>
    <s v="rt300"/>
    <n v="1"/>
    <n v="2780"/>
    <n v="2780"/>
    <n v="1720141"/>
    <m/>
    <m/>
    <s v="GR-RT300WE-PMA(57) 1720141"/>
    <n v="4280"/>
    <n v="0.64953271028037385"/>
    <s v="Toshiba SRP"/>
    <m/>
    <s v="1720141"/>
  </r>
  <r>
    <n v="2516"/>
    <s v="Fortress"/>
    <s v="Tai Koo"/>
    <x v="39"/>
    <n v="3"/>
    <x v="16"/>
    <x v="66"/>
    <s v="變頻下置式雙門雪櫃（163L）"/>
    <s v="大電"/>
    <s v="REF"/>
    <s v="rb221"/>
    <n v="1"/>
    <n v="2190"/>
    <n v="2190"/>
    <n v="1720268"/>
    <m/>
    <m/>
    <s v="GR-RB221WE-PMA(57) 1720268"/>
    <n v="3480"/>
    <n v="0.62931034482758619"/>
    <s v="Toshiba SRP"/>
    <m/>
    <s v="1720268"/>
  </r>
  <r>
    <n v="2517"/>
    <s v="Fortress"/>
    <s v="Tai Koo"/>
    <x v="39"/>
    <n v="3"/>
    <x v="16"/>
    <x v="36"/>
    <s v="輕觸式微波爐 (20公升)"/>
    <s v="細電"/>
    <s v="MCA"/>
    <s v="em20"/>
    <n v="1"/>
    <n v="598"/>
    <n v="598"/>
    <n v="1720086"/>
    <m/>
    <m/>
    <s v="MM2-EM20PC(WH) 1720086"/>
    <n v="788"/>
    <n v="0.75888324873096447"/>
    <s v="Toshiba SRP"/>
    <m/>
    <s v="1720086"/>
  </r>
  <r>
    <n v="2518"/>
    <s v="Fortress"/>
    <s v="Tai Koo"/>
    <x v="39"/>
    <n v="3"/>
    <x v="16"/>
    <x v="36"/>
    <s v="輕觸式微波爐 (20公升)"/>
    <s v="細電"/>
    <s v="MCA"/>
    <s v="em20"/>
    <n v="1"/>
    <n v="598"/>
    <n v="598"/>
    <n v="1720091"/>
    <m/>
    <m/>
    <s v="MM2-EM20PC(WH) 1720091"/>
    <n v="788"/>
    <n v="0.75888324873096447"/>
    <s v="Toshiba SRP"/>
    <m/>
    <s v="1720091"/>
  </r>
  <r>
    <n v="2519"/>
    <s v="Fortress"/>
    <s v="Tai Koo"/>
    <x v="39"/>
    <n v="3"/>
    <x v="16"/>
    <x v="36"/>
    <s v="輕觸式微波爐 (20公升)"/>
    <s v="細電"/>
    <s v="MCA"/>
    <s v="em20"/>
    <n v="1"/>
    <n v="598"/>
    <n v="598"/>
    <n v="1720158"/>
    <m/>
    <m/>
    <s v="MM2-EM20PC(WH) 1720158"/>
    <n v="788"/>
    <n v="0.75888324873096447"/>
    <s v="Toshiba SRP"/>
    <m/>
    <s v="1720158"/>
  </r>
  <r>
    <n v="2520"/>
    <s v="Fortress"/>
    <s v="Tai Koo"/>
    <x v="39"/>
    <n v="3"/>
    <x v="16"/>
    <x v="57"/>
    <s v="多功能備長炭本厚釜電飯煲1L"/>
    <s v="細電"/>
    <s v="SDA"/>
    <s v="10drnh"/>
    <n v="1"/>
    <n v="499"/>
    <n v="499"/>
    <n v="1720205"/>
    <m/>
    <m/>
    <s v="RC-10DRNH 1720205"/>
    <n v="798"/>
    <n v="0.62531328320802004"/>
    <s v="Toshiba SRP"/>
    <m/>
    <s v="1720205"/>
  </r>
  <r>
    <n v="2521"/>
    <s v="Fortress"/>
    <s v="Tai Koo"/>
    <x v="39"/>
    <n v="3"/>
    <x v="16"/>
    <x v="9"/>
    <s v="電熱水瓶4.5L"/>
    <s v="細電"/>
    <s v="SDA"/>
    <s v="45sf"/>
    <n v="1"/>
    <n v="589"/>
    <n v="589"/>
    <n v="1720116"/>
    <m/>
    <m/>
    <s v="PLK-45SFIH(WT) 1720116"/>
    <n v="788"/>
    <n v="0.7474619289340102"/>
    <s v="Toshiba SRP"/>
    <m/>
    <s v="1720116"/>
  </r>
  <r>
    <n v="2522"/>
    <s v="Fortress"/>
    <s v="Tai Koo"/>
    <x v="39"/>
    <n v="3"/>
    <x v="16"/>
    <x v="44"/>
    <s v="1.7L無線雙層電熱水壺"/>
    <s v="細電"/>
    <s v="SDA"/>
    <s v="17shnh"/>
    <n v="1"/>
    <n v="198"/>
    <n v="198"/>
    <n v="1720158"/>
    <m/>
    <m/>
    <s v="KT-17SHNH 1720158"/>
    <n v="299"/>
    <n v="0.66220735785953178"/>
    <s v="Shops Highest Price"/>
    <m/>
    <s v="1720158"/>
  </r>
  <r>
    <n v="2523"/>
    <s v="Fortress"/>
    <s v="Tai Koo"/>
    <x v="39"/>
    <n v="3"/>
    <x v="16"/>
    <x v="74"/>
    <s v="4合1氣炸微波蒸焗爐(25公升)"/>
    <s v="細電"/>
    <s v="MCA"/>
    <s v="str25"/>
    <n v="1"/>
    <n v="3580"/>
    <n v="3580"/>
    <n v="1720232"/>
    <m/>
    <m/>
    <s v="MX2-STR25SC(WH) 1720232"/>
    <n v="4998"/>
    <n v="0.71628651460584236"/>
    <s v="Toshiba SRP"/>
    <m/>
    <s v="1720232"/>
  </r>
  <r>
    <n v="2524"/>
    <s v="Fortress"/>
    <s v="Tai Koo"/>
    <x v="39"/>
    <n v="3"/>
    <x v="16"/>
    <x v="48"/>
    <s v="3合1 微波蒸焗爐 (20公升)"/>
    <s v="細電"/>
    <s v="MCA"/>
    <s v="tt20"/>
    <n v="1"/>
    <n v="2580"/>
    <n v="2580"/>
    <n v="1720092"/>
    <m/>
    <m/>
    <s v="MX2-TT20SC(WH) 1720092"/>
    <n v="3580"/>
    <n v="0.72067039106145248"/>
    <s v="Toshiba SRP"/>
    <m/>
    <s v="1720092"/>
  </r>
  <r>
    <n v="2525"/>
    <s v="Fortress"/>
    <s v="Tai Koo"/>
    <x v="39"/>
    <n v="3"/>
    <x v="3"/>
    <x v="78"/>
    <s v="變頻式環保雙門雪櫃（179L）"/>
    <s v="大電"/>
    <s v="REF"/>
    <s v="rt234"/>
    <n v="1"/>
    <n v="1980"/>
    <n v="1980"/>
    <n v="1720443"/>
    <m/>
    <m/>
    <s v="GR-RT234WE-PMA(57) 1720443"/>
    <n v="3680"/>
    <n v="0.53804347826086951"/>
    <s v="Toshiba SRP"/>
    <m/>
    <s v="1720443"/>
  </r>
  <r>
    <n v="2526"/>
    <s v="Fortress"/>
    <s v="Tai Koo"/>
    <x v="39"/>
    <n v="3"/>
    <x v="3"/>
    <x v="66"/>
    <s v="變頻下置式雙門雪櫃（163L）"/>
    <s v="大電"/>
    <s v="REF"/>
    <s v="rb221"/>
    <n v="1"/>
    <n v="2180"/>
    <n v="2180"/>
    <n v="1720357"/>
    <m/>
    <m/>
    <s v="GR-RB221WE-PMA(57) 1720357"/>
    <n v="3480"/>
    <n v="0.62643678160919536"/>
    <s v="Toshiba SRP"/>
    <m/>
    <s v="1720357"/>
  </r>
  <r>
    <n v="2527"/>
    <s v="Fortress"/>
    <s v="Tai Koo"/>
    <x v="39"/>
    <n v="3"/>
    <x v="3"/>
    <x v="96"/>
    <s v="日式洗衣機 (7公斤 結合高低水位)"/>
    <s v="大電"/>
    <s v="LAD"/>
    <s v="q800"/>
    <n v="1"/>
    <n v="2080"/>
    <n v="2080"/>
    <n v="1720677"/>
    <m/>
    <m/>
    <s v="AW-Q800APH(WW) 1720677"/>
    <n v="3580"/>
    <n v="0.58100558659217882"/>
    <s v="Toshiba SRP"/>
    <m/>
    <s v="1720677"/>
  </r>
  <r>
    <n v="2528"/>
    <s v="Fortress"/>
    <s v="Tai Koo"/>
    <x v="39"/>
    <n v="3"/>
    <x v="3"/>
    <x v="50"/>
    <s v="輕便式電磁爐7個功能"/>
    <s v="細電"/>
    <s v="SDA"/>
    <s v="s19"/>
    <n v="1"/>
    <n v="418"/>
    <n v="418"/>
    <n v="1720295"/>
    <m/>
    <m/>
    <s v="IC-S19RH 1720295"/>
    <n v="638"/>
    <n v="0.65517241379310343"/>
    <s v="Toshiba SRP"/>
    <m/>
    <s v="1720295"/>
  </r>
  <r>
    <n v="2529"/>
    <s v="Fortress"/>
    <s v="Tai Koo"/>
    <x v="39"/>
    <n v="3"/>
    <x v="3"/>
    <x v="74"/>
    <s v="4合1氣炸微波蒸焗爐(25公升)"/>
    <s v="細電"/>
    <s v="MCA"/>
    <s v="str25"/>
    <n v="1"/>
    <n v="3580"/>
    <n v="3580"/>
    <n v="1720378"/>
    <m/>
    <m/>
    <s v="MX2-STR25SC(WH) 1720378"/>
    <n v="4998"/>
    <n v="0.71628651460584236"/>
    <s v="Toshiba SRP"/>
    <m/>
    <s v="1720378"/>
  </r>
  <r>
    <n v="2530"/>
    <s v="Fortress"/>
    <s v="Tai Koo"/>
    <x v="39"/>
    <n v="3"/>
    <x v="3"/>
    <x v="102"/>
    <s v="變頻頂揭式洗衣機 (8公斤)"/>
    <s v="大電"/>
    <s v="LAD"/>
    <s v="cfk01w80"/>
    <n v="1"/>
    <n v="3690"/>
    <n v="3690"/>
    <n v="1720593"/>
    <m/>
    <m/>
    <s v="CFK01W80 1720593"/>
    <n v="3690"/>
    <n v="1"/>
    <s v="Shops Highest Price"/>
    <m/>
    <s v="1720593"/>
  </r>
  <r>
    <n v="2531"/>
    <s v="Fortress"/>
    <s v="Tai Koo"/>
    <x v="39"/>
    <n v="3"/>
    <x v="3"/>
    <x v="37"/>
    <s v="電熱水瓶 (5公升)"/>
    <s v="細電"/>
    <s v="SDA"/>
    <s v="50dr"/>
    <n v="1"/>
    <n v="598"/>
    <n v="598"/>
    <n v="1326305"/>
    <m/>
    <m/>
    <s v="TP-50DRUHK(W) 1326305"/>
    <n v="718"/>
    <n v="0.83286908077994426"/>
    <s v="Toshiba SRP"/>
    <m/>
    <s v="1326305"/>
  </r>
  <r>
    <n v="2532"/>
    <s v="Fortress"/>
    <s v="Tai Koo"/>
    <x v="39"/>
    <n v="3"/>
    <x v="3"/>
    <x v="57"/>
    <s v="多功能備長炭本厚釜電飯煲1L"/>
    <s v="細電"/>
    <s v="SDA"/>
    <s v="10drnh"/>
    <n v="1"/>
    <n v="499"/>
    <n v="499"/>
    <n v="1720718"/>
    <m/>
    <m/>
    <s v="RC-10DRNH 1720718"/>
    <n v="798"/>
    <n v="0.62531328320802004"/>
    <s v="Toshiba SRP"/>
    <m/>
    <s v="1720718"/>
  </r>
  <r>
    <n v="2533"/>
    <s v="Fortress"/>
    <s v="Tai Koo"/>
    <x v="39"/>
    <n v="3"/>
    <x v="3"/>
    <x v="48"/>
    <s v="3合1 微波蒸焗爐 (20公升)"/>
    <s v="細電"/>
    <s v="MCA"/>
    <s v="tt20"/>
    <n v="1"/>
    <n v="2580"/>
    <n v="2580"/>
    <n v="1720664"/>
    <m/>
    <m/>
    <s v="MX2-TT20SC(WH) 1720664"/>
    <n v="3580"/>
    <n v="0.72067039106145248"/>
    <s v="Toshiba SRP"/>
    <m/>
    <s v="1720664"/>
  </r>
  <r>
    <n v="2534"/>
    <s v="Fortress"/>
    <s v="Tai Koo"/>
    <x v="39"/>
    <n v="3"/>
    <x v="3"/>
    <x v="48"/>
    <s v="3合1 微波蒸焗爐 (20公升)"/>
    <s v="細電"/>
    <s v="MCA"/>
    <s v="tt20"/>
    <n v="1"/>
    <n v="2580"/>
    <n v="2580"/>
    <n v="1720675"/>
    <m/>
    <m/>
    <s v="MX2-TT20SC(WH) 1720675"/>
    <n v="3580"/>
    <n v="0.72067039106145248"/>
    <s v="Toshiba SRP"/>
    <m/>
    <s v="1720675"/>
  </r>
  <r>
    <n v="2535"/>
    <s v="Fortress"/>
    <s v="Tai Koo"/>
    <x v="39"/>
    <n v="3"/>
    <x v="3"/>
    <x v="74"/>
    <s v="4合1氣炸微波蒸焗爐(25公升)"/>
    <s v="細電"/>
    <s v="MCA"/>
    <s v="str25"/>
    <n v="1"/>
    <n v="3580"/>
    <n v="3580"/>
    <n v="1720710"/>
    <m/>
    <m/>
    <s v="MX2-STR25SC(WH) 1720710"/>
    <n v="4998"/>
    <n v="0.71628651460584236"/>
    <s v="Toshiba SRP"/>
    <m/>
    <s v="1720710"/>
  </r>
  <r>
    <n v="2536"/>
    <s v="Fortress"/>
    <s v="Tai Koo"/>
    <x v="39"/>
    <n v="3"/>
    <x v="3"/>
    <x v="74"/>
    <s v="4合1氣炸微波蒸焗爐(25公升)"/>
    <s v="細電"/>
    <s v="MCA"/>
    <s v="str25"/>
    <n v="1"/>
    <n v="3580"/>
    <n v="3580"/>
    <n v="1326322"/>
    <m/>
    <m/>
    <s v="MX2-STR25SC(WH) 1326322"/>
    <n v="4998"/>
    <n v="0.71628651460584236"/>
    <s v="Toshiba SRP"/>
    <m/>
    <s v="1326322"/>
  </r>
  <r>
    <n v="2537"/>
    <s v="Fortress"/>
    <s v="Tai Koo"/>
    <x v="39"/>
    <n v="3"/>
    <x v="3"/>
    <x v="37"/>
    <s v="電熱水瓶 (5公升)"/>
    <s v="細電"/>
    <s v="SDA"/>
    <s v="50dr"/>
    <n v="1"/>
    <n v="598"/>
    <n v="598"/>
    <n v="1720677"/>
    <m/>
    <m/>
    <s v="TP-50DRUHK(W) 1720677"/>
    <n v="718"/>
    <n v="0.83286908077994426"/>
    <s v="Toshiba SRP"/>
    <m/>
    <s v="1720677"/>
  </r>
  <r>
    <n v="2538"/>
    <s v="Fortress"/>
    <s v="Tai Koo"/>
    <x v="39"/>
    <n v="3"/>
    <x v="3"/>
    <x v="31"/>
    <s v="無線雙層電熱水壺(1.7公升)"/>
    <s v="細電"/>
    <s v="SDA"/>
    <s v="17drt"/>
    <n v="1"/>
    <n v="388"/>
    <n v="388"/>
    <n v="1720688"/>
    <m/>
    <m/>
    <s v="KT-17DRTHK(H) 1720688"/>
    <n v="498"/>
    <n v="0.77911646586345384"/>
    <s v="Toshiba SRP"/>
    <m/>
    <s v="1720688"/>
  </r>
  <r>
    <n v="2539"/>
    <s v="Fortress"/>
    <s v="Tai Koo"/>
    <x v="39"/>
    <n v="3"/>
    <x v="3"/>
    <x v="39"/>
    <s v="酵活炊電飯煲(1.0公升)"/>
    <s v="細電"/>
    <s v="SDA"/>
    <s v="10amx"/>
    <n v="1"/>
    <n v="990"/>
    <n v="990"/>
    <n v="1720688"/>
    <m/>
    <m/>
    <s v="RC-10AMXH(W) 1720688"/>
    <n v="1288"/>
    <n v="0.76863354037267084"/>
    <s v="Toshiba SRP"/>
    <m/>
    <s v="1720688"/>
  </r>
  <r>
    <n v="2540"/>
    <s v="Fortress"/>
    <s v="Tai Koo"/>
    <x v="39"/>
    <n v="3"/>
    <x v="3"/>
    <x v="96"/>
    <s v="日式洗衣機 (7公斤 結合高低水位)"/>
    <s v="大電"/>
    <s v="LAD"/>
    <s v="q800"/>
    <n v="1"/>
    <n v="2080"/>
    <n v="2080"/>
    <n v="1720375"/>
    <m/>
    <m/>
    <s v="AW-Q800APH(WW) 1720375"/>
    <n v="3580"/>
    <n v="0.58100558659217882"/>
    <s v="Toshiba SRP"/>
    <m/>
    <s v="1720375"/>
  </r>
  <r>
    <n v="2541"/>
    <s v="Fortress"/>
    <s v="Tai Koo"/>
    <x v="39"/>
    <n v="3"/>
    <x v="3"/>
    <x v="27"/>
    <s v="4毫米厚釜電飯煲1.8L"/>
    <s v="細電"/>
    <s v="SDA"/>
    <s v="18nmf"/>
    <n v="1"/>
    <n v="799"/>
    <n v="799"/>
    <n v="1720772"/>
    <m/>
    <m/>
    <s v="RC-18NMFIH(WT) 1720772"/>
    <n v="998"/>
    <n v="0.80060120240480959"/>
    <s v="Toshiba SRP"/>
    <m/>
    <s v="1720772"/>
  </r>
  <r>
    <n v="2542"/>
    <s v="Fortress"/>
    <s v="Tai Koo"/>
    <x v="39"/>
    <n v="3"/>
    <x v="3"/>
    <x v="53"/>
    <s v="IH磁應電飯煲"/>
    <s v="細電"/>
    <s v="SDA"/>
    <s v="dr10t"/>
    <n v="1"/>
    <n v="2380"/>
    <n v="2380"/>
    <n v="1720782"/>
    <m/>
    <m/>
    <s v="RC-DR10T(R) 1720782"/>
    <n v="3188"/>
    <n v="0.74654956085319946"/>
    <s v="Toshiba SRP"/>
    <m/>
    <s v="1720782"/>
  </r>
  <r>
    <n v="2543"/>
    <s v="Fortress"/>
    <s v="Tai Koo"/>
    <x v="39"/>
    <n v="3"/>
    <x v="3"/>
    <x v="51"/>
    <s v="IH磁應電飯煲"/>
    <s v="細電"/>
    <s v="SDA"/>
    <s v="dr10tw"/>
    <n v="1"/>
    <n v="2380"/>
    <n v="2380"/>
    <n v="1720703"/>
    <m/>
    <m/>
    <s v="RC-DR10T(W) 1720703"/>
    <n v="3188"/>
    <n v="0.74654956085319946"/>
    <s v="Toshiba SRP"/>
    <m/>
    <s v="1720703"/>
  </r>
  <r>
    <n v="2544"/>
    <s v="Fortress"/>
    <s v="Tai Koo"/>
    <x v="39"/>
    <n v="3"/>
    <x v="3"/>
    <x v="31"/>
    <s v="無線雙層電熱水壺(1.7公升)"/>
    <s v="細電"/>
    <s v="SDA"/>
    <s v="17drt"/>
    <n v="1"/>
    <n v="388"/>
    <n v="388"/>
    <n v="1720764"/>
    <m/>
    <m/>
    <s v="KT-17DRTHK(H) 1720764"/>
    <n v="498"/>
    <n v="0.77911646586345384"/>
    <s v="Toshiba SRP"/>
    <m/>
    <s v="1720764"/>
  </r>
  <r>
    <n v="2545"/>
    <s v="Fortress"/>
    <s v="Tai Koo"/>
    <x v="39"/>
    <n v="3"/>
    <x v="3"/>
    <x v="52"/>
    <s v="35L多功能電焗爐"/>
    <s v="細電"/>
    <s v="SDA"/>
    <s v="mc35"/>
    <n v="1"/>
    <n v="888"/>
    <n v="888"/>
    <n v="1720711"/>
    <m/>
    <m/>
    <s v="TL-MC35Z 1720711"/>
    <n v="1098"/>
    <n v="0.80874316939890711"/>
    <s v="Toshiba SRP"/>
    <m/>
    <s v="1720711"/>
  </r>
  <r>
    <n v="2546"/>
    <s v="Fortress"/>
    <s v="Tai Koo"/>
    <x v="39"/>
    <n v="3"/>
    <x v="4"/>
    <x v="52"/>
    <s v="35L多功能電焗爐"/>
    <s v="細電"/>
    <s v="SDA"/>
    <s v="mc35"/>
    <n v="1"/>
    <n v="888"/>
    <n v="888"/>
    <n v="1326385"/>
    <m/>
    <m/>
    <s v="TL-MC35Z 1326385"/>
    <n v="1098"/>
    <n v="0.80874316939890711"/>
    <s v="Toshiba SRP"/>
    <m/>
    <s v="1326385"/>
  </r>
  <r>
    <n v="2547"/>
    <s v="Fortress"/>
    <s v="Tai Koo"/>
    <x v="39"/>
    <n v="3"/>
    <x v="4"/>
    <x v="56"/>
    <s v="多士焗爐8L"/>
    <s v="細電"/>
    <s v="SDA"/>
    <n v="7080"/>
    <n v="1"/>
    <n v="358"/>
    <n v="358"/>
    <n v="1326440"/>
    <m/>
    <m/>
    <s v="ET-TD7080(PN) 1326440"/>
    <n v="498"/>
    <n v="0.71887550200803207"/>
    <s v="Toshiba SRP"/>
    <m/>
    <s v="1326440"/>
  </r>
  <r>
    <n v="2548"/>
    <s v="Fortress"/>
    <s v="Tai Koo"/>
    <x v="39"/>
    <n v="3"/>
    <x v="4"/>
    <x v="105"/>
    <s v="旋鈕式燒烤微波爐20L黑色"/>
    <s v="細電"/>
    <s v="SDA"/>
    <s v="mg20"/>
    <n v="1"/>
    <n v="698"/>
    <n v="698"/>
    <n v="1326452"/>
    <m/>
    <m/>
    <s v="MWP-MG20P(BK) 1326452"/>
    <n v="918"/>
    <n v="0.76034858387799564"/>
    <s v="Toshiba SRP"/>
    <m/>
    <s v="1326452"/>
  </r>
  <r>
    <n v="2549"/>
    <s v="Fortress"/>
    <s v="Tai Koo"/>
    <x v="39"/>
    <n v="3"/>
    <x v="4"/>
    <x v="34"/>
    <s v="智能氣炸烤焗爐(24公升)"/>
    <s v="細電"/>
    <s v="MCA"/>
    <s v="sac24"/>
    <n v="1"/>
    <n v="1320"/>
    <n v="1320"/>
    <n v="1720874"/>
    <m/>
    <m/>
    <s v="MW3-SAC24SE(BK) 1720874"/>
    <n v="1680"/>
    <n v="0.7857142857142857"/>
    <s v="Toshiba SRP"/>
    <m/>
    <s v="1720874"/>
  </r>
  <r>
    <n v="2550"/>
    <s v="Fortress"/>
    <s v="Tai Koo"/>
    <x v="39"/>
    <n v="3"/>
    <x v="4"/>
    <x v="24"/>
    <s v="微型電腦珍珠飯煲"/>
    <s v="細電"/>
    <s v="SDA"/>
    <s v="5sli"/>
    <n v="1"/>
    <n v="593"/>
    <n v="593"/>
    <n v="1720948"/>
    <m/>
    <m/>
    <s v="RC-5SLIH(W) 1720948"/>
    <n v="658"/>
    <n v="0.90121580547112456"/>
    <s v="Toshiba SRP"/>
    <m/>
    <s v="1720948"/>
  </r>
  <r>
    <n v="2551"/>
    <s v="Fortress"/>
    <s v="Tai Koo"/>
    <x v="39"/>
    <n v="3"/>
    <x v="4"/>
    <x v="17"/>
    <s v="4毫米厚釜電飯煲1L"/>
    <s v="細電"/>
    <s v="SDA"/>
    <s v="10nmf"/>
    <n v="1"/>
    <n v="719"/>
    <n v="719"/>
    <n v="1720871"/>
    <m/>
    <m/>
    <s v="RC-10NMFIH(WT) 1720871"/>
    <n v="898"/>
    <n v="0.80066815144766146"/>
    <s v="Toshiba SRP"/>
    <m/>
    <s v="1720871"/>
  </r>
  <r>
    <n v="2552"/>
    <s v="Fortress"/>
    <s v="Tai Koo"/>
    <x v="39"/>
    <n v="3"/>
    <x v="4"/>
    <x v="57"/>
    <s v="多功能備長炭本厚釜電飯煲1L"/>
    <s v="細電"/>
    <s v="SDA"/>
    <s v="10drnh"/>
    <n v="1"/>
    <n v="549"/>
    <n v="549"/>
    <n v="1720909"/>
    <m/>
    <m/>
    <s v="RC-10DRNH 1720909"/>
    <n v="798"/>
    <n v="0.68796992481203012"/>
    <s v="Toshiba SRP"/>
    <m/>
    <s v="1720909"/>
  </r>
  <r>
    <n v="2553"/>
    <s v="Fortress"/>
    <s v="Tai Koo"/>
    <x v="39"/>
    <n v="3"/>
    <x v="4"/>
    <x v="55"/>
    <s v="真空壓力磁應電飯煲(1.8公升)"/>
    <s v="細電"/>
    <s v="SDA"/>
    <s v="dx18t"/>
    <n v="1"/>
    <n v="4948"/>
    <n v="4948"/>
    <n v="1720960"/>
    <m/>
    <m/>
    <s v="RC-DX18T(W) 1720960"/>
    <n v="6388"/>
    <n v="0.77457733249843452"/>
    <s v="Toshiba SRP"/>
    <m/>
    <s v="1720960"/>
  </r>
  <r>
    <n v="2554"/>
    <s v="Fortress"/>
    <s v="Tai Koo"/>
    <x v="39"/>
    <n v="3"/>
    <x v="4"/>
    <x v="48"/>
    <s v="3合1 微波蒸焗爐 (20公升)"/>
    <s v="細電"/>
    <s v="MCA"/>
    <s v="tt20"/>
    <n v="1"/>
    <n v="2580"/>
    <n v="2580"/>
    <n v="1326428"/>
    <m/>
    <m/>
    <s v="MX2-TT20SC(WH) 1326428"/>
    <n v="3580"/>
    <n v="0.72067039106145248"/>
    <s v="Toshiba SRP"/>
    <m/>
    <s v="1326428"/>
  </r>
  <r>
    <n v="2555"/>
    <s v="Fortress"/>
    <s v="Tai Koo"/>
    <x v="39"/>
    <n v="3"/>
    <x v="14"/>
    <x v="71"/>
    <s v="輕觸式平板燒烤微波爐 (26公升)"/>
    <s v="細電"/>
    <s v="MCA"/>
    <s v="eg26"/>
    <n v="1"/>
    <n v="998"/>
    <n v="998"/>
    <n v="1721077"/>
    <m/>
    <m/>
    <s v="MV2-EG26PEI(BK) 1721077"/>
    <n v="1180"/>
    <n v="0.84576271186440677"/>
    <s v="Toshiba SRP"/>
    <m/>
    <s v="1721077"/>
  </r>
  <r>
    <n v="2556"/>
    <s v="Fortress"/>
    <s v="Tai Koo"/>
    <x v="39"/>
    <n v="3"/>
    <x v="14"/>
    <x v="39"/>
    <s v="酵活炊電飯煲(1.0公升)"/>
    <s v="細電"/>
    <s v="SDA"/>
    <s v="10amx"/>
    <n v="1"/>
    <n v="990"/>
    <n v="990"/>
    <n v="1721056"/>
    <m/>
    <m/>
    <s v="RC-10AMXH(W) 1721056"/>
    <n v="1288"/>
    <n v="0.76863354037267084"/>
    <s v="Toshiba SRP"/>
    <m/>
    <s v="1721056"/>
  </r>
  <r>
    <n v="2557"/>
    <s v="Fortress"/>
    <s v="Tai Koo"/>
    <x v="39"/>
    <n v="3"/>
    <x v="14"/>
    <x v="32"/>
    <s v="電熱水瓶3L"/>
    <s v="細電"/>
    <s v="SDA"/>
    <s v="30fl"/>
    <n v="1"/>
    <n v="489"/>
    <n v="489"/>
    <n v="1721057"/>
    <m/>
    <m/>
    <s v="PLK-30FLIH(WT) 1721057"/>
    <n v="658"/>
    <n v="0.74316109422492405"/>
    <s v="Toshiba SRP"/>
    <m/>
    <s v="1721057"/>
  </r>
  <r>
    <n v="2558"/>
    <s v="Fortress"/>
    <s v="Tai Koo"/>
    <x v="39"/>
    <n v="3"/>
    <x v="14"/>
    <x v="27"/>
    <s v="4毫米厚釜電飯煲1.8L"/>
    <s v="細電"/>
    <s v="SDA"/>
    <s v="18nmf"/>
    <n v="1"/>
    <n v="799"/>
    <n v="799"/>
    <n v="1721157"/>
    <m/>
    <m/>
    <s v="RC-18NMFIH(WT) 1721157"/>
    <n v="998"/>
    <n v="0.80060120240480959"/>
    <s v="Toshiba SRP"/>
    <m/>
    <s v="1721157"/>
  </r>
  <r>
    <n v="2559"/>
    <s v="Fortress"/>
    <s v="Tai Koo"/>
    <x v="39"/>
    <n v="3"/>
    <x v="14"/>
    <x v="66"/>
    <s v="變頻下置式雙門雪櫃（163L）"/>
    <s v="大電"/>
    <s v="REF"/>
    <s v="rb221"/>
    <n v="1"/>
    <n v="1880"/>
    <n v="1880"/>
    <n v="1721043"/>
    <m/>
    <m/>
    <s v="GR-RB221WE-PMA(57) 1721043"/>
    <n v="3480"/>
    <n v="0.54022988505747127"/>
    <s v="Toshiba SRP"/>
    <m/>
    <s v="1721043"/>
  </r>
  <r>
    <n v="2560"/>
    <s v="Fortress"/>
    <s v="Tai Koo"/>
    <x v="39"/>
    <n v="3"/>
    <x v="14"/>
    <x v="66"/>
    <s v="變頻下置式雙門雪櫃（163L）"/>
    <s v="大電"/>
    <s v="REF"/>
    <s v="rb221"/>
    <n v="1"/>
    <n v="1880"/>
    <n v="1880"/>
    <n v="1721158"/>
    <m/>
    <m/>
    <s v="GR-RB221WE-PMA(57) 1721158"/>
    <n v="3480"/>
    <n v="0.54022988505747127"/>
    <s v="Toshiba SRP"/>
    <m/>
    <s v="1721158"/>
  </r>
  <r>
    <n v="2561"/>
    <s v="Fortress"/>
    <s v="Tai Koo"/>
    <x v="39"/>
    <n v="3"/>
    <x v="14"/>
    <x v="21"/>
    <s v="壓縮式抽濕機 (30公升)"/>
    <s v="細電"/>
    <s v="RAC"/>
    <s v="d300"/>
    <n v="1"/>
    <n v="2280"/>
    <n v="2280"/>
    <n v="1511279"/>
    <m/>
    <m/>
    <s v="RAD-D300H 1511279"/>
    <n v="3380"/>
    <n v="0.67455621301775148"/>
    <s v="Shops Highest Price"/>
    <m/>
    <s v="1511279"/>
  </r>
  <r>
    <n v="2562"/>
    <s v="Fortress"/>
    <s v="Tai Koo"/>
    <x v="39"/>
    <n v="3"/>
    <x v="14"/>
    <x v="50"/>
    <s v="輕便式電磁爐7個功能"/>
    <s v="細電"/>
    <s v="SDA"/>
    <s v="s19"/>
    <n v="1"/>
    <n v="418"/>
    <n v="418"/>
    <n v="1721146"/>
    <m/>
    <m/>
    <s v="IC-S19RH 1721146"/>
    <n v="638"/>
    <n v="0.65517241379310343"/>
    <s v="Toshiba SRP"/>
    <m/>
    <s v="1721146"/>
  </r>
  <r>
    <n v="2563"/>
    <s v="Fortress"/>
    <s v="Tai Koo"/>
    <x v="39"/>
    <n v="3"/>
    <x v="15"/>
    <x v="136"/>
    <s v="單門直冷式環保雪櫃44L"/>
    <s v="大電"/>
    <s v="REF"/>
    <s v="h713"/>
    <n v="1"/>
    <n v="1420"/>
    <n v="1420"/>
    <n v="1326504"/>
    <m/>
    <m/>
    <s v="GR-H713(WH) 1326504"/>
    <n v="1780"/>
    <n v="0.797752808988764"/>
    <s v="Toshiba SRP"/>
    <m/>
    <s v="1326504"/>
  </r>
  <r>
    <n v="2564"/>
    <s v="Fortress"/>
    <s v="Tai Koo"/>
    <x v="39"/>
    <n v="3"/>
    <x v="15"/>
    <x v="56"/>
    <s v="多士焗爐8L"/>
    <s v="細電"/>
    <s v="SDA"/>
    <n v="7080"/>
    <n v="1"/>
    <n v="338"/>
    <n v="338"/>
    <n v="1326635"/>
    <m/>
    <m/>
    <s v="ET-TD7080(PN) 1326635"/>
    <n v="498"/>
    <n v="0.67871485943775101"/>
    <s v="Toshiba SRP"/>
    <m/>
    <s v="1326635"/>
  </r>
  <r>
    <n v="2565"/>
    <s v="Fortress"/>
    <s v="Tai Koo"/>
    <x v="39"/>
    <n v="3"/>
    <x v="15"/>
    <x v="102"/>
    <s v="變頻頂揭式洗衣機 (8公斤)"/>
    <s v="大電"/>
    <s v="LAD"/>
    <s v="cfk01w80"/>
    <n v="1"/>
    <n v="3690"/>
    <n v="3690"/>
    <n v="1326538"/>
    <m/>
    <m/>
    <s v="CFK01W80 1326538"/>
    <n v="3690"/>
    <n v="1"/>
    <s v="Shops Highest Price"/>
    <m/>
    <s v="1326538"/>
  </r>
  <r>
    <n v="2566"/>
    <s v="Fortress"/>
    <s v="Tai Koo"/>
    <x v="39"/>
    <n v="3"/>
    <x v="15"/>
    <x v="7"/>
    <s v="4毫米厚釜電飯煲0.54L"/>
    <s v="細電"/>
    <s v="SDA"/>
    <s v="5mm"/>
    <n v="1"/>
    <n v="557"/>
    <n v="557"/>
    <n v="1721297"/>
    <m/>
    <m/>
    <s v="RC-5MMIH(WT) 1721297"/>
    <n v="618"/>
    <n v="0.90129449838187703"/>
    <s v="Toshiba SRP"/>
    <m/>
    <s v="1721297"/>
  </r>
  <r>
    <n v="2567"/>
    <s v="Fortress"/>
    <s v="Tai Koo"/>
    <x v="39"/>
    <n v="3"/>
    <x v="17"/>
    <x v="93"/>
    <s v="座檯式洗碗碟機"/>
    <s v="細電"/>
    <s v="DW"/>
    <s v="05t2"/>
    <n v="1"/>
    <n v="3780"/>
    <n v="3780"/>
    <n v="1326591"/>
    <m/>
    <m/>
    <s v="DW-05T2-HK 1326591"/>
    <n v="4580"/>
    <n v="0.8253275109170306"/>
    <s v="Toshiba SRP"/>
    <m/>
    <s v="1326591"/>
  </r>
  <r>
    <n v="2568"/>
    <s v="Fortress"/>
    <s v="Tai Koo"/>
    <x v="39"/>
    <n v="3"/>
    <x v="17"/>
    <x v="32"/>
    <s v="電熱水瓶3L"/>
    <s v="細電"/>
    <s v="SDA"/>
    <s v="30fl"/>
    <n v="1"/>
    <n v="489"/>
    <n v="489"/>
    <n v="1721467"/>
    <m/>
    <m/>
    <s v="PLK-30FLIH(WT) 1721467"/>
    <n v="658"/>
    <n v="0.74316109422492405"/>
    <s v="Toshiba SRP"/>
    <m/>
    <s v="1721467"/>
  </r>
  <r>
    <n v="2569"/>
    <s v="Fortress"/>
    <s v="Tai Koo"/>
    <x v="39"/>
    <n v="3"/>
    <x v="17"/>
    <x v="38"/>
    <s v="無線雙層電熱水壺-附可鎖壺蓋"/>
    <s v="細電"/>
    <s v="SDA"/>
    <s v="15drt"/>
    <n v="1"/>
    <n v="358"/>
    <n v="358"/>
    <n v="1326657"/>
    <m/>
    <m/>
    <s v="KT-15DRTHK(W) 1326657"/>
    <n v="598"/>
    <n v="0.59866220735785958"/>
    <s v="Toshiba SRP"/>
    <m/>
    <s v="1326657"/>
  </r>
  <r>
    <n v="2570"/>
    <s v="Fortress"/>
    <s v="Tai Koo"/>
    <x v="39"/>
    <n v="3"/>
    <x v="17"/>
    <x v="31"/>
    <s v="無線雙層電熱水壺(1.7公升)"/>
    <s v="細電"/>
    <s v="SDA"/>
    <s v="17drt"/>
    <n v="1"/>
    <n v="388"/>
    <n v="388"/>
    <n v="1721468"/>
    <m/>
    <m/>
    <s v="KT-17DRTHK(H) 1721468"/>
    <n v="498"/>
    <n v="0.77911646586345384"/>
    <s v="Toshiba SRP"/>
    <m/>
    <s v="1721468"/>
  </r>
  <r>
    <n v="2571"/>
    <s v="Fortress"/>
    <s v="Tai Koo"/>
    <x v="39"/>
    <n v="3"/>
    <x v="17"/>
    <x v="40"/>
    <s v="400MM超薄身前置式變頻洗衣機(7公斤)"/>
    <s v="大電"/>
    <s v="LAD"/>
    <s v="bu80"/>
    <n v="1"/>
    <n v="2983"/>
    <n v="2983"/>
    <n v="1721707"/>
    <m/>
    <m/>
    <s v="TW-T21BU80UWH(MG) 1721707"/>
    <n v="5180"/>
    <n v="0.57586872586872584"/>
    <s v="Toshiba SRP"/>
    <m/>
    <s v="1721707"/>
  </r>
  <r>
    <n v="2572"/>
    <s v="Fortress"/>
    <s v="Tai Koo"/>
    <x v="39"/>
    <n v="3"/>
    <x v="17"/>
    <x v="100"/>
    <s v="3/4 匹 窗口式冷氣機(remote/fortress)"/>
    <s v="大電"/>
    <s v="AC"/>
    <s v="07g3cvf"/>
    <n v="1"/>
    <n v="3880"/>
    <n v="3880"/>
    <n v="1721589"/>
    <m/>
    <m/>
    <s v="RAC-07G3CVRG-HK 1721589"/>
    <n v="5580"/>
    <n v="0.69534050179211471"/>
    <s v="Toshiba SRP"/>
    <m/>
    <s v="1721589"/>
  </r>
  <r>
    <n v="2573"/>
    <s v="Fortress"/>
    <s v="Tai Koo"/>
    <x v="39"/>
    <n v="3"/>
    <x v="17"/>
    <x v="21"/>
    <s v="壓縮式抽濕機 (30公升)"/>
    <s v="細電"/>
    <s v="RAC"/>
    <s v="d300"/>
    <n v="1"/>
    <n v="1989"/>
    <n v="1989"/>
    <n v="1721738"/>
    <m/>
    <m/>
    <s v="RAD-D300H 1721738"/>
    <n v="3380"/>
    <n v="0.58846153846153848"/>
    <s v="Shops Highest Price"/>
    <m/>
    <s v="1721738"/>
  </r>
  <r>
    <n v="2574"/>
    <s v="Fortress"/>
    <s v="Tai Koo"/>
    <x v="39"/>
    <n v="3"/>
    <x v="17"/>
    <x v="36"/>
    <s v="輕觸式微波爐 (20公升)"/>
    <s v="細電"/>
    <s v="MCA"/>
    <s v="em20"/>
    <n v="1"/>
    <n v="598"/>
    <n v="598"/>
    <n v="1326716"/>
    <m/>
    <m/>
    <s v="MM2-EM20PC(WH) 1326716"/>
    <n v="788"/>
    <n v="0.75888324873096447"/>
    <s v="Toshiba SRP"/>
    <m/>
    <s v="1326716"/>
  </r>
  <r>
    <n v="2575"/>
    <s v="Fortress"/>
    <s v="Tai Koo"/>
    <x v="39"/>
    <n v="3"/>
    <x v="17"/>
    <x v="39"/>
    <s v="酵活炊電飯煲(1.0公升)"/>
    <s v="細電"/>
    <s v="SDA"/>
    <s v="10amx"/>
    <n v="1"/>
    <n v="990"/>
    <n v="990"/>
    <n v="1721612"/>
    <m/>
    <m/>
    <s v="RC-10AMXH(W) 1721612"/>
    <n v="1288"/>
    <n v="0.76863354037267084"/>
    <s v="Toshiba SRP"/>
    <m/>
    <s v="1721612"/>
  </r>
  <r>
    <n v="2576"/>
    <s v="Fortress"/>
    <s v="Tai Koo"/>
    <x v="39"/>
    <n v="3"/>
    <x v="17"/>
    <x v="37"/>
    <s v="電熱水瓶 (5公升)"/>
    <s v="細電"/>
    <s v="SDA"/>
    <s v="50dr"/>
    <n v="1"/>
    <n v="598"/>
    <n v="598"/>
    <n v="1326713"/>
    <m/>
    <m/>
    <s v="TP-50DRUHK(W) 1326713"/>
    <n v="718"/>
    <n v="0.83286908077994426"/>
    <s v="Toshiba SRP"/>
    <m/>
    <s v="1326713"/>
  </r>
  <r>
    <n v="2577"/>
    <s v="Fortress"/>
    <s v="Tai Koo"/>
    <x v="39"/>
    <n v="3"/>
    <x v="17"/>
    <x v="63"/>
    <s v="20L 智能蒸氣焗爐"/>
    <s v="細電"/>
    <s v="MCA"/>
    <s v="stq20"/>
    <n v="1"/>
    <n v="2100"/>
    <n v="2100"/>
    <n v="1326728"/>
    <m/>
    <m/>
    <s v="MS3-STQ20SC(WH) 1326728"/>
    <n v="2880"/>
    <n v="0.72916666666666663"/>
    <s v="Toshiba SRP"/>
    <m/>
    <s v="1326728"/>
  </r>
  <r>
    <n v="2578"/>
    <s v="Fortress"/>
    <s v="Tai Koo"/>
    <x v="39"/>
    <n v="3"/>
    <x v="17"/>
    <x v="74"/>
    <s v="4合1氣炸微波蒸焗爐(25公升)"/>
    <s v="細電"/>
    <s v="MCA"/>
    <s v="str25"/>
    <n v="1"/>
    <n v="3401"/>
    <n v="3401"/>
    <n v="1721457"/>
    <m/>
    <m/>
    <s v="MX2-STR25SC(WH) 1721457"/>
    <n v="4998"/>
    <n v="0.68047218887555017"/>
    <s v="Toshiba SRP"/>
    <m/>
    <s v="1721457"/>
  </r>
  <r>
    <n v="2579"/>
    <s v="Fortress"/>
    <s v="Tai Koo"/>
    <x v="39"/>
    <n v="3"/>
    <x v="20"/>
    <x v="21"/>
    <s v="壓縮式抽濕機 (30公升)"/>
    <s v="細電"/>
    <s v="RAC"/>
    <s v="d300"/>
    <n v="1"/>
    <n v="2280"/>
    <n v="2280"/>
    <n v="1326778"/>
    <m/>
    <m/>
    <s v="RAD-D300H 1326778"/>
    <n v="3380"/>
    <n v="0.67455621301775148"/>
    <s v="Shops Highest Price"/>
    <m/>
    <s v="1326778"/>
  </r>
  <r>
    <n v="2580"/>
    <s v="Fortress"/>
    <s v="Tai Koo"/>
    <x v="39"/>
    <n v="3"/>
    <x v="20"/>
    <x v="33"/>
    <s v="輕觸式燒烤微波爐"/>
    <s v="細電"/>
    <s v="MCA"/>
    <s v="eg20"/>
    <n v="1"/>
    <n v="698"/>
    <n v="698"/>
    <n v="1721884"/>
    <m/>
    <m/>
    <s v="MM2-EG20PC(WH) 1721884"/>
    <n v="918"/>
    <n v="0.76034858387799564"/>
    <s v="Shops Highest Price"/>
    <m/>
    <s v="1721884"/>
  </r>
  <r>
    <n v="2581"/>
    <s v="Fortress"/>
    <s v="Tai Koo"/>
    <x v="39"/>
    <n v="3"/>
    <x v="20"/>
    <x v="34"/>
    <s v="智能氣炸烤焗爐(24公升)"/>
    <s v="細電"/>
    <s v="MCA"/>
    <s v="sac24"/>
    <n v="1"/>
    <n v="1320"/>
    <n v="1320"/>
    <n v="1326771"/>
    <m/>
    <m/>
    <s v="MW3-SAC24SE(BK) 1326771"/>
    <n v="1680"/>
    <n v="0.7857142857142857"/>
    <s v="Toshiba SRP"/>
    <m/>
    <s v="1326771"/>
  </r>
  <r>
    <n v="2582"/>
    <s v="Fortress"/>
    <s v="Tai Koo"/>
    <x v="39"/>
    <n v="3"/>
    <x v="20"/>
    <x v="54"/>
    <s v="低醣磁應電飯煲1L"/>
    <s v="細電"/>
    <s v="SDA"/>
    <s v="10irph"/>
    <n v="1"/>
    <n v="798"/>
    <n v="798"/>
    <n v="1721783"/>
    <m/>
    <m/>
    <s v="RC-10IRPH 1721783"/>
    <n v="1388"/>
    <n v="0.5749279538904899"/>
    <s v="Toshiba SRP"/>
    <m/>
    <s v="1721783"/>
  </r>
  <r>
    <n v="2583"/>
    <s v="Fortress"/>
    <s v="Tai Koo"/>
    <x v="39"/>
    <n v="3"/>
    <x v="20"/>
    <x v="31"/>
    <s v="無線雙層電熱水壺(1.7公升)"/>
    <s v="細電"/>
    <s v="SDA"/>
    <s v="17drt"/>
    <n v="1"/>
    <n v="388"/>
    <n v="388"/>
    <n v="1721951"/>
    <m/>
    <m/>
    <s v="KT-17DRTHK(H) 1721951"/>
    <n v="498"/>
    <n v="0.77911646586345384"/>
    <s v="Toshiba SRP"/>
    <m/>
    <s v="1721951"/>
  </r>
  <r>
    <n v="2584"/>
    <s v="Fortress"/>
    <s v="Tai Koo"/>
    <x v="39"/>
    <n v="3"/>
    <x v="21"/>
    <x v="108"/>
    <s v="濾芯"/>
    <s v="細電"/>
    <s v="KWH"/>
    <s v="fistpro"/>
    <n v="1"/>
    <n v="798"/>
    <n v="798"/>
    <n v="1326907"/>
    <m/>
    <m/>
    <s v="FIST(PRO) 1326907"/>
    <n v="798"/>
    <n v="1"/>
    <s v="Shops Highest Price"/>
    <m/>
    <s v="1326907"/>
  </r>
  <r>
    <n v="2585"/>
    <s v="Fortress"/>
    <s v="Tai Koo"/>
    <x v="39"/>
    <n v="3"/>
    <x v="21"/>
    <x v="86"/>
    <s v="470MM超薄身前置式變頻洗衣乾衣機 (洗8.5公斤 乾6公斤)"/>
    <s v="大電"/>
    <s v="LAD"/>
    <s v="twdt21"/>
    <n v="1"/>
    <n v="3999"/>
    <n v="3999"/>
    <n v="1326899"/>
    <m/>
    <m/>
    <s v="TWD-T21BU95UWH(WW) 1326899"/>
    <n v="7280"/>
    <n v="0.54931318681318686"/>
    <s v="Toshiba SRP"/>
    <m/>
    <s v="1326899"/>
  </r>
  <r>
    <n v="2586"/>
    <s v="Fortress"/>
    <s v="Tai Koo"/>
    <x v="39"/>
    <n v="3"/>
    <x v="21"/>
    <x v="86"/>
    <s v="470MM超薄身前置式變頻洗衣乾衣機 (洗8.5公斤 乾6公斤)"/>
    <s v="大電"/>
    <s v="LAD"/>
    <s v="twdt21"/>
    <n v="1"/>
    <n v="3999"/>
    <n v="3999"/>
    <n v="1326906"/>
    <m/>
    <m/>
    <s v="TWD-T21BU95UWH(WW) 1326906"/>
    <n v="7280"/>
    <n v="0.54931318681318686"/>
    <s v="Toshiba SRP"/>
    <m/>
    <s v="1326906"/>
  </r>
  <r>
    <n v="2587"/>
    <s v="Fortress"/>
    <s v="Tai Koo"/>
    <x v="39"/>
    <n v="3"/>
    <x v="21"/>
    <x v="83"/>
    <s v="R32變頻窗口式冷氣機 (獨立抽濕遙控"/>
    <s v="大電"/>
    <s v="AC"/>
    <s v="12g3cvr"/>
    <n v="1"/>
    <n v="5980"/>
    <n v="5980"/>
    <n v="1722074"/>
    <m/>
    <m/>
    <s v="RAC-12G3CVRGR-HK 1722074"/>
    <n v="8680"/>
    <n v="0.68894009216589858"/>
    <s v="Toshiba SRP"/>
    <m/>
    <s v="1722074"/>
  </r>
  <r>
    <n v="2588"/>
    <s v="Fortress"/>
    <s v="Tai Koo"/>
    <x v="39"/>
    <n v="3"/>
    <x v="21"/>
    <x v="21"/>
    <s v="壓縮式抽濕機 (30公升)"/>
    <s v="細電"/>
    <s v="RAC"/>
    <s v="d300"/>
    <n v="1"/>
    <n v="2280"/>
    <n v="2280"/>
    <n v="1722030"/>
    <m/>
    <m/>
    <s v="RAD-D300H 1722030"/>
    <n v="3380"/>
    <n v="0.67455621301775148"/>
    <s v="Shops Highest Price"/>
    <m/>
    <s v="1722030"/>
  </r>
  <r>
    <n v="2589"/>
    <s v="Fortress"/>
    <s v="Tai Koo"/>
    <x v="39"/>
    <n v="3"/>
    <x v="21"/>
    <x v="27"/>
    <s v="4毫米厚釜電飯煲1.8L"/>
    <s v="細電"/>
    <s v="SDA"/>
    <s v="18nmf"/>
    <n v="1"/>
    <n v="799"/>
    <n v="799"/>
    <n v="1721954"/>
    <m/>
    <m/>
    <s v="RC-18NMFIH(WT) 1721954"/>
    <n v="998"/>
    <n v="0.80060120240480959"/>
    <s v="Toshiba SRP"/>
    <m/>
    <s v="1721954"/>
  </r>
  <r>
    <n v="2590"/>
    <s v="Fortress"/>
    <s v="Tai Koo"/>
    <x v="39"/>
    <n v="3"/>
    <x v="21"/>
    <x v="45"/>
    <s v="備長炭本厚釜電飯煲0.7L"/>
    <s v="細電"/>
    <s v="SDA"/>
    <s v="7hmh"/>
    <n v="1"/>
    <n v="838"/>
    <n v="838"/>
    <n v="1326881"/>
    <m/>
    <m/>
    <s v="RC-7HMH 1326881"/>
    <n v="1288"/>
    <n v="0.65062111801242239"/>
    <s v="Toshiba SRP"/>
    <m/>
    <s v="1326881"/>
  </r>
  <r>
    <n v="2591"/>
    <s v="Fortress"/>
    <s v="Tai Koo"/>
    <x v="39"/>
    <n v="3"/>
    <x v="21"/>
    <x v="37"/>
    <s v="電熱水瓶 (5公升)"/>
    <s v="細電"/>
    <s v="SDA"/>
    <s v="50dr"/>
    <n v="1"/>
    <n v="598"/>
    <n v="598"/>
    <n v="1326938"/>
    <m/>
    <m/>
    <s v="TP-50DRUHK(W) 1326938"/>
    <n v="718"/>
    <n v="0.83286908077994426"/>
    <s v="Toshiba SRP"/>
    <m/>
    <s v="1326938"/>
  </r>
  <r>
    <n v="2592"/>
    <s v="Fortress"/>
    <s v="Tai Koo"/>
    <x v="39"/>
    <n v="3"/>
    <x v="21"/>
    <x v="44"/>
    <s v="1.7L無線雙層電熱水壺"/>
    <s v="細電"/>
    <s v="SDA"/>
    <s v="17shnh"/>
    <n v="1"/>
    <n v="198"/>
    <n v="198"/>
    <n v="1721975"/>
    <m/>
    <m/>
    <s v="KT-17SHNH 1721975"/>
    <n v="299"/>
    <n v="0.66220735785953178"/>
    <s v="Shops Highest Price"/>
    <m/>
    <s v="1721975"/>
  </r>
  <r>
    <n v="2593"/>
    <s v="Fortress"/>
    <s v="Tai Koo"/>
    <x v="39"/>
    <n v="3"/>
    <x v="21"/>
    <x v="44"/>
    <s v="1.7L無線雙層電熱水壺"/>
    <s v="細電"/>
    <s v="SDA"/>
    <s v="17shnh"/>
    <n v="1"/>
    <n v="198"/>
    <n v="198"/>
    <n v="1722104"/>
    <m/>
    <m/>
    <s v="KT-17SHNH 1722104"/>
    <n v="299"/>
    <n v="0.66220735785953178"/>
    <s v="Shops Highest Price"/>
    <m/>
    <s v="1722104"/>
  </r>
  <r>
    <n v="2594"/>
    <s v="Fortress"/>
    <s v="Tai Koo"/>
    <x v="39"/>
    <n v="3"/>
    <x v="21"/>
    <x v="50"/>
    <s v="輕便式電磁爐7個功能"/>
    <s v="細電"/>
    <s v="SDA"/>
    <s v="s19"/>
    <n v="1"/>
    <n v="418"/>
    <n v="418"/>
    <n v="1722053"/>
    <m/>
    <m/>
    <s v="IC-S19RH 1722053"/>
    <n v="638"/>
    <n v="0.65517241379310343"/>
    <s v="Toshiba SRP"/>
    <m/>
    <s v="1722053"/>
  </r>
  <r>
    <n v="2595"/>
    <s v="Fortress"/>
    <s v="Tai Koo"/>
    <x v="39"/>
    <n v="3"/>
    <x v="21"/>
    <x v="15"/>
    <s v="Induction Cooker"/>
    <s v="細電"/>
    <s v="SDA"/>
    <s v="21ts"/>
    <n v="1"/>
    <n v="798"/>
    <n v="798"/>
    <n v="1326874"/>
    <m/>
    <m/>
    <s v="IC-21TSHK 1326874"/>
    <n v="998"/>
    <n v="0.79959919839679361"/>
    <s v="Web SRP"/>
    <m/>
    <s v="1326874"/>
  </r>
  <r>
    <n v="2596"/>
    <s v="Fortress"/>
    <s v="Tai Koo"/>
    <x v="39"/>
    <n v="3"/>
    <x v="21"/>
    <x v="48"/>
    <s v="3合1 微波蒸焗爐 (20公升)"/>
    <s v="細電"/>
    <s v="MCA"/>
    <s v="tt20"/>
    <n v="1"/>
    <n v="2580"/>
    <n v="2580"/>
    <n v="1326892"/>
    <m/>
    <m/>
    <s v="MX2-TT20SC(WH) 1326892"/>
    <n v="3580"/>
    <n v="0.72067039106145248"/>
    <s v="Toshiba SRP"/>
    <m/>
    <s v="1326892"/>
  </r>
  <r>
    <n v="2597"/>
    <s v="Fortress"/>
    <s v="Tai Koo"/>
    <x v="39"/>
    <n v="3"/>
    <x v="21"/>
    <x v="48"/>
    <s v="3合1 微波蒸焗爐 (20公升)"/>
    <s v="細電"/>
    <s v="MCA"/>
    <s v="tt20"/>
    <n v="1"/>
    <n v="2580"/>
    <n v="2580"/>
    <n v="1722062"/>
    <m/>
    <m/>
    <s v="MX2-TT20SC(WH) 1722062"/>
    <n v="3580"/>
    <n v="0.72067039106145248"/>
    <s v="Toshiba SRP"/>
    <m/>
    <s v="1722062"/>
  </r>
  <r>
    <n v="2598"/>
    <s v="Fortress"/>
    <s v="Tai Koo"/>
    <x v="39"/>
    <n v="3"/>
    <x v="21"/>
    <x v="31"/>
    <s v="無線雙層電熱水壺(1.7公升)"/>
    <s v="細電"/>
    <s v="SDA"/>
    <s v="17drt"/>
    <n v="1"/>
    <n v="388"/>
    <n v="388"/>
    <n v="1722278"/>
    <s v="1722279&gt;1722278"/>
    <m/>
    <s v="KT-17DRTHK(H) 1722278"/>
    <n v="498"/>
    <n v="0.77911646586345384"/>
    <s v="Toshiba SRP"/>
    <m/>
    <s v="1722278"/>
  </r>
  <r>
    <n v="2599"/>
    <s v="Fortress"/>
    <s v="Tai Koo"/>
    <x v="39"/>
    <n v="3"/>
    <x v="21"/>
    <x v="108"/>
    <s v="濾芯"/>
    <s v="細電"/>
    <s v="KWH"/>
    <s v="fistpro"/>
    <n v="1"/>
    <n v="798"/>
    <n v="798"/>
    <n v="1721037"/>
    <m/>
    <m/>
    <s v="FIST(PRO) 1721037"/>
    <n v="798"/>
    <n v="1"/>
    <s v="Shops Highest Price"/>
    <m/>
    <s v="1721037"/>
  </r>
  <r>
    <n v="2600"/>
    <s v="Fortress"/>
    <s v="Tai Koo"/>
    <x v="39"/>
    <n v="3"/>
    <x v="30"/>
    <x v="44"/>
    <s v="1.7L無線雙層電熱水壺"/>
    <s v="細電"/>
    <s v="SDA"/>
    <s v="17shnh"/>
    <n v="1"/>
    <n v="198"/>
    <n v="198"/>
    <n v="1722243"/>
    <m/>
    <m/>
    <s v="KT-17SHNH 1722243"/>
    <n v="299"/>
    <n v="0.66220735785953178"/>
    <s v="Shops Highest Price"/>
    <m/>
    <s v="1722243"/>
  </r>
  <r>
    <n v="2601"/>
    <s v="Fortress"/>
    <s v="Tai Koo"/>
    <x v="39"/>
    <n v="3"/>
    <x v="30"/>
    <x v="48"/>
    <s v="3合1 微波蒸焗爐 (20公升)"/>
    <s v="細電"/>
    <s v="MCA"/>
    <s v="tt20"/>
    <n v="1"/>
    <n v="2580"/>
    <n v="2580"/>
    <n v="1722274"/>
    <m/>
    <m/>
    <s v="MX2-TT20SC(WH) 1722274"/>
    <n v="3580"/>
    <n v="0.72067039106145248"/>
    <s v="Toshiba SRP"/>
    <m/>
    <s v="1722274"/>
  </r>
  <r>
    <n v="2602"/>
    <s v="Fortress"/>
    <s v="Tai Koo"/>
    <x v="39"/>
    <n v="3"/>
    <x v="30"/>
    <x v="56"/>
    <s v="多士焗爐8L"/>
    <s v="細電"/>
    <s v="SDA"/>
    <n v="7080"/>
    <n v="1"/>
    <n v="338"/>
    <n v="338"/>
    <n v="1721803"/>
    <m/>
    <m/>
    <s v="ET-TD7080(PN) 1721803"/>
    <n v="498"/>
    <n v="0.67871485943775101"/>
    <s v="Toshiba SRP"/>
    <m/>
    <s v="1721803"/>
  </r>
  <r>
    <n v="2603"/>
    <s v="Fortress"/>
    <s v="Tai Koo"/>
    <x v="39"/>
    <n v="3"/>
    <x v="30"/>
    <x v="86"/>
    <s v="470MM超薄身前置式變頻洗衣乾衣機 (洗8.5公斤 乾6公斤)"/>
    <s v="大電"/>
    <s v="LAD"/>
    <s v="twdt21"/>
    <n v="1"/>
    <n v="3999"/>
    <n v="3999"/>
    <n v="1722273"/>
    <m/>
    <m/>
    <s v="TWD-T21BU95UWH(WW) 1722273"/>
    <n v="7280"/>
    <n v="0.54931318681318686"/>
    <s v="Toshiba SRP"/>
    <m/>
    <s v="1722273"/>
  </r>
  <r>
    <n v="2604"/>
    <s v="Fortress"/>
    <s v="Tai Koo"/>
    <x v="39"/>
    <n v="3"/>
    <x v="30"/>
    <x v="59"/>
    <s v="30公升蒸氣焗爐"/>
    <s v="細電"/>
    <s v="MCA"/>
    <s v="str30"/>
    <n v="1"/>
    <n v="3980"/>
    <n v="3980"/>
    <n v="1722262"/>
    <m/>
    <m/>
    <s v="MS5-STR30SC(BK) 1722262"/>
    <n v="5998"/>
    <n v="0.66355451817272426"/>
    <s v="Shops Highest Price"/>
    <m/>
    <s v="1722262"/>
  </r>
  <r>
    <n v="2605"/>
    <s v="Fortress"/>
    <s v="Tai Koo"/>
    <x v="39"/>
    <n v="3"/>
    <x v="30"/>
    <x v="10"/>
    <s v="變頻上置式雙門雪櫃313L "/>
    <s v="大電"/>
    <s v="REF"/>
    <s v="rt416"/>
    <n v="1"/>
    <n v="3980"/>
    <n v="3980"/>
    <n v="1722193"/>
    <m/>
    <m/>
    <s v="GR-RT416WE-PMA(06) 1722193"/>
    <n v="5380"/>
    <n v="0.7397769516728625"/>
    <s v="Toshiba SRP"/>
    <m/>
    <s v="1722193"/>
  </r>
  <r>
    <n v="2606"/>
    <s v="Fortress"/>
    <s v="Tai Koo"/>
    <x v="39"/>
    <n v="3"/>
    <x v="30"/>
    <x v="24"/>
    <s v="微型電腦珍珠飯煲"/>
    <s v="細電"/>
    <s v="SDA"/>
    <s v="5sli"/>
    <n v="1"/>
    <n v="593"/>
    <n v="593"/>
    <n v="1722290"/>
    <m/>
    <m/>
    <s v="RC-5SLIH(W) 1722290"/>
    <n v="658"/>
    <n v="0.90121580547112456"/>
    <s v="Toshiba SRP"/>
    <m/>
    <s v="1722290"/>
  </r>
  <r>
    <n v="2607"/>
    <s v="Fortress"/>
    <s v="Tai Koo"/>
    <x v="39"/>
    <n v="3"/>
    <x v="30"/>
    <x v="31"/>
    <s v="無線雙層電熱水壺(1.7公升)"/>
    <s v="細電"/>
    <s v="SDA"/>
    <s v="17drt"/>
    <n v="1"/>
    <n v="388"/>
    <n v="388"/>
    <n v="1722279"/>
    <m/>
    <m/>
    <s v="KT-17DRTHK(H) 1722279"/>
    <n v="498"/>
    <n v="0.77911646586345384"/>
    <s v="Toshiba SRP"/>
    <m/>
    <s v="1722279"/>
  </r>
  <r>
    <n v="2608"/>
    <s v="Fortress"/>
    <s v="Tai Koo"/>
    <x v="39"/>
    <n v="3"/>
    <x v="22"/>
    <x v="133"/>
    <s v="單門直冷式環保雪櫃81L"/>
    <s v="大電"/>
    <s v="REF"/>
    <s v="913m"/>
    <n v="1"/>
    <n v="1480"/>
    <n v="1480"/>
    <n v="1722481"/>
    <m/>
    <m/>
    <s v="GR-H913(MG) 1722481"/>
    <n v="1980"/>
    <n v="0.74747474747474751"/>
    <s v="Toshiba SRP"/>
    <m/>
    <s v="1722481"/>
  </r>
  <r>
    <n v="2609"/>
    <s v="Fortress"/>
    <s v="Tai Koo"/>
    <x v="39"/>
    <n v="3"/>
    <x v="22"/>
    <x v="106"/>
    <s v="燒烤微波爐21L"/>
    <s v="細電"/>
    <s v="SDA"/>
    <s v="ag21"/>
    <n v="1"/>
    <n v="798"/>
    <n v="798"/>
    <n v="1722483"/>
    <m/>
    <m/>
    <s v="MV-AG21TF(BK) 1722483"/>
    <n v="1098"/>
    <n v="0.72677595628415304"/>
    <s v="Toshiba SRP"/>
    <m/>
    <s v="1722483"/>
  </r>
  <r>
    <n v="2610"/>
    <s v="Fortress"/>
    <s v="Tai Koo"/>
    <x v="39"/>
    <n v="3"/>
    <x v="22"/>
    <x v="36"/>
    <s v="輕觸式微波爐 (20公升)"/>
    <s v="細電"/>
    <s v="MCA"/>
    <s v="em20"/>
    <n v="1"/>
    <n v="598"/>
    <n v="598"/>
    <n v="1722422"/>
    <m/>
    <m/>
    <s v="MM2-EM20PC(WH) 1722422"/>
    <n v="788"/>
    <n v="0.75888324873096447"/>
    <s v="Toshiba SRP"/>
    <m/>
    <s v="1722422"/>
  </r>
  <r>
    <n v="2611"/>
    <s v="Fortress"/>
    <s v="Tai Koo"/>
    <x v="39"/>
    <n v="3"/>
    <x v="22"/>
    <x v="44"/>
    <s v="1.7L無線雙層電熱水壺"/>
    <s v="細電"/>
    <s v="SDA"/>
    <s v="17shnh"/>
    <n v="1"/>
    <n v="198"/>
    <n v="198"/>
    <n v="1722436"/>
    <m/>
    <m/>
    <s v="KT-17SHNH 1722436"/>
    <n v="299"/>
    <n v="0.66220735785953178"/>
    <s v="Shops Highest Price"/>
    <m/>
    <s v="1722436"/>
  </r>
  <r>
    <n v="2612"/>
    <s v="Fortress"/>
    <s v="Tai Koo"/>
    <x v="39"/>
    <n v="3"/>
    <x v="23"/>
    <x v="66"/>
    <s v="變頻下置式雙門雪櫃（163L）"/>
    <s v="大電"/>
    <s v="REF"/>
    <s v="rb221"/>
    <n v="1"/>
    <n v="1880"/>
    <n v="1880"/>
    <n v="1722551"/>
    <m/>
    <m/>
    <s v="GR-RB221WE-PMA(57) 1722551"/>
    <n v="3480"/>
    <n v="0.54022988505747127"/>
    <s v="Toshiba SRP"/>
    <m/>
    <s v="1722551"/>
  </r>
  <r>
    <n v="2613"/>
    <s v="Fortress"/>
    <s v="Tai Koo"/>
    <x v="39"/>
    <n v="3"/>
    <x v="23"/>
    <x v="92"/>
    <s v="1 匹 R32變頻窗口式冷氣機 (獨立抽濕遙控"/>
    <s v="大電"/>
    <s v="AC"/>
    <s v="09g3cvr"/>
    <n v="1"/>
    <n v="4980"/>
    <n v="4980"/>
    <n v="1722496"/>
    <m/>
    <m/>
    <s v="RAC-09G3CVRGR-HK 1722496"/>
    <n v="6980"/>
    <n v="0.71346704871060174"/>
    <s v="Toshiba SRP"/>
    <m/>
    <s v="1722496"/>
  </r>
  <r>
    <n v="2614"/>
    <s v="Fortress"/>
    <s v="Tai Koo"/>
    <x v="39"/>
    <n v="3"/>
    <x v="23"/>
    <x v="133"/>
    <s v="單門直冷式環保雪櫃81L"/>
    <s v="大電"/>
    <s v="REF"/>
    <s v="913m"/>
    <n v="1"/>
    <n v="1480"/>
    <n v="1480"/>
    <n v="1722598"/>
    <m/>
    <m/>
    <s v="GR-H913(MG) 1722598"/>
    <n v="1980"/>
    <n v="0.74747474747474751"/>
    <s v="Toshiba SRP"/>
    <m/>
    <s v="1722598"/>
  </r>
  <r>
    <n v="2615"/>
    <s v="Fortress"/>
    <s v="Tai Koo"/>
    <x v="39"/>
    <n v="3"/>
    <x v="23"/>
    <x v="135"/>
    <s v="變頻日式洗衣機 (10公斤 結合高低水位)"/>
    <s v="大電"/>
    <s v="LAD"/>
    <s v="dq110"/>
    <n v="1"/>
    <n v="2780"/>
    <n v="2780"/>
    <n v="1722729"/>
    <m/>
    <m/>
    <s v="AW-DQ110JPH(WW) 1722729"/>
    <n v="4680"/>
    <n v="0.59401709401709402"/>
    <s v="Toshiba SRP"/>
    <m/>
    <s v="1722729"/>
  </r>
  <r>
    <n v="2616"/>
    <s v="Fortress"/>
    <s v="Tai Koo"/>
    <x v="39"/>
    <n v="3"/>
    <x v="23"/>
    <x v="6"/>
    <s v="旋鈕式微波爐24L"/>
    <s v="細電"/>
    <s v="SDA"/>
    <s v="mm24"/>
    <n v="1"/>
    <n v="679"/>
    <n v="679"/>
    <n v="1722597"/>
    <m/>
    <m/>
    <s v="MW2-MM24PC(BK) 1722597"/>
    <n v="848"/>
    <n v="0.8007075471698113"/>
    <s v="Toshiba SRP"/>
    <m/>
    <s v="1722597"/>
  </r>
  <r>
    <n v="2617"/>
    <s v="Fortress"/>
    <s v="Tai Koo"/>
    <x v="39"/>
    <n v="3"/>
    <x v="23"/>
    <x v="36"/>
    <s v="輕觸式微波爐 (20公升)"/>
    <s v="細電"/>
    <s v="MCA"/>
    <s v="em20"/>
    <n v="1"/>
    <n v="598"/>
    <n v="598"/>
    <n v="1722644"/>
    <m/>
    <m/>
    <s v="MM2-EM20PC(WH) 1722644"/>
    <n v="788"/>
    <n v="0.75888324873096447"/>
    <s v="Toshiba SRP"/>
    <m/>
    <s v="1722644"/>
  </r>
  <r>
    <n v="2618"/>
    <s v="Fortress"/>
    <s v="Tai Koo"/>
    <x v="39"/>
    <n v="3"/>
    <x v="23"/>
    <x v="39"/>
    <s v="酵活炊電飯煲(1.0公升)"/>
    <s v="細電"/>
    <s v="SDA"/>
    <s v="10amx"/>
    <n v="1"/>
    <n v="990"/>
    <n v="990"/>
    <n v="1722702"/>
    <m/>
    <m/>
    <s v="RC-10AMXH(W) 1722702"/>
    <n v="1288"/>
    <n v="0.76863354037267084"/>
    <s v="Toshiba SRP"/>
    <m/>
    <s v="1722702"/>
  </r>
  <r>
    <n v="2619"/>
    <s v="Fortress"/>
    <s v="Tai Koo"/>
    <x v="39"/>
    <n v="3"/>
    <x v="23"/>
    <x v="109"/>
    <s v="12吋座地座檯電風扇"/>
    <s v="細電"/>
    <s v="SDA"/>
    <s v="b60"/>
    <n v="1"/>
    <n v="499"/>
    <n v="499"/>
    <n v="1722651"/>
    <m/>
    <m/>
    <s v="F-ALB60HK(B) 1722651"/>
    <n v="839"/>
    <n v="0.59475566150178782"/>
    <s v="Shops Highest Price"/>
    <m/>
    <s v="1722651"/>
  </r>
  <r>
    <n v="2620"/>
    <s v="Fortress"/>
    <s v="Tai Koo"/>
    <x v="39"/>
    <n v="3"/>
    <x v="23"/>
    <x v="7"/>
    <s v="4毫米厚釜電飯煲0.54L"/>
    <s v="細電"/>
    <s v="SDA"/>
    <s v="5mm"/>
    <n v="1"/>
    <n v="557"/>
    <n v="557"/>
    <n v="1327167"/>
    <m/>
    <m/>
    <s v="RC-5MMIH(WT) 1327167"/>
    <n v="618"/>
    <n v="0.90129449838187703"/>
    <s v="Toshiba SRP"/>
    <m/>
    <s v="1327167"/>
  </r>
  <r>
    <n v="2621"/>
    <s v="Fortress"/>
    <s v="Tai Koo"/>
    <x v="39"/>
    <n v="3"/>
    <x v="23"/>
    <x v="44"/>
    <s v="1.7L無線雙層電熱水壺"/>
    <s v="細電"/>
    <s v="SDA"/>
    <s v="17shnh"/>
    <n v="1"/>
    <n v="198"/>
    <n v="198"/>
    <n v="1722627"/>
    <m/>
    <m/>
    <s v="KT-17SHNH 1722627"/>
    <n v="299"/>
    <n v="0.66220735785953178"/>
    <s v="Shops Highest Price"/>
    <m/>
    <s v="1722627"/>
  </r>
  <r>
    <n v="2622"/>
    <s v="Fortress"/>
    <s v="Tai Koo"/>
    <x v="39"/>
    <n v="3"/>
    <x v="23"/>
    <x v="56"/>
    <s v="多士焗爐8L"/>
    <s v="細電"/>
    <s v="SDA"/>
    <n v="7080"/>
    <n v="1"/>
    <n v="338"/>
    <n v="338"/>
    <n v="1722319"/>
    <m/>
    <m/>
    <s v="ET-TD7080(PN) 1722319"/>
    <n v="498"/>
    <n v="0.67871485943775101"/>
    <s v="Toshiba SRP"/>
    <m/>
    <s v="1722319"/>
  </r>
  <r>
    <n v="2623"/>
    <s v="Fortress"/>
    <s v="Tai Koo"/>
    <x v="39"/>
    <n v="3"/>
    <x v="23"/>
    <x v="38"/>
    <s v="無線雙層電熱水壺-附可鎖壺蓋"/>
    <s v="細電"/>
    <s v="SDA"/>
    <s v="15drt"/>
    <n v="1"/>
    <n v="358"/>
    <n v="358"/>
    <n v="1722673"/>
    <m/>
    <m/>
    <s v="KT-15DRTHK(W) 1722673"/>
    <n v="598"/>
    <n v="0.59866220735785958"/>
    <s v="Toshiba SRP"/>
    <m/>
    <s v="1722673"/>
  </r>
  <r>
    <n v="2624"/>
    <s v="Fortress"/>
    <s v="Tai Koo"/>
    <x v="39"/>
    <n v="3"/>
    <x v="26"/>
    <x v="21"/>
    <s v="壓縮式抽濕機 (30公升)"/>
    <s v="細電"/>
    <s v="RAC"/>
    <s v="d300"/>
    <n v="1"/>
    <n v="2280"/>
    <n v="2280"/>
    <n v="1722968"/>
    <m/>
    <m/>
    <s v="RAD-D300H 1722968"/>
    <n v="3380"/>
    <n v="0.67455621301775148"/>
    <s v="Shops Highest Price"/>
    <m/>
    <s v="1722968"/>
  </r>
  <r>
    <n v="2625"/>
    <s v="Fortress"/>
    <s v="Tai Koo"/>
    <x v="39"/>
    <n v="3"/>
    <x v="26"/>
    <x v="96"/>
    <s v="日式洗衣機 (7公斤 結合高低水位)"/>
    <s v="大電"/>
    <s v="LAD"/>
    <s v="q800"/>
    <n v="1"/>
    <n v="1980"/>
    <n v="1980"/>
    <n v="1722759"/>
    <m/>
    <m/>
    <s v="AW-Q800APH(WW) 1722759"/>
    <n v="3580"/>
    <n v="0.55307262569832405"/>
    <s v="Toshiba SRP"/>
    <m/>
    <s v="1722759"/>
  </r>
  <r>
    <n v="2626"/>
    <s v="Fortress"/>
    <s v="Tai Koo"/>
    <x v="39"/>
    <n v="3"/>
    <x v="26"/>
    <x v="48"/>
    <s v="3合1 微波蒸焗爐 (20公升)"/>
    <s v="細電"/>
    <s v="MCA"/>
    <s v="tt20"/>
    <n v="1"/>
    <n v="2580"/>
    <n v="2580"/>
    <n v="1722860"/>
    <m/>
    <m/>
    <s v="MX2-TT20SC(WH) 1722860"/>
    <n v="3580"/>
    <n v="0.72067039106145248"/>
    <s v="Toshiba SRP"/>
    <m/>
    <s v="1722860"/>
  </r>
  <r>
    <n v="2627"/>
    <s v="Fortress"/>
    <s v="Tai Koo"/>
    <x v="39"/>
    <n v="3"/>
    <x v="26"/>
    <x v="48"/>
    <s v="3合1 微波蒸焗爐 (20公升)"/>
    <s v="細電"/>
    <s v="MCA"/>
    <s v="tt20"/>
    <n v="1"/>
    <n v="2580"/>
    <n v="2580"/>
    <n v="1722897"/>
    <m/>
    <m/>
    <s v="MX2-TT20SC(WH) 1722897"/>
    <n v="3580"/>
    <n v="0.72067039106145248"/>
    <s v="Toshiba SRP"/>
    <m/>
    <s v="1722897"/>
  </r>
  <r>
    <n v="2628"/>
    <s v="Fortress"/>
    <s v="Tai Koo"/>
    <x v="39"/>
    <n v="3"/>
    <x v="26"/>
    <x v="115"/>
    <s v="微波蒸焗爐23L"/>
    <s v="細電"/>
    <s v="SDA"/>
    <s v="th23"/>
    <n v="6"/>
    <n v="2580"/>
    <n v="15480"/>
    <n v="1722804"/>
    <m/>
    <m/>
    <s v="MX1-TH23SC(WH) 1722804"/>
    <n v="3380"/>
    <n v="0.76331360946745563"/>
    <s v="Toshiba SRP"/>
    <m/>
    <s v="1722804"/>
  </r>
  <r>
    <n v="2629"/>
    <s v="Fortress"/>
    <s v="Tai Koo"/>
    <x v="39"/>
    <n v="3"/>
    <x v="26"/>
    <x v="48"/>
    <s v="3合1 微波蒸焗爐 (20公升)"/>
    <s v="細電"/>
    <s v="MCA"/>
    <s v="tt20"/>
    <n v="1"/>
    <n v="2580"/>
    <n v="2580"/>
    <n v="1723055"/>
    <m/>
    <m/>
    <s v="MX2-TT20SC(WH) 1723055"/>
    <n v="3580"/>
    <n v="0.72067039106145248"/>
    <s v="Toshiba SRP"/>
    <m/>
    <s v="1723055"/>
  </r>
  <r>
    <n v="2630"/>
    <s v="Fortress"/>
    <s v="Tai Koo"/>
    <x v="39"/>
    <n v="3"/>
    <x v="26"/>
    <x v="100"/>
    <s v="3/4 匹 窗口式冷氣機(remote/fortress)"/>
    <s v="大電"/>
    <s v="AC"/>
    <s v="07g3cvf"/>
    <n v="1"/>
    <n v="3880"/>
    <n v="3880"/>
    <n v="1511622"/>
    <m/>
    <m/>
    <s v="RAC-07G3CVRG-HK 1511622"/>
    <n v="5580"/>
    <n v="0.69534050179211471"/>
    <s v="Toshiba SRP"/>
    <m/>
    <s v="1511622"/>
  </r>
  <r>
    <n v="2631"/>
    <s v="Fortress"/>
    <s v="Tai Koo"/>
    <x v="39"/>
    <n v="3"/>
    <x v="26"/>
    <x v="100"/>
    <s v="3/4 匹 窗口式冷氣機(remote/fortress)"/>
    <s v="大電"/>
    <s v="AC"/>
    <s v="07g3cvf"/>
    <n v="1"/>
    <n v="3880"/>
    <n v="3880"/>
    <n v="1723040"/>
    <m/>
    <m/>
    <s v="RAC-07G3CVRG-HK 1723040"/>
    <n v="5580"/>
    <n v="0.69534050179211471"/>
    <s v="Toshiba SRP"/>
    <m/>
    <s v="1723040"/>
  </r>
  <r>
    <n v="2632"/>
    <s v="Fortress"/>
    <s v="Tai Koo"/>
    <x v="39"/>
    <n v="3"/>
    <x v="26"/>
    <x v="100"/>
    <s v="3/4 匹 窗口式冷氣機(remote/fortress)"/>
    <s v="大電"/>
    <s v="AC"/>
    <s v="07g3cvf"/>
    <n v="1"/>
    <n v="3880"/>
    <n v="3880"/>
    <n v="1723048"/>
    <m/>
    <m/>
    <s v="RAC-07G3CVRG-HK 1723048"/>
    <n v="5580"/>
    <n v="0.69534050179211471"/>
    <s v="Toshiba SRP"/>
    <m/>
    <s v="1723048"/>
  </r>
  <r>
    <n v="2633"/>
    <s v="Fortress"/>
    <s v="Tai Koo"/>
    <x v="39"/>
    <n v="3"/>
    <x v="26"/>
    <x v="66"/>
    <s v="變頻下置式雙門雪櫃（163L）"/>
    <s v="大電"/>
    <s v="REF"/>
    <s v="rb221"/>
    <n v="1"/>
    <n v="1880"/>
    <n v="1880"/>
    <n v="1327288"/>
    <m/>
    <m/>
    <s v="GR-RB221WE-PMA(57) 1327288"/>
    <n v="3480"/>
    <n v="0.54022988505747127"/>
    <s v="Toshiba SRP"/>
    <m/>
    <s v="1327288"/>
  </r>
  <r>
    <n v="2634"/>
    <s v="Fortress"/>
    <s v="Tai Koo"/>
    <x v="39"/>
    <n v="3"/>
    <x v="26"/>
    <x v="56"/>
    <s v="多士焗爐8L"/>
    <s v="細電"/>
    <s v="SDA"/>
    <n v="7080"/>
    <n v="1"/>
    <n v="338"/>
    <n v="338"/>
    <n v="1723399"/>
    <m/>
    <m/>
    <s v="ET-TD7080(PN) 1723399"/>
    <n v="498"/>
    <n v="0.67871485943775101"/>
    <s v="Toshiba SRP"/>
    <m/>
    <s v="1723399"/>
  </r>
  <r>
    <n v="2635"/>
    <s v="Fortress"/>
    <s v="Tai Koo"/>
    <x v="39"/>
    <n v="3"/>
    <x v="26"/>
    <x v="21"/>
    <s v="壓縮式抽濕機 (30公升)"/>
    <s v="細電"/>
    <s v="RAC"/>
    <s v="d300"/>
    <n v="1"/>
    <n v="2280"/>
    <n v="2280"/>
    <n v="1327286"/>
    <m/>
    <m/>
    <s v="RAD-D300H 1327286"/>
    <n v="3380"/>
    <n v="0.67455621301775148"/>
    <s v="Shops Highest Price"/>
    <m/>
    <s v="1327286"/>
  </r>
  <r>
    <n v="2636"/>
    <s v="Fortress"/>
    <s v="Tai Koo"/>
    <x v="39"/>
    <n v="3"/>
    <x v="26"/>
    <x v="21"/>
    <s v="壓縮式抽濕機 (30公升)"/>
    <s v="細電"/>
    <s v="RAC"/>
    <s v="d300"/>
    <n v="1"/>
    <n v="2280"/>
    <n v="2280"/>
    <n v="1327343"/>
    <m/>
    <m/>
    <s v="RAD-D300H 1327343"/>
    <n v="3380"/>
    <n v="0.67455621301775148"/>
    <s v="Shops Highest Price"/>
    <m/>
    <s v="1327343"/>
  </r>
  <r>
    <n v="2637"/>
    <s v="Fortress"/>
    <s v="Tai Koo"/>
    <x v="39"/>
    <n v="3"/>
    <x v="26"/>
    <x v="21"/>
    <s v="壓縮式抽濕機 (30公升)"/>
    <s v="細電"/>
    <s v="RAC"/>
    <s v="d300"/>
    <n v="1"/>
    <n v="2280"/>
    <n v="2280"/>
    <n v="1723110"/>
    <m/>
    <m/>
    <s v="RAD-D300H 1723110"/>
    <n v="3380"/>
    <n v="0.67455621301775148"/>
    <s v="Shops Highest Price"/>
    <m/>
    <s v="1723110"/>
  </r>
  <r>
    <n v="2638"/>
    <s v="Fortress"/>
    <s v="Tai Koo"/>
    <x v="39"/>
    <n v="3"/>
    <x v="26"/>
    <x v="105"/>
    <s v="旋鈕式燒烤微波爐20L黑色"/>
    <s v="細電"/>
    <s v="SDA"/>
    <s v="mg20"/>
    <n v="1"/>
    <n v="698"/>
    <n v="698"/>
    <n v="1327241"/>
    <m/>
    <m/>
    <s v="MWP-MG20P(BK) 1327241"/>
    <n v="918"/>
    <n v="0.76034858387799564"/>
    <s v="Toshiba SRP"/>
    <m/>
    <s v="1327241"/>
  </r>
  <r>
    <n v="2639"/>
    <s v="Fortress"/>
    <s v="Tai Koo"/>
    <x v="39"/>
    <n v="3"/>
    <x v="26"/>
    <x v="57"/>
    <s v="多功能備長炭本厚釜電飯煲1L"/>
    <s v="細電"/>
    <s v="SDA"/>
    <s v="10drnh"/>
    <n v="1"/>
    <n v="549"/>
    <n v="549"/>
    <n v="1723117"/>
    <m/>
    <m/>
    <s v="RC-10DRNH 1723117"/>
    <n v="798"/>
    <n v="0.68796992481203012"/>
    <s v="Toshiba SRP"/>
    <m/>
    <s v="1723117"/>
  </r>
  <r>
    <n v="2640"/>
    <s v="Fortress"/>
    <s v="Tai Koo"/>
    <x v="39"/>
    <n v="3"/>
    <x v="27"/>
    <x v="21"/>
    <s v="壓縮式抽濕機 (30公升)"/>
    <s v="細電"/>
    <s v="RAC"/>
    <s v="d300"/>
    <n v="1"/>
    <n v="2280"/>
    <n v="2280"/>
    <n v="1327363"/>
    <m/>
    <m/>
    <s v="RAD-D300H 1327363"/>
    <n v="3380"/>
    <n v="0.67455621301775148"/>
    <s v="Shops Highest Price"/>
    <m/>
    <s v="1327363"/>
  </r>
  <r>
    <n v="2641"/>
    <s v="Fortress"/>
    <s v="Tai Koo"/>
    <x v="39"/>
    <n v="3"/>
    <x v="27"/>
    <x v="31"/>
    <s v="無線雙層電熱水壺(1.7公升)"/>
    <s v="細電"/>
    <s v="SDA"/>
    <s v="17drt"/>
    <n v="1"/>
    <n v="388"/>
    <n v="388"/>
    <n v="1327399"/>
    <m/>
    <m/>
    <s v="KT-17DRTHK(H) 1327399"/>
    <n v="498"/>
    <n v="0.77911646586345384"/>
    <s v="Toshiba SRP"/>
    <m/>
    <s v="1327399"/>
  </r>
  <r>
    <n v="2642"/>
    <s v="Fortress"/>
    <s v="Tai Koo"/>
    <x v="39"/>
    <n v="3"/>
    <x v="27"/>
    <x v="86"/>
    <s v="470MM超薄身前置式變頻洗衣乾衣機 (洗8.5公斤 乾6公斤)"/>
    <s v="大電"/>
    <s v="LAD"/>
    <s v="twdt21"/>
    <n v="1"/>
    <n v="3850"/>
    <n v="3850"/>
    <n v="1723301"/>
    <m/>
    <m/>
    <s v="TWD-T21BU95UWH(WW) 1723301"/>
    <n v="7280"/>
    <n v="0.52884615384615385"/>
    <s v="Toshiba SRP"/>
    <m/>
    <s v="1723301"/>
  </r>
  <r>
    <n v="2643"/>
    <s v="Fortress"/>
    <s v="Tai Koo"/>
    <x v="39"/>
    <n v="3"/>
    <x v="27"/>
    <x v="89"/>
    <s v="2 匹 R32變頻窗口式冷氣機 (remote)"/>
    <s v="大電"/>
    <s v="AC"/>
    <s v="18g3cvr"/>
    <n v="1"/>
    <n v="6980"/>
    <n v="6980"/>
    <n v="1723292"/>
    <m/>
    <m/>
    <s v="RAC-18G3CVRGR-HK 1723292"/>
    <n v="10380"/>
    <n v="0.67244701348747593"/>
    <s v="Toshiba SRP"/>
    <m/>
    <s v="1723292"/>
  </r>
  <r>
    <n v="2644"/>
    <s v="Fortress"/>
    <s v="Tai Koo"/>
    <x v="39"/>
    <n v="3"/>
    <x v="27"/>
    <x v="21"/>
    <s v="壓縮式抽濕機 (30公升)"/>
    <s v="細電"/>
    <s v="RAC"/>
    <s v="d300"/>
    <n v="1"/>
    <n v="2280"/>
    <n v="2280"/>
    <n v="1723285"/>
    <m/>
    <m/>
    <s v="RAD-D300H 1723285"/>
    <n v="3380"/>
    <n v="0.67455621301775148"/>
    <s v="Shops Highest Price"/>
    <m/>
    <s v="1723285"/>
  </r>
  <r>
    <n v="2645"/>
    <s v="Fortress"/>
    <s v="Tai Koo"/>
    <x v="39"/>
    <n v="3"/>
    <x v="27"/>
    <x v="21"/>
    <s v="壓縮式抽濕機 (30公升)"/>
    <s v="細電"/>
    <s v="RAC"/>
    <s v="d300"/>
    <n v="1"/>
    <n v="2280"/>
    <n v="2280"/>
    <n v="1327475"/>
    <m/>
    <m/>
    <s v="RAD-D300H 1327475"/>
    <n v="3380"/>
    <n v="0.67455621301775148"/>
    <s v="Shops Highest Price"/>
    <m/>
    <s v="1327475"/>
  </r>
  <r>
    <n v="2646"/>
    <s v="Fortress"/>
    <s v="Tai Koo"/>
    <x v="39"/>
    <n v="3"/>
    <x v="27"/>
    <x v="21"/>
    <s v="壓縮式抽濕機 (30公升)"/>
    <s v="細電"/>
    <s v="RAC"/>
    <s v="d300"/>
    <n v="1"/>
    <n v="2280"/>
    <n v="2280"/>
    <n v="1327487"/>
    <m/>
    <m/>
    <s v="RAD-D300H 1327487"/>
    <n v="3380"/>
    <n v="0.67455621301775148"/>
    <s v="Shops Highest Price"/>
    <m/>
    <s v="1327487"/>
  </r>
  <r>
    <n v="2647"/>
    <s v="Fortress"/>
    <s v="Tai Koo"/>
    <x v="39"/>
    <n v="3"/>
    <x v="27"/>
    <x v="39"/>
    <s v="酵活炊電飯煲(1.0公升)"/>
    <s v="細電"/>
    <s v="SDA"/>
    <s v="10amx"/>
    <n v="1"/>
    <n v="990"/>
    <n v="990"/>
    <n v="1723283"/>
    <m/>
    <m/>
    <s v="RC-10AMXH(W) 1723283"/>
    <n v="1288"/>
    <n v="0.76863354037267084"/>
    <s v="Toshiba SRP"/>
    <m/>
    <s v="1723283"/>
  </r>
  <r>
    <n v="2648"/>
    <s v="Fortress"/>
    <s v="Tai Koo"/>
    <x v="39"/>
    <n v="3"/>
    <x v="27"/>
    <x v="61"/>
    <s v="酵活炊電飯煲(1.8公升)"/>
    <s v="細電"/>
    <s v="SDA"/>
    <s v="18amx"/>
    <n v="1"/>
    <n v="990"/>
    <n v="990"/>
    <n v="1723265"/>
    <m/>
    <m/>
    <s v="RC-18AMXH(W) 1723265"/>
    <n v="1588"/>
    <n v="0.62342569269521408"/>
    <s v="Toshiba SRP"/>
    <m/>
    <s v="1723265"/>
  </r>
  <r>
    <n v="2649"/>
    <s v="Fortress"/>
    <s v="Tai Koo"/>
    <x v="39"/>
    <n v="3"/>
    <x v="27"/>
    <x v="110"/>
    <s v="變頻六門雪櫃(451L)"/>
    <s v="大電"/>
    <s v="REF"/>
    <s v="rm598"/>
    <n v="1"/>
    <n v="10990"/>
    <n v="10990"/>
    <n v="1327525"/>
    <m/>
    <m/>
    <s v="GR-RM598WE-PGA(B3) 1327525"/>
    <n v="14980"/>
    <n v="0.73364485981308414"/>
    <s v="Toshiba SRP"/>
    <m/>
    <s v="1327525"/>
  </r>
  <r>
    <n v="2650"/>
    <s v="Fortress"/>
    <s v="Tai Koo"/>
    <x v="39"/>
    <n v="3"/>
    <x v="27"/>
    <x v="93"/>
    <s v="座檯式洗碗碟機"/>
    <s v="細電"/>
    <s v="DW"/>
    <s v="05t2"/>
    <n v="1"/>
    <n v="3780"/>
    <n v="3780"/>
    <n v="1327500"/>
    <m/>
    <m/>
    <s v="DW-05T2-HK 1327500"/>
    <n v="4580"/>
    <n v="0.8253275109170306"/>
    <s v="Toshiba SRP"/>
    <m/>
    <s v="1327500"/>
  </r>
  <r>
    <n v="2651"/>
    <s v="Fortress"/>
    <s v="Tai Koo"/>
    <x v="39"/>
    <n v="3"/>
    <x v="27"/>
    <x v="36"/>
    <s v="輕觸式微波爐 (20公升)"/>
    <s v="細電"/>
    <s v="MCA"/>
    <s v="em20"/>
    <n v="1"/>
    <n v="598"/>
    <n v="598"/>
    <n v="1327457"/>
    <m/>
    <m/>
    <s v="MM2-EM20PC(WH) 1327457"/>
    <n v="788"/>
    <n v="0.75888324873096447"/>
    <s v="Toshiba SRP"/>
    <m/>
    <s v="1327457"/>
  </r>
  <r>
    <n v="2652"/>
    <s v="Fortress"/>
    <s v="Tai Koo"/>
    <x v="39"/>
    <n v="3"/>
    <x v="27"/>
    <x v="24"/>
    <s v="微型電腦珍珠飯煲"/>
    <s v="細電"/>
    <s v="SDA"/>
    <s v="5sli"/>
    <n v="1"/>
    <n v="593"/>
    <n v="593"/>
    <n v="1327425"/>
    <m/>
    <m/>
    <s v="RC-5SLIH(W) 1327425"/>
    <n v="658"/>
    <n v="0.90121580547112456"/>
    <s v="Toshiba SRP"/>
    <m/>
    <s v="1327425"/>
  </r>
  <r>
    <n v="2653"/>
    <s v="Fortress"/>
    <s v="Tai Koo"/>
    <x v="39"/>
    <n v="3"/>
    <x v="27"/>
    <x v="37"/>
    <s v="電熱水瓶 (5公升)"/>
    <s v="細電"/>
    <s v="SDA"/>
    <s v="50dr"/>
    <n v="1"/>
    <n v="598"/>
    <n v="598"/>
    <n v="1327443"/>
    <m/>
    <m/>
    <s v="TP-50DRUHK(W) 1327443"/>
    <n v="718"/>
    <n v="0.83286908077994426"/>
    <s v="Toshiba SRP"/>
    <m/>
    <s v="1327443"/>
  </r>
  <r>
    <n v="2654"/>
    <s v="Fortress"/>
    <s v="Tai Koo"/>
    <x v="39"/>
    <n v="3"/>
    <x v="27"/>
    <x v="107"/>
    <s v="1.5L無線雙層電熱水壺"/>
    <s v="細電"/>
    <s v="SDA"/>
    <s v="15drr"/>
    <n v="1"/>
    <n v="298"/>
    <n v="298"/>
    <n v="1723266"/>
    <m/>
    <m/>
    <s v="KT-15DRRH 1723266"/>
    <n v="438"/>
    <n v="0.68036529680365299"/>
    <s v="Toshiba SRP"/>
    <m/>
    <s v="1723266"/>
  </r>
  <r>
    <n v="2655"/>
    <s v="Fortress"/>
    <s v="Tai Koo"/>
    <x v="39"/>
    <n v="3"/>
    <x v="27"/>
    <x v="44"/>
    <s v="1.7L無線雙層電熱水壺"/>
    <s v="細電"/>
    <s v="SDA"/>
    <s v="17shnh"/>
    <n v="1"/>
    <n v="198"/>
    <n v="198"/>
    <n v="1723314"/>
    <m/>
    <m/>
    <s v="KT-17SHNH 1723314"/>
    <n v="299"/>
    <n v="0.66220735785953178"/>
    <s v="Shops Highest Price"/>
    <m/>
    <s v="1723314"/>
  </r>
  <r>
    <n v="2656"/>
    <s v="Fortress"/>
    <s v="Tai Koo"/>
    <x v="39"/>
    <n v="3"/>
    <x v="27"/>
    <x v="50"/>
    <s v="輕便式電磁爐7個功能"/>
    <s v="細電"/>
    <s v="SDA"/>
    <s v="s19"/>
    <n v="1"/>
    <n v="418"/>
    <n v="418"/>
    <n v="1723310"/>
    <m/>
    <m/>
    <s v="IC-S19RH 1723310"/>
    <n v="638"/>
    <n v="0.65517241379310343"/>
    <s v="Toshiba SRP"/>
    <m/>
    <s v="1723310"/>
  </r>
  <r>
    <n v="2657"/>
    <s v="Fortress"/>
    <s v="Tai Koo"/>
    <x v="39"/>
    <n v="3"/>
    <x v="27"/>
    <x v="52"/>
    <s v="35L多功能電焗爐"/>
    <s v="細電"/>
    <s v="SDA"/>
    <s v="mc35"/>
    <n v="1"/>
    <n v="888"/>
    <n v="888"/>
    <n v="1327369"/>
    <m/>
    <m/>
    <s v="TL-MC35Z 1327369"/>
    <n v="1098"/>
    <n v="0.80874316939890711"/>
    <s v="Toshiba SRP"/>
    <m/>
    <s v="1327369"/>
  </r>
  <r>
    <n v="2658"/>
    <s v="Fortress"/>
    <s v="Tai Koo"/>
    <x v="39"/>
    <n v="3"/>
    <x v="28"/>
    <x v="36"/>
    <s v="輕觸式微波爐 (20公升)"/>
    <s v="細電"/>
    <s v="MCA"/>
    <s v="em20"/>
    <n v="1"/>
    <n v="598"/>
    <n v="598"/>
    <n v="1723407"/>
    <m/>
    <m/>
    <s v="MM2-EM20PC(WH) 1723407"/>
    <n v="788"/>
    <n v="0.75888324873096447"/>
    <s v="Toshiba SRP"/>
    <m/>
    <s v="1723407"/>
  </r>
  <r>
    <n v="2659"/>
    <s v="Fortress"/>
    <s v="Tai Koo"/>
    <x v="39"/>
    <n v="3"/>
    <x v="28"/>
    <x v="21"/>
    <s v="壓縮式抽濕機 (30公升)"/>
    <s v="細電"/>
    <s v="RAC"/>
    <s v="d300"/>
    <n v="1"/>
    <n v="2280"/>
    <n v="2280"/>
    <n v="1723490"/>
    <m/>
    <m/>
    <s v="RAD-D300H 1723490"/>
    <n v="3380"/>
    <n v="0.67455621301775148"/>
    <s v="Shops Highest Price"/>
    <m/>
    <s v="1723490"/>
  </r>
  <r>
    <n v="2660"/>
    <s v="Fortress"/>
    <s v="Tai Koo"/>
    <x v="39"/>
    <n v="3"/>
    <x v="28"/>
    <x v="113"/>
    <s v="迷你壓力磁應電飯煲(0.63公升)"/>
    <s v="細電"/>
    <s v="SDA"/>
    <s v="6px"/>
    <n v="1"/>
    <n v="938"/>
    <n v="938"/>
    <n v="1327544"/>
    <m/>
    <m/>
    <s v="RC-6PXTHK(W) 1327544"/>
    <n v="1398"/>
    <n v="0.67095851216022895"/>
    <s v="Toshiba SRP"/>
    <m/>
    <s v="1327544"/>
  </r>
  <r>
    <n v="2661"/>
    <s v="Fortress"/>
    <s v="Tai Koo"/>
    <x v="39"/>
    <n v="3"/>
    <x v="28"/>
    <x v="27"/>
    <s v="4毫米厚釜電飯煲1.8L"/>
    <s v="細電"/>
    <s v="SDA"/>
    <s v="18nmf"/>
    <n v="1"/>
    <n v="799"/>
    <n v="799"/>
    <n v="1723423"/>
    <m/>
    <m/>
    <s v="RC-18NMFIH(WT) 1723423"/>
    <n v="998"/>
    <n v="0.80060120240480959"/>
    <s v="Toshiba SRP"/>
    <m/>
    <s v="1723423"/>
  </r>
  <r>
    <n v="2662"/>
    <s v="Fortress"/>
    <s v="Tai Koo"/>
    <x v="39"/>
    <n v="3"/>
    <x v="28"/>
    <x v="137"/>
    <s v="2匹變頻冷暖分體式冷氣機"/>
    <s v="大電"/>
    <s v="AC"/>
    <s v="18j2kv"/>
    <n v="1"/>
    <n v="7358"/>
    <n v="7358"/>
    <n v="1723455"/>
    <m/>
    <m/>
    <s v="RAS-18J2KV(HK) 1723455"/>
    <n v="11590"/>
    <n v="0.63485763589301125"/>
    <s v="Toshiba SRP"/>
    <m/>
    <s v="1723455"/>
  </r>
  <r>
    <n v="2663"/>
    <s v="Fortress"/>
    <s v="Tai Koo"/>
    <x v="39"/>
    <n v="3"/>
    <x v="28"/>
    <x v="21"/>
    <s v="壓縮式抽濕機 (30公升)"/>
    <s v="細電"/>
    <s v="RAC"/>
    <s v="d300"/>
    <n v="1"/>
    <n v="2280"/>
    <n v="2280"/>
    <n v="1723407"/>
    <m/>
    <m/>
    <s v="RAD-D300H 1723407"/>
    <n v="3380"/>
    <n v="0.67455621301775148"/>
    <s v="Shops Highest Price"/>
    <m/>
    <s v="1723407"/>
  </r>
  <r>
    <n v="2664"/>
    <s v="Fortress"/>
    <s v="Tai Koo"/>
    <x v="39"/>
    <n v="3"/>
    <x v="28"/>
    <x v="21"/>
    <s v="壓縮式抽濕機 (30公升)"/>
    <s v="細電"/>
    <s v="RAC"/>
    <s v="d300"/>
    <n v="1"/>
    <n v="2280"/>
    <n v="2280"/>
    <n v="1327544"/>
    <m/>
    <m/>
    <s v="RAD-D300H 1327544"/>
    <n v="3380"/>
    <n v="0.67455621301775148"/>
    <s v="Shops Highest Price"/>
    <m/>
    <s v="1327544"/>
  </r>
  <r>
    <n v="2665"/>
    <s v="Fortress"/>
    <s v="Tai Koo"/>
    <x v="39"/>
    <n v="3"/>
    <x v="28"/>
    <x v="17"/>
    <s v="4毫米厚釜電飯煲1L"/>
    <s v="細電"/>
    <s v="SDA"/>
    <s v="10nmf"/>
    <n v="1"/>
    <n v="719"/>
    <n v="719"/>
    <n v="1723410"/>
    <m/>
    <m/>
    <s v="RC-10NMFIH(WT) 1723410"/>
    <n v="898"/>
    <n v="0.80066815144766146"/>
    <s v="Toshiba SRP"/>
    <m/>
    <s v="1723410"/>
  </r>
  <r>
    <n v="2666"/>
    <s v="Fortress"/>
    <s v="Tai Koo"/>
    <x v="39"/>
    <n v="3"/>
    <x v="28"/>
    <x v="54"/>
    <s v="低醣磁應電飯煲1L"/>
    <s v="細電"/>
    <s v="SDA"/>
    <s v="10irph"/>
    <n v="1"/>
    <n v="798"/>
    <n v="798"/>
    <n v="1723485"/>
    <m/>
    <m/>
    <s v="RC-10IRPH 1723485"/>
    <n v="1388"/>
    <n v="0.5749279538904899"/>
    <s v="Toshiba SRP"/>
    <m/>
    <s v="1723485"/>
  </r>
  <r>
    <n v="2667"/>
    <s v="Fortress"/>
    <s v="Tai Koo"/>
    <x v="39"/>
    <n v="3"/>
    <x v="28"/>
    <x v="121"/>
    <s v="IH磁應電飯煲"/>
    <s v="細電"/>
    <s v="SDA"/>
    <s v="ds10kw"/>
    <n v="1"/>
    <n v="3150"/>
    <n v="3150"/>
    <n v="1723526"/>
    <m/>
    <m/>
    <s v="RC-DS10K(N) 1723526"/>
    <n v="4588"/>
    <n v="0.68657367044463824"/>
    <s v="Toshiba SRP"/>
    <m/>
    <s v="1723526"/>
  </r>
  <r>
    <n v="2668"/>
    <s v="Fortress"/>
    <s v="Tai Koo"/>
    <x v="39"/>
    <n v="3"/>
    <x v="28"/>
    <x v="32"/>
    <s v="電熱水瓶3L"/>
    <s v="細電"/>
    <s v="SDA"/>
    <s v="30fl"/>
    <n v="1"/>
    <n v="489"/>
    <n v="489"/>
    <n v="1723407"/>
    <m/>
    <m/>
    <s v="PLK-30FLIH(WT) 1723407"/>
    <n v="658"/>
    <n v="0.74316109422492405"/>
    <s v="Toshiba SRP"/>
    <m/>
    <s v="1723407"/>
  </r>
  <r>
    <n v="2669"/>
    <s v="Fortress"/>
    <s v="Tai Koo"/>
    <x v="39"/>
    <n v="3"/>
    <x v="28"/>
    <x v="17"/>
    <s v="4毫米厚釜電飯煲1L"/>
    <s v="細電"/>
    <s v="SDA"/>
    <s v="10nmf"/>
    <n v="1"/>
    <n v="719"/>
    <n v="719"/>
    <n v="1723407"/>
    <m/>
    <m/>
    <s v="RC-10NMFIH(WT) 1723407"/>
    <n v="898"/>
    <n v="0.80066815144766146"/>
    <s v="Toshiba SRP"/>
    <m/>
    <s v="1723407"/>
  </r>
  <r>
    <n v="2670"/>
    <s v="Fortress"/>
    <s v="Tai Koo"/>
    <x v="39"/>
    <n v="3"/>
    <x v="28"/>
    <x v="27"/>
    <s v="4毫米厚釜電飯煲1.8L"/>
    <s v="細電"/>
    <s v="SDA"/>
    <s v="18nmf"/>
    <n v="1"/>
    <n v="799"/>
    <n v="799"/>
    <n v="1327551"/>
    <m/>
    <m/>
    <s v="RC-18NMFIH(WT) 1327551"/>
    <n v="998"/>
    <n v="0.80060120240480959"/>
    <s v="Toshiba SRP"/>
    <m/>
    <s v="1327551"/>
  </r>
  <r>
    <n v="2671"/>
    <s v="Fortress"/>
    <s v="Tai Koo"/>
    <x v="39"/>
    <n v="3"/>
    <x v="28"/>
    <x v="32"/>
    <s v="電熱水瓶3L"/>
    <s v="細電"/>
    <s v="SDA"/>
    <s v="30fl"/>
    <n v="1"/>
    <n v="489"/>
    <n v="489"/>
    <n v="1723410"/>
    <m/>
    <m/>
    <s v="PLK-30FLIH(WT) 1723410"/>
    <n v="658"/>
    <n v="0.74316109422492405"/>
    <s v="Toshiba SRP"/>
    <m/>
    <s v="1723410"/>
  </r>
  <r>
    <n v="2672"/>
    <s v="Fortress"/>
    <s v="Tai Koo"/>
    <x v="39"/>
    <n v="3"/>
    <x v="29"/>
    <x v="21"/>
    <s v="壓縮式抽濕機 (30公升)"/>
    <s v="細電"/>
    <s v="RAC"/>
    <s v="d300"/>
    <n v="1"/>
    <n v="2280"/>
    <n v="2280"/>
    <n v="1723532"/>
    <m/>
    <m/>
    <s v="RAD-D300H 1723532"/>
    <n v="3380"/>
    <n v="0.67455621301775148"/>
    <s v="Shops Highest Price"/>
    <m/>
    <s v="1723532"/>
  </r>
  <r>
    <n v="2673"/>
    <s v="Fortress"/>
    <s v="Tai Koo"/>
    <x v="39"/>
    <n v="3"/>
    <x v="29"/>
    <x v="36"/>
    <s v="輕觸式微波爐 (20公升)"/>
    <s v="細電"/>
    <s v="MCA"/>
    <s v="em20"/>
    <n v="1"/>
    <n v="598"/>
    <n v="598"/>
    <n v="1723529"/>
    <m/>
    <m/>
    <s v="MM2-EM20PC(WH) 1723529"/>
    <n v="788"/>
    <n v="0.75888324873096447"/>
    <s v="Toshiba SRP"/>
    <m/>
    <s v="1723529"/>
  </r>
  <r>
    <n v="2674"/>
    <s v="Fortress"/>
    <s v="Tai Koo"/>
    <x v="39"/>
    <n v="3"/>
    <x v="29"/>
    <x v="63"/>
    <s v="20L 智能蒸氣焗爐"/>
    <s v="細電"/>
    <s v="MCA"/>
    <s v="stq20"/>
    <n v="1"/>
    <n v="2100"/>
    <n v="2100"/>
    <n v="1723540"/>
    <m/>
    <m/>
    <s v="MS3-STQ20SC(WH) 1723540"/>
    <n v="2880"/>
    <n v="0.72916666666666663"/>
    <s v="Toshiba SRP"/>
    <m/>
    <s v="1723540"/>
  </r>
  <r>
    <n v="2675"/>
    <s v="Fortress"/>
    <s v="Tai Koo"/>
    <x v="39"/>
    <n v="3"/>
    <x v="29"/>
    <x v="56"/>
    <s v="多士焗爐8L"/>
    <s v="細電"/>
    <s v="SDA"/>
    <n v="7080"/>
    <n v="1"/>
    <n v="338"/>
    <n v="338"/>
    <n v="1723450"/>
    <m/>
    <m/>
    <s v="ET-TD7080(PN) 1723450"/>
    <n v="498"/>
    <n v="0.67871485943775101"/>
    <s v="Toshiba SRP"/>
    <m/>
    <s v="1723450"/>
  </r>
  <r>
    <n v="2676"/>
    <s v="Fortress"/>
    <s v="Tai Koo"/>
    <x v="39"/>
    <n v="3"/>
    <x v="29"/>
    <x v="34"/>
    <s v="智能氣炸烤焗爐(24公升)"/>
    <s v="細電"/>
    <s v="MCA"/>
    <s v="sac24"/>
    <n v="1"/>
    <n v="1320"/>
    <n v="1320"/>
    <n v="1327626"/>
    <m/>
    <m/>
    <s v="MW3-SAC24SE(BK) 1327626"/>
    <n v="1680"/>
    <n v="0.7857142857142857"/>
    <s v="Toshiba SRP"/>
    <m/>
    <s v="1327626"/>
  </r>
  <r>
    <n v="2677"/>
    <s v="Fortress"/>
    <s v="Tai Koo"/>
    <x v="39"/>
    <n v="3"/>
    <x v="29"/>
    <x v="21"/>
    <s v="壓縮式抽濕機 (30公升)"/>
    <s v="細電"/>
    <s v="RAC"/>
    <s v="d300"/>
    <n v="1"/>
    <n v="2280"/>
    <n v="2280"/>
    <n v="1327657"/>
    <m/>
    <m/>
    <s v="RAD-D300H 1327657"/>
    <n v="3380"/>
    <n v="0.67455621301775148"/>
    <s v="Shops Highest Price"/>
    <m/>
    <s v="1327657"/>
  </r>
  <r>
    <n v="2678"/>
    <s v="Fortress"/>
    <s v="Tai Koo"/>
    <x v="39"/>
    <n v="3"/>
    <x v="29"/>
    <x v="105"/>
    <s v="旋鈕式燒烤微波爐20L黑色"/>
    <s v="細電"/>
    <s v="SDA"/>
    <s v="mg20"/>
    <n v="1"/>
    <n v="698"/>
    <n v="698"/>
    <n v="1327622"/>
    <m/>
    <m/>
    <s v="MWP-MG20P(BK) 1327622"/>
    <n v="918"/>
    <n v="0.76034858387799564"/>
    <s v="Toshiba SRP"/>
    <m/>
    <s v="1327622"/>
  </r>
  <r>
    <n v="2679"/>
    <s v="Fortress"/>
    <s v="Tai Koo"/>
    <x v="39"/>
    <n v="3"/>
    <x v="29"/>
    <x v="33"/>
    <s v="輕觸式燒烤微波爐"/>
    <s v="細電"/>
    <s v="MCA"/>
    <s v="eg20"/>
    <n v="1"/>
    <n v="698"/>
    <n v="698"/>
    <n v="1327665"/>
    <m/>
    <m/>
    <s v="MM2-EG20PC(WH) 1327665"/>
    <n v="918"/>
    <n v="0.76034858387799564"/>
    <s v="Shops Highest Price"/>
    <m/>
    <s v="1327665"/>
  </r>
  <r>
    <n v="2680"/>
    <s v="Fortress"/>
    <s v="Tai Koo"/>
    <x v="39"/>
    <n v="3"/>
    <x v="29"/>
    <x v="39"/>
    <s v="酵活炊電飯煲(1.0公升)"/>
    <s v="細電"/>
    <s v="SDA"/>
    <s v="10amx"/>
    <n v="1"/>
    <n v="990"/>
    <n v="990"/>
    <n v="1723670"/>
    <m/>
    <m/>
    <s v="RC-10AMXH(W) 1723670"/>
    <n v="1288"/>
    <n v="0.76863354037267084"/>
    <s v="Toshiba SRP"/>
    <m/>
    <s v="1723670"/>
  </r>
  <r>
    <n v="2681"/>
    <s v="BBE"/>
    <s v="Mongkok_2"/>
    <x v="40"/>
    <n v="3"/>
    <x v="3"/>
    <x v="74"/>
    <s v="4合1氣炸微波蒸焗爐(25公升)"/>
    <s v="細電"/>
    <s v="MCA"/>
    <s v="str25"/>
    <n v="1"/>
    <n v="3327"/>
    <n v="3327"/>
    <n v="2630558"/>
    <m/>
    <m/>
    <s v="MX2-STR25SC(WH) 2630558"/>
    <n v="4998"/>
    <n v="0.66566626650660266"/>
    <s v="Toshiba SRP"/>
    <m/>
    <s v="2630558"/>
  </r>
  <r>
    <n v="2682"/>
    <s v="BBE"/>
    <s v="Mongkok_2"/>
    <x v="40"/>
    <n v="3"/>
    <x v="3"/>
    <x v="117"/>
    <s v="JAPANDi 嵌入式微波氣炸蒸焗爐 (45厘米)"/>
    <s v="大電"/>
    <s v="MCA"/>
    <s v="t500a"/>
    <n v="1"/>
    <n v="13386"/>
    <n v="13386"/>
    <n v="2630561"/>
    <m/>
    <m/>
    <s v="EB-T500APW 2630561"/>
    <n v="28800"/>
    <n v="0.46479166666666666"/>
    <s v="Toshiba SRP"/>
    <m/>
    <s v="2630561"/>
  </r>
  <r>
    <n v="2683"/>
    <s v="BBE"/>
    <s v="Mongkok_2"/>
    <x v="40"/>
    <n v="3"/>
    <x v="3"/>
    <x v="20"/>
    <s v="壓縮式抽濕機 (22公升)"/>
    <s v="細電"/>
    <s v="RAC"/>
    <s v="d200"/>
    <n v="1"/>
    <n v="1921"/>
    <n v="1921"/>
    <n v="2630562"/>
    <m/>
    <m/>
    <s v="RAD-D200H 2630562"/>
    <n v="2880"/>
    <n v="0.66701388888888891"/>
    <s v="Shops Highest Price"/>
    <m/>
    <s v="2630562"/>
  </r>
  <r>
    <n v="2684"/>
    <s v="BBE"/>
    <s v="Mongkok_2"/>
    <x v="40"/>
    <n v="3"/>
    <x v="4"/>
    <x v="87"/>
    <s v="變頻式環保雙門雪櫃(233L)"/>
    <s v="大電"/>
    <s v="REF"/>
    <s v="rt300"/>
    <n v="1"/>
    <n v="2697"/>
    <n v="2697"/>
    <n v="2630624"/>
    <m/>
    <m/>
    <s v="GR-RT300WE-PMA(57) 2630624"/>
    <n v="4280"/>
    <n v="0.6301401869158878"/>
    <s v="Toshiba SRP"/>
    <m/>
    <s v="2630624"/>
  </r>
  <r>
    <n v="2685"/>
    <s v="BBE"/>
    <s v="Mongkok_2"/>
    <x v="40"/>
    <n v="3"/>
    <x v="18"/>
    <x v="11"/>
    <s v="座檯式純蒸氣烤焗水波爐30L"/>
    <s v="細電"/>
    <s v="SDA"/>
    <s v="td5000"/>
    <n v="1"/>
    <n v="4848"/>
    <n v="4848"/>
    <n v="2630753"/>
    <m/>
    <m/>
    <s v="ER-TD5000HK(XK) 2630753"/>
    <n v="7998"/>
    <n v="0.60615153788447107"/>
    <s v="Toshiba SRP"/>
    <m/>
    <s v="2630753"/>
  </r>
  <r>
    <n v="2686"/>
    <s v="BBE"/>
    <s v="Mongkok_2"/>
    <x v="40"/>
    <n v="3"/>
    <x v="18"/>
    <x v="88"/>
    <s v="水波爐"/>
    <s v="細電"/>
    <s v="MCA"/>
    <s v="vd7000"/>
    <n v="1"/>
    <n v="5887"/>
    <n v="5887"/>
    <n v="2630797"/>
    <m/>
    <m/>
    <s v="ER-VD7000HK(XK) 2630797"/>
    <n v="8998"/>
    <n v="0.65425650144476555"/>
    <s v="Toshiba SRP"/>
    <m/>
    <s v="2630797"/>
  </r>
  <r>
    <n v="2687"/>
    <s v="BBE"/>
    <s v="Mongkok_2"/>
    <x v="40"/>
    <n v="3"/>
    <x v="19"/>
    <x v="52"/>
    <s v="35L多功能電焗爐"/>
    <s v="細電"/>
    <s v="SDA"/>
    <s v="mc35"/>
    <n v="1"/>
    <n v="861"/>
    <n v="861"/>
    <n v="2630836"/>
    <m/>
    <m/>
    <s v="TL-MC35Z 2630836"/>
    <n v="1098"/>
    <n v="0.78415300546448086"/>
    <s v="Toshiba SRP"/>
    <m/>
    <s v="2630836"/>
  </r>
  <r>
    <n v="2688"/>
    <s v="BBE"/>
    <s v="Mongkok_2"/>
    <x v="40"/>
    <n v="3"/>
    <x v="19"/>
    <x v="93"/>
    <s v="座檯式洗碗碟機"/>
    <s v="細電"/>
    <s v="DW"/>
    <s v="05t2"/>
    <n v="1"/>
    <n v="3549"/>
    <n v="3549"/>
    <n v="2630844"/>
    <m/>
    <m/>
    <s v="DW-05T2-HK 2630844"/>
    <n v="4580"/>
    <n v="0.7748908296943231"/>
    <s v="Toshiba SRP"/>
    <m/>
    <s v="2630844"/>
  </r>
  <r>
    <n v="2689"/>
    <s v="BBE"/>
    <s v="Mongkok_2"/>
    <x v="40"/>
    <n v="3"/>
    <x v="20"/>
    <x v="63"/>
    <s v="20L 智能蒸氣焗爐"/>
    <s v="細電"/>
    <s v="MCA"/>
    <s v="stq20"/>
    <n v="1"/>
    <n v="1697"/>
    <n v="1697"/>
    <n v="2630881"/>
    <m/>
    <m/>
    <s v="MS3-STQ20SC(WH) 2630881"/>
    <n v="2880"/>
    <n v="0.58923611111111107"/>
    <s v="Toshiba SRP"/>
    <m/>
    <s v="2630881"/>
  </r>
  <r>
    <n v="2690"/>
    <s v="BBE"/>
    <s v="Mongkok_2"/>
    <x v="40"/>
    <n v="3"/>
    <x v="20"/>
    <x v="117"/>
    <s v="JAPANDi 嵌入式微波氣炸蒸焗爐 (45厘米)"/>
    <s v="大電"/>
    <s v="MCA"/>
    <s v="t500a"/>
    <n v="1"/>
    <n v="13386"/>
    <n v="13386"/>
    <n v="2630910"/>
    <m/>
    <m/>
    <s v="EB-T500APW 2630910"/>
    <n v="28800"/>
    <n v="0.46479166666666666"/>
    <s v="Toshiba SRP"/>
    <m/>
    <s v="2630910"/>
  </r>
  <r>
    <n v="2691"/>
    <s v="BBE"/>
    <s v="Mongkok_2"/>
    <x v="40"/>
    <n v="3"/>
    <x v="20"/>
    <x v="117"/>
    <s v="JAPANDi 嵌入式微波氣炸蒸焗爐 (45厘米)"/>
    <s v="大電"/>
    <s v="MCA"/>
    <s v="t500a"/>
    <n v="1"/>
    <n v="13386"/>
    <n v="13386"/>
    <n v="2630917"/>
    <m/>
    <m/>
    <s v="EB-T500APW 2630917"/>
    <n v="28800"/>
    <n v="0.46479166666666666"/>
    <s v="Toshiba SRP"/>
    <m/>
    <s v="2630917"/>
  </r>
  <r>
    <n v="2692"/>
    <s v="BBE"/>
    <s v="Mongkok_2"/>
    <x v="40"/>
    <n v="3"/>
    <x v="20"/>
    <x v="43"/>
    <s v="470MM超薄身前置式變頻洗衣機(8.5公斤, 可飛頂)"/>
    <s v="大電"/>
    <s v="LAD"/>
    <s v="t2295"/>
    <n v="1"/>
    <n v="3384"/>
    <n v="3384"/>
    <n v="2630917"/>
    <m/>
    <m/>
    <s v="TW-T22BU95UWH(WK)-B 2630917"/>
    <n v="5880"/>
    <n v="0.57551020408163267"/>
    <s v="Toshiba SRP"/>
    <m/>
    <s v="2630917"/>
  </r>
  <r>
    <n v="2693"/>
    <s v="BBE"/>
    <s v="Mongkok_2"/>
    <x v="40"/>
    <n v="3"/>
    <x v="20"/>
    <x v="110"/>
    <s v="變頻六門雪櫃(451L)"/>
    <s v="大電"/>
    <s v="REF"/>
    <s v="rm598"/>
    <n v="1"/>
    <n v="10562"/>
    <n v="10562"/>
    <n v="2630917"/>
    <m/>
    <m/>
    <s v="GR-RM598WE-PGA(B3) 2630917"/>
    <n v="14980"/>
    <n v="0.70507343124165556"/>
    <s v="Toshiba SRP"/>
    <m/>
    <s v="2630917"/>
  </r>
  <r>
    <n v="2694"/>
    <s v="BBE"/>
    <s v="Mongkok_2"/>
    <x v="40"/>
    <n v="3"/>
    <x v="21"/>
    <x v="74"/>
    <s v="4合1氣炸微波蒸焗爐(25公升)"/>
    <s v="細電"/>
    <s v="MCA"/>
    <s v="str25"/>
    <n v="1"/>
    <n v="3327"/>
    <n v="3327"/>
    <n v="2630933"/>
    <m/>
    <m/>
    <s v="MX2-STR25SC(WH) 2630933"/>
    <n v="4998"/>
    <n v="0.66566626650660266"/>
    <s v="Toshiba SRP"/>
    <m/>
    <s v="2630933"/>
  </r>
  <r>
    <n v="2695"/>
    <s v="BBE"/>
    <s v="Mongkok_2"/>
    <x v="40"/>
    <n v="3"/>
    <x v="21"/>
    <x v="117"/>
    <s v="JAPANDi 嵌入式微波氣炸蒸焗爐 (45厘米)"/>
    <s v="大電"/>
    <s v="MCA"/>
    <s v="t500a"/>
    <n v="1"/>
    <n v="13386"/>
    <n v="13386"/>
    <n v="2630965"/>
    <m/>
    <m/>
    <s v="EB-T500APW 2630965"/>
    <n v="28800"/>
    <n v="0.46479166666666666"/>
    <s v="Toshiba SRP"/>
    <m/>
    <s v="2630965"/>
  </r>
  <r>
    <n v="2696"/>
    <s v="Broadway"/>
    <s v="Tai koo"/>
    <x v="41"/>
    <n v="3"/>
    <x v="0"/>
    <x v="72"/>
    <s v="壓縮式抽濕機 (25公升)"/>
    <s v="細電"/>
    <s v="RAC"/>
    <s v="d250"/>
    <n v="1"/>
    <n v="2180"/>
    <n v="2180"/>
    <n v="324696"/>
    <m/>
    <m/>
    <s v="RAD-D250H 324696"/>
    <n v="3380"/>
    <n v="0.6449704142011834"/>
    <s v="Shops Highest Price"/>
    <m/>
    <s v="324696"/>
  </r>
  <r>
    <n v="2697"/>
    <s v="Broadway"/>
    <s v="Tai koo"/>
    <x v="41"/>
    <n v="3"/>
    <x v="0"/>
    <x v="72"/>
    <s v="壓縮式抽濕機 (25公升)"/>
    <s v="細電"/>
    <s v="RAC"/>
    <s v="d250"/>
    <n v="1"/>
    <n v="2180"/>
    <n v="2180"/>
    <n v="324694"/>
    <m/>
    <m/>
    <s v="RAD-D250H 324694"/>
    <n v="3380"/>
    <n v="0.6449704142011834"/>
    <s v="Shops Highest Price"/>
    <m/>
    <s v="324694"/>
  </r>
  <r>
    <n v="2698"/>
    <s v="Broadway"/>
    <s v="Tai koo"/>
    <x v="41"/>
    <n v="3"/>
    <x v="0"/>
    <x v="33"/>
    <s v="輕觸式燒烤微波爐"/>
    <s v="細電"/>
    <s v="MCA"/>
    <s v="eg20"/>
    <n v="1"/>
    <n v="698"/>
    <n v="698"/>
    <n v="324697"/>
    <m/>
    <m/>
    <s v="MM2-EG20PC(WH) 324697"/>
    <n v="918"/>
    <n v="0.76034858387799564"/>
    <s v="Shops Highest Price"/>
    <m/>
    <s v="324697"/>
  </r>
  <r>
    <n v="2699"/>
    <s v="Broadway"/>
    <s v="Tai koo"/>
    <x v="41"/>
    <n v="3"/>
    <x v="0"/>
    <x v="72"/>
    <s v="壓縮式抽濕機 (25公升)"/>
    <s v="細電"/>
    <s v="RAC"/>
    <s v="d250"/>
    <n v="1"/>
    <n v="2180"/>
    <n v="2180"/>
    <n v="324719"/>
    <m/>
    <m/>
    <s v="RAD-D250H 324719"/>
    <n v="3380"/>
    <n v="0.6449704142011834"/>
    <s v="Shops Highest Price"/>
    <m/>
    <s v="324719"/>
  </r>
  <r>
    <n v="2700"/>
    <s v="Broadway"/>
    <s v="Tai koo"/>
    <x v="41"/>
    <n v="3"/>
    <x v="0"/>
    <x v="72"/>
    <s v="壓縮式抽濕機 (25公升)"/>
    <s v="細電"/>
    <s v="RAC"/>
    <s v="d250"/>
    <n v="1"/>
    <n v="2080"/>
    <n v="2080"/>
    <n v="324726"/>
    <m/>
    <m/>
    <s v="RAD-D250H 324726"/>
    <n v="3380"/>
    <n v="0.61538461538461542"/>
    <s v="Shops Highest Price"/>
    <m/>
    <s v="324726"/>
  </r>
  <r>
    <n v="2701"/>
    <s v="Broadway"/>
    <s v="Tai koo"/>
    <x v="41"/>
    <n v="3"/>
    <x v="0"/>
    <x v="72"/>
    <s v="壓縮式抽濕機 (25公升)"/>
    <s v="細電"/>
    <s v="RAC"/>
    <s v="d250"/>
    <n v="1"/>
    <n v="2080"/>
    <n v="2080"/>
    <n v="324732"/>
    <m/>
    <m/>
    <s v="RAD-D250H 324732"/>
    <n v="3380"/>
    <n v="0.61538461538461542"/>
    <s v="Shops Highest Price"/>
    <m/>
    <s v="324732"/>
  </r>
  <r>
    <n v="2702"/>
    <s v="Broadway"/>
    <s v="Tai koo"/>
    <x v="41"/>
    <n v="3"/>
    <x v="0"/>
    <x v="72"/>
    <s v="壓縮式抽濕機 (25公升)"/>
    <s v="細電"/>
    <s v="RAC"/>
    <s v="d250"/>
    <n v="2"/>
    <n v="2180"/>
    <n v="4360"/>
    <n v="324736"/>
    <m/>
    <m/>
    <s v="RAD-D250H 324736"/>
    <n v="3380"/>
    <n v="0.6449704142011834"/>
    <s v="Shops Highest Price"/>
    <m/>
    <s v="324736"/>
  </r>
  <r>
    <n v="2703"/>
    <s v="Broadway"/>
    <s v="Tai koo"/>
    <x v="41"/>
    <n v="3"/>
    <x v="0"/>
    <x v="45"/>
    <s v="備長炭本厚釜電飯煲0.7L"/>
    <s v="細電"/>
    <s v="SDA"/>
    <s v="7hmh"/>
    <n v="1"/>
    <n v="788"/>
    <n v="788"/>
    <n v="1491"/>
    <m/>
    <m/>
    <s v="RC-7HMH 1491"/>
    <n v="1288"/>
    <n v="0.61180124223602483"/>
    <s v="Toshiba SRP"/>
    <m/>
    <s v="1491"/>
  </r>
  <r>
    <n v="2704"/>
    <s v="Broadway"/>
    <s v="Tai koo"/>
    <x v="41"/>
    <n v="3"/>
    <x v="0"/>
    <x v="72"/>
    <s v="壓縮式抽濕機 (25公升)"/>
    <s v="細電"/>
    <s v="RAC"/>
    <s v="d250"/>
    <n v="1"/>
    <n v="2180"/>
    <n v="2180"/>
    <n v="324745"/>
    <m/>
    <m/>
    <s v="RAD-D250H 324745"/>
    <n v="3380"/>
    <n v="0.6449704142011834"/>
    <s v="Shops Highest Price"/>
    <m/>
    <s v="324745"/>
  </r>
  <r>
    <n v="2705"/>
    <s v="Broadway"/>
    <s v="Tai koo"/>
    <x v="41"/>
    <n v="3"/>
    <x v="0"/>
    <x v="72"/>
    <s v="壓縮式抽濕機 (25公升)"/>
    <s v="細電"/>
    <s v="RAC"/>
    <s v="d250"/>
    <n v="1"/>
    <n v="2080"/>
    <n v="2080"/>
    <n v="324749"/>
    <m/>
    <m/>
    <s v="RAD-D250H 324749"/>
    <n v="3380"/>
    <n v="0.61538461538461542"/>
    <s v="Shops Highest Price"/>
    <m/>
    <s v="324749"/>
  </r>
  <r>
    <n v="2706"/>
    <s v="Broadway"/>
    <s v="Tai koo"/>
    <x v="41"/>
    <n v="3"/>
    <x v="0"/>
    <x v="72"/>
    <s v="壓縮式抽濕機 (25公升)"/>
    <s v="細電"/>
    <s v="RAC"/>
    <s v="d250"/>
    <n v="1"/>
    <n v="2080"/>
    <n v="2080"/>
    <n v="4384"/>
    <m/>
    <m/>
    <s v="RAD-D250H 4384"/>
    <n v="3380"/>
    <n v="0.61538461538461542"/>
    <s v="Shops Highest Price"/>
    <m/>
    <s v="4384"/>
  </r>
  <r>
    <n v="2707"/>
    <s v="Broadway"/>
    <s v="Tai koo"/>
    <x v="41"/>
    <n v="3"/>
    <x v="0"/>
    <x v="72"/>
    <s v="壓縮式抽濕機 (25公升)"/>
    <s v="細電"/>
    <s v="RAC"/>
    <s v="d250"/>
    <n v="1"/>
    <n v="2080"/>
    <n v="2080"/>
    <n v="4385"/>
    <m/>
    <m/>
    <s v="RAD-D250H 4385"/>
    <n v="3380"/>
    <n v="0.61538461538461542"/>
    <s v="Shops Highest Price"/>
    <m/>
    <s v="4385"/>
  </r>
  <r>
    <n v="2708"/>
    <s v="Broadway"/>
    <s v="Tai koo"/>
    <x v="41"/>
    <n v="3"/>
    <x v="1"/>
    <x v="124"/>
    <s v="RO座檯式冷熱飲水機"/>
    <s v="細電"/>
    <s v="KWH"/>
    <s v="w2265"/>
    <n v="1"/>
    <n v="2880"/>
    <n v="2880"/>
    <n v="200"/>
    <m/>
    <m/>
    <s v="TWP-W2265THK(W) 200"/>
    <n v="3480"/>
    <n v="0.82758620689655171"/>
    <s v="Shops Highest Price"/>
    <m/>
    <s v="200"/>
  </r>
  <r>
    <n v="2709"/>
    <s v="Broadway"/>
    <s v="Tai koo"/>
    <x v="41"/>
    <n v="3"/>
    <x v="1"/>
    <x v="72"/>
    <s v="壓縮式抽濕機 (25公升)"/>
    <s v="細電"/>
    <s v="RAC"/>
    <s v="d250"/>
    <n v="1"/>
    <n v="2080"/>
    <n v="2080"/>
    <n v="324962"/>
    <m/>
    <m/>
    <s v="RAD-D250H 324962"/>
    <n v="3380"/>
    <n v="0.61538461538461542"/>
    <s v="Shops Highest Price"/>
    <m/>
    <s v="324962"/>
  </r>
  <r>
    <n v="2710"/>
    <s v="Broadway"/>
    <s v="Tai koo"/>
    <x v="41"/>
    <n v="3"/>
    <x v="1"/>
    <x v="59"/>
    <s v="30公升蒸氣焗爐"/>
    <s v="細電"/>
    <s v="MCA"/>
    <s v="str30"/>
    <n v="1"/>
    <n v="3690"/>
    <n v="3690"/>
    <n v="324962"/>
    <m/>
    <m/>
    <s v="MS5-STR30SC(BK) 324962"/>
    <n v="5998"/>
    <n v="0.61520506835611866"/>
    <s v="Shops Highest Price"/>
    <m/>
    <s v="324962"/>
  </r>
  <r>
    <n v="2711"/>
    <s v="Broadway"/>
    <s v="Tai koo"/>
    <x v="41"/>
    <n v="3"/>
    <x v="1"/>
    <x v="72"/>
    <s v="壓縮式抽濕機 (25公升)"/>
    <s v="細電"/>
    <s v="RAC"/>
    <s v="d250"/>
    <n v="1"/>
    <n v="2080"/>
    <n v="2080"/>
    <n v="324986"/>
    <m/>
    <m/>
    <s v="RAD-D250H 324986"/>
    <n v="3380"/>
    <n v="0.61538461538461542"/>
    <s v="Shops Highest Price"/>
    <m/>
    <s v="324986"/>
  </r>
  <r>
    <n v="2712"/>
    <s v="Broadway"/>
    <s v="Tai koo"/>
    <x v="41"/>
    <n v="3"/>
    <x v="1"/>
    <x v="72"/>
    <s v="壓縮式抽濕機 (25公升)"/>
    <s v="細電"/>
    <s v="RAC"/>
    <s v="d250"/>
    <n v="1"/>
    <n v="2080"/>
    <n v="2080"/>
    <n v="325017"/>
    <m/>
    <m/>
    <s v="RAD-D250H 325017"/>
    <n v="3380"/>
    <n v="0.61538461538461542"/>
    <s v="Shops Highest Price"/>
    <m/>
    <s v="325017"/>
  </r>
  <r>
    <n v="2713"/>
    <s v="Broadway"/>
    <s v="Tai koo"/>
    <x v="41"/>
    <n v="3"/>
    <x v="1"/>
    <x v="72"/>
    <s v="壓縮式抽濕機 (25公升)"/>
    <s v="細電"/>
    <s v="RAC"/>
    <s v="d250"/>
    <n v="1"/>
    <n v="2080"/>
    <n v="2080"/>
    <n v="4394"/>
    <m/>
    <m/>
    <s v="RAD-D250H 4394"/>
    <n v="3380"/>
    <n v="0.61538461538461542"/>
    <s v="Shops Highest Price"/>
    <m/>
    <s v="4394"/>
  </r>
  <r>
    <n v="2714"/>
    <s v="Broadway"/>
    <s v="Tai koo"/>
    <x v="41"/>
    <n v="3"/>
    <x v="1"/>
    <x v="72"/>
    <s v="壓縮式抽濕機 (25公升)"/>
    <s v="細電"/>
    <s v="RAC"/>
    <s v="d250"/>
    <n v="1"/>
    <n v="2080"/>
    <n v="2080"/>
    <n v="620"/>
    <m/>
    <m/>
    <s v="RAD-D250H 620"/>
    <n v="3380"/>
    <n v="0.61538461538461542"/>
    <s v="Shops Highest Price"/>
    <m/>
    <s v="620"/>
  </r>
  <r>
    <n v="2715"/>
    <s v="Broadway"/>
    <s v="Tai koo"/>
    <x v="41"/>
    <n v="3"/>
    <x v="1"/>
    <x v="72"/>
    <s v="壓縮式抽濕機 (25公升)"/>
    <s v="細電"/>
    <s v="RAC"/>
    <s v="d250"/>
    <n v="1"/>
    <n v="2080"/>
    <n v="2080"/>
    <n v="4402"/>
    <m/>
    <m/>
    <s v="RAD-D250H 4402"/>
    <n v="3380"/>
    <n v="0.61538461538461542"/>
    <s v="Shops Highest Price"/>
    <m/>
    <s v="4402"/>
  </r>
  <r>
    <n v="2716"/>
    <s v="Broadway"/>
    <s v="Tai koo"/>
    <x v="41"/>
    <n v="3"/>
    <x v="1"/>
    <x v="72"/>
    <s v="壓縮式抽濕機 (25公升)"/>
    <s v="細電"/>
    <s v="RAC"/>
    <s v="d250"/>
    <n v="1"/>
    <n v="2080"/>
    <n v="2080"/>
    <n v="640"/>
    <m/>
    <m/>
    <s v="RAD-D250H 640"/>
    <n v="3380"/>
    <n v="0.61538461538461542"/>
    <s v="Shops Highest Price"/>
    <m/>
    <s v="640"/>
  </r>
  <r>
    <n v="2717"/>
    <s v="Broadway"/>
    <s v="Tai koo"/>
    <x v="41"/>
    <n v="3"/>
    <x v="1"/>
    <x v="72"/>
    <s v="壓縮式抽濕機 (25公升)"/>
    <s v="細電"/>
    <s v="RAC"/>
    <s v="d250"/>
    <n v="1"/>
    <n v="2080"/>
    <n v="2080"/>
    <n v="1363"/>
    <m/>
    <m/>
    <s v="RAD-D250H 1363"/>
    <n v="3380"/>
    <n v="0.61538461538461542"/>
    <s v="Shops Highest Price"/>
    <m/>
    <s v="1363"/>
  </r>
  <r>
    <n v="2718"/>
    <s v="Broadway"/>
    <s v="Tai koo"/>
    <x v="41"/>
    <n v="3"/>
    <x v="26"/>
    <x v="124"/>
    <s v="RO座檯式冷熱飲水機"/>
    <s v="細電"/>
    <s v="KWH"/>
    <s v="w2265"/>
    <n v="1"/>
    <n v="2880"/>
    <n v="2880"/>
    <n v="669"/>
    <m/>
    <m/>
    <s v="TWP-W2265THK(W) 669"/>
    <n v="3480"/>
    <n v="0.82758620689655171"/>
    <s v="Shops Highest Price"/>
    <m/>
    <s v="669"/>
  </r>
  <r>
    <n v="2719"/>
    <s v="Broadway"/>
    <s v="Tai koo"/>
    <x v="41"/>
    <n v="3"/>
    <x v="26"/>
    <x v="39"/>
    <s v="酵活炊電飯煲(1.0公升)"/>
    <s v="細電"/>
    <s v="SDA"/>
    <s v="10amx"/>
    <n v="1"/>
    <n v="990"/>
    <n v="990"/>
    <n v="232"/>
    <m/>
    <m/>
    <s v="RC-10AMXH(W) 232"/>
    <n v="1288"/>
    <n v="0.76863354037267084"/>
    <s v="Toshiba SRP"/>
    <m/>
    <s v="232"/>
  </r>
  <r>
    <n v="2720"/>
    <s v="Broadway"/>
    <s v="Tai koo"/>
    <x v="41"/>
    <n v="3"/>
    <x v="26"/>
    <x v="72"/>
    <s v="壓縮式抽濕機 (25公升)"/>
    <s v="細電"/>
    <s v="RAC"/>
    <s v="d250"/>
    <n v="1"/>
    <n v="2080"/>
    <n v="2080"/>
    <n v="4429"/>
    <m/>
    <m/>
    <s v="RAD-D250H 4429"/>
    <n v="3380"/>
    <n v="0.61538461538461542"/>
    <s v="Shops Highest Price"/>
    <m/>
    <s v="4429"/>
  </r>
  <r>
    <n v="2721"/>
    <s v="Broadway"/>
    <s v="Tai koo"/>
    <x v="41"/>
    <n v="3"/>
    <x v="26"/>
    <x v="88"/>
    <s v="水波爐"/>
    <s v="細電"/>
    <s v="MCA"/>
    <s v="vd7000"/>
    <n v="1"/>
    <n v="6060"/>
    <n v="6060"/>
    <n v="325324"/>
    <m/>
    <m/>
    <s v="ER-VD7000HK(XK) 325324"/>
    <n v="8998"/>
    <n v="0.67348299622138252"/>
    <s v="Toshiba SRP"/>
    <m/>
    <s v="325324"/>
  </r>
  <r>
    <n v="2722"/>
    <s v="Broadway"/>
    <s v="Tai koo"/>
    <x v="41"/>
    <n v="3"/>
    <x v="26"/>
    <x v="48"/>
    <s v="3合1 微波蒸焗爐 (20公升)"/>
    <s v="細電"/>
    <s v="MCA"/>
    <s v="tt20"/>
    <n v="1"/>
    <n v="2480"/>
    <n v="2480"/>
    <n v="325325"/>
    <m/>
    <m/>
    <s v="MX2-TT20SC(WH) 325325"/>
    <n v="3580"/>
    <n v="0.69273743016759781"/>
    <s v="Toshiba SRP"/>
    <m/>
    <s v="325325"/>
  </r>
  <r>
    <n v="2723"/>
    <s v="Broadway"/>
    <s v="Tai koo"/>
    <x v="41"/>
    <n v="3"/>
    <x v="26"/>
    <x v="74"/>
    <s v="4合1氣炸微波蒸焗爐(25公升)"/>
    <s v="細電"/>
    <s v="MCA"/>
    <s v="str25"/>
    <n v="1"/>
    <n v="3180"/>
    <n v="3180"/>
    <n v="325435"/>
    <m/>
    <m/>
    <s v="MX2-STR25SC(WH) 325435"/>
    <n v="4998"/>
    <n v="0.6362545018007203"/>
    <s v="Toshiba SRP"/>
    <m/>
    <s v="325435"/>
  </r>
  <r>
    <n v="2724"/>
    <s v="Broadway"/>
    <s v="Tai koo"/>
    <x v="41"/>
    <n v="3"/>
    <x v="27"/>
    <x v="74"/>
    <s v="4合1氣炸微波蒸焗爐(25公升)"/>
    <s v="細電"/>
    <s v="MCA"/>
    <s v="str25"/>
    <n v="1"/>
    <n v="3180"/>
    <n v="3180"/>
    <n v="325517"/>
    <m/>
    <m/>
    <s v="MX2-STR25SC(WH) 325517"/>
    <n v="4998"/>
    <n v="0.6362545018007203"/>
    <s v="Toshiba SRP"/>
    <m/>
    <s v="325517"/>
  </r>
  <r>
    <n v="2725"/>
    <s v="Broadway"/>
    <s v="Tai koo"/>
    <x v="41"/>
    <n v="3"/>
    <x v="27"/>
    <x v="72"/>
    <s v="壓縮式抽濕機 (25公升)"/>
    <s v="細電"/>
    <s v="RAC"/>
    <s v="d250"/>
    <n v="1"/>
    <n v="2080"/>
    <n v="2080"/>
    <n v="325536"/>
    <m/>
    <m/>
    <s v="RAD-D250H 325536"/>
    <n v="3380"/>
    <n v="0.61538461538461542"/>
    <s v="Shops Highest Price"/>
    <m/>
    <s v="325536"/>
  </r>
  <r>
    <n v="2726"/>
    <s v="Broadway"/>
    <s v="Tai koo"/>
    <x v="41"/>
    <n v="3"/>
    <x v="27"/>
    <x v="72"/>
    <s v="壓縮式抽濕機 (25公升)"/>
    <s v="細電"/>
    <s v="RAC"/>
    <s v="d250"/>
    <n v="1"/>
    <n v="2080"/>
    <n v="2080"/>
    <n v="325553"/>
    <m/>
    <m/>
    <s v="RAD-D250H 325553"/>
    <n v="3380"/>
    <n v="0.61538461538461542"/>
    <s v="Shops Highest Price"/>
    <m/>
    <s v="325553"/>
  </r>
  <r>
    <n v="2727"/>
    <s v="Broadway"/>
    <s v="Tai koo"/>
    <x v="41"/>
    <n v="3"/>
    <x v="27"/>
    <x v="72"/>
    <s v="壓縮式抽濕機 (25公升)"/>
    <s v="細電"/>
    <s v="RAC"/>
    <s v="d250"/>
    <n v="1"/>
    <n v="2080"/>
    <n v="2080"/>
    <n v="325561"/>
    <m/>
    <m/>
    <s v="RAD-D250H 325561"/>
    <n v="3380"/>
    <n v="0.61538461538461542"/>
    <s v="Shops Highest Price"/>
    <m/>
    <s v="325561"/>
  </r>
  <r>
    <n v="2728"/>
    <s v="Broadway"/>
    <s v="Tai koo"/>
    <x v="41"/>
    <n v="3"/>
    <x v="27"/>
    <x v="39"/>
    <s v="酵活炊電飯煲(1.0公升)"/>
    <s v="細電"/>
    <s v="SDA"/>
    <s v="10amx"/>
    <n v="1"/>
    <n v="930"/>
    <n v="930"/>
    <n v="1566"/>
    <m/>
    <m/>
    <s v="RC-10AMXH(W) 1566"/>
    <n v="1288"/>
    <n v="0.72204968944099379"/>
    <s v="Toshiba SRP"/>
    <m/>
    <s v="1566"/>
  </r>
  <r>
    <n v="2729"/>
    <s v="Broadway"/>
    <s v="Tai koo"/>
    <x v="41"/>
    <n v="3"/>
    <x v="27"/>
    <x v="72"/>
    <s v="壓縮式抽濕機 (25公升)"/>
    <s v="細電"/>
    <s v="RAC"/>
    <s v="d250"/>
    <n v="1"/>
    <n v="2080"/>
    <n v="2080"/>
    <n v="325618"/>
    <m/>
    <m/>
    <s v="RAD-D250H 325618"/>
    <n v="3380"/>
    <n v="0.61538461538461542"/>
    <s v="Shops Highest Price"/>
    <m/>
    <s v="325618"/>
  </r>
  <r>
    <n v="2730"/>
    <s v="Broadway"/>
    <s v="Tai koo"/>
    <x v="41"/>
    <n v="3"/>
    <x v="27"/>
    <x v="33"/>
    <s v="輕觸式燒烤微波爐"/>
    <s v="細電"/>
    <s v="MCA"/>
    <s v="eg20"/>
    <n v="1"/>
    <n v="698"/>
    <n v="698"/>
    <n v="325629"/>
    <m/>
    <m/>
    <s v="MM2-EG20PC(WH) 325629"/>
    <n v="918"/>
    <n v="0.76034858387799564"/>
    <s v="Shops Highest Price"/>
    <m/>
    <s v="325629"/>
  </r>
  <r>
    <n v="2731"/>
    <s v="Broadway"/>
    <s v="Tai koo"/>
    <x v="41"/>
    <n v="3"/>
    <x v="27"/>
    <x v="74"/>
    <s v="4合1氣炸微波蒸焗爐(25公升)"/>
    <s v="細電"/>
    <s v="MCA"/>
    <s v="str25"/>
    <n v="1"/>
    <n v="3180"/>
    <n v="3180"/>
    <n v="325662"/>
    <m/>
    <m/>
    <s v="MX2-STR25SC(WH) 325662"/>
    <n v="4998"/>
    <n v="0.6362545018007203"/>
    <s v="Toshiba SRP"/>
    <m/>
    <s v="325662"/>
  </r>
  <r>
    <n v="2732"/>
    <s v="Yata"/>
    <s v="TP_1"/>
    <x v="42"/>
    <n v="3"/>
    <x v="0"/>
    <x v="27"/>
    <s v="4毫米厚釜電飯煲1.8L"/>
    <s v="細電"/>
    <s v="SDA"/>
    <s v="18nmf"/>
    <n v="2"/>
    <n v="799"/>
    <n v="1598"/>
    <n v="321162"/>
    <m/>
    <m/>
    <s v="RC-18NMFIH(WT) 321162"/>
    <n v="998"/>
    <n v="0.80060120240480959"/>
    <s v="Toshiba SRP"/>
    <m/>
    <s v="321162"/>
  </r>
  <r>
    <n v="2733"/>
    <s v="Yata"/>
    <s v="TP_1"/>
    <x v="42"/>
    <n v="3"/>
    <x v="0"/>
    <x v="24"/>
    <s v="微型電腦珍珠飯煲"/>
    <s v="細電"/>
    <s v="SDA"/>
    <s v="5sli"/>
    <n v="1"/>
    <n v="593"/>
    <n v="593"/>
    <n v="403891"/>
    <m/>
    <m/>
    <s v="RC-5SLIH(W) 403891"/>
    <n v="658"/>
    <n v="0.90121580547112456"/>
    <s v="Toshiba SRP"/>
    <m/>
    <s v="403891"/>
  </r>
  <r>
    <n v="2734"/>
    <s v="Yata"/>
    <s v="TP_1"/>
    <x v="42"/>
    <n v="3"/>
    <x v="0"/>
    <x v="17"/>
    <s v="4毫米厚釜電飯煲1L"/>
    <s v="細電"/>
    <s v="SDA"/>
    <s v="10nmf"/>
    <n v="1"/>
    <n v="719"/>
    <n v="719"/>
    <s v="089150"/>
    <m/>
    <m/>
    <s v="RC-10NMFIH(WT) 089150"/>
    <n v="898"/>
    <n v="0.80066815144766146"/>
    <s v="Toshiba SRP"/>
    <m/>
    <s v="089150"/>
  </r>
  <r>
    <n v="2735"/>
    <s v="Yata"/>
    <s v="TP_1"/>
    <x v="42"/>
    <n v="3"/>
    <x v="0"/>
    <x v="17"/>
    <s v="4毫米厚釜電飯煲1L"/>
    <s v="細電"/>
    <s v="SDA"/>
    <s v="10nmf"/>
    <n v="1"/>
    <n v="719"/>
    <n v="719"/>
    <s v="089241"/>
    <m/>
    <m/>
    <s v="RC-10NMFIH(WT) 089241"/>
    <n v="898"/>
    <n v="0.80066815144766146"/>
    <s v="Toshiba SRP"/>
    <m/>
    <s v="089241"/>
  </r>
  <r>
    <n v="2736"/>
    <s v="Yata"/>
    <s v="TP_1"/>
    <x v="42"/>
    <n v="3"/>
    <x v="0"/>
    <x v="54"/>
    <s v="低醣磁應電飯煲1L"/>
    <s v="細電"/>
    <s v="SDA"/>
    <s v="10irph"/>
    <n v="1"/>
    <n v="798"/>
    <n v="798"/>
    <s v="089153"/>
    <m/>
    <m/>
    <s v="RC-10IRPH 089153"/>
    <n v="1388"/>
    <n v="0.5749279538904899"/>
    <s v="Toshiba SRP"/>
    <m/>
    <s v="089153"/>
  </r>
  <r>
    <n v="2737"/>
    <s v="Yata"/>
    <s v="TP_1"/>
    <x v="42"/>
    <n v="3"/>
    <x v="7"/>
    <x v="51"/>
    <s v="IH磁應電飯煲"/>
    <s v="細電"/>
    <s v="SDA"/>
    <s v="dr10tw"/>
    <n v="1"/>
    <n v="2380"/>
    <n v="2380"/>
    <s v="089555"/>
    <m/>
    <m/>
    <s v="RC-DR10T(W) 089555"/>
    <n v="3188"/>
    <n v="0.74654956085319946"/>
    <s v="Toshiba SRP"/>
    <m/>
    <s v="089555"/>
  </r>
  <r>
    <n v="2738"/>
    <s v="Yata"/>
    <s v="TP_1"/>
    <x v="42"/>
    <n v="3"/>
    <x v="7"/>
    <x v="24"/>
    <s v="微型電腦珍珠飯煲"/>
    <s v="細電"/>
    <s v="SDA"/>
    <s v="5sli"/>
    <n v="1"/>
    <n v="593"/>
    <n v="593"/>
    <n v="404066"/>
    <m/>
    <m/>
    <s v="RC-5SLIH(W) 404066"/>
    <n v="658"/>
    <n v="0.90121580547112456"/>
    <s v="Toshiba SRP"/>
    <m/>
    <s v="404066"/>
  </r>
  <r>
    <n v="2739"/>
    <s v="Yata"/>
    <s v="TP_1"/>
    <x v="42"/>
    <n v="3"/>
    <x v="7"/>
    <x v="24"/>
    <s v="微型電腦珍珠飯煲"/>
    <s v="細電"/>
    <s v="SDA"/>
    <s v="5sli"/>
    <n v="1"/>
    <n v="593"/>
    <n v="593"/>
    <n v="7993"/>
    <m/>
    <m/>
    <s v="RC-5SLIH(W) 7993"/>
    <n v="658"/>
    <n v="0.90121580547112456"/>
    <s v="Toshiba SRP"/>
    <m/>
    <s v="7993"/>
  </r>
  <r>
    <n v="2740"/>
    <s v="Yata"/>
    <s v="TP_1"/>
    <x v="42"/>
    <n v="3"/>
    <x v="7"/>
    <x v="38"/>
    <s v="無線雙層電熱水壺-附可鎖壺蓋"/>
    <s v="細電"/>
    <s v="SDA"/>
    <s v="15drt"/>
    <n v="1"/>
    <n v="358"/>
    <n v="358"/>
    <n v="321653"/>
    <m/>
    <m/>
    <s v="KT-15DRTHK(W) 321653"/>
    <n v="598"/>
    <n v="0.59866220735785958"/>
    <s v="Toshiba SRP"/>
    <m/>
    <s v="321653"/>
  </r>
  <r>
    <n v="2741"/>
    <s v="Yata"/>
    <s v="TP_1"/>
    <x v="42"/>
    <n v="3"/>
    <x v="7"/>
    <x v="44"/>
    <s v="1.7L無線雙層電熱水壺"/>
    <s v="細電"/>
    <s v="SDA"/>
    <s v="17shnh"/>
    <n v="1"/>
    <n v="198"/>
    <n v="198"/>
    <n v="321538"/>
    <m/>
    <m/>
    <s v="KT-17SHNH 321538"/>
    <n v="299"/>
    <n v="0.66220735785953178"/>
    <s v="Shops Highest Price"/>
    <m/>
    <s v="321538"/>
  </r>
  <r>
    <n v="2742"/>
    <s v="Yata"/>
    <s v="TP_1"/>
    <x v="42"/>
    <n v="3"/>
    <x v="7"/>
    <x v="16"/>
    <s v="輕便式電磁爐"/>
    <s v="細電"/>
    <s v="SDA"/>
    <s v="20r1"/>
    <n v="1"/>
    <n v="338"/>
    <n v="338"/>
    <n v="321611"/>
    <m/>
    <m/>
    <s v="IC-20R1THK 321611"/>
    <n v="438"/>
    <n v="0.77168949771689499"/>
    <s v="Shops Highest Price"/>
    <m/>
    <s v="321611"/>
  </r>
  <r>
    <n v="2743"/>
    <s v="Yata"/>
    <s v="TP_1"/>
    <x v="42"/>
    <n v="3"/>
    <x v="7"/>
    <x v="48"/>
    <s v="3合1 微波蒸焗爐 (20公升)"/>
    <s v="細電"/>
    <s v="MCA"/>
    <s v="tt20"/>
    <n v="1"/>
    <n v="2580"/>
    <n v="2580"/>
    <n v="417173"/>
    <m/>
    <m/>
    <s v="MX2-TT20SC(WH) 417173"/>
    <n v="3580"/>
    <n v="0.72067039106145248"/>
    <s v="Toshiba SRP"/>
    <m/>
    <s v="417173"/>
  </r>
  <r>
    <n v="2744"/>
    <s v="Yata"/>
    <s v="TP_1"/>
    <x v="42"/>
    <n v="3"/>
    <x v="13"/>
    <x v="54"/>
    <s v="低醣磁應電飯煲1L"/>
    <s v="細電"/>
    <s v="SDA"/>
    <s v="10irph"/>
    <n v="1"/>
    <n v="798"/>
    <n v="798"/>
    <n v="321791"/>
    <m/>
    <m/>
    <s v="RC-10IRPH 321791"/>
    <n v="1388"/>
    <n v="0.5749279538904899"/>
    <s v="Toshiba SRP"/>
    <m/>
    <s v="321791"/>
  </r>
  <r>
    <n v="2745"/>
    <s v="Yata"/>
    <s v="TP_1"/>
    <x v="42"/>
    <n v="3"/>
    <x v="13"/>
    <x v="61"/>
    <s v="酵活炊電飯煲(1.8公升)"/>
    <s v="細電"/>
    <s v="SDA"/>
    <s v="18amx"/>
    <n v="1"/>
    <n v="990"/>
    <n v="990"/>
    <n v="417390"/>
    <m/>
    <m/>
    <s v="RC-18AMXH(W) 417390"/>
    <n v="1588"/>
    <n v="0.62342569269521408"/>
    <s v="Toshiba SRP"/>
    <m/>
    <s v="417390"/>
  </r>
  <r>
    <n v="2746"/>
    <s v="Yata"/>
    <s v="TP_1"/>
    <x v="42"/>
    <n v="3"/>
    <x v="8"/>
    <x v="9"/>
    <s v="電熱水瓶4.5L"/>
    <s v="細電"/>
    <s v="SDA"/>
    <s v="45sf"/>
    <n v="1"/>
    <n v="589"/>
    <n v="589"/>
    <s v="089731"/>
    <m/>
    <m/>
    <s v="PLK-45SFIH(WT) 089731"/>
    <n v="788"/>
    <n v="0.7474619289340102"/>
    <s v="Toshiba SRP"/>
    <m/>
    <s v="089731"/>
  </r>
  <r>
    <n v="2747"/>
    <s v="Yata"/>
    <s v="TP_1"/>
    <x v="42"/>
    <n v="3"/>
    <x v="8"/>
    <x v="44"/>
    <s v="1.7L無線雙層電熱水壺"/>
    <s v="細電"/>
    <s v="SDA"/>
    <s v="17shnh"/>
    <n v="1"/>
    <n v="198"/>
    <n v="198"/>
    <n v="321978"/>
    <m/>
    <m/>
    <s v="KT-17SHNH 321978"/>
    <n v="299"/>
    <n v="0.66220735785953178"/>
    <s v="Shops Highest Price"/>
    <m/>
    <s v="321978"/>
  </r>
  <r>
    <n v="2748"/>
    <s v="Yata"/>
    <s v="TP_1"/>
    <x v="42"/>
    <n v="3"/>
    <x v="8"/>
    <x v="31"/>
    <s v="無線雙層電熱水壺(1.7公升)"/>
    <s v="細電"/>
    <s v="SDA"/>
    <s v="17drt"/>
    <n v="1"/>
    <n v="388"/>
    <n v="388"/>
    <n v="14439"/>
    <m/>
    <m/>
    <s v="KT-17DRTHK(H) 14439"/>
    <n v="498"/>
    <n v="0.77911646586345384"/>
    <s v="Toshiba SRP"/>
    <m/>
    <s v="14439"/>
  </r>
  <r>
    <n v="2749"/>
    <s v="Yata"/>
    <s v="TP_1"/>
    <x v="42"/>
    <n v="3"/>
    <x v="8"/>
    <x v="23"/>
    <s v="電飯煲"/>
    <s v="細電"/>
    <s v="SDA"/>
    <s v="10jruh"/>
    <n v="1"/>
    <n v="328"/>
    <n v="328"/>
    <n v="417500"/>
    <m/>
    <m/>
    <s v="RC-10JRUH(N) 417500"/>
    <n v="398"/>
    <n v="0.82412060301507539"/>
    <s v="Shops Highest Price"/>
    <m/>
    <s v="417500"/>
  </r>
  <r>
    <n v="2750"/>
    <s v="Yata"/>
    <s v="TP_1"/>
    <x v="42"/>
    <n v="3"/>
    <x v="8"/>
    <x v="45"/>
    <s v="備長炭本厚釜電飯煲0.7L"/>
    <s v="細電"/>
    <s v="SDA"/>
    <s v="7hmh"/>
    <n v="1"/>
    <n v="838"/>
    <n v="838"/>
    <s v="089719"/>
    <m/>
    <m/>
    <s v="RC-7HMH 089719"/>
    <n v="1288"/>
    <n v="0.65062111801242239"/>
    <s v="Toshiba SRP"/>
    <m/>
    <s v="089719"/>
  </r>
  <r>
    <n v="2751"/>
    <s v="Yata"/>
    <s v="TP_1"/>
    <x v="42"/>
    <n v="3"/>
    <x v="8"/>
    <x v="3"/>
    <s v="7.5KG超薄身前置式變頻洗衣機"/>
    <s v="大電"/>
    <s v="WM"/>
    <s v="bl85a2"/>
    <n v="1"/>
    <n v="3180"/>
    <n v="3180"/>
    <s v="089716"/>
    <m/>
    <m/>
    <s v="TW-BL85A2H(WW) 089716"/>
    <n v="5080"/>
    <n v="0.62598425196850394"/>
    <s v="Toshiba SRP"/>
    <m/>
    <s v="089716"/>
  </r>
  <r>
    <n v="2752"/>
    <s v="Yata"/>
    <s v="TP_1"/>
    <x v="42"/>
    <n v="3"/>
    <x v="8"/>
    <x v="54"/>
    <s v="低醣磁應電飯煲1L"/>
    <s v="細電"/>
    <s v="SDA"/>
    <s v="10irph"/>
    <n v="1"/>
    <n v="798"/>
    <n v="798"/>
    <n v="322049"/>
    <m/>
    <m/>
    <s v="RC-10IRPH 322049"/>
    <n v="1388"/>
    <n v="0.5749279538904899"/>
    <s v="Toshiba SRP"/>
    <m/>
    <s v="322049"/>
  </r>
  <r>
    <n v="2753"/>
    <s v="Yata"/>
    <s v="TP_1"/>
    <x v="42"/>
    <n v="3"/>
    <x v="1"/>
    <x v="33"/>
    <s v="輕觸式燒烤微波爐"/>
    <s v="細電"/>
    <s v="MCA"/>
    <s v="eg20"/>
    <n v="1"/>
    <n v="698"/>
    <n v="698"/>
    <n v="322368"/>
    <m/>
    <m/>
    <s v="MM2-EG20PC(WH) 322368"/>
    <n v="918"/>
    <n v="0.76034858387799564"/>
    <s v="Shops Highest Price"/>
    <m/>
    <s v="322368"/>
  </r>
  <r>
    <n v="2754"/>
    <s v="Yata"/>
    <s v="TP_1"/>
    <x v="42"/>
    <n v="3"/>
    <x v="1"/>
    <x v="44"/>
    <s v="1.7L無線雙層電熱水壺"/>
    <s v="細電"/>
    <s v="SDA"/>
    <s v="17shnh"/>
    <n v="1"/>
    <n v="198"/>
    <n v="198"/>
    <s v="089875"/>
    <m/>
    <m/>
    <s v="KT-17SHNH 089875"/>
    <n v="299"/>
    <n v="0.66220735785953178"/>
    <s v="Shops Highest Price"/>
    <m/>
    <s v="089875"/>
  </r>
  <r>
    <n v="2755"/>
    <s v="Yata"/>
    <s v="TP_1"/>
    <x v="42"/>
    <n v="3"/>
    <x v="1"/>
    <x v="44"/>
    <s v="1.7L無線雙層電熱水壺"/>
    <s v="細電"/>
    <s v="SDA"/>
    <s v="17shnh"/>
    <n v="1"/>
    <n v="198"/>
    <n v="198"/>
    <s v="089770"/>
    <m/>
    <m/>
    <s v="KT-17SHNH 089770"/>
    <n v="299"/>
    <n v="0.66220735785953178"/>
    <s v="Shops Highest Price"/>
    <m/>
    <s v="089770"/>
  </r>
  <r>
    <n v="2756"/>
    <s v="Yata"/>
    <s v="TP_1"/>
    <x v="42"/>
    <n v="3"/>
    <x v="1"/>
    <x v="23"/>
    <s v="電飯煲"/>
    <s v="細電"/>
    <s v="SDA"/>
    <s v="10jruh"/>
    <n v="1"/>
    <n v="328"/>
    <n v="328"/>
    <s v="089776"/>
    <m/>
    <m/>
    <s v="RC-10JRUH(N) 089776"/>
    <n v="398"/>
    <n v="0.82412060301507539"/>
    <s v="Shops Highest Price"/>
    <m/>
    <s v="089776"/>
  </r>
  <r>
    <n v="2757"/>
    <s v="Yata"/>
    <s v="TP_1"/>
    <x v="42"/>
    <n v="3"/>
    <x v="1"/>
    <x v="23"/>
    <s v="電飯煲"/>
    <s v="細電"/>
    <s v="SDA"/>
    <s v="10jruh"/>
    <n v="1"/>
    <n v="328"/>
    <n v="328"/>
    <s v="089841"/>
    <m/>
    <m/>
    <s v="RC-10JRUH(N) 089841"/>
    <n v="398"/>
    <n v="0.82412060301507539"/>
    <s v="Shops Highest Price"/>
    <m/>
    <s v="089841"/>
  </r>
  <r>
    <n v="2758"/>
    <s v="Yata"/>
    <s v="TP_1"/>
    <x v="42"/>
    <n v="3"/>
    <x v="1"/>
    <x v="23"/>
    <s v="電飯煲"/>
    <s v="細電"/>
    <s v="SDA"/>
    <s v="10jruh"/>
    <n v="1"/>
    <n v="328"/>
    <n v="328"/>
    <s v="089840"/>
    <m/>
    <m/>
    <s v="RC-10JRUH(N) 089840"/>
    <n v="398"/>
    <n v="0.82412060301507539"/>
    <s v="Shops Highest Price"/>
    <m/>
    <s v="089840"/>
  </r>
  <r>
    <n v="2759"/>
    <s v="Yata"/>
    <s v="TP_1"/>
    <x v="42"/>
    <n v="3"/>
    <x v="1"/>
    <x v="54"/>
    <s v="低醣磁應電飯煲1L"/>
    <s v="細電"/>
    <s v="SDA"/>
    <s v="10irph"/>
    <n v="1"/>
    <n v="798"/>
    <n v="798"/>
    <s v="089791"/>
    <m/>
    <m/>
    <s v="RC-10IRPH 089791"/>
    <n v="1388"/>
    <n v="0.5749279538904899"/>
    <s v="Toshiba SRP"/>
    <m/>
    <s v="089791"/>
  </r>
  <r>
    <n v="2760"/>
    <s v="Yata"/>
    <s v="TP_1"/>
    <x v="42"/>
    <n v="3"/>
    <x v="1"/>
    <x v="120"/>
    <s v="真空壓力磁應電飯煲(1.0公升)"/>
    <s v="細電"/>
    <s v="SDA"/>
    <s v="dx10t"/>
    <n v="1"/>
    <n v="4888"/>
    <n v="4888"/>
    <s v="089866"/>
    <m/>
    <m/>
    <s v="RC-DX10T(W) 089866"/>
    <n v="5988"/>
    <n v="0.81629926519706075"/>
    <s v="Toshiba SRP"/>
    <m/>
    <s v="089866"/>
  </r>
  <r>
    <n v="2761"/>
    <s v="Yata"/>
    <s v="TP_1"/>
    <x v="42"/>
    <n v="3"/>
    <x v="1"/>
    <x v="21"/>
    <s v="壓縮式抽濕機 (30公升)"/>
    <s v="細電"/>
    <s v="RAC"/>
    <s v="d300"/>
    <n v="1"/>
    <n v="2280"/>
    <n v="2280"/>
    <n v="417810"/>
    <m/>
    <m/>
    <s v="RAD-D300H 417810"/>
    <n v="3380"/>
    <n v="0.67455621301775148"/>
    <s v="Shops Highest Price"/>
    <m/>
    <s v="417810"/>
  </r>
  <r>
    <n v="2762"/>
    <s v="Yata"/>
    <s v="TP_1"/>
    <x v="42"/>
    <n v="3"/>
    <x v="1"/>
    <x v="48"/>
    <s v="3合1 微波蒸焗爐 (20公升)"/>
    <s v="細電"/>
    <s v="MCA"/>
    <s v="t20"/>
    <n v="1"/>
    <n v="2280"/>
    <n v="2280"/>
    <n v="404195"/>
    <m/>
    <m/>
    <s v="MX2-TT20SC(WH) 404195"/>
    <n v="3580"/>
    <n v="0.63687150837988826"/>
    <s v="Toshiba SRP"/>
    <m/>
    <s v="404195"/>
  </r>
  <r>
    <n v="2763"/>
    <s v="Yata"/>
    <s v="TP_1"/>
    <x v="42"/>
    <n v="3"/>
    <x v="2"/>
    <x v="23"/>
    <s v="電飯煲"/>
    <s v="細電"/>
    <s v="SDA"/>
    <s v="10jruh"/>
    <n v="1"/>
    <n v="328"/>
    <n v="328"/>
    <n v="417970"/>
    <m/>
    <m/>
    <s v="RC-10JRUH(N) 417970"/>
    <n v="398"/>
    <n v="0.82412060301507539"/>
    <s v="Shops Highest Price"/>
    <m/>
    <s v="417970"/>
  </r>
  <r>
    <n v="2764"/>
    <s v="Yata"/>
    <s v="TP_1"/>
    <x v="42"/>
    <n v="3"/>
    <x v="2"/>
    <x v="7"/>
    <s v="4毫米厚釜電飯煲0.54L"/>
    <s v="細電"/>
    <s v="SDA"/>
    <s v="5mm"/>
    <n v="1"/>
    <n v="557"/>
    <n v="557"/>
    <n v="404265"/>
    <m/>
    <m/>
    <s v="RC-5MMIH(WT) 404265"/>
    <n v="618"/>
    <n v="0.90129449838187703"/>
    <s v="Toshiba SRP"/>
    <m/>
    <s v="404265"/>
  </r>
  <r>
    <n v="2765"/>
    <s v="Yata"/>
    <s v="TP_1"/>
    <x v="42"/>
    <n v="3"/>
    <x v="2"/>
    <x v="64"/>
    <s v="20公升 微波爐"/>
    <s v="細電"/>
    <s v="SDA"/>
    <s v="mmp0"/>
    <n v="1"/>
    <n v="428"/>
    <n v="428"/>
    <s v="089911"/>
    <m/>
    <m/>
    <s v="CMO-MMP012NDPF(GN) 089911"/>
    <n v="519"/>
    <n v="0.82466281310211942"/>
    <s v="Shops Highest Price"/>
    <m/>
    <s v="089911"/>
  </r>
  <r>
    <n v="2766"/>
    <s v="Yata"/>
    <s v="TP_1"/>
    <x v="42"/>
    <n v="3"/>
    <x v="2"/>
    <x v="33"/>
    <s v="輕觸式燒烤微波爐"/>
    <s v="細電"/>
    <s v="MCA"/>
    <s v="eg20"/>
    <n v="1"/>
    <n v="698"/>
    <n v="698"/>
    <s v="090000"/>
    <m/>
    <m/>
    <s v="MM2-EG20PC(WH) 090000"/>
    <n v="918"/>
    <n v="0.76034858387799564"/>
    <s v="Shops Highest Price"/>
    <m/>
    <s v="090000"/>
  </r>
  <r>
    <n v="2767"/>
    <s v="Yata"/>
    <s v="TP_1"/>
    <x v="42"/>
    <n v="3"/>
    <x v="2"/>
    <x v="48"/>
    <s v="3合1 微波蒸焗爐 (20公升)"/>
    <s v="細電"/>
    <s v="MCA"/>
    <s v="tt20"/>
    <n v="1"/>
    <n v="2580"/>
    <n v="2580"/>
    <s v="089943"/>
    <m/>
    <m/>
    <s v="MX2-TT20SC(WH) 089943"/>
    <n v="3580"/>
    <n v="0.72067039106145248"/>
    <s v="Toshiba SRP"/>
    <m/>
    <s v="089943"/>
  </r>
  <r>
    <n v="2768"/>
    <s v="Yata"/>
    <s v="TP_1"/>
    <x v="42"/>
    <n v="3"/>
    <x v="2"/>
    <x v="74"/>
    <s v="4合1氣炸微波蒸焗爐(25公升)"/>
    <s v="細電"/>
    <s v="MCA"/>
    <s v="str25"/>
    <n v="1"/>
    <n v="3580"/>
    <n v="3580"/>
    <s v="089988"/>
    <m/>
    <m/>
    <s v="MX2-STR25SC(WH) 089988"/>
    <n v="4998"/>
    <n v="0.71628651460584236"/>
    <s v="Toshiba SRP"/>
    <m/>
    <s v="089988"/>
  </r>
  <r>
    <n v="2769"/>
    <s v="Yata"/>
    <s v="TP_1"/>
    <x v="42"/>
    <n v="3"/>
    <x v="16"/>
    <x v="46"/>
    <s v="電熱水瓶 (2.5公升)"/>
    <s v="細電"/>
    <s v="SDA"/>
    <s v="25dr"/>
    <n v="1"/>
    <n v="398"/>
    <n v="398"/>
    <n v="418590"/>
    <m/>
    <m/>
    <s v="TP-25DR2UHK(W) 418590"/>
    <n v="538"/>
    <n v="0.7397769516728625"/>
    <s v="Toshiba SRP"/>
    <m/>
    <s v="418590"/>
  </r>
  <r>
    <n v="2770"/>
    <s v="Yata"/>
    <s v="TP_1"/>
    <x v="42"/>
    <n v="3"/>
    <x v="16"/>
    <x v="24"/>
    <s v="微型電腦珍珠飯煲"/>
    <s v="細電"/>
    <s v="SDA"/>
    <s v="5sli"/>
    <n v="1"/>
    <n v="593"/>
    <n v="593"/>
    <s v="090154"/>
    <m/>
    <m/>
    <s v="RC-5SLIH(W) 090154"/>
    <n v="658"/>
    <n v="0.90121580547112456"/>
    <s v="Toshiba SRP"/>
    <m/>
    <s v="090154"/>
  </r>
  <r>
    <n v="2771"/>
    <s v="Yata"/>
    <s v="TP_1"/>
    <x v="42"/>
    <n v="3"/>
    <x v="16"/>
    <x v="17"/>
    <s v="4毫米厚釜電飯煲1L"/>
    <s v="細電"/>
    <s v="SDA"/>
    <s v="10nmf"/>
    <n v="1"/>
    <n v="719"/>
    <n v="719"/>
    <n v="323255"/>
    <m/>
    <m/>
    <s v="RC-10NMFIH(WT) 323255"/>
    <n v="898"/>
    <n v="0.80066815144766146"/>
    <s v="Toshiba SRP"/>
    <m/>
    <s v="323255"/>
  </r>
  <r>
    <n v="2772"/>
    <s v="Yata"/>
    <s v="TP_1"/>
    <x v="42"/>
    <n v="3"/>
    <x v="16"/>
    <x v="63"/>
    <s v="20L 智能蒸氣焗爐"/>
    <s v="細電"/>
    <s v="MCA"/>
    <s v="stq20"/>
    <n v="1"/>
    <n v="2160"/>
    <n v="2160"/>
    <n v="404411"/>
    <m/>
    <m/>
    <s v="MS3-STQ20SC(WH) 404411"/>
    <n v="2880"/>
    <n v="0.75"/>
    <s v="Toshiba SRP"/>
    <m/>
    <s v="404411"/>
  </r>
  <r>
    <n v="2773"/>
    <s v="Yata"/>
    <s v="TP_1"/>
    <x v="42"/>
    <n v="3"/>
    <x v="16"/>
    <x v="48"/>
    <s v="3合1 微波蒸焗爐 (20公升)"/>
    <s v="細電"/>
    <s v="MCA"/>
    <s v="tt20"/>
    <n v="1"/>
    <n v="2580"/>
    <n v="2580"/>
    <n v="984589"/>
    <m/>
    <m/>
    <s v="MX2-TT20SC(WH) 984589"/>
    <n v="3580"/>
    <n v="0.72067039106145248"/>
    <s v="Toshiba SRP"/>
    <m/>
    <s v="984589"/>
  </r>
  <r>
    <n v="2774"/>
    <s v="Yata"/>
    <s v="TP_1"/>
    <x v="42"/>
    <n v="3"/>
    <x v="11"/>
    <x v="116"/>
    <s v="IH磁應電飯煲"/>
    <s v="細電"/>
    <s v="SDA"/>
    <s v="ds18kw"/>
    <n v="1"/>
    <n v="3490"/>
    <n v="3490"/>
    <n v="419002"/>
    <m/>
    <m/>
    <s v="RC-DS18K(N) 419002"/>
    <n v="4988"/>
    <n v="0.69967923015236566"/>
    <s v="Toshiba SRP"/>
    <m/>
    <s v="419002"/>
  </r>
  <r>
    <n v="2775"/>
    <s v="Yata"/>
    <s v="TP_1"/>
    <x v="42"/>
    <n v="3"/>
    <x v="11"/>
    <x v="118"/>
    <s v="IH磁應電飯煲"/>
    <s v="細電"/>
    <s v="SDA"/>
    <s v="dz4k"/>
    <n v="1"/>
    <n v="3280"/>
    <n v="3280"/>
    <n v="323476"/>
    <m/>
    <m/>
    <s v="RC-DZ4K(N) 323476"/>
    <n v="3888"/>
    <n v="0.84362139917695478"/>
    <s v="Shops Highest Price"/>
    <m/>
    <s v="323476"/>
  </r>
  <r>
    <n v="2776"/>
    <s v="Yata"/>
    <s v="TP_1"/>
    <x v="42"/>
    <n v="3"/>
    <x v="11"/>
    <x v="64"/>
    <s v="20公升 微波爐"/>
    <s v="細電"/>
    <s v="SDA"/>
    <s v="mmp0"/>
    <n v="1"/>
    <n v="428"/>
    <n v="428"/>
    <n v="329124"/>
    <m/>
    <m/>
    <s v="CMO-MMP012NDPF(GN) 329124"/>
    <n v="519"/>
    <n v="0.82466281310211942"/>
    <s v="Shops Highest Price"/>
    <m/>
    <s v="329124"/>
  </r>
  <r>
    <n v="2777"/>
    <s v="Yata"/>
    <s v="TP_1"/>
    <x v="42"/>
    <n v="3"/>
    <x v="11"/>
    <x v="48"/>
    <s v="3合1 微波蒸焗爐 (20公升)"/>
    <s v="細電"/>
    <s v="MCA"/>
    <s v="tt20"/>
    <n v="1"/>
    <n v="2580"/>
    <n v="2580"/>
    <n v="418989"/>
    <m/>
    <m/>
    <s v="MX2-TT20SC(WH) 418989"/>
    <n v="3580"/>
    <n v="0.72067039106145248"/>
    <s v="Toshiba SRP"/>
    <m/>
    <s v="418989"/>
  </r>
  <r>
    <n v="2778"/>
    <s v="Yata"/>
    <s v="TP_1"/>
    <x v="42"/>
    <n v="3"/>
    <x v="12"/>
    <x v="48"/>
    <s v="3合1 微波蒸焗爐 (20公升)"/>
    <s v="細電"/>
    <s v="MCA"/>
    <s v="tt20"/>
    <n v="1"/>
    <n v="2580"/>
    <n v="2580"/>
    <n v="323670"/>
    <m/>
    <m/>
    <s v="MX2-TT20SC(WH) 323670"/>
    <n v="3580"/>
    <n v="0.72067039106145248"/>
    <s v="Toshiba SRP"/>
    <m/>
    <s v="323670"/>
  </r>
  <r>
    <n v="2779"/>
    <s v="Yata"/>
    <s v="TP_1"/>
    <x v="42"/>
    <n v="3"/>
    <x v="12"/>
    <x v="133"/>
    <s v="單門直冷式環保雪櫃81L"/>
    <s v="大電"/>
    <s v="REF"/>
    <s v="913m"/>
    <n v="1"/>
    <n v="1880"/>
    <n v="1880"/>
    <n v="323670"/>
    <m/>
    <m/>
    <s v="GR-H913(MG) 323670"/>
    <n v="1980"/>
    <n v="0.9494949494949495"/>
    <s v="Toshiba SRP"/>
    <m/>
    <s v="323670"/>
  </r>
  <r>
    <n v="2780"/>
    <s v="Yata"/>
    <s v="TP_1"/>
    <x v="42"/>
    <n v="3"/>
    <x v="12"/>
    <x v="44"/>
    <s v="1.7L無線雙層電熱水壺"/>
    <s v="細電"/>
    <s v="SDA"/>
    <s v="17shnh"/>
    <n v="1"/>
    <n v="198"/>
    <n v="198"/>
    <n v="323726"/>
    <m/>
    <m/>
    <s v="KT-17SHNH 323726"/>
    <n v="299"/>
    <n v="0.66220735785953178"/>
    <s v="Shops Highest Price"/>
    <m/>
    <s v="323726"/>
  </r>
  <r>
    <n v="2781"/>
    <s v="Yata"/>
    <s v="TP_1"/>
    <x v="42"/>
    <n v="3"/>
    <x v="12"/>
    <x v="24"/>
    <s v="微型電腦珍珠飯煲"/>
    <s v="細電"/>
    <s v="SDA"/>
    <s v="5sli"/>
    <n v="1"/>
    <n v="593"/>
    <n v="593"/>
    <n v="419191"/>
    <m/>
    <m/>
    <s v="RC-5SLIH(W) 419191"/>
    <n v="658"/>
    <n v="0.90121580547112456"/>
    <s v="Toshiba SRP"/>
    <m/>
    <s v="419191"/>
  </r>
  <r>
    <n v="2782"/>
    <s v="Yata"/>
    <s v="TP_1"/>
    <x v="42"/>
    <n v="3"/>
    <x v="12"/>
    <x v="35"/>
    <s v="1.8公升電飯煲"/>
    <s v="細電"/>
    <s v="SDA"/>
    <s v="18jruh"/>
    <n v="1"/>
    <n v="388"/>
    <n v="388"/>
    <n v="323567"/>
    <m/>
    <m/>
    <s v="RC-18JRUH(N) 323567"/>
    <n v="458"/>
    <n v="0.84716157205240172"/>
    <s v="Shops Highest Price"/>
    <m/>
    <s v="323567"/>
  </r>
  <r>
    <n v="2783"/>
    <s v="Yata"/>
    <s v="TP_1"/>
    <x v="42"/>
    <n v="3"/>
    <x v="12"/>
    <x v="66"/>
    <s v="變頻下置式雙門雪櫃（163L）"/>
    <s v="大電"/>
    <s v="REF"/>
    <s v="rb221"/>
    <n v="1"/>
    <n v="1880"/>
    <n v="1880"/>
    <n v="323583"/>
    <m/>
    <m/>
    <s v="GR-RB221WE-PMA(57) 323583"/>
    <n v="3480"/>
    <n v="0.54022988505747127"/>
    <s v="Toshiba SRP"/>
    <m/>
    <s v="323583"/>
  </r>
  <r>
    <n v="2784"/>
    <s v="Yata"/>
    <s v="TP_1"/>
    <x v="42"/>
    <n v="3"/>
    <x v="3"/>
    <x v="31"/>
    <s v="無線雙層電熱水壺(1.7公升)"/>
    <s v="細電"/>
    <s v="SDA"/>
    <s v="17drt"/>
    <n v="1"/>
    <n v="388"/>
    <n v="388"/>
    <n v="323870"/>
    <m/>
    <m/>
    <s v="KT-17DRTHK(H) 323870"/>
    <n v="498"/>
    <n v="0.77911646586345384"/>
    <s v="Toshiba SRP"/>
    <m/>
    <s v="323870"/>
  </r>
  <r>
    <n v="2785"/>
    <s v="Yata"/>
    <s v="TP_1"/>
    <x v="42"/>
    <n v="3"/>
    <x v="3"/>
    <x v="17"/>
    <s v="4毫米厚釜電飯煲1L"/>
    <s v="細電"/>
    <s v="SDA"/>
    <s v="10nmf"/>
    <n v="1"/>
    <n v="719"/>
    <n v="719"/>
    <s v="090533"/>
    <m/>
    <m/>
    <s v="RC-10NMFIH(WT) 090533"/>
    <n v="898"/>
    <n v="0.80066815144766146"/>
    <s v="Toshiba SRP"/>
    <m/>
    <s v="090533"/>
  </r>
  <r>
    <n v="2786"/>
    <s v="Yata"/>
    <s v="TP_1"/>
    <x v="42"/>
    <n v="3"/>
    <x v="3"/>
    <x v="63"/>
    <s v="20L 智能蒸氣焗爐"/>
    <s v="細電"/>
    <s v="MCA"/>
    <s v="stq20"/>
    <n v="1"/>
    <n v="2100"/>
    <n v="2100"/>
    <s v="090512"/>
    <m/>
    <m/>
    <s v="MS3-STQ20SC(WH) 090512"/>
    <n v="2880"/>
    <n v="0.72916666666666663"/>
    <s v="Toshiba SRP"/>
    <m/>
    <s v="090512"/>
  </r>
  <r>
    <n v="2787"/>
    <s v="Yata"/>
    <s v="TP_1"/>
    <x v="42"/>
    <n v="3"/>
    <x v="3"/>
    <x v="3"/>
    <s v="7.5KG超薄身前置式變頻洗衣機"/>
    <s v="大電"/>
    <s v="WM"/>
    <s v="bl85a2"/>
    <n v="1"/>
    <n v="3180"/>
    <n v="3180"/>
    <n v="323807"/>
    <m/>
    <m/>
    <s v="TW-BL85A2H(WW) 323807"/>
    <n v="5080"/>
    <n v="0.62598425196850394"/>
    <s v="Toshiba SRP"/>
    <m/>
    <s v="323807"/>
  </r>
  <r>
    <n v="2788"/>
    <s v="Yata"/>
    <s v="TP_1"/>
    <x v="42"/>
    <n v="3"/>
    <x v="3"/>
    <x v="30"/>
    <s v="旋鈕式燒烤微波爐20L"/>
    <s v="細電"/>
    <s v="SDA"/>
    <s v="mm20"/>
    <n v="1"/>
    <n v="488"/>
    <n v="488"/>
    <n v="323807"/>
    <m/>
    <m/>
    <s v="MWP-MM20P(WH) 323807"/>
    <n v="648"/>
    <n v="0.75308641975308643"/>
    <s v="Toshiba SRP"/>
    <m/>
    <s v="323807"/>
  </r>
  <r>
    <n v="2789"/>
    <s v="Yata"/>
    <s v="TP_1"/>
    <x v="42"/>
    <n v="3"/>
    <x v="3"/>
    <x v="133"/>
    <s v="單門直冷式環保雪櫃81L"/>
    <s v="大電"/>
    <s v="REF"/>
    <s v="913m"/>
    <n v="1"/>
    <n v="1880"/>
    <n v="1880"/>
    <n v="404468"/>
    <m/>
    <m/>
    <s v="GR-H913(MG) 404468"/>
    <n v="1980"/>
    <n v="0.9494949494949495"/>
    <s v="Toshiba SRP"/>
    <m/>
    <s v="404468"/>
  </r>
  <r>
    <n v="2790"/>
    <s v="Yata"/>
    <s v="TP_1"/>
    <x v="42"/>
    <n v="3"/>
    <x v="3"/>
    <x v="103"/>
    <s v="變頻下置式雙門雪櫃"/>
    <s v="大電"/>
    <s v="REF"/>
    <s v="rb449"/>
    <n v="1"/>
    <n v="4880"/>
    <n v="4880"/>
    <n v="323908"/>
    <m/>
    <m/>
    <s v="GR-RB449WE-PMA(57) 323908"/>
    <n v="6280"/>
    <n v="0.77707006369426757"/>
    <s v="Toshiba SRP"/>
    <m/>
    <s v="323908"/>
  </r>
  <r>
    <n v="2791"/>
    <s v="Yata"/>
    <s v="TP_1"/>
    <x v="42"/>
    <n v="3"/>
    <x v="4"/>
    <x v="121"/>
    <s v="IH磁應電飯煲"/>
    <s v="細電"/>
    <s v="SDA"/>
    <s v="ds10kw"/>
    <n v="1"/>
    <n v="3150"/>
    <n v="3150"/>
    <s v="070746"/>
    <m/>
    <m/>
    <s v="RC-DS10K(N) 070746"/>
    <n v="4588"/>
    <n v="0.68657367044463824"/>
    <s v="Toshiba SRP"/>
    <m/>
    <s v="070746"/>
  </r>
  <r>
    <n v="2792"/>
    <s v="Yata"/>
    <s v="TP_1"/>
    <x v="42"/>
    <n v="3"/>
    <x v="4"/>
    <x v="7"/>
    <s v="4毫米厚釜電飯煲0.54L"/>
    <s v="細電"/>
    <s v="SDA"/>
    <s v="5mm"/>
    <n v="1"/>
    <n v="557"/>
    <n v="557"/>
    <n v="329403"/>
    <m/>
    <m/>
    <s v="RC-5MMIH(WT) 329403"/>
    <n v="618"/>
    <n v="0.90129449838187703"/>
    <s v="Toshiba SRP"/>
    <m/>
    <s v="329403"/>
  </r>
  <r>
    <n v="2793"/>
    <s v="Yata"/>
    <s v="TP_1"/>
    <x v="42"/>
    <n v="3"/>
    <x v="4"/>
    <x v="23"/>
    <s v="電飯煲"/>
    <s v="細電"/>
    <s v="SDA"/>
    <s v="10jruh"/>
    <n v="1"/>
    <n v="328"/>
    <n v="328"/>
    <n v="419844"/>
    <m/>
    <m/>
    <s v="RC-10JRUH(N) 419844"/>
    <n v="398"/>
    <n v="0.82412060301507539"/>
    <s v="Shops Highest Price"/>
    <m/>
    <s v="419844"/>
  </r>
  <r>
    <n v="2794"/>
    <s v="Yata"/>
    <s v="TP_1"/>
    <x v="42"/>
    <n v="3"/>
    <x v="4"/>
    <x v="37"/>
    <s v="電熱水瓶 (5公升)"/>
    <s v="細電"/>
    <s v="SDA"/>
    <s v="50dr"/>
    <n v="1"/>
    <n v="598"/>
    <n v="598"/>
    <s v="090812"/>
    <m/>
    <m/>
    <s v="TP-50DRUHK(W) 090812"/>
    <n v="718"/>
    <n v="0.83286908077994426"/>
    <s v="Toshiba SRP"/>
    <m/>
    <s v="090812"/>
  </r>
  <r>
    <n v="2795"/>
    <s v="Yata"/>
    <s v="TP_1"/>
    <x v="42"/>
    <n v="3"/>
    <x v="4"/>
    <x v="17"/>
    <s v="4毫米厚釜電飯煲1L"/>
    <s v="細電"/>
    <s v="SDA"/>
    <s v="10nmf"/>
    <n v="1"/>
    <n v="719"/>
    <n v="719"/>
    <n v="324027"/>
    <m/>
    <m/>
    <s v="RC-10NMFIH(WT) 324027"/>
    <n v="898"/>
    <n v="0.80066815144766146"/>
    <s v="Toshiba SRP"/>
    <m/>
    <s v="324027"/>
  </r>
  <r>
    <n v="2796"/>
    <s v="Yata"/>
    <s v="TP_1"/>
    <x v="42"/>
    <n v="3"/>
    <x v="4"/>
    <x v="17"/>
    <s v="4毫米厚釜電飯煲1L"/>
    <s v="細電"/>
    <s v="SDA"/>
    <s v="10nmf"/>
    <n v="1"/>
    <n v="719"/>
    <n v="719"/>
    <s v="090710"/>
    <m/>
    <m/>
    <s v="RC-10NMFIH(WT) 090710"/>
    <n v="898"/>
    <n v="0.80066815144766146"/>
    <s v="Toshiba SRP"/>
    <m/>
    <s v="090710"/>
  </r>
  <r>
    <n v="2797"/>
    <s v="Yata"/>
    <s v="TP_1"/>
    <x v="42"/>
    <n v="3"/>
    <x v="4"/>
    <x v="17"/>
    <s v="4毫米厚釜電飯煲1L"/>
    <s v="細電"/>
    <s v="SDA"/>
    <s v="10nmf"/>
    <n v="1"/>
    <n v="719"/>
    <n v="719"/>
    <n v="324107"/>
    <m/>
    <m/>
    <s v="RC-10NMFIH(WT) 324107"/>
    <n v="898"/>
    <n v="0.80066815144766146"/>
    <s v="Toshiba SRP"/>
    <m/>
    <s v="324107"/>
  </r>
  <r>
    <n v="2798"/>
    <s v="Yata"/>
    <s v="TP_1"/>
    <x v="42"/>
    <n v="3"/>
    <x v="4"/>
    <x v="27"/>
    <s v="4毫米厚釜電飯煲1.8L"/>
    <s v="細電"/>
    <s v="SDA"/>
    <s v="18nmf"/>
    <n v="1"/>
    <n v="799"/>
    <n v="799"/>
    <n v="324938"/>
    <m/>
    <m/>
    <s v="RC-18NMFIH(WT) 324938"/>
    <n v="998"/>
    <n v="0.80060120240480959"/>
    <s v="Toshiba SRP"/>
    <m/>
    <s v="324938"/>
  </r>
  <r>
    <n v="2799"/>
    <s v="Yata"/>
    <s v="TP_1"/>
    <x v="42"/>
    <n v="3"/>
    <x v="4"/>
    <x v="27"/>
    <s v="4毫米厚釜電飯煲1.8L"/>
    <s v="細電"/>
    <s v="SDA"/>
    <s v="18nmf"/>
    <n v="1"/>
    <n v="799"/>
    <n v="799"/>
    <n v="324037"/>
    <m/>
    <m/>
    <s v="RC-18NMFIH(WT) 324037"/>
    <n v="998"/>
    <n v="0.80060120240480959"/>
    <s v="Toshiba SRP"/>
    <m/>
    <s v="324037"/>
  </r>
  <r>
    <n v="2800"/>
    <s v="Yata"/>
    <s v="TP_1"/>
    <x v="42"/>
    <n v="3"/>
    <x v="4"/>
    <x v="27"/>
    <s v="4毫米厚釜電飯煲1.8L"/>
    <s v="細電"/>
    <s v="SDA"/>
    <s v="18nmf"/>
    <n v="1"/>
    <n v="799"/>
    <n v="799"/>
    <n v="324272"/>
    <m/>
    <m/>
    <s v="RC-18NMFIH(WT) 324272"/>
    <n v="998"/>
    <n v="0.80060120240480959"/>
    <s v="Toshiba SRP"/>
    <m/>
    <s v="324272"/>
  </r>
  <r>
    <n v="2801"/>
    <s v="Yata"/>
    <s v="TP_1"/>
    <x v="42"/>
    <n v="3"/>
    <x v="4"/>
    <x v="51"/>
    <s v="IH磁應電飯煲"/>
    <s v="細電"/>
    <s v="SDA"/>
    <s v="dr10tw"/>
    <n v="1"/>
    <n v="2380"/>
    <n v="2380"/>
    <n v="419830"/>
    <m/>
    <m/>
    <s v="RC-DR10T(W) 419830"/>
    <n v="3188"/>
    <n v="0.74654956085319946"/>
    <s v="Toshiba SRP"/>
    <m/>
    <s v="419830"/>
  </r>
  <r>
    <n v="2802"/>
    <s v="Yata"/>
    <s v="TP_1"/>
    <x v="42"/>
    <n v="3"/>
    <x v="4"/>
    <x v="43"/>
    <s v="470MM超薄身前置式變頻洗衣機(8.5公斤, 可飛頂)"/>
    <s v="大電"/>
    <s v="LAD"/>
    <s v="t2295"/>
    <n v="1"/>
    <n v="3680"/>
    <n v="3680"/>
    <n v="419830"/>
    <m/>
    <m/>
    <s v="TW-T22BU95UWH(WK)-B 419830"/>
    <n v="5880"/>
    <n v="0.62585034013605445"/>
    <s v="Toshiba SRP"/>
    <m/>
    <s v="419830"/>
  </r>
  <r>
    <n v="2803"/>
    <s v="Yata"/>
    <s v="TP_1"/>
    <x v="42"/>
    <n v="3"/>
    <x v="17"/>
    <x v="24"/>
    <s v="微型電腦珍珠飯煲"/>
    <s v="細電"/>
    <s v="SDA"/>
    <s v="5sli"/>
    <n v="1"/>
    <n v="593"/>
    <n v="593"/>
    <n v="324934"/>
    <m/>
    <m/>
    <s v="RC-5SLIH(W) 324934"/>
    <n v="658"/>
    <n v="0.90121580547112456"/>
    <s v="Toshiba SRP"/>
    <m/>
    <s v="324934"/>
  </r>
  <r>
    <n v="2804"/>
    <s v="Yata"/>
    <s v="TP_1"/>
    <x v="42"/>
    <n v="3"/>
    <x v="17"/>
    <x v="75"/>
    <s v="日式洗衣機 (8公斤 結合高低水位)"/>
    <s v="大電"/>
    <s v="LAD"/>
    <s v="q901"/>
    <n v="1"/>
    <n v="2280"/>
    <n v="2280"/>
    <n v="420792"/>
    <m/>
    <m/>
    <s v="AW-Q901BPH(WW) 420792"/>
    <n v="3780"/>
    <n v="0.60317460317460314"/>
    <s v="Toshiba SRP"/>
    <m/>
    <s v="420792"/>
  </r>
  <r>
    <n v="2805"/>
    <s v="Yata"/>
    <s v="TP_1"/>
    <x v="42"/>
    <n v="3"/>
    <x v="17"/>
    <x v="43"/>
    <s v="470MM超薄身前置式變頻洗衣機(8.5公斤, 可飛頂)"/>
    <s v="大電"/>
    <s v="LAD"/>
    <s v="t2295"/>
    <n v="1"/>
    <n v="3680"/>
    <n v="3680"/>
    <n v="420743"/>
    <m/>
    <m/>
    <s v="TW-T22BU95UWH(WK)-B 420743"/>
    <n v="5880"/>
    <n v="0.62585034013605445"/>
    <s v="Toshiba SRP"/>
    <m/>
    <s v="420743"/>
  </r>
  <r>
    <n v="2806"/>
    <s v="Yata"/>
    <s v="TP_1"/>
    <x v="42"/>
    <n v="3"/>
    <x v="18"/>
    <x v="23"/>
    <s v="電飯煲"/>
    <s v="細電"/>
    <s v="SDA"/>
    <s v="10jruh"/>
    <n v="1"/>
    <n v="328"/>
    <n v="328"/>
    <n v="324993"/>
    <m/>
    <m/>
    <s v="RC-10JRUH(N) 324993"/>
    <n v="398"/>
    <n v="0.82412060301507539"/>
    <s v="Shops Highest Price"/>
    <m/>
    <s v="324993"/>
  </r>
  <r>
    <n v="2807"/>
    <s v="Yata"/>
    <s v="TP_1"/>
    <x v="42"/>
    <n v="3"/>
    <x v="18"/>
    <x v="27"/>
    <s v="4毫米厚釜電飯煲1.8L"/>
    <s v="細電"/>
    <s v="SDA"/>
    <s v="18nmf"/>
    <n v="1"/>
    <n v="799"/>
    <n v="799"/>
    <n v="325040"/>
    <m/>
    <m/>
    <s v="RC-18NMFIH(WT) 325040"/>
    <n v="998"/>
    <n v="0.80060120240480959"/>
    <s v="Toshiba SRP"/>
    <m/>
    <s v="325040"/>
  </r>
  <r>
    <n v="2808"/>
    <s v="Yata"/>
    <s v="TP_1"/>
    <x v="42"/>
    <n v="3"/>
    <x v="18"/>
    <x v="22"/>
    <s v="變頻五門雪櫃(375L)"/>
    <s v="大電"/>
    <s v="REF"/>
    <s v="rm612"/>
    <n v="1"/>
    <n v="9980"/>
    <n v="9980"/>
    <s v="091313"/>
    <m/>
    <m/>
    <s v="GR-RM612WE-PGA(B5) 091313"/>
    <n v="11000"/>
    <n v="0.90727272727272723"/>
    <s v="Shops Highest Price"/>
    <m/>
    <s v="091313"/>
  </r>
  <r>
    <n v="2809"/>
    <s v="Yata"/>
    <s v="TP_1"/>
    <x v="42"/>
    <n v="3"/>
    <x v="19"/>
    <x v="38"/>
    <s v="無線雙層電熱水壺-附可鎖壺蓋"/>
    <s v="細電"/>
    <s v="SDA"/>
    <s v="15drt"/>
    <n v="1"/>
    <n v="358"/>
    <n v="358"/>
    <s v="091413"/>
    <m/>
    <m/>
    <s v="KT-15DRTHK(W) 091413"/>
    <n v="598"/>
    <n v="0.59866220735785958"/>
    <s v="Toshiba SRP"/>
    <m/>
    <s v="091413"/>
  </r>
  <r>
    <n v="2810"/>
    <s v="Yata"/>
    <s v="TP_1"/>
    <x v="42"/>
    <n v="3"/>
    <x v="19"/>
    <x v="121"/>
    <s v="IH磁應電飯煲"/>
    <s v="細電"/>
    <s v="SDA"/>
    <s v="ds10kw"/>
    <n v="1"/>
    <n v="3150"/>
    <n v="3150"/>
    <s v="091447"/>
    <m/>
    <m/>
    <s v="RC-DS10K(N) 091447"/>
    <n v="4588"/>
    <n v="0.68657367044463824"/>
    <s v="Toshiba SRP"/>
    <m/>
    <s v="091447"/>
  </r>
  <r>
    <n v="2811"/>
    <s v="Yata"/>
    <s v="TP_1"/>
    <x v="42"/>
    <n v="3"/>
    <x v="19"/>
    <x v="121"/>
    <s v="IH磁應電飯煲"/>
    <s v="細電"/>
    <s v="SDA"/>
    <s v="ds10kw"/>
    <n v="1"/>
    <n v="3150"/>
    <n v="3150"/>
    <n v="404762"/>
    <m/>
    <m/>
    <s v="RC-DS10K(N) 404762"/>
    <n v="4588"/>
    <n v="0.68657367044463824"/>
    <s v="Toshiba SRP"/>
    <m/>
    <s v="404762"/>
  </r>
  <r>
    <n v="2812"/>
    <s v="Yata"/>
    <s v="TP_1"/>
    <x v="42"/>
    <n v="3"/>
    <x v="19"/>
    <x v="28"/>
    <s v="無線雙層電熱水壺-附可鎖壺蓋(0.8公升)"/>
    <s v="細電"/>
    <s v="SDA"/>
    <s v="08dh"/>
    <n v="1"/>
    <n v="268"/>
    <n v="268"/>
    <n v="421504"/>
    <m/>
    <m/>
    <s v="KT-08DH1VHK(W) 421504"/>
    <n v="428"/>
    <n v="0.62616822429906538"/>
    <s v="Toshiba SRP"/>
    <m/>
    <s v="421504"/>
  </r>
  <r>
    <n v="2813"/>
    <s v="Yata"/>
    <s v="TP_1"/>
    <x v="42"/>
    <n v="3"/>
    <x v="19"/>
    <x v="39"/>
    <s v="酵活炊電飯煲(1.0公升)"/>
    <s v="細電"/>
    <s v="SDA"/>
    <s v="10amx"/>
    <n v="1"/>
    <n v="990"/>
    <n v="990"/>
    <n v="325326"/>
    <m/>
    <m/>
    <s v="RC-10AMXH(W) 325326"/>
    <n v="1288"/>
    <n v="0.76863354037267084"/>
    <s v="Toshiba SRP"/>
    <m/>
    <s v="325326"/>
  </r>
  <r>
    <n v="2814"/>
    <s v="Yata"/>
    <s v="TP_1"/>
    <x v="42"/>
    <n v="3"/>
    <x v="19"/>
    <x v="30"/>
    <s v="旋鈕式燒烤微波爐20L"/>
    <s v="細電"/>
    <s v="SDA"/>
    <s v="mm20"/>
    <n v="1"/>
    <n v="488"/>
    <n v="488"/>
    <n v="325316"/>
    <m/>
    <m/>
    <s v="MWP-MM20P(WH) 325316"/>
    <n v="648"/>
    <n v="0.75308641975308643"/>
    <s v="Toshiba SRP"/>
    <m/>
    <s v="325316"/>
  </r>
  <r>
    <n v="2815"/>
    <s v="Yata"/>
    <s v="TP_1"/>
    <x v="42"/>
    <n v="3"/>
    <x v="20"/>
    <x v="30"/>
    <s v="旋鈕式燒烤微波爐20L"/>
    <s v="細電"/>
    <s v="SDA"/>
    <s v="mm20"/>
    <n v="1"/>
    <n v="488"/>
    <n v="488"/>
    <n v="421770"/>
    <m/>
    <m/>
    <s v="MWP-MM20P(WH) 421770"/>
    <n v="648"/>
    <n v="0.75308641975308643"/>
    <s v="Toshiba SRP"/>
    <m/>
    <s v="421770"/>
  </r>
  <r>
    <n v="2816"/>
    <s v="Yata"/>
    <s v="TP_1"/>
    <x v="42"/>
    <n v="3"/>
    <x v="20"/>
    <x v="17"/>
    <s v="4毫米厚釜電飯煲1L"/>
    <s v="細電"/>
    <s v="SDA"/>
    <s v="10nmf"/>
    <n v="1"/>
    <n v="719"/>
    <n v="719"/>
    <s v="091570"/>
    <m/>
    <m/>
    <s v="RC-10NMFIH(WT) 091570"/>
    <n v="898"/>
    <n v="0.80066815144766146"/>
    <s v="Toshiba SRP"/>
    <m/>
    <s v="091570"/>
  </r>
  <r>
    <n v="2817"/>
    <s v="Yata"/>
    <s v="TP_1"/>
    <x v="42"/>
    <n v="3"/>
    <x v="20"/>
    <x v="0"/>
    <s v="超薄身前置式洗衣乾衣機 (洗8公斤 乾5公斤)"/>
    <s v="大電"/>
    <s v="WM"/>
    <s v="bn90"/>
    <n v="1"/>
    <n v="3780"/>
    <n v="3780"/>
    <s v="091591"/>
    <m/>
    <m/>
    <s v="TWD-BN90GF4H(WK) 091591"/>
    <n v="5980"/>
    <n v="0.63210702341137126"/>
    <s v="Toshiba SRP"/>
    <m/>
    <s v="091591"/>
  </r>
  <r>
    <n v="2818"/>
    <s v="Yata"/>
    <s v="TP_1"/>
    <x v="42"/>
    <n v="3"/>
    <x v="21"/>
    <x v="30"/>
    <s v="旋鈕式燒烤微波爐20L"/>
    <s v="細電"/>
    <s v="SDA"/>
    <s v="mm20"/>
    <n v="1"/>
    <n v="488"/>
    <n v="488"/>
    <s v="091692"/>
    <m/>
    <m/>
    <s v="MWP-MM20P(WH) 091692"/>
    <n v="648"/>
    <n v="0.75308641975308643"/>
    <s v="Toshiba SRP"/>
    <m/>
    <s v="091692"/>
  </r>
  <r>
    <n v="2819"/>
    <s v="Yata"/>
    <s v="TP_1"/>
    <x v="42"/>
    <n v="3"/>
    <x v="21"/>
    <x v="58"/>
    <s v="IH磁應電飯煲_x000a_鑽石銅鍋"/>
    <s v="細電"/>
    <s v="SDA"/>
    <s v="dr18tw"/>
    <n v="1"/>
    <n v="2800"/>
    <n v="2800"/>
    <s v="091692"/>
    <m/>
    <m/>
    <s v="RC-DR18T(W) 091692"/>
    <n v="3588"/>
    <n v="0.78037904124860646"/>
    <s v="Toshiba SRP"/>
    <m/>
    <s v="091692"/>
  </r>
  <r>
    <n v="2820"/>
    <s v="Yata"/>
    <s v="TP_1"/>
    <x v="42"/>
    <n v="3"/>
    <x v="21"/>
    <x v="64"/>
    <s v="20公升 微波爐"/>
    <s v="細電"/>
    <s v="SDA"/>
    <s v="mmp0"/>
    <n v="1"/>
    <n v="428"/>
    <n v="428"/>
    <n v="404871"/>
    <m/>
    <m/>
    <s v="CMO-MMP012NDPF(GN) 404871"/>
    <n v="519"/>
    <n v="0.82466281310211942"/>
    <s v="Shops Highest Price"/>
    <m/>
    <s v="404871"/>
  </r>
  <r>
    <n v="2821"/>
    <s v="Yata"/>
    <s v="TP_1"/>
    <x v="42"/>
    <n v="3"/>
    <x v="21"/>
    <x v="36"/>
    <s v="輕觸式微波爐 (20公升)"/>
    <s v="細電"/>
    <s v="MCA"/>
    <s v="em20"/>
    <n v="1"/>
    <n v="598"/>
    <n v="598"/>
    <s v="091703"/>
    <m/>
    <m/>
    <s v="MM2-EM20PC(WH) 091703"/>
    <n v="788"/>
    <n v="0.75888324873096447"/>
    <s v="Toshiba SRP"/>
    <m/>
    <s v="091703"/>
  </r>
  <r>
    <n v="2822"/>
    <s v="Yata"/>
    <s v="TP_1"/>
    <x v="42"/>
    <n v="3"/>
    <x v="21"/>
    <x v="36"/>
    <s v="輕觸式微波爐 (20公升)"/>
    <s v="細電"/>
    <s v="MCA"/>
    <s v="em20"/>
    <n v="1"/>
    <n v="598"/>
    <n v="598"/>
    <n v="325871"/>
    <m/>
    <m/>
    <s v="MM2-EM20PC(WH) 325871"/>
    <n v="788"/>
    <n v="0.75888324873096447"/>
    <s v="Toshiba SRP"/>
    <m/>
    <s v="325871"/>
  </r>
  <r>
    <n v="2823"/>
    <s v="Yata"/>
    <s v="TP_1"/>
    <x v="42"/>
    <n v="3"/>
    <x v="21"/>
    <x v="30"/>
    <s v="旋鈕式燒烤微波爐20L"/>
    <s v="細電"/>
    <s v="SDA"/>
    <s v="mm20"/>
    <n v="1"/>
    <n v="488"/>
    <n v="488"/>
    <s v="091652"/>
    <m/>
    <m/>
    <s v="MWP-MM20P(WH) 091652"/>
    <n v="648"/>
    <n v="0.75308641975308643"/>
    <s v="Toshiba SRP"/>
    <m/>
    <s v="091652"/>
  </r>
  <r>
    <n v="2824"/>
    <s v="Yata"/>
    <s v="TP_1"/>
    <x v="42"/>
    <n v="3"/>
    <x v="21"/>
    <x v="26"/>
    <s v="變頻頂揭式洗衣機 (7.5公斤)"/>
    <s v="大電"/>
    <s v="LAD"/>
    <s v="cfk01w75"/>
    <n v="1"/>
    <n v="3580"/>
    <n v="3580"/>
    <n v="329876"/>
    <m/>
    <m/>
    <s v="CFK01W75 329876"/>
    <n v="3888"/>
    <n v="0.92078189300411528"/>
    <s v="Shops Highest Price"/>
    <m/>
    <s v="329876"/>
  </r>
  <r>
    <n v="2825"/>
    <s v="Yata"/>
    <s v="TP_1"/>
    <x v="42"/>
    <n v="3"/>
    <x v="23"/>
    <x v="17"/>
    <s v="4毫米厚釜電飯煲1L"/>
    <s v="細電"/>
    <s v="SDA"/>
    <s v="10nmf"/>
    <n v="1"/>
    <n v="719"/>
    <n v="719"/>
    <n v="326576"/>
    <m/>
    <m/>
    <s v="RC-10NMFIH(WT) 326576"/>
    <n v="898"/>
    <n v="0.80066815144766146"/>
    <s v="Toshiba SRP"/>
    <m/>
    <s v="326576"/>
  </r>
  <r>
    <n v="2826"/>
    <s v="Yata"/>
    <s v="TP_1"/>
    <x v="42"/>
    <n v="3"/>
    <x v="23"/>
    <x v="31"/>
    <s v="無線雙層電熱水壺(1.7公升)"/>
    <s v="細電"/>
    <s v="SDA"/>
    <s v="17drt"/>
    <n v="1"/>
    <n v="388"/>
    <n v="388"/>
    <n v="405046"/>
    <m/>
    <m/>
    <s v="KT-17DRTHK(H) 405046"/>
    <n v="498"/>
    <n v="0.77911646586345384"/>
    <s v="Toshiba SRP"/>
    <m/>
    <s v="405046"/>
  </r>
  <r>
    <n v="2827"/>
    <s v="Yata"/>
    <s v="TP_1"/>
    <x v="42"/>
    <n v="3"/>
    <x v="23"/>
    <x v="35"/>
    <s v="1.8公升電飯煲"/>
    <s v="細電"/>
    <s v="SDA"/>
    <s v="18jruh"/>
    <n v="1"/>
    <n v="388"/>
    <n v="388"/>
    <n v="405029"/>
    <m/>
    <m/>
    <s v="RC-18JRUH(N) 405029"/>
    <n v="458"/>
    <n v="0.84716157205240172"/>
    <s v="Shops Highest Price"/>
    <m/>
    <s v="405029"/>
  </r>
  <r>
    <n v="2828"/>
    <s v="Yata"/>
    <s v="TP_1"/>
    <x v="42"/>
    <n v="3"/>
    <x v="23"/>
    <x v="21"/>
    <s v="壓縮式抽濕機 (30公升)"/>
    <s v="細電"/>
    <s v="RAC"/>
    <s v="d300"/>
    <n v="1"/>
    <n v="2280"/>
    <n v="2280"/>
    <n v="326587"/>
    <m/>
    <m/>
    <s v="RAD-D300H 326587"/>
    <n v="3380"/>
    <n v="0.67455621301775148"/>
    <s v="Shops Highest Price"/>
    <m/>
    <s v="326587"/>
  </r>
  <r>
    <n v="2829"/>
    <s v="Yata"/>
    <s v="TP_1"/>
    <x v="42"/>
    <n v="3"/>
    <x v="23"/>
    <x v="76"/>
    <s v="日式洗衣機 (7公斤 結合高低水位)"/>
    <s v="大電"/>
    <s v="LAD"/>
    <s v="q801"/>
    <n v="1"/>
    <n v="1980"/>
    <n v="1980"/>
    <n v="326587"/>
    <m/>
    <m/>
    <s v="AW-Q801APH(WW) 326587"/>
    <n v="3380"/>
    <n v="0.58579881656804733"/>
    <s v="Toshiba SRP"/>
    <m/>
    <s v="326587"/>
  </r>
  <r>
    <n v="2830"/>
    <s v="Yata"/>
    <s v="TP_1"/>
    <x v="42"/>
    <n v="3"/>
    <x v="23"/>
    <x v="87"/>
    <s v="變頻式環保雙門雪櫃(233L)"/>
    <s v="大電"/>
    <s v="REF"/>
    <s v="rt300"/>
    <n v="1"/>
    <n v="2780"/>
    <n v="2780"/>
    <n v="422591"/>
    <m/>
    <m/>
    <s v="GR-RT300WE-PMA(57) 422591"/>
    <n v="4280"/>
    <n v="0.64953271028037385"/>
    <s v="Toshiba SRP"/>
    <m/>
    <s v="422591"/>
  </r>
  <r>
    <n v="2831"/>
    <s v="Yata"/>
    <s v="TP_1"/>
    <x v="42"/>
    <n v="3"/>
    <x v="23"/>
    <x v="64"/>
    <s v="20公升 微波爐"/>
    <s v="細電"/>
    <s v="SDA"/>
    <s v="mmp0"/>
    <n v="1"/>
    <n v="428"/>
    <n v="428"/>
    <n v="405079"/>
    <m/>
    <m/>
    <s v="CMO-MMP012NDPF(GN) 405079"/>
    <n v="519"/>
    <n v="0.82466281310211942"/>
    <s v="Shops Highest Price"/>
    <m/>
    <s v="405079"/>
  </r>
  <r>
    <n v="2832"/>
    <s v="Yata"/>
    <s v="TP_1"/>
    <x v="42"/>
    <n v="3"/>
    <x v="23"/>
    <x v="76"/>
    <s v="日式洗衣機 (7公斤 結合高低水位)"/>
    <s v="大電"/>
    <s v="LAD"/>
    <s v="q801"/>
    <n v="1"/>
    <n v="1980"/>
    <n v="1980"/>
    <n v="405079"/>
    <m/>
    <m/>
    <s v="AW-Q801APH(WW) 405079"/>
    <n v="3380"/>
    <n v="0.58579881656804733"/>
    <s v="Toshiba SRP"/>
    <m/>
    <s v="405079"/>
  </r>
  <r>
    <n v="2833"/>
    <s v="Yata"/>
    <s v="TP_1"/>
    <x v="42"/>
    <n v="3"/>
    <x v="24"/>
    <x v="30"/>
    <s v="旋鈕式燒烤微波爐20L"/>
    <s v="細電"/>
    <s v="SDA"/>
    <s v="mm20"/>
    <n v="1"/>
    <n v="488"/>
    <n v="488"/>
    <s v="092162"/>
    <m/>
    <m/>
    <s v="MWP-MM20P(WH) 092162"/>
    <n v="648"/>
    <n v="0.75308641975308643"/>
    <s v="Toshiba SRP"/>
    <m/>
    <s v="092162"/>
  </r>
  <r>
    <n v="2834"/>
    <s v="Yata"/>
    <s v="TP_1"/>
    <x v="42"/>
    <n v="3"/>
    <x v="25"/>
    <x v="44"/>
    <s v="1.7L無線雙層電熱水壺"/>
    <s v="細電"/>
    <s v="SDA"/>
    <s v="17shnh"/>
    <n v="1"/>
    <n v="198"/>
    <n v="198"/>
    <n v="327084"/>
    <m/>
    <m/>
    <s v="KT-17SHNH 327084"/>
    <n v="299"/>
    <n v="0.66220735785953178"/>
    <s v="Shops Highest Price"/>
    <m/>
    <s v="327084"/>
  </r>
  <r>
    <n v="2835"/>
    <s v="Yata"/>
    <s v="TP_1"/>
    <x v="42"/>
    <n v="3"/>
    <x v="25"/>
    <x v="0"/>
    <s v="超薄身前置式洗衣乾衣機 (洗8公斤 乾5公斤)"/>
    <s v="大電"/>
    <s v="WM"/>
    <s v="bn90"/>
    <n v="1"/>
    <n v="3780"/>
    <n v="3780"/>
    <s v="092280"/>
    <m/>
    <m/>
    <s v="TWD-BN90GF4H(WK) 092280"/>
    <n v="5980"/>
    <n v="0.63210702341137126"/>
    <s v="Toshiba SRP"/>
    <m/>
    <s v="092280"/>
  </r>
  <r>
    <n v="2836"/>
    <s v="Yata"/>
    <s v="TP_1"/>
    <x v="42"/>
    <n v="3"/>
    <x v="25"/>
    <x v="3"/>
    <s v="7.5KG超薄身前置式變頻洗衣機"/>
    <s v="大電"/>
    <s v="WM"/>
    <s v="bl85a2"/>
    <n v="1"/>
    <n v="3180"/>
    <n v="3180"/>
    <n v="327140"/>
    <m/>
    <m/>
    <s v="TW-BL85A2H(WW) 327140"/>
    <n v="5080"/>
    <n v="0.62598425196850394"/>
    <s v="Toshiba SRP"/>
    <m/>
    <s v="327140"/>
  </r>
  <r>
    <n v="2837"/>
    <s v="Yata"/>
    <s v="TP_1"/>
    <x v="42"/>
    <n v="3"/>
    <x v="26"/>
    <x v="24"/>
    <s v="微型電腦珍珠飯煲"/>
    <s v="細電"/>
    <s v="SDA"/>
    <s v="5sli"/>
    <n v="1"/>
    <n v="593"/>
    <n v="593"/>
    <n v="327405"/>
    <m/>
    <m/>
    <s v="RC-5SLIH(W) 327405"/>
    <n v="658"/>
    <n v="0.90121580547112456"/>
    <s v="Toshiba SRP"/>
    <m/>
    <s v="327405"/>
  </r>
  <r>
    <n v="2838"/>
    <s v="Yata"/>
    <s v="TP_1"/>
    <x v="42"/>
    <n v="3"/>
    <x v="26"/>
    <x v="24"/>
    <s v="微型電腦珍珠飯煲"/>
    <s v="細電"/>
    <s v="SDA"/>
    <s v="5sli"/>
    <n v="1"/>
    <n v="593"/>
    <n v="593"/>
    <n v="33039"/>
    <m/>
    <m/>
    <s v="RC-5SLIH(W) 33039"/>
    <n v="658"/>
    <n v="0.90121580547112456"/>
    <s v="Toshiba SRP"/>
    <m/>
    <s v="33039"/>
  </r>
  <r>
    <n v="2839"/>
    <s v="Yata"/>
    <s v="TP_1"/>
    <x v="42"/>
    <n v="3"/>
    <x v="26"/>
    <x v="54"/>
    <s v="低醣磁應電飯煲1L"/>
    <s v="細電"/>
    <s v="SDA"/>
    <s v="10irph"/>
    <n v="1"/>
    <n v="793"/>
    <n v="793"/>
    <n v="327243"/>
    <m/>
    <m/>
    <s v="RC-10IRPH 327243"/>
    <n v="1388"/>
    <n v="0.57132564841498557"/>
    <s v="Toshiba SRP"/>
    <m/>
    <s v="327243"/>
  </r>
  <r>
    <n v="2840"/>
    <s v="Yata"/>
    <s v="TP_1"/>
    <x v="42"/>
    <n v="3"/>
    <x v="26"/>
    <x v="7"/>
    <s v="4毫米厚釜電飯煲0.54L"/>
    <s v="細電"/>
    <s v="SDA"/>
    <s v="5mm"/>
    <n v="1"/>
    <n v="557"/>
    <n v="557"/>
    <n v="327243"/>
    <m/>
    <m/>
    <s v="RC-5MMIH(WT) 327243"/>
    <n v="618"/>
    <n v="0.90129449838187703"/>
    <s v="Toshiba SRP"/>
    <m/>
    <s v="327243"/>
  </r>
  <r>
    <n v="2841"/>
    <s v="Yata"/>
    <s v="TP_1"/>
    <x v="42"/>
    <n v="3"/>
    <x v="26"/>
    <x v="17"/>
    <s v="4毫米厚釜電飯煲1L"/>
    <s v="細電"/>
    <s v="SDA"/>
    <s v="10nmf"/>
    <n v="1"/>
    <n v="719"/>
    <n v="719"/>
    <s v="092520"/>
    <m/>
    <m/>
    <s v="RC-10NMFIH(WT) 092520"/>
    <n v="898"/>
    <n v="0.80066815144766146"/>
    <s v="Toshiba SRP"/>
    <m/>
    <s v="092520"/>
  </r>
  <r>
    <n v="2842"/>
    <s v="Yata"/>
    <s v="TP_1"/>
    <x v="42"/>
    <n v="3"/>
    <x v="26"/>
    <x v="30"/>
    <s v="旋鈕式燒烤微波爐20L"/>
    <s v="細電"/>
    <s v="SDA"/>
    <s v="mm20"/>
    <n v="1"/>
    <n v="488"/>
    <n v="488"/>
    <n v="327416"/>
    <m/>
    <m/>
    <s v="MWP-MM20P(WH) 327416"/>
    <n v="648"/>
    <n v="0.75308641975308643"/>
    <s v="Toshiba SRP"/>
    <m/>
    <s v="327416"/>
  </r>
  <r>
    <n v="2843"/>
    <s v="Yata"/>
    <s v="TP_1"/>
    <x v="42"/>
    <n v="3"/>
    <x v="26"/>
    <x v="48"/>
    <s v="3合1 微波蒸焗爐 (20公升)"/>
    <s v="細電"/>
    <s v="MCA"/>
    <s v="tt20"/>
    <n v="1"/>
    <n v="2580"/>
    <n v="2580"/>
    <n v="405275"/>
    <m/>
    <m/>
    <s v="MX2-TT20SC(WH) 405275"/>
    <n v="3580"/>
    <n v="0.72067039106145248"/>
    <s v="Toshiba SRP"/>
    <m/>
    <s v="405275"/>
  </r>
  <r>
    <n v="2844"/>
    <s v="Yata"/>
    <s v="TP_1"/>
    <x v="42"/>
    <n v="3"/>
    <x v="26"/>
    <x v="48"/>
    <s v="3合1 微波蒸焗爐 (20公升)"/>
    <s v="細電"/>
    <s v="MCA"/>
    <s v="tt20"/>
    <n v="1"/>
    <n v="2580"/>
    <n v="2580"/>
    <n v="422826"/>
    <m/>
    <m/>
    <s v="MX2-TT20SC(WH) 422826"/>
    <n v="3580"/>
    <n v="0.72067039106145248"/>
    <s v="Toshiba SRP"/>
    <m/>
    <s v="422826"/>
  </r>
  <r>
    <n v="2845"/>
    <s v="Yata"/>
    <s v="TP_1"/>
    <x v="42"/>
    <n v="3"/>
    <x v="26"/>
    <x v="43"/>
    <s v="470MM超薄身前置式變頻洗衣機(8.5公斤, 可飛頂)"/>
    <s v="大電"/>
    <s v="LAD"/>
    <s v="t2295"/>
    <n v="1"/>
    <n v="3680"/>
    <n v="3680"/>
    <s v="092430"/>
    <m/>
    <m/>
    <s v="TW-T22BU95UWH(WK)-B 092430"/>
    <n v="5880"/>
    <n v="0.62585034013605445"/>
    <s v="Toshiba SRP"/>
    <m/>
    <s v="092430"/>
  </r>
  <r>
    <n v="2846"/>
    <s v="Yata"/>
    <s v="TP_1"/>
    <x v="42"/>
    <n v="3"/>
    <x v="27"/>
    <x v="51"/>
    <s v="IH磁應電飯煲"/>
    <s v="細電"/>
    <s v="SDA"/>
    <s v="dr10tw"/>
    <n v="1"/>
    <n v="2380"/>
    <n v="2380"/>
    <n v="405310"/>
    <m/>
    <m/>
    <s v="RC-DR10T(W) 405310"/>
    <n v="3188"/>
    <n v="0.74654956085319946"/>
    <s v="Toshiba SRP"/>
    <m/>
    <s v="405310"/>
  </r>
  <r>
    <n v="2847"/>
    <s v="Yata"/>
    <s v="TP_1"/>
    <x v="42"/>
    <n v="3"/>
    <x v="27"/>
    <x v="116"/>
    <s v="IH磁應電飯煲"/>
    <s v="細電"/>
    <s v="SDA"/>
    <s v="ds18kw"/>
    <n v="1"/>
    <n v="3490"/>
    <n v="3490"/>
    <n v="327788"/>
    <m/>
    <m/>
    <s v="RC-DS18K(N) 327788"/>
    <n v="4988"/>
    <n v="0.69967923015236566"/>
    <s v="Toshiba SRP"/>
    <m/>
    <s v="327788"/>
  </r>
  <r>
    <n v="2848"/>
    <s v="Yata"/>
    <s v="TP_1"/>
    <x v="42"/>
    <n v="3"/>
    <x v="27"/>
    <x v="23"/>
    <s v="電飯煲"/>
    <s v="細電"/>
    <s v="SDA"/>
    <s v="10jruh"/>
    <n v="1"/>
    <n v="328"/>
    <n v="328"/>
    <s v="092606"/>
    <m/>
    <m/>
    <s v="RC-10JRUH(N) 092606"/>
    <n v="398"/>
    <n v="0.82412060301507539"/>
    <s v="Shops Highest Price"/>
    <m/>
    <s v="092606"/>
  </r>
  <r>
    <n v="2849"/>
    <s v="Yata"/>
    <s v="TP_1"/>
    <x v="42"/>
    <n v="3"/>
    <x v="27"/>
    <x v="17"/>
    <s v="4毫米厚釜電飯煲1L"/>
    <s v="細電"/>
    <s v="SDA"/>
    <s v="10nmf"/>
    <n v="1"/>
    <n v="719"/>
    <n v="719"/>
    <n v="327805"/>
    <m/>
    <m/>
    <s v="RC-10NMFIH(WT) 327805"/>
    <n v="898"/>
    <n v="0.80066815144766146"/>
    <s v="Toshiba SRP"/>
    <m/>
    <s v="327805"/>
  </r>
  <r>
    <n v="2850"/>
    <s v="Yata"/>
    <s v="TP_1"/>
    <x v="42"/>
    <n v="3"/>
    <x v="27"/>
    <x v="17"/>
    <s v="4毫米厚釜電飯煲1L"/>
    <s v="細電"/>
    <s v="SDA"/>
    <s v="10nmf"/>
    <n v="1"/>
    <n v="719"/>
    <n v="719"/>
    <s v="092690"/>
    <m/>
    <m/>
    <s v="RC-10NMFIH(WT) 092690"/>
    <n v="898"/>
    <n v="0.80066815144766146"/>
    <s v="Toshiba SRP"/>
    <m/>
    <s v="092690"/>
  </r>
  <r>
    <n v="2851"/>
    <s v="Yata"/>
    <s v="TP_1"/>
    <x v="42"/>
    <n v="3"/>
    <x v="27"/>
    <x v="26"/>
    <s v="變頻頂揭式洗衣機 (7.5公斤)"/>
    <s v="大電"/>
    <s v="LAD"/>
    <s v="cfk01w75"/>
    <n v="1"/>
    <n v="3580"/>
    <n v="3580"/>
    <n v="422988"/>
    <m/>
    <m/>
    <s v="CFK01W75 422988"/>
    <n v="3888"/>
    <n v="0.92078189300411528"/>
    <s v="Shops Highest Price"/>
    <m/>
    <s v="422988"/>
  </r>
  <r>
    <n v="2852"/>
    <s v="Yata"/>
    <s v="TP_2"/>
    <x v="43"/>
    <n v="3"/>
    <x v="9"/>
    <x v="32"/>
    <s v="電熱水瓶3L"/>
    <s v="細電"/>
    <s v="SDA"/>
    <s v="30fl"/>
    <n v="1"/>
    <n v="489"/>
    <n v="489"/>
    <s v="090065"/>
    <m/>
    <m/>
    <s v="PLK-30FLIH(WT) 090065"/>
    <n v="658"/>
    <n v="0.74316109422492405"/>
    <s v="Toshiba SRP"/>
    <m/>
    <s v="090065"/>
  </r>
  <r>
    <n v="2853"/>
    <s v="Yata"/>
    <s v="TP_2"/>
    <x v="43"/>
    <n v="3"/>
    <x v="9"/>
    <x v="87"/>
    <s v="變頻式環保雙門雪櫃(233L)"/>
    <s v="大電"/>
    <s v="REF"/>
    <s v="rt300"/>
    <n v="1"/>
    <n v="2780"/>
    <n v="2780"/>
    <n v="418317"/>
    <m/>
    <m/>
    <s v="GR-RT300WE-PMA(57) 418317"/>
    <n v="4280"/>
    <n v="0.64953271028037385"/>
    <s v="Toshiba SRP"/>
    <m/>
    <s v="418317"/>
  </r>
  <r>
    <n v="2854"/>
    <s v="Yata"/>
    <s v="TP_2"/>
    <x v="43"/>
    <n v="3"/>
    <x v="9"/>
    <x v="76"/>
    <s v="日式洗衣機 (7公斤 結合高低水位)"/>
    <s v="大電"/>
    <s v="LAD"/>
    <s v="q801"/>
    <n v="1"/>
    <n v="1980"/>
    <n v="1980"/>
    <s v="090108"/>
    <m/>
    <m/>
    <s v="AW-Q801APH(WW) 090108"/>
    <n v="3380"/>
    <n v="0.58579881656804733"/>
    <s v="Toshiba SRP"/>
    <m/>
    <s v="090108"/>
  </r>
  <r>
    <n v="2855"/>
    <s v="Yata"/>
    <s v="TP_2"/>
    <x v="43"/>
    <n v="3"/>
    <x v="9"/>
    <x v="57"/>
    <s v="多功能備長炭本厚釜電飯煲1L"/>
    <s v="細電"/>
    <s v="SDA"/>
    <s v="10drnh"/>
    <n v="1"/>
    <n v="549"/>
    <n v="549"/>
    <n v="418338"/>
    <m/>
    <m/>
    <s v="RC-10DRNH 418338"/>
    <n v="798"/>
    <n v="0.68796992481203012"/>
    <s v="Toshiba SRP"/>
    <m/>
    <s v="418338"/>
  </r>
  <r>
    <n v="2856"/>
    <s v="Yata"/>
    <s v="TP_2"/>
    <x v="43"/>
    <n v="3"/>
    <x v="9"/>
    <x v="51"/>
    <s v="IH磁應電飯煲"/>
    <s v="細電"/>
    <s v="SDA"/>
    <s v="dr10tw"/>
    <n v="1"/>
    <n v="2380"/>
    <n v="2380"/>
    <n v="418375"/>
    <m/>
    <m/>
    <s v="RC-DR10T(W) 418375"/>
    <n v="3188"/>
    <n v="0.74654956085319946"/>
    <s v="Toshiba SRP"/>
    <m/>
    <s v="418375"/>
  </r>
  <r>
    <n v="2857"/>
    <s v="Yata"/>
    <s v="TP_2"/>
    <x v="43"/>
    <n v="3"/>
    <x v="10"/>
    <x v="36"/>
    <s v="輕觸式微波爐 (20公升)"/>
    <s v="細電"/>
    <s v="MCA"/>
    <s v="em20"/>
    <n v="1"/>
    <n v="598"/>
    <n v="598"/>
    <n v="418445"/>
    <m/>
    <m/>
    <s v="MM2-EM20PC(WH) 418445"/>
    <n v="788"/>
    <n v="0.75888324873096447"/>
    <s v="Toshiba SRP"/>
    <m/>
    <s v="418445"/>
  </r>
  <r>
    <n v="2858"/>
    <s v="Yata"/>
    <s v="TP_2"/>
    <x v="43"/>
    <n v="3"/>
    <x v="10"/>
    <x v="43"/>
    <s v="470MM超薄身前置式變頻洗衣機(8.5公斤, 可飛頂)"/>
    <s v="大電"/>
    <s v="LAD"/>
    <s v="t2295"/>
    <n v="1"/>
    <n v="3680"/>
    <n v="3680"/>
    <n v="418442"/>
    <m/>
    <m/>
    <s v="TW-T22BU95UWH(WK)-B 418442"/>
    <n v="5880"/>
    <n v="0.62585034013605445"/>
    <s v="Toshiba SRP"/>
    <m/>
    <s v="418442"/>
  </r>
  <r>
    <n v="2859"/>
    <s v="Yata"/>
    <s v="TP_2"/>
    <x v="43"/>
    <n v="3"/>
    <x v="30"/>
    <x v="30"/>
    <s v="旋鈕式燒烤微波爐20L"/>
    <s v="細電"/>
    <s v="SDA"/>
    <s v="mm20"/>
    <n v="1"/>
    <n v="488"/>
    <n v="488"/>
    <s v="091962"/>
    <m/>
    <m/>
    <s v="MWP-MM20P(WH) 091962"/>
    <n v="648"/>
    <n v="0.75308641975308643"/>
    <s v="Toshiba SRP"/>
    <m/>
    <s v="091962"/>
  </r>
  <r>
    <n v="2860"/>
    <s v="Yata"/>
    <s v="TP_2"/>
    <x v="43"/>
    <n v="3"/>
    <x v="30"/>
    <x v="31"/>
    <s v="無線雙層電熱水壺(1.7公升)"/>
    <s v="細電"/>
    <s v="SDA"/>
    <s v="17drt"/>
    <n v="1"/>
    <n v="388"/>
    <n v="388"/>
    <s v="091910"/>
    <m/>
    <m/>
    <s v="KT-17DRTHK(H) 091910"/>
    <n v="498"/>
    <n v="0.77911646586345384"/>
    <s v="Toshiba SRP"/>
    <m/>
    <s v="091910"/>
  </r>
  <r>
    <n v="2861"/>
    <s v="Yata"/>
    <s v="TP_2"/>
    <x v="43"/>
    <n v="3"/>
    <x v="30"/>
    <x v="24"/>
    <s v="微型電腦珍珠飯煲"/>
    <s v="細電"/>
    <s v="SDA"/>
    <s v="5sli"/>
    <n v="1"/>
    <n v="593"/>
    <n v="593"/>
    <n v="422389"/>
    <m/>
    <m/>
    <s v="RC-5SLIH(W) 422389"/>
    <n v="658"/>
    <n v="0.90121580547112456"/>
    <s v="Toshiba SRP"/>
    <m/>
    <s v="422389"/>
  </r>
  <r>
    <n v="2862"/>
    <s v="Yata"/>
    <s v="TP_2"/>
    <x v="43"/>
    <n v="3"/>
    <x v="30"/>
    <x v="30"/>
    <s v="旋鈕式燒烤微波爐20L"/>
    <s v="細電"/>
    <s v="SDA"/>
    <s v="mm20"/>
    <n v="1"/>
    <n v="488"/>
    <n v="488"/>
    <s v="091909"/>
    <m/>
    <m/>
    <s v="MWP-MM20P(WH) 091909"/>
    <n v="648"/>
    <n v="0.75308641975308643"/>
    <s v="Toshiba SRP"/>
    <m/>
    <s v="091909"/>
  </r>
  <r>
    <n v="2863"/>
    <s v="Yata"/>
    <s v="TP_2"/>
    <x v="43"/>
    <n v="3"/>
    <x v="22"/>
    <x v="66"/>
    <s v="變頻下置式雙門雪櫃（163L）"/>
    <s v="大電"/>
    <s v="REF"/>
    <s v="rb221"/>
    <n v="1"/>
    <n v="1880"/>
    <n v="1880"/>
    <s v="092123"/>
    <m/>
    <m/>
    <s v="GR-RB221WE-PMA(57) 092123"/>
    <n v="3480"/>
    <n v="0.54022988505747127"/>
    <s v="Toshiba SRP"/>
    <m/>
    <s v="092123"/>
  </r>
  <r>
    <n v="2864"/>
    <s v="Yata"/>
    <s v="TP_2"/>
    <x v="43"/>
    <n v="3"/>
    <x v="22"/>
    <x v="64"/>
    <s v="20公升 微波爐"/>
    <s v="細電"/>
    <s v="SDA"/>
    <s v="mmp0"/>
    <n v="1"/>
    <n v="428"/>
    <n v="428"/>
    <s v="092123"/>
    <m/>
    <m/>
    <s v="CMO-MMP012NDPF(GN) 092123"/>
    <n v="519"/>
    <n v="0.82466281310211942"/>
    <s v="Shops Highest Price"/>
    <m/>
    <s v="092123"/>
  </r>
  <r>
    <n v="2865"/>
    <s v="Yata"/>
    <s v="TP_2"/>
    <x v="43"/>
    <n v="3"/>
    <x v="22"/>
    <x v="7"/>
    <s v="4毫米厚釜電飯煲0.54L"/>
    <s v="細電"/>
    <s v="SDA"/>
    <s v="5mm"/>
    <n v="1"/>
    <n v="557"/>
    <n v="557"/>
    <n v="326257"/>
    <m/>
    <m/>
    <s v="RC-5MMIH(WT) 326257"/>
    <n v="618"/>
    <n v="0.90129449838187703"/>
    <s v="Toshiba SRP"/>
    <m/>
    <s v="326257"/>
  </r>
  <r>
    <n v="2866"/>
    <s v="Yata"/>
    <s v="TP_2"/>
    <x v="43"/>
    <n v="3"/>
    <x v="22"/>
    <x v="30"/>
    <s v="旋鈕式燒烤微波爐20L"/>
    <s v="細電"/>
    <s v="SDA"/>
    <s v="mm20"/>
    <n v="1"/>
    <n v="488"/>
    <n v="488"/>
    <n v="326206"/>
    <m/>
    <m/>
    <s v="MWP-MM20P(WH) 326206"/>
    <n v="648"/>
    <n v="0.75308641975308643"/>
    <s v="Toshiba SRP"/>
    <m/>
    <s v="326206"/>
  </r>
  <r>
    <n v="2867"/>
    <s v="Yata"/>
    <s v="TP_2"/>
    <x v="43"/>
    <n v="3"/>
    <x v="22"/>
    <x v="78"/>
    <s v="變頻式環保雙門雪櫃（179L）"/>
    <s v="大電"/>
    <s v="REF"/>
    <s v="rt234"/>
    <n v="1"/>
    <n v="1980"/>
    <n v="1980"/>
    <s v="092131"/>
    <m/>
    <m/>
    <s v="GR-RT234WE-PMA(57) 092131"/>
    <n v="3680"/>
    <n v="0.53804347826086951"/>
    <s v="Toshiba SRP"/>
    <m/>
    <s v="092131"/>
  </r>
  <r>
    <n v="2868"/>
    <s v="Yata"/>
    <s v="TP_2"/>
    <x v="43"/>
    <n v="3"/>
    <x v="22"/>
    <x v="30"/>
    <s v="旋鈕式燒烤微波爐20L"/>
    <s v="細電"/>
    <s v="SDA"/>
    <s v="mm20"/>
    <n v="1"/>
    <n v="488"/>
    <n v="488"/>
    <n v="326281"/>
    <m/>
    <m/>
    <s v="MWP-MM20P(WH) 326281"/>
    <n v="648"/>
    <n v="0.75308641975308643"/>
    <s v="Toshiba SRP"/>
    <m/>
    <s v="326281"/>
  </r>
  <r>
    <n v="2869"/>
    <s v="Yata"/>
    <s v="TP_2"/>
    <x v="43"/>
    <n v="3"/>
    <x v="28"/>
    <x v="39"/>
    <s v="酵活炊電飯煲(1.0公升)"/>
    <s v="細電"/>
    <s v="SDA"/>
    <s v="10amx"/>
    <n v="1"/>
    <n v="990"/>
    <n v="990"/>
    <s v="092807"/>
    <m/>
    <m/>
    <s v="RC-10AMXH(W) 092807"/>
    <n v="1288"/>
    <n v="0.76863354037267084"/>
    <s v="Toshiba SRP"/>
    <m/>
    <s v="092807"/>
  </r>
  <r>
    <n v="2870"/>
    <s v="Yata"/>
    <s v="TP_2"/>
    <x v="43"/>
    <n v="3"/>
    <x v="29"/>
    <x v="30"/>
    <s v="旋鈕式燒烤微波爐20L"/>
    <s v="細電"/>
    <s v="SDA"/>
    <s v="mm20"/>
    <n v="1"/>
    <n v="488"/>
    <n v="488"/>
    <s v="093871"/>
    <m/>
    <m/>
    <s v="MWP-MM20P(WH) 093871"/>
    <n v="648"/>
    <n v="0.75308641975308643"/>
    <s v="Toshiba SRP"/>
    <m/>
    <s v="093871"/>
  </r>
  <r>
    <n v="2871"/>
    <s v="Yata"/>
    <s v="TP_2"/>
    <x v="43"/>
    <n v="3"/>
    <x v="29"/>
    <x v="74"/>
    <s v="4合1氣炸微波蒸焗爐(25公升)"/>
    <s v="細電"/>
    <s v="MCA"/>
    <s v="str25"/>
    <n v="1"/>
    <n v="3580"/>
    <n v="3580"/>
    <s v="092807"/>
    <m/>
    <m/>
    <s v="MX2-STR25SC(WH) 092807"/>
    <n v="4998"/>
    <n v="0.71628651460584236"/>
    <s v="Toshiba SRP"/>
    <m/>
    <s v="092807"/>
  </r>
  <r>
    <n v="2872"/>
    <s v="Yata"/>
    <s v="TP_2"/>
    <x v="43"/>
    <n v="3"/>
    <x v="29"/>
    <x v="93"/>
    <s v="座檯式洗碗碟機"/>
    <s v="細電"/>
    <s v="DW"/>
    <s v="05t2"/>
    <n v="1"/>
    <n v="3980"/>
    <n v="3980"/>
    <s v="092807"/>
    <m/>
    <m/>
    <s v="DW-05T2-HK 092807"/>
    <n v="4580"/>
    <n v="0.86899563318777295"/>
    <s v="Toshiba SRP"/>
    <m/>
    <s v="092807"/>
  </r>
  <r>
    <n v="2873"/>
    <s v="Yata"/>
    <s v="TP_2"/>
    <x v="43"/>
    <n v="3"/>
    <x v="29"/>
    <x v="43"/>
    <s v="470MM超薄身前置式變頻洗衣機(8.5公斤, 可飛頂)"/>
    <s v="大電"/>
    <s v="LAD"/>
    <s v="t2295"/>
    <n v="1"/>
    <n v="3680"/>
    <n v="3680"/>
    <n v="423137"/>
    <m/>
    <m/>
    <s v="TW-T22BU95UWH(WK)-B 423137"/>
    <n v="5880"/>
    <n v="0.62585034013605445"/>
    <s v="Toshiba SRP"/>
    <m/>
    <s v="423137"/>
  </r>
  <r>
    <n v="2874"/>
    <s v="Yata"/>
    <s v="Shatin_3"/>
    <x v="44"/>
    <n v="3"/>
    <x v="23"/>
    <x v="44"/>
    <s v="1.7L無線雙層電熱水壺"/>
    <s v="細電"/>
    <s v="SDA"/>
    <s v="17shnh"/>
    <n v="1"/>
    <n v="198"/>
    <n v="198"/>
    <n v="350648"/>
    <s v="350643&gt;350648"/>
    <m/>
    <s v="KT-17SHNH 350648"/>
    <n v="299"/>
    <n v="0.66220735785953178"/>
    <s v="Shops Highest Price"/>
    <m/>
    <s v="350648"/>
  </r>
  <r>
    <n v="2875"/>
    <s v="Yata"/>
    <s v="Shatin_3"/>
    <x v="44"/>
    <n v="3"/>
    <x v="23"/>
    <x v="27"/>
    <s v="4毫米厚釜電飯煲1.8L"/>
    <s v="細電"/>
    <s v="SDA"/>
    <s v="18nmf"/>
    <n v="1"/>
    <n v="799"/>
    <n v="799"/>
    <n v="534416"/>
    <m/>
    <m/>
    <s v="RC-18NMFIH(WT) 534416"/>
    <n v="998"/>
    <n v="0.80060120240480959"/>
    <s v="Toshiba SRP"/>
    <m/>
    <s v="534416"/>
  </r>
  <r>
    <n v="2876"/>
    <s v="Yata"/>
    <s v="Shatin_3"/>
    <x v="44"/>
    <n v="3"/>
    <x v="23"/>
    <x v="27"/>
    <s v="4毫米厚釜電飯煲1.8L"/>
    <s v="細電"/>
    <s v="SDA"/>
    <s v="18nmf"/>
    <n v="1"/>
    <n v="799"/>
    <n v="799"/>
    <n v="534417"/>
    <m/>
    <m/>
    <s v="RC-18NMFIH(WT) 534417"/>
    <n v="998"/>
    <n v="0.80060120240480959"/>
    <s v="Toshiba SRP"/>
    <m/>
    <s v="534417"/>
  </r>
  <r>
    <n v="2877"/>
    <s v="Yata"/>
    <s v="Shatin_3"/>
    <x v="44"/>
    <n v="3"/>
    <x v="23"/>
    <x v="31"/>
    <s v="無線雙層電熱水壺(1.7公升)"/>
    <s v="細電"/>
    <s v="SDA"/>
    <s v="17drt"/>
    <n v="1"/>
    <n v="388"/>
    <n v="388"/>
    <n v="534497"/>
    <m/>
    <m/>
    <s v="KT-17DRTHK(H) 534497"/>
    <n v="498"/>
    <n v="0.77911646586345384"/>
    <s v="Toshiba SRP"/>
    <m/>
    <s v="534497"/>
  </r>
  <r>
    <n v="2878"/>
    <s v="Yata"/>
    <s v="Shatin_3"/>
    <x v="44"/>
    <n v="3"/>
    <x v="23"/>
    <x v="24"/>
    <s v="微型電腦珍珠飯煲"/>
    <s v="細電"/>
    <s v="SDA"/>
    <s v="5sli"/>
    <n v="1"/>
    <n v="593"/>
    <n v="593"/>
    <n v="534456"/>
    <m/>
    <m/>
    <s v="RC-5SLIH(W) 534456"/>
    <n v="658"/>
    <n v="0.90121580547112456"/>
    <s v="Toshiba SRP"/>
    <m/>
    <s v="534456"/>
  </r>
  <r>
    <n v="2879"/>
    <s v="Yata"/>
    <s v="Shatin_3"/>
    <x v="44"/>
    <n v="3"/>
    <x v="24"/>
    <x v="44"/>
    <s v="1.7L無線雙層電熱水壺"/>
    <s v="細電"/>
    <s v="SDA"/>
    <s v="17shnh"/>
    <n v="1"/>
    <n v="198"/>
    <n v="198"/>
    <n v="351136"/>
    <m/>
    <m/>
    <s v="KT-17SHNH 351136"/>
    <n v="299"/>
    <n v="0.66220735785953178"/>
    <s v="Shops Highest Price"/>
    <m/>
    <s v="351136"/>
  </r>
  <r>
    <n v="2880"/>
    <s v="Yata"/>
    <s v="Shatin_3"/>
    <x v="44"/>
    <n v="3"/>
    <x v="24"/>
    <x v="31"/>
    <s v="無線雙層電熱水壺(1.7公升)"/>
    <s v="細電"/>
    <s v="SDA"/>
    <s v="17drt"/>
    <n v="1"/>
    <n v="388"/>
    <n v="388"/>
    <n v="322193"/>
    <m/>
    <m/>
    <s v="KT-17DRTHK(H) 322193"/>
    <n v="498"/>
    <n v="0.77911646586345384"/>
    <s v="Toshiba SRP"/>
    <m/>
    <s v="322193"/>
  </r>
  <r>
    <n v="2881"/>
    <s v="Yata"/>
    <s v="Shatin_3"/>
    <x v="44"/>
    <n v="3"/>
    <x v="24"/>
    <x v="31"/>
    <s v="無線雙層電熱水壺(1.7公升)"/>
    <s v="細電"/>
    <s v="SDA"/>
    <s v="17drt"/>
    <n v="1"/>
    <n v="388"/>
    <n v="388"/>
    <n v="322105"/>
    <m/>
    <m/>
    <s v="KT-17DRTHK(H) 322105"/>
    <n v="498"/>
    <n v="0.77911646586345384"/>
    <s v="Toshiba SRP"/>
    <m/>
    <s v="322105"/>
  </r>
  <r>
    <n v="2882"/>
    <s v="Yata"/>
    <s v="Shatin_3"/>
    <x v="44"/>
    <n v="3"/>
    <x v="24"/>
    <x v="31"/>
    <s v="無線雙層電熱水壺(1.7公升)"/>
    <s v="細電"/>
    <s v="SDA"/>
    <s v="17drt"/>
    <n v="1"/>
    <n v="388"/>
    <n v="388"/>
    <n v="350978"/>
    <m/>
    <m/>
    <s v="KT-17DRTHK(H) 350978"/>
    <n v="498"/>
    <n v="0.77911646586345384"/>
    <s v="Toshiba SRP"/>
    <m/>
    <s v="350978"/>
  </r>
  <r>
    <n v="2883"/>
    <s v="Yata"/>
    <s v="Shatin_3"/>
    <x v="44"/>
    <n v="3"/>
    <x v="24"/>
    <x v="39"/>
    <s v="酵活炊電飯煲(1.0公升)"/>
    <s v="細電"/>
    <s v="SDA"/>
    <s v="10amx"/>
    <n v="1"/>
    <n v="990"/>
    <n v="990"/>
    <n v="322116"/>
    <m/>
    <m/>
    <s v="RC-10AMXH(W) 322116"/>
    <n v="1288"/>
    <n v="0.76863354037267084"/>
    <s v="Toshiba SRP"/>
    <m/>
    <s v="322116"/>
  </r>
  <r>
    <n v="2884"/>
    <s v="Yata"/>
    <s v="Shatin_3"/>
    <x v="44"/>
    <n v="3"/>
    <x v="24"/>
    <x v="7"/>
    <s v="4毫米厚釜電飯煲0.54L"/>
    <s v="細電"/>
    <s v="SDA"/>
    <s v="5mm"/>
    <n v="1"/>
    <n v="557"/>
    <n v="557"/>
    <n v="534799"/>
    <m/>
    <m/>
    <s v="RC-5MMIH(WT) 534799"/>
    <n v="618"/>
    <n v="0.90129449838187703"/>
    <s v="Toshiba SRP"/>
    <m/>
    <s v="534799"/>
  </r>
  <r>
    <n v="2885"/>
    <s v="Apita"/>
    <s v="Tai Koo_2"/>
    <x v="45"/>
    <n v="3"/>
    <x v="4"/>
    <x v="24"/>
    <s v="微型電腦珍珠飯煲"/>
    <s v="細電"/>
    <s v="SDA"/>
    <s v="5sli"/>
    <n v="1"/>
    <n v="550"/>
    <n v="550"/>
    <n v="293099"/>
    <m/>
    <m/>
    <s v="RC-5SLIH(W) 293099"/>
    <n v="658"/>
    <n v="0.83586626139817632"/>
    <s v="Toshiba SRP"/>
    <m/>
    <s v="293099"/>
  </r>
  <r>
    <n v="2886"/>
    <s v="Apita"/>
    <s v="Tai Koo_2"/>
    <x v="45"/>
    <n v="3"/>
    <x v="4"/>
    <x v="53"/>
    <s v="IH磁應電飯煲"/>
    <s v="細電"/>
    <s v="SDA"/>
    <s v="dr10t"/>
    <n v="1"/>
    <n v="2380"/>
    <n v="2380"/>
    <n v="293233"/>
    <m/>
    <m/>
    <s v="RC-DR10T(R) 293233"/>
    <n v="3188"/>
    <n v="0.74654956085319946"/>
    <s v="Toshiba SRP"/>
    <m/>
    <s v="293233"/>
  </r>
  <r>
    <n v="2887"/>
    <s v="Apita"/>
    <s v="Tai Koo_2"/>
    <x v="45"/>
    <n v="3"/>
    <x v="4"/>
    <x v="63"/>
    <s v="20L 智能蒸氣焗爐"/>
    <s v="細電"/>
    <s v="MCA"/>
    <s v="stq20"/>
    <n v="1"/>
    <n v="2049"/>
    <n v="2049"/>
    <n v="293332"/>
    <m/>
    <m/>
    <s v="MS3-STQ20SC(WH) 293332"/>
    <n v="2880"/>
    <n v="0.7114583333333333"/>
    <s v="Toshiba SRP"/>
    <m/>
    <s v="293332"/>
  </r>
  <r>
    <n v="2888"/>
    <s v="Apita"/>
    <s v="Tai Koo_2"/>
    <x v="45"/>
    <n v="3"/>
    <x v="4"/>
    <x v="47"/>
    <s v="磁應電飯煲(1公升)"/>
    <s v="細電"/>
    <s v="SDA"/>
    <s v="10iss"/>
    <n v="1"/>
    <n v="898"/>
    <n v="898"/>
    <n v="293332"/>
    <m/>
    <m/>
    <s v="RC-10ISSHK(W) 293332"/>
    <n v="1188"/>
    <n v="0.75589225589225584"/>
    <s v="Shops Highest Price"/>
    <m/>
    <s v="293332"/>
  </r>
  <r>
    <n v="2889"/>
    <s v="Apita"/>
    <s v="Tai Koo_2"/>
    <x v="45"/>
    <n v="3"/>
    <x v="4"/>
    <x v="31"/>
    <s v="無線雙層電熱水壺(1.7公升)"/>
    <s v="細電"/>
    <s v="SDA"/>
    <s v="17drt"/>
    <n v="1"/>
    <n v="388"/>
    <n v="388"/>
    <n v="293332"/>
    <m/>
    <m/>
    <s v="KT-17DRTHK(H) 293332"/>
    <n v="498"/>
    <n v="0.77911646586345384"/>
    <s v="Toshiba SRP"/>
    <m/>
    <s v="293332"/>
  </r>
  <r>
    <n v="2890"/>
    <s v="Citistore"/>
    <s v="Mos_2"/>
    <x v="46"/>
    <n v="3"/>
    <x v="20"/>
    <x v="24"/>
    <s v="微型電腦珍珠飯煲"/>
    <s v="細電"/>
    <s v="SDA"/>
    <s v="5sli"/>
    <n v="1"/>
    <n v="558"/>
    <n v="558"/>
    <s v="057907"/>
    <m/>
    <m/>
    <s v="RC-5SLIH(W) 057907"/>
    <n v="658"/>
    <n v="0.84802431610942253"/>
    <s v="Toshiba SRP"/>
    <m/>
    <s v="057907"/>
  </r>
  <r>
    <n v="2891"/>
    <s v="Citistore"/>
    <s v="Mos_2"/>
    <x v="46"/>
    <n v="3"/>
    <x v="20"/>
    <x v="76"/>
    <s v="日式洗衣機 (7公斤 結合高低水位)"/>
    <s v="大電"/>
    <s v="LAD"/>
    <s v="q801"/>
    <n v="1"/>
    <n v="1980"/>
    <n v="1980"/>
    <s v="058168"/>
    <m/>
    <m/>
    <s v="AW-Q801APH(WW) 058168"/>
    <n v="3380"/>
    <n v="0.58579881656804733"/>
    <s v="Toshiba SRP"/>
    <m/>
    <s v="058168"/>
  </r>
  <r>
    <n v="2892"/>
    <s v="Citistore"/>
    <s v="Mos_2"/>
    <x v="46"/>
    <n v="3"/>
    <x v="20"/>
    <x v="30"/>
    <s v="旋鈕式燒烤微波爐20L"/>
    <s v="細電"/>
    <s v="SDA"/>
    <s v="mm20"/>
    <n v="1"/>
    <n v="488"/>
    <n v="488"/>
    <s v="057926"/>
    <m/>
    <m/>
    <s v="MWP-MM20P(WH) 057926"/>
    <n v="648"/>
    <n v="0.75308641975308643"/>
    <s v="Toshiba SRP"/>
    <m/>
    <s v="057926"/>
  </r>
  <r>
    <n v="2893"/>
    <s v="Citistore"/>
    <s v="Mos_2"/>
    <x v="46"/>
    <n v="3"/>
    <x v="20"/>
    <x v="20"/>
    <s v="壓縮式抽濕機 (22公升)"/>
    <s v="細電"/>
    <s v="RAC"/>
    <s v="d200"/>
    <n v="1"/>
    <n v="1980"/>
    <n v="1980"/>
    <n v="138786"/>
    <m/>
    <m/>
    <s v="RAD-D200H 138786"/>
    <n v="2880"/>
    <n v="0.6875"/>
    <s v="Shops Highest Price"/>
    <m/>
    <s v="138786"/>
  </r>
  <r>
    <n v="2894"/>
    <s v="Citistore"/>
    <s v="Mos_2"/>
    <x v="46"/>
    <n v="3"/>
    <x v="20"/>
    <x v="44"/>
    <s v="1.7L無線雙層電熱水壺"/>
    <s v="細電"/>
    <s v="SDA"/>
    <s v="17shnh"/>
    <n v="1"/>
    <n v="228"/>
    <n v="228"/>
    <s v="040058"/>
    <m/>
    <m/>
    <s v="KT-17SHNH 040058"/>
    <n v="299"/>
    <n v="0.76254180602006694"/>
    <s v="Shops Highest Price"/>
    <m/>
    <s v="040058"/>
  </r>
  <r>
    <n v="2895"/>
    <s v="Citistore"/>
    <s v="Mos_2"/>
    <x v="46"/>
    <n v="3"/>
    <x v="20"/>
    <x v="20"/>
    <s v="壓縮式抽濕機 (22公升)"/>
    <s v="細電"/>
    <s v="RAC"/>
    <s v="d200"/>
    <n v="1"/>
    <n v="1880"/>
    <n v="1880"/>
    <s v="057931"/>
    <m/>
    <m/>
    <s v="RAD-D200H 057931"/>
    <n v="2880"/>
    <n v="0.65277777777777779"/>
    <s v="Shops Highest Price"/>
    <m/>
    <s v="057931"/>
  </r>
  <r>
    <n v="2896"/>
    <s v="Citistore"/>
    <s v="Mos_2"/>
    <x v="46"/>
    <n v="3"/>
    <x v="20"/>
    <x v="20"/>
    <s v="壓縮式抽濕機 (22公升)"/>
    <s v="細電"/>
    <s v="RAC"/>
    <s v="d200"/>
    <n v="1"/>
    <n v="1880"/>
    <n v="1880"/>
    <s v="057932"/>
    <m/>
    <m/>
    <s v="RAD-D200H 057932"/>
    <n v="2880"/>
    <n v="0.65277777777777779"/>
    <s v="Shops Highest Price"/>
    <m/>
    <s v="057932"/>
  </r>
  <r>
    <n v="2897"/>
    <s v="Citistore"/>
    <s v="Mos_2"/>
    <x v="46"/>
    <n v="3"/>
    <x v="21"/>
    <x v="44"/>
    <s v="1.7L無線雙層電熱水壺"/>
    <s v="細電"/>
    <s v="SDA"/>
    <s v="17shnh"/>
    <n v="1"/>
    <n v="228"/>
    <n v="228"/>
    <s v="058351"/>
    <m/>
    <m/>
    <s v="KT-17SHNH 058351"/>
    <n v="299"/>
    <n v="0.76254180602006694"/>
    <s v="Shops Highest Price"/>
    <m/>
    <s v="058351"/>
  </r>
  <r>
    <n v="2898"/>
    <s v="Citistore"/>
    <s v="Mos_2"/>
    <x v="46"/>
    <n v="3"/>
    <x v="21"/>
    <x v="9"/>
    <s v="電熱水瓶4.5L"/>
    <s v="細電"/>
    <s v="SDA"/>
    <s v="45sf"/>
    <n v="1"/>
    <n v="578"/>
    <n v="578"/>
    <s v="058441"/>
    <m/>
    <m/>
    <s v="PLK-45SFIH(WT) 058441"/>
    <n v="788"/>
    <n v="0.73350253807106602"/>
    <s v="Toshiba SRP"/>
    <m/>
    <s v="058441"/>
  </r>
  <r>
    <n v="2899"/>
    <s v="Citistore"/>
    <s v="Mos_2"/>
    <x v="46"/>
    <n v="3"/>
    <x v="21"/>
    <x v="0"/>
    <s v="超薄身前置式洗衣乾衣機 (洗8公斤 乾5公斤)"/>
    <s v="大電"/>
    <s v="WM"/>
    <s v="bn90"/>
    <n v="1"/>
    <n v="3980"/>
    <n v="3980"/>
    <s v="058452"/>
    <m/>
    <m/>
    <s v="TWD-BN90GF4H(WK) 058452"/>
    <n v="5980"/>
    <n v="0.66555183946488294"/>
    <s v="Toshiba SRP"/>
    <m/>
    <s v="058452"/>
  </r>
  <r>
    <n v="2900"/>
    <s v="Citistore"/>
    <s v="Mos_2"/>
    <x v="46"/>
    <n v="3"/>
    <x v="21"/>
    <x v="81"/>
    <s v="470MM超薄身前置式變頻洗衣機(7.5公斤, 可飛頂)"/>
    <s v="大電"/>
    <s v="LAD"/>
    <s v="t2285"/>
    <n v="1"/>
    <n v="3480"/>
    <n v="3480"/>
    <s v="058480"/>
    <m/>
    <m/>
    <s v="TW-T22BU85UWH(WK)-B 058480"/>
    <n v="5480"/>
    <n v="0.63503649635036497"/>
    <s v="Toshiba SRP"/>
    <m/>
    <s v="058480"/>
  </r>
  <r>
    <n v="2901"/>
    <s v="Citistore"/>
    <s v="Mos_2"/>
    <x v="46"/>
    <n v="3"/>
    <x v="21"/>
    <x v="70"/>
    <s v="12吋2合1座地座檯電風扇連遙控"/>
    <s v="細電"/>
    <s v="EAD"/>
    <s v="ya20"/>
    <n v="1"/>
    <n v="368"/>
    <n v="368"/>
    <n v="139416"/>
    <m/>
    <m/>
    <s v="F-LYA20(W)HKG 139416"/>
    <n v="988"/>
    <n v="0.37246963562753038"/>
    <s v="Toshiba SRP"/>
    <m/>
    <s v="139416"/>
  </r>
  <r>
    <n v="2902"/>
    <s v="Tung Yuen"/>
    <s v="TSW RS"/>
    <x v="47"/>
    <n v="3"/>
    <x v="8"/>
    <x v="21"/>
    <s v="壓縮式抽濕機 (30公升)"/>
    <s v="細電"/>
    <s v="RAC"/>
    <s v="d300"/>
    <n v="1"/>
    <n v="2280"/>
    <n v="2280"/>
    <n v="103154"/>
    <m/>
    <m/>
    <s v="RAD-D300H 103154"/>
    <n v="3380"/>
    <n v="0.67455621301775148"/>
    <s v="Shops Highest Price"/>
    <m/>
    <s v="103154"/>
  </r>
  <r>
    <n v="2903"/>
    <s v="Tung Yuen"/>
    <s v="TSW RS"/>
    <x v="47"/>
    <n v="3"/>
    <x v="8"/>
    <x v="75"/>
    <s v="日式洗衣機 (8公斤 結合高低水位)"/>
    <s v="大電"/>
    <s v="LAD"/>
    <s v="q901"/>
    <n v="1"/>
    <n v="2180"/>
    <n v="2180"/>
    <n v="103153"/>
    <m/>
    <m/>
    <s v="AW-Q901BPH(WW) 103153"/>
    <n v="3780"/>
    <n v="0.57671957671957674"/>
    <s v="Toshiba SRP"/>
    <m/>
    <s v="103153"/>
  </r>
  <r>
    <n v="2904"/>
    <s v="Tung Yuen"/>
    <s v="TSW RS"/>
    <x v="47"/>
    <n v="3"/>
    <x v="8"/>
    <x v="42"/>
    <s v="變頻下置式雙門雪櫃系列270L"/>
    <s v="大電"/>
    <s v="REF"/>
    <s v="rb360"/>
    <n v="1"/>
    <n v="3650"/>
    <n v="3650"/>
    <n v="103151"/>
    <m/>
    <m/>
    <s v="GR-RB360WE-PMA(06) 103151"/>
    <n v="5080"/>
    <n v="0.71850393700787396"/>
    <s v="Toshiba SRP"/>
    <m/>
    <s v="103151"/>
  </r>
  <r>
    <n v="2905"/>
    <s v="Tung Yuen"/>
    <s v="TSW RS"/>
    <x v="47"/>
    <n v="3"/>
    <x v="1"/>
    <x v="21"/>
    <s v="壓縮式抽濕機 (30公升)"/>
    <s v="細電"/>
    <s v="RAC"/>
    <s v="d300"/>
    <n v="1"/>
    <n v="2280"/>
    <n v="2280"/>
    <n v="103164"/>
    <m/>
    <m/>
    <s v="RAD-D300H 103164"/>
    <n v="3380"/>
    <n v="0.67455621301775148"/>
    <s v="Shops Highest Price"/>
    <m/>
    <s v="103164"/>
  </r>
  <r>
    <n v="2906"/>
    <s v="Tung Yuen"/>
    <s v="TSW RS"/>
    <x v="47"/>
    <n v="3"/>
    <x v="1"/>
    <x v="0"/>
    <s v="超薄身前置式洗衣乾衣機 (洗8公斤 乾5公斤)"/>
    <s v="大電"/>
    <s v="WM"/>
    <s v="bn90"/>
    <n v="1"/>
    <n v="3650"/>
    <n v="3650"/>
    <n v="103163"/>
    <m/>
    <m/>
    <s v="TWD-BN90GF4H(WK) 103163"/>
    <n v="5980"/>
    <n v="0.61036789297658867"/>
    <s v="Toshiba SRP"/>
    <m/>
    <s v="103163"/>
  </r>
  <r>
    <n v="2907"/>
    <s v="Tung Yuen"/>
    <s v="TSW RS"/>
    <x v="47"/>
    <n v="3"/>
    <x v="1"/>
    <x v="42"/>
    <s v="變頻下置式雙門雪櫃系列270L"/>
    <s v="大電"/>
    <s v="REF"/>
    <s v="rb360"/>
    <n v="1"/>
    <n v="3650"/>
    <n v="3650"/>
    <n v="103163"/>
    <m/>
    <m/>
    <s v="GR-RB360WE-PMA(06) 103163"/>
    <n v="5080"/>
    <n v="0.71850393700787396"/>
    <s v="Toshiba SRP"/>
    <m/>
    <s v="103163"/>
  </r>
  <r>
    <n v="2908"/>
    <s v="Tung Yuen"/>
    <s v="TSW RS"/>
    <x v="47"/>
    <n v="3"/>
    <x v="1"/>
    <x v="87"/>
    <s v="變頻式環保雙門雪櫃(233L)"/>
    <s v="大電"/>
    <s v="REF"/>
    <s v="rt300"/>
    <n v="1"/>
    <n v="2780"/>
    <n v="2780"/>
    <n v="103162"/>
    <m/>
    <m/>
    <s v="GR-RT300WE-PMA(57) 103162"/>
    <n v="4280"/>
    <n v="0.64953271028037385"/>
    <s v="Toshiba SRP"/>
    <m/>
    <s v="103162"/>
  </r>
  <r>
    <n v="2909"/>
    <s v="Tung Yuen"/>
    <s v="TSW RS"/>
    <x v="47"/>
    <n v="3"/>
    <x v="1"/>
    <x v="78"/>
    <s v="變頻式環保雙門雪櫃（179L）"/>
    <s v="大電"/>
    <s v="REF"/>
    <s v="rt234"/>
    <n v="1"/>
    <n v="1950"/>
    <n v="1950"/>
    <n v="103161"/>
    <m/>
    <m/>
    <s v="GR-RT234WE-PMA(57) 103161"/>
    <n v="3680"/>
    <n v="0.52989130434782605"/>
    <s v="Toshiba SRP"/>
    <m/>
    <s v="103161"/>
  </r>
  <r>
    <n v="2910"/>
    <s v="Tung Yuen"/>
    <s v="TSW RS"/>
    <x v="47"/>
    <n v="3"/>
    <x v="1"/>
    <x v="48"/>
    <s v="3合1 微波蒸焗爐 (20公升)"/>
    <s v="細電"/>
    <s v="MCA"/>
    <s v="tt20"/>
    <n v="1"/>
    <n v="2490"/>
    <n v="2490"/>
    <n v="103160"/>
    <m/>
    <m/>
    <s v="MX2-TT20SC(WH) 103160"/>
    <n v="3580"/>
    <n v="0.6955307262569832"/>
    <s v="Toshiba SRP"/>
    <m/>
    <s v="103160"/>
  </r>
  <r>
    <n v="2911"/>
    <s v="Tung Yuen"/>
    <s v="TSW RS"/>
    <x v="47"/>
    <n v="3"/>
    <x v="1"/>
    <x v="78"/>
    <s v="變頻式環保雙門雪櫃（179L）"/>
    <s v="大電"/>
    <s v="REF"/>
    <s v="rt234"/>
    <n v="1"/>
    <n v="1950"/>
    <n v="1950"/>
    <n v="103159"/>
    <m/>
    <m/>
    <s v="GR-RT234WE-PMA(57) 103159"/>
    <n v="3680"/>
    <n v="0.52989130434782605"/>
    <s v="Toshiba SRP"/>
    <m/>
    <s v="103159"/>
  </r>
  <r>
    <n v="2912"/>
    <s v="Tung Yuen"/>
    <s v="TSW RS"/>
    <x v="47"/>
    <n v="3"/>
    <x v="1"/>
    <x v="75"/>
    <s v="日式洗衣機 (8公斤 結合高低水位)"/>
    <s v="大電"/>
    <s v="LAD"/>
    <s v="q901"/>
    <n v="1"/>
    <n v="2180"/>
    <n v="2180"/>
    <n v="103158"/>
    <m/>
    <m/>
    <s v="AW-Q901BPH(WW) 103158"/>
    <n v="3780"/>
    <n v="0.57671957671957674"/>
    <s v="Toshiba SRP"/>
    <m/>
    <s v="103158"/>
  </r>
  <r>
    <n v="2913"/>
    <s v="Tung Yuen"/>
    <s v="TSW RS"/>
    <x v="47"/>
    <n v="3"/>
    <x v="1"/>
    <x v="114"/>
    <s v="變頻三門雪櫃 (233L)"/>
    <s v="大電"/>
    <s v="REF"/>
    <s v="rm352"/>
    <n v="1"/>
    <n v="3580"/>
    <n v="3580"/>
    <n v="103157"/>
    <m/>
    <m/>
    <s v="GR-RM352WI-PMA(53) 103157"/>
    <n v="5580"/>
    <n v="0.64157706093189959"/>
    <s v="Toshiba SRP"/>
    <m/>
    <s v="103157"/>
  </r>
  <r>
    <n v="2914"/>
    <s v="Tung Yuen"/>
    <s v="TSW RS"/>
    <x v="47"/>
    <n v="3"/>
    <x v="1"/>
    <x v="21"/>
    <s v="壓縮式抽濕機 (30公升)"/>
    <s v="細電"/>
    <s v="RAC"/>
    <s v="d300"/>
    <n v="1"/>
    <n v="2280"/>
    <n v="2280"/>
    <n v="103156"/>
    <m/>
    <m/>
    <s v="RAD-D300H 103156"/>
    <n v="3380"/>
    <n v="0.67455621301775148"/>
    <s v="Shops Highest Price"/>
    <m/>
    <s v="103156"/>
  </r>
  <r>
    <n v="2915"/>
    <s v="Tung Yuen"/>
    <s v="TSW RS"/>
    <x v="47"/>
    <n v="3"/>
    <x v="2"/>
    <x v="75"/>
    <s v="日式洗衣機 (8公斤 結合高低水位)"/>
    <s v="大電"/>
    <s v="LAD"/>
    <s v="q901"/>
    <n v="1"/>
    <n v="2180"/>
    <n v="2180"/>
    <n v="103166"/>
    <m/>
    <m/>
    <s v="AW-Q901BPH(WW) 103166"/>
    <n v="3780"/>
    <n v="0.57671957671957674"/>
    <s v="Toshiba SRP"/>
    <m/>
    <s v="103166"/>
  </r>
  <r>
    <n v="2916"/>
    <s v="Tung Yuen"/>
    <s v="TSW RS"/>
    <x v="47"/>
    <n v="3"/>
    <x v="2"/>
    <x v="114"/>
    <s v="變頻三門雪櫃 (233L)"/>
    <s v="大電"/>
    <s v="REF"/>
    <s v="rm352"/>
    <n v="1"/>
    <n v="3580"/>
    <n v="3580"/>
    <n v="103165"/>
    <m/>
    <m/>
    <s v="GR-RM352WI-PMA(53) 103165"/>
    <n v="5580"/>
    <n v="0.64157706093189959"/>
    <s v="Toshiba SRP"/>
    <m/>
    <s v="103165"/>
  </r>
  <r>
    <n v="2917"/>
    <s v="Tung Yuen"/>
    <s v="TSW RS"/>
    <x v="47"/>
    <n v="3"/>
    <x v="2"/>
    <x v="76"/>
    <s v="日式洗衣機 (7公斤 結合高低水位)"/>
    <s v="大電"/>
    <s v="LAD"/>
    <s v="q801"/>
    <n v="1"/>
    <n v="1880"/>
    <n v="1880"/>
    <n v="103165"/>
    <m/>
    <m/>
    <s v="AW-Q801APH(WW) 103165"/>
    <n v="3380"/>
    <n v="0.55621301775147924"/>
    <s v="Toshiba SRP"/>
    <m/>
    <s v="103165"/>
  </r>
  <r>
    <n v="2918"/>
    <s v="Tung Yuen"/>
    <s v="TSW RS"/>
    <x v="47"/>
    <n v="3"/>
    <x v="2"/>
    <x v="42"/>
    <s v="變頻下置式雙門雪櫃系列270L"/>
    <s v="大電"/>
    <s v="REF"/>
    <s v="rb360"/>
    <n v="1"/>
    <n v="3650"/>
    <n v="3650"/>
    <n v="103167"/>
    <m/>
    <m/>
    <s v="GR-RB360WE-PMA(06) 103167"/>
    <n v="5080"/>
    <n v="0.71850393700787396"/>
    <s v="Toshiba SRP"/>
    <m/>
    <s v="103167"/>
  </r>
  <r>
    <n v="2919"/>
    <s v="Tung Yuen"/>
    <s v="TSW RS"/>
    <x v="47"/>
    <n v="3"/>
    <x v="2"/>
    <x v="48"/>
    <s v="3合1 微波蒸焗爐 (20公升)"/>
    <s v="細電"/>
    <s v="MCA"/>
    <s v="tt20"/>
    <n v="1"/>
    <n v="2490"/>
    <n v="2490"/>
    <n v="103168"/>
    <m/>
    <m/>
    <s v="MX2-TT20SC(WH) 103168"/>
    <n v="3580"/>
    <n v="0.6955307262569832"/>
    <s v="Toshiba SRP"/>
    <m/>
    <s v="103168"/>
  </r>
  <r>
    <n v="2920"/>
    <s v="Tung Yuen"/>
    <s v="TSW RS"/>
    <x v="47"/>
    <n v="3"/>
    <x v="2"/>
    <x v="42"/>
    <s v="變頻下置式雙門雪櫃系列270L"/>
    <s v="大電"/>
    <s v="REF"/>
    <s v="rb360"/>
    <n v="1"/>
    <n v="3650"/>
    <n v="3650"/>
    <n v="103169"/>
    <m/>
    <m/>
    <s v="GR-RB360WE-PMA(06) 103169"/>
    <n v="5080"/>
    <n v="0.71850393700787396"/>
    <s v="Toshiba SRP"/>
    <m/>
    <s v="103169"/>
  </r>
  <r>
    <n v="2921"/>
    <s v="Tung Yuen"/>
    <s v="TSW RS"/>
    <x v="47"/>
    <n v="3"/>
    <x v="2"/>
    <x v="138"/>
    <s v="7KG前置式變頻洗衣機"/>
    <s v="大電"/>
    <s v="WM"/>
    <s v="bl80a2"/>
    <n v="1"/>
    <n v="2800"/>
    <n v="2800"/>
    <n v="103170"/>
    <m/>
    <m/>
    <s v="TW-BL80A2H(WW) 103170"/>
    <n v="3890"/>
    <n v="0.71979434447300772"/>
    <s v="Shops Highest Price"/>
    <m/>
    <s v="103170"/>
  </r>
  <r>
    <n v="2922"/>
    <s v="Tung Yuen"/>
    <s v="TSW RS"/>
    <x v="47"/>
    <n v="3"/>
    <x v="2"/>
    <x v="78"/>
    <s v="變頻式環保雙門雪櫃（179L）"/>
    <s v="大電"/>
    <s v="REF"/>
    <s v="rt234"/>
    <n v="1"/>
    <n v="1950"/>
    <n v="1950"/>
    <n v="103173"/>
    <m/>
    <m/>
    <s v="GR-RT234WE-PMA(57) 103173"/>
    <n v="3680"/>
    <n v="0.52989130434782605"/>
    <s v="Toshiba SRP"/>
    <m/>
    <s v="103173"/>
  </r>
  <r>
    <n v="2923"/>
    <s v="Tung Yuen"/>
    <s v="TSW RS"/>
    <x v="47"/>
    <n v="3"/>
    <x v="2"/>
    <x v="0"/>
    <s v="超薄身前置式洗衣乾衣機 (洗8公斤 乾5公斤)"/>
    <s v="大電"/>
    <s v="WM"/>
    <s v="bn90"/>
    <n v="1"/>
    <n v="3650"/>
    <n v="3650"/>
    <n v="103174"/>
    <m/>
    <m/>
    <s v="TWD-BN90GF4H(WK) 103174"/>
    <n v="5980"/>
    <n v="0.61036789297658867"/>
    <s v="Toshiba SRP"/>
    <m/>
    <s v="103174"/>
  </r>
  <r>
    <n v="2924"/>
    <s v="Tung Yuen"/>
    <s v="TSW RS"/>
    <x v="47"/>
    <n v="3"/>
    <x v="2"/>
    <x v="93"/>
    <s v="座檯式洗碗碟機"/>
    <s v="細電"/>
    <s v="DW"/>
    <s v="05t2"/>
    <n v="1"/>
    <n v="3580"/>
    <n v="3580"/>
    <n v="103175"/>
    <m/>
    <m/>
    <s v="DW-05T2-HK 103175"/>
    <n v="4580"/>
    <n v="0.78165938864628826"/>
    <s v="Toshiba SRP"/>
    <m/>
    <s v="103175"/>
  </r>
  <r>
    <n v="2925"/>
    <s v="Tung Yuen"/>
    <s v="TSW RS"/>
    <x v="47"/>
    <n v="3"/>
    <x v="9"/>
    <x v="21"/>
    <s v="壓縮式抽濕機 (30公升)"/>
    <s v="細電"/>
    <s v="RAC"/>
    <s v="d300"/>
    <n v="1"/>
    <n v="2280"/>
    <n v="2280"/>
    <n v="103185"/>
    <m/>
    <m/>
    <s v="RAD-D300H 103185"/>
    <n v="3380"/>
    <n v="0.67455621301775148"/>
    <s v="Shops Highest Price"/>
    <m/>
    <s v="103185"/>
  </r>
  <r>
    <n v="2926"/>
    <s v="Tung Yuen"/>
    <s v="TSW RS"/>
    <x v="47"/>
    <n v="3"/>
    <x v="9"/>
    <x v="21"/>
    <s v="壓縮式抽濕機 (30公升)"/>
    <s v="細電"/>
    <s v="RAC"/>
    <s v="d300"/>
    <n v="1"/>
    <n v="2280"/>
    <n v="2280"/>
    <n v="103183"/>
    <m/>
    <m/>
    <s v="RAD-D300H 103183"/>
    <n v="3380"/>
    <n v="0.67455621301775148"/>
    <s v="Shops Highest Price"/>
    <m/>
    <s v="103183"/>
  </r>
  <r>
    <n v="2927"/>
    <s v="Tung Yuen"/>
    <s v="TSW RS"/>
    <x v="47"/>
    <n v="3"/>
    <x v="9"/>
    <x v="93"/>
    <s v="座檯式洗碗碟機"/>
    <s v="細電"/>
    <s v="DW"/>
    <s v="05t2"/>
    <n v="1"/>
    <n v="3580"/>
    <n v="3580"/>
    <n v="103182"/>
    <m/>
    <m/>
    <s v="DW-05T2-HK 103182"/>
    <n v="4580"/>
    <n v="0.78165938864628826"/>
    <s v="Toshiba SRP"/>
    <m/>
    <s v="103182"/>
  </r>
  <r>
    <n v="2928"/>
    <s v="Tung Yuen"/>
    <s v="TSW RS"/>
    <x v="47"/>
    <n v="3"/>
    <x v="9"/>
    <x v="75"/>
    <s v="日式洗衣機 (8公斤 結合高低水位)"/>
    <s v="大電"/>
    <s v="LAD"/>
    <s v="q901"/>
    <n v="1"/>
    <n v="2180"/>
    <n v="2180"/>
    <n v="103181"/>
    <m/>
    <m/>
    <s v="AW-Q901BPH(WW) 103181"/>
    <n v="3780"/>
    <n v="0.57671957671957674"/>
    <s v="Toshiba SRP"/>
    <m/>
    <s v="103181"/>
  </r>
  <r>
    <n v="2929"/>
    <s v="Tung Yuen"/>
    <s v="TSW RS"/>
    <x v="47"/>
    <n v="3"/>
    <x v="9"/>
    <x v="42"/>
    <s v="變頻下置式雙門雪櫃系列270L"/>
    <s v="大電"/>
    <s v="REF"/>
    <s v="rb360"/>
    <n v="1"/>
    <n v="3650"/>
    <n v="3650"/>
    <n v="103179"/>
    <m/>
    <m/>
    <s v="GR-RB360WE-PMA(06) 103179"/>
    <n v="5080"/>
    <n v="0.71850393700787396"/>
    <s v="Toshiba SRP"/>
    <m/>
    <s v="103179"/>
  </r>
  <r>
    <n v="2930"/>
    <s v="Tung Yuen"/>
    <s v="TSW RS"/>
    <x v="47"/>
    <n v="3"/>
    <x v="9"/>
    <x v="42"/>
    <s v="變頻下置式雙門雪櫃系列270L"/>
    <s v="大電"/>
    <s v="REF"/>
    <s v="rb360"/>
    <n v="1"/>
    <n v="3650"/>
    <n v="3650"/>
    <n v="103178"/>
    <m/>
    <m/>
    <s v="GR-RB360WE-PMA(06) 103178"/>
    <n v="5080"/>
    <n v="0.71850393700787396"/>
    <s v="Toshiba SRP"/>
    <m/>
    <s v="103178"/>
  </r>
  <r>
    <n v="2931"/>
    <s v="Tung Yuen"/>
    <s v="TSW RS"/>
    <x v="47"/>
    <n v="3"/>
    <x v="9"/>
    <x v="76"/>
    <s v="日式洗衣機 (7公斤 結合高低水位)"/>
    <s v="大電"/>
    <s v="LAD"/>
    <s v="q801"/>
    <n v="1"/>
    <n v="1880"/>
    <n v="1880"/>
    <n v="103177"/>
    <m/>
    <m/>
    <s v="AW-Q801APH(WW) 103177"/>
    <n v="3380"/>
    <n v="0.55621301775147924"/>
    <s v="Toshiba SRP"/>
    <m/>
    <s v="103177"/>
  </r>
  <r>
    <n v="2932"/>
    <s v="Fortress"/>
    <s v="Vcity_1"/>
    <x v="48"/>
    <n v="3"/>
    <x v="0"/>
    <x v="40"/>
    <s v="400MM超薄身前置式變頻洗衣機(7公斤)"/>
    <s v="大電"/>
    <s v="LAD"/>
    <s v="bu80"/>
    <n v="1"/>
    <n v="3090"/>
    <n v="3090"/>
    <n v="413911"/>
    <m/>
    <m/>
    <s v="TW-T21BU80UWH(MG) 413911"/>
    <n v="5180"/>
    <n v="0.59652509652509655"/>
    <s v="Toshiba SRP"/>
    <m/>
    <s v="413911"/>
  </r>
  <r>
    <n v="2933"/>
    <s v="Fortress"/>
    <s v="Vcity_1"/>
    <x v="48"/>
    <n v="3"/>
    <x v="0"/>
    <x v="60"/>
    <s v="酵活炊磁應電飯煲(1.5公升)"/>
    <s v="細電"/>
    <s v="SDA"/>
    <s v="15bh"/>
    <n v="1"/>
    <n v="2080"/>
    <n v="2080"/>
    <n v="413919"/>
    <m/>
    <m/>
    <s v="RC-15BHH(W) 413919"/>
    <n v="2388"/>
    <n v="0.87102177554438864"/>
    <s v="Toshiba SRP"/>
    <m/>
    <s v="413919"/>
  </r>
  <r>
    <n v="2934"/>
    <s v="Fortress"/>
    <s v="Vcity_1"/>
    <x v="48"/>
    <n v="3"/>
    <x v="0"/>
    <x v="139"/>
    <s v="IH磁應電飯煲"/>
    <s v="細電"/>
    <s v="SDA"/>
    <s v="ds18k"/>
    <n v="1"/>
    <n v="3490"/>
    <n v="3490"/>
    <n v="413907"/>
    <m/>
    <m/>
    <s v="RC-DS18K(R) 413907"/>
    <n v="4988"/>
    <n v="0.69967923015236566"/>
    <s v="Toshiba SRP"/>
    <m/>
    <s v="413907"/>
  </r>
  <r>
    <n v="2935"/>
    <s v="Fortress"/>
    <s v="Vcity_1"/>
    <x v="48"/>
    <n v="3"/>
    <x v="0"/>
    <x v="17"/>
    <s v="4毫米厚釜電飯煲1L"/>
    <s v="細電"/>
    <s v="SDA"/>
    <s v="10nmf"/>
    <n v="1"/>
    <n v="719"/>
    <n v="719"/>
    <n v="413922"/>
    <m/>
    <m/>
    <s v="RC-10NMFIH(WT) 413922"/>
    <n v="898"/>
    <n v="0.80066815144766146"/>
    <s v="Toshiba SRP"/>
    <m/>
    <s v="413922"/>
  </r>
  <r>
    <n v="2936"/>
    <s v="Fortress"/>
    <s v="Vcity_1"/>
    <x v="48"/>
    <n v="3"/>
    <x v="0"/>
    <x v="47"/>
    <s v="磁應電飯煲(1公升)"/>
    <s v="細電"/>
    <s v="SDA"/>
    <s v="10iss"/>
    <n v="1"/>
    <n v="898"/>
    <n v="898"/>
    <n v="413920"/>
    <m/>
    <m/>
    <s v="RC-10ISSHK(W) 413920"/>
    <n v="1188"/>
    <n v="0.75589225589225584"/>
    <s v="Shops Highest Price"/>
    <m/>
    <s v="413920"/>
  </r>
  <r>
    <n v="2937"/>
    <s v="Fortress"/>
    <s v="Vcity_1"/>
    <x v="48"/>
    <n v="3"/>
    <x v="0"/>
    <x v="0"/>
    <s v="超薄身前置式洗衣乾衣機 (洗8公斤 乾5公斤)"/>
    <s v="大電"/>
    <s v="WM"/>
    <s v="bn90"/>
    <n v="1"/>
    <n v="3780"/>
    <n v="3780"/>
    <n v="413926"/>
    <m/>
    <m/>
    <s v="TWD-BN90GF4H(WK) 413926"/>
    <n v="5980"/>
    <n v="0.63210702341137126"/>
    <s v="Toshiba SRP"/>
    <m/>
    <s v="413926"/>
  </r>
  <r>
    <n v="2938"/>
    <s v="Fortress"/>
    <s v="Vcity_1"/>
    <x v="48"/>
    <n v="3"/>
    <x v="0"/>
    <x v="130"/>
    <s v="All-in-one 輕巧無線吸塵機"/>
    <s v="細電"/>
    <s v="MCA"/>
    <s v="clx50"/>
    <n v="1"/>
    <n v="1798"/>
    <n v="1798"/>
    <n v="413848"/>
    <m/>
    <m/>
    <s v="VC-CLX50BF(R) 413848"/>
    <n v="3188"/>
    <n v="0.56398996235884569"/>
    <s v="Toshiba SRP"/>
    <m/>
    <s v="413848"/>
  </r>
  <r>
    <n v="2939"/>
    <s v="Fortress"/>
    <s v="Vcity_1"/>
    <x v="48"/>
    <n v="3"/>
    <x v="0"/>
    <x v="34"/>
    <s v="智能氣炸烤焗爐(24公升)"/>
    <s v="細電"/>
    <s v="MCA"/>
    <s v="sac24"/>
    <n v="1"/>
    <n v="1320"/>
    <n v="1320"/>
    <n v="320984"/>
    <m/>
    <m/>
    <s v="MW3-SAC24SE(BK) 320984"/>
    <n v="1680"/>
    <n v="0.7857142857142857"/>
    <s v="Toshiba SRP"/>
    <m/>
    <s v="320984"/>
  </r>
  <r>
    <n v="2940"/>
    <s v="Fortress"/>
    <s v="Vcity_1"/>
    <x v="48"/>
    <n v="3"/>
    <x v="0"/>
    <x v="90"/>
    <s v="8公斤超薄身前置式變頻洗衣機"/>
    <s v="大電"/>
    <s v="LAD"/>
    <s v="bu90"/>
    <n v="1"/>
    <n v="3480"/>
    <n v="3480"/>
    <n v="413866"/>
    <m/>
    <m/>
    <s v="TW-T21BU90UWH(WW) 413866"/>
    <n v="5480"/>
    <n v="0.63503649635036497"/>
    <s v="Toshiba SRP"/>
    <m/>
    <s v="413866"/>
  </r>
  <r>
    <n v="2941"/>
    <s v="Fortress"/>
    <s v="Vcity_1"/>
    <x v="48"/>
    <n v="3"/>
    <x v="0"/>
    <x v="77"/>
    <s v="470MM超薄身前置式變頻洗衣乾衣機 (洗8.5公斤/乾6公斤, 可飛頂)"/>
    <s v="大電"/>
    <s v="LAD"/>
    <s v="twdt22"/>
    <n v="1"/>
    <n v="4780"/>
    <n v="4780"/>
    <n v="413961"/>
    <m/>
    <m/>
    <s v="TWD-T22BU95UWH(WK)-B 413961"/>
    <n v="7480"/>
    <n v="0.63903743315508021"/>
    <s v="Toshiba SRP"/>
    <m/>
    <s v="413961"/>
  </r>
  <r>
    <n v="2942"/>
    <s v="Fortress"/>
    <s v="Vcity_1"/>
    <x v="48"/>
    <n v="3"/>
    <x v="0"/>
    <x v="21"/>
    <s v="壓縮式抽濕機 (30公升)"/>
    <s v="細電"/>
    <s v="RAC"/>
    <s v="d300"/>
    <n v="1"/>
    <n v="2280"/>
    <n v="2280"/>
    <n v="321007"/>
    <m/>
    <m/>
    <s v="RAD-D300H 321007"/>
    <n v="3380"/>
    <n v="0.67455621301775148"/>
    <s v="Shops Highest Price"/>
    <m/>
    <s v="321007"/>
  </r>
  <r>
    <n v="2943"/>
    <s v="Fortress"/>
    <s v="Vcity_1"/>
    <x v="48"/>
    <n v="3"/>
    <x v="0"/>
    <x v="92"/>
    <s v="1 匹 R32變頻窗口式冷氣機 (獨立抽濕遙控"/>
    <s v="大電"/>
    <s v="AC"/>
    <s v="09g3cvr"/>
    <n v="1"/>
    <n v="4980"/>
    <n v="4980"/>
    <n v="321044"/>
    <m/>
    <m/>
    <s v="RAC-09G3CVRGR-HK 321044"/>
    <n v="6980"/>
    <n v="0.71346704871060174"/>
    <s v="Toshiba SRP"/>
    <m/>
    <s v="321044"/>
  </r>
  <r>
    <n v="2944"/>
    <s v="Fortress"/>
    <s v="Vcity_1"/>
    <x v="48"/>
    <n v="3"/>
    <x v="0"/>
    <x v="21"/>
    <s v="壓縮式抽濕機 (30公升)"/>
    <s v="細電"/>
    <s v="RAC"/>
    <s v="d300"/>
    <n v="1"/>
    <n v="2280"/>
    <n v="2280"/>
    <n v="413918"/>
    <m/>
    <m/>
    <s v="RAD-D300H 413918"/>
    <n v="3380"/>
    <n v="0.67455621301775148"/>
    <s v="Shops Highest Price"/>
    <m/>
    <s v="413918"/>
  </r>
  <r>
    <n v="2945"/>
    <s v="Fortress"/>
    <s v="Vcity_1"/>
    <x v="48"/>
    <n v="3"/>
    <x v="0"/>
    <x v="87"/>
    <s v="變頻式環保雙門雪櫃(233L)"/>
    <s v="大電"/>
    <s v="REF"/>
    <s v="rt300"/>
    <n v="1"/>
    <n v="2780"/>
    <n v="2780"/>
    <n v="413983"/>
    <m/>
    <m/>
    <s v="GR-RT300WE-PMA(57) 413983"/>
    <n v="4280"/>
    <n v="0.64953271028037385"/>
    <s v="Toshiba SRP"/>
    <m/>
    <s v="413983"/>
  </r>
  <r>
    <n v="2946"/>
    <s v="Fortress"/>
    <s v="Vcity_1"/>
    <x v="48"/>
    <n v="3"/>
    <x v="3"/>
    <x v="32"/>
    <s v="電熱水瓶3L"/>
    <s v="細電"/>
    <s v="SDA"/>
    <s v="30fl"/>
    <n v="1"/>
    <n v="489"/>
    <n v="489"/>
    <n v="413999"/>
    <m/>
    <m/>
    <s v="PLK-30FLIH(WT) 413999"/>
    <n v="658"/>
    <n v="0.74316109422492405"/>
    <s v="Toshiba SRP"/>
    <m/>
    <s v="413999"/>
  </r>
  <r>
    <n v="2947"/>
    <s v="Fortress"/>
    <s v="Vcity_1"/>
    <x v="48"/>
    <n v="3"/>
    <x v="3"/>
    <x v="56"/>
    <s v="多士焗爐8L"/>
    <s v="細電"/>
    <s v="SDA"/>
    <n v="7080"/>
    <n v="1"/>
    <n v="318"/>
    <n v="318"/>
    <n v="414034"/>
    <m/>
    <m/>
    <s v="ET-TD7080(PN) 414034"/>
    <n v="498"/>
    <n v="0.63855421686746983"/>
    <s v="Toshiba SRP"/>
    <m/>
    <s v="414034"/>
  </r>
  <r>
    <n v="2948"/>
    <s v="Fortress"/>
    <s v="Vcity_1"/>
    <x v="48"/>
    <n v="3"/>
    <x v="3"/>
    <x v="9"/>
    <s v="電熱水瓶4.5L"/>
    <s v="細電"/>
    <s v="SDA"/>
    <s v="45sf"/>
    <n v="1"/>
    <n v="589"/>
    <n v="589"/>
    <n v="413981"/>
    <m/>
    <m/>
    <s v="PLK-45SFIH(WT) 413981"/>
    <n v="788"/>
    <n v="0.7474619289340102"/>
    <s v="Toshiba SRP"/>
    <m/>
    <s v="413981"/>
  </r>
  <r>
    <n v="2949"/>
    <s v="Fortress"/>
    <s v="Vcity_1"/>
    <x v="48"/>
    <n v="3"/>
    <x v="3"/>
    <x v="77"/>
    <s v="470MM超薄身前置式變頻洗衣乾衣機 (洗8.5公斤/乾6公斤, 可飛頂)"/>
    <s v="大電"/>
    <s v="LAD"/>
    <s v="twdt22"/>
    <n v="1"/>
    <n v="4780"/>
    <n v="4780"/>
    <n v="414058"/>
    <m/>
    <m/>
    <s v="TWD-T22BU95UWH(WK)-B 414058"/>
    <n v="7480"/>
    <n v="0.63903743315508021"/>
    <s v="Toshiba SRP"/>
    <m/>
    <s v="414058"/>
  </r>
  <r>
    <n v="2950"/>
    <s v="Fortress"/>
    <s v="Vcity_1"/>
    <x v="48"/>
    <n v="3"/>
    <x v="3"/>
    <x v="52"/>
    <s v="35L多功能電焗爐"/>
    <s v="細電"/>
    <s v="SDA"/>
    <s v="mc35"/>
    <n v="1"/>
    <n v="888"/>
    <n v="888"/>
    <n v="414068"/>
    <m/>
    <m/>
    <s v="TL-MC35Z 414068"/>
    <n v="1098"/>
    <n v="0.80874316939890711"/>
    <s v="Toshiba SRP"/>
    <m/>
    <s v="414068"/>
  </r>
  <r>
    <n v="2951"/>
    <s v="Fortress"/>
    <s v="Vcity_1"/>
    <x v="48"/>
    <n v="3"/>
    <x v="3"/>
    <x v="135"/>
    <s v="變頻日式洗衣機 (10公斤 結合高低水位)"/>
    <s v="大電"/>
    <s v="LAD"/>
    <s v="dq110"/>
    <n v="1"/>
    <n v="2780"/>
    <n v="2780"/>
    <n v="321124"/>
    <m/>
    <m/>
    <s v="AW-DQ110JPH(WW) 321124"/>
    <n v="4680"/>
    <n v="0.59401709401709402"/>
    <s v="Toshiba SRP"/>
    <m/>
    <s v="321124"/>
  </r>
  <r>
    <n v="2952"/>
    <s v="Fortress"/>
    <s v="Vcity_1"/>
    <x v="48"/>
    <n v="3"/>
    <x v="3"/>
    <x v="34"/>
    <s v="智能氣炸烤焗爐(24公升)"/>
    <s v="細電"/>
    <s v="MCA"/>
    <s v="sac24"/>
    <n v="1"/>
    <n v="1320"/>
    <n v="1320"/>
    <n v="414125"/>
    <m/>
    <m/>
    <s v="MW3-SAC24SE(BK) 414125"/>
    <n v="1680"/>
    <n v="0.7857142857142857"/>
    <s v="Toshiba SRP"/>
    <m/>
    <s v="414125"/>
  </r>
  <r>
    <n v="2953"/>
    <s v="Fortress"/>
    <s v="Vcity_1"/>
    <x v="48"/>
    <n v="3"/>
    <x v="3"/>
    <x v="38"/>
    <s v="無線雙層電熱水壺-附可鎖壺蓋"/>
    <s v="細電"/>
    <s v="SDA"/>
    <s v="15drt"/>
    <n v="1"/>
    <n v="338"/>
    <n v="338"/>
    <n v="321122"/>
    <m/>
    <m/>
    <s v="KT-15DRTHK(W) 321122"/>
    <n v="598"/>
    <n v="0.56521739130434778"/>
    <s v="Toshiba SRP"/>
    <m/>
    <s v="321122"/>
  </r>
  <r>
    <n v="2954"/>
    <s v="Fortress"/>
    <s v="Vcity_1"/>
    <x v="48"/>
    <n v="3"/>
    <x v="3"/>
    <x v="56"/>
    <s v="多士焗爐8L"/>
    <s v="細電"/>
    <s v="SDA"/>
    <n v="7080"/>
    <n v="1"/>
    <n v="318"/>
    <n v="318"/>
    <n v="414167"/>
    <m/>
    <m/>
    <s v="ET-TD7080(PN) 414167"/>
    <n v="498"/>
    <n v="0.63855421686746983"/>
    <s v="Toshiba SRP"/>
    <m/>
    <s v="414167"/>
  </r>
  <r>
    <n v="2955"/>
    <s v="Fortress"/>
    <s v="Vcity_1"/>
    <x v="48"/>
    <n v="3"/>
    <x v="3"/>
    <x v="21"/>
    <s v="壓縮式抽濕機 (30公升)"/>
    <s v="細電"/>
    <s v="RAC"/>
    <s v="d300"/>
    <n v="1"/>
    <n v="2280"/>
    <n v="2280"/>
    <n v="413892"/>
    <m/>
    <m/>
    <s v="RAD-D300H 413892"/>
    <n v="3380"/>
    <n v="0.67455621301775148"/>
    <s v="Shops Highest Price"/>
    <m/>
    <s v="413892"/>
  </r>
  <r>
    <n v="2956"/>
    <s v="Fortress"/>
    <s v="Vcity_1"/>
    <x v="48"/>
    <n v="3"/>
    <x v="3"/>
    <x v="75"/>
    <s v="日式洗衣機 (8公斤 結合高低水位)"/>
    <s v="大電"/>
    <s v="LAD"/>
    <s v="q901"/>
    <n v="1"/>
    <n v="2280"/>
    <n v="2280"/>
    <n v="414260"/>
    <m/>
    <m/>
    <s v="AW-Q901BPH(WW) 414260"/>
    <n v="3780"/>
    <n v="0.60317460317460314"/>
    <s v="Toshiba SRP"/>
    <m/>
    <s v="414260"/>
  </r>
  <r>
    <n v="2957"/>
    <s v="Fortress"/>
    <s v="Vcity_1"/>
    <x v="48"/>
    <n v="3"/>
    <x v="3"/>
    <x v="40"/>
    <s v="400MM超薄身前置式變頻洗衣機(7公斤)"/>
    <s v="大電"/>
    <s v="LAD"/>
    <s v="bu80"/>
    <n v="1"/>
    <n v="3090"/>
    <n v="3090"/>
    <n v="321189"/>
    <m/>
    <m/>
    <s v="TW-T21BU80UWH(MG) 321189"/>
    <n v="5180"/>
    <n v="0.59652509652509655"/>
    <s v="Toshiba SRP"/>
    <m/>
    <s v="321189"/>
  </r>
  <r>
    <n v="2958"/>
    <s v="Fortress"/>
    <s v="Vcity_1"/>
    <x v="48"/>
    <n v="3"/>
    <x v="3"/>
    <x v="21"/>
    <s v="壓縮式抽濕機 (30公升)"/>
    <s v="細電"/>
    <s v="RAC"/>
    <s v="d300"/>
    <n v="1"/>
    <n v="2280"/>
    <n v="2280"/>
    <n v="414147"/>
    <m/>
    <m/>
    <s v="RAD-D300H 414147"/>
    <n v="3380"/>
    <n v="0.67455621301775148"/>
    <s v="Shops Highest Price"/>
    <m/>
    <s v="414147"/>
  </r>
  <r>
    <n v="2959"/>
    <s v="Fortress"/>
    <s v="Vcity_1"/>
    <x v="48"/>
    <n v="3"/>
    <x v="3"/>
    <x v="87"/>
    <s v="變頻式環保雙門雪櫃(233L)"/>
    <s v="大電"/>
    <s v="REF"/>
    <s v="rt300"/>
    <n v="1"/>
    <n v="2780"/>
    <n v="2780"/>
    <n v="414260"/>
    <m/>
    <m/>
    <s v="GR-RT300WE-PMA(57) 414260"/>
    <n v="4280"/>
    <n v="0.64953271028037385"/>
    <s v="Toshiba SRP"/>
    <m/>
    <s v="414260"/>
  </r>
  <r>
    <n v="2960"/>
    <s v="Fortress"/>
    <s v="Vcity_1"/>
    <x v="48"/>
    <n v="3"/>
    <x v="3"/>
    <x v="47"/>
    <s v="磁應電飯煲(1公升)"/>
    <s v="細電"/>
    <s v="SDA"/>
    <s v="10iss"/>
    <n v="1"/>
    <n v="938"/>
    <n v="938"/>
    <n v="413998"/>
    <m/>
    <m/>
    <s v="RC-10ISSHK(W) 413998"/>
    <n v="1188"/>
    <n v="0.78956228956228958"/>
    <s v="Shops Highest Price"/>
    <m/>
    <s v="413998"/>
  </r>
  <r>
    <n v="2961"/>
    <s v="Fortress"/>
    <s v="Vcity_1"/>
    <x v="48"/>
    <n v="3"/>
    <x v="3"/>
    <x v="17"/>
    <s v="4毫米厚釜電飯煲1L"/>
    <s v="細電"/>
    <s v="SDA"/>
    <s v="10nmf"/>
    <n v="1"/>
    <n v="719"/>
    <n v="719"/>
    <n v="414362"/>
    <m/>
    <m/>
    <s v="RC-10NMFIH(WT) 414362"/>
    <n v="898"/>
    <n v="0.80066815144766146"/>
    <s v="Toshiba SRP"/>
    <m/>
    <s v="414362"/>
  </r>
  <r>
    <n v="2962"/>
    <s v="Fortress"/>
    <s v="Vcity_1"/>
    <x v="48"/>
    <n v="3"/>
    <x v="4"/>
    <x v="21"/>
    <s v="壓縮式抽濕機 (30公升)"/>
    <s v="細電"/>
    <s v="RAC"/>
    <s v="d300"/>
    <n v="1"/>
    <n v="2280"/>
    <n v="2280"/>
    <n v="414255"/>
    <m/>
    <m/>
    <s v="RAD-D300H 414255"/>
    <n v="3380"/>
    <n v="0.67455621301775148"/>
    <s v="Shops Highest Price"/>
    <m/>
    <s v="414255"/>
  </r>
  <r>
    <n v="2963"/>
    <s v="Fortress"/>
    <s v="Vcity_1"/>
    <x v="48"/>
    <n v="3"/>
    <x v="4"/>
    <x v="43"/>
    <s v="470MM超薄身前置式變頻洗衣機(8.5公斤, 可飛頂)"/>
    <s v="大電"/>
    <s v="LAD"/>
    <s v="t2295"/>
    <n v="1"/>
    <n v="3680"/>
    <n v="3680"/>
    <n v="414382"/>
    <m/>
    <m/>
    <s v="TW-T22BU95UWH(WK)-B 414382"/>
    <n v="5880"/>
    <n v="0.62585034013605445"/>
    <s v="Toshiba SRP"/>
    <m/>
    <s v="414382"/>
  </r>
  <r>
    <n v="2964"/>
    <s v="Fortress"/>
    <s v="Vcity_1"/>
    <x v="48"/>
    <n v="3"/>
    <x v="4"/>
    <x v="31"/>
    <s v="無線雙層電熱水壺(1.7公升)"/>
    <s v="細電"/>
    <s v="SDA"/>
    <s v="17drt"/>
    <n v="1"/>
    <n v="388"/>
    <n v="388"/>
    <n v="414362"/>
    <m/>
    <m/>
    <s v="KT-17DRTHK(H) 414362"/>
    <n v="498"/>
    <n v="0.77911646586345384"/>
    <s v="Toshiba SRP"/>
    <m/>
    <s v="414362"/>
  </r>
  <r>
    <n v="2965"/>
    <s v="Fortress"/>
    <s v="Vcity_1"/>
    <x v="48"/>
    <n v="3"/>
    <x v="4"/>
    <x v="53"/>
    <s v="IH磁應電飯煲"/>
    <s v="細電"/>
    <s v="SDA"/>
    <s v="dr10t"/>
    <n v="1"/>
    <n v="2380"/>
    <n v="2380"/>
    <n v="414423"/>
    <m/>
    <m/>
    <s v="RC-DR10T(R) 414423"/>
    <n v="3188"/>
    <n v="0.74654956085319946"/>
    <s v="Toshiba SRP"/>
    <m/>
    <s v="414423"/>
  </r>
  <r>
    <n v="2966"/>
    <s v="Fortress"/>
    <s v="Vcity_1"/>
    <x v="48"/>
    <n v="3"/>
    <x v="4"/>
    <x v="36"/>
    <s v="輕觸式微波爐 (20公升)"/>
    <s v="細電"/>
    <s v="MCA"/>
    <s v="em20"/>
    <n v="1"/>
    <n v="598"/>
    <n v="598"/>
    <n v="414451"/>
    <m/>
    <m/>
    <s v="MM2-EM20PC(WH) 414451"/>
    <n v="788"/>
    <n v="0.75888324873096447"/>
    <s v="Toshiba SRP"/>
    <m/>
    <s v="414451"/>
  </r>
  <r>
    <n v="2967"/>
    <s v="Fortress"/>
    <s v="Vcity_1"/>
    <x v="48"/>
    <n v="3"/>
    <x v="4"/>
    <x v="31"/>
    <s v="無線雙層電熱水壺(1.7公升)"/>
    <s v="細電"/>
    <s v="SDA"/>
    <s v="17drt"/>
    <n v="1"/>
    <n v="388"/>
    <n v="388"/>
    <n v="414443"/>
    <m/>
    <m/>
    <s v="KT-17DRTHK(H) 414443"/>
    <n v="498"/>
    <n v="0.77911646586345384"/>
    <s v="Toshiba SRP"/>
    <m/>
    <s v="414443"/>
  </r>
  <r>
    <n v="2968"/>
    <s v="Fortress"/>
    <s v="Vcity_1"/>
    <x v="48"/>
    <n v="3"/>
    <x v="4"/>
    <x v="45"/>
    <s v="備長炭本厚釜電飯煲0.7L"/>
    <s v="細電"/>
    <s v="SDA"/>
    <s v="7hmh"/>
    <n v="1"/>
    <n v="838"/>
    <n v="838"/>
    <n v="321299"/>
    <m/>
    <m/>
    <s v="RC-7HMH 321299"/>
    <n v="1288"/>
    <n v="0.65062111801242239"/>
    <s v="Toshiba SRP"/>
    <m/>
    <s v="321299"/>
  </r>
  <r>
    <n v="2969"/>
    <s v="Fortress"/>
    <s v="Vcity_1"/>
    <x v="48"/>
    <n v="3"/>
    <x v="4"/>
    <x v="77"/>
    <s v="470MM超薄身前置式變頻洗衣乾衣機 (洗8.5公斤/乾6公斤, 可飛頂)"/>
    <s v="大電"/>
    <s v="LAD"/>
    <s v="twdt22"/>
    <n v="1"/>
    <n v="4780"/>
    <n v="4780"/>
    <n v="414469"/>
    <m/>
    <m/>
    <s v="TWD-T22BU95UWH(WK)-B 414469"/>
    <n v="7480"/>
    <n v="0.63903743315508021"/>
    <s v="Toshiba SRP"/>
    <m/>
    <s v="414469"/>
  </r>
  <r>
    <n v="2970"/>
    <s v="Fortress"/>
    <s v="Vcity_1"/>
    <x v="48"/>
    <n v="3"/>
    <x v="4"/>
    <x v="38"/>
    <s v="無線雙層電熱水壺-附可鎖壺蓋"/>
    <s v="細電"/>
    <s v="SDA"/>
    <s v="15drt"/>
    <n v="1"/>
    <n v="338"/>
    <n v="338"/>
    <n v="414516"/>
    <m/>
    <m/>
    <s v="KT-15DRTHK(W) 414516"/>
    <n v="598"/>
    <n v="0.56521739130434778"/>
    <s v="Toshiba SRP"/>
    <m/>
    <s v="414516"/>
  </r>
  <r>
    <n v="2971"/>
    <s v="Fortress"/>
    <s v="Vcity_1"/>
    <x v="48"/>
    <n v="3"/>
    <x v="4"/>
    <x v="79"/>
    <s v="IH磁應電飯煲"/>
    <s v="細電"/>
    <s v="SDA"/>
    <s v="ds10k"/>
    <n v="1"/>
    <n v="3150"/>
    <n v="3150"/>
    <n v="414524"/>
    <m/>
    <m/>
    <s v="RC-DS10K(R) 414524"/>
    <n v="4588"/>
    <n v="0.68657367044463824"/>
    <s v="Toshiba SRP"/>
    <m/>
    <s v="414524"/>
  </r>
  <r>
    <n v="2972"/>
    <s v="Fortress"/>
    <s v="Vcity_1"/>
    <x v="48"/>
    <n v="3"/>
    <x v="4"/>
    <x v="31"/>
    <s v="無線雙層電熱水壺(1.7公升)"/>
    <s v="細電"/>
    <s v="SDA"/>
    <s v="17drt"/>
    <n v="1"/>
    <n v="388"/>
    <n v="388"/>
    <n v="414567"/>
    <m/>
    <m/>
    <s v="KT-17DRTHK(H) 414567"/>
    <n v="498"/>
    <n v="0.77911646586345384"/>
    <s v="Toshiba SRP"/>
    <m/>
    <s v="414567"/>
  </r>
  <r>
    <n v="2973"/>
    <s v="Fortress"/>
    <s v="Vcity_1"/>
    <x v="48"/>
    <n v="3"/>
    <x v="4"/>
    <x v="50"/>
    <s v="輕便式電磁爐7個功能"/>
    <s v="細電"/>
    <s v="SDA"/>
    <s v="s19"/>
    <n v="1"/>
    <n v="418"/>
    <n v="418"/>
    <n v="414608"/>
    <m/>
    <m/>
    <s v="IC-S19RH 414608"/>
    <n v="638"/>
    <n v="0.65517241379310343"/>
    <s v="Toshiba SRP"/>
    <m/>
    <s v="414608"/>
  </r>
  <r>
    <n v="2974"/>
    <s v="Fortress"/>
    <s v="Vcity_1"/>
    <x v="48"/>
    <n v="3"/>
    <x v="4"/>
    <x v="36"/>
    <s v="輕觸式微波爐 (20公升)"/>
    <s v="細電"/>
    <s v="MCA"/>
    <s v="em20"/>
    <n v="1"/>
    <n v="598"/>
    <n v="598"/>
    <n v="414622"/>
    <m/>
    <m/>
    <s v="MM2-EM20PC(WH) 414622"/>
    <n v="788"/>
    <n v="0.75888324873096447"/>
    <s v="Toshiba SRP"/>
    <m/>
    <s v="414622"/>
  </r>
  <r>
    <n v="2975"/>
    <s v="Fortress"/>
    <s v="Vcity_1"/>
    <x v="48"/>
    <n v="3"/>
    <x v="4"/>
    <x v="21"/>
    <s v="壓縮式抽濕機 (30公升)"/>
    <s v="細電"/>
    <s v="RAC"/>
    <s v="d300"/>
    <n v="1"/>
    <n v="2280"/>
    <n v="2280"/>
    <n v="414621"/>
    <m/>
    <m/>
    <s v="RAD-D300H 414621"/>
    <n v="3380"/>
    <n v="0.67455621301775148"/>
    <s v="Shops Highest Price"/>
    <m/>
    <s v="414621"/>
  </r>
  <r>
    <n v="2976"/>
    <s v="Fortress"/>
    <s v="Vcity_1"/>
    <x v="48"/>
    <n v="3"/>
    <x v="4"/>
    <x v="31"/>
    <s v="無線雙層電熱水壺(1.7公升)"/>
    <s v="細電"/>
    <s v="SDA"/>
    <s v="17drt"/>
    <n v="1"/>
    <n v="388"/>
    <n v="388"/>
    <n v="321350"/>
    <m/>
    <m/>
    <s v="KT-17DRTHK(H) 321350"/>
    <n v="498"/>
    <n v="0.77911646586345384"/>
    <s v="Toshiba SRP"/>
    <m/>
    <s v="321350"/>
  </r>
  <r>
    <n v="2977"/>
    <s v="Fortress"/>
    <s v="Vcity_1"/>
    <x v="48"/>
    <n v="3"/>
    <x v="4"/>
    <x v="93"/>
    <s v="座檯式洗碗碟機"/>
    <s v="細電"/>
    <s v="DW"/>
    <s v="05t2"/>
    <n v="1"/>
    <n v="3980"/>
    <n v="3980"/>
    <n v="414834"/>
    <m/>
    <m/>
    <s v="DW-05T2-HK 414834"/>
    <n v="4580"/>
    <n v="0.86899563318777295"/>
    <s v="Toshiba SRP"/>
    <m/>
    <s v="414834"/>
  </r>
  <r>
    <n v="2978"/>
    <s v="Fortress"/>
    <s v="Vcity_1"/>
    <x v="48"/>
    <n v="3"/>
    <x v="4"/>
    <x v="104"/>
    <e v="#N/A"/>
    <e v="#N/A"/>
    <e v="#N/A"/>
    <m/>
    <m/>
    <m/>
    <n v="0"/>
    <m/>
    <s v="duplicated,d300,$2280,414621"/>
    <m/>
    <s v="Model-Input-Ref2 "/>
    <e v="#N/A"/>
    <e v="#N/A"/>
    <e v="#N/A"/>
    <m/>
    <s v=""/>
  </r>
  <r>
    <n v="2979"/>
    <s v="Fortress"/>
    <s v="Vcity_1"/>
    <x v="48"/>
    <n v="3"/>
    <x v="20"/>
    <x v="104"/>
    <e v="#N/A"/>
    <e v="#N/A"/>
    <e v="#N/A"/>
    <m/>
    <m/>
    <m/>
    <n v="0"/>
    <m/>
    <s v="duplicated,em20,$598,414622"/>
    <m/>
    <s v="Model-Input-Ref2 "/>
    <e v="#N/A"/>
    <e v="#N/A"/>
    <e v="#N/A"/>
    <m/>
    <s v=""/>
  </r>
  <r>
    <n v="2980"/>
    <s v="Fortress"/>
    <s v="Vcity_1"/>
    <x v="48"/>
    <n v="3"/>
    <x v="20"/>
    <x v="78"/>
    <s v="變頻式環保雙門雪櫃（179L）"/>
    <s v="大電"/>
    <s v="REF"/>
    <s v="rt234"/>
    <n v="1"/>
    <n v="1980"/>
    <n v="1980"/>
    <n v="414597"/>
    <m/>
    <m/>
    <s v="GR-RT234WE-PMA(57) 414597"/>
    <n v="3680"/>
    <n v="0.53804347826086951"/>
    <s v="Toshiba SRP"/>
    <m/>
    <s v="414597"/>
  </r>
  <r>
    <n v="2981"/>
    <s v="Fortress"/>
    <s v="Vcity_1"/>
    <x v="48"/>
    <n v="3"/>
    <x v="20"/>
    <x v="104"/>
    <e v="#N/A"/>
    <e v="#N/A"/>
    <e v="#N/A"/>
    <m/>
    <m/>
    <m/>
    <n v="0"/>
    <m/>
    <s v="duplicated,S19,$418,414608"/>
    <m/>
    <s v="Model-Input-Ref2 "/>
    <e v="#N/A"/>
    <e v="#N/A"/>
    <e v="#N/A"/>
    <m/>
    <s v=""/>
  </r>
  <r>
    <n v="2982"/>
    <s v="Fortress"/>
    <s v="Vcity_1"/>
    <x v="48"/>
    <n v="3"/>
    <x v="20"/>
    <x v="9"/>
    <s v="電熱水瓶4.5L"/>
    <s v="細電"/>
    <s v="SDA"/>
    <s v="45sf"/>
    <n v="1"/>
    <n v="589"/>
    <n v="589"/>
    <n v="321385"/>
    <m/>
    <m/>
    <s v="PLK-45SFIH(WT) 321385"/>
    <n v="788"/>
    <n v="0.7474619289340102"/>
    <s v="Toshiba SRP"/>
    <m/>
    <s v="321385"/>
  </r>
  <r>
    <n v="2983"/>
    <s v="Fortress"/>
    <s v="Vcity_1"/>
    <x v="48"/>
    <n v="3"/>
    <x v="20"/>
    <x v="30"/>
    <s v="旋鈕式燒烤微波爐20L"/>
    <s v="細電"/>
    <s v="SDA"/>
    <s v="mm20"/>
    <n v="1"/>
    <n v="488"/>
    <n v="488"/>
    <n v="414645"/>
    <m/>
    <m/>
    <s v="MWP-MM20P(WH) 414645"/>
    <n v="648"/>
    <n v="0.75308641975308643"/>
    <s v="Toshiba SRP"/>
    <m/>
    <s v="414645"/>
  </r>
  <r>
    <n v="2984"/>
    <s v="Fortress"/>
    <s v="Vcity_1"/>
    <x v="48"/>
    <n v="3"/>
    <x v="20"/>
    <x v="47"/>
    <s v="磁應電飯煲(1公升)"/>
    <s v="細電"/>
    <s v="SDA"/>
    <s v="10iss"/>
    <n v="1"/>
    <n v="938"/>
    <n v="938"/>
    <n v="321383"/>
    <m/>
    <m/>
    <s v="RC-10ISSHK(W) 321383"/>
    <n v="1188"/>
    <n v="0.78956228956228958"/>
    <s v="Shops Highest Price"/>
    <m/>
    <s v="321383"/>
  </r>
  <r>
    <n v="2985"/>
    <s v="Fortress"/>
    <s v="Vcity_1"/>
    <x v="48"/>
    <n v="3"/>
    <x v="20"/>
    <x v="112"/>
    <s v="變頻日式洗衣機 (8.5公斤 結合高低水位)"/>
    <s v="大電"/>
    <s v="LAD"/>
    <s v="dq950"/>
    <n v="1"/>
    <n v="2580"/>
    <n v="2580"/>
    <n v="414641"/>
    <m/>
    <m/>
    <s v="AW-DQ950FPH(WW) 414641"/>
    <n v="3980"/>
    <n v="0.64824120603015079"/>
    <s v="Toshiba SRP"/>
    <m/>
    <s v="414641"/>
  </r>
  <r>
    <n v="2986"/>
    <s v="Fortress"/>
    <s v="Vcity_1"/>
    <x v="48"/>
    <n v="3"/>
    <x v="20"/>
    <x v="38"/>
    <s v="無線雙層電熱水壺-附可鎖壺蓋"/>
    <s v="細電"/>
    <s v="SDA"/>
    <s v="15drt"/>
    <n v="1"/>
    <n v="358"/>
    <n v="358"/>
    <n v="414683"/>
    <m/>
    <m/>
    <s v="KT-15DRTHK(W) 414683"/>
    <n v="598"/>
    <n v="0.59866220735785958"/>
    <s v="Toshiba SRP"/>
    <m/>
    <s v="414683"/>
  </r>
  <r>
    <n v="2987"/>
    <s v="Fortress"/>
    <s v="Vcity_1"/>
    <x v="48"/>
    <n v="3"/>
    <x v="20"/>
    <x v="99"/>
    <s v="前置式變頻洗衣乾衣機 (洗10.5公斤 乾7公斤)"/>
    <s v="大電"/>
    <s v="LAD"/>
    <s v="twdt25"/>
    <n v="3"/>
    <n v="5980"/>
    <n v="17940"/>
    <n v="414699"/>
    <m/>
    <m/>
    <s v="TWD-T25BZU115MWH(MG) 414699"/>
    <n v="8280"/>
    <n v="0.72222222222222221"/>
    <s v="Toshiba SRP"/>
    <m/>
    <s v="414699"/>
  </r>
  <r>
    <n v="2988"/>
    <s v="Fortress"/>
    <s v="Vcity_1"/>
    <x v="48"/>
    <n v="3"/>
    <x v="20"/>
    <x v="0"/>
    <s v="超薄身前置式洗衣乾衣機 (洗8公斤 乾5公斤)"/>
    <s v="大電"/>
    <s v="WM"/>
    <s v="bn90"/>
    <n v="1"/>
    <n v="3980"/>
    <n v="3980"/>
    <n v="414699"/>
    <m/>
    <m/>
    <s v="TWD-BN90GF4H(WK) 414699"/>
    <n v="5980"/>
    <n v="0.66555183946488294"/>
    <s v="Toshiba SRP"/>
    <m/>
    <s v="414699"/>
  </r>
  <r>
    <n v="2989"/>
    <s v="Fortress"/>
    <s v="Vcity_1"/>
    <x v="48"/>
    <n v="3"/>
    <x v="20"/>
    <x v="9"/>
    <s v="電熱水瓶4.5L"/>
    <s v="細電"/>
    <s v="SDA"/>
    <s v="45sf"/>
    <n v="1"/>
    <n v="589"/>
    <n v="589"/>
    <n v="414748"/>
    <m/>
    <m/>
    <s v="PLK-45SFIH(WT) 414748"/>
    <n v="788"/>
    <n v="0.7474619289340102"/>
    <s v="Toshiba SRP"/>
    <m/>
    <s v="414748"/>
  </r>
  <r>
    <n v="2990"/>
    <s v="Fortress"/>
    <s v="Vcity_1"/>
    <x v="48"/>
    <n v="3"/>
    <x v="21"/>
    <x v="139"/>
    <s v="IH磁應電飯煲"/>
    <s v="細電"/>
    <s v="SDA"/>
    <s v="ds18k"/>
    <n v="1"/>
    <n v="3490"/>
    <n v="3490"/>
    <n v="414779"/>
    <m/>
    <m/>
    <s v="RC-DS18K(R) 414779"/>
    <n v="4988"/>
    <n v="0.69967923015236566"/>
    <s v="Toshiba SRP"/>
    <m/>
    <s v="414779"/>
  </r>
  <r>
    <n v="2991"/>
    <s v="Fortress"/>
    <s v="Vcity_1"/>
    <x v="48"/>
    <n v="3"/>
    <x v="21"/>
    <x v="113"/>
    <s v="迷你壓力磁應電飯煲(0.63公升)"/>
    <s v="細電"/>
    <s v="SDA"/>
    <s v="6px"/>
    <n v="1"/>
    <n v="938"/>
    <n v="938"/>
    <n v="414773"/>
    <m/>
    <m/>
    <s v="RC-6PXTHK(W) 414773"/>
    <n v="1398"/>
    <n v="0.67095851216022895"/>
    <s v="Toshiba SRP"/>
    <m/>
    <s v="414773"/>
  </r>
  <r>
    <n v="2992"/>
    <s v="Fortress"/>
    <s v="Vcity_1"/>
    <x v="48"/>
    <n v="3"/>
    <x v="21"/>
    <x v="30"/>
    <s v="旋鈕式燒烤微波爐20L"/>
    <s v="細電"/>
    <s v="SDA"/>
    <s v="mm20"/>
    <n v="1"/>
    <n v="488"/>
    <n v="488"/>
    <n v="414848"/>
    <m/>
    <m/>
    <s v="MWP-MM20P(WH) 414848"/>
    <n v="648"/>
    <n v="0.75308641975308643"/>
    <s v="Toshiba SRP"/>
    <m/>
    <s v="414848"/>
  </r>
  <r>
    <n v="2993"/>
    <s v="Fortress"/>
    <s v="Vcity_1"/>
    <x v="48"/>
    <n v="3"/>
    <x v="21"/>
    <x v="132"/>
    <s v="雙門雪櫃"/>
    <s v="大電"/>
    <s v="REF"/>
    <s v="rb410"/>
    <n v="1"/>
    <n v="3980"/>
    <n v="3980"/>
    <n v="321420"/>
    <m/>
    <m/>
    <s v="GR-RB410WE-PMA(06) 321420"/>
    <n v="4000"/>
    <n v="0.995"/>
    <s v="Shops Highest Price"/>
    <m/>
    <s v="321420"/>
  </r>
  <r>
    <n v="2994"/>
    <s v="Fortress"/>
    <s v="Vcity_1"/>
    <x v="48"/>
    <n v="3"/>
    <x v="21"/>
    <x v="112"/>
    <s v="變頻日式洗衣機 (8.5公斤 結合高低水位)"/>
    <s v="大電"/>
    <s v="LAD"/>
    <s v="dq950"/>
    <n v="1"/>
    <n v="2580"/>
    <n v="2580"/>
    <n v="321422"/>
    <m/>
    <m/>
    <s v="AW-DQ950FPH(WW) 321422"/>
    <n v="3980"/>
    <n v="0.64824120603015079"/>
    <s v="Toshiba SRP"/>
    <m/>
    <s v="321422"/>
  </r>
  <r>
    <n v="2995"/>
    <s v="Fortress"/>
    <s v="Vcity_1"/>
    <x v="48"/>
    <n v="3"/>
    <x v="21"/>
    <x v="43"/>
    <s v="470MM超薄身前置式變頻洗衣機(8.5公斤, 可飛頂)"/>
    <s v="大電"/>
    <s v="LAD"/>
    <s v="t2295"/>
    <n v="1"/>
    <n v="3680"/>
    <n v="3680"/>
    <n v="414794"/>
    <m/>
    <m/>
    <s v="TW-T22BU95UWH(WK)-B 414794"/>
    <n v="5880"/>
    <n v="0.62585034013605445"/>
    <s v="Toshiba SRP"/>
    <m/>
    <s v="414794"/>
  </r>
  <r>
    <n v="2996"/>
    <s v="Fortress"/>
    <s v="Vcity_1"/>
    <x v="48"/>
    <n v="3"/>
    <x v="21"/>
    <x v="43"/>
    <s v="470MM超薄身前置式變頻洗衣機(8.5公斤, 可飛頂)"/>
    <s v="大電"/>
    <s v="LAD"/>
    <s v="t2295"/>
    <n v="1"/>
    <n v="4980"/>
    <n v="4980"/>
    <n v="414834"/>
    <m/>
    <m/>
    <s v="TW-T22BU95UWH(WK)-B 414834"/>
    <n v="5880"/>
    <n v="0.84693877551020413"/>
    <s v="Toshiba SRP"/>
    <m/>
    <s v="414834"/>
  </r>
  <r>
    <n v="2997"/>
    <s v="Fortress"/>
    <s v="Vcity_1"/>
    <x v="48"/>
    <n v="3"/>
    <x v="21"/>
    <x v="22"/>
    <s v="變頻五門雪櫃(375L)"/>
    <s v="大電"/>
    <s v="REF"/>
    <s v="rm612"/>
    <n v="1"/>
    <n v="9980"/>
    <n v="9980"/>
    <n v="414972"/>
    <m/>
    <m/>
    <s v="GR-RM612WE-PGA(B5) 414972"/>
    <n v="11000"/>
    <n v="0.90727272727272723"/>
    <s v="Shops Highest Price"/>
    <m/>
    <s v="414972"/>
  </r>
  <r>
    <n v="2998"/>
    <s v="Fortress"/>
    <s v="Vcity_1"/>
    <x v="48"/>
    <n v="3"/>
    <x v="21"/>
    <x v="45"/>
    <s v="備長炭本厚釜電飯煲0.7L"/>
    <s v="細電"/>
    <s v="SDA"/>
    <s v="7hmh"/>
    <n v="1"/>
    <n v="838"/>
    <n v="838"/>
    <n v="321447"/>
    <m/>
    <m/>
    <s v="RC-7HMH 321447"/>
    <n v="1288"/>
    <n v="0.65062111801242239"/>
    <s v="Toshiba SRP"/>
    <m/>
    <s v="321447"/>
  </r>
  <r>
    <n v="2999"/>
    <s v="Fortress"/>
    <s v="Vcity_1"/>
    <x v="48"/>
    <n v="3"/>
    <x v="21"/>
    <x v="140"/>
    <s v="10.5KG前置式變頻洗衣機"/>
    <s v="大電"/>
    <s v="WM"/>
    <s v="bl115"/>
    <n v="1"/>
    <n v="3380"/>
    <n v="3380"/>
    <n v="414969"/>
    <m/>
    <m/>
    <s v="TW-BL115A2H(WW) 414969"/>
    <n v="6480"/>
    <n v="0.52160493827160492"/>
    <s v="Toshiba SRP"/>
    <m/>
    <s v="414969"/>
  </r>
  <r>
    <n v="3000"/>
    <s v="Fortress"/>
    <s v="Vcity_1"/>
    <x v="48"/>
    <n v="3"/>
    <x v="21"/>
    <x v="40"/>
    <s v="400MM超薄身前置式變頻洗衣機(7公斤)"/>
    <s v="大電"/>
    <s v="LAD"/>
    <s v="bu80"/>
    <n v="1"/>
    <n v="3190"/>
    <n v="3190"/>
    <n v="414977"/>
    <m/>
    <m/>
    <s v="TW-T21BU80UWH(MG) 414977"/>
    <n v="5180"/>
    <n v="0.61583011583011582"/>
    <s v="Toshiba SRP"/>
    <m/>
    <s v="414977"/>
  </r>
  <r>
    <n v="3001"/>
    <s v="Fortress"/>
    <s v="Vcity_1"/>
    <x v="48"/>
    <n v="3"/>
    <x v="21"/>
    <x v="89"/>
    <s v="2 匹 R32變頻窗口式冷氣機 (remote)"/>
    <s v="大電"/>
    <s v="AC"/>
    <s v="18g3cvr"/>
    <n v="1"/>
    <n v="6035"/>
    <n v="6035"/>
    <n v="414976"/>
    <m/>
    <m/>
    <s v="RAC-18G3CVRGR-HK 414976"/>
    <n v="10380"/>
    <n v="0.58140655105973027"/>
    <s v="Toshiba SRP"/>
    <m/>
    <s v="414976"/>
  </r>
  <r>
    <n v="3002"/>
    <s v="Fortress"/>
    <s v="Vcity_1"/>
    <x v="48"/>
    <n v="3"/>
    <x v="21"/>
    <x v="17"/>
    <s v="4毫米厚釜電飯煲1L"/>
    <s v="細電"/>
    <s v="SDA"/>
    <s v="10nmf"/>
    <n v="1"/>
    <n v="719"/>
    <n v="719"/>
    <n v="415033"/>
    <m/>
    <m/>
    <s v="RC-10NMFIH(WT) 415033"/>
    <n v="898"/>
    <n v="0.80066815144766146"/>
    <s v="Toshiba SRP"/>
    <m/>
    <s v="415033"/>
  </r>
  <r>
    <n v="3003"/>
    <s v="Fortress"/>
    <s v="Vcity_1"/>
    <x v="48"/>
    <n v="3"/>
    <x v="21"/>
    <x v="112"/>
    <s v="變頻日式洗衣機 (8.5公斤 結合高低水位)"/>
    <s v="大電"/>
    <s v="LAD"/>
    <s v="dq950"/>
    <n v="1"/>
    <n v="2580"/>
    <n v="2580"/>
    <n v="415021"/>
    <m/>
    <m/>
    <s v="AW-DQ950FPH(WW) 415021"/>
    <n v="3980"/>
    <n v="0.64824120603015079"/>
    <s v="Toshiba SRP"/>
    <m/>
    <s v="415021"/>
  </r>
  <r>
    <n v="3004"/>
    <s v="Fortress"/>
    <s v="Vcity_1"/>
    <x v="48"/>
    <n v="3"/>
    <x v="21"/>
    <x v="124"/>
    <s v="RO座檯式冷熱飲水機"/>
    <s v="細電"/>
    <s v="KWH"/>
    <s v="w2265"/>
    <n v="1"/>
    <n v="3050"/>
    <n v="3050"/>
    <n v="415048"/>
    <m/>
    <m/>
    <s v="TWP-W2265THK(W) 415048"/>
    <n v="3480"/>
    <n v="0.87643678160919536"/>
    <s v="Shops Highest Price"/>
    <m/>
    <s v="415048"/>
  </r>
  <r>
    <n v="3005"/>
    <s v="Fortress"/>
    <s v="Vcity_1"/>
    <x v="48"/>
    <n v="3"/>
    <x v="21"/>
    <x v="124"/>
    <s v="RO座檯式冷熱飲水機"/>
    <s v="細電"/>
    <s v="KWH"/>
    <s v="w2265"/>
    <n v="1"/>
    <n v="3050"/>
    <n v="3050"/>
    <n v="415049"/>
    <m/>
    <m/>
    <s v="TWP-W2265THK(W) 415049"/>
    <n v="3480"/>
    <n v="0.87643678160919536"/>
    <s v="Shops Highest Price"/>
    <m/>
    <s v="415049"/>
  </r>
  <r>
    <n v="3006"/>
    <s v="Fortress"/>
    <s v="Vcity_1"/>
    <x v="48"/>
    <n v="3"/>
    <x v="23"/>
    <x v="112"/>
    <s v="變頻日式洗衣機 (8.5公斤 結合高低水位)"/>
    <s v="大電"/>
    <s v="LAD"/>
    <s v="dq950"/>
    <n v="1"/>
    <n v="3050"/>
    <n v="3050"/>
    <n v="415058"/>
    <m/>
    <m/>
    <s v="AW-DQ950FPH(WW) 415058"/>
    <n v="3980"/>
    <n v="0.76633165829145733"/>
    <s v="Toshiba SRP"/>
    <m/>
    <s v="415058"/>
  </r>
  <r>
    <n v="3007"/>
    <s v="Fortress"/>
    <s v="Vcity_1"/>
    <x v="48"/>
    <n v="3"/>
    <x v="23"/>
    <x v="42"/>
    <s v="變頻下置式雙門雪櫃系列270L"/>
    <s v="大電"/>
    <s v="REF"/>
    <s v="rb360"/>
    <n v="1"/>
    <n v="3680"/>
    <n v="3680"/>
    <n v="321502"/>
    <m/>
    <m/>
    <s v="GR-RB360WE-PMA(06) 321502"/>
    <n v="5080"/>
    <n v="0.72440944881889768"/>
    <s v="Toshiba SRP"/>
    <m/>
    <s v="321502"/>
  </r>
  <r>
    <n v="3008"/>
    <s v="Fortress"/>
    <s v="Vcity_1"/>
    <x v="48"/>
    <n v="3"/>
    <x v="23"/>
    <x v="114"/>
    <s v="變頻三門雪櫃 (233L)"/>
    <s v="大電"/>
    <s v="REF"/>
    <s v="rm352"/>
    <n v="1"/>
    <n v="3790"/>
    <n v="3790"/>
    <n v="415055"/>
    <m/>
    <m/>
    <s v="GR-RM352WI-PMA(53) 415055"/>
    <n v="5580"/>
    <n v="0.67921146953405021"/>
    <s v="Toshiba SRP"/>
    <m/>
    <s v="415055"/>
  </r>
  <r>
    <n v="3009"/>
    <s v="Fortress"/>
    <s v="Vcity_1"/>
    <x v="48"/>
    <n v="3"/>
    <x v="23"/>
    <x v="104"/>
    <e v="#N/A"/>
    <e v="#N/A"/>
    <e v="#N/A"/>
    <m/>
    <m/>
    <m/>
    <n v="0"/>
    <m/>
    <s v="duplicated,10nmf,$719,415033"/>
    <m/>
    <s v="Model-Input-Ref2 "/>
    <e v="#N/A"/>
    <e v="#N/A"/>
    <e v="#N/A"/>
    <m/>
    <s v=""/>
  </r>
  <r>
    <n v="3010"/>
    <s v="Fortress"/>
    <s v="Vcity_1"/>
    <x v="48"/>
    <n v="3"/>
    <x v="23"/>
    <x v="96"/>
    <s v="日式洗衣機 (7公斤 結合高低水位)"/>
    <s v="大電"/>
    <s v="LAD"/>
    <s v="q800"/>
    <n v="1"/>
    <n v="1980"/>
    <n v="1980"/>
    <n v="415112"/>
    <m/>
    <m/>
    <s v="AW-Q800APH(WW) 415112"/>
    <n v="3580"/>
    <n v="0.55307262569832405"/>
    <s v="Toshiba SRP"/>
    <m/>
    <s v="415112"/>
  </r>
  <r>
    <n v="3011"/>
    <s v="Fortress"/>
    <s v="Vcity_1"/>
    <x v="48"/>
    <n v="3"/>
    <x v="23"/>
    <x v="17"/>
    <s v="4毫米厚釜電飯煲1L"/>
    <s v="細電"/>
    <s v="SDA"/>
    <s v="10nmf"/>
    <n v="1"/>
    <n v="719"/>
    <n v="719"/>
    <n v="415166"/>
    <m/>
    <m/>
    <s v="RC-10NMFIH(WT) 415166"/>
    <n v="898"/>
    <n v="0.80066815144766146"/>
    <s v="Toshiba SRP"/>
    <m/>
    <s v="415166"/>
  </r>
  <r>
    <n v="3012"/>
    <s v="Fortress"/>
    <s v="Vcity_1"/>
    <x v="48"/>
    <n v="3"/>
    <x v="23"/>
    <x v="100"/>
    <s v="3/4 匹 窗口式冷氣機(remote/fortress)"/>
    <s v="大電"/>
    <s v="AC"/>
    <s v="07g3cvf"/>
    <n v="1"/>
    <n v="3880"/>
    <n v="3880"/>
    <n v="321547"/>
    <m/>
    <m/>
    <s v="RAC-07G3CVRG-HK 321547"/>
    <n v="5580"/>
    <n v="0.69534050179211471"/>
    <s v="Toshiba SRP"/>
    <m/>
    <s v="321547"/>
  </r>
  <r>
    <n v="3013"/>
    <s v="Fortress"/>
    <s v="Vcity_1"/>
    <x v="48"/>
    <n v="3"/>
    <x v="23"/>
    <x v="66"/>
    <s v="變頻下置式雙門雪櫃（163L）"/>
    <s v="大電"/>
    <s v="REF"/>
    <s v="rb221"/>
    <n v="1"/>
    <n v="1880"/>
    <n v="1880"/>
    <n v="415171"/>
    <m/>
    <m/>
    <s v="GR-RB221WE-PMA(57) 415171"/>
    <n v="3480"/>
    <n v="0.54022988505747127"/>
    <s v="Toshiba SRP"/>
    <m/>
    <s v="415171"/>
  </r>
  <r>
    <n v="3014"/>
    <s v="Fortress"/>
    <s v="Vcity_1"/>
    <x v="48"/>
    <n v="3"/>
    <x v="23"/>
    <x v="21"/>
    <s v="壓縮式抽濕機 (30公升)"/>
    <s v="細電"/>
    <s v="RAC"/>
    <s v="d300"/>
    <n v="2"/>
    <n v="2280"/>
    <n v="4560"/>
    <n v="321539"/>
    <m/>
    <m/>
    <s v="RAD-D300H 321539"/>
    <n v="3380"/>
    <n v="0.67455621301775148"/>
    <s v="Shops Highest Price"/>
    <m/>
    <s v="321539"/>
  </r>
  <r>
    <n v="3015"/>
    <s v="Fortress"/>
    <s v="Vcity_1"/>
    <x v="48"/>
    <n v="3"/>
    <x v="23"/>
    <x v="34"/>
    <s v="智能氣炸烤焗爐(24公升)"/>
    <s v="細電"/>
    <s v="MCA"/>
    <s v="sac24"/>
    <n v="1"/>
    <n v="1320"/>
    <n v="1320"/>
    <n v="321543"/>
    <m/>
    <m/>
    <s v="MW3-SAC24SE(BK) 321543"/>
    <n v="1680"/>
    <n v="0.7857142857142857"/>
    <s v="Toshiba SRP"/>
    <m/>
    <s v="321543"/>
  </r>
  <r>
    <n v="3016"/>
    <s v="Fortress"/>
    <s v="Vcity_1"/>
    <x v="48"/>
    <n v="3"/>
    <x v="23"/>
    <x v="31"/>
    <s v="無線雙層電熱水壺(1.7公升)"/>
    <s v="細電"/>
    <s v="SDA"/>
    <s v="17drt"/>
    <n v="1"/>
    <n v="388"/>
    <n v="388"/>
    <n v="415243"/>
    <m/>
    <m/>
    <s v="KT-17DRTHK(H) 415243"/>
    <n v="498"/>
    <n v="0.77911646586345384"/>
    <s v="Toshiba SRP"/>
    <m/>
    <s v="415243"/>
  </r>
  <r>
    <n v="3017"/>
    <s v="Fortress"/>
    <s v="Vcity_1"/>
    <x v="48"/>
    <n v="3"/>
    <x v="23"/>
    <x v="86"/>
    <s v="470MM超薄身前置式變頻洗衣乾衣機 (洗8.5公斤 乾6公斤)"/>
    <s v="大電"/>
    <s v="LAD"/>
    <s v="twdt21"/>
    <n v="1"/>
    <n v="3990"/>
    <n v="3990"/>
    <n v="415232"/>
    <m/>
    <m/>
    <s v="TWD-T21BU95UWH(WW) 415232"/>
    <n v="7280"/>
    <n v="0.54807692307692313"/>
    <s v="Toshiba SRP"/>
    <m/>
    <s v="415232"/>
  </r>
  <r>
    <n v="3018"/>
    <s v="Fortress"/>
    <s v="Vcity_1"/>
    <x v="48"/>
    <n v="3"/>
    <x v="23"/>
    <x v="50"/>
    <s v="輕便式電磁爐7個功能"/>
    <s v="細電"/>
    <s v="SDA"/>
    <s v="s19"/>
    <n v="1"/>
    <n v="418"/>
    <n v="418"/>
    <n v="415247"/>
    <m/>
    <m/>
    <s v="IC-S19RH 415247"/>
    <n v="638"/>
    <n v="0.65517241379310343"/>
    <s v="Toshiba SRP"/>
    <m/>
    <s v="415247"/>
  </r>
  <r>
    <n v="3019"/>
    <s v="Fortress"/>
    <s v="Vcity_1"/>
    <x v="48"/>
    <n v="3"/>
    <x v="23"/>
    <x v="132"/>
    <s v="雙門雪櫃"/>
    <s v="大電"/>
    <s v="REF"/>
    <s v="rb410"/>
    <n v="1"/>
    <n v="3980"/>
    <n v="3980"/>
    <n v="415247"/>
    <m/>
    <m/>
    <s v="GR-RB410WE-PMA(06) 415247"/>
    <n v="4000"/>
    <n v="0.995"/>
    <s v="Shops Highest Price"/>
    <m/>
    <s v="415247"/>
  </r>
  <r>
    <n v="3020"/>
    <s v="Fortress"/>
    <s v="Vcity_1"/>
    <x v="48"/>
    <n v="3"/>
    <x v="26"/>
    <x v="28"/>
    <s v="無線雙層電熱水壺-附可鎖壺蓋(0.8公升)"/>
    <s v="細電"/>
    <s v="SDA"/>
    <s v="08dh"/>
    <n v="1"/>
    <n v="268"/>
    <n v="268"/>
    <n v="415351"/>
    <m/>
    <m/>
    <s v="KT-08DH1VHK(W) 415351"/>
    <n v="428"/>
    <n v="0.62616822429906538"/>
    <s v="Toshiba SRP"/>
    <m/>
    <s v="415351"/>
  </r>
  <r>
    <n v="3021"/>
    <s v="Fortress"/>
    <s v="Vcity_1"/>
    <x v="48"/>
    <n v="3"/>
    <x v="26"/>
    <x v="17"/>
    <s v="4毫米厚釜電飯煲1L"/>
    <s v="細電"/>
    <s v="SDA"/>
    <s v="10nmf"/>
    <n v="1"/>
    <n v="719"/>
    <n v="719"/>
    <n v="415273"/>
    <m/>
    <m/>
    <s v="RC-10NMFIH(WT) 415273"/>
    <n v="898"/>
    <n v="0.80066815144766146"/>
    <s v="Toshiba SRP"/>
    <m/>
    <s v="415273"/>
  </r>
  <r>
    <n v="3022"/>
    <s v="Fortress"/>
    <s v="Vcity_1"/>
    <x v="48"/>
    <n v="3"/>
    <x v="26"/>
    <x v="32"/>
    <s v="電熱水瓶3L"/>
    <s v="細電"/>
    <s v="SDA"/>
    <s v="30fl"/>
    <n v="1"/>
    <n v="489"/>
    <n v="489"/>
    <n v="415291"/>
    <m/>
    <m/>
    <s v="PLK-30FLIH(WT) 415291"/>
    <n v="658"/>
    <n v="0.74316109422492405"/>
    <s v="Toshiba SRP"/>
    <m/>
    <s v="415291"/>
  </r>
  <r>
    <n v="3023"/>
    <s v="Fortress"/>
    <s v="Vcity_1"/>
    <x v="48"/>
    <n v="3"/>
    <x v="26"/>
    <x v="21"/>
    <s v="壓縮式抽濕機 (30公升)"/>
    <s v="細電"/>
    <s v="RAC"/>
    <s v="d300"/>
    <n v="1"/>
    <n v="2280"/>
    <n v="2280"/>
    <n v="415298"/>
    <m/>
    <m/>
    <s v="RAD-D300H 415298"/>
    <n v="3380"/>
    <n v="0.67455621301775148"/>
    <s v="Shops Highest Price"/>
    <m/>
    <s v="415298"/>
  </r>
  <r>
    <n v="3024"/>
    <s v="Fortress"/>
    <s v="Vcity_1"/>
    <x v="48"/>
    <n v="3"/>
    <x v="26"/>
    <x v="31"/>
    <s v="無線雙層電熱水壺(1.7公升)"/>
    <s v="細電"/>
    <s v="SDA"/>
    <s v="17drt"/>
    <n v="1"/>
    <n v="388"/>
    <n v="388"/>
    <n v="415313"/>
    <m/>
    <m/>
    <s v="KT-17DRTHK(H) 415313"/>
    <n v="498"/>
    <n v="0.77911646586345384"/>
    <s v="Toshiba SRP"/>
    <m/>
    <s v="415313"/>
  </r>
  <r>
    <n v="3025"/>
    <s v="Fortress"/>
    <s v="Vcity_1"/>
    <x v="48"/>
    <n v="3"/>
    <x v="26"/>
    <x v="87"/>
    <s v="變頻式環保雙門雪櫃(233L)"/>
    <s v="大電"/>
    <s v="REF"/>
    <s v="rt300"/>
    <n v="1"/>
    <n v="2780"/>
    <n v="2780"/>
    <n v="415332"/>
    <m/>
    <m/>
    <s v="GR-RT300WE-PMA(57) 415332"/>
    <n v="4280"/>
    <n v="0.64953271028037385"/>
    <s v="Toshiba SRP"/>
    <m/>
    <s v="415332"/>
  </r>
  <r>
    <n v="3026"/>
    <s v="Fortress"/>
    <s v="Vcity_1"/>
    <x v="48"/>
    <n v="3"/>
    <x v="26"/>
    <x v="75"/>
    <s v="日式洗衣機 (8公斤 結合高低水位)"/>
    <s v="大電"/>
    <s v="LAD"/>
    <s v="q901"/>
    <n v="1"/>
    <n v="2280"/>
    <n v="2280"/>
    <n v="415339"/>
    <m/>
    <m/>
    <s v="AW-Q901BPH(WW) 415339"/>
    <n v="3780"/>
    <n v="0.60317460317460314"/>
    <s v="Toshiba SRP"/>
    <m/>
    <s v="415339"/>
  </r>
  <r>
    <n v="3027"/>
    <s v="Fortress"/>
    <s v="Vcity_1"/>
    <x v="48"/>
    <n v="3"/>
    <x v="26"/>
    <x v="96"/>
    <s v="日式洗衣機 (7公斤 結合高低水位)"/>
    <s v="大電"/>
    <s v="LAD"/>
    <s v="q800"/>
    <n v="1"/>
    <n v="1980"/>
    <n v="1980"/>
    <n v="415369"/>
    <m/>
    <m/>
    <s v="AW-Q800APH(WW) 415369"/>
    <n v="3580"/>
    <n v="0.55307262569832405"/>
    <s v="Toshiba SRP"/>
    <m/>
    <s v="415369"/>
  </r>
  <r>
    <n v="3028"/>
    <s v="Fortress"/>
    <s v="Vcity_1"/>
    <x v="48"/>
    <n v="3"/>
    <x v="26"/>
    <x v="100"/>
    <s v="3/4 匹 窗口式冷氣機(remote/fortress)"/>
    <s v="大電"/>
    <s v="AC"/>
    <s v="07g3cvf"/>
    <n v="1"/>
    <n v="3880"/>
    <n v="3880"/>
    <n v="415385"/>
    <m/>
    <m/>
    <s v="RAC-07G3CVRG-HK 415385"/>
    <n v="5580"/>
    <n v="0.69534050179211471"/>
    <s v="Toshiba SRP"/>
    <m/>
    <s v="415385"/>
  </r>
  <r>
    <n v="3029"/>
    <s v="Fortress"/>
    <s v="Vcity_1"/>
    <x v="48"/>
    <n v="3"/>
    <x v="26"/>
    <x v="21"/>
    <s v="壓縮式抽濕機 (30公升)"/>
    <s v="細電"/>
    <s v="RAC"/>
    <s v="d300"/>
    <n v="1"/>
    <n v="2280"/>
    <n v="2280"/>
    <n v="415376"/>
    <m/>
    <m/>
    <s v="RAD-D300H 415376"/>
    <n v="3380"/>
    <n v="0.67455621301775148"/>
    <s v="Shops Highest Price"/>
    <m/>
    <s v="415376"/>
  </r>
  <r>
    <n v="3030"/>
    <s v="Fortress"/>
    <s v="Vcity_1"/>
    <x v="48"/>
    <n v="3"/>
    <x v="26"/>
    <x v="92"/>
    <s v="1 匹 R32變頻窗口式冷氣機 (獨立抽濕遙控"/>
    <s v="大電"/>
    <s v="AC"/>
    <s v="09g3cvr"/>
    <n v="1"/>
    <n v="4980"/>
    <n v="4980"/>
    <n v="415346"/>
    <m/>
    <m/>
    <s v="RAC-09G3CVRGR-HK 415346"/>
    <n v="6980"/>
    <n v="0.71346704871060174"/>
    <s v="Toshiba SRP"/>
    <m/>
    <s v="415346"/>
  </r>
  <r>
    <n v="3031"/>
    <s v="Fortress"/>
    <s v="Vcity_1"/>
    <x v="48"/>
    <n v="3"/>
    <x v="26"/>
    <x v="62"/>
    <s v="智能水波爐 (26公升)"/>
    <s v="細電"/>
    <s v="MCA"/>
    <s v="sd99"/>
    <n v="1"/>
    <n v="3980"/>
    <n v="3980"/>
    <n v="415375"/>
    <m/>
    <m/>
    <s v="ER-SD99HKW 415375"/>
    <n v="5888"/>
    <n v="0.67595108695652173"/>
    <s v="Toshiba SRP"/>
    <m/>
    <s v="415375"/>
  </r>
  <r>
    <n v="3032"/>
    <s v="Fortress"/>
    <s v="Vcity_1"/>
    <x v="48"/>
    <n v="3"/>
    <x v="26"/>
    <x v="130"/>
    <s v="All-in-one 輕巧無線吸塵機"/>
    <s v="細電"/>
    <s v="MCA"/>
    <s v="clx50"/>
    <n v="1"/>
    <n v="1798"/>
    <n v="1798"/>
    <n v="415412"/>
    <m/>
    <m/>
    <s v="VC-CLX50BF(R) 415412"/>
    <n v="3188"/>
    <n v="0.56398996235884569"/>
    <s v="Toshiba SRP"/>
    <m/>
    <s v="415412"/>
  </r>
  <r>
    <n v="3033"/>
    <s v="Fortress"/>
    <s v="Vcity_1"/>
    <x v="48"/>
    <n v="3"/>
    <x v="26"/>
    <x v="60"/>
    <s v="酵活炊磁應電飯煲(1.5公升)"/>
    <s v="細電"/>
    <s v="SDA"/>
    <s v="15bh"/>
    <n v="1"/>
    <n v="2088"/>
    <n v="2088"/>
    <n v="415419"/>
    <m/>
    <m/>
    <s v="RC-15BHH(W) 415419"/>
    <n v="2388"/>
    <n v="0.87437185929648242"/>
    <s v="Toshiba SRP"/>
    <m/>
    <s v="415419"/>
  </r>
  <r>
    <n v="3034"/>
    <s v="Fortress"/>
    <s v="Vcity_1"/>
    <x v="48"/>
    <n v="3"/>
    <x v="26"/>
    <x v="69"/>
    <s v="多功能備長炭本厚釜電飯煲1.8L"/>
    <s v="細電"/>
    <s v="SDA"/>
    <s v="18drnh"/>
    <n v="1"/>
    <n v="619"/>
    <n v="619"/>
    <n v="321682"/>
    <m/>
    <m/>
    <s v="RC-18DRNH 321682"/>
    <n v="898"/>
    <n v="0.68930957683741645"/>
    <s v="Toshiba SRP"/>
    <m/>
    <s v="321682"/>
  </r>
  <r>
    <n v="3035"/>
    <s v="Fortress"/>
    <s v="Vcity_1"/>
    <x v="48"/>
    <n v="3"/>
    <x v="26"/>
    <x v="112"/>
    <s v="變頻日式洗衣機 (8.5公斤 結合高低水位)"/>
    <s v="大電"/>
    <s v="LAD"/>
    <s v="dq950"/>
    <n v="1"/>
    <n v="2580"/>
    <n v="2580"/>
    <n v="321686"/>
    <m/>
    <m/>
    <s v="AW-DQ950FPH(WW) 321686"/>
    <n v="3980"/>
    <n v="0.64824120603015079"/>
    <s v="Toshiba SRP"/>
    <m/>
    <s v="321686"/>
  </r>
  <r>
    <n v="3036"/>
    <s v="Fortress"/>
    <s v="Vcity_1"/>
    <x v="48"/>
    <n v="3"/>
    <x v="26"/>
    <x v="60"/>
    <s v="酵活炊磁應電飯煲(1.5公升)"/>
    <s v="細電"/>
    <s v="SDA"/>
    <s v="15bh"/>
    <n v="1"/>
    <n v="2088"/>
    <n v="2088"/>
    <n v="415484"/>
    <m/>
    <m/>
    <s v="RC-15BHH(W) 415484"/>
    <n v="2388"/>
    <n v="0.87437185929648242"/>
    <s v="Toshiba SRP"/>
    <m/>
    <s v="415484"/>
  </r>
  <r>
    <n v="3037"/>
    <s v="Fortress"/>
    <s v="TW"/>
    <x v="49"/>
    <n v="3"/>
    <x v="0"/>
    <x v="36"/>
    <s v="輕觸式微波爐 (20公升)"/>
    <s v="細電"/>
    <s v="MCA"/>
    <s v="em20"/>
    <n v="1"/>
    <n v="598"/>
    <n v="598"/>
    <n v="1013385"/>
    <m/>
    <m/>
    <s v="MM2-EM20PC(WH) 1013385"/>
    <n v="788"/>
    <n v="0.75888324873096447"/>
    <s v="Toshiba SRP"/>
    <m/>
    <s v="1013385"/>
  </r>
  <r>
    <n v="3038"/>
    <s v="Fortress"/>
    <s v="TW"/>
    <x v="49"/>
    <n v="3"/>
    <x v="0"/>
    <x v="34"/>
    <s v="智能氣炸烤焗爐(24公升)"/>
    <s v="細電"/>
    <s v="MCA"/>
    <s v="sac24"/>
    <n v="1"/>
    <n v="1320"/>
    <n v="1320"/>
    <n v="1013432"/>
    <m/>
    <m/>
    <s v="MW3-SAC24SE(BK) 1013432"/>
    <n v="1680"/>
    <n v="0.7857142857142857"/>
    <s v="Toshiba SRP"/>
    <m/>
    <s v="1013432"/>
  </r>
  <r>
    <n v="3039"/>
    <s v="Fortress"/>
    <s v="TW"/>
    <x v="49"/>
    <n v="3"/>
    <x v="0"/>
    <x v="9"/>
    <s v="電熱水瓶4.5L"/>
    <s v="細電"/>
    <s v="SDA"/>
    <s v="45sf"/>
    <n v="1"/>
    <n v="589"/>
    <n v="589"/>
    <n v="1013649"/>
    <m/>
    <m/>
    <s v="PLK-45SFIH(WT) 1013649"/>
    <n v="788"/>
    <n v="0.7474619289340102"/>
    <s v="Toshiba SRP"/>
    <m/>
    <s v="1013649"/>
  </r>
  <r>
    <n v="3040"/>
    <s v="Fortress"/>
    <s v="TW"/>
    <x v="49"/>
    <n v="3"/>
    <x v="0"/>
    <x v="77"/>
    <s v="470MM超薄身前置式變頻洗衣乾衣機 (洗8.5公斤/乾6公斤, 可飛頂)"/>
    <s v="大電"/>
    <s v="LAD"/>
    <s v="twdt22"/>
    <n v="1"/>
    <n v="4780"/>
    <n v="4780"/>
    <n v="1013714"/>
    <m/>
    <m/>
    <s v="TWD-T22BU95UWH(WK)-B 1013714"/>
    <n v="7480"/>
    <n v="0.63903743315508021"/>
    <s v="Toshiba SRP"/>
    <m/>
    <s v="1013714"/>
  </r>
  <r>
    <n v="3041"/>
    <s v="Fortress"/>
    <s v="TW"/>
    <x v="49"/>
    <n v="3"/>
    <x v="0"/>
    <x v="40"/>
    <s v="400MM超薄身前置式變頻洗衣機(7公斤)"/>
    <s v="大電"/>
    <s v="LAD"/>
    <s v="bu80"/>
    <n v="1"/>
    <n v="3150"/>
    <n v="3150"/>
    <n v="1013506"/>
    <m/>
    <m/>
    <s v="TW-T21BU80UWH(MG) 1013506"/>
    <n v="5180"/>
    <n v="0.60810810810810811"/>
    <s v="Toshiba SRP"/>
    <m/>
    <s v="1013506"/>
  </r>
  <r>
    <n v="3042"/>
    <s v="Fortress"/>
    <s v="TW"/>
    <x v="49"/>
    <n v="3"/>
    <x v="0"/>
    <x v="21"/>
    <s v="壓縮式抽濕機 (30公升)"/>
    <s v="細電"/>
    <s v="RAC"/>
    <s v="d300"/>
    <n v="1"/>
    <n v="2280"/>
    <n v="2280"/>
    <n v="1013424"/>
    <m/>
    <m/>
    <s v="RAD-D300H 1013424"/>
    <n v="3380"/>
    <n v="0.67455621301775148"/>
    <s v="Shops Highest Price"/>
    <m/>
    <s v="1013424"/>
  </r>
  <r>
    <n v="3043"/>
    <s v="Fortress"/>
    <s v="TW"/>
    <x v="49"/>
    <n v="3"/>
    <x v="0"/>
    <x v="113"/>
    <s v="迷你壓力磁應電飯煲(0.63公升)"/>
    <s v="細電"/>
    <s v="SDA"/>
    <s v="6px"/>
    <n v="1"/>
    <n v="938"/>
    <n v="938"/>
    <n v="1013473"/>
    <m/>
    <m/>
    <s v="RC-6PXTHK(W) 1013473"/>
    <n v="1398"/>
    <n v="0.67095851216022895"/>
    <s v="Toshiba SRP"/>
    <m/>
    <s v="1013473"/>
  </r>
  <r>
    <n v="3044"/>
    <s v="Fortress"/>
    <s v="TW"/>
    <x v="49"/>
    <n v="3"/>
    <x v="0"/>
    <x v="113"/>
    <s v="迷你壓力磁應電飯煲(0.63公升)"/>
    <s v="細電"/>
    <s v="SDA"/>
    <s v="6px"/>
    <n v="1"/>
    <n v="938"/>
    <n v="938"/>
    <n v="1013534"/>
    <m/>
    <m/>
    <s v="RC-6PXTHK(W) 1013534"/>
    <n v="1398"/>
    <n v="0.67095851216022895"/>
    <s v="Toshiba SRP"/>
    <m/>
    <s v="1013534"/>
  </r>
  <r>
    <n v="3045"/>
    <s v="Fortress"/>
    <s v="TW"/>
    <x v="49"/>
    <n v="3"/>
    <x v="0"/>
    <x v="69"/>
    <s v="多功能備長炭本厚釜電飯煲1.8L"/>
    <s v="細電"/>
    <s v="SDA"/>
    <s v="18drnh"/>
    <n v="1"/>
    <n v="619"/>
    <n v="619"/>
    <n v="1013394"/>
    <m/>
    <m/>
    <s v="RC-18DRNH 1013394"/>
    <n v="898"/>
    <n v="0.68930957683741645"/>
    <s v="Toshiba SRP"/>
    <m/>
    <s v="1013394"/>
  </r>
  <r>
    <n v="3046"/>
    <s v="Fortress"/>
    <s v="TW"/>
    <x v="49"/>
    <n v="3"/>
    <x v="0"/>
    <x v="30"/>
    <s v="旋鈕式燒烤微波爐20L"/>
    <s v="細電"/>
    <s v="SDA"/>
    <s v="mm20"/>
    <n v="1"/>
    <n v="488"/>
    <n v="488"/>
    <n v="1013703"/>
    <m/>
    <m/>
    <s v="MWP-MM20P(WH) 1013703"/>
    <n v="648"/>
    <n v="0.75308641975308643"/>
    <s v="Toshiba SRP"/>
    <m/>
    <s v="1013703"/>
  </r>
  <r>
    <n v="3047"/>
    <s v="Fortress"/>
    <s v="TW"/>
    <x v="49"/>
    <n v="3"/>
    <x v="0"/>
    <x v="23"/>
    <s v="電飯煲"/>
    <s v="細電"/>
    <s v="SDA"/>
    <s v="10jruh"/>
    <n v="1"/>
    <n v="328"/>
    <n v="328"/>
    <n v="1013787"/>
    <m/>
    <m/>
    <s v="RC-10JRUH(N) 1013787"/>
    <n v="398"/>
    <n v="0.82412060301507539"/>
    <s v="Shops Highest Price"/>
    <m/>
    <s v="1013787"/>
  </r>
  <r>
    <n v="3048"/>
    <s v="Fortress"/>
    <s v="TW"/>
    <x v="49"/>
    <n v="3"/>
    <x v="0"/>
    <x v="69"/>
    <s v="多功能備長炭本厚釜電飯煲1.8L"/>
    <s v="細電"/>
    <s v="SDA"/>
    <s v="18drnh"/>
    <n v="1"/>
    <n v="619"/>
    <n v="619"/>
    <n v="1013780"/>
    <m/>
    <m/>
    <s v="RC-18DRNH 1013780"/>
    <n v="898"/>
    <n v="0.68930957683741645"/>
    <s v="Toshiba SRP"/>
    <m/>
    <s v="1013780"/>
  </r>
  <r>
    <n v="3049"/>
    <s v="Fortress"/>
    <s v="TW"/>
    <x v="49"/>
    <n v="3"/>
    <x v="0"/>
    <x v="30"/>
    <s v="旋鈕式燒烤微波爐20L"/>
    <s v="細電"/>
    <s v="SDA"/>
    <s v="mm20"/>
    <n v="1"/>
    <n v="488"/>
    <n v="488"/>
    <n v="1013788"/>
    <m/>
    <m/>
    <s v="MWP-MM20P(WH) 1013788"/>
    <n v="648"/>
    <n v="0.75308641975308643"/>
    <s v="Toshiba SRP"/>
    <m/>
    <s v="1013788"/>
  </r>
  <r>
    <n v="3050"/>
    <s v="Fortress"/>
    <s v="TW"/>
    <x v="49"/>
    <n v="3"/>
    <x v="0"/>
    <x v="48"/>
    <s v="3合1 微波蒸焗爐 (20公升)"/>
    <s v="細電"/>
    <s v="MCA"/>
    <s v="tt20"/>
    <n v="1"/>
    <n v="2580"/>
    <n v="2580"/>
    <n v="1013798"/>
    <m/>
    <m/>
    <s v="MX2-TT20SC(WH) 1013798"/>
    <n v="3580"/>
    <n v="0.72067039106145248"/>
    <s v="Toshiba SRP"/>
    <m/>
    <s v="1013798"/>
  </r>
  <r>
    <n v="3051"/>
    <s v="Fortress"/>
    <s v="TW"/>
    <x v="49"/>
    <n v="3"/>
    <x v="0"/>
    <x v="17"/>
    <s v="4毫米厚釜電飯煲1L"/>
    <s v="細電"/>
    <s v="SDA"/>
    <s v="10nmf"/>
    <n v="1"/>
    <n v="719"/>
    <n v="719"/>
    <n v="1013907"/>
    <m/>
    <m/>
    <s v="RC-10NMFIH(WT) 1013907"/>
    <n v="898"/>
    <n v="0.80066815144766146"/>
    <s v="Toshiba SRP"/>
    <m/>
    <s v="1013907"/>
  </r>
  <r>
    <n v="3052"/>
    <s v="Fortress"/>
    <s v="TW"/>
    <x v="49"/>
    <n v="3"/>
    <x v="0"/>
    <x v="97"/>
    <s v="變頻二合一空氣淨化抽濕機 (28公升)"/>
    <s v="大電"/>
    <s v="RAC"/>
    <s v="dia17"/>
    <n v="1"/>
    <n v="3580"/>
    <n v="3580"/>
    <n v="1013856"/>
    <m/>
    <m/>
    <s v="RAD-DIA17HK 1013856"/>
    <n v="4980"/>
    <n v="0.71887550200803207"/>
    <s v="Toshiba SRP"/>
    <m/>
    <s v="1013856"/>
  </r>
  <r>
    <n v="3053"/>
    <s v="Fortress"/>
    <s v="TW"/>
    <x v="49"/>
    <n v="3"/>
    <x v="1"/>
    <x v="93"/>
    <s v="座檯式洗碗碟機"/>
    <s v="細電"/>
    <s v="DW"/>
    <s v="05t2"/>
    <n v="1"/>
    <n v="3780"/>
    <n v="3780"/>
    <n v="1014196"/>
    <m/>
    <m/>
    <s v="DW-05T2-HK 1014196"/>
    <n v="4580"/>
    <n v="0.8253275109170306"/>
    <s v="Toshiba SRP"/>
    <m/>
    <s v="1014196"/>
  </r>
  <r>
    <n v="3054"/>
    <s v="Fortress"/>
    <s v="TW"/>
    <x v="49"/>
    <n v="3"/>
    <x v="1"/>
    <x v="34"/>
    <s v="智能氣炸烤焗爐(24公升)"/>
    <s v="細電"/>
    <s v="MCA"/>
    <s v="sac24"/>
    <n v="1"/>
    <n v="1320"/>
    <n v="1320"/>
    <n v="1014214"/>
    <m/>
    <m/>
    <s v="MW3-SAC24SE(BK) 1014214"/>
    <n v="1680"/>
    <n v="0.7857142857142857"/>
    <s v="Toshiba SRP"/>
    <m/>
    <s v="1014214"/>
  </r>
  <r>
    <n v="3055"/>
    <s v="Fortress"/>
    <s v="TW"/>
    <x v="49"/>
    <n v="3"/>
    <x v="1"/>
    <x v="33"/>
    <s v="輕觸式燒烤微波爐"/>
    <s v="細電"/>
    <s v="MCA"/>
    <s v="eg20"/>
    <n v="1"/>
    <n v="768"/>
    <n v="768"/>
    <n v="1014282"/>
    <m/>
    <m/>
    <s v="MM2-EG20PC(WH) 1014282"/>
    <n v="918"/>
    <n v="0.83660130718954251"/>
    <s v="Shops Highest Price"/>
    <m/>
    <s v="1014282"/>
  </r>
  <r>
    <n v="3056"/>
    <s v="Fortress"/>
    <s v="TW"/>
    <x v="49"/>
    <n v="3"/>
    <x v="1"/>
    <x v="113"/>
    <s v="迷你壓力磁應電飯煲(0.63公升)"/>
    <s v="細電"/>
    <s v="SDA"/>
    <s v="6px"/>
    <n v="1"/>
    <n v="938"/>
    <n v="938"/>
    <n v="1014240"/>
    <m/>
    <m/>
    <s v="RC-6PXTHK(W) 1014240"/>
    <n v="1398"/>
    <n v="0.67095851216022895"/>
    <s v="Toshiba SRP"/>
    <m/>
    <s v="1014240"/>
  </r>
  <r>
    <n v="3057"/>
    <s v="Fortress"/>
    <s v="TW"/>
    <x v="49"/>
    <n v="3"/>
    <x v="1"/>
    <x v="45"/>
    <s v="備長炭本厚釜電飯煲0.7L"/>
    <s v="細電"/>
    <s v="SDA"/>
    <s v="7hmh"/>
    <n v="1"/>
    <n v="788"/>
    <n v="788"/>
    <n v="1014020"/>
    <m/>
    <m/>
    <s v="RC-7HMH 1014020"/>
    <n v="1288"/>
    <n v="0.61180124223602483"/>
    <s v="Toshiba SRP"/>
    <m/>
    <s v="1014020"/>
  </r>
  <r>
    <n v="3058"/>
    <s v="Fortress"/>
    <s v="TW"/>
    <x v="49"/>
    <n v="3"/>
    <x v="1"/>
    <x v="57"/>
    <s v="多功能備長炭本厚釜電飯煲1L"/>
    <s v="細電"/>
    <s v="SDA"/>
    <s v="10drnh"/>
    <n v="1"/>
    <n v="537"/>
    <n v="537"/>
    <n v="1014263"/>
    <s v="10jruh&gt;10drnh"/>
    <m/>
    <s v="RC-10DRNH 1014263"/>
    <n v="798"/>
    <n v="0.67293233082706772"/>
    <s v="Toshiba SRP"/>
    <m/>
    <s v="1014263"/>
  </r>
  <r>
    <n v="3059"/>
    <s v="Fortress"/>
    <s v="TW"/>
    <x v="49"/>
    <n v="3"/>
    <x v="1"/>
    <x v="30"/>
    <s v="旋鈕式燒烤微波爐20L"/>
    <s v="細電"/>
    <s v="SDA"/>
    <s v="mm20"/>
    <n v="1"/>
    <n v="488"/>
    <n v="488"/>
    <n v="1014193"/>
    <m/>
    <m/>
    <s v="MWP-MM20P(WH) 1014193"/>
    <n v="648"/>
    <n v="0.75308641975308643"/>
    <s v="Toshiba SRP"/>
    <m/>
    <s v="1014193"/>
  </r>
  <r>
    <n v="3060"/>
    <s v="Fortress"/>
    <s v="TW"/>
    <x v="49"/>
    <n v="3"/>
    <x v="1"/>
    <x v="36"/>
    <s v="輕觸式微波爐 (20公升)"/>
    <s v="細電"/>
    <s v="MCA"/>
    <s v="em20"/>
    <n v="1"/>
    <n v="598"/>
    <n v="598"/>
    <n v="1014019"/>
    <m/>
    <m/>
    <s v="MM2-EM20PC(WH) 1014019"/>
    <n v="788"/>
    <n v="0.75888324873096447"/>
    <s v="Toshiba SRP"/>
    <m/>
    <s v="1014019"/>
  </r>
  <r>
    <n v="3061"/>
    <s v="Fortress"/>
    <s v="TW"/>
    <x v="49"/>
    <n v="3"/>
    <x v="1"/>
    <x v="36"/>
    <s v="輕觸式微波爐 (20公升)"/>
    <s v="細電"/>
    <s v="MCA"/>
    <s v="em20"/>
    <n v="1"/>
    <n v="598"/>
    <n v="598"/>
    <n v="1014209"/>
    <m/>
    <m/>
    <s v="MM2-EM20PC(WH) 1014209"/>
    <n v="788"/>
    <n v="0.75888324873096447"/>
    <s v="Toshiba SRP"/>
    <m/>
    <s v="1014209"/>
  </r>
  <r>
    <n v="3062"/>
    <s v="Fortress"/>
    <s v="TW"/>
    <x v="49"/>
    <n v="3"/>
    <x v="1"/>
    <x v="29"/>
    <s v="酵活炊磁應電飯煲"/>
    <s v="細電"/>
    <s v="SDA"/>
    <s v="10bh"/>
    <n v="1"/>
    <n v="1888"/>
    <n v="1888"/>
    <n v="1014192"/>
    <m/>
    <m/>
    <s v="RC-10BHH(W) 1014192"/>
    <n v="2088"/>
    <n v="0.90421455938697315"/>
    <s v="Shops Highest Price"/>
    <m/>
    <s v="1014192"/>
  </r>
  <r>
    <n v="3063"/>
    <s v="Fortress"/>
    <s v="TW"/>
    <x v="49"/>
    <n v="3"/>
    <x v="1"/>
    <x v="27"/>
    <s v="4毫米厚釜電飯煲1.8L"/>
    <s v="細電"/>
    <s v="SDA"/>
    <s v="18nmf"/>
    <n v="1"/>
    <n v="799"/>
    <n v="799"/>
    <n v="1014118"/>
    <m/>
    <m/>
    <s v="RC-18NMFIH(WT) 1014118"/>
    <n v="998"/>
    <n v="0.80060120240480959"/>
    <s v="Toshiba SRP"/>
    <m/>
    <s v="1014118"/>
  </r>
  <r>
    <n v="3064"/>
    <s v="Fortress"/>
    <s v="TW"/>
    <x v="49"/>
    <n v="3"/>
    <x v="1"/>
    <x v="44"/>
    <s v="1.7L無線雙層電熱水壺"/>
    <s v="細電"/>
    <s v="SDA"/>
    <s v="17shnh"/>
    <n v="1"/>
    <n v="198"/>
    <n v="198"/>
    <n v="1014017"/>
    <m/>
    <m/>
    <s v="KT-17SHNH 1014017"/>
    <n v="299"/>
    <n v="0.66220735785953178"/>
    <s v="Shops Highest Price"/>
    <m/>
    <s v="1014017"/>
  </r>
  <r>
    <n v="3065"/>
    <s v="Fortress"/>
    <s v="TW"/>
    <x v="49"/>
    <n v="3"/>
    <x v="1"/>
    <x v="36"/>
    <s v="輕觸式微波爐 (20公升)"/>
    <s v="細電"/>
    <s v="MCA"/>
    <s v="em20"/>
    <n v="1"/>
    <n v="598"/>
    <n v="598"/>
    <n v="1014234"/>
    <m/>
    <m/>
    <s v="MM2-EM20PC(WH) 1014234"/>
    <n v="788"/>
    <n v="0.75888324873096447"/>
    <s v="Toshiba SRP"/>
    <m/>
    <s v="1014234"/>
  </r>
  <r>
    <n v="3066"/>
    <s v="Fortress"/>
    <s v="TW"/>
    <x v="49"/>
    <n v="3"/>
    <x v="1"/>
    <x v="33"/>
    <s v="輕觸式燒烤微波爐"/>
    <s v="細電"/>
    <s v="MCA"/>
    <s v="eg20"/>
    <n v="1"/>
    <n v="698"/>
    <n v="698"/>
    <n v="1014343"/>
    <m/>
    <m/>
    <s v="MM2-EG20PC(WH) 1014343"/>
    <n v="918"/>
    <n v="0.76034858387799564"/>
    <s v="Shops Highest Price"/>
    <m/>
    <s v="1014343"/>
  </r>
  <r>
    <n v="3067"/>
    <s v="Fortress"/>
    <s v="TW"/>
    <x v="49"/>
    <n v="3"/>
    <x v="1"/>
    <x v="30"/>
    <s v="旋鈕式燒烤微波爐20L"/>
    <s v="細電"/>
    <s v="SDA"/>
    <s v="mm20"/>
    <n v="1"/>
    <n v="488"/>
    <n v="488"/>
    <n v="1014378"/>
    <m/>
    <m/>
    <s v="MWP-MM20P(WH) 1014378"/>
    <n v="648"/>
    <n v="0.75308641975308643"/>
    <s v="Toshiba SRP"/>
    <m/>
    <s v="1014378"/>
  </r>
  <r>
    <n v="3068"/>
    <s v="Fortress"/>
    <s v="TW"/>
    <x v="49"/>
    <n v="3"/>
    <x v="1"/>
    <x v="38"/>
    <s v="無線雙層電熱水壺-附可鎖壺蓋"/>
    <s v="細電"/>
    <s v="SDA"/>
    <s v="15drt"/>
    <n v="1"/>
    <n v="355"/>
    <n v="355"/>
    <n v="1014390"/>
    <m/>
    <m/>
    <s v="KT-15DRTHK(W) 1014390"/>
    <n v="598"/>
    <n v="0.59364548494983282"/>
    <s v="Toshiba SRP"/>
    <m/>
    <s v="1014390"/>
  </r>
  <r>
    <n v="3069"/>
    <s v="Fortress"/>
    <s v="TW"/>
    <x v="49"/>
    <n v="3"/>
    <x v="1"/>
    <x v="57"/>
    <s v="多功能備長炭本厚釜電飯煲1L"/>
    <s v="細電"/>
    <s v="SDA"/>
    <s v="10drnh"/>
    <n v="1"/>
    <n v="537"/>
    <n v="537"/>
    <n v="1014325"/>
    <s v="10j&gt;10drnh"/>
    <m/>
    <s v="RC-10DRNH 1014325"/>
    <n v="798"/>
    <n v="0.67293233082706772"/>
    <s v="Toshiba SRP"/>
    <m/>
    <s v="1014325"/>
  </r>
  <r>
    <n v="3070"/>
    <s v="Fortress"/>
    <s v="TW"/>
    <x v="49"/>
    <n v="3"/>
    <x v="2"/>
    <x v="93"/>
    <s v="座檯式洗碗碟機"/>
    <s v="細電"/>
    <s v="DW"/>
    <s v="05t2"/>
    <n v="1"/>
    <n v="3780"/>
    <n v="3780"/>
    <n v="1014402"/>
    <m/>
    <m/>
    <s v="DW-05T2-HK 1014402"/>
    <n v="4580"/>
    <n v="0.8253275109170306"/>
    <s v="Toshiba SRP"/>
    <m/>
    <s v="1014402"/>
  </r>
  <r>
    <n v="3071"/>
    <s v="Fortress"/>
    <s v="TW"/>
    <x v="49"/>
    <n v="3"/>
    <x v="2"/>
    <x v="33"/>
    <s v="輕觸式燒烤微波爐"/>
    <s v="細電"/>
    <s v="MCA"/>
    <s v="eg20"/>
    <n v="1"/>
    <n v="698"/>
    <n v="698"/>
    <n v="1014476"/>
    <m/>
    <m/>
    <s v="MM2-EG20PC(WH) 1014476"/>
    <n v="918"/>
    <n v="0.76034858387799564"/>
    <s v="Shops Highest Price"/>
    <m/>
    <s v="1014476"/>
  </r>
  <r>
    <n v="3072"/>
    <s v="Fortress"/>
    <s v="TW"/>
    <x v="49"/>
    <n v="3"/>
    <x v="2"/>
    <x v="27"/>
    <s v="4毫米厚釜電飯煲1.8L"/>
    <s v="細電"/>
    <s v="SDA"/>
    <s v="18nmf"/>
    <n v="1"/>
    <n v="799"/>
    <n v="799"/>
    <n v="1014435"/>
    <m/>
    <m/>
    <s v="RC-18NMFIH(WT) 1014435"/>
    <n v="998"/>
    <n v="0.80060120240480959"/>
    <s v="Toshiba SRP"/>
    <m/>
    <s v="1014435"/>
  </r>
  <r>
    <n v="3073"/>
    <s v="Fortress"/>
    <s v="TW"/>
    <x v="49"/>
    <n v="3"/>
    <x v="2"/>
    <x v="27"/>
    <s v="4毫米厚釜電飯煲1.8L"/>
    <s v="細電"/>
    <s v="SDA"/>
    <s v="18nmf"/>
    <n v="1"/>
    <n v="799"/>
    <n v="799"/>
    <n v="1014651"/>
    <m/>
    <m/>
    <s v="RC-18NMFIH(WT) 1014651"/>
    <n v="998"/>
    <n v="0.80060120240480959"/>
    <s v="Toshiba SRP"/>
    <m/>
    <s v="1014651"/>
  </r>
  <r>
    <n v="3074"/>
    <s v="Fortress"/>
    <s v="TW"/>
    <x v="49"/>
    <n v="3"/>
    <x v="2"/>
    <x v="44"/>
    <s v="1.7L無線雙層電熱水壺"/>
    <s v="細電"/>
    <s v="SDA"/>
    <s v="17shnh"/>
    <n v="1"/>
    <n v="198"/>
    <n v="198"/>
    <n v="1014665"/>
    <m/>
    <m/>
    <s v="KT-17SHNH 1014665"/>
    <n v="299"/>
    <n v="0.66220735785953178"/>
    <s v="Shops Highest Price"/>
    <m/>
    <s v="1014665"/>
  </r>
  <r>
    <n v="3075"/>
    <s v="Fortress"/>
    <s v="TW"/>
    <x v="49"/>
    <n v="3"/>
    <x v="2"/>
    <x v="44"/>
    <s v="1.7L無線雙層電熱水壺"/>
    <s v="細電"/>
    <s v="SDA"/>
    <s v="17shnh"/>
    <n v="1"/>
    <n v="198"/>
    <n v="198"/>
    <n v="1014680"/>
    <m/>
    <m/>
    <s v="KT-17SHNH 1014680"/>
    <n v="299"/>
    <n v="0.66220735785953178"/>
    <s v="Shops Highest Price"/>
    <m/>
    <s v="1014680"/>
  </r>
  <r>
    <n v="3076"/>
    <s v="Fortress"/>
    <s v="TW"/>
    <x v="49"/>
    <n v="3"/>
    <x v="2"/>
    <x v="77"/>
    <s v="470MM超薄身前置式變頻洗衣乾衣機 (洗8.5公斤/乾6公斤, 可飛頂)"/>
    <s v="大電"/>
    <s v="LAD"/>
    <s v="twdt22"/>
    <n v="1"/>
    <n v="4780"/>
    <n v="4780"/>
    <n v="1014532"/>
    <m/>
    <m/>
    <s v="TWD-T22BU95UWH(WK)-B 1014532"/>
    <n v="7480"/>
    <n v="0.63903743315508021"/>
    <s v="Toshiba SRP"/>
    <m/>
    <s v="1014532"/>
  </r>
  <r>
    <n v="3077"/>
    <s v="Fortress"/>
    <s v="TW"/>
    <x v="49"/>
    <n v="3"/>
    <x v="2"/>
    <x v="77"/>
    <s v="470MM超薄身前置式變頻洗衣乾衣機 (洗8.5公斤/乾6公斤, 可飛頂)"/>
    <s v="大電"/>
    <s v="LAD"/>
    <s v="twdt22"/>
    <n v="1"/>
    <n v="4780"/>
    <n v="4780"/>
    <n v="1014534"/>
    <m/>
    <m/>
    <s v="TWD-T22BU95UWH(WK)-B 1014534"/>
    <n v="7480"/>
    <n v="0.63903743315508021"/>
    <s v="Toshiba SRP"/>
    <m/>
    <s v="1014534"/>
  </r>
  <r>
    <n v="3078"/>
    <s v="Fortress"/>
    <s v="TW"/>
    <x v="49"/>
    <n v="3"/>
    <x v="2"/>
    <x v="88"/>
    <s v="水波爐"/>
    <s v="細電"/>
    <s v="MCA"/>
    <s v="vd7000"/>
    <n v="1"/>
    <n v="6798"/>
    <n v="6798"/>
    <n v="1014658"/>
    <m/>
    <m/>
    <s v="ER-VD7000HK(XK) 1014658"/>
    <n v="8998"/>
    <n v="0.75550122249388751"/>
    <s v="Toshiba SRP"/>
    <m/>
    <s v="1014658"/>
  </r>
  <r>
    <n v="3079"/>
    <s v="Fortress"/>
    <s v="TW"/>
    <x v="49"/>
    <n v="3"/>
    <x v="2"/>
    <x v="27"/>
    <s v="4毫米厚釜電飯煲1.8L"/>
    <s v="細電"/>
    <s v="SDA"/>
    <s v="18nmf"/>
    <n v="1"/>
    <n v="799"/>
    <n v="799"/>
    <n v="1014857"/>
    <m/>
    <m/>
    <s v="RC-18NMFIH(WT) 1014857"/>
    <n v="998"/>
    <n v="0.80060120240480959"/>
    <s v="Toshiba SRP"/>
    <m/>
    <s v="1014857"/>
  </r>
  <r>
    <n v="3080"/>
    <s v="Fortress"/>
    <s v="TW"/>
    <x v="49"/>
    <n v="3"/>
    <x v="2"/>
    <x v="27"/>
    <s v="4毫米厚釜電飯煲1.8L"/>
    <s v="細電"/>
    <s v="SDA"/>
    <s v="18nmf"/>
    <n v="1"/>
    <n v="799"/>
    <n v="799"/>
    <n v="1014877"/>
    <m/>
    <m/>
    <s v="RC-18NMFIH(WT) 1014877"/>
    <n v="998"/>
    <n v="0.80060120240480959"/>
    <s v="Toshiba SRP"/>
    <m/>
    <s v="1014877"/>
  </r>
  <r>
    <n v="3081"/>
    <s v="Fortress"/>
    <s v="TW"/>
    <x v="49"/>
    <n v="3"/>
    <x v="2"/>
    <x v="36"/>
    <s v="輕觸式微波爐 (20公升)"/>
    <s v="細電"/>
    <s v="MCA"/>
    <s v="em20"/>
    <n v="1"/>
    <n v="598"/>
    <n v="598"/>
    <n v="1014768"/>
    <m/>
    <m/>
    <s v="MM2-EM20PC(WH) 1014768"/>
    <n v="788"/>
    <n v="0.75888324873096447"/>
    <s v="Toshiba SRP"/>
    <m/>
    <s v="1014768"/>
  </r>
  <r>
    <n v="3082"/>
    <s v="Fortress"/>
    <s v="TW"/>
    <x v="49"/>
    <n v="3"/>
    <x v="2"/>
    <x v="52"/>
    <s v="35L多功能電焗爐"/>
    <s v="細電"/>
    <s v="SDA"/>
    <s v="mc35"/>
    <n v="1"/>
    <n v="888"/>
    <n v="888"/>
    <n v="1014818"/>
    <m/>
    <m/>
    <s v="TL-MC35Z 1014818"/>
    <n v="1098"/>
    <n v="0.80874316939890711"/>
    <s v="Toshiba SRP"/>
    <m/>
    <s v="1014818"/>
  </r>
  <r>
    <n v="3083"/>
    <s v="Fortress"/>
    <s v="TW"/>
    <x v="49"/>
    <n v="3"/>
    <x v="2"/>
    <x v="13"/>
    <s v="獨立式免安裝洗碗碟機"/>
    <s v="細電"/>
    <s v="DM"/>
    <s v="34ahk"/>
    <n v="1"/>
    <n v="2380"/>
    <n v="2380"/>
    <n v="1014779"/>
    <m/>
    <m/>
    <s v="DWS-34AHK 1014779"/>
    <n v="3999"/>
    <n v="0.5951487871967992"/>
    <s v="Web SRP"/>
    <m/>
    <s v="1014779"/>
  </r>
  <r>
    <n v="3084"/>
    <s v="Fortress"/>
    <s v="TW"/>
    <x v="49"/>
    <n v="3"/>
    <x v="2"/>
    <x v="30"/>
    <s v="旋鈕式燒烤微波爐20L"/>
    <s v="細電"/>
    <s v="SDA"/>
    <s v="mm20"/>
    <n v="1"/>
    <n v="488"/>
    <n v="488"/>
    <n v="1014754"/>
    <m/>
    <m/>
    <s v="MWP-MM20P(WH) 1014754"/>
    <n v="648"/>
    <n v="0.75308641975308643"/>
    <s v="Toshiba SRP"/>
    <m/>
    <s v="1014754"/>
  </r>
  <r>
    <n v="3085"/>
    <s v="Fortress"/>
    <s v="TW"/>
    <x v="49"/>
    <n v="3"/>
    <x v="20"/>
    <x v="48"/>
    <s v="3合1 微波蒸焗爐 (20公升)"/>
    <s v="細電"/>
    <s v="MCA"/>
    <s v="tt20"/>
    <n v="1"/>
    <n v="2580"/>
    <n v="2580"/>
    <n v="1014907"/>
    <m/>
    <m/>
    <s v="MX2-TT20SC(WH) 1014907"/>
    <n v="3580"/>
    <n v="0.72067039106145248"/>
    <s v="Toshiba SRP"/>
    <m/>
    <s v="1014907"/>
  </r>
  <r>
    <n v="3086"/>
    <s v="Fortress"/>
    <s v="TW"/>
    <x v="49"/>
    <n v="3"/>
    <x v="20"/>
    <x v="48"/>
    <s v="3合1 微波蒸焗爐 (20公升)"/>
    <s v="細電"/>
    <s v="MCA"/>
    <s v="tt20"/>
    <n v="1"/>
    <n v="2580"/>
    <n v="2580"/>
    <n v="1015013"/>
    <m/>
    <m/>
    <s v="MX2-TT20SC(WH) 1015013"/>
    <n v="3580"/>
    <n v="0.72067039106145248"/>
    <s v="Toshiba SRP"/>
    <m/>
    <s v="1015013"/>
  </r>
  <r>
    <n v="3087"/>
    <s v="Fortress"/>
    <s v="TW"/>
    <x v="49"/>
    <n v="3"/>
    <x v="20"/>
    <x v="21"/>
    <s v="壓縮式抽濕機 (30公升)"/>
    <s v="細電"/>
    <s v="RAC"/>
    <s v="d300"/>
    <n v="1"/>
    <n v="2280"/>
    <n v="2280"/>
    <n v="1015119"/>
    <m/>
    <m/>
    <s v="RAD-D300H 1015119"/>
    <n v="3380"/>
    <n v="0.67455621301775148"/>
    <s v="Shops Highest Price"/>
    <m/>
    <s v="1015119"/>
  </r>
  <r>
    <n v="3088"/>
    <s v="Fortress"/>
    <s v="TW"/>
    <x v="49"/>
    <n v="3"/>
    <x v="20"/>
    <x v="113"/>
    <s v="迷你壓力磁應電飯煲(0.63公升)"/>
    <s v="細電"/>
    <s v="SDA"/>
    <s v="6px"/>
    <n v="1"/>
    <n v="938"/>
    <n v="938"/>
    <n v="1015376"/>
    <m/>
    <m/>
    <s v="RC-6PXTHK(W) 1015376"/>
    <n v="1398"/>
    <n v="0.67095851216022895"/>
    <s v="Toshiba SRP"/>
    <m/>
    <s v="1015376"/>
  </r>
  <r>
    <n v="3089"/>
    <s v="Fortress"/>
    <s v="TW"/>
    <x v="49"/>
    <n v="3"/>
    <x v="20"/>
    <x v="39"/>
    <s v="酵活炊電飯煲(1.0公升)"/>
    <s v="細電"/>
    <s v="SDA"/>
    <s v="10amx"/>
    <n v="1"/>
    <n v="990"/>
    <n v="990"/>
    <n v="1015077"/>
    <m/>
    <m/>
    <s v="RC-10AMXH(W) 1015077"/>
    <n v="1288"/>
    <n v="0.76863354037267084"/>
    <s v="Toshiba SRP"/>
    <m/>
    <s v="1015077"/>
  </r>
  <r>
    <n v="3090"/>
    <s v="Fortress"/>
    <s v="TW"/>
    <x v="49"/>
    <n v="3"/>
    <x v="20"/>
    <x v="57"/>
    <s v="多功能備長炭本厚釜電飯煲1L"/>
    <s v="細電"/>
    <s v="SDA"/>
    <s v="10drnh"/>
    <n v="1"/>
    <n v="537"/>
    <n v="537"/>
    <n v="1014986"/>
    <s v="10j&gt;10drnh"/>
    <m/>
    <s v="RC-10DRNH 1014986"/>
    <n v="798"/>
    <n v="0.67293233082706772"/>
    <s v="Toshiba SRP"/>
    <m/>
    <s v="1014986"/>
  </r>
  <r>
    <n v="3091"/>
    <s v="Fortress"/>
    <s v="TW"/>
    <x v="49"/>
    <n v="3"/>
    <x v="20"/>
    <x v="36"/>
    <s v="輕觸式微波爐 (20公升)"/>
    <s v="細電"/>
    <s v="MCA"/>
    <s v="em20"/>
    <n v="1"/>
    <n v="598"/>
    <n v="598"/>
    <n v="1014958"/>
    <m/>
    <m/>
    <s v="MM2-EM20PC(WH) 1014958"/>
    <n v="788"/>
    <n v="0.75888324873096447"/>
    <s v="Toshiba SRP"/>
    <m/>
    <s v="1014958"/>
  </r>
  <r>
    <n v="3092"/>
    <s v="Fortress"/>
    <s v="TW"/>
    <x v="49"/>
    <n v="3"/>
    <x v="20"/>
    <x v="36"/>
    <s v="輕觸式微波爐 (20公升)"/>
    <s v="細電"/>
    <s v="MCA"/>
    <s v="em20"/>
    <n v="1"/>
    <n v="598"/>
    <n v="598"/>
    <n v="1015347"/>
    <m/>
    <m/>
    <s v="MM2-EM20PC(WH) 1015347"/>
    <n v="788"/>
    <n v="0.75888324873096447"/>
    <s v="Toshiba SRP"/>
    <m/>
    <s v="1015347"/>
  </r>
  <r>
    <n v="3093"/>
    <s v="Fortress"/>
    <s v="TW"/>
    <x v="49"/>
    <n v="3"/>
    <x v="20"/>
    <x v="36"/>
    <s v="輕觸式微波爐 (20公升)"/>
    <s v="細電"/>
    <s v="MCA"/>
    <s v="em20"/>
    <n v="1"/>
    <n v="598"/>
    <n v="598"/>
    <n v="1015207"/>
    <m/>
    <m/>
    <s v="MM2-EM20PC(WH) 1015207"/>
    <n v="788"/>
    <n v="0.75888324873096447"/>
    <s v="Toshiba SRP"/>
    <m/>
    <s v="1015207"/>
  </r>
  <r>
    <n v="3094"/>
    <s v="Fortress"/>
    <s v="TW"/>
    <x v="49"/>
    <n v="3"/>
    <x v="20"/>
    <x v="36"/>
    <s v="輕觸式微波爐 (20公升)"/>
    <s v="細電"/>
    <s v="MCA"/>
    <s v="em20"/>
    <n v="1"/>
    <n v="598"/>
    <n v="598"/>
    <n v="1015399"/>
    <m/>
    <m/>
    <s v="MM2-EM20PC(WH) 1015399"/>
    <n v="788"/>
    <n v="0.75888324873096447"/>
    <s v="Toshiba SRP"/>
    <m/>
    <s v="1015399"/>
  </r>
  <r>
    <n v="3095"/>
    <s v="Fortress"/>
    <s v="TW"/>
    <x v="49"/>
    <n v="3"/>
    <x v="20"/>
    <x v="93"/>
    <s v="座檯式洗碗碟機"/>
    <s v="細電"/>
    <s v="DW"/>
    <s v="05t2"/>
    <n v="1"/>
    <n v="3780"/>
    <n v="3780"/>
    <n v="1015482"/>
    <m/>
    <m/>
    <s v="DW-05T2-HK 1015482"/>
    <n v="4580"/>
    <n v="0.8253275109170306"/>
    <s v="Toshiba SRP"/>
    <m/>
    <s v="1015482"/>
  </r>
  <r>
    <n v="3096"/>
    <s v="Fortress"/>
    <s v="TW"/>
    <x v="49"/>
    <n v="3"/>
    <x v="20"/>
    <x v="99"/>
    <s v="前置式變頻洗衣乾衣機 (洗10.5公斤 乾7公斤)"/>
    <s v="大電"/>
    <s v="LAD"/>
    <s v="twdt25"/>
    <n v="1"/>
    <n v="5980"/>
    <n v="5980"/>
    <n v="1015054"/>
    <m/>
    <m/>
    <s v="TWD-T25BZU115MWH(MG) 1015054"/>
    <n v="8280"/>
    <n v="0.72222222222222221"/>
    <s v="Toshiba SRP"/>
    <m/>
    <s v="1015054"/>
  </r>
  <r>
    <n v="3097"/>
    <s v="Fortress"/>
    <s v="TW"/>
    <x v="49"/>
    <n v="3"/>
    <x v="20"/>
    <x v="87"/>
    <s v="變頻式環保雙門雪櫃(233L)"/>
    <s v="大電"/>
    <s v="REF"/>
    <s v="rt300"/>
    <n v="1"/>
    <n v="2780"/>
    <n v="2780"/>
    <n v="1015341"/>
    <m/>
    <m/>
    <s v="GR-RT300WE-PMA(57) 1015341"/>
    <n v="4280"/>
    <n v="0.64953271028037385"/>
    <s v="Toshiba SRP"/>
    <m/>
    <s v="1015341"/>
  </r>
  <r>
    <n v="3098"/>
    <s v="Fortress"/>
    <s v="TW"/>
    <x v="49"/>
    <n v="3"/>
    <x v="20"/>
    <x v="115"/>
    <s v="微波蒸焗爐23L"/>
    <s v="細電"/>
    <s v="SDA"/>
    <s v="th23"/>
    <n v="1"/>
    <n v="2580"/>
    <n v="2580"/>
    <n v="1015099"/>
    <m/>
    <m/>
    <s v="MX1-TH23SC(WH) 1015099"/>
    <n v="3380"/>
    <n v="0.76331360946745563"/>
    <s v="Toshiba SRP"/>
    <m/>
    <s v="1015099"/>
  </r>
  <r>
    <n v="3099"/>
    <s v="Fortress"/>
    <s v="TW"/>
    <x v="49"/>
    <n v="3"/>
    <x v="20"/>
    <x v="52"/>
    <s v="35L多功能電焗爐"/>
    <s v="細電"/>
    <s v="SDA"/>
    <s v="mc35"/>
    <n v="1"/>
    <n v="888"/>
    <n v="888"/>
    <n v="1015169"/>
    <m/>
    <m/>
    <s v="TL-MC35Z 1015169"/>
    <n v="1098"/>
    <n v="0.80874316939890711"/>
    <s v="Toshiba SRP"/>
    <m/>
    <s v="1015169"/>
  </r>
  <r>
    <n v="3100"/>
    <s v="Fortress"/>
    <s v="TW"/>
    <x v="49"/>
    <n v="3"/>
    <x v="20"/>
    <x v="34"/>
    <s v="智能氣炸烤焗爐(24公升)"/>
    <s v="細電"/>
    <s v="MCA"/>
    <s v="sac24"/>
    <n v="1"/>
    <n v="1320"/>
    <n v="1320"/>
    <n v="1015069"/>
    <m/>
    <m/>
    <s v="MW3-SAC24SE(BK) 1015069"/>
    <n v="1680"/>
    <n v="0.7857142857142857"/>
    <s v="Toshiba SRP"/>
    <m/>
    <s v="1015069"/>
  </r>
  <r>
    <n v="3101"/>
    <s v="Fortress"/>
    <s v="TW"/>
    <x v="49"/>
    <n v="3"/>
    <x v="20"/>
    <x v="44"/>
    <s v="1.7L無線雙層電熱水壺"/>
    <s v="細電"/>
    <s v="SDA"/>
    <s v="17shnh"/>
    <n v="1"/>
    <n v="198"/>
    <n v="198"/>
    <n v="1015522"/>
    <m/>
    <m/>
    <s v="KT-17SHNH 1015522"/>
    <n v="299"/>
    <n v="0.66220735785953178"/>
    <s v="Shops Highest Price"/>
    <m/>
    <s v="1015522"/>
  </r>
  <r>
    <n v="3102"/>
    <s v="Fortress"/>
    <s v="TW"/>
    <x v="49"/>
    <n v="3"/>
    <x v="20"/>
    <x v="44"/>
    <s v="1.7L無線雙層電熱水壺"/>
    <s v="細電"/>
    <s v="SDA"/>
    <s v="17shnh"/>
    <n v="1"/>
    <n v="198"/>
    <n v="198"/>
    <n v="1015554"/>
    <m/>
    <m/>
    <s v="KT-17SHNH 1015554"/>
    <n v="299"/>
    <n v="0.66220735785953178"/>
    <s v="Shops Highest Price"/>
    <m/>
    <s v="1015554"/>
  </r>
  <r>
    <n v="3103"/>
    <s v="Fortress"/>
    <s v="TW"/>
    <x v="49"/>
    <n v="3"/>
    <x v="20"/>
    <x v="103"/>
    <s v="變頻下置式雙門雪櫃"/>
    <s v="大電"/>
    <s v="REF"/>
    <s v="rb449"/>
    <n v="1"/>
    <n v="4560"/>
    <n v="4560"/>
    <n v="1015066"/>
    <m/>
    <m/>
    <s v="GR-RB449WE-PMA(57) 1015066"/>
    <n v="6280"/>
    <n v="0.72611464968152861"/>
    <s v="Toshiba SRP"/>
    <m/>
    <s v="1015066"/>
  </r>
  <r>
    <n v="3104"/>
    <s v="Fortress"/>
    <s v="TW"/>
    <x v="49"/>
    <n v="3"/>
    <x v="20"/>
    <x v="38"/>
    <s v="無線雙層電熱水壺-附可鎖壺蓋"/>
    <s v="細電"/>
    <s v="SDA"/>
    <s v="15drt"/>
    <n v="1"/>
    <n v="355"/>
    <n v="355"/>
    <n v="1015308"/>
    <m/>
    <m/>
    <s v="KT-15DRTHK(W) 1015308"/>
    <n v="598"/>
    <n v="0.59364548494983282"/>
    <s v="Toshiba SRP"/>
    <m/>
    <s v="1015308"/>
  </r>
  <r>
    <n v="3105"/>
    <s v="Fortress"/>
    <s v="TW"/>
    <x v="49"/>
    <n v="3"/>
    <x v="20"/>
    <x v="17"/>
    <s v="4毫米厚釜電飯煲1L"/>
    <s v="細電"/>
    <s v="SDA"/>
    <s v="10nmf"/>
    <n v="1"/>
    <n v="719"/>
    <n v="719"/>
    <n v="1015519"/>
    <m/>
    <m/>
    <s v="RC-10NMFIH(WT) 1015519"/>
    <n v="898"/>
    <n v="0.80066815144766146"/>
    <s v="Toshiba SRP"/>
    <m/>
    <s v="1015519"/>
  </r>
  <r>
    <n v="3106"/>
    <s v="Fortress"/>
    <s v="TW"/>
    <x v="49"/>
    <n v="3"/>
    <x v="21"/>
    <x v="97"/>
    <s v="變頻二合一空氣淨化抽濕機 (28公升)"/>
    <s v="大電"/>
    <s v="RAC"/>
    <s v="dia17"/>
    <n v="1"/>
    <n v="3580"/>
    <n v="3580"/>
    <n v="1015866"/>
    <m/>
    <m/>
    <s v="RAD-DIA17HK 1015866"/>
    <n v="4980"/>
    <n v="0.71887550200803207"/>
    <s v="Toshiba SRP"/>
    <m/>
    <s v="1015866"/>
  </r>
  <r>
    <n v="3107"/>
    <s v="Fortress"/>
    <s v="TW"/>
    <x v="49"/>
    <n v="3"/>
    <x v="21"/>
    <x v="93"/>
    <s v="座檯式洗碗碟機"/>
    <s v="細電"/>
    <s v="DW"/>
    <s v="05t2"/>
    <n v="1"/>
    <n v="3780"/>
    <n v="3780"/>
    <n v="1015796"/>
    <m/>
    <m/>
    <s v="DW-05T2-HK 1015796"/>
    <n v="4580"/>
    <n v="0.8253275109170306"/>
    <s v="Toshiba SRP"/>
    <m/>
    <s v="1015796"/>
  </r>
  <r>
    <n v="3108"/>
    <s v="Fortress"/>
    <s v="TW"/>
    <x v="49"/>
    <n v="3"/>
    <x v="21"/>
    <x v="21"/>
    <s v="壓縮式抽濕機 (30公升)"/>
    <s v="細電"/>
    <s v="RAC"/>
    <s v="d300"/>
    <n v="1"/>
    <n v="2580"/>
    <n v="2580"/>
    <n v="1015902"/>
    <m/>
    <m/>
    <s v="RAD-D300H 1015902"/>
    <n v="3380"/>
    <n v="0.76331360946745563"/>
    <s v="Shops Highest Price"/>
    <m/>
    <s v="1015902"/>
  </r>
  <r>
    <n v="3109"/>
    <s v="Fortress"/>
    <s v="TW"/>
    <x v="49"/>
    <n v="3"/>
    <x v="21"/>
    <x v="33"/>
    <s v="輕觸式燒烤微波爐"/>
    <s v="細電"/>
    <s v="MCA"/>
    <s v="eg20"/>
    <n v="1"/>
    <n v="698"/>
    <n v="698"/>
    <n v="1015793"/>
    <m/>
    <m/>
    <s v="MM2-EG20PC(WH) 1015793"/>
    <n v="918"/>
    <n v="0.76034858387799564"/>
    <s v="Shops Highest Price"/>
    <m/>
    <s v="1015793"/>
  </r>
  <r>
    <n v="3110"/>
    <s v="Fortress"/>
    <s v="TW"/>
    <x v="49"/>
    <n v="3"/>
    <x v="21"/>
    <x v="69"/>
    <s v="多功能備長炭本厚釜電飯煲1.8L"/>
    <s v="細電"/>
    <s v="SDA"/>
    <s v="18drnh"/>
    <n v="1"/>
    <n v="619"/>
    <n v="619"/>
    <n v="1015341"/>
    <m/>
    <m/>
    <s v="RC-18DRNH 1015341"/>
    <n v="898"/>
    <n v="0.68930957683741645"/>
    <s v="Toshiba SRP"/>
    <m/>
    <s v="1015341"/>
  </r>
  <r>
    <n v="3111"/>
    <s v="Fortress"/>
    <s v="TW"/>
    <x v="49"/>
    <n v="3"/>
    <x v="21"/>
    <x v="30"/>
    <s v="旋鈕式燒烤微波爐20L"/>
    <s v="細電"/>
    <s v="SDA"/>
    <s v="mm20"/>
    <n v="1"/>
    <n v="488"/>
    <n v="488"/>
    <n v="1015463"/>
    <m/>
    <m/>
    <s v="MWP-MM20P(WH) 1015463"/>
    <n v="648"/>
    <n v="0.75308641975308643"/>
    <s v="Toshiba SRP"/>
    <m/>
    <s v="1015463"/>
  </r>
  <r>
    <n v="3112"/>
    <s v="Fortress"/>
    <s v="TW"/>
    <x v="49"/>
    <n v="3"/>
    <x v="21"/>
    <x v="30"/>
    <s v="旋鈕式燒烤微波爐20L"/>
    <s v="細電"/>
    <s v="SDA"/>
    <s v="mm20"/>
    <n v="1"/>
    <n v="488"/>
    <n v="488"/>
    <n v="1015507"/>
    <m/>
    <m/>
    <s v="MWP-MM20P(WH) 1015507"/>
    <n v="648"/>
    <n v="0.75308641975308643"/>
    <s v="Toshiba SRP"/>
    <m/>
    <s v="1015507"/>
  </r>
  <r>
    <n v="3113"/>
    <s v="Fortress"/>
    <s v="TW"/>
    <x v="49"/>
    <n v="3"/>
    <x v="21"/>
    <x v="30"/>
    <s v="旋鈕式燒烤微波爐20L"/>
    <s v="細電"/>
    <s v="SDA"/>
    <s v="mm20"/>
    <n v="1"/>
    <n v="488"/>
    <n v="488"/>
    <n v="1015508"/>
    <m/>
    <m/>
    <s v="MWP-MM20P(WH) 1015508"/>
    <n v="648"/>
    <n v="0.75308641975308643"/>
    <s v="Toshiba SRP"/>
    <m/>
    <s v="1015508"/>
  </r>
  <r>
    <n v="3114"/>
    <s v="Fortress"/>
    <s v="TW"/>
    <x v="49"/>
    <n v="3"/>
    <x v="21"/>
    <x v="30"/>
    <s v="旋鈕式燒烤微波爐20L"/>
    <s v="細電"/>
    <s v="SDA"/>
    <s v="mm20"/>
    <n v="1"/>
    <n v="488"/>
    <n v="488"/>
    <n v="1015509"/>
    <m/>
    <m/>
    <s v="MWP-MM20P(WH) 1015509"/>
    <n v="648"/>
    <n v="0.75308641975308643"/>
    <s v="Toshiba SRP"/>
    <m/>
    <s v="1015509"/>
  </r>
  <r>
    <n v="3115"/>
    <s v="Fortress"/>
    <s v="TW"/>
    <x v="49"/>
    <n v="3"/>
    <x v="21"/>
    <x v="30"/>
    <s v="旋鈕式燒烤微波爐20L"/>
    <s v="細電"/>
    <s v="SDA"/>
    <s v="mm20"/>
    <n v="1"/>
    <n v="488"/>
    <n v="488"/>
    <n v="1015510"/>
    <m/>
    <m/>
    <s v="MWP-MM20P(WH) 1015510"/>
    <n v="648"/>
    <n v="0.75308641975308643"/>
    <s v="Toshiba SRP"/>
    <m/>
    <s v="1015510"/>
  </r>
  <r>
    <n v="3116"/>
    <s v="Fortress"/>
    <s v="TW"/>
    <x v="49"/>
    <n v="3"/>
    <x v="21"/>
    <x v="30"/>
    <s v="旋鈕式燒烤微波爐20L"/>
    <s v="細電"/>
    <s v="SDA"/>
    <s v="mm20"/>
    <n v="1"/>
    <n v="488"/>
    <n v="488"/>
    <n v="1015514"/>
    <m/>
    <m/>
    <s v="MWP-MM20P(WH) 1015514"/>
    <n v="648"/>
    <n v="0.75308641975308643"/>
    <s v="Toshiba SRP"/>
    <m/>
    <s v="1015514"/>
  </r>
  <r>
    <n v="3117"/>
    <s v="Fortress"/>
    <s v="TW"/>
    <x v="49"/>
    <n v="3"/>
    <x v="21"/>
    <x v="30"/>
    <s v="旋鈕式燒烤微波爐20L"/>
    <s v="細電"/>
    <s v="SDA"/>
    <s v="mm20"/>
    <n v="1"/>
    <n v="488"/>
    <n v="488"/>
    <n v="1015623"/>
    <m/>
    <m/>
    <s v="MWP-MM20P(WH) 1015623"/>
    <n v="648"/>
    <n v="0.75308641975308643"/>
    <s v="Toshiba SRP"/>
    <m/>
    <s v="1015623"/>
  </r>
  <r>
    <n v="3118"/>
    <s v="Fortress"/>
    <s v="TW"/>
    <x v="49"/>
    <n v="3"/>
    <x v="21"/>
    <x v="96"/>
    <s v="日式洗衣機 (7公斤 結合高低水位)"/>
    <s v="大電"/>
    <s v="LAD"/>
    <s v="q800"/>
    <n v="1"/>
    <n v="1980"/>
    <n v="1980"/>
    <n v="1015846"/>
    <m/>
    <m/>
    <s v="AW-Q800APH(WW) 1015846"/>
    <n v="3580"/>
    <n v="0.55307262569832405"/>
    <s v="Toshiba SRP"/>
    <m/>
    <s v="1015846"/>
  </r>
  <r>
    <n v="3119"/>
    <s v="Fortress"/>
    <s v="Tung Chun"/>
    <x v="50"/>
    <n v="3"/>
    <x v="0"/>
    <x v="44"/>
    <s v="1.7L無線雙層電熱水壺"/>
    <s v="細電"/>
    <s v="SDA"/>
    <s v="17shnh"/>
    <n v="1"/>
    <n v="198"/>
    <n v="198"/>
    <n v="1022095"/>
    <m/>
    <m/>
    <s v="KT-17SHNH 1022095"/>
    <n v="299"/>
    <n v="0.66220735785953178"/>
    <s v="Shops Highest Price"/>
    <m/>
    <s v="1022095"/>
  </r>
  <r>
    <n v="3120"/>
    <s v="Fortress"/>
    <s v="Tung Chun"/>
    <x v="50"/>
    <n v="3"/>
    <x v="0"/>
    <x v="41"/>
    <s v="低醣磁應電飯煲1.8L"/>
    <s v="細電"/>
    <s v="SDA"/>
    <s v="18isph"/>
    <n v="1"/>
    <n v="899"/>
    <n v="899"/>
    <n v="929856"/>
    <m/>
    <m/>
    <s v="RC-18ISPH 929856"/>
    <n v="1436"/>
    <n v="0.62604456824512533"/>
    <s v="Shops Highest Price"/>
    <m/>
    <s v="929856"/>
  </r>
  <r>
    <n v="3121"/>
    <s v="Fortress"/>
    <s v="Tung Chun"/>
    <x v="50"/>
    <n v="3"/>
    <x v="0"/>
    <x v="87"/>
    <s v="變頻式環保雙門雪櫃(233L)"/>
    <s v="大電"/>
    <s v="REF"/>
    <s v="rt300"/>
    <n v="1"/>
    <n v="2490"/>
    <n v="2490"/>
    <n v="929852"/>
    <m/>
    <m/>
    <s v="GR-RT300WE-PMA(57) 929852"/>
    <n v="4280"/>
    <n v="0.58177570093457942"/>
    <s v="Toshiba SRP"/>
    <m/>
    <s v="929852"/>
  </r>
  <r>
    <n v="3122"/>
    <s v="Fortress"/>
    <s v="Tung Chun"/>
    <x v="50"/>
    <n v="3"/>
    <x v="0"/>
    <x v="105"/>
    <s v="旋鈕式燒烤微波爐20L黑色"/>
    <s v="細電"/>
    <s v="SDA"/>
    <s v="mg20"/>
    <n v="1"/>
    <n v="579"/>
    <n v="579"/>
    <n v="929793"/>
    <m/>
    <m/>
    <s v="MWP-MG20P(BK) 929793"/>
    <n v="918"/>
    <n v="0.63071895424836599"/>
    <s v="Toshiba SRP"/>
    <m/>
    <s v="929793"/>
  </r>
  <r>
    <n v="3123"/>
    <s v="Fortress"/>
    <s v="Tung Chun"/>
    <x v="50"/>
    <n v="3"/>
    <x v="0"/>
    <x v="95"/>
    <s v="抗菌除臭空氣清淨機"/>
    <s v="細電"/>
    <s v="AP"/>
    <s v="a400"/>
    <n v="1"/>
    <n v="888"/>
    <n v="888"/>
    <n v="929849"/>
    <m/>
    <m/>
    <s v="CAF-A400HK(H) 929849"/>
    <n v="1500"/>
    <n v="0.59199999999999997"/>
    <s v="Shops Highest Price"/>
    <m/>
    <s v="929849"/>
  </r>
  <r>
    <n v="3124"/>
    <s v="Fortress"/>
    <s v="Tung Chun"/>
    <x v="51"/>
    <n v="3"/>
    <x v="5"/>
    <x v="29"/>
    <s v="酵活炊磁應電飯煲"/>
    <s v="細電"/>
    <s v="SDA"/>
    <s v="10bh"/>
    <n v="1"/>
    <n v="1888"/>
    <n v="1888"/>
    <n v="1022339"/>
    <m/>
    <m/>
    <s v="RC-10BHH(W) 1022339"/>
    <n v="2088"/>
    <n v="0.90421455938697315"/>
    <s v="Shops Highest Price"/>
    <m/>
    <s v="1022339"/>
  </r>
  <r>
    <n v="3125"/>
    <s v="Fortress"/>
    <s v="Tung Chun"/>
    <x v="51"/>
    <n v="3"/>
    <x v="5"/>
    <x v="74"/>
    <s v="4合1氣炸微波蒸焗爐(25公升)"/>
    <s v="細電"/>
    <s v="MCA"/>
    <s v="str25"/>
    <n v="1"/>
    <n v="3580"/>
    <n v="3580"/>
    <n v="1022271"/>
    <m/>
    <m/>
    <s v="MX2-STR25SC(WH) 1022271"/>
    <n v="4998"/>
    <n v="0.71628651460584236"/>
    <s v="Toshiba SRP"/>
    <m/>
    <s v="1022271"/>
  </r>
  <r>
    <n v="3126"/>
    <s v="Fortress"/>
    <s v="Tung Chun"/>
    <x v="51"/>
    <n v="3"/>
    <x v="5"/>
    <x v="74"/>
    <s v="4合1氣炸微波蒸焗爐(25公升)"/>
    <s v="細電"/>
    <s v="MCA"/>
    <s v="str25"/>
    <n v="1"/>
    <n v="3580"/>
    <n v="3580"/>
    <n v="929910"/>
    <m/>
    <m/>
    <s v="MX2-STR25SC(WH) 929910"/>
    <n v="4998"/>
    <n v="0.71628651460584236"/>
    <s v="Toshiba SRP"/>
    <m/>
    <s v="929910"/>
  </r>
  <r>
    <n v="3127"/>
    <s v="Fortress"/>
    <s v="Tung Chun"/>
    <x v="51"/>
    <n v="3"/>
    <x v="5"/>
    <x v="48"/>
    <s v="3合1 微波蒸焗爐 (20公升)"/>
    <s v="細電"/>
    <s v="MCA"/>
    <s v="tt20"/>
    <n v="1"/>
    <n v="2580"/>
    <n v="2580"/>
    <n v="929869"/>
    <m/>
    <m/>
    <s v="MX2-TT20SC(WH) 929869"/>
    <n v="3580"/>
    <n v="0.72067039106145248"/>
    <s v="Toshiba SRP"/>
    <m/>
    <s v="929869"/>
  </r>
  <r>
    <n v="3128"/>
    <s v="Fortress"/>
    <s v="Tung Chun"/>
    <x v="51"/>
    <n v="3"/>
    <x v="5"/>
    <x v="38"/>
    <s v="無線雙層電熱水壺-附可鎖壺蓋"/>
    <s v="細電"/>
    <s v="SDA"/>
    <s v="15drt"/>
    <n v="1"/>
    <n v="338"/>
    <n v="338"/>
    <n v="929863"/>
    <m/>
    <m/>
    <s v="KT-15DRTHK(W) 929863"/>
    <n v="598"/>
    <n v="0.56521739130434778"/>
    <s v="Toshiba SRP"/>
    <m/>
    <s v="929863"/>
  </r>
  <r>
    <n v="3129"/>
    <s v="Fortress"/>
    <s v="Tung Chun"/>
    <x v="51"/>
    <n v="3"/>
    <x v="5"/>
    <x v="52"/>
    <s v="35L多功能電焗爐"/>
    <s v="細電"/>
    <s v="SDA"/>
    <s v="mc35"/>
    <n v="1"/>
    <n v="888"/>
    <n v="888"/>
    <n v="1022152"/>
    <m/>
    <m/>
    <s v="TL-MC35Z 1022152"/>
    <n v="1098"/>
    <n v="0.80874316939890711"/>
    <s v="Toshiba SRP"/>
    <m/>
    <s v="1022152"/>
  </r>
  <r>
    <n v="3130"/>
    <s v="Fortress"/>
    <s v="Tung Chun"/>
    <x v="51"/>
    <n v="3"/>
    <x v="5"/>
    <x v="52"/>
    <s v="35L多功能電焗爐"/>
    <s v="細電"/>
    <s v="SDA"/>
    <s v="mc35"/>
    <n v="1"/>
    <n v="888"/>
    <n v="888"/>
    <n v="929813"/>
    <m/>
    <m/>
    <s v="TL-MC35Z 929813"/>
    <n v="1098"/>
    <n v="0.80874316939890711"/>
    <s v="Toshiba SRP"/>
    <m/>
    <s v="929813"/>
  </r>
  <r>
    <n v="3131"/>
    <s v="Fortress"/>
    <s v="Tung Chun"/>
    <x v="51"/>
    <n v="3"/>
    <x v="6"/>
    <x v="86"/>
    <s v="470MM超薄身前置式變頻洗衣乾衣機 (洗8.5公斤 乾6公斤)"/>
    <s v="大電"/>
    <s v="LAD"/>
    <s v="twdt21"/>
    <n v="1"/>
    <n v="4380"/>
    <n v="4380"/>
    <n v="1022437"/>
    <m/>
    <m/>
    <s v="TWD-T21BU95UWH(WW) 1022437"/>
    <n v="7280"/>
    <n v="0.60164835164835162"/>
    <s v="Toshiba SRP"/>
    <m/>
    <s v="1022437"/>
  </r>
  <r>
    <n v="3132"/>
    <s v="Fortress"/>
    <s v="Tung Chun"/>
    <x v="51"/>
    <n v="3"/>
    <x v="6"/>
    <x v="115"/>
    <s v="微波蒸焗爐23L"/>
    <s v="細電"/>
    <s v="SDA"/>
    <s v="th23"/>
    <n v="1"/>
    <n v="2580"/>
    <n v="2580"/>
    <n v="929953"/>
    <m/>
    <m/>
    <s v="MX1-TH23SC(WH) 929953"/>
    <n v="3380"/>
    <n v="0.76331360946745563"/>
    <s v="Toshiba SRP"/>
    <m/>
    <s v="929953"/>
  </r>
  <r>
    <n v="3133"/>
    <s v="Fortress"/>
    <s v="Tung Chun"/>
    <x v="51"/>
    <n v="3"/>
    <x v="6"/>
    <x v="21"/>
    <s v="壓縮式抽濕機 (30公升)"/>
    <s v="細電"/>
    <s v="RAC"/>
    <s v="d300"/>
    <n v="1"/>
    <n v="2280"/>
    <n v="2280"/>
    <n v="1022432"/>
    <m/>
    <m/>
    <s v="RAD-D300H 1022432"/>
    <n v="3380"/>
    <n v="0.67455621301775148"/>
    <s v="Shops Highest Price"/>
    <m/>
    <s v="1022432"/>
  </r>
  <r>
    <n v="3134"/>
    <s v="Fortress"/>
    <s v="Tung Chun"/>
    <x v="51"/>
    <n v="3"/>
    <x v="6"/>
    <x v="21"/>
    <s v="壓縮式抽濕機 (30公升)"/>
    <s v="細電"/>
    <s v="RAC"/>
    <s v="d300"/>
    <n v="1"/>
    <n v="2280"/>
    <n v="2280"/>
    <n v="929965"/>
    <m/>
    <m/>
    <s v="RAD-D300H 929965"/>
    <n v="3380"/>
    <n v="0.67455621301775148"/>
    <s v="Shops Highest Price"/>
    <m/>
    <s v="929965"/>
  </r>
  <r>
    <n v="3135"/>
    <s v="Fortress"/>
    <s v="Tung Chun"/>
    <x v="51"/>
    <n v="3"/>
    <x v="6"/>
    <x v="17"/>
    <s v="4毫米厚釜電飯煲1L"/>
    <s v="細電"/>
    <s v="SDA"/>
    <s v="10nmf"/>
    <n v="1"/>
    <n v="719"/>
    <n v="719"/>
    <n v="1022488"/>
    <m/>
    <m/>
    <s v="RC-10NMFIH(WT) 1022488"/>
    <n v="898"/>
    <n v="0.80066815144766146"/>
    <s v="Toshiba SRP"/>
    <m/>
    <s v="1022488"/>
  </r>
  <r>
    <n v="3136"/>
    <s v="Fortress"/>
    <s v="Tung Chun"/>
    <x v="51"/>
    <n v="3"/>
    <x v="6"/>
    <x v="42"/>
    <s v="變頻下置式雙門雪櫃系列270L"/>
    <s v="大電"/>
    <s v="REF"/>
    <s v="rb360"/>
    <n v="1"/>
    <n v="3680"/>
    <n v="3680"/>
    <n v="929957"/>
    <m/>
    <m/>
    <s v="GR-RB360WE-PMA(06) 929957"/>
    <n v="5080"/>
    <n v="0.72440944881889768"/>
    <s v="Toshiba SRP"/>
    <m/>
    <s v="929957"/>
  </r>
  <r>
    <n v="3137"/>
    <s v="Fortress"/>
    <s v="Tung Chun"/>
    <x v="51"/>
    <n v="3"/>
    <x v="7"/>
    <x v="9"/>
    <s v="電熱水瓶4.5L"/>
    <s v="細電"/>
    <s v="SDA"/>
    <s v="45sf"/>
    <n v="1"/>
    <n v="589"/>
    <n v="589"/>
    <n v="1022561"/>
    <m/>
    <m/>
    <s v="PLK-45SFIH(WT) 1022561"/>
    <n v="788"/>
    <n v="0.7474619289340102"/>
    <s v="Toshiba SRP"/>
    <m/>
    <s v="1022561"/>
  </r>
  <r>
    <n v="3138"/>
    <s v="Fortress"/>
    <s v="Tung Chun"/>
    <x v="51"/>
    <n v="3"/>
    <x v="7"/>
    <x v="69"/>
    <s v="多功能備長炭本厚釜電飯煲1.8L"/>
    <s v="細電"/>
    <s v="SDA"/>
    <s v="18drnh"/>
    <n v="1"/>
    <n v="619"/>
    <n v="619"/>
    <n v="929945"/>
    <m/>
    <m/>
    <s v="RC-18DRNH 929945"/>
    <n v="898"/>
    <n v="0.68930957683741645"/>
    <s v="Toshiba SRP"/>
    <m/>
    <s v="929945"/>
  </r>
  <r>
    <n v="3139"/>
    <s v="Fortress"/>
    <s v="Tung Chun"/>
    <x v="51"/>
    <n v="3"/>
    <x v="7"/>
    <x v="44"/>
    <s v="1.7L無線雙層電熱水壺"/>
    <s v="細電"/>
    <s v="SDA"/>
    <s v="17shnh"/>
    <n v="1"/>
    <n v="198"/>
    <n v="198"/>
    <n v="1022424"/>
    <m/>
    <m/>
    <s v="KT-17SHNH 1022424"/>
    <n v="299"/>
    <n v="0.66220735785953178"/>
    <s v="Shops Highest Price"/>
    <m/>
    <s v="1022424"/>
  </r>
  <r>
    <n v="3140"/>
    <s v="Fortress"/>
    <s v="Tung Chun"/>
    <x v="51"/>
    <n v="3"/>
    <x v="7"/>
    <x v="21"/>
    <s v="壓縮式抽濕機 (30公升)"/>
    <s v="細電"/>
    <s v="RAC"/>
    <s v="d300"/>
    <n v="1"/>
    <n v="2280"/>
    <n v="2280"/>
    <n v="1022545"/>
    <m/>
    <m/>
    <s v="RAD-D300H 1022545"/>
    <n v="3380"/>
    <n v="0.67455621301775148"/>
    <s v="Shops Highest Price"/>
    <m/>
    <s v="1022545"/>
  </r>
  <r>
    <n v="3141"/>
    <s v="Fortress"/>
    <s v="Tung Chun"/>
    <x v="51"/>
    <n v="3"/>
    <x v="7"/>
    <x v="21"/>
    <s v="壓縮式抽濕機 (30公升)"/>
    <s v="細電"/>
    <s v="RAC"/>
    <s v="d300"/>
    <n v="1"/>
    <n v="2280"/>
    <n v="2280"/>
    <n v="930013"/>
    <m/>
    <m/>
    <s v="RAD-D300H 930013"/>
    <n v="3380"/>
    <n v="0.67455621301775148"/>
    <s v="Shops Highest Price"/>
    <m/>
    <s v="930013"/>
  </r>
  <r>
    <n v="3142"/>
    <s v="Fortress"/>
    <s v="Tung Chun"/>
    <x v="51"/>
    <n v="3"/>
    <x v="7"/>
    <x v="48"/>
    <s v="3合1 微波蒸焗爐 (20公升)"/>
    <s v="細電"/>
    <s v="MCA"/>
    <s v="tt20"/>
    <n v="1"/>
    <n v="2580"/>
    <n v="2580"/>
    <n v="1022531"/>
    <m/>
    <m/>
    <s v="MX2-TT20SC(WH) 1022531"/>
    <n v="3580"/>
    <n v="0.72067039106145248"/>
    <s v="Toshiba SRP"/>
    <m/>
    <s v="1022531"/>
  </r>
  <r>
    <n v="3143"/>
    <s v="Fortress"/>
    <s v="Tung Chun"/>
    <x v="51"/>
    <n v="3"/>
    <x v="7"/>
    <x v="48"/>
    <s v="3合1 微波蒸焗爐 (20公升)"/>
    <s v="細電"/>
    <s v="MCA"/>
    <s v="tt20"/>
    <n v="1"/>
    <n v="2580"/>
    <n v="2580"/>
    <n v="930022"/>
    <m/>
    <m/>
    <s v="MX2-TT20SC(WH) 930022"/>
    <n v="3580"/>
    <n v="0.72067039106145248"/>
    <s v="Toshiba SRP"/>
    <m/>
    <s v="930022"/>
  </r>
  <r>
    <n v="3144"/>
    <s v="Fortress"/>
    <s v="Tung Chun"/>
    <x v="51"/>
    <n v="3"/>
    <x v="7"/>
    <x v="52"/>
    <s v="35L多功能電焗爐"/>
    <s v="細電"/>
    <s v="SDA"/>
    <s v="mc35"/>
    <n v="1"/>
    <n v="888"/>
    <n v="888"/>
    <n v="929991"/>
    <m/>
    <m/>
    <s v="TL-MC35Z 929991"/>
    <n v="1098"/>
    <n v="0.80874316939890711"/>
    <s v="Toshiba SRP"/>
    <m/>
    <s v="929991"/>
  </r>
  <r>
    <n v="3145"/>
    <s v="Fortress"/>
    <s v="Tung Chun"/>
    <x v="51"/>
    <n v="3"/>
    <x v="13"/>
    <x v="36"/>
    <s v="輕觸式微波爐 (20公升)"/>
    <s v="細電"/>
    <s v="MCA"/>
    <s v="em20"/>
    <n v="1"/>
    <n v="598"/>
    <n v="598"/>
    <n v="930036"/>
    <m/>
    <m/>
    <s v="MM2-EM20PC(WH) 930036"/>
    <n v="788"/>
    <n v="0.75888324873096447"/>
    <s v="Toshiba SRP"/>
    <m/>
    <s v="930036"/>
  </r>
  <r>
    <n v="3146"/>
    <s v="Fortress"/>
    <s v="Tung Chun"/>
    <x v="51"/>
    <n v="3"/>
    <x v="13"/>
    <x v="30"/>
    <s v="旋鈕式燒烤微波爐20L"/>
    <s v="細電"/>
    <s v="SDA"/>
    <s v="mm20"/>
    <n v="1"/>
    <n v="488"/>
    <n v="488"/>
    <n v="1022624"/>
    <m/>
    <m/>
    <s v="MWP-MM20P(WH) 1022624"/>
    <n v="648"/>
    <n v="0.75308641975308643"/>
    <s v="Toshiba SRP"/>
    <m/>
    <s v="1022624"/>
  </r>
  <r>
    <n v="3147"/>
    <s v="Fortress"/>
    <s v="Tung Chun"/>
    <x v="51"/>
    <n v="3"/>
    <x v="13"/>
    <x v="30"/>
    <s v="旋鈕式燒烤微波爐20L"/>
    <s v="細電"/>
    <s v="SDA"/>
    <s v="mm20"/>
    <n v="1"/>
    <n v="488"/>
    <n v="488"/>
    <n v="1022627"/>
    <m/>
    <m/>
    <s v="MWP-MM20P(WH) 1022627"/>
    <n v="648"/>
    <n v="0.75308641975308643"/>
    <s v="Toshiba SRP"/>
    <m/>
    <s v="1022627"/>
  </r>
  <r>
    <n v="3148"/>
    <s v="Fortress"/>
    <s v="Tung Chun"/>
    <x v="51"/>
    <n v="3"/>
    <x v="13"/>
    <x v="34"/>
    <s v="智能氣炸烤焗爐(24公升)"/>
    <s v="細電"/>
    <s v="MCA"/>
    <s v="sac24"/>
    <n v="1"/>
    <n v="1320"/>
    <n v="1320"/>
    <n v="1022673"/>
    <m/>
    <m/>
    <s v="MW3-SAC24SE(BK) 1022673"/>
    <n v="1680"/>
    <n v="0.7857142857142857"/>
    <s v="Toshiba SRP"/>
    <m/>
    <s v="1022673"/>
  </r>
  <r>
    <n v="3149"/>
    <s v="Fortress"/>
    <s v="Tung Chun"/>
    <x v="51"/>
    <n v="3"/>
    <x v="7"/>
    <x v="89"/>
    <s v="2 匹 R32變頻窗口式冷氣機 (remote)"/>
    <s v="大電"/>
    <s v="AC"/>
    <s v="18g3cvr"/>
    <n v="1"/>
    <n v="6980"/>
    <n v="6980"/>
    <n v="1022546"/>
    <m/>
    <m/>
    <s v="RAC-18G3CVRGR-HK 1022546"/>
    <n v="10380"/>
    <n v="0.67244701348747593"/>
    <s v="Toshiba SRP"/>
    <m/>
    <s v="1022546"/>
  </r>
  <r>
    <n v="3150"/>
    <s v="Fortress"/>
    <s v="Tung Chun"/>
    <x v="51"/>
    <n v="3"/>
    <x v="7"/>
    <x v="92"/>
    <s v="1 匹 R32變頻窗口式冷氣機 (獨立抽濕遙控"/>
    <s v="大電"/>
    <s v="AC"/>
    <s v="09g3cvr"/>
    <n v="1"/>
    <n v="4980"/>
    <n v="4980"/>
    <n v="1022542"/>
    <m/>
    <m/>
    <s v="RAC-09G3CVRGR-HK 1022542"/>
    <n v="6980"/>
    <n v="0.71346704871060174"/>
    <s v="Toshiba SRP"/>
    <m/>
    <s v="1022542"/>
  </r>
  <r>
    <n v="3151"/>
    <s v="Fortress"/>
    <s v="Tung Chun"/>
    <x v="51"/>
    <n v="3"/>
    <x v="13"/>
    <x v="113"/>
    <s v="迷你壓力磁應電飯煲(0.63公升)"/>
    <s v="細電"/>
    <s v="SDA"/>
    <s v="6px"/>
    <n v="1"/>
    <n v="938"/>
    <n v="938"/>
    <n v="930022"/>
    <m/>
    <m/>
    <s v="RC-6PXTHK(W) 930022"/>
    <n v="1398"/>
    <n v="0.67095851216022895"/>
    <s v="Toshiba SRP"/>
    <m/>
    <s v="930022"/>
  </r>
  <r>
    <n v="3152"/>
    <s v="Fortress"/>
    <s v="Tung Chun"/>
    <x v="51"/>
    <n v="3"/>
    <x v="13"/>
    <x v="31"/>
    <s v="無線雙層電熱水壺(1.7公升)"/>
    <s v="細電"/>
    <s v="SDA"/>
    <s v="17drt"/>
    <n v="1"/>
    <n v="388"/>
    <n v="388"/>
    <n v="1022673"/>
    <m/>
    <m/>
    <s v="KT-17DRTHK(H) 1022673"/>
    <n v="498"/>
    <n v="0.77911646586345384"/>
    <s v="Toshiba SRP"/>
    <m/>
    <s v="1022673"/>
  </r>
  <r>
    <n v="3153"/>
    <s v="Fortress"/>
    <s v="Tung Chun"/>
    <x v="51"/>
    <n v="3"/>
    <x v="13"/>
    <x v="69"/>
    <s v="多功能備長炭本厚釜電飯煲1.8L"/>
    <s v="細電"/>
    <s v="SDA"/>
    <s v="18drnh"/>
    <n v="1"/>
    <n v="619"/>
    <n v="619"/>
    <n v="930073"/>
    <m/>
    <m/>
    <s v="RC-18DRNH 930073"/>
    <n v="898"/>
    <n v="0.68930957683741645"/>
    <s v="Toshiba SRP"/>
    <m/>
    <s v="930073"/>
  </r>
  <r>
    <n v="3154"/>
    <s v="Fortress"/>
    <s v="Tung Chun"/>
    <x v="51"/>
    <n v="3"/>
    <x v="13"/>
    <x v="38"/>
    <s v="無線雙層電熱水壺-附可鎖壺蓋"/>
    <s v="細電"/>
    <s v="SDA"/>
    <s v="15drt"/>
    <n v="1"/>
    <n v="338"/>
    <n v="338"/>
    <n v="1022710"/>
    <m/>
    <m/>
    <s v="KT-15DRTHK(W) 1022710"/>
    <n v="598"/>
    <n v="0.56521739130434778"/>
    <s v="Toshiba SRP"/>
    <m/>
    <s v="1022710"/>
  </r>
  <r>
    <n v="3155"/>
    <s v="Fortress"/>
    <s v="Tung Chun"/>
    <x v="51"/>
    <n v="3"/>
    <x v="13"/>
    <x v="69"/>
    <s v="多功能備長炭本厚釜電飯煲1.8L"/>
    <s v="細電"/>
    <s v="SDA"/>
    <s v="18drnh"/>
    <n v="1"/>
    <n v="619"/>
    <n v="619"/>
    <n v="1022735"/>
    <m/>
    <m/>
    <s v="RC-18DRNH 1022735"/>
    <n v="898"/>
    <n v="0.68930957683741645"/>
    <s v="Toshiba SRP"/>
    <m/>
    <s v="1022735"/>
  </r>
  <r>
    <n v="3156"/>
    <s v="Fortress"/>
    <s v="Tung Chun"/>
    <x v="51"/>
    <n v="3"/>
    <x v="13"/>
    <x v="54"/>
    <s v="低醣磁應電飯煲1L"/>
    <s v="細電"/>
    <s v="SDA"/>
    <s v="10irph"/>
    <n v="1"/>
    <n v="798"/>
    <n v="798"/>
    <n v="930127"/>
    <m/>
    <m/>
    <s v="RC-10IRPH 930127"/>
    <n v="1388"/>
    <n v="0.5749279538904899"/>
    <s v="Toshiba SRP"/>
    <m/>
    <s v="930127"/>
  </r>
  <r>
    <n v="3157"/>
    <s v="Fortress"/>
    <s v="Tung Chun"/>
    <x v="51"/>
    <n v="3"/>
    <x v="13"/>
    <x v="44"/>
    <s v="1.7L無線雙層電熱水壺"/>
    <s v="細電"/>
    <s v="SDA"/>
    <s v="17shnh"/>
    <n v="1"/>
    <n v="198"/>
    <n v="198"/>
    <n v="1022796"/>
    <m/>
    <m/>
    <s v="KT-17SHNH 1022796"/>
    <n v="299"/>
    <n v="0.66220735785953178"/>
    <s v="Shops Highest Price"/>
    <m/>
    <s v="1022796"/>
  </r>
  <r>
    <n v="3158"/>
    <s v="Fortress"/>
    <s v="Tung Chun"/>
    <x v="51"/>
    <n v="3"/>
    <x v="13"/>
    <x v="113"/>
    <s v="迷你壓力磁應電飯煲(0.63公升)"/>
    <s v="細電"/>
    <s v="SDA"/>
    <s v="6px"/>
    <n v="1"/>
    <n v="938"/>
    <n v="938"/>
    <n v="930068"/>
    <m/>
    <m/>
    <s v="RC-6PXTHK(W) 930068"/>
    <n v="1398"/>
    <n v="0.67095851216022895"/>
    <s v="Toshiba SRP"/>
    <m/>
    <s v="930068"/>
  </r>
  <r>
    <n v="3159"/>
    <s v="Fortress"/>
    <s v="Tung Chun"/>
    <x v="51"/>
    <n v="3"/>
    <x v="13"/>
    <x v="120"/>
    <s v="真空壓力磁應電飯煲(1.0公升)"/>
    <s v="細電"/>
    <s v="SDA"/>
    <s v="dx10t"/>
    <n v="1"/>
    <n v="4888"/>
    <n v="4888"/>
    <n v="930134"/>
    <m/>
    <m/>
    <s v="RC-DX10T(W) 930134"/>
    <n v="5988"/>
    <n v="0.81629926519706075"/>
    <s v="Toshiba SRP"/>
    <m/>
    <s v="930134"/>
  </r>
  <r>
    <n v="3160"/>
    <s v="Fortress"/>
    <s v="Tung Chun"/>
    <x v="51"/>
    <n v="3"/>
    <x v="13"/>
    <x v="17"/>
    <s v="4毫米厚釜電飯煲1L"/>
    <s v="細電"/>
    <s v="SDA"/>
    <s v="10nmf"/>
    <n v="1"/>
    <n v="719"/>
    <n v="719"/>
    <n v="930103"/>
    <m/>
    <m/>
    <s v="RC-10NMFIH(WT) 930103"/>
    <n v="898"/>
    <n v="0.80066815144766146"/>
    <s v="Toshiba SRP"/>
    <m/>
    <s v="930103"/>
  </r>
  <r>
    <n v="3161"/>
    <s v="Fortress"/>
    <s v="Tung Chun"/>
    <x v="51"/>
    <n v="3"/>
    <x v="13"/>
    <x v="30"/>
    <s v="旋鈕式燒烤微波爐20L"/>
    <s v="細電"/>
    <s v="SDA"/>
    <s v="mm20"/>
    <n v="1"/>
    <n v="488"/>
    <n v="488"/>
    <n v="1022789"/>
    <m/>
    <m/>
    <s v="MWP-MM20P(WH) 1022789"/>
    <n v="648"/>
    <n v="0.75308641975308643"/>
    <s v="Toshiba SRP"/>
    <m/>
    <s v="1022789"/>
  </r>
  <r>
    <n v="3162"/>
    <s v="Fortress"/>
    <s v="Tung Chun"/>
    <x v="51"/>
    <n v="3"/>
    <x v="13"/>
    <x v="33"/>
    <s v="輕觸式燒烤微波爐"/>
    <s v="細電"/>
    <s v="MCA"/>
    <s v="eg20"/>
    <n v="1"/>
    <n v="698"/>
    <n v="698"/>
    <n v="1022808"/>
    <m/>
    <m/>
    <s v="MM2-EG20PC(WH) 1022808"/>
    <n v="918"/>
    <n v="0.76034858387799564"/>
    <s v="Shops Highest Price"/>
    <m/>
    <s v="1022808"/>
  </r>
  <r>
    <n v="3163"/>
    <s v="Fortress"/>
    <s v="Tung Chun"/>
    <x v="51"/>
    <n v="3"/>
    <x v="1"/>
    <x v="52"/>
    <s v="35L多功能電焗爐"/>
    <s v="細電"/>
    <s v="SDA"/>
    <s v="mc35"/>
    <n v="1"/>
    <n v="888"/>
    <n v="888"/>
    <n v="930193"/>
    <m/>
    <m/>
    <s v="TL-MC35Z 930193"/>
    <n v="1098"/>
    <n v="0.80874316939890711"/>
    <s v="Toshiba SRP"/>
    <m/>
    <s v="930193"/>
  </r>
  <r>
    <n v="3164"/>
    <s v="Fortress"/>
    <s v="Tung Chun"/>
    <x v="51"/>
    <n v="3"/>
    <x v="1"/>
    <x v="30"/>
    <s v="旋鈕式燒烤微波爐20L"/>
    <s v="細電"/>
    <s v="SDA"/>
    <s v="mm20"/>
    <n v="1"/>
    <n v="488"/>
    <n v="488"/>
    <n v="1022900"/>
    <m/>
    <m/>
    <s v="MWP-MM20P(WH) 1022900"/>
    <n v="648"/>
    <n v="0.75308641975308643"/>
    <s v="Toshiba SRP"/>
    <m/>
    <s v="1022900"/>
  </r>
  <r>
    <n v="3165"/>
    <s v="Fortress"/>
    <s v="Tung Chun"/>
    <x v="51"/>
    <n v="3"/>
    <x v="1"/>
    <x v="106"/>
    <s v="燒烤微波爐21L"/>
    <s v="細電"/>
    <s v="SDA"/>
    <s v="ag21"/>
    <n v="1"/>
    <n v="798"/>
    <n v="798"/>
    <n v="930230"/>
    <m/>
    <m/>
    <s v="MV-AG21TF(BK) 930230"/>
    <n v="1098"/>
    <n v="0.72677595628415304"/>
    <s v="Toshiba SRP"/>
    <m/>
    <s v="930230"/>
  </r>
  <r>
    <n v="3166"/>
    <s v="Fortress"/>
    <s v="Tung Chun"/>
    <x v="51"/>
    <n v="3"/>
    <x v="1"/>
    <x v="21"/>
    <s v="壓縮式抽濕機 (30公升)"/>
    <s v="細電"/>
    <s v="RAC"/>
    <s v="d300"/>
    <n v="1"/>
    <n v="2280"/>
    <n v="2280"/>
    <n v="930187"/>
    <m/>
    <m/>
    <s v="RAD-D300H 930187"/>
    <n v="3380"/>
    <n v="0.67455621301775148"/>
    <s v="Shops Highest Price"/>
    <m/>
    <s v="930187"/>
  </r>
  <r>
    <n v="3167"/>
    <s v="Fortress"/>
    <s v="Tung Chun"/>
    <x v="51"/>
    <n v="3"/>
    <x v="1"/>
    <x v="17"/>
    <s v="4毫米厚釜電飯煲1L"/>
    <s v="細電"/>
    <s v="SDA"/>
    <s v="10nmf"/>
    <n v="1"/>
    <n v="719"/>
    <n v="719"/>
    <n v="930166"/>
    <m/>
    <m/>
    <s v="RC-10NMFIH(WT) 930166"/>
    <n v="898"/>
    <n v="0.80066815144766146"/>
    <s v="Toshiba SRP"/>
    <m/>
    <s v="930166"/>
  </r>
  <r>
    <n v="3168"/>
    <s v="Fortress"/>
    <s v="Tung Chun"/>
    <x v="51"/>
    <n v="3"/>
    <x v="1"/>
    <x v="43"/>
    <s v="470MM超薄身前置式變頻洗衣機(8.5公斤, 可飛頂)"/>
    <s v="大電"/>
    <s v="LAD"/>
    <s v="t2295"/>
    <n v="1"/>
    <n v="3680"/>
    <n v="3680"/>
    <n v="930194"/>
    <m/>
    <m/>
    <s v="TW-T22BU95UWH(WK)-B 930194"/>
    <n v="5880"/>
    <n v="0.62585034013605445"/>
    <s v="Toshiba SRP"/>
    <m/>
    <s v="930194"/>
  </r>
  <r>
    <n v="3169"/>
    <s v="Fortress"/>
    <s v="Tung Chun"/>
    <x v="51"/>
    <n v="3"/>
    <x v="2"/>
    <x v="69"/>
    <s v="多功能備長炭本厚釜電飯煲1.8L"/>
    <s v="細電"/>
    <s v="SDA"/>
    <s v="18drnh"/>
    <n v="1"/>
    <n v="619"/>
    <n v="619"/>
    <n v="1023107"/>
    <m/>
    <m/>
    <s v="RC-18DRNH 1023107"/>
    <n v="898"/>
    <n v="0.68930957683741645"/>
    <s v="Toshiba SRP"/>
    <m/>
    <s v="1023107"/>
  </r>
  <r>
    <n v="3170"/>
    <s v="Fortress"/>
    <s v="Tung Chun"/>
    <x v="51"/>
    <n v="3"/>
    <x v="2"/>
    <x v="31"/>
    <s v="無線雙層電熱水壺(1.7公升)"/>
    <s v="細電"/>
    <s v="SDA"/>
    <s v="17drt"/>
    <n v="1"/>
    <n v="388"/>
    <n v="388"/>
    <n v="930265"/>
    <m/>
    <m/>
    <s v="KT-17DRTHK(H) 930265"/>
    <n v="498"/>
    <n v="0.77911646586345384"/>
    <s v="Toshiba SRP"/>
    <m/>
    <s v="930265"/>
  </r>
  <r>
    <n v="3171"/>
    <s v="Fortress"/>
    <s v="Tung Chun"/>
    <x v="51"/>
    <n v="3"/>
    <x v="2"/>
    <x v="61"/>
    <s v="酵活炊電飯煲(1.8公升)"/>
    <s v="細電"/>
    <s v="SDA"/>
    <s v="18amx"/>
    <n v="1"/>
    <n v="990"/>
    <n v="990"/>
    <n v="1022989"/>
    <m/>
    <m/>
    <s v="RC-18AMXH(W) 1022989"/>
    <n v="1588"/>
    <n v="0.62342569269521408"/>
    <s v="Toshiba SRP"/>
    <m/>
    <s v="1022989"/>
  </r>
  <r>
    <n v="3172"/>
    <s v="Fortress"/>
    <s v="Tung Chun"/>
    <x v="51"/>
    <n v="3"/>
    <x v="2"/>
    <x v="21"/>
    <s v="壓縮式抽濕機 (30公升)"/>
    <s v="細電"/>
    <s v="RAC"/>
    <s v="d300"/>
    <n v="1"/>
    <n v="2280"/>
    <n v="2280"/>
    <n v="1023001"/>
    <m/>
    <m/>
    <s v="RAD-D300H 1023001"/>
    <n v="3380"/>
    <n v="0.67455621301775148"/>
    <s v="Shops Highest Price"/>
    <m/>
    <s v="1023001"/>
  </r>
  <r>
    <n v="3173"/>
    <s v="Fortress"/>
    <s v="Tung Chun"/>
    <x v="51"/>
    <n v="3"/>
    <x v="2"/>
    <x v="21"/>
    <s v="壓縮式抽濕機 (30公升)"/>
    <s v="細電"/>
    <s v="RAC"/>
    <s v="d300"/>
    <n v="1"/>
    <n v="2280"/>
    <n v="2280"/>
    <n v="930268"/>
    <m/>
    <m/>
    <s v="RAD-D300H 930268"/>
    <n v="3380"/>
    <n v="0.67455621301775148"/>
    <s v="Shops Highest Price"/>
    <m/>
    <s v="930268"/>
  </r>
  <r>
    <n v="3174"/>
    <s v="Fortress"/>
    <s v="Tung Chun"/>
    <x v="51"/>
    <n v="3"/>
    <x v="2"/>
    <x v="77"/>
    <s v="470MM超薄身前置式變頻洗衣乾衣機 (洗8.5公斤/乾6公斤, 可飛頂)"/>
    <s v="大電"/>
    <s v="LAD"/>
    <s v="twdt22"/>
    <n v="1"/>
    <n v="4780"/>
    <n v="4780"/>
    <n v="930313"/>
    <m/>
    <m/>
    <s v="TWD-T22BU95UWH(WK)-B 930313"/>
    <n v="7480"/>
    <n v="0.63903743315508021"/>
    <s v="Toshiba SRP"/>
    <m/>
    <s v="930313"/>
  </r>
  <r>
    <n v="3175"/>
    <s v="Fortress"/>
    <s v="Tung Chun"/>
    <x v="51"/>
    <n v="3"/>
    <x v="2"/>
    <x v="48"/>
    <s v="3合1 微波蒸焗爐 (20公升)"/>
    <s v="細電"/>
    <s v="MCA"/>
    <s v="tt20"/>
    <n v="1"/>
    <n v="2580"/>
    <n v="2580"/>
    <n v="930274"/>
    <m/>
    <m/>
    <s v="MX2-TT20SC(WH) 930274"/>
    <n v="3580"/>
    <n v="0.72067039106145248"/>
    <s v="Toshiba SRP"/>
    <m/>
    <s v="930274"/>
  </r>
  <r>
    <n v="3176"/>
    <s v="Fortress"/>
    <s v="Tung Chun"/>
    <x v="51"/>
    <n v="3"/>
    <x v="2"/>
    <x v="74"/>
    <s v="4合1氣炸微波蒸焗爐(25公升)"/>
    <s v="細電"/>
    <s v="MCA"/>
    <s v="str25"/>
    <n v="1"/>
    <n v="3580"/>
    <n v="3580"/>
    <n v="1023023"/>
    <m/>
    <m/>
    <s v="MX2-STR25SC(WH) 1023023"/>
    <n v="4998"/>
    <n v="0.71628651460584236"/>
    <s v="Toshiba SRP"/>
    <m/>
    <s v="1023023"/>
  </r>
  <r>
    <n v="3177"/>
    <s v="Fortress"/>
    <s v="Tung Chun"/>
    <x v="51"/>
    <n v="3"/>
    <x v="2"/>
    <x v="36"/>
    <s v="輕觸式微波爐 (20公升)"/>
    <s v="細電"/>
    <s v="MCA"/>
    <s v="em20"/>
    <n v="1"/>
    <n v="598"/>
    <n v="598"/>
    <n v="1023054"/>
    <m/>
    <m/>
    <s v="MM2-EM20PC(WH) 1023054"/>
    <n v="788"/>
    <n v="0.75888324873096447"/>
    <s v="Toshiba SRP"/>
    <m/>
    <s v="1023054"/>
  </r>
  <r>
    <n v="3178"/>
    <s v="Fortress"/>
    <s v="Tung Chun"/>
    <x v="51"/>
    <n v="3"/>
    <x v="2"/>
    <x v="36"/>
    <s v="輕觸式微波爐 (20公升)"/>
    <s v="細電"/>
    <s v="MCA"/>
    <s v="em20"/>
    <n v="1"/>
    <n v="598"/>
    <n v="598"/>
    <n v="930308"/>
    <m/>
    <m/>
    <s v="MM2-EM20PC(WH) 930308"/>
    <n v="788"/>
    <n v="0.75888324873096447"/>
    <s v="Toshiba SRP"/>
    <m/>
    <s v="930308"/>
  </r>
  <r>
    <n v="3179"/>
    <s v="Fortress"/>
    <s v="Tung Chun"/>
    <x v="51"/>
    <n v="3"/>
    <x v="9"/>
    <x v="21"/>
    <s v="壓縮式抽濕機 (30公升)"/>
    <s v="細電"/>
    <s v="RAC"/>
    <s v="d300"/>
    <n v="1"/>
    <n v="2280"/>
    <n v="2280"/>
    <n v="930373"/>
    <m/>
    <m/>
    <s v="RAD-D300H 930373"/>
    <n v="3380"/>
    <n v="0.67455621301775148"/>
    <s v="Shops Highest Price"/>
    <m/>
    <s v="930373"/>
  </r>
  <r>
    <n v="3180"/>
    <s v="Fortress"/>
    <s v="Tung Chun"/>
    <x v="51"/>
    <n v="3"/>
    <x v="9"/>
    <x v="21"/>
    <s v="壓縮式抽濕機 (30公升)"/>
    <s v="細電"/>
    <s v="RAC"/>
    <s v="d300"/>
    <n v="1"/>
    <n v="2280"/>
    <n v="2280"/>
    <n v="930374"/>
    <m/>
    <m/>
    <s v="RAD-D300H 930374"/>
    <n v="3380"/>
    <n v="0.67455621301775148"/>
    <s v="Shops Highest Price"/>
    <m/>
    <s v="930374"/>
  </r>
  <r>
    <n v="3181"/>
    <s v="Fortress"/>
    <s v="Tung Chun"/>
    <x v="51"/>
    <n v="3"/>
    <x v="9"/>
    <x v="21"/>
    <s v="壓縮式抽濕機 (30公升)"/>
    <s v="細電"/>
    <s v="RAC"/>
    <s v="d300"/>
    <n v="1"/>
    <n v="2280"/>
    <n v="2280"/>
    <n v="930375"/>
    <m/>
    <m/>
    <s v="RAD-D300H 930375"/>
    <n v="3380"/>
    <n v="0.67455621301775148"/>
    <s v="Shops Highest Price"/>
    <m/>
    <s v="930375"/>
  </r>
  <r>
    <n v="3182"/>
    <s v="Fortress"/>
    <s v="Tung Chun"/>
    <x v="51"/>
    <n v="3"/>
    <x v="10"/>
    <x v="58"/>
    <s v="IH磁應電飯煲_x000a_鑽石銅鍋"/>
    <s v="細電"/>
    <s v="SDA"/>
    <s v="dr18tw"/>
    <n v="1"/>
    <n v="2800"/>
    <n v="2800"/>
    <n v="1023270"/>
    <m/>
    <m/>
    <s v="RC-DR18T(W) 1023270"/>
    <n v="3588"/>
    <n v="0.78037904124860646"/>
    <s v="Toshiba SRP"/>
    <m/>
    <s v="1023270"/>
  </r>
  <r>
    <n v="3183"/>
    <s v="Fortress"/>
    <s v="Tung Chun"/>
    <x v="51"/>
    <n v="3"/>
    <x v="10"/>
    <x v="30"/>
    <s v="旋鈕式燒烤微波爐20L"/>
    <s v="細電"/>
    <s v="SDA"/>
    <s v="mm20"/>
    <n v="1"/>
    <n v="488"/>
    <n v="488"/>
    <n v="1023261"/>
    <m/>
    <m/>
    <s v="MWP-MM20P(WH) 1023261"/>
    <n v="648"/>
    <n v="0.75308641975308643"/>
    <s v="Toshiba SRP"/>
    <m/>
    <s v="1023261"/>
  </r>
  <r>
    <n v="3184"/>
    <s v="Fortress"/>
    <s v="Tung Chun"/>
    <x v="51"/>
    <n v="3"/>
    <x v="10"/>
    <x v="106"/>
    <s v="燒烤微波爐21L"/>
    <s v="細電"/>
    <s v="SDA"/>
    <s v="ag21"/>
    <n v="1"/>
    <n v="798"/>
    <n v="798"/>
    <n v="930496"/>
    <m/>
    <m/>
    <s v="MV-AG21TF(BK) 930496"/>
    <n v="1098"/>
    <n v="0.72677595628415304"/>
    <s v="Toshiba SRP"/>
    <m/>
    <s v="930496"/>
  </r>
  <r>
    <n v="3185"/>
    <s v="Fortress"/>
    <s v="Tung Chun"/>
    <x v="51"/>
    <n v="3"/>
    <x v="10"/>
    <x v="36"/>
    <s v="輕觸式微波爐 (20公升)"/>
    <s v="細電"/>
    <s v="MCA"/>
    <s v="em20"/>
    <n v="1"/>
    <n v="598"/>
    <n v="598"/>
    <n v="930520"/>
    <m/>
    <m/>
    <s v="MM2-EM20PC(WH) 930520"/>
    <n v="788"/>
    <n v="0.75888324873096447"/>
    <s v="Toshiba SRP"/>
    <m/>
    <s v="930520"/>
  </r>
  <r>
    <n v="3186"/>
    <s v="Fortress"/>
    <s v="Tung Chun"/>
    <x v="51"/>
    <n v="3"/>
    <x v="10"/>
    <x v="21"/>
    <s v="壓縮式抽濕機 (30公升)"/>
    <s v="細電"/>
    <s v="RAC"/>
    <s v="d300"/>
    <n v="1"/>
    <n v="2280"/>
    <n v="2280"/>
    <n v="930468"/>
    <m/>
    <m/>
    <s v="RAD-D300H 930468"/>
    <n v="3380"/>
    <n v="0.67455621301775148"/>
    <s v="Shops Highest Price"/>
    <m/>
    <s v="930468"/>
  </r>
  <r>
    <n v="3187"/>
    <s v="Fortress"/>
    <s v="Tung Chun"/>
    <x v="51"/>
    <n v="3"/>
    <x v="10"/>
    <x v="21"/>
    <s v="壓縮式抽濕機 (30公升)"/>
    <s v="細電"/>
    <s v="RAC"/>
    <s v="d300"/>
    <n v="1"/>
    <n v="2280"/>
    <n v="2280"/>
    <n v="930482"/>
    <m/>
    <m/>
    <s v="RAD-D300H 930482"/>
    <n v="3380"/>
    <n v="0.67455621301775148"/>
    <s v="Shops Highest Price"/>
    <m/>
    <s v="930482"/>
  </r>
  <r>
    <n v="3188"/>
    <s v="Fortress"/>
    <s v="Tung Chun"/>
    <x v="51"/>
    <n v="3"/>
    <x v="10"/>
    <x v="17"/>
    <s v="4毫米厚釜電飯煲1L"/>
    <s v="細電"/>
    <s v="SDA"/>
    <s v="10nmf"/>
    <n v="1"/>
    <n v="719"/>
    <n v="719"/>
    <n v="930498"/>
    <m/>
    <m/>
    <s v="RC-10NMFIH(WT) 930498"/>
    <n v="898"/>
    <n v="0.80066815144766146"/>
    <s v="Toshiba SRP"/>
    <m/>
    <s v="930498"/>
  </r>
  <r>
    <n v="3189"/>
    <s v="Fortress"/>
    <s v="Tung Chun"/>
    <x v="51"/>
    <n v="3"/>
    <x v="10"/>
    <x v="56"/>
    <s v="多士焗爐8L"/>
    <s v="細電"/>
    <s v="SDA"/>
    <n v="7080"/>
    <n v="1"/>
    <n v="318"/>
    <n v="318"/>
    <n v="930479"/>
    <m/>
    <m/>
    <s v="ET-TD7080(PN) 930479"/>
    <n v="498"/>
    <n v="0.63855421686746983"/>
    <s v="Toshiba SRP"/>
    <m/>
    <s v="930479"/>
  </r>
  <r>
    <n v="3190"/>
    <s v="Fortress"/>
    <s v="Tung Chun"/>
    <x v="51"/>
    <n v="3"/>
    <x v="10"/>
    <x v="96"/>
    <s v="日式洗衣機 (7公斤 結合高低水位)"/>
    <s v="大電"/>
    <s v="LAD"/>
    <s v="q800"/>
    <n v="1"/>
    <n v="1980"/>
    <n v="1980"/>
    <n v="930523"/>
    <m/>
    <m/>
    <s v="AW-Q800APH(WW) 930523"/>
    <n v="3580"/>
    <n v="0.55307262569832405"/>
    <s v="Toshiba SRP"/>
    <m/>
    <s v="930523"/>
  </r>
  <r>
    <n v="3191"/>
    <s v="Fortress"/>
    <s v="Tung Chun"/>
    <x v="51"/>
    <n v="3"/>
    <x v="10"/>
    <x v="66"/>
    <s v="變頻下置式雙門雪櫃（163L）"/>
    <s v="大電"/>
    <s v="REF"/>
    <s v="rb221"/>
    <n v="1"/>
    <n v="1880"/>
    <n v="1880"/>
    <n v="930523"/>
    <m/>
    <m/>
    <s v="GR-RB221WE-PMA(57) 930523"/>
    <n v="3480"/>
    <n v="0.54022988505747127"/>
    <s v="Toshiba SRP"/>
    <m/>
    <s v="930523"/>
  </r>
  <r>
    <n v="3192"/>
    <s v="Fortress"/>
    <s v="Tung Chun"/>
    <x v="51"/>
    <n v="3"/>
    <x v="10"/>
    <x v="76"/>
    <s v="日式洗衣機 (7公斤 結合高低水位)"/>
    <s v="大電"/>
    <s v="LAD"/>
    <s v="q801"/>
    <n v="1"/>
    <n v="1880"/>
    <n v="1880"/>
    <n v="930523"/>
    <m/>
    <m/>
    <s v="AW-Q801APH(WW) 930523"/>
    <n v="3380"/>
    <n v="0.55621301775147924"/>
    <s v="Toshiba SRP"/>
    <m/>
    <s v="930523"/>
  </r>
  <r>
    <n v="3193"/>
    <s v="Fortress"/>
    <s v="Tung Chun"/>
    <x v="51"/>
    <n v="3"/>
    <x v="10"/>
    <x v="54"/>
    <s v="低醣磁應電飯煲1L"/>
    <s v="細電"/>
    <s v="SDA"/>
    <s v="10irph"/>
    <n v="1"/>
    <n v="798"/>
    <n v="798"/>
    <n v="1023540"/>
    <m/>
    <m/>
    <s v="RC-10IRPH 1023540"/>
    <n v="1388"/>
    <n v="0.5749279538904899"/>
    <s v="Toshiba SRP"/>
    <m/>
    <s v="1023540"/>
  </r>
  <r>
    <n v="3194"/>
    <s v="Fortress"/>
    <s v="Tung Chun"/>
    <x v="51"/>
    <n v="3"/>
    <x v="10"/>
    <x v="44"/>
    <s v="1.7L無線雙層電熱水壺"/>
    <s v="細電"/>
    <s v="SDA"/>
    <s v="17shnh"/>
    <n v="1"/>
    <n v="198"/>
    <n v="198"/>
    <n v="1023543"/>
    <m/>
    <m/>
    <s v="KT-17SHNH 1023543"/>
    <n v="299"/>
    <n v="0.66220735785953178"/>
    <s v="Shops Highest Price"/>
    <m/>
    <s v="1023543"/>
  </r>
  <r>
    <n v="3195"/>
    <s v="Fortress"/>
    <s v="Tung Chun"/>
    <x v="51"/>
    <n v="3"/>
    <x v="10"/>
    <x v="36"/>
    <s v="輕觸式微波爐 (20公升)"/>
    <s v="細電"/>
    <s v="MCA"/>
    <s v="em20"/>
    <n v="1"/>
    <n v="598"/>
    <n v="598"/>
    <n v="930581"/>
    <m/>
    <m/>
    <s v="MM2-EM20PC(WH) 930581"/>
    <n v="788"/>
    <n v="0.75888324873096447"/>
    <s v="Toshiba SRP"/>
    <m/>
    <s v="930581"/>
  </r>
  <r>
    <n v="3196"/>
    <s v="Fortress"/>
    <s v="Tung Chun"/>
    <x v="51"/>
    <n v="3"/>
    <x v="10"/>
    <x v="36"/>
    <s v="輕觸式微波爐 (20公升)"/>
    <s v="細電"/>
    <s v="MCA"/>
    <s v="em20"/>
    <n v="1"/>
    <n v="598"/>
    <n v="598"/>
    <n v="930600"/>
    <m/>
    <m/>
    <s v="MM2-EM20PC(WH) 930600"/>
    <n v="788"/>
    <n v="0.75888324873096447"/>
    <s v="Toshiba SRP"/>
    <m/>
    <s v="930600"/>
  </r>
  <r>
    <n v="3197"/>
    <s v="Fortress"/>
    <s v="Tung Chun"/>
    <x v="51"/>
    <n v="3"/>
    <x v="10"/>
    <x v="30"/>
    <s v="旋鈕式燒烤微波爐20L"/>
    <s v="細電"/>
    <s v="SDA"/>
    <s v="mm20"/>
    <n v="1"/>
    <n v="488"/>
    <n v="488"/>
    <n v="1023502"/>
    <m/>
    <m/>
    <s v="MWP-MM20P(WH) 1023502"/>
    <n v="648"/>
    <n v="0.75308641975308643"/>
    <s v="Toshiba SRP"/>
    <m/>
    <s v="1023502"/>
  </r>
  <r>
    <n v="3198"/>
    <s v="Fortress"/>
    <s v="Tung Chun"/>
    <x v="51"/>
    <n v="3"/>
    <x v="10"/>
    <x v="33"/>
    <s v="輕觸式燒烤微波爐"/>
    <s v="細電"/>
    <s v="MCA"/>
    <s v="eg20"/>
    <n v="1"/>
    <n v="698"/>
    <n v="698"/>
    <n v="1023671"/>
    <m/>
    <m/>
    <s v="MM2-EG20PC(WH) 1023671"/>
    <n v="918"/>
    <n v="0.76034858387799564"/>
    <s v="Shops Highest Price"/>
    <m/>
    <s v="1023671"/>
  </r>
  <r>
    <n v="3199"/>
    <s v="Fortress"/>
    <s v="Tung Chun"/>
    <x v="51"/>
    <n v="3"/>
    <x v="10"/>
    <x v="105"/>
    <s v="旋鈕式燒烤微波爐20L黑色"/>
    <s v="細電"/>
    <s v="SDA"/>
    <s v="mg20"/>
    <n v="1"/>
    <n v="579"/>
    <n v="579"/>
    <n v="930634"/>
    <m/>
    <m/>
    <s v="MWP-MG20P(BK) 930634"/>
    <n v="918"/>
    <n v="0.63071895424836599"/>
    <s v="Toshiba SRP"/>
    <m/>
    <s v="930634"/>
  </r>
  <r>
    <n v="3200"/>
    <s v="Fortress"/>
    <s v="Tung Chun"/>
    <x v="51"/>
    <n v="3"/>
    <x v="3"/>
    <x v="74"/>
    <s v="4合1氣炸微波蒸焗爐(25公升)"/>
    <s v="細電"/>
    <s v="MCA"/>
    <s v="str25"/>
    <n v="1"/>
    <n v="3580"/>
    <n v="3580"/>
    <n v="1023683"/>
    <m/>
    <m/>
    <s v="MX2-STR25SC(WH) 1023683"/>
    <n v="4998"/>
    <n v="0.71628651460584236"/>
    <s v="Toshiba SRP"/>
    <m/>
    <s v="1023683"/>
  </r>
  <r>
    <n v="3201"/>
    <s v="Fortress"/>
    <s v="Tung Chun"/>
    <x v="51"/>
    <n v="3"/>
    <x v="3"/>
    <x v="118"/>
    <s v="IH磁應電飯煲"/>
    <s v="細電"/>
    <s v="SDA"/>
    <s v="dz4k"/>
    <n v="1"/>
    <n v="3130"/>
    <n v="3130"/>
    <n v="1023602"/>
    <m/>
    <m/>
    <s v="RC-DZ4K(N) 1023602"/>
    <n v="3888"/>
    <n v="0.80504115226337447"/>
    <s v="Shops Highest Price"/>
    <m/>
    <s v="1023602"/>
  </r>
  <r>
    <n v="3202"/>
    <s v="Fortress"/>
    <s v="Tung Chun"/>
    <x v="51"/>
    <n v="3"/>
    <x v="3"/>
    <x v="56"/>
    <s v="多士焗爐8L"/>
    <s v="細電"/>
    <s v="SDA"/>
    <n v="7080"/>
    <n v="1"/>
    <n v="318"/>
    <n v="318"/>
    <n v="1023463"/>
    <m/>
    <m/>
    <s v="ET-TD7080(PN) 1023463"/>
    <n v="498"/>
    <n v="0.63855421686746983"/>
    <s v="Toshiba SRP"/>
    <m/>
    <s v="1023463"/>
  </r>
  <r>
    <n v="3203"/>
    <s v="Fortress"/>
    <s v="Tung Chun"/>
    <x v="51"/>
    <n v="3"/>
    <x v="3"/>
    <x v="42"/>
    <s v="變頻下置式雙門雪櫃系列270L"/>
    <s v="大電"/>
    <s v="REF"/>
    <s v="rb360"/>
    <n v="1"/>
    <n v="3680"/>
    <n v="3680"/>
    <n v="930637"/>
    <m/>
    <m/>
    <s v="GR-RB360WE-PMA(06) 930637"/>
    <n v="5080"/>
    <n v="0.72440944881889768"/>
    <s v="Toshiba SRP"/>
    <m/>
    <s v="930637"/>
  </r>
  <r>
    <n v="3204"/>
    <s v="Fortress"/>
    <s v="Tung Chun"/>
    <x v="51"/>
    <n v="3"/>
    <x v="3"/>
    <x v="44"/>
    <s v="1.7L無線雙層電熱水壺"/>
    <s v="細電"/>
    <s v="SDA"/>
    <s v="17shnh"/>
    <n v="1"/>
    <n v="198"/>
    <n v="198"/>
    <n v="1023615"/>
    <m/>
    <m/>
    <s v="KT-17SHNH 1023615"/>
    <n v="299"/>
    <n v="0.66220735785953178"/>
    <s v="Shops Highest Price"/>
    <m/>
    <s v="1023615"/>
  </r>
  <r>
    <n v="3205"/>
    <s v="Fortress"/>
    <s v="Tung Chun"/>
    <x v="51"/>
    <n v="3"/>
    <x v="3"/>
    <x v="58"/>
    <s v="IH磁應電飯煲_x000a_鑽石銅鍋"/>
    <s v="細電"/>
    <s v="SDA"/>
    <s v="dr18tw"/>
    <n v="1"/>
    <n v="2800"/>
    <n v="2800"/>
    <n v="930696"/>
    <m/>
    <m/>
    <s v="RC-DR18T(W) 930696"/>
    <n v="3588"/>
    <n v="0.78037904124860646"/>
    <s v="Toshiba SRP"/>
    <m/>
    <s v="930696"/>
  </r>
  <r>
    <n v="3206"/>
    <s v="Fortress"/>
    <s v="Tung Chun"/>
    <x v="51"/>
    <n v="3"/>
    <x v="3"/>
    <x v="31"/>
    <s v="無線雙層電熱水壺(1.7公升)"/>
    <s v="細電"/>
    <s v="SDA"/>
    <s v="17drt"/>
    <n v="1"/>
    <n v="388"/>
    <n v="388"/>
    <n v="1023796"/>
    <m/>
    <m/>
    <s v="KT-17DRTHK(H) 1023796"/>
    <n v="498"/>
    <n v="0.77911646586345384"/>
    <s v="Toshiba SRP"/>
    <m/>
    <s v="1023796"/>
  </r>
  <r>
    <n v="3207"/>
    <s v="Fortress"/>
    <s v="Tung Chun"/>
    <x v="51"/>
    <n v="3"/>
    <x v="3"/>
    <x v="30"/>
    <s v="旋鈕式燒烤微波爐20L"/>
    <s v="細電"/>
    <s v="SDA"/>
    <s v="mm20"/>
    <n v="1"/>
    <n v="488"/>
    <n v="488"/>
    <n v="1023760"/>
    <m/>
    <m/>
    <s v="MWP-MM20P(WH) 1023760"/>
    <n v="648"/>
    <n v="0.75308641975308643"/>
    <s v="Toshiba SRP"/>
    <m/>
    <s v="1023760"/>
  </r>
  <r>
    <n v="3208"/>
    <s v="Fortress"/>
    <s v="Tung Chun"/>
    <x v="51"/>
    <n v="3"/>
    <x v="4"/>
    <x v="30"/>
    <s v="旋鈕式燒烤微波爐20L"/>
    <s v="細電"/>
    <s v="SDA"/>
    <s v="mm20"/>
    <n v="1"/>
    <n v="488"/>
    <n v="488"/>
    <n v="1023869"/>
    <m/>
    <m/>
    <s v="MWP-MM20P(WH) 1023869"/>
    <n v="648"/>
    <n v="0.75308641975308643"/>
    <s v="Toshiba SRP"/>
    <m/>
    <s v="1023869"/>
  </r>
  <r>
    <n v="3209"/>
    <s v="Fortress"/>
    <s v="Tung Chun"/>
    <x v="51"/>
    <n v="3"/>
    <x v="4"/>
    <x v="36"/>
    <s v="輕觸式微波爐 (20公升)"/>
    <s v="細電"/>
    <s v="MCA"/>
    <s v="em20"/>
    <n v="1"/>
    <n v="598"/>
    <n v="598"/>
    <n v="930816"/>
    <m/>
    <m/>
    <s v="MM2-EM20PC(WH) 930816"/>
    <n v="788"/>
    <n v="0.75888324873096447"/>
    <s v="Toshiba SRP"/>
    <m/>
    <s v="930816"/>
  </r>
  <r>
    <n v="3210"/>
    <s v="Fortress"/>
    <s v="Tung Chun"/>
    <x v="51"/>
    <n v="3"/>
    <x v="4"/>
    <x v="34"/>
    <s v="智能氣炸烤焗爐(24公升)"/>
    <s v="細電"/>
    <s v="MCA"/>
    <s v="sac24"/>
    <n v="1"/>
    <n v="1320"/>
    <n v="1320"/>
    <n v="930801"/>
    <m/>
    <m/>
    <s v="MW3-SAC24SE(BK) 930801"/>
    <n v="1680"/>
    <n v="0.7857142857142857"/>
    <s v="Toshiba SRP"/>
    <m/>
    <s v="930801"/>
  </r>
  <r>
    <n v="3211"/>
    <s v="Fortress"/>
    <s v="Tung Chun"/>
    <x v="51"/>
    <n v="3"/>
    <x v="3"/>
    <x v="48"/>
    <s v="3合1 微波蒸焗爐 (20公升)"/>
    <s v="細電"/>
    <s v="MCA"/>
    <s v="tt20"/>
    <n v="1"/>
    <n v="2580"/>
    <n v="2580"/>
    <n v="930672"/>
    <m/>
    <m/>
    <s v="MX2-TT20SC(WH) 930672"/>
    <n v="3580"/>
    <n v="0.72067039106145248"/>
    <s v="Toshiba SRP"/>
    <m/>
    <s v="930672"/>
  </r>
  <r>
    <n v="3212"/>
    <s v="Fortress"/>
    <s v="Tung Chun"/>
    <x v="51"/>
    <n v="3"/>
    <x v="4"/>
    <x v="38"/>
    <s v="無線雙層電熱水壺-附可鎖壺蓋"/>
    <s v="細電"/>
    <s v="SDA"/>
    <s v="15drt"/>
    <n v="1"/>
    <n v="338"/>
    <n v="338"/>
    <n v="930823"/>
    <m/>
    <m/>
    <s v="KT-15DRTHK(W) 930823"/>
    <n v="598"/>
    <n v="0.56521739130434778"/>
    <s v="Toshiba SRP"/>
    <m/>
    <s v="930823"/>
  </r>
  <r>
    <n v="3213"/>
    <s v="Fortress"/>
    <s v="Tung Chun"/>
    <x v="51"/>
    <n v="3"/>
    <x v="4"/>
    <x v="43"/>
    <s v="470MM超薄身前置式變頻洗衣機(8.5公斤, 可飛頂)"/>
    <s v="大電"/>
    <s v="LAD"/>
    <s v="t2295"/>
    <n v="1"/>
    <n v="3680"/>
    <n v="3680"/>
    <n v="1023860"/>
    <m/>
    <m/>
    <s v="TW-T22BU95UWH(WK)-B 1023860"/>
    <n v="5880"/>
    <n v="0.62585034013605445"/>
    <s v="Toshiba SRP"/>
    <m/>
    <s v="1023860"/>
  </r>
  <r>
    <n v="3214"/>
    <s v="Fortress"/>
    <s v="Tung Chun"/>
    <x v="51"/>
    <n v="3"/>
    <x v="4"/>
    <x v="43"/>
    <s v="470MM超薄身前置式變頻洗衣機(8.5公斤, 可飛頂)"/>
    <s v="大電"/>
    <s v="LAD"/>
    <s v="t2295"/>
    <n v="1"/>
    <n v="3680"/>
    <n v="3680"/>
    <n v="930827"/>
    <m/>
    <m/>
    <s v="TW-T22BU95UWH(WK)-B 930827"/>
    <n v="5880"/>
    <n v="0.62585034013605445"/>
    <s v="Toshiba SRP"/>
    <m/>
    <s v="930827"/>
  </r>
  <r>
    <n v="3215"/>
    <s v="Fortress"/>
    <s v="Tung Chun"/>
    <x v="51"/>
    <n v="3"/>
    <x v="4"/>
    <x v="100"/>
    <s v="3/4 匹 窗口式冷氣機(remote/fortress)"/>
    <s v="大電"/>
    <s v="AC"/>
    <s v="07g3cvf"/>
    <n v="1"/>
    <n v="3880"/>
    <n v="3880"/>
    <n v="930824"/>
    <m/>
    <m/>
    <s v="RAC-07G3CVRG-HK 930824"/>
    <n v="5580"/>
    <n v="0.69534050179211471"/>
    <s v="Toshiba SRP"/>
    <m/>
    <s v="930824"/>
  </r>
  <r>
    <n v="3216"/>
    <s v="Fortress"/>
    <s v="Tung Chun"/>
    <x v="51"/>
    <n v="3"/>
    <x v="4"/>
    <x v="69"/>
    <s v="多功能備長炭本厚釜電飯煲1.8L"/>
    <s v="細電"/>
    <s v="SDA"/>
    <s v="18drnh"/>
    <n v="1"/>
    <n v="619"/>
    <n v="619"/>
    <n v="1023695"/>
    <m/>
    <m/>
    <s v="RC-18DRNH 1023695"/>
    <n v="898"/>
    <n v="0.68930957683741645"/>
    <s v="Toshiba SRP"/>
    <m/>
    <s v="1023695"/>
  </r>
  <r>
    <n v="3217"/>
    <s v="Fortress"/>
    <s v="Tung Chun"/>
    <x v="51"/>
    <n v="3"/>
    <x v="14"/>
    <x v="116"/>
    <s v="IH磁應電飯煲"/>
    <s v="細電"/>
    <s v="SDA"/>
    <s v="ds18kw"/>
    <n v="1"/>
    <n v="3490"/>
    <n v="3490"/>
    <n v="930857"/>
    <m/>
    <m/>
    <s v="RC-DS18K(N) 930857"/>
    <n v="4988"/>
    <n v="0.69967923015236566"/>
    <s v="Toshiba SRP"/>
    <m/>
    <s v="930857"/>
  </r>
  <r>
    <n v="3218"/>
    <s v="Fortress"/>
    <s v="Tung Chun"/>
    <x v="51"/>
    <n v="3"/>
    <x v="14"/>
    <x v="31"/>
    <s v="無線雙層電熱水壺(1.7公升)"/>
    <s v="細電"/>
    <s v="SDA"/>
    <s v="17drt"/>
    <n v="1"/>
    <n v="388"/>
    <n v="388"/>
    <n v="1024007"/>
    <m/>
    <m/>
    <s v="KT-17DRTHK(H) 1024007"/>
    <n v="498"/>
    <n v="0.77911646586345384"/>
    <s v="Toshiba SRP"/>
    <m/>
    <s v="1024007"/>
  </r>
  <r>
    <n v="3219"/>
    <s v="Fortress"/>
    <s v="Tung Chun"/>
    <x v="51"/>
    <n v="3"/>
    <x v="14"/>
    <x v="92"/>
    <s v="1 匹 R32變頻窗口式冷氣機 (獨立抽濕遙控"/>
    <s v="大電"/>
    <s v="AC"/>
    <s v="09g3cvr"/>
    <n v="1"/>
    <n v="4980"/>
    <n v="4980"/>
    <n v="1023968"/>
    <m/>
    <m/>
    <s v="RAC-09G3CVRGR-HK 1023968"/>
    <n v="6980"/>
    <n v="0.71346704871060174"/>
    <s v="Toshiba SRP"/>
    <m/>
    <s v="1023968"/>
  </r>
  <r>
    <n v="3220"/>
    <s v="Fortress"/>
    <s v="Tung Chun"/>
    <x v="51"/>
    <n v="3"/>
    <x v="14"/>
    <x v="103"/>
    <s v="變頻下置式雙門雪櫃"/>
    <s v="大電"/>
    <s v="REF"/>
    <s v="rb449"/>
    <n v="1"/>
    <n v="5080"/>
    <n v="5080"/>
    <n v="1023967"/>
    <m/>
    <m/>
    <s v="GR-RB449WE-PMA(57) 1023967"/>
    <n v="6280"/>
    <n v="0.80891719745222934"/>
    <s v="Toshiba SRP"/>
    <m/>
    <s v="1023967"/>
  </r>
  <r>
    <n v="3221"/>
    <s v="Fortress"/>
    <s v="Tung Chun"/>
    <x v="51"/>
    <n v="3"/>
    <x v="14"/>
    <x v="42"/>
    <s v="變頻下置式雙門雪櫃系列270L"/>
    <s v="大電"/>
    <s v="REF"/>
    <s v="rb360"/>
    <n v="1"/>
    <n v="3680"/>
    <n v="3680"/>
    <n v="1024008"/>
    <m/>
    <m/>
    <s v="GR-RB360WE-PMA(06) 1024008"/>
    <n v="5080"/>
    <n v="0.72440944881889768"/>
    <s v="Toshiba SRP"/>
    <m/>
    <s v="1024008"/>
  </r>
  <r>
    <n v="3222"/>
    <s v="Fortress"/>
    <s v="Tung Chun"/>
    <x v="51"/>
    <n v="3"/>
    <x v="14"/>
    <x v="17"/>
    <s v="4毫米厚釜電飯煲1L"/>
    <s v="細電"/>
    <s v="SDA"/>
    <s v="10nmf"/>
    <n v="1"/>
    <n v="719"/>
    <n v="719"/>
    <n v="1023980"/>
    <m/>
    <m/>
    <s v="RC-10NMFIH(WT) 1023980"/>
    <n v="898"/>
    <n v="0.80066815144766146"/>
    <s v="Toshiba SRP"/>
    <m/>
    <s v="1023980"/>
  </r>
  <r>
    <n v="3223"/>
    <s v="Fortress"/>
    <s v="Tung Chun"/>
    <x v="51"/>
    <n v="3"/>
    <x v="14"/>
    <x v="34"/>
    <s v="智能氣炸烤焗爐(24公升)"/>
    <s v="細電"/>
    <s v="MCA"/>
    <s v="sac24"/>
    <n v="1"/>
    <n v="1320"/>
    <n v="1320"/>
    <n v="930857"/>
    <m/>
    <m/>
    <s v="MW3-SAC24SE(BK) 930857"/>
    <n v="1680"/>
    <n v="0.7857142857142857"/>
    <s v="Toshiba SRP"/>
    <m/>
    <s v="930857"/>
  </r>
  <r>
    <n v="3224"/>
    <s v="Fortress"/>
    <s v="Tung Chun"/>
    <x v="51"/>
    <n v="3"/>
    <x v="14"/>
    <x v="33"/>
    <s v="輕觸式燒烤微波爐"/>
    <s v="細電"/>
    <s v="MCA"/>
    <s v="eg20"/>
    <n v="1"/>
    <n v="698"/>
    <n v="698"/>
    <n v="1024018"/>
    <m/>
    <m/>
    <s v="MM2-EG20PC(WH) 1024018"/>
    <n v="918"/>
    <n v="0.76034858387799564"/>
    <s v="Shops Highest Price"/>
    <m/>
    <s v="1024018"/>
  </r>
  <r>
    <n v="3225"/>
    <s v="Fortress"/>
    <s v="Tung Chun"/>
    <x v="51"/>
    <n v="3"/>
    <x v="14"/>
    <x v="30"/>
    <s v="旋鈕式燒烤微波爐20L"/>
    <s v="細電"/>
    <s v="SDA"/>
    <s v="mm20"/>
    <n v="1"/>
    <n v="488"/>
    <n v="488"/>
    <n v="1024001"/>
    <m/>
    <m/>
    <s v="MWP-MM20P(WH) 1024001"/>
    <n v="648"/>
    <n v="0.75308641975308643"/>
    <s v="Toshiba SRP"/>
    <m/>
    <s v="1024001"/>
  </r>
  <r>
    <n v="3226"/>
    <s v="Fortress"/>
    <s v="Tung Chun"/>
    <x v="51"/>
    <n v="3"/>
    <x v="14"/>
    <x v="30"/>
    <s v="旋鈕式燒烤微波爐20L"/>
    <s v="細電"/>
    <s v="SDA"/>
    <s v="mm20"/>
    <n v="1"/>
    <n v="488"/>
    <n v="488"/>
    <n v="930892"/>
    <m/>
    <m/>
    <s v="MWP-MM20P(WH) 930892"/>
    <n v="648"/>
    <n v="0.75308641975308643"/>
    <s v="Toshiba SRP"/>
    <m/>
    <s v="930892"/>
  </r>
  <r>
    <n v="3227"/>
    <s v="Fortress"/>
    <s v="Tung Chun"/>
    <x v="51"/>
    <n v="3"/>
    <x v="15"/>
    <x v="105"/>
    <s v="旋鈕式燒烤微波爐20L黑色"/>
    <s v="細電"/>
    <s v="SDA"/>
    <s v="mg20"/>
    <n v="1"/>
    <n v="579"/>
    <n v="579"/>
    <n v="930918"/>
    <m/>
    <m/>
    <s v="MWP-MG20P(BK) 930918"/>
    <n v="918"/>
    <n v="0.63071895424836599"/>
    <s v="Toshiba SRP"/>
    <m/>
    <s v="930918"/>
  </r>
  <r>
    <n v="3228"/>
    <s v="Fortress"/>
    <s v="Tung Chun"/>
    <x v="51"/>
    <n v="3"/>
    <x v="15"/>
    <x v="34"/>
    <s v="智能氣炸烤焗爐(24公升)"/>
    <s v="細電"/>
    <s v="MCA"/>
    <s v="sac24"/>
    <n v="1"/>
    <n v="1320"/>
    <n v="1320"/>
    <n v="930929"/>
    <m/>
    <m/>
    <s v="MW3-SAC24SE(BK) 930929"/>
    <n v="1680"/>
    <n v="0.7857142857142857"/>
    <s v="Toshiba SRP"/>
    <m/>
    <s v="930929"/>
  </r>
  <r>
    <n v="3229"/>
    <s v="Fortress"/>
    <s v="Tung Chun"/>
    <x v="51"/>
    <n v="3"/>
    <x v="15"/>
    <x v="17"/>
    <s v="4毫米厚釜電飯煲1L"/>
    <s v="細電"/>
    <s v="SDA"/>
    <s v="10nmf"/>
    <n v="1"/>
    <n v="719"/>
    <n v="719"/>
    <n v="930922"/>
    <m/>
    <m/>
    <s v="RC-10NMFIH(WT) 930922"/>
    <n v="898"/>
    <n v="0.80066815144766146"/>
    <s v="Toshiba SRP"/>
    <m/>
    <s v="930922"/>
  </r>
  <r>
    <n v="3230"/>
    <s v="Fortress"/>
    <s v="Tung Chun"/>
    <x v="51"/>
    <n v="3"/>
    <x v="15"/>
    <x v="42"/>
    <s v="變頻下置式雙門雪櫃系列270L"/>
    <s v="大電"/>
    <s v="REF"/>
    <s v="rb360"/>
    <n v="1"/>
    <n v="3680"/>
    <n v="3680"/>
    <n v="1024054"/>
    <m/>
    <m/>
    <s v="GR-RB360WE-PMA(06) 1024054"/>
    <n v="5080"/>
    <n v="0.72440944881889768"/>
    <s v="Toshiba SRP"/>
    <m/>
    <s v="1024054"/>
  </r>
  <r>
    <n v="3231"/>
    <s v="Fortress"/>
    <s v="Tung Chun"/>
    <x v="51"/>
    <n v="3"/>
    <x v="15"/>
    <x v="50"/>
    <s v="輕便式電磁爐7個功能"/>
    <s v="細電"/>
    <s v="SDA"/>
    <s v="s19"/>
    <n v="1"/>
    <n v="418"/>
    <n v="418"/>
    <n v="1024001"/>
    <m/>
    <m/>
    <s v="IC-S19RH 1024001"/>
    <n v="638"/>
    <n v="0.65517241379310343"/>
    <s v="Toshiba SRP"/>
    <m/>
    <s v="1024001"/>
  </r>
  <r>
    <n v="3232"/>
    <s v="Fortress"/>
    <s v="Tung Chun"/>
    <x v="51"/>
    <n v="3"/>
    <x v="15"/>
    <x v="44"/>
    <s v="1.7L無線雙層電熱水壺"/>
    <s v="細電"/>
    <s v="SDA"/>
    <s v="17shnh"/>
    <n v="1"/>
    <n v="198"/>
    <n v="198"/>
    <n v="930918"/>
    <m/>
    <m/>
    <s v="KT-17SHNH 930918"/>
    <n v="299"/>
    <n v="0.66220735785953178"/>
    <s v="Shops Highest Price"/>
    <m/>
    <s v="930918"/>
  </r>
  <r>
    <n v="3233"/>
    <s v="Fortress"/>
    <s v="Tung Chun"/>
    <x v="51"/>
    <n v="3"/>
    <x v="15"/>
    <x v="30"/>
    <s v="旋鈕式燒烤微波爐20L"/>
    <s v="細電"/>
    <s v="SDA"/>
    <s v="mm20"/>
    <n v="1"/>
    <n v="488"/>
    <n v="488"/>
    <n v="931002"/>
    <m/>
    <m/>
    <s v="MWP-MM20P(WH) 931002"/>
    <n v="648"/>
    <n v="0.75308641975308643"/>
    <s v="Toshiba SRP"/>
    <m/>
    <s v="931002"/>
  </r>
  <r>
    <n v="3234"/>
    <s v="Fortress"/>
    <s v="Tung Chun"/>
    <x v="51"/>
    <n v="3"/>
    <x v="15"/>
    <x v="33"/>
    <s v="輕觸式燒烤微波爐"/>
    <s v="細電"/>
    <s v="MCA"/>
    <s v="eg20"/>
    <n v="1"/>
    <n v="698"/>
    <n v="698"/>
    <n v="1024127"/>
    <m/>
    <m/>
    <s v="MM2-EG20PC(WH) 1024127"/>
    <n v="918"/>
    <n v="0.76034858387799564"/>
    <s v="Shops Highest Price"/>
    <m/>
    <s v="1024127"/>
  </r>
  <r>
    <n v="3235"/>
    <s v="Fortress"/>
    <s v="Tung Chun"/>
    <x v="51"/>
    <n v="3"/>
    <x v="15"/>
    <x v="103"/>
    <s v="變頻下置式雙門雪櫃"/>
    <s v="大電"/>
    <s v="REF"/>
    <s v="rb449"/>
    <n v="1"/>
    <n v="4880"/>
    <n v="4880"/>
    <n v="930973"/>
    <m/>
    <m/>
    <s v="GR-RB449WE-PMA(57) 930973"/>
    <n v="6280"/>
    <n v="0.77707006369426757"/>
    <s v="Toshiba SRP"/>
    <m/>
    <s v="930973"/>
  </r>
  <r>
    <n v="3236"/>
    <s v="Fortress"/>
    <s v="Tung Chun"/>
    <x v="51"/>
    <n v="3"/>
    <x v="15"/>
    <x v="75"/>
    <s v="日式洗衣機 (8公斤 結合高低水位)"/>
    <s v="大電"/>
    <s v="LAD"/>
    <s v="q901"/>
    <n v="1"/>
    <n v="2280"/>
    <n v="2280"/>
    <n v="1024183"/>
    <m/>
    <m/>
    <s v="AW-Q901BPH(WW) 1024183"/>
    <n v="3780"/>
    <n v="0.60317460317460314"/>
    <s v="Toshiba SRP"/>
    <m/>
    <s v="1024183"/>
  </r>
  <r>
    <n v="3237"/>
    <s v="Fortress"/>
    <s v="Tung Chun"/>
    <x v="51"/>
    <n v="3"/>
    <x v="15"/>
    <x v="41"/>
    <s v="低醣磁應電飯煲1.8L"/>
    <s v="細電"/>
    <s v="SDA"/>
    <s v="18isph"/>
    <n v="1"/>
    <n v="898"/>
    <n v="898"/>
    <n v="1024128"/>
    <m/>
    <m/>
    <s v="RC-18ISPH 1024128"/>
    <n v="1436"/>
    <n v="0.62534818941504178"/>
    <s v="Shops Highest Price"/>
    <m/>
    <s v="1024128"/>
  </r>
  <r>
    <n v="3238"/>
    <s v="Fortress"/>
    <s v="Tung Chun"/>
    <x v="51"/>
    <n v="3"/>
    <x v="15"/>
    <x v="44"/>
    <s v="1.7L無線雙層電熱水壺"/>
    <s v="細電"/>
    <s v="SDA"/>
    <s v="17shnh"/>
    <n v="1"/>
    <n v="198"/>
    <n v="198"/>
    <n v="1024195"/>
    <m/>
    <m/>
    <s v="KT-17SHNH 1024195"/>
    <n v="299"/>
    <n v="0.66220735785953178"/>
    <s v="Shops Highest Price"/>
    <m/>
    <s v="1024195"/>
  </r>
  <r>
    <n v="3239"/>
    <s v="Fortress"/>
    <s v="Tung Chun"/>
    <x v="51"/>
    <n v="3"/>
    <x v="15"/>
    <x v="31"/>
    <s v="無線雙層電熱水壺(1.7公升)"/>
    <s v="細電"/>
    <s v="SDA"/>
    <s v="17drt"/>
    <n v="1"/>
    <n v="388"/>
    <n v="388"/>
    <n v="931004"/>
    <m/>
    <m/>
    <s v="KT-17DRTHK(H) 931004"/>
    <n v="498"/>
    <n v="0.77911646586345384"/>
    <s v="Toshiba SRP"/>
    <m/>
    <s v="931004"/>
  </r>
  <r>
    <n v="3240"/>
    <s v="Fortress"/>
    <s v="Tung Chun"/>
    <x v="51"/>
    <n v="3"/>
    <x v="15"/>
    <x v="33"/>
    <s v="輕觸式燒烤微波爐"/>
    <s v="細電"/>
    <s v="MCA"/>
    <s v="eg20"/>
    <n v="1"/>
    <n v="698"/>
    <n v="698"/>
    <n v="931016"/>
    <m/>
    <m/>
    <s v="MM2-EG20PC(WH) 931016"/>
    <n v="918"/>
    <n v="0.76034858387799564"/>
    <s v="Shops Highest Price"/>
    <m/>
    <s v="931016"/>
  </r>
  <r>
    <n v="3241"/>
    <s v="Fortress"/>
    <s v="Tung Chun"/>
    <x v="51"/>
    <n v="3"/>
    <x v="15"/>
    <x v="52"/>
    <s v="35L多功能電焗爐"/>
    <s v="細電"/>
    <s v="SDA"/>
    <s v="mc35"/>
    <n v="1"/>
    <n v="888"/>
    <n v="888"/>
    <n v="1024235"/>
    <m/>
    <m/>
    <s v="TL-MC35Z 1024235"/>
    <n v="1098"/>
    <n v="0.80874316939890711"/>
    <s v="Toshiba SRP"/>
    <m/>
    <s v="1024235"/>
  </r>
  <r>
    <n v="3242"/>
    <s v="Fortress"/>
    <s v="Tung Chun"/>
    <x v="51"/>
    <n v="3"/>
    <x v="15"/>
    <x v="30"/>
    <s v="旋鈕式燒烤微波爐20L"/>
    <s v="細電"/>
    <s v="SDA"/>
    <s v="mm20"/>
    <n v="1"/>
    <n v="488"/>
    <n v="488"/>
    <n v="1024195"/>
    <s v="1025195&gt;1024195"/>
    <m/>
    <s v="MWP-MM20P(WH) 1024195"/>
    <n v="648"/>
    <n v="0.75308641975308643"/>
    <s v="Toshiba SRP"/>
    <m/>
    <s v="1024195"/>
  </r>
  <r>
    <n v="3243"/>
    <s v="Fortress"/>
    <s v="Tung Chun"/>
    <x v="51"/>
    <n v="3"/>
    <x v="15"/>
    <x v="97"/>
    <s v="變頻二合一空氣淨化抽濕機 (28公升)"/>
    <s v="大電"/>
    <s v="RAC"/>
    <s v="dia17"/>
    <n v="1"/>
    <n v="3580"/>
    <n v="3580"/>
    <n v="930786"/>
    <m/>
    <m/>
    <s v="RAD-DIA17HK 930786"/>
    <n v="4980"/>
    <n v="0.71887550200803207"/>
    <s v="Toshiba SRP"/>
    <m/>
    <s v="930786"/>
  </r>
  <r>
    <n v="3244"/>
    <s v="Fortress"/>
    <s v="Tung Chun"/>
    <x v="51"/>
    <n v="3"/>
    <x v="15"/>
    <x v="34"/>
    <s v="智能氣炸烤焗爐(24公升)"/>
    <s v="細電"/>
    <s v="MCA"/>
    <s v="sac24"/>
    <n v="1"/>
    <n v="1320"/>
    <n v="1320"/>
    <n v="930898"/>
    <m/>
    <m/>
    <s v="MW3-SAC24SE(BK) 930898"/>
    <n v="1680"/>
    <n v="0.7857142857142857"/>
    <s v="Toshiba SRP"/>
    <m/>
    <s v="930898"/>
  </r>
  <r>
    <n v="3245"/>
    <s v="Fortress"/>
    <s v="Tung Chun"/>
    <x v="51"/>
    <n v="3"/>
    <x v="19"/>
    <x v="17"/>
    <s v="4毫米厚釜電飯煲1L"/>
    <s v="細電"/>
    <s v="SDA"/>
    <s v="10nmf"/>
    <n v="1"/>
    <n v="719"/>
    <n v="719"/>
    <n v="1024364"/>
    <m/>
    <m/>
    <s v="RC-10NMFIH(WT) 1024364"/>
    <n v="898"/>
    <n v="0.80066815144766146"/>
    <s v="Toshiba SRP"/>
    <m/>
    <s v="1024364"/>
  </r>
  <r>
    <n v="3246"/>
    <s v="Fortress"/>
    <s v="Tung Chun"/>
    <x v="51"/>
    <n v="3"/>
    <x v="19"/>
    <x v="21"/>
    <s v="壓縮式抽濕機 (30公升)"/>
    <s v="細電"/>
    <s v="RAC"/>
    <s v="d300"/>
    <n v="1"/>
    <n v="2280"/>
    <n v="2280"/>
    <n v="1024371"/>
    <m/>
    <m/>
    <s v="RAD-D300H 1024371"/>
    <n v="3380"/>
    <n v="0.67455621301775148"/>
    <s v="Shops Highest Price"/>
    <m/>
    <s v="1024371"/>
  </r>
  <r>
    <n v="3247"/>
    <s v="Fortress"/>
    <s v="Tung Chun"/>
    <x v="51"/>
    <n v="3"/>
    <x v="19"/>
    <x v="17"/>
    <s v="4毫米厚釜電飯煲1L"/>
    <s v="細電"/>
    <s v="SDA"/>
    <s v="10nmf"/>
    <n v="1"/>
    <n v="719"/>
    <n v="719"/>
    <n v="931110"/>
    <m/>
    <m/>
    <s v="RC-10NMFIH(WT) 931110"/>
    <n v="898"/>
    <n v="0.80066815144766146"/>
    <s v="Toshiba SRP"/>
    <m/>
    <s v="931110"/>
  </r>
  <r>
    <n v="3248"/>
    <s v="Fortress"/>
    <s v="Tung Chun"/>
    <x v="51"/>
    <n v="3"/>
    <x v="19"/>
    <x v="9"/>
    <s v="電熱水瓶4.5L"/>
    <s v="細電"/>
    <s v="SDA"/>
    <s v="45sf"/>
    <n v="1"/>
    <n v="589"/>
    <n v="589"/>
    <n v="931142"/>
    <m/>
    <m/>
    <s v="PLK-45SFIH(WT) 931142"/>
    <n v="788"/>
    <n v="0.7474619289340102"/>
    <s v="Toshiba SRP"/>
    <m/>
    <s v="931142"/>
  </r>
  <r>
    <n v="3249"/>
    <s v="Fortress"/>
    <s v="Tung Chun"/>
    <x v="51"/>
    <n v="3"/>
    <x v="20"/>
    <x v="48"/>
    <s v="3合1 微波蒸焗爐 (20公升)"/>
    <s v="細電"/>
    <s v="MCA"/>
    <s v="tt20"/>
    <n v="1"/>
    <n v="2580"/>
    <n v="2580"/>
    <n v="931126"/>
    <m/>
    <m/>
    <s v="MX2-TT20SC(WH) 931126"/>
    <n v="3580"/>
    <n v="0.72067039106145248"/>
    <s v="Toshiba SRP"/>
    <m/>
    <s v="931126"/>
  </r>
  <r>
    <n v="3250"/>
    <s v="Fortress"/>
    <s v="Tung Chun"/>
    <x v="51"/>
    <n v="3"/>
    <x v="20"/>
    <x v="54"/>
    <s v="低醣磁應電飯煲1L"/>
    <s v="細電"/>
    <s v="SDA"/>
    <s v="10irph"/>
    <n v="1"/>
    <n v="798"/>
    <n v="798"/>
    <n v="931155"/>
    <m/>
    <m/>
    <s v="RC-10IRPH 931155"/>
    <n v="1388"/>
    <n v="0.5749279538904899"/>
    <s v="Toshiba SRP"/>
    <m/>
    <s v="931155"/>
  </r>
  <r>
    <n v="3251"/>
    <s v="Fortress"/>
    <s v="Tung Chun"/>
    <x v="51"/>
    <n v="3"/>
    <x v="20"/>
    <x v="41"/>
    <s v="低醣磁應電飯煲1.8L"/>
    <s v="細電"/>
    <s v="SDA"/>
    <s v="18isph"/>
    <n v="1"/>
    <n v="898"/>
    <n v="898"/>
    <n v="931178"/>
    <m/>
    <m/>
    <s v="RC-18ISPH 931178"/>
    <n v="1436"/>
    <n v="0.62534818941504178"/>
    <s v="Shops Highest Price"/>
    <m/>
    <s v="931178"/>
  </r>
  <r>
    <n v="3252"/>
    <s v="Fortress"/>
    <s v="Tung Chun"/>
    <x v="51"/>
    <n v="3"/>
    <x v="20"/>
    <x v="31"/>
    <s v="無線雙層電熱水壺(1.7公升)"/>
    <s v="細電"/>
    <s v="SDA"/>
    <s v="17drt"/>
    <n v="1"/>
    <n v="388"/>
    <n v="388"/>
    <n v="1024428"/>
    <m/>
    <m/>
    <s v="KT-17DRTHK(H) 1024428"/>
    <n v="498"/>
    <n v="0.77911646586345384"/>
    <s v="Toshiba SRP"/>
    <m/>
    <s v="1024428"/>
  </r>
  <r>
    <n v="3253"/>
    <s v="Fortress"/>
    <s v="Tung Chun"/>
    <x v="51"/>
    <n v="3"/>
    <x v="20"/>
    <x v="44"/>
    <s v="1.7L無線雙層電熱水壺"/>
    <s v="細電"/>
    <s v="SDA"/>
    <s v="17shnh"/>
    <n v="1"/>
    <n v="198"/>
    <n v="198"/>
    <n v="1024441"/>
    <m/>
    <m/>
    <s v="KT-17SHNH 1024441"/>
    <n v="299"/>
    <n v="0.66220735785953178"/>
    <s v="Shops Highest Price"/>
    <m/>
    <s v="1024441"/>
  </r>
  <r>
    <n v="3254"/>
    <s v="Fortress"/>
    <s v="Tung Chun"/>
    <x v="51"/>
    <n v="3"/>
    <x v="20"/>
    <x v="44"/>
    <s v="1.7L無線雙層電熱水壺"/>
    <s v="細電"/>
    <s v="SDA"/>
    <s v="17shnh"/>
    <n v="1"/>
    <n v="198"/>
    <n v="198"/>
    <n v="931164"/>
    <m/>
    <m/>
    <s v="KT-17SHNH 931164"/>
    <n v="299"/>
    <n v="0.66220735785953178"/>
    <s v="Shops Highest Price"/>
    <m/>
    <s v="931164"/>
  </r>
  <r>
    <n v="3255"/>
    <s v="Fortress"/>
    <s v="Tung Chun"/>
    <x v="51"/>
    <n v="3"/>
    <x v="20"/>
    <x v="100"/>
    <s v="3/4 匹 窗口式冷氣機(remote/fortress)"/>
    <s v="大電"/>
    <s v="AC"/>
    <s v="07g3cvf"/>
    <n v="1"/>
    <n v="3880"/>
    <n v="3880"/>
    <n v="931139"/>
    <m/>
    <m/>
    <s v="RAC-07G3CVRG-HK 931139"/>
    <n v="5580"/>
    <n v="0.69534050179211471"/>
    <s v="Toshiba SRP"/>
    <m/>
    <s v="931139"/>
  </r>
  <r>
    <n v="3256"/>
    <s v="Fortress"/>
    <s v="Tung Chun"/>
    <x v="51"/>
    <n v="3"/>
    <x v="20"/>
    <x v="102"/>
    <s v="變頻頂揭式洗衣機 (8公斤)"/>
    <s v="大電"/>
    <s v="LAD"/>
    <s v="cfk01w80"/>
    <n v="1"/>
    <n v="3690"/>
    <n v="3690"/>
    <n v="931101"/>
    <m/>
    <m/>
    <s v="CFK01W80 931101"/>
    <n v="3690"/>
    <n v="1"/>
    <s v="Shops Highest Price"/>
    <m/>
    <s v="931101"/>
  </r>
  <r>
    <n v="3257"/>
    <s v="Fortress"/>
    <s v="Tung Chun"/>
    <x v="51"/>
    <n v="3"/>
    <x v="21"/>
    <x v="110"/>
    <s v="變頻六門雪櫃(451L)"/>
    <s v="大電"/>
    <s v="REF"/>
    <s v="rm598"/>
    <n v="1"/>
    <n v="10990"/>
    <n v="10990"/>
    <n v="931212"/>
    <m/>
    <m/>
    <s v="GR-RM598WE-PGA(B3) 931212"/>
    <n v="14980"/>
    <n v="0.73364485981308414"/>
    <s v="Toshiba SRP"/>
    <m/>
    <s v="931212"/>
  </r>
  <r>
    <n v="3258"/>
    <s v="Fortress"/>
    <s v="Tung Chun"/>
    <x v="51"/>
    <n v="3"/>
    <x v="21"/>
    <x v="102"/>
    <s v="變頻頂揭式洗衣機 (8公斤)"/>
    <s v="大電"/>
    <s v="LAD"/>
    <s v="cfk01w80"/>
    <n v="1"/>
    <n v="3690"/>
    <n v="3690"/>
    <n v="931208"/>
    <m/>
    <m/>
    <s v="CFK01W80 931208"/>
    <n v="3690"/>
    <n v="1"/>
    <s v="Shops Highest Price"/>
    <m/>
    <s v="931208"/>
  </r>
  <r>
    <n v="3259"/>
    <s v="Fortress"/>
    <s v="Tung Chun"/>
    <x v="51"/>
    <n v="3"/>
    <x v="21"/>
    <x v="92"/>
    <s v="1 匹 R32變頻窗口式冷氣機 (獨立抽濕遙控"/>
    <s v="大電"/>
    <s v="AC"/>
    <s v="09g3cvr"/>
    <n v="1"/>
    <n v="4980"/>
    <n v="4980"/>
    <n v="931208"/>
    <m/>
    <m/>
    <s v="RAC-09G3CVRGR-HK 931208"/>
    <n v="6980"/>
    <n v="0.71346704871060174"/>
    <s v="Toshiba SRP"/>
    <m/>
    <s v="931208"/>
  </r>
  <r>
    <n v="3260"/>
    <s v="Fortress"/>
    <s v="Tung Chun"/>
    <x v="51"/>
    <n v="3"/>
    <x v="21"/>
    <x v="74"/>
    <s v="4合1氣炸微波蒸焗爐(25公升)"/>
    <s v="細電"/>
    <s v="MCA"/>
    <s v="str25"/>
    <n v="1"/>
    <n v="3580"/>
    <n v="3580"/>
    <n v="1024588"/>
    <m/>
    <m/>
    <s v="MX2-STR25SC(WH) 1024588"/>
    <n v="4998"/>
    <n v="0.71628651460584236"/>
    <s v="Toshiba SRP"/>
    <m/>
    <s v="1024588"/>
  </r>
  <r>
    <n v="3261"/>
    <s v="Fortress"/>
    <s v="Tung Chun"/>
    <x v="51"/>
    <n v="3"/>
    <x v="21"/>
    <x v="48"/>
    <s v="3合1 微波蒸焗爐 (20公升)"/>
    <s v="細電"/>
    <s v="MCA"/>
    <s v="tt20"/>
    <n v="1"/>
    <n v="2580"/>
    <n v="2580"/>
    <n v="931200"/>
    <m/>
    <m/>
    <s v="MX2-TT20SC(WH) 931200"/>
    <n v="3580"/>
    <n v="0.72067039106145248"/>
    <s v="Toshiba SRP"/>
    <m/>
    <s v="931200"/>
  </r>
  <r>
    <n v="3262"/>
    <s v="Fortress"/>
    <s v="Tung Chun"/>
    <x v="51"/>
    <n v="3"/>
    <x v="21"/>
    <x v="17"/>
    <s v="4毫米厚釜電飯煲1L"/>
    <s v="細電"/>
    <s v="SDA"/>
    <s v="10nmf"/>
    <n v="1"/>
    <n v="719"/>
    <n v="719"/>
    <n v="931257"/>
    <m/>
    <m/>
    <s v="RC-10NMFIH(WT) 931257"/>
    <n v="898"/>
    <n v="0.80066815144766146"/>
    <s v="Toshiba SRP"/>
    <m/>
    <s v="931257"/>
  </r>
  <r>
    <n v="3263"/>
    <s v="Fortress"/>
    <s v="Tung Chun"/>
    <x v="51"/>
    <n v="3"/>
    <x v="21"/>
    <x v="107"/>
    <s v="1.5L無線雙層電熱水壺"/>
    <s v="細電"/>
    <s v="SDA"/>
    <s v="15drr"/>
    <n v="1"/>
    <n v="298"/>
    <n v="298"/>
    <n v="1024763"/>
    <m/>
    <m/>
    <s v="KT-15DRRH 1024763"/>
    <n v="438"/>
    <n v="0.68036529680365299"/>
    <s v="Toshiba SRP"/>
    <m/>
    <s v="1024763"/>
  </r>
  <r>
    <n v="3264"/>
    <s v="Fortress"/>
    <s v="Tung Chun"/>
    <x v="51"/>
    <n v="3"/>
    <x v="21"/>
    <x v="95"/>
    <s v="抗菌除臭空氣清淨機"/>
    <s v="細電"/>
    <s v="AP"/>
    <s v="a400"/>
    <n v="1"/>
    <n v="888"/>
    <n v="888"/>
    <n v="1024771"/>
    <m/>
    <m/>
    <s v="CAF-A400HK(H) 1024771"/>
    <n v="1500"/>
    <n v="0.59199999999999997"/>
    <s v="Shops Highest Price"/>
    <m/>
    <s v="1024771"/>
  </r>
  <r>
    <n v="3265"/>
    <s v="Fortress"/>
    <s v="Tung Chun"/>
    <x v="51"/>
    <n v="3"/>
    <x v="21"/>
    <x v="36"/>
    <s v="輕觸式微波爐 (20公升)"/>
    <s v="細電"/>
    <s v="MCA"/>
    <s v="em20"/>
    <n v="1"/>
    <n v="598"/>
    <n v="598"/>
    <n v="931268"/>
    <m/>
    <m/>
    <s v="MM2-EM20PC(WH) 931268"/>
    <n v="788"/>
    <n v="0.75888324873096447"/>
    <s v="Toshiba SRP"/>
    <m/>
    <s v="931268"/>
  </r>
  <r>
    <n v="3266"/>
    <s v="Fortress"/>
    <s v="Tung Chun"/>
    <x v="51"/>
    <n v="3"/>
    <x v="30"/>
    <x v="116"/>
    <s v="IH磁應電飯煲"/>
    <s v="細電"/>
    <s v="SDA"/>
    <s v="ds18kw"/>
    <n v="1"/>
    <n v="3490"/>
    <n v="3490"/>
    <n v="1024718"/>
    <m/>
    <m/>
    <s v="RC-DS18K(N) 1024718"/>
    <n v="4988"/>
    <n v="0.69967923015236566"/>
    <s v="Toshiba SRP"/>
    <m/>
    <s v="1024718"/>
  </r>
  <r>
    <n v="3267"/>
    <s v="Fortress"/>
    <s v="Tung Chun"/>
    <x v="51"/>
    <n v="3"/>
    <x v="30"/>
    <x v="44"/>
    <s v="1.7L無線雙層電熱水壺"/>
    <s v="細電"/>
    <s v="SDA"/>
    <s v="17shnh"/>
    <n v="1"/>
    <n v="198"/>
    <n v="198"/>
    <n v="1024738"/>
    <m/>
    <m/>
    <s v="KT-17SHNH 1024738"/>
    <n v="299"/>
    <n v="0.66220735785953178"/>
    <s v="Shops Highest Price"/>
    <m/>
    <s v="1024738"/>
  </r>
  <r>
    <n v="3268"/>
    <s v="Fortress"/>
    <s v="Tung Chun"/>
    <x v="51"/>
    <n v="3"/>
    <x v="30"/>
    <x v="56"/>
    <s v="多士焗爐8L"/>
    <s v="細電"/>
    <s v="SDA"/>
    <n v="7080"/>
    <n v="1"/>
    <n v="318"/>
    <n v="318"/>
    <n v="931260"/>
    <m/>
    <m/>
    <s v="ET-TD7080(PN) 931260"/>
    <n v="498"/>
    <n v="0.63855421686746983"/>
    <s v="Toshiba SRP"/>
    <m/>
    <s v="931260"/>
  </r>
  <r>
    <n v="3269"/>
    <s v="Fortress"/>
    <s v="Tung Chun"/>
    <x v="51"/>
    <n v="3"/>
    <x v="30"/>
    <x v="21"/>
    <s v="壓縮式抽濕機 (30公升)"/>
    <s v="細電"/>
    <s v="RAC"/>
    <s v="d300"/>
    <n v="1"/>
    <n v="2280"/>
    <n v="2280"/>
    <n v="931256"/>
    <m/>
    <m/>
    <s v="RAD-D300H 931256"/>
    <n v="3380"/>
    <n v="0.67455621301775148"/>
    <s v="Shops Highest Price"/>
    <m/>
    <s v="931256"/>
  </r>
  <r>
    <n v="3270"/>
    <s v="Fortress"/>
    <s v="Tung Chun"/>
    <x v="51"/>
    <n v="3"/>
    <x v="30"/>
    <x v="77"/>
    <s v="470MM超薄身前置式變頻洗衣乾衣機 (洗8.5公斤/乾6公斤, 可飛頂)"/>
    <s v="大電"/>
    <s v="LAD"/>
    <s v="twdt22"/>
    <n v="1"/>
    <n v="4780"/>
    <n v="4780"/>
    <n v="1024867"/>
    <m/>
    <m/>
    <s v="TWD-T22BU95UWH(WK)-B 1024867"/>
    <n v="7480"/>
    <n v="0.63903743315508021"/>
    <s v="Toshiba SRP"/>
    <m/>
    <s v="1024867"/>
  </r>
  <r>
    <n v="3271"/>
    <s v="Fortress"/>
    <s v="Tung Chun"/>
    <x v="51"/>
    <n v="3"/>
    <x v="30"/>
    <x v="44"/>
    <s v="1.7L無線雙層電熱水壺"/>
    <s v="細電"/>
    <s v="SDA"/>
    <s v="17shnh"/>
    <n v="1"/>
    <n v="198"/>
    <n v="198"/>
    <n v="931279"/>
    <m/>
    <m/>
    <s v="KT-17SHNH 931279"/>
    <n v="299"/>
    <n v="0.66220735785953178"/>
    <s v="Shops Highest Price"/>
    <m/>
    <s v="931279"/>
  </r>
  <r>
    <n v="3272"/>
    <s v="Fortress"/>
    <s v="Tung Chun"/>
    <x v="51"/>
    <n v="3"/>
    <x v="30"/>
    <x v="105"/>
    <s v="旋鈕式燒烤微波爐20L黑色"/>
    <s v="細電"/>
    <s v="SDA"/>
    <s v="mg20"/>
    <n v="1"/>
    <n v="579"/>
    <n v="579"/>
    <n v="1024848"/>
    <m/>
    <m/>
    <s v="MWP-MG20P(BK) 1024848"/>
    <n v="918"/>
    <n v="0.63071895424836599"/>
    <s v="Toshiba SRP"/>
    <m/>
    <s v="1024848"/>
  </r>
  <r>
    <n v="3273"/>
    <s v="Fortress"/>
    <s v="Tung Chun"/>
    <x v="51"/>
    <n v="3"/>
    <x v="22"/>
    <x v="48"/>
    <s v="3合1 微波蒸焗爐 (20公升)"/>
    <s v="細電"/>
    <s v="MCA"/>
    <s v="tt20"/>
    <n v="1"/>
    <n v="2580"/>
    <n v="2580"/>
    <n v="1024988"/>
    <m/>
    <m/>
    <s v="MX2-TT20SC(WH) 1024988"/>
    <n v="3580"/>
    <n v="0.72067039106145248"/>
    <s v="Toshiba SRP"/>
    <m/>
    <s v="1024988"/>
  </r>
  <r>
    <n v="3274"/>
    <s v="Fortress"/>
    <s v="Tung Chun"/>
    <x v="51"/>
    <n v="3"/>
    <x v="22"/>
    <x v="44"/>
    <s v="1.7L無線雙層電熱水壺"/>
    <s v="細電"/>
    <s v="SDA"/>
    <s v="17shnh"/>
    <n v="1"/>
    <n v="198"/>
    <n v="198"/>
    <n v="1024964"/>
    <m/>
    <m/>
    <s v="KT-17SHNH 1024964"/>
    <n v="299"/>
    <n v="0.66220735785953178"/>
    <s v="Shops Highest Price"/>
    <m/>
    <s v="1024964"/>
  </r>
  <r>
    <n v="3275"/>
    <s v="Fortress"/>
    <s v="Tung Chun"/>
    <x v="51"/>
    <n v="3"/>
    <x v="22"/>
    <x v="31"/>
    <s v="無線雙層電熱水壺(1.7公升)"/>
    <s v="細電"/>
    <s v="SDA"/>
    <s v="17drt"/>
    <n v="1"/>
    <n v="388"/>
    <n v="388"/>
    <n v="1024945"/>
    <m/>
    <m/>
    <s v="KT-17DRTHK(H) 1024945"/>
    <n v="498"/>
    <n v="0.77911646586345384"/>
    <s v="Toshiba SRP"/>
    <m/>
    <s v="1024945"/>
  </r>
  <r>
    <n v="3276"/>
    <s v="Fortress"/>
    <s v="Tung Chun"/>
    <x v="51"/>
    <n v="3"/>
    <x v="22"/>
    <x v="34"/>
    <s v="智能氣炸烤焗爐(24公升)"/>
    <s v="細電"/>
    <s v="MCA"/>
    <s v="sac24"/>
    <n v="1"/>
    <n v="1320"/>
    <n v="1320"/>
    <n v="931468"/>
    <m/>
    <m/>
    <s v="MW3-SAC24SE(BK) 931468"/>
    <n v="1680"/>
    <n v="0.7857142857142857"/>
    <s v="Toshiba SRP"/>
    <m/>
    <s v="931468"/>
  </r>
  <r>
    <n v="3277"/>
    <s v="Fortress"/>
    <s v="Tung Chun"/>
    <x v="51"/>
    <n v="3"/>
    <x v="22"/>
    <x v="36"/>
    <s v="輕觸式微波爐 (20公升)"/>
    <s v="細電"/>
    <s v="MCA"/>
    <s v="em20"/>
    <n v="1"/>
    <n v="598"/>
    <n v="598"/>
    <n v="931480"/>
    <m/>
    <m/>
    <s v="MM2-EM20PC(WH) 931480"/>
    <n v="788"/>
    <n v="0.75888324873096447"/>
    <s v="Toshiba SRP"/>
    <m/>
    <s v="931480"/>
  </r>
  <r>
    <n v="3278"/>
    <s v="Fortress"/>
    <s v="Tung Chun"/>
    <x v="51"/>
    <n v="3"/>
    <x v="22"/>
    <x v="111"/>
    <s v="470MM超薄身前置式變頻洗衣機(8.5公斤)"/>
    <s v="大電"/>
    <s v="LAD"/>
    <s v="bu95"/>
    <n v="1"/>
    <n v="3590"/>
    <n v="3590"/>
    <n v="1025177"/>
    <m/>
    <m/>
    <s v="TW-T21BU95UWH(MG) 1025177"/>
    <n v="3980"/>
    <n v="0.90201005025125625"/>
    <s v="Shops Highest Price"/>
    <m/>
    <s v="1025177"/>
  </r>
  <r>
    <n v="3279"/>
    <s v="Fortress"/>
    <s v="Tung Chun"/>
    <x v="51"/>
    <n v="3"/>
    <x v="22"/>
    <x v="48"/>
    <s v="3合1 微波蒸焗爐 (20公升)"/>
    <s v="細電"/>
    <s v="MCA"/>
    <s v="tt20"/>
    <n v="1"/>
    <n v="2580"/>
    <n v="2580"/>
    <n v="931517"/>
    <m/>
    <m/>
    <s v="MX2-TT20SC(WH) 931517"/>
    <n v="3580"/>
    <n v="0.72067039106145248"/>
    <s v="Toshiba SRP"/>
    <m/>
    <s v="931517"/>
  </r>
  <r>
    <n v="3280"/>
    <s v="Fortress"/>
    <s v="Tung Chun"/>
    <x v="51"/>
    <n v="3"/>
    <x v="22"/>
    <x v="69"/>
    <s v="多功能備長炭本厚釜電飯煲1.8L"/>
    <s v="細電"/>
    <s v="SDA"/>
    <s v="18drnh"/>
    <n v="1"/>
    <n v="619"/>
    <n v="619"/>
    <n v="1025124"/>
    <m/>
    <m/>
    <s v="RC-18DRNH 1025124"/>
    <n v="898"/>
    <n v="0.68930957683741645"/>
    <s v="Toshiba SRP"/>
    <m/>
    <s v="1025124"/>
  </r>
  <r>
    <n v="3281"/>
    <s v="Fortress"/>
    <s v="Tung Chun"/>
    <x v="51"/>
    <n v="3"/>
    <x v="22"/>
    <x v="27"/>
    <s v="4毫米厚釜電飯煲1.8L"/>
    <s v="細電"/>
    <s v="SDA"/>
    <s v="18nmf"/>
    <n v="1"/>
    <n v="799"/>
    <n v="799"/>
    <n v="1025023"/>
    <m/>
    <m/>
    <s v="RC-18NMFIH(WT) 1025023"/>
    <n v="998"/>
    <n v="0.80060120240480959"/>
    <s v="Toshiba SRP"/>
    <m/>
    <s v="1025023"/>
  </r>
  <r>
    <n v="3282"/>
    <s v="Fortress"/>
    <s v="Tung Chun"/>
    <x v="51"/>
    <n v="3"/>
    <x v="22"/>
    <x v="31"/>
    <s v="無線雙層電熱水壺(1.7公升)"/>
    <s v="細電"/>
    <s v="SDA"/>
    <s v="17drt"/>
    <n v="1"/>
    <n v="388"/>
    <n v="388"/>
    <n v="1025135"/>
    <m/>
    <m/>
    <s v="KT-17DRTHK(H) 1025135"/>
    <n v="498"/>
    <n v="0.77911646586345384"/>
    <s v="Toshiba SRP"/>
    <m/>
    <s v="1025135"/>
  </r>
  <r>
    <n v="3283"/>
    <s v="Fortress"/>
    <s v="Tung Chun"/>
    <x v="51"/>
    <n v="3"/>
    <x v="22"/>
    <x v="102"/>
    <s v="變頻頂揭式洗衣機 (8公斤)"/>
    <s v="大電"/>
    <s v="LAD"/>
    <s v="cfk01w80"/>
    <n v="1"/>
    <n v="3690"/>
    <n v="3690"/>
    <n v="931527"/>
    <m/>
    <m/>
    <s v="CFK01W80 931527"/>
    <n v="3690"/>
    <n v="1"/>
    <s v="Shops Highest Price"/>
    <m/>
    <s v="931527"/>
  </r>
  <r>
    <n v="3284"/>
    <s v="Fortress"/>
    <s v="Tung Chun"/>
    <x v="51"/>
    <n v="3"/>
    <x v="22"/>
    <x v="21"/>
    <s v="壓縮式抽濕機 (30公升)"/>
    <s v="細電"/>
    <s v="RAC"/>
    <s v="d300"/>
    <n v="1"/>
    <n v="2280"/>
    <n v="2280"/>
    <n v="931538"/>
    <m/>
    <m/>
    <s v="RAD-D300H 931538"/>
    <n v="3380"/>
    <n v="0.67455621301775148"/>
    <s v="Shops Highest Price"/>
    <m/>
    <s v="931538"/>
  </r>
  <r>
    <n v="3285"/>
    <s v="Fortress"/>
    <s v="Tung Chun"/>
    <x v="50"/>
    <n v="3"/>
    <x v="26"/>
    <x v="42"/>
    <s v="變頻下置式雙門雪櫃系列270L"/>
    <s v="大電"/>
    <s v="REF"/>
    <s v="rb360"/>
    <n v="1"/>
    <n v="3680"/>
    <n v="3680"/>
    <n v="931750"/>
    <m/>
    <m/>
    <s v="GR-RB360WE-PMA(06) 931750"/>
    <n v="5080"/>
    <n v="0.72440944881889768"/>
    <s v="Toshiba SRP"/>
    <m/>
    <s v="931750"/>
  </r>
  <r>
    <n v="3286"/>
    <s v="Fortress"/>
    <s v="Tung Chun"/>
    <x v="50"/>
    <n v="3"/>
    <x v="26"/>
    <x v="94"/>
    <s v="3/4 匹 窗口式冷氣機(remote)"/>
    <s v="大電"/>
    <s v="AC"/>
    <s v="07g3cvr"/>
    <n v="2"/>
    <n v="3880"/>
    <n v="7760"/>
    <n v="931692"/>
    <m/>
    <m/>
    <s v="RAC-07G3CVRGR-HK 931692"/>
    <n v="5580"/>
    <n v="0.69534050179211471"/>
    <s v="Toshiba SRP"/>
    <m/>
    <s v="931692"/>
  </r>
  <r>
    <n v="3287"/>
    <s v="Fortress"/>
    <s v="Tung Chun"/>
    <x v="50"/>
    <n v="3"/>
    <x v="26"/>
    <x v="83"/>
    <s v="R32變頻窗口式冷氣機 (獨立抽濕遙控"/>
    <s v="大電"/>
    <s v="AC"/>
    <s v="12g3cvr"/>
    <n v="1"/>
    <n v="5980"/>
    <n v="5980"/>
    <n v="931692"/>
    <m/>
    <m/>
    <s v="RAC-12G3CVRGR-HK 931692"/>
    <n v="8680"/>
    <n v="0.68894009216589858"/>
    <s v="Toshiba SRP"/>
    <m/>
    <s v="931692"/>
  </r>
  <r>
    <n v="3288"/>
    <s v="Fortress"/>
    <s v="Tung Chun"/>
    <x v="50"/>
    <n v="3"/>
    <x v="26"/>
    <x v="94"/>
    <s v="3/4 匹 窗口式冷氣機(remote)"/>
    <s v="大電"/>
    <s v="AC"/>
    <s v="07g3cvr"/>
    <n v="2"/>
    <n v="3880"/>
    <n v="7760"/>
    <n v="931697"/>
    <m/>
    <m/>
    <s v="RAC-07G3CVRGR-HK 931697"/>
    <n v="5580"/>
    <n v="0.69534050179211471"/>
    <s v="Toshiba SRP"/>
    <m/>
    <s v="931697"/>
  </r>
  <r>
    <n v="3289"/>
    <s v="Fortress"/>
    <s v="Tung Chun"/>
    <x v="50"/>
    <n v="3"/>
    <x v="26"/>
    <x v="83"/>
    <s v="R32變頻窗口式冷氣機 (獨立抽濕遙控"/>
    <s v="大電"/>
    <s v="AC"/>
    <s v="12g3cvr"/>
    <n v="1"/>
    <n v="5980"/>
    <n v="5980"/>
    <n v="931697"/>
    <m/>
    <m/>
    <s v="RAC-12G3CVRGR-HK 931697"/>
    <n v="8680"/>
    <n v="0.68894009216589858"/>
    <s v="Toshiba SRP"/>
    <m/>
    <s v="931697"/>
  </r>
  <r>
    <n v="3290"/>
    <s v="Fortress"/>
    <s v="Tung Chun"/>
    <x v="50"/>
    <n v="3"/>
    <x v="26"/>
    <x v="103"/>
    <s v="變頻下置式雙門雪櫃"/>
    <s v="大電"/>
    <s v="REF"/>
    <s v="rb449"/>
    <n v="1"/>
    <n v="4880"/>
    <n v="4880"/>
    <n v="931715"/>
    <m/>
    <m/>
    <s v="GR-RB449WE-PMA(57) 931715"/>
    <n v="6280"/>
    <n v="0.77707006369426757"/>
    <s v="Toshiba SRP"/>
    <m/>
    <s v="931715"/>
  </r>
  <r>
    <n v="3291"/>
    <s v="Fortress"/>
    <s v="Tung Chun"/>
    <x v="50"/>
    <n v="3"/>
    <x v="26"/>
    <x v="86"/>
    <s v="470MM超薄身前置式變頻洗衣乾衣機 (洗8.5公斤 乾6公斤)"/>
    <s v="大電"/>
    <s v="LAD"/>
    <s v="twdt21"/>
    <n v="1"/>
    <n v="4380"/>
    <n v="4380"/>
    <n v="931761"/>
    <m/>
    <m/>
    <s v="TWD-T21BU95UWH(WW) 931761"/>
    <n v="7280"/>
    <n v="0.60164835164835162"/>
    <s v="Toshiba SRP"/>
    <m/>
    <s v="931761"/>
  </r>
  <r>
    <n v="3292"/>
    <s v="Fortress"/>
    <s v="Tung Chun"/>
    <x v="50"/>
    <n v="3"/>
    <x v="26"/>
    <x v="74"/>
    <s v="4合1氣炸微波蒸焗爐(25公升)"/>
    <s v="細電"/>
    <s v="MCA"/>
    <s v="str25"/>
    <n v="1"/>
    <n v="3580"/>
    <n v="3580"/>
    <n v="931624"/>
    <m/>
    <m/>
    <s v="MX2-STR25SC(WH) 931624"/>
    <n v="4998"/>
    <n v="0.71628651460584236"/>
    <s v="Toshiba SRP"/>
    <m/>
    <s v="931624"/>
  </r>
  <r>
    <n v="3293"/>
    <s v="Fortress"/>
    <s v="Tung Chun"/>
    <x v="50"/>
    <n v="3"/>
    <x v="26"/>
    <x v="54"/>
    <s v="低醣磁應電飯煲1L"/>
    <s v="細電"/>
    <s v="SDA"/>
    <s v="10irph"/>
    <n v="1"/>
    <n v="798"/>
    <n v="798"/>
    <n v="931675"/>
    <m/>
    <m/>
    <s v="RC-10IRPH 931675"/>
    <n v="1388"/>
    <n v="0.5749279538904899"/>
    <s v="Toshiba SRP"/>
    <m/>
    <s v="931675"/>
  </r>
  <r>
    <n v="3294"/>
    <s v="Fortress"/>
    <s v="Tung Chun"/>
    <x v="50"/>
    <n v="3"/>
    <x v="26"/>
    <x v="54"/>
    <s v="低醣磁應電飯煲1L"/>
    <s v="細電"/>
    <s v="SDA"/>
    <s v="10irph"/>
    <n v="1"/>
    <n v="798"/>
    <n v="798"/>
    <n v="931736"/>
    <m/>
    <m/>
    <s v="RC-10IRPH 931736"/>
    <n v="1388"/>
    <n v="0.5749279538904899"/>
    <s v="Toshiba SRP"/>
    <m/>
    <s v="931736"/>
  </r>
  <r>
    <n v="3295"/>
    <s v="Fortress"/>
    <s v="Tung Chun"/>
    <x v="50"/>
    <n v="3"/>
    <x v="26"/>
    <x v="44"/>
    <s v="1.7L無線雙層電熱水壺"/>
    <s v="細電"/>
    <s v="SDA"/>
    <s v="17shnh"/>
    <n v="1"/>
    <n v="198"/>
    <n v="198"/>
    <n v="931721"/>
    <m/>
    <m/>
    <s v="KT-17SHNH 931721"/>
    <n v="299"/>
    <n v="0.66220735785953178"/>
    <s v="Shops Highest Price"/>
    <m/>
    <s v="931721"/>
  </r>
  <r>
    <n v="3296"/>
    <s v="Fortress"/>
    <s v="Tung Chun"/>
    <x v="51"/>
    <n v="3"/>
    <x v="27"/>
    <x v="31"/>
    <s v="無線雙層電熱水壺(1.7公升)"/>
    <s v="細電"/>
    <s v="SDA"/>
    <s v="17drt"/>
    <n v="1"/>
    <n v="388"/>
    <n v="388"/>
    <n v="1025309"/>
    <m/>
    <m/>
    <s v="KT-17DRTHK(H) 1025309"/>
    <n v="498"/>
    <n v="0.77911646586345384"/>
    <s v="Toshiba SRP"/>
    <m/>
    <s v="1025309"/>
  </r>
  <r>
    <n v="3297"/>
    <s v="Fortress"/>
    <s v="Tung Chun"/>
    <x v="51"/>
    <n v="3"/>
    <x v="27"/>
    <x v="44"/>
    <s v="1.7L無線雙層電熱水壺"/>
    <s v="細電"/>
    <s v="SDA"/>
    <s v="17shnh"/>
    <n v="1"/>
    <n v="198"/>
    <n v="198"/>
    <n v="1025240"/>
    <m/>
    <m/>
    <s v="KT-17SHNH 1025240"/>
    <n v="299"/>
    <n v="0.66220735785953178"/>
    <s v="Shops Highest Price"/>
    <m/>
    <s v="1025240"/>
  </r>
  <r>
    <n v="3298"/>
    <s v="Fortress"/>
    <s v="Tung Chun"/>
    <x v="51"/>
    <n v="3"/>
    <x v="27"/>
    <x v="92"/>
    <s v="1 匹 R32變頻窗口式冷氣機 (獨立抽濕遙控"/>
    <s v="大電"/>
    <s v="AC"/>
    <s v="09g3cvr"/>
    <n v="1"/>
    <n v="4980"/>
    <n v="4980"/>
    <n v="1025279"/>
    <m/>
    <m/>
    <s v="RAC-09G3CVRGR-HK 1025279"/>
    <n v="6980"/>
    <n v="0.71346704871060174"/>
    <s v="Toshiba SRP"/>
    <m/>
    <s v="1025279"/>
  </r>
  <r>
    <n v="3299"/>
    <s v="Fortress"/>
    <s v="Tung Chun"/>
    <x v="51"/>
    <n v="3"/>
    <x v="27"/>
    <x v="89"/>
    <s v="2 匹 R32變頻窗口式冷氣機 (remote)"/>
    <s v="大電"/>
    <s v="AC"/>
    <s v="18g3cvr"/>
    <n v="1"/>
    <n v="6980"/>
    <n v="6980"/>
    <n v="1025300"/>
    <m/>
    <m/>
    <s v="RAC-18G3CVRGR-HK 1025300"/>
    <n v="10380"/>
    <n v="0.67244701348747593"/>
    <s v="Toshiba SRP"/>
    <m/>
    <s v="1025300"/>
  </r>
  <r>
    <n v="3300"/>
    <s v="Fortress"/>
    <s v="Tung Chun"/>
    <x v="51"/>
    <n v="3"/>
    <x v="27"/>
    <x v="74"/>
    <s v="4合1氣炸微波蒸焗爐(25公升)"/>
    <s v="細電"/>
    <s v="MCA"/>
    <s v="str25"/>
    <n v="1"/>
    <n v="3580"/>
    <n v="3580"/>
    <n v="931809"/>
    <m/>
    <m/>
    <s v="MX2-STR25SC(WH) 931809"/>
    <n v="4998"/>
    <n v="0.71628651460584236"/>
    <s v="Toshiba SRP"/>
    <m/>
    <s v="931809"/>
  </r>
  <r>
    <n v="3301"/>
    <s v="Fortress"/>
    <s v="Tung Chun"/>
    <x v="51"/>
    <n v="3"/>
    <x v="27"/>
    <x v="74"/>
    <s v="4合1氣炸微波蒸焗爐(25公升)"/>
    <s v="細電"/>
    <s v="MCA"/>
    <s v="str25"/>
    <n v="1"/>
    <n v="3580"/>
    <n v="3580"/>
    <n v="931812"/>
    <m/>
    <m/>
    <s v="MX2-STR25SC(WH) 931812"/>
    <n v="4998"/>
    <n v="0.71628651460584236"/>
    <s v="Toshiba SRP"/>
    <m/>
    <s v="931812"/>
  </r>
  <r>
    <n v="3302"/>
    <s v="Fortress"/>
    <s v="Tung Chun"/>
    <x v="51"/>
    <n v="3"/>
    <x v="27"/>
    <x v="74"/>
    <s v="4合1氣炸微波蒸焗爐(25公升)"/>
    <s v="細電"/>
    <s v="MCA"/>
    <s v="str25"/>
    <n v="1"/>
    <n v="3580"/>
    <n v="3580"/>
    <n v="931872"/>
    <m/>
    <m/>
    <s v="MX2-STR25SC(WH) 931872"/>
    <n v="4998"/>
    <n v="0.71628651460584236"/>
    <s v="Toshiba SRP"/>
    <m/>
    <s v="931872"/>
  </r>
  <r>
    <n v="3303"/>
    <s v="Fortress"/>
    <s v="Tung Chun"/>
    <x v="51"/>
    <n v="3"/>
    <x v="27"/>
    <x v="115"/>
    <s v="微波蒸焗爐23L"/>
    <s v="細電"/>
    <s v="SDA"/>
    <s v="th23"/>
    <n v="1"/>
    <n v="2580"/>
    <n v="2580"/>
    <n v="1025284"/>
    <m/>
    <m/>
    <s v="MX1-TH23SC(WH) 1025284"/>
    <n v="3380"/>
    <n v="0.76331360946745563"/>
    <s v="Toshiba SRP"/>
    <m/>
    <s v="1025284"/>
  </r>
  <r>
    <n v="3304"/>
    <s v="Fortress"/>
    <s v="Tung Chun"/>
    <x v="51"/>
    <n v="3"/>
    <x v="27"/>
    <x v="33"/>
    <s v="輕觸式燒烤微波爐"/>
    <s v="細電"/>
    <s v="MCA"/>
    <s v="eg20"/>
    <n v="1"/>
    <n v="698"/>
    <n v="698"/>
    <n v="931876"/>
    <m/>
    <m/>
    <s v="MM2-EG20PC(WH) 931876"/>
    <n v="918"/>
    <n v="0.76034858387799564"/>
    <s v="Shops Highest Price"/>
    <m/>
    <s v="931876"/>
  </r>
  <r>
    <n v="3305"/>
    <s v="Fortress"/>
    <s v="Tung Chun"/>
    <x v="51"/>
    <n v="3"/>
    <x v="27"/>
    <x v="30"/>
    <s v="旋鈕式燒烤微波爐20L"/>
    <s v="細電"/>
    <s v="SDA"/>
    <s v="mm20"/>
    <n v="1"/>
    <n v="488"/>
    <n v="488"/>
    <n v="1025195"/>
    <m/>
    <m/>
    <s v="MWP-MM20P(WH) 1025195"/>
    <n v="648"/>
    <n v="0.75308641975308643"/>
    <s v="Toshiba SRP"/>
    <m/>
    <s v="1025195"/>
  </r>
  <r>
    <n v="3306"/>
    <s v="Fortress"/>
    <s v="Tung Chun"/>
    <x v="51"/>
    <n v="3"/>
    <x v="27"/>
    <x v="17"/>
    <s v="4毫米厚釜電飯煲1L"/>
    <s v="細電"/>
    <s v="SDA"/>
    <s v="10nmf"/>
    <n v="1"/>
    <n v="719"/>
    <n v="719"/>
    <n v="1025202"/>
    <m/>
    <m/>
    <s v="RC-10NMFIH(WT) 1025202"/>
    <n v="898"/>
    <n v="0.80066815144766146"/>
    <s v="Toshiba SRP"/>
    <m/>
    <s v="1025202"/>
  </r>
  <r>
    <n v="3307"/>
    <s v="Fortress"/>
    <s v="Tung Chun"/>
    <x v="51"/>
    <n v="3"/>
    <x v="27"/>
    <x v="21"/>
    <s v="壓縮式抽濕機 (30公升)"/>
    <s v="細電"/>
    <s v="RAC"/>
    <s v="d300"/>
    <n v="1"/>
    <n v="2280"/>
    <n v="2280"/>
    <n v="931810"/>
    <m/>
    <m/>
    <s v="RAD-D300H 931810"/>
    <n v="3380"/>
    <n v="0.67455621301775148"/>
    <s v="Shops Highest Price"/>
    <m/>
    <s v="931810"/>
  </r>
  <r>
    <n v="3308"/>
    <s v="Fortress"/>
    <s v="Tung Chun"/>
    <x v="51"/>
    <n v="3"/>
    <x v="28"/>
    <x v="53"/>
    <s v="IH磁應電飯煲"/>
    <s v="細電"/>
    <s v="SDA"/>
    <s v="dr10t"/>
    <n v="1"/>
    <n v="2380"/>
    <n v="2380"/>
    <n v="931922"/>
    <m/>
    <m/>
    <s v="RC-DR10T(R) 931922"/>
    <n v="3188"/>
    <n v="0.74654956085319946"/>
    <s v="Toshiba SRP"/>
    <m/>
    <s v="931922"/>
  </r>
  <r>
    <n v="3309"/>
    <s v="Fortress"/>
    <s v="Tung Chun"/>
    <x v="51"/>
    <n v="3"/>
    <x v="28"/>
    <x v="36"/>
    <s v="輕觸式微波爐 (20公升)"/>
    <s v="細電"/>
    <s v="MCA"/>
    <s v="em20"/>
    <n v="1"/>
    <n v="598"/>
    <n v="598"/>
    <n v="1025389"/>
    <m/>
    <m/>
    <s v="MM2-EM20PC(WH) 1025389"/>
    <n v="788"/>
    <n v="0.75888324873096447"/>
    <s v="Toshiba SRP"/>
    <m/>
    <s v="1025389"/>
  </r>
  <r>
    <n v="3310"/>
    <s v="Fortress"/>
    <s v="Tung Chun"/>
    <x v="51"/>
    <n v="3"/>
    <x v="28"/>
    <x v="48"/>
    <s v="3合1 微波蒸焗爐 (20公升)"/>
    <s v="細電"/>
    <s v="MCA"/>
    <s v="tt20"/>
    <n v="1"/>
    <n v="2580"/>
    <n v="2580"/>
    <n v="1025356"/>
    <m/>
    <m/>
    <s v="MX2-TT20SC(WH) 1025356"/>
    <n v="3580"/>
    <n v="0.72067039106145248"/>
    <s v="Toshiba SRP"/>
    <m/>
    <s v="1025356"/>
  </r>
  <r>
    <n v="3311"/>
    <s v="Fortress"/>
    <s v="Tung Chun"/>
    <x v="51"/>
    <n v="3"/>
    <x v="28"/>
    <x v="54"/>
    <s v="低醣磁應電飯煲1L"/>
    <s v="細電"/>
    <s v="SDA"/>
    <s v="10irph"/>
    <n v="1"/>
    <n v="798"/>
    <n v="798"/>
    <n v="931912"/>
    <m/>
    <m/>
    <s v="RC-10IRPH 931912"/>
    <n v="1388"/>
    <n v="0.5749279538904899"/>
    <s v="Toshiba SRP"/>
    <m/>
    <s v="931912"/>
  </r>
  <r>
    <n v="3312"/>
    <s v="Fortress"/>
    <s v="Tung Chun"/>
    <x v="51"/>
    <n v="3"/>
    <x v="28"/>
    <x v="45"/>
    <s v="備長炭本厚釜電飯煲0.7L"/>
    <s v="細電"/>
    <s v="SDA"/>
    <s v="7hmh"/>
    <n v="1"/>
    <n v="838"/>
    <n v="838"/>
    <n v="931913"/>
    <m/>
    <m/>
    <s v="RC-7HMH 931913"/>
    <n v="1288"/>
    <n v="0.65062111801242239"/>
    <s v="Toshiba SRP"/>
    <m/>
    <s v="931913"/>
  </r>
  <r>
    <n v="3313"/>
    <s v="Fortress"/>
    <s v="Tung Chun"/>
    <x v="51"/>
    <n v="3"/>
    <x v="28"/>
    <x v="44"/>
    <s v="1.7L無線雙層電熱水壺"/>
    <s v="細電"/>
    <s v="SDA"/>
    <s v="17shnh"/>
    <n v="1"/>
    <n v="198"/>
    <n v="198"/>
    <n v="1025364"/>
    <m/>
    <m/>
    <s v="KT-17SHNH 1025364"/>
    <n v="299"/>
    <n v="0.66220735785953178"/>
    <s v="Shops Highest Price"/>
    <m/>
    <s v="1025364"/>
  </r>
  <r>
    <n v="3314"/>
    <s v="Fortress"/>
    <s v="Tung Chun"/>
    <x v="51"/>
    <n v="3"/>
    <x v="29"/>
    <x v="74"/>
    <s v="4合1氣炸微波蒸焗爐(25公升)"/>
    <s v="細電"/>
    <s v="MCA"/>
    <s v="str25"/>
    <n v="1"/>
    <n v="3580"/>
    <n v="3580"/>
    <n v="1025458"/>
    <m/>
    <m/>
    <s v="MX2-STR25SC(WH) 1025458"/>
    <n v="4998"/>
    <n v="0.71628651460584236"/>
    <s v="Toshiba SRP"/>
    <m/>
    <s v="1025458"/>
  </r>
  <r>
    <n v="3315"/>
    <s v="Fortress"/>
    <s v="Tung Chun"/>
    <x v="51"/>
    <n v="3"/>
    <x v="29"/>
    <x v="105"/>
    <s v="旋鈕式燒烤微波爐20L黑色"/>
    <s v="細電"/>
    <s v="SDA"/>
    <s v="mg20"/>
    <n v="1"/>
    <n v="579"/>
    <n v="579"/>
    <n v="1025474"/>
    <m/>
    <m/>
    <s v="MWP-MG20P(BK) 1025474"/>
    <n v="918"/>
    <n v="0.63071895424836599"/>
    <s v="Toshiba SRP"/>
    <m/>
    <s v="1025474"/>
  </r>
  <r>
    <n v="3316"/>
    <s v="Fortress"/>
    <s v="Tung Chun"/>
    <x v="51"/>
    <n v="3"/>
    <x v="29"/>
    <x v="109"/>
    <s v="12吋座地座檯電風扇"/>
    <s v="細電"/>
    <s v="SDA"/>
    <s v="b60"/>
    <n v="1"/>
    <n v="499"/>
    <n v="499"/>
    <n v="1025449"/>
    <m/>
    <m/>
    <s v="F-ALB60HK(B) 1025449"/>
    <n v="839"/>
    <n v="0.59475566150178782"/>
    <s v="Shops Highest Price"/>
    <m/>
    <s v="1025449"/>
  </r>
  <r>
    <n v="3317"/>
    <s v="Fortress"/>
    <s v="Tung Chun"/>
    <x v="51"/>
    <n v="3"/>
    <x v="29"/>
    <x v="17"/>
    <s v="4毫米厚釜電飯煲1L"/>
    <s v="細電"/>
    <s v="SDA"/>
    <s v="10nmf"/>
    <n v="1"/>
    <n v="719"/>
    <n v="719"/>
    <n v="931963"/>
    <m/>
    <m/>
    <s v="RC-10NMFIH(WT) 931963"/>
    <n v="898"/>
    <n v="0.80066815144766146"/>
    <s v="Toshiba SRP"/>
    <m/>
    <s v="931963"/>
  </r>
  <r>
    <n v="3318"/>
    <s v="Fortress"/>
    <s v="Tung Chun"/>
    <x v="51"/>
    <n v="3"/>
    <x v="29"/>
    <x v="96"/>
    <s v="日式洗衣機 (7公斤 結合高低水位)"/>
    <s v="大電"/>
    <s v="LAD"/>
    <s v="q800"/>
    <n v="1"/>
    <n v="2080"/>
    <n v="2080"/>
    <n v="1025478"/>
    <m/>
    <m/>
    <s v="AW-Q800APH(WW) 1025478"/>
    <n v="3580"/>
    <n v="0.58100558659217882"/>
    <s v="Toshiba SRP"/>
    <m/>
    <s v="1025478"/>
  </r>
  <r>
    <n v="3319"/>
    <s v="Fortress"/>
    <s v="Tung Chun"/>
    <x v="51"/>
    <n v="3"/>
    <x v="29"/>
    <x v="52"/>
    <s v="35L多功能電焗爐"/>
    <s v="細電"/>
    <s v="SDA"/>
    <s v="mc35"/>
    <n v="1"/>
    <n v="888"/>
    <n v="888"/>
    <n v="1025489"/>
    <m/>
    <m/>
    <s v="TL-MC35Z 1025489"/>
    <n v="1098"/>
    <n v="0.80874316939890711"/>
    <s v="Toshiba SRP"/>
    <m/>
    <s v="1025489"/>
  </r>
  <r>
    <n v="3320"/>
    <s v="Fortress"/>
    <s v="TM RS"/>
    <x v="52"/>
    <n v="3"/>
    <x v="25"/>
    <x v="41"/>
    <s v="低醣磁應電飯煲1.8L"/>
    <s v="細電"/>
    <s v="SDA"/>
    <s v="18isph"/>
    <n v="1"/>
    <n v="880"/>
    <n v="880"/>
    <n v="2300084"/>
    <m/>
    <m/>
    <s v="RC-18ISPH 2300084"/>
    <n v="1436"/>
    <n v="0.61281337047353757"/>
    <s v="Shops Highest Price"/>
    <m/>
    <s v="2300084"/>
  </r>
  <r>
    <n v="3321"/>
    <s v="Fortress"/>
    <s v="TM RS"/>
    <x v="52"/>
    <n v="3"/>
    <x v="25"/>
    <x v="23"/>
    <s v="電飯煲"/>
    <s v="細電"/>
    <s v="SDA"/>
    <s v="10jruh"/>
    <n v="1"/>
    <n v="298"/>
    <n v="298"/>
    <n v="2300089"/>
    <m/>
    <m/>
    <s v="RC-10JRUH(N) 2300089"/>
    <n v="398"/>
    <n v="0.74874371859296485"/>
    <s v="Shops Highest Price"/>
    <m/>
    <s v="2300089"/>
  </r>
  <r>
    <n v="3322"/>
    <s v="Fortress"/>
    <s v="TM RS"/>
    <x v="52"/>
    <n v="3"/>
    <x v="25"/>
    <x v="54"/>
    <s v="低醣磁應電飯煲1L"/>
    <s v="細電"/>
    <s v="SDA"/>
    <s v="10irph"/>
    <n v="1"/>
    <n v="798"/>
    <n v="798"/>
    <n v="2300089"/>
    <m/>
    <m/>
    <s v="RC-10IRPH 2300089"/>
    <n v="1388"/>
    <n v="0.5749279538904899"/>
    <s v="Toshiba SRP"/>
    <m/>
    <s v="2300089"/>
  </r>
  <r>
    <n v="3323"/>
    <s v="Fortress"/>
    <s v="TM RS"/>
    <x v="52"/>
    <n v="3"/>
    <x v="25"/>
    <x v="63"/>
    <s v="20L 智能蒸氣焗爐"/>
    <s v="細電"/>
    <s v="MCA"/>
    <s v="stq20"/>
    <n v="1"/>
    <n v="2100"/>
    <n v="2100"/>
    <n v="2300087"/>
    <m/>
    <m/>
    <s v="MS3-STQ20SC(WH) 2300087"/>
    <n v="2880"/>
    <n v="0.72916666666666663"/>
    <s v="Toshiba SRP"/>
    <m/>
    <s v="2300087"/>
  </r>
  <r>
    <n v="3324"/>
    <s v="Fortress"/>
    <s v="TM RS"/>
    <x v="52"/>
    <n v="3"/>
    <x v="25"/>
    <x v="39"/>
    <s v="酵活炊電飯煲(1.0公升)"/>
    <s v="細電"/>
    <s v="SDA"/>
    <s v="10amx"/>
    <n v="1"/>
    <n v="990"/>
    <n v="990"/>
    <n v="2300103"/>
    <m/>
    <m/>
    <s v="RC-10AMXH(W) 2300103"/>
    <n v="1288"/>
    <n v="0.76863354037267084"/>
    <s v="Toshiba SRP"/>
    <m/>
    <s v="2300103"/>
  </r>
  <r>
    <n v="3325"/>
    <s v="Fortress"/>
    <s v="TM RS"/>
    <x v="52"/>
    <n v="3"/>
    <x v="25"/>
    <x v="104"/>
    <e v="#N/A"/>
    <e v="#N/A"/>
    <e v="#N/A"/>
    <m/>
    <m/>
    <m/>
    <n v="0"/>
    <m/>
    <s v="duplicated,18amx,$990,2300355"/>
    <m/>
    <s v="Model-Input-Ref2 "/>
    <e v="#N/A"/>
    <e v="#N/A"/>
    <e v="#N/A"/>
    <m/>
    <s v=""/>
  </r>
  <r>
    <n v="3326"/>
    <s v="Fortress"/>
    <s v="TM RS"/>
    <x v="52"/>
    <n v="3"/>
    <x v="25"/>
    <x v="74"/>
    <s v="4合1氣炸微波蒸焗爐(25公升)"/>
    <s v="細電"/>
    <s v="MCA"/>
    <s v="str25"/>
    <n v="1"/>
    <n v="3580"/>
    <n v="3580"/>
    <n v="2300098"/>
    <m/>
    <m/>
    <s v="MX2-STR25SC(WH) 2300098"/>
    <n v="4998"/>
    <n v="0.71628651460584236"/>
    <s v="Toshiba SRP"/>
    <m/>
    <s v="2300098"/>
  </r>
  <r>
    <n v="3327"/>
    <s v="Fortress"/>
    <s v="TM RS"/>
    <x v="52"/>
    <n v="3"/>
    <x v="25"/>
    <x v="74"/>
    <s v="4合1氣炸微波蒸焗爐(25公升)"/>
    <s v="細電"/>
    <s v="MCA"/>
    <s v="str25"/>
    <n v="1"/>
    <n v="3580"/>
    <n v="3580"/>
    <n v="2300118"/>
    <m/>
    <m/>
    <s v="MX2-STR25SC(WH) 2300118"/>
    <n v="4998"/>
    <n v="0.71628651460584236"/>
    <s v="Toshiba SRP"/>
    <m/>
    <s v="2300118"/>
  </r>
  <r>
    <n v="3328"/>
    <s v="Fortress"/>
    <s v="TM RS"/>
    <x v="52"/>
    <n v="3"/>
    <x v="25"/>
    <x v="74"/>
    <s v="4合1氣炸微波蒸焗爐(25公升)"/>
    <s v="細電"/>
    <s v="MCA"/>
    <s v="str25"/>
    <n v="1"/>
    <n v="3580"/>
    <n v="3580"/>
    <n v="2300115"/>
    <m/>
    <m/>
    <s v="MX2-STR25SC(WH) 2300115"/>
    <n v="4998"/>
    <n v="0.71628651460584236"/>
    <s v="Toshiba SRP"/>
    <m/>
    <s v="2300115"/>
  </r>
  <r>
    <n v="3329"/>
    <s v="Fortress"/>
    <s v="TM RS"/>
    <x v="52"/>
    <n v="3"/>
    <x v="25"/>
    <x v="59"/>
    <s v="30公升蒸氣焗爐"/>
    <s v="細電"/>
    <s v="MCA"/>
    <s v="str30"/>
    <n v="1"/>
    <n v="3980"/>
    <n v="3980"/>
    <n v="2300099"/>
    <m/>
    <m/>
    <s v="MS5-STR30SC(BK) 2300099"/>
    <n v="5998"/>
    <n v="0.66355451817272426"/>
    <s v="Shops Highest Price"/>
    <m/>
    <s v="2300099"/>
  </r>
  <r>
    <n v="3330"/>
    <s v="Fortress"/>
    <s v="TM RS"/>
    <x v="52"/>
    <n v="3"/>
    <x v="25"/>
    <x v="59"/>
    <s v="30公升蒸氣焗爐"/>
    <s v="細電"/>
    <s v="MCA"/>
    <s v="str30"/>
    <n v="1"/>
    <n v="3980"/>
    <n v="3980"/>
    <n v="2300113"/>
    <m/>
    <m/>
    <s v="MS5-STR30SC(BK) 2300113"/>
    <n v="5998"/>
    <n v="0.66355451817272426"/>
    <s v="Shops Highest Price"/>
    <m/>
    <s v="2300113"/>
  </r>
  <r>
    <n v="3331"/>
    <s v="Fortress"/>
    <s v="TM RS"/>
    <x v="52"/>
    <n v="3"/>
    <x v="25"/>
    <x v="103"/>
    <s v="變頻下置式雙門雪櫃"/>
    <s v="大電"/>
    <s v="REF"/>
    <s v="rb449"/>
    <n v="1"/>
    <n v="5080"/>
    <n v="5080"/>
    <n v="2300097"/>
    <m/>
    <m/>
    <s v="GR-RB449WE-PMA(57) 2300097"/>
    <n v="6280"/>
    <n v="0.80891719745222934"/>
    <s v="Toshiba SRP"/>
    <m/>
    <s v="2300097"/>
  </r>
  <r>
    <n v="3332"/>
    <s v="Fortress"/>
    <s v="TM RS"/>
    <x v="52"/>
    <n v="3"/>
    <x v="26"/>
    <x v="17"/>
    <s v="4毫米厚釜電飯煲1L"/>
    <s v="細電"/>
    <s v="SDA"/>
    <s v="10nmf"/>
    <n v="1"/>
    <n v="719"/>
    <n v="719"/>
    <n v="2300222"/>
    <m/>
    <m/>
    <s v="RC-10NMFIH(WT) 2300222"/>
    <n v="898"/>
    <n v="0.80066815144766146"/>
    <s v="Toshiba SRP"/>
    <m/>
    <s v="2300222"/>
  </r>
  <r>
    <n v="3333"/>
    <s v="Fortress"/>
    <s v="TM RS"/>
    <x v="52"/>
    <n v="3"/>
    <x v="26"/>
    <x v="115"/>
    <s v="微波蒸焗爐23L"/>
    <s v="細電"/>
    <s v="SDA"/>
    <s v="th23"/>
    <n v="1"/>
    <n v="1999"/>
    <n v="1999"/>
    <n v="2300227"/>
    <m/>
    <m/>
    <s v="MX1-TH23SC(WH) 2300227"/>
    <n v="3380"/>
    <n v="0.5914201183431953"/>
    <s v="Toshiba SRP"/>
    <m/>
    <s v="2300227"/>
  </r>
  <r>
    <n v="3334"/>
    <s v="Fortress"/>
    <s v="TM RS"/>
    <x v="52"/>
    <n v="3"/>
    <x v="26"/>
    <x v="115"/>
    <s v="微波蒸焗爐23L"/>
    <s v="細電"/>
    <s v="SDA"/>
    <s v="th23"/>
    <n v="1"/>
    <n v="1999"/>
    <n v="1999"/>
    <n v="2300202"/>
    <m/>
    <m/>
    <s v="MX1-TH23SC(WH) 2300202"/>
    <n v="3380"/>
    <n v="0.5914201183431953"/>
    <s v="Toshiba SRP"/>
    <m/>
    <s v="2300202"/>
  </r>
  <r>
    <n v="3335"/>
    <s v="Fortress"/>
    <s v="TM RS"/>
    <x v="52"/>
    <n v="3"/>
    <x v="26"/>
    <x v="115"/>
    <s v="微波蒸焗爐23L"/>
    <s v="細電"/>
    <s v="SDA"/>
    <s v="th23"/>
    <n v="1"/>
    <n v="1999"/>
    <n v="1999"/>
    <n v="2300316"/>
    <m/>
    <m/>
    <s v="MX1-TH23SC(WH) 2300316"/>
    <n v="3380"/>
    <n v="0.5914201183431953"/>
    <s v="Toshiba SRP"/>
    <m/>
    <s v="2300316"/>
  </r>
  <r>
    <n v="3336"/>
    <s v="Fortress"/>
    <s v="TM RS"/>
    <x v="52"/>
    <n v="3"/>
    <x v="26"/>
    <x v="111"/>
    <s v="470MM超薄身前置式變頻洗衣機(8.5公斤)"/>
    <s v="大電"/>
    <s v="LAD"/>
    <s v="bu95"/>
    <n v="1"/>
    <n v="3580"/>
    <n v="3580"/>
    <n v="2300171"/>
    <m/>
    <m/>
    <s v="TW-T21BU95UWH(MG) 2300171"/>
    <n v="3980"/>
    <n v="0.89949748743718594"/>
    <s v="Shops Highest Price"/>
    <m/>
    <s v="2300171"/>
  </r>
  <r>
    <n v="3337"/>
    <s v="Fortress"/>
    <s v="TM RS"/>
    <x v="52"/>
    <n v="3"/>
    <x v="26"/>
    <x v="74"/>
    <s v="4合1氣炸微波蒸焗爐(25公升)"/>
    <s v="細電"/>
    <s v="MCA"/>
    <s v="str25"/>
    <n v="1"/>
    <n v="3580"/>
    <n v="3580"/>
    <n v="2300244"/>
    <m/>
    <m/>
    <s v="MX2-STR25SC(WH) 2300244"/>
    <n v="4998"/>
    <n v="0.71628651460584236"/>
    <s v="Toshiba SRP"/>
    <m/>
    <s v="2300244"/>
  </r>
  <r>
    <n v="3338"/>
    <s v="Fortress"/>
    <s v="TM RS"/>
    <x v="52"/>
    <n v="3"/>
    <x v="26"/>
    <x v="74"/>
    <s v="4合1氣炸微波蒸焗爐(25公升)"/>
    <s v="細電"/>
    <s v="MCA"/>
    <s v="str25"/>
    <n v="1"/>
    <n v="3580"/>
    <n v="3580"/>
    <n v="2300144"/>
    <m/>
    <m/>
    <s v="MX2-STR25SC(WH) 2300144"/>
    <n v="4998"/>
    <n v="0.71628651460584236"/>
    <s v="Toshiba SRP"/>
    <m/>
    <s v="2300144"/>
  </r>
  <r>
    <n v="3339"/>
    <s v="Fortress"/>
    <s v="TM RS"/>
    <x v="52"/>
    <n v="3"/>
    <x v="26"/>
    <x v="74"/>
    <s v="4合1氣炸微波蒸焗爐(25公升)"/>
    <s v="細電"/>
    <s v="MCA"/>
    <s v="str25"/>
    <n v="1"/>
    <n v="3580"/>
    <n v="3580"/>
    <n v="2300303"/>
    <m/>
    <m/>
    <s v="MX2-STR25SC(WH) 2300303"/>
    <n v="4998"/>
    <n v="0.71628651460584236"/>
    <s v="Toshiba SRP"/>
    <m/>
    <s v="2300303"/>
  </r>
  <r>
    <n v="3340"/>
    <s v="Fortress"/>
    <s v="TM RS"/>
    <x v="52"/>
    <n v="3"/>
    <x v="26"/>
    <x v="74"/>
    <s v="4合1氣炸微波蒸焗爐(25公升)"/>
    <s v="細電"/>
    <s v="MCA"/>
    <s v="str25"/>
    <n v="1"/>
    <n v="3580"/>
    <n v="3580"/>
    <n v="2300120"/>
    <m/>
    <m/>
    <s v="MX2-STR25SC(WH) 2300120"/>
    <n v="4998"/>
    <n v="0.71628651460584236"/>
    <s v="Toshiba SRP"/>
    <m/>
    <s v="2300120"/>
  </r>
  <r>
    <n v="3341"/>
    <s v="Fortress"/>
    <s v="TM RS"/>
    <x v="52"/>
    <n v="3"/>
    <x v="26"/>
    <x v="93"/>
    <s v="座檯式洗碗碟機"/>
    <s v="細電"/>
    <s v="DW"/>
    <s v="05t2"/>
    <n v="1"/>
    <n v="3780"/>
    <n v="3780"/>
    <n v="2300325"/>
    <m/>
    <m/>
    <s v="DW-05T2-HK 2300325"/>
    <n v="4580"/>
    <n v="0.8253275109170306"/>
    <s v="Toshiba SRP"/>
    <m/>
    <s v="2300325"/>
  </r>
  <r>
    <n v="3342"/>
    <s v="Fortress"/>
    <s v="TM RS"/>
    <x v="52"/>
    <n v="3"/>
    <x v="26"/>
    <x v="42"/>
    <s v="變頻下置式雙門雪櫃系列270L"/>
    <s v="大電"/>
    <s v="REF"/>
    <s v="rb360"/>
    <n v="1"/>
    <n v="3580"/>
    <n v="3580"/>
    <n v="2300279"/>
    <m/>
    <m/>
    <s v="GR-RB360WE-PMA(06) 2300279"/>
    <n v="5080"/>
    <n v="0.70472440944881887"/>
    <s v="Toshiba SRP"/>
    <m/>
    <s v="2300279"/>
  </r>
  <r>
    <n v="3343"/>
    <s v="Fortress"/>
    <s v="TM RS"/>
    <x v="52"/>
    <n v="3"/>
    <x v="26"/>
    <x v="42"/>
    <s v="變頻下置式雙門雪櫃系列270L"/>
    <s v="大電"/>
    <s v="REF"/>
    <s v="rb360"/>
    <n v="1"/>
    <n v="3780"/>
    <n v="3780"/>
    <n v="2300263"/>
    <m/>
    <m/>
    <s v="GR-RB360WE-PMA(06) 2300263"/>
    <n v="5080"/>
    <n v="0.74409448818897639"/>
    <s v="Toshiba SRP"/>
    <m/>
    <s v="2300263"/>
  </r>
  <r>
    <n v="3344"/>
    <s v="Fortress"/>
    <s v="TM RS"/>
    <x v="52"/>
    <n v="3"/>
    <x v="26"/>
    <x v="117"/>
    <s v="JAPANDi 嵌入式微波氣炸蒸焗爐 (45厘米)"/>
    <s v="大電"/>
    <s v="MCA"/>
    <s v="t500a"/>
    <n v="1"/>
    <n v="13800"/>
    <n v="13800"/>
    <n v="2300224"/>
    <m/>
    <m/>
    <s v="EB-T500APW 2300224"/>
    <n v="28800"/>
    <n v="0.47916666666666669"/>
    <s v="Toshiba SRP"/>
    <m/>
    <s v="2300224"/>
  </r>
  <r>
    <n v="3345"/>
    <s v="Fortress"/>
    <s v="TM RS"/>
    <x v="52"/>
    <n v="3"/>
    <x v="26"/>
    <x v="103"/>
    <s v="變頻下置式雙門雪櫃"/>
    <s v="大電"/>
    <s v="REF"/>
    <s v="rb449"/>
    <n v="1"/>
    <n v="5080"/>
    <n v="5080"/>
    <n v="2300225"/>
    <m/>
    <m/>
    <s v="GR-RB449WE-PMA(57) 2300225"/>
    <n v="6280"/>
    <n v="0.80891719745222934"/>
    <s v="Toshiba SRP"/>
    <m/>
    <s v="2300225"/>
  </r>
  <r>
    <n v="3346"/>
    <s v="Fortress"/>
    <s v="TM RS"/>
    <x v="52"/>
    <n v="3"/>
    <x v="26"/>
    <x v="40"/>
    <s v="400MM超薄身前置式變頻洗衣機(7公斤)"/>
    <s v="大電"/>
    <s v="LAD"/>
    <s v="bu80"/>
    <n v="1"/>
    <n v="3190"/>
    <n v="3190"/>
    <n v="2300323"/>
    <m/>
    <m/>
    <s v="TW-T21BU80UWH(MG) 2300323"/>
    <n v="5180"/>
    <n v="0.61583011583011582"/>
    <s v="Toshiba SRP"/>
    <m/>
    <s v="2300323"/>
  </r>
  <r>
    <n v="3347"/>
    <s v="Fortress"/>
    <s v="TM RS"/>
    <x v="52"/>
    <n v="3"/>
    <x v="26"/>
    <x v="86"/>
    <s v="470MM超薄身前置式變頻洗衣乾衣機 (洗8.5公斤 乾6公斤)"/>
    <s v="大電"/>
    <s v="LAD"/>
    <s v="twdt21"/>
    <n v="1"/>
    <n v="3999"/>
    <n v="3999"/>
    <n v="2300262"/>
    <m/>
    <m/>
    <s v="TWD-T21BU95UWH(WW) 2300262"/>
    <n v="7280"/>
    <n v="0.54931318681318686"/>
    <s v="Toshiba SRP"/>
    <m/>
    <s v="2300262"/>
  </r>
  <r>
    <n v="3348"/>
    <s v="Fortress"/>
    <s v="TM RS"/>
    <x v="52"/>
    <n v="3"/>
    <x v="26"/>
    <x v="87"/>
    <s v="變頻式環保雙門雪櫃(233L)"/>
    <s v="大電"/>
    <s v="REF"/>
    <s v="rt300"/>
    <n v="1"/>
    <n v="2780"/>
    <n v="2780"/>
    <n v="2300123"/>
    <m/>
    <m/>
    <s v="GR-RT300WE-PMA(57) 2300123"/>
    <n v="4280"/>
    <n v="0.64953271028037385"/>
    <s v="Toshiba SRP"/>
    <m/>
    <s v="2300123"/>
  </r>
  <r>
    <n v="3349"/>
    <s v="Fortress"/>
    <s v="TM RS"/>
    <x v="52"/>
    <n v="3"/>
    <x v="26"/>
    <x v="39"/>
    <s v="酵活炊電飯煲(1.0公升)"/>
    <s v="細電"/>
    <s v="SDA"/>
    <s v="10amx"/>
    <n v="1"/>
    <n v="990"/>
    <n v="990"/>
    <n v="2300185"/>
    <m/>
    <m/>
    <s v="RC-10AMXH(W) 2300185"/>
    <n v="1288"/>
    <n v="0.76863354037267084"/>
    <s v="Toshiba SRP"/>
    <m/>
    <s v="2300185"/>
  </r>
  <r>
    <n v="3350"/>
    <s v="Fortress"/>
    <s v="TM RS"/>
    <x v="52"/>
    <n v="3"/>
    <x v="26"/>
    <x v="66"/>
    <s v="變頻下置式雙門雪櫃（163L）"/>
    <s v="大電"/>
    <s v="REF"/>
    <s v="rb221"/>
    <n v="1"/>
    <n v="1880"/>
    <n v="1880"/>
    <n v="2300134"/>
    <m/>
    <m/>
    <s v="GR-RB221WE-PMA(57) 2300134"/>
    <n v="3480"/>
    <n v="0.54022988505747127"/>
    <s v="Toshiba SRP"/>
    <m/>
    <s v="2300134"/>
  </r>
  <r>
    <n v="3351"/>
    <s v="Fortress"/>
    <s v="TM RS"/>
    <x v="52"/>
    <n v="3"/>
    <x v="26"/>
    <x v="66"/>
    <s v="變頻下置式雙門雪櫃（163L）"/>
    <s v="大電"/>
    <s v="REF"/>
    <s v="rb221"/>
    <n v="1"/>
    <n v="1880"/>
    <n v="1880"/>
    <n v="2300243"/>
    <m/>
    <m/>
    <s v="GR-RB221WE-PMA(57) 2300243"/>
    <n v="3480"/>
    <n v="0.54022988505747127"/>
    <s v="Toshiba SRP"/>
    <m/>
    <s v="2300243"/>
  </r>
  <r>
    <n v="3352"/>
    <s v="Fortress"/>
    <s v="TM RS"/>
    <x v="52"/>
    <n v="3"/>
    <x v="26"/>
    <x v="66"/>
    <s v="變頻下置式雙門雪櫃（163L）"/>
    <s v="大電"/>
    <s v="REF"/>
    <s v="rb221"/>
    <n v="1"/>
    <n v="1880"/>
    <n v="1880"/>
    <n v="2300303"/>
    <m/>
    <m/>
    <s v="GR-RB221WE-PMA(57) 2300303"/>
    <n v="3480"/>
    <n v="0.54022988505747127"/>
    <s v="Toshiba SRP"/>
    <m/>
    <s v="2300303"/>
  </r>
  <r>
    <n v="3353"/>
    <s v="Fortress"/>
    <s v="TM RS"/>
    <x v="52"/>
    <n v="3"/>
    <x v="26"/>
    <x v="132"/>
    <s v="雙門雪櫃"/>
    <s v="大電"/>
    <s v="REF"/>
    <s v="rb410"/>
    <n v="1"/>
    <n v="3980"/>
    <n v="3980"/>
    <n v="2300321"/>
    <m/>
    <m/>
    <s v="GR-RB410WE-PMA(06) 2300321"/>
    <n v="4000"/>
    <n v="0.995"/>
    <s v="Shops Highest Price"/>
    <m/>
    <s v="2300321"/>
  </r>
  <r>
    <n v="3354"/>
    <s v="Fortress"/>
    <s v="TM RS"/>
    <x v="52"/>
    <n v="3"/>
    <x v="26"/>
    <x v="110"/>
    <s v="變頻六門雪櫃(451L)"/>
    <s v="大電"/>
    <s v="REF"/>
    <s v="rm598"/>
    <n v="1"/>
    <n v="10590"/>
    <n v="10590"/>
    <n v="2300330"/>
    <m/>
    <m/>
    <s v="GR-RM598WE-PGA(B3) 2300330"/>
    <n v="14980"/>
    <n v="0.70694259012016025"/>
    <s v="Toshiba SRP"/>
    <m/>
    <s v="2300330"/>
  </r>
  <r>
    <n v="3355"/>
    <s v="Fortress"/>
    <s v="TM RS"/>
    <x v="52"/>
    <n v="3"/>
    <x v="26"/>
    <x v="74"/>
    <s v="4合1氣炸微波蒸焗爐(25公升)"/>
    <s v="細電"/>
    <s v="MCA"/>
    <s v="str25"/>
    <n v="1"/>
    <n v="3580"/>
    <n v="3580"/>
    <n v="2300255"/>
    <m/>
    <m/>
    <s v="MX2-STR25SC(WH) 2300255"/>
    <n v="4998"/>
    <n v="0.71628651460584236"/>
    <s v="Toshiba SRP"/>
    <m/>
    <s v="2300255"/>
  </r>
  <r>
    <n v="3356"/>
    <s v="Fortress"/>
    <s v="TM RS"/>
    <x v="52"/>
    <n v="3"/>
    <x v="26"/>
    <x v="78"/>
    <s v="變頻式環保雙門雪櫃（179L）"/>
    <s v="大電"/>
    <s v="REF"/>
    <s v="rt234"/>
    <n v="1"/>
    <n v="1980"/>
    <n v="1980"/>
    <n v="2300179"/>
    <m/>
    <m/>
    <s v="GR-RT234WE-PMA(57) 2300179"/>
    <n v="3680"/>
    <n v="0.53804347826086951"/>
    <s v="Toshiba SRP"/>
    <m/>
    <s v="2300179"/>
  </r>
  <r>
    <n v="3357"/>
    <s v="Fortress"/>
    <s v="TM RS"/>
    <x v="52"/>
    <n v="3"/>
    <x v="26"/>
    <x v="47"/>
    <s v="磁應電飯煲(1公升)"/>
    <s v="細電"/>
    <s v="SDA"/>
    <s v="10iss"/>
    <n v="1"/>
    <n v="938"/>
    <n v="938"/>
    <n v="2300307"/>
    <m/>
    <m/>
    <s v="RC-10ISSHK(W) 2300307"/>
    <n v="1188"/>
    <n v="0.78956228956228958"/>
    <s v="Shops Highest Price"/>
    <m/>
    <s v="2300307"/>
  </r>
  <r>
    <n v="3358"/>
    <s v="Fortress"/>
    <s v="TM RS"/>
    <x v="52"/>
    <n v="3"/>
    <x v="26"/>
    <x v="45"/>
    <s v="備長炭本厚釜電飯煲0.7L"/>
    <s v="細電"/>
    <s v="SDA"/>
    <s v="7hmh"/>
    <n v="1"/>
    <n v="788"/>
    <n v="788"/>
    <n v="2300280"/>
    <m/>
    <m/>
    <s v="RC-7HMH 2300280"/>
    <n v="1288"/>
    <n v="0.61180124223602483"/>
    <s v="Toshiba SRP"/>
    <m/>
    <s v="2300280"/>
  </r>
  <r>
    <n v="3359"/>
    <s v="Fortress"/>
    <s v="TM RS"/>
    <x v="52"/>
    <n v="3"/>
    <x v="26"/>
    <x v="30"/>
    <s v="旋鈕式燒烤微波爐20L"/>
    <s v="細電"/>
    <s v="SDA"/>
    <s v="mm20"/>
    <n v="1"/>
    <n v="488"/>
    <n v="488"/>
    <n v="2300172"/>
    <m/>
    <m/>
    <s v="MWP-MM20P(WH) 2300172"/>
    <n v="648"/>
    <n v="0.75308641975308643"/>
    <s v="Toshiba SRP"/>
    <m/>
    <s v="2300172"/>
  </r>
  <r>
    <n v="3360"/>
    <s v="Fortress"/>
    <s v="TM RS"/>
    <x v="52"/>
    <n v="3"/>
    <x v="26"/>
    <x v="56"/>
    <s v="多士焗爐8L"/>
    <s v="細電"/>
    <s v="SDA"/>
    <n v="7080"/>
    <n v="1"/>
    <n v="358"/>
    <n v="358"/>
    <n v="2300212"/>
    <m/>
    <m/>
    <s v="ET-TD7080(PN) 2300212"/>
    <n v="498"/>
    <n v="0.71887550200803207"/>
    <s v="Toshiba SRP"/>
    <m/>
    <s v="2300212"/>
  </r>
  <r>
    <n v="3361"/>
    <s v="Fortress"/>
    <s v="TM RS"/>
    <x v="52"/>
    <n v="3"/>
    <x v="26"/>
    <x v="39"/>
    <s v="酵活炊電飯煲(1.0公升)"/>
    <s v="細電"/>
    <s v="SDA"/>
    <s v="10amx"/>
    <n v="1"/>
    <n v="990"/>
    <n v="990"/>
    <n v="2300328"/>
    <m/>
    <m/>
    <s v="RC-10AMXH(W) 2300328"/>
    <n v="1288"/>
    <n v="0.76863354037267084"/>
    <s v="Toshiba SRP"/>
    <m/>
    <s v="2300328"/>
  </r>
  <r>
    <n v="3362"/>
    <s v="Fortress"/>
    <s v="TM RS"/>
    <x v="52"/>
    <n v="3"/>
    <x v="26"/>
    <x v="78"/>
    <s v="變頻式環保雙門雪櫃（179L）"/>
    <s v="大電"/>
    <s v="REF"/>
    <s v="rt234"/>
    <n v="1"/>
    <n v="1980"/>
    <n v="1980"/>
    <n v="2300292"/>
    <m/>
    <m/>
    <s v="GR-RT234WE-PMA(57) 2300292"/>
    <n v="3680"/>
    <n v="0.53804347826086951"/>
    <s v="Toshiba SRP"/>
    <m/>
    <s v="2300292"/>
  </r>
  <r>
    <n v="3363"/>
    <s v="Fortress"/>
    <s v="TM RS"/>
    <x v="52"/>
    <n v="3"/>
    <x v="26"/>
    <x v="30"/>
    <s v="旋鈕式燒烤微波爐20L"/>
    <s v="細電"/>
    <s v="SDA"/>
    <s v="mm20"/>
    <n v="1"/>
    <n v="488"/>
    <n v="488"/>
    <n v="2300320"/>
    <m/>
    <m/>
    <s v="MWP-MM20P(WH) 2300320"/>
    <n v="648"/>
    <n v="0.75308641975308643"/>
    <s v="Toshiba SRP"/>
    <m/>
    <s v="2300320"/>
  </r>
  <r>
    <n v="3364"/>
    <s v="Fortress"/>
    <s v="TM RS"/>
    <x v="52"/>
    <n v="3"/>
    <x v="26"/>
    <x v="109"/>
    <s v="12吋座地座檯電風扇"/>
    <s v="細電"/>
    <s v="SDA"/>
    <s v="b60"/>
    <n v="1"/>
    <n v="499"/>
    <n v="499"/>
    <n v="2300148"/>
    <m/>
    <m/>
    <s v="F-ALB60HK(B) 2300148"/>
    <n v="839"/>
    <n v="0.59475566150178782"/>
    <s v="Shops Highest Price"/>
    <m/>
    <s v="2300148"/>
  </r>
  <r>
    <n v="3365"/>
    <s v="Fortress"/>
    <s v="TM RS"/>
    <x v="52"/>
    <n v="3"/>
    <x v="27"/>
    <x v="110"/>
    <s v="變頻六門雪櫃(451L)"/>
    <s v="大電"/>
    <s v="REF"/>
    <s v="rm598"/>
    <n v="1"/>
    <n v="10590"/>
    <n v="10590"/>
    <n v="2300576"/>
    <m/>
    <m/>
    <s v="GR-RM598WE-PGA(B3) 2300576"/>
    <n v="14980"/>
    <n v="0.70694259012016025"/>
    <s v="Toshiba SRP"/>
    <m/>
    <s v="2300576"/>
  </r>
  <r>
    <n v="3366"/>
    <s v="Fortress"/>
    <s v="TM RS"/>
    <x v="52"/>
    <n v="3"/>
    <x v="27"/>
    <x v="110"/>
    <s v="變頻六門雪櫃(451L)"/>
    <s v="大電"/>
    <s v="REF"/>
    <s v="rm598"/>
    <n v="1"/>
    <n v="10590"/>
    <n v="10590"/>
    <n v="2300516"/>
    <m/>
    <m/>
    <s v="GR-RM598WE-PGA(B3) 2300516"/>
    <n v="14980"/>
    <n v="0.70694259012016025"/>
    <s v="Toshiba SRP"/>
    <m/>
    <s v="2300516"/>
  </r>
  <r>
    <n v="3367"/>
    <s v="Fortress"/>
    <s v="TM RS"/>
    <x v="52"/>
    <n v="3"/>
    <x v="27"/>
    <x v="110"/>
    <s v="變頻六門雪櫃(451L)"/>
    <s v="大電"/>
    <s v="REF"/>
    <s v="rm598"/>
    <n v="1"/>
    <n v="10590"/>
    <n v="10590"/>
    <n v="2300505"/>
    <m/>
    <m/>
    <s v="GR-RM598WE-PGA(B3) 2300505"/>
    <n v="14980"/>
    <n v="0.70694259012016025"/>
    <s v="Toshiba SRP"/>
    <m/>
    <s v="2300505"/>
  </r>
  <r>
    <n v="3368"/>
    <s v="Fortress"/>
    <s v="TM RS"/>
    <x v="52"/>
    <n v="3"/>
    <x v="27"/>
    <x v="22"/>
    <s v="變頻五門雪櫃(375L)"/>
    <s v="大電"/>
    <s v="REF"/>
    <s v="rm612"/>
    <n v="1"/>
    <n v="9980"/>
    <n v="9980"/>
    <n v="2300381"/>
    <m/>
    <m/>
    <s v="GR-RM612WE-PGA(B5) 2300381"/>
    <n v="11000"/>
    <n v="0.90727272727272723"/>
    <s v="Shops Highest Price"/>
    <m/>
    <s v="2300381"/>
  </r>
  <r>
    <n v="3369"/>
    <s v="Fortress"/>
    <s v="TM RS"/>
    <x v="52"/>
    <n v="3"/>
    <x v="27"/>
    <x v="42"/>
    <s v="變頻下置式雙門雪櫃系列270L"/>
    <s v="大電"/>
    <s v="REF"/>
    <s v="rb360"/>
    <n v="1"/>
    <n v="3680"/>
    <n v="3680"/>
    <n v="2300580"/>
    <m/>
    <m/>
    <s v="GR-RB360WE-PMA(06) 2300580"/>
    <n v="5080"/>
    <n v="0.72440944881889768"/>
    <s v="Toshiba SRP"/>
    <m/>
    <s v="2300580"/>
  </r>
  <r>
    <n v="3370"/>
    <s v="Fortress"/>
    <s v="TM RS"/>
    <x v="52"/>
    <n v="3"/>
    <x v="27"/>
    <x v="103"/>
    <s v="變頻下置式雙門雪櫃"/>
    <s v="大電"/>
    <s v="REF"/>
    <s v="rb449"/>
    <n v="1"/>
    <n v="4880"/>
    <n v="4880"/>
    <n v="2300421"/>
    <m/>
    <m/>
    <s v="GR-RB449WE-PMA(57) 2300421"/>
    <n v="6280"/>
    <n v="0.77707006369426757"/>
    <s v="Toshiba SRP"/>
    <m/>
    <s v="2300421"/>
  </r>
  <r>
    <n v="3371"/>
    <s v="Fortress"/>
    <s v="TM RS"/>
    <x v="52"/>
    <n v="3"/>
    <x v="27"/>
    <x v="103"/>
    <s v="變頻下置式雙門雪櫃"/>
    <s v="大電"/>
    <s v="REF"/>
    <s v="rb449"/>
    <n v="1"/>
    <n v="4880"/>
    <n v="4880"/>
    <n v="2300510"/>
    <m/>
    <m/>
    <s v="GR-RB449WE-PMA(57) 2300510"/>
    <n v="6280"/>
    <n v="0.77707006369426757"/>
    <s v="Toshiba SRP"/>
    <m/>
    <s v="2300510"/>
  </r>
  <r>
    <n v="3372"/>
    <s v="Fortress"/>
    <s v="TM RS"/>
    <x v="52"/>
    <n v="3"/>
    <x v="27"/>
    <x v="85"/>
    <s v="旗艦級變頻三門雪櫃 (300L)"/>
    <s v="大電"/>
    <s v="REF"/>
    <s v="rm469"/>
    <n v="1"/>
    <n v="6190"/>
    <n v="6190"/>
    <n v="2300393"/>
    <m/>
    <m/>
    <s v="GR-RM469WE-PGA(B3) 2300393"/>
    <n v="8990"/>
    <n v="0.68854282536151279"/>
    <s v="Toshiba SRP"/>
    <m/>
    <s v="2300393"/>
  </r>
  <r>
    <n v="3373"/>
    <s v="Fortress"/>
    <s v="TM RS"/>
    <x v="52"/>
    <n v="3"/>
    <x v="27"/>
    <x v="10"/>
    <s v="變頻上置式雙門雪櫃313L "/>
    <s v="大電"/>
    <s v="REF"/>
    <s v="rt416"/>
    <n v="1"/>
    <n v="3980"/>
    <n v="3980"/>
    <n v="2300485"/>
    <m/>
    <m/>
    <s v="GR-RT416WE-PMA(06) 2300485"/>
    <n v="5380"/>
    <n v="0.7397769516728625"/>
    <s v="Toshiba SRP"/>
    <m/>
    <s v="2300485"/>
  </r>
  <r>
    <n v="3374"/>
    <s v="Fortress"/>
    <s v="TM RS"/>
    <x v="52"/>
    <n v="3"/>
    <x v="27"/>
    <x v="59"/>
    <s v="30公升蒸氣焗爐"/>
    <s v="細電"/>
    <s v="MCA"/>
    <s v="str30"/>
    <n v="1"/>
    <n v="3980"/>
    <n v="3980"/>
    <n v="2300531"/>
    <m/>
    <m/>
    <s v="MS5-STR30SC(BK) 2300531"/>
    <n v="5998"/>
    <n v="0.66355451817272426"/>
    <s v="Shops Highest Price"/>
    <m/>
    <s v="2300531"/>
  </r>
  <r>
    <n v="3375"/>
    <s v="Fortress"/>
    <s v="TM RS"/>
    <x v="52"/>
    <n v="3"/>
    <x v="27"/>
    <x v="59"/>
    <s v="30公升蒸氣焗爐"/>
    <s v="細電"/>
    <s v="MCA"/>
    <s v="str30"/>
    <n v="1"/>
    <n v="3980"/>
    <n v="3980"/>
    <n v="2300488"/>
    <m/>
    <m/>
    <s v="MS5-STR30SC(BK) 2300488"/>
    <n v="5998"/>
    <n v="0.66355451817272426"/>
    <s v="Shops Highest Price"/>
    <m/>
    <s v="2300488"/>
  </r>
  <r>
    <n v="3376"/>
    <s v="Fortress"/>
    <s v="TM RS"/>
    <x v="52"/>
    <n v="3"/>
    <x v="27"/>
    <x v="42"/>
    <s v="變頻下置式雙門雪櫃系列270L"/>
    <s v="大電"/>
    <s v="REF"/>
    <s v="rb360"/>
    <n v="1"/>
    <n v="3580"/>
    <n v="3580"/>
    <n v="2300349"/>
    <m/>
    <m/>
    <s v="GR-RB360WE-PMA(06) 2300349"/>
    <n v="5080"/>
    <n v="0.70472440944881887"/>
    <s v="Toshiba SRP"/>
    <m/>
    <s v="2300349"/>
  </r>
  <r>
    <n v="3377"/>
    <s v="Fortress"/>
    <s v="TM RS"/>
    <x v="52"/>
    <n v="3"/>
    <x v="27"/>
    <x v="87"/>
    <s v="變頻式環保雙門雪櫃(233L)"/>
    <s v="大電"/>
    <s v="REF"/>
    <s v="rt300"/>
    <n v="1"/>
    <n v="2780"/>
    <n v="2780"/>
    <n v="2300373"/>
    <m/>
    <m/>
    <s v="GR-RT300WE-PMA(57) 2300373"/>
    <n v="4280"/>
    <n v="0.64953271028037385"/>
    <s v="Toshiba SRP"/>
    <m/>
    <s v="2300373"/>
  </r>
  <r>
    <n v="3378"/>
    <s v="Fortress"/>
    <s v="TM RS"/>
    <x v="52"/>
    <n v="3"/>
    <x v="27"/>
    <x v="87"/>
    <s v="變頻式環保雙門雪櫃(233L)"/>
    <s v="大電"/>
    <s v="REF"/>
    <s v="rt300"/>
    <n v="1"/>
    <n v="2780"/>
    <n v="2780"/>
    <n v="2300465"/>
    <m/>
    <m/>
    <s v="GR-RT300WE-PMA(57) 2300465"/>
    <n v="4280"/>
    <n v="0.64953271028037385"/>
    <s v="Toshiba SRP"/>
    <m/>
    <s v="2300465"/>
  </r>
  <r>
    <n v="3379"/>
    <s v="Fortress"/>
    <s v="TM RS"/>
    <x v="52"/>
    <n v="3"/>
    <x v="27"/>
    <x v="66"/>
    <s v="變頻下置式雙門雪櫃（163L）"/>
    <s v="大電"/>
    <s v="REF"/>
    <s v="rb221"/>
    <n v="1"/>
    <n v="1880"/>
    <n v="1880"/>
    <n v="2300469"/>
    <m/>
    <m/>
    <s v="GR-RB221WE-PMA(57) 2300469"/>
    <n v="3480"/>
    <n v="0.54022988505747127"/>
    <s v="Toshiba SRP"/>
    <m/>
    <s v="2300469"/>
  </r>
  <r>
    <n v="3380"/>
    <s v="Fortress"/>
    <s v="TM RS"/>
    <x v="52"/>
    <n v="3"/>
    <x v="27"/>
    <x v="66"/>
    <s v="變頻下置式雙門雪櫃（163L）"/>
    <s v="大電"/>
    <s v="REF"/>
    <s v="rb221"/>
    <n v="1"/>
    <n v="1880"/>
    <n v="1880"/>
    <n v="2300495"/>
    <m/>
    <m/>
    <s v="GR-RB221WE-PMA(57) 2300495"/>
    <n v="3480"/>
    <n v="0.54022988505747127"/>
    <s v="Toshiba SRP"/>
    <m/>
    <s v="2300495"/>
  </r>
  <r>
    <n v="3381"/>
    <s v="Fortress"/>
    <s v="TM RS"/>
    <x v="52"/>
    <n v="3"/>
    <x v="27"/>
    <x v="115"/>
    <s v="微波蒸焗爐23L"/>
    <s v="細電"/>
    <s v="SDA"/>
    <s v="th23"/>
    <n v="1"/>
    <n v="1999"/>
    <n v="1999"/>
    <n v="2300587"/>
    <m/>
    <m/>
    <s v="MX1-TH23SC(WH) 2300587"/>
    <n v="3380"/>
    <n v="0.5914201183431953"/>
    <s v="Toshiba SRP"/>
    <m/>
    <s v="2300587"/>
  </r>
  <r>
    <n v="3382"/>
    <s v="Fortress"/>
    <s v="TM RS"/>
    <x v="52"/>
    <n v="3"/>
    <x v="27"/>
    <x v="115"/>
    <s v="微波蒸焗爐23L"/>
    <s v="細電"/>
    <s v="SDA"/>
    <s v="th23"/>
    <n v="1"/>
    <n v="1999"/>
    <n v="1999"/>
    <n v="2300389"/>
    <m/>
    <m/>
    <s v="MX1-TH23SC(WH) 2300389"/>
    <n v="3380"/>
    <n v="0.5914201183431953"/>
    <s v="Toshiba SRP"/>
    <m/>
    <s v="2300389"/>
  </r>
  <r>
    <n v="3383"/>
    <s v="Fortress"/>
    <s v="TM RS"/>
    <x v="52"/>
    <n v="3"/>
    <x v="27"/>
    <x v="115"/>
    <s v="微波蒸焗爐23L"/>
    <s v="細電"/>
    <s v="SDA"/>
    <s v="th23"/>
    <n v="1"/>
    <n v="1999"/>
    <n v="1999"/>
    <n v="2300356"/>
    <m/>
    <m/>
    <s v="MX1-TH23SC(WH) 2300356"/>
    <n v="3380"/>
    <n v="0.5914201183431953"/>
    <s v="Toshiba SRP"/>
    <m/>
    <s v="2300356"/>
  </r>
  <r>
    <n v="3384"/>
    <s v="Fortress"/>
    <s v="TM RS"/>
    <x v="52"/>
    <n v="3"/>
    <x v="27"/>
    <x v="115"/>
    <s v="微波蒸焗爐23L"/>
    <s v="細電"/>
    <s v="SDA"/>
    <s v="th23"/>
    <n v="1"/>
    <n v="1999"/>
    <n v="1999"/>
    <n v="2300399"/>
    <m/>
    <m/>
    <s v="MX1-TH23SC(WH) 2300399"/>
    <n v="3380"/>
    <n v="0.5914201183431953"/>
    <s v="Toshiba SRP"/>
    <m/>
    <s v="2300399"/>
  </r>
  <r>
    <n v="3385"/>
    <s v="Fortress"/>
    <s v="TM RS"/>
    <x v="52"/>
    <n v="3"/>
    <x v="27"/>
    <x v="74"/>
    <s v="4合1氣炸微波蒸焗爐(25公升)"/>
    <s v="細電"/>
    <s v="MCA"/>
    <s v="str25"/>
    <n v="1"/>
    <n v="3580"/>
    <n v="3580"/>
    <n v="2300433"/>
    <m/>
    <m/>
    <s v="MX2-STR25SC(WH) 2300433"/>
    <n v="4998"/>
    <n v="0.71628651460584236"/>
    <s v="Toshiba SRP"/>
    <m/>
    <s v="2300433"/>
  </r>
  <r>
    <n v="3386"/>
    <s v="Fortress"/>
    <s v="TM RS"/>
    <x v="52"/>
    <n v="3"/>
    <x v="27"/>
    <x v="74"/>
    <s v="4合1氣炸微波蒸焗爐(25公升)"/>
    <s v="細電"/>
    <s v="MCA"/>
    <s v="str25"/>
    <n v="1"/>
    <n v="3580"/>
    <n v="3580"/>
    <n v="2300484"/>
    <m/>
    <m/>
    <s v="MX2-STR25SC(WH) 2300484"/>
    <n v="4998"/>
    <n v="0.71628651460584236"/>
    <s v="Toshiba SRP"/>
    <m/>
    <s v="2300484"/>
  </r>
  <r>
    <n v="3387"/>
    <s v="Fortress"/>
    <s v="TM RS"/>
    <x v="52"/>
    <n v="3"/>
    <x v="27"/>
    <x v="74"/>
    <s v="4合1氣炸微波蒸焗爐(25公升)"/>
    <s v="細電"/>
    <s v="MCA"/>
    <s v="str25"/>
    <n v="1"/>
    <n v="3580"/>
    <n v="3580"/>
    <n v="2300439"/>
    <m/>
    <m/>
    <s v="MX2-STR25SC(WH) 2300439"/>
    <n v="4998"/>
    <n v="0.71628651460584236"/>
    <s v="Toshiba SRP"/>
    <m/>
    <s v="2300439"/>
  </r>
  <r>
    <n v="3388"/>
    <s v="Fortress"/>
    <s v="TM RS"/>
    <x v="52"/>
    <n v="3"/>
    <x v="27"/>
    <x v="74"/>
    <s v="4合1氣炸微波蒸焗爐(25公升)"/>
    <s v="細電"/>
    <s v="MCA"/>
    <s v="str25"/>
    <n v="1"/>
    <n v="3580"/>
    <n v="3580"/>
    <n v="2300541"/>
    <m/>
    <m/>
    <s v="MX2-STR25SC(WH) 2300541"/>
    <n v="4998"/>
    <n v="0.71628651460584236"/>
    <s v="Toshiba SRP"/>
    <m/>
    <s v="2300541"/>
  </r>
  <r>
    <n v="3389"/>
    <s v="Fortress"/>
    <s v="TM RS"/>
    <x v="52"/>
    <n v="3"/>
    <x v="27"/>
    <x v="74"/>
    <s v="4合1氣炸微波蒸焗爐(25公升)"/>
    <s v="細電"/>
    <s v="MCA"/>
    <s v="str25"/>
    <n v="1"/>
    <n v="3580"/>
    <n v="3580"/>
    <n v="2300525"/>
    <m/>
    <m/>
    <s v="MX2-STR25SC(WH) 2300525"/>
    <n v="4998"/>
    <n v="0.71628651460584236"/>
    <s v="Toshiba SRP"/>
    <m/>
    <s v="2300525"/>
  </r>
  <r>
    <n v="3390"/>
    <s v="Fortress"/>
    <s v="TM RS"/>
    <x v="52"/>
    <n v="3"/>
    <x v="27"/>
    <x v="48"/>
    <s v="3合1 微波蒸焗爐 (20公升)"/>
    <s v="細電"/>
    <s v="MCA"/>
    <s v="tt20"/>
    <n v="1"/>
    <n v="2580"/>
    <n v="2580"/>
    <n v="2300581"/>
    <m/>
    <m/>
    <s v="MX2-TT20SC(WH) 2300581"/>
    <n v="3580"/>
    <n v="0.72067039106145248"/>
    <s v="Toshiba SRP"/>
    <m/>
    <s v="2300581"/>
  </r>
  <r>
    <n v="3391"/>
    <s v="Fortress"/>
    <s v="TM RS"/>
    <x v="52"/>
    <n v="3"/>
    <x v="27"/>
    <x v="48"/>
    <s v="3合1 微波蒸焗爐 (20公升)"/>
    <s v="細電"/>
    <s v="MCA"/>
    <s v="tt20"/>
    <n v="1"/>
    <n v="2580"/>
    <n v="2580"/>
    <n v="2300352"/>
    <m/>
    <m/>
    <s v="MX2-TT20SC(WH) 2300352"/>
    <n v="3580"/>
    <n v="0.72067039106145248"/>
    <s v="Toshiba SRP"/>
    <m/>
    <s v="2300352"/>
  </r>
  <r>
    <n v="3392"/>
    <s v="Fortress"/>
    <s v="TM RS"/>
    <x v="52"/>
    <n v="3"/>
    <x v="27"/>
    <x v="62"/>
    <s v="智能水波爐 (26公升)"/>
    <s v="細電"/>
    <s v="MCA"/>
    <s v="sd99"/>
    <n v="1"/>
    <n v="3790"/>
    <n v="3790"/>
    <n v="2300420"/>
    <m/>
    <m/>
    <s v="ER-SD99HKW 2300420"/>
    <n v="5888"/>
    <n v="0.64368206521739135"/>
    <s v="Toshiba SRP"/>
    <m/>
    <s v="2300420"/>
  </r>
  <r>
    <n v="3393"/>
    <s v="Fortress"/>
    <s v="TM RS"/>
    <x v="52"/>
    <n v="3"/>
    <x v="27"/>
    <x v="106"/>
    <s v="燒烤微波爐21L"/>
    <s v="細電"/>
    <s v="SDA"/>
    <s v="ag21"/>
    <n v="1"/>
    <n v="798"/>
    <n v="798"/>
    <n v="2300562"/>
    <m/>
    <m/>
    <s v="MV-AG21TF(BK) 2300562"/>
    <n v="1098"/>
    <n v="0.72677595628415304"/>
    <s v="Toshiba SRP"/>
    <m/>
    <s v="2300562"/>
  </r>
  <r>
    <n v="3394"/>
    <s v="Fortress"/>
    <s v="TM RS"/>
    <x v="52"/>
    <n v="3"/>
    <x v="27"/>
    <x v="106"/>
    <s v="燒烤微波爐21L"/>
    <s v="細電"/>
    <s v="SDA"/>
    <s v="ag21"/>
    <n v="1"/>
    <n v="798"/>
    <n v="798"/>
    <n v="2300549"/>
    <m/>
    <m/>
    <s v="MV-AG21TF(BK) 2300549"/>
    <n v="1098"/>
    <n v="0.72677595628415304"/>
    <s v="Toshiba SRP"/>
    <m/>
    <s v="2300549"/>
  </r>
  <r>
    <n v="3395"/>
    <s v="Fortress"/>
    <s v="TM RS"/>
    <x v="52"/>
    <n v="3"/>
    <x v="27"/>
    <x v="109"/>
    <s v="12吋座地座檯電風扇"/>
    <s v="細電"/>
    <s v="SDA"/>
    <s v="b60"/>
    <n v="1"/>
    <n v="499"/>
    <n v="499"/>
    <n v="2300433"/>
    <m/>
    <m/>
    <s v="F-ALB60HK(B) 2300433"/>
    <n v="839"/>
    <n v="0.59475566150178782"/>
    <s v="Shops Highest Price"/>
    <m/>
    <s v="2300433"/>
  </r>
  <r>
    <n v="3396"/>
    <s v="Fortress"/>
    <s v="TM RS"/>
    <x v="52"/>
    <n v="3"/>
    <x v="27"/>
    <x v="109"/>
    <s v="12吋座地座檯電風扇"/>
    <s v="細電"/>
    <s v="SDA"/>
    <s v="b60"/>
    <n v="1"/>
    <n v="499"/>
    <n v="499"/>
    <n v="2300563"/>
    <m/>
    <m/>
    <s v="F-ALB60HK(B) 2300563"/>
    <n v="839"/>
    <n v="0.59475566150178782"/>
    <s v="Shops Highest Price"/>
    <m/>
    <s v="2300563"/>
  </r>
  <r>
    <n v="3397"/>
    <s v="Fortress"/>
    <s v="TM RS"/>
    <x v="52"/>
    <n v="3"/>
    <x v="27"/>
    <x v="109"/>
    <s v="12吋座地座檯電風扇"/>
    <s v="細電"/>
    <s v="SDA"/>
    <s v="b60"/>
    <n v="1"/>
    <n v="499"/>
    <n v="499"/>
    <n v="2300156"/>
    <m/>
    <m/>
    <s v="F-ALB60HK(B) 2300156"/>
    <n v="839"/>
    <n v="0.59475566150178782"/>
    <s v="Shops Highest Price"/>
    <m/>
    <s v="2300156"/>
  </r>
  <r>
    <n v="3398"/>
    <s v="Fortress"/>
    <s v="TM RS"/>
    <x v="52"/>
    <n v="3"/>
    <x v="27"/>
    <x v="41"/>
    <s v="低醣磁應電飯煲1.8L"/>
    <s v="細電"/>
    <s v="SDA"/>
    <s v="18isph"/>
    <n v="1"/>
    <n v="898"/>
    <n v="898"/>
    <n v="2300552"/>
    <m/>
    <m/>
    <s v="RC-18ISPH 2300552"/>
    <n v="1436"/>
    <n v="0.62534818941504178"/>
    <s v="Shops Highest Price"/>
    <m/>
    <s v="2300552"/>
  </r>
  <r>
    <n v="3399"/>
    <s v="Fortress"/>
    <s v="TM RS"/>
    <x v="52"/>
    <n v="3"/>
    <x v="27"/>
    <x v="23"/>
    <s v="電飯煲"/>
    <s v="細電"/>
    <s v="SDA"/>
    <s v="10jruh"/>
    <n v="1"/>
    <n v="298"/>
    <n v="298"/>
    <n v="2300412"/>
    <m/>
    <m/>
    <s v="RC-10JRUH(N) 2300412"/>
    <n v="398"/>
    <n v="0.74874371859296485"/>
    <s v="Shops Highest Price"/>
    <m/>
    <s v="2300412"/>
  </r>
  <r>
    <n v="3400"/>
    <s v="Fortress"/>
    <s v="TM RS"/>
    <x v="52"/>
    <n v="3"/>
    <x v="27"/>
    <x v="93"/>
    <s v="座檯式洗碗碟機"/>
    <s v="細電"/>
    <s v="DW"/>
    <s v="05t2"/>
    <n v="1"/>
    <n v="3780"/>
    <n v="3780"/>
    <n v="2300417"/>
    <m/>
    <m/>
    <s v="DW-05T2-HK 2300417"/>
    <n v="4580"/>
    <n v="0.8253275109170306"/>
    <s v="Toshiba SRP"/>
    <m/>
    <s v="2300417"/>
  </r>
  <r>
    <n v="3401"/>
    <s v="Fortress"/>
    <s v="TM RS"/>
    <x v="52"/>
    <n v="3"/>
    <x v="27"/>
    <x v="93"/>
    <s v="座檯式洗碗碟機"/>
    <s v="細電"/>
    <s v="DW"/>
    <s v="05t2"/>
    <n v="1"/>
    <n v="3780"/>
    <n v="3780"/>
    <n v="2300518"/>
    <m/>
    <m/>
    <s v="DW-05T2-HK 2300518"/>
    <n v="4580"/>
    <n v="0.8253275109170306"/>
    <s v="Toshiba SRP"/>
    <m/>
    <s v="2300518"/>
  </r>
  <r>
    <n v="3402"/>
    <s v="Fortress"/>
    <s v="TM RS"/>
    <x v="52"/>
    <n v="3"/>
    <x v="27"/>
    <x v="93"/>
    <s v="座檯式洗碗碟機"/>
    <s v="細電"/>
    <s v="DW"/>
    <s v="05t2"/>
    <n v="1"/>
    <n v="3780"/>
    <n v="3780"/>
    <n v="2300501"/>
    <m/>
    <m/>
    <s v="DW-05T2-HK 2300501"/>
    <n v="4580"/>
    <n v="0.8253275109170306"/>
    <s v="Toshiba SRP"/>
    <m/>
    <s v="2300501"/>
  </r>
  <r>
    <n v="3403"/>
    <s v="Fortress"/>
    <s v="TM RS"/>
    <x v="52"/>
    <n v="3"/>
    <x v="27"/>
    <x v="93"/>
    <s v="座檯式洗碗碟機"/>
    <s v="細電"/>
    <s v="DW"/>
    <s v="05t2"/>
    <n v="1"/>
    <n v="3780"/>
    <n v="3780"/>
    <n v="2300577"/>
    <m/>
    <m/>
    <s v="DW-05T2-HK 2300577"/>
    <n v="4580"/>
    <n v="0.8253275109170306"/>
    <s v="Toshiba SRP"/>
    <m/>
    <s v="2300577"/>
  </r>
  <r>
    <n v="3404"/>
    <s v="Fortress"/>
    <s v="TM RS"/>
    <x v="52"/>
    <n v="3"/>
    <x v="27"/>
    <x v="93"/>
    <s v="座檯式洗碗碟機"/>
    <s v="細電"/>
    <s v="DW"/>
    <s v="05t2"/>
    <n v="1"/>
    <n v="3780"/>
    <n v="3780"/>
    <n v="2300550"/>
    <m/>
    <m/>
    <s v="DW-05T2-HK 2300550"/>
    <n v="4580"/>
    <n v="0.8253275109170306"/>
    <s v="Toshiba SRP"/>
    <m/>
    <s v="2300550"/>
  </r>
  <r>
    <n v="3405"/>
    <s v="Fortress"/>
    <s v="TM RS"/>
    <x v="52"/>
    <n v="3"/>
    <x v="27"/>
    <x v="96"/>
    <s v="日式洗衣機 (7公斤 結合高低水位)"/>
    <s v="大電"/>
    <s v="LAD"/>
    <s v="q800"/>
    <n v="1"/>
    <n v="1980"/>
    <n v="1980"/>
    <n v="2300538"/>
    <m/>
    <m/>
    <s v="AW-Q800APH(WW) 2300538"/>
    <n v="3580"/>
    <n v="0.55307262569832405"/>
    <s v="Toshiba SRP"/>
    <m/>
    <s v="2300538"/>
  </r>
  <r>
    <n v="3406"/>
    <s v="Fortress"/>
    <s v="TM RS"/>
    <x v="52"/>
    <n v="3"/>
    <x v="27"/>
    <x v="96"/>
    <s v="日式洗衣機 (7公斤 結合高低水位)"/>
    <s v="大電"/>
    <s v="LAD"/>
    <s v="q800"/>
    <n v="1"/>
    <n v="1980"/>
    <n v="1980"/>
    <n v="2300432"/>
    <m/>
    <m/>
    <s v="AW-Q800APH(WW) 2300432"/>
    <n v="3580"/>
    <n v="0.55307262569832405"/>
    <s v="Toshiba SRP"/>
    <m/>
    <s v="2300432"/>
  </r>
  <r>
    <n v="3407"/>
    <s v="Fortress"/>
    <s v="TM RS"/>
    <x v="52"/>
    <n v="3"/>
    <x v="27"/>
    <x v="96"/>
    <s v="日式洗衣機 (7公斤 結合高低水位)"/>
    <s v="大電"/>
    <s v="LAD"/>
    <s v="q800"/>
    <n v="1"/>
    <n v="1980"/>
    <n v="1980"/>
    <n v="2300530"/>
    <m/>
    <m/>
    <s v="AW-Q800APH(WW) 2300530"/>
    <n v="3580"/>
    <n v="0.55307262569832405"/>
    <s v="Toshiba SRP"/>
    <m/>
    <s v="2300530"/>
  </r>
  <r>
    <n v="3408"/>
    <s v="Fortress"/>
    <s v="TM RS"/>
    <x v="52"/>
    <n v="3"/>
    <x v="27"/>
    <x v="77"/>
    <s v="470MM超薄身前置式變頻洗衣乾衣機 (洗8.5公斤/乾6公斤, 可飛頂)"/>
    <s v="大電"/>
    <s v="LAD"/>
    <s v="twdt22"/>
    <n v="1"/>
    <n v="4780"/>
    <n v="4780"/>
    <n v="2300385"/>
    <m/>
    <m/>
    <s v="TWD-T22BU95UWH(WK)-B 2300385"/>
    <n v="7480"/>
    <n v="0.63903743315508021"/>
    <s v="Toshiba SRP"/>
    <m/>
    <s v="2300385"/>
  </r>
  <r>
    <n v="3409"/>
    <s v="Fortress"/>
    <s v="TM RS"/>
    <x v="52"/>
    <n v="3"/>
    <x v="27"/>
    <x v="86"/>
    <s v="470MM超薄身前置式變頻洗衣乾衣機 (洗8.5公斤 乾6公斤)"/>
    <s v="大電"/>
    <s v="LAD"/>
    <s v="twdt21"/>
    <n v="1"/>
    <n v="3999"/>
    <n v="3999"/>
    <n v="2300434"/>
    <m/>
    <m/>
    <s v="TWD-T21BU95UWH(WW) 2300434"/>
    <n v="7280"/>
    <n v="0.54931318681318686"/>
    <s v="Toshiba SRP"/>
    <m/>
    <s v="2300434"/>
  </r>
  <r>
    <n v="3410"/>
    <s v="Fortress"/>
    <s v="TM RS"/>
    <x v="52"/>
    <n v="3"/>
    <x v="27"/>
    <x v="21"/>
    <s v="壓縮式抽濕機 (30公升)"/>
    <s v="細電"/>
    <s v="RAC"/>
    <s v="d300"/>
    <n v="1"/>
    <n v="2280"/>
    <n v="2280"/>
    <n v="2300438"/>
    <m/>
    <m/>
    <s v="RAD-D300H 2300438"/>
    <n v="3380"/>
    <n v="0.67455621301775148"/>
    <s v="Shops Highest Price"/>
    <m/>
    <s v="2300438"/>
  </r>
  <r>
    <n v="3411"/>
    <s v="Fortress"/>
    <s v="TM RS"/>
    <x v="52"/>
    <n v="3"/>
    <x v="27"/>
    <x v="21"/>
    <s v="壓縮式抽濕機 (30公升)"/>
    <s v="細電"/>
    <s v="RAC"/>
    <s v="d300"/>
    <n v="1"/>
    <n v="2280"/>
    <n v="2280"/>
    <n v="2300376"/>
    <m/>
    <m/>
    <s v="RAD-D300H 2300376"/>
    <n v="3380"/>
    <n v="0.67455621301775148"/>
    <s v="Shops Highest Price"/>
    <m/>
    <s v="2300376"/>
  </r>
  <r>
    <n v="3412"/>
    <s v="Fortress"/>
    <s v="TM RS"/>
    <x v="52"/>
    <n v="3"/>
    <x v="27"/>
    <x v="21"/>
    <s v="壓縮式抽濕機 (30公升)"/>
    <s v="細電"/>
    <s v="RAC"/>
    <s v="d300"/>
    <n v="1"/>
    <n v="2280"/>
    <n v="2280"/>
    <n v="2300363"/>
    <m/>
    <m/>
    <s v="RAD-D300H 2300363"/>
    <n v="3380"/>
    <n v="0.67455621301775148"/>
    <s v="Shops Highest Price"/>
    <m/>
    <s v="2300363"/>
  </r>
  <r>
    <n v="3413"/>
    <s v="Fortress"/>
    <s v="TM RS"/>
    <x v="52"/>
    <n v="3"/>
    <x v="27"/>
    <x v="58"/>
    <s v="IH磁應電飯煲_x000a_鑽石銅鍋"/>
    <s v="細電"/>
    <s v="SDA"/>
    <s v="dr18tw"/>
    <n v="1"/>
    <n v="2800"/>
    <n v="2800"/>
    <n v="2300404"/>
    <m/>
    <m/>
    <s v="RC-DR18T(W) 2300404"/>
    <n v="3588"/>
    <n v="0.78037904124860646"/>
    <s v="Toshiba SRP"/>
    <m/>
    <s v="2300404"/>
  </r>
  <r>
    <n v="3414"/>
    <s v="Fortress"/>
    <s v="TM RS"/>
    <x v="52"/>
    <n v="3"/>
    <x v="27"/>
    <x v="51"/>
    <s v="IH磁應電飯煲"/>
    <s v="細電"/>
    <s v="SDA"/>
    <s v="dr10tw"/>
    <n v="1"/>
    <n v="2380"/>
    <n v="2380"/>
    <n v="2300367"/>
    <m/>
    <m/>
    <s v="RC-DR10T(W) 2300367"/>
    <n v="3188"/>
    <n v="0.74654956085319946"/>
    <s v="Toshiba SRP"/>
    <m/>
    <s v="2300367"/>
  </r>
  <r>
    <n v="3415"/>
    <s v="Fortress"/>
    <s v="TM RS"/>
    <x v="52"/>
    <n v="3"/>
    <x v="27"/>
    <x v="121"/>
    <s v="IH磁應電飯煲"/>
    <s v="細電"/>
    <s v="SDA"/>
    <s v="ds10kw"/>
    <n v="1"/>
    <n v="3150"/>
    <n v="3150"/>
    <n v="2300361"/>
    <m/>
    <m/>
    <s v="RC-DS10K(N) 2300361"/>
    <n v="4588"/>
    <n v="0.68657367044463824"/>
    <s v="Toshiba SRP"/>
    <m/>
    <s v="2300361"/>
  </r>
  <r>
    <n v="3416"/>
    <s v="Fortress"/>
    <s v="TM RS"/>
    <x v="52"/>
    <n v="3"/>
    <x v="27"/>
    <x v="51"/>
    <s v="IH磁應電飯煲"/>
    <s v="細電"/>
    <s v="SDA"/>
    <s v="dr10tw"/>
    <n v="1"/>
    <n v="2380"/>
    <n v="2380"/>
    <n v="2300371"/>
    <m/>
    <m/>
    <s v="RC-DR10T(W) 2300371"/>
    <n v="3188"/>
    <n v="0.74654956085319946"/>
    <s v="Toshiba SRP"/>
    <m/>
    <s v="2300371"/>
  </r>
  <r>
    <n v="3417"/>
    <s v="Fortress"/>
    <s v="TM RS"/>
    <x v="52"/>
    <n v="3"/>
    <x v="27"/>
    <x v="80"/>
    <s v="無線雙層電熱水壺(1.4公升)"/>
    <s v="細電"/>
    <s v="SDA"/>
    <s v="14dh"/>
    <n v="1"/>
    <n v="298"/>
    <n v="298"/>
    <n v="2300545"/>
    <m/>
    <m/>
    <s v="KT-14DHUHK(W) 2300545"/>
    <n v="458"/>
    <n v="0.6506550218340611"/>
    <s v="Toshiba SRP"/>
    <m/>
    <s v="2300545"/>
  </r>
  <r>
    <n v="3418"/>
    <s v="Fortress"/>
    <s v="TM RS"/>
    <x v="52"/>
    <n v="3"/>
    <x v="27"/>
    <x v="61"/>
    <s v="酵活炊電飯煲(1.8公升)"/>
    <s v="細電"/>
    <s v="SDA"/>
    <s v="18amx"/>
    <n v="1"/>
    <n v="990"/>
    <n v="990"/>
    <n v="2300545"/>
    <m/>
    <m/>
    <s v="RC-18AMXH(W) 2300545"/>
    <n v="1588"/>
    <n v="0.62342569269521408"/>
    <s v="Toshiba SRP"/>
    <m/>
    <s v="2300545"/>
  </r>
  <r>
    <n v="3419"/>
    <s v="Fortress"/>
    <s v="TM RS"/>
    <x v="52"/>
    <n v="3"/>
    <x v="27"/>
    <x v="61"/>
    <s v="酵活炊電飯煲(1.8公升)"/>
    <s v="細電"/>
    <s v="SDA"/>
    <s v="18amx"/>
    <n v="1"/>
    <n v="990"/>
    <n v="990"/>
    <n v="2300442"/>
    <m/>
    <m/>
    <s v="RC-18AMXH(W) 2300442"/>
    <n v="1588"/>
    <n v="0.62342569269521408"/>
    <s v="Toshiba SRP"/>
    <m/>
    <s v="2300442"/>
  </r>
  <r>
    <n v="3420"/>
    <s v="Fortress"/>
    <s v="TM RS"/>
    <x v="52"/>
    <n v="3"/>
    <x v="27"/>
    <x v="61"/>
    <s v="酵活炊電飯煲(1.8公升)"/>
    <s v="細電"/>
    <s v="SDA"/>
    <s v="18amx"/>
    <n v="1"/>
    <n v="990"/>
    <n v="990"/>
    <n v="2300532"/>
    <m/>
    <m/>
    <s v="RC-18AMXH(W) 2300532"/>
    <n v="1588"/>
    <n v="0.62342569269521408"/>
    <s v="Toshiba SRP"/>
    <m/>
    <s v="2300532"/>
  </r>
  <r>
    <n v="3421"/>
    <s v="Fortress"/>
    <s v="TM RS"/>
    <x v="52"/>
    <n v="3"/>
    <x v="27"/>
    <x v="61"/>
    <s v="酵活炊電飯煲(1.8公升)"/>
    <s v="細電"/>
    <s v="SDA"/>
    <s v="18amx"/>
    <n v="1"/>
    <n v="990"/>
    <n v="990"/>
    <n v="2300355"/>
    <m/>
    <m/>
    <s v="RC-18AMXH(W) 2300355"/>
    <n v="1588"/>
    <n v="0.62342569269521408"/>
    <s v="Toshiba SRP"/>
    <m/>
    <s v="2300355"/>
  </r>
  <r>
    <n v="3422"/>
    <s v="Fortress"/>
    <s v="TM RS"/>
    <x v="52"/>
    <n v="3"/>
    <x v="27"/>
    <x v="39"/>
    <s v="酵活炊電飯煲(1.0公升)"/>
    <s v="細電"/>
    <s v="SDA"/>
    <s v="10amx"/>
    <n v="1"/>
    <n v="990"/>
    <n v="990"/>
    <n v="2300504"/>
    <m/>
    <m/>
    <s v="RC-10AMXH(W) 2300504"/>
    <n v="1288"/>
    <n v="0.76863354037267084"/>
    <s v="Toshiba SRP"/>
    <m/>
    <s v="2300504"/>
  </r>
  <r>
    <n v="3423"/>
    <s v="Fortress"/>
    <s v="TM RS"/>
    <x v="52"/>
    <n v="3"/>
    <x v="27"/>
    <x v="30"/>
    <s v="旋鈕式燒烤微波爐20L"/>
    <s v="細電"/>
    <s v="SDA"/>
    <s v="mm20"/>
    <n v="1"/>
    <n v="488"/>
    <n v="488"/>
    <n v="2300504"/>
    <m/>
    <m/>
    <s v="MWP-MM20P(WH) 2300504"/>
    <n v="648"/>
    <n v="0.75308641975308643"/>
    <s v="Toshiba SRP"/>
    <m/>
    <s v="2300504"/>
  </r>
  <r>
    <n v="3424"/>
    <s v="Fortress"/>
    <s v="TM RS"/>
    <x v="52"/>
    <n v="3"/>
    <x v="27"/>
    <x v="41"/>
    <s v="低醣磁應電飯煲1.8L"/>
    <s v="細電"/>
    <s v="SDA"/>
    <s v="18isph"/>
    <n v="1"/>
    <n v="898"/>
    <n v="898"/>
    <n v="2300477"/>
    <m/>
    <m/>
    <s v="RC-18ISPH 2300477"/>
    <n v="1436"/>
    <n v="0.62534818941504178"/>
    <s v="Shops Highest Price"/>
    <m/>
    <s v="2300477"/>
  </r>
  <r>
    <n v="3425"/>
    <s v="Fortress"/>
    <s v="TM RS"/>
    <x v="52"/>
    <n v="3"/>
    <x v="27"/>
    <x v="41"/>
    <s v="低醣磁應電飯煲1.8L"/>
    <s v="細電"/>
    <s v="SDA"/>
    <s v="18isph"/>
    <n v="1"/>
    <n v="898"/>
    <n v="898"/>
    <n v="2300493"/>
    <m/>
    <m/>
    <s v="RC-18ISPH 2300493"/>
    <n v="1436"/>
    <n v="0.62534818941504178"/>
    <s v="Shops Highest Price"/>
    <m/>
    <s v="2300493"/>
  </r>
  <r>
    <n v="3426"/>
    <s v="Fortress"/>
    <s v="TM RS"/>
    <x v="52"/>
    <n v="3"/>
    <x v="27"/>
    <x v="41"/>
    <s v="低醣磁應電飯煲1.8L"/>
    <s v="細電"/>
    <s v="SDA"/>
    <s v="18isph"/>
    <n v="1"/>
    <n v="898"/>
    <n v="898"/>
    <n v="2300418"/>
    <m/>
    <m/>
    <s v="RC-18ISPH 2300418"/>
    <n v="1436"/>
    <n v="0.62534818941504178"/>
    <s v="Shops Highest Price"/>
    <m/>
    <s v="2300418"/>
  </r>
  <r>
    <n v="3427"/>
    <s v="Fortress"/>
    <s v="TM RS"/>
    <x v="52"/>
    <n v="3"/>
    <x v="27"/>
    <x v="45"/>
    <s v="備長炭本厚釜電飯煲0.7L"/>
    <s v="細電"/>
    <s v="SDA"/>
    <s v="7hmh"/>
    <n v="1"/>
    <n v="838"/>
    <n v="838"/>
    <n v="2300435"/>
    <m/>
    <m/>
    <s v="RC-7HMH 2300435"/>
    <n v="1288"/>
    <n v="0.65062111801242239"/>
    <s v="Toshiba SRP"/>
    <m/>
    <s v="2300435"/>
  </r>
  <r>
    <n v="3428"/>
    <s v="Fortress"/>
    <s v="TM RS"/>
    <x v="52"/>
    <n v="3"/>
    <x v="27"/>
    <x v="45"/>
    <s v="備長炭本厚釜電飯煲0.7L"/>
    <s v="細電"/>
    <s v="SDA"/>
    <s v="7hmh"/>
    <n v="1"/>
    <n v="838"/>
    <n v="838"/>
    <n v="2300455"/>
    <m/>
    <m/>
    <s v="RC-7HMH 2300455"/>
    <n v="1288"/>
    <n v="0.65062111801242239"/>
    <s v="Toshiba SRP"/>
    <m/>
    <s v="2300455"/>
  </r>
  <r>
    <n v="3429"/>
    <s v="Fortress"/>
    <s v="TM RS"/>
    <x v="52"/>
    <n v="3"/>
    <x v="27"/>
    <x v="57"/>
    <s v="多功能備長炭本厚釜電飯煲1L"/>
    <s v="細電"/>
    <s v="SDA"/>
    <s v="10drnh"/>
    <n v="1"/>
    <n v="499"/>
    <n v="499"/>
    <n v="2300549"/>
    <m/>
    <m/>
    <s v="RC-10DRNH 2300549"/>
    <n v="798"/>
    <n v="0.62531328320802004"/>
    <s v="Toshiba SRP"/>
    <m/>
    <s v="2300549"/>
  </r>
  <r>
    <n v="3430"/>
    <s v="Fortress"/>
    <s v="TM RS"/>
    <x v="52"/>
    <n v="3"/>
    <x v="27"/>
    <x v="57"/>
    <s v="多功能備長炭本厚釜電飯煲1L"/>
    <s v="細電"/>
    <s v="SDA"/>
    <s v="10drnh"/>
    <n v="1"/>
    <n v="499"/>
    <n v="499"/>
    <n v="2300595"/>
    <m/>
    <m/>
    <s v="RC-10DRNH 2300595"/>
    <n v="798"/>
    <n v="0.62531328320802004"/>
    <s v="Toshiba SRP"/>
    <m/>
    <s v="2300595"/>
  </r>
  <r>
    <n v="3431"/>
    <s v="Fortress"/>
    <s v="TM RS"/>
    <x v="52"/>
    <n v="3"/>
    <x v="27"/>
    <x v="50"/>
    <s v="輕便式電磁爐7個功能"/>
    <s v="細電"/>
    <s v="SDA"/>
    <s v="s19"/>
    <n v="1"/>
    <n v="418"/>
    <n v="418"/>
    <n v="2300556"/>
    <m/>
    <m/>
    <s v="IC-S19RH 2300556"/>
    <n v="638"/>
    <n v="0.65517241379310343"/>
    <s v="Toshiba SRP"/>
    <m/>
    <s v="2300556"/>
  </r>
  <r>
    <n v="3432"/>
    <s v="Fortress"/>
    <s v="TM RS"/>
    <x v="52"/>
    <n v="3"/>
    <x v="27"/>
    <x v="39"/>
    <s v="酵活炊電飯煲(1.0公升)"/>
    <s v="細電"/>
    <s v="SDA"/>
    <s v="10amx"/>
    <n v="1"/>
    <n v="990"/>
    <n v="990"/>
    <n v="2300502"/>
    <m/>
    <m/>
    <s v="RC-10AMXH(W) 2300502"/>
    <n v="1288"/>
    <n v="0.76863354037267084"/>
    <s v="Toshiba SRP"/>
    <m/>
    <s v="2300502"/>
  </r>
  <r>
    <n v="3433"/>
    <s v="Fortress"/>
    <s v="TM RS"/>
    <x v="52"/>
    <n v="3"/>
    <x v="27"/>
    <x v="66"/>
    <s v="變頻下置式雙門雪櫃（163L）"/>
    <s v="大電"/>
    <s v="REF"/>
    <s v="rb221"/>
    <n v="1"/>
    <n v="1880"/>
    <n v="1880"/>
    <n v="2300514"/>
    <m/>
    <m/>
    <s v="GR-RB221WE-PMA(57) 2300514"/>
    <n v="3480"/>
    <n v="0.54022988505747127"/>
    <s v="Toshiba SRP"/>
    <m/>
    <s v="2300514"/>
  </r>
  <r>
    <n v="3434"/>
    <s v="Fortress"/>
    <s v="TM RS"/>
    <x v="52"/>
    <n v="3"/>
    <x v="27"/>
    <x v="41"/>
    <s v="低醣磁應電飯煲1.8L"/>
    <s v="細電"/>
    <s v="SDA"/>
    <s v="18isph"/>
    <n v="1"/>
    <n v="898"/>
    <n v="898"/>
    <n v="2300528"/>
    <m/>
    <m/>
    <s v="RC-18ISPH 2300528"/>
    <n v="1436"/>
    <n v="0.62534818941504178"/>
    <s v="Shops Highest Price"/>
    <m/>
    <s v="2300528"/>
  </r>
  <r>
    <n v="3435"/>
    <s v="Fortress"/>
    <s v="TM RS"/>
    <x v="52"/>
    <n v="3"/>
    <x v="27"/>
    <x v="39"/>
    <s v="酵活炊電飯煲(1.0公升)"/>
    <s v="細電"/>
    <s v="SDA"/>
    <s v="10amx"/>
    <n v="1"/>
    <n v="990"/>
    <n v="990"/>
    <n v="2300360"/>
    <m/>
    <m/>
    <s v="RC-10AMXH(W) 2300360"/>
    <n v="1288"/>
    <n v="0.76863354037267084"/>
    <s v="Toshiba SRP"/>
    <m/>
    <s v="2300360"/>
  </r>
  <r>
    <n v="3436"/>
    <s v="Fortress"/>
    <s v="TM RS"/>
    <x v="52"/>
    <n v="3"/>
    <x v="27"/>
    <x v="39"/>
    <s v="酵活炊電飯煲(1.0公升)"/>
    <s v="細電"/>
    <s v="SDA"/>
    <s v="10amx"/>
    <n v="1"/>
    <n v="990"/>
    <n v="990"/>
    <n v="2300382"/>
    <m/>
    <m/>
    <s v="RC-10AMXH(W) 2300382"/>
    <n v="1288"/>
    <n v="0.76863354037267084"/>
    <s v="Toshiba SRP"/>
    <m/>
    <s v="2300382"/>
  </r>
  <r>
    <n v="3437"/>
    <s v="Fortress"/>
    <s v="TM RS"/>
    <x v="52"/>
    <n v="3"/>
    <x v="27"/>
    <x v="39"/>
    <s v="酵活炊電飯煲(1.0公升)"/>
    <s v="細電"/>
    <s v="SDA"/>
    <s v="10amx"/>
    <n v="1"/>
    <n v="990"/>
    <n v="990"/>
    <n v="2300395"/>
    <m/>
    <m/>
    <s v="RC-10AMXH(W) 2300395"/>
    <n v="1288"/>
    <n v="0.76863354037267084"/>
    <s v="Toshiba SRP"/>
    <m/>
    <s v="2300395"/>
  </r>
  <r>
    <n v="3438"/>
    <s v="Fortress"/>
    <s v="TM RS"/>
    <x v="52"/>
    <n v="3"/>
    <x v="27"/>
    <x v="39"/>
    <s v="酵活炊電飯煲(1.0公升)"/>
    <s v="細電"/>
    <s v="SDA"/>
    <s v="10amx"/>
    <n v="1"/>
    <n v="990"/>
    <n v="990"/>
    <n v="2300508"/>
    <m/>
    <m/>
    <s v="RC-10AMXH(W) 2300508"/>
    <n v="1288"/>
    <n v="0.76863354037267084"/>
    <s v="Toshiba SRP"/>
    <m/>
    <s v="2300508"/>
  </r>
  <r>
    <n v="3439"/>
    <s v="Fortress"/>
    <s v="TM RS"/>
    <x v="52"/>
    <n v="3"/>
    <x v="27"/>
    <x v="115"/>
    <s v="微波蒸焗爐23L"/>
    <s v="細電"/>
    <s v="SDA"/>
    <s v="th23"/>
    <n v="1"/>
    <n v="1999"/>
    <n v="1999"/>
    <n v="2300437"/>
    <m/>
    <m/>
    <s v="MX1-TH23SC(WH) 2300437"/>
    <n v="3380"/>
    <n v="0.5914201183431953"/>
    <s v="Toshiba SRP"/>
    <m/>
    <s v="2300437"/>
  </r>
  <r>
    <n v="3440"/>
    <s v="Fortress"/>
    <s v="TM RS"/>
    <x v="52"/>
    <n v="3"/>
    <x v="27"/>
    <x v="115"/>
    <s v="微波蒸焗爐23L"/>
    <s v="細電"/>
    <s v="SDA"/>
    <s v="th23"/>
    <n v="1"/>
    <n v="1999"/>
    <n v="1999"/>
    <n v="2300448"/>
    <m/>
    <m/>
    <s v="MX1-TH23SC(WH) 2300448"/>
    <n v="3380"/>
    <n v="0.5914201183431953"/>
    <s v="Toshiba SRP"/>
    <m/>
    <s v="2300448"/>
  </r>
  <r>
    <n v="3441"/>
    <s v="Fortress"/>
    <s v="TM RS"/>
    <x v="52"/>
    <n v="3"/>
    <x v="27"/>
    <x v="115"/>
    <s v="微波蒸焗爐23L"/>
    <s v="細電"/>
    <s v="SDA"/>
    <s v="th23"/>
    <n v="1"/>
    <n v="1999"/>
    <n v="1999"/>
    <n v="2300507"/>
    <m/>
    <m/>
    <s v="MX1-TH23SC(WH) 2300507"/>
    <n v="3380"/>
    <n v="0.5914201183431953"/>
    <s v="Toshiba SRP"/>
    <m/>
    <s v="2300507"/>
  </r>
  <r>
    <n v="3442"/>
    <s v="Fortress"/>
    <s v="TM RS"/>
    <x v="52"/>
    <n v="3"/>
    <x v="27"/>
    <x v="30"/>
    <s v="旋鈕式燒烤微波爐20L"/>
    <s v="細電"/>
    <s v="SDA"/>
    <s v="mm20"/>
    <n v="1"/>
    <n v="488"/>
    <n v="488"/>
    <n v="2300446"/>
    <m/>
    <m/>
    <s v="MWP-MM20P(WH) 2300446"/>
    <n v="648"/>
    <n v="0.75308641975308643"/>
    <s v="Toshiba SRP"/>
    <m/>
    <s v="2300446"/>
  </r>
  <r>
    <n v="3443"/>
    <s v="Fortress"/>
    <s v="TM RS"/>
    <x v="52"/>
    <n v="3"/>
    <x v="27"/>
    <x v="66"/>
    <s v="變頻下置式雙門雪櫃（163L）"/>
    <s v="大電"/>
    <s v="REF"/>
    <s v="rb221"/>
    <n v="1"/>
    <n v="1880"/>
    <n v="1880"/>
    <n v="2300524"/>
    <m/>
    <m/>
    <s v="GR-RB221WE-PMA(57) 2300524"/>
    <n v="3480"/>
    <n v="0.54022988505747127"/>
    <s v="Toshiba SRP"/>
    <m/>
    <s v="2300524"/>
  </r>
  <r>
    <n v="3444"/>
    <s v="Fortress"/>
    <s v="TM RS"/>
    <x v="52"/>
    <n v="3"/>
    <x v="27"/>
    <x v="96"/>
    <s v="日式洗衣機 (7公斤 結合高低水位)"/>
    <s v="大電"/>
    <s v="LAD"/>
    <s v="q800"/>
    <n v="1"/>
    <n v="1980"/>
    <n v="1980"/>
    <n v="2300441"/>
    <m/>
    <m/>
    <s v="AW-Q800APH(WW) 2300441"/>
    <n v="3580"/>
    <n v="0.55307262569832405"/>
    <s v="Toshiba SRP"/>
    <m/>
    <s v="2300441"/>
  </r>
  <r>
    <n v="3445"/>
    <s v="Fortress"/>
    <s v="TM RS"/>
    <x v="52"/>
    <n v="3"/>
    <x v="27"/>
    <x v="96"/>
    <s v="日式洗衣機 (7公斤 結合高低水位)"/>
    <s v="大電"/>
    <s v="LAD"/>
    <s v="q800"/>
    <n v="1"/>
    <n v="1980"/>
    <n v="1980"/>
    <n v="2300547"/>
    <m/>
    <m/>
    <s v="AW-Q800APH(WW) 2300547"/>
    <n v="3580"/>
    <n v="0.55307262569832405"/>
    <s v="Toshiba SRP"/>
    <m/>
    <s v="2300547"/>
  </r>
  <r>
    <n v="3446"/>
    <s v="Fortress"/>
    <s v="TM RS"/>
    <x v="52"/>
    <n v="3"/>
    <x v="28"/>
    <x v="117"/>
    <s v="JAPANDi 嵌入式微波氣炸蒸焗爐 (45厘米)"/>
    <s v="大電"/>
    <s v="MCA"/>
    <s v="t500a"/>
    <n v="1"/>
    <n v="13800"/>
    <n v="13800"/>
    <n v="2300728"/>
    <m/>
    <m/>
    <s v="EB-T500APW 2300728"/>
    <n v="28800"/>
    <n v="0.47916666666666669"/>
    <s v="Toshiba SRP"/>
    <m/>
    <s v="2300728"/>
  </r>
  <r>
    <n v="3447"/>
    <s v="Fortress"/>
    <s v="TM RS"/>
    <x v="52"/>
    <n v="3"/>
    <x v="28"/>
    <x v="141"/>
    <s v="JAPANDi 十字門雪櫃 (526L)"/>
    <s v="大電"/>
    <s v="REF"/>
    <s v="rf698"/>
    <n v="1"/>
    <n v="14980"/>
    <n v="14980"/>
    <n v="2300729"/>
    <m/>
    <m/>
    <s v="GR-RF698WI-PGA(67) 2300729"/>
    <n v="19980"/>
    <n v="0.74974974974974973"/>
    <s v="Toshiba SRP"/>
    <m/>
    <s v="2300729"/>
  </r>
  <r>
    <n v="3448"/>
    <s v="Fortress"/>
    <s v="TM RS"/>
    <x v="52"/>
    <n v="3"/>
    <x v="28"/>
    <x v="86"/>
    <s v="470MM超薄身前置式變頻洗衣乾衣機 (洗8.5公斤 乾6公斤)"/>
    <s v="大電"/>
    <s v="LAD"/>
    <s v="twdt21"/>
    <n v="1"/>
    <n v="3999"/>
    <n v="3999"/>
    <n v="2300783"/>
    <m/>
    <m/>
    <s v="TWD-T21BU95UWH(WW) 2300783"/>
    <n v="7280"/>
    <n v="0.54931318681318686"/>
    <s v="Toshiba SRP"/>
    <m/>
    <s v="2300783"/>
  </r>
  <r>
    <n v="3449"/>
    <s v="Fortress"/>
    <s v="TM RS"/>
    <x v="52"/>
    <n v="3"/>
    <x v="28"/>
    <x v="86"/>
    <s v="470MM超薄身前置式變頻洗衣乾衣機 (洗8.5公斤 乾6公斤)"/>
    <s v="大電"/>
    <s v="LAD"/>
    <s v="twdt21"/>
    <n v="1"/>
    <n v="4780"/>
    <n v="4780"/>
    <n v="2300846"/>
    <m/>
    <m/>
    <s v="TWD-T21BU95UWH(WW) 2300846"/>
    <n v="7280"/>
    <n v="0.65659340659340659"/>
    <s v="Toshiba SRP"/>
    <m/>
    <s v="2300846"/>
  </r>
  <r>
    <n v="3450"/>
    <s v="Fortress"/>
    <s v="TM RS"/>
    <x v="52"/>
    <n v="3"/>
    <x v="28"/>
    <x v="103"/>
    <s v="變頻下置式雙門雪櫃"/>
    <s v="大電"/>
    <s v="REF"/>
    <s v="rb449"/>
    <n v="1"/>
    <n v="5080"/>
    <n v="5080"/>
    <n v="2300845"/>
    <m/>
    <m/>
    <s v="GR-RB449WE-PMA(57) 2300845"/>
    <n v="6280"/>
    <n v="0.80891719745222934"/>
    <s v="Toshiba SRP"/>
    <m/>
    <s v="2300845"/>
  </r>
  <r>
    <n v="3451"/>
    <s v="Fortress"/>
    <s v="TM RS"/>
    <x v="52"/>
    <n v="3"/>
    <x v="28"/>
    <x v="59"/>
    <s v="30公升蒸氣焗爐"/>
    <s v="細電"/>
    <s v="MCA"/>
    <s v="str30"/>
    <n v="1"/>
    <n v="3980"/>
    <n v="3980"/>
    <n v="2300844"/>
    <m/>
    <m/>
    <s v="MS5-STR30SC(BK) 2300844"/>
    <n v="5998"/>
    <n v="0.66355451817272426"/>
    <s v="Shops Highest Price"/>
    <m/>
    <s v="2300844"/>
  </r>
  <r>
    <n v="3452"/>
    <s v="Fortress"/>
    <s v="TM RS"/>
    <x v="52"/>
    <n v="3"/>
    <x v="28"/>
    <x v="85"/>
    <s v="旗艦級變頻三門雪櫃 (300L)"/>
    <s v="大電"/>
    <s v="REF"/>
    <s v="rm469"/>
    <n v="1"/>
    <n v="6190"/>
    <n v="6190"/>
    <n v="2300788"/>
    <m/>
    <m/>
    <s v="GR-RM469WE-PGA(B3) 2300788"/>
    <n v="8990"/>
    <n v="0.68854282536151279"/>
    <s v="Toshiba SRP"/>
    <m/>
    <s v="2300788"/>
  </r>
  <r>
    <n v="3453"/>
    <s v="Fortress"/>
    <s v="TM RS"/>
    <x v="52"/>
    <n v="3"/>
    <x v="28"/>
    <x v="22"/>
    <s v="變頻五門雪櫃(375L)"/>
    <s v="大電"/>
    <s v="REF"/>
    <s v="rm612"/>
    <n v="1"/>
    <n v="9980"/>
    <n v="9980"/>
    <n v="2300676"/>
    <m/>
    <m/>
    <s v="GR-RM612WE-PGA(B5) 2300676"/>
    <n v="11000"/>
    <n v="0.90727272727272723"/>
    <s v="Shops Highest Price"/>
    <m/>
    <s v="2300676"/>
  </r>
  <r>
    <n v="3454"/>
    <s v="Fortress"/>
    <s v="TM RS"/>
    <x v="52"/>
    <n v="3"/>
    <x v="28"/>
    <x v="110"/>
    <s v="變頻六門雪櫃(451L)"/>
    <s v="大電"/>
    <s v="REF"/>
    <s v="rm598"/>
    <n v="1"/>
    <n v="10590"/>
    <n v="10590"/>
    <n v="2300642"/>
    <m/>
    <m/>
    <s v="GR-RM598WE-PGA(B3) 2300642"/>
    <n v="14980"/>
    <n v="0.70694259012016025"/>
    <s v="Toshiba SRP"/>
    <m/>
    <s v="2300642"/>
  </r>
  <r>
    <n v="3455"/>
    <s v="Fortress"/>
    <s v="TM RS"/>
    <x v="52"/>
    <n v="3"/>
    <x v="28"/>
    <x v="99"/>
    <s v="前置式變頻洗衣乾衣機 (洗10.5公斤 乾7公斤)"/>
    <s v="大電"/>
    <s v="LAD"/>
    <s v="twdt25"/>
    <n v="1"/>
    <n v="5980"/>
    <n v="5980"/>
    <n v="2300750"/>
    <m/>
    <m/>
    <s v="TWD-T25BZU115MWH(MG) 2300750"/>
    <n v="8280"/>
    <n v="0.72222222222222221"/>
    <s v="Toshiba SRP"/>
    <m/>
    <s v="2300750"/>
  </r>
  <r>
    <n v="3456"/>
    <s v="Fortress"/>
    <s v="TM RS"/>
    <x v="52"/>
    <n v="3"/>
    <x v="28"/>
    <x v="22"/>
    <s v="變頻五門雪櫃(375L)"/>
    <s v="大電"/>
    <s v="REF"/>
    <s v="rm612"/>
    <n v="1"/>
    <n v="9980"/>
    <n v="9980"/>
    <n v="2300671"/>
    <m/>
    <m/>
    <s v="GR-RM612WE-PGA(B5) 2300671"/>
    <n v="11000"/>
    <n v="0.90727272727272723"/>
    <s v="Shops Highest Price"/>
    <m/>
    <s v="2300671"/>
  </r>
  <r>
    <n v="3457"/>
    <s v="Fortress"/>
    <s v="TM RS"/>
    <x v="52"/>
    <n v="3"/>
    <x v="28"/>
    <x v="99"/>
    <s v="前置式變頻洗衣乾衣機 (洗10.5公斤 乾7公斤)"/>
    <s v="大電"/>
    <s v="LAD"/>
    <s v="twdt25"/>
    <n v="1"/>
    <n v="5980"/>
    <n v="5980"/>
    <n v="2300646"/>
    <m/>
    <m/>
    <s v="TWD-T25BZU115MWH(MG) 2300646"/>
    <n v="8280"/>
    <n v="0.72222222222222221"/>
    <s v="Toshiba SRP"/>
    <m/>
    <s v="2300646"/>
  </r>
  <r>
    <n v="3458"/>
    <s v="Fortress"/>
    <s v="TM RS"/>
    <x v="52"/>
    <n v="3"/>
    <x v="28"/>
    <x v="74"/>
    <s v="4合1氣炸微波蒸焗爐(25公升)"/>
    <s v="細電"/>
    <s v="MCA"/>
    <s v="str25"/>
    <n v="1"/>
    <n v="3580"/>
    <n v="3580"/>
    <n v="2300645"/>
    <m/>
    <m/>
    <s v="MX2-STR25SC(WH) 2300645"/>
    <n v="4998"/>
    <n v="0.71628651460584236"/>
    <s v="Toshiba SRP"/>
    <m/>
    <s v="2300645"/>
  </r>
  <r>
    <n v="3459"/>
    <s v="Fortress"/>
    <s v="TM RS"/>
    <x v="52"/>
    <n v="3"/>
    <x v="28"/>
    <x v="99"/>
    <s v="前置式變頻洗衣乾衣機 (洗10.5公斤 乾7公斤)"/>
    <s v="大電"/>
    <s v="LAD"/>
    <s v="twdt25"/>
    <n v="1"/>
    <n v="5980"/>
    <n v="5980"/>
    <n v="2300638"/>
    <m/>
    <m/>
    <s v="TWD-T25BZU115MWH(MG) 2300638"/>
    <n v="8280"/>
    <n v="0.72222222222222221"/>
    <s v="Toshiba SRP"/>
    <m/>
    <s v="2300638"/>
  </r>
  <r>
    <n v="3460"/>
    <s v="Fortress"/>
    <s v="TM RS"/>
    <x v="52"/>
    <n v="3"/>
    <x v="28"/>
    <x v="85"/>
    <s v="旗艦級變頻三門雪櫃 (300L)"/>
    <s v="大電"/>
    <s v="REF"/>
    <s v="rm469"/>
    <n v="1"/>
    <n v="6190"/>
    <n v="6190"/>
    <n v="2300842"/>
    <m/>
    <m/>
    <s v="GR-RM469WE-PGA(B3) 2300842"/>
    <n v="8990"/>
    <n v="0.68854282536151279"/>
    <s v="Toshiba SRP"/>
    <m/>
    <s v="2300842"/>
  </r>
  <r>
    <n v="3461"/>
    <s v="Fortress"/>
    <s v="TM RS"/>
    <x v="52"/>
    <n v="3"/>
    <x v="28"/>
    <x v="42"/>
    <s v="變頻下置式雙門雪櫃系列270L"/>
    <s v="大電"/>
    <s v="REF"/>
    <s v="rb360"/>
    <n v="1"/>
    <n v="3580"/>
    <n v="3580"/>
    <n v="2300662"/>
    <m/>
    <m/>
    <s v="GR-RB360WE-PMA(06) 2300662"/>
    <n v="5080"/>
    <n v="0.70472440944881887"/>
    <s v="Toshiba SRP"/>
    <m/>
    <s v="2300662"/>
  </r>
  <r>
    <n v="3462"/>
    <s v="Fortress"/>
    <s v="TM RS"/>
    <x v="52"/>
    <n v="3"/>
    <x v="28"/>
    <x v="39"/>
    <s v="酵活炊電飯煲(1.0公升)"/>
    <s v="細電"/>
    <s v="SDA"/>
    <s v="10amx"/>
    <n v="1"/>
    <n v="990"/>
    <n v="990"/>
    <n v="2300819"/>
    <m/>
    <m/>
    <s v="RC-10AMXH(W) 2300819"/>
    <n v="1288"/>
    <n v="0.76863354037267084"/>
    <s v="Toshiba SRP"/>
    <m/>
    <s v="2300819"/>
  </r>
  <r>
    <n v="3463"/>
    <s v="Fortress"/>
    <s v="TM RS"/>
    <x v="52"/>
    <n v="3"/>
    <x v="28"/>
    <x v="74"/>
    <s v="4合1氣炸微波蒸焗爐(25公升)"/>
    <s v="細電"/>
    <s v="MCA"/>
    <s v="str25"/>
    <n v="1"/>
    <n v="3580"/>
    <n v="3580"/>
    <n v="2300777"/>
    <m/>
    <m/>
    <s v="MX2-STR25SC(WH) 2300777"/>
    <n v="4998"/>
    <n v="0.71628651460584236"/>
    <s v="Toshiba SRP"/>
    <m/>
    <s v="2300777"/>
  </r>
  <r>
    <n v="3464"/>
    <s v="Fortress"/>
    <s v="TM RS"/>
    <x v="52"/>
    <n v="3"/>
    <x v="28"/>
    <x v="74"/>
    <s v="4合1氣炸微波蒸焗爐(25公升)"/>
    <s v="細電"/>
    <s v="MCA"/>
    <s v="str25"/>
    <n v="1"/>
    <n v="3580"/>
    <n v="3580"/>
    <n v="2300700"/>
    <m/>
    <m/>
    <s v="MX2-STR25SC(WH) 2300700"/>
    <n v="4998"/>
    <n v="0.71628651460584236"/>
    <s v="Toshiba SRP"/>
    <m/>
    <s v="2300700"/>
  </r>
  <r>
    <n v="3465"/>
    <s v="Fortress"/>
    <s v="TM RS"/>
    <x v="52"/>
    <n v="3"/>
    <x v="28"/>
    <x v="74"/>
    <s v="4合1氣炸微波蒸焗爐(25公升)"/>
    <s v="細電"/>
    <s v="MCA"/>
    <s v="str25"/>
    <n v="1"/>
    <n v="3580"/>
    <n v="3580"/>
    <n v="2300768"/>
    <m/>
    <m/>
    <s v="MX2-STR25SC(WH) 2300768"/>
    <n v="4998"/>
    <n v="0.71628651460584236"/>
    <s v="Toshiba SRP"/>
    <m/>
    <s v="2300768"/>
  </r>
  <r>
    <n v="3466"/>
    <s v="Fortress"/>
    <s v="TM RS"/>
    <x v="52"/>
    <n v="3"/>
    <x v="28"/>
    <x v="63"/>
    <s v="20L 智能蒸氣焗爐"/>
    <s v="細電"/>
    <s v="MCA"/>
    <s v="stq20"/>
    <n v="1"/>
    <n v="2100"/>
    <n v="2100"/>
    <n v="2300640"/>
    <m/>
    <m/>
    <s v="MS3-STQ20SC(WH) 2300640"/>
    <n v="2880"/>
    <n v="0.72916666666666663"/>
    <s v="Toshiba SRP"/>
    <m/>
    <s v="2300640"/>
  </r>
  <r>
    <n v="3467"/>
    <s v="Fortress"/>
    <s v="TM RS"/>
    <x v="52"/>
    <n v="3"/>
    <x v="28"/>
    <x v="48"/>
    <s v="3合1 微波蒸焗爐 (20公升)"/>
    <s v="細電"/>
    <s v="MCA"/>
    <s v="tt20"/>
    <n v="1"/>
    <n v="2580"/>
    <n v="2580"/>
    <n v="2300674"/>
    <m/>
    <m/>
    <s v="MX2-TT20SC(WH) 2300674"/>
    <n v="3580"/>
    <n v="0.72067039106145248"/>
    <s v="Toshiba SRP"/>
    <m/>
    <s v="2300674"/>
  </r>
  <r>
    <n v="3468"/>
    <s v="Fortress"/>
    <s v="TM RS"/>
    <x v="52"/>
    <n v="3"/>
    <x v="28"/>
    <x v="48"/>
    <s v="3合1 微波蒸焗爐 (20公升)"/>
    <s v="細電"/>
    <s v="MCA"/>
    <s v="tt20"/>
    <n v="1"/>
    <n v="2580"/>
    <n v="2580"/>
    <n v="2300668"/>
    <m/>
    <m/>
    <s v="MX2-TT20SC(WH) 2300668"/>
    <n v="3580"/>
    <n v="0.72067039106145248"/>
    <s v="Toshiba SRP"/>
    <m/>
    <s v="2300668"/>
  </r>
  <r>
    <n v="3469"/>
    <s v="Fortress"/>
    <s v="TM RS"/>
    <x v="52"/>
    <n v="3"/>
    <x v="28"/>
    <x v="115"/>
    <s v="微波蒸焗爐23L"/>
    <s v="細電"/>
    <s v="SDA"/>
    <s v="th23"/>
    <n v="1"/>
    <n v="1999"/>
    <n v="1999"/>
    <n v="2300720"/>
    <m/>
    <m/>
    <s v="MX1-TH23SC(WH) 2300720"/>
    <n v="3380"/>
    <n v="0.5914201183431953"/>
    <s v="Toshiba SRP"/>
    <m/>
    <s v="2300720"/>
  </r>
  <r>
    <n v="3470"/>
    <s v="Fortress"/>
    <s v="TM RS"/>
    <x v="52"/>
    <n v="3"/>
    <x v="28"/>
    <x v="48"/>
    <s v="3合1 微波蒸焗爐 (20公升)"/>
    <s v="細電"/>
    <s v="MCA"/>
    <s v="tt20"/>
    <n v="1"/>
    <n v="2580"/>
    <n v="2580"/>
    <n v="2300746"/>
    <m/>
    <m/>
    <s v="MX2-TT20SC(WH) 2300746"/>
    <n v="3580"/>
    <n v="0.72067039106145248"/>
    <s v="Toshiba SRP"/>
    <m/>
    <s v="2300746"/>
  </r>
  <r>
    <n v="3471"/>
    <s v="Fortress"/>
    <s v="TM RS"/>
    <x v="52"/>
    <n v="3"/>
    <x v="28"/>
    <x v="115"/>
    <s v="微波蒸焗爐23L"/>
    <s v="細電"/>
    <s v="SDA"/>
    <s v="th23"/>
    <n v="1"/>
    <n v="1999"/>
    <n v="1999"/>
    <n v="2300621"/>
    <m/>
    <m/>
    <s v="MX1-TH23SC(WH) 2300621"/>
    <n v="3380"/>
    <n v="0.5914201183431953"/>
    <s v="Toshiba SRP"/>
    <m/>
    <s v="2300621"/>
  </r>
  <r>
    <n v="3472"/>
    <s v="Fortress"/>
    <s v="TM RS"/>
    <x v="52"/>
    <n v="3"/>
    <x v="28"/>
    <x v="46"/>
    <s v="電熱水瓶 (2.5公升)"/>
    <s v="細電"/>
    <s v="SDA"/>
    <s v="25dr"/>
    <n v="1"/>
    <n v="398"/>
    <n v="398"/>
    <n v="2300621"/>
    <m/>
    <m/>
    <s v="TP-25DR2UHK(W) 2300621"/>
    <n v="538"/>
    <n v="0.7397769516728625"/>
    <s v="Toshiba SRP"/>
    <m/>
    <s v="2300621"/>
  </r>
  <r>
    <n v="3473"/>
    <s v="Fortress"/>
    <s v="TM RS"/>
    <x v="52"/>
    <n v="3"/>
    <x v="28"/>
    <x v="87"/>
    <s v="變頻式環保雙門雪櫃(233L)"/>
    <s v="大電"/>
    <s v="REF"/>
    <s v="rt300"/>
    <n v="1"/>
    <n v="2780"/>
    <n v="2780"/>
    <n v="2300675"/>
    <m/>
    <m/>
    <s v="GR-RT300WE-PMA(57) 2300675"/>
    <n v="4280"/>
    <n v="0.64953271028037385"/>
    <s v="Toshiba SRP"/>
    <m/>
    <s v="2300675"/>
  </r>
  <r>
    <n v="3474"/>
    <s v="Fortress"/>
    <s v="TM RS"/>
    <x v="52"/>
    <n v="3"/>
    <x v="28"/>
    <x v="21"/>
    <s v="壓縮式抽濕機 (30公升)"/>
    <s v="細電"/>
    <s v="RAC"/>
    <s v="d300"/>
    <n v="1"/>
    <n v="2280"/>
    <n v="2280"/>
    <n v="2300749"/>
    <m/>
    <m/>
    <s v="RAD-D300H 2300749"/>
    <n v="3380"/>
    <n v="0.67455621301775148"/>
    <s v="Shops Highest Price"/>
    <m/>
    <s v="2300749"/>
  </r>
  <r>
    <n v="3475"/>
    <s v="Fortress"/>
    <s v="TM RS"/>
    <x v="52"/>
    <n v="3"/>
    <x v="28"/>
    <x v="21"/>
    <s v="壓縮式抽濕機 (30公升)"/>
    <s v="細電"/>
    <s v="RAC"/>
    <s v="d300"/>
    <n v="1"/>
    <n v="2280"/>
    <n v="2280"/>
    <n v="2300726"/>
    <m/>
    <m/>
    <s v="RAD-D300H 2300726"/>
    <n v="3380"/>
    <n v="0.67455621301775148"/>
    <s v="Shops Highest Price"/>
    <m/>
    <s v="2300726"/>
  </r>
  <r>
    <n v="3476"/>
    <s v="Fortress"/>
    <s v="TM RS"/>
    <x v="52"/>
    <n v="3"/>
    <x v="28"/>
    <x v="21"/>
    <s v="壓縮式抽濕機 (30公升)"/>
    <s v="細電"/>
    <s v="RAC"/>
    <s v="d300"/>
    <n v="1"/>
    <n v="2280"/>
    <n v="2280"/>
    <n v="2300626"/>
    <m/>
    <m/>
    <s v="RAD-D300H 2300626"/>
    <n v="3380"/>
    <n v="0.67455621301775148"/>
    <s v="Shops Highest Price"/>
    <m/>
    <s v="2300626"/>
  </r>
  <r>
    <n v="3477"/>
    <s v="Fortress"/>
    <s v="TM RS"/>
    <x v="52"/>
    <n v="3"/>
    <x v="28"/>
    <x v="93"/>
    <s v="座檯式洗碗碟機"/>
    <s v="細電"/>
    <s v="DW"/>
    <s v="05t2"/>
    <n v="1"/>
    <n v="3780"/>
    <n v="3780"/>
    <n v="2300815"/>
    <m/>
    <m/>
    <s v="DW-05T2-HK 2300815"/>
    <n v="4580"/>
    <n v="0.8253275109170306"/>
    <s v="Toshiba SRP"/>
    <m/>
    <s v="2300815"/>
  </r>
  <r>
    <n v="3478"/>
    <s v="Fortress"/>
    <s v="TM RS"/>
    <x v="52"/>
    <n v="3"/>
    <x v="28"/>
    <x v="93"/>
    <s v="座檯式洗碗碟機"/>
    <s v="細電"/>
    <s v="DW"/>
    <s v="05t2"/>
    <n v="1"/>
    <n v="3780"/>
    <n v="3780"/>
    <n v="2300663"/>
    <m/>
    <m/>
    <s v="DW-05T2-HK 2300663"/>
    <n v="4580"/>
    <n v="0.8253275109170306"/>
    <s v="Toshiba SRP"/>
    <m/>
    <s v="2300663"/>
  </r>
  <r>
    <n v="3479"/>
    <s v="Fortress"/>
    <s v="TM RS"/>
    <x v="52"/>
    <n v="3"/>
    <x v="28"/>
    <x v="93"/>
    <s v="座檯式洗碗碟機"/>
    <s v="細電"/>
    <s v="DW"/>
    <s v="05t2"/>
    <n v="1"/>
    <n v="3780"/>
    <n v="3780"/>
    <n v="2300667"/>
    <m/>
    <m/>
    <s v="DW-05T2-HK 2300667"/>
    <n v="4580"/>
    <n v="0.8253275109170306"/>
    <s v="Toshiba SRP"/>
    <m/>
    <s v="2300667"/>
  </r>
  <r>
    <n v="3480"/>
    <s v="Fortress"/>
    <s v="TM RS"/>
    <x v="52"/>
    <n v="3"/>
    <x v="28"/>
    <x v="93"/>
    <s v="座檯式洗碗碟機"/>
    <s v="細電"/>
    <s v="DW"/>
    <s v="05t2"/>
    <n v="1"/>
    <n v="3780"/>
    <n v="3780"/>
    <n v="2300669"/>
    <m/>
    <m/>
    <s v="DW-05T2-HK 2300669"/>
    <n v="4580"/>
    <n v="0.8253275109170306"/>
    <s v="Toshiba SRP"/>
    <m/>
    <s v="2300669"/>
  </r>
  <r>
    <n v="3481"/>
    <s v="Fortress"/>
    <s v="TM RS"/>
    <x v="52"/>
    <n v="3"/>
    <x v="28"/>
    <x v="93"/>
    <s v="座檯式洗碗碟機"/>
    <s v="細電"/>
    <s v="DW"/>
    <s v="05t2"/>
    <n v="1"/>
    <n v="3780"/>
    <n v="3780"/>
    <n v="2300659"/>
    <m/>
    <m/>
    <s v="DW-05T2-HK 2300659"/>
    <n v="4580"/>
    <n v="0.8253275109170306"/>
    <s v="Toshiba SRP"/>
    <m/>
    <s v="2300659"/>
  </r>
  <r>
    <n v="3482"/>
    <s v="Fortress"/>
    <s v="TM RS"/>
    <x v="52"/>
    <n v="3"/>
    <x v="28"/>
    <x v="93"/>
    <s v="座檯式洗碗碟機"/>
    <s v="細電"/>
    <s v="DW"/>
    <s v="05t2"/>
    <n v="1"/>
    <n v="3780"/>
    <n v="3780"/>
    <n v="2300724"/>
    <m/>
    <m/>
    <s v="DW-05T2-HK 2300724"/>
    <n v="4580"/>
    <n v="0.8253275109170306"/>
    <s v="Toshiba SRP"/>
    <m/>
    <s v="2300724"/>
  </r>
  <r>
    <n v="3483"/>
    <s v="Fortress"/>
    <s v="TM RS"/>
    <x v="52"/>
    <n v="3"/>
    <x v="28"/>
    <x v="93"/>
    <s v="座檯式洗碗碟機"/>
    <s v="細電"/>
    <s v="DW"/>
    <s v="05t2"/>
    <n v="1"/>
    <n v="3780"/>
    <n v="3780"/>
    <n v="2300672"/>
    <m/>
    <m/>
    <s v="DW-05T2-HK 2300672"/>
    <n v="4580"/>
    <n v="0.8253275109170306"/>
    <s v="Toshiba SRP"/>
    <m/>
    <s v="2300672"/>
  </r>
  <r>
    <n v="3484"/>
    <s v="Fortress"/>
    <s v="TM RS"/>
    <x v="52"/>
    <n v="3"/>
    <x v="28"/>
    <x v="93"/>
    <s v="座檯式洗碗碟機"/>
    <s v="細電"/>
    <s v="DW"/>
    <s v="05t2"/>
    <n v="1"/>
    <n v="3780"/>
    <n v="3780"/>
    <n v="2300688"/>
    <m/>
    <m/>
    <s v="DW-05T2-HK 2300688"/>
    <n v="4580"/>
    <n v="0.8253275109170306"/>
    <s v="Toshiba SRP"/>
    <m/>
    <s v="2300688"/>
  </r>
  <r>
    <n v="3485"/>
    <s v="Fortress"/>
    <s v="TM RS"/>
    <x v="52"/>
    <n v="3"/>
    <x v="28"/>
    <x v="93"/>
    <s v="座檯式洗碗碟機"/>
    <s v="細電"/>
    <s v="DW"/>
    <s v="05t2"/>
    <n v="1"/>
    <n v="3780"/>
    <n v="3780"/>
    <n v="2300847"/>
    <m/>
    <m/>
    <s v="DW-05T2-HK 2300847"/>
    <n v="4580"/>
    <n v="0.8253275109170306"/>
    <s v="Toshiba SRP"/>
    <m/>
    <s v="2300847"/>
  </r>
  <r>
    <n v="3486"/>
    <s v="Fortress"/>
    <s v="TM RS"/>
    <x v="52"/>
    <n v="3"/>
    <x v="28"/>
    <x v="66"/>
    <s v="變頻下置式雙門雪櫃（163L）"/>
    <s v="大電"/>
    <s v="REF"/>
    <s v="rb221"/>
    <n v="1"/>
    <n v="1880"/>
    <n v="1880"/>
    <n v="2300655"/>
    <m/>
    <m/>
    <s v="GR-RB221WE-PMA(57) 2300655"/>
    <n v="3480"/>
    <n v="0.54022988505747127"/>
    <s v="Toshiba SRP"/>
    <m/>
    <s v="2300655"/>
  </r>
  <r>
    <n v="3487"/>
    <s v="Fortress"/>
    <s v="TM RS"/>
    <x v="52"/>
    <n v="3"/>
    <x v="28"/>
    <x v="66"/>
    <s v="變頻下置式雙門雪櫃（163L）"/>
    <s v="大電"/>
    <s v="REF"/>
    <s v="rb221"/>
    <n v="1"/>
    <n v="1880"/>
    <n v="1880"/>
    <n v="2300763"/>
    <m/>
    <m/>
    <s v="GR-RB221WE-PMA(57) 2300763"/>
    <n v="3480"/>
    <n v="0.54022988505747127"/>
    <s v="Toshiba SRP"/>
    <m/>
    <s v="2300763"/>
  </r>
  <r>
    <n v="3488"/>
    <s v="Fortress"/>
    <s v="TM RS"/>
    <x v="52"/>
    <n v="3"/>
    <x v="28"/>
    <x v="27"/>
    <s v="4毫米厚釜電飯煲1.8L"/>
    <s v="細電"/>
    <s v="SDA"/>
    <s v="18nmf"/>
    <n v="1"/>
    <n v="799"/>
    <n v="799"/>
    <n v="2300801"/>
    <m/>
    <m/>
    <s v="RC-18NMFIH(WT) 2300801"/>
    <n v="998"/>
    <n v="0.80060120240480959"/>
    <s v="Toshiba SRP"/>
    <m/>
    <s v="2300801"/>
  </r>
  <r>
    <n v="3489"/>
    <s v="Fortress"/>
    <s v="TM RS"/>
    <x v="52"/>
    <n v="3"/>
    <x v="28"/>
    <x v="27"/>
    <s v="4毫米厚釜電飯煲1.8L"/>
    <s v="細電"/>
    <s v="SDA"/>
    <s v="18nmf"/>
    <n v="1"/>
    <n v="799"/>
    <n v="799"/>
    <n v="2300751"/>
    <m/>
    <m/>
    <s v="RC-18NMFIH(WT) 2300751"/>
    <n v="998"/>
    <n v="0.80060120240480959"/>
    <s v="Toshiba SRP"/>
    <m/>
    <s v="2300751"/>
  </r>
  <r>
    <n v="3490"/>
    <s v="Fortress"/>
    <s v="TM RS"/>
    <x v="52"/>
    <n v="3"/>
    <x v="28"/>
    <x v="45"/>
    <s v="備長炭本厚釜電飯煲0.7L"/>
    <s v="細電"/>
    <s v="SDA"/>
    <s v="7hmh"/>
    <n v="1"/>
    <n v="838"/>
    <n v="838"/>
    <n v="2300796"/>
    <m/>
    <m/>
    <s v="RC-7HMH 2300796"/>
    <n v="1288"/>
    <n v="0.65062111801242239"/>
    <s v="Toshiba SRP"/>
    <m/>
    <s v="2300796"/>
  </r>
  <r>
    <n v="3491"/>
    <s v="Fortress"/>
    <s v="TM RS"/>
    <x v="52"/>
    <n v="3"/>
    <x v="28"/>
    <x v="37"/>
    <s v="電熱水瓶 (5公升)"/>
    <s v="細電"/>
    <s v="SDA"/>
    <s v="50dr"/>
    <n v="1"/>
    <n v="598"/>
    <n v="598"/>
    <n v="2300357"/>
    <m/>
    <m/>
    <s v="TP-50DRUHK(W) 2300357"/>
    <n v="718"/>
    <n v="0.83286908077994426"/>
    <s v="Toshiba SRP"/>
    <m/>
    <s v="2300357"/>
  </r>
  <r>
    <n v="3492"/>
    <s v="Fortress"/>
    <s v="TM RS"/>
    <x v="52"/>
    <n v="3"/>
    <x v="28"/>
    <x v="56"/>
    <s v="多士焗爐8L"/>
    <s v="細電"/>
    <s v="SDA"/>
    <n v="7080"/>
    <n v="1"/>
    <n v="358"/>
    <n v="358"/>
    <n v="2300647"/>
    <m/>
    <m/>
    <s v="ET-TD7080(PN) 2300647"/>
    <n v="498"/>
    <n v="0.71887550200803207"/>
    <s v="Toshiba SRP"/>
    <m/>
    <s v="2300647"/>
  </r>
  <r>
    <n v="3493"/>
    <s v="Fortress"/>
    <s v="TM RS"/>
    <x v="52"/>
    <n v="3"/>
    <x v="28"/>
    <x v="100"/>
    <s v="3/4 匹 窗口式冷氣機(remote/fortress)"/>
    <s v="大電"/>
    <s v="AC"/>
    <s v="07g3cvf"/>
    <n v="1"/>
    <n v="3880"/>
    <n v="3880"/>
    <n v="2300765"/>
    <m/>
    <m/>
    <s v="RAC-07G3CVRG-HK 2300765"/>
    <n v="5580"/>
    <n v="0.69534050179211471"/>
    <s v="Toshiba SRP"/>
    <m/>
    <s v="2300765"/>
  </r>
  <r>
    <n v="3494"/>
    <s v="Fortress"/>
    <s v="TM RS"/>
    <x v="52"/>
    <n v="3"/>
    <x v="28"/>
    <x v="39"/>
    <s v="酵活炊電飯煲(1.0公升)"/>
    <s v="細電"/>
    <s v="SDA"/>
    <s v="10amx"/>
    <n v="1"/>
    <n v="990"/>
    <n v="990"/>
    <n v="2300772"/>
    <m/>
    <m/>
    <s v="RC-10AMXH(W) 2300772"/>
    <n v="1288"/>
    <n v="0.76863354037267084"/>
    <s v="Toshiba SRP"/>
    <m/>
    <s v="2300772"/>
  </r>
  <r>
    <n v="3495"/>
    <s v="Fortress"/>
    <s v="TM RS"/>
    <x v="52"/>
    <n v="3"/>
    <x v="28"/>
    <x v="39"/>
    <s v="酵活炊電飯煲(1.0公升)"/>
    <s v="細電"/>
    <s v="SDA"/>
    <s v="10amx"/>
    <n v="1"/>
    <n v="990"/>
    <n v="990"/>
    <n v="2300812"/>
    <m/>
    <m/>
    <s v="RC-10AMXH(W) 2300812"/>
    <n v="1288"/>
    <n v="0.76863354037267084"/>
    <s v="Toshiba SRP"/>
    <m/>
    <s v="2300812"/>
  </r>
  <r>
    <n v="3496"/>
    <s v="Fortress"/>
    <s v="TM RS"/>
    <x v="52"/>
    <n v="3"/>
    <x v="28"/>
    <x v="45"/>
    <s v="備長炭本厚釜電飯煲0.7L"/>
    <s v="細電"/>
    <s v="SDA"/>
    <s v="7hmh"/>
    <n v="1"/>
    <n v="838"/>
    <n v="838"/>
    <n v="2300677"/>
    <m/>
    <m/>
    <s v="RC-7HMH 2300677"/>
    <n v="1288"/>
    <n v="0.65062111801242239"/>
    <s v="Toshiba SRP"/>
    <m/>
    <s v="2300677"/>
  </r>
  <r>
    <n v="3497"/>
    <s v="Fortress"/>
    <s v="TM RS"/>
    <x v="52"/>
    <n v="3"/>
    <x v="28"/>
    <x v="61"/>
    <s v="酵活炊電飯煲(1.8公升)"/>
    <s v="細電"/>
    <s v="SDA"/>
    <s v="18amx"/>
    <n v="1"/>
    <n v="990"/>
    <n v="990"/>
    <n v="2300744"/>
    <m/>
    <m/>
    <s v="RC-18AMXH(W) 2300744"/>
    <n v="1588"/>
    <n v="0.62342569269521408"/>
    <s v="Toshiba SRP"/>
    <m/>
    <s v="2300744"/>
  </r>
  <r>
    <n v="3498"/>
    <s v="Fortress"/>
    <s v="TM RS"/>
    <x v="52"/>
    <n v="3"/>
    <x v="28"/>
    <x v="115"/>
    <s v="微波蒸焗爐23L"/>
    <s v="細電"/>
    <s v="SDA"/>
    <s v="th23"/>
    <n v="1"/>
    <n v="1999"/>
    <n v="1999"/>
    <n v="2300692"/>
    <m/>
    <m/>
    <s v="MX1-TH23SC(WH) 2300692"/>
    <n v="3380"/>
    <n v="0.5914201183431953"/>
    <s v="Toshiba SRP"/>
    <m/>
    <s v="2300692"/>
  </r>
  <r>
    <n v="3499"/>
    <s v="Fortress"/>
    <s v="TM RS"/>
    <x v="52"/>
    <n v="3"/>
    <x v="28"/>
    <x v="78"/>
    <s v="變頻式環保雙門雪櫃（179L）"/>
    <s v="大電"/>
    <s v="REF"/>
    <s v="rt234"/>
    <n v="1"/>
    <n v="1980"/>
    <n v="1980"/>
    <n v="2300770"/>
    <m/>
    <m/>
    <s v="GR-RT234WE-PMA(57) 2300770"/>
    <n v="3680"/>
    <n v="0.53804347826086951"/>
    <s v="Toshiba SRP"/>
    <m/>
    <s v="2300770"/>
  </r>
  <r>
    <n v="3500"/>
    <s v="Fortress"/>
    <s v="TM RS"/>
    <x v="52"/>
    <n v="3"/>
    <x v="28"/>
    <x v="109"/>
    <s v="12吋座地座檯電風扇"/>
    <s v="細電"/>
    <s v="SDA"/>
    <s v="b60"/>
    <n v="1"/>
    <n v="499"/>
    <n v="499"/>
    <n v="2300635"/>
    <m/>
    <m/>
    <s v="F-ALB60HK(B) 2300635"/>
    <n v="839"/>
    <n v="0.59475566150178782"/>
    <s v="Shops Highest Price"/>
    <m/>
    <s v="2300635"/>
  </r>
  <r>
    <n v="3501"/>
    <s v="Fortress"/>
    <s v="TM RS"/>
    <x v="52"/>
    <n v="3"/>
    <x v="28"/>
    <x v="93"/>
    <s v="座檯式洗碗碟機"/>
    <s v="細電"/>
    <s v="DW"/>
    <s v="05t2"/>
    <n v="1"/>
    <n v="3780"/>
    <n v="3780"/>
    <n v="2300838"/>
    <m/>
    <m/>
    <s v="DW-05T2-HK 2300838"/>
    <n v="4580"/>
    <n v="0.8253275109170306"/>
    <s v="Toshiba SRP"/>
    <m/>
    <s v="2300838"/>
  </r>
  <r>
    <n v="3502"/>
    <s v="Aeon"/>
    <s v="TM_1"/>
    <x v="53"/>
    <n v="3"/>
    <x v="0"/>
    <x v="12"/>
    <s v="Comfee 1.5匹變頻窗口式冷氣機"/>
    <s v="大電"/>
    <s v="RAC"/>
    <s v="12cr"/>
    <n v="1"/>
    <n v="3528"/>
    <n v="3528"/>
    <n v="6157370"/>
    <m/>
    <m/>
    <s v="CWF-12CRFN8-AD5 6157370"/>
    <n v="5200"/>
    <n v="0.67846153846153845"/>
    <s v="Shops Highest Price"/>
    <m/>
    <s v="6157370"/>
  </r>
  <r>
    <n v="3503"/>
    <s v="Aeon"/>
    <s v="TM_1"/>
    <x v="53"/>
    <n v="3"/>
    <x v="0"/>
    <x v="10"/>
    <s v="變頻上置式雙門雪櫃313L "/>
    <s v="大電"/>
    <s v="REF"/>
    <s v="rt416"/>
    <n v="1"/>
    <n v="2888"/>
    <n v="2888"/>
    <n v="6091572"/>
    <m/>
    <m/>
    <s v="GR-RT416WE-PMA(06) 6091572"/>
    <n v="5380"/>
    <n v="0.53680297397769516"/>
    <s v="Toshiba SRP"/>
    <m/>
    <s v="6091572"/>
  </r>
  <r>
    <n v="3504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571"/>
    <m/>
    <m/>
    <s v="AW-M901BPH(WW) 6091571"/>
    <n v="3580"/>
    <n v="0.41899441340782123"/>
    <s v="Toshiba SRP"/>
    <m/>
    <s v="6091571"/>
  </r>
  <r>
    <n v="3505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575"/>
    <m/>
    <m/>
    <s v="AW-M901BPH(WW) 6091575"/>
    <n v="3580"/>
    <n v="0.41899441340782123"/>
    <s v="Toshiba SRP"/>
    <m/>
    <s v="6091575"/>
  </r>
  <r>
    <n v="3506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825"/>
    <m/>
    <m/>
    <s v="AW-M901BPH(WW) 6091825"/>
    <n v="3580"/>
    <n v="0.41899441340782123"/>
    <s v="Toshiba SRP"/>
    <m/>
    <s v="6091825"/>
  </r>
  <r>
    <n v="3507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794"/>
    <m/>
    <m/>
    <s v="AW-M901BPH(WW) 6091794"/>
    <n v="3580"/>
    <n v="0.41899441340782123"/>
    <s v="Toshiba SRP"/>
    <m/>
    <s v="6091794"/>
  </r>
  <r>
    <n v="3508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829"/>
    <m/>
    <m/>
    <s v="AW-M901BPH(WW) 6091829"/>
    <n v="3580"/>
    <n v="0.41899441340782123"/>
    <s v="Toshiba SRP"/>
    <m/>
    <s v="6091829"/>
  </r>
  <r>
    <n v="3509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653"/>
    <m/>
    <m/>
    <s v="AW-M901BPH(WW) 6091653"/>
    <n v="3580"/>
    <n v="0.41899441340782123"/>
    <s v="Toshiba SRP"/>
    <m/>
    <s v="6091653"/>
  </r>
  <r>
    <n v="3510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559"/>
    <m/>
    <m/>
    <s v="AW-M901BPH(WW) 6091559"/>
    <n v="3580"/>
    <n v="0.41899441340782123"/>
    <s v="Toshiba SRP"/>
    <m/>
    <s v="6091559"/>
  </r>
  <r>
    <n v="3511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609"/>
    <m/>
    <m/>
    <s v="AW-M901BPH(WW) 6091609"/>
    <n v="3580"/>
    <n v="0.41899441340782123"/>
    <s v="Toshiba SRP"/>
    <m/>
    <s v="6091609"/>
  </r>
  <r>
    <n v="3512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611"/>
    <m/>
    <m/>
    <s v="AW-M901BPH(WW) 6091611"/>
    <n v="3580"/>
    <n v="0.41899441340782123"/>
    <s v="Toshiba SRP"/>
    <m/>
    <s v="6091611"/>
  </r>
  <r>
    <n v="3513"/>
    <s v="Aeon"/>
    <s v="TM_1"/>
    <x v="53"/>
    <n v="3"/>
    <x v="0"/>
    <x v="5"/>
    <s v="全自動洗衣機 (8公斤 結合高低水位)"/>
    <s v="大電"/>
    <s v="WM"/>
    <s v="m901"/>
    <n v="1"/>
    <n v="1500"/>
    <n v="1500"/>
    <n v="6091601"/>
    <m/>
    <m/>
    <s v="AW-M901BPH(WW) 6091601"/>
    <n v="3580"/>
    <n v="0.41899441340782123"/>
    <s v="Toshiba SRP"/>
    <m/>
    <s v="6091601"/>
  </r>
  <r>
    <n v="3514"/>
    <s v="Aeon"/>
    <s v="TM_1"/>
    <x v="53"/>
    <n v="3"/>
    <x v="0"/>
    <x v="13"/>
    <s v="獨立式免安裝洗碗碟機"/>
    <s v="細電"/>
    <s v="DM"/>
    <s v="34ahk"/>
    <n v="1"/>
    <n v="1500"/>
    <n v="1500"/>
    <n v="6157385"/>
    <m/>
    <m/>
    <s v="DWS-34AHK 6157385"/>
    <n v="3999"/>
    <n v="0.37509377344336087"/>
    <s v="Web SRP"/>
    <m/>
    <s v="6157385"/>
  </r>
  <r>
    <n v="3515"/>
    <s v="Aeon"/>
    <s v="TM_1"/>
    <x v="53"/>
    <n v="3"/>
    <x v="0"/>
    <x v="13"/>
    <s v="獨立式免安裝洗碗碟機"/>
    <s v="細電"/>
    <s v="DM"/>
    <s v="34ahk"/>
    <n v="1"/>
    <n v="1500"/>
    <n v="1500"/>
    <n v="6091521"/>
    <m/>
    <m/>
    <s v="DWS-34AHK 6091521"/>
    <n v="3999"/>
    <n v="0.37509377344336087"/>
    <s v="Web SRP"/>
    <m/>
    <s v="6091521"/>
  </r>
  <r>
    <n v="3516"/>
    <s v="Aeon"/>
    <s v="TM_1"/>
    <x v="53"/>
    <n v="3"/>
    <x v="0"/>
    <x v="14"/>
    <s v="21L壓縮式抽濕機"/>
    <s v="大電"/>
    <s v="RAC"/>
    <s v="y200"/>
    <n v="1"/>
    <n v="1500"/>
    <n v="1500"/>
    <n v="6091808"/>
    <m/>
    <m/>
    <s v="RAD-Y200H 6091808"/>
    <n v="3280"/>
    <n v="0.45731707317073172"/>
    <s v="Toshiba SRP"/>
    <m/>
    <s v="6091808"/>
  </r>
  <r>
    <n v="3517"/>
    <s v="Aeon"/>
    <s v="TM_1"/>
    <x v="53"/>
    <n v="3"/>
    <x v="0"/>
    <x v="14"/>
    <s v="21L壓縮式抽濕機"/>
    <s v="大電"/>
    <s v="RAC"/>
    <s v="y200"/>
    <n v="1"/>
    <n v="1500"/>
    <n v="1500"/>
    <n v="6091576"/>
    <m/>
    <m/>
    <s v="RAD-Y200H 6091576"/>
    <n v="3280"/>
    <n v="0.45731707317073172"/>
    <s v="Toshiba SRP"/>
    <m/>
    <s v="6091576"/>
  </r>
  <r>
    <n v="3518"/>
    <s v="Aeon"/>
    <s v="TM_1"/>
    <x v="53"/>
    <n v="3"/>
    <x v="0"/>
    <x v="14"/>
    <s v="21L壓縮式抽濕機"/>
    <s v="大電"/>
    <s v="RAC"/>
    <s v="y200"/>
    <n v="1"/>
    <n v="1500"/>
    <n v="1500"/>
    <n v="6091294"/>
    <m/>
    <m/>
    <s v="RAD-Y200H 6091294"/>
    <n v="3280"/>
    <n v="0.45731707317073172"/>
    <s v="Toshiba SRP"/>
    <m/>
    <s v="6091294"/>
  </r>
  <r>
    <n v="3519"/>
    <s v="Aeon"/>
    <s v="TM_1"/>
    <x v="53"/>
    <n v="3"/>
    <x v="0"/>
    <x v="14"/>
    <s v="21L壓縮式抽濕機"/>
    <s v="大電"/>
    <s v="RAC"/>
    <s v="y200"/>
    <n v="1"/>
    <n v="1500"/>
    <n v="1500"/>
    <n v="6091809"/>
    <m/>
    <m/>
    <s v="RAD-Y200H 6091809"/>
    <n v="3280"/>
    <n v="0.45731707317073172"/>
    <s v="Toshiba SRP"/>
    <m/>
    <s v="6091809"/>
  </r>
  <r>
    <n v="3520"/>
    <s v="Aeon"/>
    <s v="TM_1"/>
    <x v="53"/>
    <n v="3"/>
    <x v="0"/>
    <x v="14"/>
    <s v="21L壓縮式抽濕機"/>
    <s v="大電"/>
    <s v="RAC"/>
    <s v="y200"/>
    <n v="1"/>
    <n v="1500"/>
    <n v="1500"/>
    <n v="6091573"/>
    <m/>
    <m/>
    <s v="RAD-Y200H 6091573"/>
    <n v="3280"/>
    <n v="0.45731707317073172"/>
    <s v="Toshiba SRP"/>
    <m/>
    <s v="6091573"/>
  </r>
  <r>
    <n v="3521"/>
    <s v="Aeon"/>
    <s v="TM_1"/>
    <x v="53"/>
    <n v="3"/>
    <x v="0"/>
    <x v="4"/>
    <s v="RO座檯式飲水機"/>
    <s v="細電"/>
    <s v="KWH"/>
    <s v="tsr76"/>
    <n v="1"/>
    <n v="1500"/>
    <n v="1500"/>
    <n v="6091602"/>
    <m/>
    <m/>
    <s v="TWP-TSR76THK(W) 6091602"/>
    <n v="2680"/>
    <n v="0.55970149253731338"/>
    <s v="Toshiba SRP"/>
    <m/>
    <s v="6091602"/>
  </r>
  <r>
    <n v="3522"/>
    <s v="Aeon"/>
    <s v="TM_1"/>
    <x v="53"/>
    <n v="3"/>
    <x v="0"/>
    <x v="4"/>
    <s v="RO座檯式飲水機"/>
    <s v="細電"/>
    <s v="KWH"/>
    <s v="tsr76"/>
    <n v="1"/>
    <n v="1500"/>
    <n v="1500"/>
    <n v="6091806"/>
    <m/>
    <m/>
    <s v="TWP-TSR76THK(W) 6091806"/>
    <n v="2680"/>
    <n v="0.55970149253731338"/>
    <s v="Toshiba SRP"/>
    <m/>
    <s v="6091806"/>
  </r>
  <r>
    <n v="3523"/>
    <s v="Aeon"/>
    <s v="TM_1"/>
    <x v="53"/>
    <n v="3"/>
    <x v="0"/>
    <x v="4"/>
    <s v="RO座檯式飲水機"/>
    <s v="細電"/>
    <s v="KWH"/>
    <s v="tsr76"/>
    <n v="1"/>
    <n v="1500"/>
    <n v="1500"/>
    <n v="6091831"/>
    <m/>
    <m/>
    <s v="TWP-TSR76THK(W) 6091831"/>
    <n v="2680"/>
    <n v="0.55970149253731338"/>
    <s v="Toshiba SRP"/>
    <m/>
    <s v="6091831"/>
  </r>
  <r>
    <n v="3524"/>
    <s v="Aeon"/>
    <s v="TM_1"/>
    <x v="53"/>
    <n v="3"/>
    <x v="0"/>
    <x v="1"/>
    <s v="磁應電飯煲(1.5公升)"/>
    <s v="細電"/>
    <s v="SDA"/>
    <s v="15ist"/>
    <n v="1"/>
    <n v="500"/>
    <n v="500"/>
    <n v="6091547"/>
    <m/>
    <m/>
    <s v="RC-15ISTHK(W) 6091547"/>
    <n v="1688"/>
    <n v="0.29620853080568721"/>
    <s v="Toshiba SRP"/>
    <m/>
    <s v="6091547"/>
  </r>
  <r>
    <n v="3525"/>
    <s v="Aeon"/>
    <s v="TM_1"/>
    <x v="53"/>
    <n v="3"/>
    <x v="0"/>
    <x v="1"/>
    <s v="磁應電飯煲(1.5公升)"/>
    <s v="細電"/>
    <s v="SDA"/>
    <s v="15ist"/>
    <n v="1"/>
    <n v="500"/>
    <n v="500"/>
    <n v="6091842"/>
    <m/>
    <m/>
    <s v="RC-15ISTHK(W) 6091842"/>
    <n v="1688"/>
    <n v="0.29620853080568721"/>
    <s v="Toshiba SRP"/>
    <m/>
    <s v="6091842"/>
  </r>
  <r>
    <n v="3526"/>
    <s v="Aeon"/>
    <s v="TM_1"/>
    <x v="53"/>
    <n v="3"/>
    <x v="0"/>
    <x v="1"/>
    <s v="磁應電飯煲(1.5公升)"/>
    <s v="細電"/>
    <s v="SDA"/>
    <s v="15ist"/>
    <n v="1"/>
    <n v="500"/>
    <n v="500"/>
    <n v="6091551"/>
    <m/>
    <m/>
    <s v="RC-15ISTHK(W) 6091551"/>
    <n v="1688"/>
    <n v="0.29620853080568721"/>
    <s v="Toshiba SRP"/>
    <m/>
    <s v="6091551"/>
  </r>
  <r>
    <n v="3527"/>
    <s v="Aeon"/>
    <s v="TM_1"/>
    <x v="53"/>
    <n v="3"/>
    <x v="0"/>
    <x v="1"/>
    <s v="磁應電飯煲(1.5公升)"/>
    <s v="細電"/>
    <s v="SDA"/>
    <s v="15ist"/>
    <n v="1"/>
    <n v="500"/>
    <n v="500"/>
    <n v="6091574"/>
    <m/>
    <m/>
    <s v="RC-15ISTHK(W) 6091574"/>
    <n v="1688"/>
    <n v="0.29620853080568721"/>
    <s v="Toshiba SRP"/>
    <m/>
    <s v="6091574"/>
  </r>
  <r>
    <n v="3528"/>
    <s v="Aeon"/>
    <s v="TM_1"/>
    <x v="53"/>
    <n v="3"/>
    <x v="0"/>
    <x v="1"/>
    <s v="磁應電飯煲(1.5公升)"/>
    <s v="細電"/>
    <s v="SDA"/>
    <s v="15ist"/>
    <n v="1"/>
    <n v="500"/>
    <n v="500"/>
    <n v="6091813"/>
    <m/>
    <m/>
    <s v="RC-15ISTHK(W) 6091813"/>
    <n v="1688"/>
    <n v="0.29620853080568721"/>
    <s v="Toshiba SRP"/>
    <m/>
    <s v="6091813"/>
  </r>
  <r>
    <n v="3529"/>
    <s v="Aeon"/>
    <s v="TM_1"/>
    <x v="53"/>
    <n v="3"/>
    <x v="0"/>
    <x v="1"/>
    <s v="磁應電飯煲(1.5公升)"/>
    <s v="細電"/>
    <s v="SDA"/>
    <s v="15ist"/>
    <n v="1"/>
    <n v="500"/>
    <n v="500"/>
    <n v="6091608"/>
    <m/>
    <m/>
    <s v="RC-15ISTHK(W) 6091608"/>
    <n v="1688"/>
    <n v="0.29620853080568721"/>
    <s v="Toshiba SRP"/>
    <m/>
    <s v="6091608"/>
  </r>
  <r>
    <n v="3530"/>
    <s v="Aeon"/>
    <s v="TM_1"/>
    <x v="53"/>
    <n v="3"/>
    <x v="0"/>
    <x v="1"/>
    <s v="磁應電飯煲(1.5公升)"/>
    <s v="細電"/>
    <s v="SDA"/>
    <s v="15ist"/>
    <n v="1"/>
    <n v="500"/>
    <n v="500"/>
    <n v="6091603"/>
    <m/>
    <m/>
    <s v="RC-15ISTHK(W) 6091603"/>
    <n v="1688"/>
    <n v="0.29620853080568721"/>
    <s v="Toshiba SRP"/>
    <m/>
    <s v="6091603"/>
  </r>
  <r>
    <n v="3531"/>
    <s v="Aeon"/>
    <s v="TM_1"/>
    <x v="53"/>
    <n v="3"/>
    <x v="0"/>
    <x v="15"/>
    <s v="Induction Cooker"/>
    <s v="細電"/>
    <s v="SDA"/>
    <s v="21ts"/>
    <n v="1"/>
    <n v="500"/>
    <n v="500"/>
    <n v="6091523"/>
    <m/>
    <m/>
    <s v="IC-21TSHK 6091523"/>
    <n v="998"/>
    <n v="0.50100200400801598"/>
    <s v="Web SRP"/>
    <m/>
    <s v="6091523"/>
  </r>
  <r>
    <n v="3532"/>
    <s v="Aeon"/>
    <s v="TM_1"/>
    <x v="53"/>
    <n v="3"/>
    <x v="0"/>
    <x v="15"/>
    <s v="Induction Cooker"/>
    <s v="細電"/>
    <s v="SDA"/>
    <s v="21ts"/>
    <n v="1"/>
    <n v="500"/>
    <n v="500"/>
    <n v="6091554"/>
    <m/>
    <m/>
    <s v="IC-21TSHK 6091554"/>
    <n v="998"/>
    <n v="0.50100200400801598"/>
    <s v="Web SRP"/>
    <m/>
    <s v="6091554"/>
  </r>
  <r>
    <n v="3533"/>
    <s v="Aeon"/>
    <s v="TM_1"/>
    <x v="53"/>
    <n v="3"/>
    <x v="0"/>
    <x v="15"/>
    <s v="Induction Cooker"/>
    <s v="細電"/>
    <s v="SDA"/>
    <s v="21ts"/>
    <n v="1"/>
    <n v="500"/>
    <n v="500"/>
    <n v="6091807"/>
    <m/>
    <m/>
    <s v="IC-21TSHK 6091807"/>
    <n v="998"/>
    <n v="0.50100200400801598"/>
    <s v="Web SRP"/>
    <m/>
    <s v="6091807"/>
  </r>
  <r>
    <n v="3534"/>
    <s v="Aeon"/>
    <s v="TM_1"/>
    <x v="53"/>
    <n v="3"/>
    <x v="0"/>
    <x v="15"/>
    <s v="Induction Cooker"/>
    <s v="細電"/>
    <s v="SDA"/>
    <s v="21ts"/>
    <n v="1"/>
    <n v="500"/>
    <n v="500"/>
    <n v="6091646"/>
    <m/>
    <m/>
    <s v="IC-21TSHK 6091646"/>
    <n v="998"/>
    <n v="0.50100200400801598"/>
    <s v="Web SRP"/>
    <m/>
    <s v="6091646"/>
  </r>
  <r>
    <n v="3535"/>
    <s v="Aeon"/>
    <s v="TM_1"/>
    <x v="53"/>
    <n v="3"/>
    <x v="0"/>
    <x v="15"/>
    <s v="Induction Cooker"/>
    <s v="細電"/>
    <s v="SDA"/>
    <s v="21ts"/>
    <n v="1"/>
    <n v="500"/>
    <n v="500"/>
    <n v="6091610"/>
    <m/>
    <m/>
    <s v="IC-21TSHK 6091610"/>
    <n v="998"/>
    <n v="0.50100200400801598"/>
    <s v="Web SRP"/>
    <m/>
    <s v="6091610"/>
  </r>
  <r>
    <n v="3536"/>
    <s v="Aeon"/>
    <s v="TM_1"/>
    <x v="53"/>
    <n v="3"/>
    <x v="0"/>
    <x v="9"/>
    <s v="電熱水瓶4.5L"/>
    <s v="細電"/>
    <s v="SDA"/>
    <s v="45sf"/>
    <n v="1"/>
    <n v="500"/>
    <n v="500"/>
    <n v="6091606"/>
    <m/>
    <m/>
    <s v="PLK-45SFIH(WT) 6091606"/>
    <n v="788"/>
    <n v="0.63451776649746194"/>
    <s v="Toshiba SRP"/>
    <m/>
    <s v="6091606"/>
  </r>
  <r>
    <n v="3537"/>
    <s v="Aeon"/>
    <s v="TM_1"/>
    <x v="53"/>
    <n v="3"/>
    <x v="5"/>
    <x v="2"/>
    <s v="雙門變頻式環保雪櫃"/>
    <s v="大電"/>
    <s v="AC"/>
    <s v="a26hsz"/>
    <n v="1"/>
    <n v="1500"/>
    <n v="1500"/>
    <n v="6091668"/>
    <m/>
    <m/>
    <s v="GR-A26HSZ(DS) 6091668"/>
    <n v="3780"/>
    <n v="0.3968253968253968"/>
    <s v="Toshiba SRP"/>
    <m/>
    <s v="6091668"/>
  </r>
  <r>
    <n v="3538"/>
    <s v="Aeon"/>
    <s v="TM_1"/>
    <x v="53"/>
    <n v="3"/>
    <x v="5"/>
    <x v="1"/>
    <s v="磁應電飯煲(1.5公升)"/>
    <s v="細電"/>
    <s v="SDA"/>
    <s v="15ist"/>
    <n v="1"/>
    <n v="500"/>
    <n v="500"/>
    <n v="6091641"/>
    <m/>
    <m/>
    <s v="RC-15ISTHK(W) 6091641"/>
    <n v="1688"/>
    <n v="0.29620853080568721"/>
    <s v="Toshiba SRP"/>
    <m/>
    <s v="6091641"/>
  </r>
  <r>
    <n v="3539"/>
    <s v="Aeon"/>
    <s v="TM_1"/>
    <x v="53"/>
    <n v="3"/>
    <x v="5"/>
    <x v="1"/>
    <s v="磁應電飯煲(1.5公升)"/>
    <s v="細電"/>
    <s v="SDA"/>
    <s v="15ist"/>
    <n v="1"/>
    <n v="500"/>
    <n v="500"/>
    <n v="6091665"/>
    <m/>
    <m/>
    <s v="RC-15ISTHK(W) 6091665"/>
    <n v="1688"/>
    <n v="0.29620853080568721"/>
    <s v="Toshiba SRP"/>
    <m/>
    <s v="6091665"/>
  </r>
  <r>
    <n v="3540"/>
    <s v="Aeon"/>
    <s v="TM_1"/>
    <x v="53"/>
    <n v="3"/>
    <x v="5"/>
    <x v="1"/>
    <s v="磁應電飯煲(1.5公升)"/>
    <s v="細電"/>
    <s v="SDA"/>
    <s v="15ist"/>
    <n v="1"/>
    <n v="500"/>
    <n v="500"/>
    <n v="6091856"/>
    <m/>
    <m/>
    <s v="RC-15ISTHK(W) 6091856"/>
    <n v="1688"/>
    <n v="0.29620853080568721"/>
    <s v="Toshiba SRP"/>
    <m/>
    <s v="6091856"/>
  </r>
  <r>
    <n v="3541"/>
    <s v="Aeon"/>
    <s v="TM_1"/>
    <x v="53"/>
    <n v="3"/>
    <x v="5"/>
    <x v="6"/>
    <s v="旋鈕式微波爐24L"/>
    <s v="細電"/>
    <s v="SDA"/>
    <s v="mm24"/>
    <n v="1"/>
    <n v="500"/>
    <n v="500"/>
    <n v="6091862"/>
    <m/>
    <m/>
    <s v="MW2-MM24PC(BK) 6091862"/>
    <n v="848"/>
    <n v="0.589622641509434"/>
    <s v="Toshiba SRP"/>
    <m/>
    <s v="6091862"/>
  </r>
  <r>
    <n v="3542"/>
    <s v="Aeon"/>
    <s v="TM_1"/>
    <x v="54"/>
    <n v="3"/>
    <x v="6"/>
    <x v="5"/>
    <s v="全自動洗衣機 (8公斤 結合高低水位)"/>
    <s v="大電"/>
    <s v="WM"/>
    <s v="m901"/>
    <n v="1"/>
    <n v="1500"/>
    <n v="1500"/>
    <n v="6138116"/>
    <m/>
    <m/>
    <s v="AW-M901BPH(WW) 6138116"/>
    <n v="3580"/>
    <n v="0.41899441340782123"/>
    <s v="Toshiba SRP"/>
    <m/>
    <s v="6138116"/>
  </r>
  <r>
    <n v="3543"/>
    <s v="Aeon"/>
    <s v="TM_1"/>
    <x v="54"/>
    <n v="3"/>
    <x v="6"/>
    <x v="5"/>
    <s v="全自動洗衣機 (8公斤 結合高低水位)"/>
    <s v="大電"/>
    <s v="WM"/>
    <s v="m901"/>
    <n v="1"/>
    <n v="1500"/>
    <n v="1500"/>
    <n v="6091679"/>
    <m/>
    <m/>
    <s v="AW-M901BPH(WW) 6091679"/>
    <n v="3580"/>
    <n v="0.41899441340782123"/>
    <s v="Toshiba SRP"/>
    <m/>
    <s v="6091679"/>
  </r>
  <r>
    <n v="3544"/>
    <s v="Aeon"/>
    <s v="TM_1"/>
    <x v="54"/>
    <n v="3"/>
    <x v="6"/>
    <x v="1"/>
    <s v="磁應電飯煲(1.5公升)"/>
    <s v="細電"/>
    <s v="SDA"/>
    <s v="15ist"/>
    <n v="1"/>
    <n v="500"/>
    <n v="500"/>
    <n v="6138112"/>
    <m/>
    <m/>
    <s v="RC-15ISTHK(W) 6138112"/>
    <n v="1688"/>
    <n v="0.29620853080568721"/>
    <s v="Toshiba SRP"/>
    <m/>
    <s v="6138112"/>
  </r>
  <r>
    <n v="3545"/>
    <s v="Aeon"/>
    <s v="TM_1"/>
    <x v="53"/>
    <n v="3"/>
    <x v="7"/>
    <x v="14"/>
    <s v="21L壓縮式抽濕機"/>
    <s v="大電"/>
    <s v="RAC"/>
    <s v="y200"/>
    <n v="1"/>
    <n v="1500"/>
    <n v="1500"/>
    <n v="6138134"/>
    <m/>
    <m/>
    <s v="RAD-Y200H 6138134"/>
    <n v="3280"/>
    <n v="0.45731707317073172"/>
    <s v="Toshiba SRP"/>
    <m/>
    <s v="6138134"/>
  </r>
  <r>
    <n v="3546"/>
    <s v="Aeon"/>
    <s v="TM_1"/>
    <x v="53"/>
    <n v="3"/>
    <x v="7"/>
    <x v="5"/>
    <s v="全自動洗衣機 (8公斤 結合高低水位)"/>
    <s v="大電"/>
    <s v="WM"/>
    <s v="m901"/>
    <n v="1"/>
    <n v="1500"/>
    <n v="1500"/>
    <n v="6138176"/>
    <m/>
    <m/>
    <s v="AW-M901BPH(WW) 6138176"/>
    <n v="3580"/>
    <n v="0.41899441340782123"/>
    <s v="Toshiba SRP"/>
    <m/>
    <s v="6138176"/>
  </r>
  <r>
    <n v="3547"/>
    <s v="Aeon"/>
    <s v="TM_1"/>
    <x v="53"/>
    <n v="3"/>
    <x v="7"/>
    <x v="5"/>
    <s v="全自動洗衣機 (8公斤 結合高低水位)"/>
    <s v="大電"/>
    <s v="WM"/>
    <s v="m901"/>
    <n v="1"/>
    <n v="1500"/>
    <n v="1500"/>
    <n v="6138177"/>
    <m/>
    <m/>
    <s v="AW-M901BPH(WW) 6138177"/>
    <n v="3580"/>
    <n v="0.41899441340782123"/>
    <s v="Toshiba SRP"/>
    <m/>
    <s v="6138177"/>
  </r>
  <r>
    <n v="3548"/>
    <s v="Aeon"/>
    <s v="TM_1"/>
    <x v="53"/>
    <n v="3"/>
    <x v="7"/>
    <x v="2"/>
    <s v="雙門變頻式環保雪櫃"/>
    <s v="大電"/>
    <s v="AC"/>
    <s v="a26hsz"/>
    <n v="1"/>
    <n v="1500"/>
    <n v="1500"/>
    <n v="6091699"/>
    <m/>
    <m/>
    <s v="GR-A26HSZ(DS) 6091699"/>
    <n v="3780"/>
    <n v="0.3968253968253968"/>
    <s v="Toshiba SRP"/>
    <m/>
    <s v="6091699"/>
  </r>
  <r>
    <n v="3549"/>
    <s v="Aeon"/>
    <s v="TM_1"/>
    <x v="53"/>
    <n v="3"/>
    <x v="7"/>
    <x v="1"/>
    <s v="磁應電飯煲(1.5公升)"/>
    <s v="細電"/>
    <s v="SDA"/>
    <s v="15ist"/>
    <n v="1"/>
    <n v="500"/>
    <n v="500"/>
    <n v="6091695"/>
    <m/>
    <m/>
    <s v="RC-15ISTHK(W) 6091695"/>
    <n v="1688"/>
    <n v="0.29620853080568721"/>
    <s v="Toshiba SRP"/>
    <m/>
    <s v="6091695"/>
  </r>
  <r>
    <n v="3550"/>
    <s v="Aeon"/>
    <s v="TM_1"/>
    <x v="53"/>
    <n v="3"/>
    <x v="7"/>
    <x v="1"/>
    <s v="磁應電飯煲(1.5公升)"/>
    <s v="細電"/>
    <s v="SDA"/>
    <s v="15ist"/>
    <n v="1"/>
    <n v="500"/>
    <n v="500"/>
    <n v="6138121"/>
    <m/>
    <m/>
    <s v="RC-15ISTHK(W) 6138121"/>
    <n v="1688"/>
    <n v="0.29620853080568721"/>
    <s v="Toshiba SRP"/>
    <m/>
    <s v="6138121"/>
  </r>
  <r>
    <n v="3551"/>
    <s v="Aeon"/>
    <s v="TM_1"/>
    <x v="53"/>
    <n v="3"/>
    <x v="7"/>
    <x v="1"/>
    <s v="磁應電飯煲(1.5公升)"/>
    <s v="細電"/>
    <s v="SDA"/>
    <s v="15ist"/>
    <n v="1"/>
    <n v="500"/>
    <n v="500"/>
    <n v="6138173"/>
    <m/>
    <m/>
    <s v="RC-15ISTHK(W) 6138173"/>
    <n v="1688"/>
    <n v="0.29620853080568721"/>
    <s v="Toshiba SRP"/>
    <m/>
    <s v="6138173"/>
  </r>
  <r>
    <n v="3552"/>
    <s v="Aeon"/>
    <s v="TM_1"/>
    <x v="53"/>
    <n v="3"/>
    <x v="7"/>
    <x v="1"/>
    <s v="磁應電飯煲(1.5公升)"/>
    <s v="細電"/>
    <s v="SDA"/>
    <s v="15ist"/>
    <n v="1"/>
    <n v="500"/>
    <n v="500"/>
    <n v="6138138"/>
    <m/>
    <m/>
    <s v="RC-15ISTHK(W) 6138138"/>
    <n v="1688"/>
    <n v="0.29620853080568721"/>
    <s v="Toshiba SRP"/>
    <m/>
    <s v="6138138"/>
  </r>
  <r>
    <n v="3553"/>
    <s v="Aeon"/>
    <s v="TM_1"/>
    <x v="53"/>
    <n v="3"/>
    <x v="7"/>
    <x v="1"/>
    <s v="磁應電飯煲(1.5公升)"/>
    <s v="細電"/>
    <s v="SDA"/>
    <s v="15ist"/>
    <n v="1"/>
    <n v="500"/>
    <n v="500"/>
    <n v="6091906"/>
    <m/>
    <m/>
    <s v="RC-15ISTHK(W) 6091906"/>
    <n v="1688"/>
    <n v="0.29620853080568721"/>
    <s v="Toshiba SRP"/>
    <m/>
    <s v="6091906"/>
  </r>
  <r>
    <n v="3554"/>
    <s v="Aeon"/>
    <s v="TM_1"/>
    <x v="54"/>
    <n v="3"/>
    <x v="13"/>
    <x v="2"/>
    <s v="雙門變頻式環保雪櫃"/>
    <s v="大電"/>
    <s v="AC"/>
    <s v="a26hsz"/>
    <n v="1"/>
    <n v="1500"/>
    <n v="1500"/>
    <n v="6091880"/>
    <m/>
    <m/>
    <s v="GR-A26HSZ(DS) 6091880"/>
    <n v="3780"/>
    <n v="0.3968253968253968"/>
    <s v="Toshiba SRP"/>
    <m/>
    <s v="6091880"/>
  </r>
  <r>
    <n v="3555"/>
    <s v="Aeon"/>
    <s v="TM_1"/>
    <x v="54"/>
    <n v="3"/>
    <x v="13"/>
    <x v="1"/>
    <s v="磁應電飯煲(1.5公升)"/>
    <s v="細電"/>
    <s v="SDA"/>
    <s v="15ist"/>
    <n v="1"/>
    <n v="500"/>
    <n v="500"/>
    <n v="6091916"/>
    <m/>
    <m/>
    <s v="RC-15ISTHK(W) 6091916"/>
    <n v="1688"/>
    <n v="0.29620853080568721"/>
    <s v="Toshiba SRP"/>
    <m/>
    <s v="6091916"/>
  </r>
  <r>
    <n v="3556"/>
    <s v="Aeon"/>
    <s v="TM_1"/>
    <x v="54"/>
    <n v="3"/>
    <x v="13"/>
    <x v="1"/>
    <s v="磁應電飯煲(1.5公升)"/>
    <s v="細電"/>
    <s v="SDA"/>
    <s v="15ist"/>
    <n v="1"/>
    <n v="500"/>
    <n v="500"/>
    <n v="6091923"/>
    <m/>
    <m/>
    <s v="RC-15ISTHK(W) 6091923"/>
    <n v="1688"/>
    <n v="0.29620853080568721"/>
    <s v="Toshiba SRP"/>
    <m/>
    <s v="6091923"/>
  </r>
  <r>
    <n v="3557"/>
    <s v="Aeon"/>
    <s v="TM_1"/>
    <x v="54"/>
    <n v="3"/>
    <x v="13"/>
    <x v="1"/>
    <s v="磁應電飯煲(1.5公升)"/>
    <s v="細電"/>
    <s v="SDA"/>
    <s v="15ist"/>
    <n v="1"/>
    <n v="500"/>
    <n v="500"/>
    <n v="6091921"/>
    <m/>
    <m/>
    <s v="RC-15ISTHK(W) 6091921"/>
    <n v="1688"/>
    <n v="0.29620853080568721"/>
    <s v="Toshiba SRP"/>
    <m/>
    <s v="6091921"/>
  </r>
  <r>
    <n v="3558"/>
    <s v="Aeon"/>
    <s v="TM_1"/>
    <x v="54"/>
    <n v="3"/>
    <x v="13"/>
    <x v="1"/>
    <s v="磁應電飯煲(1.5公升)"/>
    <s v="細電"/>
    <s v="SDA"/>
    <s v="15ist"/>
    <n v="1"/>
    <n v="500"/>
    <n v="500"/>
    <n v="6138141"/>
    <m/>
    <m/>
    <s v="RC-15ISTHK(W) 6138141"/>
    <n v="1688"/>
    <n v="0.29620853080568721"/>
    <s v="Toshiba SRP"/>
    <m/>
    <s v="6138141"/>
  </r>
  <r>
    <n v="3559"/>
    <s v="Aeon"/>
    <s v="TM_1"/>
    <x v="54"/>
    <n v="3"/>
    <x v="13"/>
    <x v="6"/>
    <s v="旋鈕式微波爐24L"/>
    <s v="細電"/>
    <s v="SDA"/>
    <s v="mm24"/>
    <n v="1"/>
    <n v="500"/>
    <n v="500"/>
    <n v="6091884"/>
    <m/>
    <m/>
    <s v="MW2-MM24PC(BK) 6091884"/>
    <n v="848"/>
    <n v="0.589622641509434"/>
    <s v="Toshiba SRP"/>
    <m/>
    <s v="6091884"/>
  </r>
  <r>
    <n v="3560"/>
    <s v="Aeon"/>
    <s v="TM_1"/>
    <x v="53"/>
    <n v="3"/>
    <x v="8"/>
    <x v="2"/>
    <s v="雙門變頻式環保雪櫃"/>
    <s v="大電"/>
    <s v="AC"/>
    <s v="a26hsz"/>
    <n v="1"/>
    <n v="1500"/>
    <n v="1500"/>
    <n v="6091889"/>
    <m/>
    <m/>
    <s v="GR-A26HSZ(DS) 6091889"/>
    <n v="3780"/>
    <n v="0.3968253968253968"/>
    <s v="Toshiba SRP"/>
    <m/>
    <s v="6091889"/>
  </r>
  <r>
    <n v="3561"/>
    <s v="Aeon"/>
    <s v="TM_1"/>
    <x v="53"/>
    <n v="3"/>
    <x v="8"/>
    <x v="2"/>
    <s v="雙門變頻式環保雪櫃"/>
    <s v="大電"/>
    <s v="AC"/>
    <s v="a26hsz"/>
    <n v="1"/>
    <n v="1500"/>
    <n v="1500"/>
    <n v="6091944"/>
    <m/>
    <m/>
    <s v="GR-A26HSZ(DS) 6091944"/>
    <n v="3780"/>
    <n v="0.3968253968253968"/>
    <s v="Toshiba SRP"/>
    <m/>
    <s v="6091944"/>
  </r>
  <r>
    <n v="3562"/>
    <s v="Aeon"/>
    <s v="TM_1"/>
    <x v="53"/>
    <n v="3"/>
    <x v="8"/>
    <x v="13"/>
    <s v="獨立式免安裝洗碗碟機"/>
    <s v="細電"/>
    <s v="DM"/>
    <s v="34ahk"/>
    <n v="1"/>
    <n v="1500"/>
    <n v="1500"/>
    <n v="6091941"/>
    <m/>
    <m/>
    <s v="DWS-34AHK 6091941"/>
    <n v="3999"/>
    <n v="0.37509377344336087"/>
    <s v="Web SRP"/>
    <m/>
    <s v="6091941"/>
  </r>
  <r>
    <n v="3563"/>
    <s v="Aeon"/>
    <s v="TM_1"/>
    <x v="53"/>
    <n v="3"/>
    <x v="8"/>
    <x v="1"/>
    <s v="磁應電飯煲(1.5公升)"/>
    <s v="細電"/>
    <s v="SDA"/>
    <s v="15ist"/>
    <n v="1"/>
    <n v="500"/>
    <n v="500"/>
    <n v="6091950"/>
    <m/>
    <m/>
    <s v="RC-15ISTHK(W) 6091950"/>
    <n v="1688"/>
    <n v="0.29620853080568721"/>
    <s v="Toshiba SRP"/>
    <m/>
    <s v="6091950"/>
  </r>
  <r>
    <n v="3564"/>
    <s v="Aeon"/>
    <s v="TM_1"/>
    <x v="53"/>
    <n v="3"/>
    <x v="8"/>
    <x v="1"/>
    <s v="磁應電飯煲(1.5公升)"/>
    <s v="細電"/>
    <s v="SDA"/>
    <s v="15ist"/>
    <n v="1"/>
    <n v="500"/>
    <n v="500"/>
    <n v="6091939"/>
    <m/>
    <m/>
    <s v="RC-15ISTHK(W) 6091939"/>
    <n v="1688"/>
    <n v="0.29620853080568721"/>
    <s v="Toshiba SRP"/>
    <m/>
    <s v="6091939"/>
  </r>
  <r>
    <n v="3565"/>
    <s v="Aeon"/>
    <s v="TM_1"/>
    <x v="53"/>
    <n v="3"/>
    <x v="8"/>
    <x v="1"/>
    <s v="磁應電飯煲(1.5公升)"/>
    <s v="細電"/>
    <s v="SDA"/>
    <s v="15ist"/>
    <n v="1"/>
    <n v="500"/>
    <n v="500"/>
    <n v="6091945"/>
    <m/>
    <m/>
    <s v="RC-15ISTHK(W) 6091945"/>
    <n v="1688"/>
    <n v="0.29620853080568721"/>
    <s v="Toshiba SRP"/>
    <m/>
    <s v="6091945"/>
  </r>
  <r>
    <n v="3566"/>
    <s v="Aeon"/>
    <s v="TM_1"/>
    <x v="53"/>
    <n v="3"/>
    <x v="8"/>
    <x v="1"/>
    <s v="磁應電飯煲(1.5公升)"/>
    <s v="細電"/>
    <s v="SDA"/>
    <s v="15ist"/>
    <n v="1"/>
    <n v="500"/>
    <n v="500"/>
    <n v="6091893"/>
    <m/>
    <m/>
    <s v="RC-15ISTHK(W) 6091893"/>
    <n v="1688"/>
    <n v="0.29620853080568721"/>
    <s v="Toshiba SRP"/>
    <m/>
    <s v="6091893"/>
  </r>
  <r>
    <n v="3567"/>
    <s v="Aeon"/>
    <s v="TM_1"/>
    <x v="53"/>
    <n v="3"/>
    <x v="8"/>
    <x v="15"/>
    <s v="Induction Cooker"/>
    <s v="細電"/>
    <s v="SDA"/>
    <s v="21ts"/>
    <n v="1"/>
    <n v="500"/>
    <n v="500"/>
    <n v="6091886"/>
    <m/>
    <m/>
    <s v="IC-21TSHK 6091886"/>
    <n v="998"/>
    <n v="0.50100200400801598"/>
    <s v="Web SRP"/>
    <m/>
    <s v="6091886"/>
  </r>
  <r>
    <n v="3568"/>
    <s v="Aeon"/>
    <s v="TM_1"/>
    <x v="53"/>
    <n v="3"/>
    <x v="8"/>
    <x v="15"/>
    <s v="Induction Cooker"/>
    <s v="細電"/>
    <s v="SDA"/>
    <s v="21ts"/>
    <n v="1"/>
    <n v="500"/>
    <n v="500"/>
    <n v="6091936"/>
    <m/>
    <m/>
    <s v="IC-21TSHK 6091936"/>
    <n v="998"/>
    <n v="0.50100200400801598"/>
    <s v="Web SRP"/>
    <m/>
    <s v="6091936"/>
  </r>
  <r>
    <n v="3569"/>
    <s v="Aeon"/>
    <s v="TM_1"/>
    <x v="53"/>
    <n v="3"/>
    <x v="8"/>
    <x v="6"/>
    <s v="旋鈕式微波爐24L"/>
    <s v="細電"/>
    <s v="SDA"/>
    <s v="mm24"/>
    <n v="1"/>
    <n v="500"/>
    <n v="500"/>
    <n v="6091890"/>
    <m/>
    <m/>
    <s v="MW2-MM24PC(BK) 6091890"/>
    <n v="848"/>
    <n v="0.589622641509434"/>
    <s v="Toshiba SRP"/>
    <m/>
    <s v="6091890"/>
  </r>
  <r>
    <n v="3570"/>
    <s v="Aeon"/>
    <s v="TM_1"/>
    <x v="53"/>
    <n v="3"/>
    <x v="8"/>
    <x v="9"/>
    <s v="電熱水瓶4.5L"/>
    <s v="細電"/>
    <s v="SDA"/>
    <s v="45sf"/>
    <n v="1"/>
    <n v="500"/>
    <n v="500"/>
    <n v="6091943"/>
    <m/>
    <m/>
    <s v="PLK-45SFIH(WT) 6091943"/>
    <n v="788"/>
    <n v="0.63451776649746194"/>
    <s v="Toshiba SRP"/>
    <m/>
    <s v="6091943"/>
  </r>
  <r>
    <n v="3571"/>
    <s v="Aeon"/>
    <s v="TM_1"/>
    <x v="54"/>
    <n v="3"/>
    <x v="1"/>
    <x v="18"/>
    <s v="Comfee 1匹變頻窗口式冷氣機"/>
    <s v="大電"/>
    <s v="RAC"/>
    <s v="09cr"/>
    <n v="1"/>
    <n v="3128"/>
    <n v="3128"/>
    <n v="6091977"/>
    <m/>
    <m/>
    <s v="CWF-09CRFN8-AD5 6091977"/>
    <n v="4600"/>
    <n v="0.68"/>
    <s v="Shops Highest Price"/>
    <m/>
    <s v="6091977"/>
  </r>
  <r>
    <n v="3572"/>
    <s v="Aeon"/>
    <s v="TM_1"/>
    <x v="54"/>
    <n v="3"/>
    <x v="1"/>
    <x v="13"/>
    <s v="獨立式免安裝洗碗碟機"/>
    <s v="細電"/>
    <s v="DM"/>
    <s v="34ahk"/>
    <n v="1"/>
    <n v="1500"/>
    <n v="1500"/>
    <n v="6091978"/>
    <m/>
    <m/>
    <s v="DWS-34AHK 6091978"/>
    <n v="3999"/>
    <n v="0.37509377344336087"/>
    <s v="Web SRP"/>
    <m/>
    <s v="6091978"/>
  </r>
  <r>
    <n v="3573"/>
    <s v="Aeon"/>
    <s v="TM_1"/>
    <x v="54"/>
    <n v="3"/>
    <x v="1"/>
    <x v="13"/>
    <s v="獨立式免安裝洗碗碟機"/>
    <s v="細電"/>
    <s v="DM"/>
    <s v="34ahk"/>
    <n v="1"/>
    <n v="1500"/>
    <n v="1500"/>
    <n v="6091985"/>
    <m/>
    <m/>
    <s v="DWS-34AHK 6091985"/>
    <n v="3999"/>
    <n v="0.37509377344336087"/>
    <s v="Web SRP"/>
    <m/>
    <s v="6091985"/>
  </r>
  <r>
    <n v="3574"/>
    <s v="Aeon"/>
    <s v="TM_1"/>
    <x v="54"/>
    <n v="3"/>
    <x v="1"/>
    <x v="1"/>
    <s v="磁應電飯煲(1.5公升)"/>
    <s v="細電"/>
    <s v="SDA"/>
    <s v="15ist"/>
    <n v="1"/>
    <n v="500"/>
    <n v="500"/>
    <n v="6091979"/>
    <m/>
    <m/>
    <s v="RC-15ISTHK(W) 6091979"/>
    <n v="1688"/>
    <n v="0.29620853080568721"/>
    <s v="Toshiba SRP"/>
    <m/>
    <s v="6091979"/>
  </r>
  <r>
    <n v="3575"/>
    <s v="Aeon"/>
    <s v="TM_1"/>
    <x v="54"/>
    <n v="3"/>
    <x v="1"/>
    <x v="9"/>
    <s v="電熱水瓶4.5L"/>
    <s v="細電"/>
    <s v="SDA"/>
    <s v="45sf"/>
    <n v="1"/>
    <n v="500"/>
    <n v="500"/>
    <n v="6091976"/>
    <m/>
    <m/>
    <s v="PLK-45SFIH(WT) 6091976"/>
    <n v="788"/>
    <n v="0.63451776649746194"/>
    <s v="Toshiba SRP"/>
    <m/>
    <s v="6091976"/>
  </r>
  <r>
    <n v="3576"/>
    <s v="Aeon"/>
    <s v="TM_1"/>
    <x v="53"/>
    <n v="3"/>
    <x v="2"/>
    <x v="3"/>
    <s v="7.5KG超薄身前置式變頻洗衣機"/>
    <s v="大電"/>
    <s v="WM"/>
    <s v="bl85a2"/>
    <n v="1"/>
    <n v="2588"/>
    <n v="2588"/>
    <n v="6138656"/>
    <m/>
    <m/>
    <s v="TW-BL85A2H(WW) 6138656"/>
    <n v="5080"/>
    <n v="0.50944881889763782"/>
    <s v="Toshiba SRP"/>
    <m/>
    <s v="6138656"/>
  </r>
  <r>
    <n v="3577"/>
    <s v="Aeon"/>
    <s v="TM_1"/>
    <x v="53"/>
    <n v="3"/>
    <x v="2"/>
    <x v="2"/>
    <s v="雙門變頻式環保雪櫃"/>
    <s v="大電"/>
    <s v="AC"/>
    <s v="a26hsz"/>
    <n v="1"/>
    <n v="1500"/>
    <n v="1500"/>
    <n v="6157112"/>
    <m/>
    <m/>
    <s v="GR-A26HSZ(DS) 6157112"/>
    <n v="3780"/>
    <n v="0.3968253968253968"/>
    <s v="Toshiba SRP"/>
    <m/>
    <s v="6157112"/>
  </r>
  <r>
    <n v="3578"/>
    <s v="Aeon"/>
    <s v="TM_1"/>
    <x v="53"/>
    <n v="3"/>
    <x v="2"/>
    <x v="13"/>
    <s v="獨立式免安裝洗碗碟機"/>
    <s v="細電"/>
    <s v="DM"/>
    <s v="34ahk"/>
    <n v="1"/>
    <n v="1500"/>
    <n v="1500"/>
    <n v="6157427"/>
    <m/>
    <m/>
    <s v="DWS-34AHK 6157427"/>
    <n v="3999"/>
    <n v="0.37509377344336087"/>
    <s v="Web SRP"/>
    <m/>
    <s v="6157427"/>
  </r>
  <r>
    <n v="3579"/>
    <s v="Aeon"/>
    <s v="TM_1"/>
    <x v="53"/>
    <n v="3"/>
    <x v="2"/>
    <x v="13"/>
    <s v="獨立式免安裝洗碗碟機"/>
    <s v="細電"/>
    <s v="DM"/>
    <s v="34ahk"/>
    <n v="1"/>
    <n v="1500"/>
    <n v="1500"/>
    <n v="6157420"/>
    <m/>
    <m/>
    <s v="DWS-34AHK 6157420"/>
    <n v="3999"/>
    <n v="0.37509377344336087"/>
    <s v="Web SRP"/>
    <m/>
    <s v="6157420"/>
  </r>
  <r>
    <n v="3580"/>
    <s v="Aeon"/>
    <s v="TM_1"/>
    <x v="53"/>
    <n v="3"/>
    <x v="2"/>
    <x v="1"/>
    <s v="磁應電飯煲(1.5公升)"/>
    <s v="細電"/>
    <s v="SDA"/>
    <s v="15ist"/>
    <n v="1"/>
    <n v="500"/>
    <n v="500"/>
    <n v="6157121"/>
    <m/>
    <m/>
    <s v="RC-15ISTHK(W) 6157121"/>
    <n v="1688"/>
    <n v="0.29620853080568721"/>
    <s v="Toshiba SRP"/>
    <m/>
    <s v="6157121"/>
  </r>
  <r>
    <n v="3581"/>
    <s v="Aeon"/>
    <s v="TM_1"/>
    <x v="53"/>
    <n v="3"/>
    <x v="2"/>
    <x v="1"/>
    <s v="磁應電飯煲(1.5公升)"/>
    <s v="細電"/>
    <s v="SDA"/>
    <s v="15ist"/>
    <n v="1"/>
    <n v="500"/>
    <n v="500"/>
    <n v="6157430"/>
    <m/>
    <m/>
    <s v="RC-15ISTHK(W) 6157430"/>
    <n v="1688"/>
    <n v="0.29620853080568721"/>
    <s v="Toshiba SRP"/>
    <m/>
    <s v="6157430"/>
  </r>
  <r>
    <n v="3582"/>
    <s v="Aeon"/>
    <s v="TM_1"/>
    <x v="53"/>
    <n v="3"/>
    <x v="2"/>
    <x v="1"/>
    <s v="磁應電飯煲(1.5公升)"/>
    <s v="細電"/>
    <s v="SDA"/>
    <s v="15ist"/>
    <n v="1"/>
    <n v="500"/>
    <n v="500"/>
    <n v="6157968"/>
    <m/>
    <m/>
    <s v="RC-15ISTHK(W) 6157968"/>
    <n v="1688"/>
    <n v="0.29620853080568721"/>
    <s v="Toshiba SRP"/>
    <m/>
    <s v="6157968"/>
  </r>
  <r>
    <n v="3583"/>
    <s v="Aeon"/>
    <s v="TM_1"/>
    <x v="53"/>
    <n v="3"/>
    <x v="2"/>
    <x v="1"/>
    <s v="磁應電飯煲(1.5公升)"/>
    <s v="細電"/>
    <s v="SDA"/>
    <s v="15ist"/>
    <n v="1"/>
    <n v="500"/>
    <n v="500"/>
    <n v="6138673"/>
    <m/>
    <m/>
    <s v="RC-15ISTHK(W) 6138673"/>
    <n v="1688"/>
    <n v="0.29620853080568721"/>
    <s v="Toshiba SRP"/>
    <m/>
    <s v="6138673"/>
  </r>
  <r>
    <n v="3584"/>
    <s v="Aeon"/>
    <s v="TM_1"/>
    <x v="53"/>
    <n v="3"/>
    <x v="2"/>
    <x v="1"/>
    <s v="磁應電飯煲(1.5公升)"/>
    <s v="細電"/>
    <s v="SDA"/>
    <s v="15ist"/>
    <n v="1"/>
    <n v="500"/>
    <n v="500"/>
    <n v="6138170"/>
    <m/>
    <m/>
    <s v="RC-15ISTHK(W) 6138170"/>
    <n v="1688"/>
    <n v="0.29620853080568721"/>
    <s v="Toshiba SRP"/>
    <m/>
    <s v="6138170"/>
  </r>
  <r>
    <n v="3585"/>
    <s v="Aeon"/>
    <s v="TM_1"/>
    <x v="53"/>
    <n v="3"/>
    <x v="2"/>
    <x v="1"/>
    <s v="磁應電飯煲(1.5公升)"/>
    <s v="細電"/>
    <s v="SDA"/>
    <s v="15ist"/>
    <n v="1"/>
    <n v="500"/>
    <n v="500"/>
    <n v="6157110"/>
    <m/>
    <m/>
    <s v="RC-15ISTHK(W) 6157110"/>
    <n v="1688"/>
    <n v="0.29620853080568721"/>
    <s v="Toshiba SRP"/>
    <m/>
    <s v="6157110"/>
  </r>
  <r>
    <n v="3586"/>
    <s v="Aeon"/>
    <s v="TM_1"/>
    <x v="53"/>
    <n v="3"/>
    <x v="2"/>
    <x v="1"/>
    <s v="磁應電飯煲(1.5公升)"/>
    <s v="細電"/>
    <s v="SDA"/>
    <s v="15ist"/>
    <n v="1"/>
    <n v="500"/>
    <n v="500"/>
    <n v="6157421"/>
    <m/>
    <m/>
    <s v="RC-15ISTHK(W) 6157421"/>
    <n v="1688"/>
    <n v="0.29620853080568721"/>
    <s v="Toshiba SRP"/>
    <m/>
    <s v="6157421"/>
  </r>
  <r>
    <n v="3587"/>
    <s v="Aeon"/>
    <s v="TM_1"/>
    <x v="53"/>
    <n v="3"/>
    <x v="2"/>
    <x v="1"/>
    <s v="磁應電飯煲(1.5公升)"/>
    <s v="細電"/>
    <s v="SDA"/>
    <s v="15ist"/>
    <n v="1"/>
    <n v="500"/>
    <n v="500"/>
    <n v="6157417"/>
    <m/>
    <m/>
    <s v="RC-15ISTHK(W) 6157417"/>
    <n v="1688"/>
    <n v="0.29620853080568721"/>
    <s v="Toshiba SRP"/>
    <m/>
    <s v="6157417"/>
  </r>
  <r>
    <n v="3588"/>
    <s v="Aeon"/>
    <s v="TM_1"/>
    <x v="53"/>
    <n v="3"/>
    <x v="2"/>
    <x v="9"/>
    <s v="電熱水瓶4.5L"/>
    <s v="細電"/>
    <s v="SDA"/>
    <s v="45sf"/>
    <n v="1"/>
    <n v="500"/>
    <n v="500"/>
    <n v="6138655"/>
    <m/>
    <m/>
    <s v="PLK-45SFIH(WT) 6138655"/>
    <n v="788"/>
    <n v="0.63451776649746194"/>
    <s v="Toshiba SRP"/>
    <m/>
    <s v="6138655"/>
  </r>
  <r>
    <n v="3589"/>
    <s v="Aeon"/>
    <s v="TM_1"/>
    <x v="53"/>
    <n v="3"/>
    <x v="9"/>
    <x v="5"/>
    <s v="全自動洗衣機 (8公斤 結合高低水位)"/>
    <s v="大電"/>
    <s v="WM"/>
    <s v="m901"/>
    <n v="1"/>
    <n v="1500"/>
    <n v="1500"/>
    <n v="6138683"/>
    <m/>
    <m/>
    <s v="AW-M901BPH(WW) 6138683"/>
    <n v="3580"/>
    <n v="0.41899441340782123"/>
    <s v="Toshiba SRP"/>
    <m/>
    <s v="6138683"/>
  </r>
  <r>
    <n v="3590"/>
    <s v="Aeon"/>
    <s v="TM_1"/>
    <x v="53"/>
    <n v="3"/>
    <x v="9"/>
    <x v="14"/>
    <s v="21L壓縮式抽濕機"/>
    <s v="大電"/>
    <s v="RAC"/>
    <s v="y200"/>
    <n v="1"/>
    <n v="1500"/>
    <n v="1500"/>
    <n v="6138659"/>
    <m/>
    <m/>
    <s v="RAD-Y200H 6138659"/>
    <n v="3280"/>
    <n v="0.45731707317073172"/>
    <s v="Toshiba SRP"/>
    <m/>
    <s v="6138659"/>
  </r>
  <r>
    <n v="3591"/>
    <s v="Aeon"/>
    <s v="TM_1"/>
    <x v="53"/>
    <n v="3"/>
    <x v="9"/>
    <x v="13"/>
    <s v="獨立式免安裝洗碗碟機"/>
    <s v="細電"/>
    <s v="DM"/>
    <s v="34ahk"/>
    <n v="1"/>
    <n v="1500"/>
    <n v="1500"/>
    <n v="6138692"/>
    <m/>
    <m/>
    <s v="DWS-34AHK 6138692"/>
    <n v="3999"/>
    <n v="0.37509377344336087"/>
    <s v="Web SRP"/>
    <m/>
    <s v="6138692"/>
  </r>
  <r>
    <n v="3592"/>
    <s v="Aeon"/>
    <s v="TM_1"/>
    <x v="53"/>
    <n v="3"/>
    <x v="9"/>
    <x v="1"/>
    <s v="磁應電飯煲(1.5公升)"/>
    <s v="細電"/>
    <s v="SDA"/>
    <s v="15ist"/>
    <n v="1"/>
    <n v="500"/>
    <n v="500"/>
    <n v="6138687"/>
    <m/>
    <m/>
    <s v="RC-15ISTHK(W) 6138687"/>
    <n v="1688"/>
    <n v="0.29620853080568721"/>
    <s v="Toshiba SRP"/>
    <m/>
    <s v="6138687"/>
  </r>
  <r>
    <n v="3593"/>
    <s v="Aeon"/>
    <s v="TM_1"/>
    <x v="53"/>
    <n v="3"/>
    <x v="9"/>
    <x v="1"/>
    <s v="磁應電飯煲(1.5公升)"/>
    <s v="細電"/>
    <s v="SDA"/>
    <s v="15ist"/>
    <n v="1"/>
    <n v="500"/>
    <n v="500"/>
    <n v="6138674"/>
    <m/>
    <m/>
    <s v="RC-15ISTHK(W) 6138674"/>
    <n v="1688"/>
    <n v="0.29620853080568721"/>
    <s v="Toshiba SRP"/>
    <m/>
    <s v="6138674"/>
  </r>
  <r>
    <n v="3594"/>
    <s v="Aeon"/>
    <s v="TM_1"/>
    <x v="53"/>
    <n v="3"/>
    <x v="9"/>
    <x v="15"/>
    <s v="Induction Cooker"/>
    <s v="細電"/>
    <s v="SDA"/>
    <s v="21ts"/>
    <n v="1"/>
    <n v="500"/>
    <n v="500"/>
    <n v="6138684"/>
    <m/>
    <m/>
    <s v="IC-21TSHK 6138684"/>
    <n v="998"/>
    <n v="0.50100200400801598"/>
    <s v="Web SRP"/>
    <m/>
    <s v="6138684"/>
  </r>
  <r>
    <n v="3595"/>
    <s v="Aeon"/>
    <s v="TM_1"/>
    <x v="54"/>
    <n v="3"/>
    <x v="10"/>
    <x v="5"/>
    <s v="全自動洗衣機 (8公斤 結合高低水位)"/>
    <s v="大電"/>
    <s v="WM"/>
    <s v="m901"/>
    <n v="1"/>
    <n v="1500"/>
    <n v="1500"/>
    <n v="6157981"/>
    <m/>
    <m/>
    <s v="AW-M901BPH(WW) 6157981"/>
    <n v="3580"/>
    <n v="0.41899441340782123"/>
    <s v="Toshiba SRP"/>
    <m/>
    <s v="6157981"/>
  </r>
  <r>
    <n v="3596"/>
    <s v="Aeon"/>
    <s v="TM_1"/>
    <x v="54"/>
    <n v="3"/>
    <x v="10"/>
    <x v="5"/>
    <s v="全自動洗衣機 (8公斤 結合高低水位)"/>
    <s v="大電"/>
    <s v="WM"/>
    <s v="m901"/>
    <n v="1"/>
    <n v="1500"/>
    <n v="1500"/>
    <n v="6138707"/>
    <m/>
    <m/>
    <s v="AW-M901BPH(WW) 6138707"/>
    <n v="3580"/>
    <n v="0.41899441340782123"/>
    <s v="Toshiba SRP"/>
    <m/>
    <s v="6138707"/>
  </r>
  <r>
    <n v="3597"/>
    <s v="Aeon"/>
    <s v="TM_1"/>
    <x v="54"/>
    <n v="3"/>
    <x v="10"/>
    <x v="13"/>
    <s v="獨立式免安裝洗碗碟機"/>
    <s v="細電"/>
    <s v="DM"/>
    <s v="34ahk"/>
    <n v="1"/>
    <n v="1500"/>
    <n v="1500"/>
    <n v="6157201"/>
    <m/>
    <m/>
    <s v="DWS-34AHK 6157201"/>
    <n v="3999"/>
    <n v="0.37509377344336087"/>
    <s v="Web SRP"/>
    <m/>
    <s v="6157201"/>
  </r>
  <r>
    <n v="3598"/>
    <s v="Aeon"/>
    <s v="TM_1"/>
    <x v="54"/>
    <n v="3"/>
    <x v="10"/>
    <x v="2"/>
    <s v="雙門變頻式環保雪櫃"/>
    <s v="大電"/>
    <s v="AC"/>
    <s v="a26hsz"/>
    <n v="1"/>
    <n v="1500"/>
    <n v="1500"/>
    <n v="6138715"/>
    <m/>
    <m/>
    <s v="GR-A26HSZ(DS) 6138715"/>
    <n v="3780"/>
    <n v="0.3968253968253968"/>
    <s v="Toshiba SRP"/>
    <m/>
    <s v="6138715"/>
  </r>
  <r>
    <n v="3599"/>
    <s v="Aeon"/>
    <s v="TM_1"/>
    <x v="54"/>
    <n v="3"/>
    <x v="10"/>
    <x v="4"/>
    <s v="RO座檯式飲水機"/>
    <s v="細電"/>
    <s v="KWH"/>
    <s v="tsr76"/>
    <n v="1"/>
    <n v="1500"/>
    <n v="1500"/>
    <n v="6157998"/>
    <m/>
    <m/>
    <s v="TWP-TSR76THK(W) 6157998"/>
    <n v="2680"/>
    <n v="0.55970149253731338"/>
    <s v="Toshiba SRP"/>
    <m/>
    <s v="6157998"/>
  </r>
  <r>
    <n v="3600"/>
    <s v="Aeon"/>
    <s v="TM_1"/>
    <x v="54"/>
    <n v="3"/>
    <x v="10"/>
    <x v="1"/>
    <s v="磁應電飯煲(1.5公升)"/>
    <s v="細電"/>
    <s v="SDA"/>
    <s v="15ist"/>
    <n v="1"/>
    <n v="500"/>
    <n v="500"/>
    <n v="6157434"/>
    <m/>
    <m/>
    <s v="RC-15ISTHK(W) 6157434"/>
    <n v="1688"/>
    <n v="0.29620853080568721"/>
    <s v="Toshiba SRP"/>
    <m/>
    <s v="6157434"/>
  </r>
  <r>
    <n v="3601"/>
    <s v="Aeon"/>
    <s v="TM_1"/>
    <x v="54"/>
    <n v="3"/>
    <x v="10"/>
    <x v="1"/>
    <s v="磁應電飯煲(1.5公升)"/>
    <s v="細電"/>
    <s v="SDA"/>
    <s v="15ist"/>
    <n v="1"/>
    <n v="500"/>
    <n v="500"/>
    <n v="6157145"/>
    <m/>
    <m/>
    <s v="RC-15ISTHK(W) 6157145"/>
    <n v="1688"/>
    <n v="0.29620853080568721"/>
    <s v="Toshiba SRP"/>
    <m/>
    <s v="6157145"/>
  </r>
  <r>
    <n v="3602"/>
    <s v="Aeon"/>
    <s v="TM_1"/>
    <x v="54"/>
    <n v="3"/>
    <x v="10"/>
    <x v="1"/>
    <s v="磁應電飯煲(1.5公升)"/>
    <s v="細電"/>
    <s v="SDA"/>
    <s v="15ist"/>
    <n v="1"/>
    <n v="500"/>
    <n v="500"/>
    <n v="6138721"/>
    <m/>
    <m/>
    <s v="RC-15ISTHK(W) 6138721"/>
    <n v="1688"/>
    <n v="0.29620853080568721"/>
    <s v="Toshiba SRP"/>
    <m/>
    <s v="6138721"/>
  </r>
  <r>
    <n v="3603"/>
    <s v="Aeon"/>
    <s v="TM_1"/>
    <x v="53"/>
    <n v="3"/>
    <x v="16"/>
    <x v="2"/>
    <s v="雙門變頻式環保雪櫃"/>
    <s v="大電"/>
    <s v="AC"/>
    <s v="a26hsz"/>
    <n v="1"/>
    <n v="1500"/>
    <n v="1500"/>
    <n v="6157210"/>
    <m/>
    <m/>
    <s v="GR-A26HSZ(DS) 6157210"/>
    <n v="3780"/>
    <n v="0.3968253968253968"/>
    <s v="Toshiba SRP"/>
    <m/>
    <s v="6157210"/>
  </r>
  <r>
    <n v="3604"/>
    <s v="Aeon"/>
    <s v="TM_1"/>
    <x v="53"/>
    <n v="3"/>
    <x v="16"/>
    <x v="1"/>
    <s v="磁應電飯煲(1.5公升)"/>
    <s v="細電"/>
    <s v="SDA"/>
    <s v="15ist"/>
    <n v="1"/>
    <n v="500"/>
    <n v="500"/>
    <n v="6157152"/>
    <m/>
    <m/>
    <s v="RC-15ISTHK(W) 6157152"/>
    <n v="1688"/>
    <n v="0.29620853080568721"/>
    <s v="Toshiba SRP"/>
    <m/>
    <s v="6157152"/>
  </r>
  <r>
    <n v="3605"/>
    <s v="Aeon"/>
    <s v="TM_1"/>
    <x v="53"/>
    <n v="3"/>
    <x v="16"/>
    <x v="1"/>
    <s v="磁應電飯煲(1.5公升)"/>
    <s v="細電"/>
    <s v="SDA"/>
    <s v="15ist"/>
    <n v="1"/>
    <n v="500"/>
    <n v="500"/>
    <n v="6157160"/>
    <m/>
    <m/>
    <s v="RC-15ISTHK(W) 6157160"/>
    <n v="1688"/>
    <n v="0.29620853080568721"/>
    <s v="Toshiba SRP"/>
    <m/>
    <s v="6157160"/>
  </r>
  <r>
    <n v="3606"/>
    <s v="Aeon"/>
    <s v="TM_1"/>
    <x v="53"/>
    <n v="3"/>
    <x v="16"/>
    <x v="1"/>
    <s v="磁應電飯煲(1.5公升)"/>
    <s v="細電"/>
    <s v="SDA"/>
    <s v="15ist"/>
    <n v="1"/>
    <n v="500"/>
    <n v="500"/>
    <n v="6157211"/>
    <m/>
    <m/>
    <s v="RC-15ISTHK(W) 6157211"/>
    <n v="1688"/>
    <n v="0.29620853080568721"/>
    <s v="Toshiba SRP"/>
    <m/>
    <s v="6157211"/>
  </r>
  <r>
    <n v="3607"/>
    <s v="Aeon"/>
    <s v="TM_1"/>
    <x v="54"/>
    <n v="3"/>
    <x v="11"/>
    <x v="15"/>
    <s v="Induction Cooker"/>
    <s v="細電"/>
    <s v="SDA"/>
    <s v="21ts"/>
    <n v="1"/>
    <n v="500"/>
    <n v="500"/>
    <n v="6138733"/>
    <m/>
    <m/>
    <s v="IC-21TSHK 6138733"/>
    <n v="998"/>
    <n v="0.50100200400801598"/>
    <s v="Web SRP"/>
    <m/>
    <s v="6138733"/>
  </r>
  <r>
    <n v="3608"/>
    <s v="Aeon"/>
    <s v="TM_1"/>
    <x v="54"/>
    <n v="3"/>
    <x v="11"/>
    <x v="1"/>
    <s v="磁應電飯煲(1.5公升)"/>
    <s v="細電"/>
    <s v="SDA"/>
    <s v="15ist"/>
    <n v="1"/>
    <n v="500"/>
    <n v="500"/>
    <n v="6157441"/>
    <m/>
    <m/>
    <s v="RC-15ISTHK(W) 6157441"/>
    <n v="1688"/>
    <n v="0.29620853080568721"/>
    <s v="Toshiba SRP"/>
    <m/>
    <s v="6157441"/>
  </r>
  <r>
    <n v="3609"/>
    <s v="Aeon"/>
    <s v="TM_1"/>
    <x v="54"/>
    <n v="3"/>
    <x v="11"/>
    <x v="6"/>
    <s v="旋鈕式微波爐24L"/>
    <s v="細電"/>
    <s v="SDA"/>
    <s v="mm24"/>
    <n v="1"/>
    <n v="500"/>
    <n v="500"/>
    <m/>
    <m/>
    <m/>
    <s v="MW2-MM24PC(BK) "/>
    <n v="848"/>
    <n v="0.589622641509434"/>
    <s v="Toshiba SRP"/>
    <m/>
    <s v=""/>
  </r>
  <r>
    <n v="3610"/>
    <s v="Aeon"/>
    <s v="TM_1"/>
    <x v="53"/>
    <n v="3"/>
    <x v="12"/>
    <x v="0"/>
    <s v="超薄身前置式洗衣乾衣機 (洗8公斤 乾5公斤)"/>
    <s v="大電"/>
    <s v="WM"/>
    <s v="bn90"/>
    <n v="1"/>
    <n v="3588"/>
    <n v="3588"/>
    <n v="6157026"/>
    <m/>
    <m/>
    <s v="TWD-BN90GF4H(WK) 6157026"/>
    <n v="5980"/>
    <n v="0.6"/>
    <s v="Toshiba SRP"/>
    <m/>
    <s v="6157026"/>
  </r>
  <r>
    <n v="3611"/>
    <s v="Aeon"/>
    <s v="TM_1"/>
    <x v="53"/>
    <n v="3"/>
    <x v="12"/>
    <x v="13"/>
    <s v="獨立式免安裝洗碗碟機"/>
    <s v="細電"/>
    <s v="DM"/>
    <s v="34ahk"/>
    <n v="1"/>
    <n v="1500"/>
    <n v="1500"/>
    <n v="6138775"/>
    <m/>
    <m/>
    <s v="DWS-34AHK 6138775"/>
    <n v="3999"/>
    <n v="0.37509377344336087"/>
    <s v="Web SRP"/>
    <m/>
    <s v="6138775"/>
  </r>
  <r>
    <n v="3612"/>
    <s v="Aeon"/>
    <s v="TM_1"/>
    <x v="53"/>
    <n v="3"/>
    <x v="12"/>
    <x v="5"/>
    <s v="全自動洗衣機 (8公斤 結合高低水位)"/>
    <s v="大電"/>
    <s v="WM"/>
    <s v="m901"/>
    <n v="1"/>
    <n v="1500"/>
    <n v="1500"/>
    <n v="6138759"/>
    <m/>
    <m/>
    <s v="AW-M901BPH(WW) 6138759"/>
    <n v="3580"/>
    <n v="0.41899441340782123"/>
    <s v="Toshiba SRP"/>
    <m/>
    <s v="6138759"/>
  </r>
  <r>
    <n v="3613"/>
    <s v="Aeon"/>
    <s v="TM_1"/>
    <x v="53"/>
    <n v="3"/>
    <x v="12"/>
    <x v="2"/>
    <s v="雙門變頻式環保雪櫃"/>
    <s v="大電"/>
    <s v="AC"/>
    <s v="a26hsz"/>
    <n v="1"/>
    <n v="1500"/>
    <n v="1500"/>
    <n v="6157450"/>
    <m/>
    <m/>
    <s v="GR-A26HSZ(DS) 6157450"/>
    <n v="3780"/>
    <n v="0.3968253968253968"/>
    <s v="Toshiba SRP"/>
    <m/>
    <s v="6157450"/>
  </r>
  <r>
    <n v="3614"/>
    <s v="Aeon"/>
    <s v="TM_1"/>
    <x v="53"/>
    <n v="3"/>
    <x v="12"/>
    <x v="2"/>
    <s v="雙門變頻式環保雪櫃"/>
    <s v="大電"/>
    <s v="AC"/>
    <s v="a26hsz"/>
    <n v="1"/>
    <n v="1500"/>
    <n v="1500"/>
    <n v="6138751"/>
    <m/>
    <m/>
    <s v="GR-A26HSZ(DS) 6138751"/>
    <n v="3780"/>
    <n v="0.3968253968253968"/>
    <s v="Toshiba SRP"/>
    <m/>
    <s v="6138751"/>
  </r>
  <r>
    <n v="3615"/>
    <s v="Aeon"/>
    <s v="TM_1"/>
    <x v="53"/>
    <n v="3"/>
    <x v="12"/>
    <x v="1"/>
    <s v="磁應電飯煲(1.5公升)"/>
    <s v="細電"/>
    <s v="SDA"/>
    <s v="15ist"/>
    <n v="1"/>
    <n v="500"/>
    <n v="500"/>
    <n v="6138766"/>
    <m/>
    <m/>
    <s v="RC-15ISTHK(W) 6138766"/>
    <n v="1688"/>
    <n v="0.29620853080568721"/>
    <s v="Toshiba SRP"/>
    <m/>
    <s v="6138766"/>
  </r>
  <r>
    <n v="3616"/>
    <s v="Aeon"/>
    <s v="TM_1"/>
    <x v="53"/>
    <n v="3"/>
    <x v="12"/>
    <x v="1"/>
    <s v="磁應電飯煲(1.5公升)"/>
    <s v="細電"/>
    <s v="SDA"/>
    <s v="15ist"/>
    <n v="1"/>
    <n v="500"/>
    <n v="500"/>
    <n v="6157005"/>
    <m/>
    <m/>
    <s v="RC-15ISTHK(W) 6157005"/>
    <n v="1688"/>
    <n v="0.29620853080568721"/>
    <s v="Toshiba SRP"/>
    <m/>
    <s v="6157005"/>
  </r>
  <r>
    <n v="3617"/>
    <s v="Aeon"/>
    <s v="TM_1"/>
    <x v="53"/>
    <n v="3"/>
    <x v="12"/>
    <x v="15"/>
    <s v="Induction Cooker"/>
    <s v="細電"/>
    <s v="SDA"/>
    <s v="21ts"/>
    <n v="1"/>
    <n v="500"/>
    <n v="500"/>
    <n v="6157449"/>
    <m/>
    <m/>
    <s v="IC-21TSHK 6157449"/>
    <n v="998"/>
    <n v="0.50100200400801598"/>
    <s v="Web SRP"/>
    <m/>
    <s v="6157449"/>
  </r>
  <r>
    <n v="3618"/>
    <s v="Aeon"/>
    <s v="TM_1"/>
    <x v="53"/>
    <n v="3"/>
    <x v="12"/>
    <x v="15"/>
    <s v="Induction Cooker"/>
    <s v="細電"/>
    <s v="SDA"/>
    <s v="21ts"/>
    <n v="1"/>
    <n v="500"/>
    <n v="500"/>
    <n v="6157197"/>
    <m/>
    <m/>
    <s v="IC-21TSHK 6157197"/>
    <n v="998"/>
    <n v="0.50100200400801598"/>
    <s v="Web SRP"/>
    <m/>
    <s v="6157197"/>
  </r>
  <r>
    <n v="3619"/>
    <s v="Aeon"/>
    <s v="TM_1"/>
    <x v="53"/>
    <n v="3"/>
    <x v="12"/>
    <x v="15"/>
    <s v="Induction Cooker"/>
    <s v="細電"/>
    <s v="SDA"/>
    <s v="21ts"/>
    <n v="1"/>
    <n v="500"/>
    <n v="500"/>
    <n v="6157013"/>
    <m/>
    <m/>
    <s v="IC-21TSHK 6157013"/>
    <n v="998"/>
    <n v="0.50100200400801598"/>
    <s v="Web SRP"/>
    <m/>
    <s v="6157013"/>
  </r>
  <r>
    <n v="3620"/>
    <s v="Aeon"/>
    <s v="TM_1"/>
    <x v="53"/>
    <n v="3"/>
    <x v="12"/>
    <x v="6"/>
    <s v="旋鈕式微波爐24L"/>
    <s v="細電"/>
    <s v="SDA"/>
    <s v="mm24"/>
    <n v="1"/>
    <n v="500"/>
    <n v="500"/>
    <n v="6138758"/>
    <m/>
    <m/>
    <s v="MW2-MM24PC(BK) 6138758"/>
    <n v="848"/>
    <n v="0.589622641509434"/>
    <s v="Toshiba SRP"/>
    <m/>
    <s v="6138758"/>
  </r>
  <r>
    <n v="3621"/>
    <s v="Aeon"/>
    <s v="TM_1"/>
    <x v="53"/>
    <n v="3"/>
    <x v="12"/>
    <x v="6"/>
    <s v="旋鈕式微波爐24L"/>
    <s v="細電"/>
    <s v="SDA"/>
    <s v="mm24"/>
    <n v="1"/>
    <n v="500"/>
    <n v="500"/>
    <n v="6157195"/>
    <m/>
    <m/>
    <s v="MW2-MM24PC(BK) 6157195"/>
    <n v="848"/>
    <n v="0.589622641509434"/>
    <s v="Toshiba SRP"/>
    <m/>
    <s v="6157195"/>
  </r>
  <r>
    <n v="3622"/>
    <s v="Aeon"/>
    <s v="TM_1"/>
    <x v="53"/>
    <n v="3"/>
    <x v="12"/>
    <x v="9"/>
    <s v="電熱水瓶4.5L"/>
    <s v="細電"/>
    <s v="SDA"/>
    <s v="45sf"/>
    <n v="1"/>
    <n v="500"/>
    <n v="500"/>
    <n v="6157002"/>
    <m/>
    <m/>
    <s v="PLK-45SFIH(WT) 6157002"/>
    <n v="788"/>
    <n v="0.63451776649746194"/>
    <s v="Toshiba SRP"/>
    <m/>
    <s v="6157002"/>
  </r>
  <r>
    <n v="3623"/>
    <s v="Aeon"/>
    <s v="TM_1"/>
    <x v="54"/>
    <n v="3"/>
    <x v="3"/>
    <x v="3"/>
    <s v="7.5KG超薄身前置式變頻洗衣機"/>
    <s v="大電"/>
    <s v="WM"/>
    <s v="bl85a2"/>
    <n v="1"/>
    <n v="2588"/>
    <n v="2588"/>
    <n v="6157044"/>
    <m/>
    <m/>
    <s v="TW-BL85A2H(WW) 6157044"/>
    <n v="5080"/>
    <n v="0.50944881889763782"/>
    <s v="Toshiba SRP"/>
    <m/>
    <s v="6157044"/>
  </r>
  <r>
    <n v="3624"/>
    <s v="Aeon"/>
    <s v="TM_1"/>
    <x v="54"/>
    <n v="3"/>
    <x v="3"/>
    <x v="5"/>
    <s v="全自動洗衣機 (8公斤 結合高低水位)"/>
    <s v="大電"/>
    <s v="WM"/>
    <s v="m901"/>
    <n v="1"/>
    <n v="1500"/>
    <n v="1500"/>
    <n v="6138879"/>
    <m/>
    <m/>
    <s v="AW-M901BPH(WW) 6138879"/>
    <n v="3580"/>
    <n v="0.41899441340782123"/>
    <s v="Toshiba SRP"/>
    <m/>
    <s v="6138879"/>
  </r>
  <r>
    <n v="3625"/>
    <s v="Aeon"/>
    <s v="TM_1"/>
    <x v="54"/>
    <n v="3"/>
    <x v="3"/>
    <x v="5"/>
    <s v="全自動洗衣機 (8公斤 結合高低水位)"/>
    <s v="大電"/>
    <s v="WM"/>
    <s v="m901"/>
    <n v="1"/>
    <n v="1500"/>
    <n v="1500"/>
    <n v="6157087"/>
    <m/>
    <m/>
    <s v="AW-M901BPH(WW) 6157087"/>
    <n v="3580"/>
    <n v="0.41899441340782123"/>
    <s v="Toshiba SRP"/>
    <m/>
    <s v="6157087"/>
  </r>
  <r>
    <n v="3626"/>
    <s v="Aeon"/>
    <s v="TM_1"/>
    <x v="54"/>
    <n v="3"/>
    <x v="3"/>
    <x v="5"/>
    <s v="全自動洗衣機 (8公斤 結合高低水位)"/>
    <s v="大電"/>
    <s v="WM"/>
    <s v="m901"/>
    <n v="1"/>
    <n v="1500"/>
    <n v="1500"/>
    <n v="6157075"/>
    <m/>
    <m/>
    <s v="AW-M901BPH(WW) 6157075"/>
    <n v="3580"/>
    <n v="0.41899441340782123"/>
    <s v="Toshiba SRP"/>
    <m/>
    <s v="6157075"/>
  </r>
  <r>
    <n v="3627"/>
    <s v="Aeon"/>
    <s v="TM_1"/>
    <x v="54"/>
    <n v="3"/>
    <x v="3"/>
    <x v="5"/>
    <s v="全自動洗衣機 (8公斤 結合高低水位)"/>
    <s v="大電"/>
    <s v="WM"/>
    <s v="m901"/>
    <n v="1"/>
    <n v="1500"/>
    <n v="1500"/>
    <n v="6138858"/>
    <m/>
    <m/>
    <s v="AW-M901BPH(WW) 6138858"/>
    <n v="3580"/>
    <n v="0.41899441340782123"/>
    <s v="Toshiba SRP"/>
    <m/>
    <s v="6138858"/>
  </r>
  <r>
    <n v="3628"/>
    <s v="Aeon"/>
    <s v="TM_1"/>
    <x v="54"/>
    <n v="3"/>
    <x v="3"/>
    <x v="10"/>
    <s v="變頻上置式雙門雪櫃313L "/>
    <s v="大電"/>
    <s v="REF"/>
    <s v="rt416"/>
    <n v="1"/>
    <n v="2888"/>
    <n v="2888"/>
    <n v="6138895"/>
    <m/>
    <m/>
    <s v="GR-RT416WE-PMA(06) 6138895"/>
    <n v="5380"/>
    <n v="0.53680297397769516"/>
    <s v="Toshiba SRP"/>
    <m/>
    <s v="6138895"/>
  </r>
  <r>
    <n v="3629"/>
    <s v="Aeon"/>
    <s v="TM_1"/>
    <x v="54"/>
    <n v="3"/>
    <x v="3"/>
    <x v="12"/>
    <s v="Comfee 1.5匹變頻窗口式冷氣機"/>
    <s v="大電"/>
    <s v="RAC"/>
    <s v="12cr"/>
    <n v="1"/>
    <n v="3528"/>
    <n v="3528"/>
    <n v="6138889"/>
    <m/>
    <m/>
    <s v="CWF-12CRFN8-AD5 6138889"/>
    <n v="5200"/>
    <n v="0.67846153846153845"/>
    <s v="Shops Highest Price"/>
    <m/>
    <s v="6138889"/>
  </r>
  <r>
    <n v="3630"/>
    <s v="Aeon"/>
    <s v="TM_1"/>
    <x v="54"/>
    <n v="3"/>
    <x v="3"/>
    <x v="4"/>
    <s v="RO座檯式飲水機"/>
    <s v="細電"/>
    <s v="KWH"/>
    <s v="tsr76"/>
    <n v="1"/>
    <n v="1500"/>
    <n v="1500"/>
    <n v="6157055"/>
    <m/>
    <m/>
    <s v="TWP-TSR76THK(W) 6157055"/>
    <n v="2680"/>
    <n v="0.55970149253731338"/>
    <s v="Toshiba SRP"/>
    <m/>
    <s v="6157055"/>
  </r>
  <r>
    <n v="3631"/>
    <s v="Aeon"/>
    <s v="TM_1"/>
    <x v="54"/>
    <n v="3"/>
    <x v="3"/>
    <x v="2"/>
    <s v="雙門變頻式環保雪櫃"/>
    <s v="大電"/>
    <s v="AC"/>
    <s v="a26hsz"/>
    <n v="1"/>
    <n v="1500"/>
    <n v="1500"/>
    <n v="6157053"/>
    <m/>
    <m/>
    <s v="GR-A26HSZ(DS) 6157053"/>
    <n v="3780"/>
    <n v="0.3968253968253968"/>
    <s v="Toshiba SRP"/>
    <m/>
    <s v="6157053"/>
  </r>
  <r>
    <n v="3632"/>
    <s v="Aeon"/>
    <s v="TM_1"/>
    <x v="54"/>
    <n v="3"/>
    <x v="3"/>
    <x v="9"/>
    <s v="電熱水瓶4.5L"/>
    <s v="細電"/>
    <s v="SDA"/>
    <s v="45sf"/>
    <n v="1"/>
    <n v="500"/>
    <n v="500"/>
    <n v="6157062"/>
    <m/>
    <m/>
    <s v="PLK-45SFIH(WT) 6157062"/>
    <n v="788"/>
    <n v="0.63451776649746194"/>
    <s v="Toshiba SRP"/>
    <m/>
    <s v="6157062"/>
  </r>
  <r>
    <n v="3633"/>
    <s v="Aeon"/>
    <s v="TM_1"/>
    <x v="54"/>
    <n v="3"/>
    <x v="3"/>
    <x v="1"/>
    <s v="磁應電飯煲(1.5公升)"/>
    <s v="細電"/>
    <s v="SDA"/>
    <s v="15ist"/>
    <n v="1"/>
    <n v="500"/>
    <n v="500"/>
    <n v="6138856"/>
    <m/>
    <m/>
    <s v="RC-15ISTHK(W) 6138856"/>
    <n v="1688"/>
    <n v="0.29620853080568721"/>
    <s v="Toshiba SRP"/>
    <m/>
    <s v="6138856"/>
  </r>
  <r>
    <n v="3634"/>
    <s v="Aeon"/>
    <s v="TM_1"/>
    <x v="54"/>
    <n v="3"/>
    <x v="3"/>
    <x v="1"/>
    <s v="磁應電飯煲(1.5公升)"/>
    <s v="細電"/>
    <s v="SDA"/>
    <s v="15ist"/>
    <n v="1"/>
    <n v="500"/>
    <n v="500"/>
    <n v="6157093"/>
    <m/>
    <m/>
    <s v="RC-15ISTHK(W) 6157093"/>
    <n v="1688"/>
    <n v="0.29620853080568721"/>
    <s v="Toshiba SRP"/>
    <m/>
    <s v="6157093"/>
  </r>
  <r>
    <n v="3635"/>
    <s v="Aeon"/>
    <s v="TM_1"/>
    <x v="54"/>
    <n v="3"/>
    <x v="3"/>
    <x v="1"/>
    <s v="磁應電飯煲(1.5公升)"/>
    <s v="細電"/>
    <s v="SDA"/>
    <s v="15ist"/>
    <n v="1"/>
    <n v="500"/>
    <n v="500"/>
    <n v="6138859"/>
    <m/>
    <m/>
    <s v="RC-15ISTHK(W) 6138859"/>
    <n v="1688"/>
    <n v="0.29620853080568721"/>
    <s v="Toshiba SRP"/>
    <m/>
    <s v="6138859"/>
  </r>
  <r>
    <n v="3636"/>
    <s v="Aeon"/>
    <s v="TM_1"/>
    <x v="54"/>
    <n v="3"/>
    <x v="3"/>
    <x v="1"/>
    <s v="磁應電飯煲(1.5公升)"/>
    <s v="細電"/>
    <s v="SDA"/>
    <s v="15ist"/>
    <n v="1"/>
    <n v="500"/>
    <n v="500"/>
    <n v="6157259"/>
    <m/>
    <m/>
    <s v="RC-15ISTHK(W) 6157259"/>
    <n v="1688"/>
    <n v="0.29620853080568721"/>
    <s v="Toshiba SRP"/>
    <m/>
    <s v="6157259"/>
  </r>
  <r>
    <n v="3637"/>
    <s v="Aeon"/>
    <s v="TM_1"/>
    <x v="54"/>
    <n v="3"/>
    <x v="3"/>
    <x v="1"/>
    <s v="磁應電飯煲(1.5公升)"/>
    <s v="細電"/>
    <s v="SDA"/>
    <s v="15ist"/>
    <n v="1"/>
    <n v="500"/>
    <n v="500"/>
    <n v="6138880"/>
    <m/>
    <m/>
    <s v="RC-15ISTHK(W) 6138880"/>
    <n v="1688"/>
    <n v="0.29620853080568721"/>
    <s v="Toshiba SRP"/>
    <m/>
    <s v="6138880"/>
  </r>
  <r>
    <n v="3638"/>
    <s v="Aeon"/>
    <s v="TM_1"/>
    <x v="54"/>
    <n v="3"/>
    <x v="3"/>
    <x v="1"/>
    <s v="磁應電飯煲(1.5公升)"/>
    <s v="細電"/>
    <s v="SDA"/>
    <s v="15ist"/>
    <n v="1"/>
    <n v="500"/>
    <n v="500"/>
    <n v="6157043"/>
    <m/>
    <m/>
    <s v="RC-15ISTHK(W) 6157043"/>
    <n v="1688"/>
    <n v="0.29620853080568721"/>
    <s v="Toshiba SRP"/>
    <m/>
    <s v="6157043"/>
  </r>
  <r>
    <n v="3639"/>
    <s v="Aeon"/>
    <s v="TM_1"/>
    <x v="54"/>
    <n v="3"/>
    <x v="3"/>
    <x v="6"/>
    <s v="旋鈕式微波爐24L"/>
    <s v="細電"/>
    <s v="SDA"/>
    <s v="mm24"/>
    <n v="1"/>
    <n v="500"/>
    <n v="500"/>
    <n v="6157076"/>
    <m/>
    <m/>
    <s v="MW2-MM24PC(BK) 6157076"/>
    <n v="848"/>
    <n v="0.589622641509434"/>
    <s v="Toshiba SRP"/>
    <m/>
    <s v="6157076"/>
  </r>
  <r>
    <n v="3640"/>
    <s v="Aeon"/>
    <s v="TM_1"/>
    <x v="54"/>
    <n v="3"/>
    <x v="3"/>
    <x v="1"/>
    <s v="磁應電飯煲(1.5公升)"/>
    <s v="細電"/>
    <s v="SDA"/>
    <s v="15ist"/>
    <n v="1"/>
    <n v="500"/>
    <n v="500"/>
    <n v="6157098"/>
    <m/>
    <m/>
    <s v="RC-15ISTHK(W) 6157098"/>
    <n v="1688"/>
    <n v="0.29620853080568721"/>
    <s v="Toshiba SRP"/>
    <m/>
    <s v="6157098"/>
  </r>
  <r>
    <n v="3641"/>
    <s v="Aeon"/>
    <s v="TM_1"/>
    <x v="54"/>
    <n v="3"/>
    <x v="4"/>
    <x v="104"/>
    <e v="#N/A"/>
    <e v="#N/A"/>
    <e v="#N/A"/>
    <m/>
    <m/>
    <m/>
    <n v="0"/>
    <m/>
    <s v="adjust,bl85a2,$2588,5923410"/>
    <m/>
    <s v="Model-Input-Ref2 "/>
    <e v="#N/A"/>
    <e v="#N/A"/>
    <e v="#N/A"/>
    <m/>
    <s v=""/>
  </r>
  <r>
    <n v="3642"/>
    <s v="Aeon"/>
    <s v="TM_1"/>
    <x v="54"/>
    <n v="3"/>
    <x v="4"/>
    <x v="13"/>
    <s v="獨立式免安裝洗碗碟機"/>
    <s v="細電"/>
    <s v="DM"/>
    <s v="34ahk"/>
    <n v="1"/>
    <n v="1500"/>
    <n v="1500"/>
    <n v="6138829"/>
    <m/>
    <m/>
    <s v="DWS-34AHK 6138829"/>
    <n v="3999"/>
    <n v="0.37509377344336087"/>
    <s v="Web SRP"/>
    <m/>
    <s v="6138829"/>
  </r>
  <r>
    <n v="3643"/>
    <s v="Aeon"/>
    <s v="TM_1"/>
    <x v="54"/>
    <n v="3"/>
    <x v="4"/>
    <x v="2"/>
    <s v="雙門變頻式環保雪櫃"/>
    <s v="大電"/>
    <s v="AC"/>
    <s v="a26hsz"/>
    <n v="1"/>
    <n v="1500"/>
    <n v="1500"/>
    <n v="6157469"/>
    <m/>
    <m/>
    <s v="GR-A26HSZ(DS) 6157469"/>
    <n v="3780"/>
    <n v="0.3968253968253968"/>
    <s v="Toshiba SRP"/>
    <m/>
    <s v="6157469"/>
  </r>
  <r>
    <n v="3644"/>
    <s v="Aeon"/>
    <s v="TM_1"/>
    <x v="54"/>
    <n v="3"/>
    <x v="4"/>
    <x v="2"/>
    <s v="雙門變頻式環保雪櫃"/>
    <s v="大電"/>
    <s v="AC"/>
    <s v="a26hsz"/>
    <n v="1"/>
    <n v="1500"/>
    <n v="1500"/>
    <n v="6138814"/>
    <m/>
    <m/>
    <s v="GR-A26HSZ(DS) 6138814"/>
    <n v="3780"/>
    <n v="0.3968253968253968"/>
    <s v="Toshiba SRP"/>
    <m/>
    <s v="6138814"/>
  </r>
  <r>
    <n v="3645"/>
    <s v="Aeon"/>
    <s v="TM_1"/>
    <x v="54"/>
    <n v="3"/>
    <x v="4"/>
    <x v="1"/>
    <s v="磁應電飯煲(1.5公升)"/>
    <s v="細電"/>
    <s v="SDA"/>
    <s v="15ist"/>
    <n v="1"/>
    <n v="500"/>
    <n v="500"/>
    <n v="5923465"/>
    <m/>
    <m/>
    <s v="RC-15ISTHK(W) 5923465"/>
    <n v="1688"/>
    <n v="0.29620853080568721"/>
    <s v="Toshiba SRP"/>
    <m/>
    <s v="5923465"/>
  </r>
  <r>
    <n v="3646"/>
    <s v="Aeon"/>
    <s v="TM_1"/>
    <x v="54"/>
    <n v="3"/>
    <x v="4"/>
    <x v="1"/>
    <s v="磁應電飯煲(1.5公升)"/>
    <s v="細電"/>
    <s v="SDA"/>
    <s v="15ist"/>
    <n v="1"/>
    <n v="500"/>
    <n v="500"/>
    <n v="5923389"/>
    <m/>
    <m/>
    <s v="RC-15ISTHK(W) 5923389"/>
    <n v="1688"/>
    <n v="0.29620853080568721"/>
    <s v="Toshiba SRP"/>
    <m/>
    <s v="5923389"/>
  </r>
  <r>
    <n v="3647"/>
    <s v="Aeon"/>
    <s v="TM_1"/>
    <x v="54"/>
    <n v="3"/>
    <x v="4"/>
    <x v="1"/>
    <s v="磁應電飯煲(1.5公升)"/>
    <s v="細電"/>
    <s v="SDA"/>
    <s v="15ist"/>
    <n v="1"/>
    <n v="500"/>
    <n v="500"/>
    <n v="5923484"/>
    <m/>
    <m/>
    <s v="RC-15ISTHK(W) 5923484"/>
    <n v="1688"/>
    <n v="0.29620853080568721"/>
    <s v="Toshiba SRP"/>
    <m/>
    <s v="5923484"/>
  </r>
  <r>
    <n v="3648"/>
    <s v="Aeon"/>
    <s v="TM_1"/>
    <x v="54"/>
    <n v="3"/>
    <x v="4"/>
    <x v="1"/>
    <s v="磁應電飯煲(1.5公升)"/>
    <s v="細電"/>
    <s v="SDA"/>
    <s v="15ist"/>
    <n v="1"/>
    <n v="500"/>
    <n v="500"/>
    <n v="5923437"/>
    <m/>
    <m/>
    <s v="RC-15ISTHK(W) 5923437"/>
    <n v="1688"/>
    <n v="0.29620853080568721"/>
    <s v="Toshiba SRP"/>
    <m/>
    <s v="5923437"/>
  </r>
  <r>
    <n v="3649"/>
    <s v="Aeon"/>
    <s v="TM_1"/>
    <x v="54"/>
    <n v="3"/>
    <x v="4"/>
    <x v="1"/>
    <s v="磁應電飯煲(1.5公升)"/>
    <s v="細電"/>
    <s v="SDA"/>
    <s v="15ist"/>
    <n v="1"/>
    <n v="500"/>
    <n v="500"/>
    <n v="6157481"/>
    <m/>
    <m/>
    <s v="RC-15ISTHK(W) 6157481"/>
    <n v="1688"/>
    <n v="0.29620853080568721"/>
    <s v="Toshiba SRP"/>
    <m/>
    <s v="6157481"/>
  </r>
  <r>
    <n v="3650"/>
    <s v="Aeon"/>
    <s v="TM_1"/>
    <x v="54"/>
    <n v="3"/>
    <x v="4"/>
    <x v="1"/>
    <s v="磁應電飯煲(1.5公升)"/>
    <s v="細電"/>
    <s v="SDA"/>
    <s v="15ist"/>
    <n v="1"/>
    <n v="500"/>
    <n v="500"/>
    <n v="5923479"/>
    <m/>
    <m/>
    <s v="RC-15ISTHK(W) 5923479"/>
    <n v="1688"/>
    <n v="0.29620853080568721"/>
    <s v="Toshiba SRP"/>
    <m/>
    <s v="5923479"/>
  </r>
  <r>
    <n v="3651"/>
    <s v="Aeon"/>
    <s v="TM_1"/>
    <x v="54"/>
    <n v="3"/>
    <x v="4"/>
    <x v="1"/>
    <s v="磁應電飯煲(1.5公升)"/>
    <s v="細電"/>
    <s v="SDA"/>
    <s v="15ist"/>
    <n v="1"/>
    <n v="500"/>
    <n v="500"/>
    <n v="6138830"/>
    <m/>
    <m/>
    <s v="RC-15ISTHK(W) 6138830"/>
    <n v="1688"/>
    <n v="0.29620853080568721"/>
    <s v="Toshiba SRP"/>
    <m/>
    <s v="6138830"/>
  </r>
  <r>
    <n v="3652"/>
    <s v="Aeon"/>
    <s v="TM_1"/>
    <x v="54"/>
    <n v="3"/>
    <x v="4"/>
    <x v="1"/>
    <s v="磁應電飯煲(1.5公升)"/>
    <s v="細電"/>
    <s v="SDA"/>
    <s v="15ist"/>
    <n v="1"/>
    <n v="500"/>
    <n v="500"/>
    <n v="6138867"/>
    <m/>
    <m/>
    <s v="RC-15ISTHK(W) 6138867"/>
    <n v="1688"/>
    <n v="0.29620853080568721"/>
    <s v="Toshiba SRP"/>
    <m/>
    <s v="6138867"/>
  </r>
  <r>
    <n v="3653"/>
    <s v="Aeon"/>
    <s v="TM_1"/>
    <x v="54"/>
    <n v="3"/>
    <x v="4"/>
    <x v="1"/>
    <s v="磁應電飯煲(1.5公升)"/>
    <s v="細電"/>
    <s v="SDA"/>
    <s v="15ist"/>
    <n v="1"/>
    <n v="500"/>
    <n v="500"/>
    <n v="6157280"/>
    <m/>
    <m/>
    <s v="RC-15ISTHK(W) 6157280"/>
    <n v="1688"/>
    <n v="0.29620853080568721"/>
    <s v="Toshiba SRP"/>
    <m/>
    <s v="6157280"/>
  </r>
  <r>
    <n v="3654"/>
    <s v="Aeon"/>
    <s v="TM_1"/>
    <x v="54"/>
    <n v="3"/>
    <x v="4"/>
    <x v="1"/>
    <s v="磁應電飯煲(1.5公升)"/>
    <s v="細電"/>
    <s v="SDA"/>
    <s v="15ist"/>
    <n v="1"/>
    <n v="500"/>
    <n v="500"/>
    <n v="6157293"/>
    <m/>
    <m/>
    <s v="RC-15ISTHK(W) 6157293"/>
    <n v="1688"/>
    <n v="0.29620853080568721"/>
    <s v="Toshiba SRP"/>
    <m/>
    <s v="6157293"/>
  </r>
  <r>
    <n v="3655"/>
    <s v="Aeon"/>
    <s v="TM_1"/>
    <x v="54"/>
    <n v="3"/>
    <x v="4"/>
    <x v="104"/>
    <e v="#N/A"/>
    <e v="#N/A"/>
    <e v="#N/A"/>
    <m/>
    <m/>
    <m/>
    <n v="0"/>
    <m/>
    <s v="adjust,15ist,$500,6138842"/>
    <m/>
    <s v="Model-Input-Ref2 "/>
    <e v="#N/A"/>
    <e v="#N/A"/>
    <e v="#N/A"/>
    <m/>
    <s v=""/>
  </r>
  <r>
    <n v="3656"/>
    <s v="Aeon"/>
    <s v="TM_1"/>
    <x v="54"/>
    <n v="3"/>
    <x v="4"/>
    <x v="15"/>
    <s v="Induction Cooker"/>
    <s v="細電"/>
    <s v="SDA"/>
    <s v="21ts"/>
    <n v="1"/>
    <n v="500"/>
    <n v="500"/>
    <n v="5423481"/>
    <m/>
    <m/>
    <s v="IC-21TSHK 5423481"/>
    <n v="998"/>
    <n v="0.50100200400801598"/>
    <s v="Web SRP"/>
    <m/>
    <s v="5423481"/>
  </r>
  <r>
    <n v="3657"/>
    <s v="Aeon"/>
    <s v="TM_1"/>
    <x v="54"/>
    <n v="3"/>
    <x v="4"/>
    <x v="15"/>
    <s v="Induction Cooker"/>
    <s v="細電"/>
    <s v="SDA"/>
    <s v="21ts"/>
    <n v="1"/>
    <n v="500"/>
    <n v="500"/>
    <n v="5923403"/>
    <m/>
    <m/>
    <s v="IC-21TSHK 5923403"/>
    <n v="998"/>
    <n v="0.50100200400801598"/>
    <s v="Web SRP"/>
    <m/>
    <s v="5923403"/>
  </r>
  <r>
    <n v="3658"/>
    <s v="Aeon"/>
    <s v="TM_1"/>
    <x v="54"/>
    <n v="3"/>
    <x v="4"/>
    <x v="19"/>
    <s v="Comfee 2匹變頻窗口式冷氣機"/>
    <s v="大電"/>
    <s v="RAC"/>
    <s v="18cr"/>
    <n v="1"/>
    <n v="4028"/>
    <n v="4028"/>
    <n v="5923402"/>
    <m/>
    <m/>
    <s v="CWF-18CRFN8-AD5 5923402"/>
    <n v="6600"/>
    <n v="0.61030303030303035"/>
    <s v="Shops Highest Price"/>
    <m/>
    <s v="5923402"/>
  </r>
  <r>
    <n v="3659"/>
    <s v="Aeon"/>
    <s v="TM_1"/>
    <x v="54"/>
    <n v="3"/>
    <x v="14"/>
    <x v="104"/>
    <e v="#N/A"/>
    <e v="#N/A"/>
    <e v="#N/A"/>
    <m/>
    <m/>
    <m/>
    <n v="0"/>
    <m/>
    <s v="adjust,mm24,$500,5923448"/>
    <m/>
    <s v="Model-Input-Ref2 "/>
    <e v="#N/A"/>
    <e v="#N/A"/>
    <e v="#N/A"/>
    <m/>
    <s v=""/>
  </r>
  <r>
    <n v="3660"/>
    <s v="Aeon"/>
    <s v="TM_1"/>
    <x v="53"/>
    <n v="3"/>
    <x v="0"/>
    <x v="76"/>
    <s v="日式洗衣機 (7公斤 結合高低水位)"/>
    <s v="大電"/>
    <s v="LAD"/>
    <s v="q801"/>
    <n v="1"/>
    <n v="1980"/>
    <n v="1980"/>
    <n v="5973813"/>
    <m/>
    <m/>
    <s v="AW-Q801APH(WW) 5973813"/>
    <n v="3380"/>
    <n v="0.58579881656804733"/>
    <s v="Toshiba SRP"/>
    <m/>
    <s v="5973813"/>
  </r>
  <r>
    <n v="3661"/>
    <s v="Aeon"/>
    <s v="TM_1"/>
    <x v="53"/>
    <n v="3"/>
    <x v="0"/>
    <x v="75"/>
    <s v="日式洗衣機 (8公斤 結合高低水位)"/>
    <s v="大電"/>
    <s v="LAD"/>
    <s v="q901"/>
    <n v="1"/>
    <n v="2166"/>
    <n v="2166"/>
    <n v="5973814"/>
    <m/>
    <m/>
    <s v="AW-Q901BPH(WW) 5973814"/>
    <n v="3780"/>
    <n v="0.57301587301587298"/>
    <s v="Toshiba SRP"/>
    <m/>
    <s v="5973814"/>
  </r>
  <r>
    <n v="3662"/>
    <s v="Aeon"/>
    <s v="TM_1"/>
    <x v="53"/>
    <n v="3"/>
    <x v="7"/>
    <x v="78"/>
    <s v="變頻式環保雙門雪櫃（179L）"/>
    <s v="大電"/>
    <s v="REF"/>
    <s v="rt234"/>
    <n v="1"/>
    <n v="1980"/>
    <n v="1980"/>
    <n v="6138136"/>
    <m/>
    <m/>
    <s v="GR-RT234WE-PMA(57) 6138136"/>
    <n v="3680"/>
    <n v="0.53804347826086951"/>
    <s v="Toshiba SRP"/>
    <m/>
    <s v="6138136"/>
  </r>
  <r>
    <n v="3663"/>
    <s v="Aeon"/>
    <s v="TM_1"/>
    <x v="54"/>
    <n v="3"/>
    <x v="13"/>
    <x v="81"/>
    <s v="470MM超薄身前置式變頻洗衣機(7.5公斤, 可飛頂)"/>
    <s v="大電"/>
    <s v="LAD"/>
    <s v="t2285"/>
    <n v="1"/>
    <n v="3306"/>
    <n v="3306"/>
    <n v="5973815"/>
    <m/>
    <m/>
    <s v="TW-T22BU85UWH(WK)-B 5973815"/>
    <n v="5480"/>
    <n v="0.60328467153284671"/>
    <s v="Toshiba SRP"/>
    <m/>
    <s v="5973815"/>
  </r>
  <r>
    <n v="3664"/>
    <s v="Aeon"/>
    <s v="TM_1"/>
    <x v="53"/>
    <n v="3"/>
    <x v="8"/>
    <x v="66"/>
    <s v="變頻下置式雙門雪櫃（163L）"/>
    <s v="大電"/>
    <s v="REF"/>
    <s v="rb221"/>
    <n v="1"/>
    <n v="2080"/>
    <n v="2080"/>
    <n v="5970431"/>
    <m/>
    <m/>
    <s v="GR-RB221WE-PMA(57) 5970431"/>
    <n v="3480"/>
    <n v="0.5977011494252874"/>
    <s v="Toshiba SRP"/>
    <m/>
    <s v="5970431"/>
  </r>
  <r>
    <n v="3665"/>
    <s v="Aeon"/>
    <s v="TM_1"/>
    <x v="53"/>
    <n v="3"/>
    <x v="2"/>
    <x v="87"/>
    <s v="變頻式環保雙門雪櫃(233L)"/>
    <s v="大電"/>
    <s v="REF"/>
    <s v="rt300"/>
    <n v="1"/>
    <n v="2780"/>
    <n v="2780"/>
    <n v="6091129"/>
    <m/>
    <m/>
    <s v="GR-RT300WE-PMA(57) 6091129"/>
    <n v="4280"/>
    <n v="0.64953271028037385"/>
    <s v="Toshiba SRP"/>
    <m/>
    <s v="6091129"/>
  </r>
  <r>
    <n v="3666"/>
    <s v="Aeon"/>
    <s v="TM_1"/>
    <x v="53"/>
    <n v="3"/>
    <x v="9"/>
    <x v="40"/>
    <s v="400MM超薄身前置式變頻洗衣機(7公斤)"/>
    <s v="大電"/>
    <s v="LAD"/>
    <s v="bu80"/>
    <n v="1"/>
    <n v="3021"/>
    <n v="3021"/>
    <n v="5973818"/>
    <m/>
    <m/>
    <s v="TW-T21BU80UWH(MG) 5973818"/>
    <n v="5180"/>
    <n v="0.58320463320463323"/>
    <s v="Toshiba SRP"/>
    <m/>
    <s v="5973818"/>
  </r>
  <r>
    <n v="3667"/>
    <s v="Aeon"/>
    <s v="TM_1"/>
    <x v="53"/>
    <n v="3"/>
    <x v="9"/>
    <x v="66"/>
    <s v="變頻下置式雙門雪櫃（163L）"/>
    <s v="大電"/>
    <s v="REF"/>
    <s v="rb221"/>
    <n v="1"/>
    <n v="2080"/>
    <n v="2080"/>
    <n v="6991130"/>
    <m/>
    <m/>
    <s v="GR-RB221WE-PMA(57) 6991130"/>
    <n v="3480"/>
    <n v="0.5977011494252874"/>
    <s v="Toshiba SRP"/>
    <m/>
    <s v="6991130"/>
  </r>
  <r>
    <n v="3668"/>
    <s v="Aeon"/>
    <s v="TM_1"/>
    <x v="54"/>
    <n v="3"/>
    <x v="3"/>
    <x v="87"/>
    <s v="變頻式環保雙門雪櫃(233L)"/>
    <s v="大電"/>
    <s v="REF"/>
    <s v="rt300"/>
    <n v="1"/>
    <n v="2641"/>
    <n v="2641"/>
    <n v="6091135"/>
    <m/>
    <m/>
    <s v="GR-RT300WE-PMA(57) 6091135"/>
    <n v="4280"/>
    <n v="0.61705607476635516"/>
    <s v="Toshiba SRP"/>
    <m/>
    <s v="6091135"/>
  </r>
  <r>
    <n v="3669"/>
    <s v="Aeon"/>
    <s v="TM_1"/>
    <x v="54"/>
    <n v="3"/>
    <x v="19"/>
    <x v="87"/>
    <s v="變頻式環保雙門雪櫃(233L)"/>
    <s v="大電"/>
    <s v="REF"/>
    <s v="rt300"/>
    <n v="1"/>
    <n v="2641"/>
    <n v="2641"/>
    <n v="6091141"/>
    <m/>
    <m/>
    <s v="GR-RT300WE-PMA(57) 6091141"/>
    <n v="4280"/>
    <n v="0.61705607476635516"/>
    <s v="Toshiba SRP"/>
    <m/>
    <s v="6091141"/>
  </r>
  <r>
    <n v="3670"/>
    <s v="Aeon"/>
    <s v="TM_1"/>
    <x v="53"/>
    <n v="3"/>
    <x v="22"/>
    <x v="78"/>
    <s v="變頻式環保雙門雪櫃（179L）"/>
    <s v="大電"/>
    <s v="REF"/>
    <s v="rt234"/>
    <n v="1"/>
    <n v="1980"/>
    <n v="1980"/>
    <n v="6083356"/>
    <m/>
    <m/>
    <s v="GR-RT234WE-PMA(57) 6083356"/>
    <n v="3680"/>
    <n v="0.53804347826086951"/>
    <s v="Toshiba SRP"/>
    <m/>
    <s v="6083356"/>
  </r>
  <r>
    <n v="3671"/>
    <s v="Aeon"/>
    <s v="TM_1"/>
    <x v="53"/>
    <n v="3"/>
    <x v="22"/>
    <x v="78"/>
    <s v="變頻式環保雙門雪櫃（179L）"/>
    <s v="大電"/>
    <s v="REF"/>
    <s v="rt234"/>
    <n v="1"/>
    <n v="1881"/>
    <n v="1881"/>
    <n v="6083353"/>
    <m/>
    <m/>
    <s v="GR-RT234WE-PMA(57) 6083353"/>
    <n v="3680"/>
    <n v="0.51114130434782612"/>
    <s v="Toshiba SRP"/>
    <m/>
    <s v="6083353"/>
  </r>
  <r>
    <n v="3672"/>
    <s v="Aeon"/>
    <s v="TM_1"/>
    <x v="53"/>
    <n v="3"/>
    <x v="23"/>
    <x v="76"/>
    <s v="日式洗衣機 (7公斤 結合高低水位)"/>
    <s v="大電"/>
    <s v="LAD"/>
    <s v="q801"/>
    <n v="1"/>
    <n v="1980"/>
    <n v="1980"/>
    <n v="5973822"/>
    <m/>
    <m/>
    <s v="AW-Q801APH(WW) 5973822"/>
    <n v="3380"/>
    <n v="0.58579881656804733"/>
    <s v="Toshiba SRP"/>
    <m/>
    <s v="5973822"/>
  </r>
  <r>
    <n v="3673"/>
    <s v="Aeon"/>
    <s v="TM_1"/>
    <x v="53"/>
    <n v="3"/>
    <x v="0"/>
    <x v="44"/>
    <s v="1.7L無線雙層電熱水壺"/>
    <s v="細電"/>
    <s v="SDA"/>
    <s v="17shnh"/>
    <n v="1"/>
    <n v="180.5"/>
    <n v="180.5"/>
    <m/>
    <m/>
    <m/>
    <s v="KT-17SHNH "/>
    <n v="299"/>
    <n v="0.60367892976588633"/>
    <s v="Shops Highest Price"/>
    <m/>
    <s v=""/>
  </r>
  <r>
    <n v="3674"/>
    <s v="Aeon"/>
    <s v="TM_1"/>
    <x v="53"/>
    <n v="3"/>
    <x v="0"/>
    <x v="34"/>
    <s v="智能氣炸烤焗爐(24公升)"/>
    <s v="細電"/>
    <s v="MCA"/>
    <s v="sac24"/>
    <n v="1"/>
    <n v="1320.5"/>
    <n v="1320.5"/>
    <m/>
    <m/>
    <m/>
    <s v="MW3-SAC24SE(BK) "/>
    <n v="1680"/>
    <n v="0.78601190476190474"/>
    <s v="Toshiba SRP"/>
    <m/>
    <s v=""/>
  </r>
  <r>
    <n v="3675"/>
    <s v="Aeon"/>
    <s v="TM_1"/>
    <x v="53"/>
    <n v="3"/>
    <x v="0"/>
    <x v="23"/>
    <s v="電飯煲"/>
    <s v="細電"/>
    <s v="SDA"/>
    <s v="10jruh"/>
    <n v="1"/>
    <n v="237.5"/>
    <n v="237.5"/>
    <m/>
    <m/>
    <m/>
    <s v="RC-10JRUH(N) "/>
    <n v="398"/>
    <n v="0.59673366834170849"/>
    <s v="Shops Highest Price"/>
    <m/>
    <s v=""/>
  </r>
  <r>
    <n v="3676"/>
    <s v="Aeon"/>
    <s v="TM_1"/>
    <x v="53"/>
    <n v="3"/>
    <x v="0"/>
    <x v="20"/>
    <s v="壓縮式抽濕機 (22公升)"/>
    <s v="細電"/>
    <s v="RAC"/>
    <s v="d200"/>
    <n v="2"/>
    <n v="2111.5"/>
    <n v="4223"/>
    <m/>
    <m/>
    <m/>
    <s v="RAD-D200H "/>
    <n v="2880"/>
    <n v="0.73315972222222225"/>
    <s v="Shops Highest Price"/>
    <m/>
    <s v=""/>
  </r>
  <r>
    <n v="3677"/>
    <s v="Aeon"/>
    <s v="TM_1"/>
    <x v="53"/>
    <n v="3"/>
    <x v="5"/>
    <x v="17"/>
    <s v="4毫米厚釜電飯煲1L"/>
    <s v="細電"/>
    <s v="SDA"/>
    <s v="10nmf"/>
    <n v="1"/>
    <n v="684"/>
    <n v="684"/>
    <m/>
    <m/>
    <m/>
    <s v="RC-10NMFIH(WT) "/>
    <n v="898"/>
    <n v="0.76169265033407574"/>
    <s v="Toshiba SRP"/>
    <m/>
    <s v=""/>
  </r>
  <r>
    <n v="3678"/>
    <s v="Aeon"/>
    <s v="TM_1"/>
    <x v="53"/>
    <n v="3"/>
    <x v="5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679"/>
    <s v="Aeon"/>
    <s v="TM_1"/>
    <x v="53"/>
    <n v="3"/>
    <x v="5"/>
    <x v="38"/>
    <s v="無線雙層電熱水壺-附可鎖壺蓋"/>
    <s v="細電"/>
    <s v="SDA"/>
    <s v="15drt"/>
    <n v="1"/>
    <n v="490"/>
    <n v="490"/>
    <m/>
    <m/>
    <m/>
    <s v="KT-15DRTHK(W) "/>
    <n v="598"/>
    <n v="0.8193979933110368"/>
    <s v="Toshiba SRP"/>
    <m/>
    <s v=""/>
  </r>
  <r>
    <n v="3680"/>
    <s v="Aeon"/>
    <s v="TM_1"/>
    <x v="53"/>
    <n v="3"/>
    <x v="5"/>
    <x v="23"/>
    <s v="電飯煲"/>
    <s v="細電"/>
    <s v="SDA"/>
    <s v="10jruh"/>
    <n v="1"/>
    <n v="237.5"/>
    <n v="237.5"/>
    <m/>
    <m/>
    <m/>
    <s v="RC-10JRUH(N) "/>
    <n v="398"/>
    <n v="0.59673366834170849"/>
    <s v="Shops Highest Price"/>
    <m/>
    <s v=""/>
  </r>
  <r>
    <n v="3681"/>
    <s v="Aeon"/>
    <s v="TM_1"/>
    <x v="54"/>
    <n v="3"/>
    <x v="6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m/>
    <s v=""/>
  </r>
  <r>
    <n v="3682"/>
    <s v="Aeon"/>
    <s v="TM_1"/>
    <x v="54"/>
    <n v="3"/>
    <x v="6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3683"/>
    <s v="Aeon"/>
    <s v="TM_1"/>
    <x v="53"/>
    <n v="3"/>
    <x v="7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684"/>
    <s v="Aeon"/>
    <s v="TM_1"/>
    <x v="53"/>
    <n v="3"/>
    <x v="7"/>
    <x v="68"/>
    <s v="旋鈕式微波爐 (20公升)"/>
    <s v="細電"/>
    <s v="MCA"/>
    <s v="2mm20"/>
    <n v="1"/>
    <n v="620"/>
    <n v="620"/>
    <m/>
    <m/>
    <m/>
    <s v="MM-2MM20PC(WH) "/>
    <n v="738"/>
    <n v="0.84010840108401086"/>
    <s v="Toshiba SRP"/>
    <m/>
    <s v=""/>
  </r>
  <r>
    <n v="3685"/>
    <s v="Aeon"/>
    <s v="TM_1"/>
    <x v="53"/>
    <n v="3"/>
    <x v="7"/>
    <x v="16"/>
    <s v="輕便式電磁爐"/>
    <s v="細電"/>
    <s v="SDA"/>
    <s v="20r1"/>
    <n v="2"/>
    <n v="290"/>
    <n v="580"/>
    <m/>
    <m/>
    <m/>
    <s v="IC-20R1THK "/>
    <n v="438"/>
    <n v="0.66210045662100458"/>
    <s v="Shops Highest Price"/>
    <m/>
    <s v=""/>
  </r>
  <r>
    <n v="3686"/>
    <s v="Aeon"/>
    <s v="TM_1"/>
    <x v="54"/>
    <n v="3"/>
    <x v="13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3687"/>
    <s v="Aeon"/>
    <s v="TM_1"/>
    <x v="54"/>
    <n v="3"/>
    <x v="13"/>
    <x v="16"/>
    <s v="輕便式電磁爐"/>
    <s v="細電"/>
    <s v="SDA"/>
    <s v="20r1"/>
    <n v="1"/>
    <n v="280"/>
    <n v="280"/>
    <m/>
    <m/>
    <m/>
    <s v="IC-20R1THK "/>
    <n v="438"/>
    <n v="0.63926940639269403"/>
    <s v="Shops Highest Price"/>
    <m/>
    <s v=""/>
  </r>
  <r>
    <n v="3688"/>
    <s v="Aeon"/>
    <s v="TM_1"/>
    <x v="54"/>
    <n v="3"/>
    <x v="13"/>
    <x v="21"/>
    <s v="壓縮式抽濕機 (30公升)"/>
    <s v="細電"/>
    <s v="RAC"/>
    <s v="d300"/>
    <n v="1"/>
    <n v="2451"/>
    <n v="2451"/>
    <m/>
    <m/>
    <m/>
    <s v="RAD-D300H "/>
    <n v="3380"/>
    <n v="0.72514792899408287"/>
    <s v="Shops Highest Price"/>
    <m/>
    <s v=""/>
  </r>
  <r>
    <n v="3689"/>
    <s v="Aeon"/>
    <s v="TM_1"/>
    <x v="54"/>
    <n v="3"/>
    <x v="1"/>
    <x v="44"/>
    <s v="1.7L無線雙層電熱水壺"/>
    <s v="細電"/>
    <s v="SDA"/>
    <s v="17shnh"/>
    <n v="3"/>
    <n v="190"/>
    <n v="570"/>
    <m/>
    <m/>
    <m/>
    <s v="KT-17SHNH "/>
    <n v="299"/>
    <n v="0.63545150501672243"/>
    <s v="Shops Highest Price"/>
    <m/>
    <s v=""/>
  </r>
  <r>
    <n v="3690"/>
    <s v="Aeon"/>
    <s v="TM_1"/>
    <x v="53"/>
    <n v="3"/>
    <x v="2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m/>
    <s v=""/>
  </r>
  <r>
    <n v="3691"/>
    <s v="Aeon"/>
    <s v="TM_1"/>
    <x v="53"/>
    <n v="3"/>
    <x v="2"/>
    <x v="68"/>
    <s v="旋鈕式微波爐 (20公升)"/>
    <s v="細電"/>
    <s v="MCA"/>
    <s v="2mm20"/>
    <n v="1"/>
    <n v="620"/>
    <n v="620"/>
    <m/>
    <m/>
    <m/>
    <s v="MM-2MM20PC(WH) "/>
    <n v="738"/>
    <n v="0.84010840108401086"/>
    <s v="Toshiba SRP"/>
    <m/>
    <s v=""/>
  </r>
  <r>
    <n v="3692"/>
    <s v="Aeon"/>
    <s v="TM_1"/>
    <x v="53"/>
    <n v="3"/>
    <x v="2"/>
    <x v="38"/>
    <s v="無線雙層電熱水壺-附可鎖壺蓋"/>
    <s v="細電"/>
    <s v="SDA"/>
    <s v="15drt"/>
    <n v="1"/>
    <n v="490"/>
    <n v="490"/>
    <m/>
    <m/>
    <m/>
    <s v="KT-15DRTHK(W) "/>
    <n v="598"/>
    <n v="0.8193979933110368"/>
    <s v="Toshiba SRP"/>
    <m/>
    <s v=""/>
  </r>
  <r>
    <n v="3693"/>
    <s v="Aeon"/>
    <s v="TM_1"/>
    <x v="53"/>
    <n v="3"/>
    <x v="2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3694"/>
    <s v="Aeon"/>
    <s v="TM_1"/>
    <x v="53"/>
    <n v="3"/>
    <x v="9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695"/>
    <s v="Aeon"/>
    <s v="TM_1"/>
    <x v="53"/>
    <n v="3"/>
    <x v="9"/>
    <x v="31"/>
    <s v="無線雙層電熱水壺(1.7公升)"/>
    <s v="細電"/>
    <s v="SDA"/>
    <s v="17drt"/>
    <n v="1"/>
    <n v="332.5"/>
    <n v="332.5"/>
    <m/>
    <m/>
    <m/>
    <s v="KT-17DRTHK(H) "/>
    <n v="498"/>
    <n v="0.66767068273092367"/>
    <s v="Toshiba SRP"/>
    <m/>
    <s v=""/>
  </r>
  <r>
    <n v="3696"/>
    <s v="Aeon"/>
    <s v="TM_1"/>
    <x v="54"/>
    <n v="3"/>
    <x v="10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697"/>
    <s v="Aeon"/>
    <s v="TM_1"/>
    <x v="53"/>
    <n v="3"/>
    <x v="16"/>
    <x v="68"/>
    <s v="旋鈕式微波爐 (20公升)"/>
    <s v="細電"/>
    <s v="MCA"/>
    <s v="2mm20"/>
    <n v="1"/>
    <n v="620"/>
    <n v="620"/>
    <m/>
    <m/>
    <m/>
    <s v="MM-2MM20PC(WH) "/>
    <n v="738"/>
    <n v="0.84010840108401086"/>
    <s v="Toshiba SRP"/>
    <m/>
    <s v=""/>
  </r>
  <r>
    <n v="3698"/>
    <s v="Aeon"/>
    <s v="TM_1"/>
    <x v="53"/>
    <n v="3"/>
    <x v="16"/>
    <x v="16"/>
    <s v="輕便式電磁爐"/>
    <s v="細電"/>
    <s v="SDA"/>
    <s v="20r1"/>
    <n v="1"/>
    <n v="275.5"/>
    <n v="275.5"/>
    <m/>
    <m/>
    <m/>
    <s v="IC-20R1THK "/>
    <n v="438"/>
    <n v="0.62899543378995437"/>
    <s v="Shops Highest Price"/>
    <m/>
    <s v=""/>
  </r>
  <r>
    <n v="3699"/>
    <s v="Aeon"/>
    <s v="TM_1"/>
    <x v="54"/>
    <n v="3"/>
    <x v="11"/>
    <x v="27"/>
    <s v="4毫米厚釜電飯煲1.8L"/>
    <s v="細電"/>
    <s v="SDA"/>
    <s v="18nmf"/>
    <n v="1"/>
    <n v="800"/>
    <n v="800"/>
    <m/>
    <m/>
    <m/>
    <s v="RC-18NMFIH(WT) "/>
    <n v="998"/>
    <n v="0.80160320641282568"/>
    <s v="Toshiba SRP"/>
    <m/>
    <s v=""/>
  </r>
  <r>
    <n v="3700"/>
    <s v="Aeon"/>
    <s v="TM_1"/>
    <x v="53"/>
    <n v="3"/>
    <x v="12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701"/>
    <s v="Aeon"/>
    <s v="TM_1"/>
    <x v="53"/>
    <n v="3"/>
    <x v="12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m/>
    <s v=""/>
  </r>
  <r>
    <n v="3702"/>
    <s v="Aeon"/>
    <s v="TM_1"/>
    <x v="54"/>
    <n v="3"/>
    <x v="3"/>
    <x v="70"/>
    <s v="12吋2合1座地座檯電風扇連遙控"/>
    <s v="細電"/>
    <s v="EAD"/>
    <s v="ya20"/>
    <n v="1"/>
    <n v="370.5"/>
    <n v="370.5"/>
    <m/>
    <m/>
    <m/>
    <s v="F-LYA20(W)HKG "/>
    <n v="988"/>
    <n v="0.375"/>
    <s v="Toshiba SRP"/>
    <m/>
    <s v=""/>
  </r>
  <r>
    <n v="3703"/>
    <s v="Aeon"/>
    <s v="TM_1"/>
    <x v="54"/>
    <n v="3"/>
    <x v="4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m/>
    <s v=""/>
  </r>
  <r>
    <n v="3704"/>
    <s v="Aeon"/>
    <s v="TM_1"/>
    <x v="54"/>
    <n v="3"/>
    <x v="4"/>
    <x v="16"/>
    <s v="輕便式電磁爐"/>
    <s v="細電"/>
    <s v="SDA"/>
    <s v="20r1"/>
    <n v="2"/>
    <n v="290"/>
    <n v="580"/>
    <m/>
    <m/>
    <m/>
    <s v="IC-20R1THK "/>
    <n v="438"/>
    <n v="0.66210045662100458"/>
    <s v="Shops Highest Price"/>
    <m/>
    <s v=""/>
  </r>
  <r>
    <n v="3705"/>
    <s v="Aeon"/>
    <s v="TM_1"/>
    <x v="54"/>
    <n v="3"/>
    <x v="4"/>
    <x v="61"/>
    <s v="酵活炊電飯煲(1.8公升)"/>
    <s v="細電"/>
    <s v="SDA"/>
    <s v="18amx"/>
    <n v="1"/>
    <n v="990"/>
    <n v="990"/>
    <m/>
    <m/>
    <m/>
    <s v="RC-18AMXH(W) "/>
    <n v="1588"/>
    <n v="0.62342569269521408"/>
    <s v="Toshiba SRP"/>
    <m/>
    <s v=""/>
  </r>
  <r>
    <n v="3706"/>
    <s v="Aeon"/>
    <s v="TM_1"/>
    <x v="54"/>
    <n v="3"/>
    <x v="4"/>
    <x v="23"/>
    <s v="電飯煲"/>
    <s v="細電"/>
    <s v="SDA"/>
    <s v="10jruh"/>
    <n v="1"/>
    <n v="250"/>
    <n v="250"/>
    <m/>
    <m/>
    <m/>
    <s v="RC-10JRUH(N) "/>
    <n v="398"/>
    <n v="0.62814070351758799"/>
    <s v="Shops Highest Price"/>
    <m/>
    <s v=""/>
  </r>
  <r>
    <n v="3707"/>
    <s v="Aeon"/>
    <s v="TM_1"/>
    <x v="54"/>
    <n v="3"/>
    <x v="14"/>
    <x v="68"/>
    <s v="旋鈕式微波爐 (20公升)"/>
    <s v="細電"/>
    <s v="MCA"/>
    <s v="2mm20"/>
    <n v="1"/>
    <n v="620"/>
    <n v="620"/>
    <m/>
    <m/>
    <m/>
    <s v="MM-2MM20PC(WH) "/>
    <n v="738"/>
    <n v="0.84010840108401086"/>
    <s v="Toshiba SRP"/>
    <m/>
    <s v=""/>
  </r>
  <r>
    <n v="3708"/>
    <s v="Aeon"/>
    <s v="TM_1"/>
    <x v="54"/>
    <n v="3"/>
    <x v="14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m/>
    <s v=""/>
  </r>
  <r>
    <n v="3709"/>
    <s v="Aeon"/>
    <s v="TM_1"/>
    <x v="54"/>
    <n v="3"/>
    <x v="18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3710"/>
    <s v="Aeon"/>
    <s v="TM_1"/>
    <x v="54"/>
    <n v="3"/>
    <x v="19"/>
    <x v="31"/>
    <s v="無線雙層電熱水壺(1.7公升)"/>
    <s v="細電"/>
    <s v="SDA"/>
    <s v="17drt"/>
    <n v="1"/>
    <n v="332.5"/>
    <n v="332.5"/>
    <m/>
    <m/>
    <m/>
    <s v="KT-17DRTHK(H) "/>
    <n v="498"/>
    <n v="0.66767068273092367"/>
    <s v="Toshiba SRP"/>
    <m/>
    <s v=""/>
  </r>
  <r>
    <n v="3711"/>
    <s v="Aeon"/>
    <s v="TM_1"/>
    <x v="54"/>
    <n v="3"/>
    <x v="19"/>
    <x v="16"/>
    <s v="輕便式電磁爐"/>
    <s v="細電"/>
    <s v="SDA"/>
    <s v="20r1"/>
    <n v="1"/>
    <n v="275.5"/>
    <n v="275.5"/>
    <m/>
    <m/>
    <m/>
    <s v="IC-20R1THK "/>
    <n v="438"/>
    <n v="0.62899543378995437"/>
    <s v="Shops Highest Price"/>
    <m/>
    <s v=""/>
  </r>
  <r>
    <n v="3712"/>
    <s v="Aeon"/>
    <s v="TM_1"/>
    <x v="54"/>
    <n v="3"/>
    <x v="20"/>
    <x v="7"/>
    <s v="4毫米厚釜電飯煲0.54L"/>
    <s v="細電"/>
    <s v="SDA"/>
    <s v="5mm"/>
    <n v="1"/>
    <n v="465.5"/>
    <n v="465.5"/>
    <m/>
    <m/>
    <m/>
    <s v="RC-5MMIH(WT) "/>
    <n v="618"/>
    <n v="0.75323624595469252"/>
    <s v="Toshiba SRP"/>
    <m/>
    <s v=""/>
  </r>
  <r>
    <n v="3713"/>
    <s v="Aeon"/>
    <s v="TM_1"/>
    <x v="54"/>
    <n v="3"/>
    <x v="20"/>
    <x v="47"/>
    <s v="磁應電飯煲(1公升)"/>
    <s v="細電"/>
    <s v="SDA"/>
    <s v="10iss"/>
    <n v="1"/>
    <n v="930"/>
    <n v="930"/>
    <m/>
    <m/>
    <m/>
    <s v="RC-10ISSHK(W) "/>
    <n v="1188"/>
    <n v="0.78282828282828287"/>
    <s v="Shops Highest Price"/>
    <m/>
    <s v=""/>
  </r>
  <r>
    <n v="3714"/>
    <s v="Aeon"/>
    <s v="TM_1"/>
    <x v="54"/>
    <n v="3"/>
    <x v="20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3715"/>
    <s v="Aeon"/>
    <s v="TM_1"/>
    <x v="53"/>
    <n v="3"/>
    <x v="21"/>
    <x v="70"/>
    <s v="12吋2合1座地座檯電風扇連遙控"/>
    <s v="細電"/>
    <s v="EAD"/>
    <s v="ya20"/>
    <n v="1"/>
    <n v="370.5"/>
    <n v="370.5"/>
    <m/>
    <m/>
    <m/>
    <s v="F-LYA20(W)HKG "/>
    <n v="988"/>
    <n v="0.375"/>
    <s v="Toshiba SRP"/>
    <m/>
    <s v=""/>
  </r>
  <r>
    <n v="3716"/>
    <s v="Aeon"/>
    <s v="TM_1"/>
    <x v="53"/>
    <n v="3"/>
    <x v="30"/>
    <x v="17"/>
    <s v="4毫米厚釜電飯煲1L"/>
    <s v="細電"/>
    <s v="SDA"/>
    <s v="10nmf"/>
    <n v="1"/>
    <n v="684"/>
    <n v="684"/>
    <m/>
    <m/>
    <m/>
    <s v="RC-10NMFIH(WT) "/>
    <n v="898"/>
    <n v="0.76169265033407574"/>
    <s v="Toshiba SRP"/>
    <m/>
    <s v=""/>
  </r>
  <r>
    <n v="3717"/>
    <s v="Aeon"/>
    <s v="TM_1"/>
    <x v="53"/>
    <n v="3"/>
    <x v="30"/>
    <x v="16"/>
    <s v="輕便式電磁爐"/>
    <s v="細電"/>
    <s v="SDA"/>
    <s v="20r1"/>
    <n v="1"/>
    <n v="275.5"/>
    <n v="275.5"/>
    <m/>
    <m/>
    <m/>
    <s v="IC-20R1THK "/>
    <n v="438"/>
    <n v="0.62899543378995437"/>
    <s v="Shops Highest Price"/>
    <m/>
    <s v=""/>
  </r>
  <r>
    <n v="3718"/>
    <s v="Aeon"/>
    <s v="TM_1"/>
    <x v="53"/>
    <n v="3"/>
    <x v="30"/>
    <x v="70"/>
    <s v="12吋2合1座地座檯電風扇連遙控"/>
    <s v="細電"/>
    <s v="EAD"/>
    <s v="ya20"/>
    <n v="2"/>
    <n v="390"/>
    <n v="780"/>
    <m/>
    <m/>
    <m/>
    <s v="F-LYA20(W)HKG "/>
    <n v="988"/>
    <n v="0.39473684210526316"/>
    <s v="Toshiba SRP"/>
    <m/>
    <s v=""/>
  </r>
  <r>
    <n v="3719"/>
    <s v="Aeon"/>
    <s v="TM_1"/>
    <x v="53"/>
    <n v="3"/>
    <x v="22"/>
    <x v="54"/>
    <s v="低醣磁應電飯煲1L"/>
    <s v="細電"/>
    <s v="SDA"/>
    <s v="10irph"/>
    <n v="1"/>
    <n v="750.5"/>
    <n v="750.5"/>
    <m/>
    <m/>
    <m/>
    <s v="RC-10IRPH "/>
    <n v="1388"/>
    <n v="0.54070605187319887"/>
    <s v="Toshiba SRP"/>
    <m/>
    <s v=""/>
  </r>
  <r>
    <n v="3720"/>
    <s v="Aeon"/>
    <s v="TM_1"/>
    <x v="53"/>
    <n v="3"/>
    <x v="22"/>
    <x v="70"/>
    <s v="12吋2合1座地座檯電風扇連遙控"/>
    <s v="細電"/>
    <s v="EAD"/>
    <s v="ya20"/>
    <n v="1"/>
    <n v="370.5"/>
    <n v="370.5"/>
    <m/>
    <m/>
    <m/>
    <s v="F-LYA20(W)HKG "/>
    <n v="988"/>
    <n v="0.375"/>
    <s v="Toshiba SRP"/>
    <m/>
    <s v=""/>
  </r>
  <r>
    <n v="3721"/>
    <s v="Aeon"/>
    <s v="TM_1"/>
    <x v="53"/>
    <n v="3"/>
    <x v="22"/>
    <x v="82"/>
    <s v="Electric Fan"/>
    <s v="細電"/>
    <s v="SDA"/>
    <s v="dsb35"/>
    <n v="1"/>
    <n v="522.5"/>
    <n v="522.5"/>
    <m/>
    <m/>
    <m/>
    <s v="F-DSB35HK(W) "/>
    <n v="1088"/>
    <n v="0.48023897058823528"/>
    <s v="Toshiba SRP"/>
    <m/>
    <s v=""/>
  </r>
  <r>
    <n v="3722"/>
    <s v="Aeon"/>
    <s v="TM_1"/>
    <x v="53"/>
    <n v="3"/>
    <x v="23"/>
    <x v="17"/>
    <s v="4毫米厚釜電飯煲1L"/>
    <s v="細電"/>
    <s v="SDA"/>
    <s v="10nmf"/>
    <n v="1"/>
    <n v="684"/>
    <n v="684"/>
    <m/>
    <m/>
    <m/>
    <s v="RC-10NMFIH(WT) "/>
    <n v="898"/>
    <n v="0.76169265033407574"/>
    <s v="Toshiba SRP"/>
    <m/>
    <s v=""/>
  </r>
  <r>
    <n v="3723"/>
    <s v="Aeon"/>
    <s v="TM_1"/>
    <x v="53"/>
    <n v="3"/>
    <x v="23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724"/>
    <s v="Aeon"/>
    <s v="TM_1"/>
    <x v="53"/>
    <n v="3"/>
    <x v="25"/>
    <x v="70"/>
    <s v="12吋2合1座地座檯電風扇連遙控"/>
    <s v="細電"/>
    <s v="EAD"/>
    <s v="ya20"/>
    <n v="2"/>
    <n v="370"/>
    <n v="740"/>
    <m/>
    <m/>
    <m/>
    <s v="F-LYA20(W)HKG "/>
    <n v="988"/>
    <n v="0.37449392712550605"/>
    <s v="Toshiba SRP"/>
    <m/>
    <s v=""/>
  </r>
  <r>
    <n v="3725"/>
    <s v="Aeon"/>
    <s v="TM_1"/>
    <x v="53"/>
    <n v="3"/>
    <x v="26"/>
    <x v="23"/>
    <s v="電飯煲"/>
    <s v="細電"/>
    <s v="SDA"/>
    <s v="10jruh"/>
    <n v="1"/>
    <n v="250"/>
    <n v="250"/>
    <m/>
    <m/>
    <m/>
    <s v="RC-10JRUH(N) "/>
    <n v="398"/>
    <n v="0.62814070351758799"/>
    <s v="Shops Highest Price"/>
    <m/>
    <s v=""/>
  </r>
  <r>
    <n v="3726"/>
    <s v="Aeon"/>
    <s v="TM_1"/>
    <x v="53"/>
    <n v="3"/>
    <x v="26"/>
    <x v="70"/>
    <s v="12吋2合1座地座檯電風扇連遙控"/>
    <s v="細電"/>
    <s v="EAD"/>
    <s v="ya20"/>
    <n v="1"/>
    <n v="351.5"/>
    <n v="351.5"/>
    <m/>
    <m/>
    <m/>
    <s v="F-LYA20(W)HKG "/>
    <n v="988"/>
    <n v="0.35576923076923078"/>
    <s v="Toshiba SRP"/>
    <m/>
    <s v=""/>
  </r>
  <r>
    <n v="3727"/>
    <s v="Aeon"/>
    <s v="TM_1"/>
    <x v="53"/>
    <n v="3"/>
    <x v="26"/>
    <x v="84"/>
    <s v="9吋座檯座地循環扇連遙控"/>
    <s v="細電"/>
    <s v="SDA"/>
    <s v="cfs09"/>
    <n v="1"/>
    <n v="285"/>
    <n v="285"/>
    <m/>
    <m/>
    <m/>
    <s v="CFS-09PGR0A0 "/>
    <n v="350"/>
    <n v="0.81428571428571428"/>
    <n v="0"/>
    <m/>
    <s v=""/>
  </r>
  <r>
    <n v="3728"/>
    <s v="Aeon"/>
    <s v="TM_1"/>
    <x v="53"/>
    <n v="3"/>
    <x v="27"/>
    <x v="50"/>
    <s v="輕便式電磁爐7個功能"/>
    <s v="細電"/>
    <s v="SDA"/>
    <s v="s19"/>
    <n v="1"/>
    <n v="550"/>
    <n v="550"/>
    <m/>
    <m/>
    <m/>
    <s v="IC-S19RH "/>
    <n v="638"/>
    <n v="0.86206896551724133"/>
    <s v="Toshiba SRP"/>
    <m/>
    <s v=""/>
  </r>
  <r>
    <n v="3729"/>
    <s v="Aeon"/>
    <s v="TM_1"/>
    <x v="53"/>
    <n v="3"/>
    <x v="27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3730"/>
    <s v="Aeon"/>
    <s v="TM_1"/>
    <x v="53"/>
    <n v="3"/>
    <x v="27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3731"/>
    <s v="Aeon"/>
    <s v="TM_1"/>
    <x v="53"/>
    <n v="3"/>
    <x v="27"/>
    <x v="70"/>
    <s v="12吋2合1座地座檯電風扇連遙控"/>
    <s v="細電"/>
    <s v="EAD"/>
    <s v="ya20"/>
    <n v="2"/>
    <n v="360.5"/>
    <n v="721"/>
    <m/>
    <m/>
    <m/>
    <s v="F-LYA20(W)HKG "/>
    <n v="988"/>
    <n v="0.36487854251012147"/>
    <s v="Toshiba SRP"/>
    <m/>
    <s v=""/>
  </r>
  <r>
    <n v="3732"/>
    <s v="Aeon"/>
    <s v="TM_1"/>
    <x v="53"/>
    <n v="3"/>
    <x v="27"/>
    <x v="84"/>
    <s v="9吋座檯座地循環扇連遙控"/>
    <s v="細電"/>
    <s v="SDA"/>
    <s v="cfs09"/>
    <n v="1"/>
    <n v="285"/>
    <n v="285"/>
    <m/>
    <m/>
    <m/>
    <s v="CFS-09PGR0A0 "/>
    <n v="350"/>
    <n v="0.81428571428571428"/>
    <n v="0"/>
    <m/>
    <s v=""/>
  </r>
  <r>
    <n v="3733"/>
    <s v="Aeon"/>
    <s v="TM_1"/>
    <x v="53"/>
    <n v="3"/>
    <x v="29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3734"/>
    <s v="Aeon"/>
    <s v="TM_1"/>
    <x v="53"/>
    <n v="3"/>
    <x v="29"/>
    <x v="68"/>
    <s v="旋鈕式微波爐 (20公升)"/>
    <s v="細電"/>
    <s v="MCA"/>
    <s v="2mm20"/>
    <n v="1"/>
    <n v="620"/>
    <n v="620"/>
    <m/>
    <m/>
    <m/>
    <s v="MM-2MM20PC(WH) "/>
    <n v="738"/>
    <n v="0.84010840108401086"/>
    <s v="Toshiba SRP"/>
    <m/>
    <s v=""/>
  </r>
  <r>
    <n v="3735"/>
    <s v="Aeon"/>
    <s v="TM_1"/>
    <x v="53"/>
    <n v="3"/>
    <x v="29"/>
    <x v="34"/>
    <s v="智能氣炸烤焗爐(24公升)"/>
    <s v="細電"/>
    <s v="MCA"/>
    <s v="sac24"/>
    <n v="1"/>
    <n v="1390"/>
    <n v="1390"/>
    <m/>
    <m/>
    <m/>
    <s v="MW3-SAC24SE(BK) "/>
    <n v="1680"/>
    <n v="0.82738095238095233"/>
    <s v="Toshiba SRP"/>
    <m/>
    <s v=""/>
  </r>
  <r>
    <n v="3736"/>
    <s v="Aeon"/>
    <s v="TM_1"/>
    <x v="53"/>
    <n v="3"/>
    <x v="29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3737"/>
    <s v="Aeon"/>
    <s v="TM_1"/>
    <x v="53"/>
    <n v="3"/>
    <x v="29"/>
    <x v="70"/>
    <s v="12吋2合1座地座檯電風扇連遙控"/>
    <s v="細電"/>
    <s v="EAD"/>
    <s v="ya20"/>
    <n v="1"/>
    <n v="351.5"/>
    <n v="351.5"/>
    <m/>
    <m/>
    <m/>
    <s v="F-LYA20(W)HKG "/>
    <n v="988"/>
    <n v="0.35576923076923078"/>
    <s v="Toshiba SRP"/>
    <m/>
    <s v=""/>
  </r>
  <r>
    <n v="3738"/>
    <s v="Broadway"/>
    <s v="APM"/>
    <x v="55"/>
    <n v="3"/>
    <x v="0"/>
    <x v="68"/>
    <s v="旋鈕式微波爐 (20公升)"/>
    <s v="細電"/>
    <s v="MCA"/>
    <s v="2mm20"/>
    <n v="1"/>
    <n v="598"/>
    <n v="598"/>
    <n v="238369"/>
    <m/>
    <m/>
    <s v="MM-2MM20PC(WH) 238369"/>
    <n v="738"/>
    <n v="0.81029810298102978"/>
    <s v="Toshiba SRP"/>
    <m/>
    <s v="238369"/>
  </r>
  <r>
    <n v="3739"/>
    <s v="Broadway"/>
    <s v="APM"/>
    <x v="55"/>
    <n v="3"/>
    <x v="0"/>
    <x v="75"/>
    <s v="日式洗衣機 (8公斤 結合高低水位)"/>
    <s v="大電"/>
    <s v="LAD"/>
    <s v="q901"/>
    <n v="1"/>
    <n v="2380"/>
    <n v="2380"/>
    <n v="238374"/>
    <m/>
    <m/>
    <s v="AW-Q901BPH(WW) 238374"/>
    <n v="3780"/>
    <n v="0.62962962962962965"/>
    <s v="Toshiba SRP"/>
    <m/>
    <s v="238374"/>
  </r>
  <r>
    <n v="3740"/>
    <s v="Broadway"/>
    <s v="APM"/>
    <x v="55"/>
    <n v="3"/>
    <x v="0"/>
    <x v="26"/>
    <s v="變頻頂揭式洗衣機 (7.5公斤)"/>
    <s v="大電"/>
    <s v="LAD"/>
    <s v="cfk01w75"/>
    <n v="1"/>
    <n v="3580"/>
    <n v="3580"/>
    <n v="238383"/>
    <m/>
    <m/>
    <s v="CFK01W75 238383"/>
    <n v="3888"/>
    <n v="0.92078189300411528"/>
    <s v="Shops Highest Price"/>
    <m/>
    <s v="238383"/>
  </r>
  <r>
    <n v="3741"/>
    <s v="Broadway"/>
    <s v="APM"/>
    <x v="55"/>
    <n v="3"/>
    <x v="0"/>
    <x v="47"/>
    <s v="磁應電飯煲(1公升)"/>
    <s v="細電"/>
    <s v="SDA"/>
    <s v="10iss"/>
    <n v="1"/>
    <n v="938"/>
    <n v="938"/>
    <n v="13955"/>
    <m/>
    <m/>
    <s v="RC-10ISSHK(W) 13955"/>
    <n v="1188"/>
    <n v="0.78956228956228958"/>
    <s v="Shops Highest Price"/>
    <m/>
    <s v="13955"/>
  </r>
  <r>
    <n v="3742"/>
    <s v="Broadway"/>
    <s v="APM"/>
    <x v="55"/>
    <n v="3"/>
    <x v="0"/>
    <x v="72"/>
    <s v="壓縮式抽濕機 (25公升)"/>
    <s v="細電"/>
    <s v="RAC"/>
    <s v="d250"/>
    <n v="1"/>
    <n v="2080"/>
    <n v="2080"/>
    <n v="238413"/>
    <m/>
    <m/>
    <s v="RAD-D250H 238413"/>
    <n v="3380"/>
    <n v="0.61538461538461542"/>
    <s v="Shops Highest Price"/>
    <m/>
    <s v="238413"/>
  </r>
  <r>
    <n v="3743"/>
    <s v="Broadway"/>
    <s v="APM"/>
    <x v="55"/>
    <n v="3"/>
    <x v="0"/>
    <x v="40"/>
    <s v="400MM超薄身前置式變頻洗衣機(7公斤)"/>
    <s v="大電"/>
    <s v="LAD"/>
    <s v="bu80"/>
    <n v="1"/>
    <n v="3180"/>
    <n v="3180"/>
    <n v="238391"/>
    <m/>
    <m/>
    <s v="TW-T21BU80UWH(MG) 238391"/>
    <n v="5180"/>
    <n v="0.61389961389961389"/>
    <s v="Toshiba SRP"/>
    <m/>
    <s v="238391"/>
  </r>
  <r>
    <n v="3744"/>
    <s v="Broadway"/>
    <s v="APM"/>
    <x v="55"/>
    <n v="3"/>
    <x v="0"/>
    <x v="31"/>
    <s v="無線雙層電熱水壺(1.7公升)"/>
    <s v="細電"/>
    <s v="SDA"/>
    <s v="17drt"/>
    <n v="1"/>
    <n v="388"/>
    <n v="388"/>
    <n v="13959"/>
    <m/>
    <m/>
    <s v="KT-17DRTHK(H) 13959"/>
    <n v="498"/>
    <n v="0.77911646586345384"/>
    <s v="Toshiba SRP"/>
    <m/>
    <s v="13959"/>
  </r>
  <r>
    <n v="3745"/>
    <s v="Broadway"/>
    <s v="APM"/>
    <x v="55"/>
    <n v="3"/>
    <x v="0"/>
    <x v="72"/>
    <s v="壓縮式抽濕機 (25公升)"/>
    <s v="細電"/>
    <s v="RAC"/>
    <s v="d250"/>
    <n v="1"/>
    <n v="2180"/>
    <n v="2180"/>
    <n v="238402"/>
    <m/>
    <m/>
    <s v="RAD-D250H 238402"/>
    <n v="3380"/>
    <n v="0.6449704142011834"/>
    <s v="Shops Highest Price"/>
    <m/>
    <s v="238402"/>
  </r>
  <r>
    <n v="3746"/>
    <s v="Broadway"/>
    <s v="APM"/>
    <x v="55"/>
    <n v="3"/>
    <x v="0"/>
    <x v="66"/>
    <s v="變頻下置式雙門雪櫃（163L）"/>
    <s v="大電"/>
    <s v="REF"/>
    <s v="rb221"/>
    <n v="1"/>
    <n v="2380"/>
    <n v="2380"/>
    <n v="238397"/>
    <m/>
    <m/>
    <s v="GR-RB221WE-PMA(57) 238397"/>
    <n v="3480"/>
    <n v="0.68390804597701149"/>
    <s v="Toshiba SRP"/>
    <m/>
    <s v="238397"/>
  </r>
  <r>
    <n v="3747"/>
    <s v="Broadway"/>
    <s v="APM"/>
    <x v="55"/>
    <n v="3"/>
    <x v="0"/>
    <x v="74"/>
    <s v="4合1氣炸微波蒸焗爐(25公升)"/>
    <s v="細電"/>
    <s v="MCA"/>
    <s v="str25"/>
    <n v="1"/>
    <n v="3478"/>
    <n v="3478"/>
    <n v="238416"/>
    <m/>
    <m/>
    <s v="MX2-STR25SC(WH) 238416"/>
    <n v="4998"/>
    <n v="0.69587835134053622"/>
    <s v="Toshiba SRP"/>
    <m/>
    <s v="238416"/>
  </r>
  <r>
    <n v="3748"/>
    <s v="Broadway"/>
    <s v="APM"/>
    <x v="55"/>
    <n v="3"/>
    <x v="0"/>
    <x v="72"/>
    <s v="壓縮式抽濕機 (25公升)"/>
    <s v="細電"/>
    <s v="RAC"/>
    <s v="d250"/>
    <n v="1"/>
    <n v="2080"/>
    <n v="2080"/>
    <n v="238378"/>
    <m/>
    <m/>
    <s v="RAD-D250H 238378"/>
    <n v="3380"/>
    <n v="0.61538461538461542"/>
    <s v="Shops Highest Price"/>
    <m/>
    <s v="238378"/>
  </r>
  <r>
    <n v="3749"/>
    <s v="Broadway"/>
    <s v="APM"/>
    <x v="55"/>
    <n v="3"/>
    <x v="6"/>
    <x v="72"/>
    <s v="壓縮式抽濕機 (25公升)"/>
    <s v="細電"/>
    <s v="RAC"/>
    <s v="d250"/>
    <n v="1"/>
    <n v="2080"/>
    <n v="2080"/>
    <n v="238434"/>
    <m/>
    <m/>
    <s v="RAD-D250H 238434"/>
    <n v="3380"/>
    <n v="0.61538461538461542"/>
    <s v="Shops Highest Price"/>
    <m/>
    <s v="238434"/>
  </r>
  <r>
    <n v="3750"/>
    <s v="Broadway"/>
    <s v="APM"/>
    <x v="55"/>
    <n v="3"/>
    <x v="6"/>
    <x v="33"/>
    <s v="輕觸式燒烤微波爐"/>
    <s v="細電"/>
    <s v="MCA"/>
    <s v="eg20"/>
    <n v="1"/>
    <n v="698"/>
    <n v="698"/>
    <n v="238454"/>
    <m/>
    <m/>
    <s v="MM2-EG20PC(WH) 238454"/>
    <n v="918"/>
    <n v="0.76034858387799564"/>
    <s v="Shops Highest Price"/>
    <m/>
    <s v="238454"/>
  </r>
  <r>
    <n v="3751"/>
    <s v="Broadway"/>
    <s v="APM"/>
    <x v="55"/>
    <n v="3"/>
    <x v="6"/>
    <x v="72"/>
    <s v="壓縮式抽濕機 (25公升)"/>
    <s v="細電"/>
    <s v="RAC"/>
    <s v="d250"/>
    <n v="1"/>
    <n v="2080"/>
    <n v="2080"/>
    <n v="112"/>
    <m/>
    <m/>
    <s v="RAD-D250H 112"/>
    <n v="3380"/>
    <n v="0.61538461538461542"/>
    <s v="Shops Highest Price"/>
    <m/>
    <s v="112"/>
  </r>
  <r>
    <n v="3752"/>
    <s v="Broadway"/>
    <s v="APM"/>
    <x v="55"/>
    <n v="3"/>
    <x v="6"/>
    <x v="68"/>
    <s v="旋鈕式微波爐 (20公升)"/>
    <s v="細電"/>
    <s v="MCA"/>
    <s v="2mm20"/>
    <n v="1"/>
    <n v="598"/>
    <n v="598"/>
    <n v="1034"/>
    <m/>
    <m/>
    <s v="MM-2MM20PC(WH) 1034"/>
    <n v="738"/>
    <n v="0.81029810298102978"/>
    <s v="Toshiba SRP"/>
    <m/>
    <s v="1034"/>
  </r>
  <r>
    <n v="3753"/>
    <s v="Broadway"/>
    <s v="APM"/>
    <x v="55"/>
    <n v="3"/>
    <x v="6"/>
    <x v="72"/>
    <s v="壓縮式抽濕機 (25公升)"/>
    <s v="細電"/>
    <s v="RAC"/>
    <s v="d250"/>
    <n v="1"/>
    <n v="2080"/>
    <n v="2080"/>
    <n v="1002"/>
    <m/>
    <m/>
    <s v="RAD-D250H 1002"/>
    <n v="3380"/>
    <n v="0.61538461538461542"/>
    <s v="Shops Highest Price"/>
    <m/>
    <s v="1002"/>
  </r>
  <r>
    <n v="3754"/>
    <s v="Broadway"/>
    <s v="APM"/>
    <x v="55"/>
    <n v="3"/>
    <x v="6"/>
    <x v="47"/>
    <s v="磁應電飯煲(1公升)"/>
    <s v="細電"/>
    <s v="SDA"/>
    <s v="10iss"/>
    <n v="1"/>
    <n v="938"/>
    <n v="938"/>
    <n v="3296"/>
    <m/>
    <m/>
    <s v="RC-10ISSHK(W) 3296"/>
    <n v="1188"/>
    <n v="0.78956228956228958"/>
    <s v="Shops Highest Price"/>
    <m/>
    <s v="3296"/>
  </r>
  <r>
    <n v="3755"/>
    <s v="Broadway"/>
    <s v="APM"/>
    <x v="55"/>
    <n v="3"/>
    <x v="6"/>
    <x v="40"/>
    <s v="400MM超薄身前置式變頻洗衣機(7公斤)"/>
    <s v="大電"/>
    <s v="LAD"/>
    <s v="bu80"/>
    <n v="1"/>
    <n v="3180"/>
    <n v="3180"/>
    <n v="238433"/>
    <m/>
    <m/>
    <s v="TW-T21BU80UWH(MG) 238433"/>
    <n v="5180"/>
    <n v="0.61389961389961389"/>
    <s v="Toshiba SRP"/>
    <m/>
    <s v="238433"/>
  </r>
  <r>
    <n v="3756"/>
    <s v="Broadway"/>
    <s v="APM"/>
    <x v="55"/>
    <n v="3"/>
    <x v="6"/>
    <x v="66"/>
    <s v="變頻下置式雙門雪櫃（163L）"/>
    <s v="大電"/>
    <s v="REF"/>
    <s v="rb221"/>
    <n v="1"/>
    <n v="2280"/>
    <n v="2280"/>
    <n v="238433"/>
    <m/>
    <m/>
    <s v="GR-RB221WE-PMA(57) 238433"/>
    <n v="3480"/>
    <n v="0.65517241379310343"/>
    <s v="Toshiba SRP"/>
    <m/>
    <s v="238433"/>
  </r>
  <r>
    <n v="3757"/>
    <s v="Broadway"/>
    <s v="APM"/>
    <x v="55"/>
    <n v="3"/>
    <x v="6"/>
    <x v="72"/>
    <s v="壓縮式抽濕機 (25公升)"/>
    <s v="細電"/>
    <s v="RAC"/>
    <s v="d250"/>
    <n v="1"/>
    <n v="2080"/>
    <n v="2080"/>
    <n v="238443"/>
    <m/>
    <m/>
    <s v="RAD-D250H 238443"/>
    <n v="3380"/>
    <n v="0.61538461538461542"/>
    <s v="Shops Highest Price"/>
    <m/>
    <s v="238443"/>
  </r>
  <r>
    <n v="3758"/>
    <s v="Broadway"/>
    <s v="APM"/>
    <x v="55"/>
    <n v="3"/>
    <x v="6"/>
    <x v="72"/>
    <s v="壓縮式抽濕機 (25公升)"/>
    <s v="細電"/>
    <s v="RAC"/>
    <s v="d250"/>
    <n v="1"/>
    <n v="2080"/>
    <n v="2080"/>
    <n v="238461"/>
    <m/>
    <m/>
    <s v="RAD-D250H 238461"/>
    <n v="3380"/>
    <n v="0.61538461538461542"/>
    <s v="Shops Highest Price"/>
    <m/>
    <s v="238461"/>
  </r>
  <r>
    <n v="3759"/>
    <s v="Broadway"/>
    <s v="APM"/>
    <x v="55"/>
    <n v="3"/>
    <x v="6"/>
    <x v="72"/>
    <s v="壓縮式抽濕機 (25公升)"/>
    <s v="細電"/>
    <s v="RAC"/>
    <s v="d250"/>
    <n v="1"/>
    <n v="2080"/>
    <n v="2080"/>
    <n v="238439"/>
    <m/>
    <m/>
    <s v="RAD-D250H 238439"/>
    <n v="3380"/>
    <n v="0.61538461538461542"/>
    <s v="Shops Highest Price"/>
    <m/>
    <s v="238439"/>
  </r>
  <r>
    <n v="3760"/>
    <s v="Broadway"/>
    <s v="APM"/>
    <x v="55"/>
    <n v="3"/>
    <x v="6"/>
    <x v="31"/>
    <s v="無線雙層電熱水壺(1.7公升)"/>
    <s v="細電"/>
    <s v="SDA"/>
    <s v="17drt"/>
    <n v="1"/>
    <n v="388"/>
    <n v="388"/>
    <n v="1126"/>
    <m/>
    <m/>
    <s v="KT-17DRTHK(H) 1126"/>
    <n v="498"/>
    <n v="0.77911646586345384"/>
    <s v="Toshiba SRP"/>
    <m/>
    <s v="1126"/>
  </r>
  <r>
    <n v="3761"/>
    <s v="Broadway"/>
    <s v="APM"/>
    <x v="55"/>
    <n v="3"/>
    <x v="6"/>
    <x v="26"/>
    <s v="變頻頂揭式洗衣機 (7.5公斤)"/>
    <s v="大電"/>
    <s v="LAD"/>
    <s v="cfk01w75"/>
    <n v="1"/>
    <n v="3580"/>
    <n v="3580"/>
    <n v="238478"/>
    <m/>
    <m/>
    <s v="CFK01W75 238478"/>
    <n v="3888"/>
    <n v="0.92078189300411528"/>
    <s v="Shops Highest Price"/>
    <m/>
    <s v="238478"/>
  </r>
  <r>
    <n v="3762"/>
    <s v="Broadway"/>
    <s v="APM"/>
    <x v="55"/>
    <n v="3"/>
    <x v="6"/>
    <x v="77"/>
    <s v="470MM超薄身前置式變頻洗衣乾衣機 (洗8.5公斤/乾6公斤, 可飛頂)"/>
    <s v="大電"/>
    <s v="LAD"/>
    <s v="twdt22"/>
    <n v="1"/>
    <n v="4780"/>
    <n v="4780"/>
    <n v="238480"/>
    <m/>
    <m/>
    <s v="TWD-T22BU95UWH(WK)-B 238480"/>
    <n v="7480"/>
    <n v="0.63903743315508021"/>
    <s v="Toshiba SRP"/>
    <m/>
    <s v="238480"/>
  </r>
  <r>
    <n v="3763"/>
    <s v="Broadway"/>
    <s v="APM"/>
    <x v="55"/>
    <n v="3"/>
    <x v="6"/>
    <x v="72"/>
    <s v="壓縮式抽濕機 (25公升)"/>
    <s v="細電"/>
    <s v="RAC"/>
    <s v="d250"/>
    <n v="1"/>
    <n v="2080"/>
    <n v="2080"/>
    <n v="238487"/>
    <m/>
    <m/>
    <s v="RAD-D250H 238487"/>
    <n v="3380"/>
    <n v="0.61538461538461542"/>
    <s v="Shops Highest Price"/>
    <m/>
    <s v="238487"/>
  </r>
  <r>
    <n v="3764"/>
    <s v="Broadway"/>
    <s v="APM"/>
    <x v="55"/>
    <n v="3"/>
    <x v="6"/>
    <x v="75"/>
    <s v="日式洗衣機 (8公斤 結合高低水位)"/>
    <s v="大電"/>
    <s v="LAD"/>
    <s v="q901"/>
    <n v="1"/>
    <n v="2280"/>
    <n v="2280"/>
    <n v="238490"/>
    <m/>
    <m/>
    <s v="AW-Q901BPH(WW) 238490"/>
    <n v="3780"/>
    <n v="0.60317460317460314"/>
    <s v="Toshiba SRP"/>
    <m/>
    <s v="238490"/>
  </r>
  <r>
    <n v="3765"/>
    <s v="Broadway"/>
    <s v="APM"/>
    <x v="55"/>
    <n v="3"/>
    <x v="6"/>
    <x v="72"/>
    <s v="壓縮式抽濕機 (25公升)"/>
    <s v="細電"/>
    <s v="RAC"/>
    <s v="d250"/>
    <n v="1"/>
    <n v="2080"/>
    <n v="2080"/>
    <n v="13980"/>
    <m/>
    <m/>
    <s v="RAD-D250H 13980"/>
    <n v="3380"/>
    <n v="0.61538461538461542"/>
    <s v="Shops Highest Price"/>
    <m/>
    <s v="13980"/>
  </r>
  <r>
    <n v="3766"/>
    <s v="Broadway"/>
    <s v="APM"/>
    <x v="55"/>
    <n v="3"/>
    <x v="6"/>
    <x v="75"/>
    <s v="日式洗衣機 (8公斤 結合高低水位)"/>
    <s v="大電"/>
    <s v="LAD"/>
    <s v="q901"/>
    <n v="1"/>
    <n v="2280"/>
    <n v="2280"/>
    <n v="238496"/>
    <m/>
    <m/>
    <s v="AW-Q901BPH(WW) 238496"/>
    <n v="3780"/>
    <n v="0.60317460317460314"/>
    <s v="Toshiba SRP"/>
    <m/>
    <s v="238496"/>
  </r>
  <r>
    <n v="3767"/>
    <s v="Broadway"/>
    <s v="APM"/>
    <x v="55"/>
    <n v="3"/>
    <x v="6"/>
    <x v="72"/>
    <s v="壓縮式抽濕機 (25公升)"/>
    <s v="細電"/>
    <s v="RAC"/>
    <s v="d250"/>
    <n v="1"/>
    <n v="2080"/>
    <n v="2080"/>
    <n v="10157"/>
    <m/>
    <m/>
    <s v="RAD-D250H 10157"/>
    <n v="3380"/>
    <n v="0.61538461538461542"/>
    <s v="Shops Highest Price"/>
    <m/>
    <s v="10157"/>
  </r>
  <r>
    <n v="3768"/>
    <s v="Broadway"/>
    <s v="APM"/>
    <x v="55"/>
    <n v="3"/>
    <x v="6"/>
    <x v="33"/>
    <s v="輕觸式燒烤微波爐"/>
    <s v="細電"/>
    <s v="MCA"/>
    <s v="eg20"/>
    <n v="1"/>
    <n v="698"/>
    <n v="698"/>
    <n v="238504"/>
    <m/>
    <m/>
    <s v="MM2-EG20PC(WH) 238504"/>
    <n v="918"/>
    <n v="0.76034858387799564"/>
    <s v="Shops Highest Price"/>
    <m/>
    <s v="238504"/>
  </r>
  <r>
    <n v="3769"/>
    <s v="Broadway"/>
    <s v="APM"/>
    <x v="55"/>
    <n v="3"/>
    <x v="6"/>
    <x v="15"/>
    <s v="Induction Cooker"/>
    <s v="細電"/>
    <s v="SDA"/>
    <s v="21ts"/>
    <n v="1"/>
    <n v="798"/>
    <n v="798"/>
    <n v="238504"/>
    <m/>
    <m/>
    <s v="IC-21TSHK 238504"/>
    <n v="998"/>
    <n v="0.79959919839679361"/>
    <s v="Web SRP"/>
    <m/>
    <s v="238504"/>
  </r>
  <r>
    <n v="3770"/>
    <s v="Broadway"/>
    <s v="APM"/>
    <x v="55"/>
    <n v="3"/>
    <x v="6"/>
    <x v="74"/>
    <s v="4合1氣炸微波蒸焗爐(25公升)"/>
    <s v="細電"/>
    <s v="MCA"/>
    <s v="str25"/>
    <n v="1"/>
    <n v="3478"/>
    <n v="3478"/>
    <n v="238509"/>
    <m/>
    <m/>
    <s v="MX2-STR25SC(WH) 238509"/>
    <n v="4998"/>
    <n v="0.69587835134053622"/>
    <s v="Toshiba SRP"/>
    <m/>
    <s v="238509"/>
  </r>
  <r>
    <n v="3771"/>
    <s v="Broadway"/>
    <s v="APM"/>
    <x v="55"/>
    <n v="3"/>
    <x v="6"/>
    <x v="72"/>
    <s v="壓縮式抽濕機 (25公升)"/>
    <s v="細電"/>
    <s v="RAC"/>
    <s v="d250"/>
    <n v="1"/>
    <n v="2080"/>
    <n v="2080"/>
    <n v="238501"/>
    <m/>
    <m/>
    <s v="RAD-D250H 238501"/>
    <n v="3380"/>
    <n v="0.61538461538461542"/>
    <s v="Shops Highest Price"/>
    <m/>
    <s v="238501"/>
  </r>
  <r>
    <n v="3772"/>
    <s v="Broadway"/>
    <s v="APM"/>
    <x v="55"/>
    <n v="3"/>
    <x v="6"/>
    <x v="76"/>
    <s v="日式洗衣機 (7公斤 結合高低水位)"/>
    <s v="大電"/>
    <s v="LAD"/>
    <s v="q801"/>
    <n v="1"/>
    <n v="2080"/>
    <n v="2080"/>
    <n v="238519"/>
    <m/>
    <m/>
    <s v="AW-Q801APH(WW) 238519"/>
    <n v="3380"/>
    <n v="0.61538461538461542"/>
    <s v="Toshiba SRP"/>
    <m/>
    <s v="238519"/>
  </r>
  <r>
    <n v="3773"/>
    <s v="Broadway"/>
    <s v="APM"/>
    <x v="55"/>
    <n v="3"/>
    <x v="6"/>
    <x v="72"/>
    <s v="壓縮式抽濕機 (25公升)"/>
    <s v="細電"/>
    <s v="RAC"/>
    <s v="d250"/>
    <n v="1"/>
    <n v="2180"/>
    <n v="2180"/>
    <n v="459"/>
    <m/>
    <m/>
    <s v="RAD-D250H 459"/>
    <n v="3380"/>
    <n v="0.6449704142011834"/>
    <s v="Shops Highest Price"/>
    <m/>
    <s v="459"/>
  </r>
  <r>
    <n v="3774"/>
    <s v="Broadway"/>
    <s v="APM"/>
    <x v="55"/>
    <n v="3"/>
    <x v="6"/>
    <x v="47"/>
    <s v="磁應電飯煲(1公升)"/>
    <s v="細電"/>
    <s v="SDA"/>
    <s v="10iss"/>
    <n v="1"/>
    <n v="938"/>
    <n v="938"/>
    <n v="1138"/>
    <m/>
    <m/>
    <s v="RC-10ISSHK(W) 1138"/>
    <n v="1188"/>
    <n v="0.78956228956228958"/>
    <s v="Shops Highest Price"/>
    <m/>
    <s v="1138"/>
  </r>
  <r>
    <n v="3775"/>
    <s v="Broadway"/>
    <s v="APM"/>
    <x v="55"/>
    <n v="3"/>
    <x v="6"/>
    <x v="72"/>
    <s v="壓縮式抽濕機 (25公升)"/>
    <s v="細電"/>
    <s v="RAC"/>
    <s v="d250"/>
    <n v="1"/>
    <n v="2080"/>
    <n v="2080"/>
    <n v="460"/>
    <m/>
    <m/>
    <s v="RAD-D250H 460"/>
    <n v="3380"/>
    <n v="0.61538461538461542"/>
    <s v="Shops Highest Price"/>
    <m/>
    <s v="460"/>
  </r>
  <r>
    <n v="3776"/>
    <s v="Broadway"/>
    <s v="APM"/>
    <x v="55"/>
    <n v="3"/>
    <x v="6"/>
    <x v="72"/>
    <s v="壓縮式抽濕機 (25公升)"/>
    <s v="細電"/>
    <s v="RAC"/>
    <s v="d250"/>
    <n v="1"/>
    <n v="2080"/>
    <n v="2080"/>
    <n v="827"/>
    <m/>
    <m/>
    <s v="RAD-D250H 827"/>
    <n v="3380"/>
    <n v="0.61538461538461542"/>
    <s v="Shops Highest Price"/>
    <m/>
    <s v="827"/>
  </r>
  <r>
    <n v="3777"/>
    <s v="Broadway"/>
    <s v="APM"/>
    <x v="55"/>
    <n v="3"/>
    <x v="6"/>
    <x v="72"/>
    <s v="壓縮式抽濕機 (25公升)"/>
    <s v="細電"/>
    <s v="RAC"/>
    <s v="d250"/>
    <n v="1"/>
    <n v="2080"/>
    <n v="2080"/>
    <n v="238518"/>
    <m/>
    <m/>
    <s v="RAD-D250H 238518"/>
    <n v="3380"/>
    <n v="0.61538461538461542"/>
    <s v="Shops Highest Price"/>
    <m/>
    <s v="238518"/>
  </r>
  <r>
    <n v="3778"/>
    <s v="Broadway"/>
    <s v="APM"/>
    <x v="55"/>
    <n v="3"/>
    <x v="7"/>
    <x v="29"/>
    <s v="酵活炊磁應電飯煲"/>
    <s v="細電"/>
    <s v="SDA"/>
    <s v="10bh"/>
    <n v="1"/>
    <n v="1688"/>
    <n v="1688"/>
    <n v="8663"/>
    <m/>
    <m/>
    <s v="RC-10BHH(W) 8663"/>
    <n v="2088"/>
    <n v="0.80842911877394641"/>
    <s v="Shops Highest Price"/>
    <m/>
    <s v="8663"/>
  </r>
  <r>
    <n v="3779"/>
    <s v="Broadway"/>
    <s v="APM"/>
    <x v="55"/>
    <n v="3"/>
    <x v="7"/>
    <x v="27"/>
    <s v="4毫米厚釜電飯煲1.8L"/>
    <s v="細電"/>
    <s v="SDA"/>
    <s v="18nmf"/>
    <n v="1"/>
    <n v="798"/>
    <n v="798"/>
    <n v="13989"/>
    <m/>
    <m/>
    <s v="RC-18NMFIH(WT) 13989"/>
    <n v="998"/>
    <n v="0.79959919839679361"/>
    <s v="Toshiba SRP"/>
    <m/>
    <s v="13989"/>
  </r>
  <r>
    <n v="3780"/>
    <s v="Broadway"/>
    <s v="APM"/>
    <x v="55"/>
    <n v="3"/>
    <x v="7"/>
    <x v="72"/>
    <s v="壓縮式抽濕機 (25公升)"/>
    <s v="細電"/>
    <s v="RAC"/>
    <s v="d250"/>
    <n v="1"/>
    <n v="2080"/>
    <n v="2080"/>
    <n v="466"/>
    <m/>
    <m/>
    <s v="RAD-D250H 466"/>
    <n v="3380"/>
    <n v="0.61538461538461542"/>
    <s v="Shops Highest Price"/>
    <m/>
    <s v="466"/>
  </r>
  <r>
    <n v="3781"/>
    <s v="Broadway"/>
    <s v="APM"/>
    <x v="55"/>
    <n v="3"/>
    <x v="7"/>
    <x v="88"/>
    <s v="水波爐"/>
    <s v="細電"/>
    <s v="MCA"/>
    <s v="vd7000"/>
    <n v="1"/>
    <n v="6060"/>
    <n v="6060"/>
    <n v="238535"/>
    <m/>
    <m/>
    <s v="ER-VD7000HK(XK) 238535"/>
    <n v="8998"/>
    <n v="0.67348299622138252"/>
    <s v="Toshiba SRP"/>
    <m/>
    <s v="238535"/>
  </r>
  <r>
    <n v="3782"/>
    <s v="Broadway"/>
    <s v="APM"/>
    <x v="55"/>
    <n v="3"/>
    <x v="7"/>
    <x v="91"/>
    <s v="3/4 匹 R32變頻窗口式冷氣機"/>
    <s v="大電"/>
    <s v="AC"/>
    <s v="07g3cvg"/>
    <n v="1"/>
    <n v="3930"/>
    <n v="3930"/>
    <n v="238538"/>
    <m/>
    <m/>
    <s v="RAC-07G3CVG-HK 238538"/>
    <n v="4980"/>
    <n v="0.78915662650602414"/>
    <s v="Toshiba SRP"/>
    <m/>
    <s v="238538"/>
  </r>
  <r>
    <n v="3783"/>
    <s v="Broadway"/>
    <s v="APM"/>
    <x v="55"/>
    <n v="3"/>
    <x v="13"/>
    <x v="72"/>
    <s v="壓縮式抽濕機 (25公升)"/>
    <s v="細電"/>
    <s v="RAC"/>
    <s v="d250"/>
    <n v="1"/>
    <n v="2080"/>
    <n v="2080"/>
    <n v="3335"/>
    <m/>
    <m/>
    <s v="RAD-D250H 3335"/>
    <n v="3380"/>
    <n v="0.61538461538461542"/>
    <s v="Shops Highest Price"/>
    <m/>
    <s v="3335"/>
  </r>
  <r>
    <n v="3784"/>
    <s v="Broadway"/>
    <s v="APM"/>
    <x v="55"/>
    <n v="3"/>
    <x v="13"/>
    <x v="31"/>
    <s v="無線雙層電熱水壺(1.7公升)"/>
    <s v="細電"/>
    <s v="SDA"/>
    <s v="17drt"/>
    <n v="1"/>
    <n v="388"/>
    <n v="388"/>
    <n v="8676"/>
    <m/>
    <m/>
    <s v="KT-17DRTHK(H) 8676"/>
    <n v="498"/>
    <n v="0.77911646586345384"/>
    <s v="Toshiba SRP"/>
    <m/>
    <s v="8676"/>
  </r>
  <r>
    <n v="3785"/>
    <s v="Broadway"/>
    <s v="APM"/>
    <x v="55"/>
    <n v="3"/>
    <x v="13"/>
    <x v="26"/>
    <s v="變頻頂揭式洗衣機 (7.5公斤)"/>
    <s v="大電"/>
    <s v="LAD"/>
    <s v="cfk01w75"/>
    <n v="1"/>
    <n v="3580"/>
    <n v="3580"/>
    <n v="238565"/>
    <m/>
    <m/>
    <s v="CFK01W75 238565"/>
    <n v="3888"/>
    <n v="0.92078189300411528"/>
    <s v="Shops Highest Price"/>
    <m/>
    <s v="238565"/>
  </r>
  <r>
    <n v="3786"/>
    <s v="Broadway"/>
    <s v="APM"/>
    <x v="55"/>
    <n v="3"/>
    <x v="13"/>
    <x v="72"/>
    <s v="壓縮式抽濕機 (25公升)"/>
    <s v="細電"/>
    <s v="RAC"/>
    <s v="d250"/>
    <n v="1"/>
    <n v="2080"/>
    <n v="2080"/>
    <n v="238568"/>
    <m/>
    <m/>
    <s v="RAD-D250H 238568"/>
    <n v="3380"/>
    <n v="0.61538461538461542"/>
    <s v="Shops Highest Price"/>
    <m/>
    <s v="238568"/>
  </r>
  <r>
    <n v="3787"/>
    <s v="Broadway"/>
    <s v="APM"/>
    <x v="55"/>
    <n v="3"/>
    <x v="13"/>
    <x v="72"/>
    <s v="壓縮式抽濕機 (25公升)"/>
    <s v="細電"/>
    <s v="RAC"/>
    <s v="d250"/>
    <n v="1"/>
    <n v="2180"/>
    <n v="2180"/>
    <n v="238573"/>
    <m/>
    <m/>
    <s v="RAD-D250H 238573"/>
    <n v="3380"/>
    <n v="0.6449704142011834"/>
    <s v="Shops Highest Price"/>
    <m/>
    <s v="238573"/>
  </r>
  <r>
    <n v="3788"/>
    <s v="Broadway"/>
    <s v="APM"/>
    <x v="55"/>
    <n v="3"/>
    <x v="13"/>
    <x v="68"/>
    <s v="旋鈕式微波爐 (20公升)"/>
    <s v="細電"/>
    <s v="MCA"/>
    <s v="2mm20"/>
    <n v="1"/>
    <n v="598"/>
    <n v="598"/>
    <n v="238575"/>
    <m/>
    <m/>
    <s v="MM-2MM20PC(WH) 238575"/>
    <n v="738"/>
    <n v="0.81029810298102978"/>
    <s v="Toshiba SRP"/>
    <m/>
    <s v="238575"/>
  </r>
  <r>
    <n v="3789"/>
    <s v="Broadway"/>
    <s v="APM"/>
    <x v="55"/>
    <n v="3"/>
    <x v="13"/>
    <x v="77"/>
    <s v="470MM超薄身前置式變頻洗衣乾衣機 (洗8.5公斤/乾6公斤, 可飛頂)"/>
    <s v="大電"/>
    <s v="LAD"/>
    <s v="twdt22"/>
    <n v="1"/>
    <n v="4780"/>
    <n v="4780"/>
    <n v="238575"/>
    <m/>
    <m/>
    <s v="TWD-T22BU95UWH(WK)-B 238575"/>
    <n v="7480"/>
    <n v="0.63903743315508021"/>
    <s v="Toshiba SRP"/>
    <m/>
    <s v="238575"/>
  </r>
  <r>
    <n v="3790"/>
    <s v="Broadway"/>
    <s v="APM"/>
    <x v="55"/>
    <n v="3"/>
    <x v="13"/>
    <x v="72"/>
    <s v="壓縮式抽濕機 (25公升)"/>
    <s v="細電"/>
    <s v="RAC"/>
    <s v="d250"/>
    <n v="1"/>
    <n v="2080"/>
    <n v="2080"/>
    <n v="238581"/>
    <m/>
    <m/>
    <s v="RAD-D250H 238581"/>
    <n v="3380"/>
    <n v="0.61538461538461542"/>
    <s v="Shops Highest Price"/>
    <m/>
    <s v="238581"/>
  </r>
  <r>
    <n v="3791"/>
    <s v="Broadway"/>
    <s v="APM"/>
    <x v="55"/>
    <n v="3"/>
    <x v="13"/>
    <x v="77"/>
    <s v="470MM超薄身前置式變頻洗衣乾衣機 (洗8.5公斤/乾6公斤, 可飛頂)"/>
    <s v="大電"/>
    <s v="LAD"/>
    <s v="twdt22"/>
    <n v="1"/>
    <n v="4780"/>
    <n v="4780"/>
    <n v="238584"/>
    <m/>
    <m/>
    <s v="TWD-T22BU95UWH(WK)-B 238584"/>
    <n v="7480"/>
    <n v="0.63903743315508021"/>
    <s v="Toshiba SRP"/>
    <m/>
    <s v="238584"/>
  </r>
  <r>
    <n v="3792"/>
    <s v="Broadway"/>
    <s v="APM"/>
    <x v="55"/>
    <n v="3"/>
    <x v="13"/>
    <x v="31"/>
    <s v="無線雙層電熱水壺(1.7公升)"/>
    <s v="細電"/>
    <s v="SDA"/>
    <s v="17drt"/>
    <n v="1"/>
    <n v="388"/>
    <n v="388"/>
    <n v="8678"/>
    <m/>
    <m/>
    <s v="KT-17DRTHK(H) 8678"/>
    <n v="498"/>
    <n v="0.77911646586345384"/>
    <s v="Toshiba SRP"/>
    <m/>
    <s v="8678"/>
  </r>
  <r>
    <n v="3793"/>
    <s v="Broadway"/>
    <s v="APM"/>
    <x v="55"/>
    <n v="3"/>
    <x v="13"/>
    <x v="72"/>
    <s v="壓縮式抽濕機 (25公升)"/>
    <s v="細電"/>
    <s v="RAC"/>
    <s v="d250"/>
    <n v="1"/>
    <n v="2080"/>
    <n v="2080"/>
    <n v="8672"/>
    <m/>
    <m/>
    <s v="RAD-D250H 8672"/>
    <n v="3380"/>
    <n v="0.61538461538461542"/>
    <s v="Shops Highest Price"/>
    <m/>
    <s v="8672"/>
  </r>
  <r>
    <n v="3794"/>
    <s v="Broadway"/>
    <s v="APM"/>
    <x v="55"/>
    <n v="3"/>
    <x v="1"/>
    <x v="31"/>
    <s v="無線雙層電熱水壺(1.7公升)"/>
    <s v="細電"/>
    <s v="SDA"/>
    <s v="17drt"/>
    <n v="1"/>
    <n v="388"/>
    <n v="388"/>
    <n v="238613"/>
    <m/>
    <m/>
    <s v="KT-17DRTHK(H) 238613"/>
    <n v="498"/>
    <n v="0.77911646586345384"/>
    <s v="Toshiba SRP"/>
    <m/>
    <s v="238613"/>
  </r>
  <r>
    <n v="3795"/>
    <s v="Broadway"/>
    <s v="APM"/>
    <x v="55"/>
    <n v="3"/>
    <x v="1"/>
    <x v="31"/>
    <s v="無線雙層電熱水壺(1.7公升)"/>
    <s v="細電"/>
    <s v="SDA"/>
    <s v="17drt"/>
    <n v="1"/>
    <n v="388"/>
    <n v="388"/>
    <n v="1049"/>
    <m/>
    <m/>
    <s v="KT-17DRTHK(H) 1049"/>
    <n v="498"/>
    <n v="0.77911646586345384"/>
    <s v="Toshiba SRP"/>
    <m/>
    <s v="1049"/>
  </r>
  <r>
    <n v="3796"/>
    <s v="Broadway"/>
    <s v="APM"/>
    <x v="55"/>
    <n v="3"/>
    <x v="1"/>
    <x v="72"/>
    <s v="壓縮式抽濕機 (25公升)"/>
    <s v="細電"/>
    <s v="RAC"/>
    <s v="d250"/>
    <n v="1"/>
    <n v="2080"/>
    <n v="2080"/>
    <n v="238622"/>
    <m/>
    <m/>
    <s v="RAD-D250H 238622"/>
    <n v="3380"/>
    <n v="0.61538461538461542"/>
    <s v="Shops Highest Price"/>
    <m/>
    <s v="238622"/>
  </r>
  <r>
    <n v="3797"/>
    <s v="Broadway"/>
    <s v="APM"/>
    <x v="55"/>
    <n v="3"/>
    <x v="1"/>
    <x v="72"/>
    <s v="壓縮式抽濕機 (25公升)"/>
    <s v="細電"/>
    <s v="RAC"/>
    <s v="d250"/>
    <n v="1"/>
    <n v="2080"/>
    <n v="2080"/>
    <n v="238603"/>
    <m/>
    <m/>
    <s v="RAD-D250H 238603"/>
    <n v="3380"/>
    <n v="0.61538461538461542"/>
    <s v="Shops Highest Price"/>
    <m/>
    <s v="238603"/>
  </r>
  <r>
    <n v="3798"/>
    <s v="Broadway"/>
    <s v="APM"/>
    <x v="55"/>
    <n v="3"/>
    <x v="1"/>
    <x v="47"/>
    <s v="磁應電飯煲(1公升)"/>
    <s v="細電"/>
    <s v="SDA"/>
    <s v="10iss"/>
    <n v="1"/>
    <n v="938"/>
    <n v="938"/>
    <n v="1163"/>
    <m/>
    <m/>
    <s v="RC-10ISSHK(W) 1163"/>
    <n v="1188"/>
    <n v="0.78956228956228958"/>
    <s v="Shops Highest Price"/>
    <m/>
    <s v="1163"/>
  </r>
  <r>
    <n v="3799"/>
    <s v="Broadway"/>
    <s v="APM"/>
    <x v="55"/>
    <n v="3"/>
    <x v="1"/>
    <x v="31"/>
    <s v="無線雙層電熱水壺(1.7公升)"/>
    <s v="細電"/>
    <s v="SDA"/>
    <s v="17drt"/>
    <n v="1"/>
    <n v="388"/>
    <n v="388"/>
    <n v="1163"/>
    <m/>
    <m/>
    <s v="KT-17DRTHK(H) 1163"/>
    <n v="498"/>
    <n v="0.77911646586345384"/>
    <s v="Toshiba SRP"/>
    <m/>
    <s v="1163"/>
  </r>
  <r>
    <n v="3800"/>
    <s v="Broadway"/>
    <s v="APM"/>
    <x v="55"/>
    <n v="3"/>
    <x v="1"/>
    <x v="36"/>
    <s v="輕觸式微波爐 (20公升)"/>
    <s v="細電"/>
    <s v="MCA"/>
    <s v="em20"/>
    <n v="1"/>
    <n v="598"/>
    <n v="598"/>
    <n v="13999"/>
    <m/>
    <m/>
    <s v="MM2-EM20PC(WH) 13999"/>
    <n v="788"/>
    <n v="0.75888324873096447"/>
    <s v="Toshiba SRP"/>
    <m/>
    <s v="13999"/>
  </r>
  <r>
    <n v="3801"/>
    <s v="Broadway"/>
    <s v="APM"/>
    <x v="55"/>
    <n v="3"/>
    <x v="1"/>
    <x v="17"/>
    <s v="4毫米厚釜電飯煲1L"/>
    <s v="細電"/>
    <s v="SDA"/>
    <s v="10nmf"/>
    <n v="1"/>
    <n v="718"/>
    <n v="718"/>
    <n v="10175"/>
    <m/>
    <m/>
    <s v="RC-10NMFIH(WT) 10175"/>
    <n v="898"/>
    <n v="0.79955456570155903"/>
    <s v="Toshiba SRP"/>
    <m/>
    <s v="10175"/>
  </r>
  <r>
    <n v="3802"/>
    <s v="Broadway"/>
    <s v="APM"/>
    <x v="55"/>
    <n v="3"/>
    <x v="1"/>
    <x v="39"/>
    <s v="酵活炊電飯煲(1.0公升)"/>
    <s v="細電"/>
    <s v="SDA"/>
    <s v="10amx"/>
    <n v="1"/>
    <n v="990"/>
    <n v="990"/>
    <n v="238634"/>
    <m/>
    <m/>
    <s v="RC-10AMXH(W) 238634"/>
    <n v="1288"/>
    <n v="0.76863354037267084"/>
    <s v="Toshiba SRP"/>
    <m/>
    <s v="238634"/>
  </r>
  <r>
    <n v="3803"/>
    <s v="Broadway"/>
    <s v="APM"/>
    <x v="55"/>
    <n v="3"/>
    <x v="1"/>
    <x v="72"/>
    <s v="壓縮式抽濕機 (25公升)"/>
    <s v="細電"/>
    <s v="RAC"/>
    <s v="d250"/>
    <n v="1"/>
    <n v="2080"/>
    <n v="2080"/>
    <n v="238635"/>
    <m/>
    <m/>
    <s v="RAD-D250H 238635"/>
    <n v="3380"/>
    <n v="0.61538461538461542"/>
    <s v="Shops Highest Price"/>
    <m/>
    <s v="238635"/>
  </r>
  <r>
    <n v="3804"/>
    <s v="Broadway"/>
    <s v="APM"/>
    <x v="55"/>
    <n v="3"/>
    <x v="1"/>
    <x v="72"/>
    <s v="壓縮式抽濕機 (25公升)"/>
    <s v="細電"/>
    <s v="RAC"/>
    <s v="d250"/>
    <n v="2"/>
    <n v="2080"/>
    <n v="4160"/>
    <n v="238644"/>
    <m/>
    <m/>
    <s v="RAD-D250H 238644"/>
    <n v="3380"/>
    <n v="0.61538461538461542"/>
    <s v="Shops Highest Price"/>
    <m/>
    <s v="238644"/>
  </r>
  <r>
    <n v="3805"/>
    <s v="Broadway"/>
    <s v="APM"/>
    <x v="55"/>
    <n v="3"/>
    <x v="2"/>
    <x v="40"/>
    <s v="400MM超薄身前置式變頻洗衣機(7公斤)"/>
    <s v="大電"/>
    <s v="LAD"/>
    <s v="bu80"/>
    <n v="1"/>
    <n v="3080"/>
    <n v="3080"/>
    <n v="238719"/>
    <m/>
    <m/>
    <s v="TW-T21BU80UWH(MG) 238719"/>
    <n v="5180"/>
    <n v="0.59459459459459463"/>
    <s v="Toshiba SRP"/>
    <m/>
    <s v="238719"/>
  </r>
  <r>
    <n v="3806"/>
    <s v="Broadway"/>
    <s v="APM"/>
    <x v="55"/>
    <n v="3"/>
    <x v="2"/>
    <x v="77"/>
    <s v="470MM超薄身前置式變頻洗衣乾衣機 (洗8.5公斤/乾6公斤, 可飛頂)"/>
    <s v="大電"/>
    <s v="LAD"/>
    <s v="twdt22"/>
    <n v="1"/>
    <n v="4780"/>
    <n v="4780"/>
    <n v="238736"/>
    <m/>
    <m/>
    <s v="TWD-T22BU95UWH(WK)-B 238736"/>
    <n v="7480"/>
    <n v="0.63903743315508021"/>
    <s v="Toshiba SRP"/>
    <m/>
    <s v="238736"/>
  </r>
  <r>
    <n v="3807"/>
    <s v="Broadway"/>
    <s v="APM"/>
    <x v="55"/>
    <n v="3"/>
    <x v="2"/>
    <x v="58"/>
    <s v="IH磁應電飯煲_x000a_鑽石銅鍋"/>
    <s v="細電"/>
    <s v="SDA"/>
    <s v="dr18tw"/>
    <n v="1"/>
    <n v="2780"/>
    <n v="2780"/>
    <n v="14013"/>
    <m/>
    <m/>
    <s v="RC-DR18T(W) 14013"/>
    <n v="3588"/>
    <n v="0.77480490523968781"/>
    <s v="Toshiba SRP"/>
    <m/>
    <s v="14013"/>
  </r>
  <r>
    <n v="3808"/>
    <s v="Broadway"/>
    <s v="APM"/>
    <x v="55"/>
    <n v="3"/>
    <x v="2"/>
    <x v="72"/>
    <s v="壓縮式抽濕機 (25公升)"/>
    <s v="細電"/>
    <s v="RAC"/>
    <s v="d250"/>
    <n v="1"/>
    <n v="2080"/>
    <n v="2080"/>
    <n v="8694"/>
    <m/>
    <m/>
    <s v="RAD-D250H 8694"/>
    <n v="3380"/>
    <n v="0.61538461538461542"/>
    <s v="Shops Highest Price"/>
    <m/>
    <s v="8694"/>
  </r>
  <r>
    <n v="3809"/>
    <s v="Broadway"/>
    <s v="APM"/>
    <x v="55"/>
    <n v="3"/>
    <x v="2"/>
    <x v="72"/>
    <s v="壓縮式抽濕機 (25公升)"/>
    <s v="細電"/>
    <s v="RAC"/>
    <s v="d250"/>
    <n v="1"/>
    <n v="2080"/>
    <n v="2080"/>
    <n v="8695"/>
    <m/>
    <m/>
    <s v="RAD-D250H 8695"/>
    <n v="3380"/>
    <n v="0.61538461538461542"/>
    <s v="Shops Highest Price"/>
    <m/>
    <s v="8695"/>
  </r>
  <r>
    <n v="3810"/>
    <s v="Broadway"/>
    <s v="APM"/>
    <x v="55"/>
    <n v="3"/>
    <x v="2"/>
    <x v="31"/>
    <s v="無線雙層電熱水壺(1.7公升)"/>
    <s v="細電"/>
    <s v="SDA"/>
    <s v="17drt"/>
    <n v="1"/>
    <n v="388"/>
    <n v="388"/>
    <n v="238721"/>
    <m/>
    <m/>
    <s v="KT-17DRTHK(H) 238721"/>
    <n v="498"/>
    <n v="0.77911646586345384"/>
    <s v="Toshiba SRP"/>
    <m/>
    <s v="238721"/>
  </r>
  <r>
    <n v="3811"/>
    <s v="Broadway"/>
    <s v="APM"/>
    <x v="55"/>
    <n v="3"/>
    <x v="9"/>
    <x v="66"/>
    <s v="變頻下置式雙門雪櫃（163L）"/>
    <s v="大電"/>
    <s v="REF"/>
    <s v="rb221"/>
    <n v="1"/>
    <n v="2280"/>
    <n v="2280"/>
    <n v="238761"/>
    <m/>
    <m/>
    <s v="GR-RB221WE-PMA(57) 238761"/>
    <n v="3480"/>
    <n v="0.65517241379310343"/>
    <s v="Toshiba SRP"/>
    <m/>
    <s v="238761"/>
  </r>
  <r>
    <n v="3812"/>
    <s v="Broadway"/>
    <s v="APM"/>
    <x v="55"/>
    <n v="3"/>
    <x v="9"/>
    <x v="40"/>
    <s v="400MM超薄身前置式變頻洗衣機(7公斤)"/>
    <s v="大電"/>
    <s v="LAD"/>
    <s v="bu80"/>
    <n v="1"/>
    <n v="3080"/>
    <n v="3080"/>
    <n v="238768"/>
    <m/>
    <m/>
    <s v="TW-T21BU80UWH(MG) 238768"/>
    <n v="5180"/>
    <n v="0.59459459459459463"/>
    <s v="Toshiba SRP"/>
    <m/>
    <s v="238768"/>
  </r>
  <r>
    <n v="3813"/>
    <s v="Broadway"/>
    <s v="APM"/>
    <x v="55"/>
    <n v="3"/>
    <x v="9"/>
    <x v="72"/>
    <s v="壓縮式抽濕機 (25公升)"/>
    <s v="細電"/>
    <s v="RAC"/>
    <s v="d250"/>
    <n v="1"/>
    <n v="2080"/>
    <n v="2080"/>
    <n v="1188"/>
    <m/>
    <m/>
    <s v="RAD-D250H 1188"/>
    <n v="3380"/>
    <n v="0.61538461538461542"/>
    <s v="Shops Highest Price"/>
    <m/>
    <s v="1188"/>
  </r>
  <r>
    <n v="3814"/>
    <s v="Broadway"/>
    <s v="APM"/>
    <x v="55"/>
    <n v="3"/>
    <x v="9"/>
    <x v="21"/>
    <s v="壓縮式抽濕機 (30公升)"/>
    <s v="細電"/>
    <s v="RAC"/>
    <s v="d300"/>
    <n v="1"/>
    <n v="2280"/>
    <n v="2280"/>
    <n v="8707"/>
    <m/>
    <m/>
    <s v="RAD-D300H 8707"/>
    <n v="3380"/>
    <n v="0.67455621301775148"/>
    <s v="Shops Highest Price"/>
    <m/>
    <s v="8707"/>
  </r>
  <r>
    <n v="3815"/>
    <s v="Broadway"/>
    <s v="APM"/>
    <x v="55"/>
    <n v="3"/>
    <x v="9"/>
    <x v="72"/>
    <s v="壓縮式抽濕機 (25公升)"/>
    <s v="細電"/>
    <s v="RAC"/>
    <s v="d250"/>
    <n v="1"/>
    <n v="2080"/>
    <n v="2080"/>
    <n v="1191"/>
    <m/>
    <m/>
    <s v="RAD-D250H 1191"/>
    <n v="3380"/>
    <n v="0.61538461538461542"/>
    <s v="Shops Highest Price"/>
    <m/>
    <s v="1191"/>
  </r>
  <r>
    <n v="3816"/>
    <s v="Broadway"/>
    <s v="APM"/>
    <x v="55"/>
    <n v="3"/>
    <x v="9"/>
    <x v="63"/>
    <s v="20L 智能蒸氣焗爐"/>
    <s v="細電"/>
    <s v="MCA"/>
    <s v="stq20"/>
    <n v="1"/>
    <n v="2100"/>
    <n v="2100"/>
    <n v="238794"/>
    <m/>
    <m/>
    <s v="MS3-STQ20SC(WH) 238794"/>
    <n v="2880"/>
    <n v="0.72916666666666663"/>
    <s v="Toshiba SRP"/>
    <m/>
    <s v="238794"/>
  </r>
  <r>
    <n v="3817"/>
    <s v="Broadway"/>
    <s v="APM"/>
    <x v="55"/>
    <n v="3"/>
    <x v="16"/>
    <x v="40"/>
    <s v="400MM超薄身前置式變頻洗衣機(7公斤)"/>
    <s v="大電"/>
    <s v="LAD"/>
    <s v="bu80"/>
    <n v="1"/>
    <n v="3180"/>
    <n v="3180"/>
    <n v="238801"/>
    <m/>
    <m/>
    <s v="TW-T21BU80UWH(MG) 238801"/>
    <n v="5180"/>
    <n v="0.61389961389961389"/>
    <s v="Toshiba SRP"/>
    <m/>
    <s v="238801"/>
  </r>
  <r>
    <n v="3818"/>
    <s v="Broadway"/>
    <s v="APM"/>
    <x v="55"/>
    <n v="3"/>
    <x v="16"/>
    <x v="74"/>
    <s v="4合1氣炸微波蒸焗爐(25公升)"/>
    <s v="細電"/>
    <s v="MCA"/>
    <s v="str25"/>
    <n v="1"/>
    <n v="3478"/>
    <n v="3478"/>
    <n v="238823"/>
    <m/>
    <m/>
    <s v="MX2-STR25SC(WH) 238823"/>
    <n v="4998"/>
    <n v="0.69587835134053622"/>
    <s v="Toshiba SRP"/>
    <m/>
    <s v="238823"/>
  </r>
  <r>
    <n v="3819"/>
    <s v="Broadway"/>
    <s v="APM"/>
    <x v="55"/>
    <n v="3"/>
    <x v="16"/>
    <x v="43"/>
    <s v="470MM超薄身前置式變頻洗衣機(8.5公斤, 可飛頂)"/>
    <s v="大電"/>
    <s v="LAD"/>
    <s v="t2295"/>
    <n v="1"/>
    <n v="3680"/>
    <n v="3680"/>
    <n v="238827"/>
    <m/>
    <m/>
    <s v="TW-T22BU95UWH(WK)-B 238827"/>
    <n v="5880"/>
    <n v="0.62585034013605445"/>
    <s v="Toshiba SRP"/>
    <m/>
    <s v="238827"/>
  </r>
  <r>
    <n v="3820"/>
    <s v="Broadway"/>
    <s v="APM"/>
    <x v="55"/>
    <n v="3"/>
    <x v="16"/>
    <x v="39"/>
    <s v="酵活炊電飯煲(1.0公升)"/>
    <s v="細電"/>
    <s v="SDA"/>
    <s v="10amx"/>
    <n v="1"/>
    <n v="990"/>
    <n v="990"/>
    <n v="238827"/>
    <m/>
    <m/>
    <s v="RC-10AMXH(W) 238827"/>
    <n v="1288"/>
    <n v="0.76863354037267084"/>
    <s v="Toshiba SRP"/>
    <m/>
    <s v="238827"/>
  </r>
  <r>
    <n v="3821"/>
    <s v="Broadway"/>
    <s v="APM"/>
    <x v="55"/>
    <n v="3"/>
    <x v="16"/>
    <x v="74"/>
    <s v="4合1氣炸微波蒸焗爐(25公升)"/>
    <s v="細電"/>
    <s v="MCA"/>
    <s v="str25"/>
    <n v="1"/>
    <n v="3478"/>
    <n v="3478"/>
    <n v="238834"/>
    <m/>
    <m/>
    <s v="MX2-STR25SC(WH) 238834"/>
    <n v="4998"/>
    <n v="0.69587835134053622"/>
    <s v="Toshiba SRP"/>
    <m/>
    <s v="238834"/>
  </r>
  <r>
    <n v="3822"/>
    <s v="Broadway"/>
    <s v="APM"/>
    <x v="55"/>
    <n v="3"/>
    <x v="16"/>
    <x v="26"/>
    <s v="變頻頂揭式洗衣機 (7.5公斤)"/>
    <s v="大電"/>
    <s v="LAD"/>
    <s v="cfk01w75"/>
    <n v="1"/>
    <n v="3580"/>
    <n v="3580"/>
    <n v="238835"/>
    <m/>
    <m/>
    <s v="CFK01W75 238835"/>
    <n v="3888"/>
    <n v="0.92078189300411528"/>
    <s v="Shops Highest Price"/>
    <m/>
    <s v="238835"/>
  </r>
  <r>
    <n v="3823"/>
    <s v="Broadway"/>
    <s v="APM"/>
    <x v="55"/>
    <n v="3"/>
    <x v="16"/>
    <x v="42"/>
    <s v="變頻下置式雙門雪櫃系列270L"/>
    <s v="大電"/>
    <s v="REF"/>
    <s v="rb360"/>
    <n v="1"/>
    <n v="3980"/>
    <n v="3980"/>
    <n v="238841"/>
    <m/>
    <m/>
    <s v="GR-RB360WE-PMA(06) 238841"/>
    <n v="5080"/>
    <n v="0.78346456692913391"/>
    <s v="Toshiba SRP"/>
    <m/>
    <s v="238841"/>
  </r>
  <r>
    <n v="3824"/>
    <s v="Broadway"/>
    <s v="APM"/>
    <x v="55"/>
    <n v="3"/>
    <x v="16"/>
    <x v="72"/>
    <s v="壓縮式抽濕機 (25公升)"/>
    <s v="細電"/>
    <s v="RAC"/>
    <s v="d250"/>
    <n v="1"/>
    <n v="2080"/>
    <n v="2080"/>
    <n v="238819"/>
    <m/>
    <m/>
    <s v="RAD-D250H 238819"/>
    <n v="3380"/>
    <n v="0.61538461538461542"/>
    <s v="Shops Highest Price"/>
    <m/>
    <s v="238819"/>
  </r>
  <r>
    <n v="3825"/>
    <s v="Broadway"/>
    <s v="APM"/>
    <x v="55"/>
    <n v="3"/>
    <x v="11"/>
    <x v="31"/>
    <s v="無線雙層電熱水壺(1.7公升)"/>
    <s v="細電"/>
    <s v="SDA"/>
    <s v="17drt"/>
    <n v="1"/>
    <n v="388"/>
    <n v="388"/>
    <n v="8723"/>
    <m/>
    <m/>
    <s v="KT-17DRTHK(H) 8723"/>
    <n v="498"/>
    <n v="0.77911646586345384"/>
    <s v="Toshiba SRP"/>
    <m/>
    <s v="8723"/>
  </r>
  <r>
    <n v="3826"/>
    <s v="Broadway"/>
    <s v="APM"/>
    <x v="55"/>
    <n v="3"/>
    <x v="11"/>
    <x v="78"/>
    <s v="變頻式環保雙門雪櫃（179L）"/>
    <s v="大電"/>
    <s v="REF"/>
    <s v="rt234"/>
    <n v="1"/>
    <n v="1980"/>
    <n v="1980"/>
    <n v="238862"/>
    <m/>
    <m/>
    <s v="GR-RT234WE-PMA(57) 238862"/>
    <n v="3680"/>
    <n v="0.53804347826086951"/>
    <s v="Toshiba SRP"/>
    <m/>
    <s v="238862"/>
  </r>
  <r>
    <n v="3827"/>
    <s v="Broadway"/>
    <s v="APM"/>
    <x v="55"/>
    <n v="3"/>
    <x v="11"/>
    <x v="71"/>
    <s v="輕觸式平板燒烤微波爐 (26公升)"/>
    <s v="細電"/>
    <s v="MCA"/>
    <s v="eg26"/>
    <n v="1"/>
    <n v="918"/>
    <n v="918"/>
    <n v="238865"/>
    <m/>
    <m/>
    <s v="MV2-EG26PEI(BK) 238865"/>
    <n v="1180"/>
    <n v="0.7779661016949152"/>
    <s v="Toshiba SRP"/>
    <m/>
    <s v="238865"/>
  </r>
  <r>
    <n v="3828"/>
    <s v="Broadway"/>
    <s v="APM"/>
    <x v="55"/>
    <n v="3"/>
    <x v="11"/>
    <x v="142"/>
    <s v="9吋雙擎雙葉DC循環風扇"/>
    <s v="細電"/>
    <s v="SDA"/>
    <s v="dsb800"/>
    <n v="1"/>
    <n v="768"/>
    <n v="768"/>
    <n v="238867"/>
    <m/>
    <m/>
    <s v="F-DSB800XHK(W) 238867"/>
    <n v="1500"/>
    <n v="0.51200000000000001"/>
    <s v="Shops Highest Price"/>
    <m/>
    <s v="238867"/>
  </r>
  <r>
    <n v="3829"/>
    <s v="Broadway"/>
    <s v="APM"/>
    <x v="55"/>
    <n v="3"/>
    <x v="4"/>
    <x v="87"/>
    <s v="變頻式環保雙門雪櫃(233L)"/>
    <s v="大電"/>
    <s v="REF"/>
    <s v="rt300"/>
    <n v="1"/>
    <n v="2780"/>
    <n v="2780"/>
    <n v="238884"/>
    <m/>
    <m/>
    <s v="GR-RT300WE-PMA(57) 238884"/>
    <n v="4280"/>
    <n v="0.64953271028037385"/>
    <s v="Toshiba SRP"/>
    <m/>
    <s v="238884"/>
  </r>
  <r>
    <n v="3830"/>
    <s v="Broadway"/>
    <s v="APM"/>
    <x v="55"/>
    <n v="3"/>
    <x v="4"/>
    <x v="33"/>
    <s v="輕觸式燒烤微波爐"/>
    <s v="細電"/>
    <s v="MCA"/>
    <s v="eg20"/>
    <n v="1"/>
    <n v="698"/>
    <n v="698"/>
    <n v="3394"/>
    <m/>
    <m/>
    <s v="MM2-EG20PC(WH) 3394"/>
    <n v="918"/>
    <n v="0.76034858387799564"/>
    <s v="Shops Highest Price"/>
    <m/>
    <s v="3394"/>
  </r>
  <r>
    <n v="3831"/>
    <s v="Broadway"/>
    <s v="APM"/>
    <x v="55"/>
    <n v="3"/>
    <x v="4"/>
    <x v="27"/>
    <s v="4毫米厚釜電飯煲1.8L"/>
    <s v="細電"/>
    <s v="SDA"/>
    <s v="18nmf"/>
    <n v="1"/>
    <n v="798"/>
    <n v="798"/>
    <n v="1238"/>
    <m/>
    <m/>
    <s v="RC-18NMFIH(WT) 1238"/>
    <n v="998"/>
    <n v="0.79959919839679361"/>
    <s v="Toshiba SRP"/>
    <m/>
    <s v="1238"/>
  </r>
  <r>
    <n v="3832"/>
    <s v="Broadway"/>
    <s v="APM"/>
    <x v="55"/>
    <n v="3"/>
    <x v="4"/>
    <x v="74"/>
    <s v="4合1氣炸微波蒸焗爐(25公升)"/>
    <s v="細電"/>
    <s v="MCA"/>
    <s v="str25"/>
    <n v="1"/>
    <n v="3478"/>
    <n v="3478"/>
    <n v="238928"/>
    <m/>
    <m/>
    <s v="MX2-STR25SC(WH) 238928"/>
    <n v="4998"/>
    <n v="0.69587835134053622"/>
    <s v="Toshiba SRP"/>
    <m/>
    <s v="238928"/>
  </r>
  <r>
    <n v="3833"/>
    <s v="Broadway"/>
    <s v="APM"/>
    <x v="55"/>
    <n v="3"/>
    <x v="4"/>
    <x v="31"/>
    <s v="無線雙層電熱水壺(1.7公升)"/>
    <s v="細電"/>
    <s v="SDA"/>
    <s v="17drt"/>
    <n v="1"/>
    <n v="388"/>
    <n v="388"/>
    <n v="8735"/>
    <m/>
    <m/>
    <s v="KT-17DRTHK(H) 8735"/>
    <n v="498"/>
    <n v="0.77911646586345384"/>
    <s v="Toshiba SRP"/>
    <m/>
    <s v="8735"/>
  </r>
  <r>
    <n v="3834"/>
    <s v="Broadway"/>
    <s v="APM"/>
    <x v="55"/>
    <n v="3"/>
    <x v="4"/>
    <x v="77"/>
    <s v="470MM超薄身前置式變頻洗衣乾衣機 (洗8.5公斤/乾6公斤, 可飛頂)"/>
    <s v="大電"/>
    <s v="LAD"/>
    <s v="twdt22"/>
    <n v="1"/>
    <n v="4780"/>
    <n v="4780"/>
    <n v="238950"/>
    <m/>
    <m/>
    <s v="TWD-T22BU95UWH(WK)-B 238950"/>
    <n v="7480"/>
    <n v="0.63903743315508021"/>
    <s v="Toshiba SRP"/>
    <m/>
    <s v="238950"/>
  </r>
  <r>
    <n v="3835"/>
    <s v="Broadway"/>
    <s v="APM"/>
    <x v="55"/>
    <n v="3"/>
    <x v="4"/>
    <x v="87"/>
    <s v="變頻式環保雙門雪櫃(233L)"/>
    <s v="大電"/>
    <s v="REF"/>
    <s v="rt300"/>
    <n v="1"/>
    <n v="2780"/>
    <n v="2780"/>
    <n v="238950"/>
    <m/>
    <m/>
    <s v="GR-RT300WE-PMA(57) 238950"/>
    <n v="4280"/>
    <n v="0.64953271028037385"/>
    <s v="Toshiba SRP"/>
    <m/>
    <s v="238950"/>
  </r>
  <r>
    <n v="3836"/>
    <s v="Broadway"/>
    <s v="APM"/>
    <x v="55"/>
    <n v="3"/>
    <x v="4"/>
    <x v="76"/>
    <s v="日式洗衣機 (7公斤 結合高低水位)"/>
    <s v="大電"/>
    <s v="LAD"/>
    <s v="q801"/>
    <n v="1"/>
    <n v="2080"/>
    <n v="2080"/>
    <n v="238958"/>
    <m/>
    <m/>
    <s v="AW-Q801APH(WW) 238958"/>
    <n v="3380"/>
    <n v="0.61538461538461542"/>
    <s v="Toshiba SRP"/>
    <m/>
    <s v="238958"/>
  </r>
  <r>
    <n v="3837"/>
    <s v="Broadway"/>
    <s v="APM"/>
    <x v="55"/>
    <n v="3"/>
    <x v="4"/>
    <x v="74"/>
    <s v="4合1氣炸微波蒸焗爐(25公升)"/>
    <s v="細電"/>
    <s v="MCA"/>
    <s v="str25"/>
    <n v="1"/>
    <n v="3478"/>
    <n v="3478"/>
    <n v="238962"/>
    <m/>
    <m/>
    <s v="MX2-STR25SC(WH) 238962"/>
    <n v="4998"/>
    <n v="0.69587835134053622"/>
    <s v="Toshiba SRP"/>
    <m/>
    <s v="238962"/>
  </r>
  <r>
    <n v="3838"/>
    <s v="Broadway"/>
    <s v="APM"/>
    <x v="55"/>
    <n v="3"/>
    <x v="4"/>
    <x v="68"/>
    <s v="旋鈕式微波爐 (20公升)"/>
    <s v="細電"/>
    <s v="MCA"/>
    <s v="2mm20"/>
    <n v="1"/>
    <n v="598"/>
    <n v="598"/>
    <n v="238978"/>
    <m/>
    <m/>
    <s v="MM-2MM20PC(WH) 238978"/>
    <n v="738"/>
    <n v="0.81029810298102978"/>
    <s v="Toshiba SRP"/>
    <m/>
    <s v="238978"/>
  </r>
  <r>
    <n v="3839"/>
    <s v="Broadway"/>
    <s v="APM"/>
    <x v="55"/>
    <n v="3"/>
    <x v="4"/>
    <x v="40"/>
    <s v="400MM超薄身前置式變頻洗衣機(7公斤)"/>
    <s v="大電"/>
    <s v="LAD"/>
    <s v="bu80"/>
    <n v="1"/>
    <n v="3180"/>
    <n v="3180"/>
    <n v="238991"/>
    <m/>
    <m/>
    <s v="TW-T21BU80UWH(MG) 238991"/>
    <n v="5180"/>
    <n v="0.61389961389961389"/>
    <s v="Toshiba SRP"/>
    <m/>
    <s v="238991"/>
  </r>
  <r>
    <n v="3840"/>
    <s v="Broadway"/>
    <s v="APM"/>
    <x v="55"/>
    <n v="3"/>
    <x v="4"/>
    <x v="40"/>
    <s v="400MM超薄身前置式變頻洗衣機(7公斤)"/>
    <s v="大電"/>
    <s v="LAD"/>
    <s v="bu80"/>
    <n v="1"/>
    <n v="3080"/>
    <n v="3080"/>
    <n v="238996"/>
    <m/>
    <m/>
    <s v="TW-T21BU80UWH(MG) 238996"/>
    <n v="5180"/>
    <n v="0.59459459459459463"/>
    <s v="Toshiba SRP"/>
    <m/>
    <s v="238996"/>
  </r>
  <r>
    <n v="3841"/>
    <s v="Broadway"/>
    <s v="APM"/>
    <x v="55"/>
    <n v="3"/>
    <x v="4"/>
    <x v="68"/>
    <s v="旋鈕式微波爐 (20公升)"/>
    <s v="細電"/>
    <s v="MCA"/>
    <s v="2mm20"/>
    <n v="1"/>
    <n v="598"/>
    <n v="598"/>
    <n v="238982"/>
    <m/>
    <m/>
    <s v="MM-2MM20PC(WH) 238982"/>
    <n v="738"/>
    <n v="0.81029810298102978"/>
    <s v="Toshiba SRP"/>
    <m/>
    <s v="238982"/>
  </r>
  <r>
    <n v="3842"/>
    <s v="Broadway"/>
    <s v="APM"/>
    <x v="55"/>
    <n v="3"/>
    <x v="14"/>
    <x v="33"/>
    <s v="輕觸式燒烤微波爐"/>
    <s v="細電"/>
    <s v="MCA"/>
    <s v="eg20"/>
    <n v="1"/>
    <n v="698"/>
    <n v="698"/>
    <n v="10251"/>
    <m/>
    <m/>
    <s v="MM2-EG20PC(WH) 10251"/>
    <n v="918"/>
    <n v="0.76034858387799564"/>
    <s v="Shops Highest Price"/>
    <m/>
    <s v="10251"/>
  </r>
  <r>
    <n v="3843"/>
    <s v="Broadway"/>
    <s v="APM"/>
    <x v="55"/>
    <n v="3"/>
    <x v="14"/>
    <x v="121"/>
    <s v="IH磁應電飯煲"/>
    <s v="細電"/>
    <s v="SDA"/>
    <s v="ds10kw"/>
    <n v="1"/>
    <n v="3150"/>
    <n v="3150"/>
    <n v="239016"/>
    <m/>
    <m/>
    <s v="RC-DS10K(N) 239016"/>
    <n v="4588"/>
    <n v="0.68657367044463824"/>
    <s v="Toshiba SRP"/>
    <m/>
    <s v="239016"/>
  </r>
  <r>
    <n v="3844"/>
    <s v="Broadway"/>
    <s v="APM"/>
    <x v="55"/>
    <n v="3"/>
    <x v="14"/>
    <x v="72"/>
    <s v="壓縮式抽濕機 (25公升)"/>
    <s v="細電"/>
    <s v="RAC"/>
    <s v="d250"/>
    <n v="1"/>
    <n v="2080"/>
    <n v="2080"/>
    <n v="239016"/>
    <m/>
    <m/>
    <s v="RAD-D250H 239016"/>
    <n v="3380"/>
    <n v="0.61538461538461542"/>
    <s v="Shops Highest Price"/>
    <m/>
    <s v="239016"/>
  </r>
  <r>
    <n v="3845"/>
    <s v="Broadway"/>
    <s v="APM"/>
    <x v="55"/>
    <n v="3"/>
    <x v="14"/>
    <x v="43"/>
    <s v="470MM超薄身前置式變頻洗衣機(8.5公斤, 可飛頂)"/>
    <s v="大電"/>
    <s v="LAD"/>
    <s v="t2295"/>
    <n v="1"/>
    <n v="3680"/>
    <n v="3680"/>
    <n v="239017"/>
    <m/>
    <m/>
    <s v="TW-T22BU95UWH(WK)-B 239017"/>
    <n v="5880"/>
    <n v="0.62585034013605445"/>
    <s v="Toshiba SRP"/>
    <m/>
    <s v="239017"/>
  </r>
  <r>
    <n v="3846"/>
    <s v="Broadway"/>
    <s v="APM"/>
    <x v="55"/>
    <n v="3"/>
    <x v="14"/>
    <x v="74"/>
    <s v="4合1氣炸微波蒸焗爐(25公升)"/>
    <s v="細電"/>
    <s v="MCA"/>
    <s v="str25"/>
    <n v="1"/>
    <n v="3180"/>
    <n v="3180"/>
    <n v="239023"/>
    <m/>
    <m/>
    <s v="MX2-STR25SC(WH) 239023"/>
    <n v="4998"/>
    <n v="0.6362545018007203"/>
    <s v="Toshiba SRP"/>
    <m/>
    <s v="239023"/>
  </r>
  <r>
    <n v="3847"/>
    <s v="Broadway"/>
    <s v="APM"/>
    <x v="55"/>
    <n v="3"/>
    <x v="14"/>
    <x v="85"/>
    <s v="旗艦級變頻三門雪櫃 (300L)"/>
    <s v="大電"/>
    <s v="REF"/>
    <s v="rm469"/>
    <n v="1"/>
    <n v="6489"/>
    <n v="6489"/>
    <n v="239022"/>
    <m/>
    <m/>
    <s v="GR-RM469WE-PGA(B3) 239022"/>
    <n v="8990"/>
    <n v="0.72180200222469415"/>
    <s v="Toshiba SRP"/>
    <m/>
    <s v="239022"/>
  </r>
  <r>
    <n v="3848"/>
    <s v="Broadway"/>
    <s v="APM"/>
    <x v="55"/>
    <n v="3"/>
    <x v="14"/>
    <x v="29"/>
    <s v="酵活炊磁應電飯煲"/>
    <s v="細電"/>
    <s v="SDA"/>
    <s v="10bh"/>
    <n v="1"/>
    <n v="1688"/>
    <n v="1688"/>
    <n v="10249"/>
    <m/>
    <m/>
    <s v="RC-10BHH(W) 10249"/>
    <n v="2088"/>
    <n v="0.80842911877394641"/>
    <s v="Shops Highest Price"/>
    <m/>
    <s v="10249"/>
  </r>
  <r>
    <n v="3849"/>
    <s v="Broadway"/>
    <s v="APM"/>
    <x v="55"/>
    <n v="3"/>
    <x v="14"/>
    <x v="26"/>
    <s v="變頻頂揭式洗衣機 (7.5公斤)"/>
    <s v="大電"/>
    <s v="LAD"/>
    <s v="cfk01w75"/>
    <n v="1"/>
    <n v="3580"/>
    <n v="3580"/>
    <n v="239025"/>
    <m/>
    <m/>
    <s v="CFK01W75 239025"/>
    <n v="3888"/>
    <n v="0.92078189300411528"/>
    <s v="Shops Highest Price"/>
    <m/>
    <s v="239025"/>
  </r>
  <r>
    <n v="3850"/>
    <s v="Broadway"/>
    <s v="APM"/>
    <x v="55"/>
    <n v="3"/>
    <x v="14"/>
    <x v="72"/>
    <s v="壓縮式抽濕機 (25公升)"/>
    <s v="細電"/>
    <s v="RAC"/>
    <s v="d250"/>
    <n v="1"/>
    <n v="2080"/>
    <n v="2080"/>
    <n v="239001"/>
    <m/>
    <m/>
    <s v="RAD-D250H 239001"/>
    <n v="3380"/>
    <n v="0.61538461538461542"/>
    <s v="Shops Highest Price"/>
    <m/>
    <s v="239001"/>
  </r>
  <r>
    <n v="3851"/>
    <s v="Broadway"/>
    <s v="APM"/>
    <x v="55"/>
    <n v="3"/>
    <x v="14"/>
    <x v="72"/>
    <s v="壓縮式抽濕機 (25公升)"/>
    <s v="細電"/>
    <s v="RAC"/>
    <s v="d250"/>
    <n v="1"/>
    <n v="2080"/>
    <n v="2080"/>
    <n v="239032"/>
    <m/>
    <m/>
    <s v="RAD-D250H 239032"/>
    <n v="3380"/>
    <n v="0.61538461538461542"/>
    <s v="Shops Highest Price"/>
    <m/>
    <s v="239032"/>
  </r>
  <r>
    <n v="3852"/>
    <s v="Broadway"/>
    <s v="APM"/>
    <x v="55"/>
    <n v="3"/>
    <x v="18"/>
    <x v="72"/>
    <s v="壓縮式抽濕機 (25公升)"/>
    <s v="細電"/>
    <s v="RAC"/>
    <s v="d250"/>
    <n v="1"/>
    <n v="2080"/>
    <n v="2080"/>
    <n v="239037"/>
    <m/>
    <m/>
    <s v="RAD-D250H 239037"/>
    <n v="3380"/>
    <n v="0.61538461538461542"/>
    <s v="Shops Highest Price"/>
    <m/>
    <s v="239037"/>
  </r>
  <r>
    <n v="3853"/>
    <s v="Broadway"/>
    <s v="APM"/>
    <x v="55"/>
    <n v="3"/>
    <x v="18"/>
    <x v="42"/>
    <s v="變頻下置式雙門雪櫃系列270L"/>
    <s v="大電"/>
    <s v="REF"/>
    <s v="rb360"/>
    <n v="1"/>
    <n v="3680"/>
    <n v="3680"/>
    <n v="239042"/>
    <m/>
    <m/>
    <s v="GR-RB360WE-PMA(06) 239042"/>
    <n v="5080"/>
    <n v="0.72440944881889768"/>
    <s v="Toshiba SRP"/>
    <m/>
    <s v="239042"/>
  </r>
  <r>
    <n v="3854"/>
    <s v="Broadway"/>
    <s v="APM"/>
    <x v="55"/>
    <n v="3"/>
    <x v="18"/>
    <x v="50"/>
    <s v="輕便式電磁爐7個功能"/>
    <s v="細電"/>
    <s v="SDA"/>
    <s v="s19"/>
    <n v="1"/>
    <n v="493"/>
    <n v="493"/>
    <n v="10262"/>
    <m/>
    <m/>
    <s v="IC-S19RH 10262"/>
    <n v="638"/>
    <n v="0.77272727272727271"/>
    <s v="Toshiba SRP"/>
    <m/>
    <s v="10262"/>
  </r>
  <r>
    <n v="3855"/>
    <s v="Broadway"/>
    <s v="APM"/>
    <x v="55"/>
    <n v="3"/>
    <x v="18"/>
    <x v="27"/>
    <s v="4毫米厚釜電飯煲1.8L"/>
    <s v="細電"/>
    <s v="SDA"/>
    <s v="18nmf"/>
    <n v="1"/>
    <n v="798"/>
    <n v="798"/>
    <n v="239064"/>
    <m/>
    <m/>
    <s v="RC-18NMFIH(WT) 239064"/>
    <n v="998"/>
    <n v="0.79959919839679361"/>
    <s v="Toshiba SRP"/>
    <m/>
    <s v="239064"/>
  </r>
  <r>
    <n v="3856"/>
    <s v="Broadway"/>
    <s v="APM"/>
    <x v="55"/>
    <n v="3"/>
    <x v="18"/>
    <x v="68"/>
    <s v="旋鈕式微波爐 (20公升)"/>
    <s v="細電"/>
    <s v="MCA"/>
    <s v="2mm20"/>
    <n v="1"/>
    <n v="598"/>
    <n v="598"/>
    <n v="239065"/>
    <m/>
    <m/>
    <s v="MM-2MM20PC(WH) 239065"/>
    <n v="738"/>
    <n v="0.81029810298102978"/>
    <s v="Toshiba SRP"/>
    <m/>
    <s v="239065"/>
  </r>
  <r>
    <n v="3857"/>
    <s v="Broadway"/>
    <s v="APM"/>
    <x v="55"/>
    <n v="3"/>
    <x v="18"/>
    <x v="50"/>
    <s v="輕便式電磁爐7個功能"/>
    <s v="細電"/>
    <s v="SDA"/>
    <s v="s19"/>
    <n v="1"/>
    <n v="493"/>
    <n v="493"/>
    <n v="1262"/>
    <m/>
    <m/>
    <s v="IC-S19RH 1262"/>
    <n v="638"/>
    <n v="0.77272727272727271"/>
    <s v="Toshiba SRP"/>
    <m/>
    <s v="1262"/>
  </r>
  <r>
    <n v="3858"/>
    <s v="Broadway"/>
    <s v="APM"/>
    <x v="55"/>
    <n v="3"/>
    <x v="18"/>
    <x v="68"/>
    <s v="旋鈕式微波爐 (20公升)"/>
    <s v="細電"/>
    <s v="MCA"/>
    <s v="2mm20"/>
    <n v="1"/>
    <n v="598"/>
    <n v="598"/>
    <n v="6628"/>
    <m/>
    <m/>
    <s v="MM-2MM20PC(WH) 6628"/>
    <n v="738"/>
    <n v="0.81029810298102978"/>
    <s v="Toshiba SRP"/>
    <m/>
    <s v="6628"/>
  </r>
  <r>
    <n v="3859"/>
    <s v="Broadway"/>
    <s v="APM"/>
    <x v="55"/>
    <n v="3"/>
    <x v="18"/>
    <x v="48"/>
    <s v="3合1 微波蒸焗爐 (20公升)"/>
    <s v="細電"/>
    <s v="MCA"/>
    <s v="tt20"/>
    <n v="1"/>
    <n v="2480"/>
    <n v="2480"/>
    <n v="239076"/>
    <m/>
    <m/>
    <s v="MX2-TT20SC(WH) 239076"/>
    <n v="3580"/>
    <n v="0.69273743016759781"/>
    <s v="Toshiba SRP"/>
    <m/>
    <s v="239076"/>
  </r>
  <r>
    <n v="3860"/>
    <s v="Broadway"/>
    <s v="APM"/>
    <x v="55"/>
    <n v="3"/>
    <x v="18"/>
    <x v="42"/>
    <s v="變頻下置式雙門雪櫃系列270L"/>
    <s v="大電"/>
    <s v="REF"/>
    <s v="rb360"/>
    <n v="1"/>
    <n v="3680"/>
    <n v="3680"/>
    <n v="239063"/>
    <m/>
    <m/>
    <s v="GR-RB360WE-PMA(06) 239063"/>
    <n v="5080"/>
    <n v="0.72440944881889768"/>
    <s v="Toshiba SRP"/>
    <m/>
    <s v="239063"/>
  </r>
  <r>
    <n v="3861"/>
    <s v="Broadway"/>
    <s v="APM"/>
    <x v="55"/>
    <n v="3"/>
    <x v="18"/>
    <x v="74"/>
    <s v="4合1氣炸微波蒸焗爐(25公升)"/>
    <s v="細電"/>
    <s v="MCA"/>
    <s v="str25"/>
    <n v="1"/>
    <n v="3180"/>
    <n v="3180"/>
    <n v="239080"/>
    <m/>
    <m/>
    <s v="MX2-STR25SC(WH) 239080"/>
    <n v="4998"/>
    <n v="0.6362545018007203"/>
    <s v="Toshiba SRP"/>
    <m/>
    <s v="239080"/>
  </r>
  <r>
    <n v="3862"/>
    <s v="Broadway"/>
    <s v="APM"/>
    <x v="55"/>
    <n v="3"/>
    <x v="18"/>
    <x v="68"/>
    <s v="旋鈕式微波爐 (20公升)"/>
    <s v="細電"/>
    <s v="MCA"/>
    <s v="2mm20"/>
    <n v="1"/>
    <n v="598"/>
    <n v="598"/>
    <n v="239117"/>
    <m/>
    <m/>
    <s v="MM-2MM20PC(WH) 239117"/>
    <n v="738"/>
    <n v="0.81029810298102978"/>
    <s v="Toshiba SRP"/>
    <m/>
    <s v="239117"/>
  </r>
  <r>
    <n v="3863"/>
    <s v="Broadway"/>
    <s v="APM"/>
    <x v="55"/>
    <n v="3"/>
    <x v="18"/>
    <x v="36"/>
    <s v="輕觸式微波爐 (20公升)"/>
    <s v="細電"/>
    <s v="MCA"/>
    <s v="em20"/>
    <n v="1"/>
    <n v="598"/>
    <n v="598"/>
    <n v="509"/>
    <m/>
    <m/>
    <s v="MM2-EM20PC(WH) 509"/>
    <n v="788"/>
    <n v="0.75888324873096447"/>
    <s v="Toshiba SRP"/>
    <m/>
    <s v="509"/>
  </r>
  <r>
    <n v="3864"/>
    <s v="Broadway"/>
    <s v="APM"/>
    <x v="55"/>
    <n v="3"/>
    <x v="18"/>
    <x v="77"/>
    <s v="470MM超薄身前置式變頻洗衣乾衣機 (洗8.5公斤/乾6公斤, 可飛頂)"/>
    <s v="大電"/>
    <s v="LAD"/>
    <s v="twdt22"/>
    <n v="1"/>
    <n v="4780"/>
    <n v="4780"/>
    <n v="239134"/>
    <m/>
    <m/>
    <s v="TWD-T22BU95UWH(WK)-B 239134"/>
    <n v="7480"/>
    <n v="0.63903743315508021"/>
    <s v="Toshiba SRP"/>
    <m/>
    <s v="239134"/>
  </r>
  <r>
    <n v="3865"/>
    <s v="Broadway"/>
    <s v="APM"/>
    <x v="55"/>
    <n v="3"/>
    <x v="18"/>
    <x v="74"/>
    <s v="4合1氣炸微波蒸焗爐(25公升)"/>
    <s v="細電"/>
    <s v="MCA"/>
    <s v="str25"/>
    <n v="1"/>
    <n v="3180"/>
    <n v="3180"/>
    <n v="239137"/>
    <m/>
    <m/>
    <s v="MX2-STR25SC(WH) 239137"/>
    <n v="4998"/>
    <n v="0.6362545018007203"/>
    <s v="Toshiba SRP"/>
    <m/>
    <s v="239137"/>
  </r>
  <r>
    <n v="3866"/>
    <s v="Broadway"/>
    <s v="APM"/>
    <x v="55"/>
    <n v="3"/>
    <x v="18"/>
    <x v="27"/>
    <s v="4毫米厚釜電飯煲1.8L"/>
    <s v="細電"/>
    <s v="SDA"/>
    <s v="18nmf"/>
    <n v="1"/>
    <n v="798"/>
    <n v="798"/>
    <n v="1266"/>
    <m/>
    <m/>
    <s v="RC-18NMFIH(WT) 1266"/>
    <n v="998"/>
    <n v="0.79959919839679361"/>
    <s v="Toshiba SRP"/>
    <m/>
    <s v="1266"/>
  </r>
  <r>
    <n v="3867"/>
    <s v="Broadway"/>
    <s v="APM"/>
    <x v="55"/>
    <n v="3"/>
    <x v="18"/>
    <x v="118"/>
    <s v="IH磁應電飯煲"/>
    <s v="細電"/>
    <s v="SDA"/>
    <s v="dz4k"/>
    <n v="1"/>
    <n v="2980"/>
    <n v="2980"/>
    <n v="239111"/>
    <m/>
    <m/>
    <s v="RC-DZ4K(N) 239111"/>
    <n v="3888"/>
    <n v="0.76646090534979427"/>
    <s v="Shops Highest Price"/>
    <m/>
    <s v="239111"/>
  </r>
  <r>
    <n v="3868"/>
    <s v="Broadway"/>
    <s v="APM"/>
    <x v="55"/>
    <n v="3"/>
    <x v="19"/>
    <x v="68"/>
    <s v="旋鈕式微波爐 (20公升)"/>
    <s v="細電"/>
    <s v="MCA"/>
    <s v="2mm20"/>
    <n v="1"/>
    <n v="598"/>
    <n v="598"/>
    <n v="1277"/>
    <m/>
    <m/>
    <s v="MM-2MM20PC(WH) 1277"/>
    <n v="738"/>
    <n v="0.81029810298102978"/>
    <s v="Toshiba SRP"/>
    <m/>
    <s v="1277"/>
  </r>
  <r>
    <n v="3869"/>
    <s v="Broadway"/>
    <s v="APM"/>
    <x v="55"/>
    <n v="3"/>
    <x v="19"/>
    <x v="26"/>
    <s v="變頻頂揭式洗衣機 (7.5公斤)"/>
    <s v="大電"/>
    <s v="LAD"/>
    <s v="cfk01w75"/>
    <n v="1"/>
    <n v="3580"/>
    <n v="3580"/>
    <n v="239164"/>
    <m/>
    <m/>
    <s v="CFK01W75 239164"/>
    <n v="3888"/>
    <n v="0.92078189300411528"/>
    <s v="Shops Highest Price"/>
    <m/>
    <s v="239164"/>
  </r>
  <r>
    <n v="3870"/>
    <s v="Broadway"/>
    <s v="APM"/>
    <x v="55"/>
    <n v="3"/>
    <x v="20"/>
    <x v="72"/>
    <s v="壓縮式抽濕機 (25公升)"/>
    <s v="細電"/>
    <s v="RAC"/>
    <s v="d250"/>
    <n v="1"/>
    <n v="2080"/>
    <n v="2080"/>
    <n v="239172"/>
    <m/>
    <m/>
    <s v="RAD-D250H 239172"/>
    <n v="3380"/>
    <n v="0.61538461538461542"/>
    <s v="Shops Highest Price"/>
    <m/>
    <s v="239172"/>
  </r>
  <r>
    <n v="3871"/>
    <s v="Broadway"/>
    <s v="APM"/>
    <x v="55"/>
    <n v="3"/>
    <x v="20"/>
    <x v="66"/>
    <s v="變頻下置式雙門雪櫃（163L）"/>
    <s v="大電"/>
    <s v="REF"/>
    <s v="rb221"/>
    <n v="1"/>
    <n v="1880"/>
    <n v="1880"/>
    <n v="239178"/>
    <m/>
    <m/>
    <s v="GR-RB221WE-PMA(57) 239178"/>
    <n v="3480"/>
    <n v="0.54022988505747127"/>
    <s v="Toshiba SRP"/>
    <m/>
    <s v="239178"/>
  </r>
  <r>
    <n v="3872"/>
    <s v="Broadway"/>
    <s v="APM"/>
    <x v="55"/>
    <n v="3"/>
    <x v="20"/>
    <x v="132"/>
    <s v="雙門雪櫃"/>
    <s v="大電"/>
    <s v="REF"/>
    <s v="rb410"/>
    <n v="1"/>
    <n v="3780"/>
    <n v="3780"/>
    <n v="239175"/>
    <m/>
    <m/>
    <s v="GR-RB410WE-PMA(06) 239175"/>
    <n v="4000"/>
    <n v="0.94499999999999995"/>
    <s v="Shops Highest Price"/>
    <m/>
    <s v="239175"/>
  </r>
  <r>
    <n v="3873"/>
    <s v="Broadway"/>
    <s v="APM"/>
    <x v="55"/>
    <n v="3"/>
    <x v="20"/>
    <x v="33"/>
    <s v="輕觸式燒烤微波爐"/>
    <s v="細電"/>
    <s v="MCA"/>
    <s v="eg20"/>
    <n v="1"/>
    <n v="698"/>
    <n v="698"/>
    <n v="239211"/>
    <m/>
    <m/>
    <s v="MM2-EG20PC(WH) 239211"/>
    <n v="918"/>
    <n v="0.76034858387799564"/>
    <s v="Shops Highest Price"/>
    <m/>
    <s v="239211"/>
  </r>
  <r>
    <n v="3874"/>
    <s v="Broadway"/>
    <s v="APM"/>
    <x v="55"/>
    <n v="3"/>
    <x v="21"/>
    <x v="43"/>
    <s v="470MM超薄身前置式變頻洗衣機(8.5公斤, 可飛頂)"/>
    <s v="大電"/>
    <s v="LAD"/>
    <s v="t2295"/>
    <n v="1"/>
    <n v="3680"/>
    <n v="3680"/>
    <n v="239225"/>
    <m/>
    <m/>
    <s v="TW-T22BU95UWH(WK)-B 239225"/>
    <n v="5880"/>
    <n v="0.62585034013605445"/>
    <s v="Toshiba SRP"/>
    <m/>
    <s v="239225"/>
  </r>
  <r>
    <n v="3875"/>
    <s v="Broadway"/>
    <s v="APM"/>
    <x v="55"/>
    <n v="3"/>
    <x v="21"/>
    <x v="42"/>
    <s v="變頻下置式雙門雪櫃系列270L"/>
    <s v="大電"/>
    <s v="REF"/>
    <s v="rb360"/>
    <n v="1"/>
    <n v="3680"/>
    <n v="3680"/>
    <n v="239227"/>
    <m/>
    <m/>
    <s v="GR-RB360WE-PMA(06) 239227"/>
    <n v="5080"/>
    <n v="0.72440944881889768"/>
    <s v="Toshiba SRP"/>
    <m/>
    <s v="239227"/>
  </r>
  <r>
    <n v="3876"/>
    <s v="Broadway"/>
    <s v="APM"/>
    <x v="55"/>
    <n v="3"/>
    <x v="21"/>
    <x v="42"/>
    <s v="變頻下置式雙門雪櫃系列270L"/>
    <s v="大電"/>
    <s v="REF"/>
    <s v="rb360"/>
    <n v="1"/>
    <n v="3680"/>
    <n v="3680"/>
    <n v="239230"/>
    <m/>
    <m/>
    <s v="GR-RB360WE-PMA(06) 239230"/>
    <n v="5080"/>
    <n v="0.72440944881889768"/>
    <s v="Toshiba SRP"/>
    <m/>
    <s v="239230"/>
  </r>
  <r>
    <n v="3877"/>
    <s v="Broadway"/>
    <s v="APM"/>
    <x v="55"/>
    <n v="3"/>
    <x v="21"/>
    <x v="77"/>
    <s v="470MM超薄身前置式變頻洗衣乾衣機 (洗8.5公斤/乾6公斤, 可飛頂)"/>
    <s v="大電"/>
    <s v="LAD"/>
    <s v="twdt22"/>
    <n v="1"/>
    <n v="4780"/>
    <n v="4780"/>
    <n v="239230"/>
    <m/>
    <m/>
    <s v="TWD-T22BU95UWH(WK)-B 239230"/>
    <n v="7480"/>
    <n v="0.63903743315508021"/>
    <s v="Toshiba SRP"/>
    <m/>
    <s v="239230"/>
  </r>
  <r>
    <n v="3878"/>
    <s v="Broadway"/>
    <s v="APM"/>
    <x v="55"/>
    <n v="3"/>
    <x v="21"/>
    <x v="36"/>
    <s v="輕觸式微波爐 (20公升)"/>
    <s v="細電"/>
    <s v="MCA"/>
    <s v="em20"/>
    <n v="1"/>
    <n v="598"/>
    <n v="598"/>
    <n v="239230"/>
    <m/>
    <m/>
    <s v="MM2-EM20PC(WH) 239230"/>
    <n v="788"/>
    <n v="0.75888324873096447"/>
    <s v="Toshiba SRP"/>
    <m/>
    <s v="239230"/>
  </r>
  <r>
    <n v="3879"/>
    <s v="Broadway"/>
    <s v="APM"/>
    <x v="55"/>
    <n v="3"/>
    <x v="21"/>
    <x v="31"/>
    <s v="無線雙層電熱水壺(1.7公升)"/>
    <s v="細電"/>
    <s v="SDA"/>
    <s v="17drt"/>
    <n v="1"/>
    <n v="388"/>
    <n v="388"/>
    <n v="8806"/>
    <m/>
    <m/>
    <s v="KT-17DRTHK(H) 8806"/>
    <n v="498"/>
    <n v="0.77911646586345384"/>
    <s v="Toshiba SRP"/>
    <m/>
    <s v="8806"/>
  </r>
  <r>
    <n v="3880"/>
    <s v="Broadway"/>
    <s v="APM"/>
    <x v="55"/>
    <n v="3"/>
    <x v="21"/>
    <x v="72"/>
    <s v="壓縮式抽濕機 (25公升)"/>
    <s v="細電"/>
    <s v="RAC"/>
    <s v="d250"/>
    <n v="1"/>
    <n v="2080"/>
    <n v="2080"/>
    <n v="3487"/>
    <m/>
    <m/>
    <s v="RAD-D250H 3487"/>
    <n v="3380"/>
    <n v="0.61538461538461542"/>
    <s v="Shops Highest Price"/>
    <m/>
    <s v="3487"/>
  </r>
  <r>
    <n v="3881"/>
    <s v="Broadway"/>
    <s v="APM"/>
    <x v="55"/>
    <n v="3"/>
    <x v="21"/>
    <x v="72"/>
    <s v="壓縮式抽濕機 (25公升)"/>
    <s v="細電"/>
    <s v="RAC"/>
    <s v="d250"/>
    <n v="1"/>
    <n v="2080"/>
    <n v="2080"/>
    <n v="239244"/>
    <m/>
    <m/>
    <s v="RAD-D250H 239244"/>
    <n v="3380"/>
    <n v="0.61538461538461542"/>
    <s v="Shops Highest Price"/>
    <m/>
    <s v="239244"/>
  </r>
  <r>
    <n v="3882"/>
    <s v="Broadway"/>
    <s v="APM"/>
    <x v="55"/>
    <n v="3"/>
    <x v="21"/>
    <x v="77"/>
    <s v="470MM超薄身前置式變頻洗衣乾衣機 (洗8.5公斤/乾6公斤, 可飛頂)"/>
    <s v="大電"/>
    <s v="LAD"/>
    <s v="twdt22"/>
    <n v="1"/>
    <n v="4780"/>
    <n v="4780"/>
    <n v="239259"/>
    <m/>
    <m/>
    <s v="TWD-T22BU95UWH(WK)-B 239259"/>
    <n v="7480"/>
    <n v="0.63903743315508021"/>
    <s v="Toshiba SRP"/>
    <m/>
    <s v="239259"/>
  </r>
  <r>
    <n v="3883"/>
    <s v="Broadway"/>
    <s v="APM"/>
    <x v="55"/>
    <n v="3"/>
    <x v="21"/>
    <x v="36"/>
    <s v="輕觸式微波爐 (20公升)"/>
    <s v="細電"/>
    <s v="MCA"/>
    <s v="em20"/>
    <n v="1"/>
    <n v="598"/>
    <n v="598"/>
    <n v="239269"/>
    <m/>
    <m/>
    <s v="MM2-EM20PC(WH) 239269"/>
    <n v="788"/>
    <n v="0.75888324873096447"/>
    <s v="Toshiba SRP"/>
    <m/>
    <s v="239269"/>
  </r>
  <r>
    <n v="3884"/>
    <s v="Broadway"/>
    <s v="APM"/>
    <x v="55"/>
    <n v="3"/>
    <x v="23"/>
    <x v="74"/>
    <s v="4合1氣炸微波蒸焗爐(25公升)"/>
    <s v="細電"/>
    <s v="MCA"/>
    <s v="str25"/>
    <n v="1"/>
    <n v="3180"/>
    <n v="3180"/>
    <n v="239341"/>
    <m/>
    <m/>
    <s v="MX2-STR25SC(WH) 239341"/>
    <n v="4998"/>
    <n v="0.6362545018007203"/>
    <s v="Toshiba SRP"/>
    <m/>
    <s v="239341"/>
  </r>
  <r>
    <n v="3885"/>
    <s v="Broadway"/>
    <s v="APM"/>
    <x v="55"/>
    <n v="3"/>
    <x v="23"/>
    <x v="33"/>
    <s v="輕觸式燒烤微波爐"/>
    <s v="細電"/>
    <s v="MCA"/>
    <s v="eg20"/>
    <n v="1"/>
    <n v="698"/>
    <n v="698"/>
    <n v="1292"/>
    <m/>
    <m/>
    <s v="MM2-EG20PC(WH) 1292"/>
    <n v="918"/>
    <n v="0.76034858387799564"/>
    <s v="Shops Highest Price"/>
    <m/>
    <s v="1292"/>
  </r>
  <r>
    <n v="3886"/>
    <s v="Broadway"/>
    <s v="APM"/>
    <x v="55"/>
    <n v="3"/>
    <x v="23"/>
    <x v="45"/>
    <s v="備長炭本厚釜電飯煲0.7L"/>
    <s v="細電"/>
    <s v="SDA"/>
    <s v="7hmh"/>
    <n v="1"/>
    <n v="788"/>
    <n v="788"/>
    <n v="1089"/>
    <m/>
    <m/>
    <s v="RC-7HMH 1089"/>
    <n v="1288"/>
    <n v="0.61180124223602483"/>
    <s v="Toshiba SRP"/>
    <m/>
    <s v="1089"/>
  </r>
  <r>
    <n v="3887"/>
    <s v="Broadway"/>
    <s v="APM"/>
    <x v="55"/>
    <n v="3"/>
    <x v="23"/>
    <x v="47"/>
    <s v="磁應電飯煲(1公升)"/>
    <s v="細電"/>
    <s v="SDA"/>
    <s v="10iss"/>
    <n v="1"/>
    <n v="938"/>
    <n v="938"/>
    <n v="3506"/>
    <m/>
    <m/>
    <s v="RC-10ISSHK(W) 3506"/>
    <n v="1188"/>
    <n v="0.78956228956228958"/>
    <s v="Shops Highest Price"/>
    <m/>
    <s v="3506"/>
  </r>
  <r>
    <n v="3888"/>
    <s v="Broadway"/>
    <s v="APM"/>
    <x v="55"/>
    <n v="3"/>
    <x v="23"/>
    <x v="74"/>
    <s v="4合1氣炸微波蒸焗爐(25公升)"/>
    <s v="細電"/>
    <s v="MCA"/>
    <s v="str25"/>
    <n v="1"/>
    <n v="3180"/>
    <n v="3180"/>
    <n v="239366"/>
    <m/>
    <m/>
    <s v="MX2-STR25SC(WH) 239366"/>
    <n v="4998"/>
    <n v="0.6362545018007203"/>
    <s v="Toshiba SRP"/>
    <m/>
    <s v="239366"/>
  </r>
  <r>
    <n v="3889"/>
    <s v="Broadway"/>
    <s v="APM"/>
    <x v="55"/>
    <n v="3"/>
    <x v="23"/>
    <x v="58"/>
    <s v="IH磁應電飯煲_x000a_鑽石銅鍋"/>
    <s v="細電"/>
    <s v="SDA"/>
    <s v="dr18tw"/>
    <n v="1"/>
    <n v="2780"/>
    <n v="2780"/>
    <n v="239353"/>
    <m/>
    <m/>
    <s v="RC-DR18T(W) 239353"/>
    <n v="3588"/>
    <n v="0.77480490523968781"/>
    <s v="Toshiba SRP"/>
    <m/>
    <s v="239353"/>
  </r>
  <r>
    <n v="3890"/>
    <s v="Broadway"/>
    <s v="APM"/>
    <x v="55"/>
    <n v="3"/>
    <x v="23"/>
    <x v="72"/>
    <s v="壓縮式抽濕機 (25公升)"/>
    <s v="細電"/>
    <s v="RAC"/>
    <s v="d250"/>
    <n v="1"/>
    <n v="2080"/>
    <n v="2080"/>
    <n v="239346"/>
    <m/>
    <m/>
    <s v="RAD-D250H 239346"/>
    <n v="3380"/>
    <n v="0.61538461538461542"/>
    <s v="Shops Highest Price"/>
    <m/>
    <s v="239346"/>
  </r>
  <r>
    <n v="3891"/>
    <s v="Broadway"/>
    <s v="APM"/>
    <x v="55"/>
    <n v="3"/>
    <x v="23"/>
    <x v="72"/>
    <s v="壓縮式抽濕機 (25公升)"/>
    <s v="細電"/>
    <s v="RAC"/>
    <s v="d250"/>
    <n v="1"/>
    <n v="2080"/>
    <n v="2080"/>
    <n v="239371"/>
    <m/>
    <m/>
    <s v="RAD-D250H 239371"/>
    <n v="3380"/>
    <n v="0.61538461538461542"/>
    <s v="Shops Highest Price"/>
    <m/>
    <s v="239371"/>
  </r>
  <r>
    <n v="3892"/>
    <s v="Broadway"/>
    <s v="APM"/>
    <x v="55"/>
    <n v="3"/>
    <x v="23"/>
    <x v="43"/>
    <s v="470MM超薄身前置式變頻洗衣機(8.5公斤, 可飛頂)"/>
    <s v="大電"/>
    <s v="LAD"/>
    <s v="t2295"/>
    <n v="1"/>
    <n v="3680"/>
    <n v="3680"/>
    <n v="239385"/>
    <m/>
    <m/>
    <s v="TW-T22BU95UWH(WK)-B 239385"/>
    <n v="5880"/>
    <n v="0.62585034013605445"/>
    <s v="Toshiba SRP"/>
    <m/>
    <s v="239385"/>
  </r>
  <r>
    <n v="3893"/>
    <s v="Broadway"/>
    <s v="APM"/>
    <x v="55"/>
    <n v="3"/>
    <x v="23"/>
    <x v="59"/>
    <s v="30公升蒸氣焗爐"/>
    <s v="細電"/>
    <s v="MCA"/>
    <s v="str30"/>
    <n v="1"/>
    <n v="3690"/>
    <n v="3690"/>
    <n v="239392"/>
    <m/>
    <m/>
    <s v="MS5-STR30SC(BK) 239392"/>
    <n v="5998"/>
    <n v="0.61520506835611866"/>
    <s v="Shops Highest Price"/>
    <m/>
    <s v="239392"/>
  </r>
  <r>
    <n v="3894"/>
    <s v="Broadway"/>
    <s v="APM"/>
    <x v="55"/>
    <n v="3"/>
    <x v="23"/>
    <x v="86"/>
    <s v="470MM超薄身前置式變頻洗衣乾衣機 (洗8.5公斤 乾6公斤)"/>
    <s v="大電"/>
    <s v="LAD"/>
    <s v="twdt21"/>
    <n v="1"/>
    <n v="3999"/>
    <n v="3999"/>
    <n v="239395"/>
    <m/>
    <m/>
    <s v="TWD-T21BU95UWH(WW) 239395"/>
    <n v="7280"/>
    <n v="0.54931318681318686"/>
    <s v="Toshiba SRP"/>
    <m/>
    <s v="239395"/>
  </r>
  <r>
    <n v="3895"/>
    <s v="Broadway"/>
    <s v="APM"/>
    <x v="55"/>
    <n v="3"/>
    <x v="23"/>
    <x v="132"/>
    <s v="雙門雪櫃"/>
    <s v="大電"/>
    <s v="REF"/>
    <s v="rb410"/>
    <n v="1"/>
    <n v="3780"/>
    <n v="3780"/>
    <n v="239393"/>
    <m/>
    <m/>
    <s v="GR-RB410WE-PMA(06) 239393"/>
    <n v="4000"/>
    <n v="0.94499999999999995"/>
    <s v="Shops Highest Price"/>
    <m/>
    <s v="239393"/>
  </r>
  <r>
    <n v="3896"/>
    <s v="Broadway"/>
    <s v="APM"/>
    <x v="55"/>
    <n v="3"/>
    <x v="24"/>
    <x v="66"/>
    <s v="變頻下置式雙門雪櫃（163L）"/>
    <s v="大電"/>
    <s v="REF"/>
    <s v="rb221"/>
    <n v="1"/>
    <n v="1880"/>
    <n v="1880"/>
    <n v="239402"/>
    <m/>
    <m/>
    <s v="GR-RB221WE-PMA(57) 239402"/>
    <n v="3480"/>
    <n v="0.54022988505747127"/>
    <s v="Toshiba SRP"/>
    <m/>
    <s v="239402"/>
  </r>
  <r>
    <n v="3897"/>
    <s v="Broadway"/>
    <s v="APM"/>
    <x v="55"/>
    <n v="3"/>
    <x v="24"/>
    <x v="76"/>
    <s v="日式洗衣機 (7公斤 結合高低水位)"/>
    <s v="大電"/>
    <s v="LAD"/>
    <s v="q801"/>
    <n v="1"/>
    <n v="1880"/>
    <n v="1880"/>
    <n v="239408"/>
    <m/>
    <m/>
    <s v="AW-Q801APH(WW) 239408"/>
    <n v="3380"/>
    <n v="0.55621301775147924"/>
    <s v="Toshiba SRP"/>
    <m/>
    <s v="239408"/>
  </r>
  <r>
    <n v="3898"/>
    <s v="Broadway"/>
    <s v="APM"/>
    <x v="55"/>
    <n v="3"/>
    <x v="24"/>
    <x v="61"/>
    <s v="酵活炊電飯煲(1.8公升)"/>
    <s v="細電"/>
    <s v="SDA"/>
    <s v="18amx"/>
    <n v="1"/>
    <n v="990"/>
    <n v="990"/>
    <n v="1313"/>
    <m/>
    <m/>
    <s v="RC-18AMXH(W) 1313"/>
    <n v="1588"/>
    <n v="0.62342569269521408"/>
    <s v="Toshiba SRP"/>
    <m/>
    <s v="1313"/>
  </r>
  <r>
    <n v="3899"/>
    <s v="Broadway"/>
    <s v="APM"/>
    <x v="55"/>
    <n v="3"/>
    <x v="24"/>
    <x v="76"/>
    <s v="日式洗衣機 (7公斤 結合高低水位)"/>
    <s v="大電"/>
    <s v="LAD"/>
    <s v="q801"/>
    <n v="1"/>
    <n v="1880"/>
    <n v="1880"/>
    <n v="239418"/>
    <m/>
    <m/>
    <s v="AW-Q801APH(WW) 239418"/>
    <n v="3380"/>
    <n v="0.55621301775147924"/>
    <s v="Toshiba SRP"/>
    <m/>
    <s v="239418"/>
  </r>
  <r>
    <n v="3900"/>
    <s v="Broadway"/>
    <s v="APM"/>
    <x v="55"/>
    <n v="3"/>
    <x v="24"/>
    <x v="68"/>
    <s v="旋鈕式微波爐 (20公升)"/>
    <s v="細電"/>
    <s v="MCA"/>
    <s v="2mm20"/>
    <n v="1"/>
    <n v="598"/>
    <n v="598"/>
    <n v="239421"/>
    <m/>
    <m/>
    <s v="MM-2MM20PC(WH) 239421"/>
    <n v="738"/>
    <n v="0.81029810298102978"/>
    <s v="Toshiba SRP"/>
    <m/>
    <s v="239421"/>
  </r>
  <r>
    <n v="3901"/>
    <s v="Broadway"/>
    <s v="APM"/>
    <x v="55"/>
    <n v="3"/>
    <x v="24"/>
    <x v="135"/>
    <s v="變頻日式洗衣機 (10公斤 結合高低水位)"/>
    <s v="大電"/>
    <s v="LAD"/>
    <s v="dq110"/>
    <n v="1"/>
    <n v="2680"/>
    <n v="2680"/>
    <n v="239423"/>
    <m/>
    <m/>
    <s v="AW-DQ110JPH(WW) 239423"/>
    <n v="4680"/>
    <n v="0.57264957264957261"/>
    <s v="Toshiba SRP"/>
    <m/>
    <s v="239423"/>
  </r>
  <r>
    <n v="3902"/>
    <s v="Broadway"/>
    <s v="APM"/>
    <x v="55"/>
    <n v="3"/>
    <x v="25"/>
    <x v="72"/>
    <s v="壓縮式抽濕機 (25公升)"/>
    <s v="細電"/>
    <s v="RAC"/>
    <s v="d250"/>
    <n v="1"/>
    <n v="2080"/>
    <n v="2080"/>
    <n v="239433"/>
    <m/>
    <m/>
    <s v="RAD-D250H 239433"/>
    <n v="3380"/>
    <n v="0.61538461538461542"/>
    <s v="Shops Highest Price"/>
    <m/>
    <s v="239433"/>
  </r>
  <r>
    <n v="3903"/>
    <s v="Broadway"/>
    <s v="APM"/>
    <x v="55"/>
    <n v="3"/>
    <x v="25"/>
    <x v="26"/>
    <s v="變頻頂揭式洗衣機 (7.5公斤)"/>
    <s v="大電"/>
    <s v="LAD"/>
    <s v="cfk01w75"/>
    <n v="1"/>
    <n v="3580"/>
    <n v="3580"/>
    <n v="239436"/>
    <m/>
    <m/>
    <s v="CFK01W75 239436"/>
    <n v="3888"/>
    <n v="0.92078189300411528"/>
    <s v="Shops Highest Price"/>
    <m/>
    <s v="239436"/>
  </r>
  <r>
    <n v="3904"/>
    <s v="Broadway"/>
    <s v="APM"/>
    <x v="55"/>
    <n v="3"/>
    <x v="25"/>
    <x v="60"/>
    <s v="酵活炊磁應電飯煲(1.5公升)"/>
    <s v="細電"/>
    <s v="SDA"/>
    <s v="15bh"/>
    <n v="1"/>
    <n v="1888"/>
    <n v="1888"/>
    <n v="10322"/>
    <m/>
    <m/>
    <s v="RC-15BHH(W) 10322"/>
    <n v="2388"/>
    <n v="0.79061976549413737"/>
    <s v="Toshiba SRP"/>
    <m/>
    <s v="10322"/>
  </r>
  <r>
    <n v="3905"/>
    <s v="Broadway"/>
    <s v="APM"/>
    <x v="55"/>
    <n v="3"/>
    <x v="25"/>
    <x v="72"/>
    <s v="壓縮式抽濕機 (25公升)"/>
    <s v="細電"/>
    <s v="RAC"/>
    <s v="d250"/>
    <n v="1"/>
    <n v="2080"/>
    <n v="2080"/>
    <n v="8847"/>
    <m/>
    <m/>
    <s v="RAD-D250H 8847"/>
    <n v="3380"/>
    <n v="0.61538461538461542"/>
    <s v="Shops Highest Price"/>
    <m/>
    <s v="8847"/>
  </r>
  <r>
    <n v="3906"/>
    <s v="Broadway"/>
    <s v="APM"/>
    <x v="55"/>
    <n v="3"/>
    <x v="25"/>
    <x v="77"/>
    <s v="470MM超薄身前置式變頻洗衣乾衣機 (洗8.5公斤/乾6公斤, 可飛頂)"/>
    <s v="大電"/>
    <s v="LAD"/>
    <s v="twdt22"/>
    <n v="1"/>
    <n v="4780"/>
    <n v="4780"/>
    <n v="239475"/>
    <m/>
    <m/>
    <s v="TWD-T22BU95UWH(WK)-B 239475"/>
    <n v="7480"/>
    <n v="0.63903743315508021"/>
    <s v="Toshiba SRP"/>
    <m/>
    <s v="239475"/>
  </r>
  <r>
    <n v="3907"/>
    <s v="Broadway"/>
    <s v="APM"/>
    <x v="55"/>
    <n v="3"/>
    <x v="25"/>
    <x v="40"/>
    <s v="400MM超薄身前置式變頻洗衣機(7公斤)"/>
    <s v="大電"/>
    <s v="LAD"/>
    <s v="bu80"/>
    <n v="1"/>
    <n v="3180"/>
    <n v="3180"/>
    <n v="239472"/>
    <m/>
    <m/>
    <s v="TW-T21BU80UWH(MG) 239472"/>
    <n v="5180"/>
    <n v="0.61389961389961389"/>
    <s v="Toshiba SRP"/>
    <m/>
    <s v="239472"/>
  </r>
  <r>
    <n v="3908"/>
    <s v="Broadway"/>
    <s v="APM"/>
    <x v="55"/>
    <n v="3"/>
    <x v="25"/>
    <x v="72"/>
    <s v="壓縮式抽濕機 (25公升)"/>
    <s v="細電"/>
    <s v="RAC"/>
    <s v="d250"/>
    <n v="1"/>
    <n v="2080"/>
    <n v="2080"/>
    <n v="239454"/>
    <m/>
    <m/>
    <s v="RAD-D250H 239454"/>
    <n v="3380"/>
    <n v="0.61538461538461542"/>
    <s v="Shops Highest Price"/>
    <m/>
    <s v="239454"/>
  </r>
  <r>
    <n v="3909"/>
    <s v="Broadway"/>
    <s v="APM"/>
    <x v="55"/>
    <n v="3"/>
    <x v="26"/>
    <x v="60"/>
    <s v="酵活炊磁應電飯煲(1.5公升)"/>
    <s v="細電"/>
    <s v="SDA"/>
    <s v="15bh"/>
    <n v="1"/>
    <n v="1790"/>
    <n v="1790"/>
    <n v="239481"/>
    <m/>
    <m/>
    <s v="RC-15BHH(W) 239481"/>
    <n v="2388"/>
    <n v="0.74958123953098832"/>
    <s v="Toshiba SRP"/>
    <m/>
    <s v="239481"/>
  </r>
  <r>
    <n v="3910"/>
    <s v="Broadway"/>
    <s v="APM"/>
    <x v="55"/>
    <n v="3"/>
    <x v="26"/>
    <x v="110"/>
    <s v="變頻六門雪櫃(451L)"/>
    <s v="大電"/>
    <s v="REF"/>
    <s v="rm598"/>
    <n v="1"/>
    <n v="10580"/>
    <n v="10580"/>
    <n v="239490"/>
    <m/>
    <m/>
    <s v="GR-RM598WE-PGA(B3) 239490"/>
    <n v="14980"/>
    <n v="0.70627503337783715"/>
    <s v="Toshiba SRP"/>
    <m/>
    <s v="239490"/>
  </r>
  <r>
    <n v="3911"/>
    <s v="Broadway"/>
    <s v="APM"/>
    <x v="55"/>
    <n v="3"/>
    <x v="26"/>
    <x v="66"/>
    <s v="變頻下置式雙門雪櫃（163L）"/>
    <s v="大電"/>
    <s v="REF"/>
    <s v="rb221"/>
    <n v="1"/>
    <n v="1880"/>
    <n v="1880"/>
    <n v="239487"/>
    <m/>
    <m/>
    <s v="GR-RB221WE-PMA(57) 239487"/>
    <n v="3480"/>
    <n v="0.54022988505747127"/>
    <s v="Toshiba SRP"/>
    <m/>
    <s v="239487"/>
  </r>
  <r>
    <n v="3912"/>
    <s v="Broadway"/>
    <s v="APM"/>
    <x v="55"/>
    <n v="3"/>
    <x v="26"/>
    <x v="76"/>
    <s v="日式洗衣機 (7公斤 結合高低水位)"/>
    <s v="大電"/>
    <s v="LAD"/>
    <s v="q801"/>
    <n v="1"/>
    <n v="1880"/>
    <n v="1880"/>
    <n v="239506"/>
    <m/>
    <m/>
    <s v="AW-Q801APH(WW) 239506"/>
    <n v="3380"/>
    <n v="0.55621301775147924"/>
    <s v="Toshiba SRP"/>
    <m/>
    <s v="239506"/>
  </r>
  <r>
    <n v="3913"/>
    <s v="Broadway"/>
    <s v="APM"/>
    <x v="55"/>
    <n v="3"/>
    <x v="26"/>
    <x v="86"/>
    <s v="470MM超薄身前置式變頻洗衣乾衣機 (洗8.5公斤 乾6公斤)"/>
    <s v="大電"/>
    <s v="LAD"/>
    <s v="twdt21"/>
    <n v="1"/>
    <n v="3999"/>
    <n v="3999"/>
    <n v="239530"/>
    <m/>
    <m/>
    <s v="TWD-T21BU95UWH(WW) 239530"/>
    <n v="7280"/>
    <n v="0.54931318681318686"/>
    <s v="Toshiba SRP"/>
    <m/>
    <s v="239530"/>
  </r>
  <r>
    <n v="3914"/>
    <s v="Broadway"/>
    <s v="APM"/>
    <x v="55"/>
    <n v="3"/>
    <x v="26"/>
    <x v="60"/>
    <s v="酵活炊磁應電飯煲(1.5公升)"/>
    <s v="細電"/>
    <s v="SDA"/>
    <s v="15bh"/>
    <n v="1"/>
    <n v="1888"/>
    <n v="1888"/>
    <n v="8862"/>
    <s v="15iss&gt;15bh"/>
    <m/>
    <s v="RC-15BHH(W) 8862"/>
    <n v="2388"/>
    <n v="0.79061976549413737"/>
    <s v="Toshiba SRP"/>
    <m/>
    <s v="8862"/>
  </r>
  <r>
    <n v="3915"/>
    <s v="Broadway"/>
    <s v="APM"/>
    <x v="55"/>
    <n v="3"/>
    <x v="27"/>
    <x v="75"/>
    <s v="日式洗衣機 (8公斤 結合高低水位)"/>
    <s v="大電"/>
    <s v="LAD"/>
    <s v="q901"/>
    <n v="1"/>
    <n v="2280"/>
    <n v="2280"/>
    <n v="239536"/>
    <m/>
    <m/>
    <s v="AW-Q901BPH(WW) 239536"/>
    <n v="3780"/>
    <n v="0.60317460317460314"/>
    <s v="Toshiba SRP"/>
    <m/>
    <s v="239536"/>
  </r>
  <r>
    <n v="3916"/>
    <s v="Broadway"/>
    <s v="APM"/>
    <x v="55"/>
    <n v="3"/>
    <x v="27"/>
    <x v="72"/>
    <s v="壓縮式抽濕機 (25公升)"/>
    <s v="細電"/>
    <s v="RAC"/>
    <s v="d250"/>
    <n v="1"/>
    <n v="2080"/>
    <n v="2080"/>
    <n v="10338"/>
    <m/>
    <m/>
    <s v="RAD-D250H 10338"/>
    <n v="3380"/>
    <n v="0.61538461538461542"/>
    <s v="Shops Highest Price"/>
    <m/>
    <s v="10338"/>
  </r>
  <r>
    <n v="3917"/>
    <s v="Broadway"/>
    <s v="APM"/>
    <x v="55"/>
    <n v="3"/>
    <x v="27"/>
    <x v="72"/>
    <s v="壓縮式抽濕機 (25公升)"/>
    <s v="細電"/>
    <s v="RAC"/>
    <s v="d250"/>
    <n v="1"/>
    <n v="2080"/>
    <n v="2080"/>
    <n v="8866"/>
    <m/>
    <m/>
    <s v="RAD-D250H 8866"/>
    <n v="3380"/>
    <n v="0.61538461538461542"/>
    <s v="Shops Highest Price"/>
    <m/>
    <s v="8866"/>
  </r>
  <r>
    <n v="3918"/>
    <s v="Broadway"/>
    <s v="APM"/>
    <x v="55"/>
    <n v="3"/>
    <x v="27"/>
    <x v="40"/>
    <s v="400MM超薄身前置式變頻洗衣機(7公斤)"/>
    <s v="大電"/>
    <s v="LAD"/>
    <s v="bu80"/>
    <n v="1"/>
    <n v="3080"/>
    <n v="3080"/>
    <n v="239566"/>
    <m/>
    <m/>
    <s v="TW-T21BU80UWH(MG) 239566"/>
    <n v="5180"/>
    <n v="0.59459459459459463"/>
    <s v="Toshiba SRP"/>
    <m/>
    <s v="239566"/>
  </r>
  <r>
    <n v="3919"/>
    <s v="Broadway"/>
    <s v="APM"/>
    <x v="55"/>
    <n v="3"/>
    <x v="27"/>
    <x v="74"/>
    <s v="4合1氣炸微波蒸焗爐(25公升)"/>
    <s v="細電"/>
    <s v="MCA"/>
    <s v="str25"/>
    <n v="1"/>
    <n v="3180"/>
    <n v="3180"/>
    <n v="239553"/>
    <m/>
    <m/>
    <s v="MX2-STR25SC(WH) 239553"/>
    <n v="4998"/>
    <n v="0.6362545018007203"/>
    <s v="Toshiba SRP"/>
    <m/>
    <s v="239553"/>
  </r>
  <r>
    <n v="3920"/>
    <s v="Broadway"/>
    <s v="APM"/>
    <x v="55"/>
    <n v="3"/>
    <x v="27"/>
    <x v="40"/>
    <s v="400MM超薄身前置式變頻洗衣機(7公斤)"/>
    <s v="大電"/>
    <s v="LAD"/>
    <s v="bu80"/>
    <n v="1"/>
    <n v="3080"/>
    <n v="3080"/>
    <n v="239572"/>
    <m/>
    <m/>
    <s v="TW-T21BU80UWH(MG) 239572"/>
    <n v="5180"/>
    <n v="0.59459459459459463"/>
    <s v="Toshiba SRP"/>
    <m/>
    <s v="239572"/>
  </r>
  <r>
    <n v="3921"/>
    <s v="Broadway"/>
    <s v="APM"/>
    <x v="55"/>
    <n v="3"/>
    <x v="27"/>
    <x v="61"/>
    <s v="酵活炊電飯煲(1.8公升)"/>
    <s v="細電"/>
    <s v="SDA"/>
    <s v="18amx"/>
    <n v="1"/>
    <n v="990"/>
    <n v="990"/>
    <n v="8873"/>
    <m/>
    <m/>
    <s v="RC-18AMXH(W) 8873"/>
    <n v="1588"/>
    <n v="0.62342569269521408"/>
    <s v="Toshiba SRP"/>
    <m/>
    <s v="8873"/>
  </r>
  <r>
    <n v="3922"/>
    <s v="Broadway"/>
    <s v="APM"/>
    <x v="55"/>
    <n v="3"/>
    <x v="27"/>
    <x v="89"/>
    <s v="2 匹 R32變頻窗口式冷氣機 (remote)"/>
    <s v="大電"/>
    <s v="AC"/>
    <s v="18g3cvr"/>
    <n v="1"/>
    <n v="6880"/>
    <n v="6880"/>
    <n v="239570"/>
    <m/>
    <m/>
    <s v="RAC-18G3CVRGR-HK 239570"/>
    <n v="10380"/>
    <n v="0.66281310211946054"/>
    <s v="Toshiba SRP"/>
    <m/>
    <s v="239570"/>
  </r>
  <r>
    <n v="3923"/>
    <s v="Broadway"/>
    <s v="APM"/>
    <x v="55"/>
    <n v="3"/>
    <x v="27"/>
    <x v="68"/>
    <s v="旋鈕式微波爐 (20公升)"/>
    <s v="細電"/>
    <s v="MCA"/>
    <s v="2mm20"/>
    <n v="1"/>
    <n v="598"/>
    <n v="598"/>
    <n v="239575"/>
    <m/>
    <m/>
    <s v="MM-2MM20PC(WH) 239575"/>
    <n v="738"/>
    <n v="0.81029810298102978"/>
    <s v="Toshiba SRP"/>
    <m/>
    <s v="239575"/>
  </r>
  <r>
    <n v="3924"/>
    <s v="Broadway"/>
    <s v="APM"/>
    <x v="55"/>
    <n v="3"/>
    <x v="28"/>
    <x v="76"/>
    <s v="日式洗衣機 (7公斤 結合高低水位)"/>
    <s v="大電"/>
    <s v="LAD"/>
    <s v="q801"/>
    <n v="1"/>
    <n v="1880"/>
    <n v="1880"/>
    <n v="239599"/>
    <m/>
    <m/>
    <s v="AW-Q801APH(WW) 239599"/>
    <n v="3380"/>
    <n v="0.55621301775147924"/>
    <s v="Toshiba SRP"/>
    <m/>
    <s v="239599"/>
  </r>
  <r>
    <n v="3925"/>
    <s v="Broadway"/>
    <s v="APM"/>
    <x v="55"/>
    <n v="3"/>
    <x v="28"/>
    <x v="76"/>
    <s v="日式洗衣機 (7公斤 結合高低水位)"/>
    <s v="大電"/>
    <s v="LAD"/>
    <s v="q801"/>
    <n v="1"/>
    <n v="1880"/>
    <n v="1880"/>
    <n v="239603"/>
    <m/>
    <m/>
    <s v="AW-Q801APH(WW) 239603"/>
    <n v="3380"/>
    <n v="0.55621301775147924"/>
    <s v="Toshiba SRP"/>
    <m/>
    <s v="239603"/>
  </r>
  <r>
    <n v="3926"/>
    <s v="Broadway"/>
    <s v="APM"/>
    <x v="55"/>
    <n v="3"/>
    <x v="28"/>
    <x v="76"/>
    <s v="日式洗衣機 (7公斤 結合高低水位)"/>
    <s v="大電"/>
    <s v="LAD"/>
    <s v="q801"/>
    <n v="1"/>
    <n v="1880"/>
    <n v="1880"/>
    <n v="239604"/>
    <m/>
    <m/>
    <s v="AW-Q801APH(WW) 239604"/>
    <n v="3380"/>
    <n v="0.55621301775147924"/>
    <s v="Toshiba SRP"/>
    <m/>
    <s v="239604"/>
  </r>
  <r>
    <n v="3927"/>
    <s v="Broadway"/>
    <s v="APM"/>
    <x v="55"/>
    <n v="3"/>
    <x v="28"/>
    <x v="42"/>
    <s v="變頻下置式雙門雪櫃系列270L"/>
    <s v="大電"/>
    <s v="REF"/>
    <s v="rb360"/>
    <n v="1"/>
    <n v="3680"/>
    <n v="3680"/>
    <n v="239602"/>
    <m/>
    <m/>
    <s v="GR-RB360WE-PMA(06) 239602"/>
    <n v="5080"/>
    <n v="0.72440944881889768"/>
    <s v="Toshiba SRP"/>
    <m/>
    <s v="239602"/>
  </r>
  <r>
    <n v="3928"/>
    <s v="Broadway"/>
    <s v="APM"/>
    <x v="55"/>
    <n v="3"/>
    <x v="28"/>
    <x v="43"/>
    <s v="470MM超薄身前置式變頻洗衣機(8.5公斤, 可飛頂)"/>
    <s v="大電"/>
    <s v="LAD"/>
    <s v="t2295"/>
    <n v="1"/>
    <n v="3680"/>
    <n v="3680"/>
    <n v="239613"/>
    <m/>
    <m/>
    <s v="TW-T22BU95UWH(WK)-B 239613"/>
    <n v="5880"/>
    <n v="0.62585034013605445"/>
    <s v="Toshiba SRP"/>
    <m/>
    <s v="239613"/>
  </r>
  <r>
    <n v="3929"/>
    <s v="Broadway"/>
    <s v="APM"/>
    <x v="55"/>
    <n v="3"/>
    <x v="28"/>
    <x v="77"/>
    <s v="470MM超薄身前置式變頻洗衣乾衣機 (洗8.5公斤/乾6公斤, 可飛頂)"/>
    <s v="大電"/>
    <s v="LAD"/>
    <s v="twdt22"/>
    <n v="1"/>
    <n v="4780"/>
    <n v="4780"/>
    <n v="239610"/>
    <m/>
    <m/>
    <s v="TWD-T22BU95UWH(WK)-B 239610"/>
    <n v="7480"/>
    <n v="0.63903743315508021"/>
    <s v="Toshiba SRP"/>
    <m/>
    <s v="239610"/>
  </r>
  <r>
    <n v="3930"/>
    <s v="Broadway"/>
    <s v="APM"/>
    <x v="55"/>
    <n v="3"/>
    <x v="28"/>
    <x v="103"/>
    <s v="變頻下置式雙門雪櫃"/>
    <s v="大電"/>
    <s v="REF"/>
    <s v="rb449"/>
    <n v="1"/>
    <n v="4880"/>
    <n v="4880"/>
    <n v="239610"/>
    <m/>
    <m/>
    <s v="GR-RB449WE-PMA(57) 239610"/>
    <n v="6280"/>
    <n v="0.77707006369426757"/>
    <s v="Toshiba SRP"/>
    <m/>
    <s v="239610"/>
  </r>
  <r>
    <n v="3931"/>
    <s v="Broadway"/>
    <s v="APM"/>
    <x v="55"/>
    <n v="3"/>
    <x v="28"/>
    <x v="31"/>
    <s v="無線雙層電熱水壺(1.7公升)"/>
    <s v="細電"/>
    <s v="SDA"/>
    <s v="17drt"/>
    <n v="1"/>
    <n v="388"/>
    <n v="388"/>
    <n v="239613"/>
    <m/>
    <m/>
    <s v="KT-17DRTHK(H) 239613"/>
    <n v="498"/>
    <n v="0.77911646586345384"/>
    <s v="Toshiba SRP"/>
    <m/>
    <s v="239613"/>
  </r>
  <r>
    <n v="3932"/>
    <s v="Broadway"/>
    <s v="APM"/>
    <x v="55"/>
    <n v="3"/>
    <x v="29"/>
    <x v="17"/>
    <s v="4毫米厚釜電飯煲1L"/>
    <s v="細電"/>
    <s v="SDA"/>
    <s v="10nmf"/>
    <n v="1"/>
    <n v="718"/>
    <n v="718"/>
    <n v="10357"/>
    <m/>
    <m/>
    <s v="RC-10NMFIH(WT) 10357"/>
    <n v="898"/>
    <n v="0.79955456570155903"/>
    <s v="Toshiba SRP"/>
    <m/>
    <s v="10357"/>
  </r>
  <r>
    <n v="3933"/>
    <s v="Broadway"/>
    <s v="APM"/>
    <x v="55"/>
    <n v="3"/>
    <x v="29"/>
    <x v="77"/>
    <s v="470MM超薄身前置式變頻洗衣乾衣機 (洗8.5公斤/乾6公斤, 可飛頂)"/>
    <s v="大電"/>
    <s v="LAD"/>
    <s v="twdt22"/>
    <n v="1"/>
    <n v="4780"/>
    <n v="4780"/>
    <n v="239649"/>
    <m/>
    <m/>
    <s v="TWD-T22BU95UWH(WK)-B 239649"/>
    <n v="7480"/>
    <n v="0.63903743315508021"/>
    <s v="Toshiba SRP"/>
    <m/>
    <s v="239649"/>
  </r>
  <r>
    <n v="3934"/>
    <s v="Broadway"/>
    <s v="APM"/>
    <x v="55"/>
    <n v="3"/>
    <x v="29"/>
    <x v="27"/>
    <s v="4毫米厚釜電飯煲1.8L"/>
    <s v="細電"/>
    <s v="SDA"/>
    <s v="18nmf"/>
    <n v="1"/>
    <n v="798"/>
    <n v="798"/>
    <n v="3594"/>
    <m/>
    <m/>
    <s v="RC-18NMFIH(WT) 3594"/>
    <n v="998"/>
    <n v="0.79959919839679361"/>
    <s v="Toshiba SRP"/>
    <m/>
    <s v="3594"/>
  </r>
  <r>
    <n v="3935"/>
    <s v="Broadway"/>
    <s v="APM"/>
    <x v="55"/>
    <n v="3"/>
    <x v="29"/>
    <x v="90"/>
    <s v="8公斤超薄身前置式變頻洗衣機"/>
    <s v="大電"/>
    <s v="LAD"/>
    <s v="bu90"/>
    <n v="1"/>
    <n v="3480"/>
    <n v="3480"/>
    <n v="239655"/>
    <m/>
    <m/>
    <s v="TW-T21BU90UWH(WW) 239655"/>
    <n v="5480"/>
    <n v="0.63503649635036497"/>
    <s v="Toshiba SRP"/>
    <m/>
    <s v="239655"/>
  </r>
  <r>
    <n v="3936"/>
    <s v="Broadway"/>
    <s v="APM"/>
    <x v="55"/>
    <n v="3"/>
    <x v="29"/>
    <x v="74"/>
    <s v="4合1氣炸微波蒸焗爐(25公升)"/>
    <s v="細電"/>
    <s v="MCA"/>
    <s v="str25"/>
    <n v="1"/>
    <n v="3180"/>
    <n v="3180"/>
    <n v="239656"/>
    <m/>
    <m/>
    <s v="MX2-STR25SC(WH) 239656"/>
    <n v="4998"/>
    <n v="0.6362545018007203"/>
    <s v="Toshiba SRP"/>
    <m/>
    <s v="239656"/>
  </r>
  <r>
    <n v="3937"/>
    <s v="Broadway"/>
    <s v="APM"/>
    <x v="55"/>
    <n v="3"/>
    <x v="29"/>
    <x v="27"/>
    <s v="4毫米厚釜電飯煲1.8L"/>
    <s v="細電"/>
    <s v="SDA"/>
    <s v="18nmf"/>
    <n v="1"/>
    <n v="798"/>
    <n v="798"/>
    <n v="10363"/>
    <m/>
    <m/>
    <s v="RC-18NMFIH(WT) 10363"/>
    <n v="998"/>
    <n v="0.79959919839679361"/>
    <s v="Toshiba SRP"/>
    <m/>
    <s v="10363"/>
  </r>
  <r>
    <n v="3938"/>
    <s v="Broadway"/>
    <s v="APM"/>
    <x v="55"/>
    <n v="3"/>
    <x v="29"/>
    <x v="72"/>
    <s v="壓縮式抽濕機 (25公升)"/>
    <s v="細電"/>
    <s v="RAC"/>
    <s v="d250"/>
    <n v="1"/>
    <n v="2080"/>
    <n v="2080"/>
    <n v="239650"/>
    <m/>
    <m/>
    <s v="RAD-D250H 239650"/>
    <n v="3380"/>
    <n v="0.61538461538461542"/>
    <s v="Shops Highest Price"/>
    <m/>
    <s v="239650"/>
  </r>
  <r>
    <n v="3939"/>
    <s v="Broadway"/>
    <s v="APM"/>
    <x v="55"/>
    <n v="3"/>
    <x v="29"/>
    <x v="42"/>
    <s v="變頻下置式雙門雪櫃系列270L"/>
    <s v="大電"/>
    <s v="REF"/>
    <s v="rb360"/>
    <n v="1"/>
    <n v="3880"/>
    <n v="3880"/>
    <n v="239661"/>
    <m/>
    <m/>
    <s v="GR-RB360WE-PMA(06) 239661"/>
    <n v="5080"/>
    <n v="0.76377952755905509"/>
    <s v="Toshiba SRP"/>
    <m/>
    <s v="239661"/>
  </r>
  <r>
    <n v="3940"/>
    <s v="Aeon"/>
    <s v="Whampoa"/>
    <x v="56"/>
    <n v="3"/>
    <x v="0"/>
    <x v="9"/>
    <s v="電熱水瓶4.5L"/>
    <s v="細電"/>
    <s v="SDA"/>
    <s v="45sf"/>
    <n v="2"/>
    <n v="500"/>
    <n v="1000"/>
    <m/>
    <m/>
    <m/>
    <s v="PLK-45SFIH(WT) "/>
    <n v="788"/>
    <n v="0.63451776649746194"/>
    <s v="Toshiba SRP"/>
    <m/>
    <s v=""/>
  </r>
  <r>
    <n v="3941"/>
    <s v="Aeon"/>
    <s v="Whampoa"/>
    <x v="56"/>
    <n v="3"/>
    <x v="0"/>
    <x v="44"/>
    <s v="1.7L無線雙層電熱水壺"/>
    <s v="細電"/>
    <s v="SDA"/>
    <s v="17shnh"/>
    <n v="1"/>
    <n v="180.5"/>
    <n v="180.5"/>
    <m/>
    <m/>
    <m/>
    <s v="KT-17SHNH "/>
    <n v="299"/>
    <n v="0.60367892976588633"/>
    <s v="Shops Highest Price"/>
    <m/>
    <s v=""/>
  </r>
  <r>
    <n v="3942"/>
    <s v="Aeon"/>
    <s v="Whampoa"/>
    <x v="56"/>
    <n v="3"/>
    <x v="0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3943"/>
    <s v="Aeon"/>
    <s v="Whampoa"/>
    <x v="56"/>
    <n v="3"/>
    <x v="0"/>
    <x v="6"/>
    <s v="旋鈕式微波爐24L"/>
    <s v="細電"/>
    <s v="SDA"/>
    <s v="mm24"/>
    <n v="3"/>
    <n v="500"/>
    <n v="1500"/>
    <m/>
    <m/>
    <m/>
    <s v="MW2-MM24PC(BK) "/>
    <n v="848"/>
    <n v="0.589622641509434"/>
    <s v="Toshiba SRP"/>
    <m/>
    <s v=""/>
  </r>
  <r>
    <n v="3944"/>
    <s v="Aeon"/>
    <s v="Whampoa"/>
    <x v="56"/>
    <n v="3"/>
    <x v="0"/>
    <x v="11"/>
    <s v="座檯式純蒸氣烤焗水波爐30L"/>
    <s v="細電"/>
    <s v="SDA"/>
    <s v="td5000"/>
    <n v="2"/>
    <n v="3588"/>
    <n v="7176"/>
    <m/>
    <m/>
    <m/>
    <s v="ER-TD5000HK(XK) "/>
    <n v="7998"/>
    <n v="0.44861215303825958"/>
    <s v="Toshiba SRP"/>
    <m/>
    <s v=""/>
  </r>
  <r>
    <n v="3945"/>
    <s v="Aeon"/>
    <s v="Whampoa"/>
    <x v="56"/>
    <n v="3"/>
    <x v="0"/>
    <x v="2"/>
    <s v="雙門變頻式環保雪櫃"/>
    <s v="大電"/>
    <s v="AC"/>
    <s v="a26hsz"/>
    <n v="1"/>
    <n v="1500"/>
    <n v="1500"/>
    <m/>
    <m/>
    <m/>
    <s v="GR-A26HSZ(DS) "/>
    <n v="3780"/>
    <n v="0.3968253968253968"/>
    <s v="Toshiba SRP"/>
    <m/>
    <s v=""/>
  </r>
  <r>
    <n v="3946"/>
    <s v="Aeon"/>
    <s v="Whampoa"/>
    <x v="56"/>
    <n v="3"/>
    <x v="0"/>
    <x v="14"/>
    <s v="21L壓縮式抽濕機"/>
    <s v="大電"/>
    <s v="RAC"/>
    <s v="y200"/>
    <n v="3"/>
    <n v="1500"/>
    <n v="4500"/>
    <m/>
    <m/>
    <m/>
    <s v="RAD-Y200H "/>
    <n v="3280"/>
    <n v="0.45731707317073172"/>
    <s v="Toshiba SRP"/>
    <m/>
    <s v=""/>
  </r>
  <r>
    <n v="3947"/>
    <s v="Aeon"/>
    <s v="Whampoa"/>
    <x v="56"/>
    <n v="3"/>
    <x v="0"/>
    <x v="0"/>
    <s v="超薄身前置式洗衣乾衣機 (洗8公斤 乾5公斤)"/>
    <s v="大電"/>
    <s v="WM"/>
    <s v="bn90"/>
    <n v="1"/>
    <n v="3588"/>
    <n v="3588"/>
    <m/>
    <m/>
    <m/>
    <s v="TWD-BN90GF4H(WK) "/>
    <n v="5980"/>
    <n v="0.6"/>
    <s v="Toshiba SRP"/>
    <m/>
    <s v=""/>
  </r>
  <r>
    <n v="3948"/>
    <s v="Aeon"/>
    <s v="Whampoa"/>
    <x v="56"/>
    <n v="3"/>
    <x v="0"/>
    <x v="4"/>
    <s v="RO座檯式飲水機"/>
    <s v="細電"/>
    <s v="KWH"/>
    <s v="tsr76"/>
    <n v="5"/>
    <n v="1500"/>
    <n v="7500"/>
    <m/>
    <m/>
    <m/>
    <s v="TWP-TSR76THK(W) "/>
    <n v="2680"/>
    <n v="0.55970149253731338"/>
    <s v="Toshiba SRP"/>
    <m/>
    <s v=""/>
  </r>
  <r>
    <n v="3949"/>
    <s v="Aeon"/>
    <s v="Whampoa"/>
    <x v="56"/>
    <n v="3"/>
    <x v="0"/>
    <x v="13"/>
    <s v="獨立式免安裝洗碗碟機"/>
    <s v="細電"/>
    <s v="DM"/>
    <s v="34ahk"/>
    <n v="2"/>
    <n v="1500"/>
    <n v="3000"/>
    <m/>
    <m/>
    <m/>
    <s v="DWS-34AHK "/>
    <n v="3999"/>
    <n v="0.37509377344336087"/>
    <s v="Web SRP"/>
    <m/>
    <s v=""/>
  </r>
  <r>
    <n v="3950"/>
    <s v="Aeon"/>
    <s v="Whampoa"/>
    <x v="56"/>
    <n v="3"/>
    <x v="0"/>
    <x v="31"/>
    <s v="無線雙層電熱水壺(1.7公升)"/>
    <s v="細電"/>
    <s v="SDA"/>
    <s v="17drt"/>
    <n v="1"/>
    <n v="332.5"/>
    <n v="332.5"/>
    <m/>
    <m/>
    <m/>
    <s v="KT-17DRTHK(H) "/>
    <n v="498"/>
    <n v="0.66767068273092367"/>
    <s v="Toshiba SRP"/>
    <m/>
    <s v=""/>
  </r>
  <r>
    <n v="3951"/>
    <s v="Aeon"/>
    <s v="Whampoa"/>
    <x v="56"/>
    <n v="3"/>
    <x v="0"/>
    <x v="88"/>
    <s v="水波爐"/>
    <s v="細電"/>
    <s v="MCA"/>
    <s v="vd7000"/>
    <n v="1"/>
    <n v="6450.5"/>
    <n v="6450.5"/>
    <m/>
    <m/>
    <m/>
    <s v="ER-VD7000HK(XK) "/>
    <n v="8998"/>
    <n v="0.71688152922871751"/>
    <s v="Toshiba SRP"/>
    <m/>
    <s v=""/>
  </r>
  <r>
    <n v="3952"/>
    <s v="Aeon"/>
    <s v="Whampoa"/>
    <x v="56"/>
    <n v="3"/>
    <x v="0"/>
    <x v="16"/>
    <s v="輕便式電磁爐"/>
    <s v="細電"/>
    <s v="SDA"/>
    <s v="20r"/>
    <n v="2"/>
    <n v="275.39999999999998"/>
    <n v="550.79999999999995"/>
    <m/>
    <m/>
    <m/>
    <s v="IC-20R1THK "/>
    <n v="438"/>
    <n v="0.62876712328767115"/>
    <s v="Shops Highest Price"/>
    <m/>
    <s v=""/>
  </r>
  <r>
    <n v="3953"/>
    <s v="Aeon"/>
    <s v="Whampoa"/>
    <x v="56"/>
    <n v="3"/>
    <x v="0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3954"/>
    <s v="Aeon"/>
    <s v="Whampoa"/>
    <x v="56"/>
    <n v="3"/>
    <x v="0"/>
    <x v="86"/>
    <s v="470MM超薄身前置式變頻洗衣乾衣機 (洗8.5公斤 乾6公斤)"/>
    <s v="大電"/>
    <s v="LAD"/>
    <s v="twdt21"/>
    <n v="1"/>
    <n v="4161"/>
    <n v="4161"/>
    <n v="5936266"/>
    <m/>
    <m/>
    <s v="TWD-T21BU95UWH(WW) 5936266"/>
    <n v="7280"/>
    <n v="0.57156593406593403"/>
    <s v="Toshiba SRP"/>
    <m/>
    <s v="5936266"/>
  </r>
  <r>
    <n v="3955"/>
    <s v="Aeon"/>
    <s v="Whampoa"/>
    <x v="56"/>
    <n v="3"/>
    <x v="0"/>
    <x v="15"/>
    <s v="Induction Cooker"/>
    <s v="細電"/>
    <s v="SDA"/>
    <s v="21ts"/>
    <n v="2"/>
    <n v="500"/>
    <n v="1000"/>
    <m/>
    <m/>
    <m/>
    <s v="IC-21TSHK "/>
    <n v="998"/>
    <n v="0.50100200400801598"/>
    <s v="Web SRP"/>
    <m/>
    <s v=""/>
  </r>
  <r>
    <n v="3956"/>
    <s v="Aeon"/>
    <s v="Whampoa"/>
    <x v="56"/>
    <n v="3"/>
    <x v="0"/>
    <x v="1"/>
    <s v="磁應電飯煲(1.5公升)"/>
    <s v="細電"/>
    <s v="SDA"/>
    <s v="15ist"/>
    <n v="13"/>
    <n v="500"/>
    <n v="6500"/>
    <m/>
    <m/>
    <m/>
    <s v="RC-15ISTHK(W) "/>
    <n v="1688"/>
    <n v="0.29620853080568721"/>
    <s v="Toshiba SRP"/>
    <m/>
    <s v=""/>
  </r>
  <r>
    <n v="3957"/>
    <s v="Aeon"/>
    <s v="Whampoa"/>
    <x v="56"/>
    <n v="3"/>
    <x v="0"/>
    <x v="20"/>
    <s v="壓縮式抽濕機 (22公升)"/>
    <s v="細電"/>
    <s v="RAC"/>
    <s v="d200"/>
    <n v="1"/>
    <n v="2057.6999999999998"/>
    <n v="2057.6999999999998"/>
    <m/>
    <m/>
    <m/>
    <s v="RAD-D200H "/>
    <n v="2880"/>
    <n v="0.71447916666666655"/>
    <s v="Shops Highest Price"/>
    <m/>
    <s v=""/>
  </r>
  <r>
    <n v="3958"/>
    <s v="Aeon"/>
    <s v="Whampoa"/>
    <x v="56"/>
    <n v="3"/>
    <x v="5"/>
    <x v="44"/>
    <s v="1.7L無線雙層電熱水壺"/>
    <s v="細電"/>
    <s v="SDA"/>
    <s v="17shnh"/>
    <n v="1"/>
    <n v="180.5"/>
    <n v="180.5"/>
    <m/>
    <m/>
    <m/>
    <s v="KT-17SHNH "/>
    <n v="299"/>
    <n v="0.60367892976588633"/>
    <s v="Shops Highest Price"/>
    <m/>
    <s v=""/>
  </r>
  <r>
    <n v="3959"/>
    <s v="Aeon"/>
    <s v="Whampoa"/>
    <x v="56"/>
    <n v="3"/>
    <x v="5"/>
    <x v="6"/>
    <s v="旋鈕式微波爐24L"/>
    <s v="細電"/>
    <s v="SDA"/>
    <s v="mm24"/>
    <n v="1"/>
    <n v="500"/>
    <n v="500"/>
    <m/>
    <m/>
    <m/>
    <s v="MW2-MM24PC(BK) "/>
    <n v="848"/>
    <n v="0.589622641509434"/>
    <s v="Toshiba SRP"/>
    <m/>
    <s v=""/>
  </r>
  <r>
    <n v="3960"/>
    <s v="Aeon"/>
    <s v="Whampoa"/>
    <x v="56"/>
    <n v="3"/>
    <x v="5"/>
    <x v="11"/>
    <s v="座檯式純蒸氣烤焗水波爐30L"/>
    <s v="細電"/>
    <s v="SDA"/>
    <s v="td5000"/>
    <n v="5"/>
    <n v="3588"/>
    <n v="17940"/>
    <m/>
    <m/>
    <m/>
    <s v="ER-TD5000HK(XK) "/>
    <n v="7998"/>
    <n v="0.44861215303825958"/>
    <s v="Toshiba SRP"/>
    <m/>
    <s v=""/>
  </r>
  <r>
    <n v="3961"/>
    <s v="Aeon"/>
    <s v="Whampoa"/>
    <x v="56"/>
    <n v="3"/>
    <x v="5"/>
    <x v="4"/>
    <s v="RO座檯式飲水機"/>
    <s v="細電"/>
    <s v="KWH"/>
    <s v="tsr76"/>
    <n v="6"/>
    <n v="1500"/>
    <n v="9000"/>
    <m/>
    <m/>
    <m/>
    <s v="TWP-TSR76THK(W) "/>
    <n v="2680"/>
    <n v="0.55970149253731338"/>
    <s v="Toshiba SRP"/>
    <m/>
    <s v=""/>
  </r>
  <r>
    <n v="3962"/>
    <s v="Aeon"/>
    <s v="Whampoa"/>
    <x v="56"/>
    <n v="3"/>
    <x v="5"/>
    <x v="124"/>
    <s v="RO座檯式冷熱飲水機"/>
    <s v="細電"/>
    <s v="KWH"/>
    <s v="w2265"/>
    <n v="1"/>
    <n v="3306"/>
    <n v="3306"/>
    <n v="6117459"/>
    <m/>
    <m/>
    <s v="TWP-W2265THK(W) 6117459"/>
    <n v="3480"/>
    <n v="0.95"/>
    <s v="Shops Highest Price"/>
    <m/>
    <s v="6117459"/>
  </r>
  <r>
    <n v="3963"/>
    <s v="Aeon"/>
    <s v="Whampoa"/>
    <x v="56"/>
    <n v="3"/>
    <x v="5"/>
    <x v="26"/>
    <s v="變頻頂揭式洗衣機 (7.5公斤)"/>
    <s v="大電"/>
    <s v="LAD"/>
    <s v="cfk01w75"/>
    <n v="1"/>
    <n v="3401"/>
    <n v="3401"/>
    <n v="6117476"/>
    <m/>
    <m/>
    <s v="CFK01W75 6117476"/>
    <n v="3888"/>
    <n v="0.87474279835390945"/>
    <s v="Shops Highest Price"/>
    <m/>
    <s v="6117476"/>
  </r>
  <r>
    <n v="3964"/>
    <s v="Aeon"/>
    <s v="Whampoa"/>
    <x v="56"/>
    <n v="3"/>
    <x v="5"/>
    <x v="42"/>
    <s v="變頻下置式雙門雪櫃系列270L"/>
    <s v="大電"/>
    <s v="REF"/>
    <s v="rb360"/>
    <n v="1"/>
    <n v="3881"/>
    <n v="3881"/>
    <n v="5725745"/>
    <m/>
    <m/>
    <s v="GR-RB360WE-PMA(06) 5725745"/>
    <n v="5080"/>
    <n v="0.76397637795275586"/>
    <s v="Toshiba SRP"/>
    <m/>
    <s v="5725745"/>
  </r>
  <r>
    <n v="3965"/>
    <s v="Aeon"/>
    <s v="Whampoa"/>
    <x v="56"/>
    <n v="3"/>
    <x v="5"/>
    <x v="10"/>
    <s v="變頻上置式雙門雪櫃313L "/>
    <s v="大電"/>
    <s v="REF"/>
    <s v="rt416"/>
    <n v="1"/>
    <n v="2888"/>
    <n v="2888"/>
    <m/>
    <m/>
    <m/>
    <s v="GR-RT416WE-PMA(06) "/>
    <n v="5380"/>
    <n v="0.53680297397769516"/>
    <s v="Toshiba SRP"/>
    <m/>
    <s v=""/>
  </r>
  <r>
    <n v="3966"/>
    <s v="Aeon"/>
    <s v="Whampoa"/>
    <x v="56"/>
    <n v="3"/>
    <x v="5"/>
    <x v="87"/>
    <s v="變頻式環保雙門雪櫃(233L)"/>
    <s v="大電"/>
    <s v="REF"/>
    <s v="rt300"/>
    <n v="1"/>
    <n v="2641"/>
    <n v="2641"/>
    <n v="6117479"/>
    <m/>
    <m/>
    <s v="GR-RT300WE-PMA(57) 6117479"/>
    <n v="4280"/>
    <n v="0.61705607476635516"/>
    <s v="Toshiba SRP"/>
    <m/>
    <s v="6117479"/>
  </r>
  <r>
    <n v="3967"/>
    <s v="Aeon"/>
    <s v="Whampoa"/>
    <x v="56"/>
    <n v="3"/>
    <x v="5"/>
    <x v="87"/>
    <s v="變頻式環保雙門雪櫃(233L)"/>
    <s v="大電"/>
    <s v="REF"/>
    <s v="rt300"/>
    <n v="1"/>
    <n v="2641"/>
    <n v="2641"/>
    <n v="5993441"/>
    <m/>
    <m/>
    <s v="GR-RT300WE-PMA(57) 5993441"/>
    <n v="4280"/>
    <n v="0.61705607476635516"/>
    <s v="Toshiba SRP"/>
    <m/>
    <s v="5993441"/>
  </r>
  <r>
    <n v="3968"/>
    <s v="Aeon"/>
    <s v="Whampoa"/>
    <x v="56"/>
    <n v="3"/>
    <x v="5"/>
    <x v="87"/>
    <s v="變頻式環保雙門雪櫃(233L)"/>
    <s v="大電"/>
    <s v="REF"/>
    <s v="rt300"/>
    <n v="1"/>
    <n v="2641"/>
    <n v="2641"/>
    <n v="5725748"/>
    <m/>
    <m/>
    <s v="GR-RT300WE-PMA(57) 5725748"/>
    <n v="4280"/>
    <n v="0.61705607476635516"/>
    <s v="Toshiba SRP"/>
    <m/>
    <s v="5725748"/>
  </r>
  <r>
    <n v="3969"/>
    <s v="Aeon"/>
    <s v="Whampoa"/>
    <x v="56"/>
    <n v="3"/>
    <x v="5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3970"/>
    <s v="Aeon"/>
    <s v="Whampoa"/>
    <x v="56"/>
    <n v="3"/>
    <x v="5"/>
    <x v="1"/>
    <s v="磁應電飯煲(1.5公升)"/>
    <s v="細電"/>
    <s v="SDA"/>
    <s v="15ist"/>
    <n v="3"/>
    <n v="500"/>
    <n v="1500"/>
    <m/>
    <m/>
    <m/>
    <s v="RC-15ISTHK(W) "/>
    <n v="1688"/>
    <n v="0.29620853080568721"/>
    <s v="Toshiba SRP"/>
    <m/>
    <s v=""/>
  </r>
  <r>
    <n v="3971"/>
    <s v="Aeon"/>
    <s v="Whampoa"/>
    <x v="56"/>
    <n v="3"/>
    <x v="6"/>
    <x v="27"/>
    <s v="4毫米厚釜電飯煲1.8L"/>
    <s v="細電"/>
    <s v="SDA"/>
    <s v="18nmf"/>
    <n v="1"/>
    <n v="800"/>
    <n v="800"/>
    <m/>
    <m/>
    <m/>
    <s v="RC-18NMFIH(WT) "/>
    <n v="998"/>
    <n v="0.80160320641282568"/>
    <s v="Toshiba SRP"/>
    <m/>
    <s v=""/>
  </r>
  <r>
    <n v="3972"/>
    <s v="Aeon"/>
    <s v="Whampoa"/>
    <x v="56"/>
    <n v="3"/>
    <x v="6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973"/>
    <s v="Aeon"/>
    <s v="Whampoa"/>
    <x v="56"/>
    <n v="3"/>
    <x v="6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3974"/>
    <s v="Aeon"/>
    <s v="Whampoa"/>
    <x v="56"/>
    <n v="3"/>
    <x v="6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3975"/>
    <s v="Aeon"/>
    <s v="Whampoa"/>
    <x v="56"/>
    <n v="3"/>
    <x v="6"/>
    <x v="63"/>
    <s v="20L 智能蒸氣焗爐"/>
    <s v="細電"/>
    <s v="MCA"/>
    <s v="stq20"/>
    <n v="1"/>
    <n v="1881"/>
    <n v="1881"/>
    <m/>
    <m/>
    <m/>
    <s v="MS3-STQ20SC(WH) "/>
    <n v="2880"/>
    <n v="0.65312499999999996"/>
    <s v="Toshiba SRP"/>
    <m/>
    <s v=""/>
  </r>
  <r>
    <n v="3976"/>
    <s v="Aeon"/>
    <s v="Whampoa"/>
    <x v="56"/>
    <n v="3"/>
    <x v="6"/>
    <x v="4"/>
    <s v="RO座檯式飲水機"/>
    <s v="細電"/>
    <s v="KWH"/>
    <s v="tsr76"/>
    <n v="1"/>
    <n v="1500"/>
    <n v="1500"/>
    <m/>
    <m/>
    <m/>
    <s v="TWP-TSR76THK(W) "/>
    <n v="2680"/>
    <n v="0.55970149253731338"/>
    <s v="Toshiba SRP"/>
    <m/>
    <s v=""/>
  </r>
  <r>
    <n v="3977"/>
    <s v="Aeon"/>
    <s v="Whampoa"/>
    <x v="56"/>
    <n v="3"/>
    <x v="6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3978"/>
    <s v="Aeon"/>
    <s v="Whampoa"/>
    <x v="56"/>
    <n v="3"/>
    <x v="6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m/>
    <s v=""/>
  </r>
  <r>
    <n v="3979"/>
    <s v="Aeon"/>
    <s v="Whampoa"/>
    <x v="56"/>
    <n v="3"/>
    <x v="6"/>
    <x v="1"/>
    <s v="磁應電飯煲(1.5公升)"/>
    <s v="細電"/>
    <s v="SDA"/>
    <s v="15ist"/>
    <n v="4"/>
    <n v="500"/>
    <n v="2000"/>
    <m/>
    <m/>
    <m/>
    <s v="RC-15ISTHK(W) "/>
    <n v="1688"/>
    <n v="0.29620853080568721"/>
    <s v="Toshiba SRP"/>
    <m/>
    <s v=""/>
  </r>
  <r>
    <n v="3980"/>
    <s v="Aeon"/>
    <s v="Whampoa"/>
    <x v="57"/>
    <n v="3"/>
    <x v="7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3981"/>
    <s v="Aeon"/>
    <s v="Whampoa"/>
    <x v="57"/>
    <n v="3"/>
    <x v="7"/>
    <x v="63"/>
    <s v="20L 智能蒸氣焗爐"/>
    <s v="細電"/>
    <s v="MCA"/>
    <s v="stq20"/>
    <n v="1"/>
    <n v="1980"/>
    <n v="1980"/>
    <m/>
    <m/>
    <m/>
    <s v="MS3-STQ20SC(WH) "/>
    <n v="2880"/>
    <n v="0.6875"/>
    <s v="Toshiba SRP"/>
    <m/>
    <s v=""/>
  </r>
  <r>
    <n v="3982"/>
    <s v="Aeon"/>
    <s v="Whampoa"/>
    <x v="57"/>
    <n v="3"/>
    <x v="7"/>
    <x v="16"/>
    <s v="輕便式電磁爐"/>
    <s v="細電"/>
    <s v="SDA"/>
    <s v="20r1"/>
    <n v="2"/>
    <n v="282.7"/>
    <n v="565.4"/>
    <m/>
    <m/>
    <m/>
    <s v="IC-20R1THK "/>
    <n v="438"/>
    <n v="0.64543378995433787"/>
    <s v="Shops Highest Price"/>
    <m/>
    <s v=""/>
  </r>
  <r>
    <n v="3983"/>
    <s v="Aeon"/>
    <s v="Whampoa"/>
    <x v="57"/>
    <n v="3"/>
    <x v="7"/>
    <x v="60"/>
    <s v="酵活炊磁應電飯煲(1.5公升)"/>
    <s v="細電"/>
    <s v="SDA"/>
    <s v="15bh"/>
    <n v="1"/>
    <n v="1880"/>
    <n v="1880"/>
    <m/>
    <m/>
    <m/>
    <s v="RC-15BHH(W) "/>
    <n v="2388"/>
    <n v="0.78726968174204359"/>
    <s v="Toshiba SRP"/>
    <m/>
    <s v=""/>
  </r>
  <r>
    <n v="3984"/>
    <s v="Aeon"/>
    <s v="Whampoa"/>
    <x v="57"/>
    <n v="3"/>
    <x v="7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m/>
    <s v=""/>
  </r>
  <r>
    <n v="3985"/>
    <s v="Aeon"/>
    <s v="Whampoa"/>
    <x v="57"/>
    <n v="3"/>
    <x v="7"/>
    <x v="1"/>
    <s v="磁應電飯煲(1.5公升)"/>
    <s v="細電"/>
    <s v="SDA"/>
    <s v="15ist"/>
    <n v="2"/>
    <n v="500"/>
    <n v="1000"/>
    <m/>
    <m/>
    <m/>
    <s v="RC-15ISTHK(W) "/>
    <n v="1688"/>
    <n v="0.29620853080568721"/>
    <s v="Toshiba SRP"/>
    <m/>
    <s v=""/>
  </r>
  <r>
    <n v="3986"/>
    <s v="Aeon"/>
    <s v="Whampoa"/>
    <x v="57"/>
    <n v="3"/>
    <x v="7"/>
    <x v="21"/>
    <s v="壓縮式抽濕機 (30公升)"/>
    <s v="細電"/>
    <s v="RAC"/>
    <s v="d300"/>
    <n v="1"/>
    <n v="2451"/>
    <n v="2451"/>
    <m/>
    <m/>
    <m/>
    <s v="RAD-D300H "/>
    <n v="3380"/>
    <n v="0.72514792899408287"/>
    <s v="Shops Highest Price"/>
    <m/>
    <s v=""/>
  </r>
  <r>
    <n v="3987"/>
    <s v="Aeon"/>
    <s v="Whampoa"/>
    <x v="57"/>
    <n v="3"/>
    <x v="13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3988"/>
    <s v="Aeon"/>
    <s v="Whampoa"/>
    <x v="57"/>
    <n v="3"/>
    <x v="13"/>
    <x v="7"/>
    <s v="4毫米厚釜電飯煲0.54L"/>
    <s v="細電"/>
    <s v="SDA"/>
    <s v="5mm"/>
    <n v="2"/>
    <n v="490"/>
    <n v="980"/>
    <m/>
    <m/>
    <m/>
    <s v="RC-5MMIH(WT) "/>
    <n v="618"/>
    <n v="0.79288025889967639"/>
    <s v="Toshiba SRP"/>
    <m/>
    <s v=""/>
  </r>
  <r>
    <n v="3989"/>
    <s v="Aeon"/>
    <s v="Whampoa"/>
    <x v="57"/>
    <n v="3"/>
    <x v="13"/>
    <x v="11"/>
    <s v="座檯式純蒸氣烤焗水波爐30L"/>
    <s v="細電"/>
    <s v="SDA"/>
    <s v="td5000"/>
    <n v="1"/>
    <n v="3588"/>
    <n v="3588"/>
    <m/>
    <m/>
    <m/>
    <s v="ER-TD5000HK(XK) "/>
    <n v="7998"/>
    <n v="0.44861215303825958"/>
    <s v="Toshiba SRP"/>
    <m/>
    <s v=""/>
  </r>
  <r>
    <n v="3990"/>
    <s v="Aeon"/>
    <s v="Whampoa"/>
    <x v="57"/>
    <n v="3"/>
    <x v="13"/>
    <x v="2"/>
    <s v="雙門變頻式環保雪櫃"/>
    <s v="大電"/>
    <s v="AC"/>
    <s v="a26hsz"/>
    <n v="1"/>
    <n v="1500"/>
    <n v="1500"/>
    <m/>
    <m/>
    <m/>
    <s v="GR-A26HSZ(DS) "/>
    <n v="3780"/>
    <n v="0.3968253968253968"/>
    <s v="Toshiba SRP"/>
    <m/>
    <s v=""/>
  </r>
  <r>
    <n v="3991"/>
    <s v="Aeon"/>
    <s v="Whampoa"/>
    <x v="57"/>
    <n v="3"/>
    <x v="13"/>
    <x v="63"/>
    <s v="20L 智能蒸氣焗爐"/>
    <s v="細電"/>
    <s v="MCA"/>
    <s v="stq20"/>
    <n v="1"/>
    <n v="1980"/>
    <n v="1980"/>
    <m/>
    <m/>
    <m/>
    <s v="MS3-STQ20SC(WH) "/>
    <n v="2880"/>
    <n v="0.6875"/>
    <s v="Toshiba SRP"/>
    <m/>
    <s v=""/>
  </r>
  <r>
    <n v="3992"/>
    <s v="Aeon"/>
    <s v="Whampoa"/>
    <x v="57"/>
    <n v="3"/>
    <x v="13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3993"/>
    <s v="Aeon"/>
    <s v="Whampoa"/>
    <x v="57"/>
    <n v="3"/>
    <x v="13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3994"/>
    <s v="Aeon"/>
    <s v="Whampoa"/>
    <x v="57"/>
    <n v="3"/>
    <x v="13"/>
    <x v="74"/>
    <s v="4合1氣炸微波蒸焗爐(25公升)"/>
    <s v="細電"/>
    <s v="MCA"/>
    <s v="str25"/>
    <n v="1"/>
    <n v="3401"/>
    <n v="3401"/>
    <m/>
    <m/>
    <m/>
    <s v="MX2-STR25SC(WH) "/>
    <n v="4998"/>
    <n v="0.68047218887555017"/>
    <s v="Toshiba SRP"/>
    <m/>
    <s v=""/>
  </r>
  <r>
    <n v="3995"/>
    <s v="Aeon"/>
    <s v="Whampoa"/>
    <x v="57"/>
    <n v="3"/>
    <x v="13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3996"/>
    <s v="Aeon"/>
    <s v="Whampoa"/>
    <x v="57"/>
    <n v="3"/>
    <x v="13"/>
    <x v="40"/>
    <s v="400MM超薄身前置式變頻洗衣機(7公斤)"/>
    <s v="大電"/>
    <s v="LAD"/>
    <s v="bu80"/>
    <n v="1"/>
    <n v="3180"/>
    <n v="3180"/>
    <n v="6112511"/>
    <m/>
    <m/>
    <s v="TW-T21BU80UWH(MG) 6112511"/>
    <n v="5180"/>
    <n v="0.61389961389961389"/>
    <s v="Toshiba SRP"/>
    <m/>
    <s v="6112511"/>
  </r>
  <r>
    <n v="3997"/>
    <s v="Aeon"/>
    <s v="Whampoa"/>
    <x v="57"/>
    <n v="3"/>
    <x v="13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3998"/>
    <s v="Aeon"/>
    <s v="Whampoa"/>
    <x v="57"/>
    <n v="3"/>
    <x v="13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m/>
    <s v=""/>
  </r>
  <r>
    <n v="3999"/>
    <s v="Aeon"/>
    <s v="Whampoa"/>
    <x v="56"/>
    <n v="3"/>
    <x v="8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000"/>
    <s v="Aeon"/>
    <s v="Whampoa"/>
    <x v="56"/>
    <n v="3"/>
    <x v="8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001"/>
    <s v="Aeon"/>
    <s v="Whampoa"/>
    <x v="56"/>
    <n v="3"/>
    <x v="8"/>
    <x v="59"/>
    <s v="30公升蒸氣焗爐"/>
    <s v="細電"/>
    <s v="MCA"/>
    <s v="str30"/>
    <n v="1"/>
    <n v="3781"/>
    <n v="3781"/>
    <m/>
    <m/>
    <m/>
    <s v="MS5-STR30SC(BK) "/>
    <n v="5998"/>
    <n v="0.63037679226408805"/>
    <s v="Shops Highest Price"/>
    <m/>
    <s v=""/>
  </r>
  <r>
    <n v="4002"/>
    <s v="Aeon"/>
    <s v="Whampoa"/>
    <x v="56"/>
    <n v="3"/>
    <x v="8"/>
    <x v="4"/>
    <s v="RO座檯式飲水機"/>
    <s v="細電"/>
    <s v="KWH"/>
    <s v="tsr76"/>
    <n v="1"/>
    <n v="1500"/>
    <n v="1500"/>
    <m/>
    <m/>
    <m/>
    <s v="TWP-TSR76THK(W) "/>
    <n v="2680"/>
    <n v="0.55970149253731338"/>
    <s v="Toshiba SRP"/>
    <m/>
    <s v=""/>
  </r>
  <r>
    <n v="4003"/>
    <s v="Aeon"/>
    <s v="Whampoa"/>
    <x v="56"/>
    <n v="3"/>
    <x v="8"/>
    <x v="40"/>
    <s v="400MM超薄身前置式變頻洗衣機(7公斤)"/>
    <s v="大電"/>
    <s v="LAD"/>
    <s v="bu80"/>
    <n v="1"/>
    <n v="3021"/>
    <n v="3021"/>
    <n v="6112536"/>
    <m/>
    <m/>
    <s v="TW-T21BU80UWH(MG) 6112536"/>
    <n v="5180"/>
    <n v="0.58320463320463323"/>
    <s v="Toshiba SRP"/>
    <m/>
    <s v="6112536"/>
  </r>
  <r>
    <n v="4004"/>
    <s v="Aeon"/>
    <s v="Whampoa"/>
    <x v="56"/>
    <n v="3"/>
    <x v="8"/>
    <x v="40"/>
    <s v="400MM超薄身前置式變頻洗衣機(7公斤)"/>
    <s v="大電"/>
    <s v="LAD"/>
    <s v="bu80"/>
    <n v="1"/>
    <n v="3021"/>
    <n v="3021"/>
    <n v="5725747"/>
    <m/>
    <m/>
    <s v="TW-T21BU80UWH(MG) 5725747"/>
    <n v="5180"/>
    <n v="0.58320463320463323"/>
    <s v="Toshiba SRP"/>
    <m/>
    <s v="5725747"/>
  </r>
  <r>
    <n v="4005"/>
    <s v="Aeon"/>
    <s v="Whampoa"/>
    <x v="56"/>
    <n v="3"/>
    <x v="8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m/>
    <s v=""/>
  </r>
  <r>
    <n v="4006"/>
    <s v="Aeon"/>
    <s v="Whampoa"/>
    <x v="56"/>
    <n v="3"/>
    <x v="1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007"/>
    <s v="Aeon"/>
    <s v="Whampoa"/>
    <x v="56"/>
    <n v="3"/>
    <x v="1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m/>
    <s v=""/>
  </r>
  <r>
    <n v="4008"/>
    <s v="Aeon"/>
    <s v="Whampoa"/>
    <x v="56"/>
    <n v="3"/>
    <x v="1"/>
    <x v="52"/>
    <s v="35L多功能電焗爐"/>
    <s v="細電"/>
    <s v="SDA"/>
    <s v="mc35"/>
    <n v="1"/>
    <n v="890"/>
    <n v="890"/>
    <m/>
    <m/>
    <m/>
    <s v="TL-MC35Z "/>
    <n v="1098"/>
    <n v="0.81056466302367947"/>
    <s v="Toshiba SRP"/>
    <m/>
    <s v=""/>
  </r>
  <r>
    <n v="4009"/>
    <s v="Aeon"/>
    <s v="Whampoa"/>
    <x v="56"/>
    <n v="3"/>
    <x v="1"/>
    <x v="11"/>
    <s v="座檯式純蒸氣烤焗水波爐30L"/>
    <s v="細電"/>
    <s v="SDA"/>
    <s v="td5000"/>
    <n v="1"/>
    <n v="3588"/>
    <n v="3588"/>
    <m/>
    <m/>
    <m/>
    <s v="ER-TD5000HK(XK) "/>
    <n v="7998"/>
    <n v="0.44861215303825958"/>
    <s v="Toshiba SRP"/>
    <m/>
    <s v=""/>
  </r>
  <r>
    <n v="4010"/>
    <s v="Aeon"/>
    <s v="Whampoa"/>
    <x v="56"/>
    <n v="3"/>
    <x v="1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011"/>
    <s v="Aeon"/>
    <s v="Whampoa"/>
    <x v="56"/>
    <n v="3"/>
    <x v="1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4012"/>
    <s v="Aeon"/>
    <s v="Whampoa"/>
    <x v="56"/>
    <n v="3"/>
    <x v="1"/>
    <x v="15"/>
    <s v="Induction Cooker"/>
    <s v="細電"/>
    <s v="SDA"/>
    <s v="21ts"/>
    <n v="4"/>
    <n v="500"/>
    <n v="2000"/>
    <m/>
    <m/>
    <m/>
    <s v="IC-21TSHK "/>
    <n v="998"/>
    <n v="0.50100200400801598"/>
    <s v="Web SRP"/>
    <m/>
    <s v=""/>
  </r>
  <r>
    <n v="4013"/>
    <s v="Aeon"/>
    <s v="Whampoa"/>
    <x v="56"/>
    <n v="3"/>
    <x v="1"/>
    <x v="1"/>
    <s v="磁應電飯煲(1.5公升)"/>
    <s v="細電"/>
    <s v="SDA"/>
    <s v="15ist"/>
    <n v="3"/>
    <n v="500"/>
    <n v="1500"/>
    <m/>
    <m/>
    <m/>
    <s v="RC-15ISTHK(W) "/>
    <n v="1688"/>
    <n v="0.29620853080568721"/>
    <s v="Toshiba SRP"/>
    <m/>
    <s v=""/>
  </r>
  <r>
    <n v="4014"/>
    <s v="Aeon"/>
    <s v="Whampoa"/>
    <x v="56"/>
    <n v="3"/>
    <x v="2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015"/>
    <s v="Aeon"/>
    <s v="Whampoa"/>
    <x v="56"/>
    <n v="3"/>
    <x v="2"/>
    <x v="7"/>
    <s v="4毫米厚釜電飯煲0.54L"/>
    <s v="細電"/>
    <s v="SDA"/>
    <s v="5mm"/>
    <n v="1"/>
    <n v="465.5"/>
    <n v="465.5"/>
    <m/>
    <m/>
    <m/>
    <s v="RC-5MMIH(WT) "/>
    <n v="618"/>
    <n v="0.75323624595469252"/>
    <s v="Toshiba SRP"/>
    <m/>
    <s v=""/>
  </r>
  <r>
    <n v="4016"/>
    <s v="Aeon"/>
    <s v="Whampoa"/>
    <x v="56"/>
    <n v="3"/>
    <x v="2"/>
    <x v="6"/>
    <s v="旋鈕式微波爐24L"/>
    <s v="細電"/>
    <s v="SDA"/>
    <s v="mm24"/>
    <n v="2"/>
    <n v="500"/>
    <n v="1000"/>
    <m/>
    <m/>
    <m/>
    <s v="MW2-MM24PC(BK) "/>
    <n v="848"/>
    <n v="0.589622641509434"/>
    <s v="Toshiba SRP"/>
    <m/>
    <s v=""/>
  </r>
  <r>
    <n v="4017"/>
    <s v="Aeon"/>
    <s v="Whampoa"/>
    <x v="56"/>
    <n v="3"/>
    <x v="2"/>
    <x v="11"/>
    <s v="座檯式純蒸氣烤焗水波爐30L"/>
    <s v="細電"/>
    <s v="SDA"/>
    <s v="td5000"/>
    <n v="2"/>
    <n v="3588"/>
    <n v="7176"/>
    <m/>
    <m/>
    <m/>
    <s v="ER-TD5000HK(XK) "/>
    <n v="7998"/>
    <n v="0.44861215303825958"/>
    <s v="Toshiba SRP"/>
    <m/>
    <s v=""/>
  </r>
  <r>
    <n v="4018"/>
    <s v="Aeon"/>
    <s v="Whampoa"/>
    <x v="56"/>
    <n v="3"/>
    <x v="2"/>
    <x v="0"/>
    <s v="超薄身前置式洗衣乾衣機 (洗8公斤 乾5公斤)"/>
    <s v="大電"/>
    <s v="WM"/>
    <s v="bn90"/>
    <n v="1"/>
    <n v="3588"/>
    <n v="3588"/>
    <m/>
    <m/>
    <m/>
    <s v="TWD-BN90GF4H(WK) "/>
    <n v="5980"/>
    <n v="0.6"/>
    <s v="Toshiba SRP"/>
    <m/>
    <s v=""/>
  </r>
  <r>
    <n v="4019"/>
    <s v="Aeon"/>
    <s v="Whampoa"/>
    <x v="56"/>
    <n v="3"/>
    <x v="2"/>
    <x v="31"/>
    <s v="無線雙層電熱水壺(1.7公升)"/>
    <s v="細電"/>
    <s v="SDA"/>
    <s v="17drt"/>
    <n v="2"/>
    <n v="350"/>
    <n v="700"/>
    <m/>
    <m/>
    <m/>
    <s v="KT-17DRTHK(H) "/>
    <n v="498"/>
    <n v="0.70281124497991965"/>
    <s v="Toshiba SRP"/>
    <m/>
    <s v=""/>
  </r>
  <r>
    <n v="4020"/>
    <s v="Aeon"/>
    <s v="Whampoa"/>
    <x v="56"/>
    <n v="3"/>
    <x v="2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4021"/>
    <s v="Aeon"/>
    <s v="Whampoa"/>
    <x v="56"/>
    <n v="3"/>
    <x v="2"/>
    <x v="46"/>
    <s v="電熱水瓶 (2.5公升)"/>
    <s v="細電"/>
    <s v="SDA"/>
    <s v="25dr"/>
    <n v="1"/>
    <n v="361"/>
    <n v="361"/>
    <m/>
    <m/>
    <m/>
    <s v="TP-25DR2UHK(W) "/>
    <n v="538"/>
    <n v="0.67100371747211895"/>
    <s v="Toshiba SRP"/>
    <m/>
    <s v=""/>
  </r>
  <r>
    <n v="4022"/>
    <s v="Aeon"/>
    <s v="Whampoa"/>
    <x v="56"/>
    <n v="3"/>
    <x v="2"/>
    <x v="10"/>
    <s v="變頻上置式雙門雪櫃313L "/>
    <s v="大電"/>
    <s v="REF"/>
    <s v="rt416"/>
    <n v="1"/>
    <n v="2888"/>
    <n v="2888"/>
    <m/>
    <m/>
    <m/>
    <s v="GR-RT416WE-PMA(06) "/>
    <n v="5380"/>
    <n v="0.53680297397769516"/>
    <s v="Toshiba SRP"/>
    <m/>
    <s v=""/>
  </r>
  <r>
    <n v="4023"/>
    <s v="Aeon"/>
    <s v="Whampoa"/>
    <x v="56"/>
    <n v="3"/>
    <x v="2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4024"/>
    <s v="Aeon"/>
    <s v="Whampoa"/>
    <x v="56"/>
    <n v="3"/>
    <x v="2"/>
    <x v="15"/>
    <s v="Induction Cooker"/>
    <s v="細電"/>
    <s v="SDA"/>
    <s v="21ts"/>
    <n v="3"/>
    <n v="500"/>
    <n v="1500"/>
    <m/>
    <m/>
    <m/>
    <s v="IC-21TSHK "/>
    <n v="998"/>
    <n v="0.50100200400801598"/>
    <s v="Web SRP"/>
    <m/>
    <s v=""/>
  </r>
  <r>
    <n v="4025"/>
    <s v="Aeon"/>
    <s v="Whampoa"/>
    <x v="56"/>
    <n v="3"/>
    <x v="2"/>
    <x v="1"/>
    <s v="磁應電飯煲(1.5公升)"/>
    <s v="細電"/>
    <s v="SDA"/>
    <s v="15ist"/>
    <n v="6"/>
    <n v="500"/>
    <n v="3000"/>
    <m/>
    <m/>
    <m/>
    <s v="RC-15ISTHK(W) "/>
    <n v="1688"/>
    <n v="0.29620853080568721"/>
    <s v="Toshiba SRP"/>
    <m/>
    <s v=""/>
  </r>
  <r>
    <n v="4026"/>
    <s v="Aeon"/>
    <s v="Whampoa"/>
    <x v="56"/>
    <n v="3"/>
    <x v="2"/>
    <x v="43"/>
    <s v="470MM超薄身前置式變頻洗衣機(8.5公斤, 可飛頂)"/>
    <s v="大電"/>
    <s v="LAD"/>
    <s v="t2295"/>
    <n v="1"/>
    <n v="4641"/>
    <n v="4641"/>
    <n v="5725751"/>
    <m/>
    <m/>
    <s v="TW-T22BU95UWH(WK)-B 5725751"/>
    <n v="5880"/>
    <n v="0.78928571428571426"/>
    <s v="Toshiba SRP"/>
    <m/>
    <s v="5725751"/>
  </r>
  <r>
    <n v="4027"/>
    <s v="Aeon"/>
    <s v="Whampoa"/>
    <x v="56"/>
    <n v="3"/>
    <x v="9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028"/>
    <s v="Aeon"/>
    <s v="Whampoa"/>
    <x v="56"/>
    <n v="3"/>
    <x v="9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4029"/>
    <s v="Aeon"/>
    <s v="Whampoa"/>
    <x v="56"/>
    <n v="3"/>
    <x v="9"/>
    <x v="6"/>
    <s v="旋鈕式微波爐24L"/>
    <s v="細電"/>
    <s v="SDA"/>
    <s v="mm24"/>
    <n v="1"/>
    <n v="500"/>
    <n v="500"/>
    <m/>
    <m/>
    <m/>
    <s v="MW2-MM24PC(BK) "/>
    <n v="848"/>
    <n v="0.589622641509434"/>
    <s v="Toshiba SRP"/>
    <m/>
    <s v=""/>
  </r>
  <r>
    <n v="4030"/>
    <s v="Aeon"/>
    <s v="Whampoa"/>
    <x v="56"/>
    <n v="3"/>
    <x v="9"/>
    <x v="11"/>
    <s v="座檯式純蒸氣烤焗水波爐30L"/>
    <s v="細電"/>
    <s v="SDA"/>
    <s v="td5000"/>
    <n v="1"/>
    <n v="3588"/>
    <n v="3588"/>
    <m/>
    <m/>
    <m/>
    <s v="ER-TD5000HK(XK) "/>
    <n v="7998"/>
    <n v="0.44861215303825958"/>
    <s v="Toshiba SRP"/>
    <m/>
    <s v=""/>
  </r>
  <r>
    <n v="4031"/>
    <s v="Aeon"/>
    <s v="Whampoa"/>
    <x v="56"/>
    <n v="3"/>
    <x v="9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032"/>
    <s v="Aeon"/>
    <s v="Whampoa"/>
    <x v="56"/>
    <n v="3"/>
    <x v="9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033"/>
    <s v="Aeon"/>
    <s v="Whampoa"/>
    <x v="56"/>
    <n v="3"/>
    <x v="9"/>
    <x v="43"/>
    <s v="470MM超薄身前置式變頻洗衣機(8.5公斤, 可飛頂)"/>
    <s v="大電"/>
    <s v="LAD"/>
    <s v="t2295"/>
    <n v="1"/>
    <n v="3496"/>
    <n v="3496"/>
    <n v="6039569"/>
    <m/>
    <m/>
    <s v="TW-T22BU95UWH(WK)-B 6039569"/>
    <n v="5880"/>
    <n v="0.59455782312925165"/>
    <s v="Toshiba SRP"/>
    <m/>
    <s v="6039569"/>
  </r>
  <r>
    <n v="4034"/>
    <s v="Aeon"/>
    <s v="Whampoa"/>
    <x v="56"/>
    <n v="3"/>
    <x v="9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m/>
    <s v=""/>
  </r>
  <r>
    <n v="4035"/>
    <s v="Aeon"/>
    <s v="Whampoa"/>
    <x v="56"/>
    <n v="3"/>
    <x v="9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m/>
    <s v=""/>
  </r>
  <r>
    <n v="4036"/>
    <s v="Aeon"/>
    <s v="Whampoa"/>
    <x v="57"/>
    <n v="3"/>
    <x v="10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4037"/>
    <s v="Aeon"/>
    <s v="Whampoa"/>
    <x v="57"/>
    <n v="3"/>
    <x v="10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4038"/>
    <s v="Aeon"/>
    <s v="Whampoa"/>
    <x v="57"/>
    <n v="3"/>
    <x v="10"/>
    <x v="40"/>
    <s v="400MM超薄身前置式變頻洗衣機(7公斤)"/>
    <s v="大電"/>
    <s v="LAD"/>
    <s v="bu80"/>
    <n v="1"/>
    <n v="3021"/>
    <n v="3021"/>
    <n v="5725380"/>
    <m/>
    <m/>
    <s v="TW-T21BU80UWH(MG) 5725380"/>
    <n v="5180"/>
    <n v="0.58320463320463323"/>
    <s v="Toshiba SRP"/>
    <m/>
    <s v="5725380"/>
  </r>
  <r>
    <n v="4039"/>
    <s v="Aeon"/>
    <s v="Whampoa"/>
    <x v="57"/>
    <n v="3"/>
    <x v="10"/>
    <x v="10"/>
    <s v="變頻上置式雙門雪櫃313L "/>
    <s v="大電"/>
    <s v="REF"/>
    <s v="rt416"/>
    <n v="1"/>
    <n v="2888"/>
    <n v="2888"/>
    <m/>
    <m/>
    <m/>
    <s v="GR-RT416WE-PMA(06) "/>
    <n v="5380"/>
    <n v="0.53680297397769516"/>
    <s v="Toshiba SRP"/>
    <m/>
    <s v=""/>
  </r>
  <r>
    <n v="4040"/>
    <s v="Aeon"/>
    <s v="Whampoa"/>
    <x v="57"/>
    <n v="3"/>
    <x v="10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m/>
    <s v=""/>
  </r>
  <r>
    <n v="4041"/>
    <s v="Aeon"/>
    <s v="Whampoa"/>
    <x v="57"/>
    <n v="3"/>
    <x v="10"/>
    <x v="1"/>
    <s v="磁應電飯煲(1.5公升)"/>
    <s v="細電"/>
    <s v="SDA"/>
    <s v="15ist"/>
    <n v="2"/>
    <n v="500"/>
    <n v="1000"/>
    <m/>
    <m/>
    <m/>
    <s v="RC-15ISTHK(W) "/>
    <n v="1688"/>
    <n v="0.29620853080568721"/>
    <s v="Toshiba SRP"/>
    <m/>
    <s v=""/>
  </r>
  <r>
    <n v="4042"/>
    <s v="Aeon"/>
    <s v="Whampoa"/>
    <x v="57"/>
    <n v="3"/>
    <x v="16"/>
    <x v="17"/>
    <s v="4毫米厚釜電飯煲1L"/>
    <s v="細電"/>
    <s v="SDA"/>
    <s v="10nmf"/>
    <n v="2"/>
    <n v="702"/>
    <n v="1404"/>
    <m/>
    <m/>
    <m/>
    <s v="RC-10NMFIH(WT) "/>
    <n v="898"/>
    <n v="0.78173719376391981"/>
    <s v="Toshiba SRP"/>
    <m/>
    <s v=""/>
  </r>
  <r>
    <n v="4043"/>
    <s v="Aeon"/>
    <s v="Whampoa"/>
    <x v="57"/>
    <n v="3"/>
    <x v="16"/>
    <x v="27"/>
    <s v="4毫米厚釜電飯煲1.8L"/>
    <s v="細電"/>
    <s v="SDA"/>
    <s v="18nmf"/>
    <n v="2"/>
    <n v="760"/>
    <n v="1520"/>
    <m/>
    <m/>
    <m/>
    <s v="RC-18NMFIH(WT) "/>
    <n v="998"/>
    <n v="0.76152304609218435"/>
    <s v="Toshiba SRP"/>
    <m/>
    <s v=""/>
  </r>
  <r>
    <n v="4044"/>
    <s v="Aeon"/>
    <s v="Whampoa"/>
    <x v="57"/>
    <n v="3"/>
    <x v="16"/>
    <x v="39"/>
    <s v="酵活炊電飯煲(1.0公升)"/>
    <s v="細電"/>
    <s v="SDA"/>
    <s v="10amx"/>
    <n v="1"/>
    <n v="940.5"/>
    <n v="940.5"/>
    <m/>
    <m/>
    <m/>
    <s v="RC-10AMXH(W) "/>
    <n v="1288"/>
    <n v="0.73020186335403725"/>
    <s v="Toshiba SRP"/>
    <m/>
    <s v=""/>
  </r>
  <r>
    <n v="4045"/>
    <s v="Aeon"/>
    <s v="Whampoa"/>
    <x v="57"/>
    <n v="3"/>
    <x v="16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m/>
    <s v=""/>
  </r>
  <r>
    <n v="4046"/>
    <s v="Aeon"/>
    <s v="Whampoa"/>
    <x v="57"/>
    <n v="3"/>
    <x v="16"/>
    <x v="1"/>
    <s v="磁應電飯煲(1.5公升)"/>
    <s v="細電"/>
    <s v="SDA"/>
    <s v="15ist"/>
    <n v="2"/>
    <n v="500"/>
    <n v="1000"/>
    <m/>
    <m/>
    <m/>
    <s v="RC-15ISTHK(W) "/>
    <n v="1688"/>
    <n v="0.29620853080568721"/>
    <s v="Toshiba SRP"/>
    <m/>
    <s v=""/>
  </r>
  <r>
    <n v="4047"/>
    <s v="Aeon"/>
    <s v="Whampoa"/>
    <x v="56"/>
    <n v="3"/>
    <x v="11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048"/>
    <s v="Aeon"/>
    <s v="Whampoa"/>
    <x v="56"/>
    <n v="3"/>
    <x v="11"/>
    <x v="4"/>
    <s v="RO座檯式飲水機"/>
    <s v="細電"/>
    <s v="KWH"/>
    <s v="tsr76"/>
    <n v="1"/>
    <n v="1500"/>
    <n v="1500"/>
    <m/>
    <m/>
    <m/>
    <s v="TWP-TSR76THK(W) "/>
    <n v="2680"/>
    <n v="0.55970149253731338"/>
    <s v="Toshiba SRP"/>
    <m/>
    <s v=""/>
  </r>
  <r>
    <n v="4049"/>
    <s v="Aeon"/>
    <s v="Whampoa"/>
    <x v="56"/>
    <n v="3"/>
    <x v="11"/>
    <x v="1"/>
    <s v="磁應電飯煲(1.5公升)"/>
    <s v="細電"/>
    <s v="SDA"/>
    <s v="15ist"/>
    <n v="3"/>
    <n v="500"/>
    <n v="1500"/>
    <m/>
    <m/>
    <m/>
    <s v="RC-15ISTHK(W) "/>
    <n v="1688"/>
    <n v="0.29620853080568721"/>
    <s v="Toshiba SRP"/>
    <m/>
    <s v=""/>
  </r>
  <r>
    <n v="4050"/>
    <s v="Aeon"/>
    <s v="Whampoa"/>
    <x v="56"/>
    <n v="3"/>
    <x v="12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051"/>
    <s v="Aeon"/>
    <s v="Whampoa"/>
    <x v="56"/>
    <n v="3"/>
    <x v="12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4052"/>
    <s v="Aeon"/>
    <s v="Whampoa"/>
    <x v="56"/>
    <n v="3"/>
    <x v="12"/>
    <x v="30"/>
    <s v="旋鈕式燒烤微波爐20L"/>
    <s v="細電"/>
    <s v="SDA"/>
    <s v="mm20"/>
    <n v="1"/>
    <n v="500"/>
    <n v="500"/>
    <m/>
    <m/>
    <m/>
    <s v="MWP-MM20P(WH) "/>
    <n v="648"/>
    <n v="0.77160493827160492"/>
    <s v="Toshiba SRP"/>
    <m/>
    <s v=""/>
  </r>
  <r>
    <n v="4053"/>
    <s v="Aeon"/>
    <s v="Whampoa"/>
    <x v="56"/>
    <n v="3"/>
    <x v="12"/>
    <x v="3"/>
    <s v="7.5KG超薄身前置式變頻洗衣機"/>
    <s v="大電"/>
    <s v="WM"/>
    <s v="bl85a2"/>
    <n v="1"/>
    <n v="2588"/>
    <n v="2588"/>
    <m/>
    <m/>
    <m/>
    <s v="TW-BL85A2H(WW) "/>
    <n v="5080"/>
    <n v="0.50944881889763782"/>
    <s v="Toshiba SRP"/>
    <m/>
    <s v=""/>
  </r>
  <r>
    <n v="4054"/>
    <s v="Aeon"/>
    <s v="Whampoa"/>
    <x v="56"/>
    <n v="3"/>
    <x v="12"/>
    <x v="4"/>
    <s v="RO座檯式飲水機"/>
    <s v="細電"/>
    <s v="KWH"/>
    <s v="tsr76"/>
    <n v="2"/>
    <n v="1500"/>
    <n v="3000"/>
    <m/>
    <m/>
    <m/>
    <s v="TWP-TSR76THK(W) "/>
    <n v="2680"/>
    <n v="0.55970149253731338"/>
    <s v="Toshiba SRP"/>
    <m/>
    <s v=""/>
  </r>
  <r>
    <n v="4055"/>
    <s v="Aeon"/>
    <s v="Whampoa"/>
    <x v="56"/>
    <n v="3"/>
    <x v="12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056"/>
    <s v="Aeon"/>
    <s v="Whampoa"/>
    <x v="56"/>
    <n v="3"/>
    <x v="12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m/>
    <s v=""/>
  </r>
  <r>
    <n v="4057"/>
    <s v="Aeon"/>
    <s v="Whampoa"/>
    <x v="56"/>
    <n v="3"/>
    <x v="3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m/>
    <s v=""/>
  </r>
  <r>
    <n v="4058"/>
    <s v="Aeon"/>
    <s v="Whampoa"/>
    <x v="56"/>
    <n v="3"/>
    <x v="3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059"/>
    <s v="Aeon"/>
    <s v="Whampoa"/>
    <x v="56"/>
    <n v="3"/>
    <x v="3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060"/>
    <s v="Aeon"/>
    <s v="Whampoa"/>
    <x v="56"/>
    <n v="3"/>
    <x v="3"/>
    <x v="6"/>
    <s v="旋鈕式微波爐24L"/>
    <s v="細電"/>
    <s v="SDA"/>
    <s v="mm24"/>
    <n v="1"/>
    <n v="500"/>
    <n v="500"/>
    <m/>
    <m/>
    <m/>
    <s v="MW2-MM24PC(BK) "/>
    <n v="848"/>
    <n v="0.589622641509434"/>
    <s v="Toshiba SRP"/>
    <m/>
    <s v=""/>
  </r>
  <r>
    <n v="4061"/>
    <s v="Aeon"/>
    <s v="Whampoa"/>
    <x v="56"/>
    <n v="3"/>
    <x v="3"/>
    <x v="47"/>
    <s v="磁應電飯煲(1公升)"/>
    <s v="細電"/>
    <s v="SDA"/>
    <s v="10iss"/>
    <n v="1"/>
    <n v="890"/>
    <n v="890"/>
    <m/>
    <m/>
    <m/>
    <s v="RC-10ISSHK(W) "/>
    <n v="1188"/>
    <n v="0.74915824915824913"/>
    <s v="Shops Highest Price"/>
    <m/>
    <s v=""/>
  </r>
  <r>
    <n v="4062"/>
    <s v="Aeon"/>
    <s v="Whampoa"/>
    <x v="56"/>
    <n v="3"/>
    <x v="3"/>
    <x v="59"/>
    <s v="30公升蒸氣焗爐"/>
    <s v="細電"/>
    <s v="MCA"/>
    <s v="str30"/>
    <n v="1"/>
    <n v="3781"/>
    <n v="3781"/>
    <m/>
    <m/>
    <m/>
    <s v="MS5-STR30SC(BK) "/>
    <n v="5998"/>
    <n v="0.63037679226408805"/>
    <s v="Shops Highest Price"/>
    <m/>
    <s v=""/>
  </r>
  <r>
    <n v="4063"/>
    <s v="Aeon"/>
    <s v="Whampoa"/>
    <x v="56"/>
    <n v="3"/>
    <x v="3"/>
    <x v="63"/>
    <s v="20L 智能蒸氣焗爐"/>
    <s v="細電"/>
    <s v="MCA"/>
    <s v="stq20"/>
    <n v="1"/>
    <n v="1881"/>
    <n v="1881"/>
    <m/>
    <m/>
    <m/>
    <s v="MS3-STQ20SC(WH) "/>
    <n v="2880"/>
    <n v="0.65312499999999996"/>
    <s v="Toshiba SRP"/>
    <m/>
    <s v=""/>
  </r>
  <r>
    <n v="4064"/>
    <s v="Aeon"/>
    <s v="Whampoa"/>
    <x v="56"/>
    <n v="3"/>
    <x v="3"/>
    <x v="4"/>
    <s v="RO座檯式飲水機"/>
    <s v="細電"/>
    <s v="KWH"/>
    <s v="tsr76"/>
    <n v="1"/>
    <n v="1500"/>
    <n v="1500"/>
    <m/>
    <m/>
    <m/>
    <s v="TWP-TSR76THK(W) "/>
    <n v="2680"/>
    <n v="0.55970149253731338"/>
    <s v="Toshiba SRP"/>
    <m/>
    <s v=""/>
  </r>
  <r>
    <n v="4065"/>
    <s v="Aeon"/>
    <s v="Whampoa"/>
    <x v="56"/>
    <n v="3"/>
    <x v="3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066"/>
    <s v="Aeon"/>
    <s v="Whampoa"/>
    <x v="56"/>
    <n v="3"/>
    <x v="3"/>
    <x v="16"/>
    <s v="輕便式電磁爐"/>
    <s v="細電"/>
    <s v="SDA"/>
    <s v="20r1"/>
    <n v="1"/>
    <n v="275.5"/>
    <n v="275.5"/>
    <m/>
    <m/>
    <m/>
    <s v="IC-20R1THK "/>
    <n v="438"/>
    <n v="0.62899543378995437"/>
    <s v="Shops Highest Price"/>
    <m/>
    <s v=""/>
  </r>
  <r>
    <n v="4067"/>
    <s v="Aeon"/>
    <s v="Whampoa"/>
    <x v="56"/>
    <n v="3"/>
    <x v="3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4068"/>
    <s v="Aeon"/>
    <s v="Whampoa"/>
    <x v="56"/>
    <n v="3"/>
    <x v="3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m/>
    <s v=""/>
  </r>
  <r>
    <n v="4069"/>
    <s v="Aeon"/>
    <s v="Whampoa"/>
    <x v="56"/>
    <n v="3"/>
    <x v="3"/>
    <x v="42"/>
    <s v="變頻下置式雙門雪櫃系列270L"/>
    <s v="大電"/>
    <s v="REF"/>
    <s v="rb360"/>
    <n v="1"/>
    <n v="3880"/>
    <n v="3880"/>
    <n v="5725750"/>
    <m/>
    <m/>
    <s v="GR-RB360WE-PMA(06) 5725750"/>
    <n v="5080"/>
    <n v="0.76377952755905509"/>
    <s v="Toshiba SRP"/>
    <m/>
    <s v="5725750"/>
  </r>
  <r>
    <n v="4070"/>
    <s v="Aeon"/>
    <s v="Whampoa"/>
    <x v="56"/>
    <n v="3"/>
    <x v="3"/>
    <x v="10"/>
    <s v="變頻上置式雙門雪櫃313L "/>
    <s v="大電"/>
    <s v="REF"/>
    <s v="rt416"/>
    <n v="1"/>
    <n v="2880"/>
    <n v="2880"/>
    <m/>
    <m/>
    <m/>
    <s v="GR-RT416WE-PMA(06) "/>
    <n v="5380"/>
    <n v="0.53531598513011147"/>
    <s v="Toshiba SRP"/>
    <m/>
    <s v=""/>
  </r>
  <r>
    <n v="4071"/>
    <s v="Aeon"/>
    <s v="Whampoa"/>
    <x v="56"/>
    <n v="3"/>
    <x v="3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4072"/>
    <s v="Aeon"/>
    <s v="Whampoa"/>
    <x v="56"/>
    <n v="3"/>
    <x v="3"/>
    <x v="1"/>
    <s v="磁應電飯煲(1.5公升)"/>
    <s v="細電"/>
    <s v="SDA"/>
    <s v="15ist"/>
    <n v="1"/>
    <n v="500"/>
    <n v="500"/>
    <m/>
    <m/>
    <m/>
    <s v="RC-15ISTHK(W) "/>
    <n v="1688"/>
    <n v="0.29620853080568721"/>
    <s v="Toshiba SRP"/>
    <m/>
    <s v=""/>
  </r>
  <r>
    <n v="4073"/>
    <s v="Aeon"/>
    <s v="Whampoa"/>
    <x v="56"/>
    <n v="3"/>
    <x v="4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4074"/>
    <s v="Aeon"/>
    <s v="Whampoa"/>
    <x v="56"/>
    <n v="3"/>
    <x v="4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075"/>
    <s v="Aeon"/>
    <s v="Whampoa"/>
    <x v="56"/>
    <n v="3"/>
    <x v="4"/>
    <x v="6"/>
    <s v="旋鈕式微波爐24L"/>
    <s v="細電"/>
    <s v="SDA"/>
    <s v="mm24"/>
    <n v="3"/>
    <n v="500"/>
    <n v="1500"/>
    <m/>
    <m/>
    <m/>
    <s v="MW2-MM24PC(BK) "/>
    <n v="848"/>
    <n v="0.589622641509434"/>
    <s v="Toshiba SRP"/>
    <m/>
    <s v=""/>
  </r>
  <r>
    <n v="4076"/>
    <s v="Aeon"/>
    <s v="Whampoa"/>
    <x v="56"/>
    <n v="3"/>
    <x v="4"/>
    <x v="11"/>
    <s v="座檯式純蒸氣烤焗水波爐30L"/>
    <s v="細電"/>
    <s v="SDA"/>
    <s v="td5000"/>
    <n v="2"/>
    <n v="3588"/>
    <n v="7176"/>
    <m/>
    <m/>
    <m/>
    <s v="ER-TD5000HK(XK) "/>
    <n v="7998"/>
    <n v="0.44861215303825958"/>
    <s v="Toshiba SRP"/>
    <m/>
    <s v=""/>
  </r>
  <r>
    <n v="4077"/>
    <s v="Aeon"/>
    <s v="Whampoa"/>
    <x v="56"/>
    <n v="3"/>
    <x v="4"/>
    <x v="3"/>
    <s v="7.5KG超薄身前置式變頻洗衣機"/>
    <s v="大電"/>
    <s v="WM"/>
    <s v="bl85a2"/>
    <n v="1"/>
    <n v="2588"/>
    <n v="2588"/>
    <m/>
    <m/>
    <m/>
    <s v="TW-BL85A2H(WW) "/>
    <n v="5080"/>
    <n v="0.50944881889763782"/>
    <s v="Toshiba SRP"/>
    <m/>
    <s v=""/>
  </r>
  <r>
    <n v="4078"/>
    <s v="Aeon"/>
    <s v="Whampoa"/>
    <x v="56"/>
    <n v="3"/>
    <x v="4"/>
    <x v="2"/>
    <s v="雙門變頻式環保雪櫃"/>
    <s v="大電"/>
    <s v="AC"/>
    <s v="a26hsz"/>
    <n v="1"/>
    <n v="1500"/>
    <n v="1500"/>
    <m/>
    <m/>
    <m/>
    <s v="GR-A26HSZ(DS) "/>
    <n v="3780"/>
    <n v="0.3968253968253968"/>
    <s v="Toshiba SRP"/>
    <m/>
    <s v=""/>
  </r>
  <r>
    <n v="4079"/>
    <s v="Aeon"/>
    <s v="Whampoa"/>
    <x v="56"/>
    <n v="3"/>
    <x v="4"/>
    <x v="4"/>
    <s v="RO座檯式飲水機"/>
    <s v="細電"/>
    <s v="KWH"/>
    <s v="tsr76"/>
    <n v="3"/>
    <n v="1500"/>
    <n v="4500"/>
    <m/>
    <m/>
    <m/>
    <s v="TWP-TSR76THK(W) "/>
    <n v="2680"/>
    <n v="0.55970149253731338"/>
    <s v="Toshiba SRP"/>
    <m/>
    <s v=""/>
  </r>
  <r>
    <n v="4080"/>
    <s v="Aeon"/>
    <s v="Whampoa"/>
    <x v="56"/>
    <n v="3"/>
    <x v="4"/>
    <x v="13"/>
    <s v="獨立式免安裝洗碗碟機"/>
    <s v="細電"/>
    <s v="DM"/>
    <s v="34ahk"/>
    <n v="4"/>
    <n v="1500"/>
    <n v="6000"/>
    <m/>
    <m/>
    <m/>
    <s v="DWS-34AHK "/>
    <n v="3999"/>
    <n v="0.37509377344336087"/>
    <s v="Web SRP"/>
    <m/>
    <s v=""/>
  </r>
  <r>
    <n v="4081"/>
    <s v="Aeon"/>
    <s v="Whampoa"/>
    <x v="56"/>
    <n v="3"/>
    <x v="4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4082"/>
    <s v="Aeon"/>
    <s v="Whampoa"/>
    <x v="56"/>
    <n v="3"/>
    <x v="4"/>
    <x v="61"/>
    <s v="酵活炊電飯煲(1.8公升)"/>
    <s v="細電"/>
    <s v="SDA"/>
    <s v="18amx"/>
    <n v="1"/>
    <n v="990"/>
    <n v="990"/>
    <m/>
    <m/>
    <m/>
    <s v="RC-18AMXH(W) "/>
    <n v="1588"/>
    <n v="0.62342569269521408"/>
    <s v="Toshiba SRP"/>
    <m/>
    <s v=""/>
  </r>
  <r>
    <n v="4083"/>
    <s v="Aeon"/>
    <s v="Whampoa"/>
    <x v="56"/>
    <n v="3"/>
    <x v="4"/>
    <x v="46"/>
    <s v="電熱水瓶 (2.5公升)"/>
    <s v="細電"/>
    <s v="SDA"/>
    <s v="25dr"/>
    <n v="1"/>
    <n v="361"/>
    <n v="361"/>
    <m/>
    <m/>
    <m/>
    <s v="TP-25DR2UHK(W) "/>
    <n v="538"/>
    <n v="0.67100371747211895"/>
    <s v="Toshiba SRP"/>
    <m/>
    <s v=""/>
  </r>
  <r>
    <n v="4084"/>
    <s v="Aeon"/>
    <s v="Whampoa"/>
    <x v="56"/>
    <n v="3"/>
    <x v="4"/>
    <x v="42"/>
    <s v="變頻下置式雙門雪櫃系列270L"/>
    <s v="大電"/>
    <s v="REF"/>
    <s v="rb360"/>
    <n v="1"/>
    <n v="3781"/>
    <n v="3781"/>
    <n v="5725752"/>
    <m/>
    <m/>
    <s v="GR-RB360WE-PMA(06) 5725752"/>
    <n v="5080"/>
    <n v="0.74429133858267715"/>
    <s v="Toshiba SRP"/>
    <m/>
    <s v="5725752"/>
  </r>
  <r>
    <n v="4085"/>
    <s v="Aeon"/>
    <s v="Whampoa"/>
    <x v="56"/>
    <n v="3"/>
    <x v="4"/>
    <x v="10"/>
    <s v="變頻上置式雙門雪櫃313L "/>
    <s v="大電"/>
    <s v="REF"/>
    <s v="rt416"/>
    <n v="1"/>
    <n v="2888"/>
    <n v="2888"/>
    <m/>
    <m/>
    <m/>
    <s v="GR-RT416WE-PMA(06) "/>
    <n v="5380"/>
    <n v="0.53680297397769516"/>
    <s v="Toshiba SRP"/>
    <m/>
    <s v=""/>
  </r>
  <r>
    <n v="4086"/>
    <s v="Aeon"/>
    <s v="Whampoa"/>
    <x v="56"/>
    <n v="3"/>
    <x v="4"/>
    <x v="75"/>
    <s v="日式洗衣機 (8公斤 結合高低水位)"/>
    <s v="大電"/>
    <s v="LAD"/>
    <s v="q901"/>
    <n v="1"/>
    <n v="2280"/>
    <n v="2280"/>
    <n v="6039099"/>
    <m/>
    <m/>
    <s v="AW-Q901BPH(WW) 6039099"/>
    <n v="3780"/>
    <n v="0.60317460317460314"/>
    <s v="Toshiba SRP"/>
    <m/>
    <s v="6039099"/>
  </r>
  <r>
    <n v="4087"/>
    <s v="Aeon"/>
    <s v="Whampoa"/>
    <x v="56"/>
    <n v="3"/>
    <x v="4"/>
    <x v="5"/>
    <s v="全自動洗衣機 (8公斤 結合高低水位)"/>
    <s v="大電"/>
    <s v="WM"/>
    <s v="m901"/>
    <n v="3"/>
    <n v="1500"/>
    <n v="4500"/>
    <m/>
    <m/>
    <m/>
    <s v="AW-M901BPH(WW) "/>
    <n v="3580"/>
    <n v="0.41899441340782123"/>
    <s v="Toshiba SRP"/>
    <m/>
    <s v=""/>
  </r>
  <r>
    <n v="4088"/>
    <s v="Aeon"/>
    <s v="Whampoa"/>
    <x v="56"/>
    <n v="3"/>
    <x v="4"/>
    <x v="15"/>
    <s v="Induction Cooker"/>
    <s v="細電"/>
    <s v="SDA"/>
    <s v="21ts"/>
    <n v="1"/>
    <n v="500"/>
    <n v="500"/>
    <m/>
    <m/>
    <m/>
    <s v="IC-21TSHK "/>
    <n v="998"/>
    <n v="0.50100200400801598"/>
    <s v="Web SRP"/>
    <m/>
    <s v=""/>
  </r>
  <r>
    <n v="4089"/>
    <s v="Aeon"/>
    <s v="Whampoa"/>
    <x v="56"/>
    <n v="3"/>
    <x v="4"/>
    <x v="12"/>
    <s v="Comfee 1.5匹變頻窗口式冷氣機"/>
    <s v="大電"/>
    <s v="RAC"/>
    <s v="12cr"/>
    <n v="1"/>
    <n v="3528"/>
    <n v="3528"/>
    <m/>
    <m/>
    <m/>
    <s v="CWF-12CRFN8-AD5 "/>
    <n v="5200"/>
    <n v="0.67846153846153845"/>
    <s v="Shops Highest Price"/>
    <m/>
    <s v=""/>
  </r>
  <r>
    <n v="4090"/>
    <s v="Aeon"/>
    <s v="Whampoa"/>
    <x v="56"/>
    <n v="3"/>
    <x v="4"/>
    <x v="19"/>
    <s v="Comfee 2匹變頻窗口式冷氣機"/>
    <s v="大電"/>
    <s v="RAC"/>
    <s v="18cr"/>
    <n v="1"/>
    <n v="4028"/>
    <n v="4028"/>
    <m/>
    <m/>
    <m/>
    <s v="CWF-18CRFN8-AD5 "/>
    <n v="6600"/>
    <n v="0.61030303030303035"/>
    <s v="Shops Highest Price"/>
    <m/>
    <s v=""/>
  </r>
  <r>
    <n v="4091"/>
    <s v="Aeon"/>
    <s v="Whampoa"/>
    <x v="56"/>
    <n v="3"/>
    <x v="4"/>
    <x v="1"/>
    <s v="磁應電飯煲(1.5公升)"/>
    <s v="細電"/>
    <s v="SDA"/>
    <s v="15ist"/>
    <n v="16"/>
    <n v="500"/>
    <n v="8000"/>
    <m/>
    <m/>
    <m/>
    <s v="RC-15ISTHK(W) "/>
    <n v="1688"/>
    <n v="0.29620853080568721"/>
    <s v="Toshiba SRP"/>
    <m/>
    <s v=""/>
  </r>
  <r>
    <n v="4092"/>
    <s v="Aeon"/>
    <s v="Whampoa"/>
    <x v="57"/>
    <n v="3"/>
    <x v="14"/>
    <x v="75"/>
    <s v="日式洗衣機 (8公斤 結合高低水位)"/>
    <s v="大電"/>
    <s v="LAD"/>
    <s v="q901"/>
    <n v="1"/>
    <n v="2280"/>
    <n v="2280"/>
    <n v="6037008"/>
    <m/>
    <m/>
    <s v="AW-Q901BPH(WW) 6037008"/>
    <n v="3780"/>
    <n v="0.60317460317460314"/>
    <s v="Toshiba SRP"/>
    <m/>
    <s v="6037008"/>
  </r>
  <r>
    <n v="4093"/>
    <s v="Aeon"/>
    <s v="Whampoa"/>
    <x v="57"/>
    <n v="3"/>
    <x v="14"/>
    <x v="20"/>
    <s v="壓縮式抽濕機 (22公升)"/>
    <s v="細電"/>
    <s v="RAC"/>
    <s v="d200"/>
    <n v="1"/>
    <n v="1881"/>
    <n v="1881"/>
    <m/>
    <m/>
    <m/>
    <s v="RAD-D200H "/>
    <n v="2880"/>
    <n v="0.65312499999999996"/>
    <s v="Shops Highest Price"/>
    <m/>
    <s v=""/>
  </r>
  <r>
    <n v="4094"/>
    <s v="Aeon"/>
    <s v="Whampoa"/>
    <x v="57"/>
    <n v="3"/>
    <x v="15"/>
    <x v="50"/>
    <s v="輕便式電磁爐7個功能"/>
    <s v="細電"/>
    <s v="SDA"/>
    <s v="s19"/>
    <n v="1"/>
    <n v="550"/>
    <n v="550"/>
    <m/>
    <m/>
    <m/>
    <s v="IC-S19RH "/>
    <n v="638"/>
    <n v="0.86206896551724133"/>
    <s v="Toshiba SRP"/>
    <m/>
    <s v=""/>
  </r>
  <r>
    <n v="4095"/>
    <s v="Aeon"/>
    <s v="Whampoa"/>
    <x v="57"/>
    <n v="3"/>
    <x v="15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4096"/>
    <s v="Aeon"/>
    <s v="Whampoa"/>
    <x v="57"/>
    <n v="3"/>
    <x v="15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4097"/>
    <s v="Aeon"/>
    <s v="Whampoa"/>
    <x v="57"/>
    <n v="3"/>
    <x v="15"/>
    <x v="43"/>
    <s v="470MM超薄身前置式變頻洗衣機(8.5公斤, 可飛頂)"/>
    <s v="大電"/>
    <s v="LAD"/>
    <s v="t2295"/>
    <n v="1"/>
    <n v="3680"/>
    <n v="3680"/>
    <n v="6039005"/>
    <m/>
    <m/>
    <s v="TW-T22BU95UWH(WK)-B 6039005"/>
    <n v="5880"/>
    <n v="0.62585034013605445"/>
    <s v="Toshiba SRP"/>
    <m/>
    <s v="6039005"/>
  </r>
  <r>
    <n v="4098"/>
    <s v="Aeon"/>
    <s v="Whampoa"/>
    <x v="57"/>
    <n v="3"/>
    <x v="17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m/>
    <s v=""/>
  </r>
  <r>
    <n v="4099"/>
    <s v="Aeon"/>
    <s v="Whampoa"/>
    <x v="57"/>
    <n v="3"/>
    <x v="17"/>
    <x v="143"/>
    <s v="IH磁應電飯煲_x000a_鑽石銅鍋"/>
    <s v="細電"/>
    <s v="SDA"/>
    <s v="dr18t"/>
    <n v="1"/>
    <n v="2880"/>
    <n v="2880"/>
    <m/>
    <m/>
    <m/>
    <s v="RC-DR18T(R) "/>
    <n v="3588"/>
    <n v="0.80267558528428096"/>
    <s v="Toshiba SRP"/>
    <m/>
    <s v=""/>
  </r>
  <r>
    <n v="4100"/>
    <s v="Aeon"/>
    <s v="Whampoa"/>
    <x v="57"/>
    <n v="3"/>
    <x v="17"/>
    <x v="34"/>
    <s v="智能氣炸烤焗爐(24公升)"/>
    <s v="細電"/>
    <s v="MCA"/>
    <s v="sac24"/>
    <n v="1"/>
    <n v="1390"/>
    <n v="1390"/>
    <m/>
    <m/>
    <m/>
    <s v="MW3-SAC24SE(BK) "/>
    <n v="1680"/>
    <n v="0.82738095238095233"/>
    <s v="Toshiba SRP"/>
    <m/>
    <s v=""/>
  </r>
  <r>
    <n v="4101"/>
    <s v="Aeon"/>
    <s v="Whampoa"/>
    <x v="57"/>
    <n v="3"/>
    <x v="17"/>
    <x v="124"/>
    <s v="RO座檯式冷熱飲水機"/>
    <s v="細電"/>
    <s v="KWH"/>
    <s v="w2265"/>
    <n v="1"/>
    <n v="3480"/>
    <n v="3480"/>
    <m/>
    <m/>
    <m/>
    <s v="TWP-W2265THK(W) "/>
    <n v="3480"/>
    <n v="1"/>
    <s v="Shops Highest Price"/>
    <m/>
    <s v=""/>
  </r>
  <r>
    <n v="4102"/>
    <s v="Aeon"/>
    <s v="Whampoa"/>
    <x v="57"/>
    <n v="3"/>
    <x v="17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103"/>
    <s v="Aeon"/>
    <s v="Whampoa"/>
    <x v="57"/>
    <n v="3"/>
    <x v="17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4104"/>
    <s v="Aeon"/>
    <s v="Whampoa"/>
    <x v="56"/>
    <n v="3"/>
    <x v="18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4105"/>
    <s v="Aeon"/>
    <s v="Whampoa"/>
    <x v="56"/>
    <n v="3"/>
    <x v="18"/>
    <x v="27"/>
    <s v="4毫米厚釜電飯煲1.8L"/>
    <s v="細電"/>
    <s v="SDA"/>
    <s v="18nmf"/>
    <n v="1"/>
    <n v="800"/>
    <n v="800"/>
    <m/>
    <m/>
    <m/>
    <s v="RC-18NMFIH(WT) "/>
    <n v="998"/>
    <n v="0.80160320641282568"/>
    <s v="Toshiba SRP"/>
    <m/>
    <s v=""/>
  </r>
  <r>
    <n v="4106"/>
    <s v="Aeon"/>
    <s v="Whampoa"/>
    <x v="56"/>
    <n v="3"/>
    <x v="18"/>
    <x v="61"/>
    <s v="酵活炊電飯煲(1.8公升)"/>
    <s v="細電"/>
    <s v="SDA"/>
    <s v="18amx"/>
    <n v="1"/>
    <n v="990"/>
    <n v="990"/>
    <m/>
    <m/>
    <m/>
    <s v="RC-18AMXH(W) "/>
    <n v="1588"/>
    <n v="0.62342569269521408"/>
    <s v="Toshiba SRP"/>
    <m/>
    <s v=""/>
  </r>
  <r>
    <n v="4107"/>
    <s v="Aeon"/>
    <s v="Whampoa"/>
    <x v="56"/>
    <n v="3"/>
    <x v="18"/>
    <x v="43"/>
    <s v="470MM超薄身前置式變頻洗衣機(8.5公斤, 可飛頂)"/>
    <s v="大電"/>
    <s v="LAD"/>
    <s v="t2295"/>
    <n v="1"/>
    <n v="3496"/>
    <n v="3496"/>
    <n v="6112660"/>
    <m/>
    <m/>
    <s v="TW-T22BU95UWH(WK)-B 6112660"/>
    <n v="5880"/>
    <n v="0.59455782312925165"/>
    <s v="Toshiba SRP"/>
    <m/>
    <s v="6112660"/>
  </r>
  <r>
    <n v="4108"/>
    <s v="Aeon"/>
    <s v="Whampoa"/>
    <x v="56"/>
    <n v="3"/>
    <x v="18"/>
    <x v="135"/>
    <s v="變頻日式洗衣機 (10公斤 結合高低水位)"/>
    <s v="大電"/>
    <s v="LAD"/>
    <s v="dq110"/>
    <n v="1"/>
    <n v="2546"/>
    <n v="2546"/>
    <n v="5725441"/>
    <m/>
    <m/>
    <s v="AW-DQ110JPH(WW) 5725441"/>
    <n v="4680"/>
    <n v="0.54401709401709397"/>
    <s v="Toshiba SRP"/>
    <m/>
    <s v="5725441"/>
  </r>
  <r>
    <n v="4109"/>
    <s v="Aeon"/>
    <s v="Whampoa"/>
    <x v="56"/>
    <n v="3"/>
    <x v="19"/>
    <x v="17"/>
    <s v="4毫米厚釜電飯煲1L"/>
    <s v="細電"/>
    <s v="SDA"/>
    <s v="10nmf"/>
    <n v="1"/>
    <n v="684"/>
    <n v="684"/>
    <m/>
    <m/>
    <m/>
    <s v="RC-10NMFIH(WT) "/>
    <n v="898"/>
    <n v="0.76169265033407574"/>
    <s v="Toshiba SRP"/>
    <m/>
    <s v=""/>
  </r>
  <r>
    <n v="4110"/>
    <s v="Aeon"/>
    <s v="Whampoa"/>
    <x v="56"/>
    <n v="3"/>
    <x v="19"/>
    <x v="44"/>
    <s v="1.7L無線雙層電熱水壺"/>
    <s v="細電"/>
    <s v="SDA"/>
    <s v="17shnh"/>
    <n v="1"/>
    <n v="180.5"/>
    <n v="180.5"/>
    <m/>
    <m/>
    <m/>
    <s v="KT-17SHNH "/>
    <n v="299"/>
    <n v="0.60367892976588633"/>
    <s v="Shops Highest Price"/>
    <m/>
    <s v=""/>
  </r>
  <r>
    <n v="4111"/>
    <s v="Aeon"/>
    <s v="Whampoa"/>
    <x v="56"/>
    <n v="3"/>
    <x v="19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112"/>
    <s v="Aeon"/>
    <s v="Whampoa"/>
    <x v="56"/>
    <n v="3"/>
    <x v="19"/>
    <x v="74"/>
    <s v="4合1氣炸微波蒸焗爐(25公升)"/>
    <s v="細電"/>
    <s v="MCA"/>
    <s v="str25"/>
    <n v="1"/>
    <n v="3580"/>
    <n v="3580"/>
    <m/>
    <m/>
    <m/>
    <s v="MX2-STR25SC(WH) "/>
    <n v="4998"/>
    <n v="0.71628651460584236"/>
    <s v="Toshiba SRP"/>
    <m/>
    <s v=""/>
  </r>
  <r>
    <n v="4113"/>
    <s v="Aeon"/>
    <s v="Whampoa"/>
    <x v="56"/>
    <n v="3"/>
    <x v="19"/>
    <x v="87"/>
    <s v="變頻式環保雙門雪櫃(233L)"/>
    <s v="大電"/>
    <s v="REF"/>
    <s v="rt300"/>
    <n v="1"/>
    <n v="2710"/>
    <n v="2710"/>
    <n v="6112662"/>
    <m/>
    <m/>
    <s v="GR-RT300WE-PMA(57) 6112662"/>
    <n v="4280"/>
    <n v="0.63317757009345799"/>
    <s v="Toshiba SRP"/>
    <m/>
    <s v="6112662"/>
  </r>
  <r>
    <n v="4114"/>
    <s v="Aeon"/>
    <s v="Whampoa"/>
    <x v="56"/>
    <n v="3"/>
    <x v="19"/>
    <x v="87"/>
    <s v="變頻式環保雙門雪櫃(233L)"/>
    <s v="大電"/>
    <s v="REF"/>
    <s v="rt300"/>
    <n v="1"/>
    <n v="2710"/>
    <n v="2710"/>
    <n v="5725440"/>
    <m/>
    <m/>
    <s v="GR-RT300WE-PMA(57) 5725440"/>
    <n v="4280"/>
    <n v="0.63317757009345799"/>
    <s v="Toshiba SRP"/>
    <m/>
    <s v="5725440"/>
  </r>
  <r>
    <n v="4115"/>
    <s v="Aeon"/>
    <s v="Whampoa"/>
    <x v="56"/>
    <n v="3"/>
    <x v="19"/>
    <x v="21"/>
    <s v="壓縮式抽濕機 (30公升)"/>
    <s v="細電"/>
    <s v="RAC"/>
    <s v="d300"/>
    <n v="1"/>
    <n v="2166"/>
    <n v="2166"/>
    <m/>
    <m/>
    <m/>
    <s v="RAD-D300H "/>
    <n v="3380"/>
    <n v="0.64082840236686389"/>
    <s v="Shops Highest Price"/>
    <m/>
    <s v=""/>
  </r>
  <r>
    <n v="4116"/>
    <s v="Aeon"/>
    <s v="Whampoa"/>
    <x v="56"/>
    <n v="3"/>
    <x v="20"/>
    <x v="44"/>
    <s v="1.7L無線雙層電熱水壺"/>
    <s v="細電"/>
    <s v="SDA"/>
    <s v="17shnh"/>
    <n v="1"/>
    <n v="180.5"/>
    <n v="180.5"/>
    <m/>
    <m/>
    <m/>
    <s v="KT-17SHNH "/>
    <n v="299"/>
    <n v="0.60367892976588633"/>
    <s v="Shops Highest Price"/>
    <m/>
    <s v=""/>
  </r>
  <r>
    <n v="4117"/>
    <s v="Aeon"/>
    <s v="Whampoa"/>
    <x v="56"/>
    <n v="3"/>
    <x v="20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m/>
    <s v=""/>
  </r>
  <r>
    <n v="4118"/>
    <s v="Aeon"/>
    <s v="Whampoa"/>
    <x v="56"/>
    <n v="3"/>
    <x v="20"/>
    <x v="31"/>
    <s v="無線雙層電熱水壺(1.7公升)"/>
    <s v="細電"/>
    <s v="SDA"/>
    <s v="17drt"/>
    <n v="1"/>
    <n v="332.5"/>
    <n v="332.5"/>
    <m/>
    <m/>
    <m/>
    <s v="KT-17DRTHK(H) "/>
    <n v="498"/>
    <n v="0.66767068273092367"/>
    <s v="Toshiba SRP"/>
    <m/>
    <s v=""/>
  </r>
  <r>
    <n v="4119"/>
    <s v="Aeon"/>
    <s v="Whampoa"/>
    <x v="56"/>
    <n v="3"/>
    <x v="20"/>
    <x v="26"/>
    <s v="變頻頂揭式洗衣機 (7.5公斤)"/>
    <s v="大電"/>
    <s v="LAD"/>
    <s v="cfk01w75"/>
    <n v="1"/>
    <n v="3401"/>
    <n v="3401"/>
    <n v="6112606"/>
    <m/>
    <m/>
    <s v="CFK01W75 6112606"/>
    <n v="3888"/>
    <n v="0.87474279835390945"/>
    <s v="Shops Highest Price"/>
    <m/>
    <s v="6112606"/>
  </r>
  <r>
    <n v="4120"/>
    <s v="Aeon"/>
    <s v="Whampoa"/>
    <x v="56"/>
    <n v="3"/>
    <x v="20"/>
    <x v="46"/>
    <s v="電熱水瓶 (2.5公升)"/>
    <s v="細電"/>
    <s v="SDA"/>
    <s v="25dr"/>
    <n v="1"/>
    <n v="361"/>
    <n v="361"/>
    <m/>
    <m/>
    <m/>
    <s v="TP-25DR2UHK(W) "/>
    <n v="538"/>
    <n v="0.67100371747211895"/>
    <s v="Toshiba SRP"/>
    <m/>
    <s v=""/>
  </r>
  <r>
    <n v="4121"/>
    <s v="Aeon"/>
    <s v="Whampoa"/>
    <x v="56"/>
    <n v="3"/>
    <x v="21"/>
    <x v="44"/>
    <s v="1.7L無線雙層電熱水壺"/>
    <s v="細電"/>
    <s v="SDA"/>
    <s v="17shnh"/>
    <n v="1"/>
    <n v="180.5"/>
    <n v="180.5"/>
    <m/>
    <m/>
    <m/>
    <s v="KT-17SHNH "/>
    <n v="299"/>
    <n v="0.60367892976588633"/>
    <s v="Shops Highest Price"/>
    <m/>
    <s v=""/>
  </r>
  <r>
    <n v="4122"/>
    <s v="Aeon"/>
    <s v="Whampoa"/>
    <x v="56"/>
    <n v="3"/>
    <x v="21"/>
    <x v="24"/>
    <s v="微型電腦珍珠飯煲"/>
    <s v="細電"/>
    <s v="SDA"/>
    <s v="5sli"/>
    <n v="1"/>
    <n v="560.5"/>
    <n v="560.5"/>
    <m/>
    <m/>
    <m/>
    <s v="RC-5SLIH(W) "/>
    <n v="658"/>
    <n v="0.85182370820668696"/>
    <s v="Toshiba SRP"/>
    <m/>
    <s v=""/>
  </r>
  <r>
    <n v="4123"/>
    <s v="Aeon"/>
    <s v="Whampoa"/>
    <x v="56"/>
    <n v="3"/>
    <x v="21"/>
    <x v="52"/>
    <s v="35L多功能電焗爐"/>
    <s v="細電"/>
    <s v="SDA"/>
    <s v="mc35"/>
    <n v="1"/>
    <n v="845.5"/>
    <n v="845.5"/>
    <m/>
    <m/>
    <m/>
    <s v="TL-MC35Z "/>
    <n v="1098"/>
    <n v="0.77003642987249543"/>
    <s v="Toshiba SRP"/>
    <m/>
    <s v=""/>
  </r>
  <r>
    <n v="4124"/>
    <s v="Aeon"/>
    <s v="Whampoa"/>
    <x v="56"/>
    <n v="3"/>
    <x v="21"/>
    <x v="31"/>
    <s v="無線雙層電熱水壺(1.7公升)"/>
    <s v="細電"/>
    <s v="SDA"/>
    <s v="17drt"/>
    <n v="3"/>
    <n v="338"/>
    <n v="1014"/>
    <m/>
    <m/>
    <m/>
    <s v="KT-17DRTHK(H) "/>
    <n v="498"/>
    <n v="0.67871485943775101"/>
    <s v="Toshiba SRP"/>
    <m/>
    <s v=""/>
  </r>
  <r>
    <n v="4125"/>
    <s v="Aeon"/>
    <s v="Whampoa"/>
    <x v="56"/>
    <n v="3"/>
    <x v="21"/>
    <x v="87"/>
    <s v="變頻式環保雙門雪櫃(233L)"/>
    <s v="大電"/>
    <s v="REF"/>
    <s v="rt300"/>
    <n v="1"/>
    <n v="2641"/>
    <n v="2641"/>
    <n v="5725446"/>
    <m/>
    <m/>
    <s v="GR-RT300WE-PMA(57) 5725446"/>
    <n v="4280"/>
    <n v="0.61705607476635516"/>
    <s v="Toshiba SRP"/>
    <m/>
    <s v="5725446"/>
  </r>
  <r>
    <n v="4126"/>
    <s v="Aeon"/>
    <s v="Whampoa"/>
    <x v="56"/>
    <n v="3"/>
    <x v="21"/>
    <x v="20"/>
    <s v="壓縮式抽濕機 (22公升)"/>
    <s v="細電"/>
    <s v="RAC"/>
    <s v="d200"/>
    <n v="1"/>
    <n v="1786.9"/>
    <n v="1786.9"/>
    <m/>
    <m/>
    <m/>
    <s v="RAD-D200H "/>
    <n v="2880"/>
    <n v="0.62045138888888896"/>
    <s v="Shops Highest Price"/>
    <m/>
    <s v=""/>
  </r>
  <r>
    <n v="4127"/>
    <s v="Aeon"/>
    <s v="Whampoa"/>
    <x v="56"/>
    <n v="3"/>
    <x v="30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m/>
    <s v=""/>
  </r>
  <r>
    <n v="4128"/>
    <s v="Aeon"/>
    <s v="Whampoa"/>
    <x v="56"/>
    <n v="3"/>
    <x v="30"/>
    <x v="66"/>
    <s v="變頻下置式雙門雪櫃（163L）"/>
    <s v="大電"/>
    <s v="REF"/>
    <s v="rb221"/>
    <n v="1"/>
    <n v="1786"/>
    <n v="1786"/>
    <n v="5725746"/>
    <m/>
    <m/>
    <s v="GR-RB221WE-PMA(57) 5725746"/>
    <n v="3480"/>
    <n v="0.51321839080459775"/>
    <s v="Toshiba SRP"/>
    <m/>
    <s v="5725746"/>
  </r>
  <r>
    <n v="4129"/>
    <s v="Aeon"/>
    <s v="Whampoa"/>
    <x v="56"/>
    <n v="3"/>
    <x v="30"/>
    <x v="114"/>
    <s v="變頻三門雪櫃 (233L)"/>
    <s v="大電"/>
    <s v="REF"/>
    <s v="rm352"/>
    <n v="1"/>
    <n v="3790.5"/>
    <n v="3790.5"/>
    <n v="5725749"/>
    <m/>
    <m/>
    <s v="GR-RM352WI-PMA(53) 5725749"/>
    <n v="5580"/>
    <n v="0.67930107526881722"/>
    <s v="Toshiba SRP"/>
    <m/>
    <s v="5725749"/>
  </r>
  <r>
    <n v="4130"/>
    <s v="Aeon"/>
    <s v="Whampoa"/>
    <x v="56"/>
    <n v="3"/>
    <x v="30"/>
    <x v="12"/>
    <s v="Comfee 1.5匹變頻窗口式冷氣機"/>
    <s v="大電"/>
    <s v="RAC"/>
    <s v="12cr"/>
    <n v="1"/>
    <n v="3068"/>
    <n v="3068"/>
    <n v="6039169"/>
    <m/>
    <m/>
    <s v="CWF-12CRFN8-AD5 6039169"/>
    <n v="5200"/>
    <n v="0.59"/>
    <s v="Shops Highest Price"/>
    <m/>
    <s v="6039169"/>
  </r>
  <r>
    <n v="4131"/>
    <s v="Aeon"/>
    <s v="Whampoa"/>
    <x v="56"/>
    <n v="3"/>
    <x v="30"/>
    <x v="21"/>
    <s v="壓縮式抽濕機 (30公升)"/>
    <s v="細電"/>
    <s v="RAC"/>
    <s v="d300"/>
    <n v="1"/>
    <n v="2166"/>
    <n v="2166"/>
    <m/>
    <m/>
    <m/>
    <s v="RAD-D300H "/>
    <n v="3380"/>
    <n v="0.64082840236686389"/>
    <s v="Shops Highest Price"/>
    <m/>
    <s v=""/>
  </r>
  <r>
    <n v="4132"/>
    <s v="Aeon"/>
    <s v="Whampoa"/>
    <x v="56"/>
    <n v="3"/>
    <x v="22"/>
    <x v="27"/>
    <s v="4毫米厚釜電飯煲1.8L"/>
    <s v="細電"/>
    <s v="SDA"/>
    <s v="18nmf"/>
    <n v="1"/>
    <n v="760"/>
    <n v="760"/>
    <m/>
    <m/>
    <m/>
    <s v="RC-18NMFIH(WT) "/>
    <n v="998"/>
    <n v="0.76152304609218435"/>
    <s v="Toshiba SRP"/>
    <m/>
    <s v=""/>
  </r>
  <r>
    <n v="4133"/>
    <s v="Aeon"/>
    <s v="Whampoa"/>
    <x v="56"/>
    <n v="3"/>
    <x v="22"/>
    <x v="82"/>
    <s v="Electric Fan"/>
    <s v="細電"/>
    <s v="SDA"/>
    <s v="dsb35"/>
    <n v="1"/>
    <n v="550"/>
    <n v="550"/>
    <m/>
    <m/>
    <m/>
    <s v="F-DSB35HK(W) "/>
    <n v="1088"/>
    <n v="0.50551470588235292"/>
    <s v="Toshiba SRP"/>
    <m/>
    <s v=""/>
  </r>
  <r>
    <n v="4134"/>
    <s v="Aeon"/>
    <s v="Whampoa"/>
    <x v="56"/>
    <n v="3"/>
    <x v="22"/>
    <x v="66"/>
    <s v="變頻下置式雙門雪櫃（163L）"/>
    <s v="大電"/>
    <s v="REF"/>
    <s v="rb221"/>
    <n v="1"/>
    <n v="1786"/>
    <n v="1786"/>
    <n v="5725743"/>
    <m/>
    <m/>
    <s v="GR-RB221WE-PMA(57) 5725743"/>
    <n v="3480"/>
    <n v="0.51321839080459775"/>
    <s v="Toshiba SRP"/>
    <m/>
    <s v="5725743"/>
  </r>
  <r>
    <n v="4135"/>
    <s v="Aeon"/>
    <s v="Whampoa"/>
    <x v="56"/>
    <n v="3"/>
    <x v="22"/>
    <x v="16"/>
    <s v="輕便式電磁爐"/>
    <s v="細電"/>
    <s v="SDA"/>
    <s v="20r1"/>
    <n v="1"/>
    <n v="275.5"/>
    <n v="275.5"/>
    <m/>
    <m/>
    <m/>
    <s v="IC-20R1THK "/>
    <n v="438"/>
    <n v="0.62899543378995437"/>
    <s v="Shops Highest Price"/>
    <m/>
    <s v=""/>
  </r>
  <r>
    <n v="4136"/>
    <s v="Aeon"/>
    <s v="Whampoa"/>
    <x v="56"/>
    <n v="3"/>
    <x v="22"/>
    <x v="21"/>
    <s v="壓縮式抽濕機 (30公升)"/>
    <s v="細電"/>
    <s v="RAC"/>
    <s v="d300"/>
    <n v="1"/>
    <n v="2166"/>
    <n v="2166"/>
    <m/>
    <m/>
    <m/>
    <s v="RAD-D300H "/>
    <n v="3380"/>
    <n v="0.64082840236686389"/>
    <s v="Shops Highest Price"/>
    <m/>
    <s v=""/>
  </r>
  <r>
    <n v="4137"/>
    <s v="Aeon"/>
    <s v="Whampoa"/>
    <x v="57"/>
    <n v="3"/>
    <x v="23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138"/>
    <s v="Aeon"/>
    <s v="Whampoa"/>
    <x v="57"/>
    <n v="3"/>
    <x v="23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4139"/>
    <s v="Aeon"/>
    <s v="Whampoa"/>
    <x v="57"/>
    <n v="3"/>
    <x v="23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140"/>
    <s v="Aeon"/>
    <s v="Whampoa"/>
    <x v="57"/>
    <n v="3"/>
    <x v="23"/>
    <x v="63"/>
    <s v="20L 智能蒸氣焗爐"/>
    <s v="細電"/>
    <s v="MCA"/>
    <s v="stq20"/>
    <n v="1"/>
    <n v="1881"/>
    <n v="1881"/>
    <m/>
    <m/>
    <m/>
    <s v="MS3-STQ20SC(WH) "/>
    <n v="2880"/>
    <n v="0.65312499999999996"/>
    <s v="Toshiba SRP"/>
    <m/>
    <s v=""/>
  </r>
  <r>
    <n v="4141"/>
    <s v="Aeon"/>
    <s v="Whampoa"/>
    <x v="57"/>
    <n v="3"/>
    <x v="23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4142"/>
    <s v="Aeon"/>
    <s v="Whampoa"/>
    <x v="57"/>
    <n v="3"/>
    <x v="23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4143"/>
    <s v="Aeon"/>
    <s v="Whampoa"/>
    <x v="57"/>
    <n v="3"/>
    <x v="24"/>
    <x v="70"/>
    <s v="12吋2合1座地座檯電風扇連遙控"/>
    <s v="細電"/>
    <s v="EAD"/>
    <s v="ya20"/>
    <n v="1"/>
    <n v="390"/>
    <n v="390"/>
    <m/>
    <m/>
    <m/>
    <s v="F-LYA20(W)HKG "/>
    <n v="988"/>
    <n v="0.39473684210526316"/>
    <s v="Toshiba SRP"/>
    <m/>
    <s v=""/>
  </r>
  <r>
    <n v="4144"/>
    <s v="Aeon"/>
    <s v="Whampoa"/>
    <x v="57"/>
    <n v="3"/>
    <x v="24"/>
    <x v="40"/>
    <s v="400MM超薄身前置式變頻洗衣機(7公斤)"/>
    <s v="大電"/>
    <s v="LAD"/>
    <s v="bu80"/>
    <n v="1"/>
    <n v="3180"/>
    <n v="3180"/>
    <n v="5725744"/>
    <m/>
    <m/>
    <s v="TW-T21BU80UWH(MG) 5725744"/>
    <n v="5180"/>
    <n v="0.61389961389961389"/>
    <s v="Toshiba SRP"/>
    <m/>
    <s v="5725744"/>
  </r>
  <r>
    <n v="4145"/>
    <s v="Aeon"/>
    <s v="Whampoa"/>
    <x v="56"/>
    <n v="3"/>
    <x v="25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4146"/>
    <s v="Aeon"/>
    <s v="Whampoa"/>
    <x v="56"/>
    <n v="3"/>
    <x v="25"/>
    <x v="70"/>
    <s v="12吋2合1座地座檯電風扇連遙控"/>
    <s v="細電"/>
    <s v="EAD"/>
    <s v="ya20"/>
    <n v="1"/>
    <n v="351.5"/>
    <n v="351.5"/>
    <m/>
    <m/>
    <m/>
    <s v="F-LYA20(W)HKG "/>
    <n v="988"/>
    <n v="0.35576923076923078"/>
    <s v="Toshiba SRP"/>
    <m/>
    <s v=""/>
  </r>
  <r>
    <n v="4147"/>
    <s v="Aeon"/>
    <s v="Whampoa"/>
    <x v="56"/>
    <n v="3"/>
    <x v="25"/>
    <x v="26"/>
    <s v="變頻頂揭式洗衣機 (7.5公斤)"/>
    <s v="大電"/>
    <s v="LAD"/>
    <s v="cfk01w75"/>
    <n v="1"/>
    <n v="3401"/>
    <n v="3401"/>
    <n v="6039233"/>
    <m/>
    <m/>
    <s v="CFK01W75 6039233"/>
    <n v="3888"/>
    <n v="0.87474279835390945"/>
    <s v="Shops Highest Price"/>
    <m/>
    <s v="6039233"/>
  </r>
  <r>
    <n v="4148"/>
    <s v="Aeon"/>
    <s v="Whampoa"/>
    <x v="56"/>
    <n v="3"/>
    <x v="25"/>
    <x v="19"/>
    <s v="Comfee 2匹變頻窗口式冷氣機"/>
    <s v="大電"/>
    <s v="RAC"/>
    <s v="18cr"/>
    <n v="1"/>
    <n v="3468"/>
    <n v="3468"/>
    <n v="6039973"/>
    <m/>
    <m/>
    <s v="CWF-18CRFN8-AD5 6039973"/>
    <n v="6600"/>
    <n v="0.52545454545454551"/>
    <s v="Shops Highest Price"/>
    <m/>
    <s v="6039973"/>
  </r>
  <r>
    <n v="4149"/>
    <s v="Aeon"/>
    <s v="Whampoa"/>
    <x v="56"/>
    <n v="3"/>
    <x v="26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150"/>
    <s v="Aeon"/>
    <s v="Whampoa"/>
    <x v="56"/>
    <n v="3"/>
    <x v="26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151"/>
    <s v="Aeon"/>
    <s v="Whampoa"/>
    <x v="56"/>
    <n v="3"/>
    <x v="26"/>
    <x v="63"/>
    <s v="20L 智能蒸氣焗爐"/>
    <s v="細電"/>
    <s v="MCA"/>
    <s v="stq20"/>
    <n v="1"/>
    <n v="1980"/>
    <n v="1980"/>
    <m/>
    <m/>
    <m/>
    <s v="MS3-STQ20SC(WH) "/>
    <n v="2880"/>
    <n v="0.6875"/>
    <s v="Toshiba SRP"/>
    <m/>
    <s v=""/>
  </r>
  <r>
    <n v="4152"/>
    <s v="Aeon"/>
    <s v="Whampoa"/>
    <x v="56"/>
    <n v="3"/>
    <x v="26"/>
    <x v="70"/>
    <s v="12吋2合1座地座檯電風扇連遙控"/>
    <s v="細電"/>
    <s v="EAD"/>
    <s v="ya20"/>
    <n v="3"/>
    <n v="351.5"/>
    <n v="1054.5"/>
    <m/>
    <m/>
    <m/>
    <s v="F-LYA20(W)HKG "/>
    <n v="988"/>
    <n v="0.35576923076923078"/>
    <s v="Toshiba SRP"/>
    <m/>
    <s v=""/>
  </r>
  <r>
    <n v="4153"/>
    <s v="Aeon"/>
    <s v="Whampoa"/>
    <x v="56"/>
    <n v="3"/>
    <x v="26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154"/>
    <s v="Aeon"/>
    <s v="Whampoa"/>
    <x v="56"/>
    <n v="3"/>
    <x v="26"/>
    <x v="82"/>
    <s v="Electric Fan"/>
    <s v="細電"/>
    <s v="SDA"/>
    <s v="dsb35"/>
    <n v="1"/>
    <n v="522.5"/>
    <n v="522.5"/>
    <m/>
    <m/>
    <m/>
    <s v="F-DSB35HK(W) "/>
    <n v="1088"/>
    <n v="0.48023897058823528"/>
    <s v="Toshiba SRP"/>
    <m/>
    <s v=""/>
  </r>
  <r>
    <n v="4155"/>
    <s v="Aeon"/>
    <s v="Whampoa"/>
    <x v="56"/>
    <n v="3"/>
    <x v="26"/>
    <x v="16"/>
    <s v="輕便式電磁爐"/>
    <s v="細電"/>
    <s v="SDA"/>
    <s v="20r1"/>
    <n v="2"/>
    <n v="290"/>
    <n v="580"/>
    <m/>
    <m/>
    <m/>
    <s v="IC-20R1THK "/>
    <n v="438"/>
    <n v="0.66210045662100458"/>
    <s v="Shops Highest Price"/>
    <m/>
    <s v=""/>
  </r>
  <r>
    <n v="4156"/>
    <s v="Aeon"/>
    <s v="Whampoa"/>
    <x v="56"/>
    <n v="3"/>
    <x v="26"/>
    <x v="20"/>
    <s v="壓縮式抽濕機 (22公升)"/>
    <s v="細電"/>
    <s v="RAC"/>
    <s v="d200"/>
    <n v="3"/>
    <n v="1914"/>
    <n v="5742"/>
    <m/>
    <m/>
    <m/>
    <s v="RAD-D200H "/>
    <n v="2880"/>
    <n v="0.6645833333333333"/>
    <s v="Shops Highest Price"/>
    <m/>
    <s v=""/>
  </r>
  <r>
    <n v="4157"/>
    <s v="Aeon"/>
    <s v="Whampoa"/>
    <x v="56"/>
    <n v="3"/>
    <x v="26"/>
    <x v="21"/>
    <s v="壓縮式抽濕機 (30公升)"/>
    <s v="細電"/>
    <s v="RAC"/>
    <s v="d300"/>
    <n v="1"/>
    <n v="2166"/>
    <n v="2166"/>
    <m/>
    <m/>
    <m/>
    <s v="RAD-D300H "/>
    <n v="3380"/>
    <n v="0.64082840236686389"/>
    <s v="Shops Highest Price"/>
    <m/>
    <s v=""/>
  </r>
  <r>
    <n v="4158"/>
    <s v="Aeon"/>
    <s v="Whampoa"/>
    <x v="57"/>
    <n v="3"/>
    <x v="27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4159"/>
    <s v="Aeon"/>
    <s v="Whampoa"/>
    <x v="57"/>
    <n v="3"/>
    <x v="27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160"/>
    <s v="Aeon"/>
    <s v="Whampoa"/>
    <x v="57"/>
    <n v="3"/>
    <x v="27"/>
    <x v="70"/>
    <s v="12吋2合1座地座檯電風扇連遙控"/>
    <s v="細電"/>
    <s v="EAD"/>
    <s v="ya20"/>
    <n v="2"/>
    <n v="351.5"/>
    <n v="703"/>
    <m/>
    <m/>
    <m/>
    <s v="F-LYA20(W)HKG "/>
    <n v="988"/>
    <n v="0.35576923076923078"/>
    <s v="Toshiba SRP"/>
    <m/>
    <s v=""/>
  </r>
  <r>
    <n v="4161"/>
    <s v="Aeon"/>
    <s v="Whampoa"/>
    <x v="57"/>
    <n v="3"/>
    <x v="27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162"/>
    <s v="Aeon"/>
    <s v="Whampoa"/>
    <x v="57"/>
    <n v="3"/>
    <x v="27"/>
    <x v="87"/>
    <s v="變頻式環保雙門雪櫃(233L)"/>
    <s v="大電"/>
    <s v="REF"/>
    <s v="rt300"/>
    <n v="1"/>
    <n v="2780"/>
    <n v="2780"/>
    <n v="6039975"/>
    <m/>
    <m/>
    <s v="GR-RT300WE-PMA(57) 6039975"/>
    <n v="4280"/>
    <n v="0.64953271028037385"/>
    <s v="Toshiba SRP"/>
    <m/>
    <s v="6039975"/>
  </r>
  <r>
    <n v="4163"/>
    <s v="Aeon"/>
    <s v="Whampoa"/>
    <x v="57"/>
    <n v="3"/>
    <x v="27"/>
    <x v="75"/>
    <s v="日式洗衣機 (8公斤 結合高低水位)"/>
    <s v="大電"/>
    <s v="LAD"/>
    <s v="q901"/>
    <n v="1"/>
    <n v="2166"/>
    <n v="2166"/>
    <n v="5725728"/>
    <m/>
    <m/>
    <s v="AW-Q901BPH(WW) 5725728"/>
    <n v="3780"/>
    <n v="0.57301587301587298"/>
    <s v="Toshiba SRP"/>
    <m/>
    <s v="5725728"/>
  </r>
  <r>
    <n v="4164"/>
    <s v="Aeon"/>
    <s v="Whampoa"/>
    <x v="57"/>
    <n v="3"/>
    <x v="28"/>
    <x v="24"/>
    <s v="微型電腦珍珠飯煲"/>
    <s v="細電"/>
    <s v="SDA"/>
    <s v="5sli"/>
    <n v="2"/>
    <n v="590"/>
    <n v="1180"/>
    <m/>
    <m/>
    <m/>
    <s v="RC-5SLIH(W) "/>
    <n v="658"/>
    <n v="0.89665653495440734"/>
    <s v="Toshiba SRP"/>
    <m/>
    <s v=""/>
  </r>
  <r>
    <n v="4165"/>
    <s v="Aeon"/>
    <s v="Whampoa"/>
    <x v="57"/>
    <n v="3"/>
    <x v="28"/>
    <x v="70"/>
    <s v="12吋2合1座地座檯電風扇連遙控"/>
    <s v="細電"/>
    <s v="EAD"/>
    <s v="ya20"/>
    <n v="2"/>
    <n v="351.5"/>
    <n v="703"/>
    <m/>
    <m/>
    <m/>
    <s v="F-LYA20(W)HKG "/>
    <n v="988"/>
    <n v="0.35576923076923078"/>
    <s v="Toshiba SRP"/>
    <m/>
    <s v=""/>
  </r>
  <r>
    <n v="4166"/>
    <s v="Aeon"/>
    <s v="Whampoa"/>
    <x v="56"/>
    <n v="3"/>
    <x v="29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167"/>
    <s v="Aeon"/>
    <s v="Whampoa"/>
    <x v="56"/>
    <n v="3"/>
    <x v="29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4168"/>
    <s v="Aeon"/>
    <s v="Whampoa"/>
    <x v="56"/>
    <n v="3"/>
    <x v="29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169"/>
    <s v="Aeon"/>
    <s v="Whampoa"/>
    <x v="56"/>
    <n v="3"/>
    <x v="29"/>
    <x v="34"/>
    <s v="智能氣炸烤焗爐(24公升)"/>
    <s v="細電"/>
    <s v="MCA"/>
    <s v="sac24"/>
    <n v="1"/>
    <n v="1390"/>
    <n v="1390"/>
    <m/>
    <m/>
    <m/>
    <s v="MW3-SAC24SE(BK) "/>
    <n v="1680"/>
    <n v="0.82738095238095233"/>
    <s v="Toshiba SRP"/>
    <m/>
    <s v=""/>
  </r>
  <r>
    <n v="4170"/>
    <s v="Aeon"/>
    <s v="Whampoa"/>
    <x v="56"/>
    <n v="3"/>
    <x v="29"/>
    <x v="70"/>
    <s v="12吋2合1座地座檯電風扇連遙控"/>
    <s v="細電"/>
    <s v="EAD"/>
    <s v="ya20"/>
    <n v="2"/>
    <n v="342.7"/>
    <n v="685.4"/>
    <m/>
    <m/>
    <m/>
    <s v="F-LYA20(W)HKG "/>
    <n v="988"/>
    <n v="0.34686234817813766"/>
    <s v="Toshiba SRP"/>
    <m/>
    <s v=""/>
  </r>
  <r>
    <n v="4171"/>
    <s v="Sogo"/>
    <s v="CWB"/>
    <x v="58"/>
    <n v="3"/>
    <x v="14"/>
    <x v="17"/>
    <s v="4毫米厚釜電飯煲1L"/>
    <s v="細電"/>
    <s v="SDA"/>
    <s v="10nmf"/>
    <n v="1"/>
    <n v="718"/>
    <n v="718"/>
    <s v="S161-621924"/>
    <m/>
    <m/>
    <s v="RC-10NMFIH(WT) S161-621924"/>
    <n v="898"/>
    <n v="0.79955456570155903"/>
    <s v="Toshiba SRP"/>
    <m/>
    <s v="S161-621924"/>
  </r>
  <r>
    <n v="4172"/>
    <s v="Sogo"/>
    <s v="CWB"/>
    <x v="58"/>
    <n v="3"/>
    <x v="14"/>
    <x v="36"/>
    <s v="輕觸式微波爐 (20公升)"/>
    <s v="細電"/>
    <s v="MCA"/>
    <s v="em20"/>
    <n v="1"/>
    <n v="598"/>
    <n v="598"/>
    <s v="S909-4775"/>
    <m/>
    <m/>
    <s v="MM2-EM20PC(WH) S909-4775"/>
    <n v="788"/>
    <n v="0.75888324873096447"/>
    <s v="Toshiba SRP"/>
    <m/>
    <s v="S909-4775"/>
  </r>
  <r>
    <n v="4173"/>
    <s v="Sogo"/>
    <s v="CWB"/>
    <x v="58"/>
    <n v="3"/>
    <x v="14"/>
    <x v="15"/>
    <s v="Induction Cooker"/>
    <s v="細電"/>
    <s v="SDA"/>
    <s v="21ts"/>
    <n v="1"/>
    <n v="698"/>
    <n v="698"/>
    <s v="S161-621906"/>
    <m/>
    <m/>
    <s v="IC-21TSHK S161-621906"/>
    <n v="998"/>
    <n v="0.69939879759519041"/>
    <s v="Web SRP"/>
    <m/>
    <s v="S161-621906"/>
  </r>
  <r>
    <n v="4174"/>
    <s v="Sogo"/>
    <s v="CWB"/>
    <x v="58"/>
    <n v="3"/>
    <x v="14"/>
    <x v="17"/>
    <s v="4毫米厚釜電飯煲1L"/>
    <s v="細電"/>
    <s v="SDA"/>
    <s v="10nmf"/>
    <n v="1"/>
    <n v="718"/>
    <n v="718"/>
    <s v="S161-621875"/>
    <m/>
    <m/>
    <s v="RC-10NMFIH(WT) S161-621875"/>
    <n v="898"/>
    <n v="0.79955456570155903"/>
    <s v="Toshiba SRP"/>
    <m/>
    <s v="S161-621875"/>
  </r>
  <r>
    <n v="4175"/>
    <s v="Sogo"/>
    <s v="CWB"/>
    <x v="58"/>
    <n v="3"/>
    <x v="15"/>
    <x v="45"/>
    <s v="備長炭本厚釜電飯煲0.7L"/>
    <s v="細電"/>
    <s v="SDA"/>
    <s v="7hmh"/>
    <n v="1"/>
    <n v="838"/>
    <n v="838"/>
    <s v="S909-4776"/>
    <m/>
    <m/>
    <s v="RC-7HMH S909-4776"/>
    <n v="1288"/>
    <n v="0.65062111801242239"/>
    <s v="Toshiba SRP"/>
    <m/>
    <s v="S909-4776"/>
  </r>
  <r>
    <n v="4176"/>
    <s v="Sogo"/>
    <s v="CWB"/>
    <x v="58"/>
    <n v="3"/>
    <x v="15"/>
    <x v="41"/>
    <s v="低醣磁應電飯煲1.8L"/>
    <s v="細電"/>
    <s v="SDA"/>
    <s v="18isph"/>
    <n v="1"/>
    <n v="998"/>
    <n v="998"/>
    <s v="S909-4777"/>
    <m/>
    <m/>
    <s v="RC-18ISPH S909-4777"/>
    <n v="1436"/>
    <n v="0.69498607242339838"/>
    <s v="Shops Highest Price"/>
    <m/>
    <s v="S909-4777"/>
  </r>
  <r>
    <n v="4177"/>
    <s v="Sogo"/>
    <s v="CWB"/>
    <x v="58"/>
    <n v="3"/>
    <x v="15"/>
    <x v="8"/>
    <s v="電壓力鍋"/>
    <s v="細電"/>
    <s v="SDA"/>
    <s v="48drs"/>
    <n v="1"/>
    <n v="838"/>
    <n v="838"/>
    <s v="S909-4777"/>
    <m/>
    <m/>
    <s v="PC-48DRSHK(K) S909-4777"/>
    <n v="1188"/>
    <n v="0.70538720538720534"/>
    <s v="Shops Highest Price"/>
    <m/>
    <s v="S909-4777"/>
  </r>
  <r>
    <n v="4178"/>
    <s v="Sogo"/>
    <s v="CWB"/>
    <x v="58"/>
    <n v="3"/>
    <x v="15"/>
    <x v="34"/>
    <s v="智能氣炸烤焗爐(24公升)"/>
    <s v="細電"/>
    <s v="MCA"/>
    <s v="sac24"/>
    <n v="1"/>
    <n v="1198"/>
    <n v="1198"/>
    <s v="S909-4777"/>
    <m/>
    <m/>
    <s v="MW3-SAC24SE(BK) S909-4777"/>
    <n v="1680"/>
    <n v="0.71309523809523812"/>
    <s v="Toshiba SRP"/>
    <m/>
    <s v="S909-4777"/>
  </r>
  <r>
    <n v="4179"/>
    <s v="Sogo"/>
    <s v="CWB"/>
    <x v="58"/>
    <n v="3"/>
    <x v="15"/>
    <x v="11"/>
    <s v="座檯式純蒸氣烤焗水波爐30L"/>
    <s v="細電"/>
    <s v="SDA"/>
    <s v="td5000"/>
    <n v="1"/>
    <n v="4998"/>
    <n v="4998"/>
    <s v="S909-4778"/>
    <m/>
    <m/>
    <s v="ER-TD5000HK(XK) S909-4778"/>
    <n v="7998"/>
    <n v="0.62490622655663919"/>
    <s v="Toshiba SRP"/>
    <m/>
    <s v="S909-4778"/>
  </r>
  <r>
    <n v="4180"/>
    <s v="Sogo"/>
    <s v="CWB"/>
    <x v="58"/>
    <n v="3"/>
    <x v="15"/>
    <x v="31"/>
    <s v="無線雙層電熱水壺(1.7公升)"/>
    <s v="細電"/>
    <s v="SDA"/>
    <s v="17drt"/>
    <n v="1"/>
    <n v="388"/>
    <n v="388"/>
    <s v="S909-4779"/>
    <m/>
    <m/>
    <s v="KT-17DRTHK(H) S909-4779"/>
    <n v="498"/>
    <n v="0.77911646586345384"/>
    <s v="Toshiba SRP"/>
    <m/>
    <s v="S909-4779"/>
  </r>
  <r>
    <n v="4181"/>
    <s v="Sogo"/>
    <s v="CWB"/>
    <x v="58"/>
    <n v="3"/>
    <x v="15"/>
    <x v="25"/>
    <s v="超輕巧2合1無線吸塵機"/>
    <s v="細電"/>
    <s v="MCA"/>
    <s v="cls1b"/>
    <n v="1"/>
    <n v="1198"/>
    <n v="1198"/>
    <s v="S161-621980"/>
    <m/>
    <m/>
    <s v="VC-CLS1BF(R) S161-621980"/>
    <n v="1888"/>
    <n v="0.63453389830508478"/>
    <s v="Toshiba SRP"/>
    <m/>
    <s v="S161-621980"/>
  </r>
  <r>
    <n v="4182"/>
    <s v="Sogo"/>
    <s v="CWB"/>
    <x v="58"/>
    <n v="3"/>
    <x v="15"/>
    <x v="39"/>
    <s v="酵活炊電飯煲(1.0公升)"/>
    <s v="細電"/>
    <s v="SDA"/>
    <s v="10amx"/>
    <n v="1"/>
    <n v="998"/>
    <n v="998"/>
    <s v="S161-621983"/>
    <m/>
    <m/>
    <s v="RC-10AMXH(W) S161-621983"/>
    <n v="1288"/>
    <n v="0.77484472049689446"/>
    <s v="Toshiba SRP"/>
    <m/>
    <s v="S161-621983"/>
  </r>
  <r>
    <n v="4183"/>
    <s v="Sogo"/>
    <s v="CWB"/>
    <x v="58"/>
    <n v="3"/>
    <x v="15"/>
    <x v="53"/>
    <s v="IH磁應電飯煲"/>
    <s v="細電"/>
    <s v="SDA"/>
    <s v="dr10t"/>
    <n v="1"/>
    <n v="2354"/>
    <n v="2354"/>
    <s v="S161-621994"/>
    <m/>
    <m/>
    <s v="RC-DR10T(R) S161-621994"/>
    <n v="3188"/>
    <n v="0.73839397741530743"/>
    <s v="Toshiba SRP"/>
    <m/>
    <s v="S161-621994"/>
  </r>
  <r>
    <n v="4184"/>
    <s v="Sogo"/>
    <s v="CWB"/>
    <x v="58"/>
    <n v="3"/>
    <x v="19"/>
    <x v="46"/>
    <s v="電熱水瓶 (2.5公升)"/>
    <s v="細電"/>
    <s v="SDA"/>
    <s v="25dr"/>
    <n v="1"/>
    <n v="398"/>
    <n v="398"/>
    <s v="S909-4781"/>
    <m/>
    <m/>
    <s v="TP-25DR2UHK(W) S909-4781"/>
    <n v="538"/>
    <n v="0.7397769516728625"/>
    <s v="Toshiba SRP"/>
    <m/>
    <s v="S909-4781"/>
  </r>
  <r>
    <n v="4185"/>
    <s v="Sogo"/>
    <s v="CWB"/>
    <x v="58"/>
    <n v="3"/>
    <x v="19"/>
    <x v="55"/>
    <s v="真空壓力磁應電飯煲(1.8公升)"/>
    <s v="細電"/>
    <s v="SDA"/>
    <s v="dx18t"/>
    <n v="1"/>
    <n v="4988"/>
    <n v="4988"/>
    <s v="S909-4780"/>
    <m/>
    <m/>
    <s v="RC-DX18T(W) S909-4780"/>
    <n v="6388"/>
    <n v="0.7808390732623669"/>
    <s v="Toshiba SRP"/>
    <m/>
    <s v="S909-4780"/>
  </r>
  <r>
    <n v="4186"/>
    <s v="Sogo"/>
    <s v="CWB"/>
    <x v="58"/>
    <n v="3"/>
    <x v="19"/>
    <x v="8"/>
    <s v="電壓力鍋"/>
    <s v="細電"/>
    <s v="SDA"/>
    <s v="48drs"/>
    <n v="1"/>
    <n v="838"/>
    <n v="838"/>
    <s v="S160-248466"/>
    <m/>
    <m/>
    <s v="PC-48DRSHK(K) S160-248466"/>
    <n v="1188"/>
    <n v="0.70538720538720534"/>
    <s v="Shops Highest Price"/>
    <m/>
    <s v="S160-248466"/>
  </r>
  <r>
    <n v="4187"/>
    <s v="Sogo"/>
    <s v="CWB"/>
    <x v="58"/>
    <n v="3"/>
    <x v="19"/>
    <x v="46"/>
    <s v="電熱水瓶 (2.5公升)"/>
    <s v="細電"/>
    <s v="SDA"/>
    <s v="25dr"/>
    <n v="1"/>
    <n v="398"/>
    <n v="398"/>
    <s v="S909-4782"/>
    <m/>
    <m/>
    <s v="TP-25DR2UHK(W) S909-4782"/>
    <n v="538"/>
    <n v="0.7397769516728625"/>
    <s v="Toshiba SRP"/>
    <m/>
    <s v="S909-4782"/>
  </r>
  <r>
    <n v="4188"/>
    <s v="Sogo"/>
    <s v="CWB"/>
    <x v="58"/>
    <n v="3"/>
    <x v="19"/>
    <x v="63"/>
    <s v="20L 智能蒸氣焗爐"/>
    <s v="細電"/>
    <s v="MCA"/>
    <s v="stq20"/>
    <n v="1"/>
    <n v="2100"/>
    <n v="2100"/>
    <s v="S161-622101"/>
    <m/>
    <m/>
    <s v="MS3-STQ20SC(WH) S161-622101"/>
    <n v="2880"/>
    <n v="0.72916666666666663"/>
    <s v="Toshiba SRP"/>
    <m/>
    <s v="S161-622101"/>
  </r>
  <r>
    <n v="4189"/>
    <s v="Sogo"/>
    <s v="CWB"/>
    <x v="58"/>
    <n v="3"/>
    <x v="19"/>
    <x v="120"/>
    <s v="真空壓力磁應電飯煲(1.0公升)"/>
    <s v="細電"/>
    <s v="SDA"/>
    <s v="dx10t"/>
    <n v="1"/>
    <n v="4888"/>
    <n v="4888"/>
    <s v="S909-4783"/>
    <m/>
    <m/>
    <s v="RC-DX10T(W) S909-4783"/>
    <n v="5988"/>
    <n v="0.81629926519706075"/>
    <s v="Toshiba SRP"/>
    <m/>
    <s v="S909-4783"/>
  </r>
  <r>
    <n v="4190"/>
    <s v="Sogo"/>
    <s v="CWB"/>
    <x v="58"/>
    <n v="3"/>
    <x v="20"/>
    <x v="36"/>
    <s v="輕觸式微波爐 (20公升)"/>
    <s v="細電"/>
    <s v="MCA"/>
    <s v="em20"/>
    <n v="1"/>
    <n v="598"/>
    <n v="598"/>
    <s v="S909-4784"/>
    <m/>
    <m/>
    <s v="MM2-EM20PC(WH) S909-4784"/>
    <n v="788"/>
    <n v="0.75888324873096447"/>
    <s v="Toshiba SRP"/>
    <m/>
    <s v="S909-4784"/>
  </r>
  <r>
    <n v="4191"/>
    <s v="Sogo"/>
    <s v="CWB"/>
    <x v="58"/>
    <n v="3"/>
    <x v="20"/>
    <x v="120"/>
    <s v="真空壓力磁應電飯煲(1.0公升)"/>
    <s v="細電"/>
    <s v="SDA"/>
    <s v="dx10t"/>
    <n v="1"/>
    <n v="4888"/>
    <n v="4888"/>
    <s v="S909-4785"/>
    <m/>
    <m/>
    <s v="RC-DX10T(W) S909-4785"/>
    <n v="5988"/>
    <n v="0.81629926519706075"/>
    <s v="Toshiba SRP"/>
    <m/>
    <s v="S909-4785"/>
  </r>
  <r>
    <n v="4192"/>
    <s v="Sogo"/>
    <s v="CWB"/>
    <x v="58"/>
    <n v="3"/>
    <x v="20"/>
    <x v="27"/>
    <s v="4毫米厚釜電飯煲1.8L"/>
    <s v="細電"/>
    <s v="SDA"/>
    <s v="18nmf"/>
    <n v="1"/>
    <n v="798"/>
    <n v="798"/>
    <s v="S909-4786"/>
    <m/>
    <m/>
    <s v="RC-18NMFIH(WT) S909-4786"/>
    <n v="998"/>
    <n v="0.79959919839679361"/>
    <s v="Toshiba SRP"/>
    <m/>
    <s v="S909-4786"/>
  </r>
  <r>
    <n v="4193"/>
    <s v="Sogo"/>
    <s v="CWB"/>
    <x v="58"/>
    <n v="3"/>
    <x v="30"/>
    <x v="41"/>
    <s v="低醣磁應電飯煲1.8L"/>
    <s v="細電"/>
    <s v="SDA"/>
    <s v="18isph"/>
    <n v="1"/>
    <n v="998"/>
    <n v="998"/>
    <s v="S160-248520"/>
    <m/>
    <m/>
    <s v="RC-18ISPH S160-248520"/>
    <n v="1436"/>
    <n v="0.69498607242339838"/>
    <s v="Shops Highest Price"/>
    <m/>
    <s v="S160-248520"/>
  </r>
  <r>
    <n v="4194"/>
    <s v="Sogo"/>
    <s v="CWB"/>
    <x v="58"/>
    <n v="3"/>
    <x v="30"/>
    <x v="39"/>
    <s v="酵活炊電飯煲(1.0公升)"/>
    <s v="細電"/>
    <s v="SDA"/>
    <s v="10amx"/>
    <n v="1"/>
    <n v="998"/>
    <n v="998"/>
    <s v="S161-622305"/>
    <m/>
    <m/>
    <s v="RC-10AMXH(W) S161-622305"/>
    <n v="1288"/>
    <n v="0.77484472049689446"/>
    <s v="Toshiba SRP"/>
    <m/>
    <s v="S161-622305"/>
  </r>
  <r>
    <n v="4195"/>
    <s v="Sogo"/>
    <s v="CWB"/>
    <x v="58"/>
    <n v="3"/>
    <x v="30"/>
    <x v="37"/>
    <s v="電熱水瓶 (5公升)"/>
    <s v="細電"/>
    <s v="SDA"/>
    <s v="50dr"/>
    <n v="1"/>
    <n v="598"/>
    <n v="598"/>
    <s v="S161-622264"/>
    <m/>
    <m/>
    <s v="TP-50DRUHK(W) S161-622264"/>
    <n v="718"/>
    <n v="0.83286908077994426"/>
    <s v="Toshiba SRP"/>
    <m/>
    <s v="S161-622264"/>
  </r>
  <r>
    <n v="4196"/>
    <s v="Sogo"/>
    <s v="CWB"/>
    <x v="58"/>
    <n v="3"/>
    <x v="30"/>
    <x v="48"/>
    <s v="3合1 微波蒸焗爐 (20公升)"/>
    <s v="細電"/>
    <s v="MCA"/>
    <s v="tt20"/>
    <n v="1"/>
    <n v="2580"/>
    <n v="2580"/>
    <s v="S161-622268"/>
    <m/>
    <m/>
    <s v="MX2-TT20SC(WH) S161-622268"/>
    <n v="3580"/>
    <n v="0.72067039106145248"/>
    <s v="Toshiba SRP"/>
    <m/>
    <s v="S161-622268"/>
  </r>
  <r>
    <n v="4197"/>
    <s v="Sogo"/>
    <s v="CWB"/>
    <x v="58"/>
    <n v="3"/>
    <x v="30"/>
    <x v="30"/>
    <s v="旋鈕式燒烤微波爐20L"/>
    <s v="細電"/>
    <s v="SDA"/>
    <s v="mm20"/>
    <n v="1"/>
    <n v="599"/>
    <n v="599"/>
    <s v="S160-248531"/>
    <m/>
    <m/>
    <s v="MWP-MM20P(WH) S160-248531"/>
    <n v="648"/>
    <n v="0.92438271604938271"/>
    <s v="Toshiba SRP"/>
    <m/>
    <s v="S160-248531"/>
  </r>
  <r>
    <n v="4198"/>
    <s v="Sogo"/>
    <s v="CWB"/>
    <x v="58"/>
    <n v="3"/>
    <x v="30"/>
    <x v="108"/>
    <s v="濾芯"/>
    <s v="細電"/>
    <s v="KWH"/>
    <s v="fistpro"/>
    <n v="1"/>
    <n v="798"/>
    <n v="798"/>
    <s v="S909-4787"/>
    <m/>
    <m/>
    <s v="FIST(PRO) S909-4787"/>
    <n v="798"/>
    <n v="1"/>
    <s v="Shops Highest Price"/>
    <m/>
    <s v="S909-4787"/>
  </r>
  <r>
    <n v="4199"/>
    <s v="Sogo"/>
    <s v="CWB"/>
    <x v="58"/>
    <n v="3"/>
    <x v="30"/>
    <x v="50"/>
    <s v="輕便式電磁爐7個功能"/>
    <s v="細電"/>
    <s v="SDA"/>
    <s v="s19"/>
    <n v="1"/>
    <n v="418"/>
    <n v="418"/>
    <s v="S161-622313"/>
    <m/>
    <m/>
    <s v="IC-S19RH S161-622313"/>
    <n v="638"/>
    <n v="0.65517241379310343"/>
    <s v="Toshiba SRP"/>
    <m/>
    <s v="S161-622313"/>
  </r>
  <r>
    <n v="4200"/>
    <s v="Sogo"/>
    <s v="CWB"/>
    <x v="58"/>
    <n v="3"/>
    <x v="30"/>
    <x v="47"/>
    <s v="磁應電飯煲(1公升)"/>
    <s v="細電"/>
    <s v="SDA"/>
    <s v="10iss"/>
    <n v="1"/>
    <n v="898"/>
    <n v="898"/>
    <s v="S160-248550"/>
    <m/>
    <m/>
    <s v="RC-10ISSHK(W) S160-248550"/>
    <n v="1188"/>
    <n v="0.75589225589225584"/>
    <s v="Shops Highest Price"/>
    <m/>
    <s v="S160-248550"/>
  </r>
  <r>
    <n v="4201"/>
    <s v="Sogo"/>
    <s v="CWB"/>
    <x v="58"/>
    <n v="3"/>
    <x v="30"/>
    <x v="29"/>
    <s v="酵活炊磁應電飯煲"/>
    <s v="細電"/>
    <s v="SDA"/>
    <s v="10BH"/>
    <n v="1"/>
    <n v="1888"/>
    <n v="1888"/>
    <s v="S909-4788"/>
    <m/>
    <m/>
    <s v="RC-10BHH(W) S909-4788"/>
    <n v="2088"/>
    <n v="0.90421455938697315"/>
    <s v="Shops Highest Price"/>
    <m/>
    <s v="S909-4788"/>
  </r>
  <r>
    <n v="4202"/>
    <s v="Sogo"/>
    <s v="CWB"/>
    <x v="58"/>
    <n v="3"/>
    <x v="30"/>
    <x v="51"/>
    <s v="IH磁應電飯煲"/>
    <s v="細電"/>
    <s v="SDA"/>
    <s v="DR10TW"/>
    <n v="1"/>
    <n v="2380"/>
    <n v="2380"/>
    <s v="S161-622326"/>
    <m/>
    <m/>
    <s v="RC-DR10T(W) S161-622326"/>
    <n v="3188"/>
    <n v="0.74654956085319946"/>
    <s v="Toshiba SRP"/>
    <m/>
    <s v="S161-622326"/>
  </r>
  <r>
    <n v="4203"/>
    <s v="Sogo"/>
    <s v="CWB"/>
    <x v="58"/>
    <n v="3"/>
    <x v="22"/>
    <x v="33"/>
    <s v="輕觸式燒烤微波爐"/>
    <s v="細電"/>
    <s v="MCA"/>
    <s v="eg20"/>
    <n v="1"/>
    <n v="698"/>
    <n v="698"/>
    <s v="S161-248570"/>
    <m/>
    <m/>
    <s v="MM2-EG20PC(WH) S161-248570"/>
    <n v="918"/>
    <n v="0.76034858387799564"/>
    <s v="Shops Highest Price"/>
    <m/>
    <s v="S161-248570"/>
  </r>
  <r>
    <n v="4204"/>
    <s v="Sogo"/>
    <s v="CWB"/>
    <x v="58"/>
    <n v="3"/>
    <x v="22"/>
    <x v="28"/>
    <s v="無線雙層電熱水壺-附可鎖壺蓋(0.8公升)"/>
    <s v="細電"/>
    <s v="SDA"/>
    <s v="08dh"/>
    <n v="1"/>
    <n v="268"/>
    <n v="268"/>
    <s v="S161-622352"/>
    <m/>
    <m/>
    <s v="KT-08DH1VHK(W) S161-622352"/>
    <n v="428"/>
    <n v="0.62616822429906538"/>
    <s v="Toshiba SRP"/>
    <m/>
    <s v="S161-622352"/>
  </r>
  <r>
    <n v="4205"/>
    <s v="Sogo"/>
    <s v="CWB"/>
    <x v="58"/>
    <n v="3"/>
    <x v="22"/>
    <x v="88"/>
    <s v="水波爐"/>
    <s v="細電"/>
    <s v="MCA"/>
    <s v="vd7000"/>
    <n v="1"/>
    <n v="6798"/>
    <n v="6798"/>
    <s v="S909-4789"/>
    <m/>
    <m/>
    <s v="ER-VD7000HK(XK) S909-4789"/>
    <n v="8998"/>
    <n v="0.75550122249388751"/>
    <s v="Toshiba SRP"/>
    <m/>
    <s v="S909-4789"/>
  </r>
  <r>
    <n v="4206"/>
    <s v="Sogo"/>
    <s v="CWB"/>
    <x v="58"/>
    <n v="3"/>
    <x v="22"/>
    <x v="38"/>
    <s v="無線雙層電熱水壺-附可鎖壺蓋"/>
    <s v="細電"/>
    <s v="SDA"/>
    <s v="15drt"/>
    <n v="1"/>
    <n v="358"/>
    <n v="358"/>
    <s v="S161-622337"/>
    <m/>
    <m/>
    <s v="KT-15DRTHK(W) S161-622337"/>
    <n v="598"/>
    <n v="0.59866220735785958"/>
    <s v="Toshiba SRP"/>
    <m/>
    <s v="S161-622337"/>
  </r>
  <r>
    <n v="4207"/>
    <s v="Sogo"/>
    <s v="CWB"/>
    <x v="58"/>
    <n v="3"/>
    <x v="24"/>
    <x v="41"/>
    <s v="低醣磁應電飯煲1.8L"/>
    <s v="細電"/>
    <s v="SDA"/>
    <s v="18isph"/>
    <n v="1"/>
    <n v="998"/>
    <n v="998"/>
    <s v="S909-4791"/>
    <m/>
    <m/>
    <s v="RC-18ISPH S909-4791"/>
    <n v="1436"/>
    <n v="0.69498607242339838"/>
    <s v="Shops Highest Price"/>
    <m/>
    <s v="S909-4791"/>
  </r>
  <r>
    <n v="4208"/>
    <s v="Sogo"/>
    <s v="CWB"/>
    <x v="58"/>
    <n v="3"/>
    <x v="24"/>
    <x v="17"/>
    <s v="4毫米厚釜電飯煲1L"/>
    <s v="細電"/>
    <s v="SDA"/>
    <s v="10nmf"/>
    <n v="1"/>
    <n v="718"/>
    <n v="718"/>
    <s v="S909-4790"/>
    <m/>
    <m/>
    <s v="RC-10NMFIH(WT) S909-4790"/>
    <n v="898"/>
    <n v="0.79955456570155903"/>
    <s v="Toshiba SRP"/>
    <m/>
    <s v="S909-4790"/>
  </r>
  <r>
    <n v="4209"/>
    <s v="Sogo"/>
    <s v="CWB"/>
    <x v="58"/>
    <n v="3"/>
    <x v="24"/>
    <x v="56"/>
    <s v="多士焗爐8L"/>
    <s v="細電"/>
    <s v="SDA"/>
    <n v="7080"/>
    <n v="1"/>
    <n v="338"/>
    <n v="338"/>
    <s v="S161-622441"/>
    <m/>
    <m/>
    <s v="ET-TD7080(PN) S161-622441"/>
    <n v="498"/>
    <n v="0.67871485943775101"/>
    <s v="Toshiba SRP"/>
    <m/>
    <s v="S161-622441"/>
  </r>
  <r>
    <n v="4210"/>
    <s v="Sogo"/>
    <s v="CWB"/>
    <x v="58"/>
    <n v="3"/>
    <x v="24"/>
    <x v="118"/>
    <s v="IH磁應電飯煲"/>
    <s v="細電"/>
    <s v="SDA"/>
    <s v="dz4k"/>
    <n v="1"/>
    <n v="3280"/>
    <n v="3280"/>
    <s v="S161-622479"/>
    <m/>
    <m/>
    <s v="RC-DZ4K(N) S161-622479"/>
    <n v="3888"/>
    <n v="0.84362139917695478"/>
    <s v="Shops Highest Price"/>
    <m/>
    <s v="S161-622479"/>
  </r>
  <r>
    <n v="4211"/>
    <s v="Sogo"/>
    <s v="CWB"/>
    <x v="58"/>
    <n v="3"/>
    <x v="24"/>
    <x v="39"/>
    <s v="酵活炊電飯煲(1.0公升)"/>
    <s v="細電"/>
    <s v="SDA"/>
    <s v="10amx"/>
    <n v="1"/>
    <n v="998"/>
    <n v="998"/>
    <s v="S161-622490"/>
    <m/>
    <m/>
    <s v="RC-10AMXH(W) S161-622490"/>
    <n v="1288"/>
    <n v="0.77484472049689446"/>
    <s v="Toshiba SRP"/>
    <m/>
    <s v="S161-622490"/>
  </r>
  <r>
    <n v="4212"/>
    <s v="Sogo"/>
    <s v="CWB"/>
    <x v="58"/>
    <n v="3"/>
    <x v="25"/>
    <x v="61"/>
    <s v="酵活炊電飯煲(1.8公升)"/>
    <s v="細電"/>
    <s v="SDA"/>
    <s v="18amx"/>
    <n v="1"/>
    <n v="1188"/>
    <n v="1188"/>
    <s v="S909-4792"/>
    <m/>
    <m/>
    <s v="RC-18AMXH(W) S909-4792"/>
    <n v="1588"/>
    <n v="0.74811083123425692"/>
    <s v="Toshiba SRP"/>
    <m/>
    <s v="S909-4792"/>
  </r>
  <r>
    <n v="4213"/>
    <s v="Sogo"/>
    <s v="CWB"/>
    <x v="58"/>
    <n v="3"/>
    <x v="25"/>
    <x v="58"/>
    <s v="IH磁應電飯煲_x000a_鑽石銅鍋"/>
    <s v="細電"/>
    <s v="SDA"/>
    <s v="dr18tw"/>
    <n v="1"/>
    <n v="2800"/>
    <n v="2800"/>
    <s v="S909-4792"/>
    <m/>
    <m/>
    <s v="RC-DR18T(W) S909-4792"/>
    <n v="3588"/>
    <n v="0.78037904124860646"/>
    <s v="Toshiba SRP"/>
    <m/>
    <s v="S909-4792"/>
  </r>
  <r>
    <n v="4214"/>
    <s v="Sogo"/>
    <s v="CWB"/>
    <x v="58"/>
    <n v="3"/>
    <x v="25"/>
    <x v="29"/>
    <s v="酵活炊磁應電飯煲"/>
    <s v="細電"/>
    <s v="SDA"/>
    <s v="10bh"/>
    <n v="1"/>
    <n v="1688"/>
    <n v="1688"/>
    <s v="S909-4793"/>
    <m/>
    <m/>
    <s v="RC-10BHH(W) S909-4793"/>
    <n v="2088"/>
    <n v="0.80842911877394641"/>
    <s v="Shops Highest Price"/>
    <m/>
    <s v="S909-4793"/>
  </r>
  <r>
    <n v="4215"/>
    <s v="Sogo"/>
    <s v="CWB"/>
    <x v="58"/>
    <n v="3"/>
    <x v="25"/>
    <x v="31"/>
    <s v="無線雙層電熱水壺(1.7公升)"/>
    <s v="細電"/>
    <s v="SDA"/>
    <s v="17drt"/>
    <n v="1"/>
    <n v="388"/>
    <n v="388"/>
    <s v="S161-622543"/>
    <m/>
    <m/>
    <s v="KT-17DRTHK(H) S161-622543"/>
    <n v="498"/>
    <n v="0.77911646586345384"/>
    <s v="Toshiba SRP"/>
    <m/>
    <s v="S161-622543"/>
  </r>
  <r>
    <n v="4216"/>
    <s v="Sogo"/>
    <s v="CWB"/>
    <x v="58"/>
    <n v="3"/>
    <x v="25"/>
    <x v="21"/>
    <s v="壓縮式抽濕機 (30公升)"/>
    <s v="細電"/>
    <s v="RAC"/>
    <s v="d300"/>
    <n v="1"/>
    <n v="2280"/>
    <n v="2280"/>
    <s v="S909-4794"/>
    <m/>
    <m/>
    <s v="RAD-D300H S909-4794"/>
    <n v="3380"/>
    <n v="0.67455621301775148"/>
    <s v="Shops Highest Price"/>
    <m/>
    <s v="S909-4794"/>
  </r>
  <r>
    <n v="4217"/>
    <s v="Sogo"/>
    <s v="CWB"/>
    <x v="58"/>
    <n v="3"/>
    <x v="25"/>
    <x v="70"/>
    <s v="12吋2合1座地座檯電風扇連遙控"/>
    <s v="細電"/>
    <s v="EAD"/>
    <s v="ya20"/>
    <n v="1"/>
    <n v="398"/>
    <n v="398"/>
    <s v="S909-4795"/>
    <m/>
    <m/>
    <s v="F-LYA20(W)HKG S909-4795"/>
    <n v="988"/>
    <n v="0.40283400809716602"/>
    <s v="Toshiba SRP"/>
    <m/>
    <s v="S909-4795"/>
  </r>
  <r>
    <n v="4218"/>
    <s v="Aeon"/>
    <s v="Kornhill"/>
    <x v="59"/>
    <n v="3"/>
    <x v="0"/>
    <x v="15"/>
    <s v="Induction Cooker"/>
    <s v="細電"/>
    <s v="SDA"/>
    <s v="21ts"/>
    <n v="4"/>
    <n v="500"/>
    <n v="2000"/>
    <m/>
    <m/>
    <m/>
    <s v="IC-21TSHK "/>
    <n v="998"/>
    <n v="0.50100200400801598"/>
    <s v="Web SRP"/>
    <m/>
    <s v=""/>
  </r>
  <r>
    <n v="4219"/>
    <s v="Aeon"/>
    <s v="Kornhill"/>
    <x v="59"/>
    <n v="3"/>
    <x v="0"/>
    <x v="6"/>
    <s v="旋鈕式微波爐24L"/>
    <s v="細電"/>
    <s v="SDA"/>
    <s v="mm24"/>
    <n v="5"/>
    <n v="500"/>
    <n v="2500"/>
    <m/>
    <m/>
    <m/>
    <s v="MW2-MM24PC(BK) "/>
    <n v="848"/>
    <n v="0.589622641509434"/>
    <s v="Toshiba SRP"/>
    <m/>
    <s v=""/>
  </r>
  <r>
    <n v="4220"/>
    <s v="Aeon"/>
    <s v="Kornhill"/>
    <x v="59"/>
    <n v="3"/>
    <x v="0"/>
    <x v="9"/>
    <s v="電熱水瓶4.5L"/>
    <s v="細電"/>
    <s v="SDA"/>
    <s v="45sf"/>
    <n v="4"/>
    <n v="500"/>
    <n v="2000"/>
    <m/>
    <m/>
    <m/>
    <s v="PLK-45SFIH(WT) "/>
    <n v="788"/>
    <n v="0.63451776649746194"/>
    <s v="Toshiba SRP"/>
    <m/>
    <s v=""/>
  </r>
  <r>
    <n v="4221"/>
    <s v="Aeon"/>
    <s v="Kornhill"/>
    <x v="59"/>
    <n v="3"/>
    <x v="0"/>
    <x v="1"/>
    <s v="磁應電飯煲(1.5公升)"/>
    <s v="細電"/>
    <s v="SDA"/>
    <s v="15ist"/>
    <n v="21"/>
    <n v="500"/>
    <n v="10500"/>
    <m/>
    <m/>
    <m/>
    <s v="RC-15ISTHK(W) "/>
    <n v="1688"/>
    <n v="0.29620853080568721"/>
    <s v="Toshiba SRP"/>
    <m/>
    <s v=""/>
  </r>
  <r>
    <n v="4222"/>
    <s v="Aeon"/>
    <s v="Kornhill"/>
    <x v="59"/>
    <n v="3"/>
    <x v="0"/>
    <x v="5"/>
    <s v="全自動洗衣機 (8公斤 結合高低水位)"/>
    <s v="大電"/>
    <s v="WM"/>
    <s v="m901"/>
    <n v="2"/>
    <n v="1500"/>
    <n v="3000"/>
    <m/>
    <m/>
    <m/>
    <s v="AW-M901BPH(WW) "/>
    <n v="3580"/>
    <n v="0.41899441340782123"/>
    <s v="Toshiba SRP"/>
    <m/>
    <s v=""/>
  </r>
  <r>
    <n v="4223"/>
    <s v="Aeon"/>
    <s v="Kornhill"/>
    <x v="59"/>
    <n v="3"/>
    <x v="0"/>
    <x v="13"/>
    <s v="獨立式免安裝洗碗碟機"/>
    <s v="細電"/>
    <s v="DM"/>
    <s v="34ahk"/>
    <n v="2"/>
    <n v="1500"/>
    <n v="3000"/>
    <m/>
    <m/>
    <m/>
    <s v="DWS-34AHK "/>
    <n v="3999"/>
    <n v="0.37509377344336087"/>
    <s v="Web SRP"/>
    <m/>
    <s v=""/>
  </r>
  <r>
    <n v="4224"/>
    <s v="Aeon"/>
    <s v="Kornhill"/>
    <x v="59"/>
    <n v="3"/>
    <x v="0"/>
    <x v="14"/>
    <s v="21L壓縮式抽濕機"/>
    <s v="大電"/>
    <s v="RAC"/>
    <s v="y200"/>
    <n v="11"/>
    <n v="1500"/>
    <n v="16500"/>
    <m/>
    <m/>
    <m/>
    <s v="RAD-Y200H "/>
    <n v="3280"/>
    <n v="0.45731707317073172"/>
    <s v="Toshiba SRP"/>
    <m/>
    <s v=""/>
  </r>
  <r>
    <n v="4225"/>
    <s v="Aeon"/>
    <s v="Kornhill"/>
    <x v="59"/>
    <n v="3"/>
    <x v="0"/>
    <x v="4"/>
    <s v="RO座檯式飲水機"/>
    <s v="細電"/>
    <s v="KWH"/>
    <s v="tsr76"/>
    <n v="2"/>
    <n v="1500"/>
    <n v="3000"/>
    <m/>
    <s v="adjust, qty 1&gt;2"/>
    <m/>
    <s v="TWP-TSR76THK(W) "/>
    <n v="2680"/>
    <n v="0.55970149253731338"/>
    <s v="Toshiba SRP"/>
    <m/>
    <s v=""/>
  </r>
  <r>
    <n v="4226"/>
    <s v="Aeon"/>
    <s v="Kornhill"/>
    <x v="59"/>
    <n v="3"/>
    <x v="0"/>
    <x v="10"/>
    <s v="變頻上置式雙門雪櫃313L "/>
    <s v="大電"/>
    <s v="REF"/>
    <s v="rt416"/>
    <n v="1"/>
    <n v="2888"/>
    <n v="2888"/>
    <m/>
    <m/>
    <m/>
    <s v="GR-RT416WE-PMA(06) "/>
    <n v="5380"/>
    <n v="0.53680297397769516"/>
    <s v="Toshiba SRP"/>
    <m/>
    <s v=""/>
  </r>
  <r>
    <n v="4227"/>
    <s v="Aeon"/>
    <s v="Kornhill"/>
    <x v="59"/>
    <n v="3"/>
    <x v="0"/>
    <x v="18"/>
    <s v="Comfee 1匹變頻窗口式冷氣機"/>
    <s v="大電"/>
    <s v="RAC"/>
    <s v="09cr"/>
    <n v="1"/>
    <n v="3028"/>
    <n v="3028"/>
    <m/>
    <s v="$3588&gt;3028"/>
    <m/>
    <s v="CWF-09CRFN8-AD5 "/>
    <n v="4600"/>
    <n v="0.65826086956521734"/>
    <s v="Shops Highest Price"/>
    <m/>
    <s v=""/>
  </r>
  <r>
    <n v="4228"/>
    <s v="Aeon"/>
    <s v="Kornhill"/>
    <x v="59"/>
    <n v="3"/>
    <x v="0"/>
    <x v="104"/>
    <e v="#N/A"/>
    <e v="#N/A"/>
    <e v="#N/A"/>
    <m/>
    <m/>
    <m/>
    <n v="0"/>
    <m/>
    <s v="adjust,bn90x2,$3588x2"/>
    <m/>
    <s v="Model-Input-Ref2 "/>
    <e v="#N/A"/>
    <e v="#N/A"/>
    <e v="#N/A"/>
    <m/>
    <s v=""/>
  </r>
  <r>
    <n v="4229"/>
    <s v="Aeon"/>
    <s v="Kornhill"/>
    <x v="59"/>
    <n v="3"/>
    <x v="0"/>
    <x v="12"/>
    <s v="Comfee 1.5匹變頻窗口式冷氣機"/>
    <s v="大電"/>
    <s v="RAC"/>
    <s v="12cr"/>
    <n v="1"/>
    <n v="3528"/>
    <n v="3528"/>
    <m/>
    <s v="$4088&gt;3528"/>
    <m/>
    <s v="CWF-12CRFN8-AD5 "/>
    <n v="5200"/>
    <n v="0.67846153846153845"/>
    <s v="Shops Highest Price"/>
    <m/>
    <s v=""/>
  </r>
  <r>
    <n v="4230"/>
    <s v="Aeon"/>
    <s v="Kornhill"/>
    <x v="59"/>
    <n v="3"/>
    <x v="5"/>
    <x v="15"/>
    <s v="Induction Cooker"/>
    <s v="細電"/>
    <s v="SDA"/>
    <s v="21ts"/>
    <n v="2"/>
    <n v="500"/>
    <n v="1000"/>
    <m/>
    <m/>
    <m/>
    <s v="IC-21TSHK "/>
    <n v="998"/>
    <n v="0.50100200400801598"/>
    <s v="Web SRP"/>
    <m/>
    <s v=""/>
  </r>
  <r>
    <n v="4231"/>
    <s v="Aeon"/>
    <s v="Kornhill"/>
    <x v="59"/>
    <n v="3"/>
    <x v="5"/>
    <x v="1"/>
    <s v="磁應電飯煲(1.5公升)"/>
    <s v="細電"/>
    <s v="SDA"/>
    <s v="15ist"/>
    <n v="6"/>
    <n v="500"/>
    <n v="3000"/>
    <m/>
    <m/>
    <m/>
    <s v="RC-15ISTHK(W) "/>
    <n v="1688"/>
    <n v="0.29620853080568721"/>
    <s v="Toshiba SRP"/>
    <m/>
    <s v=""/>
  </r>
  <r>
    <n v="4232"/>
    <s v="Aeon"/>
    <s v="Kornhill"/>
    <x v="59"/>
    <n v="3"/>
    <x v="5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4233"/>
    <s v="Aeon"/>
    <s v="Kornhill"/>
    <x v="59"/>
    <n v="3"/>
    <x v="6"/>
    <x v="1"/>
    <s v="磁應電飯煲(1.5公升)"/>
    <s v="細電"/>
    <s v="SDA"/>
    <s v="15ist"/>
    <n v="3"/>
    <n v="500"/>
    <n v="1500"/>
    <m/>
    <m/>
    <m/>
    <s v="RC-15ISTHK(W) "/>
    <n v="1688"/>
    <n v="0.29620853080568721"/>
    <s v="Toshiba SRP"/>
    <m/>
    <s v=""/>
  </r>
  <r>
    <n v="4234"/>
    <s v="Aeon"/>
    <s v="Kornhill"/>
    <x v="59"/>
    <n v="3"/>
    <x v="6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4235"/>
    <s v="Aeon"/>
    <s v="Kornhill"/>
    <x v="59"/>
    <n v="3"/>
    <x v="6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236"/>
    <s v="Aeon"/>
    <s v="Kornhill"/>
    <x v="59"/>
    <n v="3"/>
    <x v="6"/>
    <x v="2"/>
    <s v="雙門變頻式環保雪櫃"/>
    <s v="大電"/>
    <s v="AC"/>
    <s v="a26hsz"/>
    <n v="2"/>
    <n v="1500"/>
    <n v="3000"/>
    <m/>
    <m/>
    <m/>
    <s v="GR-A26HSZ(DS) "/>
    <n v="3780"/>
    <n v="0.3968253968253968"/>
    <s v="Toshiba SRP"/>
    <m/>
    <s v=""/>
  </r>
  <r>
    <n v="4237"/>
    <s v="Aeon"/>
    <s v="Kornhill"/>
    <x v="59"/>
    <n v="3"/>
    <x v="6"/>
    <x v="6"/>
    <s v="旋鈕式微波爐24L"/>
    <s v="細電"/>
    <s v="SDA"/>
    <s v="mm24"/>
    <n v="1"/>
    <n v="500"/>
    <n v="500"/>
    <m/>
    <m/>
    <m/>
    <s v="MW2-MM24PC(BK) "/>
    <n v="848"/>
    <n v="0.589622641509434"/>
    <s v="Toshiba SRP"/>
    <m/>
    <s v=""/>
  </r>
  <r>
    <n v="4238"/>
    <s v="Aeon"/>
    <s v="Kornhill"/>
    <x v="59"/>
    <n v="3"/>
    <x v="6"/>
    <x v="18"/>
    <s v="Comfee 1匹變頻窗口式冷氣機"/>
    <s v="大電"/>
    <s v="RAC"/>
    <s v="09cr"/>
    <n v="1"/>
    <n v="3028"/>
    <n v="3028"/>
    <m/>
    <s v="$3588&gt;3028"/>
    <m/>
    <s v="CWF-09CRFN8-AD5 "/>
    <n v="4600"/>
    <n v="0.65826086956521734"/>
    <s v="Shops Highest Price"/>
    <m/>
    <s v=""/>
  </r>
  <r>
    <n v="4239"/>
    <s v="Aeon"/>
    <s v="Kornhill"/>
    <x v="59"/>
    <n v="3"/>
    <x v="6"/>
    <x v="0"/>
    <s v="超薄身前置式洗衣乾衣機 (洗8公斤 乾5公斤)"/>
    <s v="大電"/>
    <s v="WM"/>
    <s v="bn90"/>
    <n v="2"/>
    <n v="3588"/>
    <n v="7176"/>
    <m/>
    <m/>
    <m/>
    <s v="TWD-BN90GF4H(WK) "/>
    <n v="5980"/>
    <n v="0.6"/>
    <s v="Toshiba SRP"/>
    <m/>
    <s v=""/>
  </r>
  <r>
    <n v="4240"/>
    <s v="Aeon"/>
    <s v="Kornhill"/>
    <x v="59"/>
    <n v="3"/>
    <x v="13"/>
    <x v="15"/>
    <s v="Induction Cooker"/>
    <s v="細電"/>
    <s v="SDA"/>
    <s v="21ts"/>
    <n v="3"/>
    <n v="500"/>
    <n v="1500"/>
    <m/>
    <m/>
    <m/>
    <s v="IC-21TSHK "/>
    <n v="998"/>
    <n v="0.50100200400801598"/>
    <s v="Web SRP"/>
    <m/>
    <s v=""/>
  </r>
  <r>
    <n v="4241"/>
    <s v="Aeon"/>
    <s v="Kornhill"/>
    <x v="59"/>
    <n v="3"/>
    <x v="13"/>
    <x v="9"/>
    <s v="電熱水瓶4.5L"/>
    <s v="細電"/>
    <s v="SDA"/>
    <s v="45sf"/>
    <n v="3"/>
    <n v="500"/>
    <n v="1500"/>
    <m/>
    <s v="adjust, qty 1&gt;3"/>
    <m/>
    <s v="PLK-45SFIH(WT) "/>
    <n v="788"/>
    <n v="0.63451776649746194"/>
    <s v="Toshiba SRP"/>
    <m/>
    <s v=""/>
  </r>
  <r>
    <n v="4242"/>
    <s v="Aeon"/>
    <s v="Kornhill"/>
    <x v="59"/>
    <n v="3"/>
    <x v="13"/>
    <x v="1"/>
    <s v="磁應電飯煲(1.5公升)"/>
    <s v="細電"/>
    <s v="SDA"/>
    <s v="15ist"/>
    <n v="11"/>
    <n v="500"/>
    <n v="5500"/>
    <m/>
    <m/>
    <m/>
    <s v="RC-15ISTHK(W) "/>
    <n v="1688"/>
    <n v="0.29620853080568721"/>
    <s v="Toshiba SRP"/>
    <m/>
    <s v=""/>
  </r>
  <r>
    <n v="4243"/>
    <s v="Aeon"/>
    <s v="Kornhill"/>
    <x v="59"/>
    <n v="3"/>
    <x v="13"/>
    <x v="5"/>
    <s v="全自動洗衣機 (8公斤 結合高低水位)"/>
    <s v="大電"/>
    <s v="WM"/>
    <s v="m901"/>
    <n v="2"/>
    <n v="1500"/>
    <n v="3000"/>
    <m/>
    <s v="adjust,qty 1&gt;2"/>
    <m/>
    <s v="AW-M901BPH(WW) "/>
    <n v="3580"/>
    <n v="0.41899441340782123"/>
    <s v="Toshiba SRP"/>
    <m/>
    <s v=""/>
  </r>
  <r>
    <n v="4244"/>
    <s v="Aeon"/>
    <s v="Kornhill"/>
    <x v="59"/>
    <n v="3"/>
    <x v="13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245"/>
    <s v="Aeon"/>
    <s v="Kornhill"/>
    <x v="59"/>
    <n v="3"/>
    <x v="13"/>
    <x v="2"/>
    <s v="雙門變頻式環保雪櫃"/>
    <s v="大電"/>
    <s v="AC"/>
    <s v="a26hsz"/>
    <n v="2"/>
    <n v="1500"/>
    <n v="3000"/>
    <m/>
    <s v="adjust,qty 1&gt;2"/>
    <m/>
    <s v="GR-A26HSZ(DS) "/>
    <n v="3780"/>
    <n v="0.3968253968253968"/>
    <s v="Toshiba SRP"/>
    <m/>
    <s v=""/>
  </r>
  <r>
    <n v="4246"/>
    <s v="Aeon"/>
    <s v="Kornhill"/>
    <x v="59"/>
    <n v="3"/>
    <x v="13"/>
    <x v="0"/>
    <s v="超薄身前置式洗衣乾衣機 (洗8公斤 乾5公斤)"/>
    <s v="大電"/>
    <s v="WM"/>
    <s v="bn90"/>
    <n v="1"/>
    <n v="3588"/>
    <n v="3588"/>
    <m/>
    <s v="$3500&gt;$3588"/>
    <m/>
    <s v="TWD-BN90GF4H(WK) "/>
    <n v="5980"/>
    <n v="0.6"/>
    <s v="Toshiba SRP"/>
    <m/>
    <s v=""/>
  </r>
  <r>
    <n v="4247"/>
    <s v="Aeon"/>
    <s v="Kornhill"/>
    <x v="59"/>
    <n v="3"/>
    <x v="8"/>
    <x v="1"/>
    <s v="磁應電飯煲(1.5公升)"/>
    <s v="細電"/>
    <s v="SDA"/>
    <s v="15ist"/>
    <n v="3"/>
    <n v="500"/>
    <n v="1500"/>
    <m/>
    <m/>
    <m/>
    <s v="RC-15ISTHK(W) "/>
    <n v="1688"/>
    <n v="0.29620853080568721"/>
    <s v="Toshiba SRP"/>
    <m/>
    <s v=""/>
  </r>
  <r>
    <n v="4248"/>
    <s v="Aeon"/>
    <s v="Kornhill"/>
    <x v="59"/>
    <n v="3"/>
    <x v="8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249"/>
    <s v="Aeon"/>
    <s v="Kornhill"/>
    <x v="59"/>
    <n v="3"/>
    <x v="8"/>
    <x v="2"/>
    <s v="雙門變頻式環保雪櫃"/>
    <s v="大電"/>
    <s v="AC"/>
    <s v="a26hsz"/>
    <n v="1"/>
    <n v="1500"/>
    <n v="1500"/>
    <m/>
    <m/>
    <m/>
    <s v="GR-A26HSZ(DS) "/>
    <n v="3780"/>
    <n v="0.3968253968253968"/>
    <s v="Toshiba SRP"/>
    <m/>
    <s v=""/>
  </r>
  <r>
    <n v="4250"/>
    <s v="Aeon"/>
    <s v="Kornhill"/>
    <x v="59"/>
    <n v="3"/>
    <x v="8"/>
    <x v="11"/>
    <s v="座檯式純蒸氣烤焗水波爐30L"/>
    <s v="細電"/>
    <s v="SDA"/>
    <s v="td5000"/>
    <n v="1"/>
    <n v="3588"/>
    <n v="3588"/>
    <m/>
    <m/>
    <m/>
    <s v="ER-TD5000HK(XK) "/>
    <n v="7998"/>
    <n v="0.44861215303825958"/>
    <s v="Toshiba SRP"/>
    <m/>
    <s v=""/>
  </r>
  <r>
    <n v="4251"/>
    <s v="Aeon"/>
    <s v="Kornhill"/>
    <x v="59"/>
    <n v="3"/>
    <x v="8"/>
    <x v="0"/>
    <s v="超薄身前置式洗衣乾衣機 (洗8公斤 乾5公斤)"/>
    <s v="大電"/>
    <s v="WM"/>
    <s v="bn90"/>
    <n v="1"/>
    <n v="3588"/>
    <n v="3588"/>
    <m/>
    <m/>
    <m/>
    <s v="TWD-BN90GF4H(WK) "/>
    <n v="5980"/>
    <n v="0.6"/>
    <s v="Toshiba SRP"/>
    <m/>
    <s v=""/>
  </r>
  <r>
    <n v="4252"/>
    <s v="Aeon"/>
    <s v="Kornhill"/>
    <x v="59"/>
    <n v="3"/>
    <x v="1"/>
    <x v="15"/>
    <s v="Induction Cooker"/>
    <s v="細電"/>
    <s v="SDA"/>
    <s v="21ts"/>
    <n v="2"/>
    <n v="500"/>
    <n v="1000"/>
    <m/>
    <m/>
    <m/>
    <s v="IC-21TSHK "/>
    <n v="998"/>
    <n v="0.50100200400801598"/>
    <s v="Web SRP"/>
    <m/>
    <s v=""/>
  </r>
  <r>
    <n v="4253"/>
    <s v="Aeon"/>
    <s v="Kornhill"/>
    <x v="59"/>
    <n v="3"/>
    <x v="1"/>
    <x v="1"/>
    <s v="磁應電飯煲(1.5公升)"/>
    <s v="細電"/>
    <s v="SDA"/>
    <s v="15ist"/>
    <n v="3"/>
    <n v="500"/>
    <n v="1500"/>
    <m/>
    <m/>
    <m/>
    <s v="RC-15ISTHK(W) "/>
    <n v="1688"/>
    <n v="0.29620853080568721"/>
    <s v="Toshiba SRP"/>
    <m/>
    <s v=""/>
  </r>
  <r>
    <n v="4254"/>
    <s v="Aeon"/>
    <s v="Kornhill"/>
    <x v="59"/>
    <n v="3"/>
    <x v="1"/>
    <x v="5"/>
    <s v="全自動洗衣機 (8公斤 結合高低水位)"/>
    <s v="大電"/>
    <s v="WM"/>
    <s v="m901"/>
    <n v="2"/>
    <n v="1500"/>
    <n v="3000"/>
    <m/>
    <s v="adjust,qty 1&gt;2"/>
    <m/>
    <s v="AW-M901BPH(WW) "/>
    <n v="3580"/>
    <n v="0.41899441340782123"/>
    <s v="Toshiba SRP"/>
    <m/>
    <s v=""/>
  </r>
  <r>
    <n v="4255"/>
    <s v="Aeon"/>
    <s v="Kornhill"/>
    <x v="59"/>
    <n v="3"/>
    <x v="1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256"/>
    <s v="Aeon"/>
    <s v="Kornhill"/>
    <x v="59"/>
    <n v="3"/>
    <x v="1"/>
    <x v="0"/>
    <s v="超薄身前置式洗衣乾衣機 (洗8公斤 乾5公斤)"/>
    <s v="大電"/>
    <s v="WM"/>
    <s v="bn90"/>
    <n v="1"/>
    <n v="3588"/>
    <n v="3588"/>
    <m/>
    <m/>
    <m/>
    <s v="TWD-BN90GF4H(WK) "/>
    <n v="5980"/>
    <n v="0.6"/>
    <s v="Toshiba SRP"/>
    <m/>
    <s v=""/>
  </r>
  <r>
    <n v="4257"/>
    <s v="Aeon"/>
    <s v="Kornhill"/>
    <x v="59"/>
    <n v="3"/>
    <x v="2"/>
    <x v="15"/>
    <s v="Induction Cooker"/>
    <s v="細電"/>
    <s v="SDA"/>
    <s v="21ts"/>
    <n v="2"/>
    <n v="500"/>
    <n v="1000"/>
    <m/>
    <m/>
    <m/>
    <s v="IC-21TSHK "/>
    <n v="998"/>
    <n v="0.50100200400801598"/>
    <s v="Web SRP"/>
    <m/>
    <s v=""/>
  </r>
  <r>
    <n v="4258"/>
    <s v="Aeon"/>
    <s v="Kornhill"/>
    <x v="59"/>
    <n v="3"/>
    <x v="2"/>
    <x v="1"/>
    <s v="磁應電飯煲(1.5公升)"/>
    <s v="細電"/>
    <s v="SDA"/>
    <s v="15ist"/>
    <n v="5"/>
    <n v="500"/>
    <n v="2500"/>
    <m/>
    <m/>
    <m/>
    <s v="RC-15ISTHK(W) "/>
    <n v="1688"/>
    <n v="0.29620853080568721"/>
    <s v="Toshiba SRP"/>
    <m/>
    <s v=""/>
  </r>
  <r>
    <n v="4259"/>
    <s v="Aeon"/>
    <s v="Kornhill"/>
    <x v="59"/>
    <n v="3"/>
    <x v="2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4260"/>
    <s v="Aeon"/>
    <s v="Kornhill"/>
    <x v="59"/>
    <n v="3"/>
    <x v="2"/>
    <x v="13"/>
    <s v="獨立式免安裝洗碗碟機"/>
    <s v="細電"/>
    <s v="DM"/>
    <s v="34ahk"/>
    <n v="1"/>
    <n v="1500"/>
    <n v="1500"/>
    <m/>
    <m/>
    <m/>
    <s v="DWS-34AHK "/>
    <n v="3999"/>
    <n v="0.37509377344336087"/>
    <s v="Web SRP"/>
    <m/>
    <s v=""/>
  </r>
  <r>
    <n v="4261"/>
    <s v="Aeon"/>
    <s v="Kornhill"/>
    <x v="59"/>
    <n v="3"/>
    <x v="2"/>
    <x v="11"/>
    <s v="座檯式純蒸氣烤焗水波爐30L"/>
    <s v="細電"/>
    <s v="SDA"/>
    <s v="td5000"/>
    <n v="1"/>
    <n v="3588"/>
    <n v="3588"/>
    <m/>
    <m/>
    <m/>
    <s v="ER-TD5000HK(XK) "/>
    <n v="7998"/>
    <n v="0.44861215303825958"/>
    <s v="Toshiba SRP"/>
    <m/>
    <s v=""/>
  </r>
  <r>
    <n v="4262"/>
    <s v="Aeon"/>
    <s v="Kornhill"/>
    <x v="59"/>
    <n v="3"/>
    <x v="2"/>
    <x v="104"/>
    <e v="#N/A"/>
    <e v="#N/A"/>
    <e v="#N/A"/>
    <m/>
    <m/>
    <m/>
    <n v="0"/>
    <m/>
    <s v="adjust,12cr,$4088"/>
    <m/>
    <s v="Model-Input-Ref2 "/>
    <e v="#N/A"/>
    <e v="#N/A"/>
    <e v="#N/A"/>
    <m/>
    <s v=""/>
  </r>
  <r>
    <n v="4263"/>
    <s v="Aeon"/>
    <s v="Kornhill"/>
    <x v="59"/>
    <n v="3"/>
    <x v="10"/>
    <x v="6"/>
    <s v="旋鈕式微波爐24L"/>
    <s v="細電"/>
    <s v="SDA"/>
    <s v="mm24"/>
    <n v="2"/>
    <n v="500"/>
    <n v="1000"/>
    <m/>
    <m/>
    <m/>
    <s v="MW2-MM24PC(BK) "/>
    <n v="848"/>
    <n v="0.589622641509434"/>
    <s v="Toshiba SRP"/>
    <m/>
    <s v=""/>
  </r>
  <r>
    <n v="4264"/>
    <s v="Aeon"/>
    <s v="Kornhill"/>
    <x v="59"/>
    <n v="3"/>
    <x v="10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m/>
    <s v=""/>
  </r>
  <r>
    <n v="4265"/>
    <s v="Aeon"/>
    <s v="Kornhill"/>
    <x v="59"/>
    <n v="3"/>
    <x v="10"/>
    <x v="1"/>
    <s v="磁應電飯煲(1.5公升)"/>
    <s v="細電"/>
    <s v="SDA"/>
    <s v="15ist"/>
    <n v="6"/>
    <n v="500"/>
    <n v="3000"/>
    <m/>
    <s v="adjust, qty 3&gt;6"/>
    <m/>
    <s v="RC-15ISTHK(W) "/>
    <n v="1688"/>
    <n v="0.29620853080568721"/>
    <s v="Toshiba SRP"/>
    <m/>
    <s v=""/>
  </r>
  <r>
    <n v="4266"/>
    <s v="Aeon"/>
    <s v="Kornhill"/>
    <x v="59"/>
    <n v="3"/>
    <x v="10"/>
    <x v="5"/>
    <s v="全自動洗衣機 (8公斤 結合高低水位)"/>
    <s v="大電"/>
    <s v="WM"/>
    <s v="m901"/>
    <n v="1"/>
    <n v="1500"/>
    <n v="1500"/>
    <m/>
    <m/>
    <m/>
    <s v="AW-M901BPH(WW) "/>
    <n v="3580"/>
    <n v="0.41899441340782123"/>
    <s v="Toshiba SRP"/>
    <m/>
    <s v=""/>
  </r>
  <r>
    <n v="4267"/>
    <s v="Aeon"/>
    <s v="Kornhill"/>
    <x v="59"/>
    <n v="3"/>
    <x v="10"/>
    <x v="3"/>
    <s v="7.5KG超薄身前置式變頻洗衣機"/>
    <s v="大電"/>
    <s v="WM"/>
    <s v="bl85a2"/>
    <n v="2"/>
    <n v="2588"/>
    <n v="5176"/>
    <m/>
    <s v="adjust, qty 1&gt;2"/>
    <m/>
    <s v="TW-BL85A2H(WW) "/>
    <n v="5080"/>
    <n v="0.50944881889763782"/>
    <s v="Toshiba SRP"/>
    <m/>
    <s v=""/>
  </r>
  <r>
    <n v="4268"/>
    <s v="Aeon"/>
    <s v="Kornhill"/>
    <x v="59"/>
    <n v="3"/>
    <x v="10"/>
    <x v="18"/>
    <s v="Comfee 1匹變頻窗口式冷氣機"/>
    <s v="大電"/>
    <s v="RAC"/>
    <s v="09cr"/>
    <n v="1"/>
    <n v="3028"/>
    <n v="3028"/>
    <m/>
    <s v="$3588&gt;3028"/>
    <m/>
    <s v="CWF-09CRFN8-AD5 "/>
    <n v="4600"/>
    <n v="0.65826086956521734"/>
    <s v="Shops Highest Price"/>
    <m/>
    <s v=""/>
  </r>
  <r>
    <n v="4269"/>
    <s v="Aeon"/>
    <s v="Kornhill"/>
    <x v="59"/>
    <n v="3"/>
    <x v="10"/>
    <x v="10"/>
    <s v="變頻上置式雙門雪櫃313L "/>
    <s v="大電"/>
    <s v="REF"/>
    <s v="rt416"/>
    <n v="1"/>
    <n v="2888"/>
    <n v="2888"/>
    <m/>
    <m/>
    <m/>
    <s v="GR-RT416WE-PMA(06) "/>
    <n v="5380"/>
    <n v="0.53680297397769516"/>
    <s v="Toshiba SRP"/>
    <m/>
    <s v=""/>
  </r>
  <r>
    <n v="4270"/>
    <s v="Aeon"/>
    <s v="Kornhill"/>
    <x v="59"/>
    <n v="3"/>
    <x v="16"/>
    <x v="6"/>
    <s v="旋鈕式微波爐24L"/>
    <s v="細電"/>
    <s v="SDA"/>
    <s v="mm24"/>
    <n v="2"/>
    <n v="500"/>
    <n v="1000"/>
    <m/>
    <m/>
    <m/>
    <s v="MW2-MM24PC(BK) "/>
    <n v="848"/>
    <n v="0.589622641509434"/>
    <s v="Toshiba SRP"/>
    <m/>
    <s v=""/>
  </r>
  <r>
    <n v="4271"/>
    <s v="Aeon"/>
    <s v="Kornhill"/>
    <x v="59"/>
    <n v="3"/>
    <x v="16"/>
    <x v="1"/>
    <s v="磁應電飯煲(1.5公升)"/>
    <s v="細電"/>
    <s v="SDA"/>
    <s v="15ist"/>
    <n v="3"/>
    <n v="500"/>
    <n v="1500"/>
    <m/>
    <m/>
    <m/>
    <s v="RC-15ISTHK(W) "/>
    <n v="1688"/>
    <n v="0.29620853080568721"/>
    <s v="Toshiba SRP"/>
    <m/>
    <s v=""/>
  </r>
  <r>
    <n v="4272"/>
    <s v="Aeon"/>
    <s v="Kornhill"/>
    <x v="59"/>
    <n v="3"/>
    <x v="16"/>
    <x v="4"/>
    <s v="RO座檯式飲水機"/>
    <s v="細電"/>
    <s v="KWH"/>
    <s v="tsr76"/>
    <n v="1"/>
    <n v="1500"/>
    <n v="1500"/>
    <m/>
    <m/>
    <m/>
    <s v="TWP-TSR76THK(W) "/>
    <n v="2680"/>
    <n v="0.55970149253731338"/>
    <s v="Toshiba SRP"/>
    <m/>
    <s v=""/>
  </r>
  <r>
    <n v="4273"/>
    <s v="Aeon"/>
    <s v="Kornhill"/>
    <x v="59"/>
    <n v="3"/>
    <x v="11"/>
    <x v="6"/>
    <s v="旋鈕式微波爐24L"/>
    <s v="細電"/>
    <s v="SDA"/>
    <s v="mm24"/>
    <n v="2"/>
    <n v="500"/>
    <n v="1000"/>
    <m/>
    <m/>
    <m/>
    <s v="MW2-MM24PC(BK) "/>
    <n v="848"/>
    <n v="0.589622641509434"/>
    <s v="Toshiba SRP"/>
    <m/>
    <s v=""/>
  </r>
  <r>
    <n v="4274"/>
    <s v="Aeon"/>
    <s v="Kornhill"/>
    <x v="59"/>
    <n v="3"/>
    <x v="11"/>
    <x v="9"/>
    <s v="電熱水瓶4.5L"/>
    <s v="細電"/>
    <s v="SDA"/>
    <s v="45sf"/>
    <n v="3"/>
    <n v="500"/>
    <n v="1500"/>
    <m/>
    <m/>
    <m/>
    <s v="PLK-45SFIH(WT) "/>
    <n v="788"/>
    <n v="0.63451776649746194"/>
    <s v="Toshiba SRP"/>
    <m/>
    <s v=""/>
  </r>
  <r>
    <n v="4275"/>
    <s v="Aeon"/>
    <s v="Kornhill"/>
    <x v="59"/>
    <n v="3"/>
    <x v="11"/>
    <x v="1"/>
    <s v="磁應電飯煲(1.5公升)"/>
    <s v="細電"/>
    <s v="SDA"/>
    <s v="15ist"/>
    <n v="4"/>
    <n v="500"/>
    <n v="2000"/>
    <m/>
    <m/>
    <m/>
    <s v="RC-15ISTHK(W) "/>
    <n v="1688"/>
    <n v="0.29620853080568721"/>
    <s v="Toshiba SRP"/>
    <m/>
    <s v=""/>
  </r>
  <r>
    <n v="4276"/>
    <s v="Aeon"/>
    <s v="Kornhill"/>
    <x v="59"/>
    <n v="3"/>
    <x v="11"/>
    <x v="5"/>
    <s v="全自動洗衣機 (8公斤 結合高低水位)"/>
    <s v="大電"/>
    <s v="WM"/>
    <s v="m901"/>
    <n v="2"/>
    <n v="1500"/>
    <n v="3000"/>
    <m/>
    <m/>
    <m/>
    <s v="AW-M901BPH(WW) "/>
    <n v="3580"/>
    <n v="0.41899441340782123"/>
    <s v="Toshiba SRP"/>
    <m/>
    <s v=""/>
  </r>
  <r>
    <n v="4277"/>
    <s v="Aeon"/>
    <s v="Kornhill"/>
    <x v="59"/>
    <n v="3"/>
    <x v="11"/>
    <x v="104"/>
    <e v="#N/A"/>
    <e v="#N/A"/>
    <e v="#N/A"/>
    <m/>
    <m/>
    <m/>
    <n v="0"/>
    <m/>
    <s v="adjust,34ahk,$1500"/>
    <m/>
    <s v="Model-Input-Ref2 "/>
    <e v="#N/A"/>
    <e v="#N/A"/>
    <e v="#N/A"/>
    <m/>
    <s v=""/>
  </r>
  <r>
    <n v="4278"/>
    <s v="Aeon"/>
    <s v="Kornhill"/>
    <x v="59"/>
    <n v="3"/>
    <x v="11"/>
    <x v="4"/>
    <s v="RO座檯式飲水機"/>
    <s v="細電"/>
    <s v="KWH"/>
    <s v="tsr76"/>
    <n v="1"/>
    <n v="1500"/>
    <n v="1500"/>
    <m/>
    <m/>
    <m/>
    <s v="TWP-TSR76THK(W) "/>
    <n v="2680"/>
    <n v="0.55970149253731338"/>
    <s v="Toshiba SRP"/>
    <m/>
    <s v=""/>
  </r>
  <r>
    <n v="4279"/>
    <s v="Aeon"/>
    <s v="Kornhill"/>
    <x v="59"/>
    <n v="3"/>
    <x v="12"/>
    <x v="9"/>
    <s v="電熱水瓶4.5L"/>
    <s v="細電"/>
    <s v="SDA"/>
    <s v="45sf"/>
    <n v="1"/>
    <n v="500"/>
    <n v="500"/>
    <m/>
    <m/>
    <m/>
    <s v="PLK-45SFIH(WT) "/>
    <n v="788"/>
    <n v="0.63451776649746194"/>
    <s v="Toshiba SRP"/>
    <m/>
    <s v=""/>
  </r>
  <r>
    <n v="4280"/>
    <s v="Aeon"/>
    <s v="Kornhill"/>
    <x v="59"/>
    <n v="3"/>
    <x v="12"/>
    <x v="1"/>
    <s v="磁應電飯煲(1.5公升)"/>
    <s v="細電"/>
    <s v="SDA"/>
    <s v="15ist"/>
    <n v="2"/>
    <n v="500"/>
    <n v="1000"/>
    <m/>
    <m/>
    <m/>
    <s v="RC-15ISTHK(W) "/>
    <n v="1688"/>
    <n v="0.29620853080568721"/>
    <s v="Toshiba SRP"/>
    <m/>
    <s v=""/>
  </r>
  <r>
    <n v="4281"/>
    <s v="Aeon"/>
    <s v="Kornhill"/>
    <x v="59"/>
    <n v="3"/>
    <x v="12"/>
    <x v="5"/>
    <s v="全自動洗衣機 (8公斤 結合高低水位)"/>
    <s v="大電"/>
    <s v="WM"/>
    <s v="m901"/>
    <n v="2"/>
    <n v="1500"/>
    <n v="3000"/>
    <m/>
    <m/>
    <m/>
    <s v="AW-M901BPH(WW) "/>
    <n v="3580"/>
    <n v="0.41899441340782123"/>
    <s v="Toshiba SRP"/>
    <m/>
    <s v=""/>
  </r>
  <r>
    <n v="4282"/>
    <s v="Aeon"/>
    <s v="Kornhill"/>
    <x v="59"/>
    <n v="3"/>
    <x v="12"/>
    <x v="3"/>
    <s v="7.5KG超薄身前置式變頻洗衣機"/>
    <s v="大電"/>
    <s v="WM"/>
    <s v="bl85a2"/>
    <n v="2"/>
    <n v="2588"/>
    <n v="5176"/>
    <m/>
    <s v="$2888&gt;$2588"/>
    <m/>
    <s v="TW-BL85A2H(WW) "/>
    <n v="5080"/>
    <n v="0.50944881889763782"/>
    <s v="Toshiba SRP"/>
    <m/>
    <s v=""/>
  </r>
  <r>
    <n v="4283"/>
    <s v="Aeon"/>
    <s v="Kornhill"/>
    <x v="59"/>
    <n v="3"/>
    <x v="5"/>
    <x v="26"/>
    <s v="變頻頂揭式洗衣機 (7.5公斤)"/>
    <s v="大電"/>
    <s v="LAD"/>
    <s v="cfk01w75"/>
    <n v="1"/>
    <n v="3401"/>
    <n v="3401"/>
    <n v="6179744"/>
    <m/>
    <m/>
    <s v="CFK01W75 6179744"/>
    <n v="3888"/>
    <n v="0.87474279835390945"/>
    <s v="Shops Highest Price"/>
    <m/>
    <s v="6179744"/>
  </r>
  <r>
    <n v="4284"/>
    <s v="Aeon"/>
    <s v="Kornhill"/>
    <x v="59"/>
    <n v="3"/>
    <x v="5"/>
    <x v="26"/>
    <s v="變頻頂揭式洗衣機 (7.5公斤)"/>
    <s v="大電"/>
    <s v="LAD"/>
    <s v="cfk01w75"/>
    <n v="1"/>
    <n v="3580"/>
    <n v="3580"/>
    <n v="6029045"/>
    <m/>
    <m/>
    <s v="CFK01W75 6029045"/>
    <n v="3888"/>
    <n v="0.92078189300411528"/>
    <s v="Shops Highest Price"/>
    <m/>
    <s v="6029045"/>
  </r>
  <r>
    <n v="4285"/>
    <s v="Aeon"/>
    <s v="Kornhill"/>
    <x v="59"/>
    <n v="3"/>
    <x v="5"/>
    <x v="43"/>
    <s v="470MM超薄身前置式變頻洗衣機(8.5公斤, 可飛頂)"/>
    <s v="大電"/>
    <s v="LAD"/>
    <s v="t2295"/>
    <n v="1"/>
    <n v="3680"/>
    <n v="3680"/>
    <n v="6029823"/>
    <m/>
    <m/>
    <s v="TW-T22BU95UWH(WK)-B 6029823"/>
    <n v="5880"/>
    <n v="0.62585034013605445"/>
    <s v="Toshiba SRP"/>
    <m/>
    <s v="6029823"/>
  </r>
  <r>
    <n v="4286"/>
    <s v="Aeon"/>
    <s v="Kornhill"/>
    <x v="59"/>
    <n v="3"/>
    <x v="6"/>
    <x v="26"/>
    <s v="變頻頂揭式洗衣機 (7.5公斤)"/>
    <s v="大電"/>
    <s v="LAD"/>
    <s v="cfk01w75"/>
    <n v="1"/>
    <n v="3401"/>
    <n v="3401"/>
    <n v="6029951"/>
    <m/>
    <m/>
    <s v="CFK01W75 6029951"/>
    <n v="3888"/>
    <n v="0.87474279835390945"/>
    <s v="Shops Highest Price"/>
    <m/>
    <s v="6029951"/>
  </r>
  <r>
    <n v="4287"/>
    <s v="Aeon"/>
    <s v="Kornhill"/>
    <x v="59"/>
    <n v="3"/>
    <x v="6"/>
    <x v="43"/>
    <s v="470MM超薄身前置式變頻洗衣機(8.5公斤, 可飛頂)"/>
    <s v="大電"/>
    <s v="LAD"/>
    <s v="t2295"/>
    <n v="1"/>
    <n v="3496"/>
    <n v="3496"/>
    <n v="6032353"/>
    <m/>
    <m/>
    <s v="TW-T22BU95UWH(WK)-B 6032353"/>
    <n v="5880"/>
    <n v="0.59455782312925165"/>
    <s v="Toshiba SRP"/>
    <m/>
    <s v="6032353"/>
  </r>
  <r>
    <n v="4288"/>
    <s v="Aeon"/>
    <s v="Kornhill"/>
    <x v="59"/>
    <n v="3"/>
    <x v="6"/>
    <x v="26"/>
    <s v="變頻頂揭式洗衣機 (7.5公斤)"/>
    <s v="大電"/>
    <s v="LAD"/>
    <s v="cfk01w75"/>
    <n v="1"/>
    <n v="3580"/>
    <n v="3580"/>
    <n v="6032470"/>
    <m/>
    <m/>
    <s v="CFK01W75 6032470"/>
    <n v="3888"/>
    <n v="0.92078189300411528"/>
    <s v="Shops Highest Price"/>
    <m/>
    <s v="6032470"/>
  </r>
  <r>
    <n v="4289"/>
    <s v="Aeon"/>
    <s v="Kornhill"/>
    <x v="59"/>
    <n v="3"/>
    <x v="6"/>
    <x v="87"/>
    <s v="變頻式環保雙門雪櫃(233L)"/>
    <s v="大電"/>
    <s v="REF"/>
    <s v="rt300"/>
    <n v="1"/>
    <n v="2641"/>
    <n v="2641"/>
    <n v="6032603"/>
    <m/>
    <m/>
    <s v="GR-RT300WE-PMA(57) 6032603"/>
    <n v="4280"/>
    <n v="0.61705607476635516"/>
    <s v="Toshiba SRP"/>
    <m/>
    <s v="6032603"/>
  </r>
  <r>
    <n v="4290"/>
    <s v="Aeon"/>
    <s v="Kornhill"/>
    <x v="59"/>
    <n v="3"/>
    <x v="13"/>
    <x v="66"/>
    <s v="變頻下置式雙門雪櫃（163L）"/>
    <s v="大電"/>
    <s v="REF"/>
    <s v="rb221"/>
    <n v="1"/>
    <n v="1786"/>
    <n v="1786"/>
    <n v="6032721"/>
    <m/>
    <m/>
    <s v="GR-RB221WE-PMA(57) 6032721"/>
    <n v="3480"/>
    <n v="0.51321839080459775"/>
    <s v="Toshiba SRP"/>
    <m/>
    <s v="6032721"/>
  </r>
  <r>
    <n v="4291"/>
    <s v="Aeon"/>
    <s v="Kornhill"/>
    <x v="59"/>
    <n v="3"/>
    <x v="13"/>
    <x v="26"/>
    <s v="變頻頂揭式洗衣機 (7.5公斤)"/>
    <s v="大電"/>
    <s v="LAD"/>
    <s v="cfk01w75"/>
    <n v="1"/>
    <n v="3401"/>
    <n v="3401"/>
    <n v="6032673"/>
    <m/>
    <m/>
    <s v="CFK01W75 6032673"/>
    <n v="3888"/>
    <n v="0.87474279835390945"/>
    <s v="Shops Highest Price"/>
    <m/>
    <s v="6032673"/>
  </r>
  <r>
    <n v="4292"/>
    <s v="Aeon"/>
    <s v="Kornhill"/>
    <x v="59"/>
    <n v="3"/>
    <x v="13"/>
    <x v="43"/>
    <s v="470MM超薄身前置式變頻洗衣機(8.5公斤, 可飛頂)"/>
    <s v="大電"/>
    <s v="LAD"/>
    <s v="t2295"/>
    <n v="1"/>
    <n v="3496"/>
    <n v="3496"/>
    <n v="6032702"/>
    <m/>
    <m/>
    <s v="TW-T22BU95UWH(WK)-B 6032702"/>
    <n v="5880"/>
    <n v="0.59455782312925165"/>
    <s v="Toshiba SRP"/>
    <m/>
    <s v="6032702"/>
  </r>
  <r>
    <n v="4293"/>
    <s v="Aeon"/>
    <s v="Kornhill"/>
    <x v="59"/>
    <n v="3"/>
    <x v="8"/>
    <x v="75"/>
    <s v="日式洗衣機 (8公斤 結合高低水位)"/>
    <s v="大電"/>
    <s v="LAD"/>
    <s v="q901"/>
    <n v="1"/>
    <n v="2546"/>
    <n v="2546"/>
    <n v="6032671"/>
    <s v="adjust,q901,2546,6032671"/>
    <m/>
    <s v="AW-Q901BPH(WW) 6032671"/>
    <n v="3780"/>
    <n v="0.67354497354497356"/>
    <s v="Toshiba SRP"/>
    <m/>
    <s v="6032671"/>
  </r>
  <r>
    <n v="4294"/>
    <s v="Aeon"/>
    <s v="Kornhill"/>
    <x v="59"/>
    <n v="3"/>
    <x v="8"/>
    <x v="75"/>
    <s v="日式洗衣機 (8公斤 結合高低水位)"/>
    <s v="大電"/>
    <s v="LAD"/>
    <s v="q901"/>
    <n v="1"/>
    <n v="2166"/>
    <n v="2166"/>
    <n v="6032705"/>
    <m/>
    <m/>
    <s v="AW-Q901BPH(WW) 6032705"/>
    <n v="3780"/>
    <n v="0.57301587301587298"/>
    <s v="Toshiba SRP"/>
    <m/>
    <s v="6032705"/>
  </r>
  <r>
    <n v="4295"/>
    <s v="Aeon"/>
    <s v="Kornhill"/>
    <x v="59"/>
    <n v="3"/>
    <x v="1"/>
    <x v="43"/>
    <s v="470MM超薄身前置式變頻洗衣機(8.5公斤, 可飛頂)"/>
    <s v="大電"/>
    <s v="LAD"/>
    <s v="t2295"/>
    <n v="1"/>
    <n v="3496"/>
    <n v="3496"/>
    <n v="6032742"/>
    <m/>
    <m/>
    <s v="TW-T22BU95UWH(WK)-B 6032742"/>
    <n v="5880"/>
    <n v="0.59455782312925165"/>
    <s v="Toshiba SRP"/>
    <m/>
    <s v="6032742"/>
  </r>
  <r>
    <n v="4296"/>
    <s v="Aeon"/>
    <s v="Kornhill"/>
    <x v="59"/>
    <n v="3"/>
    <x v="1"/>
    <x v="87"/>
    <s v="變頻式環保雙門雪櫃(233L)"/>
    <s v="大電"/>
    <s v="REF"/>
    <s v="rt300"/>
    <n v="1"/>
    <n v="2641"/>
    <n v="2641"/>
    <n v="6009020"/>
    <m/>
    <m/>
    <s v="GR-RT300WE-PMA(57) 6009020"/>
    <n v="4280"/>
    <n v="0.61705607476635516"/>
    <s v="Toshiba SRP"/>
    <m/>
    <s v="6009020"/>
  </r>
  <r>
    <n v="4297"/>
    <s v="Aeon"/>
    <s v="Kornhill"/>
    <x v="59"/>
    <n v="3"/>
    <x v="1"/>
    <x v="26"/>
    <s v="變頻頂揭式洗衣機 (7.5公斤)"/>
    <s v="大電"/>
    <s v="LAD"/>
    <s v="cfk01w75"/>
    <n v="1"/>
    <n v="3580"/>
    <n v="3580"/>
    <n v="6009002"/>
    <m/>
    <m/>
    <s v="CFK01W75 6009002"/>
    <n v="3888"/>
    <n v="0.92078189300411528"/>
    <s v="Shops Highest Price"/>
    <m/>
    <s v="6009002"/>
  </r>
  <r>
    <n v="4298"/>
    <s v="Aeon"/>
    <s v="Kornhill"/>
    <x v="59"/>
    <n v="3"/>
    <x v="10"/>
    <x v="73"/>
    <s v="Comfee 3/4匹變頻窗口式冷氣機"/>
    <s v="大電"/>
    <s v="RAC"/>
    <s v="07cr"/>
    <n v="1"/>
    <n v="2530"/>
    <n v="2530"/>
    <n v="6009052"/>
    <s v="adjust,$2590&gt;2530"/>
    <m/>
    <s v="CWF-07CRFN8-AD5 6009052"/>
    <n v="3800"/>
    <n v="0.66578947368421049"/>
    <s v="Shops Highest Price"/>
    <m/>
    <s v="6009052"/>
  </r>
  <r>
    <n v="4299"/>
    <s v="Aeon"/>
    <s v="Kornhill"/>
    <x v="59"/>
    <n v="3"/>
    <x v="10"/>
    <x v="26"/>
    <s v="變頻頂揭式洗衣機 (7.5公斤)"/>
    <s v="大電"/>
    <s v="LAD"/>
    <s v="cfk01w75"/>
    <n v="1"/>
    <n v="3580"/>
    <n v="3580"/>
    <n v="6009054"/>
    <m/>
    <m/>
    <s v="CFK01W75 6009054"/>
    <n v="3888"/>
    <n v="0.92078189300411528"/>
    <s v="Shops Highest Price"/>
    <m/>
    <s v="6009054"/>
  </r>
  <r>
    <n v="4300"/>
    <s v="Aeon"/>
    <s v="Kornhill"/>
    <x v="59"/>
    <n v="3"/>
    <x v="12"/>
    <x v="144"/>
    <s v="Comfee 窗口冷氣機"/>
    <s v="大電"/>
    <s v="AC"/>
    <s v="07ff"/>
    <n v="1"/>
    <n v="2130"/>
    <n v="2130"/>
    <n v="6009066"/>
    <s v="adjust,07cr,$2990,6009066&gt;07ff"/>
    <m/>
    <s v="CFW-07FF-H 6009066"/>
    <n v="2880"/>
    <n v="0.73958333333333337"/>
    <s v="Web SRP"/>
    <m/>
    <s v="6009066"/>
  </r>
  <r>
    <n v="4301"/>
    <s v="Aeon"/>
    <s v="Kornhill"/>
    <x v="59"/>
    <n v="3"/>
    <x v="12"/>
    <x v="43"/>
    <s v="470MM超薄身前置式變頻洗衣機(8.5公斤, 可飛頂)"/>
    <s v="大電"/>
    <s v="LAD"/>
    <s v="t2295"/>
    <n v="1"/>
    <n v="3680"/>
    <n v="3680"/>
    <n v="6009078"/>
    <m/>
    <m/>
    <s v="TW-T22BU95UWH(WK)-B 6009078"/>
    <n v="5880"/>
    <n v="0.62585034013605445"/>
    <s v="Toshiba SRP"/>
    <m/>
    <s v="6009078"/>
  </r>
  <r>
    <n v="4302"/>
    <s v="Aeon"/>
    <s v="Kornhill"/>
    <x v="59"/>
    <n v="3"/>
    <x v="12"/>
    <x v="75"/>
    <s v="日式洗衣機 (8公斤 結合高低水位)"/>
    <s v="大電"/>
    <s v="LAD"/>
    <s v="q901"/>
    <n v="1"/>
    <n v="2166"/>
    <n v="2166"/>
    <n v="6009069"/>
    <m/>
    <m/>
    <s v="AW-Q901BPH(WW) 6009069"/>
    <n v="3780"/>
    <n v="0.57301587301587298"/>
    <s v="Toshiba SRP"/>
    <m/>
    <s v="6009069"/>
  </r>
  <r>
    <n v="4303"/>
    <s v="Aeon"/>
    <s v="Kornhill"/>
    <x v="59"/>
    <n v="3"/>
    <x v="4"/>
    <x v="75"/>
    <s v="日式洗衣機 (8公斤 結合高低水位)"/>
    <s v="大電"/>
    <s v="LAD"/>
    <s v="q901"/>
    <n v="1"/>
    <n v="2166"/>
    <n v="2166"/>
    <n v="6009083"/>
    <m/>
    <m/>
    <s v="AW-Q901BPH(WW) 6009083"/>
    <n v="3780"/>
    <n v="0.57301587301587298"/>
    <s v="Toshiba SRP"/>
    <m/>
    <s v="6009083"/>
  </r>
  <r>
    <n v="4304"/>
    <s v="Aeon"/>
    <s v="Kornhill"/>
    <x v="59"/>
    <n v="3"/>
    <x v="19"/>
    <x v="89"/>
    <s v="2 匹 R32變頻窗口式冷氣機 (remote)"/>
    <s v="大電"/>
    <s v="AC"/>
    <s v="18g3cvr"/>
    <n v="1"/>
    <n v="6980"/>
    <n v="6980"/>
    <n v="6009100"/>
    <m/>
    <m/>
    <s v="RAC-18G3CVRGR-HK 6009100"/>
    <n v="10380"/>
    <n v="0.67244701348747593"/>
    <s v="Toshiba SRP"/>
    <m/>
    <s v="6009100"/>
  </r>
  <r>
    <n v="4305"/>
    <s v="Aeon"/>
    <s v="Kornhill"/>
    <x v="59"/>
    <n v="3"/>
    <x v="20"/>
    <x v="40"/>
    <s v="400MM超薄身前置式變頻洗衣機(7公斤)"/>
    <s v="大電"/>
    <s v="LAD"/>
    <s v="bu80"/>
    <n v="1"/>
    <n v="3021"/>
    <n v="3021"/>
    <n v="6009373"/>
    <m/>
    <m/>
    <s v="TW-T21BU80UWH(MG) 6009373"/>
    <n v="5180"/>
    <n v="0.58320463320463323"/>
    <s v="Toshiba SRP"/>
    <m/>
    <s v="6009373"/>
  </r>
  <r>
    <n v="4306"/>
    <s v="Aeon"/>
    <s v="Kornhill"/>
    <x v="59"/>
    <n v="3"/>
    <x v="20"/>
    <x v="87"/>
    <s v="變頻式環保雙門雪櫃(233L)"/>
    <s v="大電"/>
    <s v="REF"/>
    <s v="rt300"/>
    <n v="1"/>
    <n v="2641"/>
    <n v="2641"/>
    <n v="6009091"/>
    <m/>
    <m/>
    <s v="GR-RT300WE-PMA(57) 6009091"/>
    <n v="4280"/>
    <n v="0.61705607476635516"/>
    <s v="Toshiba SRP"/>
    <m/>
    <s v="6009091"/>
  </r>
  <r>
    <n v="4307"/>
    <s v="Aeon"/>
    <s v="Kornhill"/>
    <x v="59"/>
    <n v="3"/>
    <x v="27"/>
    <x v="94"/>
    <s v="3/4 匹 窗口式冷氣機(remote)"/>
    <s v="大電"/>
    <s v="AC"/>
    <s v="07g3cvr"/>
    <n v="1"/>
    <n v="3880"/>
    <n v="3880"/>
    <n v="6009321"/>
    <m/>
    <m/>
    <s v="RAC-07G3CVRGR-HK 6009321"/>
    <n v="5580"/>
    <n v="0.69534050179211471"/>
    <s v="Toshiba SRP"/>
    <m/>
    <s v="6009321"/>
  </r>
  <r>
    <n v="4308"/>
    <s v="Fortress"/>
    <s v="tw"/>
    <x v="49"/>
    <n v="3"/>
    <x v="26"/>
    <x v="110"/>
    <s v="變頻六門雪櫃(451L)"/>
    <s v="大電"/>
    <s v="REF"/>
    <s v="rm598"/>
    <n v="1"/>
    <n v="10990"/>
    <n v="10990"/>
    <n v="1016342"/>
    <m/>
    <m/>
    <s v="GR-RM598WE-PGA(B3) 1016342"/>
    <n v="14980"/>
    <n v="0.73364485981308414"/>
    <s v="Toshiba SRP"/>
    <m/>
    <s v="1016342"/>
  </r>
  <r>
    <n v="4309"/>
    <s v="Fortress"/>
    <s v="tw"/>
    <x v="49"/>
    <n v="3"/>
    <x v="26"/>
    <x v="93"/>
    <s v="座檯式洗碗碟機"/>
    <s v="細電"/>
    <s v="DW"/>
    <s v="05t2"/>
    <n v="1"/>
    <n v="3780"/>
    <n v="3780"/>
    <n v="1016171"/>
    <m/>
    <m/>
    <s v="DW-05T2-HK 1016171"/>
    <n v="4580"/>
    <n v="0.8253275109170306"/>
    <s v="Toshiba SRP"/>
    <m/>
    <s v="1016171"/>
  </r>
  <r>
    <n v="4310"/>
    <s v="Fortress"/>
    <s v="tw"/>
    <x v="49"/>
    <n v="3"/>
    <x v="26"/>
    <x v="87"/>
    <s v="變頻式環保雙門雪櫃(233L)"/>
    <s v="大電"/>
    <s v="REF"/>
    <s v="rt300"/>
    <n v="1"/>
    <n v="2780"/>
    <n v="2780"/>
    <n v="1016373"/>
    <m/>
    <m/>
    <s v="GR-RT300WE-PMA(57) 1016373"/>
    <n v="4280"/>
    <n v="0.64953271028037385"/>
    <s v="Toshiba SRP"/>
    <m/>
    <s v="1016373"/>
  </r>
  <r>
    <n v="4311"/>
    <s v="Fortress"/>
    <s v="tw"/>
    <x v="49"/>
    <n v="3"/>
    <x v="26"/>
    <x v="44"/>
    <s v="1.7L無線雙層電熱水壺"/>
    <s v="細電"/>
    <s v="SDA"/>
    <s v="17shnh"/>
    <n v="1"/>
    <n v="198"/>
    <n v="198"/>
    <n v="1016485"/>
    <m/>
    <m/>
    <s v="KT-17SHNH 1016485"/>
    <n v="299"/>
    <n v="0.66220735785953178"/>
    <s v="Shops Highest Price"/>
    <m/>
    <s v="1016485"/>
  </r>
  <r>
    <n v="4312"/>
    <s v="Fortress"/>
    <s v="tw"/>
    <x v="49"/>
    <n v="3"/>
    <x v="26"/>
    <x v="48"/>
    <s v="3合1 微波蒸焗爐 (20公升)"/>
    <s v="細電"/>
    <s v="MCA"/>
    <s v="tt20"/>
    <n v="1"/>
    <n v="2580"/>
    <n v="2580"/>
    <n v="1016485"/>
    <m/>
    <m/>
    <s v="MX2-TT20SC(WH) 1016485"/>
    <n v="3580"/>
    <n v="0.72067039106145248"/>
    <s v="Toshiba SRP"/>
    <m/>
    <s v="1016485"/>
  </r>
  <r>
    <n v="4313"/>
    <s v="Fortress"/>
    <s v="tw"/>
    <x v="49"/>
    <n v="3"/>
    <x v="26"/>
    <x v="21"/>
    <s v="壓縮式抽濕機 (30公升)"/>
    <s v="細電"/>
    <s v="RAC"/>
    <s v="d300"/>
    <n v="1"/>
    <n v="2580"/>
    <n v="2580"/>
    <n v="1016186"/>
    <m/>
    <m/>
    <s v="RAD-D300H 1016186"/>
    <n v="3380"/>
    <n v="0.76331360946745563"/>
    <s v="Shops Highest Price"/>
    <m/>
    <s v="1016186"/>
  </r>
  <r>
    <n v="4314"/>
    <s v="Fortress"/>
    <s v="tw"/>
    <x v="49"/>
    <n v="3"/>
    <x v="26"/>
    <x v="39"/>
    <s v="酵活炊電飯煲(1.0公升)"/>
    <s v="細電"/>
    <s v="SDA"/>
    <s v="10amx"/>
    <n v="1"/>
    <n v="990"/>
    <n v="990"/>
    <n v="1016181"/>
    <m/>
    <m/>
    <s v="RC-10AMXH(W) 1016181"/>
    <n v="1288"/>
    <n v="0.76863354037267084"/>
    <s v="Toshiba SRP"/>
    <m/>
    <s v="1016181"/>
  </r>
  <r>
    <n v="4315"/>
    <s v="Fortress"/>
    <s v="tw"/>
    <x v="49"/>
    <n v="3"/>
    <x v="26"/>
    <x v="30"/>
    <s v="旋鈕式燒烤微波爐20L"/>
    <s v="細電"/>
    <s v="SDA"/>
    <s v="mm20"/>
    <n v="1"/>
    <n v="488"/>
    <n v="488"/>
    <n v="1016040"/>
    <m/>
    <m/>
    <s v="MWP-MM20P(WH) 1016040"/>
    <n v="648"/>
    <n v="0.75308641975308643"/>
    <s v="Toshiba SRP"/>
    <m/>
    <s v="1016040"/>
  </r>
  <r>
    <n v="4316"/>
    <s v="Fortress"/>
    <s v="tw"/>
    <x v="49"/>
    <n v="3"/>
    <x v="26"/>
    <x v="36"/>
    <s v="輕觸式微波爐 (20公升)"/>
    <s v="細電"/>
    <s v="MCA"/>
    <s v="em20"/>
    <n v="1"/>
    <n v="598"/>
    <n v="598"/>
    <n v="1016128"/>
    <m/>
    <m/>
    <s v="MM2-EM20PC(WH) 1016128"/>
    <n v="788"/>
    <n v="0.75888324873096447"/>
    <s v="Toshiba SRP"/>
    <m/>
    <s v="1016128"/>
  </r>
  <r>
    <n v="4317"/>
    <s v="Fortress"/>
    <s v="tw"/>
    <x v="49"/>
    <n v="3"/>
    <x v="26"/>
    <x v="39"/>
    <s v="酵活炊電飯煲(1.0公升)"/>
    <s v="細電"/>
    <s v="SDA"/>
    <s v="10amx"/>
    <n v="1"/>
    <n v="990"/>
    <n v="990"/>
    <n v="1016526"/>
    <m/>
    <m/>
    <s v="RC-10AMXH(W) 1016526"/>
    <n v="1288"/>
    <n v="0.76863354037267084"/>
    <s v="Toshiba SRP"/>
    <m/>
    <s v="1016526"/>
  </r>
  <r>
    <n v="4318"/>
    <s v="Fortress"/>
    <s v="tw"/>
    <x v="49"/>
    <n v="3"/>
    <x v="26"/>
    <x v="124"/>
    <s v="RO座檯式冷熱飲水機"/>
    <s v="細電"/>
    <s v="KWH"/>
    <s v="w2265"/>
    <n v="1"/>
    <n v="3080"/>
    <n v="3080"/>
    <n v="1016501"/>
    <m/>
    <m/>
    <s v="TWP-W2265THK(W) 1016501"/>
    <n v="3480"/>
    <n v="0.88505747126436785"/>
    <s v="Shops Highest Price"/>
    <m/>
    <s v="1016501"/>
  </r>
  <r>
    <n v="4319"/>
    <s v="Fortress"/>
    <s v="tw"/>
    <x v="49"/>
    <n v="3"/>
    <x v="27"/>
    <x v="21"/>
    <s v="壓縮式抽濕機 (30公升)"/>
    <s v="細電"/>
    <s v="RAC"/>
    <s v="d300"/>
    <n v="1"/>
    <n v="2580"/>
    <n v="2580"/>
    <n v="1016653"/>
    <m/>
    <m/>
    <s v="RAD-D300H 1016653"/>
    <n v="3380"/>
    <n v="0.76331360946745563"/>
    <s v="Shops Highest Price"/>
    <m/>
    <s v="1016653"/>
  </r>
  <r>
    <n v="4320"/>
    <s v="Fortress"/>
    <s v="tw"/>
    <x v="49"/>
    <n v="3"/>
    <x v="27"/>
    <x v="21"/>
    <s v="壓縮式抽濕機 (30公升)"/>
    <s v="細電"/>
    <s v="RAC"/>
    <s v="d300"/>
    <n v="1"/>
    <n v="2580"/>
    <n v="2580"/>
    <n v="1016659"/>
    <m/>
    <m/>
    <s v="RAD-D300H 1016659"/>
    <n v="3380"/>
    <n v="0.76331360946745563"/>
    <s v="Shops Highest Price"/>
    <m/>
    <s v="1016659"/>
  </r>
  <r>
    <n v="4321"/>
    <s v="Fortress"/>
    <s v="tw"/>
    <x v="49"/>
    <n v="3"/>
    <x v="27"/>
    <x v="130"/>
    <s v="All-in-one 輕巧無線吸塵機"/>
    <s v="細電"/>
    <s v="MCA"/>
    <s v="clx50"/>
    <n v="1"/>
    <n v="1798"/>
    <n v="1798"/>
    <n v="1016710"/>
    <m/>
    <m/>
    <s v="VC-CLX50BF(R) 1016710"/>
    <n v="3188"/>
    <n v="0.56398996235884569"/>
    <s v="Toshiba SRP"/>
    <m/>
    <s v="1016710"/>
  </r>
  <r>
    <n v="4322"/>
    <s v="Fortress"/>
    <s v="tw"/>
    <x v="49"/>
    <n v="3"/>
    <x v="27"/>
    <x v="34"/>
    <s v="智能氣炸烤焗爐(24公升)"/>
    <s v="細電"/>
    <s v="MCA"/>
    <s v="sac24"/>
    <n v="1"/>
    <n v="1320"/>
    <n v="1320"/>
    <n v="1016693"/>
    <m/>
    <m/>
    <s v="MW3-SAC24SE(BK) 1016693"/>
    <n v="1680"/>
    <n v="0.7857142857142857"/>
    <s v="Toshiba SRP"/>
    <m/>
    <s v="1016693"/>
  </r>
  <r>
    <n v="4323"/>
    <s v="Fortress"/>
    <s v="tw"/>
    <x v="49"/>
    <n v="3"/>
    <x v="27"/>
    <x v="115"/>
    <s v="微波蒸焗爐23L"/>
    <s v="細電"/>
    <s v="SDA"/>
    <s v="th23"/>
    <n v="1"/>
    <n v="2580"/>
    <n v="2580"/>
    <n v="1016821"/>
    <m/>
    <m/>
    <s v="MX1-TH23SC(WH) 1016821"/>
    <n v="3380"/>
    <n v="0.76331360946745563"/>
    <s v="Toshiba SRP"/>
    <m/>
    <s v="1016821"/>
  </r>
  <r>
    <n v="4324"/>
    <s v="Fortress"/>
    <s v="tw"/>
    <x v="49"/>
    <n v="3"/>
    <x v="27"/>
    <x v="9"/>
    <s v="電熱水瓶4.5L"/>
    <s v="細電"/>
    <s v="SDA"/>
    <s v="45sf"/>
    <n v="1"/>
    <n v="589"/>
    <n v="589"/>
    <n v="1016828"/>
    <m/>
    <m/>
    <s v="PLK-45SFIH(WT) 1016828"/>
    <n v="788"/>
    <n v="0.7474619289340102"/>
    <s v="Toshiba SRP"/>
    <m/>
    <s v="1016828"/>
  </r>
  <r>
    <n v="4325"/>
    <s v="Fortress"/>
    <s v="tw"/>
    <x v="49"/>
    <n v="3"/>
    <x v="27"/>
    <x v="66"/>
    <s v="變頻下置式雙門雪櫃（163L）"/>
    <s v="大電"/>
    <s v="REF"/>
    <s v="rb221"/>
    <n v="1"/>
    <n v="1880"/>
    <n v="1880"/>
    <n v="1016714"/>
    <m/>
    <m/>
    <s v="GR-RB221WE-PMA(57) 1016714"/>
    <n v="3480"/>
    <n v="0.54022988505747127"/>
    <s v="Toshiba SRP"/>
    <m/>
    <s v="1016714"/>
  </r>
  <r>
    <n v="4326"/>
    <s v="Fortress"/>
    <s v="tw"/>
    <x v="49"/>
    <n v="3"/>
    <x v="27"/>
    <x v="115"/>
    <s v="微波蒸焗爐23L"/>
    <s v="細電"/>
    <s v="SDA"/>
    <s v="th23"/>
    <n v="1"/>
    <n v="2580"/>
    <n v="2580"/>
    <n v="1016613"/>
    <m/>
    <m/>
    <s v="MX1-TH23SC(WH) 1016613"/>
    <n v="3380"/>
    <n v="0.76331360946745563"/>
    <s v="Toshiba SRP"/>
    <m/>
    <s v="1016613"/>
  </r>
  <r>
    <n v="4327"/>
    <s v="Fortress"/>
    <s v="tw"/>
    <x v="49"/>
    <n v="3"/>
    <x v="27"/>
    <x v="44"/>
    <s v="1.7L無線雙層電熱水壺"/>
    <s v="細電"/>
    <s v="SDA"/>
    <s v="17shnh"/>
    <n v="1"/>
    <n v="198"/>
    <n v="198"/>
    <n v="1016813"/>
    <m/>
    <m/>
    <s v="KT-17SHNH 1016813"/>
    <n v="299"/>
    <n v="0.66220735785953178"/>
    <s v="Shops Highest Price"/>
    <m/>
    <s v="1016813"/>
  </r>
  <r>
    <n v="4328"/>
    <s v="Citistore"/>
    <s v="YL"/>
    <x v="60"/>
    <n v="3"/>
    <x v="0"/>
    <x v="36"/>
    <s v="輕觸式微波爐 (20公升)"/>
    <s v="細電"/>
    <s v="MCA"/>
    <s v="em20"/>
    <n v="1"/>
    <n v="628"/>
    <n v="628"/>
    <n v="127875"/>
    <m/>
    <m/>
    <s v="MM2-EM20PC(WH) 127875"/>
    <n v="788"/>
    <n v="0.79695431472081213"/>
    <s v="Toshiba SRP"/>
    <m/>
    <s v="127875"/>
  </r>
  <r>
    <n v="4329"/>
    <s v="Citistore"/>
    <s v="YL"/>
    <x v="60"/>
    <n v="3"/>
    <x v="0"/>
    <x v="90"/>
    <s v="8公斤超薄身前置式變頻洗衣機"/>
    <s v="大電"/>
    <s v="LAD"/>
    <s v="bu90"/>
    <n v="1"/>
    <n v="3480"/>
    <n v="3480"/>
    <n v="199412"/>
    <m/>
    <m/>
    <s v="TW-T21BU90UWH(WW) 199412"/>
    <n v="5480"/>
    <n v="0.63503649635036497"/>
    <s v="Toshiba SRP"/>
    <m/>
    <s v="199412"/>
  </r>
  <r>
    <n v="4330"/>
    <s v="Citistore"/>
    <s v="YL"/>
    <x v="60"/>
    <n v="3"/>
    <x v="0"/>
    <x v="30"/>
    <s v="旋鈕式燒烤微波爐20L"/>
    <s v="細電"/>
    <s v="SDA"/>
    <s v="mm20"/>
    <n v="1"/>
    <n v="488"/>
    <n v="488"/>
    <n v="127974"/>
    <m/>
    <m/>
    <s v="MWP-MM20P(WH) 127974"/>
    <n v="648"/>
    <n v="0.75308641975308643"/>
    <s v="Toshiba SRP"/>
    <m/>
    <s v="127974"/>
  </r>
  <r>
    <n v="4331"/>
    <s v="Citistore"/>
    <s v="YL"/>
    <x v="60"/>
    <n v="3"/>
    <x v="0"/>
    <x v="31"/>
    <s v="無線雙層電熱水壺(1.7公升)"/>
    <s v="細電"/>
    <s v="SDA"/>
    <s v="17drt"/>
    <n v="1"/>
    <n v="388"/>
    <n v="388"/>
    <n v="128084"/>
    <m/>
    <m/>
    <s v="KT-17DRTHK(H) 128084"/>
    <n v="498"/>
    <n v="0.77911646586345384"/>
    <s v="Toshiba SRP"/>
    <m/>
    <s v="128084"/>
  </r>
  <r>
    <n v="4332"/>
    <s v="Citistore"/>
    <s v="YL"/>
    <x v="60"/>
    <n v="3"/>
    <x v="13"/>
    <x v="69"/>
    <s v="多功能備長炭本厚釜電飯煲1.8L"/>
    <s v="細電"/>
    <s v="SDA"/>
    <s v="18drnh"/>
    <n v="1"/>
    <n v="619"/>
    <n v="619"/>
    <n v="503150"/>
    <m/>
    <m/>
    <s v="RC-18DRNH 503150"/>
    <n v="898"/>
    <n v="0.68930957683741645"/>
    <s v="Toshiba SRP"/>
    <m/>
    <s v="503150"/>
  </r>
  <r>
    <n v="4333"/>
    <s v="Citistore"/>
    <s v="YL"/>
    <x v="60"/>
    <n v="3"/>
    <x v="13"/>
    <x v="17"/>
    <s v="4毫米厚釜電飯煲1L"/>
    <s v="細電"/>
    <s v="SDA"/>
    <s v="10nmf"/>
    <n v="1"/>
    <n v="719"/>
    <n v="719"/>
    <n v="128457"/>
    <m/>
    <m/>
    <s v="RC-10NMFIH(WT) 128457"/>
    <n v="898"/>
    <n v="0.80066815144766146"/>
    <s v="Toshiba SRP"/>
    <m/>
    <s v="128457"/>
  </r>
  <r>
    <n v="4334"/>
    <s v="Citistore"/>
    <s v="YL"/>
    <x v="60"/>
    <n v="3"/>
    <x v="13"/>
    <x v="69"/>
    <s v="多功能備長炭本厚釜電飯煲1.8L"/>
    <s v="細電"/>
    <s v="SDA"/>
    <s v="18drnh"/>
    <n v="1"/>
    <n v="619"/>
    <n v="619"/>
    <n v="504269"/>
    <m/>
    <m/>
    <s v="RC-18DRNH 504269"/>
    <n v="898"/>
    <n v="0.68930957683741645"/>
    <s v="Toshiba SRP"/>
    <m/>
    <s v="504269"/>
  </r>
  <r>
    <n v="4335"/>
    <s v="Citistore"/>
    <s v="YL"/>
    <x v="60"/>
    <n v="3"/>
    <x v="13"/>
    <x v="31"/>
    <s v="無線雙層電熱水壺(1.7公升)"/>
    <s v="細電"/>
    <s v="SDA"/>
    <s v="17drt"/>
    <n v="1"/>
    <n v="388"/>
    <n v="388"/>
    <n v="504269"/>
    <m/>
    <m/>
    <s v="KT-17DRTHK(H) 504269"/>
    <n v="498"/>
    <n v="0.77911646586345384"/>
    <s v="Toshiba SRP"/>
    <m/>
    <s v="504269"/>
  </r>
  <r>
    <n v="4336"/>
    <s v="Citistore"/>
    <s v="YL"/>
    <x v="60"/>
    <n v="3"/>
    <x v="13"/>
    <x v="43"/>
    <s v="470MM超薄身前置式變頻洗衣機(8.5公斤, 可飛頂)"/>
    <s v="大電"/>
    <s v="LAD"/>
    <s v="t2295"/>
    <n v="1"/>
    <n v="3680"/>
    <n v="3680"/>
    <n v="200109"/>
    <m/>
    <m/>
    <s v="TW-T22BU95UWH(WK)-B 200109"/>
    <n v="5880"/>
    <n v="0.62585034013605445"/>
    <s v="Toshiba SRP"/>
    <m/>
    <s v="200109"/>
  </r>
  <r>
    <n v="4337"/>
    <s v="Citistore"/>
    <s v="YL"/>
    <x v="60"/>
    <n v="3"/>
    <x v="13"/>
    <x v="9"/>
    <s v="電熱水瓶4.5L"/>
    <s v="細電"/>
    <s v="SDA"/>
    <s v="45sf"/>
    <n v="1"/>
    <n v="578"/>
    <n v="578"/>
    <n v="504433"/>
    <m/>
    <m/>
    <s v="PLK-45SFIH(WT) 504433"/>
    <n v="788"/>
    <n v="0.73350253807106602"/>
    <s v="Toshiba SRP"/>
    <m/>
    <s v="504433"/>
  </r>
  <r>
    <n v="4338"/>
    <s v="Citistore"/>
    <s v="YL"/>
    <x v="60"/>
    <n v="3"/>
    <x v="8"/>
    <x v="76"/>
    <s v="日式洗衣機 (7公斤 結合高低水位)"/>
    <s v="大電"/>
    <s v="LAD"/>
    <s v="q801"/>
    <n v="1"/>
    <n v="1980"/>
    <n v="1980"/>
    <n v="128757"/>
    <m/>
    <m/>
    <s v="AW-Q801APH(WW) 128757"/>
    <n v="3380"/>
    <n v="0.58579881656804733"/>
    <s v="Toshiba SRP"/>
    <m/>
    <s v="128757"/>
  </r>
  <r>
    <n v="4339"/>
    <s v="Citistore"/>
    <s v="YL"/>
    <x v="60"/>
    <n v="3"/>
    <x v="8"/>
    <x v="24"/>
    <s v="微型電腦珍珠飯煲"/>
    <s v="細電"/>
    <s v="SDA"/>
    <s v="5sli"/>
    <n v="1"/>
    <n v="593"/>
    <n v="593"/>
    <n v="504637"/>
    <m/>
    <m/>
    <s v="RC-5SLIH(W) 504637"/>
    <n v="658"/>
    <n v="0.90121580547112456"/>
    <s v="Toshiba SRP"/>
    <m/>
    <s v="504637"/>
  </r>
  <r>
    <n v="4340"/>
    <s v="Citistore"/>
    <s v="YL"/>
    <x v="60"/>
    <n v="3"/>
    <x v="8"/>
    <x v="31"/>
    <s v="無線雙層電熱水壺(1.7公升)"/>
    <s v="細電"/>
    <s v="SDA"/>
    <s v="17drt"/>
    <n v="1"/>
    <n v="388"/>
    <n v="388"/>
    <n v="504637"/>
    <m/>
    <m/>
    <s v="KT-17DRTHK(H) 504637"/>
    <n v="498"/>
    <n v="0.77911646586345384"/>
    <s v="Toshiba SRP"/>
    <m/>
    <s v="504637"/>
  </r>
  <r>
    <n v="4341"/>
    <s v="Citistore"/>
    <s v="YL"/>
    <x v="60"/>
    <n v="3"/>
    <x v="8"/>
    <x v="35"/>
    <s v="1.8公升電飯煲"/>
    <s v="細電"/>
    <s v="SDA"/>
    <s v="18jruh"/>
    <n v="1"/>
    <n v="300"/>
    <n v="300"/>
    <n v="128850"/>
    <m/>
    <m/>
    <s v="RC-18JRUH(N) 128850"/>
    <n v="458"/>
    <n v="0.65502183406113534"/>
    <s v="Shops Highest Price"/>
    <m/>
    <s v="128850"/>
  </r>
  <r>
    <n v="4342"/>
    <s v="Citistore"/>
    <s v="YL"/>
    <x v="60"/>
    <n v="3"/>
    <x v="8"/>
    <x v="16"/>
    <s v="輕便式電磁爐"/>
    <s v="細電"/>
    <s v="SDA"/>
    <s v="20r1"/>
    <n v="1"/>
    <n v="298"/>
    <n v="298"/>
    <n v="128850"/>
    <m/>
    <m/>
    <s v="IC-20R1THK 128850"/>
    <n v="438"/>
    <n v="0.68036529680365299"/>
    <s v="Shops Highest Price"/>
    <m/>
    <s v="128850"/>
  </r>
  <r>
    <n v="4343"/>
    <s v="Citistore"/>
    <s v="YL"/>
    <x v="60"/>
    <n v="3"/>
    <x v="8"/>
    <x v="20"/>
    <s v="壓縮式抽濕機 (22公升)"/>
    <s v="細電"/>
    <s v="RAC"/>
    <s v="d200"/>
    <n v="1"/>
    <n v="1980"/>
    <n v="1980"/>
    <n v="503330"/>
    <m/>
    <m/>
    <s v="RAD-D200H 503330"/>
    <n v="2880"/>
    <n v="0.6875"/>
    <s v="Shops Highest Price"/>
    <m/>
    <s v="503330"/>
  </r>
  <r>
    <n v="4344"/>
    <s v="Citistore"/>
    <s v="YL"/>
    <x v="60"/>
    <n v="3"/>
    <x v="1"/>
    <x v="54"/>
    <s v="低醣磁應電飯煲1L"/>
    <s v="細電"/>
    <s v="SDA"/>
    <s v="10irph"/>
    <n v="1"/>
    <n v="898"/>
    <n v="898"/>
    <n v="128917"/>
    <m/>
    <m/>
    <s v="RC-10IRPH 128917"/>
    <n v="1388"/>
    <n v="0.64697406340057639"/>
    <s v="Toshiba SRP"/>
    <m/>
    <s v="128917"/>
  </r>
  <r>
    <n v="4345"/>
    <s v="Citistore"/>
    <s v="YL"/>
    <x v="60"/>
    <n v="3"/>
    <x v="1"/>
    <x v="57"/>
    <s v="多功能備長炭本厚釜電飯煲1L"/>
    <s v="細電"/>
    <s v="SDA"/>
    <s v="10drnh"/>
    <n v="1"/>
    <n v="549"/>
    <n v="549"/>
    <n v="505000"/>
    <m/>
    <m/>
    <s v="RC-10DRNH 505000"/>
    <n v="798"/>
    <n v="0.68796992481203012"/>
    <s v="Toshiba SRP"/>
    <m/>
    <s v="505000"/>
  </r>
  <r>
    <n v="4346"/>
    <s v="Citistore"/>
    <s v="YL"/>
    <x v="60"/>
    <n v="3"/>
    <x v="1"/>
    <x v="35"/>
    <s v="1.8公升電飯煲"/>
    <s v="細電"/>
    <s v="SDA"/>
    <s v="18jruh"/>
    <n v="1"/>
    <n v="300"/>
    <n v="300"/>
    <n v="129077"/>
    <m/>
    <m/>
    <s v="RC-18JRUH(N) 129077"/>
    <n v="458"/>
    <n v="0.65502183406113534"/>
    <s v="Shops Highest Price"/>
    <m/>
    <s v="129077"/>
  </r>
  <r>
    <n v="4347"/>
    <s v="Citistore"/>
    <s v="YL"/>
    <x v="60"/>
    <n v="3"/>
    <x v="1"/>
    <x v="23"/>
    <s v="電飯煲"/>
    <s v="細電"/>
    <s v="SDA"/>
    <s v="10jruh"/>
    <n v="1"/>
    <n v="250"/>
    <n v="250"/>
    <n v="505174"/>
    <m/>
    <m/>
    <s v="RC-10JRUH(N) 505174"/>
    <n v="398"/>
    <n v="0.62814070351758799"/>
    <s v="Shops Highest Price"/>
    <m/>
    <s v="505174"/>
  </r>
  <r>
    <n v="4348"/>
    <s v="Citistore"/>
    <s v="YL"/>
    <x v="60"/>
    <n v="3"/>
    <x v="1"/>
    <x v="21"/>
    <s v="壓縮式抽濕機 (30公升)"/>
    <s v="細電"/>
    <s v="RAC"/>
    <s v="d300"/>
    <n v="1"/>
    <n v="2280"/>
    <n v="2280"/>
    <n v="503375"/>
    <m/>
    <m/>
    <s v="RAD-D300H 503375"/>
    <n v="3380"/>
    <n v="0.67455621301775148"/>
    <s v="Shops Highest Price"/>
    <m/>
    <s v="503375"/>
  </r>
  <r>
    <n v="4349"/>
    <s v="Citistore"/>
    <s v="YL"/>
    <x v="60"/>
    <n v="3"/>
    <x v="2"/>
    <x v="17"/>
    <s v="4毫米厚釜電飯煲1L"/>
    <s v="細電"/>
    <s v="SDA"/>
    <s v="10nmf"/>
    <n v="2"/>
    <n v="719"/>
    <n v="1438"/>
    <n v="505361"/>
    <m/>
    <m/>
    <s v="RC-10NMFIH(WT) 505361"/>
    <n v="898"/>
    <n v="0.80066815144766146"/>
    <s v="Toshiba SRP"/>
    <m/>
    <s v="505361"/>
  </r>
  <r>
    <n v="4350"/>
    <s v="Citistore"/>
    <s v="YL"/>
    <x v="60"/>
    <n v="3"/>
    <x v="2"/>
    <x v="31"/>
    <s v="無線雙層電熱水壺(1.7公升)"/>
    <s v="細電"/>
    <s v="SDA"/>
    <s v="17drt"/>
    <n v="1"/>
    <n v="388"/>
    <n v="388"/>
    <n v="505388"/>
    <m/>
    <m/>
    <s v="KT-17DRTHK(H) 505388"/>
    <n v="498"/>
    <n v="0.77911646586345384"/>
    <s v="Toshiba SRP"/>
    <m/>
    <s v="505388"/>
  </r>
  <r>
    <n v="4351"/>
    <s v="Citistore"/>
    <s v="YL"/>
    <x v="60"/>
    <n v="3"/>
    <x v="2"/>
    <x v="25"/>
    <s v="超輕巧2合1無線吸塵機"/>
    <s v="細電"/>
    <s v="MCA"/>
    <s v="cls1b"/>
    <n v="1"/>
    <n v="1510"/>
    <n v="1510"/>
    <s v="010525"/>
    <m/>
    <m/>
    <s v="VC-CLS1BF(R) 010525"/>
    <n v="1888"/>
    <n v="0.79978813559322037"/>
    <s v="Toshiba SRP"/>
    <m/>
    <s v="010525"/>
  </r>
  <r>
    <n v="4352"/>
    <s v="Citistore"/>
    <s v="YL"/>
    <x v="60"/>
    <n v="3"/>
    <x v="2"/>
    <x v="27"/>
    <s v="4毫米厚釜電飯煲1.8L"/>
    <s v="細電"/>
    <s v="SDA"/>
    <s v="18nmf"/>
    <n v="1"/>
    <n v="799"/>
    <n v="799"/>
    <n v="657849"/>
    <m/>
    <m/>
    <s v="RC-18NMFIH(WT) 657849"/>
    <n v="998"/>
    <n v="0.80060120240480959"/>
    <s v="Toshiba SRP"/>
    <m/>
    <s v="657849"/>
  </r>
  <r>
    <n v="4353"/>
    <s v="Citistore"/>
    <s v="YL"/>
    <x v="60"/>
    <n v="3"/>
    <x v="2"/>
    <x v="21"/>
    <s v="壓縮式抽濕機 (30公升)"/>
    <s v="細電"/>
    <s v="RAC"/>
    <s v="d300"/>
    <n v="1"/>
    <n v="2280"/>
    <n v="2280"/>
    <n v="172331"/>
    <m/>
    <m/>
    <s v="RAD-D300H 172331"/>
    <n v="3380"/>
    <n v="0.67455621301775148"/>
    <s v="Shops Highest Price"/>
    <m/>
    <s v="172331"/>
  </r>
  <r>
    <n v="4354"/>
    <s v="Citistore"/>
    <s v="YL"/>
    <x v="60"/>
    <n v="3"/>
    <x v="2"/>
    <x v="33"/>
    <s v="輕觸式燒烤微波爐"/>
    <s v="細電"/>
    <s v="MCA"/>
    <s v="eg20"/>
    <n v="1"/>
    <n v="698"/>
    <n v="698"/>
    <n v="505428"/>
    <m/>
    <m/>
    <s v="MM2-EG20PC(WH) 505428"/>
    <n v="918"/>
    <n v="0.76034858387799564"/>
    <s v="Shops Highest Price"/>
    <m/>
    <s v="505428"/>
  </r>
  <r>
    <n v="4355"/>
    <s v="Citistore"/>
    <s v="YL"/>
    <x v="60"/>
    <n v="3"/>
    <x v="9"/>
    <x v="17"/>
    <s v="4毫米厚釜電飯煲1L"/>
    <s v="細電"/>
    <s v="SDA"/>
    <s v="10nmf"/>
    <n v="1"/>
    <n v="719"/>
    <n v="719"/>
    <s v="008091"/>
    <m/>
    <m/>
    <s v="RC-10NMFIH(WT) 008091"/>
    <n v="898"/>
    <n v="0.80066815144766146"/>
    <s v="Toshiba SRP"/>
    <m/>
    <s v="008091"/>
  </r>
  <r>
    <n v="4356"/>
    <s v="Citistore"/>
    <s v="YL"/>
    <x v="60"/>
    <n v="3"/>
    <x v="9"/>
    <x v="69"/>
    <s v="多功能備長炭本厚釜電飯煲1.8L"/>
    <s v="細電"/>
    <s v="SDA"/>
    <s v="18drnh"/>
    <n v="1"/>
    <n v="619"/>
    <n v="619"/>
    <n v="129505"/>
    <m/>
    <m/>
    <s v="RC-18DRNH 129505"/>
    <n v="898"/>
    <n v="0.68930957683741645"/>
    <s v="Toshiba SRP"/>
    <m/>
    <s v="129505"/>
  </r>
  <r>
    <n v="4357"/>
    <s v="Citistore"/>
    <s v="YL"/>
    <x v="60"/>
    <n v="3"/>
    <x v="9"/>
    <x v="140"/>
    <s v="10.5KG前置式變頻洗衣機"/>
    <s v="大電"/>
    <s v="WM"/>
    <s v="bl115a"/>
    <n v="1"/>
    <n v="4580"/>
    <n v="4580"/>
    <n v="505816"/>
    <m/>
    <m/>
    <s v="TW-BL115A2H(WW) 505816"/>
    <n v="6480"/>
    <n v="0.70679012345679015"/>
    <s v="Toshiba SRP"/>
    <m/>
    <s v="505816"/>
  </r>
  <r>
    <n v="4358"/>
    <s v="Citistore"/>
    <s v="YL"/>
    <x v="60"/>
    <n v="3"/>
    <x v="9"/>
    <x v="56"/>
    <s v="多士焗爐8L"/>
    <s v="細電"/>
    <s v="SDA"/>
    <n v="7080"/>
    <n v="1"/>
    <n v="338"/>
    <n v="338"/>
    <s v="008099"/>
    <m/>
    <m/>
    <s v="ET-TD7080(PN) 008099"/>
    <n v="498"/>
    <n v="0.67871485943775101"/>
    <s v="Toshiba SRP"/>
    <m/>
    <s v="008099"/>
  </r>
  <r>
    <n v="4359"/>
    <s v="Citistore"/>
    <s v="YL"/>
    <x v="60"/>
    <n v="3"/>
    <x v="9"/>
    <x v="30"/>
    <s v="旋鈕式燒烤微波爐20L"/>
    <s v="細電"/>
    <s v="SDA"/>
    <s v="mm20"/>
    <n v="1"/>
    <n v="488"/>
    <n v="488"/>
    <n v="129652"/>
    <m/>
    <m/>
    <s v="MWP-MM20P(WH) 129652"/>
    <n v="648"/>
    <n v="0.75308641975308643"/>
    <s v="Toshiba SRP"/>
    <m/>
    <s v="129652"/>
  </r>
  <r>
    <n v="4360"/>
    <s v="Citistore"/>
    <s v="YL"/>
    <x v="60"/>
    <n v="3"/>
    <x v="9"/>
    <x v="36"/>
    <s v="輕觸式微波爐 (20公升)"/>
    <s v="細電"/>
    <s v="MCA"/>
    <s v="em20"/>
    <n v="1"/>
    <n v="628"/>
    <n v="628"/>
    <n v="506021"/>
    <m/>
    <m/>
    <s v="MM2-EM20PC(WH) 506021"/>
    <n v="788"/>
    <n v="0.79695431472081213"/>
    <s v="Toshiba SRP"/>
    <m/>
    <s v="506021"/>
  </r>
  <r>
    <n v="4361"/>
    <s v="Citistore"/>
    <s v="YL"/>
    <x v="60"/>
    <n v="3"/>
    <x v="11"/>
    <x v="7"/>
    <s v="4毫米厚釜電飯煲0.54L"/>
    <s v="細電"/>
    <s v="SDA"/>
    <s v="5mm"/>
    <n v="1"/>
    <n v="548"/>
    <n v="548"/>
    <n v="130071"/>
    <m/>
    <m/>
    <s v="RC-5MMIH(WT) 130071"/>
    <n v="618"/>
    <n v="0.88673139158576053"/>
    <s v="Toshiba SRP"/>
    <m/>
    <s v="130071"/>
  </r>
  <r>
    <n v="4362"/>
    <s v="Citistore"/>
    <s v="YL"/>
    <x v="60"/>
    <n v="3"/>
    <x v="11"/>
    <x v="37"/>
    <s v="電熱水瓶 (5公升)"/>
    <s v="細電"/>
    <s v="SDA"/>
    <s v="50dr"/>
    <n v="1"/>
    <n v="628"/>
    <n v="628"/>
    <n v="130071"/>
    <m/>
    <m/>
    <s v="TP-50DRUHK(W) 130071"/>
    <n v="718"/>
    <n v="0.87465181058495822"/>
    <s v="Toshiba SRP"/>
    <m/>
    <s v="130071"/>
  </r>
  <r>
    <n v="4363"/>
    <s v="Citistore"/>
    <s v="YL"/>
    <x v="60"/>
    <n v="3"/>
    <x v="11"/>
    <x v="37"/>
    <s v="電熱水瓶 (5公升)"/>
    <s v="細電"/>
    <s v="SDA"/>
    <s v="50dr"/>
    <n v="1"/>
    <n v="628"/>
    <n v="628"/>
    <n v="130075"/>
    <m/>
    <m/>
    <s v="TP-50DRUHK(W) 130075"/>
    <n v="718"/>
    <n v="0.87465181058495822"/>
    <s v="Toshiba SRP"/>
    <m/>
    <s v="130075"/>
  </r>
  <r>
    <n v="4364"/>
    <s v="Citistore"/>
    <s v="YL"/>
    <x v="60"/>
    <n v="3"/>
    <x v="11"/>
    <x v="33"/>
    <s v="輕觸式燒烤微波爐"/>
    <s v="細電"/>
    <s v="MCA"/>
    <s v="eg20"/>
    <n v="1"/>
    <n v="888"/>
    <n v="888"/>
    <n v="109997"/>
    <m/>
    <m/>
    <s v="MM2-EG20PC(WH) 109997"/>
    <n v="918"/>
    <n v="0.9673202614379085"/>
    <s v="Shops Highest Price"/>
    <m/>
    <s v="109997"/>
  </r>
  <r>
    <n v="4365"/>
    <s v="Citistore"/>
    <s v="YL"/>
    <x v="60"/>
    <n v="3"/>
    <x v="11"/>
    <x v="52"/>
    <s v="35L多功能電焗爐"/>
    <s v="細電"/>
    <s v="SDA"/>
    <s v="mc35"/>
    <n v="1"/>
    <n v="888"/>
    <n v="888"/>
    <n v="130097"/>
    <m/>
    <m/>
    <s v="TL-MC35Z 130097"/>
    <n v="1098"/>
    <n v="0.80874316939890711"/>
    <s v="Toshiba SRP"/>
    <m/>
    <s v="130097"/>
  </r>
  <r>
    <n v="4366"/>
    <s v="Citistore"/>
    <s v="YL"/>
    <x v="60"/>
    <n v="3"/>
    <x v="11"/>
    <x v="16"/>
    <s v="輕便式電磁爐"/>
    <s v="細電"/>
    <s v="SDA"/>
    <s v="20r1"/>
    <n v="1"/>
    <n v="298"/>
    <n v="298"/>
    <n v="130138"/>
    <m/>
    <m/>
    <s v="IC-20R1THK 130138"/>
    <n v="438"/>
    <n v="0.68036529680365299"/>
    <s v="Shops Highest Price"/>
    <m/>
    <s v="130138"/>
  </r>
  <r>
    <n v="4367"/>
    <s v="Citistore"/>
    <s v="YL"/>
    <x v="60"/>
    <n v="3"/>
    <x v="11"/>
    <x v="17"/>
    <s v="4毫米厚釜電飯煲1L"/>
    <s v="細電"/>
    <s v="SDA"/>
    <s v="10nmf"/>
    <n v="1"/>
    <n v="719"/>
    <n v="719"/>
    <n v="506937"/>
    <m/>
    <m/>
    <s v="RC-10NMFIH(WT) 506937"/>
    <n v="898"/>
    <n v="0.80066815144766146"/>
    <s v="Toshiba SRP"/>
    <m/>
    <s v="506937"/>
  </r>
  <r>
    <n v="4368"/>
    <s v="Citistore"/>
    <s v="YL"/>
    <x v="60"/>
    <n v="3"/>
    <x v="11"/>
    <x v="31"/>
    <s v="無線雙層電熱水壺(1.7公升)"/>
    <s v="細電"/>
    <s v="SDA"/>
    <s v="17drt"/>
    <n v="1"/>
    <n v="388"/>
    <n v="388"/>
    <n v="506943"/>
    <m/>
    <m/>
    <s v="KT-17DRTHK(H) 506943"/>
    <n v="498"/>
    <n v="0.77911646586345384"/>
    <s v="Toshiba SRP"/>
    <m/>
    <s v="506943"/>
  </r>
  <r>
    <n v="4369"/>
    <s v="Citistore"/>
    <s v="YL"/>
    <x v="60"/>
    <n v="3"/>
    <x v="11"/>
    <x v="7"/>
    <s v="4毫米厚釜電飯煲0.54L"/>
    <s v="細電"/>
    <s v="SDA"/>
    <s v="5mm"/>
    <n v="1"/>
    <n v="548"/>
    <n v="548"/>
    <n v="506984"/>
    <m/>
    <m/>
    <s v="RC-5MMIH(WT) 506984"/>
    <n v="618"/>
    <n v="0.88673139158576053"/>
    <s v="Toshiba SRP"/>
    <m/>
    <s v="506984"/>
  </r>
  <r>
    <n v="4370"/>
    <s v="Citistore"/>
    <s v="YL"/>
    <x v="60"/>
    <n v="3"/>
    <x v="11"/>
    <x v="24"/>
    <s v="微型電腦珍珠飯煲"/>
    <s v="細電"/>
    <s v="SDA"/>
    <s v="5sli"/>
    <n v="3"/>
    <n v="593"/>
    <n v="1779"/>
    <n v="506984"/>
    <m/>
    <m/>
    <s v="RC-5SLIH(W) 506984"/>
    <n v="658"/>
    <n v="0.90121580547112456"/>
    <s v="Toshiba SRP"/>
    <m/>
    <s v="506984"/>
  </r>
  <r>
    <n v="4371"/>
    <s v="Citistore"/>
    <s v="YL"/>
    <x v="60"/>
    <n v="3"/>
    <x v="11"/>
    <x v="57"/>
    <s v="多功能備長炭本厚釜電飯煲1L"/>
    <s v="細電"/>
    <s v="SDA"/>
    <s v="10drnh"/>
    <n v="2"/>
    <n v="549"/>
    <n v="1098"/>
    <n v="506984"/>
    <m/>
    <m/>
    <s v="RC-10DRNH 506984"/>
    <n v="798"/>
    <n v="0.68796992481203012"/>
    <s v="Toshiba SRP"/>
    <m/>
    <s v="506984"/>
  </r>
  <r>
    <n v="4372"/>
    <s v="Citistore"/>
    <s v="YL"/>
    <x v="60"/>
    <n v="3"/>
    <x v="12"/>
    <x v="39"/>
    <s v="酵活炊電飯煲(1.0公升)"/>
    <s v="細電"/>
    <s v="SDA"/>
    <s v="10amx"/>
    <n v="1"/>
    <n v="990"/>
    <n v="990"/>
    <n v="130254"/>
    <m/>
    <m/>
    <s v="RC-10AMXH(W) 130254"/>
    <n v="1288"/>
    <n v="0.76863354037267084"/>
    <s v="Toshiba SRP"/>
    <m/>
    <s v="130254"/>
  </r>
  <r>
    <n v="4373"/>
    <s v="Citistore"/>
    <s v="YL"/>
    <x v="60"/>
    <n v="3"/>
    <x v="12"/>
    <x v="71"/>
    <s v="輕觸式平板燒烤微波爐 (26公升)"/>
    <s v="細電"/>
    <s v="MCA"/>
    <s v="eg26"/>
    <n v="1"/>
    <n v="888"/>
    <n v="888"/>
    <n v="130260"/>
    <m/>
    <m/>
    <s v="MV2-EG26PEI(BK) 130260"/>
    <n v="1180"/>
    <n v="0.75254237288135595"/>
    <s v="Toshiba SRP"/>
    <m/>
    <s v="130260"/>
  </r>
  <r>
    <n v="4374"/>
    <s v="Citistore"/>
    <s v="YL"/>
    <x v="60"/>
    <n v="3"/>
    <x v="12"/>
    <x v="17"/>
    <s v="4毫米厚釜電飯煲1L"/>
    <s v="細電"/>
    <s v="SDA"/>
    <s v="10nmf"/>
    <n v="1"/>
    <n v="719"/>
    <n v="719"/>
    <n v="130307"/>
    <m/>
    <m/>
    <s v="RC-10NMFIH(WT) 130307"/>
    <n v="898"/>
    <n v="0.80066815144766146"/>
    <s v="Toshiba SRP"/>
    <m/>
    <s v="130307"/>
  </r>
  <r>
    <n v="4375"/>
    <s v="Citistore"/>
    <s v="YL"/>
    <x v="60"/>
    <n v="3"/>
    <x v="12"/>
    <x v="32"/>
    <s v="電熱水瓶3L"/>
    <s v="細電"/>
    <s v="SDA"/>
    <s v="30fl"/>
    <n v="1"/>
    <n v="478"/>
    <n v="478"/>
    <n v="130346"/>
    <m/>
    <m/>
    <s v="PLK-30FLIH(WT) 130346"/>
    <n v="658"/>
    <n v="0.7264437689969605"/>
    <s v="Toshiba SRP"/>
    <m/>
    <s v="130346"/>
  </r>
  <r>
    <n v="4376"/>
    <s v="Citistore"/>
    <s v="YL"/>
    <x v="60"/>
    <n v="3"/>
    <x v="12"/>
    <x v="46"/>
    <s v="電熱水瓶 (2.5公升)"/>
    <s v="細電"/>
    <s v="SDA"/>
    <s v="25dr"/>
    <n v="1"/>
    <n v="398"/>
    <n v="398"/>
    <n v="507297"/>
    <m/>
    <m/>
    <s v="TP-25DR2UHK(W) 507297"/>
    <n v="538"/>
    <n v="0.7397769516728625"/>
    <s v="Toshiba SRP"/>
    <m/>
    <s v="507297"/>
  </r>
  <r>
    <n v="4377"/>
    <s v="Citistore"/>
    <s v="YL"/>
    <x v="60"/>
    <n v="3"/>
    <x v="3"/>
    <x v="57"/>
    <s v="多功能備長炭本厚釜電飯煲1L"/>
    <s v="細電"/>
    <s v="SDA"/>
    <s v="10drnh"/>
    <n v="1"/>
    <n v="549"/>
    <n v="549"/>
    <n v="507429"/>
    <m/>
    <m/>
    <s v="RC-10DRNH 507429"/>
    <n v="798"/>
    <n v="0.68796992481203012"/>
    <s v="Toshiba SRP"/>
    <m/>
    <s v="507429"/>
  </r>
  <r>
    <n v="4378"/>
    <s v="Citistore"/>
    <s v="YL"/>
    <x v="60"/>
    <n v="3"/>
    <x v="3"/>
    <x v="35"/>
    <s v="1.8公升電飯煲"/>
    <s v="細電"/>
    <s v="SDA"/>
    <s v="18jruh"/>
    <n v="1"/>
    <n v="300"/>
    <n v="300"/>
    <n v="507450"/>
    <m/>
    <m/>
    <s v="RC-18JRUH(N) 507450"/>
    <n v="458"/>
    <n v="0.65502183406113534"/>
    <s v="Shops Highest Price"/>
    <m/>
    <s v="507450"/>
  </r>
  <r>
    <n v="4379"/>
    <s v="Citistore"/>
    <s v="YL"/>
    <x v="60"/>
    <n v="3"/>
    <x v="3"/>
    <x v="39"/>
    <s v="酵活炊電飯煲(1.0公升)"/>
    <s v="細電"/>
    <s v="SDA"/>
    <s v="10amx"/>
    <n v="1"/>
    <n v="990"/>
    <n v="990"/>
    <n v="130589"/>
    <m/>
    <m/>
    <s v="RC-10AMXH(W) 130589"/>
    <n v="1288"/>
    <n v="0.76863354037267084"/>
    <s v="Toshiba SRP"/>
    <m/>
    <s v="130589"/>
  </r>
  <r>
    <n v="4380"/>
    <s v="Citistore"/>
    <s v="YL"/>
    <x v="60"/>
    <n v="3"/>
    <x v="3"/>
    <x v="37"/>
    <s v="電熱水瓶 (5公升)"/>
    <s v="細電"/>
    <s v="SDA"/>
    <s v="50dr"/>
    <n v="1"/>
    <n v="628"/>
    <n v="628"/>
    <n v="507579"/>
    <m/>
    <m/>
    <s v="TP-50DRUHK(W) 507579"/>
    <n v="718"/>
    <n v="0.87465181058495822"/>
    <s v="Toshiba SRP"/>
    <m/>
    <s v="507579"/>
  </r>
  <r>
    <n v="4381"/>
    <s v="Citistore"/>
    <s v="YL"/>
    <x v="60"/>
    <n v="3"/>
    <x v="3"/>
    <x v="16"/>
    <s v="輕便式電磁爐"/>
    <s v="細電"/>
    <s v="SDA"/>
    <s v="20r1"/>
    <n v="1"/>
    <n v="298"/>
    <n v="298"/>
    <n v="507568"/>
    <m/>
    <m/>
    <s v="IC-20R1THK 507568"/>
    <n v="438"/>
    <n v="0.68036529680365299"/>
    <s v="Shops Highest Price"/>
    <m/>
    <s v="507568"/>
  </r>
  <r>
    <n v="4382"/>
    <s v="Citistore"/>
    <s v="YL"/>
    <x v="60"/>
    <n v="3"/>
    <x v="3"/>
    <x v="24"/>
    <s v="微型電腦珍珠飯煲"/>
    <s v="細電"/>
    <s v="SDA"/>
    <s v="5sli"/>
    <n v="1"/>
    <n v="593"/>
    <n v="593"/>
    <n v="507527"/>
    <m/>
    <m/>
    <s v="RC-5SLIH(W) 507527"/>
    <n v="658"/>
    <n v="0.90121580547112456"/>
    <s v="Toshiba SRP"/>
    <m/>
    <s v="507527"/>
  </r>
  <r>
    <n v="4383"/>
    <s v="Citistore"/>
    <s v="YL"/>
    <x v="60"/>
    <n v="3"/>
    <x v="3"/>
    <x v="31"/>
    <s v="無線雙層電熱水壺(1.7公升)"/>
    <s v="細電"/>
    <s v="SDA"/>
    <s v="17drt"/>
    <n v="1"/>
    <n v="388"/>
    <n v="388"/>
    <n v="507534"/>
    <m/>
    <m/>
    <s v="KT-17DRTHK(H) 507534"/>
    <n v="498"/>
    <n v="0.77911646586345384"/>
    <s v="Toshiba SRP"/>
    <m/>
    <s v="507534"/>
  </r>
  <r>
    <n v="4384"/>
    <s v="Citistore"/>
    <s v="YL"/>
    <x v="60"/>
    <n v="3"/>
    <x v="3"/>
    <x v="46"/>
    <s v="電熱水瓶 (2.5公升)"/>
    <s v="細電"/>
    <s v="SDA"/>
    <s v="25dr"/>
    <n v="1"/>
    <n v="398"/>
    <n v="398"/>
    <n v="507645"/>
    <m/>
    <m/>
    <s v="TP-25DR2UHK(W) 507645"/>
    <n v="538"/>
    <n v="0.7397769516728625"/>
    <s v="Toshiba SRP"/>
    <m/>
    <s v="507645"/>
  </r>
  <r>
    <n v="4385"/>
    <s v="Citistore"/>
    <s v="YL"/>
    <x v="60"/>
    <n v="3"/>
    <x v="4"/>
    <x v="29"/>
    <s v="酵活炊磁應電飯煲"/>
    <s v="細電"/>
    <s v="SDA"/>
    <s v="10bh"/>
    <n v="1"/>
    <n v="1688"/>
    <n v="1688"/>
    <n v="507705"/>
    <m/>
    <m/>
    <s v="RC-10BHH(W) 507705"/>
    <n v="2088"/>
    <n v="0.80842911877394641"/>
    <s v="Shops Highest Price"/>
    <m/>
    <s v="507705"/>
  </r>
  <r>
    <n v="4386"/>
    <s v="Citistore"/>
    <s v="YL"/>
    <x v="60"/>
    <n v="3"/>
    <x v="4"/>
    <x v="50"/>
    <s v="輕便式電磁爐7個功能"/>
    <s v="細電"/>
    <s v="SDA"/>
    <s v="s19"/>
    <n v="1"/>
    <n v="418"/>
    <n v="418"/>
    <n v="507794"/>
    <m/>
    <m/>
    <s v="IC-S19RH 507794"/>
    <n v="638"/>
    <n v="0.65517241379310343"/>
    <s v="Toshiba SRP"/>
    <m/>
    <s v="507794"/>
  </r>
  <r>
    <n v="4387"/>
    <s v="Citistore"/>
    <s v="YL"/>
    <x v="60"/>
    <n v="3"/>
    <x v="4"/>
    <x v="50"/>
    <s v="輕便式電磁爐7個功能"/>
    <s v="細電"/>
    <s v="SDA"/>
    <s v="s19"/>
    <n v="1"/>
    <n v="418"/>
    <n v="418"/>
    <n v="130844"/>
    <m/>
    <m/>
    <s v="IC-S19RH 130844"/>
    <n v="638"/>
    <n v="0.65517241379310343"/>
    <s v="Toshiba SRP"/>
    <m/>
    <s v="130844"/>
  </r>
  <r>
    <n v="4388"/>
    <s v="Citistore"/>
    <s v="YL"/>
    <x v="60"/>
    <n v="3"/>
    <x v="4"/>
    <x v="23"/>
    <s v="電飯煲"/>
    <s v="細電"/>
    <s v="SDA"/>
    <s v="10jruh"/>
    <n v="1"/>
    <n v="250"/>
    <n v="250"/>
    <n v="507943"/>
    <m/>
    <m/>
    <s v="RC-10JRUH(N) 507943"/>
    <n v="398"/>
    <n v="0.62814070351758799"/>
    <s v="Shops Highest Price"/>
    <m/>
    <s v="507943"/>
  </r>
  <r>
    <n v="4389"/>
    <s v="Citistore"/>
    <s v="YL"/>
    <x v="60"/>
    <n v="3"/>
    <x v="14"/>
    <x v="36"/>
    <s v="輕觸式微波爐 (20公升)"/>
    <s v="細電"/>
    <s v="MCA"/>
    <s v="em20"/>
    <n v="1"/>
    <n v="628"/>
    <n v="628"/>
    <n v="508135"/>
    <m/>
    <m/>
    <s v="MM2-EM20PC(WH) 508135"/>
    <n v="788"/>
    <n v="0.79695431472081213"/>
    <s v="Toshiba SRP"/>
    <m/>
    <s v="508135"/>
  </r>
  <r>
    <n v="4390"/>
    <s v="Citistore"/>
    <s v="YL"/>
    <x v="60"/>
    <n v="3"/>
    <x v="14"/>
    <x v="30"/>
    <s v="旋鈕式燒烤微波爐20L"/>
    <s v="細電"/>
    <s v="SDA"/>
    <s v="mm20"/>
    <n v="1"/>
    <n v="488"/>
    <n v="488"/>
    <n v="131041"/>
    <m/>
    <m/>
    <s v="MWP-MM20P(WH) 131041"/>
    <n v="648"/>
    <n v="0.75308641975308643"/>
    <s v="Toshiba SRP"/>
    <m/>
    <s v="131041"/>
  </r>
  <r>
    <n v="4391"/>
    <s v="Citistore"/>
    <s v="YL"/>
    <x v="60"/>
    <n v="3"/>
    <x v="14"/>
    <x v="37"/>
    <s v="電熱水瓶 (5公升)"/>
    <s v="細電"/>
    <s v="SDA"/>
    <s v="50dr"/>
    <n v="1"/>
    <n v="628"/>
    <n v="628"/>
    <n v="131071"/>
    <m/>
    <m/>
    <s v="TP-50DRUHK(W) 131071"/>
    <n v="718"/>
    <n v="0.87465181058495822"/>
    <s v="Toshiba SRP"/>
    <m/>
    <s v="131071"/>
  </r>
  <r>
    <n v="4392"/>
    <s v="Citistore"/>
    <s v="YL"/>
    <x v="60"/>
    <n v="3"/>
    <x v="14"/>
    <x v="57"/>
    <s v="多功能備長炭本厚釜電飯煲1L"/>
    <s v="細電"/>
    <s v="SDA"/>
    <s v="10drnh"/>
    <n v="1"/>
    <n v="549"/>
    <n v="549"/>
    <n v="508312"/>
    <m/>
    <m/>
    <s v="RC-10DRNH 508312"/>
    <n v="798"/>
    <n v="0.68796992481203012"/>
    <s v="Toshiba SRP"/>
    <m/>
    <s v="508312"/>
  </r>
  <r>
    <n v="4393"/>
    <s v="Citistore"/>
    <s v="YL"/>
    <x v="60"/>
    <n v="3"/>
    <x v="14"/>
    <x v="20"/>
    <s v="壓縮式抽濕機 (22公升)"/>
    <s v="細電"/>
    <s v="RAC"/>
    <s v="d200"/>
    <n v="1"/>
    <n v="1880"/>
    <n v="1880"/>
    <n v="508340"/>
    <m/>
    <m/>
    <s v="RAD-D200H 508340"/>
    <n v="2880"/>
    <n v="0.65277777777777779"/>
    <s v="Shops Highest Price"/>
    <m/>
    <s v="508340"/>
  </r>
  <r>
    <n v="4394"/>
    <s v="Citistore"/>
    <s v="YL"/>
    <x v="60"/>
    <n v="3"/>
    <x v="18"/>
    <x v="70"/>
    <s v="12吋2合1座地座檯電風扇連遙控"/>
    <s v="細電"/>
    <s v="EAD"/>
    <s v="ya20"/>
    <n v="1"/>
    <n v="368"/>
    <n v="368"/>
    <n v="509112"/>
    <m/>
    <m/>
    <s v="F-LYA20(W)HKG 509112"/>
    <n v="988"/>
    <n v="0.37246963562753038"/>
    <s v="Toshiba SRP"/>
    <m/>
    <s v="509112"/>
  </r>
  <r>
    <n v="4395"/>
    <s v="Citistore"/>
    <s v="YL"/>
    <x v="60"/>
    <n v="3"/>
    <x v="18"/>
    <x v="20"/>
    <s v="壓縮式抽濕機 (22公升)"/>
    <s v="細電"/>
    <s v="RAC"/>
    <s v="d200"/>
    <n v="1"/>
    <n v="1880"/>
    <n v="1880"/>
    <n v="131556"/>
    <m/>
    <m/>
    <s v="RAD-D200H 131556"/>
    <n v="2880"/>
    <n v="0.65277777777777779"/>
    <s v="Shops Highest Price"/>
    <m/>
    <s v="131556"/>
  </r>
  <r>
    <n v="4396"/>
    <s v="Citistore"/>
    <s v="YL"/>
    <x v="60"/>
    <n v="3"/>
    <x v="18"/>
    <x v="24"/>
    <s v="微型電腦珍珠飯煲"/>
    <s v="細電"/>
    <s v="SDA"/>
    <s v="5sli"/>
    <n v="1"/>
    <n v="593"/>
    <n v="593"/>
    <n v="131673"/>
    <m/>
    <m/>
    <s v="RC-5SLIH(W) 131673"/>
    <n v="658"/>
    <n v="0.90121580547112456"/>
    <s v="Toshiba SRP"/>
    <m/>
    <s v="131673"/>
  </r>
  <r>
    <n v="4397"/>
    <s v="Citistore"/>
    <s v="YL"/>
    <x v="60"/>
    <n v="3"/>
    <x v="18"/>
    <x v="31"/>
    <s v="無線雙層電熱水壺(1.7公升)"/>
    <s v="細電"/>
    <s v="SDA"/>
    <s v="17drt"/>
    <n v="1"/>
    <n v="388"/>
    <n v="388"/>
    <n v="509155"/>
    <m/>
    <m/>
    <s v="KT-17DRTHK(H) 509155"/>
    <n v="498"/>
    <n v="0.77911646586345384"/>
    <s v="Toshiba SRP"/>
    <m/>
    <s v="509155"/>
  </r>
  <r>
    <n v="4398"/>
    <s v="Citistore"/>
    <s v="YL"/>
    <x v="60"/>
    <n v="3"/>
    <x v="18"/>
    <x v="27"/>
    <s v="4毫米厚釜電飯煲1.8L"/>
    <s v="細電"/>
    <s v="SDA"/>
    <s v="18nmf"/>
    <n v="1"/>
    <n v="799"/>
    <n v="799"/>
    <n v="131688"/>
    <m/>
    <m/>
    <s v="RC-18NMFIH(WT) 131688"/>
    <n v="998"/>
    <n v="0.80060120240480959"/>
    <s v="Toshiba SRP"/>
    <m/>
    <s v="131688"/>
  </r>
  <r>
    <n v="4399"/>
    <s v="Citistore"/>
    <s v="YL"/>
    <x v="60"/>
    <n v="3"/>
    <x v="18"/>
    <x v="29"/>
    <s v="酵活炊磁應電飯煲"/>
    <s v="細電"/>
    <s v="SDA"/>
    <s v="10bh"/>
    <n v="1"/>
    <n v="1688"/>
    <n v="1688"/>
    <n v="509192"/>
    <m/>
    <m/>
    <s v="RC-10BHH(W) 509192"/>
    <n v="2088"/>
    <n v="0.80842911877394641"/>
    <s v="Shops Highest Price"/>
    <m/>
    <s v="509192"/>
  </r>
  <r>
    <n v="4400"/>
    <s v="Citistore"/>
    <s v="YL"/>
    <x v="60"/>
    <n v="3"/>
    <x v="19"/>
    <x v="36"/>
    <s v="輕觸式微波爐 (20公升)"/>
    <s v="細電"/>
    <s v="MCA"/>
    <s v="em20"/>
    <n v="1"/>
    <n v="628"/>
    <n v="628"/>
    <n v="131727"/>
    <m/>
    <m/>
    <s v="MM2-EM20PC(WH) 131727"/>
    <n v="788"/>
    <n v="0.79695431472081213"/>
    <s v="Toshiba SRP"/>
    <m/>
    <s v="131727"/>
  </r>
  <r>
    <n v="4401"/>
    <s v="Citistore"/>
    <s v="YL"/>
    <x v="60"/>
    <n v="3"/>
    <x v="19"/>
    <x v="31"/>
    <s v="無線雙層電熱水壺(1.7公升)"/>
    <s v="細電"/>
    <s v="SDA"/>
    <s v="17drt"/>
    <n v="1"/>
    <n v="388"/>
    <n v="388"/>
    <n v="509283"/>
    <m/>
    <m/>
    <s v="KT-17DRTHK(H) 509283"/>
    <n v="498"/>
    <n v="0.77911646586345384"/>
    <s v="Toshiba SRP"/>
    <m/>
    <s v="509283"/>
  </r>
  <r>
    <n v="4402"/>
    <s v="Citistore"/>
    <s v="YL"/>
    <x v="60"/>
    <n v="3"/>
    <x v="19"/>
    <x v="7"/>
    <s v="4毫米厚釜電飯煲0.54L"/>
    <s v="細電"/>
    <s v="SDA"/>
    <s v="5mm"/>
    <n v="1"/>
    <n v="548"/>
    <n v="548"/>
    <n v="131751"/>
    <m/>
    <m/>
    <s v="RC-5MMIH(WT) 131751"/>
    <n v="618"/>
    <n v="0.88673139158576053"/>
    <s v="Toshiba SRP"/>
    <m/>
    <s v="131751"/>
  </r>
  <r>
    <n v="4403"/>
    <s v="Citistore"/>
    <s v="YL"/>
    <x v="60"/>
    <n v="3"/>
    <x v="19"/>
    <x v="17"/>
    <s v="4毫米厚釜電飯煲1L"/>
    <s v="細電"/>
    <s v="SDA"/>
    <s v="10nmf"/>
    <n v="1"/>
    <n v="719"/>
    <n v="719"/>
    <n v="509325"/>
    <m/>
    <m/>
    <s v="RC-10NMFIH(WT) 509325"/>
    <n v="898"/>
    <n v="0.80066815144766146"/>
    <s v="Toshiba SRP"/>
    <m/>
    <s v="509325"/>
  </r>
  <r>
    <n v="4404"/>
    <s v="Citistore"/>
    <s v="YL"/>
    <x v="60"/>
    <n v="3"/>
    <x v="19"/>
    <x v="17"/>
    <s v="4毫米厚釜電飯煲1L"/>
    <s v="細電"/>
    <s v="SDA"/>
    <s v="10nmf"/>
    <n v="1"/>
    <n v="719"/>
    <n v="719"/>
    <n v="509383"/>
    <m/>
    <m/>
    <s v="RC-10NMFIH(WT) 509383"/>
    <n v="898"/>
    <n v="0.80066815144766146"/>
    <s v="Toshiba SRP"/>
    <m/>
    <s v="509383"/>
  </r>
  <r>
    <n v="4405"/>
    <s v="Citistore"/>
    <s v="YL"/>
    <x v="60"/>
    <n v="3"/>
    <x v="19"/>
    <x v="33"/>
    <s v="輕觸式燒烤微波爐"/>
    <s v="細電"/>
    <s v="MCA"/>
    <s v="eg20"/>
    <n v="1"/>
    <n v="698"/>
    <n v="698"/>
    <n v="131779"/>
    <m/>
    <m/>
    <s v="MM2-EG20PC(WH) 131779"/>
    <n v="918"/>
    <n v="0.76034858387799564"/>
    <s v="Shops Highest Price"/>
    <m/>
    <s v="131779"/>
  </r>
  <r>
    <n v="4406"/>
    <s v="Citistore"/>
    <s v="YL"/>
    <x v="60"/>
    <n v="3"/>
    <x v="19"/>
    <x v="24"/>
    <s v="微型電腦珍珠飯煲"/>
    <s v="細電"/>
    <s v="SDA"/>
    <s v="5sli"/>
    <n v="1"/>
    <n v="593"/>
    <n v="593"/>
    <n v="509421"/>
    <m/>
    <m/>
    <s v="RC-5SLIH(W) 509421"/>
    <n v="658"/>
    <n v="0.90121580547112456"/>
    <s v="Toshiba SRP"/>
    <m/>
    <s v="509421"/>
  </r>
  <r>
    <n v="4407"/>
    <s v="Citistore"/>
    <s v="YL"/>
    <x v="60"/>
    <n v="3"/>
    <x v="19"/>
    <x v="57"/>
    <s v="多功能備長炭本厚釜電飯煲1L"/>
    <s v="細電"/>
    <s v="SDA"/>
    <s v="10drnh"/>
    <n v="1"/>
    <n v="549"/>
    <n v="549"/>
    <n v="131829"/>
    <m/>
    <m/>
    <s v="RC-10DRNH 131829"/>
    <n v="798"/>
    <n v="0.68796992481203012"/>
    <s v="Toshiba SRP"/>
    <m/>
    <s v="131829"/>
  </r>
  <r>
    <n v="4408"/>
    <s v="Citistore"/>
    <s v="YL"/>
    <x v="60"/>
    <n v="3"/>
    <x v="19"/>
    <x v="16"/>
    <s v="輕便式電磁爐"/>
    <s v="細電"/>
    <s v="SDA"/>
    <s v="20r1"/>
    <n v="1"/>
    <n v="298"/>
    <n v="298"/>
    <n v="357591"/>
    <m/>
    <m/>
    <s v="IC-20R1THK 357591"/>
    <n v="438"/>
    <n v="0.68036529680365299"/>
    <s v="Shops Highest Price"/>
    <m/>
    <s v="357591"/>
  </r>
  <r>
    <n v="4409"/>
    <s v="Citistore"/>
    <s v="YL"/>
    <x v="60"/>
    <n v="3"/>
    <x v="20"/>
    <x v="56"/>
    <s v="多士焗爐8L"/>
    <s v="細電"/>
    <s v="SDA"/>
    <n v="7080"/>
    <n v="1"/>
    <n v="338"/>
    <n v="338"/>
    <n v="509560"/>
    <m/>
    <m/>
    <s v="ET-TD7080(PN) 509560"/>
    <n v="498"/>
    <n v="0.67871485943775101"/>
    <s v="Toshiba SRP"/>
    <m/>
    <s v="509560"/>
  </r>
  <r>
    <n v="4410"/>
    <s v="Citistore"/>
    <s v="YL"/>
    <x v="60"/>
    <n v="3"/>
    <x v="20"/>
    <x v="48"/>
    <s v="3合1 微波蒸焗爐 (20公升)"/>
    <s v="細電"/>
    <s v="MCA"/>
    <s v="tt20"/>
    <n v="1"/>
    <n v="2580"/>
    <n v="2580"/>
    <n v="509566"/>
    <m/>
    <m/>
    <s v="MX2-TT20SC(WH) 509566"/>
    <n v="3580"/>
    <n v="0.72067039106145248"/>
    <s v="Toshiba SRP"/>
    <m/>
    <s v="509566"/>
  </r>
  <r>
    <n v="4411"/>
    <s v="Citistore"/>
    <s v="YL"/>
    <x v="60"/>
    <n v="3"/>
    <x v="20"/>
    <x v="70"/>
    <s v="12吋2合1座地座檯電風扇連遙控"/>
    <s v="細電"/>
    <s v="EAD"/>
    <s v="ya20"/>
    <n v="1"/>
    <n v="368"/>
    <n v="368"/>
    <n v="509560"/>
    <m/>
    <m/>
    <s v="F-LYA20(W)HKG 509560"/>
    <n v="988"/>
    <n v="0.37246963562753038"/>
    <s v="Toshiba SRP"/>
    <m/>
    <s v="509560"/>
  </r>
  <r>
    <n v="4412"/>
    <s v="Citistore"/>
    <s v="YL"/>
    <x v="60"/>
    <n v="3"/>
    <x v="20"/>
    <x v="54"/>
    <s v="低醣磁應電飯煲1L"/>
    <s v="細電"/>
    <s v="SDA"/>
    <s v="10irph"/>
    <n v="1"/>
    <n v="898"/>
    <n v="898"/>
    <n v="131959"/>
    <m/>
    <m/>
    <s v="RC-10IRPH 131959"/>
    <n v="1388"/>
    <n v="0.64697406340057639"/>
    <s v="Toshiba SRP"/>
    <m/>
    <s v="131959"/>
  </r>
  <r>
    <n v="4413"/>
    <s v="Citistore"/>
    <s v="YL"/>
    <x v="60"/>
    <n v="3"/>
    <x v="20"/>
    <x v="24"/>
    <s v="微型電腦珍珠飯煲"/>
    <s v="細電"/>
    <s v="SDA"/>
    <s v="5sli"/>
    <n v="1"/>
    <n v="593"/>
    <n v="593"/>
    <n v="509661"/>
    <m/>
    <m/>
    <s v="RC-5SLIH(W) 509661"/>
    <n v="658"/>
    <n v="0.90121580547112456"/>
    <s v="Toshiba SRP"/>
    <m/>
    <s v="509661"/>
  </r>
  <r>
    <n v="4414"/>
    <s v="Citistore"/>
    <s v="YL"/>
    <x v="60"/>
    <n v="3"/>
    <x v="20"/>
    <x v="44"/>
    <s v="1.7L無線雙層電熱水壺"/>
    <s v="細電"/>
    <s v="SDA"/>
    <s v="17shnh"/>
    <n v="1"/>
    <n v="228"/>
    <n v="228"/>
    <n v="132089"/>
    <m/>
    <m/>
    <s v="KT-17SHNH 132089"/>
    <n v="299"/>
    <n v="0.76254180602006694"/>
    <s v="Shops Highest Price"/>
    <m/>
    <s v="132089"/>
  </r>
  <r>
    <n v="4415"/>
    <s v="Citistore"/>
    <s v="YL"/>
    <x v="60"/>
    <n v="3"/>
    <x v="20"/>
    <x v="23"/>
    <s v="電飯煲"/>
    <s v="細電"/>
    <s v="SDA"/>
    <s v="10jruh"/>
    <n v="1"/>
    <n v="250"/>
    <n v="250"/>
    <n v="509774"/>
    <m/>
    <m/>
    <s v="RC-10JRUH(N) 509774"/>
    <n v="398"/>
    <n v="0.62814070351758799"/>
    <s v="Shops Highest Price"/>
    <m/>
    <s v="509774"/>
  </r>
  <r>
    <n v="4416"/>
    <s v="Citistore"/>
    <s v="YL"/>
    <x v="60"/>
    <n v="3"/>
    <x v="20"/>
    <x v="24"/>
    <s v="微型電腦珍珠飯煲"/>
    <s v="細電"/>
    <s v="SDA"/>
    <s v="5sli"/>
    <n v="1"/>
    <n v="593"/>
    <n v="593"/>
    <n v="509789"/>
    <m/>
    <m/>
    <s v="RC-5SLIH(W) 509789"/>
    <n v="658"/>
    <n v="0.90121580547112456"/>
    <s v="Toshiba SRP"/>
    <m/>
    <s v="509789"/>
  </r>
  <r>
    <n v="4417"/>
    <s v="Citistore"/>
    <s v="YL"/>
    <x v="60"/>
    <n v="3"/>
    <x v="20"/>
    <x v="30"/>
    <s v="旋鈕式燒烤微波爐20L"/>
    <s v="細電"/>
    <s v="SDA"/>
    <s v="mm20"/>
    <n v="1"/>
    <n v="488"/>
    <n v="488"/>
    <n v="132145"/>
    <m/>
    <m/>
    <s v="MWP-MM20P(WH) 132145"/>
    <n v="648"/>
    <n v="0.75308641975308643"/>
    <s v="Toshiba SRP"/>
    <m/>
    <s v="132145"/>
  </r>
  <r>
    <n v="4418"/>
    <s v="Citistore"/>
    <s v="YL"/>
    <x v="60"/>
    <n v="3"/>
    <x v="20"/>
    <x v="46"/>
    <s v="電熱水瓶 (2.5公升)"/>
    <s v="細電"/>
    <s v="SDA"/>
    <s v="25dr"/>
    <n v="1"/>
    <n v="398"/>
    <n v="398"/>
    <n v="509868"/>
    <m/>
    <m/>
    <s v="TP-25DR2UHK(W) 509868"/>
    <n v="538"/>
    <n v="0.7397769516728625"/>
    <s v="Toshiba SRP"/>
    <m/>
    <s v="509868"/>
  </r>
  <r>
    <n v="4419"/>
    <s v="Citistore"/>
    <s v="YL"/>
    <x v="60"/>
    <n v="3"/>
    <x v="21"/>
    <x v="31"/>
    <s v="無線雙層電熱水壺(1.7公升)"/>
    <s v="細電"/>
    <s v="SDA"/>
    <s v="17drt"/>
    <n v="1"/>
    <n v="388"/>
    <n v="388"/>
    <n v="132192"/>
    <m/>
    <m/>
    <s v="KT-17DRTHK(H) 132192"/>
    <n v="498"/>
    <n v="0.77911646586345384"/>
    <s v="Toshiba SRP"/>
    <m/>
    <s v="132192"/>
  </r>
  <r>
    <n v="4420"/>
    <s v="Citistore"/>
    <s v="YL"/>
    <x v="60"/>
    <n v="3"/>
    <x v="21"/>
    <x v="7"/>
    <s v="4毫米厚釜電飯煲0.54L"/>
    <s v="細電"/>
    <s v="SDA"/>
    <s v="5mm"/>
    <n v="1"/>
    <n v="548"/>
    <n v="548"/>
    <n v="510002"/>
    <m/>
    <m/>
    <s v="RC-5MMIH(WT) 510002"/>
    <n v="618"/>
    <n v="0.88673139158576053"/>
    <s v="Toshiba SRP"/>
    <m/>
    <s v="510002"/>
  </r>
  <r>
    <n v="4421"/>
    <s v="Citistore"/>
    <s v="YL"/>
    <x v="60"/>
    <n v="3"/>
    <x v="21"/>
    <x v="23"/>
    <s v="電飯煲"/>
    <s v="細電"/>
    <s v="SDA"/>
    <s v="10jruh"/>
    <n v="1"/>
    <n v="250"/>
    <n v="250"/>
    <n v="132252"/>
    <m/>
    <m/>
    <s v="RC-10JRUH(N) 132252"/>
    <n v="398"/>
    <n v="0.62814070351758799"/>
    <s v="Shops Highest Price"/>
    <m/>
    <s v="132252"/>
  </r>
  <r>
    <n v="4422"/>
    <s v="Citistore"/>
    <s v="YL"/>
    <x v="60"/>
    <n v="3"/>
    <x v="21"/>
    <x v="70"/>
    <s v="12吋2合1座地座檯電風扇連遙控"/>
    <s v="細電"/>
    <s v="EAD"/>
    <s v="ya20"/>
    <n v="1"/>
    <n v="368"/>
    <n v="368"/>
    <n v="132263"/>
    <m/>
    <m/>
    <s v="F-LYA20(W)HKG 132263"/>
    <n v="988"/>
    <n v="0.37246963562753038"/>
    <s v="Toshiba SRP"/>
    <m/>
    <s v="132263"/>
  </r>
  <r>
    <n v="4423"/>
    <s v="Citistore"/>
    <s v="YL"/>
    <x v="60"/>
    <n v="3"/>
    <x v="21"/>
    <x v="23"/>
    <s v="電飯煲"/>
    <s v="細電"/>
    <s v="SDA"/>
    <s v="10jruh"/>
    <n v="1"/>
    <n v="250"/>
    <n v="250"/>
    <s v="008111"/>
    <m/>
    <m/>
    <s v="RC-10JRUH(N) 008111"/>
    <n v="398"/>
    <n v="0.62814070351758799"/>
    <s v="Shops Highest Price"/>
    <m/>
    <s v="008111"/>
  </r>
  <r>
    <n v="4424"/>
    <s v="Citistore"/>
    <s v="YL"/>
    <x v="60"/>
    <n v="3"/>
    <x v="21"/>
    <x v="28"/>
    <s v="無線雙層電熱水壺-附可鎖壺蓋(0.8公升)"/>
    <s v="細電"/>
    <s v="SDA"/>
    <s v="08dh"/>
    <n v="1"/>
    <n v="268"/>
    <n v="268"/>
    <s v="008136"/>
    <m/>
    <m/>
    <s v="KT-08DH1VHK(W) 008136"/>
    <n v="428"/>
    <n v="0.62616822429906538"/>
    <s v="Toshiba SRP"/>
    <m/>
    <s v="008136"/>
  </r>
  <r>
    <n v="4425"/>
    <s v="Citistore"/>
    <s v="YL"/>
    <x v="60"/>
    <n v="3"/>
    <x v="21"/>
    <x v="16"/>
    <s v="輕便式電磁爐"/>
    <s v="細電"/>
    <s v="SDA"/>
    <s v="20r1"/>
    <n v="1"/>
    <n v="298"/>
    <n v="298"/>
    <s v="008137"/>
    <m/>
    <m/>
    <s v="IC-20R1THK 008137"/>
    <n v="438"/>
    <n v="0.68036529680365299"/>
    <s v="Shops Highest Price"/>
    <m/>
    <s v="008137"/>
  </r>
  <r>
    <n v="4426"/>
    <s v="Citistore"/>
    <s v="YL"/>
    <x v="60"/>
    <n v="3"/>
    <x v="21"/>
    <x v="60"/>
    <s v="酵活炊磁應電飯煲(1.5公升)"/>
    <s v="細電"/>
    <s v="SDA"/>
    <s v="15bh"/>
    <n v="1"/>
    <n v="1888"/>
    <n v="1888"/>
    <n v="510198"/>
    <s v="add 510198"/>
    <m/>
    <s v="RC-15BHH(W) 510198"/>
    <n v="2388"/>
    <n v="0.79061976549413737"/>
    <s v="Toshiba SRP"/>
    <m/>
    <s v="510198"/>
  </r>
  <r>
    <n v="4427"/>
    <s v="Citistore"/>
    <s v="YL"/>
    <x v="60"/>
    <n v="3"/>
    <x v="21"/>
    <x v="20"/>
    <s v="壓縮式抽濕機 (22公升)"/>
    <s v="細電"/>
    <s v="RAC"/>
    <s v="d200"/>
    <n v="1"/>
    <n v="1880"/>
    <n v="1880"/>
    <n v="510257"/>
    <m/>
    <m/>
    <s v="RAD-D200H 510257"/>
    <n v="2880"/>
    <n v="0.65277777777777779"/>
    <s v="Shops Highest Price"/>
    <m/>
    <s v="510257"/>
  </r>
  <r>
    <n v="4428"/>
    <s v="Citistore"/>
    <s v="YL"/>
    <x v="60"/>
    <n v="3"/>
    <x v="24"/>
    <x v="70"/>
    <s v="12吋2合1座地座檯電風扇連遙控"/>
    <s v="細電"/>
    <s v="EAD"/>
    <s v="ya20"/>
    <n v="1"/>
    <n v="399"/>
    <n v="399"/>
    <s v="010471"/>
    <m/>
    <m/>
    <s v="F-LYA20(W)HKG 010471"/>
    <n v="988"/>
    <n v="0.40384615384615385"/>
    <s v="Toshiba SRP"/>
    <m/>
    <s v="010471"/>
  </r>
  <r>
    <n v="4429"/>
    <s v="Citistore"/>
    <s v="YL"/>
    <x v="60"/>
    <n v="3"/>
    <x v="24"/>
    <x v="70"/>
    <s v="12吋2合1座地座檯電風扇連遙控"/>
    <s v="細電"/>
    <s v="EAD"/>
    <s v="ya20"/>
    <n v="1"/>
    <n v="399"/>
    <n v="399"/>
    <s v="010495"/>
    <m/>
    <m/>
    <s v="F-LYA20(W)HKG 010495"/>
    <n v="988"/>
    <n v="0.40384615384615385"/>
    <s v="Toshiba SRP"/>
    <m/>
    <s v="010495"/>
  </r>
  <r>
    <n v="4430"/>
    <s v="Citistore"/>
    <s v="YL"/>
    <x v="60"/>
    <n v="3"/>
    <x v="24"/>
    <x v="54"/>
    <s v="低醣磁應電飯煲1L"/>
    <s v="細電"/>
    <s v="SDA"/>
    <s v="10irph"/>
    <n v="1"/>
    <n v="898"/>
    <n v="898"/>
    <n v="511283"/>
    <m/>
    <m/>
    <s v="RC-10IRPH 511283"/>
    <n v="1388"/>
    <n v="0.64697406340057639"/>
    <s v="Toshiba SRP"/>
    <m/>
    <s v="511283"/>
  </r>
  <r>
    <n v="4431"/>
    <s v="Citistore"/>
    <s v="YL"/>
    <x v="60"/>
    <n v="3"/>
    <x v="24"/>
    <x v="70"/>
    <s v="12吋2合1座地座檯電風扇連遙控"/>
    <s v="細電"/>
    <s v="EAD"/>
    <s v="ya20"/>
    <n v="2"/>
    <n v="399"/>
    <n v="798"/>
    <n v="133115"/>
    <m/>
    <m/>
    <s v="F-LYA20(W)HKG 133115"/>
    <n v="988"/>
    <n v="0.40384615384615385"/>
    <s v="Toshiba SRP"/>
    <m/>
    <s v="133115"/>
  </r>
  <r>
    <n v="4432"/>
    <s v="Citistore"/>
    <s v="YL"/>
    <x v="60"/>
    <n v="3"/>
    <x v="24"/>
    <x v="23"/>
    <s v="電飯煲"/>
    <s v="細電"/>
    <s v="SDA"/>
    <s v="10jruh"/>
    <n v="1"/>
    <n v="250"/>
    <n v="250"/>
    <n v="133180"/>
    <m/>
    <m/>
    <s v="RC-10JRUH(N) 133180"/>
    <n v="398"/>
    <n v="0.62814070351758799"/>
    <s v="Shops Highest Price"/>
    <m/>
    <s v="133180"/>
  </r>
  <r>
    <n v="4433"/>
    <s v="Citistore"/>
    <s v="YL"/>
    <x v="60"/>
    <n v="3"/>
    <x v="24"/>
    <x v="39"/>
    <s v="酵活炊電飯煲(1.0公升)"/>
    <s v="細電"/>
    <s v="SDA"/>
    <s v="10amx"/>
    <n v="1"/>
    <n v="990"/>
    <n v="990"/>
    <n v="511398"/>
    <m/>
    <m/>
    <s v="RC-10AMXH(W) 511398"/>
    <n v="1288"/>
    <n v="0.76863354037267084"/>
    <s v="Toshiba SRP"/>
    <m/>
    <s v="511398"/>
  </r>
  <r>
    <n v="4434"/>
    <s v="Citistore"/>
    <s v="YL"/>
    <x v="60"/>
    <n v="3"/>
    <x v="24"/>
    <x v="17"/>
    <s v="4毫米厚釜電飯煲1L"/>
    <s v="細電"/>
    <s v="SDA"/>
    <s v="10nmf"/>
    <n v="1"/>
    <n v="719"/>
    <n v="719"/>
    <n v="511252"/>
    <m/>
    <m/>
    <s v="RC-10NMFIH(WT) 511252"/>
    <n v="898"/>
    <n v="0.80066815144766146"/>
    <s v="Toshiba SRP"/>
    <m/>
    <s v="511252"/>
  </r>
  <r>
    <n v="4435"/>
    <s v="Citistore"/>
    <s v="YL"/>
    <x v="60"/>
    <n v="3"/>
    <x v="24"/>
    <x v="46"/>
    <s v="電熱水瓶 (2.5公升)"/>
    <s v="細電"/>
    <s v="SDA"/>
    <s v="25dr"/>
    <n v="1"/>
    <n v="398"/>
    <n v="398"/>
    <s v="010501"/>
    <m/>
    <m/>
    <s v="TP-25DR2UHK(W) 010501"/>
    <n v="538"/>
    <n v="0.7397769516728625"/>
    <s v="Toshiba SRP"/>
    <m/>
    <s v="010501"/>
  </r>
  <r>
    <n v="4436"/>
    <s v="Citistore"/>
    <s v="YL"/>
    <x v="60"/>
    <n v="3"/>
    <x v="24"/>
    <x v="46"/>
    <s v="電熱水瓶 (2.5公升)"/>
    <s v="細電"/>
    <s v="SDA"/>
    <s v="25dr"/>
    <n v="1"/>
    <n v="398"/>
    <n v="398"/>
    <s v="010519"/>
    <m/>
    <m/>
    <s v="TP-25DR2UHK(W) 010519"/>
    <n v="538"/>
    <n v="0.7397769516728625"/>
    <s v="Toshiba SRP"/>
    <m/>
    <s v="010519"/>
  </r>
  <r>
    <n v="4437"/>
    <s v="Citistore"/>
    <s v="YL"/>
    <x v="60"/>
    <n v="3"/>
    <x v="24"/>
    <x v="70"/>
    <s v="12吋2合1座地座檯電風扇連遙控"/>
    <s v="細電"/>
    <s v="EAD"/>
    <s v="ya20"/>
    <n v="1"/>
    <n v="399"/>
    <n v="399"/>
    <s v="010522"/>
    <m/>
    <m/>
    <s v="F-LYA20(W)HKG 010522"/>
    <n v="988"/>
    <n v="0.40384615384615385"/>
    <s v="Toshiba SRP"/>
    <m/>
    <s v="010522"/>
  </r>
  <r>
    <n v="4438"/>
    <s v="Citistore"/>
    <s v="YL"/>
    <x v="60"/>
    <n v="3"/>
    <x v="24"/>
    <x v="70"/>
    <s v="12吋2合1座地座檯電風扇連遙控"/>
    <s v="細電"/>
    <s v="EAD"/>
    <s v="ya20"/>
    <n v="1"/>
    <n v="399"/>
    <n v="399"/>
    <s v="010544"/>
    <m/>
    <m/>
    <s v="F-LYA20(W)HKG 010544"/>
    <n v="988"/>
    <n v="0.40384615384615385"/>
    <s v="Toshiba SRP"/>
    <m/>
    <s v="010544"/>
  </r>
  <r>
    <n v="4439"/>
    <s v="Citistore"/>
    <s v="YL"/>
    <x v="60"/>
    <n v="3"/>
    <x v="24"/>
    <x v="70"/>
    <s v="12吋2合1座地座檯電風扇連遙控"/>
    <s v="細電"/>
    <s v="EAD"/>
    <s v="ya20"/>
    <n v="1"/>
    <n v="399"/>
    <n v="399"/>
    <s v="010567"/>
    <m/>
    <m/>
    <s v="F-LYA20(W)HKG 010567"/>
    <n v="988"/>
    <n v="0.40384615384615385"/>
    <s v="Toshiba SRP"/>
    <m/>
    <s v="010567"/>
  </r>
  <r>
    <n v="4440"/>
    <s v="Citistore"/>
    <s v="YL"/>
    <x v="60"/>
    <n v="3"/>
    <x v="24"/>
    <x v="36"/>
    <s v="輕觸式微波爐 (20公升)"/>
    <s v="細電"/>
    <s v="MCA"/>
    <s v="em20"/>
    <n v="1"/>
    <n v="628"/>
    <n v="628"/>
    <n v="511448"/>
    <m/>
    <m/>
    <s v="MM2-EM20PC(WH) 511448"/>
    <n v="788"/>
    <n v="0.79695431472081213"/>
    <s v="Toshiba SRP"/>
    <m/>
    <s v="511448"/>
  </r>
  <r>
    <n v="4441"/>
    <s v="Citistore"/>
    <s v="YL"/>
    <x v="60"/>
    <n v="3"/>
    <x v="24"/>
    <x v="70"/>
    <s v="12吋2合1座地座檯電風扇連遙控"/>
    <s v="細電"/>
    <s v="EAD"/>
    <s v="ya20"/>
    <n v="1"/>
    <n v="399"/>
    <n v="399"/>
    <n v="657967"/>
    <m/>
    <m/>
    <s v="F-LYA20(W)HKG 657967"/>
    <n v="988"/>
    <n v="0.40384615384615385"/>
    <s v="Toshiba SRP"/>
    <m/>
    <s v="657967"/>
  </r>
  <r>
    <n v="4442"/>
    <s v="Citistore"/>
    <s v="YL"/>
    <x v="60"/>
    <n v="3"/>
    <x v="24"/>
    <x v="70"/>
    <s v="12吋2合1座地座檯電風扇連遙控"/>
    <s v="細電"/>
    <s v="EAD"/>
    <s v="ya20"/>
    <n v="1"/>
    <n v="399"/>
    <n v="399"/>
    <s v="010654"/>
    <m/>
    <m/>
    <s v="F-LYA20(W)HKG 010654"/>
    <n v="988"/>
    <n v="0.40384615384615385"/>
    <s v="Toshiba SRP"/>
    <m/>
    <s v="010654"/>
  </r>
  <r>
    <n v="4443"/>
    <s v="Citistore"/>
    <s v="YL"/>
    <x v="60"/>
    <n v="3"/>
    <x v="24"/>
    <x v="45"/>
    <s v="備長炭本厚釜電飯煲0.7L"/>
    <s v="細電"/>
    <s v="SDA"/>
    <s v="7hmh"/>
    <n v="1"/>
    <n v="788"/>
    <n v="788"/>
    <n v="133294"/>
    <m/>
    <m/>
    <s v="RC-7HMH 133294"/>
    <n v="1288"/>
    <n v="0.61180124223602483"/>
    <s v="Toshiba SRP"/>
    <m/>
    <s v="133294"/>
  </r>
  <r>
    <n v="4444"/>
    <s v="Citistore"/>
    <s v="YL"/>
    <x v="60"/>
    <n v="3"/>
    <x v="24"/>
    <x v="81"/>
    <s v="470MM超薄身前置式變頻洗衣機(7.5公斤, 可飛頂)"/>
    <s v="大電"/>
    <s v="LAD"/>
    <s v="t2285"/>
    <n v="1"/>
    <n v="3480"/>
    <n v="3480"/>
    <n v="169683"/>
    <m/>
    <m/>
    <s v="TW-T22BU85UWH(WK)-B 169683"/>
    <n v="5480"/>
    <n v="0.63503649635036497"/>
    <s v="Toshiba SRP"/>
    <m/>
    <s v="169683"/>
  </r>
  <r>
    <n v="4445"/>
    <s v="Citistore"/>
    <s v="YL"/>
    <x v="60"/>
    <n v="3"/>
    <x v="24"/>
    <x v="66"/>
    <s v="變頻下置式雙門雪櫃（163L）"/>
    <s v="大電"/>
    <s v="REF"/>
    <s v="rb221"/>
    <n v="1"/>
    <n v="1880"/>
    <n v="1880"/>
    <n v="155549"/>
    <m/>
    <m/>
    <s v="GR-RB221WE-PMA(57) 155549"/>
    <n v="3480"/>
    <n v="0.54022988505747127"/>
    <s v="Toshiba SRP"/>
    <m/>
    <s v="155549"/>
  </r>
  <r>
    <n v="4446"/>
    <s v="Citistore"/>
    <s v="YL"/>
    <x v="60"/>
    <n v="3"/>
    <x v="24"/>
    <x v="48"/>
    <s v="3合1 微波蒸焗爐 (20公升)"/>
    <s v="細電"/>
    <s v="MCA"/>
    <s v="tt20"/>
    <n v="1"/>
    <n v="2451"/>
    <n v="2451"/>
    <n v="657937"/>
    <m/>
    <m/>
    <s v="MX2-TT20SC(WH) 657937"/>
    <n v="3580"/>
    <n v="0.68463687150837993"/>
    <s v="Toshiba SRP"/>
    <m/>
    <s v="657937"/>
  </r>
  <r>
    <n v="4447"/>
    <s v="Citistore"/>
    <s v="YL"/>
    <x v="60"/>
    <n v="3"/>
    <x v="24"/>
    <x v="48"/>
    <s v="3合1 微波蒸焗爐 (20公升)"/>
    <s v="細電"/>
    <s v="MCA"/>
    <s v="tt20"/>
    <n v="1"/>
    <n v="2451"/>
    <n v="2451"/>
    <n v="168211"/>
    <m/>
    <m/>
    <s v="MX2-TT20SC(WH) 168211"/>
    <n v="3580"/>
    <n v="0.68463687150837993"/>
    <s v="Toshiba SRP"/>
    <m/>
    <s v="168211"/>
  </r>
  <r>
    <n v="4448"/>
    <s v="Citistore"/>
    <s v="YL"/>
    <x v="60"/>
    <n v="3"/>
    <x v="25"/>
    <x v="27"/>
    <s v="4毫米厚釜電飯煲1.8L"/>
    <s v="細電"/>
    <s v="SDA"/>
    <s v="18nmf"/>
    <n v="1"/>
    <n v="799"/>
    <n v="799"/>
    <n v="133373"/>
    <m/>
    <m/>
    <s v="RC-18NMFIH(WT) 133373"/>
    <n v="998"/>
    <n v="0.80060120240480959"/>
    <s v="Toshiba SRP"/>
    <m/>
    <s v="133373"/>
  </r>
  <r>
    <n v="4449"/>
    <s v="Citistore"/>
    <s v="YL"/>
    <x v="60"/>
    <n v="3"/>
    <x v="25"/>
    <x v="35"/>
    <s v="1.8公升電飯煲"/>
    <s v="細電"/>
    <s v="SDA"/>
    <s v="18jruh"/>
    <n v="1"/>
    <n v="300"/>
    <n v="300"/>
    <n v="133415"/>
    <m/>
    <m/>
    <s v="RC-18JRUH(N) 133415"/>
    <n v="458"/>
    <n v="0.65502183406113534"/>
    <s v="Shops Highest Price"/>
    <m/>
    <s v="133415"/>
  </r>
  <r>
    <n v="4450"/>
    <s v="Citistore"/>
    <s v="YL"/>
    <x v="60"/>
    <n v="3"/>
    <x v="25"/>
    <x v="23"/>
    <s v="電飯煲"/>
    <s v="細電"/>
    <s v="SDA"/>
    <s v="10jruh"/>
    <n v="1"/>
    <n v="250"/>
    <n v="250"/>
    <n v="511779"/>
    <m/>
    <m/>
    <s v="RC-10JRUH(N) 511779"/>
    <n v="398"/>
    <n v="0.62814070351758799"/>
    <s v="Shops Highest Price"/>
    <m/>
    <s v="511779"/>
  </r>
  <r>
    <n v="4451"/>
    <s v="Citistore"/>
    <s v="YL"/>
    <x v="60"/>
    <n v="3"/>
    <x v="25"/>
    <x v="69"/>
    <s v="多功能備長炭本厚釜電飯煲1.8L"/>
    <s v="細電"/>
    <s v="SDA"/>
    <s v="18drnh"/>
    <n v="1"/>
    <n v="619"/>
    <n v="619"/>
    <n v="511790"/>
    <m/>
    <m/>
    <s v="RC-18DRNH 511790"/>
    <n v="898"/>
    <n v="0.68930957683741645"/>
    <s v="Toshiba SRP"/>
    <m/>
    <s v="511790"/>
  </r>
  <r>
    <n v="4452"/>
    <s v="Citistore"/>
    <s v="YL"/>
    <x v="60"/>
    <n v="3"/>
    <x v="25"/>
    <x v="70"/>
    <s v="12吋2合1座地座檯電風扇連遙控"/>
    <s v="細電"/>
    <s v="EAD"/>
    <s v="ya20"/>
    <n v="1"/>
    <n v="399"/>
    <n v="399"/>
    <n v="133567"/>
    <m/>
    <m/>
    <s v="F-LYA20(W)HKG 133567"/>
    <n v="988"/>
    <n v="0.40384615384615385"/>
    <s v="Toshiba SRP"/>
    <m/>
    <s v="133567"/>
  </r>
  <r>
    <n v="4453"/>
    <s v="Citistore"/>
    <s v="YL"/>
    <x v="60"/>
    <n v="3"/>
    <x v="25"/>
    <x v="31"/>
    <s v="無線雙層電熱水壺(1.7公升)"/>
    <s v="細電"/>
    <s v="SDA"/>
    <s v="17drt"/>
    <n v="1"/>
    <n v="388"/>
    <n v="388"/>
    <n v="133572"/>
    <m/>
    <m/>
    <s v="KT-17DRTHK(H) 133572"/>
    <n v="498"/>
    <n v="0.77911646586345384"/>
    <s v="Toshiba SRP"/>
    <m/>
    <s v="133572"/>
  </r>
  <r>
    <n v="4454"/>
    <s v="Citistore"/>
    <s v="YL"/>
    <x v="60"/>
    <n v="3"/>
    <x v="26"/>
    <x v="17"/>
    <s v="4毫米厚釜電飯煲1L"/>
    <s v="細電"/>
    <s v="SDA"/>
    <s v="10nmf"/>
    <n v="1"/>
    <n v="719"/>
    <n v="719"/>
    <n v="658012"/>
    <m/>
    <m/>
    <s v="RC-10NMFIH(WT) 658012"/>
    <n v="898"/>
    <n v="0.80066815144766146"/>
    <s v="Toshiba SRP"/>
    <m/>
    <s v="658012"/>
  </r>
  <r>
    <n v="4455"/>
    <s v="Citistore"/>
    <s v="YL"/>
    <x v="60"/>
    <n v="3"/>
    <x v="26"/>
    <x v="25"/>
    <s v="超輕巧2合1無線吸塵機"/>
    <s v="細電"/>
    <s v="MCA"/>
    <s v="cls1b"/>
    <n v="1"/>
    <n v="1510"/>
    <n v="1510"/>
    <n v="133690"/>
    <m/>
    <m/>
    <s v="VC-CLS1BF(R) 133690"/>
    <n v="1888"/>
    <n v="0.79978813559322037"/>
    <s v="Toshiba SRP"/>
    <m/>
    <s v="133690"/>
  </r>
  <r>
    <n v="4456"/>
    <s v="Citistore"/>
    <s v="YL"/>
    <x v="60"/>
    <n v="3"/>
    <x v="26"/>
    <x v="70"/>
    <s v="12吋2合1座地座檯電風扇連遙控"/>
    <s v="細電"/>
    <s v="EAD"/>
    <s v="ya20"/>
    <n v="1"/>
    <n v="399"/>
    <n v="399"/>
    <s v="001318"/>
    <m/>
    <m/>
    <s v="F-LYA20(W)HKG 001318"/>
    <n v="988"/>
    <n v="0.40384615384615385"/>
    <s v="Toshiba SRP"/>
    <m/>
    <s v="001318"/>
  </r>
  <r>
    <n v="4457"/>
    <s v="Citistore"/>
    <s v="YL"/>
    <x v="60"/>
    <n v="3"/>
    <x v="26"/>
    <x v="70"/>
    <s v="12吋2合1座地座檯電風扇連遙控"/>
    <s v="細電"/>
    <s v="EAD"/>
    <s v="ya20"/>
    <n v="1"/>
    <n v="399"/>
    <n v="399"/>
    <s v="001322"/>
    <m/>
    <m/>
    <s v="F-LYA20(W)HKG 001322"/>
    <n v="988"/>
    <n v="0.40384615384615385"/>
    <s v="Toshiba SRP"/>
    <m/>
    <s v="001322"/>
  </r>
  <r>
    <n v="4458"/>
    <s v="Citistore"/>
    <s v="YL"/>
    <x v="60"/>
    <n v="3"/>
    <x v="26"/>
    <x v="29"/>
    <s v="酵活炊磁應電飯煲"/>
    <s v="細電"/>
    <s v="SDA"/>
    <s v="10bh"/>
    <n v="1"/>
    <n v="1688"/>
    <n v="1688"/>
    <n v="133721"/>
    <m/>
    <m/>
    <s v="RC-10BHH(W) 133721"/>
    <n v="2088"/>
    <n v="0.80842911877394641"/>
    <s v="Shops Highest Price"/>
    <m/>
    <s v="133721"/>
  </r>
  <r>
    <n v="4459"/>
    <s v="Citistore"/>
    <s v="YL"/>
    <x v="60"/>
    <n v="3"/>
    <x v="27"/>
    <x v="60"/>
    <s v="酵活炊磁應電飯煲(1.5公升)"/>
    <s v="細電"/>
    <s v="SDA"/>
    <s v="15bh"/>
    <n v="1"/>
    <n v="1888"/>
    <n v="1888"/>
    <s v="010693"/>
    <m/>
    <m/>
    <s v="RC-15BHH(W) 010693"/>
    <n v="2388"/>
    <n v="0.79061976549413737"/>
    <s v="Toshiba SRP"/>
    <m/>
    <s v="010693"/>
  </r>
  <r>
    <n v="4460"/>
    <s v="Citistore"/>
    <s v="YL"/>
    <x v="60"/>
    <n v="3"/>
    <x v="27"/>
    <x v="17"/>
    <s v="4毫米厚釜電飯煲1L"/>
    <s v="細電"/>
    <s v="SDA"/>
    <s v="10nmf"/>
    <n v="1"/>
    <n v="719"/>
    <n v="719"/>
    <n v="512456"/>
    <m/>
    <m/>
    <s v="RC-10NMFIH(WT) 512456"/>
    <n v="898"/>
    <n v="0.80066815144766146"/>
    <s v="Toshiba SRP"/>
    <m/>
    <s v="512456"/>
  </r>
  <r>
    <n v="4461"/>
    <s v="Citistore"/>
    <s v="YL"/>
    <x v="60"/>
    <n v="3"/>
    <x v="27"/>
    <x v="70"/>
    <s v="12吋2合1座地座檯電風扇連遙控"/>
    <s v="細電"/>
    <s v="EAD"/>
    <s v="ya20"/>
    <n v="1"/>
    <n v="399"/>
    <n v="399"/>
    <n v="512442"/>
    <m/>
    <m/>
    <s v="F-LYA20(W)HKG 512442"/>
    <n v="988"/>
    <n v="0.40384615384615385"/>
    <s v="Toshiba SRP"/>
    <m/>
    <s v="512442"/>
  </r>
  <r>
    <n v="4462"/>
    <s v="Citistore"/>
    <s v="YL"/>
    <x v="60"/>
    <n v="3"/>
    <x v="27"/>
    <x v="17"/>
    <s v="4毫米厚釜電飯煲1L"/>
    <s v="細電"/>
    <s v="SDA"/>
    <s v="10nmf"/>
    <n v="1"/>
    <n v="719"/>
    <n v="719"/>
    <n v="512460"/>
    <m/>
    <m/>
    <s v="RC-10NMFIH(WT) 512460"/>
    <n v="898"/>
    <n v="0.80066815144766146"/>
    <s v="Toshiba SRP"/>
    <m/>
    <s v="512460"/>
  </r>
  <r>
    <n v="4463"/>
    <s v="Citistore"/>
    <s v="YL"/>
    <x v="60"/>
    <n v="3"/>
    <x v="27"/>
    <x v="74"/>
    <s v="4合1氣炸微波蒸焗爐(25公升)"/>
    <s v="細電"/>
    <s v="MCA"/>
    <s v="str25"/>
    <n v="1"/>
    <n v="3580"/>
    <n v="3580"/>
    <n v="134042"/>
    <m/>
    <m/>
    <s v="MX2-STR25SC(WH) 134042"/>
    <n v="4998"/>
    <n v="0.71628651460584236"/>
    <s v="Toshiba SRP"/>
    <m/>
    <s v="134042"/>
  </r>
  <r>
    <n v="4464"/>
    <s v="Citistore"/>
    <s v="YL"/>
    <x v="60"/>
    <n v="3"/>
    <x v="27"/>
    <x v="70"/>
    <s v="12吋2合1座地座檯電風扇連遙控"/>
    <s v="細電"/>
    <s v="EAD"/>
    <s v="ya20"/>
    <n v="1"/>
    <n v="399"/>
    <n v="399"/>
    <n v="658234"/>
    <m/>
    <m/>
    <s v="F-LYA20(W)HKG 658234"/>
    <n v="988"/>
    <n v="0.40384615384615385"/>
    <s v="Toshiba SRP"/>
    <m/>
    <s v="658234"/>
  </r>
  <r>
    <n v="4465"/>
    <s v="Citistore"/>
    <s v="YL"/>
    <x v="60"/>
    <n v="3"/>
    <x v="27"/>
    <x v="29"/>
    <s v="酵活炊磁應電飯煲"/>
    <s v="細電"/>
    <s v="SDA"/>
    <s v="10bh"/>
    <n v="1"/>
    <n v="1688"/>
    <n v="1688"/>
    <n v="134114"/>
    <m/>
    <m/>
    <s v="RC-10BHH(W) 134114"/>
    <n v="2088"/>
    <n v="0.80842911877394641"/>
    <s v="Shops Highest Price"/>
    <m/>
    <s v="134114"/>
  </r>
  <r>
    <n v="4466"/>
    <s v="Citistore"/>
    <s v="YL"/>
    <x v="60"/>
    <n v="3"/>
    <x v="27"/>
    <x v="60"/>
    <s v="酵活炊磁應電飯煲(1.5公升)"/>
    <s v="細電"/>
    <s v="SDA"/>
    <s v="15bh"/>
    <n v="1"/>
    <n v="1888"/>
    <n v="1888"/>
    <n v="134104"/>
    <m/>
    <m/>
    <s v="RC-15BHH(W) 134104"/>
    <n v="2388"/>
    <n v="0.79061976549413737"/>
    <s v="Toshiba SRP"/>
    <m/>
    <s v="134104"/>
  </r>
  <r>
    <n v="4467"/>
    <s v="Citistore"/>
    <s v="YL"/>
    <x v="60"/>
    <n v="3"/>
    <x v="27"/>
    <x v="70"/>
    <s v="12吋2合1座地座檯電風扇連遙控"/>
    <s v="細電"/>
    <s v="EAD"/>
    <s v="ya20"/>
    <n v="1"/>
    <n v="399"/>
    <n v="399"/>
    <n v="134221"/>
    <m/>
    <m/>
    <s v="F-LYA20(W)HKG 134221"/>
    <n v="988"/>
    <n v="0.40384615384615385"/>
    <s v="Toshiba SRP"/>
    <m/>
    <s v="134221"/>
  </r>
  <r>
    <n v="4468"/>
    <s v="Citistore"/>
    <s v="YL"/>
    <x v="60"/>
    <n v="3"/>
    <x v="27"/>
    <x v="29"/>
    <s v="酵活炊磁應電飯煲"/>
    <s v="細電"/>
    <s v="SDA"/>
    <s v="10bh"/>
    <n v="1"/>
    <n v="1688"/>
    <n v="1688"/>
    <n v="512748"/>
    <m/>
    <m/>
    <s v="RC-10BHH(W) 512748"/>
    <n v="2088"/>
    <n v="0.80842911877394641"/>
    <s v="Shops Highest Price"/>
    <m/>
    <s v="512748"/>
  </r>
  <r>
    <n v="4469"/>
    <s v="Citistore"/>
    <s v="YL"/>
    <x v="60"/>
    <n v="3"/>
    <x v="27"/>
    <x v="30"/>
    <s v="旋鈕式燒烤微波爐20L"/>
    <s v="細電"/>
    <s v="SDA"/>
    <s v="mm20"/>
    <n v="1"/>
    <n v="488"/>
    <n v="488"/>
    <n v="134263"/>
    <m/>
    <m/>
    <s v="MWP-MM20P(WH) 134263"/>
    <n v="648"/>
    <n v="0.75308641975308643"/>
    <s v="Toshiba SRP"/>
    <m/>
    <s v="134263"/>
  </r>
  <r>
    <n v="4470"/>
    <s v="Citistore"/>
    <s v="YL"/>
    <x v="60"/>
    <n v="3"/>
    <x v="28"/>
    <x v="45"/>
    <s v="備長炭本厚釜電飯煲0.7L"/>
    <s v="細電"/>
    <s v="SDA"/>
    <s v="7hmh"/>
    <n v="1"/>
    <n v="788"/>
    <n v="788"/>
    <n v="512900"/>
    <m/>
    <m/>
    <s v="RC-7HMH 512900"/>
    <n v="1288"/>
    <n v="0.61180124223602483"/>
    <s v="Toshiba SRP"/>
    <m/>
    <s v="512900"/>
  </r>
  <r>
    <n v="4471"/>
    <s v="Citistore"/>
    <s v="YL"/>
    <x v="60"/>
    <n v="3"/>
    <x v="28"/>
    <x v="27"/>
    <s v="4毫米厚釜電飯煲1.8L"/>
    <s v="細電"/>
    <s v="SDA"/>
    <s v="18nmf"/>
    <n v="1"/>
    <n v="799"/>
    <n v="799"/>
    <n v="134328"/>
    <m/>
    <m/>
    <s v="RC-18NMFIH(WT) 134328"/>
    <n v="998"/>
    <n v="0.80060120240480959"/>
    <s v="Toshiba SRP"/>
    <m/>
    <s v="134328"/>
  </r>
  <r>
    <n v="4472"/>
    <s v="Citistore"/>
    <s v="YL"/>
    <x v="60"/>
    <n v="3"/>
    <x v="28"/>
    <x v="57"/>
    <s v="多功能備長炭本厚釜電飯煲1L"/>
    <s v="細電"/>
    <s v="SDA"/>
    <s v="10drnh"/>
    <n v="1"/>
    <n v="549"/>
    <n v="549"/>
    <n v="134402"/>
    <m/>
    <m/>
    <s v="RC-10DRNH 134402"/>
    <n v="798"/>
    <n v="0.68796992481203012"/>
    <s v="Toshiba SRP"/>
    <m/>
    <s v="134402"/>
  </r>
  <r>
    <n v="4473"/>
    <s v="Citistore"/>
    <s v="YL"/>
    <x v="60"/>
    <n v="3"/>
    <x v="28"/>
    <x v="31"/>
    <s v="無線雙層電熱水壺(1.7公升)"/>
    <s v="細電"/>
    <s v="SDA"/>
    <s v="17drt"/>
    <n v="1"/>
    <n v="388"/>
    <n v="388"/>
    <n v="134431"/>
    <m/>
    <m/>
    <s v="KT-17DRTHK(H) 134431"/>
    <n v="498"/>
    <n v="0.77911646586345384"/>
    <s v="Toshiba SRP"/>
    <m/>
    <s v="134431"/>
  </r>
  <r>
    <n v="4474"/>
    <s v="Citistore"/>
    <s v="YL"/>
    <x v="60"/>
    <n v="3"/>
    <x v="28"/>
    <x v="70"/>
    <s v="12吋2合1座地座檯電風扇連遙控"/>
    <s v="細電"/>
    <s v="EAD"/>
    <s v="ya20"/>
    <n v="1"/>
    <n v="399"/>
    <n v="399"/>
    <n v="513089"/>
    <m/>
    <m/>
    <s v="F-LYA20(W)HKG 513089"/>
    <n v="988"/>
    <n v="0.40384615384615385"/>
    <s v="Toshiba SRP"/>
    <m/>
    <s v="513089"/>
  </r>
  <r>
    <n v="4475"/>
    <s v="Citistore"/>
    <s v="TW RS_2"/>
    <x v="61"/>
    <n v="3"/>
    <x v="25"/>
    <x v="15"/>
    <s v="Induction Cooker"/>
    <s v="細電"/>
    <s v="SDA"/>
    <s v="21ts"/>
    <n v="1"/>
    <n v="698"/>
    <n v="698"/>
    <n v="367578"/>
    <m/>
    <m/>
    <s v="IC-21TSHK 367578"/>
    <n v="998"/>
    <n v="0.69939879759519041"/>
    <s v="Web SRP"/>
    <m/>
    <s v="367578"/>
  </r>
  <r>
    <n v="4476"/>
    <s v="Citistore"/>
    <s v="TW RS_2"/>
    <x v="61"/>
    <n v="3"/>
    <x v="25"/>
    <x v="31"/>
    <s v="無線雙層電熱水壺(1.7公升)"/>
    <s v="細電"/>
    <s v="SDA"/>
    <s v="17drt"/>
    <n v="1"/>
    <n v="388"/>
    <n v="388"/>
    <n v="367646"/>
    <m/>
    <m/>
    <s v="KT-17DRTHK(H) 367646"/>
    <n v="498"/>
    <n v="0.77911646586345384"/>
    <s v="Toshiba SRP"/>
    <m/>
    <s v="367646"/>
  </r>
  <r>
    <n v="4477"/>
    <s v="Citistore"/>
    <s v="TW RS_2"/>
    <x v="61"/>
    <n v="3"/>
    <x v="25"/>
    <x v="27"/>
    <s v="4毫米厚釜電飯煲1.8L"/>
    <s v="細電"/>
    <s v="SDA"/>
    <s v="18nmf"/>
    <n v="1"/>
    <n v="799"/>
    <n v="799"/>
    <n v="367572"/>
    <m/>
    <m/>
    <s v="RC-18NMFIH(WT) 367572"/>
    <n v="998"/>
    <n v="0.80060120240480959"/>
    <s v="Toshiba SRP"/>
    <m/>
    <s v="367572"/>
  </r>
  <r>
    <n v="4478"/>
    <s v="Citistore"/>
    <s v="TW RS_2"/>
    <x v="61"/>
    <n v="3"/>
    <x v="25"/>
    <x v="17"/>
    <s v="4毫米厚釜電飯煲1L"/>
    <s v="細電"/>
    <s v="SDA"/>
    <s v="10nmf"/>
    <n v="1"/>
    <n v="719"/>
    <n v="719"/>
    <n v="367576"/>
    <m/>
    <m/>
    <s v="RC-10NMFIH(WT) 367576"/>
    <n v="898"/>
    <n v="0.80066815144766146"/>
    <s v="Toshiba SRP"/>
    <m/>
    <s v="367576"/>
  </r>
  <r>
    <n v="4479"/>
    <s v="Citistore"/>
    <s v="TW RS_2"/>
    <x v="61"/>
    <n v="3"/>
    <x v="25"/>
    <x v="24"/>
    <s v="微型電腦珍珠飯煲"/>
    <s v="細電"/>
    <s v="SDA"/>
    <s v="5sli"/>
    <n v="1"/>
    <n v="550"/>
    <n v="550"/>
    <n v="367575"/>
    <m/>
    <m/>
    <s v="RC-5SLIH(W) 367575"/>
    <n v="658"/>
    <n v="0.83586626139817632"/>
    <s v="Toshiba SRP"/>
    <m/>
    <s v="367575"/>
  </r>
  <r>
    <n v="4480"/>
    <s v="Citistore"/>
    <s v="TW RS_2"/>
    <x v="61"/>
    <n v="3"/>
    <x v="25"/>
    <x v="58"/>
    <s v="IH磁應電飯煲_x000a_鑽石銅鍋"/>
    <s v="細電"/>
    <s v="SDA"/>
    <s v="dr18tw"/>
    <n v="1"/>
    <n v="2690"/>
    <n v="2690"/>
    <n v="367586"/>
    <m/>
    <m/>
    <s v="RC-DR18T(W) 367586"/>
    <n v="3588"/>
    <n v="0.74972129319955405"/>
    <s v="Toshiba SRP"/>
    <m/>
    <s v="367586"/>
  </r>
  <r>
    <n v="4481"/>
    <s v="Citistore"/>
    <s v="TW RS_2"/>
    <x v="61"/>
    <n v="3"/>
    <x v="25"/>
    <x v="46"/>
    <s v="電熱水瓶 (2.5公升)"/>
    <s v="細電"/>
    <s v="SDA"/>
    <s v="25dr"/>
    <n v="1"/>
    <n v="398"/>
    <n v="398"/>
    <n v="367579"/>
    <m/>
    <m/>
    <s v="TP-25DR2UHK(W) 367579"/>
    <n v="538"/>
    <n v="0.7397769516728625"/>
    <s v="Toshiba SRP"/>
    <m/>
    <s v="367579"/>
  </r>
  <r>
    <n v="4482"/>
    <s v="Citistore"/>
    <s v="TW RS_2"/>
    <x v="61"/>
    <n v="3"/>
    <x v="25"/>
    <x v="27"/>
    <s v="4毫米厚釜電飯煲1.8L"/>
    <s v="細電"/>
    <s v="SDA"/>
    <s v="18nmf"/>
    <n v="1"/>
    <n v="799"/>
    <n v="799"/>
    <n v="416146"/>
    <m/>
    <m/>
    <s v="RC-18NMFIH(WT) 416146"/>
    <n v="998"/>
    <n v="0.80060120240480959"/>
    <s v="Toshiba SRP"/>
    <m/>
    <s v="416146"/>
  </r>
  <r>
    <n v="4483"/>
    <s v="Citistore"/>
    <s v="TW RS_2"/>
    <x v="61"/>
    <n v="3"/>
    <x v="25"/>
    <x v="45"/>
    <s v="備長炭本厚釜電飯煲0.7L"/>
    <s v="細電"/>
    <s v="SDA"/>
    <s v="7hmh"/>
    <n v="1"/>
    <n v="788"/>
    <n v="788"/>
    <n v="606333"/>
    <m/>
    <m/>
    <s v="RC-7HMH 606333"/>
    <n v="1288"/>
    <n v="0.61180124223602483"/>
    <s v="Toshiba SRP"/>
    <m/>
    <s v="606333"/>
  </r>
  <r>
    <n v="4484"/>
    <s v="Citistore"/>
    <s v="TW RS_2"/>
    <x v="61"/>
    <n v="3"/>
    <x v="25"/>
    <x v="7"/>
    <s v="4毫米厚釜電飯煲0.54L"/>
    <s v="細電"/>
    <s v="SDA"/>
    <s v="5mm"/>
    <n v="1"/>
    <n v="450"/>
    <n v="450"/>
    <n v="367667"/>
    <m/>
    <m/>
    <s v="RC-5MMIH(WT) 367667"/>
    <n v="618"/>
    <n v="0.72815533980582525"/>
    <s v="Toshiba SRP"/>
    <m/>
    <s v="367667"/>
  </r>
  <r>
    <n v="4485"/>
    <s v="Citistore"/>
    <s v="TW RS_2"/>
    <x v="61"/>
    <n v="3"/>
    <x v="25"/>
    <x v="23"/>
    <s v="電飯煲"/>
    <s v="細電"/>
    <s v="SDA"/>
    <s v="10jruh"/>
    <n v="1"/>
    <n v="250"/>
    <n v="250"/>
    <n v="367670"/>
    <m/>
    <m/>
    <s v="RC-10JRUH(N) 367670"/>
    <n v="398"/>
    <n v="0.62814070351758799"/>
    <s v="Shops Highest Price"/>
    <m/>
    <s v="367670"/>
  </r>
  <r>
    <n v="4486"/>
    <s v="Citistore"/>
    <s v="TW RS_2"/>
    <x v="61"/>
    <n v="3"/>
    <x v="25"/>
    <x v="7"/>
    <s v="4毫米厚釜電飯煲0.54L"/>
    <s v="細電"/>
    <s v="SDA"/>
    <s v="5mm"/>
    <n v="1"/>
    <n v="450"/>
    <n v="450"/>
    <n v="367690"/>
    <m/>
    <m/>
    <s v="RC-5MMIH(WT) 367690"/>
    <n v="618"/>
    <n v="0.72815533980582525"/>
    <s v="Toshiba SRP"/>
    <m/>
    <s v="367690"/>
  </r>
  <r>
    <n v="4487"/>
    <s v="Citistore"/>
    <s v="TW RS_2"/>
    <x v="61"/>
    <n v="3"/>
    <x v="25"/>
    <x v="39"/>
    <s v="酵活炊電飯煲(1.0公升)"/>
    <s v="細電"/>
    <s v="SDA"/>
    <s v="10amx"/>
    <n v="1"/>
    <n v="990"/>
    <n v="990"/>
    <n v="367702"/>
    <m/>
    <m/>
    <s v="RC-10AMXH(W) 367702"/>
    <n v="1288"/>
    <n v="0.76863354037267084"/>
    <s v="Toshiba SRP"/>
    <m/>
    <s v="367702"/>
  </r>
  <r>
    <n v="4488"/>
    <s v="Citistore"/>
    <s v="TW RS_2"/>
    <x v="61"/>
    <n v="3"/>
    <x v="25"/>
    <x v="30"/>
    <s v="旋鈕式燒烤微波爐20L"/>
    <s v="細電"/>
    <s v="SDA"/>
    <s v="mm20"/>
    <n v="1"/>
    <n v="488"/>
    <n v="488"/>
    <n v="367709"/>
    <m/>
    <m/>
    <s v="MWP-MM20P(WH) 367709"/>
    <n v="648"/>
    <n v="0.75308641975308643"/>
    <s v="Toshiba SRP"/>
    <m/>
    <s v="367709"/>
  </r>
  <r>
    <n v="4489"/>
    <s v="Citistore"/>
    <s v="TW RS_2"/>
    <x v="61"/>
    <n v="3"/>
    <x v="25"/>
    <x v="18"/>
    <s v="Comfee 1匹變頻窗口式冷氣機"/>
    <s v="大電"/>
    <s v="RAC"/>
    <s v="09crf"/>
    <n v="1"/>
    <n v="3890"/>
    <n v="3890"/>
    <n v="156452"/>
    <m/>
    <m/>
    <s v="CWF-09CRFN8-AD5 156452"/>
    <n v="4600"/>
    <n v="0.84565217391304348"/>
    <s v="Shops Highest Price"/>
    <m/>
    <s v="156452"/>
  </r>
  <r>
    <n v="4490"/>
    <s v="Citistore"/>
    <s v="TW RS_2"/>
    <x v="61"/>
    <n v="3"/>
    <x v="25"/>
    <x v="21"/>
    <s v="壓縮式抽濕機 (30公升)"/>
    <s v="細電"/>
    <s v="RAC"/>
    <s v="d300"/>
    <n v="1"/>
    <n v="2280"/>
    <n v="2280"/>
    <n v="156456"/>
    <m/>
    <m/>
    <s v="RAD-D300H 156456"/>
    <n v="3380"/>
    <n v="0.67455621301775148"/>
    <s v="Shops Highest Price"/>
    <m/>
    <s v="156456"/>
  </r>
  <r>
    <n v="4491"/>
    <s v="Citistore"/>
    <s v="TW RS_2"/>
    <x v="61"/>
    <n v="3"/>
    <x v="25"/>
    <x v="24"/>
    <s v="微型電腦珍珠飯煲"/>
    <s v="細電"/>
    <s v="SDA"/>
    <s v="5sli"/>
    <n v="1"/>
    <n v="550"/>
    <n v="550"/>
    <n v="367716"/>
    <m/>
    <m/>
    <s v="RC-5SLIH(W) 367716"/>
    <n v="658"/>
    <n v="0.83586626139817632"/>
    <s v="Toshiba SRP"/>
    <m/>
    <s v="367716"/>
  </r>
  <r>
    <n v="4492"/>
    <s v="Citistore"/>
    <s v="TW RS_2"/>
    <x v="61"/>
    <n v="3"/>
    <x v="25"/>
    <x v="57"/>
    <s v="多功能備長炭本厚釜電飯煲1L"/>
    <s v="細電"/>
    <s v="SDA"/>
    <s v="10drnh"/>
    <n v="1"/>
    <n v="499"/>
    <n v="499"/>
    <n v="367714"/>
    <m/>
    <m/>
    <s v="RC-10DRNH 367714"/>
    <n v="798"/>
    <n v="0.62531328320802004"/>
    <s v="Toshiba SRP"/>
    <m/>
    <s v="367714"/>
  </r>
  <r>
    <n v="4493"/>
    <s v="Citistore"/>
    <s v="TW RS_2"/>
    <x v="61"/>
    <n v="3"/>
    <x v="25"/>
    <x v="80"/>
    <s v="無線雙層電熱水壺(1.4公升)"/>
    <s v="細電"/>
    <s v="SDA"/>
    <s v="14dhu"/>
    <n v="1"/>
    <n v="298"/>
    <n v="298"/>
    <n v="367732"/>
    <m/>
    <m/>
    <s v="KT-14DHUHK(W) 367732"/>
    <n v="458"/>
    <n v="0.6506550218340611"/>
    <s v="Toshiba SRP"/>
    <m/>
    <s v="367732"/>
  </r>
  <r>
    <n v="4494"/>
    <s v="Citistore"/>
    <s v="TW RS_2"/>
    <x v="61"/>
    <n v="3"/>
    <x v="25"/>
    <x v="23"/>
    <s v="電飯煲"/>
    <s v="細電"/>
    <s v="SDA"/>
    <s v="10jruh"/>
    <n v="1"/>
    <n v="250"/>
    <n v="250"/>
    <n v="367729"/>
    <m/>
    <m/>
    <s v="RC-10JRUH(N) 367729"/>
    <n v="398"/>
    <n v="0.62814070351758799"/>
    <s v="Shops Highest Price"/>
    <m/>
    <s v="367729"/>
  </r>
  <r>
    <n v="4495"/>
    <s v="Citistore"/>
    <s v="TW RS_2"/>
    <x v="61"/>
    <n v="3"/>
    <x v="25"/>
    <x v="23"/>
    <s v="電飯煲"/>
    <s v="細電"/>
    <s v="SDA"/>
    <s v="10jruh"/>
    <n v="1"/>
    <n v="250"/>
    <n v="250"/>
    <n v="367721"/>
    <m/>
    <m/>
    <s v="RC-10JRUH(N) 367721"/>
    <n v="398"/>
    <n v="0.62814070351758799"/>
    <s v="Shops Highest Price"/>
    <m/>
    <s v="367721"/>
  </r>
  <r>
    <n v="4496"/>
    <s v="Citistore"/>
    <s v="TW RS_2"/>
    <x v="61"/>
    <n v="3"/>
    <x v="25"/>
    <x v="61"/>
    <s v="酵活炊電飯煲(1.8公升)"/>
    <s v="細電"/>
    <s v="SDA"/>
    <s v="18amx"/>
    <n v="1"/>
    <n v="990"/>
    <n v="990"/>
    <n v="367783"/>
    <m/>
    <m/>
    <s v="RC-18AMXH(W) 367783"/>
    <n v="1588"/>
    <n v="0.62342569269521408"/>
    <s v="Toshiba SRP"/>
    <m/>
    <s v="367783"/>
  </r>
  <r>
    <n v="4497"/>
    <s v="Citistore"/>
    <s v="TW RS_2"/>
    <x v="61"/>
    <n v="3"/>
    <x v="25"/>
    <x v="42"/>
    <s v="變頻下置式雙門雪櫃系列270L"/>
    <s v="大電"/>
    <s v="REF"/>
    <s v="rb360"/>
    <n v="1"/>
    <n v="3680"/>
    <n v="3680"/>
    <n v="367782"/>
    <m/>
    <m/>
    <s v="GR-RB360WE-PMA(06) 367782"/>
    <n v="5080"/>
    <n v="0.72440944881889768"/>
    <s v="Toshiba SRP"/>
    <m/>
    <s v="367782"/>
  </r>
  <r>
    <n v="4498"/>
    <s v="Citistore"/>
    <s v="TW RS_2"/>
    <x v="61"/>
    <n v="3"/>
    <x v="25"/>
    <x v="30"/>
    <s v="旋鈕式燒烤微波爐20L"/>
    <s v="細電"/>
    <s v="SDA"/>
    <s v="mm20"/>
    <n v="1"/>
    <n v="488"/>
    <n v="488"/>
    <n v="367812"/>
    <m/>
    <m/>
    <s v="MWP-MM20P(WH) 367812"/>
    <n v="648"/>
    <n v="0.75308641975308643"/>
    <s v="Toshiba SRP"/>
    <m/>
    <s v="367812"/>
  </r>
  <r>
    <n v="4499"/>
    <s v="Citistore"/>
    <s v="TW RS_2"/>
    <x v="61"/>
    <n v="3"/>
    <x v="25"/>
    <x v="23"/>
    <s v="電飯煲"/>
    <s v="細電"/>
    <s v="SDA"/>
    <s v="10jruh"/>
    <n v="1"/>
    <n v="250"/>
    <n v="250"/>
    <n v="367828"/>
    <m/>
    <m/>
    <s v="RC-10JRUH(N) 367828"/>
    <n v="398"/>
    <n v="0.62814070351758799"/>
    <s v="Shops Highest Price"/>
    <m/>
    <s v="367828"/>
  </r>
  <r>
    <n v="4500"/>
    <s v="Citistore"/>
    <s v="TW RS_2"/>
    <x v="61"/>
    <n v="3"/>
    <x v="25"/>
    <x v="23"/>
    <s v="電飯煲"/>
    <s v="細電"/>
    <s v="SDA"/>
    <s v="10jruh"/>
    <n v="1"/>
    <n v="250"/>
    <n v="250"/>
    <n v="367834"/>
    <m/>
    <m/>
    <s v="RC-10JRUH(N) 367834"/>
    <n v="398"/>
    <n v="0.62814070351758799"/>
    <s v="Shops Highest Price"/>
    <m/>
    <s v="367834"/>
  </r>
  <r>
    <n v="4501"/>
    <s v="Citistore"/>
    <s v="TW RS_2"/>
    <x v="61"/>
    <n v="3"/>
    <x v="25"/>
    <x v="39"/>
    <s v="酵活炊電飯煲(1.0公升)"/>
    <s v="細電"/>
    <s v="SDA"/>
    <s v="10amx"/>
    <n v="1"/>
    <n v="990"/>
    <n v="990"/>
    <n v="367851"/>
    <m/>
    <m/>
    <s v="RC-10AMXH(W) 367851"/>
    <n v="1288"/>
    <n v="0.76863354037267084"/>
    <s v="Toshiba SRP"/>
    <m/>
    <s v="367851"/>
  </r>
  <r>
    <n v="4502"/>
    <s v="Citistore"/>
    <s v="TW RS_2"/>
    <x v="61"/>
    <n v="3"/>
    <x v="26"/>
    <x v="46"/>
    <s v="電熱水瓶 (2.5公升)"/>
    <s v="細電"/>
    <s v="SDA"/>
    <s v="25dr"/>
    <n v="1"/>
    <n v="398"/>
    <n v="398"/>
    <n v="387814"/>
    <m/>
    <m/>
    <s v="TP-25DR2UHK(W) 387814"/>
    <n v="538"/>
    <n v="0.7397769516728625"/>
    <s v="Toshiba SRP"/>
    <m/>
    <s v="387814"/>
  </r>
  <r>
    <n v="4503"/>
    <s v="Citistore"/>
    <s v="TW RS_2"/>
    <x v="61"/>
    <n v="3"/>
    <x v="26"/>
    <x v="39"/>
    <s v="酵活炊電飯煲(1.0公升)"/>
    <s v="細電"/>
    <s v="SDA"/>
    <s v="10amx"/>
    <n v="1"/>
    <n v="990"/>
    <n v="990"/>
    <n v="387885"/>
    <m/>
    <m/>
    <s v="RC-10AMXH(W) 387885"/>
    <n v="1288"/>
    <n v="0.76863354037267084"/>
    <s v="Toshiba SRP"/>
    <m/>
    <s v="387885"/>
  </r>
  <r>
    <n v="4504"/>
    <s v="Citistore"/>
    <s v="TW RS_2"/>
    <x v="61"/>
    <n v="3"/>
    <x v="26"/>
    <x v="21"/>
    <s v="壓縮式抽濕機 (30公升)"/>
    <s v="細電"/>
    <s v="RAC"/>
    <s v="d300"/>
    <n v="1"/>
    <n v="2180"/>
    <n v="2180"/>
    <n v="367891"/>
    <m/>
    <m/>
    <s v="RAD-D300H 367891"/>
    <n v="3380"/>
    <n v="0.6449704142011834"/>
    <s v="Shops Highest Price"/>
    <m/>
    <s v="367891"/>
  </r>
  <r>
    <n v="4505"/>
    <s v="Citistore"/>
    <s v="TW RS_2"/>
    <x v="61"/>
    <n v="3"/>
    <x v="26"/>
    <x v="28"/>
    <s v="無線雙層電熱水壺-附可鎖壺蓋(0.8公升)"/>
    <s v="細電"/>
    <s v="SDA"/>
    <s v="08dh"/>
    <n v="1"/>
    <n v="268"/>
    <n v="268"/>
    <n v="367895"/>
    <m/>
    <m/>
    <s v="KT-08DH1VHK(W) 367895"/>
    <n v="428"/>
    <n v="0.62616822429906538"/>
    <s v="Toshiba SRP"/>
    <m/>
    <s v="367895"/>
  </r>
  <r>
    <n v="4506"/>
    <s v="Citistore"/>
    <s v="TW RS_2"/>
    <x v="61"/>
    <n v="3"/>
    <x v="26"/>
    <x v="51"/>
    <s v="IH磁應電飯煲"/>
    <s v="細電"/>
    <s v="SDA"/>
    <s v="dr10tw"/>
    <n v="1"/>
    <n v="2290"/>
    <n v="2290"/>
    <n v="367913"/>
    <m/>
    <m/>
    <s v="RC-DR10T(W) 367913"/>
    <n v="3188"/>
    <n v="0.71831869510664992"/>
    <s v="Toshiba SRP"/>
    <m/>
    <s v="367913"/>
  </r>
  <r>
    <n v="4507"/>
    <s v="Citistore"/>
    <s v="TW RS_2"/>
    <x v="61"/>
    <n v="3"/>
    <x v="26"/>
    <x v="45"/>
    <s v="備長炭本厚釜電飯煲0.7L"/>
    <s v="細電"/>
    <s v="SDA"/>
    <s v="7hmh"/>
    <n v="1"/>
    <n v="788"/>
    <n v="788"/>
    <n v="367953"/>
    <m/>
    <m/>
    <s v="RC-7HMH 367953"/>
    <n v="1288"/>
    <n v="0.61180124223602483"/>
    <s v="Toshiba SRP"/>
    <m/>
    <s v="367953"/>
  </r>
  <r>
    <n v="4508"/>
    <s v="Citistore"/>
    <s v="TW RS_2"/>
    <x v="61"/>
    <n v="3"/>
    <x v="26"/>
    <x v="36"/>
    <s v="輕觸式微波爐 (20公升)"/>
    <s v="細電"/>
    <s v="MCA"/>
    <s v="em20"/>
    <n v="1"/>
    <n v="598"/>
    <n v="598"/>
    <n v="367960"/>
    <m/>
    <m/>
    <s v="MM2-EM20PC(WH) 367960"/>
    <n v="788"/>
    <n v="0.75888324873096447"/>
    <s v="Toshiba SRP"/>
    <m/>
    <s v="367960"/>
  </r>
  <r>
    <n v="4509"/>
    <s v="Citistore"/>
    <s v="TW RS_2"/>
    <x v="61"/>
    <n v="3"/>
    <x v="26"/>
    <x v="15"/>
    <s v="Induction Cooker"/>
    <s v="細電"/>
    <s v="SDA"/>
    <s v="21ts"/>
    <n v="1"/>
    <n v="698"/>
    <n v="698"/>
    <n v="375451"/>
    <m/>
    <m/>
    <s v="IC-21TSHK 375451"/>
    <n v="998"/>
    <n v="0.69939879759519041"/>
    <s v="Web SRP"/>
    <m/>
    <s v="375451"/>
  </r>
  <r>
    <n v="4510"/>
    <s v="Citistore"/>
    <s v="TW RS_2"/>
    <x v="61"/>
    <n v="3"/>
    <x v="26"/>
    <x v="28"/>
    <s v="無線雙層電熱水壺-附可鎖壺蓋(0.8公升)"/>
    <s v="細電"/>
    <s v="SDA"/>
    <s v="08dh"/>
    <n v="1"/>
    <n v="268"/>
    <n v="268"/>
    <n v="375451"/>
    <m/>
    <m/>
    <s v="KT-08DH1VHK(W) 375451"/>
    <n v="428"/>
    <n v="0.62616822429906538"/>
    <s v="Toshiba SRP"/>
    <m/>
    <s v="375451"/>
  </r>
  <r>
    <n v="4511"/>
    <s v="Citistore"/>
    <s v="TW RS_2"/>
    <x v="61"/>
    <n v="3"/>
    <x v="26"/>
    <x v="23"/>
    <s v="電飯煲"/>
    <s v="細電"/>
    <s v="SDA"/>
    <s v="10jruh"/>
    <n v="1"/>
    <n v="250"/>
    <n v="250"/>
    <n v="368006"/>
    <m/>
    <m/>
    <s v="RC-10JRUH(N) 368006"/>
    <n v="398"/>
    <n v="0.62814070351758799"/>
    <s v="Shops Highest Price"/>
    <m/>
    <s v="368006"/>
  </r>
  <r>
    <n v="4512"/>
    <s v="Citistore"/>
    <s v="TW RS_2"/>
    <x v="61"/>
    <n v="3"/>
    <x v="26"/>
    <x v="44"/>
    <s v="1.7L無線雙層電熱水壺"/>
    <s v="細電"/>
    <s v="SDA"/>
    <s v="17shnh"/>
    <n v="1"/>
    <n v="198"/>
    <n v="198"/>
    <n v="606967"/>
    <m/>
    <m/>
    <s v="KT-17SHNH 606967"/>
    <n v="299"/>
    <n v="0.66220735785953178"/>
    <s v="Shops Highest Price"/>
    <m/>
    <s v="606967"/>
  </r>
  <r>
    <n v="4513"/>
    <s v="Citistore"/>
    <s v="TW RS_2"/>
    <x v="61"/>
    <n v="3"/>
    <x v="26"/>
    <x v="23"/>
    <s v="電飯煲"/>
    <s v="細電"/>
    <s v="SDA"/>
    <s v="10jruh"/>
    <n v="1"/>
    <n v="250"/>
    <n v="250"/>
    <n v="368069"/>
    <m/>
    <m/>
    <s v="RC-10JRUH(N) 368069"/>
    <n v="398"/>
    <n v="0.62814070351758799"/>
    <s v="Shops Highest Price"/>
    <m/>
    <s v="368069"/>
  </r>
  <r>
    <n v="4514"/>
    <s v="Citistore"/>
    <s v="TW RS_2"/>
    <x v="61"/>
    <n v="3"/>
    <x v="26"/>
    <x v="54"/>
    <s v="低醣磁應電飯煲1L"/>
    <s v="細電"/>
    <s v="SDA"/>
    <s v="10irph"/>
    <n v="1"/>
    <n v="798"/>
    <n v="798"/>
    <n v="368100"/>
    <m/>
    <m/>
    <s v="RC-10IRPH 368100"/>
    <n v="1388"/>
    <n v="0.5749279538904899"/>
    <s v="Toshiba SRP"/>
    <m/>
    <s v="368100"/>
  </r>
  <r>
    <n v="4515"/>
    <s v="Citistore"/>
    <s v="TW RS_2"/>
    <x v="61"/>
    <n v="3"/>
    <x v="26"/>
    <x v="70"/>
    <s v="12吋2合1座地座檯電風扇連遙控"/>
    <s v="細電"/>
    <s v="EAD"/>
    <s v="ya20"/>
    <n v="1"/>
    <n v="399"/>
    <n v="399"/>
    <n v="368114"/>
    <m/>
    <m/>
    <s v="F-LYA20(W)HKG 368114"/>
    <n v="988"/>
    <n v="0.40384615384615385"/>
    <s v="Toshiba SRP"/>
    <m/>
    <s v="368114"/>
  </r>
  <r>
    <n v="4516"/>
    <s v="Citistore"/>
    <s v="TW RS_2"/>
    <x v="61"/>
    <n v="3"/>
    <x v="26"/>
    <x v="27"/>
    <s v="4毫米厚釜電飯煲1.8L"/>
    <s v="細電"/>
    <s v="SDA"/>
    <s v="18nmf"/>
    <n v="1"/>
    <n v="799"/>
    <n v="799"/>
    <n v="368127"/>
    <m/>
    <m/>
    <s v="RC-18NMFIH(WT) 368127"/>
    <n v="998"/>
    <n v="0.80060120240480959"/>
    <s v="Toshiba SRP"/>
    <m/>
    <s v="368127"/>
  </r>
  <r>
    <n v="4517"/>
    <s v="Citistore"/>
    <s v="TW RS_2"/>
    <x v="61"/>
    <n v="3"/>
    <x v="26"/>
    <x v="29"/>
    <s v="酵活炊磁應電飯煲"/>
    <s v="細電"/>
    <s v="SDA"/>
    <s v="10bh"/>
    <n v="1"/>
    <n v="1688"/>
    <n v="1688"/>
    <n v="368135"/>
    <m/>
    <m/>
    <s v="RC-10BHH(W) 368135"/>
    <n v="2088"/>
    <n v="0.80842911877394641"/>
    <s v="Shops Highest Price"/>
    <m/>
    <s v="368135"/>
  </r>
  <r>
    <n v="4518"/>
    <s v="Citistore"/>
    <s v="TW RS_2"/>
    <x v="61"/>
    <n v="3"/>
    <x v="26"/>
    <x v="70"/>
    <s v="12吋2合1座地座檯電風扇連遙控"/>
    <s v="細電"/>
    <s v="EAD"/>
    <s v="ya20"/>
    <n v="1"/>
    <n v="399"/>
    <n v="399"/>
    <n v="368195"/>
    <m/>
    <m/>
    <s v="F-LYA20(W)HKG 368195"/>
    <n v="988"/>
    <n v="0.40384615384615385"/>
    <s v="Toshiba SRP"/>
    <m/>
    <s v="368195"/>
  </r>
  <r>
    <n v="4519"/>
    <s v="Citistore"/>
    <s v="TW RS_2"/>
    <x v="61"/>
    <n v="3"/>
    <x v="27"/>
    <x v="30"/>
    <s v="旋鈕式燒烤微波爐20L"/>
    <s v="細電"/>
    <s v="SDA"/>
    <s v="mm20"/>
    <n v="1"/>
    <n v="488"/>
    <n v="488"/>
    <n v="368315"/>
    <m/>
    <m/>
    <s v="MWP-MM20P(WH) 368315"/>
    <n v="648"/>
    <n v="0.75308641975308643"/>
    <s v="Toshiba SRP"/>
    <m/>
    <s v="368315"/>
  </r>
  <r>
    <n v="4520"/>
    <s v="Citistore"/>
    <s v="TW RS_2"/>
    <x v="61"/>
    <n v="3"/>
    <x v="27"/>
    <x v="114"/>
    <s v="變頻三門雪櫃 (233L)"/>
    <s v="大電"/>
    <s v="REF"/>
    <s v="rm352"/>
    <n v="1"/>
    <n v="3490"/>
    <n v="3490"/>
    <n v="368345"/>
    <m/>
    <m/>
    <s v="GR-RM352WI-PMA(53) 368345"/>
    <n v="5580"/>
    <n v="0.62544802867383509"/>
    <s v="Toshiba SRP"/>
    <m/>
    <s v="368345"/>
  </r>
  <r>
    <n v="4521"/>
    <s v="Citistore"/>
    <s v="TW RS_2"/>
    <x v="61"/>
    <n v="3"/>
    <x v="27"/>
    <x v="7"/>
    <s v="4毫米厚釜電飯煲0.54L"/>
    <s v="細電"/>
    <s v="SDA"/>
    <s v="5mm"/>
    <n v="1"/>
    <n v="450"/>
    <n v="450"/>
    <n v="368366"/>
    <m/>
    <m/>
    <s v="RC-5MMIH(WT) 368366"/>
    <n v="618"/>
    <n v="0.72815533980582525"/>
    <s v="Toshiba SRP"/>
    <m/>
    <s v="368366"/>
  </r>
  <r>
    <n v="4522"/>
    <s v="Citistore"/>
    <s v="TW RS_2"/>
    <x v="61"/>
    <n v="3"/>
    <x v="27"/>
    <x v="28"/>
    <s v="無線雙層電熱水壺-附可鎖壺蓋(0.8公升)"/>
    <s v="細電"/>
    <s v="SDA"/>
    <s v="08dh"/>
    <n v="1"/>
    <n v="268"/>
    <n v="268"/>
    <n v="368379"/>
    <m/>
    <m/>
    <s v="KT-08DH1VHK(W) 368379"/>
    <n v="428"/>
    <n v="0.62616822429906538"/>
    <s v="Toshiba SRP"/>
    <m/>
    <s v="368379"/>
  </r>
  <r>
    <n v="4523"/>
    <s v="Citistore"/>
    <s v="TW RS_2"/>
    <x v="61"/>
    <n v="3"/>
    <x v="27"/>
    <x v="44"/>
    <s v="1.7L無線雙層電熱水壺"/>
    <s v="細電"/>
    <s v="SDA"/>
    <s v="17shnh"/>
    <n v="1"/>
    <n v="198"/>
    <n v="198"/>
    <n v="368385"/>
    <m/>
    <m/>
    <s v="KT-17SHNH 368385"/>
    <n v="299"/>
    <n v="0.66220735785953178"/>
    <s v="Shops Highest Price"/>
    <m/>
    <s v="368385"/>
  </r>
  <r>
    <n v="4524"/>
    <s v="Citistore"/>
    <s v="TW RS_2"/>
    <x v="61"/>
    <n v="3"/>
    <x v="27"/>
    <x v="61"/>
    <s v="酵活炊電飯煲(1.8公升)"/>
    <s v="細電"/>
    <s v="SDA"/>
    <s v="18amx"/>
    <n v="1"/>
    <n v="990"/>
    <n v="990"/>
    <n v="368403"/>
    <m/>
    <m/>
    <s v="RC-18AMXH(W) 368403"/>
    <n v="1588"/>
    <n v="0.62342569269521408"/>
    <s v="Toshiba SRP"/>
    <m/>
    <s v="368403"/>
  </r>
  <r>
    <n v="4525"/>
    <s v="Citistore"/>
    <s v="TW RS_2"/>
    <x v="61"/>
    <n v="3"/>
    <x v="27"/>
    <x v="35"/>
    <s v="1.8公升電飯煲"/>
    <s v="細電"/>
    <s v="SDA"/>
    <s v="18jruh"/>
    <n v="1"/>
    <n v="300"/>
    <n v="300"/>
    <n v="607541"/>
    <m/>
    <m/>
    <s v="RC-18JRUH(N) 607541"/>
    <n v="458"/>
    <n v="0.65502183406113534"/>
    <s v="Shops Highest Price"/>
    <m/>
    <s v="607541"/>
  </r>
  <r>
    <n v="4526"/>
    <s v="Citistore"/>
    <s v="TW RS_2"/>
    <x v="61"/>
    <n v="3"/>
    <x v="27"/>
    <x v="42"/>
    <s v="變頻下置式雙門雪櫃系列270L"/>
    <s v="大電"/>
    <s v="REF"/>
    <s v="rb360"/>
    <n v="1"/>
    <n v="3580"/>
    <n v="3580"/>
    <n v="368416"/>
    <m/>
    <m/>
    <s v="GR-RB360WE-PMA(06) 368416"/>
    <n v="5080"/>
    <n v="0.70472440944881887"/>
    <s v="Toshiba SRP"/>
    <m/>
    <s v="368416"/>
  </r>
  <r>
    <n v="4527"/>
    <s v="Citistore"/>
    <s v="TW RS_2"/>
    <x v="61"/>
    <n v="3"/>
    <x v="27"/>
    <x v="51"/>
    <s v="IH磁應電飯煲"/>
    <s v="細電"/>
    <s v="SDA"/>
    <s v="dr10tw"/>
    <n v="1"/>
    <n v="2290"/>
    <n v="2290"/>
    <n v="368421"/>
    <m/>
    <m/>
    <s v="RC-DR10T(W) 368421"/>
    <n v="3188"/>
    <n v="0.71831869510664992"/>
    <s v="Toshiba SRP"/>
    <m/>
    <s v="368421"/>
  </r>
  <r>
    <n v="4528"/>
    <s v="Citistore"/>
    <s v="TW RS_2"/>
    <x v="61"/>
    <n v="3"/>
    <x v="27"/>
    <x v="101"/>
    <s v="旋鈕式微波爐 (25公升)"/>
    <s v="細電"/>
    <s v="MOA"/>
    <s v="mm25"/>
    <n v="1"/>
    <n v="698"/>
    <n v="698"/>
    <n v="368423"/>
    <m/>
    <m/>
    <s v="MW3-MM25PC(BK) 368423"/>
    <n v="998"/>
    <n v="0.69939879759519041"/>
    <s v="Toshiba SRP"/>
    <m/>
    <s v="368423"/>
  </r>
  <r>
    <n v="4529"/>
    <s v="Citistore"/>
    <s v="TW RS_2"/>
    <x v="61"/>
    <n v="3"/>
    <x v="27"/>
    <x v="51"/>
    <s v="IH磁應電飯煲"/>
    <s v="細電"/>
    <s v="SDA"/>
    <s v="dr10tw"/>
    <n v="1"/>
    <n v="2290"/>
    <n v="2290"/>
    <n v="368423"/>
    <m/>
    <m/>
    <s v="RC-DR10T(W) 368423"/>
    <n v="3188"/>
    <n v="0.71831869510664992"/>
    <s v="Toshiba SRP"/>
    <m/>
    <s v="368423"/>
  </r>
  <r>
    <n v="4530"/>
    <s v="Citistore"/>
    <s v="TW RS_2"/>
    <x v="61"/>
    <n v="3"/>
    <x v="27"/>
    <x v="21"/>
    <s v="壓縮式抽濕機 (30公升)"/>
    <s v="細電"/>
    <s v="RAC"/>
    <s v="d300"/>
    <n v="1"/>
    <n v="2180"/>
    <n v="2180"/>
    <n v="376007"/>
    <m/>
    <m/>
    <s v="RAD-D300H 376007"/>
    <n v="3380"/>
    <n v="0.6449704142011834"/>
    <s v="Shops Highest Price"/>
    <m/>
    <s v="376007"/>
  </r>
  <r>
    <n v="4531"/>
    <s v="Citistore"/>
    <s v="TW RS_2"/>
    <x v="61"/>
    <n v="3"/>
    <x v="27"/>
    <x v="43"/>
    <s v="470MM超薄身前置式變頻洗衣機(8.5公斤, 可飛頂)"/>
    <s v="大電"/>
    <s v="LAD"/>
    <s v="t2295"/>
    <n v="1"/>
    <n v="3680"/>
    <n v="3680"/>
    <n v="376007"/>
    <m/>
    <m/>
    <s v="TW-T22BU95UWH(WK)-B 376007"/>
    <n v="5880"/>
    <n v="0.62585034013605445"/>
    <s v="Toshiba SRP"/>
    <m/>
    <s v="376007"/>
  </r>
  <r>
    <n v="4532"/>
    <s v="Citistore"/>
    <s v="TW RS_2"/>
    <x v="61"/>
    <n v="3"/>
    <x v="27"/>
    <x v="24"/>
    <s v="微型電腦珍珠飯煲"/>
    <s v="細電"/>
    <s v="SDA"/>
    <s v="5sli"/>
    <n v="1"/>
    <n v="550"/>
    <n v="550"/>
    <n v="368476"/>
    <m/>
    <m/>
    <s v="RC-5SLIH(W) 368476"/>
    <n v="658"/>
    <n v="0.83586626139817632"/>
    <s v="Toshiba SRP"/>
    <m/>
    <s v="368476"/>
  </r>
  <r>
    <n v="4533"/>
    <s v="Citistore"/>
    <s v="TW RS_2"/>
    <x v="61"/>
    <n v="3"/>
    <x v="27"/>
    <x v="15"/>
    <s v="Induction Cooker"/>
    <s v="細電"/>
    <s v="SDA"/>
    <s v="21ts"/>
    <n v="1"/>
    <n v="698"/>
    <n v="698"/>
    <n v="490587"/>
    <m/>
    <m/>
    <s v="IC-21TSHK 490587"/>
    <n v="998"/>
    <n v="0.69939879759519041"/>
    <s v="Web SRP"/>
    <m/>
    <s v="490587"/>
  </r>
  <r>
    <n v="4534"/>
    <s v="Citistore"/>
    <s v="TW RS_2"/>
    <x v="61"/>
    <n v="3"/>
    <x v="27"/>
    <x v="70"/>
    <s v="12吋2合1座地座檯電風扇連遙控"/>
    <s v="細電"/>
    <s v="EAD"/>
    <s v="ya20"/>
    <n v="1"/>
    <n v="399"/>
    <n v="399"/>
    <n v="453121"/>
    <m/>
    <m/>
    <s v="F-LYA20(W)HKG 453121"/>
    <n v="988"/>
    <n v="0.40384615384615385"/>
    <s v="Toshiba SRP"/>
    <m/>
    <s v="453121"/>
  </r>
  <r>
    <n v="4535"/>
    <s v="Citistore"/>
    <s v="TW RS_2"/>
    <x v="61"/>
    <n v="3"/>
    <x v="27"/>
    <x v="57"/>
    <s v="多功能備長炭本厚釜電飯煲1L"/>
    <s v="細電"/>
    <s v="SDA"/>
    <s v="10drnh"/>
    <n v="1"/>
    <n v="499"/>
    <n v="499"/>
    <n v="368561"/>
    <m/>
    <m/>
    <s v="RC-10DRNH 368561"/>
    <n v="798"/>
    <n v="0.62531328320802004"/>
    <s v="Toshiba SRP"/>
    <m/>
    <s v="368561"/>
  </r>
  <r>
    <n v="4536"/>
    <s v="Citistore"/>
    <s v="TW RS_2"/>
    <x v="61"/>
    <n v="3"/>
    <x v="27"/>
    <x v="55"/>
    <s v="真空壓力磁應電飯煲(1.8公升)"/>
    <s v="細電"/>
    <s v="SDA"/>
    <s v="dx18t"/>
    <n v="1"/>
    <n v="4988"/>
    <n v="4988"/>
    <n v="368559"/>
    <m/>
    <m/>
    <s v="RC-DX18T(W) 368559"/>
    <n v="6388"/>
    <n v="0.7808390732623669"/>
    <s v="Toshiba SRP"/>
    <m/>
    <s v="368559"/>
  </r>
  <r>
    <n v="4537"/>
    <s v="Citistore"/>
    <s v="TW RS_2"/>
    <x v="61"/>
    <n v="3"/>
    <x v="27"/>
    <x v="45"/>
    <s v="備長炭本厚釜電飯煲0.7L"/>
    <s v="細電"/>
    <s v="SDA"/>
    <s v="7hmh"/>
    <n v="1"/>
    <n v="788"/>
    <n v="788"/>
    <n v="368551"/>
    <m/>
    <m/>
    <s v="RC-7HMH 368551"/>
    <n v="1288"/>
    <n v="0.61180124223602483"/>
    <s v="Toshiba SRP"/>
    <m/>
    <s v="368551"/>
  </r>
  <r>
    <n v="4538"/>
    <s v="Citistore"/>
    <s v="TW RS_2"/>
    <x v="61"/>
    <n v="3"/>
    <x v="27"/>
    <x v="61"/>
    <s v="酵活炊電飯煲(1.8公升)"/>
    <s v="細電"/>
    <s v="SDA"/>
    <s v="18amx"/>
    <n v="1"/>
    <n v="990"/>
    <n v="990"/>
    <n v="368539"/>
    <m/>
    <m/>
    <s v="RC-18AMXH(W) 368539"/>
    <n v="1588"/>
    <n v="0.62342569269521408"/>
    <s v="Toshiba SRP"/>
    <m/>
    <s v="368539"/>
  </r>
  <r>
    <n v="4539"/>
    <s v="Citistore"/>
    <s v="TW RS_2"/>
    <x v="61"/>
    <n v="3"/>
    <x v="27"/>
    <x v="70"/>
    <s v="12吋2合1座地座檯電風扇連遙控"/>
    <s v="細電"/>
    <s v="EAD"/>
    <s v="ya20"/>
    <n v="1"/>
    <n v="399"/>
    <n v="399"/>
    <n v="368589"/>
    <m/>
    <m/>
    <s v="F-LYA20(W)HKG 368589"/>
    <n v="988"/>
    <n v="0.40384615384615385"/>
    <s v="Toshiba SRP"/>
    <m/>
    <s v="368589"/>
  </r>
  <r>
    <n v="4540"/>
    <s v="Citistore"/>
    <s v="TW RS_2"/>
    <x v="61"/>
    <n v="3"/>
    <x v="27"/>
    <x v="61"/>
    <s v="酵活炊電飯煲(1.8公升)"/>
    <s v="細電"/>
    <s v="SDA"/>
    <s v="18amx"/>
    <n v="1"/>
    <n v="990"/>
    <n v="990"/>
    <n v="368593"/>
    <m/>
    <m/>
    <s v="RC-18AMXH(W) 368593"/>
    <n v="1588"/>
    <n v="0.62342569269521408"/>
    <s v="Toshiba SRP"/>
    <m/>
    <s v="368593"/>
  </r>
  <r>
    <n v="4541"/>
    <s v="Citistore"/>
    <s v="TW RS_2"/>
    <x v="61"/>
    <n v="3"/>
    <x v="27"/>
    <x v="20"/>
    <s v="壓縮式抽濕機 (22公升)"/>
    <s v="細電"/>
    <s v="RAC"/>
    <s v="d200"/>
    <n v="1"/>
    <n v="1880"/>
    <n v="1880"/>
    <n v="453382"/>
    <m/>
    <m/>
    <s v="RAD-D200H 453382"/>
    <n v="2880"/>
    <n v="0.65277777777777779"/>
    <s v="Shops Highest Price"/>
    <m/>
    <s v="453382"/>
  </r>
  <r>
    <n v="4542"/>
    <s v="Citistore"/>
    <s v="TW RS_2"/>
    <x v="61"/>
    <n v="3"/>
    <x v="27"/>
    <x v="61"/>
    <s v="酵活炊電飯煲(1.8公升)"/>
    <s v="細電"/>
    <s v="SDA"/>
    <s v="18amx"/>
    <n v="1"/>
    <n v="990"/>
    <n v="990"/>
    <n v="490792"/>
    <m/>
    <m/>
    <s v="RC-18AMXH(W) 490792"/>
    <n v="1588"/>
    <n v="0.62342569269521408"/>
    <s v="Toshiba SRP"/>
    <m/>
    <s v="490792"/>
  </r>
  <r>
    <n v="4543"/>
    <s v="Citistore"/>
    <s v="TW RS_2"/>
    <x v="61"/>
    <n v="3"/>
    <x v="27"/>
    <x v="86"/>
    <s v="470MM超薄身前置式變頻洗衣乾衣機 (洗8.5公斤 乾6公斤)"/>
    <s v="大電"/>
    <s v="LAD"/>
    <s v="twdt21"/>
    <n v="1"/>
    <n v="4480"/>
    <n v="4480"/>
    <n v="368610"/>
    <m/>
    <m/>
    <s v="TWD-T21BU95UWH(WW) 368610"/>
    <n v="7280"/>
    <n v="0.61538461538461542"/>
    <s v="Toshiba SRP"/>
    <m/>
    <s v="368610"/>
  </r>
  <r>
    <n v="4544"/>
    <s v="Citistore"/>
    <s v="TW RS_2"/>
    <x v="61"/>
    <n v="3"/>
    <x v="27"/>
    <x v="127"/>
    <s v="1.7L電熱水壺"/>
    <s v="細電"/>
    <s v="SDA"/>
    <s v="17drnh"/>
    <n v="1"/>
    <n v="388"/>
    <n v="388"/>
    <n v="368640"/>
    <m/>
    <m/>
    <s v="KT-17DRNH 368640"/>
    <n v="498"/>
    <n v="0.77911646586345384"/>
    <s v="Toshiba SRP"/>
    <m/>
    <s v="368640"/>
  </r>
  <r>
    <n v="4545"/>
    <s v="Citistore"/>
    <s v="TW RS_2"/>
    <x v="61"/>
    <n v="3"/>
    <x v="27"/>
    <x v="71"/>
    <s v="輕觸式平板燒烤微波爐 (26公升)"/>
    <s v="細電"/>
    <s v="MCA"/>
    <s v="eg26"/>
    <n v="1"/>
    <n v="888"/>
    <n v="888"/>
    <n v="448304"/>
    <m/>
    <m/>
    <s v="MV2-EG26PEI(BK) 448304"/>
    <n v="1180"/>
    <n v="0.75254237288135595"/>
    <s v="Toshiba SRP"/>
    <m/>
    <s v="448304"/>
  </r>
  <r>
    <n v="4546"/>
    <s v="Citistore"/>
    <s v="TW RS_2"/>
    <x v="61"/>
    <n v="3"/>
    <x v="27"/>
    <x v="24"/>
    <s v="微型電腦珍珠飯煲"/>
    <s v="細電"/>
    <s v="SDA"/>
    <s v="5sli"/>
    <n v="1"/>
    <n v="550"/>
    <n v="550"/>
    <n v="368672"/>
    <m/>
    <m/>
    <s v="RC-5SLIH(W) 368672"/>
    <n v="658"/>
    <n v="0.83586626139817632"/>
    <s v="Toshiba SRP"/>
    <m/>
    <s v="368672"/>
  </r>
  <r>
    <n v="4547"/>
    <s v="Citistore"/>
    <s v="TW RS_2"/>
    <x v="61"/>
    <n v="3"/>
    <x v="27"/>
    <x v="80"/>
    <s v="無線雙層電熱水壺(1.4公升)"/>
    <s v="細電"/>
    <s v="SDA"/>
    <s v="14dhu"/>
    <n v="1"/>
    <n v="298"/>
    <n v="298"/>
    <n v="368705"/>
    <m/>
    <m/>
    <s v="KT-14DHUHK(W) 368705"/>
    <n v="458"/>
    <n v="0.6506550218340611"/>
    <s v="Toshiba SRP"/>
    <m/>
    <s v="368705"/>
  </r>
  <r>
    <n v="4548"/>
    <s v="Citistore"/>
    <s v="TW RS_2"/>
    <x v="61"/>
    <n v="3"/>
    <x v="27"/>
    <x v="31"/>
    <s v="無線雙層電熱水壺(1.7公升)"/>
    <s v="細電"/>
    <s v="SDA"/>
    <s v="17drt"/>
    <n v="1"/>
    <n v="388"/>
    <n v="388"/>
    <n v="368720"/>
    <m/>
    <m/>
    <s v="KT-17DRTHK(H) 368720"/>
    <n v="498"/>
    <n v="0.77911646586345384"/>
    <s v="Toshiba SRP"/>
    <m/>
    <s v="368720"/>
  </r>
  <r>
    <n v="4549"/>
    <s v="Citistore"/>
    <s v="TW RS_2"/>
    <x v="61"/>
    <n v="3"/>
    <x v="27"/>
    <x v="70"/>
    <s v="12吋2合1座地座檯電風扇連遙控"/>
    <s v="細電"/>
    <s v="EAD"/>
    <s v="ya20"/>
    <n v="1"/>
    <n v="399"/>
    <n v="399"/>
    <n v="368757"/>
    <m/>
    <m/>
    <s v="F-LYA20(W)HKG 368757"/>
    <n v="988"/>
    <n v="0.40384615384615385"/>
    <s v="Toshiba SRP"/>
    <m/>
    <s v="368757"/>
  </r>
  <r>
    <n v="4550"/>
    <s v="Aeon"/>
    <s v="Kornhill"/>
    <x v="62"/>
    <n v="3"/>
    <x v="3"/>
    <x v="5"/>
    <s v="全自動洗衣機 (8公斤 結合高低水位)"/>
    <s v="大電"/>
    <s v="WM"/>
    <s v="m901"/>
    <n v="1"/>
    <n v="1500"/>
    <n v="1500"/>
    <m/>
    <s v="add page"/>
    <m/>
    <s v="AW-M901BPH(WW) "/>
    <n v="3580"/>
    <n v="0.41899441340782123"/>
    <s v="Toshiba SRP"/>
    <m/>
    <s v=""/>
  </r>
  <r>
    <n v="4551"/>
    <s v="Aeon"/>
    <s v="Kornhill"/>
    <x v="62"/>
    <n v="3"/>
    <x v="3"/>
    <x v="10"/>
    <s v="變頻上置式雙門雪櫃313L "/>
    <s v="大電"/>
    <s v="REF"/>
    <s v="rt416"/>
    <n v="1"/>
    <n v="2888"/>
    <n v="2888"/>
    <m/>
    <s v="add page"/>
    <m/>
    <s v="GR-RT416WE-PMA(06) "/>
    <n v="5380"/>
    <n v="0.53680297397769516"/>
    <s v="Toshiba SRP"/>
    <m/>
    <s v=""/>
  </r>
  <r>
    <n v="4552"/>
    <s v="Aeon"/>
    <s v="Kornhill"/>
    <x v="62"/>
    <n v="3"/>
    <x v="3"/>
    <x v="2"/>
    <s v="雙門變頻式環保雪櫃"/>
    <s v="大電"/>
    <s v="AC"/>
    <s v="a26hsz"/>
    <n v="2"/>
    <n v="1500"/>
    <n v="3000"/>
    <m/>
    <s v="add page"/>
    <m/>
    <s v="GR-A26HSZ(DS) "/>
    <n v="3780"/>
    <n v="0.3968253968253968"/>
    <s v="Toshiba SRP"/>
    <m/>
    <s v=""/>
  </r>
  <r>
    <n v="4553"/>
    <s v="Aeon"/>
    <s v="Kornhill"/>
    <x v="62"/>
    <n v="3"/>
    <x v="3"/>
    <x v="15"/>
    <s v="Induction Cooker"/>
    <s v="細電"/>
    <s v="SDA"/>
    <s v="21ts"/>
    <n v="3"/>
    <n v="500"/>
    <n v="1500"/>
    <m/>
    <s v="add page"/>
    <m/>
    <s v="IC-21TSHK "/>
    <n v="998"/>
    <n v="0.50100200400801598"/>
    <s v="Web SRP"/>
    <m/>
    <s v=""/>
  </r>
  <r>
    <n v="4554"/>
    <s v="Aeon"/>
    <s v="Kornhill"/>
    <x v="62"/>
    <n v="3"/>
    <x v="3"/>
    <x v="1"/>
    <s v="磁應電飯煲(1.5公升)"/>
    <s v="細電"/>
    <s v="SDA"/>
    <s v="15ist"/>
    <n v="5"/>
    <n v="500"/>
    <n v="2500"/>
    <m/>
    <s v="add page"/>
    <m/>
    <s v="RC-15ISTHK(W) "/>
    <n v="1688"/>
    <n v="0.29620853080568721"/>
    <s v="Toshiba SRP"/>
    <m/>
    <s v=""/>
  </r>
  <r>
    <n v="4555"/>
    <s v="Aeon"/>
    <s v="Kornhill"/>
    <x v="59"/>
    <n v="3"/>
    <x v="4"/>
    <x v="5"/>
    <s v="全自動洗衣機 (8公斤 結合高低水位)"/>
    <s v="大電"/>
    <s v="WM"/>
    <s v="m901"/>
    <n v="3"/>
    <n v="1500"/>
    <n v="4500"/>
    <m/>
    <s v="add page"/>
    <m/>
    <s v="AW-M901BPH(WW) "/>
    <n v="3580"/>
    <n v="0.41899441340782123"/>
    <s v="Toshiba SRP"/>
    <m/>
    <s v=""/>
  </r>
  <r>
    <n v="4556"/>
    <s v="Aeon"/>
    <s v="Kornhill"/>
    <x v="59"/>
    <n v="3"/>
    <x v="4"/>
    <x v="2"/>
    <s v="雙門變頻式環保雪櫃"/>
    <s v="大電"/>
    <s v="AC"/>
    <s v="a26hsz"/>
    <n v="4"/>
    <n v="1500"/>
    <n v="6000"/>
    <m/>
    <s v="add page"/>
    <m/>
    <s v="GR-A26HSZ(DS) "/>
    <n v="3780"/>
    <n v="0.3968253968253968"/>
    <s v="Toshiba SRP"/>
    <m/>
    <s v=""/>
  </r>
  <r>
    <n v="4557"/>
    <s v="Aeon"/>
    <s v="Kornhill"/>
    <x v="59"/>
    <n v="3"/>
    <x v="4"/>
    <x v="10"/>
    <s v="變頻上置式雙門雪櫃313L "/>
    <s v="大電"/>
    <s v="REF"/>
    <s v="rt416"/>
    <n v="2"/>
    <n v="2888"/>
    <n v="5776"/>
    <m/>
    <s v="add page"/>
    <m/>
    <s v="GR-RT416WE-PMA(06) "/>
    <n v="5380"/>
    <n v="0.53680297397769516"/>
    <s v="Toshiba SRP"/>
    <m/>
    <s v=""/>
  </r>
  <r>
    <n v="4558"/>
    <s v="Aeon"/>
    <s v="Kornhill"/>
    <x v="59"/>
    <n v="3"/>
    <x v="4"/>
    <x v="15"/>
    <s v="Induction Cooker"/>
    <s v="細電"/>
    <s v="SDA"/>
    <s v="21ts"/>
    <n v="5"/>
    <n v="500"/>
    <n v="2500"/>
    <m/>
    <s v="add page"/>
    <m/>
    <s v="IC-21TSHK "/>
    <n v="998"/>
    <n v="0.50100200400801598"/>
    <s v="Web SRP"/>
    <m/>
    <s v=""/>
  </r>
  <r>
    <n v="4559"/>
    <s v="Aeon"/>
    <s v="Kornhill"/>
    <x v="59"/>
    <n v="3"/>
    <x v="4"/>
    <x v="6"/>
    <s v="旋鈕式微波爐24L"/>
    <s v="細電"/>
    <s v="SDA"/>
    <s v="mm24"/>
    <n v="2"/>
    <n v="500"/>
    <n v="1000"/>
    <m/>
    <s v="add page"/>
    <m/>
    <s v="MW2-MM24PC(BK) "/>
    <n v="848"/>
    <n v="0.589622641509434"/>
    <s v="Toshiba SRP"/>
    <m/>
    <s v=""/>
  </r>
  <r>
    <n v="4560"/>
    <s v="Aeon"/>
    <s v="Kornhill"/>
    <x v="59"/>
    <n v="3"/>
    <x v="4"/>
    <x v="9"/>
    <s v="電熱水瓶4.5L"/>
    <s v="細電"/>
    <s v="SDA"/>
    <s v="45sf"/>
    <n v="4"/>
    <n v="500"/>
    <n v="2000"/>
    <m/>
    <s v="add page"/>
    <m/>
    <s v="PLK-45SFIH(WT) "/>
    <n v="788"/>
    <n v="0.63451776649746194"/>
    <s v="Toshiba SRP"/>
    <m/>
    <s v=""/>
  </r>
  <r>
    <n v="4561"/>
    <s v="Aeon"/>
    <s v="Kornhill"/>
    <x v="59"/>
    <n v="3"/>
    <x v="4"/>
    <x v="4"/>
    <s v="RO座檯式飲水機"/>
    <s v="細電"/>
    <s v="KWH"/>
    <s v="tsr76"/>
    <n v="2"/>
    <n v="1500"/>
    <n v="3000"/>
    <m/>
    <s v="add page"/>
    <m/>
    <s v="TWP-TSR76THK(W) "/>
    <n v="2680"/>
    <n v="0.55970149253731338"/>
    <s v="Toshiba SRP"/>
    <m/>
    <s v=""/>
  </r>
  <r>
    <n v="4562"/>
    <s v="Aeon"/>
    <s v="Kornhill"/>
    <x v="59"/>
    <n v="3"/>
    <x v="4"/>
    <x v="3"/>
    <s v="7.5KG超薄身前置式變頻洗衣機"/>
    <s v="大電"/>
    <s v="WM"/>
    <s v="bl85a2"/>
    <n v="3"/>
    <n v="2588"/>
    <n v="7764"/>
    <m/>
    <s v="add page"/>
    <m/>
    <s v="TW-BL85A2H(WW) "/>
    <n v="5080"/>
    <n v="0.50944881889763782"/>
    <s v="Toshiba SRP"/>
    <m/>
    <s v=""/>
  </r>
  <r>
    <n v="4563"/>
    <s v="Aeon"/>
    <s v="Kornhill"/>
    <x v="59"/>
    <n v="3"/>
    <x v="4"/>
    <x v="1"/>
    <s v="磁應電飯煲(1.5公升)"/>
    <s v="細電"/>
    <s v="SDA"/>
    <s v="15ist"/>
    <n v="10"/>
    <n v="500"/>
    <n v="5000"/>
    <m/>
    <s v="add page"/>
    <m/>
    <s v="RC-15ISTHK(W) "/>
    <n v="1688"/>
    <n v="0.29620853080568721"/>
    <s v="Toshiba SRP"/>
    <m/>
    <s v=""/>
  </r>
  <r>
    <n v="4564"/>
    <s v="Aeon"/>
    <s v="Kornhill"/>
    <x v="59"/>
    <n v="3"/>
    <x v="6"/>
    <x v="135"/>
    <s v="變頻日式洗衣機 (10公斤 結合高低水位)"/>
    <s v="大電"/>
    <s v="LAD"/>
    <s v="dq110"/>
    <n v="1"/>
    <n v="2446"/>
    <n v="2446"/>
    <n v="6029889"/>
    <s v="add this row"/>
    <m/>
    <s v="AW-DQ110JPH(WW) 6029889"/>
    <n v="4680"/>
    <n v="0.52264957264957268"/>
    <s v="Toshiba SRP"/>
    <m/>
    <s v="6029889"/>
  </r>
  <r>
    <n v="4565"/>
    <s v="Sogo"/>
    <s v="Kai Tak_3"/>
    <x v="22"/>
    <n v="3"/>
    <x v="3"/>
    <x v="22"/>
    <s v="變頻五門雪櫃(375L)"/>
    <s v="大電"/>
    <s v="REF"/>
    <s v="rm612"/>
    <n v="1"/>
    <n v="9980"/>
    <n v="9980"/>
    <s v="S056-25289"/>
    <s v="Delivery"/>
    <m/>
    <s v="GR-RM612WE-PGA(B5) S056-25289"/>
    <n v="11000"/>
    <n v="0.90727272727272723"/>
    <s v="Shops Highest Price"/>
    <m/>
    <s v="S056-25289"/>
  </r>
  <r>
    <n v="4566"/>
    <s v="Sogo"/>
    <s v="Kai Tak_3"/>
    <x v="22"/>
    <n v="3"/>
    <x v="3"/>
    <x v="117"/>
    <s v="JAPANDi 嵌入式微波氣炸蒸焗爐 (45厘米)"/>
    <s v="大電"/>
    <s v="MCA"/>
    <s v="t500"/>
    <n v="1"/>
    <n v="13800"/>
    <n v="13800"/>
    <s v="S056-25280"/>
    <s v="Delivery"/>
    <m/>
    <s v="EB-T500APW S056-25280"/>
    <n v="28800"/>
    <n v="0.47916666666666669"/>
    <s v="Toshiba SRP"/>
    <m/>
    <s v="S056-25280"/>
  </r>
  <r>
    <n v="4567"/>
    <s v="Sogo"/>
    <s v="Kai Tak_3"/>
    <x v="22"/>
    <n v="3"/>
    <x v="3"/>
    <x v="28"/>
    <s v="無線雙層電熱水壺-附可鎖壺蓋(0.8公升)"/>
    <s v="細電"/>
    <s v="SDA"/>
    <s v="08dh"/>
    <n v="1"/>
    <n v="268"/>
    <n v="268"/>
    <s v="S056-25289"/>
    <s v="Pickup"/>
    <m/>
    <s v="KT-08DH1VHK(W) S056-25289"/>
    <n v="428"/>
    <n v="0.62616822429906538"/>
    <s v="Toshiba SRP"/>
    <m/>
    <s v="S056-25289"/>
  </r>
  <r>
    <n v="4568"/>
    <s v="Sogo"/>
    <s v="Kai Tak_3"/>
    <x v="22"/>
    <n v="3"/>
    <x v="3"/>
    <x v="45"/>
    <s v="備長炭本厚釜電飯煲0.7L"/>
    <s v="細電"/>
    <s v="SDA"/>
    <s v="7hmh"/>
    <n v="1"/>
    <n v="838"/>
    <n v="838"/>
    <s v="S055-10433"/>
    <s v="Pickup"/>
    <m/>
    <s v="RC-7HMH S055-10433"/>
    <n v="1288"/>
    <n v="0.65062111801242239"/>
    <s v="Toshiba SRP"/>
    <m/>
    <s v="S055-10433"/>
  </r>
  <r>
    <n v="4569"/>
    <s v="Sogo"/>
    <s v="Kai Tak_3"/>
    <x v="22"/>
    <n v="3"/>
    <x v="3"/>
    <x v="7"/>
    <s v="4毫米厚釜電飯煲0.54L"/>
    <s v="細電"/>
    <s v="SDA"/>
    <s v="5mm"/>
    <n v="1"/>
    <n v="549"/>
    <n v="549"/>
    <s v="S053-2404"/>
    <s v="Pickup"/>
    <m/>
    <s v="RC-5MMIH(WT) S053-2404"/>
    <n v="618"/>
    <n v="0.88834951456310685"/>
    <s v="Toshiba SRP"/>
    <m/>
    <s v="S053-2404"/>
  </r>
  <r>
    <n v="4570"/>
    <s v="Sogo"/>
    <s v="Kai Tak_3"/>
    <x v="22"/>
    <n v="3"/>
    <x v="3"/>
    <x v="74"/>
    <s v="4合1氣炸微波蒸焗爐(25公升)"/>
    <s v="細電"/>
    <s v="MCA"/>
    <s v="str25"/>
    <n v="1"/>
    <n v="3580"/>
    <n v="3580"/>
    <s v="S053-2403"/>
    <s v="Delivery"/>
    <m/>
    <s v="MX2-STR25SC(WH) S053-2403"/>
    <n v="4998"/>
    <n v="0.71628651460584236"/>
    <s v="Toshiba SRP"/>
    <m/>
    <s v="S053-2403"/>
  </r>
  <r>
    <n v="4571"/>
    <s v="Sogo"/>
    <s v="Kai Tak_3"/>
    <x v="22"/>
    <n v="3"/>
    <x v="3"/>
    <x v="0"/>
    <s v="超薄身前置式洗衣乾衣機 (洗8公斤 乾5公斤)"/>
    <s v="大電"/>
    <s v="WM"/>
    <s v="bn90"/>
    <n v="1"/>
    <n v="3980"/>
    <n v="3980"/>
    <s v="S053-2403"/>
    <s v="Delivery"/>
    <m/>
    <s v="TWD-BN90GF4H(WK) S053-2403"/>
    <n v="5980"/>
    <n v="0.66555183946488294"/>
    <s v="Toshiba SRP"/>
    <m/>
    <s v="S053-2403"/>
  </r>
  <r>
    <n v="4572"/>
    <s v="Sogo"/>
    <s v="Kai Tak_3"/>
    <x v="22"/>
    <n v="3"/>
    <x v="3"/>
    <x v="50"/>
    <s v="輕便式電磁爐7個功能"/>
    <s v="細電"/>
    <s v="SDA"/>
    <s v="s19"/>
    <n v="1"/>
    <n v="418"/>
    <n v="418"/>
    <s v="S055-10446"/>
    <s v="Pickup"/>
    <m/>
    <s v="IC-S19RH S055-10446"/>
    <n v="638"/>
    <n v="0.65517241379310343"/>
    <s v="Toshiba SRP"/>
    <m/>
    <s v="S055-10446"/>
  </r>
  <r>
    <n v="4573"/>
    <s v="Sogo"/>
    <s v="Kai Tak_3"/>
    <x v="22"/>
    <n v="3"/>
    <x v="3"/>
    <x v="24"/>
    <s v="微型電腦珍珠飯煲"/>
    <s v="細電"/>
    <s v="SDA"/>
    <s v="5sli"/>
    <n v="1"/>
    <n v="592"/>
    <n v="592"/>
    <s v="S055-10447"/>
    <s v="Pickup"/>
    <m/>
    <s v="RC-5SLIH(W) S055-10447"/>
    <n v="658"/>
    <n v="0.89969604863221886"/>
    <s v="Toshiba SRP"/>
    <m/>
    <s v="S055-10447"/>
  </r>
  <r>
    <n v="4574"/>
    <s v="Sogo"/>
    <s v="Kai Tak_3"/>
    <x v="22"/>
    <n v="3"/>
    <x v="3"/>
    <x v="21"/>
    <s v="壓縮式抽濕機 (30公升)"/>
    <s v="細電"/>
    <s v="RAC"/>
    <s v="d300"/>
    <n v="1"/>
    <n v="2280"/>
    <n v="2280"/>
    <s v="S055-10444"/>
    <s v="Delivery"/>
    <m/>
    <s v="RAD-D300H S055-10444"/>
    <n v="3380"/>
    <n v="0.67455621301775148"/>
    <s v="Shops Highest Price"/>
    <m/>
    <s v="S055-10444"/>
  </r>
  <r>
    <n v="4575"/>
    <s v="Sogo"/>
    <s v="Kai Tak_3"/>
    <x v="22"/>
    <n v="3"/>
    <x v="3"/>
    <x v="41"/>
    <s v="低醣磁應電飯煲1.8L"/>
    <s v="細電"/>
    <s v="SDA"/>
    <s v="18isph"/>
    <n v="1"/>
    <n v="898"/>
    <n v="898"/>
    <s v="S055-10444"/>
    <s v="Delivery"/>
    <m/>
    <s v="RC-18ISPH S055-10444"/>
    <n v="1436"/>
    <n v="0.62534818941504178"/>
    <s v="Shops Highest Price"/>
    <m/>
    <s v="S055-10444"/>
  </r>
  <r>
    <n v="4576"/>
    <s v="Sogo"/>
    <s v="Kai Tak_3"/>
    <x v="22"/>
    <n v="3"/>
    <x v="3"/>
    <x v="45"/>
    <s v="備長炭本厚釜電飯煲0.7L"/>
    <s v="細電"/>
    <s v="SDA"/>
    <s v="7hmh"/>
    <n v="1"/>
    <n v="838"/>
    <n v="838"/>
    <s v="S056-25326"/>
    <s v="Delivery"/>
    <m/>
    <s v="RC-7HMH S056-25326"/>
    <n v="1288"/>
    <n v="0.65062111801242239"/>
    <s v="Toshiba SRP"/>
    <m/>
    <s v="S056-25326"/>
  </r>
  <r>
    <n v="4577"/>
    <s v="Sogo"/>
    <s v="Kai Tak_3"/>
    <x v="22"/>
    <n v="3"/>
    <x v="3"/>
    <x v="63"/>
    <s v="20L 智能蒸氣焗爐"/>
    <s v="細電"/>
    <s v="MCA"/>
    <s v="stq20"/>
    <n v="1"/>
    <n v="2100"/>
    <n v="2100"/>
    <s v="S056-25334"/>
    <s v="Delivery"/>
    <m/>
    <s v="MS3-STQ20SC(WH) S056-25334"/>
    <n v="2880"/>
    <n v="0.72916666666666663"/>
    <s v="Toshiba SRP"/>
    <m/>
    <s v="S056-25334"/>
  </r>
  <r>
    <n v="4578"/>
    <s v="Sogo"/>
    <s v="Kai Tak_3"/>
    <x v="22"/>
    <n v="3"/>
    <x v="4"/>
    <x v="122"/>
    <s v="多功能焗爐 (25公升)"/>
    <s v="細電"/>
    <s v="MOA"/>
    <s v="mc25"/>
    <n v="1"/>
    <n v="648"/>
    <n v="648"/>
    <s v="S053-2419"/>
    <s v="Delivery"/>
    <m/>
    <s v="TL2-MC25CZE(GR) S053-2419"/>
    <n v="798"/>
    <n v="0.81203007518796988"/>
    <s v="Shops Highest Price"/>
    <m/>
    <s v="S053-2419"/>
  </r>
  <r>
    <n v="4579"/>
    <s v="Sogo"/>
    <s v="Kai Tak_3"/>
    <x v="22"/>
    <n v="3"/>
    <x v="4"/>
    <x v="39"/>
    <s v="酵活炊電飯煲(1.0公升)"/>
    <s v="細電"/>
    <s v="SDA"/>
    <s v="10amx"/>
    <n v="1"/>
    <n v="990"/>
    <n v="990"/>
    <s v="S053-2419"/>
    <s v="Delivery"/>
    <m/>
    <s v="RC-10AMXH(W) S053-2419"/>
    <n v="1288"/>
    <n v="0.76863354037267084"/>
    <s v="Toshiba SRP"/>
    <m/>
    <s v="S053-2419"/>
  </r>
  <r>
    <n v="4580"/>
    <s v="Sogo"/>
    <s v="Kai Tak_3"/>
    <x v="22"/>
    <n v="3"/>
    <x v="4"/>
    <x v="70"/>
    <s v="12吋2合1座地座檯電風扇連遙控"/>
    <s v="細電"/>
    <s v="EAD"/>
    <s v="ya20"/>
    <n v="1"/>
    <n v="398"/>
    <n v="398"/>
    <s v="S053-2419"/>
    <s v="Delivery"/>
    <m/>
    <s v="F-LYA20(W)HKG S053-2419"/>
    <n v="988"/>
    <n v="0.40283400809716602"/>
    <s v="Toshiba SRP"/>
    <m/>
    <s v="S053-2419"/>
  </r>
  <r>
    <n v="4581"/>
    <s v="Sogo"/>
    <s v="Kai Tak_3"/>
    <x v="22"/>
    <n v="3"/>
    <x v="4"/>
    <x v="74"/>
    <s v="4合1氣炸微波蒸焗爐(25公升)"/>
    <s v="細電"/>
    <s v="MCA"/>
    <s v="str25"/>
    <n v="1"/>
    <n v="3580"/>
    <n v="3580"/>
    <s v="S053-2418"/>
    <s v="Delivery"/>
    <m/>
    <s v="MX2-STR25SC(WH) S053-2418"/>
    <n v="4998"/>
    <n v="0.71628651460584236"/>
    <s v="Toshiba SRP"/>
    <m/>
    <s v="S053-2418"/>
  </r>
  <r>
    <n v="4582"/>
    <s v="Sogo"/>
    <s v="Kai Tak_3"/>
    <x v="22"/>
    <n v="3"/>
    <x v="4"/>
    <x v="39"/>
    <s v="酵活炊電飯煲(1.0公升)"/>
    <s v="細電"/>
    <s v="SDA"/>
    <s v="10amx"/>
    <n v="1"/>
    <n v="1000"/>
    <n v="1000"/>
    <s v="S053-2420"/>
    <s v="Pickup"/>
    <m/>
    <s v="RC-10AMXH(W) S053-2420"/>
    <n v="1288"/>
    <n v="0.77639751552795033"/>
    <s v="Toshiba SRP"/>
    <m/>
    <s v="S053-2420"/>
  </r>
  <r>
    <n v="4583"/>
    <s v="Sogo"/>
    <s v="Kai Tak_3"/>
    <x v="22"/>
    <n v="3"/>
    <x v="4"/>
    <x v="77"/>
    <s v="470MM超薄身前置式變頻洗衣乾衣機 (洗8.5公斤/乾6公斤, 可飛頂)"/>
    <s v="大電"/>
    <s v="LAD"/>
    <s v="twdt22"/>
    <n v="1"/>
    <n v="3680"/>
    <n v="3680"/>
    <s v="S053-2421"/>
    <s v="Delivery"/>
    <m/>
    <s v="TWD-T22BU95UWH(WK)-B S053-2421"/>
    <n v="7480"/>
    <n v="0.49197860962566847"/>
    <s v="Toshiba SRP"/>
    <m/>
    <s v="S053-2421"/>
  </r>
  <r>
    <n v="4584"/>
    <s v="Sogo"/>
    <s v="Kai Tak_3"/>
    <x v="22"/>
    <n v="3"/>
    <x v="4"/>
    <x v="87"/>
    <s v="變頻式環保雙門雪櫃(233L)"/>
    <s v="大電"/>
    <s v="REF"/>
    <s v="rt300"/>
    <n v="1"/>
    <n v="2780"/>
    <n v="2780"/>
    <s v="S053-2421"/>
    <s v="Delivery"/>
    <m/>
    <s v="GR-RT300WE-PMA(57) S053-2421"/>
    <n v="4280"/>
    <n v="0.64953271028037385"/>
    <s v="Toshiba SRP"/>
    <m/>
    <s v="S053-2421"/>
  </r>
  <r>
    <n v="4585"/>
    <s v="Sogo"/>
    <s v="Kai Tak_3"/>
    <x v="22"/>
    <n v="3"/>
    <x v="4"/>
    <x v="36"/>
    <s v="輕觸式微波爐 (20公升)"/>
    <s v="細電"/>
    <s v="MCA"/>
    <s v="em20"/>
    <n v="1"/>
    <n v="598"/>
    <n v="598"/>
    <s v="S053-2421"/>
    <s v="Delivery"/>
    <m/>
    <s v="MM2-EM20PC(WH) S053-2421"/>
    <n v="788"/>
    <n v="0.75888324873096447"/>
    <s v="Toshiba SRP"/>
    <m/>
    <s v="S053-2421"/>
  </r>
  <r>
    <n v="4586"/>
    <s v="Sogo"/>
    <s v="Kai Tak_3"/>
    <x v="22"/>
    <n v="3"/>
    <x v="4"/>
    <x v="51"/>
    <s v="IH磁應電飯煲"/>
    <s v="細電"/>
    <s v="SDA"/>
    <s v="dr10tw"/>
    <n v="1"/>
    <n v="2380"/>
    <n v="2380"/>
    <s v="S053-2422"/>
    <s v="Pickup"/>
    <m/>
    <s v="RC-DR10T(W) S053-2422"/>
    <n v="3188"/>
    <n v="0.74654956085319946"/>
    <s v="Toshiba SRP"/>
    <m/>
    <s v="S053-2422"/>
  </r>
  <r>
    <n v="4587"/>
    <s v="Sogo"/>
    <s v="Kai Tak_3"/>
    <x v="22"/>
    <n v="3"/>
    <x v="4"/>
    <x v="21"/>
    <s v="壓縮式抽濕機 (30公升)"/>
    <s v="細電"/>
    <s v="RAC"/>
    <s v="d300"/>
    <n v="1"/>
    <n v="2280"/>
    <n v="2280"/>
    <s v="S053-2433"/>
    <s v="Delivery"/>
    <m/>
    <s v="RAD-D300H S053-2433"/>
    <n v="3380"/>
    <n v="0.67455621301775148"/>
    <s v="Shops Highest Price"/>
    <m/>
    <s v="S053-2433"/>
  </r>
  <r>
    <n v="4588"/>
    <s v="Sogo"/>
    <s v="Kai Tak_3"/>
    <x v="22"/>
    <n v="3"/>
    <x v="4"/>
    <x v="51"/>
    <s v="IH磁應電飯煲"/>
    <s v="細電"/>
    <s v="SDA"/>
    <s v="dr10tw"/>
    <n v="1"/>
    <n v="2380"/>
    <n v="2380"/>
    <s v="S053-2435"/>
    <s v="Pickup"/>
    <m/>
    <s v="RC-DR10T(W) S053-2435"/>
    <n v="3188"/>
    <n v="0.74654956085319946"/>
    <s v="Toshiba SRP"/>
    <m/>
    <s v="S053-2435"/>
  </r>
  <r>
    <n v="4589"/>
    <s v="Sogo"/>
    <s v="Kai Tak_3"/>
    <x v="22"/>
    <n v="3"/>
    <x v="4"/>
    <x v="39"/>
    <s v="酵活炊電飯煲(1.0公升)"/>
    <s v="細電"/>
    <s v="SDA"/>
    <s v="10amx"/>
    <n v="1"/>
    <n v="1000"/>
    <n v="1000"/>
    <s v="S056-25393"/>
    <s v="Pickup"/>
    <m/>
    <s v="RC-10AMXH(W) S056-25393"/>
    <n v="1288"/>
    <n v="0.77639751552795033"/>
    <s v="Toshiba SRP"/>
    <m/>
    <s v="S056-25393"/>
  </r>
  <r>
    <n v="4590"/>
    <s v="Sogo"/>
    <s v="Kai Tak_3"/>
    <x v="22"/>
    <n v="3"/>
    <x v="4"/>
    <x v="61"/>
    <s v="酵活炊電飯煲(1.8公升)"/>
    <s v="細電"/>
    <s v="SDA"/>
    <s v="18amx"/>
    <n v="1"/>
    <n v="1000"/>
    <n v="1000"/>
    <s v="S056-2441"/>
    <s v="Delivery"/>
    <m/>
    <s v="RC-18AMXH(W) S056-2441"/>
    <n v="1588"/>
    <n v="0.62972292191435764"/>
    <s v="Toshiba SRP"/>
    <m/>
    <s v="S056-2441"/>
  </r>
  <r>
    <n v="4591"/>
    <s v="Sogo"/>
    <s v="Kai Tak_3"/>
    <x v="22"/>
    <n v="3"/>
    <x v="4"/>
    <x v="145"/>
    <s v="輕便式電磁爐5個功能"/>
    <s v="細電"/>
    <s v="SDA"/>
    <s v="r19"/>
    <n v="1"/>
    <n v="450"/>
    <n v="450"/>
    <s v="S056-2445"/>
    <s v="Pickup"/>
    <m/>
    <s v="IC-R19RH S056-2445"/>
    <n v="598"/>
    <n v="0.75250836120401343"/>
    <s v="Toshiba SRP"/>
    <m/>
    <s v="S056-2445"/>
  </r>
  <r>
    <n v="4592"/>
    <s v="Sogo"/>
    <s v="Kai Tak_3"/>
    <x v="22"/>
    <n v="3"/>
    <x v="4"/>
    <x v="61"/>
    <s v="酵活炊電飯煲(1.8公升)"/>
    <s v="細電"/>
    <s v="SDA"/>
    <s v="18amx"/>
    <n v="1"/>
    <n v="1000"/>
    <n v="1000"/>
    <s v="S053-2447"/>
    <s v="Delivery"/>
    <m/>
    <s v="RC-18AMXH(W) S053-2447"/>
    <n v="1588"/>
    <n v="0.62972292191435764"/>
    <s v="Toshiba SRP"/>
    <m/>
    <s v="S053-2447"/>
  </r>
  <r>
    <n v="4593"/>
    <s v="Sogo"/>
    <s v="Kai Tak_1"/>
    <x v="63"/>
    <n v="3"/>
    <x v="20"/>
    <x v="45"/>
    <s v="備長炭本厚釜電飯煲0.7L"/>
    <s v="細電"/>
    <s v="SDA"/>
    <s v="7hmh"/>
    <n v="1"/>
    <n v="838"/>
    <n v="838"/>
    <s v="S056-25627"/>
    <s v="Pickup"/>
    <m/>
    <s v="RC-7HMH S056-25627"/>
    <n v="1288"/>
    <n v="0.65062111801242239"/>
    <s v="Toshiba SRP"/>
    <m/>
    <s v="S056-25627"/>
  </r>
  <r>
    <n v="4594"/>
    <s v="Sogo"/>
    <s v="Kai Tak_1"/>
    <x v="63"/>
    <n v="3"/>
    <x v="20"/>
    <x v="28"/>
    <s v="無線雙層電熱水壺-附可鎖壺蓋(0.8公升)"/>
    <s v="細電"/>
    <s v="SDA"/>
    <s v="08dh"/>
    <n v="1"/>
    <n v="268"/>
    <n v="268"/>
    <s v="S056-25651"/>
    <s v="Pickup"/>
    <m/>
    <s v="KT-08DH1VHK(W) S056-25651"/>
    <n v="428"/>
    <n v="0.62616822429906538"/>
    <s v="Toshiba SRP"/>
    <m/>
    <s v="S056-25651"/>
  </r>
  <r>
    <n v="4595"/>
    <s v="Sogo"/>
    <s v="Kai Tak_1"/>
    <x v="63"/>
    <n v="3"/>
    <x v="20"/>
    <x v="8"/>
    <s v="電壓力鍋"/>
    <s v="細電"/>
    <s v="SDA"/>
    <s v="48drs"/>
    <n v="1"/>
    <n v="788"/>
    <n v="788"/>
    <s v="S562-0109"/>
    <s v="Pickup"/>
    <m/>
    <s v="PC-48DRSHK(K) S562-0109"/>
    <n v="1188"/>
    <n v="0.66329966329966328"/>
    <s v="Shops Highest Price"/>
    <m/>
    <s v="S562-0109"/>
  </r>
  <r>
    <n v="4596"/>
    <s v="Sogo"/>
    <s v="Kai Tak_1"/>
    <x v="63"/>
    <n v="3"/>
    <x v="20"/>
    <x v="36"/>
    <s v="輕觸式微波爐 (20公升)"/>
    <s v="細電"/>
    <s v="MCA"/>
    <s v="em20"/>
    <n v="1"/>
    <n v="598"/>
    <n v="598"/>
    <s v="S056-25677"/>
    <s v="Delivery"/>
    <m/>
    <s v="MM2-EM20PC(WH) S056-25677"/>
    <n v="788"/>
    <n v="0.75888324873096447"/>
    <s v="Toshiba SRP"/>
    <m/>
    <s v="S056-25677"/>
  </r>
  <r>
    <n v="4597"/>
    <s v="Sogo"/>
    <s v="Kai Tak_1"/>
    <x v="63"/>
    <n v="3"/>
    <x v="20"/>
    <x v="57"/>
    <s v="多功能備長炭本厚釜電飯煲1L"/>
    <s v="細電"/>
    <s v="SDA"/>
    <s v="10drnh"/>
    <n v="1"/>
    <n v="549"/>
    <n v="549"/>
    <s v="S056-25680"/>
    <s v="Pickup"/>
    <m/>
    <s v="RC-10DRNH S056-25680"/>
    <n v="798"/>
    <n v="0.68796992481203012"/>
    <s v="Toshiba SRP"/>
    <m/>
    <s v="S056-25680"/>
  </r>
  <r>
    <n v="4598"/>
    <s v="Sogo"/>
    <s v="Kai Tak_1"/>
    <x v="63"/>
    <n v="3"/>
    <x v="20"/>
    <x v="9"/>
    <s v="電熱水瓶4.5L"/>
    <s v="細電"/>
    <s v="SDA"/>
    <s v="45sf"/>
    <n v="1"/>
    <n v="631"/>
    <n v="631"/>
    <s v="S056-25680"/>
    <s v="Pickup"/>
    <m/>
    <s v="PLK-45SFIH(WT) S056-25680"/>
    <n v="788"/>
    <n v="0.800761421319797"/>
    <s v="Toshiba SRP"/>
    <m/>
    <s v="S056-25680"/>
  </r>
  <r>
    <n v="4599"/>
    <s v="Sogo"/>
    <s v="Kai Tak_1"/>
    <x v="63"/>
    <n v="3"/>
    <x v="20"/>
    <x v="15"/>
    <s v="Induction Cooker"/>
    <s v="細電"/>
    <s v="SDA"/>
    <s v="21ts"/>
    <n v="1"/>
    <n v="698"/>
    <n v="698"/>
    <s v="S056-25680"/>
    <s v="Pickup"/>
    <m/>
    <s v="IC-21TSHK S056-25680"/>
    <n v="998"/>
    <n v="0.69939879759519041"/>
    <s v="Web SRP"/>
    <m/>
    <s v="S056-25680"/>
  </r>
  <r>
    <n v="4600"/>
    <s v="Sogo"/>
    <s v="Kai Tak_1"/>
    <x v="63"/>
    <n v="3"/>
    <x v="21"/>
    <x v="38"/>
    <s v="無線雙層電熱水壺-附可鎖壺蓋"/>
    <s v="細電"/>
    <s v="SDA"/>
    <s v="15drt"/>
    <n v="1"/>
    <n v="338"/>
    <n v="338"/>
    <s v="S056-25728"/>
    <s v="Pickup"/>
    <m/>
    <s v="KT-15DRTHK(W) S056-25728"/>
    <n v="598"/>
    <n v="0.56521739130434778"/>
    <s v="Toshiba SRP"/>
    <m/>
    <s v="S056-25728"/>
  </r>
  <r>
    <n v="4601"/>
    <s v="Sogo"/>
    <s v="Kai Tak_1"/>
    <x v="63"/>
    <n v="3"/>
    <x v="21"/>
    <x v="31"/>
    <s v="無線雙層電熱水壺(1.7公升)"/>
    <s v="細電"/>
    <s v="SDA"/>
    <s v="17drt"/>
    <n v="1"/>
    <n v="388"/>
    <n v="388"/>
    <s v="S056-25778"/>
    <s v="Pickup"/>
    <m/>
    <s v="KT-17DRTHK(H) S056-25778"/>
    <n v="498"/>
    <n v="0.77911646586345384"/>
    <s v="Toshiba SRP"/>
    <m/>
    <s v="S056-25778"/>
  </r>
  <r>
    <n v="4602"/>
    <s v="Sogo"/>
    <s v="Kai Tak_1"/>
    <x v="63"/>
    <n v="3"/>
    <x v="29"/>
    <x v="36"/>
    <s v="輕觸式微波爐 (20公升)"/>
    <s v="細電"/>
    <s v="MCA"/>
    <s v="em20"/>
    <n v="1"/>
    <n v="598"/>
    <n v="598"/>
    <s v="S056-26407"/>
    <s v="Delivery"/>
    <m/>
    <s v="MM2-EM20PC(WH) S056-26407"/>
    <n v="788"/>
    <n v="0.75888324873096447"/>
    <s v="Toshiba SRP"/>
    <m/>
    <s v="S056-26407"/>
  </r>
  <r>
    <n v="4603"/>
    <s v="Sogo"/>
    <s v="Kai Tak RS_2"/>
    <x v="64"/>
    <n v="3"/>
    <x v="3"/>
    <x v="22"/>
    <s v="變頻五門雪櫃(375L)"/>
    <s v="大電"/>
    <s v="REF"/>
    <s v="rm612"/>
    <n v="1"/>
    <n v="9980"/>
    <n v="9980"/>
    <s v="S056-25289"/>
    <s v="Delivery"/>
    <m/>
    <s v="GR-RM612WE-PGA(B5) S056-25289"/>
    <n v="11000"/>
    <n v="0.90727272727272723"/>
    <s v="Shops Highest Price"/>
    <m/>
    <s v="S056-25289"/>
  </r>
  <r>
    <n v="4604"/>
    <s v="Sogo"/>
    <s v="Kai Tak RS_2"/>
    <x v="64"/>
    <n v="3"/>
    <x v="3"/>
    <x v="117"/>
    <s v="JAPANDi 嵌入式微波氣炸蒸焗爐 (45厘米)"/>
    <s v="大電"/>
    <s v="MCA"/>
    <s v="t500"/>
    <n v="1"/>
    <n v="13800"/>
    <n v="13800"/>
    <s v="S056-25280"/>
    <s v="Delivery"/>
    <m/>
    <s v="EB-T500APW S056-25280"/>
    <n v="28800"/>
    <n v="0.47916666666666669"/>
    <s v="Toshiba SRP"/>
    <m/>
    <s v="S056-25280"/>
  </r>
  <r>
    <n v="4605"/>
    <s v="Sogo"/>
    <s v="Kai Tak RS_2"/>
    <x v="64"/>
    <n v="3"/>
    <x v="3"/>
    <x v="28"/>
    <s v="無線雙層電熱水壺-附可鎖壺蓋(0.8公升)"/>
    <s v="細電"/>
    <s v="SDA"/>
    <s v="08dh"/>
    <n v="1"/>
    <n v="268"/>
    <n v="268"/>
    <s v="S056-25289"/>
    <s v="Pickup"/>
    <m/>
    <s v="KT-08DH1VHK(W) S056-25289"/>
    <n v="428"/>
    <n v="0.62616822429906538"/>
    <s v="Toshiba SRP"/>
    <m/>
    <s v="S056-25289"/>
  </r>
  <r>
    <n v="4606"/>
    <s v="Sogo"/>
    <s v="Kai Tak RS_2"/>
    <x v="64"/>
    <n v="3"/>
    <x v="3"/>
    <x v="45"/>
    <s v="備長炭本厚釜電飯煲0.7L"/>
    <s v="細電"/>
    <s v="SDA"/>
    <s v="7hmh"/>
    <n v="1"/>
    <n v="838"/>
    <n v="838"/>
    <s v="S055-10433"/>
    <s v="Pickup"/>
    <m/>
    <s v="RC-7HMH S055-10433"/>
    <n v="1288"/>
    <n v="0.65062111801242239"/>
    <s v="Toshiba SRP"/>
    <m/>
    <s v="S055-10433"/>
  </r>
  <r>
    <n v="4607"/>
    <s v="Sogo"/>
    <s v="Kai Tak RS_2"/>
    <x v="64"/>
    <n v="3"/>
    <x v="3"/>
    <x v="7"/>
    <s v="4毫米厚釜電飯煲0.54L"/>
    <s v="細電"/>
    <s v="SDA"/>
    <s v="5mm"/>
    <n v="1"/>
    <n v="549"/>
    <n v="549"/>
    <s v="S053-2404"/>
    <s v="Pickup"/>
    <m/>
    <s v="RC-5MMIH(WT) S053-2404"/>
    <n v="618"/>
    <n v="0.88834951456310685"/>
    <s v="Toshiba SRP"/>
    <m/>
    <s v="S053-2404"/>
  </r>
  <r>
    <n v="4608"/>
    <s v="Sogo"/>
    <s v="Kai Tak RS_2"/>
    <x v="64"/>
    <n v="3"/>
    <x v="3"/>
    <x v="74"/>
    <s v="4合1氣炸微波蒸焗爐(25公升)"/>
    <s v="細電"/>
    <s v="MCA"/>
    <s v="str25"/>
    <n v="1"/>
    <n v="3580"/>
    <n v="3580"/>
    <s v="S053-2403"/>
    <s v="Delivery"/>
    <m/>
    <s v="MX2-STR25SC(WH) S053-2403"/>
    <n v="4998"/>
    <n v="0.71628651460584236"/>
    <s v="Toshiba SRP"/>
    <m/>
    <s v="S053-2403"/>
  </r>
  <r>
    <n v="4609"/>
    <s v="Sogo"/>
    <s v="Kai Tak RS_2"/>
    <x v="64"/>
    <n v="3"/>
    <x v="3"/>
    <x v="0"/>
    <s v="超薄身前置式洗衣乾衣機 (洗8公斤 乾5公斤)"/>
    <s v="大電"/>
    <s v="WM"/>
    <s v="bn90"/>
    <n v="1"/>
    <n v="3980"/>
    <n v="3980"/>
    <s v="S053-2403"/>
    <s v="Delivery"/>
    <m/>
    <s v="TWD-BN90GF4H(WK) S053-2403"/>
    <n v="5980"/>
    <n v="0.66555183946488294"/>
    <s v="Toshiba SRP"/>
    <m/>
    <s v="S053-2403"/>
  </r>
  <r>
    <n v="4610"/>
    <s v="Sogo"/>
    <s v="Kai Tak RS_2"/>
    <x v="64"/>
    <n v="3"/>
    <x v="3"/>
    <x v="50"/>
    <s v="輕便式電磁爐7個功能"/>
    <s v="細電"/>
    <s v="SDA"/>
    <s v="s19"/>
    <n v="1"/>
    <n v="418"/>
    <n v="418"/>
    <s v="S055-10446"/>
    <s v="Pickup"/>
    <m/>
    <s v="IC-S19RH S055-10446"/>
    <n v="638"/>
    <n v="0.65517241379310343"/>
    <s v="Toshiba SRP"/>
    <m/>
    <s v="S055-10446"/>
  </r>
  <r>
    <n v="4611"/>
    <s v="Sogo"/>
    <s v="Kai Tak RS_2"/>
    <x v="64"/>
    <n v="3"/>
    <x v="3"/>
    <x v="24"/>
    <s v="微型電腦珍珠飯煲"/>
    <s v="細電"/>
    <s v="SDA"/>
    <s v="5sli"/>
    <n v="1"/>
    <n v="592"/>
    <n v="592"/>
    <s v="S055-10447"/>
    <s v="Pickup"/>
    <m/>
    <s v="RC-5SLIH(W) S055-10447"/>
    <n v="658"/>
    <n v="0.89969604863221886"/>
    <s v="Toshiba SRP"/>
    <m/>
    <s v="S055-10447"/>
  </r>
  <r>
    <n v="4612"/>
    <s v="Sogo"/>
    <s v="Kai Tak RS_2"/>
    <x v="64"/>
    <n v="3"/>
    <x v="3"/>
    <x v="21"/>
    <s v="壓縮式抽濕機 (30公升)"/>
    <s v="細電"/>
    <s v="RAC"/>
    <s v="d300"/>
    <n v="1"/>
    <n v="2280"/>
    <n v="2280"/>
    <s v="S055-10444"/>
    <s v="Delivery"/>
    <m/>
    <s v="RAD-D300H S055-10444"/>
    <n v="3380"/>
    <n v="0.67455621301775148"/>
    <s v="Shops Highest Price"/>
    <m/>
    <s v="S055-10444"/>
  </r>
  <r>
    <n v="4613"/>
    <s v="Sogo"/>
    <s v="Kai Tak RS_2"/>
    <x v="64"/>
    <n v="3"/>
    <x v="3"/>
    <x v="41"/>
    <s v="低醣磁應電飯煲1.8L"/>
    <s v="細電"/>
    <s v="SDA"/>
    <s v="18isph"/>
    <n v="1"/>
    <n v="898"/>
    <n v="898"/>
    <s v="S055-10444"/>
    <s v="Delivery"/>
    <m/>
    <s v="RC-18ISPH S055-10444"/>
    <n v="1436"/>
    <n v="0.62534818941504178"/>
    <s v="Shops Highest Price"/>
    <m/>
    <s v="S055-10444"/>
  </r>
  <r>
    <n v="4614"/>
    <s v="Sogo"/>
    <s v="Kai Tak RS_2"/>
    <x v="64"/>
    <n v="3"/>
    <x v="3"/>
    <x v="45"/>
    <s v="備長炭本厚釜電飯煲0.7L"/>
    <s v="細電"/>
    <s v="SDA"/>
    <s v="7hmh"/>
    <n v="1"/>
    <n v="838"/>
    <n v="838"/>
    <s v="S056-25326"/>
    <s v="Delivery"/>
    <m/>
    <s v="RC-7HMH S056-25326"/>
    <n v="1288"/>
    <n v="0.65062111801242239"/>
    <s v="Toshiba SRP"/>
    <m/>
    <s v="S056-25326"/>
  </r>
  <r>
    <n v="4615"/>
    <s v="Sogo"/>
    <s v="Kai Tak RS_2"/>
    <x v="64"/>
    <n v="3"/>
    <x v="3"/>
    <x v="63"/>
    <s v="20L 智能蒸氣焗爐"/>
    <s v="細電"/>
    <s v="MCA"/>
    <s v="stq20"/>
    <n v="1"/>
    <n v="2100"/>
    <n v="2100"/>
    <s v="S056-25334"/>
    <s v="Delivery"/>
    <m/>
    <s v="MS3-STQ20SC(WH) S056-25334"/>
    <n v="2880"/>
    <n v="0.72916666666666663"/>
    <s v="Toshiba SRP"/>
    <m/>
    <s v="S056-25334"/>
  </r>
  <r>
    <n v="4616"/>
    <s v="Sogo"/>
    <s v="Kai Tak RS_2"/>
    <x v="64"/>
    <n v="3"/>
    <x v="4"/>
    <x v="122"/>
    <s v="多功能焗爐 (25公升)"/>
    <s v="細電"/>
    <s v="MOA"/>
    <s v="mc25"/>
    <n v="1"/>
    <n v="648"/>
    <n v="648"/>
    <s v="S053-2419"/>
    <s v="Delivery"/>
    <m/>
    <s v="TL2-MC25CZE(GR) S053-2419"/>
    <n v="798"/>
    <n v="0.81203007518796988"/>
    <s v="Shops Highest Price"/>
    <m/>
    <s v="S053-2419"/>
  </r>
  <r>
    <n v="4617"/>
    <s v="Sogo"/>
    <s v="Kai Tak RS_2"/>
    <x v="64"/>
    <n v="3"/>
    <x v="4"/>
    <x v="39"/>
    <s v="酵活炊電飯煲(1.0公升)"/>
    <s v="細電"/>
    <s v="SDA"/>
    <s v="10amx"/>
    <n v="1"/>
    <n v="990"/>
    <n v="990"/>
    <s v="S053-2419"/>
    <s v="Delivery"/>
    <m/>
    <s v="RC-10AMXH(W) S053-2419"/>
    <n v="1288"/>
    <n v="0.76863354037267084"/>
    <s v="Toshiba SRP"/>
    <m/>
    <s v="S053-2419"/>
  </r>
  <r>
    <n v="4618"/>
    <s v="Sogo"/>
    <s v="Kai Tak RS_2"/>
    <x v="64"/>
    <n v="3"/>
    <x v="4"/>
    <x v="70"/>
    <s v="12吋2合1座地座檯電風扇連遙控"/>
    <s v="細電"/>
    <s v="EAD"/>
    <s v="ya20"/>
    <n v="1"/>
    <n v="398"/>
    <n v="398"/>
    <s v="S053-2419"/>
    <s v="Delivery"/>
    <m/>
    <s v="F-LYA20(W)HKG S053-2419"/>
    <n v="988"/>
    <n v="0.40283400809716602"/>
    <s v="Toshiba SRP"/>
    <m/>
    <s v="S053-2419"/>
  </r>
  <r>
    <n v="4619"/>
    <s v="Sogo"/>
    <s v="Kai Tak RS_2"/>
    <x v="64"/>
    <n v="3"/>
    <x v="4"/>
    <x v="74"/>
    <s v="4合1氣炸微波蒸焗爐(25公升)"/>
    <s v="細電"/>
    <s v="MCA"/>
    <s v="str25"/>
    <n v="1"/>
    <n v="3580"/>
    <n v="3580"/>
    <s v="S053-2418"/>
    <s v="Delivery"/>
    <m/>
    <s v="MX2-STR25SC(WH) S053-2418"/>
    <n v="4998"/>
    <n v="0.71628651460584236"/>
    <s v="Toshiba SRP"/>
    <m/>
    <s v="S053-2418"/>
  </r>
  <r>
    <n v="4620"/>
    <s v="Sogo"/>
    <s v="Kai Tak RS_2"/>
    <x v="64"/>
    <n v="3"/>
    <x v="4"/>
    <x v="39"/>
    <s v="酵活炊電飯煲(1.0公升)"/>
    <s v="細電"/>
    <s v="SDA"/>
    <s v="10amx"/>
    <n v="1"/>
    <n v="1000"/>
    <n v="1000"/>
    <s v="S053-2420"/>
    <s v="Pickup"/>
    <m/>
    <s v="RC-10AMXH(W) S053-2420"/>
    <n v="1288"/>
    <n v="0.77639751552795033"/>
    <s v="Toshiba SRP"/>
    <m/>
    <s v="S053-2420"/>
  </r>
  <r>
    <n v="4621"/>
    <s v="Sogo"/>
    <s v="Kai Tak RS_2"/>
    <x v="64"/>
    <n v="3"/>
    <x v="4"/>
    <x v="77"/>
    <s v="470MM超薄身前置式變頻洗衣乾衣機 (洗8.5公斤/乾6公斤, 可飛頂)"/>
    <s v="大電"/>
    <s v="LAD"/>
    <s v="twdt22"/>
    <n v="1"/>
    <n v="3680"/>
    <n v="3680"/>
    <s v="S053-2421"/>
    <s v="Delivery"/>
    <m/>
    <s v="TWD-T22BU95UWH(WK)-B S053-2421"/>
    <n v="7480"/>
    <n v="0.49197860962566847"/>
    <s v="Toshiba SRP"/>
    <m/>
    <s v="S053-2421"/>
  </r>
  <r>
    <n v="4622"/>
    <s v="Sogo"/>
    <s v="Kai Tak RS_2"/>
    <x v="64"/>
    <n v="3"/>
    <x v="4"/>
    <x v="87"/>
    <s v="變頻式環保雙門雪櫃(233L)"/>
    <s v="大電"/>
    <s v="REF"/>
    <s v="rt300"/>
    <n v="1"/>
    <n v="2780"/>
    <n v="2780"/>
    <s v="S053-2421"/>
    <s v="Delivery"/>
    <m/>
    <s v="GR-RT300WE-PMA(57) S053-2421"/>
    <n v="4280"/>
    <n v="0.64953271028037385"/>
    <s v="Toshiba SRP"/>
    <m/>
    <s v="S053-2421"/>
  </r>
  <r>
    <n v="4623"/>
    <s v="Sogo"/>
    <s v="Kai Tak RS_2"/>
    <x v="64"/>
    <n v="3"/>
    <x v="4"/>
    <x v="36"/>
    <s v="輕觸式微波爐 (20公升)"/>
    <s v="細電"/>
    <s v="MCA"/>
    <s v="em20"/>
    <n v="1"/>
    <n v="598"/>
    <n v="598"/>
    <s v="S053-2421"/>
    <s v="Delivery"/>
    <m/>
    <s v="MM2-EM20PC(WH) S053-2421"/>
    <n v="788"/>
    <n v="0.75888324873096447"/>
    <s v="Toshiba SRP"/>
    <m/>
    <s v="S053-2421"/>
  </r>
  <r>
    <n v="4624"/>
    <s v="Sogo"/>
    <s v="Kai Tak RS_2"/>
    <x v="64"/>
    <n v="3"/>
    <x v="4"/>
    <x v="51"/>
    <s v="IH磁應電飯煲"/>
    <s v="細電"/>
    <s v="SDA"/>
    <s v="dr10tw"/>
    <n v="1"/>
    <n v="2380"/>
    <n v="2380"/>
    <s v="S053-2422"/>
    <s v="Pickup"/>
    <m/>
    <s v="RC-DR10T(W) S053-2422"/>
    <n v="3188"/>
    <n v="0.74654956085319946"/>
    <s v="Toshiba SRP"/>
    <m/>
    <s v="S053-2422"/>
  </r>
  <r>
    <n v="4625"/>
    <s v="Sogo"/>
    <s v="Kai Tak RS_2"/>
    <x v="64"/>
    <n v="3"/>
    <x v="4"/>
    <x v="21"/>
    <s v="壓縮式抽濕機 (30公升)"/>
    <s v="細電"/>
    <s v="RAC"/>
    <s v="d300"/>
    <n v="1"/>
    <n v="2280"/>
    <n v="2280"/>
    <s v="S053-2433"/>
    <s v="Delivery"/>
    <m/>
    <s v="RAD-D300H S053-2433"/>
    <n v="3380"/>
    <n v="0.67455621301775148"/>
    <s v="Shops Highest Price"/>
    <m/>
    <s v="S053-2433"/>
  </r>
  <r>
    <n v="4626"/>
    <s v="Sogo"/>
    <s v="Kai Tak RS_2"/>
    <x v="64"/>
    <n v="3"/>
    <x v="4"/>
    <x v="51"/>
    <s v="IH磁應電飯煲"/>
    <s v="細電"/>
    <s v="SDA"/>
    <s v="dr10tw"/>
    <n v="1"/>
    <n v="2380"/>
    <n v="2380"/>
    <s v="S053-2435"/>
    <s v="Pickup"/>
    <m/>
    <s v="RC-DR10T(W) S053-2435"/>
    <n v="3188"/>
    <n v="0.74654956085319946"/>
    <s v="Toshiba SRP"/>
    <m/>
    <s v="S053-2435"/>
  </r>
  <r>
    <n v="4627"/>
    <s v="Sogo"/>
    <s v="Kai Tak RS_2"/>
    <x v="64"/>
    <n v="3"/>
    <x v="4"/>
    <x v="39"/>
    <s v="酵活炊電飯煲(1.0公升)"/>
    <s v="細電"/>
    <s v="SDA"/>
    <s v="10amx"/>
    <n v="1"/>
    <n v="1000"/>
    <n v="1000"/>
    <s v="S056-25393"/>
    <s v="Pickup"/>
    <m/>
    <s v="RC-10AMXH(W) S056-25393"/>
    <n v="1288"/>
    <n v="0.77639751552795033"/>
    <s v="Toshiba SRP"/>
    <m/>
    <s v="S056-25393"/>
  </r>
  <r>
    <n v="4628"/>
    <s v="Sogo"/>
    <s v="Kai Tak RS_2"/>
    <x v="64"/>
    <n v="3"/>
    <x v="4"/>
    <x v="61"/>
    <s v="酵活炊電飯煲(1.8公升)"/>
    <s v="細電"/>
    <s v="SDA"/>
    <s v="18amx"/>
    <n v="1"/>
    <n v="1000"/>
    <n v="1000"/>
    <s v="S056-2441"/>
    <s v="Delivery"/>
    <m/>
    <s v="RC-18AMXH(W) S056-2441"/>
    <n v="1588"/>
    <n v="0.62972292191435764"/>
    <s v="Toshiba SRP"/>
    <m/>
    <s v="S056-2441"/>
  </r>
  <r>
    <n v="4629"/>
    <s v="Sogo"/>
    <s v="Kai Tak RS_2"/>
    <x v="64"/>
    <n v="3"/>
    <x v="4"/>
    <x v="145"/>
    <s v="輕便式電磁爐5個功能"/>
    <s v="細電"/>
    <s v="SDA"/>
    <s v="r19"/>
    <n v="1"/>
    <n v="450"/>
    <n v="450"/>
    <s v="S056-2445"/>
    <s v="Pickup"/>
    <m/>
    <s v="IC-R19RH S056-2445"/>
    <n v="598"/>
    <n v="0.75250836120401343"/>
    <s v="Toshiba SRP"/>
    <m/>
    <s v="S056-2445"/>
  </r>
  <r>
    <n v="4630"/>
    <s v="Sogo"/>
    <s v="Kai Tak RS_2"/>
    <x v="64"/>
    <n v="3"/>
    <x v="4"/>
    <x v="61"/>
    <s v="酵活炊電飯煲(1.8公升)"/>
    <s v="細電"/>
    <s v="SDA"/>
    <s v="18amx"/>
    <n v="1"/>
    <n v="1000"/>
    <n v="1000"/>
    <s v="S053-2447"/>
    <s v="Delivery"/>
    <m/>
    <s v="RC-18AMXH(W) S053-2447"/>
    <n v="1588"/>
    <n v="0.62972292191435764"/>
    <s v="Toshiba SRP"/>
    <m/>
    <s v="S053-2447"/>
  </r>
  <r>
    <n v="4631"/>
    <s v="Sogo"/>
    <s v="Kai Tak_4"/>
    <x v="65"/>
    <n v="3"/>
    <x v="8"/>
    <x v="48"/>
    <s v="3合1 微波蒸焗爐 (20公升)"/>
    <s v="細電"/>
    <s v="MCA"/>
    <s v="tt20"/>
    <n v="1"/>
    <n v="2580"/>
    <n v="2580"/>
    <s v="S056-2492"/>
    <s v="Pickup"/>
    <m/>
    <s v="MX2-TT20SC(WH) S056-2492"/>
    <n v="3580"/>
    <n v="0.72067039106145248"/>
    <s v="Toshiba SRP"/>
    <m/>
    <s v="S056-2492"/>
  </r>
  <r>
    <n v="4632"/>
    <s v="Sogo"/>
    <s v="Kai Tak_4"/>
    <x v="65"/>
    <n v="3"/>
    <x v="8"/>
    <x v="67"/>
    <s v="1.7L無線雙層電熱水壺(有窗)"/>
    <s v="細電"/>
    <s v="SDA"/>
    <s v="17sh1n"/>
    <n v="1"/>
    <n v="278"/>
    <n v="278"/>
    <s v="S0562-0108"/>
    <s v="Pickup"/>
    <m/>
    <s v="KT-17SH1NH S0562-0108"/>
    <n v="398"/>
    <n v="0.69849246231155782"/>
    <s v="Toshiba SRP"/>
    <m/>
    <s v="S0562-0108"/>
  </r>
  <r>
    <n v="4633"/>
    <s v="Sogo"/>
    <s v="Kai Tak_4"/>
    <x v="65"/>
    <n v="3"/>
    <x v="8"/>
    <x v="28"/>
    <s v="無線雙層電熱水壺-附可鎖壺蓋(0.8公升)"/>
    <s v="細電"/>
    <s v="SDA"/>
    <s v="08dh"/>
    <n v="1"/>
    <n v="268"/>
    <n v="268"/>
    <s v="S056-24809"/>
    <s v="Pickup"/>
    <m/>
    <s v="KT-08DH1VHK(W) S056-24809"/>
    <n v="428"/>
    <n v="0.62616822429906538"/>
    <s v="Toshiba SRP"/>
    <m/>
    <s v="S056-24809"/>
  </r>
  <r>
    <n v="4634"/>
    <s v="Sogo"/>
    <s v="Kai Tak_4"/>
    <x v="65"/>
    <n v="3"/>
    <x v="8"/>
    <x v="24"/>
    <s v="微型電腦珍珠飯煲"/>
    <s v="細電"/>
    <s v="SDA"/>
    <s v="5sli"/>
    <n v="1"/>
    <n v="592"/>
    <n v="592"/>
    <s v="S056-24817"/>
    <s v="Pickup"/>
    <m/>
    <s v="RC-5SLIH(W) S056-24817"/>
    <n v="658"/>
    <n v="0.89969604863221886"/>
    <s v="Toshiba SRP"/>
    <m/>
    <s v="S056-24817"/>
  </r>
  <r>
    <n v="4635"/>
    <s v="Sogo"/>
    <s v="Kai Tak_5"/>
    <x v="66"/>
    <n v="3"/>
    <x v="26"/>
    <x v="53"/>
    <s v="IH磁應電飯煲"/>
    <s v="細電"/>
    <s v="SDA"/>
    <s v="dr10t"/>
    <n v="1"/>
    <n v="2380"/>
    <n v="2380"/>
    <s v="S056-2612"/>
    <m/>
    <m/>
    <s v="RC-DR10T(R) S056-2612"/>
    <n v="3188"/>
    <n v="0.74654956085319946"/>
    <s v="Toshiba SRP"/>
    <m/>
    <s v="S056-2612"/>
  </r>
  <r>
    <n v="4636"/>
    <s v="Sogo"/>
    <s v="Kai Tak_5"/>
    <x v="66"/>
    <n v="3"/>
    <x v="27"/>
    <x v="88"/>
    <s v="水波爐"/>
    <s v="細電"/>
    <s v="MCA"/>
    <s v="vd7000"/>
    <n v="1"/>
    <n v="6798"/>
    <n v="6798"/>
    <s v="S056-3412"/>
    <m/>
    <m/>
    <s v="ER-VD7000HK(XK) S056-3412"/>
    <n v="8998"/>
    <n v="0.75550122249388751"/>
    <s v="Toshiba SRP"/>
    <m/>
    <s v="S056-3412"/>
  </r>
  <r>
    <n v="4637"/>
    <s v="Sogo"/>
    <s v="Kai Tak_5"/>
    <x v="66"/>
    <n v="3"/>
    <x v="27"/>
    <x v="45"/>
    <s v="備長炭本厚釜電飯煲0.7L"/>
    <s v="細電"/>
    <s v="SDA"/>
    <s v="7hmh"/>
    <n v="1"/>
    <n v="838"/>
    <n v="838"/>
    <s v="S056-26333"/>
    <m/>
    <m/>
    <s v="RC-7HMH S056-26333"/>
    <n v="1288"/>
    <n v="0.65062111801242239"/>
    <s v="Toshiba SRP"/>
    <m/>
    <s v="S056-26333"/>
  </r>
  <r>
    <n v="4638"/>
    <s v="Aeon"/>
    <s v="Kornhill"/>
    <x v="59"/>
    <n v="3"/>
    <x v="0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m/>
    <s v=""/>
  </r>
  <r>
    <n v="4639"/>
    <s v="Aeon"/>
    <s v="Kornhill"/>
    <x v="59"/>
    <n v="3"/>
    <x v="0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640"/>
    <s v="Aeon"/>
    <s v="Kornhill"/>
    <x v="59"/>
    <n v="3"/>
    <x v="0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641"/>
    <s v="Aeon"/>
    <s v="Kornhill"/>
    <x v="59"/>
    <n v="3"/>
    <x v="0"/>
    <x v="33"/>
    <s v="輕觸式燒烤微波爐"/>
    <s v="細電"/>
    <s v="MCA"/>
    <s v="eg20"/>
    <n v="1"/>
    <n v="760"/>
    <n v="760"/>
    <m/>
    <m/>
    <m/>
    <s v="MM2-EG20PC(WH) "/>
    <n v="918"/>
    <n v="0.82788671023965144"/>
    <s v="Shops Highest Price"/>
    <m/>
    <s v=""/>
  </r>
  <r>
    <n v="4642"/>
    <s v="Aeon"/>
    <s v="Kornhill"/>
    <x v="59"/>
    <n v="3"/>
    <x v="0"/>
    <x v="28"/>
    <s v="無線雙層電熱水壺-附可鎖壺蓋(0.8公升)"/>
    <s v="細電"/>
    <s v="SDA"/>
    <s v="08dh"/>
    <n v="1"/>
    <n v="260"/>
    <n v="260"/>
    <m/>
    <m/>
    <m/>
    <s v="KT-08DH1VHK(W) "/>
    <n v="428"/>
    <n v="0.60747663551401865"/>
    <s v="Toshiba SRP"/>
    <m/>
    <s v=""/>
  </r>
  <r>
    <n v="4643"/>
    <s v="Aeon"/>
    <s v="Kornhill"/>
    <x v="59"/>
    <n v="3"/>
    <x v="0"/>
    <x v="37"/>
    <s v="電熱水瓶 (5公升)"/>
    <s v="細電"/>
    <s v="SDA"/>
    <s v="50dr"/>
    <n v="1"/>
    <n v="620"/>
    <n v="620"/>
    <m/>
    <m/>
    <m/>
    <s v="TP-50DRUHK(W) "/>
    <n v="718"/>
    <n v="0.86350974930362112"/>
    <s v="Toshiba SRP"/>
    <m/>
    <s v=""/>
  </r>
  <r>
    <n v="4644"/>
    <s v="Aeon"/>
    <s v="Kornhill"/>
    <x v="59"/>
    <n v="3"/>
    <x v="0"/>
    <x v="21"/>
    <s v="壓縮式抽濕機 (30公升)"/>
    <s v="細電"/>
    <s v="RAC"/>
    <s v="d300"/>
    <n v="3"/>
    <n v="2451"/>
    <n v="7353"/>
    <m/>
    <m/>
    <m/>
    <s v="RAD-D300H "/>
    <n v="3380"/>
    <n v="0.72514792899408287"/>
    <s v="Shops Highest Price"/>
    <m/>
    <s v=""/>
  </r>
  <r>
    <n v="4645"/>
    <s v="Aeon"/>
    <s v="Kornhill"/>
    <x v="59"/>
    <n v="3"/>
    <x v="5"/>
    <x v="30"/>
    <s v="旋鈕式燒烤微波爐20L"/>
    <s v="細電"/>
    <s v="SDA"/>
    <s v="mm20"/>
    <n v="2"/>
    <n v="551"/>
    <n v="1102"/>
    <m/>
    <m/>
    <m/>
    <s v="MWP-MM20P(WH) "/>
    <n v="648"/>
    <n v="0.85030864197530864"/>
    <s v="Toshiba SRP"/>
    <m/>
    <s v=""/>
  </r>
  <r>
    <n v="4646"/>
    <s v="Aeon"/>
    <s v="Kornhill"/>
    <x v="59"/>
    <n v="3"/>
    <x v="5"/>
    <x v="56"/>
    <s v="多士焗爐8L"/>
    <s v="細電"/>
    <s v="SDA"/>
    <n v="7080"/>
    <n v="1"/>
    <n v="313.5"/>
    <n v="313.5"/>
    <m/>
    <m/>
    <m/>
    <s v="ET-TD7080(PN) "/>
    <n v="498"/>
    <n v="0.62951807228915657"/>
    <s v="Toshiba SRP"/>
    <m/>
    <s v=""/>
  </r>
  <r>
    <n v="4647"/>
    <s v="Aeon"/>
    <s v="Kornhill"/>
    <x v="59"/>
    <n v="3"/>
    <x v="5"/>
    <x v="33"/>
    <s v="輕觸式燒烤微波爐"/>
    <s v="細電"/>
    <s v="MCA"/>
    <s v="eg20"/>
    <n v="1"/>
    <n v="722"/>
    <n v="722"/>
    <m/>
    <m/>
    <m/>
    <s v="MM2-EG20PC(WH) "/>
    <n v="918"/>
    <n v="0.78649237472766886"/>
    <s v="Shops Highest Price"/>
    <m/>
    <s v=""/>
  </r>
  <r>
    <n v="4648"/>
    <s v="Aeon"/>
    <s v="Kornhill"/>
    <x v="59"/>
    <n v="3"/>
    <x v="5"/>
    <x v="61"/>
    <s v="酵活炊電飯煲(1.8公升)"/>
    <s v="細電"/>
    <s v="SDA"/>
    <s v="18amx"/>
    <n v="1"/>
    <n v="940.5"/>
    <n v="940.5"/>
    <m/>
    <m/>
    <m/>
    <s v="RC-18AMXH(W) "/>
    <n v="1588"/>
    <n v="0.59225440806045337"/>
    <s v="Toshiba SRP"/>
    <m/>
    <s v=""/>
  </r>
  <r>
    <n v="4649"/>
    <s v="Aeon"/>
    <s v="Kornhill"/>
    <x v="59"/>
    <n v="3"/>
    <x v="5"/>
    <x v="28"/>
    <s v="無線雙層電熱水壺-附可鎖壺蓋(0.8公升)"/>
    <s v="細電"/>
    <s v="SDA"/>
    <s v="08dh"/>
    <n v="2"/>
    <n v="247"/>
    <n v="494"/>
    <m/>
    <m/>
    <m/>
    <s v="KT-08DH1VHK(W) "/>
    <n v="428"/>
    <n v="0.57710280373831779"/>
    <s v="Toshiba SRP"/>
    <m/>
    <s v=""/>
  </r>
  <r>
    <n v="4650"/>
    <s v="Aeon"/>
    <s v="Kornhill"/>
    <x v="59"/>
    <n v="3"/>
    <x v="5"/>
    <x v="21"/>
    <s v="壓縮式抽濕機 (30公升)"/>
    <s v="細電"/>
    <s v="RAC"/>
    <s v="d300"/>
    <n v="1"/>
    <n v="2451"/>
    <n v="2451"/>
    <m/>
    <m/>
    <m/>
    <s v="RAD-D300H "/>
    <n v="3380"/>
    <n v="0.72514792899408287"/>
    <s v="Shops Highest Price"/>
    <m/>
    <s v=""/>
  </r>
  <r>
    <n v="4651"/>
    <s v="Aeon"/>
    <s v="Kornhill"/>
    <x v="59"/>
    <n v="3"/>
    <x v="6"/>
    <x v="27"/>
    <s v="4毫米厚釜電飯煲1.8L"/>
    <s v="細電"/>
    <s v="SDA"/>
    <s v="18nmf"/>
    <n v="1"/>
    <n v="800"/>
    <n v="800"/>
    <m/>
    <m/>
    <m/>
    <s v="RC-18NMFIH(WT) "/>
    <n v="998"/>
    <n v="0.80160320641282568"/>
    <s v="Toshiba SRP"/>
    <m/>
    <s v=""/>
  </r>
  <r>
    <n v="4652"/>
    <s v="Aeon"/>
    <s v="Kornhill"/>
    <x v="59"/>
    <n v="3"/>
    <x v="6"/>
    <x v="44"/>
    <s v="1.7L無線雙層電熱水壺"/>
    <s v="細電"/>
    <s v="SDA"/>
    <s v="17shnh"/>
    <n v="2"/>
    <n v="190"/>
    <n v="380"/>
    <m/>
    <m/>
    <m/>
    <s v="KT-17SHNH "/>
    <n v="299"/>
    <n v="0.63545150501672243"/>
    <s v="Shops Highest Price"/>
    <m/>
    <s v=""/>
  </r>
  <r>
    <n v="4653"/>
    <s v="Aeon"/>
    <s v="Kornhill"/>
    <x v="59"/>
    <n v="3"/>
    <x v="6"/>
    <x v="63"/>
    <s v="20L 智能蒸氣焗爐"/>
    <s v="細電"/>
    <s v="MCA"/>
    <s v="stq20"/>
    <n v="1"/>
    <n v="1881"/>
    <n v="1881"/>
    <m/>
    <m/>
    <m/>
    <s v="MS3-STQ20SC(WH) "/>
    <n v="2880"/>
    <n v="0.65312499999999996"/>
    <s v="Toshiba SRP"/>
    <m/>
    <s v=""/>
  </r>
  <r>
    <n v="4654"/>
    <s v="Aeon"/>
    <s v="Kornhill"/>
    <x v="59"/>
    <n v="3"/>
    <x v="6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655"/>
    <s v="Aeon"/>
    <s v="Kornhill"/>
    <x v="59"/>
    <n v="3"/>
    <x v="6"/>
    <x v="46"/>
    <s v="電熱水瓶 (2.5公升)"/>
    <s v="細電"/>
    <s v="SDA"/>
    <s v="25dr"/>
    <n v="2"/>
    <n v="380"/>
    <n v="760"/>
    <m/>
    <m/>
    <m/>
    <s v="TP-25DR2UHK(W) "/>
    <n v="538"/>
    <n v="0.70631970260223054"/>
    <s v="Toshiba SRP"/>
    <m/>
    <s v=""/>
  </r>
  <r>
    <n v="4656"/>
    <s v="Aeon"/>
    <s v="Kornhill"/>
    <x v="59"/>
    <n v="3"/>
    <x v="6"/>
    <x v="21"/>
    <s v="壓縮式抽濕機 (30公升)"/>
    <s v="細電"/>
    <s v="RAC"/>
    <s v="d300"/>
    <n v="1"/>
    <n v="2451"/>
    <n v="2451"/>
    <m/>
    <m/>
    <m/>
    <s v="RAD-D300H "/>
    <n v="3380"/>
    <n v="0.72514792899408287"/>
    <s v="Shops Highest Price"/>
    <m/>
    <s v=""/>
  </r>
  <r>
    <n v="4657"/>
    <s v="Aeon"/>
    <s v="Kornhill"/>
    <x v="59"/>
    <n v="3"/>
    <x v="13"/>
    <x v="44"/>
    <s v="1.7L無線雙層電熱水壺"/>
    <s v="細電"/>
    <s v="SDA"/>
    <s v="17shnh"/>
    <n v="3"/>
    <n v="190"/>
    <n v="570"/>
    <m/>
    <m/>
    <m/>
    <s v="KT-17SHNH "/>
    <n v="299"/>
    <n v="0.63545150501672243"/>
    <s v="Shops Highest Price"/>
    <m/>
    <s v=""/>
  </r>
  <r>
    <n v="4658"/>
    <s v="Aeon"/>
    <s v="Kornhill"/>
    <x v="59"/>
    <n v="3"/>
    <x v="13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659"/>
    <s v="Aeon"/>
    <s v="Kornhill"/>
    <x v="59"/>
    <n v="3"/>
    <x v="13"/>
    <x v="63"/>
    <s v="20L 智能蒸氣焗爐"/>
    <s v="細電"/>
    <s v="MCA"/>
    <s v="stq20"/>
    <n v="1"/>
    <n v="1980"/>
    <n v="1980"/>
    <m/>
    <m/>
    <m/>
    <s v="MS3-STQ20SC(WH) "/>
    <n v="2880"/>
    <n v="0.6875"/>
    <s v="Toshiba SRP"/>
    <m/>
    <s v=""/>
  </r>
  <r>
    <n v="4660"/>
    <s v="Aeon"/>
    <s v="Kornhill"/>
    <x v="59"/>
    <n v="3"/>
    <x v="13"/>
    <x v="21"/>
    <s v="壓縮式抽濕機 (30公升)"/>
    <s v="細電"/>
    <s v="RAC"/>
    <s v="d300"/>
    <n v="1"/>
    <n v="2451"/>
    <n v="2451"/>
    <m/>
    <m/>
    <m/>
    <s v="RAD-D300H "/>
    <n v="3380"/>
    <n v="0.72514792899408287"/>
    <s v="Shops Highest Price"/>
    <m/>
    <s v=""/>
  </r>
  <r>
    <n v="4661"/>
    <s v="Aeon"/>
    <s v="Kornhill"/>
    <x v="59"/>
    <n v="3"/>
    <x v="8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662"/>
    <s v="Aeon"/>
    <s v="Kornhill"/>
    <x v="59"/>
    <n v="3"/>
    <x v="8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663"/>
    <s v="Aeon"/>
    <s v="Kornhill"/>
    <x v="59"/>
    <n v="3"/>
    <x v="8"/>
    <x v="59"/>
    <s v="30公升蒸氣焗爐"/>
    <s v="細電"/>
    <s v="MCA"/>
    <s v="str30"/>
    <n v="1"/>
    <n v="3781"/>
    <n v="3781"/>
    <m/>
    <m/>
    <m/>
    <s v="MS5-STR30SC(BK) "/>
    <n v="5998"/>
    <n v="0.63037679226408805"/>
    <s v="Shops Highest Price"/>
    <m/>
    <s v=""/>
  </r>
  <r>
    <n v="4664"/>
    <s v="Aeon"/>
    <s v="Kornhill"/>
    <x v="59"/>
    <n v="3"/>
    <x v="8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m/>
    <s v=""/>
  </r>
  <r>
    <n v="4665"/>
    <s v="Aeon"/>
    <s v="Kornhill"/>
    <x v="59"/>
    <n v="3"/>
    <x v="8"/>
    <x v="21"/>
    <s v="壓縮式抽濕機 (30公升)"/>
    <s v="細電"/>
    <s v="RAC"/>
    <s v="d300"/>
    <n v="1"/>
    <n v="2451"/>
    <n v="2451"/>
    <m/>
    <m/>
    <m/>
    <s v="RAD-D300H "/>
    <n v="3380"/>
    <n v="0.72514792899408287"/>
    <s v="Shops Highest Price"/>
    <m/>
    <s v=""/>
  </r>
  <r>
    <n v="4666"/>
    <s v="Aeon"/>
    <s v="Kornhill"/>
    <x v="59"/>
    <n v="3"/>
    <x v="1"/>
    <x v="24"/>
    <s v="微型電腦珍珠飯煲"/>
    <s v="細電"/>
    <s v="SDA"/>
    <s v="5sli"/>
    <n v="2"/>
    <n v="590"/>
    <n v="1180"/>
    <m/>
    <m/>
    <m/>
    <s v="RC-5SLIH(W) "/>
    <n v="658"/>
    <n v="0.89665653495440734"/>
    <s v="Toshiba SRP"/>
    <m/>
    <s v=""/>
  </r>
  <r>
    <n v="4667"/>
    <s v="Aeon"/>
    <s v="Kornhill"/>
    <x v="59"/>
    <n v="3"/>
    <x v="1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668"/>
    <s v="Aeon"/>
    <s v="Kornhill"/>
    <x v="59"/>
    <n v="3"/>
    <x v="1"/>
    <x v="52"/>
    <s v="35L多功能電焗爐"/>
    <s v="細電"/>
    <s v="SDA"/>
    <s v="mc35"/>
    <n v="1"/>
    <n v="890"/>
    <n v="890"/>
    <m/>
    <m/>
    <m/>
    <s v="TL-MC35Z "/>
    <n v="1098"/>
    <n v="0.81056466302367947"/>
    <s v="Toshiba SRP"/>
    <m/>
    <s v=""/>
  </r>
  <r>
    <n v="4669"/>
    <s v="Aeon"/>
    <s v="Kornhill"/>
    <x v="59"/>
    <n v="3"/>
    <x v="1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670"/>
    <s v="Aeon"/>
    <s v="Kornhill"/>
    <x v="59"/>
    <n v="3"/>
    <x v="1"/>
    <x v="21"/>
    <s v="壓縮式抽濕機 (30公升)"/>
    <s v="細電"/>
    <s v="RAC"/>
    <s v="d300"/>
    <n v="2"/>
    <n v="2451"/>
    <n v="4902"/>
    <m/>
    <m/>
    <m/>
    <s v="RAD-D300H "/>
    <n v="3380"/>
    <n v="0.72514792899408287"/>
    <s v="Shops Highest Price"/>
    <m/>
    <s v=""/>
  </r>
  <r>
    <n v="4671"/>
    <s v="Aeon"/>
    <s v="Kornhill"/>
    <x v="59"/>
    <n v="3"/>
    <x v="2"/>
    <x v="44"/>
    <s v="1.7L無線雙層電熱水壺"/>
    <s v="細電"/>
    <s v="SDA"/>
    <s v="17shnh"/>
    <n v="2"/>
    <n v="190"/>
    <n v="380"/>
    <m/>
    <m/>
    <m/>
    <s v="KT-17SHNH "/>
    <n v="299"/>
    <n v="0.63545150501672243"/>
    <s v="Shops Highest Price"/>
    <m/>
    <s v=""/>
  </r>
  <r>
    <n v="4672"/>
    <s v="Aeon"/>
    <s v="Kornhill"/>
    <x v="59"/>
    <n v="3"/>
    <x v="2"/>
    <x v="7"/>
    <s v="4毫米厚釜電飯煲0.54L"/>
    <s v="細電"/>
    <s v="SDA"/>
    <s v="5mm"/>
    <n v="1"/>
    <n v="465.5"/>
    <n v="465.5"/>
    <m/>
    <m/>
    <m/>
    <s v="RC-5MMIH(WT) "/>
    <n v="618"/>
    <n v="0.75323624595469252"/>
    <s v="Toshiba SRP"/>
    <m/>
    <s v=""/>
  </r>
  <r>
    <n v="4673"/>
    <s v="Aeon"/>
    <s v="Kornhill"/>
    <x v="59"/>
    <n v="3"/>
    <x v="2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674"/>
    <s v="Aeon"/>
    <s v="Kornhill"/>
    <x v="59"/>
    <n v="3"/>
    <x v="2"/>
    <x v="16"/>
    <s v="輕便式電磁爐"/>
    <s v="細電"/>
    <s v="SDA"/>
    <s v="20r1"/>
    <n v="2"/>
    <n v="290"/>
    <n v="580"/>
    <m/>
    <m/>
    <m/>
    <s v="IC-20R1THK "/>
    <n v="438"/>
    <n v="0.66210045662100458"/>
    <s v="Shops Highest Price"/>
    <m/>
    <s v=""/>
  </r>
  <r>
    <n v="4675"/>
    <s v="Aeon"/>
    <s v="Kornhill"/>
    <x v="59"/>
    <n v="3"/>
    <x v="2"/>
    <x v="21"/>
    <s v="壓縮式抽濕機 (30公升)"/>
    <s v="細電"/>
    <s v="RAC"/>
    <s v="d300"/>
    <n v="3"/>
    <n v="2451"/>
    <n v="7353"/>
    <m/>
    <m/>
    <m/>
    <s v="RAD-D300H "/>
    <n v="3380"/>
    <n v="0.72514792899408287"/>
    <s v="Shops Highest Price"/>
    <m/>
    <s v=""/>
  </r>
  <r>
    <n v="4676"/>
    <s v="Aeon"/>
    <s v="Kornhill"/>
    <x v="59"/>
    <n v="3"/>
    <x v="10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4677"/>
    <s v="Aeon"/>
    <s v="Kornhill"/>
    <x v="59"/>
    <n v="3"/>
    <x v="10"/>
    <x v="56"/>
    <s v="多士焗爐8L"/>
    <s v="細電"/>
    <s v="SDA"/>
    <n v="7080"/>
    <n v="1"/>
    <n v="330"/>
    <n v="330"/>
    <m/>
    <m/>
    <m/>
    <s v="ET-TD7080(PN) "/>
    <n v="498"/>
    <n v="0.66265060240963858"/>
    <s v="Toshiba SRP"/>
    <m/>
    <s v=""/>
  </r>
  <r>
    <n v="4678"/>
    <s v="Aeon"/>
    <s v="Kornhill"/>
    <x v="59"/>
    <n v="3"/>
    <x v="10"/>
    <x v="82"/>
    <s v="Electric Fan"/>
    <s v="細電"/>
    <s v="SDA"/>
    <s v="dsb35"/>
    <n v="1"/>
    <n v="550"/>
    <n v="550"/>
    <m/>
    <m/>
    <m/>
    <s v="F-DSB35HK(W) "/>
    <n v="1088"/>
    <n v="0.50551470588235292"/>
    <s v="Toshiba SRP"/>
    <m/>
    <s v=""/>
  </r>
  <r>
    <n v="4679"/>
    <s v="Aeon"/>
    <s v="Kornhill"/>
    <x v="59"/>
    <n v="3"/>
    <x v="10"/>
    <x v="21"/>
    <s v="壓縮式抽濕機 (30公升)"/>
    <s v="細電"/>
    <s v="RAC"/>
    <s v="d300"/>
    <n v="1"/>
    <n v="2451"/>
    <n v="2451"/>
    <m/>
    <m/>
    <m/>
    <s v="RAD-D300H "/>
    <n v="3380"/>
    <n v="0.72514792899408287"/>
    <s v="Shops Highest Price"/>
    <m/>
    <s v=""/>
  </r>
  <r>
    <n v="4680"/>
    <s v="Aeon"/>
    <s v="Kornhill"/>
    <x v="59"/>
    <n v="3"/>
    <x v="16"/>
    <x v="45"/>
    <s v="備長炭本厚釜電飯煲0.7L"/>
    <s v="細電"/>
    <s v="SDA"/>
    <s v="7hmh"/>
    <n v="1"/>
    <n v="780"/>
    <n v="780"/>
    <m/>
    <m/>
    <m/>
    <s v="RC-7HMH "/>
    <n v="1288"/>
    <n v="0.60559006211180122"/>
    <s v="Toshiba SRP"/>
    <m/>
    <s v=""/>
  </r>
  <r>
    <n v="4681"/>
    <s v="Aeon"/>
    <s v="Kornhill"/>
    <x v="59"/>
    <n v="3"/>
    <x v="16"/>
    <x v="33"/>
    <s v="輕觸式燒烤微波爐"/>
    <s v="細電"/>
    <s v="MCA"/>
    <s v="eg20"/>
    <n v="1"/>
    <n v="760"/>
    <n v="760"/>
    <m/>
    <m/>
    <m/>
    <s v="MM2-EG20PC(WH) "/>
    <n v="918"/>
    <n v="0.82788671023965144"/>
    <s v="Shops Highest Price"/>
    <m/>
    <s v=""/>
  </r>
  <r>
    <n v="4682"/>
    <s v="Aeon"/>
    <s v="Kornhill"/>
    <x v="59"/>
    <n v="3"/>
    <x v="16"/>
    <x v="39"/>
    <s v="酵活炊電飯煲(1.0公升)"/>
    <s v="細電"/>
    <s v="SDA"/>
    <s v="10amx"/>
    <n v="1"/>
    <n v="940.5"/>
    <n v="940.5"/>
    <m/>
    <m/>
    <m/>
    <s v="RC-10AMXH(W) "/>
    <n v="1288"/>
    <n v="0.73020186335403725"/>
    <s v="Toshiba SRP"/>
    <m/>
    <s v=""/>
  </r>
  <r>
    <n v="4683"/>
    <s v="Aeon"/>
    <s v="Kornhill"/>
    <x v="59"/>
    <n v="3"/>
    <x v="11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684"/>
    <s v="Aeon"/>
    <s v="Kornhill"/>
    <x v="59"/>
    <n v="3"/>
    <x v="11"/>
    <x v="84"/>
    <s v="9吋座檯座地循環扇連遙控"/>
    <s v="細電"/>
    <s v="SDA"/>
    <s v="cfs09"/>
    <n v="1"/>
    <n v="290"/>
    <n v="290"/>
    <m/>
    <m/>
    <m/>
    <s v="CFS-09PGR0A0 "/>
    <n v="350"/>
    <n v="0.82857142857142863"/>
    <n v="0"/>
    <m/>
    <s v=""/>
  </r>
  <r>
    <n v="4685"/>
    <s v="Aeon"/>
    <s v="Kornhill"/>
    <x v="59"/>
    <n v="3"/>
    <x v="11"/>
    <x v="61"/>
    <s v="酵活炊電飯煲(1.8公升)"/>
    <s v="細電"/>
    <s v="SDA"/>
    <s v="18amx"/>
    <n v="1"/>
    <n v="990"/>
    <n v="990"/>
    <m/>
    <m/>
    <m/>
    <s v="RC-18AMXH(W) "/>
    <n v="1588"/>
    <n v="0.62342569269521408"/>
    <s v="Toshiba SRP"/>
    <m/>
    <s v=""/>
  </r>
  <r>
    <n v="4686"/>
    <s v="Aeon"/>
    <s v="Kornhill"/>
    <x v="59"/>
    <n v="3"/>
    <x v="12"/>
    <x v="44"/>
    <s v="1.7L無線雙層電熱水壺"/>
    <s v="細電"/>
    <s v="SDA"/>
    <s v="17shnh"/>
    <n v="2"/>
    <n v="190"/>
    <n v="380"/>
    <m/>
    <m/>
    <m/>
    <s v="KT-17SHNH "/>
    <n v="299"/>
    <n v="0.63545150501672243"/>
    <s v="Shops Highest Price"/>
    <m/>
    <s v=""/>
  </r>
  <r>
    <n v="4687"/>
    <s v="Aeon"/>
    <s v="Kornhill"/>
    <x v="59"/>
    <n v="3"/>
    <x v="12"/>
    <x v="7"/>
    <s v="4毫米厚釜電飯煲0.54L"/>
    <s v="細電"/>
    <s v="SDA"/>
    <s v="5mm"/>
    <n v="1"/>
    <n v="490"/>
    <n v="490"/>
    <m/>
    <m/>
    <m/>
    <s v="RC-5MMIH(WT) "/>
    <n v="618"/>
    <n v="0.79288025889967639"/>
    <s v="Toshiba SRP"/>
    <m/>
    <s v=""/>
  </r>
  <r>
    <n v="4688"/>
    <s v="Aeon"/>
    <s v="Kornhill"/>
    <x v="59"/>
    <n v="3"/>
    <x v="12"/>
    <x v="46"/>
    <s v="電熱水瓶 (2.5公升)"/>
    <s v="細電"/>
    <s v="SDA"/>
    <s v="25dr"/>
    <n v="1"/>
    <n v="380"/>
    <n v="380"/>
    <m/>
    <m/>
    <m/>
    <s v="TP-25DR2UHK(W) "/>
    <n v="538"/>
    <n v="0.70631970260223054"/>
    <s v="Toshiba SRP"/>
    <m/>
    <s v=""/>
  </r>
  <r>
    <n v="4689"/>
    <s v="Aeon"/>
    <s v="Kornhill"/>
    <x v="59"/>
    <n v="3"/>
    <x v="12"/>
    <x v="70"/>
    <s v="12吋2合1座地座檯電風扇連遙控"/>
    <s v="細電"/>
    <s v="EAD"/>
    <s v="ya20"/>
    <n v="1"/>
    <n v="370.5"/>
    <n v="370.5"/>
    <m/>
    <m/>
    <m/>
    <s v="F-LYA20(W)HKG "/>
    <n v="988"/>
    <n v="0.375"/>
    <s v="Toshiba SRP"/>
    <m/>
    <s v=""/>
  </r>
  <r>
    <n v="4690"/>
    <s v="Aeon"/>
    <s v="Kornhill"/>
    <x v="59"/>
    <n v="3"/>
    <x v="4"/>
    <x v="17"/>
    <s v="4毫米厚釜電飯煲1L"/>
    <s v="細電"/>
    <s v="SDA"/>
    <s v="10nmf"/>
    <n v="1"/>
    <n v="720"/>
    <n v="720"/>
    <m/>
    <m/>
    <m/>
    <s v="RC-10NMFIH(WT) "/>
    <n v="898"/>
    <n v="0.80178173719376389"/>
    <s v="Toshiba SRP"/>
    <m/>
    <s v=""/>
  </r>
  <r>
    <n v="4691"/>
    <s v="Aeon"/>
    <s v="Kornhill"/>
    <x v="59"/>
    <n v="3"/>
    <x v="4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692"/>
    <s v="Aeon"/>
    <s v="Kornhill"/>
    <x v="59"/>
    <n v="3"/>
    <x v="4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693"/>
    <s v="Aeon"/>
    <s v="Kornhill"/>
    <x v="59"/>
    <n v="3"/>
    <x v="4"/>
    <x v="16"/>
    <s v="輕便式電磁爐"/>
    <s v="細電"/>
    <s v="SDA"/>
    <s v="20r1"/>
    <n v="1"/>
    <n v="290"/>
    <n v="290"/>
    <m/>
    <m/>
    <m/>
    <s v="IC-20R1THK "/>
    <n v="438"/>
    <n v="0.66210045662100458"/>
    <s v="Shops Highest Price"/>
    <m/>
    <s v=""/>
  </r>
  <r>
    <n v="4694"/>
    <s v="Aeon"/>
    <s v="Kornhill"/>
    <x v="59"/>
    <n v="3"/>
    <x v="4"/>
    <x v="61"/>
    <s v="酵活炊電飯煲(1.8公升)"/>
    <s v="細電"/>
    <s v="SDA"/>
    <s v="18amx"/>
    <n v="1"/>
    <n v="990"/>
    <n v="990"/>
    <m/>
    <m/>
    <m/>
    <s v="RC-18AMXH(W) "/>
    <n v="1588"/>
    <n v="0.62342569269521408"/>
    <s v="Toshiba SRP"/>
    <m/>
    <s v=""/>
  </r>
  <r>
    <n v="4695"/>
    <s v="Aeon"/>
    <s v="Kornhill"/>
    <x v="59"/>
    <n v="3"/>
    <x v="4"/>
    <x v="82"/>
    <s v="Electric Fan"/>
    <s v="細電"/>
    <s v="SDA"/>
    <s v="dsb35"/>
    <n v="1"/>
    <n v="550"/>
    <n v="550"/>
    <m/>
    <m/>
    <m/>
    <s v="F-DSB35HK(W) "/>
    <n v="1088"/>
    <n v="0.50551470588235292"/>
    <s v="Toshiba SRP"/>
    <m/>
    <s v=""/>
  </r>
  <r>
    <n v="4696"/>
    <s v="Aeon"/>
    <s v="Kornhill"/>
    <x v="59"/>
    <n v="3"/>
    <x v="4"/>
    <x v="21"/>
    <s v="壓縮式抽濕機 (30公升)"/>
    <s v="細電"/>
    <s v="RAC"/>
    <s v="d300"/>
    <n v="3"/>
    <n v="2326"/>
    <n v="6978"/>
    <m/>
    <m/>
    <m/>
    <s v="RAD-D300H "/>
    <n v="3380"/>
    <n v="0.68816568047337279"/>
    <s v="Shops Highest Price"/>
    <m/>
    <s v=""/>
  </r>
  <r>
    <n v="4697"/>
    <s v="Aeon"/>
    <s v="Kornhill"/>
    <x v="59"/>
    <n v="3"/>
    <x v="14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698"/>
    <s v="Aeon"/>
    <s v="Kornhill"/>
    <x v="59"/>
    <n v="3"/>
    <x v="14"/>
    <x v="33"/>
    <s v="輕觸式燒烤微波爐"/>
    <s v="細電"/>
    <s v="MCA"/>
    <s v="eg20"/>
    <n v="1"/>
    <n v="760"/>
    <n v="760"/>
    <m/>
    <m/>
    <m/>
    <s v="MM2-EG20PC(WH) "/>
    <n v="918"/>
    <n v="0.82788671023965144"/>
    <s v="Shops Highest Price"/>
    <m/>
    <s v=""/>
  </r>
  <r>
    <n v="4699"/>
    <s v="Aeon"/>
    <s v="Kornhill"/>
    <x v="59"/>
    <n v="3"/>
    <x v="14"/>
    <x v="84"/>
    <s v="9吋座檯座地循環扇連遙控"/>
    <s v="細電"/>
    <s v="SDA"/>
    <s v="cfs09"/>
    <n v="1"/>
    <n v="290"/>
    <n v="290"/>
    <m/>
    <m/>
    <m/>
    <s v="CFS-09PGR0A0 "/>
    <n v="350"/>
    <n v="0.82857142857142863"/>
    <n v="0"/>
    <m/>
    <s v=""/>
  </r>
  <r>
    <n v="4700"/>
    <s v="Aeon"/>
    <s v="Kornhill"/>
    <x v="59"/>
    <n v="3"/>
    <x v="14"/>
    <x v="28"/>
    <s v="無線雙層電熱水壺-附可鎖壺蓋(0.8公升)"/>
    <s v="細電"/>
    <s v="SDA"/>
    <s v="08dh"/>
    <n v="1"/>
    <n v="260"/>
    <n v="260"/>
    <m/>
    <m/>
    <m/>
    <s v="KT-08DH1VHK(W) "/>
    <n v="428"/>
    <n v="0.60747663551401865"/>
    <s v="Toshiba SRP"/>
    <m/>
    <s v=""/>
  </r>
  <r>
    <n v="4701"/>
    <s v="Aeon"/>
    <s v="Kornhill"/>
    <x v="59"/>
    <n v="3"/>
    <x v="14"/>
    <x v="37"/>
    <s v="電熱水瓶 (5公升)"/>
    <s v="細電"/>
    <s v="SDA"/>
    <s v="50dr"/>
    <n v="1"/>
    <n v="620"/>
    <n v="620"/>
    <m/>
    <m/>
    <m/>
    <s v="TP-50DRUHK(W) "/>
    <n v="718"/>
    <n v="0.86350974930362112"/>
    <s v="Toshiba SRP"/>
    <m/>
    <s v=""/>
  </r>
  <r>
    <n v="4702"/>
    <s v="Aeon"/>
    <s v="Kornhill"/>
    <x v="59"/>
    <n v="3"/>
    <x v="14"/>
    <x v="70"/>
    <s v="12吋2合1座地座檯電風扇連遙控"/>
    <s v="細電"/>
    <s v="EAD"/>
    <s v="ya20"/>
    <n v="1"/>
    <n v="370.5"/>
    <n v="370.5"/>
    <m/>
    <m/>
    <m/>
    <s v="F-LYA20(W)HKG "/>
    <n v="988"/>
    <n v="0.375"/>
    <s v="Toshiba SRP"/>
    <m/>
    <s v=""/>
  </r>
  <r>
    <n v="4703"/>
    <s v="Aeon"/>
    <s v="Kornhill"/>
    <x v="59"/>
    <n v="3"/>
    <x v="14"/>
    <x v="20"/>
    <s v="壓縮式抽濕機 (22公升)"/>
    <s v="細電"/>
    <s v="RAC"/>
    <s v="d200"/>
    <n v="1"/>
    <n v="1938"/>
    <n v="1938"/>
    <m/>
    <m/>
    <m/>
    <s v="RAD-D200H "/>
    <n v="2880"/>
    <n v="0.67291666666666672"/>
    <s v="Shops Highest Price"/>
    <m/>
    <s v=""/>
  </r>
  <r>
    <n v="4704"/>
    <s v="Aeon"/>
    <s v="Kornhill"/>
    <x v="59"/>
    <n v="3"/>
    <x v="15"/>
    <x v="30"/>
    <s v="旋鈕式燒烤微波爐20L"/>
    <s v="細電"/>
    <s v="SDA"/>
    <s v="mm20"/>
    <n v="1"/>
    <n v="580"/>
    <n v="580"/>
    <m/>
    <m/>
    <m/>
    <s v="MWP-MM20P(WH) "/>
    <n v="648"/>
    <n v="0.89506172839506171"/>
    <s v="Toshiba SRP"/>
    <m/>
    <s v=""/>
  </r>
  <r>
    <n v="4705"/>
    <s v="Aeon"/>
    <s v="Kornhill"/>
    <x v="59"/>
    <n v="3"/>
    <x v="15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706"/>
    <s v="Aeon"/>
    <s v="Kornhill"/>
    <x v="59"/>
    <n v="3"/>
    <x v="15"/>
    <x v="14"/>
    <s v="21L壓縮式抽濕機"/>
    <s v="大電"/>
    <s v="RAC"/>
    <s v="y200"/>
    <n v="1"/>
    <n v="1881"/>
    <n v="1881"/>
    <m/>
    <m/>
    <m/>
    <s v="RAD-Y200H "/>
    <n v="3280"/>
    <n v="0.57347560975609757"/>
    <s v="Toshiba SRP"/>
    <m/>
    <s v=""/>
  </r>
  <r>
    <n v="4707"/>
    <s v="Aeon"/>
    <s v="Kornhill"/>
    <x v="59"/>
    <n v="3"/>
    <x v="15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4708"/>
    <s v="Aeon"/>
    <s v="Kornhill"/>
    <x v="59"/>
    <n v="3"/>
    <x v="15"/>
    <x v="61"/>
    <s v="酵活炊電飯煲(1.8公升)"/>
    <s v="細電"/>
    <s v="SDA"/>
    <s v="18amx"/>
    <n v="1"/>
    <n v="990"/>
    <n v="990"/>
    <m/>
    <m/>
    <m/>
    <s v="RC-18AMXH(W) "/>
    <n v="1588"/>
    <n v="0.62342569269521408"/>
    <s v="Toshiba SRP"/>
    <m/>
    <s v=""/>
  </r>
  <r>
    <n v="4709"/>
    <s v="Aeon"/>
    <s v="Kornhill"/>
    <x v="59"/>
    <n v="3"/>
    <x v="15"/>
    <x v="82"/>
    <s v="Electric Fan"/>
    <s v="細電"/>
    <s v="SDA"/>
    <s v="dsb35"/>
    <n v="1"/>
    <n v="550"/>
    <n v="550"/>
    <m/>
    <m/>
    <m/>
    <s v="F-DSB35HK(W) "/>
    <n v="1088"/>
    <n v="0.50551470588235292"/>
    <s v="Toshiba SRP"/>
    <m/>
    <s v=""/>
  </r>
  <r>
    <n v="4710"/>
    <s v="Aeon"/>
    <s v="Kornhill"/>
    <x v="59"/>
    <n v="3"/>
    <x v="19"/>
    <x v="44"/>
    <s v="1.7L無線雙層電熱水壺"/>
    <s v="細電"/>
    <s v="SDA"/>
    <s v="17shnh"/>
    <n v="2"/>
    <n v="180.5"/>
    <n v="361"/>
    <m/>
    <m/>
    <m/>
    <s v="KT-17SHNH "/>
    <n v="299"/>
    <n v="0.60367892976588633"/>
    <s v="Shops Highest Price"/>
    <m/>
    <s v=""/>
  </r>
  <r>
    <n v="4711"/>
    <s v="Aeon"/>
    <s v="Kornhill"/>
    <x v="59"/>
    <n v="3"/>
    <x v="19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712"/>
    <s v="Aeon"/>
    <s v="Kornhill"/>
    <x v="59"/>
    <n v="3"/>
    <x v="19"/>
    <x v="30"/>
    <s v="旋鈕式燒烤微波爐20L"/>
    <s v="細電"/>
    <s v="SDA"/>
    <s v="mm20"/>
    <n v="1"/>
    <n v="551"/>
    <n v="551"/>
    <m/>
    <m/>
    <m/>
    <s v="MWP-MM20P(WH) "/>
    <n v="648"/>
    <n v="0.85030864197530864"/>
    <s v="Toshiba SRP"/>
    <m/>
    <s v=""/>
  </r>
  <r>
    <n v="4713"/>
    <s v="Aeon"/>
    <s v="Kornhill"/>
    <x v="59"/>
    <n v="3"/>
    <x v="19"/>
    <x v="63"/>
    <s v="20L 智能蒸氣焗爐"/>
    <s v="細電"/>
    <s v="MCA"/>
    <s v="stq20"/>
    <n v="1"/>
    <n v="1881"/>
    <n v="1881"/>
    <m/>
    <m/>
    <m/>
    <s v="MS3-STQ20SC(WH) "/>
    <n v="2880"/>
    <n v="0.65312499999999996"/>
    <s v="Toshiba SRP"/>
    <m/>
    <s v=""/>
  </r>
  <r>
    <n v="4714"/>
    <s v="Aeon"/>
    <s v="Kornhill"/>
    <x v="59"/>
    <n v="3"/>
    <x v="19"/>
    <x v="31"/>
    <s v="無線雙層電熱水壺(1.7公升)"/>
    <s v="細電"/>
    <s v="SDA"/>
    <s v="17drt"/>
    <n v="2"/>
    <n v="332.5"/>
    <n v="665"/>
    <m/>
    <m/>
    <m/>
    <s v="KT-17DRTHK(H) "/>
    <n v="498"/>
    <n v="0.66767068273092367"/>
    <s v="Toshiba SRP"/>
    <m/>
    <s v=""/>
  </r>
  <r>
    <n v="4715"/>
    <s v="Aeon"/>
    <s v="Kornhill"/>
    <x v="59"/>
    <n v="3"/>
    <x v="19"/>
    <x v="60"/>
    <s v="酵活炊磁應電飯煲(1.5公升)"/>
    <s v="細電"/>
    <s v="SDA"/>
    <s v="15bh"/>
    <n v="1"/>
    <n v="1603.6"/>
    <n v="1603.6"/>
    <m/>
    <m/>
    <m/>
    <s v="RC-15BHH(W) "/>
    <n v="2388"/>
    <n v="0.67152428810720266"/>
    <s v="Toshiba SRP"/>
    <m/>
    <s v=""/>
  </r>
  <r>
    <n v="4716"/>
    <s v="Aeon"/>
    <s v="Kornhill"/>
    <x v="59"/>
    <n v="3"/>
    <x v="19"/>
    <x v="28"/>
    <s v="無線雙層電熱水壺-附可鎖壺蓋(0.8公升)"/>
    <s v="細電"/>
    <s v="SDA"/>
    <s v="08dh"/>
    <n v="1"/>
    <n v="247"/>
    <n v="247"/>
    <m/>
    <m/>
    <m/>
    <s v="KT-08DH1VHK(W) "/>
    <n v="428"/>
    <n v="0.57710280373831779"/>
    <s v="Toshiba SRP"/>
    <m/>
    <s v=""/>
  </r>
  <r>
    <n v="4717"/>
    <s v="Aeon"/>
    <s v="Kornhill"/>
    <x v="59"/>
    <n v="3"/>
    <x v="19"/>
    <x v="21"/>
    <s v="壓縮式抽濕機 (30公升)"/>
    <s v="細電"/>
    <s v="RAC"/>
    <s v="d300"/>
    <n v="3"/>
    <n v="2326"/>
    <n v="6978"/>
    <m/>
    <m/>
    <m/>
    <s v="RAD-D300H "/>
    <n v="3380"/>
    <n v="0.68816568047337279"/>
    <s v="Shops Highest Price"/>
    <m/>
    <s v=""/>
  </r>
  <r>
    <n v="4718"/>
    <s v="Aeon"/>
    <s v="Kornhill"/>
    <x v="59"/>
    <n v="3"/>
    <x v="20"/>
    <x v="7"/>
    <s v="4毫米厚釜電飯煲0.54L"/>
    <s v="細電"/>
    <s v="SDA"/>
    <s v="5mm"/>
    <n v="2"/>
    <n v="465.5"/>
    <n v="931"/>
    <m/>
    <m/>
    <m/>
    <s v="RC-5MMIH(WT) "/>
    <n v="618"/>
    <n v="0.75323624595469252"/>
    <s v="Toshiba SRP"/>
    <m/>
    <s v=""/>
  </r>
  <r>
    <n v="4719"/>
    <s v="Aeon"/>
    <s v="Kornhill"/>
    <x v="59"/>
    <n v="3"/>
    <x v="20"/>
    <x v="47"/>
    <s v="磁應電飯煲(1公升)"/>
    <s v="細電"/>
    <s v="SDA"/>
    <s v="10iss"/>
    <n v="1"/>
    <n v="930"/>
    <n v="930"/>
    <m/>
    <m/>
    <m/>
    <s v="RC-10ISSHK(W) "/>
    <n v="1188"/>
    <n v="0.78282828282828287"/>
    <s v="Shops Highest Price"/>
    <m/>
    <s v=""/>
  </r>
  <r>
    <n v="4720"/>
    <s v="Aeon"/>
    <s v="Kornhill"/>
    <x v="59"/>
    <n v="3"/>
    <x v="20"/>
    <x v="31"/>
    <s v="無線雙層電熱水壺(1.7公升)"/>
    <s v="細電"/>
    <s v="SDA"/>
    <s v="17drt"/>
    <n v="2"/>
    <n v="332.5"/>
    <n v="665"/>
    <m/>
    <m/>
    <m/>
    <s v="KT-17DRTHK(H) "/>
    <n v="498"/>
    <n v="0.66767068273092367"/>
    <s v="Toshiba SRP"/>
    <m/>
    <s v=""/>
  </r>
  <r>
    <n v="4721"/>
    <s v="Aeon"/>
    <s v="Kornhill"/>
    <x v="59"/>
    <n v="3"/>
    <x v="20"/>
    <x v="33"/>
    <s v="輕觸式燒烤微波爐"/>
    <s v="細電"/>
    <s v="MCA"/>
    <s v="eg20"/>
    <n v="1"/>
    <n v="722"/>
    <n v="722"/>
    <m/>
    <m/>
    <m/>
    <s v="MM2-EG20PC(WH) "/>
    <n v="918"/>
    <n v="0.78649237472766886"/>
    <s v="Shops Highest Price"/>
    <m/>
    <s v=""/>
  </r>
  <r>
    <n v="4722"/>
    <s v="Aeon"/>
    <s v="Kornhill"/>
    <x v="59"/>
    <n v="3"/>
    <x v="20"/>
    <x v="16"/>
    <s v="輕便式電磁爐"/>
    <s v="細電"/>
    <s v="SDA"/>
    <s v="20r1"/>
    <n v="2"/>
    <n v="275.5"/>
    <n v="551"/>
    <m/>
    <m/>
    <m/>
    <s v="IC-20R1THK "/>
    <n v="438"/>
    <n v="0.62899543378995437"/>
    <s v="Shops Highest Price"/>
    <m/>
    <s v=""/>
  </r>
  <r>
    <n v="4723"/>
    <s v="Aeon"/>
    <s v="Kornhill"/>
    <x v="59"/>
    <n v="3"/>
    <x v="20"/>
    <x v="61"/>
    <s v="酵活炊電飯煲(1.8公升)"/>
    <s v="細電"/>
    <s v="SDA"/>
    <s v="18amx"/>
    <n v="1"/>
    <n v="940.5"/>
    <n v="940.5"/>
    <m/>
    <m/>
    <m/>
    <s v="RC-18AMXH(W) "/>
    <n v="1588"/>
    <n v="0.59225440806045337"/>
    <s v="Toshiba SRP"/>
    <m/>
    <s v=""/>
  </r>
  <r>
    <n v="4724"/>
    <s v="Aeon"/>
    <s v="Kornhill"/>
    <x v="59"/>
    <n v="3"/>
    <x v="20"/>
    <x v="46"/>
    <s v="電熱水瓶 (2.5公升)"/>
    <s v="細電"/>
    <s v="SDA"/>
    <s v="25dr"/>
    <n v="2"/>
    <n v="361"/>
    <n v="722"/>
    <m/>
    <m/>
    <m/>
    <s v="TP-25DR2UHK(W) "/>
    <n v="538"/>
    <n v="0.67100371747211895"/>
    <s v="Toshiba SRP"/>
    <m/>
    <s v=""/>
  </r>
  <r>
    <n v="4725"/>
    <s v="Aeon"/>
    <s v="Kornhill"/>
    <x v="59"/>
    <n v="3"/>
    <x v="20"/>
    <x v="21"/>
    <s v="壓縮式抽濕機 (30公升)"/>
    <s v="細電"/>
    <s v="RAC"/>
    <s v="d300"/>
    <n v="2"/>
    <n v="2326"/>
    <n v="4652"/>
    <m/>
    <m/>
    <m/>
    <s v="RAD-D300H "/>
    <n v="3380"/>
    <n v="0.68816568047337279"/>
    <s v="Shops Highest Price"/>
    <m/>
    <s v=""/>
  </r>
  <r>
    <n v="4726"/>
    <s v="Aeon"/>
    <s v="Kornhill"/>
    <x v="59"/>
    <n v="3"/>
    <x v="21"/>
    <x v="24"/>
    <s v="微型電腦珍珠飯煲"/>
    <s v="細電"/>
    <s v="SDA"/>
    <s v="5sli"/>
    <n v="1"/>
    <n v="560.5"/>
    <n v="560.5"/>
    <m/>
    <m/>
    <m/>
    <s v="RC-5SLIH(W) "/>
    <n v="658"/>
    <n v="0.85182370820668696"/>
    <s v="Toshiba SRP"/>
    <m/>
    <s v=""/>
  </r>
  <r>
    <n v="4727"/>
    <s v="Aeon"/>
    <s v="Kornhill"/>
    <x v="59"/>
    <n v="3"/>
    <x v="21"/>
    <x v="31"/>
    <s v="無線雙層電熱水壺(1.7公升)"/>
    <s v="細電"/>
    <s v="SDA"/>
    <s v="17drt"/>
    <n v="2"/>
    <n v="350"/>
    <n v="700"/>
    <m/>
    <m/>
    <m/>
    <s v="KT-17DRTHK(H) "/>
    <n v="498"/>
    <n v="0.70281124497991965"/>
    <s v="Toshiba SRP"/>
    <m/>
    <s v=""/>
  </r>
  <r>
    <n v="4728"/>
    <s v="Aeon"/>
    <s v="Kornhill"/>
    <x v="59"/>
    <n v="3"/>
    <x v="21"/>
    <x v="14"/>
    <s v="21L壓縮式抽濕機"/>
    <s v="大電"/>
    <s v="RAC"/>
    <s v="y200"/>
    <n v="1"/>
    <n v="1881"/>
    <n v="1881"/>
    <m/>
    <m/>
    <m/>
    <s v="RAD-Y200H "/>
    <n v="3280"/>
    <n v="0.57347560975609757"/>
    <s v="Toshiba SRP"/>
    <m/>
    <s v=""/>
  </r>
  <r>
    <n v="4729"/>
    <s v="Aeon"/>
    <s v="Kornhill"/>
    <x v="59"/>
    <n v="3"/>
    <x v="21"/>
    <x v="20"/>
    <s v="壓縮式抽濕機 (22公升)"/>
    <s v="細電"/>
    <s v="RAC"/>
    <s v="d200"/>
    <n v="2"/>
    <n v="1938"/>
    <n v="3876"/>
    <m/>
    <m/>
    <m/>
    <s v="RAD-D200H "/>
    <n v="2880"/>
    <n v="0.67291666666666672"/>
    <s v="Shops Highest Price"/>
    <m/>
    <s v=""/>
  </r>
  <r>
    <n v="4730"/>
    <s v="Aeon"/>
    <s v="Kornhill"/>
    <x v="59"/>
    <n v="3"/>
    <x v="21"/>
    <x v="21"/>
    <s v="壓縮式抽濕機 (30公升)"/>
    <s v="細電"/>
    <s v="RAC"/>
    <s v="d300"/>
    <n v="2"/>
    <n v="2326"/>
    <n v="4652"/>
    <m/>
    <m/>
    <m/>
    <s v="RAD-D300H "/>
    <n v="3380"/>
    <n v="0.68816568047337279"/>
    <s v="Shops Highest Price"/>
    <m/>
    <s v=""/>
  </r>
  <r>
    <n v="4731"/>
    <s v="Aeon"/>
    <s v="Kornhill"/>
    <x v="59"/>
    <n v="3"/>
    <x v="30"/>
    <x v="51"/>
    <s v="IH磁應電飯煲"/>
    <s v="細電"/>
    <s v="SDA"/>
    <s v="dr10tw"/>
    <n v="1"/>
    <n v="2261"/>
    <n v="2261"/>
    <m/>
    <m/>
    <m/>
    <s v="RC-DR10T(W) "/>
    <n v="3188"/>
    <n v="0.70922208281053956"/>
    <s v="Toshiba SRP"/>
    <m/>
    <s v=""/>
  </r>
  <r>
    <n v="4732"/>
    <s v="Aeon"/>
    <s v="Kornhill"/>
    <x v="59"/>
    <n v="3"/>
    <x v="30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733"/>
    <s v="Aeon"/>
    <s v="Kornhill"/>
    <x v="59"/>
    <n v="3"/>
    <x v="30"/>
    <x v="16"/>
    <s v="輕便式電磁爐"/>
    <s v="細電"/>
    <s v="SDA"/>
    <s v="20r1"/>
    <n v="2"/>
    <n v="275.5"/>
    <n v="551"/>
    <m/>
    <m/>
    <m/>
    <s v="IC-20R1THK "/>
    <n v="438"/>
    <n v="0.62899543378995437"/>
    <s v="Shops Highest Price"/>
    <m/>
    <s v=""/>
  </r>
  <r>
    <n v="4734"/>
    <s v="Aeon"/>
    <s v="Kornhill"/>
    <x v="59"/>
    <n v="3"/>
    <x v="30"/>
    <x v="37"/>
    <s v="電熱水瓶 (5公升)"/>
    <s v="細電"/>
    <s v="SDA"/>
    <s v="50dr"/>
    <n v="1"/>
    <n v="620"/>
    <n v="620"/>
    <m/>
    <m/>
    <m/>
    <s v="TP-50DRUHK(W) "/>
    <n v="718"/>
    <n v="0.86350974930362112"/>
    <s v="Toshiba SRP"/>
    <m/>
    <s v=""/>
  </r>
  <r>
    <n v="4735"/>
    <s v="Aeon"/>
    <s v="Kornhill"/>
    <x v="59"/>
    <n v="3"/>
    <x v="30"/>
    <x v="21"/>
    <s v="壓縮式抽濕機 (30公升)"/>
    <s v="細電"/>
    <s v="RAC"/>
    <s v="d300"/>
    <n v="1"/>
    <n v="2326"/>
    <n v="2326"/>
    <m/>
    <m/>
    <m/>
    <s v="RAD-D300H "/>
    <n v="3380"/>
    <n v="0.68816568047337279"/>
    <s v="Shops Highest Price"/>
    <m/>
    <s v=""/>
  </r>
  <r>
    <n v="4736"/>
    <s v="Aeon"/>
    <s v="Kornhill"/>
    <x v="59"/>
    <n v="3"/>
    <x v="24"/>
    <x v="56"/>
    <s v="多士焗爐8L"/>
    <s v="細電"/>
    <s v="SDA"/>
    <n v="7080"/>
    <n v="1"/>
    <n v="330"/>
    <n v="330"/>
    <m/>
    <m/>
    <m/>
    <s v="ET-TD7080(PN) "/>
    <n v="498"/>
    <n v="0.66265060240963858"/>
    <s v="Toshiba SRP"/>
    <m/>
    <s v=""/>
  </r>
  <r>
    <n v="4737"/>
    <s v="Aeon"/>
    <s v="Kornhill"/>
    <x v="59"/>
    <n v="3"/>
    <x v="24"/>
    <x v="31"/>
    <s v="無線雙層電熱水壺(1.7公升)"/>
    <s v="細電"/>
    <s v="SDA"/>
    <s v="17drt"/>
    <n v="2"/>
    <n v="350"/>
    <n v="700"/>
    <m/>
    <m/>
    <m/>
    <s v="KT-17DRTHK(H) "/>
    <n v="498"/>
    <n v="0.70281124497991965"/>
    <s v="Toshiba SRP"/>
    <m/>
    <s v=""/>
  </r>
  <r>
    <n v="4738"/>
    <s v="Aeon"/>
    <s v="Kornhill"/>
    <x v="59"/>
    <n v="3"/>
    <x v="24"/>
    <x v="33"/>
    <s v="輕觸式燒烤微波爐"/>
    <s v="細電"/>
    <s v="MCA"/>
    <s v="eg20"/>
    <n v="1"/>
    <n v="760"/>
    <n v="760"/>
    <m/>
    <m/>
    <m/>
    <s v="MM2-EG20PC(WH) "/>
    <n v="918"/>
    <n v="0.82788671023965144"/>
    <s v="Shops Highest Price"/>
    <m/>
    <s v=""/>
  </r>
  <r>
    <n v="4739"/>
    <s v="Aeon"/>
    <s v="Kornhill"/>
    <x v="59"/>
    <n v="3"/>
    <x v="24"/>
    <x v="61"/>
    <s v="酵活炊電飯煲(1.8公升)"/>
    <s v="細電"/>
    <s v="SDA"/>
    <s v="18amx"/>
    <n v="1"/>
    <n v="990"/>
    <n v="990"/>
    <m/>
    <m/>
    <m/>
    <s v="RC-18AMXH(W) "/>
    <n v="1588"/>
    <n v="0.62342569269521408"/>
    <s v="Toshiba SRP"/>
    <m/>
    <s v=""/>
  </r>
  <r>
    <n v="4740"/>
    <s v="Aeon"/>
    <s v="Kornhill"/>
    <x v="59"/>
    <n v="3"/>
    <x v="24"/>
    <x v="28"/>
    <s v="無線雙層電熱水壺-附可鎖壺蓋(0.8公升)"/>
    <s v="細電"/>
    <s v="SDA"/>
    <s v="08dh"/>
    <n v="1"/>
    <n v="260"/>
    <n v="260"/>
    <m/>
    <m/>
    <m/>
    <s v="KT-08DH1VHK(W) "/>
    <n v="428"/>
    <n v="0.60747663551401865"/>
    <s v="Toshiba SRP"/>
    <m/>
    <s v=""/>
  </r>
  <r>
    <n v="4741"/>
    <s v="Aeon"/>
    <s v="Kornhill"/>
    <x v="59"/>
    <n v="3"/>
    <x v="24"/>
    <x v="70"/>
    <s v="12吋2合1座地座檯電風扇連遙控"/>
    <s v="細電"/>
    <s v="EAD"/>
    <s v="ya20"/>
    <n v="3"/>
    <n v="351"/>
    <n v="1053"/>
    <m/>
    <m/>
    <m/>
    <s v="F-LYA20(W)HKG "/>
    <n v="988"/>
    <n v="0.35526315789473684"/>
    <s v="Toshiba SRP"/>
    <m/>
    <s v=""/>
  </r>
  <r>
    <n v="4742"/>
    <s v="Aeon"/>
    <s v="Kornhill"/>
    <x v="59"/>
    <n v="3"/>
    <x v="24"/>
    <x v="82"/>
    <s v="Electric Fan"/>
    <s v="細電"/>
    <s v="SDA"/>
    <s v="dsb35"/>
    <n v="2"/>
    <n v="522.5"/>
    <n v="1045"/>
    <m/>
    <m/>
    <m/>
    <s v="F-DSB35HK(W) "/>
    <n v="1088"/>
    <n v="0.48023897058823528"/>
    <s v="Toshiba SRP"/>
    <m/>
    <s v=""/>
  </r>
  <r>
    <n v="4743"/>
    <s v="Aeon"/>
    <s v="Kornhill"/>
    <x v="59"/>
    <n v="3"/>
    <x v="25"/>
    <x v="8"/>
    <s v="電壓力鍋"/>
    <s v="細電"/>
    <s v="SDA"/>
    <s v="48drs"/>
    <n v="1"/>
    <n v="890"/>
    <n v="890"/>
    <m/>
    <m/>
    <m/>
    <s v="PC-48DRSHK(K) "/>
    <n v="1188"/>
    <n v="0.74915824915824913"/>
    <s v="Shops Highest Price"/>
    <m/>
    <s v=""/>
  </r>
  <r>
    <n v="4744"/>
    <s v="Aeon"/>
    <s v="Kornhill"/>
    <x v="59"/>
    <n v="3"/>
    <x v="25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745"/>
    <s v="Aeon"/>
    <s v="Kornhill"/>
    <x v="59"/>
    <n v="3"/>
    <x v="25"/>
    <x v="84"/>
    <s v="9吋座檯座地循環扇連遙控"/>
    <s v="細電"/>
    <s v="SDA"/>
    <s v="cfs09"/>
    <n v="1"/>
    <n v="290"/>
    <n v="290"/>
    <m/>
    <m/>
    <m/>
    <s v="CFS-09PGR0A0 "/>
    <n v="350"/>
    <n v="0.82857142857142863"/>
    <n v="0"/>
    <m/>
    <s v=""/>
  </r>
  <r>
    <n v="4746"/>
    <s v="Aeon"/>
    <s v="Kornhill"/>
    <x v="59"/>
    <n v="3"/>
    <x v="25"/>
    <x v="70"/>
    <s v="12吋2合1座地座檯電風扇連遙控"/>
    <s v="細電"/>
    <s v="EAD"/>
    <s v="ya20"/>
    <n v="1"/>
    <n v="351"/>
    <n v="351"/>
    <m/>
    <m/>
    <m/>
    <s v="F-LYA20(W)HKG "/>
    <n v="988"/>
    <n v="0.35526315789473684"/>
    <s v="Toshiba SRP"/>
    <m/>
    <s v=""/>
  </r>
  <r>
    <n v="4747"/>
    <s v="Aeon"/>
    <s v="Kornhill"/>
    <x v="59"/>
    <n v="3"/>
    <x v="25"/>
    <x v="82"/>
    <s v="Electric Fan"/>
    <s v="細電"/>
    <s v="SDA"/>
    <s v="dsb35"/>
    <n v="2"/>
    <n v="522.5"/>
    <n v="1045"/>
    <m/>
    <m/>
    <m/>
    <s v="F-DSB35HK(W) "/>
    <n v="1088"/>
    <n v="0.48023897058823528"/>
    <s v="Toshiba SRP"/>
    <m/>
    <s v=""/>
  </r>
  <r>
    <n v="4748"/>
    <s v="Aeon"/>
    <s v="Kornhill"/>
    <x v="59"/>
    <n v="3"/>
    <x v="25"/>
    <x v="21"/>
    <s v="壓縮式抽濕機 (30公升)"/>
    <s v="細電"/>
    <s v="RAC"/>
    <s v="d300"/>
    <n v="2"/>
    <n v="2326"/>
    <n v="4652"/>
    <m/>
    <m/>
    <m/>
    <s v="RAD-D300H "/>
    <n v="3380"/>
    <n v="0.68816568047337279"/>
    <s v="Shops Highest Price"/>
    <m/>
    <s v=""/>
  </r>
  <r>
    <n v="4749"/>
    <s v="Aeon"/>
    <s v="Kornhill"/>
    <x v="59"/>
    <n v="3"/>
    <x v="26"/>
    <x v="44"/>
    <s v="1.7L無線雙層電熱水壺"/>
    <s v="細電"/>
    <s v="SDA"/>
    <s v="17shnh"/>
    <n v="2"/>
    <n v="190"/>
    <n v="380"/>
    <m/>
    <m/>
    <m/>
    <s v="KT-17SHNH "/>
    <n v="299"/>
    <n v="0.63545150501672243"/>
    <s v="Shops Highest Price"/>
    <m/>
    <s v=""/>
  </r>
  <r>
    <n v="4750"/>
    <s v="Aeon"/>
    <s v="Kornhill"/>
    <x v="59"/>
    <n v="3"/>
    <x v="26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751"/>
    <s v="Aeon"/>
    <s v="Kornhill"/>
    <x v="59"/>
    <n v="3"/>
    <x v="26"/>
    <x v="45"/>
    <s v="備長炭本厚釜電飯煲0.7L"/>
    <s v="細電"/>
    <s v="SDA"/>
    <s v="7hmh"/>
    <n v="1"/>
    <n v="741"/>
    <n v="741"/>
    <m/>
    <m/>
    <m/>
    <s v="RC-7HMH "/>
    <n v="1288"/>
    <n v="0.5753105590062112"/>
    <s v="Toshiba SRP"/>
    <m/>
    <s v=""/>
  </r>
  <r>
    <n v="4752"/>
    <s v="Aeon"/>
    <s v="Kornhill"/>
    <x v="59"/>
    <n v="3"/>
    <x v="26"/>
    <x v="63"/>
    <s v="20L 智能蒸氣焗爐"/>
    <s v="細電"/>
    <s v="MCA"/>
    <s v="stq20"/>
    <n v="1"/>
    <n v="1980"/>
    <n v="1980"/>
    <m/>
    <m/>
    <m/>
    <s v="MS3-STQ20SC(WH) "/>
    <n v="2880"/>
    <n v="0.6875"/>
    <s v="Toshiba SRP"/>
    <m/>
    <s v=""/>
  </r>
  <r>
    <n v="4753"/>
    <s v="Aeon"/>
    <s v="Kornhill"/>
    <x v="59"/>
    <n v="3"/>
    <x v="26"/>
    <x v="16"/>
    <s v="輕便式電磁爐"/>
    <s v="細電"/>
    <s v="SDA"/>
    <s v="20r1"/>
    <n v="2"/>
    <n v="290"/>
    <n v="580"/>
    <m/>
    <m/>
    <m/>
    <s v="IC-20R1THK "/>
    <n v="438"/>
    <n v="0.66210045662100458"/>
    <s v="Shops Highest Price"/>
    <m/>
    <s v=""/>
  </r>
  <r>
    <n v="4754"/>
    <s v="Aeon"/>
    <s v="Kornhill"/>
    <x v="59"/>
    <n v="3"/>
    <x v="26"/>
    <x v="46"/>
    <s v="電熱水瓶 (2.5公升)"/>
    <s v="細電"/>
    <s v="SDA"/>
    <s v="25dr"/>
    <n v="1"/>
    <n v="361"/>
    <n v="361"/>
    <m/>
    <m/>
    <m/>
    <s v="TP-25DR2UHK(W) "/>
    <n v="538"/>
    <n v="0.67100371747211895"/>
    <s v="Toshiba SRP"/>
    <m/>
    <s v=""/>
  </r>
  <r>
    <n v="4755"/>
    <s v="Aeon"/>
    <s v="Kornhill"/>
    <x v="59"/>
    <n v="3"/>
    <x v="26"/>
    <x v="70"/>
    <s v="12吋2合1座地座檯電風扇連遙控"/>
    <s v="細電"/>
    <s v="EAD"/>
    <s v="ya20"/>
    <n v="2"/>
    <n v="351"/>
    <n v="702"/>
    <m/>
    <m/>
    <m/>
    <s v="F-LYA20(W)HKG "/>
    <n v="988"/>
    <n v="0.35526315789473684"/>
    <s v="Toshiba SRP"/>
    <m/>
    <s v=""/>
  </r>
  <r>
    <n v="4756"/>
    <s v="Aeon"/>
    <s v="Kornhill"/>
    <x v="59"/>
    <n v="3"/>
    <x v="26"/>
    <x v="20"/>
    <s v="壓縮式抽濕機 (22公升)"/>
    <s v="細電"/>
    <s v="RAC"/>
    <s v="d200"/>
    <n v="1"/>
    <n v="1938"/>
    <n v="1938"/>
    <m/>
    <m/>
    <m/>
    <s v="RAD-D200H "/>
    <n v="2880"/>
    <n v="0.67291666666666672"/>
    <s v="Shops Highest Price"/>
    <m/>
    <s v=""/>
  </r>
  <r>
    <n v="4757"/>
    <s v="Aeon"/>
    <s v="Kornhill"/>
    <x v="59"/>
    <n v="3"/>
    <x v="26"/>
    <x v="21"/>
    <s v="壓縮式抽濕機 (30公升)"/>
    <s v="細電"/>
    <s v="RAC"/>
    <s v="d300"/>
    <n v="2"/>
    <n v="2326"/>
    <n v="4652"/>
    <m/>
    <m/>
    <m/>
    <s v="RAD-D300H "/>
    <n v="3380"/>
    <n v="0.68816568047337279"/>
    <s v="Shops Highest Price"/>
    <m/>
    <s v=""/>
  </r>
  <r>
    <n v="4758"/>
    <s v="Aeon"/>
    <s v="Kornhill"/>
    <x v="59"/>
    <n v="3"/>
    <x v="27"/>
    <x v="44"/>
    <s v="1.7L無線雙層電熱水壺"/>
    <s v="細電"/>
    <s v="SDA"/>
    <s v="17shnh"/>
    <n v="1"/>
    <n v="190"/>
    <n v="190"/>
    <m/>
    <m/>
    <m/>
    <s v="KT-17SHNH "/>
    <n v="299"/>
    <n v="0.63545150501672243"/>
    <s v="Shops Highest Price"/>
    <m/>
    <s v=""/>
  </r>
  <r>
    <n v="4759"/>
    <s v="Aeon"/>
    <s v="Kornhill"/>
    <x v="59"/>
    <n v="3"/>
    <x v="27"/>
    <x v="24"/>
    <s v="微型電腦珍珠飯煲"/>
    <s v="細電"/>
    <s v="SDA"/>
    <s v="5sli"/>
    <n v="1"/>
    <n v="590"/>
    <n v="590"/>
    <m/>
    <m/>
    <m/>
    <s v="RC-5SLIH(W) "/>
    <n v="658"/>
    <n v="0.89665653495440734"/>
    <s v="Toshiba SRP"/>
    <m/>
    <s v=""/>
  </r>
  <r>
    <n v="4760"/>
    <s v="Aeon"/>
    <s v="Kornhill"/>
    <x v="59"/>
    <n v="3"/>
    <x v="27"/>
    <x v="31"/>
    <s v="無線雙層電熱水壺(1.7公升)"/>
    <s v="細電"/>
    <s v="SDA"/>
    <s v="17drt"/>
    <n v="1"/>
    <n v="350"/>
    <n v="350"/>
    <m/>
    <m/>
    <m/>
    <s v="KT-17DRTHK(H) "/>
    <n v="498"/>
    <n v="0.70281124497991965"/>
    <s v="Toshiba SRP"/>
    <m/>
    <s v=""/>
  </r>
  <r>
    <n v="4761"/>
    <s v="Aeon"/>
    <s v="Kornhill"/>
    <x v="59"/>
    <n v="3"/>
    <x v="27"/>
    <x v="16"/>
    <s v="輕便式電磁爐"/>
    <s v="細電"/>
    <s v="SDA"/>
    <s v="20r1"/>
    <n v="2"/>
    <n v="290"/>
    <n v="580"/>
    <m/>
    <m/>
    <m/>
    <s v="IC-20R1THK "/>
    <n v="438"/>
    <n v="0.66210045662100458"/>
    <s v="Shops Highest Price"/>
    <m/>
    <s v=""/>
  </r>
  <r>
    <n v="4762"/>
    <s v="Aeon"/>
    <s v="Kornhill"/>
    <x v="59"/>
    <n v="3"/>
    <x v="27"/>
    <x v="39"/>
    <s v="酵活炊電飯煲(1.0公升)"/>
    <s v="細電"/>
    <s v="SDA"/>
    <s v="10amx"/>
    <n v="1"/>
    <n v="990"/>
    <n v="990"/>
    <m/>
    <m/>
    <m/>
    <s v="RC-10AMXH(W) "/>
    <n v="1288"/>
    <n v="0.76863354037267084"/>
    <s v="Toshiba SRP"/>
    <m/>
    <s v=""/>
  </r>
  <r>
    <n v="4763"/>
    <s v="Aeon"/>
    <s v="Kornhill"/>
    <x v="59"/>
    <n v="3"/>
    <x v="27"/>
    <x v="70"/>
    <s v="12吋2合1座地座檯電風扇連遙控"/>
    <s v="細電"/>
    <s v="EAD"/>
    <s v="ya20"/>
    <n v="2"/>
    <n v="351"/>
    <n v="702"/>
    <m/>
    <m/>
    <m/>
    <s v="F-LYA20(W)HKG "/>
    <n v="988"/>
    <n v="0.35526315789473684"/>
    <s v="Toshiba SRP"/>
    <m/>
    <s v=""/>
  </r>
  <r>
    <n v="4764"/>
    <s v="Aeon"/>
    <s v="Kornhill"/>
    <x v="59"/>
    <n v="3"/>
    <x v="27"/>
    <x v="20"/>
    <s v="壓縮式抽濕機 (22公升)"/>
    <s v="細電"/>
    <s v="RAC"/>
    <s v="d200"/>
    <n v="1"/>
    <n v="1938"/>
    <n v="1938"/>
    <m/>
    <m/>
    <m/>
    <s v="RAD-D200H "/>
    <n v="2880"/>
    <n v="0.67291666666666672"/>
    <s v="Shops Highest Price"/>
    <m/>
    <s v=""/>
  </r>
  <r>
    <n v="4765"/>
    <s v="Aeon"/>
    <s v="Kornhill"/>
    <x v="59"/>
    <n v="3"/>
    <x v="27"/>
    <x v="21"/>
    <s v="壓縮式抽濕機 (30公升)"/>
    <s v="細電"/>
    <s v="RAC"/>
    <s v="d300"/>
    <n v="1"/>
    <n v="2326"/>
    <n v="2326"/>
    <m/>
    <m/>
    <m/>
    <s v="RAD-D300H "/>
    <n v="3380"/>
    <n v="0.68816568047337279"/>
    <s v="Shops Highest Price"/>
    <m/>
    <s v=""/>
  </r>
  <r>
    <n v="4766"/>
    <s v="Fortress"/>
    <s v="Times"/>
    <x v="67"/>
    <n v="3"/>
    <x v="0"/>
    <x v="52"/>
    <s v="35L多功能電焗爐"/>
    <s v="細電"/>
    <s v="SDA"/>
    <s v="mc35"/>
    <n v="1"/>
    <n v="888"/>
    <n v="888"/>
    <n v="2809725"/>
    <m/>
    <m/>
    <s v="TL-MC35Z 2809725"/>
    <n v="1098"/>
    <n v="0.80874316939890711"/>
    <s v="Toshiba SRP"/>
    <m/>
    <s v="2809725"/>
  </r>
  <r>
    <n v="4767"/>
    <s v="Fortress"/>
    <s v="Times"/>
    <x v="67"/>
    <n v="3"/>
    <x v="0"/>
    <x v="115"/>
    <s v="微波蒸焗爐23L"/>
    <s v="細電"/>
    <s v="SDA"/>
    <s v="th23"/>
    <n v="1"/>
    <n v="2580"/>
    <n v="2580"/>
    <n v="2809737"/>
    <m/>
    <m/>
    <s v="MX1-TH23SC(WH) 2809737"/>
    <n v="3380"/>
    <n v="0.76331360946745563"/>
    <s v="Toshiba SRP"/>
    <m/>
    <s v="2809737"/>
  </r>
  <r>
    <n v="4768"/>
    <s v="Fortress"/>
    <s v="Times"/>
    <x v="67"/>
    <n v="3"/>
    <x v="0"/>
    <x v="17"/>
    <s v="4毫米厚釜電飯煲1L"/>
    <s v="細電"/>
    <s v="SDA"/>
    <s v="10nmf"/>
    <n v="1"/>
    <n v="719"/>
    <n v="719"/>
    <n v="2809765"/>
    <m/>
    <m/>
    <s v="RC-10NMFIH(WT) 2809765"/>
    <n v="898"/>
    <n v="0.80066815144766146"/>
    <s v="Toshiba SRP"/>
    <m/>
    <s v="2809765"/>
  </r>
  <r>
    <n v="4769"/>
    <s v="Fortress"/>
    <s v="Times"/>
    <x v="67"/>
    <n v="3"/>
    <x v="0"/>
    <x v="105"/>
    <s v="旋鈕式燒烤微波爐20L黑色"/>
    <s v="細電"/>
    <s v="SDA"/>
    <s v="mg20"/>
    <n v="1"/>
    <n v="698"/>
    <n v="698"/>
    <n v="2902214"/>
    <m/>
    <m/>
    <s v="MWP-MG20P(BK) 2902214"/>
    <n v="918"/>
    <n v="0.76034858387799564"/>
    <s v="Toshiba SRP"/>
    <m/>
    <s v="2902214"/>
  </r>
  <r>
    <n v="4770"/>
    <s v="Fortress"/>
    <s v="Times"/>
    <x v="67"/>
    <n v="3"/>
    <x v="0"/>
    <x v="97"/>
    <s v="變頻二合一空氣淨化抽濕機 (28公升)"/>
    <s v="大電"/>
    <s v="RAC"/>
    <s v="dia17"/>
    <n v="1"/>
    <n v="3580"/>
    <n v="3580"/>
    <n v="2809772"/>
    <s v="$5180&gt;$3580"/>
    <m/>
    <s v="RAD-DIA17HK 2809772"/>
    <n v="4980"/>
    <n v="0.71887550200803207"/>
    <s v="Toshiba SRP"/>
    <m/>
    <s v="2809772"/>
  </r>
  <r>
    <n v="4771"/>
    <s v="Fortress"/>
    <s v="Times"/>
    <x v="67"/>
    <n v="3"/>
    <x v="0"/>
    <x v="21"/>
    <s v="壓縮式抽濕機 (30公升)"/>
    <s v="細電"/>
    <s v="RAC"/>
    <s v="d300"/>
    <n v="1"/>
    <n v="2580"/>
    <n v="2580"/>
    <n v="2809781"/>
    <m/>
    <m/>
    <s v="RAD-D300H 2809781"/>
    <n v="3380"/>
    <n v="0.76331360946745563"/>
    <s v="Shops Highest Price"/>
    <m/>
    <s v="2809781"/>
  </r>
  <r>
    <n v="4772"/>
    <s v="Fortress"/>
    <s v="Times"/>
    <x v="67"/>
    <n v="3"/>
    <x v="0"/>
    <x v="93"/>
    <s v="座檯式洗碗碟機"/>
    <s v="細電"/>
    <s v="DW"/>
    <s v="05t2"/>
    <n v="1"/>
    <n v="3980"/>
    <n v="3980"/>
    <n v="2706309"/>
    <m/>
    <m/>
    <s v="DW-05T2-HK 2706309"/>
    <n v="4580"/>
    <n v="0.86899563318777295"/>
    <s v="Toshiba SRP"/>
    <m/>
    <s v="2706309"/>
  </r>
  <r>
    <n v="4773"/>
    <s v="Fortress"/>
    <s v="Times"/>
    <x v="67"/>
    <n v="3"/>
    <x v="0"/>
    <x v="75"/>
    <s v="日式洗衣機 (8公斤 結合高低水位)"/>
    <s v="大電"/>
    <s v="LAD"/>
    <s v="q901"/>
    <n v="1"/>
    <n v="2280"/>
    <n v="2280"/>
    <n v="2902219"/>
    <m/>
    <m/>
    <s v="AW-Q901BPH(WW) 2902219"/>
    <n v="3780"/>
    <n v="0.60317460317460314"/>
    <s v="Toshiba SRP"/>
    <m/>
    <s v="2902219"/>
  </r>
  <r>
    <n v="4774"/>
    <s v="Fortress"/>
    <s v="Times"/>
    <x v="67"/>
    <n v="3"/>
    <x v="0"/>
    <x v="74"/>
    <s v="4合1氣炸微波蒸焗爐(25公升)"/>
    <s v="細電"/>
    <s v="MCA"/>
    <s v="str25"/>
    <n v="1"/>
    <n v="3580"/>
    <n v="3580"/>
    <n v="2902233"/>
    <m/>
    <m/>
    <s v="MX2-STR25SC(WH) 2902233"/>
    <n v="4998"/>
    <n v="0.71628651460584236"/>
    <s v="Toshiba SRP"/>
    <m/>
    <s v="2902233"/>
  </r>
  <r>
    <n v="4775"/>
    <s v="Fortress"/>
    <s v="Times"/>
    <x v="67"/>
    <n v="3"/>
    <x v="0"/>
    <x v="39"/>
    <s v="酵活炊電飯煲(1.0公升)"/>
    <s v="細電"/>
    <s v="SDA"/>
    <s v="10amx"/>
    <n v="1"/>
    <n v="1088"/>
    <n v="1088"/>
    <n v="2902244"/>
    <m/>
    <m/>
    <s v="RC-10AMXH(W) 2902244"/>
    <n v="1288"/>
    <n v="0.84472049689440998"/>
    <s v="Toshiba SRP"/>
    <m/>
    <s v="2902244"/>
  </r>
  <r>
    <n v="4776"/>
    <s v="Fortress"/>
    <s v="Times"/>
    <x v="67"/>
    <n v="3"/>
    <x v="5"/>
    <x v="105"/>
    <s v="旋鈕式燒烤微波爐20L黑色"/>
    <s v="細電"/>
    <s v="SDA"/>
    <s v="mg20"/>
    <n v="1"/>
    <n v="698"/>
    <n v="698"/>
    <n v="2809835"/>
    <m/>
    <m/>
    <s v="MWP-MG20P(BK) 2809835"/>
    <n v="918"/>
    <n v="0.76034858387799564"/>
    <s v="Toshiba SRP"/>
    <m/>
    <s v="2809835"/>
  </r>
  <r>
    <n v="4777"/>
    <s v="Fortress"/>
    <s v="Times"/>
    <x v="67"/>
    <n v="3"/>
    <x v="5"/>
    <x v="21"/>
    <s v="壓縮式抽濕機 (30公升)"/>
    <s v="細電"/>
    <s v="RAC"/>
    <s v="d300"/>
    <n v="1"/>
    <n v="2580"/>
    <n v="2580"/>
    <n v="2809851"/>
    <m/>
    <m/>
    <s v="RAD-D300H 2809851"/>
    <n v="3380"/>
    <n v="0.76331360946745563"/>
    <s v="Shops Highest Price"/>
    <m/>
    <s v="2809851"/>
  </r>
  <r>
    <n v="4778"/>
    <s v="Fortress"/>
    <s v="Times"/>
    <x v="67"/>
    <n v="3"/>
    <x v="6"/>
    <x v="21"/>
    <s v="壓縮式抽濕機 (30公升)"/>
    <s v="細電"/>
    <s v="RAC"/>
    <s v="d300"/>
    <n v="1"/>
    <n v="2580"/>
    <n v="2580"/>
    <n v="2902287"/>
    <m/>
    <m/>
    <s v="RAD-D300H 2902287"/>
    <n v="3380"/>
    <n v="0.76331360946745563"/>
    <s v="Shops Highest Price"/>
    <m/>
    <s v="2902287"/>
  </r>
  <r>
    <n v="4779"/>
    <s v="Fortress"/>
    <s v="Times"/>
    <x v="67"/>
    <n v="3"/>
    <x v="6"/>
    <x v="86"/>
    <s v="470MM超薄身前置式變頻洗衣乾衣機 (洗8.5公斤 乾6公斤)"/>
    <s v="大電"/>
    <s v="LAD"/>
    <s v="twdt21"/>
    <n v="1"/>
    <n v="4580"/>
    <n v="4580"/>
    <n v="2902271"/>
    <m/>
    <m/>
    <s v="TWD-T21BU95UWH(WW) 2902271"/>
    <n v="7280"/>
    <n v="0.62912087912087911"/>
    <s v="Toshiba SRP"/>
    <m/>
    <s v="2902271"/>
  </r>
  <r>
    <n v="4780"/>
    <s v="Fortress"/>
    <s v="Times"/>
    <x v="67"/>
    <n v="3"/>
    <x v="6"/>
    <x v="133"/>
    <s v="單門直冷式環保雪櫃81L"/>
    <s v="大電"/>
    <s v="REF"/>
    <s v="913m"/>
    <n v="1"/>
    <n v="1480"/>
    <n v="1480"/>
    <n v="2809862"/>
    <m/>
    <m/>
    <s v="GR-H913(MG) 2809862"/>
    <n v="1980"/>
    <n v="0.74747474747474751"/>
    <s v="Toshiba SRP"/>
    <m/>
    <s v="2809862"/>
  </r>
  <r>
    <n v="4781"/>
    <s v="Fortress"/>
    <s v="Times"/>
    <x v="67"/>
    <n v="3"/>
    <x v="7"/>
    <x v="21"/>
    <s v="壓縮式抽濕機 (30公升)"/>
    <s v="細電"/>
    <s v="RAC"/>
    <s v="d300"/>
    <n v="1"/>
    <n v="2580"/>
    <n v="2580"/>
    <n v="2809902"/>
    <m/>
    <m/>
    <s v="RAD-D300H 2809902"/>
    <n v="3380"/>
    <n v="0.76331360946745563"/>
    <s v="Shops Highest Price"/>
    <m/>
    <s v="2809902"/>
  </r>
  <r>
    <n v="4782"/>
    <s v="Fortress"/>
    <s v="Times"/>
    <x v="67"/>
    <n v="3"/>
    <x v="7"/>
    <x v="77"/>
    <s v="470MM超薄身前置式變頻洗衣乾衣機 (洗8.5公斤/乾6公斤, 可飛頂)"/>
    <s v="大電"/>
    <s v="LAD"/>
    <s v="twdt22"/>
    <n v="1"/>
    <n v="4980"/>
    <n v="4980"/>
    <n v="2902318"/>
    <m/>
    <m/>
    <s v="TWD-T22BU95UWH(WK)-B 2902318"/>
    <n v="7480"/>
    <n v="0.66577540106951871"/>
    <s v="Toshiba SRP"/>
    <m/>
    <s v="2902318"/>
  </r>
  <r>
    <n v="4783"/>
    <s v="Fortress"/>
    <s v="Times"/>
    <x v="67"/>
    <n v="3"/>
    <x v="13"/>
    <x v="17"/>
    <s v="4毫米厚釜電飯煲1L"/>
    <s v="細電"/>
    <s v="SDA"/>
    <s v="10nmf"/>
    <n v="1"/>
    <n v="719"/>
    <n v="719"/>
    <n v="2809982"/>
    <m/>
    <m/>
    <s v="RC-10NMFIH(WT) 2809982"/>
    <n v="898"/>
    <n v="0.80066815144766146"/>
    <s v="Toshiba SRP"/>
    <m/>
    <s v="2809982"/>
  </r>
  <r>
    <n v="4784"/>
    <s v="Fortress"/>
    <s v="Times"/>
    <x v="67"/>
    <n v="3"/>
    <x v="13"/>
    <x v="36"/>
    <s v="輕觸式微波爐 (20公升)"/>
    <s v="細電"/>
    <s v="MCA"/>
    <s v="em20"/>
    <n v="1"/>
    <n v="638"/>
    <n v="638"/>
    <n v="2902387"/>
    <m/>
    <m/>
    <s v="MM2-EM20PC(WH) 2902387"/>
    <n v="788"/>
    <n v="0.80964467005076146"/>
    <s v="Toshiba SRP"/>
    <m/>
    <s v="2902387"/>
  </r>
  <r>
    <n v="4785"/>
    <s v="Fortress"/>
    <s v="Times"/>
    <x v="67"/>
    <n v="3"/>
    <x v="13"/>
    <x v="21"/>
    <s v="壓縮式抽濕機 (30公升)"/>
    <s v="細電"/>
    <s v="RAC"/>
    <s v="d300"/>
    <n v="1"/>
    <n v="2580"/>
    <n v="2580"/>
    <n v="2902375"/>
    <m/>
    <m/>
    <s v="RAD-D300H 2902375"/>
    <n v="3380"/>
    <n v="0.76331360946745563"/>
    <s v="Shops Highest Price"/>
    <m/>
    <s v="2902375"/>
  </r>
  <r>
    <n v="4786"/>
    <s v="Fortress"/>
    <s v="Times"/>
    <x v="68"/>
    <n v="3"/>
    <x v="8"/>
    <x v="44"/>
    <s v="1.7L無線雙層電熱水壺"/>
    <s v="細電"/>
    <s v="SDA"/>
    <s v="17shnh"/>
    <n v="1"/>
    <n v="228"/>
    <n v="228"/>
    <n v="2810035"/>
    <s v="30fl&gt;17shnh"/>
    <m/>
    <s v="KT-17SHNH 2810035"/>
    <n v="299"/>
    <n v="0.76254180602006694"/>
    <s v="Shops Highest Price"/>
    <m/>
    <s v="2810035"/>
  </r>
  <r>
    <n v="4787"/>
    <s v="Fortress"/>
    <s v="Times"/>
    <x v="68"/>
    <n v="3"/>
    <x v="8"/>
    <x v="67"/>
    <s v="1.7L無線雙層電熱水壺(有窗)"/>
    <s v="細電"/>
    <s v="SDA"/>
    <s v="17sh1n"/>
    <n v="1"/>
    <n v="288"/>
    <n v="288"/>
    <n v="2902407"/>
    <m/>
    <m/>
    <s v="KT-17SH1NH 2902407"/>
    <n v="398"/>
    <n v="0.72361809045226133"/>
    <s v="Toshiba SRP"/>
    <m/>
    <s v="2902407"/>
  </r>
  <r>
    <n v="4788"/>
    <s v="Fortress"/>
    <s v="Times"/>
    <x v="68"/>
    <n v="3"/>
    <x v="8"/>
    <x v="75"/>
    <s v="日式洗衣機 (8公斤 結合高低水位)"/>
    <s v="大電"/>
    <s v="LAD"/>
    <s v="q901"/>
    <n v="1"/>
    <n v="1880"/>
    <n v="1880"/>
    <n v="2902415"/>
    <m/>
    <m/>
    <s v="AW-Q901BPH(WW) 2902415"/>
    <n v="3780"/>
    <n v="0.49735449735449733"/>
    <s v="Toshiba SRP"/>
    <m/>
    <s v="2902415"/>
  </r>
  <r>
    <n v="4789"/>
    <s v="Fortress"/>
    <s v="Times"/>
    <x v="68"/>
    <n v="3"/>
    <x v="8"/>
    <x v="87"/>
    <s v="變頻式環保雙門雪櫃(233L)"/>
    <s v="大電"/>
    <s v="REF"/>
    <s v="rt300"/>
    <n v="1"/>
    <n v="2780"/>
    <n v="2780"/>
    <n v="2902392"/>
    <m/>
    <m/>
    <s v="GR-RT300WE-PMA(57) 2902392"/>
    <n v="4280"/>
    <n v="0.64953271028037385"/>
    <s v="Toshiba SRP"/>
    <m/>
    <s v="2902392"/>
  </r>
  <r>
    <n v="4790"/>
    <s v="Fortress"/>
    <s v="Times"/>
    <x v="67"/>
    <n v="3"/>
    <x v="1"/>
    <x v="74"/>
    <s v="4合1氣炸微波蒸焗爐(25公升)"/>
    <s v="細電"/>
    <s v="MCA"/>
    <s v="str25"/>
    <n v="1"/>
    <n v="3580"/>
    <n v="3580"/>
    <n v="2810152"/>
    <m/>
    <m/>
    <s v="MX2-STR25SC(WH) 2810152"/>
    <n v="4998"/>
    <n v="0.71628651460584236"/>
    <s v="Toshiba SRP"/>
    <m/>
    <s v="2810152"/>
  </r>
  <r>
    <n v="4791"/>
    <s v="Fortress"/>
    <s v="Times"/>
    <x v="67"/>
    <n v="3"/>
    <x v="1"/>
    <x v="56"/>
    <s v="多士焗爐8L"/>
    <s v="細電"/>
    <s v="SDA"/>
    <n v="7080"/>
    <n v="1"/>
    <n v="358"/>
    <n v="358"/>
    <n v="2902458"/>
    <m/>
    <m/>
    <s v="ET-TD7080(PN) 2902458"/>
    <n v="498"/>
    <n v="0.71887550200803207"/>
    <s v="Toshiba SRP"/>
    <m/>
    <s v="2902458"/>
  </r>
  <r>
    <n v="4792"/>
    <s v="Fortress"/>
    <s v="Times"/>
    <x v="67"/>
    <n v="3"/>
    <x v="1"/>
    <x v="44"/>
    <s v="1.7L無線雙層電熱水壺"/>
    <s v="細電"/>
    <s v="SDA"/>
    <s v="17shnh"/>
    <n v="1"/>
    <n v="228"/>
    <n v="228"/>
    <n v="2902438"/>
    <m/>
    <m/>
    <s v="KT-17SHNH 2902438"/>
    <n v="299"/>
    <n v="0.76254180602006694"/>
    <s v="Shops Highest Price"/>
    <m/>
    <s v="2902438"/>
  </r>
  <r>
    <n v="4793"/>
    <s v="Fortress"/>
    <s v="Times"/>
    <x v="67"/>
    <n v="3"/>
    <x v="1"/>
    <x v="31"/>
    <s v="無線雙層電熱水壺(1.7公升)"/>
    <s v="細電"/>
    <s v="SDA"/>
    <s v="17drt"/>
    <n v="1"/>
    <n v="388"/>
    <n v="388"/>
    <n v="2902406"/>
    <m/>
    <m/>
    <s v="KT-17DRTHK(H) 2902406"/>
    <n v="498"/>
    <n v="0.77911646586345384"/>
    <s v="Toshiba SRP"/>
    <m/>
    <s v="2902406"/>
  </r>
  <r>
    <n v="4794"/>
    <s v="Fortress"/>
    <s v="Times"/>
    <x v="67"/>
    <n v="3"/>
    <x v="1"/>
    <x v="60"/>
    <s v="酵活炊磁應電飯煲(1.5公升)"/>
    <s v="細電"/>
    <s v="SDA"/>
    <s v="15bh"/>
    <n v="1"/>
    <n v="2088"/>
    <n v="2088"/>
    <n v="2810169"/>
    <m/>
    <m/>
    <s v="RC-15BHH(W) 2810169"/>
    <n v="2388"/>
    <n v="0.87437185929648242"/>
    <s v="Toshiba SRP"/>
    <m/>
    <s v="2810169"/>
  </r>
  <r>
    <n v="4795"/>
    <s v="Fortress"/>
    <s v="Times"/>
    <x v="67"/>
    <n v="3"/>
    <x v="1"/>
    <x v="39"/>
    <s v="酵活炊電飯煲(1.0公升)"/>
    <s v="細電"/>
    <s v="SDA"/>
    <s v="10amx"/>
    <n v="1"/>
    <n v="1088"/>
    <n v="1088"/>
    <n v="2810173"/>
    <m/>
    <m/>
    <s v="RC-10AMXH(W) 2810173"/>
    <n v="1288"/>
    <n v="0.84472049689440998"/>
    <s v="Toshiba SRP"/>
    <m/>
    <s v="2810173"/>
  </r>
  <r>
    <n v="4796"/>
    <s v="Fortress"/>
    <s v="Times"/>
    <x v="67"/>
    <n v="3"/>
    <x v="1"/>
    <x v="36"/>
    <s v="輕觸式微波爐 (20公升)"/>
    <s v="細電"/>
    <s v="MCA"/>
    <s v="em20"/>
    <n v="1"/>
    <n v="638"/>
    <n v="638"/>
    <n v="2810181"/>
    <m/>
    <m/>
    <s v="MM2-EM20PC(WH) 2810181"/>
    <n v="788"/>
    <n v="0.80964467005076146"/>
    <s v="Toshiba SRP"/>
    <m/>
    <s v="2810181"/>
  </r>
  <r>
    <n v="4797"/>
    <s v="Fortress"/>
    <s v="Times"/>
    <x v="67"/>
    <n v="3"/>
    <x v="1"/>
    <x v="21"/>
    <s v="壓縮式抽濕機 (30公升)"/>
    <s v="細電"/>
    <s v="RAC"/>
    <s v="d300"/>
    <n v="1"/>
    <n v="2580"/>
    <n v="2580"/>
    <n v="2810233"/>
    <m/>
    <m/>
    <s v="RAD-D300H 2810233"/>
    <n v="3380"/>
    <n v="0.76331360946745563"/>
    <s v="Shops Highest Price"/>
    <m/>
    <s v="2810233"/>
  </r>
  <r>
    <n v="4798"/>
    <s v="Fortress"/>
    <s v="Times"/>
    <x v="67"/>
    <n v="3"/>
    <x v="1"/>
    <x v="56"/>
    <s v="多士焗爐8L"/>
    <s v="細電"/>
    <s v="SDA"/>
    <n v="7080"/>
    <n v="1"/>
    <n v="358"/>
    <n v="358"/>
    <n v="2810242"/>
    <m/>
    <m/>
    <s v="ET-TD7080(PN) 2810242"/>
    <n v="498"/>
    <n v="0.71887550200803207"/>
    <s v="Toshiba SRP"/>
    <m/>
    <s v="2810242"/>
  </r>
  <r>
    <n v="4799"/>
    <s v="Fortress"/>
    <s v="Times"/>
    <x v="67"/>
    <n v="3"/>
    <x v="1"/>
    <x v="48"/>
    <s v="3合1 微波蒸焗爐 (20公升)"/>
    <s v="細電"/>
    <s v="MCA"/>
    <s v="tt20"/>
    <n v="1"/>
    <n v="2580"/>
    <n v="2580"/>
    <n v="2902433"/>
    <m/>
    <m/>
    <s v="MX2-TT20SC(WH) 2902433"/>
    <n v="3580"/>
    <n v="0.72067039106145248"/>
    <s v="Toshiba SRP"/>
    <m/>
    <s v="2902433"/>
  </r>
  <r>
    <n v="4800"/>
    <s v="Fortress"/>
    <s v="Times"/>
    <x v="67"/>
    <n v="3"/>
    <x v="1"/>
    <x v="38"/>
    <s v="無線雙層電熱水壺-附可鎖壺蓋"/>
    <s v="細電"/>
    <s v="SDA"/>
    <s v="15drt"/>
    <n v="1"/>
    <n v="358"/>
    <n v="358"/>
    <n v="2902437"/>
    <m/>
    <m/>
    <s v="KT-15DRTHK(W) 2902437"/>
    <n v="598"/>
    <n v="0.59866220735785958"/>
    <s v="Toshiba SRP"/>
    <m/>
    <s v="2902437"/>
  </r>
  <r>
    <n v="4801"/>
    <s v="Fortress"/>
    <s v="Times"/>
    <x v="67"/>
    <n v="3"/>
    <x v="1"/>
    <x v="31"/>
    <s v="無線雙層電熱水壺(1.7公升)"/>
    <s v="細電"/>
    <s v="SDA"/>
    <s v="17drt"/>
    <n v="1"/>
    <n v="388"/>
    <n v="388"/>
    <n v="2902444"/>
    <m/>
    <m/>
    <s v="KT-17DRTHK(H) 2902444"/>
    <n v="498"/>
    <n v="0.77911646586345384"/>
    <s v="Toshiba SRP"/>
    <m/>
    <s v="2902444"/>
  </r>
  <r>
    <n v="4802"/>
    <s v="Fortress"/>
    <s v="Times"/>
    <x v="68"/>
    <n v="3"/>
    <x v="2"/>
    <x v="44"/>
    <s v="1.7L無線雙層電熱水壺"/>
    <s v="細電"/>
    <s v="SDA"/>
    <s v="17shnh"/>
    <n v="1"/>
    <n v="228"/>
    <n v="228"/>
    <n v="2810401"/>
    <m/>
    <m/>
    <s v="KT-17SHNH 2810401"/>
    <n v="299"/>
    <n v="0.76254180602006694"/>
    <s v="Shops Highest Price"/>
    <m/>
    <s v="2810401"/>
  </r>
  <r>
    <n v="4803"/>
    <s v="Fortress"/>
    <s v="Times"/>
    <x v="68"/>
    <n v="3"/>
    <x v="2"/>
    <x v="54"/>
    <s v="低醣磁應電飯煲1L"/>
    <s v="細電"/>
    <s v="SDA"/>
    <s v="10irph"/>
    <n v="1"/>
    <n v="950"/>
    <n v="950"/>
    <n v="820294"/>
    <m/>
    <m/>
    <s v="RC-10IRPH 820294"/>
    <n v="1388"/>
    <n v="0.68443804034582134"/>
    <s v="Toshiba SRP"/>
    <m/>
    <s v="820294"/>
  </r>
  <r>
    <n v="4804"/>
    <s v="Fortress"/>
    <s v="Times"/>
    <x v="68"/>
    <n v="3"/>
    <x v="2"/>
    <x v="27"/>
    <s v="4毫米厚釜電飯煲1.8L"/>
    <s v="細電"/>
    <s v="SDA"/>
    <s v="18nmf"/>
    <n v="1"/>
    <n v="799"/>
    <n v="799"/>
    <n v="2902483"/>
    <m/>
    <m/>
    <s v="RC-18NMFIH(WT) 2902483"/>
    <n v="998"/>
    <n v="0.80060120240480959"/>
    <s v="Toshiba SRP"/>
    <m/>
    <s v="2902483"/>
  </r>
  <r>
    <n v="4805"/>
    <s v="Fortress"/>
    <s v="Times"/>
    <x v="68"/>
    <n v="3"/>
    <x v="2"/>
    <x v="17"/>
    <s v="4毫米厚釜電飯煲1L"/>
    <s v="細電"/>
    <s v="SDA"/>
    <s v="10nmf"/>
    <n v="1"/>
    <n v="719"/>
    <n v="719"/>
    <n v="2706517"/>
    <m/>
    <m/>
    <s v="RC-10NMFIH(WT) 2706517"/>
    <n v="898"/>
    <n v="0.80066815144766146"/>
    <s v="Toshiba SRP"/>
    <m/>
    <s v="2706517"/>
  </r>
  <r>
    <n v="4806"/>
    <s v="Fortress"/>
    <s v="Times"/>
    <x v="67"/>
    <n v="3"/>
    <x v="9"/>
    <x v="36"/>
    <s v="輕觸式微波爐 (20公升)"/>
    <s v="細電"/>
    <s v="MCA"/>
    <s v="em20"/>
    <n v="1"/>
    <n v="638"/>
    <n v="638"/>
    <n v="2810503"/>
    <m/>
    <m/>
    <s v="MM2-EM20PC(WH) 2810503"/>
    <n v="788"/>
    <n v="0.80964467005076146"/>
    <s v="Toshiba SRP"/>
    <m/>
    <s v="2810503"/>
  </r>
  <r>
    <n v="4807"/>
    <s v="Fortress"/>
    <s v="Times"/>
    <x v="67"/>
    <n v="3"/>
    <x v="9"/>
    <x v="21"/>
    <s v="壓縮式抽濕機 (30公升)"/>
    <s v="細電"/>
    <s v="RAC"/>
    <s v="d300"/>
    <n v="1"/>
    <n v="2580"/>
    <n v="2580"/>
    <n v="2706588"/>
    <m/>
    <m/>
    <s v="RAD-D300H 2706588"/>
    <n v="3380"/>
    <n v="0.76331360946745563"/>
    <s v="Shops Highest Price"/>
    <m/>
    <s v="2706588"/>
  </r>
  <r>
    <n v="4808"/>
    <s v="Fortress"/>
    <s v="Times"/>
    <x v="67"/>
    <n v="3"/>
    <x v="9"/>
    <x v="110"/>
    <s v="變頻六門雪櫃(451L)"/>
    <s v="大電"/>
    <s v="REF"/>
    <s v="rm598"/>
    <n v="1"/>
    <n v="10990"/>
    <n v="10990"/>
    <n v="2902498"/>
    <m/>
    <m/>
    <s v="GR-RM598WE-PGA(B3) 2902498"/>
    <n v="14980"/>
    <n v="0.73364485981308414"/>
    <s v="Toshiba SRP"/>
    <m/>
    <s v="2902498"/>
  </r>
  <r>
    <n v="4809"/>
    <s v="Fortress"/>
    <s v="Times"/>
    <x v="67"/>
    <n v="3"/>
    <x v="9"/>
    <x v="56"/>
    <s v="多士焗爐8L"/>
    <s v="細電"/>
    <s v="SDA"/>
    <n v="7080"/>
    <n v="1"/>
    <n v="358"/>
    <n v="358"/>
    <n v="2902517"/>
    <m/>
    <m/>
    <s v="ET-TD7080(PN) 2902517"/>
    <n v="498"/>
    <n v="0.71887550200803207"/>
    <s v="Toshiba SRP"/>
    <m/>
    <s v="2902517"/>
  </r>
  <r>
    <n v="4810"/>
    <s v="Fortress"/>
    <s v="Times"/>
    <x v="67"/>
    <n v="3"/>
    <x v="9"/>
    <x v="17"/>
    <s v="4毫米厚釜電飯煲1L"/>
    <s v="細電"/>
    <s v="SDA"/>
    <s v="10nmf"/>
    <n v="1"/>
    <n v="719"/>
    <n v="719"/>
    <n v="2902531"/>
    <m/>
    <m/>
    <s v="RC-10NMFIH(WT) 2902531"/>
    <n v="898"/>
    <n v="0.80066815144766146"/>
    <s v="Toshiba SRP"/>
    <m/>
    <s v="2902531"/>
  </r>
  <r>
    <n v="4811"/>
    <s v="Fortress"/>
    <s v="Times"/>
    <x v="67"/>
    <n v="3"/>
    <x v="9"/>
    <x v="30"/>
    <s v="旋鈕式燒烤微波爐20L"/>
    <s v="細電"/>
    <s v="SDA"/>
    <s v="mm20"/>
    <n v="1"/>
    <n v="519"/>
    <n v="519"/>
    <n v="2902541"/>
    <m/>
    <m/>
    <s v="MWP-MM20P(WH) 2902541"/>
    <n v="648"/>
    <n v="0.80092592592592593"/>
    <s v="Toshiba SRP"/>
    <m/>
    <s v="2902541"/>
  </r>
  <r>
    <n v="4812"/>
    <s v="Fortress"/>
    <s v="Times"/>
    <x v="67"/>
    <n v="3"/>
    <x v="10"/>
    <x v="50"/>
    <s v="輕便式電磁爐7個功能"/>
    <s v="細電"/>
    <s v="SDA"/>
    <s v="s19"/>
    <n v="1"/>
    <n v="542"/>
    <n v="542"/>
    <n v="2810581"/>
    <m/>
    <m/>
    <s v="IC-S19RH 2810581"/>
    <n v="638"/>
    <n v="0.84952978056426331"/>
    <s v="Toshiba SRP"/>
    <m/>
    <s v="2810581"/>
  </r>
  <r>
    <n v="4813"/>
    <s v="Fortress"/>
    <s v="Times"/>
    <x v="67"/>
    <n v="3"/>
    <x v="10"/>
    <x v="74"/>
    <s v="4合1氣炸微波蒸焗爐(25公升)"/>
    <s v="細電"/>
    <s v="MCA"/>
    <s v="str25"/>
    <n v="1"/>
    <n v="3580"/>
    <n v="3580"/>
    <n v="2902577"/>
    <m/>
    <m/>
    <s v="MX2-STR25SC(WH) 2902577"/>
    <n v="4998"/>
    <n v="0.71628651460584236"/>
    <s v="Toshiba SRP"/>
    <m/>
    <s v="2902577"/>
  </r>
  <r>
    <n v="4814"/>
    <s v="Fortress"/>
    <s v="Times"/>
    <x v="67"/>
    <n v="3"/>
    <x v="10"/>
    <x v="48"/>
    <s v="3合1 微波蒸焗爐 (20公升)"/>
    <s v="細電"/>
    <s v="MCA"/>
    <s v="tt20"/>
    <n v="1"/>
    <n v="2580"/>
    <n v="2580"/>
    <n v="2810611"/>
    <m/>
    <m/>
    <s v="MX2-TT20SC(WH) 2810611"/>
    <n v="3580"/>
    <n v="0.72067039106145248"/>
    <s v="Toshiba SRP"/>
    <m/>
    <s v="2810611"/>
  </r>
  <r>
    <n v="4815"/>
    <s v="Fortress"/>
    <s v="Times"/>
    <x v="67"/>
    <n v="3"/>
    <x v="10"/>
    <x v="38"/>
    <s v="無線雙層電熱水壺-附可鎖壺蓋"/>
    <s v="細電"/>
    <s v="SDA"/>
    <s v="15drt"/>
    <n v="1"/>
    <n v="358"/>
    <n v="358"/>
    <n v="2810596"/>
    <m/>
    <m/>
    <s v="KT-15DRTHK(W) 2810596"/>
    <n v="598"/>
    <n v="0.59866220735785958"/>
    <s v="Toshiba SRP"/>
    <m/>
    <s v="2810596"/>
  </r>
  <r>
    <n v="4816"/>
    <s v="Fortress"/>
    <s v="Times"/>
    <x v="67"/>
    <n v="3"/>
    <x v="10"/>
    <x v="44"/>
    <s v="1.7L無線雙層電熱水壺"/>
    <s v="細電"/>
    <s v="SDA"/>
    <s v="17shnh"/>
    <n v="1"/>
    <n v="228"/>
    <n v="228"/>
    <n v="2810584"/>
    <m/>
    <m/>
    <s v="KT-17SHNH 2810584"/>
    <n v="299"/>
    <n v="0.76254180602006694"/>
    <s v="Shops Highest Price"/>
    <m/>
    <s v="2810584"/>
  </r>
  <r>
    <n v="4817"/>
    <s v="Fortress"/>
    <s v="Times"/>
    <x v="67"/>
    <n v="3"/>
    <x v="10"/>
    <x v="45"/>
    <s v="備長炭本厚釜電飯煲0.7L"/>
    <s v="細電"/>
    <s v="SDA"/>
    <s v="7hmh"/>
    <n v="1"/>
    <n v="898"/>
    <n v="898"/>
    <n v="2902561"/>
    <m/>
    <m/>
    <s v="RC-7HMH 2902561"/>
    <n v="1288"/>
    <n v="0.69720496894409933"/>
    <s v="Toshiba SRP"/>
    <m/>
    <s v="2902561"/>
  </r>
  <r>
    <n v="4818"/>
    <s v="Fortress"/>
    <s v="Times"/>
    <x v="67"/>
    <n v="3"/>
    <x v="10"/>
    <x v="27"/>
    <s v="4毫米厚釜電飯煲1.8L"/>
    <s v="細電"/>
    <s v="SDA"/>
    <s v="18nmf"/>
    <n v="1"/>
    <n v="799"/>
    <n v="799"/>
    <n v="2810591"/>
    <m/>
    <m/>
    <s v="RC-18NMFIH(WT) 2810591"/>
    <n v="998"/>
    <n v="0.80060120240480959"/>
    <s v="Toshiba SRP"/>
    <m/>
    <s v="2810591"/>
  </r>
  <r>
    <n v="4819"/>
    <s v="Fortress"/>
    <s v="Times"/>
    <x v="67"/>
    <n v="3"/>
    <x v="16"/>
    <x v="146"/>
    <s v="filter"/>
    <s v="細電"/>
    <s v="KWH"/>
    <s v="pcb"/>
    <n v="1"/>
    <n v="158"/>
    <n v="158"/>
    <n v="2810721"/>
    <m/>
    <m/>
    <s v="FILTER-PCB-W2265 2810721"/>
    <n v="0"/>
    <e v="#DIV/0!"/>
    <n v="0"/>
    <m/>
    <s v="2810721"/>
  </r>
  <r>
    <n v="4820"/>
    <s v="Fortress"/>
    <s v="Times"/>
    <x v="67"/>
    <n v="3"/>
    <x v="16"/>
    <x v="147"/>
    <s v="filter"/>
    <s v="細電"/>
    <s v="KWH"/>
    <s v="ro2265"/>
    <n v="1"/>
    <n v="698"/>
    <n v="698"/>
    <n v="2810745"/>
    <m/>
    <m/>
    <s v="FILTER-RO-W2265 2810745"/>
    <n v="0"/>
    <e v="#DIV/0!"/>
    <n v="0"/>
    <m/>
    <s v="2810745"/>
  </r>
  <r>
    <n v="4821"/>
    <s v="Fortress"/>
    <s v="Times"/>
    <x v="67"/>
    <n v="3"/>
    <x v="16"/>
    <x v="63"/>
    <s v="20L 智能蒸氣焗爐"/>
    <s v="細電"/>
    <s v="MCA"/>
    <s v="stq20"/>
    <n v="1"/>
    <n v="2100"/>
    <n v="2100"/>
    <n v="2810759"/>
    <m/>
    <m/>
    <s v="MS3-STQ20SC(WH) 2810759"/>
    <n v="2880"/>
    <n v="0.72916666666666663"/>
    <s v="Toshiba SRP"/>
    <m/>
    <s v="2810759"/>
  </r>
  <r>
    <n v="4822"/>
    <s v="Fortress"/>
    <s v="Times"/>
    <x v="67"/>
    <n v="3"/>
    <x v="11"/>
    <x v="56"/>
    <s v="多士焗爐8L"/>
    <s v="細電"/>
    <s v="SDA"/>
    <n v="7080"/>
    <n v="1"/>
    <n v="358"/>
    <n v="358"/>
    <n v="2902613"/>
    <m/>
    <m/>
    <s v="ET-TD7080(PN) 2902613"/>
    <n v="498"/>
    <n v="0.71887550200803207"/>
    <s v="Toshiba SRP"/>
    <m/>
    <s v="2902613"/>
  </r>
  <r>
    <n v="4823"/>
    <s v="Fortress"/>
    <s v="Times"/>
    <x v="67"/>
    <n v="3"/>
    <x v="11"/>
    <x v="45"/>
    <s v="備長炭本厚釜電飯煲0.7L"/>
    <s v="細電"/>
    <s v="SDA"/>
    <s v="7hmh"/>
    <n v="1"/>
    <n v="838"/>
    <n v="838"/>
    <n v="2902625"/>
    <m/>
    <m/>
    <s v="RC-7HMH 2902625"/>
    <n v="1288"/>
    <n v="0.65062111801242239"/>
    <s v="Toshiba SRP"/>
    <m/>
    <s v="2902625"/>
  </r>
  <r>
    <n v="4824"/>
    <s v="Fortress"/>
    <s v="Times"/>
    <x v="67"/>
    <n v="3"/>
    <x v="11"/>
    <x v="9"/>
    <s v="電熱水瓶4.5L"/>
    <s v="細電"/>
    <s v="SDA"/>
    <s v="45sf"/>
    <n v="1"/>
    <n v="589"/>
    <n v="589"/>
    <n v="820612"/>
    <m/>
    <m/>
    <s v="PLK-45SFIH(WT) 820612"/>
    <n v="788"/>
    <n v="0.7474619289340102"/>
    <s v="Toshiba SRP"/>
    <m/>
    <s v="820612"/>
  </r>
  <r>
    <n v="4825"/>
    <s v="Fortress"/>
    <s v="Times"/>
    <x v="67"/>
    <n v="3"/>
    <x v="11"/>
    <x v="8"/>
    <s v="電壓力鍋"/>
    <s v="細電"/>
    <s v="SDA"/>
    <s v="48drs"/>
    <n v="1"/>
    <n v="838"/>
    <n v="838"/>
    <n v="2902659"/>
    <m/>
    <m/>
    <s v="PC-48DRSHK(K) 2902659"/>
    <n v="1188"/>
    <n v="0.70538720538720534"/>
    <s v="Shops Highest Price"/>
    <m/>
    <s v="2902659"/>
  </r>
  <r>
    <n v="4826"/>
    <s v="Fortress"/>
    <s v="Times"/>
    <x v="67"/>
    <n v="3"/>
    <x v="11"/>
    <x v="50"/>
    <s v="輕便式電磁爐7個功能"/>
    <s v="細電"/>
    <s v="SDA"/>
    <s v="s19"/>
    <n v="1"/>
    <n v="542"/>
    <n v="542"/>
    <n v="2902628"/>
    <m/>
    <m/>
    <s v="IC-S19RH 2902628"/>
    <n v="638"/>
    <n v="0.84952978056426331"/>
    <s v="Toshiba SRP"/>
    <m/>
    <s v="2902628"/>
  </r>
  <r>
    <n v="4827"/>
    <s v="Fortress"/>
    <s v="Times"/>
    <x v="67"/>
    <n v="3"/>
    <x v="11"/>
    <x v="50"/>
    <s v="輕便式電磁爐7個功能"/>
    <s v="細電"/>
    <s v="SDA"/>
    <s v="s19"/>
    <n v="1"/>
    <n v="542"/>
    <n v="542"/>
    <n v="2902659"/>
    <m/>
    <m/>
    <s v="IC-S19RH 2902659"/>
    <n v="638"/>
    <n v="0.84952978056426331"/>
    <s v="Toshiba SRP"/>
    <m/>
    <s v="2902659"/>
  </r>
  <r>
    <n v="4828"/>
    <s v="Fortress"/>
    <s v="Times"/>
    <x v="68"/>
    <n v="3"/>
    <x v="3"/>
    <x v="54"/>
    <s v="低醣磁應電飯煲1L"/>
    <s v="細電"/>
    <s v="SDA"/>
    <s v="10irph"/>
    <n v="1"/>
    <n v="798"/>
    <n v="798"/>
    <n v="1625071"/>
    <m/>
    <m/>
    <s v="RC-10IRPH 1625071"/>
    <n v="1388"/>
    <n v="0.5749279538904899"/>
    <s v="Toshiba SRP"/>
    <m/>
    <s v="1625071"/>
  </r>
  <r>
    <n v="4829"/>
    <s v="Fortress"/>
    <s v="Times"/>
    <x v="68"/>
    <n v="3"/>
    <x v="3"/>
    <x v="21"/>
    <s v="壓縮式抽濕機 (30公升)"/>
    <s v="細電"/>
    <s v="RAC"/>
    <s v="d300"/>
    <n v="1"/>
    <n v="2580"/>
    <n v="2580"/>
    <n v="2706640"/>
    <m/>
    <m/>
    <s v="RAD-D300H 2706640"/>
    <n v="3380"/>
    <n v="0.76331360946745563"/>
    <s v="Shops Highest Price"/>
    <m/>
    <s v="2706640"/>
  </r>
  <r>
    <n v="4830"/>
    <s v="Fortress"/>
    <s v="Times"/>
    <x v="68"/>
    <n v="3"/>
    <x v="3"/>
    <x v="36"/>
    <s v="輕觸式微波爐 (20公升)"/>
    <s v="細電"/>
    <s v="MCA"/>
    <s v="em20"/>
    <n v="1"/>
    <n v="638"/>
    <n v="638"/>
    <n v="2810850"/>
    <m/>
    <m/>
    <s v="MM2-EM20PC(WH) 2810850"/>
    <n v="788"/>
    <n v="0.80964467005076146"/>
    <s v="Toshiba SRP"/>
    <m/>
    <s v="2810850"/>
  </r>
  <r>
    <n v="4831"/>
    <s v="Fortress"/>
    <s v="Times"/>
    <x v="67"/>
    <n v="3"/>
    <x v="4"/>
    <x v="45"/>
    <s v="備長炭本厚釜電飯煲0.7L"/>
    <s v="細電"/>
    <s v="SDA"/>
    <s v="7hmh"/>
    <n v="1"/>
    <n v="838"/>
    <n v="838"/>
    <n v="1625140"/>
    <m/>
    <m/>
    <s v="RC-7HMH 1625140"/>
    <n v="1288"/>
    <n v="0.65062111801242239"/>
    <s v="Toshiba SRP"/>
    <m/>
    <s v="1625140"/>
  </r>
  <r>
    <n v="4832"/>
    <s v="Fortress"/>
    <s v="Times"/>
    <x v="67"/>
    <n v="3"/>
    <x v="4"/>
    <x v="51"/>
    <s v="IH磁應電飯煲"/>
    <s v="細電"/>
    <s v="SDA"/>
    <s v="dr10tw"/>
    <n v="1"/>
    <n v="2380"/>
    <n v="2380"/>
    <n v="820390"/>
    <m/>
    <m/>
    <s v="RC-DR10T(W) 820390"/>
    <n v="3188"/>
    <n v="0.74654956085319946"/>
    <s v="Toshiba SRP"/>
    <m/>
    <s v="820390"/>
  </r>
  <r>
    <n v="4833"/>
    <s v="Fortress"/>
    <s v="Times"/>
    <x v="67"/>
    <n v="3"/>
    <x v="4"/>
    <x v="79"/>
    <s v="IH磁應電飯煲"/>
    <s v="細電"/>
    <s v="SDA"/>
    <s v="ds10k"/>
    <n v="1"/>
    <n v="3150"/>
    <n v="3150"/>
    <n v="2902764"/>
    <m/>
    <m/>
    <s v="RC-DS10K(R) 2902764"/>
    <n v="4588"/>
    <n v="0.68657367044463824"/>
    <s v="Toshiba SRP"/>
    <m/>
    <s v="2902764"/>
  </r>
  <r>
    <n v="4834"/>
    <s v="Fortress"/>
    <s v="Times"/>
    <x v="67"/>
    <n v="3"/>
    <x v="4"/>
    <x v="39"/>
    <s v="酵活炊電飯煲(1.0公升)"/>
    <s v="細電"/>
    <s v="SDA"/>
    <s v="10amx"/>
    <n v="1"/>
    <n v="1088"/>
    <n v="1088"/>
    <n v="2902784"/>
    <m/>
    <m/>
    <s v="RC-10AMXH(W) 2902784"/>
    <n v="1288"/>
    <n v="0.84472049689440998"/>
    <s v="Toshiba SRP"/>
    <m/>
    <s v="2902784"/>
  </r>
  <r>
    <n v="4835"/>
    <s v="Fortress"/>
    <s v="Times"/>
    <x v="67"/>
    <n v="3"/>
    <x v="14"/>
    <x v="39"/>
    <s v="酵活炊電飯煲(1.0公升)"/>
    <s v="細電"/>
    <s v="SDA"/>
    <s v="10amx"/>
    <n v="1"/>
    <n v="1088"/>
    <n v="1088"/>
    <n v="2902809"/>
    <m/>
    <m/>
    <s v="RC-10AMXH(W) 2902809"/>
    <n v="1288"/>
    <n v="0.84472049689440998"/>
    <s v="Toshiba SRP"/>
    <m/>
    <s v="2902809"/>
  </r>
  <r>
    <n v="4836"/>
    <s v="Fortress"/>
    <s v="Times"/>
    <x v="67"/>
    <n v="3"/>
    <x v="14"/>
    <x v="63"/>
    <s v="20L 智能蒸氣焗爐"/>
    <s v="細電"/>
    <s v="MCA"/>
    <s v="stq20"/>
    <n v="1"/>
    <n v="2100"/>
    <n v="2100"/>
    <n v="2902777"/>
    <m/>
    <m/>
    <s v="MS3-STQ20SC(WH) 2902777"/>
    <n v="2880"/>
    <n v="0.72916666666666663"/>
    <s v="Toshiba SRP"/>
    <m/>
    <s v="2902777"/>
  </r>
  <r>
    <n v="4837"/>
    <s v="Fortress"/>
    <s v="Times"/>
    <x v="67"/>
    <n v="3"/>
    <x v="14"/>
    <x v="36"/>
    <s v="輕觸式微波爐 (20公升)"/>
    <s v="細電"/>
    <s v="MCA"/>
    <s v="em20"/>
    <n v="1"/>
    <n v="638"/>
    <n v="638"/>
    <n v="2902822"/>
    <m/>
    <m/>
    <s v="MM2-EM20PC(WH) 2902822"/>
    <n v="788"/>
    <n v="0.80964467005076146"/>
    <s v="Toshiba SRP"/>
    <m/>
    <s v="2902822"/>
  </r>
  <r>
    <n v="4838"/>
    <s v="Fortress"/>
    <s v="Times"/>
    <x v="67"/>
    <n v="3"/>
    <x v="14"/>
    <x v="36"/>
    <s v="輕觸式微波爐 (20公升)"/>
    <s v="細電"/>
    <s v="MCA"/>
    <s v="em20"/>
    <n v="1"/>
    <n v="638"/>
    <n v="638"/>
    <n v="1625173"/>
    <m/>
    <m/>
    <s v="MM2-EM20PC(WH) 1625173"/>
    <n v="788"/>
    <n v="0.80964467005076146"/>
    <s v="Toshiba SRP"/>
    <m/>
    <s v="1625173"/>
  </r>
  <r>
    <n v="4839"/>
    <s v="Fortress"/>
    <s v="Times"/>
    <x v="67"/>
    <n v="3"/>
    <x v="15"/>
    <x v="39"/>
    <s v="酵活炊電飯煲(1.0公升)"/>
    <s v="細電"/>
    <s v="SDA"/>
    <s v="10amx"/>
    <n v="1"/>
    <n v="1088"/>
    <n v="1088"/>
    <n v="2902838"/>
    <m/>
    <m/>
    <s v="RC-10AMXH(W) 2902838"/>
    <n v="1288"/>
    <n v="0.84472049689440998"/>
    <s v="Toshiba SRP"/>
    <m/>
    <s v="2902838"/>
  </r>
  <r>
    <n v="4840"/>
    <s v="Fortress"/>
    <s v="Times"/>
    <x v="67"/>
    <n v="3"/>
    <x v="15"/>
    <x v="36"/>
    <s v="輕觸式微波爐 (20公升)"/>
    <s v="細電"/>
    <s v="MCA"/>
    <s v="em20"/>
    <n v="1"/>
    <n v="638"/>
    <n v="638"/>
    <n v="2902874"/>
    <m/>
    <m/>
    <s v="MM2-EM20PC(WH) 2902874"/>
    <n v="788"/>
    <n v="0.80964467005076146"/>
    <s v="Toshiba SRP"/>
    <m/>
    <s v="2902874"/>
  </r>
  <r>
    <n v="4841"/>
    <s v="Fortress"/>
    <s v="Times"/>
    <x v="67"/>
    <n v="3"/>
    <x v="15"/>
    <x v="105"/>
    <s v="旋鈕式燒烤微波爐20L黑色"/>
    <s v="細電"/>
    <s v="SDA"/>
    <s v="mg20"/>
    <n v="1"/>
    <n v="698"/>
    <n v="698"/>
    <n v="2902898"/>
    <m/>
    <m/>
    <s v="MWP-MG20P(BK) 2902898"/>
    <n v="918"/>
    <n v="0.76034858387799564"/>
    <s v="Toshiba SRP"/>
    <m/>
    <s v="2902898"/>
  </r>
  <r>
    <n v="4842"/>
    <s v="Fortress"/>
    <s v="Times"/>
    <x v="67"/>
    <n v="3"/>
    <x v="15"/>
    <x v="56"/>
    <s v="多士焗爐8L"/>
    <s v="細電"/>
    <s v="SDA"/>
    <n v="7080"/>
    <n v="1"/>
    <n v="358"/>
    <n v="358"/>
    <n v="2902878"/>
    <m/>
    <m/>
    <s v="ET-TD7080(PN) 2902878"/>
    <n v="498"/>
    <n v="0.71887550200803207"/>
    <s v="Toshiba SRP"/>
    <m/>
    <s v="2902878"/>
  </r>
  <r>
    <n v="4843"/>
    <s v="Fortress"/>
    <s v="Times"/>
    <x v="67"/>
    <n v="3"/>
    <x v="15"/>
    <x v="97"/>
    <s v="變頻二合一空氣淨化抽濕機 (28公升)"/>
    <s v="大電"/>
    <s v="RAC"/>
    <s v="dia17"/>
    <n v="1"/>
    <n v="3580"/>
    <n v="3580"/>
    <n v="2706790"/>
    <s v="$5180&gt;$3580"/>
    <m/>
    <s v="RAD-DIA17HK 2706790"/>
    <n v="4980"/>
    <n v="0.71887550200803207"/>
    <s v="Toshiba SRP"/>
    <m/>
    <s v="2706790"/>
  </r>
  <r>
    <n v="4844"/>
    <s v="Fortress"/>
    <s v="Times"/>
    <x v="67"/>
    <n v="3"/>
    <x v="15"/>
    <x v="48"/>
    <s v="3合1 微波蒸焗爐 (20公升)"/>
    <s v="細電"/>
    <s v="MCA"/>
    <s v="tt20"/>
    <n v="1"/>
    <n v="2580"/>
    <n v="2580"/>
    <n v="2902871"/>
    <m/>
    <m/>
    <s v="MX2-TT20SC(WH) 2902871"/>
    <n v="3580"/>
    <n v="0.72067039106145248"/>
    <s v="Toshiba SRP"/>
    <m/>
    <s v="2902871"/>
  </r>
  <r>
    <n v="4845"/>
    <s v="Fortress"/>
    <s v="Times"/>
    <x v="67"/>
    <n v="3"/>
    <x v="15"/>
    <x v="94"/>
    <s v="3/4 匹 窗口式冷氣機(remote)"/>
    <s v="大電"/>
    <s v="AC"/>
    <s v="07g3cvr"/>
    <n v="1"/>
    <n v="4590"/>
    <n v="4590"/>
    <n v="2706781"/>
    <m/>
    <m/>
    <s v="RAC-07G3CVRGR-HK 2706781"/>
    <n v="5580"/>
    <n v="0.82258064516129037"/>
    <s v="Toshiba SRP"/>
    <m/>
    <s v="2706781"/>
  </r>
  <r>
    <n v="4846"/>
    <s v="Fortress"/>
    <s v="Times"/>
    <x v="67"/>
    <n v="3"/>
    <x v="17"/>
    <x v="36"/>
    <s v="輕觸式微波爐 (20公升)"/>
    <s v="細電"/>
    <s v="MCA"/>
    <s v="em20"/>
    <n v="1"/>
    <n v="638"/>
    <n v="638"/>
    <n v="2902881"/>
    <m/>
    <m/>
    <s v="MM2-EM20PC(WH) 2902881"/>
    <n v="788"/>
    <n v="0.80964467005076146"/>
    <s v="Toshiba SRP"/>
    <m/>
    <s v="2902881"/>
  </r>
  <r>
    <n v="4847"/>
    <s v="Fortress"/>
    <s v="Times"/>
    <x v="67"/>
    <n v="3"/>
    <x v="17"/>
    <x v="36"/>
    <s v="輕觸式微波爐 (20公升)"/>
    <s v="細電"/>
    <s v="MCA"/>
    <s v="em20"/>
    <n v="1"/>
    <n v="638"/>
    <n v="638"/>
    <n v="2902914"/>
    <m/>
    <m/>
    <s v="MM2-EM20PC(WH) 2902914"/>
    <n v="788"/>
    <n v="0.80964467005076146"/>
    <s v="Toshiba SRP"/>
    <m/>
    <s v="2902914"/>
  </r>
  <r>
    <n v="4848"/>
    <s v="Fortress"/>
    <s v="Times"/>
    <x v="67"/>
    <n v="3"/>
    <x v="17"/>
    <x v="36"/>
    <s v="輕觸式微波爐 (20公升)"/>
    <s v="細電"/>
    <s v="MCA"/>
    <s v="em20"/>
    <n v="1"/>
    <n v="638"/>
    <n v="638"/>
    <n v="2902936"/>
    <m/>
    <m/>
    <s v="MM2-EM20PC(WH) 2902936"/>
    <n v="788"/>
    <n v="0.80964467005076146"/>
    <s v="Toshiba SRP"/>
    <m/>
    <s v="2902936"/>
  </r>
  <r>
    <n v="4849"/>
    <s v="Fortress"/>
    <s v="Times"/>
    <x v="67"/>
    <n v="3"/>
    <x v="17"/>
    <x v="113"/>
    <s v="迷你壓力磁應電飯煲(0.63公升)"/>
    <s v="細電"/>
    <s v="SDA"/>
    <s v="6px"/>
    <n v="1"/>
    <n v="938"/>
    <n v="938"/>
    <n v="820750"/>
    <m/>
    <m/>
    <s v="RC-6PXTHK(W) 820750"/>
    <n v="1398"/>
    <n v="0.67095851216022895"/>
    <s v="Toshiba SRP"/>
    <m/>
    <s v="820750"/>
  </r>
  <r>
    <n v="4850"/>
    <s v="Fortress"/>
    <s v="Times"/>
    <x v="67"/>
    <n v="3"/>
    <x v="17"/>
    <x v="41"/>
    <s v="低醣磁應電飯煲1.8L"/>
    <s v="細電"/>
    <s v="SDA"/>
    <s v="18isph"/>
    <n v="1"/>
    <n v="898"/>
    <n v="898"/>
    <n v="2902921"/>
    <m/>
    <m/>
    <s v="RC-18ISPH 2902921"/>
    <n v="1436"/>
    <n v="0.62534818941504178"/>
    <s v="Shops Highest Price"/>
    <m/>
    <s v="2902921"/>
  </r>
  <r>
    <n v="4851"/>
    <s v="Fortress"/>
    <s v="Times"/>
    <x v="67"/>
    <n v="3"/>
    <x v="17"/>
    <x v="79"/>
    <s v="IH磁應電飯煲"/>
    <s v="細電"/>
    <s v="SDA"/>
    <s v="ds10k"/>
    <n v="1"/>
    <n v="3150"/>
    <n v="3150"/>
    <n v="2902914"/>
    <m/>
    <m/>
    <s v="RC-DS10K(R) 2902914"/>
    <n v="4588"/>
    <n v="0.68657367044463824"/>
    <s v="Toshiba SRP"/>
    <m/>
    <s v="2902914"/>
  </r>
  <r>
    <n v="4852"/>
    <s v="Fortress"/>
    <s v="Times"/>
    <x v="67"/>
    <n v="3"/>
    <x v="17"/>
    <x v="13"/>
    <s v="獨立式免安裝洗碗碟機"/>
    <s v="細電"/>
    <s v="DM"/>
    <s v="34ahk"/>
    <n v="1"/>
    <n v="2380"/>
    <n v="2380"/>
    <n v="2706834"/>
    <m/>
    <m/>
    <s v="DWS-34AHK 2706834"/>
    <n v="3999"/>
    <n v="0.5951487871967992"/>
    <s v="Web SRP"/>
    <m/>
    <s v="2706834"/>
  </r>
  <r>
    <n v="4853"/>
    <s v="Fortress"/>
    <s v="Times"/>
    <x v="67"/>
    <n v="3"/>
    <x v="17"/>
    <x v="13"/>
    <s v="獨立式免安裝洗碗碟機"/>
    <s v="細電"/>
    <s v="DM"/>
    <s v="34ahk"/>
    <n v="1"/>
    <n v="2380"/>
    <n v="2380"/>
    <n v="2706845"/>
    <m/>
    <m/>
    <s v="DWS-34AHK 2706845"/>
    <n v="3999"/>
    <n v="0.5951487871967992"/>
    <s v="Web SRP"/>
    <m/>
    <s v="2706845"/>
  </r>
  <r>
    <n v="4854"/>
    <s v="Fortress"/>
    <s v="Times"/>
    <x v="68"/>
    <n v="3"/>
    <x v="18"/>
    <x v="27"/>
    <s v="4毫米厚釜電飯煲1.8L"/>
    <s v="細電"/>
    <s v="SDA"/>
    <s v="18nmf"/>
    <n v="1"/>
    <n v="799"/>
    <n v="799"/>
    <n v="2902972"/>
    <m/>
    <m/>
    <s v="RC-18NMFIH(WT) 2902972"/>
    <n v="998"/>
    <n v="0.80060120240480959"/>
    <s v="Toshiba SRP"/>
    <m/>
    <s v="2902972"/>
  </r>
  <r>
    <n v="4855"/>
    <s v="Fortress"/>
    <s v="Times"/>
    <x v="68"/>
    <n v="3"/>
    <x v="18"/>
    <x v="21"/>
    <s v="壓縮式抽濕機 (30公升)"/>
    <s v="細電"/>
    <s v="RAC"/>
    <s v="d300"/>
    <n v="1"/>
    <n v="2280"/>
    <n v="2280"/>
    <n v="2706878"/>
    <m/>
    <m/>
    <s v="RAD-D300H 2706878"/>
    <n v="3380"/>
    <n v="0.67455621301775148"/>
    <s v="Shops Highest Price"/>
    <m/>
    <s v="2706878"/>
  </r>
  <r>
    <n v="4856"/>
    <s v="Fortress"/>
    <s v="Times"/>
    <x v="68"/>
    <n v="3"/>
    <x v="19"/>
    <x v="66"/>
    <s v="變頻下置式雙門雪櫃（163L）"/>
    <s v="大電"/>
    <s v="REF"/>
    <s v="rb221"/>
    <n v="1"/>
    <n v="2580"/>
    <n v="2580"/>
    <n v="2706901"/>
    <m/>
    <m/>
    <s v="GR-RB221WE-PMA(57) 2706901"/>
    <n v="3480"/>
    <n v="0.74137931034482762"/>
    <s v="Toshiba SRP"/>
    <m/>
    <s v="2706901"/>
  </r>
  <r>
    <n v="4857"/>
    <s v="Fortress"/>
    <s v="Times"/>
    <x v="68"/>
    <n v="3"/>
    <x v="19"/>
    <x v="9"/>
    <s v="電熱水瓶4.5L"/>
    <s v="細電"/>
    <s v="SDA"/>
    <s v="45sf"/>
    <n v="1"/>
    <n v="589"/>
    <n v="589"/>
    <n v="2902985"/>
    <m/>
    <m/>
    <s v="PLK-45SFIH(WT) 2902985"/>
    <n v="788"/>
    <n v="0.7474619289340102"/>
    <s v="Toshiba SRP"/>
    <m/>
    <s v="2902985"/>
  </r>
  <r>
    <n v="4858"/>
    <s v="Fortress"/>
    <s v="Times"/>
    <x v="68"/>
    <n v="3"/>
    <x v="19"/>
    <x v="17"/>
    <s v="4毫米厚釜電飯煲1L"/>
    <s v="細電"/>
    <s v="SDA"/>
    <s v="10nmf"/>
    <n v="1"/>
    <n v="719"/>
    <n v="719"/>
    <n v="2903011"/>
    <m/>
    <m/>
    <s v="RC-10NMFIH(WT) 2903011"/>
    <n v="898"/>
    <n v="0.80066815144766146"/>
    <s v="Toshiba SRP"/>
    <m/>
    <s v="2903011"/>
  </r>
  <r>
    <n v="4859"/>
    <s v="Fortress"/>
    <s v="Times"/>
    <x v="68"/>
    <n v="3"/>
    <x v="19"/>
    <x v="24"/>
    <s v="微型電腦珍珠飯煲"/>
    <s v="細電"/>
    <s v="SDA"/>
    <s v="5sli"/>
    <n v="1"/>
    <n v="593"/>
    <n v="593"/>
    <n v="2902961"/>
    <m/>
    <m/>
    <s v="RC-5SLIH(W) 2902961"/>
    <n v="658"/>
    <n v="0.90121580547112456"/>
    <s v="Toshiba SRP"/>
    <m/>
    <s v="2902961"/>
  </r>
  <r>
    <n v="4860"/>
    <s v="Fortress"/>
    <s v="Times"/>
    <x v="68"/>
    <n v="3"/>
    <x v="19"/>
    <x v="96"/>
    <s v="日式洗衣機 (7公斤 結合高低水位)"/>
    <s v="大電"/>
    <s v="LAD"/>
    <s v="q800"/>
    <n v="1"/>
    <n v="2380"/>
    <n v="2380"/>
    <n v="2903019"/>
    <m/>
    <m/>
    <s v="AW-Q800APH(WW) 2903019"/>
    <n v="3580"/>
    <n v="0.66480446927374304"/>
    <s v="Toshiba SRP"/>
    <m/>
    <s v="2903019"/>
  </r>
  <r>
    <n v="4861"/>
    <s v="Fortress"/>
    <s v="Times"/>
    <x v="68"/>
    <n v="3"/>
    <x v="19"/>
    <x v="36"/>
    <s v="輕觸式微波爐 (20公升)"/>
    <s v="細電"/>
    <s v="MCA"/>
    <s v="em20"/>
    <n v="1"/>
    <n v="638"/>
    <n v="638"/>
    <n v="2811268"/>
    <m/>
    <m/>
    <s v="MM2-EM20PC(WH) 2811268"/>
    <n v="788"/>
    <n v="0.80964467005076146"/>
    <s v="Toshiba SRP"/>
    <m/>
    <s v="2811268"/>
  </r>
  <r>
    <n v="4862"/>
    <s v="Fortress"/>
    <s v="Times"/>
    <x v="67"/>
    <n v="3"/>
    <x v="20"/>
    <x v="11"/>
    <s v="座檯式純蒸氣烤焗水波爐30L"/>
    <s v="細電"/>
    <s v="SDA"/>
    <s v="td5000"/>
    <n v="1"/>
    <n v="5880"/>
    <n v="5880"/>
    <n v="2903086"/>
    <m/>
    <m/>
    <s v="ER-TD5000HK(XK) 2903086"/>
    <n v="7998"/>
    <n v="0.7351837959489872"/>
    <s v="Toshiba SRP"/>
    <m/>
    <s v="2903086"/>
  </r>
  <r>
    <n v="4863"/>
    <s v="Fortress"/>
    <s v="Times"/>
    <x v="67"/>
    <n v="3"/>
    <x v="20"/>
    <x v="48"/>
    <s v="3合1 微波蒸焗爐 (20公升)"/>
    <s v="細電"/>
    <s v="MCA"/>
    <s v="tt20"/>
    <n v="1"/>
    <n v="2580"/>
    <n v="2580"/>
    <n v="2811561"/>
    <m/>
    <m/>
    <s v="MX2-TT20SC(WH) 2811561"/>
    <n v="3580"/>
    <n v="0.72067039106145248"/>
    <s v="Toshiba SRP"/>
    <m/>
    <s v="2811561"/>
  </r>
  <r>
    <n v="4864"/>
    <s v="Fortress"/>
    <s v="Times"/>
    <x v="67"/>
    <n v="3"/>
    <x v="20"/>
    <x v="9"/>
    <s v="電熱水瓶4.5L"/>
    <s v="細電"/>
    <s v="SDA"/>
    <s v="45sf"/>
    <n v="1"/>
    <n v="589"/>
    <n v="589"/>
    <n v="2903099"/>
    <m/>
    <m/>
    <s v="PLK-45SFIH(WT) 2903099"/>
    <n v="788"/>
    <n v="0.7474619289340102"/>
    <s v="Toshiba SRP"/>
    <m/>
    <s v="2903099"/>
  </r>
  <r>
    <n v="4865"/>
    <s v="Fortress"/>
    <s v="Times"/>
    <x v="67"/>
    <n v="3"/>
    <x v="20"/>
    <x v="139"/>
    <s v="IH磁應電飯煲"/>
    <s v="細電"/>
    <s v="SDA"/>
    <s v="ds18k"/>
    <n v="1"/>
    <n v="3490"/>
    <n v="3490"/>
    <n v="2706957"/>
    <m/>
    <m/>
    <s v="RC-DS18K(R) 2706957"/>
    <n v="4988"/>
    <n v="0.69967923015236566"/>
    <s v="Toshiba SRP"/>
    <m/>
    <s v="2706957"/>
  </r>
  <r>
    <n v="4866"/>
    <s v="Fortress"/>
    <s v="Times"/>
    <x v="67"/>
    <n v="3"/>
    <x v="20"/>
    <x v="41"/>
    <s v="低醣磁應電飯煲1.8L"/>
    <s v="細電"/>
    <s v="SDA"/>
    <s v="18isph"/>
    <n v="1"/>
    <n v="1088"/>
    <n v="1088"/>
    <n v="2811588"/>
    <m/>
    <m/>
    <s v="RC-18ISPH 2811588"/>
    <n v="1436"/>
    <n v="0.75766016713091922"/>
    <s v="Shops Highest Price"/>
    <m/>
    <s v="2811588"/>
  </r>
  <r>
    <n v="4867"/>
    <s v="Fortress"/>
    <s v="Times"/>
    <x v="67"/>
    <n v="3"/>
    <x v="20"/>
    <x v="87"/>
    <s v="變頻式環保雙門雪櫃(233L)"/>
    <s v="大電"/>
    <s v="REF"/>
    <s v="rt300"/>
    <n v="1"/>
    <n v="2780"/>
    <n v="2780"/>
    <n v="2811610"/>
    <m/>
    <m/>
    <s v="GR-RT300WE-PMA(57) 2811610"/>
    <n v="4280"/>
    <n v="0.64953271028037385"/>
    <s v="Toshiba SRP"/>
    <m/>
    <s v="2811610"/>
  </r>
  <r>
    <n v="4868"/>
    <s v="Fortress"/>
    <s v="Times"/>
    <x v="67"/>
    <n v="3"/>
    <x v="21"/>
    <x v="85"/>
    <s v="旗艦級變頻三門雪櫃 (300L)"/>
    <s v="大電"/>
    <s v="REF"/>
    <s v="rm469"/>
    <n v="1"/>
    <n v="6380"/>
    <n v="6380"/>
    <n v="820853"/>
    <m/>
    <m/>
    <s v="GR-RM469WE-PGA(B3) 820853"/>
    <n v="8990"/>
    <n v="0.70967741935483875"/>
    <s v="Toshiba SRP"/>
    <m/>
    <s v="820853"/>
  </r>
  <r>
    <n v="4869"/>
    <s v="Fortress"/>
    <s v="Times"/>
    <x v="67"/>
    <n v="3"/>
    <x v="21"/>
    <x v="130"/>
    <s v="All-in-one 輕巧無線吸塵機"/>
    <s v="細電"/>
    <s v="MCA"/>
    <s v="clx50"/>
    <n v="1"/>
    <n v="1798"/>
    <n v="1798"/>
    <n v="2903140"/>
    <m/>
    <m/>
    <s v="VC-CLX50BF(R) 2903140"/>
    <n v="3188"/>
    <n v="0.56398996235884569"/>
    <s v="Toshiba SRP"/>
    <m/>
    <s v="2903140"/>
  </r>
  <r>
    <n v="4870"/>
    <s v="Fortress"/>
    <s v="Times"/>
    <x v="67"/>
    <n v="3"/>
    <x v="21"/>
    <x v="110"/>
    <s v="變頻六門雪櫃(451L)"/>
    <s v="大電"/>
    <s v="REF"/>
    <s v="rm598"/>
    <n v="1"/>
    <n v="10990"/>
    <n v="10990"/>
    <n v="1625218"/>
    <m/>
    <m/>
    <s v="GR-RM598WE-PGA(B3) 1625218"/>
    <n v="14980"/>
    <n v="0.73364485981308414"/>
    <s v="Toshiba SRP"/>
    <m/>
    <s v="1625218"/>
  </r>
  <r>
    <n v="4871"/>
    <s v="Fortress"/>
    <s v="Times"/>
    <x v="67"/>
    <n v="3"/>
    <x v="21"/>
    <x v="21"/>
    <s v="壓縮式抽濕機 (30公升)"/>
    <s v="細電"/>
    <s v="RAC"/>
    <s v="d300"/>
    <n v="1"/>
    <n v="2280"/>
    <n v="2280"/>
    <n v="1625220"/>
    <m/>
    <m/>
    <s v="RAD-D300H 1625220"/>
    <n v="3380"/>
    <n v="0.67455621301775148"/>
    <s v="Shops Highest Price"/>
    <m/>
    <s v="1625220"/>
  </r>
  <r>
    <n v="4872"/>
    <s v="Fortress"/>
    <s v="Times"/>
    <x v="67"/>
    <n v="3"/>
    <x v="21"/>
    <x v="62"/>
    <s v="智能水波爐 (26公升)"/>
    <s v="細電"/>
    <s v="MCA"/>
    <s v="sd99"/>
    <n v="1"/>
    <n v="3980"/>
    <n v="3980"/>
    <n v="2903175"/>
    <m/>
    <m/>
    <s v="ER-SD99HKW 2903175"/>
    <n v="5888"/>
    <n v="0.67595108695652173"/>
    <s v="Toshiba SRP"/>
    <m/>
    <s v="2903175"/>
  </r>
  <r>
    <n v="4873"/>
    <s v="Fortress"/>
    <s v="Times"/>
    <x v="67"/>
    <n v="3"/>
    <x v="21"/>
    <x v="34"/>
    <s v="智能氣炸烤焗爐(24公升)"/>
    <s v="細電"/>
    <s v="MCA"/>
    <s v="sac24"/>
    <n v="1"/>
    <n v="1320"/>
    <n v="1320"/>
    <n v="2811821"/>
    <m/>
    <m/>
    <s v="MW3-SAC24SE(BK) 2811821"/>
    <n v="1680"/>
    <n v="0.7857142857142857"/>
    <s v="Toshiba SRP"/>
    <m/>
    <s v="2811821"/>
  </r>
  <r>
    <n v="4874"/>
    <s v="Fortress"/>
    <s v="Times"/>
    <x v="67"/>
    <n v="3"/>
    <x v="21"/>
    <x v="36"/>
    <s v="輕觸式微波爐 (20公升)"/>
    <s v="細電"/>
    <s v="MCA"/>
    <s v="em20"/>
    <n v="1"/>
    <n v="638"/>
    <n v="638"/>
    <n v="2903091"/>
    <m/>
    <m/>
    <s v="MM2-EM20PC(WH) 2903091"/>
    <n v="788"/>
    <n v="0.80964467005076146"/>
    <s v="Toshiba SRP"/>
    <m/>
    <s v="2903091"/>
  </r>
  <r>
    <n v="4875"/>
    <s v="Fortress"/>
    <s v="Times"/>
    <x v="67"/>
    <n v="3"/>
    <x v="21"/>
    <x v="36"/>
    <s v="輕觸式微波爐 (20公升)"/>
    <s v="細電"/>
    <s v="MCA"/>
    <s v="em20"/>
    <n v="1"/>
    <n v="638"/>
    <n v="638"/>
    <n v="2903166"/>
    <m/>
    <m/>
    <s v="MM2-EM20PC(WH) 2903166"/>
    <n v="788"/>
    <n v="0.80964467005076146"/>
    <s v="Toshiba SRP"/>
    <m/>
    <s v="2903166"/>
  </r>
  <r>
    <n v="4876"/>
    <s v="Fortress"/>
    <s v="Times"/>
    <x v="67"/>
    <n v="3"/>
    <x v="21"/>
    <x v="44"/>
    <s v="1.7L無線雙層電熱水壺"/>
    <s v="細電"/>
    <s v="SDA"/>
    <s v="17shnh"/>
    <n v="1"/>
    <n v="228"/>
    <n v="228"/>
    <n v="2811837"/>
    <m/>
    <m/>
    <s v="KT-17SHNH 2811837"/>
    <n v="299"/>
    <n v="0.76254180602006694"/>
    <s v="Shops Highest Price"/>
    <m/>
    <s v="2811837"/>
  </r>
  <r>
    <n v="4877"/>
    <s v="Fortress"/>
    <s v="Times"/>
    <x v="67"/>
    <n v="3"/>
    <x v="21"/>
    <x v="45"/>
    <s v="備長炭本厚釜電飯煲0.7L"/>
    <s v="細電"/>
    <s v="SDA"/>
    <s v="7hmh"/>
    <n v="1"/>
    <n v="898"/>
    <n v="898"/>
    <n v="2811851"/>
    <m/>
    <m/>
    <s v="RC-7HMH 2811851"/>
    <n v="1288"/>
    <n v="0.69720496894409933"/>
    <s v="Toshiba SRP"/>
    <m/>
    <s v="2811851"/>
  </r>
  <r>
    <n v="4878"/>
    <s v="Fortress"/>
    <s v="Times"/>
    <x v="67"/>
    <n v="3"/>
    <x v="21"/>
    <x v="27"/>
    <s v="4毫米厚釜電飯煲1.8L"/>
    <s v="細電"/>
    <s v="SDA"/>
    <s v="18nmf"/>
    <n v="1"/>
    <n v="799"/>
    <n v="799"/>
    <n v="2903185"/>
    <m/>
    <m/>
    <s v="RC-18NMFIH(WT) 2903185"/>
    <n v="998"/>
    <n v="0.80060120240480959"/>
    <s v="Toshiba SRP"/>
    <m/>
    <s v="2903185"/>
  </r>
  <r>
    <n v="4879"/>
    <s v="Fortress"/>
    <s v="Times"/>
    <x v="67"/>
    <n v="3"/>
    <x v="21"/>
    <x v="44"/>
    <s v="1.7L無線雙層電熱水壺"/>
    <s v="細電"/>
    <s v="SDA"/>
    <s v="17shnh"/>
    <n v="1"/>
    <n v="228"/>
    <n v="228"/>
    <n v="2903195"/>
    <m/>
    <m/>
    <s v="KT-17SHNH 2903195"/>
    <n v="299"/>
    <n v="0.76254180602006694"/>
    <s v="Shops Highest Price"/>
    <m/>
    <s v="2903195"/>
  </r>
  <r>
    <n v="4880"/>
    <s v="Fortress"/>
    <s v="Times"/>
    <x v="67"/>
    <n v="3"/>
    <x v="22"/>
    <x v="66"/>
    <s v="變頻下置式雙門雪櫃（163L）"/>
    <s v="大電"/>
    <s v="REF"/>
    <s v="rb221"/>
    <n v="1"/>
    <n v="1880"/>
    <n v="1880"/>
    <n v="2707039"/>
    <m/>
    <m/>
    <s v="GR-RB221WE-PMA(57) 2707039"/>
    <n v="3480"/>
    <n v="0.54022988505747127"/>
    <s v="Toshiba SRP"/>
    <m/>
    <s v="2707039"/>
  </r>
  <r>
    <n v="4881"/>
    <s v="Fortress"/>
    <s v="Times"/>
    <x v="67"/>
    <n v="3"/>
    <x v="22"/>
    <x v="6"/>
    <s v="旋鈕式微波爐24L"/>
    <s v="細電"/>
    <s v="SDA"/>
    <s v="mm24"/>
    <n v="1"/>
    <n v="679"/>
    <n v="679"/>
    <n v="2707015"/>
    <m/>
    <m/>
    <s v="MW2-MM24PC(BK) 2707015"/>
    <n v="848"/>
    <n v="0.8007075471698113"/>
    <s v="Toshiba SRP"/>
    <m/>
    <s v="2707015"/>
  </r>
  <r>
    <n v="4882"/>
    <s v="Fortress"/>
    <s v="Times"/>
    <x v="67"/>
    <n v="3"/>
    <x v="30"/>
    <x v="52"/>
    <s v="35L多功能電焗爐"/>
    <s v="細電"/>
    <s v="SDA"/>
    <s v="mc35"/>
    <n v="1"/>
    <n v="888"/>
    <n v="888"/>
    <n v="2903218"/>
    <m/>
    <m/>
    <s v="TL-MC35Z 2903218"/>
    <n v="1098"/>
    <n v="0.80874316939890711"/>
    <s v="Toshiba SRP"/>
    <m/>
    <s v="2903218"/>
  </r>
  <r>
    <n v="4883"/>
    <s v="Fortress"/>
    <s v="Times"/>
    <x v="67"/>
    <n v="3"/>
    <x v="30"/>
    <x v="56"/>
    <s v="多士焗爐8L"/>
    <s v="細電"/>
    <s v="SDA"/>
    <n v="7080"/>
    <n v="1"/>
    <n v="338"/>
    <n v="338"/>
    <n v="2903240"/>
    <m/>
    <m/>
    <s v="ET-TD7080(PN) 2903240"/>
    <n v="498"/>
    <n v="0.67871485943775101"/>
    <s v="Toshiba SRP"/>
    <m/>
    <s v="2903240"/>
  </r>
  <r>
    <n v="4884"/>
    <s v="Fortress"/>
    <s v="Times"/>
    <x v="67"/>
    <n v="3"/>
    <x v="30"/>
    <x v="44"/>
    <s v="1.7L無線雙層電熱水壺"/>
    <s v="細電"/>
    <s v="SDA"/>
    <s v="17shnh"/>
    <n v="1"/>
    <n v="228"/>
    <n v="228"/>
    <n v="2903257"/>
    <m/>
    <m/>
    <s v="KT-17SHNH 2903257"/>
    <n v="299"/>
    <n v="0.76254180602006694"/>
    <s v="Shops Highest Price"/>
    <m/>
    <s v="2903257"/>
  </r>
  <r>
    <n v="4885"/>
    <s v="Fortress"/>
    <s v="Times"/>
    <x v="67"/>
    <n v="3"/>
    <x v="30"/>
    <x v="44"/>
    <s v="1.7L無線雙層電熱水壺"/>
    <s v="細電"/>
    <s v="SDA"/>
    <s v="17shnh"/>
    <n v="1"/>
    <n v="228"/>
    <n v="228"/>
    <n v="2903249"/>
    <m/>
    <m/>
    <s v="KT-17SHNH 2903249"/>
    <n v="299"/>
    <n v="0.76254180602006694"/>
    <s v="Shops Highest Price"/>
    <m/>
    <s v="2903249"/>
  </r>
  <r>
    <n v="4886"/>
    <s v="Fortress"/>
    <s v="Times"/>
    <x v="67"/>
    <n v="3"/>
    <x v="30"/>
    <x v="107"/>
    <s v="1.5L無線雙層電熱水壺"/>
    <s v="細電"/>
    <s v="SDA"/>
    <s v="15drr"/>
    <n v="1"/>
    <n v="298"/>
    <n v="298"/>
    <n v="2707051"/>
    <m/>
    <m/>
    <s v="KT-15DRRH 2707051"/>
    <n v="438"/>
    <n v="0.68036529680365299"/>
    <s v="Toshiba SRP"/>
    <m/>
    <s v="2707051"/>
  </r>
  <r>
    <n v="4887"/>
    <s v="Fortress"/>
    <s v="Times"/>
    <x v="67"/>
    <n v="3"/>
    <x v="30"/>
    <x v="113"/>
    <s v="迷你壓力磁應電飯煲(0.63公升)"/>
    <s v="細電"/>
    <s v="SDA"/>
    <s v="6px"/>
    <n v="1"/>
    <n v="938"/>
    <n v="938"/>
    <n v="2707083"/>
    <m/>
    <m/>
    <s v="RC-6PXTHK(W) 2707083"/>
    <n v="1398"/>
    <n v="0.67095851216022895"/>
    <s v="Toshiba SRP"/>
    <m/>
    <s v="2707083"/>
  </r>
  <r>
    <n v="4888"/>
    <s v="Fortress"/>
    <s v="Times"/>
    <x v="67"/>
    <n v="3"/>
    <x v="22"/>
    <x v="36"/>
    <s v="輕觸式微波爐 (20公升)"/>
    <s v="細電"/>
    <s v="MCA"/>
    <s v="em20"/>
    <n v="1"/>
    <n v="638"/>
    <n v="638"/>
    <n v="1625220"/>
    <m/>
    <m/>
    <s v="MM2-EM20PC(WH) 1625220"/>
    <n v="788"/>
    <n v="0.80964467005076146"/>
    <s v="Toshiba SRP"/>
    <m/>
    <s v="1625220"/>
  </r>
  <r>
    <n v="4889"/>
    <s v="Fortress"/>
    <s v="Times"/>
    <x v="67"/>
    <n v="3"/>
    <x v="22"/>
    <x v="34"/>
    <s v="智能氣炸烤焗爐(24公升)"/>
    <s v="細電"/>
    <s v="MCA"/>
    <s v="sac24"/>
    <n v="1"/>
    <n v="1320"/>
    <n v="1320"/>
    <n v="2903265"/>
    <m/>
    <m/>
    <s v="MW3-SAC24SE(BK) 2903265"/>
    <n v="1680"/>
    <n v="0.7857142857142857"/>
    <s v="Toshiba SRP"/>
    <m/>
    <s v="2903265"/>
  </r>
  <r>
    <n v="4890"/>
    <s v="Fortress"/>
    <s v="Times"/>
    <x v="67"/>
    <n v="3"/>
    <x v="22"/>
    <x v="74"/>
    <s v="4合1氣炸微波蒸焗爐(25公升)"/>
    <s v="細電"/>
    <s v="MCA"/>
    <s v="str25"/>
    <n v="1"/>
    <n v="3580"/>
    <n v="3580"/>
    <n v="2903265"/>
    <m/>
    <m/>
    <s v="MX2-STR25SC(WH) 2903265"/>
    <n v="4998"/>
    <n v="0.71628651460584236"/>
    <s v="Toshiba SRP"/>
    <m/>
    <s v="2903265"/>
  </r>
  <r>
    <n v="4891"/>
    <s v="Fortress"/>
    <s v="Times"/>
    <x v="67"/>
    <n v="3"/>
    <x v="22"/>
    <x v="56"/>
    <s v="多士焗爐8L"/>
    <s v="細電"/>
    <s v="SDA"/>
    <n v="7080"/>
    <n v="1"/>
    <n v="358"/>
    <n v="358"/>
    <n v="2903262"/>
    <m/>
    <m/>
    <s v="ET-TD7080(PN) 2903262"/>
    <n v="498"/>
    <n v="0.71887550200803207"/>
    <s v="Toshiba SRP"/>
    <m/>
    <s v="2903262"/>
  </r>
  <r>
    <n v="4892"/>
    <s v="Fortress"/>
    <s v="Times"/>
    <x v="67"/>
    <n v="3"/>
    <x v="23"/>
    <x v="133"/>
    <s v="單門直冷式環保雪櫃81L"/>
    <s v="大電"/>
    <s v="REF"/>
    <s v="913m"/>
    <n v="1"/>
    <n v="1480"/>
    <n v="1480"/>
    <n v="820921"/>
    <m/>
    <m/>
    <s v="GR-H913(MG) 820921"/>
    <n v="1980"/>
    <n v="0.74747474747474751"/>
    <s v="Toshiba SRP"/>
    <m/>
    <s v="820921"/>
  </r>
  <r>
    <n v="4893"/>
    <s v="Fortress"/>
    <s v="Times"/>
    <x v="67"/>
    <n v="3"/>
    <x v="23"/>
    <x v="110"/>
    <s v="變頻六門雪櫃(451L)"/>
    <s v="大電"/>
    <s v="REF"/>
    <s v="rm598"/>
    <n v="1"/>
    <n v="10990"/>
    <n v="10990"/>
    <n v="2903298"/>
    <m/>
    <m/>
    <s v="GR-RM598WE-PGA(B3) 2903298"/>
    <n v="14980"/>
    <n v="0.73364485981308414"/>
    <s v="Toshiba SRP"/>
    <m/>
    <s v="2903298"/>
  </r>
  <r>
    <n v="4894"/>
    <s v="Fortress"/>
    <s v="Times"/>
    <x v="67"/>
    <n v="3"/>
    <x v="23"/>
    <x v="110"/>
    <s v="變頻六門雪櫃(451L)"/>
    <s v="大電"/>
    <s v="REF"/>
    <s v="rm598"/>
    <n v="1"/>
    <n v="10990"/>
    <n v="10990"/>
    <n v="2707074"/>
    <m/>
    <m/>
    <s v="GR-RM598WE-PGA(B3) 2707074"/>
    <n v="14980"/>
    <n v="0.73364485981308414"/>
    <s v="Toshiba SRP"/>
    <m/>
    <s v="2707074"/>
  </r>
  <r>
    <n v="4895"/>
    <s v="Fortress"/>
    <s v="Times"/>
    <x v="67"/>
    <n v="3"/>
    <x v="23"/>
    <x v="63"/>
    <s v="20L 智能蒸氣焗爐"/>
    <s v="細電"/>
    <s v="MCA"/>
    <s v="stq20"/>
    <n v="1"/>
    <n v="2100"/>
    <n v="2100"/>
    <n v="2903311"/>
    <m/>
    <m/>
    <s v="MS3-STQ20SC(WH) 2903311"/>
    <n v="2880"/>
    <n v="0.72916666666666663"/>
    <s v="Toshiba SRP"/>
    <m/>
    <s v="2903311"/>
  </r>
  <r>
    <n v="4896"/>
    <s v="Fortress"/>
    <s v="Times"/>
    <x v="67"/>
    <n v="3"/>
    <x v="24"/>
    <x v="109"/>
    <s v="12吋座地座檯電風扇"/>
    <s v="細電"/>
    <s v="SDA"/>
    <s v="b60"/>
    <n v="1"/>
    <n v="680"/>
    <n v="680"/>
    <n v="2707096"/>
    <m/>
    <m/>
    <s v="F-ALB60HK(B) 2707096"/>
    <n v="839"/>
    <n v="0.81048867699642435"/>
    <s v="Shops Highest Price"/>
    <m/>
    <s v="2707096"/>
  </r>
  <r>
    <n v="4897"/>
    <s v="Fortress"/>
    <s v="Times"/>
    <x v="67"/>
    <n v="3"/>
    <x v="24"/>
    <x v="133"/>
    <s v="單門直冷式環保雪櫃81L"/>
    <s v="大電"/>
    <s v="REF"/>
    <s v="913m"/>
    <n v="1"/>
    <n v="1480"/>
    <n v="1480"/>
    <n v="820945"/>
    <m/>
    <m/>
    <s v="GR-H913(MG) 820945"/>
    <n v="1980"/>
    <n v="0.74747474747474751"/>
    <s v="Toshiba SRP"/>
    <m/>
    <s v="820945"/>
  </r>
  <r>
    <n v="4898"/>
    <s v="Fortress"/>
    <s v="Times"/>
    <x v="67"/>
    <n v="3"/>
    <x v="24"/>
    <x v="74"/>
    <s v="4合1氣炸微波蒸焗爐(25公升)"/>
    <s v="細電"/>
    <s v="MCA"/>
    <s v="str25"/>
    <n v="1"/>
    <n v="3580"/>
    <n v="3580"/>
    <n v="2903343"/>
    <m/>
    <m/>
    <s v="MX2-STR25SC(WH) 2903343"/>
    <n v="4998"/>
    <n v="0.71628651460584236"/>
    <s v="Toshiba SRP"/>
    <m/>
    <s v="2903343"/>
  </r>
  <r>
    <n v="4899"/>
    <s v="Fortress"/>
    <s v="Times"/>
    <x v="67"/>
    <n v="3"/>
    <x v="24"/>
    <x v="74"/>
    <s v="4合1氣炸微波蒸焗爐(25公升)"/>
    <s v="細電"/>
    <s v="MCA"/>
    <s v="str25"/>
    <n v="1"/>
    <n v="3580"/>
    <n v="3580"/>
    <n v="2903370"/>
    <m/>
    <m/>
    <s v="MX2-STR25SC(WH) 2903370"/>
    <n v="4998"/>
    <n v="0.71628651460584236"/>
    <s v="Toshiba SRP"/>
    <m/>
    <s v="2903370"/>
  </r>
  <r>
    <n v="4900"/>
    <s v="Fortress"/>
    <s v="Times"/>
    <x v="67"/>
    <n v="3"/>
    <x v="24"/>
    <x v="11"/>
    <s v="座檯式純蒸氣烤焗水波爐30L"/>
    <s v="細電"/>
    <s v="SDA"/>
    <s v="td5000"/>
    <n v="1"/>
    <n v="5880"/>
    <n v="5880"/>
    <n v="2707110"/>
    <m/>
    <m/>
    <s v="ER-TD5000HK(XK) 2707110"/>
    <n v="7998"/>
    <n v="0.7351837959489872"/>
    <s v="Toshiba SRP"/>
    <m/>
    <s v="2707110"/>
  </r>
  <r>
    <n v="4901"/>
    <s v="Fortress"/>
    <s v="Times"/>
    <x v="67"/>
    <n v="3"/>
    <x v="24"/>
    <x v="21"/>
    <s v="壓縮式抽濕機 (30公升)"/>
    <s v="細電"/>
    <s v="RAC"/>
    <s v="d300"/>
    <n v="1"/>
    <n v="2580"/>
    <n v="2580"/>
    <n v="2812149"/>
    <m/>
    <m/>
    <s v="RAD-D300H 2812149"/>
    <n v="3380"/>
    <n v="0.76331360946745563"/>
    <s v="Shops Highest Price"/>
    <m/>
    <s v="2812149"/>
  </r>
  <r>
    <n v="4902"/>
    <s v="Fortress"/>
    <s v="Times"/>
    <x v="68"/>
    <n v="3"/>
    <x v="25"/>
    <x v="118"/>
    <s v="IH磁應電飯煲"/>
    <s v="細電"/>
    <s v="SDA"/>
    <s v="dz4k"/>
    <n v="1"/>
    <n v="3280"/>
    <n v="3280"/>
    <n v="2903391"/>
    <m/>
    <m/>
    <s v="RC-DZ4K(N) 2903391"/>
    <n v="3888"/>
    <n v="0.84362139917695478"/>
    <s v="Shops Highest Price"/>
    <m/>
    <s v="2903391"/>
  </r>
  <r>
    <n v="4903"/>
    <s v="Fortress"/>
    <s v="Times"/>
    <x v="68"/>
    <n v="3"/>
    <x v="25"/>
    <x v="51"/>
    <s v="IH磁應電飯煲"/>
    <s v="細電"/>
    <s v="SDA"/>
    <s v="dr10tw"/>
    <n v="1"/>
    <n v="2380"/>
    <n v="2380"/>
    <n v="2707132"/>
    <m/>
    <m/>
    <s v="RC-DR10T(W) 2707132"/>
    <n v="3188"/>
    <n v="0.74654956085319946"/>
    <s v="Toshiba SRP"/>
    <m/>
    <s v="2707132"/>
  </r>
  <r>
    <n v="4904"/>
    <s v="Fortress"/>
    <s v="Times"/>
    <x v="68"/>
    <n v="3"/>
    <x v="25"/>
    <x v="115"/>
    <s v="微波蒸焗爐23L"/>
    <s v="細電"/>
    <s v="SDA"/>
    <s v="th23"/>
    <n v="1"/>
    <n v="2580"/>
    <n v="2580"/>
    <n v="2903418"/>
    <m/>
    <m/>
    <s v="MX1-TH23SC(WH) 2903418"/>
    <n v="3380"/>
    <n v="0.76331360946745563"/>
    <s v="Toshiba SRP"/>
    <m/>
    <s v="2903418"/>
  </r>
  <r>
    <n v="4905"/>
    <s v="Fortress"/>
    <s v="Times"/>
    <x v="68"/>
    <n v="3"/>
    <x v="25"/>
    <x v="45"/>
    <s v="備長炭本厚釜電飯煲0.7L"/>
    <s v="細電"/>
    <s v="SDA"/>
    <s v="7hmh"/>
    <n v="1"/>
    <n v="838"/>
    <n v="838"/>
    <n v="2903382"/>
    <m/>
    <m/>
    <s v="RC-7HMH 2903382"/>
    <n v="1288"/>
    <n v="0.65062111801242239"/>
    <s v="Toshiba SRP"/>
    <m/>
    <s v="2903382"/>
  </r>
  <r>
    <n v="4906"/>
    <s v="Fortress"/>
    <s v="Times"/>
    <x v="68"/>
    <n v="3"/>
    <x v="25"/>
    <x v="118"/>
    <s v="IH磁應電飯煲"/>
    <s v="細電"/>
    <s v="SDA"/>
    <s v="dz4k"/>
    <n v="1"/>
    <n v="3280"/>
    <n v="3280"/>
    <n v="2903419"/>
    <m/>
    <m/>
    <s v="RC-DZ4K(N) 2903419"/>
    <n v="3888"/>
    <n v="0.84362139917695478"/>
    <s v="Shops Highest Price"/>
    <m/>
    <s v="2903419"/>
  </r>
  <r>
    <n v="4907"/>
    <s v="Fortress"/>
    <s v="Times"/>
    <x v="68"/>
    <n v="3"/>
    <x v="25"/>
    <x v="100"/>
    <s v="3/4 匹 窗口式冷氣機(remote/fortress)"/>
    <s v="大電"/>
    <s v="AC"/>
    <s v="07g3cvf"/>
    <n v="1"/>
    <n v="4590"/>
    <n v="4590"/>
    <n v="2707151"/>
    <m/>
    <m/>
    <s v="RAC-07G3CVRG-HK 2707151"/>
    <n v="5580"/>
    <n v="0.82258064516129037"/>
    <s v="Toshiba SRP"/>
    <m/>
    <s v="2707151"/>
  </r>
  <r>
    <n v="4908"/>
    <s v="Fortress"/>
    <s v="Times"/>
    <x v="67"/>
    <n v="3"/>
    <x v="26"/>
    <x v="31"/>
    <s v="無線雙層電熱水壺(1.7公升)"/>
    <s v="細電"/>
    <s v="SDA"/>
    <s v="17drt"/>
    <n v="1"/>
    <n v="388"/>
    <n v="388"/>
    <n v="2903434"/>
    <m/>
    <m/>
    <s v="KT-17DRTHK(H) 2903434"/>
    <n v="498"/>
    <n v="0.77911646586345384"/>
    <s v="Toshiba SRP"/>
    <m/>
    <s v="2903434"/>
  </r>
  <r>
    <n v="4909"/>
    <s v="Fortress"/>
    <s v="Times"/>
    <x v="67"/>
    <n v="3"/>
    <x v="26"/>
    <x v="31"/>
    <s v="無線雙層電熱水壺(1.7公升)"/>
    <s v="細電"/>
    <s v="SDA"/>
    <s v="17drt"/>
    <n v="1"/>
    <n v="388"/>
    <n v="388"/>
    <n v="2707177"/>
    <m/>
    <m/>
    <s v="KT-17DRTHK(H) 2707177"/>
    <n v="498"/>
    <n v="0.77911646586345384"/>
    <s v="Toshiba SRP"/>
    <m/>
    <s v="2707177"/>
  </r>
  <r>
    <n v="4910"/>
    <s v="Fortress"/>
    <s v="Times"/>
    <x v="67"/>
    <n v="3"/>
    <x v="26"/>
    <x v="31"/>
    <s v="無線雙層電熱水壺(1.7公升)"/>
    <s v="細電"/>
    <s v="SDA"/>
    <s v="17drt"/>
    <n v="1"/>
    <n v="388"/>
    <n v="388"/>
    <n v="2707184"/>
    <m/>
    <m/>
    <s v="KT-17DRTHK(H) 2707184"/>
    <n v="498"/>
    <n v="0.77911646586345384"/>
    <s v="Toshiba SRP"/>
    <m/>
    <s v="2707184"/>
  </r>
  <r>
    <n v="4911"/>
    <s v="Fortress"/>
    <s v="Times"/>
    <x v="67"/>
    <n v="3"/>
    <x v="26"/>
    <x v="36"/>
    <s v="輕觸式微波爐 (20公升)"/>
    <s v="細電"/>
    <s v="MCA"/>
    <s v="em20"/>
    <n v="1"/>
    <n v="638"/>
    <n v="638"/>
    <n v="2903261"/>
    <m/>
    <m/>
    <s v="MM2-EM20PC(WH) 2903261"/>
    <n v="788"/>
    <n v="0.80964467005076146"/>
    <s v="Toshiba SRP"/>
    <m/>
    <s v="2903261"/>
  </r>
  <r>
    <n v="4912"/>
    <s v="Fortress"/>
    <s v="Times"/>
    <x v="67"/>
    <n v="3"/>
    <x v="26"/>
    <x v="105"/>
    <s v="旋鈕式燒烤微波爐20L黑色"/>
    <s v="細電"/>
    <s v="SDA"/>
    <s v="mg20"/>
    <n v="1"/>
    <n v="698"/>
    <n v="698"/>
    <n v="2903503"/>
    <m/>
    <m/>
    <s v="MWP-MG20P(BK) 2903503"/>
    <n v="918"/>
    <n v="0.76034858387799564"/>
    <s v="Toshiba SRP"/>
    <m/>
    <s v="2903503"/>
  </r>
  <r>
    <n v="4913"/>
    <s v="Fortress"/>
    <s v="Times"/>
    <x v="67"/>
    <n v="3"/>
    <x v="26"/>
    <x v="52"/>
    <s v="35L多功能電焗爐"/>
    <s v="細電"/>
    <s v="SDA"/>
    <s v="mc35"/>
    <n v="1"/>
    <n v="888"/>
    <n v="888"/>
    <n v="2903461"/>
    <m/>
    <m/>
    <s v="TL-MC35Z 2903461"/>
    <n v="1098"/>
    <n v="0.80874316939890711"/>
    <s v="Toshiba SRP"/>
    <m/>
    <s v="2903461"/>
  </r>
  <r>
    <n v="4914"/>
    <s v="Fortress"/>
    <s v="Times"/>
    <x v="67"/>
    <n v="3"/>
    <x v="26"/>
    <x v="99"/>
    <s v="前置式變頻洗衣乾衣機 (洗10.5公斤 乾7公斤)"/>
    <s v="大電"/>
    <s v="LAD"/>
    <s v="twdt25"/>
    <n v="1"/>
    <n v="5980"/>
    <n v="5980"/>
    <n v="2707195"/>
    <m/>
    <m/>
    <s v="TWD-T25BZU115MWH(MG) 2707195"/>
    <n v="8280"/>
    <n v="0.72222222222222221"/>
    <s v="Toshiba SRP"/>
    <m/>
    <s v="2707195"/>
  </r>
  <r>
    <n v="4915"/>
    <s v="Fortress"/>
    <s v="Times"/>
    <x v="67"/>
    <n v="3"/>
    <x v="26"/>
    <x v="42"/>
    <s v="變頻下置式雙門雪櫃系列270L"/>
    <s v="大電"/>
    <s v="REF"/>
    <s v="rb360"/>
    <n v="1"/>
    <n v="3580"/>
    <n v="3580"/>
    <n v="2707198"/>
    <m/>
    <m/>
    <s v="GR-RB360WE-PMA(06) 2707198"/>
    <n v="5080"/>
    <n v="0.70472440944881887"/>
    <s v="Toshiba SRP"/>
    <m/>
    <s v="2707198"/>
  </r>
  <r>
    <n v="4916"/>
    <s v="Fortress"/>
    <s v="Times"/>
    <x v="67"/>
    <n v="3"/>
    <x v="27"/>
    <x v="109"/>
    <s v="12吋座地座檯電風扇"/>
    <s v="細電"/>
    <s v="SDA"/>
    <s v="b60"/>
    <n v="1"/>
    <n v="499"/>
    <n v="499"/>
    <n v="821030"/>
    <m/>
    <m/>
    <s v="F-ALB60HK(B) 821030"/>
    <n v="839"/>
    <n v="0.59475566150178782"/>
    <s v="Shops Highest Price"/>
    <m/>
    <s v="821030"/>
  </r>
  <r>
    <n v="4917"/>
    <s v="Fortress"/>
    <s v="Times"/>
    <x v="67"/>
    <n v="3"/>
    <x v="27"/>
    <x v="109"/>
    <s v="12吋座地座檯電風扇"/>
    <s v="細電"/>
    <s v="SDA"/>
    <s v="b60"/>
    <n v="1"/>
    <n v="499"/>
    <n v="499"/>
    <n v="2707270"/>
    <m/>
    <m/>
    <s v="F-ALB60HK(B) 2707270"/>
    <n v="839"/>
    <n v="0.59475566150178782"/>
    <s v="Shops Highest Price"/>
    <m/>
    <s v="2707270"/>
  </r>
  <r>
    <n v="4918"/>
    <s v="Fortress"/>
    <s v="Times"/>
    <x v="67"/>
    <n v="3"/>
    <x v="27"/>
    <x v="109"/>
    <s v="12吋座地座檯電風扇"/>
    <s v="細電"/>
    <s v="SDA"/>
    <s v="b60"/>
    <n v="1"/>
    <n v="499"/>
    <n v="499"/>
    <n v="2707271"/>
    <m/>
    <m/>
    <s v="F-ALB60HK(B) 2707271"/>
    <n v="839"/>
    <n v="0.59475566150178782"/>
    <s v="Shops Highest Price"/>
    <m/>
    <s v="2707271"/>
  </r>
  <r>
    <n v="4919"/>
    <s v="Fortress"/>
    <s v="Times"/>
    <x v="67"/>
    <n v="3"/>
    <x v="27"/>
    <x v="105"/>
    <s v="旋鈕式燒烤微波爐20L黑色"/>
    <s v="細電"/>
    <s v="SDA"/>
    <s v="mg20"/>
    <n v="1"/>
    <n v="698"/>
    <n v="698"/>
    <n v="2903556"/>
    <m/>
    <m/>
    <s v="MWP-MG20P(BK) 2903556"/>
    <n v="918"/>
    <n v="0.76034858387799564"/>
    <s v="Toshiba SRP"/>
    <m/>
    <s v="2903556"/>
  </r>
  <r>
    <n v="4920"/>
    <s v="Fortress"/>
    <s v="Times"/>
    <x v="67"/>
    <n v="3"/>
    <x v="27"/>
    <x v="88"/>
    <s v="水波爐"/>
    <s v="細電"/>
    <s v="MCA"/>
    <s v="vd7000"/>
    <n v="1"/>
    <n v="6798"/>
    <n v="6798"/>
    <n v="1625277"/>
    <m/>
    <m/>
    <s v="ER-VD7000HK(XK) 1625277"/>
    <n v="8998"/>
    <n v="0.75550122249388751"/>
    <s v="Toshiba SRP"/>
    <m/>
    <s v="1625277"/>
  </r>
  <r>
    <n v="4921"/>
    <s v="Fortress"/>
    <s v="Times"/>
    <x v="67"/>
    <n v="3"/>
    <x v="27"/>
    <x v="21"/>
    <s v="壓縮式抽濕機 (30公升)"/>
    <s v="細電"/>
    <s v="RAC"/>
    <s v="d300"/>
    <n v="1"/>
    <n v="2280"/>
    <n v="2280"/>
    <n v="821020"/>
    <m/>
    <m/>
    <s v="RAD-D300H 821020"/>
    <n v="3380"/>
    <n v="0.67455621301775148"/>
    <s v="Shops Highest Price"/>
    <m/>
    <s v="821020"/>
  </r>
  <r>
    <n v="4922"/>
    <s v="Fortress"/>
    <s v="Times"/>
    <x v="67"/>
    <n v="3"/>
    <x v="27"/>
    <x v="110"/>
    <s v="變頻六門雪櫃(451L)"/>
    <s v="大電"/>
    <s v="REF"/>
    <s v="rm598"/>
    <n v="1"/>
    <n v="10990"/>
    <n v="10990"/>
    <n v="821050"/>
    <m/>
    <m/>
    <s v="GR-RM598WE-PGA(B3) 821050"/>
    <n v="14980"/>
    <n v="0.73364485981308414"/>
    <s v="Toshiba SRP"/>
    <m/>
    <s v="821050"/>
  </r>
  <r>
    <n v="4923"/>
    <s v="Fortress"/>
    <s v="Times"/>
    <x v="67"/>
    <n v="3"/>
    <x v="27"/>
    <x v="56"/>
    <s v="多士焗爐8L"/>
    <s v="細電"/>
    <s v="SDA"/>
    <n v="7080"/>
    <n v="1"/>
    <n v="338"/>
    <n v="338"/>
    <n v="2903540"/>
    <m/>
    <m/>
    <s v="ET-TD7080(PN) 2903540"/>
    <n v="498"/>
    <n v="0.67871485943775101"/>
    <s v="Toshiba SRP"/>
    <m/>
    <s v="2903540"/>
  </r>
  <r>
    <n v="4924"/>
    <s v="Fortress"/>
    <s v="Times"/>
    <x v="67"/>
    <n v="3"/>
    <x v="27"/>
    <x v="27"/>
    <s v="4毫米厚釜電飯煲1.8L"/>
    <s v="細電"/>
    <s v="SDA"/>
    <s v="18nmf"/>
    <n v="1"/>
    <n v="799"/>
    <n v="799"/>
    <n v="2903521"/>
    <m/>
    <m/>
    <s v="RC-18NMFIH(WT) 2903521"/>
    <n v="998"/>
    <n v="0.80060120240480959"/>
    <s v="Toshiba SRP"/>
    <m/>
    <s v="2903521"/>
  </r>
  <r>
    <n v="4925"/>
    <s v="Fortress"/>
    <s v="Times"/>
    <x v="67"/>
    <n v="3"/>
    <x v="28"/>
    <x v="44"/>
    <s v="1.7L無線雙層電熱水壺"/>
    <s v="細電"/>
    <s v="SDA"/>
    <s v="17shnh"/>
    <n v="1"/>
    <n v="228"/>
    <n v="228"/>
    <n v="1625273"/>
    <m/>
    <m/>
    <s v="KT-17SHNH 1625273"/>
    <n v="299"/>
    <n v="0.76254180602006694"/>
    <s v="Shops Highest Price"/>
    <m/>
    <s v="1625273"/>
  </r>
  <r>
    <n v="4926"/>
    <s v="Fortress"/>
    <s v="Times"/>
    <x v="67"/>
    <n v="3"/>
    <x v="28"/>
    <x v="37"/>
    <s v="電熱水瓶 (5公升)"/>
    <s v="細電"/>
    <s v="SDA"/>
    <s v="50dr"/>
    <n v="1"/>
    <n v="628"/>
    <n v="628"/>
    <n v="1625249"/>
    <m/>
    <m/>
    <s v="TP-50DRUHK(W) 1625249"/>
    <n v="718"/>
    <n v="0.87465181058495822"/>
    <s v="Toshiba SRP"/>
    <m/>
    <s v="1625249"/>
  </r>
  <r>
    <n v="4927"/>
    <s v="Fortress"/>
    <s v="Times"/>
    <x v="67"/>
    <n v="3"/>
    <x v="28"/>
    <x v="77"/>
    <s v="470MM超薄身前置式變頻洗衣乾衣機 (洗8.5公斤/乾6公斤, 可飛頂)"/>
    <s v="大電"/>
    <s v="LAD"/>
    <s v="twdt22"/>
    <n v="1"/>
    <n v="4980"/>
    <n v="4980"/>
    <n v="2903533"/>
    <m/>
    <m/>
    <s v="TWD-T22BU95UWH(WK)-B 2903533"/>
    <n v="7480"/>
    <n v="0.66577540106951871"/>
    <s v="Toshiba SRP"/>
    <m/>
    <s v="2903533"/>
  </r>
  <r>
    <n v="4928"/>
    <s v="Fortress"/>
    <s v="Times"/>
    <x v="67"/>
    <n v="3"/>
    <x v="28"/>
    <x v="54"/>
    <s v="低醣磁應電飯煲1L"/>
    <s v="細電"/>
    <s v="SDA"/>
    <s v="10irph"/>
    <n v="1"/>
    <n v="798"/>
    <n v="798"/>
    <n v="2903604"/>
    <m/>
    <m/>
    <s v="RC-10IRPH 2903604"/>
    <n v="1388"/>
    <n v="0.5749279538904899"/>
    <s v="Toshiba SRP"/>
    <m/>
    <s v="2903604"/>
  </r>
  <r>
    <n v="4929"/>
    <s v="Fortress"/>
    <s v="Times"/>
    <x v="67"/>
    <n v="3"/>
    <x v="28"/>
    <x v="51"/>
    <s v="IH磁應電飯煲"/>
    <s v="細電"/>
    <s v="SDA"/>
    <s v="dr10tw"/>
    <n v="1"/>
    <n v="2380"/>
    <n v="2380"/>
    <n v="2903591"/>
    <m/>
    <m/>
    <s v="RC-DR10T(W) 2903591"/>
    <n v="3188"/>
    <n v="0.74654956085319946"/>
    <s v="Toshiba SRP"/>
    <m/>
    <s v="2903591"/>
  </r>
  <r>
    <n v="4930"/>
    <s v="Fortress"/>
    <s v="Times"/>
    <x v="67"/>
    <n v="3"/>
    <x v="28"/>
    <x v="58"/>
    <s v="IH磁應電飯煲_x000a_鑽石銅鍋"/>
    <s v="細電"/>
    <s v="SDA"/>
    <s v="dr18tw"/>
    <n v="1"/>
    <n v="2800"/>
    <n v="2800"/>
    <n v="821071"/>
    <m/>
    <m/>
    <s v="RC-DR18T(W) 821071"/>
    <n v="3588"/>
    <n v="0.78037904124860646"/>
    <s v="Toshiba SRP"/>
    <m/>
    <s v="821071"/>
  </r>
  <r>
    <n v="4931"/>
    <s v="Fortress"/>
    <s v="Times"/>
    <x v="67"/>
    <n v="3"/>
    <x v="28"/>
    <x v="50"/>
    <s v="輕便式電磁爐7個功能"/>
    <s v="細電"/>
    <s v="SDA"/>
    <s v="s19"/>
    <n v="1"/>
    <n v="542"/>
    <n v="542"/>
    <n v="2903605"/>
    <m/>
    <m/>
    <s v="IC-S19RH 2903605"/>
    <n v="638"/>
    <n v="0.84952978056426331"/>
    <s v="Toshiba SRP"/>
    <m/>
    <s v="2903605"/>
  </r>
  <r>
    <n v="4932"/>
    <s v="Fortress"/>
    <s v="Times"/>
    <x v="67"/>
    <n v="3"/>
    <x v="28"/>
    <x v="110"/>
    <s v="變頻六門雪櫃(451L)"/>
    <s v="大電"/>
    <s v="REF"/>
    <s v="rm598"/>
    <n v="1"/>
    <n v="10990"/>
    <n v="10990"/>
    <n v="821067"/>
    <m/>
    <m/>
    <s v="GR-RM598WE-PGA(B3) 821067"/>
    <n v="14980"/>
    <n v="0.73364485981308414"/>
    <s v="Toshiba SRP"/>
    <m/>
    <s v="821067"/>
  </r>
  <r>
    <n v="4933"/>
    <s v="Fortress"/>
    <s v="Times"/>
    <x v="67"/>
    <n v="3"/>
    <x v="28"/>
    <x v="110"/>
    <s v="變頻六門雪櫃(451L)"/>
    <s v="大電"/>
    <s v="REF"/>
    <s v="rm598"/>
    <n v="1"/>
    <n v="10990"/>
    <n v="10990"/>
    <n v="2707313"/>
    <m/>
    <m/>
    <s v="GR-RM598WE-PGA(B3) 2707313"/>
    <n v="14980"/>
    <n v="0.73364485981308414"/>
    <s v="Toshiba SRP"/>
    <m/>
    <s v="2707313"/>
  </r>
  <r>
    <n v="4934"/>
    <s v="Fortress"/>
    <s v="Times"/>
    <x v="67"/>
    <n v="3"/>
    <x v="28"/>
    <x v="109"/>
    <s v="12吋座地座檯電風扇"/>
    <s v="細電"/>
    <s v="SDA"/>
    <s v="b60"/>
    <n v="1"/>
    <n v="680"/>
    <n v="680"/>
    <n v="2707286"/>
    <m/>
    <m/>
    <s v="F-ALB60HK(B) 2707286"/>
    <n v="839"/>
    <n v="0.81048867699642435"/>
    <s v="Shops Highest Price"/>
    <m/>
    <s v="2707286"/>
  </r>
  <r>
    <n v="4935"/>
    <s v="Fortress"/>
    <s v="Times"/>
    <x v="67"/>
    <n v="3"/>
    <x v="28"/>
    <x v="109"/>
    <s v="12吋座地座檯電風扇"/>
    <s v="細電"/>
    <s v="SDA"/>
    <s v="b60"/>
    <n v="1"/>
    <n v="680"/>
    <n v="680"/>
    <n v="2707298"/>
    <m/>
    <m/>
    <s v="F-ALB60HK(B) 2707298"/>
    <n v="839"/>
    <n v="0.81048867699642435"/>
    <s v="Shops Highest Price"/>
    <m/>
    <s v="2707298"/>
  </r>
  <r>
    <n v="4936"/>
    <s v="Fortress"/>
    <s v="Times"/>
    <x v="67"/>
    <n v="3"/>
    <x v="28"/>
    <x v="66"/>
    <s v="變頻下置式雙門雪櫃（163L）"/>
    <s v="大電"/>
    <s v="REF"/>
    <s v="rb221"/>
    <n v="1"/>
    <n v="1880"/>
    <n v="1880"/>
    <n v="2903619"/>
    <m/>
    <m/>
    <s v="GR-RB221WE-PMA(57) 2903619"/>
    <n v="3480"/>
    <n v="0.54022988505747127"/>
    <s v="Toshiba SRP"/>
    <m/>
    <s v="2903619"/>
  </r>
  <r>
    <n v="4937"/>
    <s v="Fortress"/>
    <s v="Times"/>
    <x v="67"/>
    <n v="3"/>
    <x v="28"/>
    <x v="79"/>
    <s v="IH磁應電飯煲"/>
    <s v="細電"/>
    <s v="SDA"/>
    <s v="ds10k"/>
    <n v="1"/>
    <n v="3150"/>
    <n v="3150"/>
    <n v="2903628"/>
    <m/>
    <m/>
    <s v="RC-DS10K(R) 2903628"/>
    <n v="4588"/>
    <n v="0.68657367044463824"/>
    <s v="Toshiba SRP"/>
    <m/>
    <s v="2903628"/>
  </r>
  <r>
    <n v="4938"/>
    <s v="Fortress"/>
    <s v="Times"/>
    <x v="67"/>
    <n v="3"/>
    <x v="29"/>
    <x v="17"/>
    <s v="4毫米厚釜電飯煲1L"/>
    <s v="細電"/>
    <s v="SDA"/>
    <s v="10nmf"/>
    <n v="1"/>
    <n v="719"/>
    <n v="719"/>
    <n v="2903626"/>
    <m/>
    <m/>
    <s v="RC-10NMFIH(WT) 2903626"/>
    <n v="898"/>
    <n v="0.80066815144766146"/>
    <s v="Toshiba SRP"/>
    <m/>
    <s v="2903626"/>
  </r>
  <r>
    <n v="4939"/>
    <s v="Fortress"/>
    <s v="Times"/>
    <x v="67"/>
    <n v="3"/>
    <x v="29"/>
    <x v="44"/>
    <s v="1.7L無線雙層電熱水壺"/>
    <s v="細電"/>
    <s v="SDA"/>
    <s v="17shnh"/>
    <n v="1"/>
    <n v="228"/>
    <n v="228"/>
    <n v="2903643"/>
    <m/>
    <m/>
    <s v="KT-17SHNH 2903643"/>
    <n v="299"/>
    <n v="0.76254180602006694"/>
    <s v="Shops Highest Price"/>
    <m/>
    <s v="2903643"/>
  </r>
  <r>
    <n v="4940"/>
    <s v="Fortress"/>
    <s v="Times"/>
    <x v="67"/>
    <n v="3"/>
    <x v="29"/>
    <x v="36"/>
    <s v="輕觸式微波爐 (20公升)"/>
    <s v="細電"/>
    <s v="MCA"/>
    <s v="em20"/>
    <n v="1"/>
    <n v="638"/>
    <n v="638"/>
    <n v="1625255"/>
    <m/>
    <m/>
    <s v="MM2-EM20PC(WH) 1625255"/>
    <n v="788"/>
    <n v="0.80964467005076146"/>
    <s v="Toshiba SRP"/>
    <m/>
    <s v="1625255"/>
  </r>
  <r>
    <n v="4941"/>
    <s v="Fortress"/>
    <s v="Times"/>
    <x v="67"/>
    <n v="3"/>
    <x v="29"/>
    <x v="74"/>
    <s v="4合1氣炸微波蒸焗爐(25公升)"/>
    <s v="細電"/>
    <s v="MCA"/>
    <s v="str25"/>
    <n v="1"/>
    <n v="3580"/>
    <n v="3580"/>
    <n v="2903656"/>
    <m/>
    <m/>
    <s v="MX2-STR25SC(WH) 2903656"/>
    <n v="4998"/>
    <n v="0.71628651460584236"/>
    <s v="Toshiba SRP"/>
    <m/>
    <s v="2903656"/>
  </r>
  <r>
    <n v="4942"/>
    <s v="Fortress"/>
    <s v="Times"/>
    <x v="67"/>
    <n v="3"/>
    <x v="29"/>
    <x v="136"/>
    <s v="單門直冷式環保雪櫃44L"/>
    <s v="大電"/>
    <s v="REF"/>
    <n v="713"/>
    <n v="1"/>
    <n v="1420"/>
    <n v="1420"/>
    <n v="2707350"/>
    <m/>
    <m/>
    <s v="GR-H713(WH) 2707350"/>
    <n v="1780"/>
    <n v="0.797752808988764"/>
    <s v="Toshiba SRP"/>
    <m/>
    <s v="2707350"/>
  </r>
  <r>
    <n v="4943"/>
    <s v="Fortress"/>
    <s v="Times"/>
    <x v="67"/>
    <n v="3"/>
    <x v="29"/>
    <x v="133"/>
    <s v="單門直冷式環保雪櫃81L"/>
    <s v="大電"/>
    <s v="REF"/>
    <s v="913m"/>
    <n v="1"/>
    <n v="1480"/>
    <n v="1480"/>
    <n v="2707331"/>
    <m/>
    <m/>
    <s v="GR-H913(MG) 2707331"/>
    <n v="1980"/>
    <n v="0.74747474747474751"/>
    <s v="Toshiba SRP"/>
    <m/>
    <s v="2707331"/>
  </r>
  <r>
    <n v="4944"/>
    <s v="Fortress"/>
    <s v="Times"/>
    <x v="67"/>
    <n v="3"/>
    <x v="29"/>
    <x v="43"/>
    <s v="470MM超薄身前置式變頻洗衣機(8.5公斤, 可飛頂)"/>
    <s v="大電"/>
    <s v="LAD"/>
    <s v="t2295"/>
    <n v="1"/>
    <n v="3680"/>
    <n v="3680"/>
    <n v="2707341"/>
    <m/>
    <m/>
    <s v="TW-T22BU95UWH(WK)-B 2707341"/>
    <n v="5880"/>
    <n v="0.62585034013605445"/>
    <s v="Toshiba SRP"/>
    <m/>
    <s v="2707341"/>
  </r>
  <r>
    <n v="4945"/>
    <s v="Fortress"/>
    <s v="Times"/>
    <x v="67"/>
    <n v="3"/>
    <x v="22"/>
    <x v="51"/>
    <s v="IH磁應電飯煲"/>
    <s v="細電"/>
    <s v="SDA"/>
    <s v="dr10tw"/>
    <n v="1"/>
    <n v="2380"/>
    <n v="2380"/>
    <n v="2707066"/>
    <m/>
    <m/>
    <s v="RC-DR10T(W) 2707066"/>
    <n v="3188"/>
    <n v="0.74654956085319946"/>
    <s v="Toshiba SRP"/>
    <m/>
    <s v="2707066"/>
  </r>
  <r>
    <n v="4946"/>
    <s v="Sogo"/>
    <s v="Kai Tak RS_1"/>
    <x v="69"/>
    <n v="3"/>
    <x v="0"/>
    <x v="24"/>
    <s v="微型電腦珍珠飯煲"/>
    <s v="細電"/>
    <s v="SDA"/>
    <s v="5sli"/>
    <n v="1"/>
    <n v="592"/>
    <n v="592"/>
    <s v="S562-0099"/>
    <m/>
    <m/>
    <s v="RC-5SLIH(W) S562-0099"/>
    <n v="658"/>
    <n v="0.89969604863221886"/>
    <s v="Toshiba SRP"/>
    <m/>
    <s v="S562-0099"/>
  </r>
  <r>
    <n v="4947"/>
    <s v="Sogo"/>
    <s v="Kai Tak RS_1"/>
    <x v="69"/>
    <n v="3"/>
    <x v="0"/>
    <x v="21"/>
    <s v="壓縮式抽濕機 (30公升)"/>
    <s v="細電"/>
    <s v="RAC"/>
    <s v="d300"/>
    <n v="1"/>
    <n v="2280"/>
    <n v="2280"/>
    <s v="S562-0100"/>
    <m/>
    <m/>
    <s v="RAD-D300H S562-0100"/>
    <n v="3380"/>
    <n v="0.67455621301775148"/>
    <s v="Shops Highest Price"/>
    <m/>
    <s v="S562-0100"/>
  </r>
  <r>
    <n v="4948"/>
    <s v="Sogo"/>
    <s v="Kai Tak RS_1"/>
    <x v="69"/>
    <n v="3"/>
    <x v="0"/>
    <x v="21"/>
    <s v="壓縮式抽濕機 (30公升)"/>
    <s v="細電"/>
    <s v="RAC"/>
    <s v="d300"/>
    <n v="1"/>
    <n v="2280"/>
    <n v="2280"/>
    <s v="S562-0101"/>
    <m/>
    <m/>
    <s v="RAD-D300H S562-0101"/>
    <n v="3380"/>
    <n v="0.67455621301775148"/>
    <s v="Shops Highest Price"/>
    <m/>
    <s v="S562-0101"/>
  </r>
  <r>
    <n v="4949"/>
    <s v="Sogo"/>
    <s v="Kai Tak RS_1"/>
    <x v="69"/>
    <n v="3"/>
    <x v="0"/>
    <x v="28"/>
    <s v="無線雙層電熱水壺-附可鎖壺蓋(0.8公升)"/>
    <s v="細電"/>
    <s v="SDA"/>
    <s v="08dh"/>
    <n v="1"/>
    <n v="268"/>
    <n v="268"/>
    <s v="S562-0102"/>
    <m/>
    <m/>
    <s v="KT-08DH1VHK(W) S562-0102"/>
    <n v="428"/>
    <n v="0.62616822429906538"/>
    <s v="Toshiba SRP"/>
    <m/>
    <s v="S562-0102"/>
  </r>
  <r>
    <n v="4950"/>
    <s v="Sogo"/>
    <s v="Kai Tak RS_1"/>
    <x v="69"/>
    <n v="3"/>
    <x v="0"/>
    <x v="45"/>
    <s v="備長炭本厚釜電飯煲0.7L"/>
    <s v="細電"/>
    <s v="SDA"/>
    <s v="7hmh"/>
    <n v="1"/>
    <n v="838"/>
    <n v="838"/>
    <s v="S056-24625"/>
    <m/>
    <m/>
    <s v="RC-7HMH S056-24625"/>
    <n v="1288"/>
    <n v="0.65062111801242239"/>
    <s v="Toshiba SRP"/>
    <m/>
    <s v="S056-24625"/>
  </r>
  <r>
    <n v="4951"/>
    <s v="Sogo"/>
    <s v="Kai Tak RS_1"/>
    <x v="69"/>
    <n v="3"/>
    <x v="0"/>
    <x v="46"/>
    <s v="電熱水瓶 (2.5公升)"/>
    <s v="細電"/>
    <s v="SDA"/>
    <s v="25dr"/>
    <n v="1"/>
    <n v="398"/>
    <n v="398"/>
    <s v="S056-24628"/>
    <m/>
    <m/>
    <s v="TP-25DR2UHK(W) S056-24628"/>
    <n v="538"/>
    <n v="0.7397769516728625"/>
    <s v="Toshiba SRP"/>
    <m/>
    <s v="S056-24628"/>
  </r>
  <r>
    <n v="4952"/>
    <s v="Sogo"/>
    <s v="Kai Tak RS_1"/>
    <x v="69"/>
    <n v="3"/>
    <x v="1"/>
    <x v="59"/>
    <s v="30公升蒸氣焗爐"/>
    <s v="細電"/>
    <s v="MCA"/>
    <s v="str30"/>
    <n v="1"/>
    <n v="3980"/>
    <n v="3980"/>
    <s v="S056-24828"/>
    <m/>
    <m/>
    <s v="MS5-STR30SC(BK) S056-24828"/>
    <n v="5998"/>
    <n v="0.66355451817272426"/>
    <s v="Shops Highest Price"/>
    <m/>
    <s v="S056-24828"/>
  </r>
  <r>
    <n v="4953"/>
    <s v="Sogo"/>
    <s v="Kai Tak RS_1"/>
    <x v="69"/>
    <n v="3"/>
    <x v="1"/>
    <x v="60"/>
    <s v="酵活炊磁應電飯煲(1.5公升)"/>
    <s v="細電"/>
    <s v="SDA"/>
    <s v="15bh"/>
    <n v="1"/>
    <n v="1888"/>
    <n v="1888"/>
    <s v="S056-24868"/>
    <m/>
    <m/>
    <s v="RC-15BHH(W) S056-24868"/>
    <n v="2388"/>
    <n v="0.79061976549413737"/>
    <s v="Toshiba SRP"/>
    <m/>
    <s v="S056-24868"/>
  </r>
  <r>
    <n v="4954"/>
    <s v="Sogo"/>
    <s v="Kai Tak RS_1"/>
    <x v="69"/>
    <n v="3"/>
    <x v="1"/>
    <x v="51"/>
    <s v="IH磁應電飯煲"/>
    <s v="細電"/>
    <s v="SDA"/>
    <s v="dr10tw"/>
    <n v="1"/>
    <n v="2380"/>
    <n v="2380"/>
    <s v="S056-24880"/>
    <m/>
    <m/>
    <s v="RC-DR10T(W) S056-24880"/>
    <n v="3188"/>
    <n v="0.74654956085319946"/>
    <s v="Toshiba SRP"/>
    <m/>
    <s v="S056-24880"/>
  </r>
  <r>
    <n v="4955"/>
    <s v="Sogo"/>
    <s v="Kai Tak RS_1"/>
    <x v="69"/>
    <n v="3"/>
    <x v="1"/>
    <x v="21"/>
    <s v="壓縮式抽濕機 (30公升)"/>
    <s v="細電"/>
    <s v="RAC"/>
    <s v="d300"/>
    <n v="1"/>
    <n v="2280"/>
    <n v="2280"/>
    <s v="S056-24892"/>
    <m/>
    <m/>
    <s v="RAD-D300H S056-24892"/>
    <n v="3380"/>
    <n v="0.67455621301775148"/>
    <s v="Shops Highest Price"/>
    <m/>
    <s v="S056-24892"/>
  </r>
  <r>
    <n v="4956"/>
    <s v="Sogo"/>
    <s v="Kai Tak RS_1"/>
    <x v="69"/>
    <n v="3"/>
    <x v="2"/>
    <x v="40"/>
    <s v="400MM超薄身前置式變頻洗衣機(7公斤)"/>
    <s v="大電"/>
    <s v="LAD"/>
    <s v="bu80"/>
    <n v="1"/>
    <n v="3180"/>
    <n v="3180"/>
    <s v="S056-24912"/>
    <m/>
    <m/>
    <s v="TW-T21BU80UWH(MG) S056-24912"/>
    <n v="5180"/>
    <n v="0.61389961389961389"/>
    <s v="Toshiba SRP"/>
    <m/>
    <s v="S056-24912"/>
  </r>
  <r>
    <n v="4957"/>
    <s v="Sogo"/>
    <s v="Kai Tak RS_1"/>
    <x v="69"/>
    <n v="3"/>
    <x v="2"/>
    <x v="36"/>
    <s v="輕觸式微波爐 (20公升)"/>
    <s v="細電"/>
    <s v="MCA"/>
    <s v="em20"/>
    <n v="1"/>
    <n v="598"/>
    <n v="598"/>
    <s v="S056-24941"/>
    <m/>
    <m/>
    <s v="MM2-EM20PC(WH) S056-24941"/>
    <n v="788"/>
    <n v="0.75888324873096447"/>
    <s v="Toshiba SRP"/>
    <m/>
    <s v="S056-24941"/>
  </r>
  <r>
    <n v="4958"/>
    <s v="Sogo"/>
    <s v="Kai Tak RS_1"/>
    <x v="69"/>
    <n v="3"/>
    <x v="2"/>
    <x v="74"/>
    <s v="4合1氣炸微波蒸焗爐(25公升)"/>
    <s v="細電"/>
    <s v="MCA"/>
    <s v="str25"/>
    <n v="1"/>
    <n v="3580"/>
    <n v="3580"/>
    <s v="S056-24965"/>
    <m/>
    <m/>
    <s v="MX2-STR25SC(WH) S056-24965"/>
    <n v="4998"/>
    <n v="0.71628651460584236"/>
    <s v="Toshiba SRP"/>
    <m/>
    <s v="S056-24965"/>
  </r>
  <r>
    <n v="4959"/>
    <s v="Sogo"/>
    <s v="Kai Tak RS_1"/>
    <x v="69"/>
    <n v="3"/>
    <x v="2"/>
    <x v="48"/>
    <s v="3合1 微波蒸焗爐 (20公升)"/>
    <s v="細電"/>
    <s v="MCA"/>
    <s v="tt20"/>
    <n v="1"/>
    <n v="2580"/>
    <n v="2580"/>
    <s v="S056-24987"/>
    <m/>
    <m/>
    <s v="MX2-TT20SC(WH) S056-24987"/>
    <n v="3580"/>
    <n v="0.72067039106145248"/>
    <s v="Toshiba SRP"/>
    <m/>
    <s v="S056-24987"/>
  </r>
  <r>
    <n v="4960"/>
    <s v="Sogo"/>
    <s v="Kai Tak RS_1"/>
    <x v="69"/>
    <n v="3"/>
    <x v="2"/>
    <x v="17"/>
    <s v="4毫米厚釜電飯煲1L"/>
    <s v="細電"/>
    <s v="SDA"/>
    <s v="10nmf"/>
    <n v="1"/>
    <n v="718"/>
    <n v="718"/>
    <s v="S055-10237"/>
    <m/>
    <m/>
    <s v="RC-10NMFIH(WT) S055-10237"/>
    <n v="898"/>
    <n v="0.79955456570155903"/>
    <s v="Toshiba SRP"/>
    <m/>
    <s v="S055-10237"/>
  </r>
  <r>
    <n v="4961"/>
    <s v="Sogo"/>
    <s v="Kai Tak RS_1"/>
    <x v="69"/>
    <n v="3"/>
    <x v="2"/>
    <x v="81"/>
    <s v="470MM超薄身前置式變頻洗衣機(7.5公斤, 可飛頂)"/>
    <s v="大電"/>
    <s v="LAD"/>
    <s v="t2285"/>
    <n v="1"/>
    <n v="3480"/>
    <n v="3480"/>
    <s v="S056-25006"/>
    <m/>
    <m/>
    <s v="TW-T22BU85UWH(WK)-B S056-25006"/>
    <n v="5480"/>
    <n v="0.63503649635036497"/>
    <s v="Toshiba SRP"/>
    <m/>
    <s v="S056-25006"/>
  </r>
  <r>
    <n v="4962"/>
    <s v="Fortress"/>
    <s v="APM"/>
    <x v="70"/>
    <n v="3"/>
    <x v="0"/>
    <x v="96"/>
    <s v="日式洗衣機 (7公斤 結合高低水位)"/>
    <s v="大電"/>
    <s v="LAD"/>
    <s v="q800"/>
    <n v="1"/>
    <n v="2280"/>
    <n v="2280"/>
    <n v="703429"/>
    <m/>
    <m/>
    <s v="AW-Q800APH(WW) 703429"/>
    <n v="3580"/>
    <n v="0.63687150837988826"/>
    <s v="Toshiba SRP"/>
    <m/>
    <s v="703429"/>
  </r>
  <r>
    <n v="4963"/>
    <s v="Fortress"/>
    <s v="APM"/>
    <x v="70"/>
    <n v="3"/>
    <x v="0"/>
    <x v="75"/>
    <s v="日式洗衣機 (8公斤 結合高低水位)"/>
    <s v="大電"/>
    <s v="LAD"/>
    <s v="q901"/>
    <n v="1"/>
    <n v="2280"/>
    <n v="2280"/>
    <n v="804071"/>
    <m/>
    <m/>
    <s v="AW-Q901BPH(WW) 804071"/>
    <n v="3780"/>
    <n v="0.60317460317460314"/>
    <s v="Toshiba SRP"/>
    <m/>
    <s v="804071"/>
  </r>
  <r>
    <n v="4964"/>
    <s v="Fortress"/>
    <s v="APM"/>
    <x v="70"/>
    <n v="3"/>
    <x v="0"/>
    <x v="40"/>
    <s v="400MM超薄身前置式變頻洗衣機(7公斤)"/>
    <s v="大電"/>
    <s v="LAD"/>
    <s v="bu80"/>
    <n v="1"/>
    <n v="3190"/>
    <n v="3190"/>
    <n v="703465"/>
    <m/>
    <m/>
    <s v="TW-T21BU80UWH(MG) 703465"/>
    <n v="5180"/>
    <n v="0.61583011583011582"/>
    <s v="Toshiba SRP"/>
    <m/>
    <s v="703465"/>
  </r>
  <r>
    <n v="4965"/>
    <s v="Fortress"/>
    <s v="APM"/>
    <x v="70"/>
    <n v="3"/>
    <x v="0"/>
    <x v="40"/>
    <s v="400MM超薄身前置式變頻洗衣機(7公斤)"/>
    <s v="大電"/>
    <s v="LAD"/>
    <s v="bu80"/>
    <n v="1"/>
    <n v="3190"/>
    <n v="3190"/>
    <n v="703412"/>
    <m/>
    <m/>
    <s v="TW-T21BU80UWH(MG) 703412"/>
    <n v="5180"/>
    <n v="0.61583011583011582"/>
    <s v="Toshiba SRP"/>
    <m/>
    <s v="703412"/>
  </r>
  <r>
    <n v="4966"/>
    <s v="Fortress"/>
    <s v="APM"/>
    <x v="70"/>
    <n v="3"/>
    <x v="0"/>
    <x v="0"/>
    <s v="超薄身前置式洗衣乾衣機 (洗8公斤 乾5公斤)"/>
    <s v="大電"/>
    <s v="WM"/>
    <s v="bn90"/>
    <n v="1"/>
    <n v="3980"/>
    <n v="3980"/>
    <n v="901917"/>
    <m/>
    <m/>
    <s v="TWD-BN90GF4H(WK) 901917"/>
    <n v="5980"/>
    <n v="0.66555183946488294"/>
    <s v="Toshiba SRP"/>
    <m/>
    <s v="901917"/>
  </r>
  <r>
    <n v="4967"/>
    <s v="Fortress"/>
    <s v="APM"/>
    <x v="70"/>
    <n v="3"/>
    <x v="0"/>
    <x v="87"/>
    <s v="變頻式環保雙門雪櫃(233L)"/>
    <s v="大電"/>
    <s v="REF"/>
    <s v="rt300"/>
    <n v="1"/>
    <n v="2780"/>
    <n v="2780"/>
    <n v="804101"/>
    <m/>
    <m/>
    <s v="GR-RT300WE-PMA(57) 804101"/>
    <n v="4280"/>
    <n v="0.64953271028037385"/>
    <s v="Toshiba SRP"/>
    <m/>
    <s v="804101"/>
  </r>
  <r>
    <n v="4968"/>
    <s v="Fortress"/>
    <s v="APM"/>
    <x v="70"/>
    <n v="3"/>
    <x v="0"/>
    <x v="57"/>
    <s v="多功能備長炭本厚釜電飯煲1L"/>
    <s v="細電"/>
    <s v="SDA"/>
    <s v="10drnh"/>
    <n v="1"/>
    <n v="537"/>
    <n v="537"/>
    <n v="804088"/>
    <m/>
    <m/>
    <s v="RC-10DRNH 804088"/>
    <n v="798"/>
    <n v="0.67293233082706772"/>
    <s v="Toshiba SRP"/>
    <m/>
    <s v="804088"/>
  </r>
  <r>
    <n v="4969"/>
    <s v="Fortress"/>
    <s v="APM"/>
    <x v="70"/>
    <n v="3"/>
    <x v="0"/>
    <x v="17"/>
    <s v="4毫米厚釜電飯煲1L"/>
    <s v="細電"/>
    <s v="SDA"/>
    <s v="10nmf"/>
    <n v="1"/>
    <n v="719"/>
    <n v="719"/>
    <n v="804038"/>
    <m/>
    <m/>
    <s v="RC-10NMFIH(WT) 804038"/>
    <n v="898"/>
    <n v="0.80066815144766146"/>
    <s v="Toshiba SRP"/>
    <m/>
    <s v="804038"/>
  </r>
  <r>
    <n v="4970"/>
    <s v="Fortress"/>
    <s v="APM"/>
    <x v="70"/>
    <n v="3"/>
    <x v="0"/>
    <x v="27"/>
    <s v="4毫米厚釜電飯煲1.8L"/>
    <s v="細電"/>
    <s v="SDA"/>
    <s v="18nmf"/>
    <n v="1"/>
    <n v="799"/>
    <n v="799"/>
    <n v="901879"/>
    <m/>
    <m/>
    <s v="RC-18NMFIH(WT) 901879"/>
    <n v="998"/>
    <n v="0.80060120240480959"/>
    <s v="Toshiba SRP"/>
    <m/>
    <s v="901879"/>
  </r>
  <r>
    <n v="4971"/>
    <s v="Fortress"/>
    <s v="APM"/>
    <x v="70"/>
    <n v="3"/>
    <x v="0"/>
    <x v="27"/>
    <s v="4毫米厚釜電飯煲1.8L"/>
    <s v="細電"/>
    <s v="SDA"/>
    <s v="18nmf"/>
    <n v="1"/>
    <n v="799"/>
    <n v="799"/>
    <n v="901881"/>
    <m/>
    <m/>
    <s v="RC-18NMFIH(WT) 901881"/>
    <n v="998"/>
    <n v="0.80060120240480959"/>
    <s v="Toshiba SRP"/>
    <m/>
    <s v="901881"/>
  </r>
  <r>
    <n v="4972"/>
    <s v="Fortress"/>
    <s v="APM"/>
    <x v="70"/>
    <n v="3"/>
    <x v="0"/>
    <x v="45"/>
    <s v="備長炭本厚釜電飯煲0.7L"/>
    <s v="細電"/>
    <s v="SDA"/>
    <s v="7hmh"/>
    <n v="1"/>
    <n v="838"/>
    <n v="838"/>
    <n v="901880"/>
    <m/>
    <m/>
    <s v="RC-7HMH 901880"/>
    <n v="1288"/>
    <n v="0.65062111801242239"/>
    <s v="Toshiba SRP"/>
    <m/>
    <s v="901880"/>
  </r>
  <r>
    <n v="4973"/>
    <s v="Fortress"/>
    <s v="APM"/>
    <x v="70"/>
    <n v="3"/>
    <x v="0"/>
    <x v="9"/>
    <s v="電熱水瓶4.5L"/>
    <s v="細電"/>
    <s v="SDA"/>
    <s v="45sf"/>
    <n v="1"/>
    <n v="589"/>
    <n v="589"/>
    <n v="804027"/>
    <m/>
    <m/>
    <s v="PLK-45SFIH(WT) 804027"/>
    <n v="788"/>
    <n v="0.7474619289340102"/>
    <s v="Toshiba SRP"/>
    <m/>
    <s v="804027"/>
  </r>
  <r>
    <n v="4974"/>
    <s v="Fortress"/>
    <s v="APM"/>
    <x v="70"/>
    <n v="3"/>
    <x v="0"/>
    <x v="21"/>
    <s v="壓縮式抽濕機 (30公升)"/>
    <s v="細電"/>
    <s v="RAC"/>
    <s v="d300"/>
    <n v="1"/>
    <n v="2280"/>
    <n v="2280"/>
    <n v="703417"/>
    <m/>
    <m/>
    <s v="RAD-D300H 703417"/>
    <n v="3380"/>
    <n v="0.67455621301775148"/>
    <s v="Shops Highest Price"/>
    <m/>
    <s v="703417"/>
  </r>
  <r>
    <n v="4975"/>
    <s v="Fortress"/>
    <s v="APM"/>
    <x v="70"/>
    <n v="3"/>
    <x v="0"/>
    <x v="21"/>
    <s v="壓縮式抽濕機 (30公升)"/>
    <s v="細電"/>
    <s v="RAC"/>
    <s v="d300"/>
    <n v="1"/>
    <n v="2280"/>
    <n v="2280"/>
    <n v="804074"/>
    <m/>
    <m/>
    <s v="RAD-D300H 804074"/>
    <n v="3380"/>
    <n v="0.67455621301775148"/>
    <s v="Shops Highest Price"/>
    <m/>
    <s v="804074"/>
  </r>
  <r>
    <n v="4976"/>
    <s v="Fortress"/>
    <s v="APM"/>
    <x v="70"/>
    <n v="3"/>
    <x v="0"/>
    <x v="21"/>
    <s v="壓縮式抽濕機 (30公升)"/>
    <s v="細電"/>
    <s v="RAC"/>
    <s v="d300"/>
    <n v="1"/>
    <n v="2280"/>
    <n v="2280"/>
    <n v="804060"/>
    <m/>
    <m/>
    <s v="RAD-D300H 804060"/>
    <n v="3380"/>
    <n v="0.67455621301775148"/>
    <s v="Shops Highest Price"/>
    <m/>
    <s v="804060"/>
  </r>
  <r>
    <n v="4977"/>
    <s v="Fortress"/>
    <s v="APM"/>
    <x v="70"/>
    <n v="3"/>
    <x v="13"/>
    <x v="40"/>
    <s v="400MM超薄身前置式變頻洗衣機(7公斤)"/>
    <s v="大電"/>
    <s v="LAD"/>
    <s v="bu80"/>
    <n v="1"/>
    <n v="3190"/>
    <n v="3190"/>
    <n v="804333"/>
    <m/>
    <m/>
    <s v="TW-T21BU80UWH(MG) 804333"/>
    <n v="5180"/>
    <n v="0.61583011583011582"/>
    <s v="Toshiba SRP"/>
    <m/>
    <s v="804333"/>
  </r>
  <r>
    <n v="4978"/>
    <s v="Fortress"/>
    <s v="APM"/>
    <x v="70"/>
    <n v="3"/>
    <x v="13"/>
    <x v="43"/>
    <s v="470MM超薄身前置式變頻洗衣機(8.5公斤, 可飛頂)"/>
    <s v="大電"/>
    <s v="LAD"/>
    <s v="t2295"/>
    <n v="1"/>
    <n v="3680"/>
    <n v="3680"/>
    <n v="804383"/>
    <m/>
    <m/>
    <s v="TW-T22BU95UWH(WK)-B 804383"/>
    <n v="5880"/>
    <n v="0.62585034013605445"/>
    <s v="Toshiba SRP"/>
    <m/>
    <s v="804383"/>
  </r>
  <r>
    <n v="4979"/>
    <s v="Fortress"/>
    <s v="APM"/>
    <x v="70"/>
    <n v="3"/>
    <x v="13"/>
    <x v="77"/>
    <s v="470MM超薄身前置式變頻洗衣乾衣機 (洗8.5公斤/乾6公斤, 可飛頂)"/>
    <s v="大電"/>
    <s v="LAD"/>
    <s v="twdt22"/>
    <n v="1"/>
    <n v="4780"/>
    <n v="4780"/>
    <n v="703562"/>
    <m/>
    <m/>
    <s v="TWD-T22BU95UWH(WK)-B 703562"/>
    <n v="7480"/>
    <n v="0.63903743315508021"/>
    <s v="Toshiba SRP"/>
    <m/>
    <s v="703562"/>
  </r>
  <r>
    <n v="4980"/>
    <s v="Fortress"/>
    <s v="APM"/>
    <x v="70"/>
    <n v="3"/>
    <x v="13"/>
    <x v="42"/>
    <s v="變頻下置式雙門雪櫃系列270L"/>
    <s v="大電"/>
    <s v="REF"/>
    <s v="rb360"/>
    <n v="1"/>
    <n v="3580"/>
    <n v="3580"/>
    <n v="703562"/>
    <m/>
    <m/>
    <s v="GR-RB360WE-PMA(06) 703562"/>
    <n v="5080"/>
    <n v="0.70472440944881887"/>
    <s v="Toshiba SRP"/>
    <m/>
    <s v="703562"/>
  </r>
  <r>
    <n v="4981"/>
    <s v="Fortress"/>
    <s v="APM"/>
    <x v="70"/>
    <n v="3"/>
    <x v="13"/>
    <x v="110"/>
    <s v="變頻六門雪櫃(451L)"/>
    <s v="大電"/>
    <s v="REF"/>
    <s v="rm598"/>
    <n v="1"/>
    <n v="10990"/>
    <n v="10990"/>
    <n v="703556"/>
    <m/>
    <m/>
    <s v="GR-RM598WE-PGA(B3) 703556"/>
    <n v="14980"/>
    <n v="0.73364485981308414"/>
    <s v="Toshiba SRP"/>
    <m/>
    <s v="703556"/>
  </r>
  <r>
    <n v="4982"/>
    <s v="Fortress"/>
    <s v="APM"/>
    <x v="70"/>
    <n v="3"/>
    <x v="13"/>
    <x v="27"/>
    <s v="4毫米厚釜電飯煲1.8L"/>
    <s v="細電"/>
    <s v="SDA"/>
    <s v="18nmf"/>
    <n v="1"/>
    <n v="799"/>
    <n v="799"/>
    <n v="804373"/>
    <m/>
    <m/>
    <s v="RC-18NMFIH(WT) 804373"/>
    <n v="998"/>
    <n v="0.80060120240480959"/>
    <s v="Toshiba SRP"/>
    <m/>
    <s v="804373"/>
  </r>
  <r>
    <n v="4983"/>
    <s v="Fortress"/>
    <s v="APM"/>
    <x v="70"/>
    <n v="3"/>
    <x v="13"/>
    <x v="21"/>
    <s v="壓縮式抽濕機 (30公升)"/>
    <s v="細電"/>
    <s v="RAC"/>
    <s v="d300"/>
    <n v="1"/>
    <n v="2280"/>
    <n v="2280"/>
    <n v="804347"/>
    <m/>
    <m/>
    <s v="RAD-D300H 804347"/>
    <n v="3380"/>
    <n v="0.67455621301775148"/>
    <s v="Shops Highest Price"/>
    <m/>
    <s v="804347"/>
  </r>
  <r>
    <n v="4984"/>
    <s v="Fortress"/>
    <s v="APM"/>
    <x v="70"/>
    <n v="3"/>
    <x v="13"/>
    <x v="21"/>
    <s v="壓縮式抽濕機 (30公升)"/>
    <s v="細電"/>
    <s v="RAC"/>
    <s v="d300"/>
    <n v="1"/>
    <n v="2280"/>
    <n v="2280"/>
    <n v="703571"/>
    <m/>
    <m/>
    <s v="RAD-D300H 703571"/>
    <n v="3380"/>
    <n v="0.67455621301775148"/>
    <s v="Shops Highest Price"/>
    <m/>
    <s v="703571"/>
  </r>
  <r>
    <n v="4985"/>
    <s v="Fortress"/>
    <s v="APM"/>
    <x v="70"/>
    <n v="3"/>
    <x v="8"/>
    <x v="0"/>
    <s v="超薄身前置式洗衣乾衣機 (洗8公斤 乾5公斤)"/>
    <s v="大電"/>
    <s v="WM"/>
    <s v="bn90"/>
    <n v="1"/>
    <n v="3980"/>
    <n v="3980"/>
    <n v="804452"/>
    <m/>
    <m/>
    <s v="TWD-BN90GF4H(WK) 804452"/>
    <n v="5980"/>
    <n v="0.66555183946488294"/>
    <s v="Toshiba SRP"/>
    <m/>
    <s v="804452"/>
  </r>
  <r>
    <n v="4986"/>
    <s v="Fortress"/>
    <s v="APM"/>
    <x v="70"/>
    <n v="3"/>
    <x v="8"/>
    <x v="87"/>
    <s v="變頻式環保雙門雪櫃(233L)"/>
    <s v="大電"/>
    <s v="REF"/>
    <s v="rt300"/>
    <n v="1"/>
    <n v="2780"/>
    <n v="2780"/>
    <n v="804390"/>
    <m/>
    <m/>
    <s v="GR-RT300WE-PMA(57) 804390"/>
    <n v="4280"/>
    <n v="0.64953271028037385"/>
    <s v="Toshiba SRP"/>
    <m/>
    <s v="804390"/>
  </r>
  <r>
    <n v="4987"/>
    <s v="Fortress"/>
    <s v="APM"/>
    <x v="70"/>
    <n v="3"/>
    <x v="8"/>
    <x v="17"/>
    <s v="4毫米厚釜電飯煲1L"/>
    <s v="細電"/>
    <s v="SDA"/>
    <s v="10nmf"/>
    <n v="1"/>
    <n v="719"/>
    <n v="719"/>
    <n v="902133"/>
    <m/>
    <m/>
    <s v="RC-10NMFIH(WT) 902133"/>
    <n v="898"/>
    <n v="0.80066815144766146"/>
    <s v="Toshiba SRP"/>
    <m/>
    <s v="902133"/>
  </r>
  <r>
    <n v="4988"/>
    <s v="Fortress"/>
    <s v="APM"/>
    <x v="70"/>
    <n v="3"/>
    <x v="8"/>
    <x v="37"/>
    <s v="電熱水瓶 (5公升)"/>
    <s v="細電"/>
    <s v="SDA"/>
    <s v="50dr"/>
    <n v="1"/>
    <n v="598"/>
    <n v="598"/>
    <n v="804437"/>
    <m/>
    <m/>
    <s v="TP-50DRUHK(W) 804437"/>
    <n v="718"/>
    <n v="0.83286908077994426"/>
    <s v="Toshiba SRP"/>
    <m/>
    <s v="804437"/>
  </r>
  <r>
    <n v="4989"/>
    <s v="Fortress"/>
    <s v="APM"/>
    <x v="70"/>
    <n v="3"/>
    <x v="2"/>
    <x v="0"/>
    <s v="超薄身前置式洗衣乾衣機 (洗8公斤 乾5公斤)"/>
    <s v="大電"/>
    <s v="WM"/>
    <s v="bn90"/>
    <n v="1"/>
    <n v="3980"/>
    <n v="3980"/>
    <n v="902225"/>
    <m/>
    <m/>
    <s v="TWD-BN90GF4H(WK) 902225"/>
    <n v="5980"/>
    <n v="0.66555183946488294"/>
    <s v="Toshiba SRP"/>
    <m/>
    <s v="902225"/>
  </r>
  <r>
    <n v="4990"/>
    <s v="Fortress"/>
    <s v="APM"/>
    <x v="70"/>
    <n v="3"/>
    <x v="2"/>
    <x v="39"/>
    <s v="酵活炊電飯煲(1.0公升)"/>
    <s v="細電"/>
    <s v="SDA"/>
    <s v="10amx"/>
    <n v="1"/>
    <n v="990"/>
    <n v="990"/>
    <n v="902261"/>
    <m/>
    <m/>
    <s v="RC-10AMXH(W) 902261"/>
    <n v="1288"/>
    <n v="0.76863354037267084"/>
    <s v="Toshiba SRP"/>
    <m/>
    <s v="902261"/>
  </r>
  <r>
    <n v="4991"/>
    <s v="Fortress"/>
    <s v="APM"/>
    <x v="70"/>
    <n v="3"/>
    <x v="2"/>
    <x v="118"/>
    <s v="IH磁應電飯煲"/>
    <s v="細電"/>
    <s v="SDA"/>
    <s v="dz4k"/>
    <n v="1"/>
    <n v="3280"/>
    <n v="3280"/>
    <n v="902243"/>
    <m/>
    <m/>
    <s v="RC-DZ4K(N) 902243"/>
    <n v="3888"/>
    <n v="0.84362139917695478"/>
    <s v="Shops Highest Price"/>
    <m/>
    <s v="902243"/>
  </r>
  <r>
    <n v="4992"/>
    <s v="Fortress"/>
    <s v="APM"/>
    <x v="70"/>
    <n v="3"/>
    <x v="2"/>
    <x v="38"/>
    <s v="無線雙層電熱水壺-附可鎖壺蓋"/>
    <s v="細電"/>
    <s v="SDA"/>
    <s v="15drt"/>
    <n v="1"/>
    <n v="358"/>
    <n v="358"/>
    <n v="804633"/>
    <m/>
    <m/>
    <s v="KT-15DRTHK(W) 804633"/>
    <n v="598"/>
    <n v="0.59866220735785958"/>
    <s v="Toshiba SRP"/>
    <m/>
    <s v="804633"/>
  </r>
  <r>
    <n v="4993"/>
    <s v="Fortress"/>
    <s v="APM"/>
    <x v="70"/>
    <n v="3"/>
    <x v="2"/>
    <x v="21"/>
    <s v="壓縮式抽濕機 (30公升)"/>
    <s v="細電"/>
    <s v="RAC"/>
    <s v="d300"/>
    <n v="1"/>
    <n v="2280"/>
    <n v="2280"/>
    <n v="902232"/>
    <m/>
    <m/>
    <s v="RAD-D300H 902232"/>
    <n v="3380"/>
    <n v="0.67455621301775148"/>
    <s v="Shops Highest Price"/>
    <m/>
    <s v="902232"/>
  </r>
  <r>
    <n v="4994"/>
    <s v="Fortress"/>
    <s v="APM"/>
    <x v="70"/>
    <n v="3"/>
    <x v="2"/>
    <x v="21"/>
    <s v="壓縮式抽濕機 (30公升)"/>
    <s v="細電"/>
    <s v="RAC"/>
    <s v="d300"/>
    <n v="1"/>
    <n v="2280"/>
    <n v="2280"/>
    <n v="902234"/>
    <m/>
    <m/>
    <s v="RAD-D300H 902234"/>
    <n v="3380"/>
    <n v="0.67455621301775148"/>
    <s v="Shops Highest Price"/>
    <m/>
    <s v="902234"/>
  </r>
  <r>
    <n v="4995"/>
    <s v="Fortress"/>
    <s v="APM"/>
    <x v="70"/>
    <n v="3"/>
    <x v="2"/>
    <x v="21"/>
    <s v="壓縮式抽濕機 (30公升)"/>
    <s v="細電"/>
    <s v="RAC"/>
    <s v="d300"/>
    <n v="1"/>
    <n v="2280"/>
    <n v="2280"/>
    <n v="703652"/>
    <m/>
    <m/>
    <s v="RAD-D300H 703652"/>
    <n v="3380"/>
    <n v="0.67455621301775148"/>
    <s v="Shops Highest Price"/>
    <m/>
    <s v="703652"/>
  </r>
  <r>
    <n v="4996"/>
    <s v="Fortress"/>
    <s v="APM"/>
    <x v="70"/>
    <n v="3"/>
    <x v="2"/>
    <x v="93"/>
    <s v="座檯式洗碗碟機"/>
    <s v="細電"/>
    <s v="DW"/>
    <s v="05t2"/>
    <n v="1"/>
    <n v="3780"/>
    <n v="3780"/>
    <n v="902208"/>
    <m/>
    <m/>
    <s v="DW-05T2-HK 902208"/>
    <n v="4580"/>
    <n v="0.8253275109170306"/>
    <s v="Toshiba SRP"/>
    <m/>
    <s v="902208"/>
  </r>
  <r>
    <n v="4997"/>
    <s v="Fortress"/>
    <s v="APM"/>
    <x v="70"/>
    <n v="3"/>
    <x v="9"/>
    <x v="22"/>
    <s v="變頻五門雪櫃(375L)"/>
    <s v="大電"/>
    <s v="REF"/>
    <s v="rm612"/>
    <n v="1"/>
    <n v="9980"/>
    <n v="9980"/>
    <n v="902272"/>
    <m/>
    <m/>
    <s v="GR-RM612WE-PGA(B5) 902272"/>
    <n v="11000"/>
    <n v="0.90727272727272723"/>
    <s v="Shops Highest Price"/>
    <m/>
    <s v="902272"/>
  </r>
  <r>
    <n v="4998"/>
    <s v="Fortress"/>
    <s v="APM"/>
    <x v="70"/>
    <n v="3"/>
    <x v="9"/>
    <x v="44"/>
    <s v="1.7L無線雙層電熱水壺"/>
    <s v="細電"/>
    <s v="SDA"/>
    <s v="17shnh"/>
    <n v="1"/>
    <n v="198"/>
    <n v="198"/>
    <n v="804671"/>
    <m/>
    <m/>
    <s v="KT-17SHNH 804671"/>
    <n v="299"/>
    <n v="0.66220735785953178"/>
    <s v="Shops Highest Price"/>
    <m/>
    <s v="804671"/>
  </r>
  <r>
    <n v="4999"/>
    <s v="Fortress"/>
    <s v="APM"/>
    <x v="70"/>
    <n v="3"/>
    <x v="9"/>
    <x v="97"/>
    <s v="變頻二合一空氣淨化抽濕機 (28公升)"/>
    <s v="大電"/>
    <s v="RAC"/>
    <s v="dia17"/>
    <n v="1"/>
    <n v="3580"/>
    <n v="3580"/>
    <n v="902274"/>
    <m/>
    <m/>
    <s v="RAD-DIA17HK 902274"/>
    <n v="4980"/>
    <n v="0.71887550200803207"/>
    <s v="Toshiba SRP"/>
    <m/>
    <s v="902274"/>
  </r>
  <r>
    <n v="5000"/>
    <s v="Fortress"/>
    <s v="APM"/>
    <x v="70"/>
    <n v="3"/>
    <x v="9"/>
    <x v="97"/>
    <s v="變頻二合一空氣淨化抽濕機 (28公升)"/>
    <s v="大電"/>
    <s v="RAC"/>
    <s v="dia17"/>
    <n v="1"/>
    <n v="3580"/>
    <n v="3580"/>
    <n v="902275"/>
    <m/>
    <m/>
    <s v="RAD-DIA17HK 902275"/>
    <n v="4980"/>
    <n v="0.71887550200803207"/>
    <s v="Toshiba SRP"/>
    <m/>
    <s v="902275"/>
  </r>
  <r>
    <n v="5001"/>
    <s v="Fortress"/>
    <s v="APM"/>
    <x v="70"/>
    <n v="3"/>
    <x v="9"/>
    <x v="97"/>
    <s v="變頻二合一空氣淨化抽濕機 (28公升)"/>
    <s v="大電"/>
    <s v="RAC"/>
    <s v="dia17"/>
    <n v="1"/>
    <n v="3580"/>
    <n v="3580"/>
    <n v="902276"/>
    <m/>
    <m/>
    <s v="RAD-DIA17HK 902276"/>
    <n v="4980"/>
    <n v="0.71887550200803207"/>
    <s v="Toshiba SRP"/>
    <m/>
    <s v="902276"/>
  </r>
  <r>
    <n v="5002"/>
    <s v="Fortress"/>
    <s v="APM"/>
    <x v="70"/>
    <n v="3"/>
    <x v="16"/>
    <x v="40"/>
    <s v="400MM超薄身前置式變頻洗衣機(7公斤)"/>
    <s v="大電"/>
    <s v="LAD"/>
    <s v="bu80"/>
    <n v="1"/>
    <n v="3180"/>
    <n v="3180"/>
    <n v="902395"/>
    <m/>
    <m/>
    <s v="TW-T21BU80UWH(MG) 902395"/>
    <n v="5180"/>
    <n v="0.61389961389961389"/>
    <s v="Toshiba SRP"/>
    <m/>
    <s v="902395"/>
  </r>
  <r>
    <n v="5003"/>
    <s v="Fortress"/>
    <s v="APM"/>
    <x v="70"/>
    <n v="3"/>
    <x v="16"/>
    <x v="110"/>
    <s v="變頻六門雪櫃(451L)"/>
    <s v="大電"/>
    <s v="REF"/>
    <s v="rm598"/>
    <n v="1"/>
    <n v="10990"/>
    <n v="10990"/>
    <n v="902388"/>
    <m/>
    <m/>
    <s v="GR-RM598WE-PGA(B3) 902388"/>
    <n v="14980"/>
    <n v="0.73364485981308414"/>
    <s v="Toshiba SRP"/>
    <m/>
    <s v="902388"/>
  </r>
  <r>
    <n v="5004"/>
    <s v="Fortress"/>
    <s v="APM"/>
    <x v="70"/>
    <n v="3"/>
    <x v="16"/>
    <x v="27"/>
    <s v="4毫米厚釜電飯煲1.8L"/>
    <s v="細電"/>
    <s v="SDA"/>
    <s v="18nmf"/>
    <n v="1"/>
    <n v="799"/>
    <n v="799"/>
    <n v="804836"/>
    <m/>
    <m/>
    <s v="RC-18NMFIH(WT) 804836"/>
    <n v="998"/>
    <n v="0.80060120240480959"/>
    <s v="Toshiba SRP"/>
    <m/>
    <s v="804836"/>
  </r>
  <r>
    <n v="5005"/>
    <s v="Fortress"/>
    <s v="APM"/>
    <x v="70"/>
    <n v="3"/>
    <x v="16"/>
    <x v="27"/>
    <s v="4毫米厚釜電飯煲1.8L"/>
    <s v="細電"/>
    <s v="SDA"/>
    <s v="18nmf"/>
    <n v="1"/>
    <n v="799"/>
    <n v="799"/>
    <n v="804848"/>
    <m/>
    <m/>
    <s v="RC-18NMFIH(WT) 804848"/>
    <n v="998"/>
    <n v="0.80060120240480959"/>
    <s v="Toshiba SRP"/>
    <m/>
    <s v="804848"/>
  </r>
  <r>
    <n v="5006"/>
    <s v="Fortress"/>
    <s v="APM"/>
    <x v="70"/>
    <n v="3"/>
    <x v="16"/>
    <x v="45"/>
    <s v="備長炭本厚釜電飯煲0.7L"/>
    <s v="細電"/>
    <s v="SDA"/>
    <s v="7hmh"/>
    <n v="1"/>
    <n v="838"/>
    <n v="838"/>
    <n v="804795"/>
    <m/>
    <m/>
    <s v="RC-7HMH 804795"/>
    <n v="1288"/>
    <n v="0.65062111801242239"/>
    <s v="Toshiba SRP"/>
    <m/>
    <s v="804795"/>
  </r>
  <r>
    <n v="5007"/>
    <s v="Fortress"/>
    <s v="APM"/>
    <x v="70"/>
    <n v="3"/>
    <x v="16"/>
    <x v="118"/>
    <s v="IH磁應電飯煲"/>
    <s v="細電"/>
    <s v="SDA"/>
    <s v="dz4k"/>
    <n v="1"/>
    <n v="3280"/>
    <n v="3280"/>
    <n v="802371"/>
    <m/>
    <m/>
    <s v="RC-DZ4K(N) 802371"/>
    <n v="3888"/>
    <n v="0.84362139917695478"/>
    <s v="Shops Highest Price"/>
    <m/>
    <s v="802371"/>
  </r>
  <r>
    <n v="5008"/>
    <s v="Fortress"/>
    <s v="APM"/>
    <x v="70"/>
    <n v="3"/>
    <x v="16"/>
    <x v="32"/>
    <s v="電熱水瓶3L"/>
    <s v="細電"/>
    <s v="SDA"/>
    <s v="30fl"/>
    <n v="1"/>
    <n v="489"/>
    <n v="489"/>
    <n v="804821"/>
    <m/>
    <m/>
    <s v="PLK-30FLIH(WT) 804821"/>
    <n v="658"/>
    <n v="0.74316109422492405"/>
    <s v="Toshiba SRP"/>
    <m/>
    <s v="804821"/>
  </r>
  <r>
    <n v="5009"/>
    <s v="Fortress"/>
    <s v="APM"/>
    <x v="70"/>
    <n v="3"/>
    <x v="16"/>
    <x v="21"/>
    <s v="壓縮式抽濕機 (30公升)"/>
    <s v="細電"/>
    <s v="RAC"/>
    <s v="d300"/>
    <n v="1"/>
    <n v="2280"/>
    <n v="2280"/>
    <n v="902394"/>
    <m/>
    <m/>
    <s v="RAD-D300H 902394"/>
    <n v="3380"/>
    <n v="0.67455621301775148"/>
    <s v="Shops Highest Price"/>
    <m/>
    <s v="902394"/>
  </r>
  <r>
    <n v="5010"/>
    <s v="Fortress"/>
    <s v="APM"/>
    <x v="70"/>
    <n v="3"/>
    <x v="16"/>
    <x v="93"/>
    <s v="座檯式洗碗碟機"/>
    <s v="細電"/>
    <s v="DW"/>
    <s v="05t2"/>
    <n v="1"/>
    <n v="3780"/>
    <n v="3780"/>
    <n v="902389"/>
    <m/>
    <m/>
    <s v="DW-05T2-HK 902389"/>
    <n v="4580"/>
    <n v="0.8253275109170306"/>
    <s v="Toshiba SRP"/>
    <m/>
    <s v="902389"/>
  </r>
  <r>
    <n v="5011"/>
    <s v="Fortress"/>
    <s v="APM"/>
    <x v="70"/>
    <n v="3"/>
    <x v="16"/>
    <x v="106"/>
    <s v="燒烤微波爐21L"/>
    <s v="細電"/>
    <s v="SDA"/>
    <s v="ag21"/>
    <n v="1"/>
    <n v="798"/>
    <n v="798"/>
    <n v="902389"/>
    <m/>
    <m/>
    <s v="MV-AG21TF(BK) 902389"/>
    <n v="1098"/>
    <n v="0.72677595628415304"/>
    <s v="Toshiba SRP"/>
    <m/>
    <s v="902389"/>
  </r>
  <r>
    <n v="5012"/>
    <s v="Fortress"/>
    <s v="APM"/>
    <x v="70"/>
    <n v="3"/>
    <x v="11"/>
    <x v="66"/>
    <s v="變頻下置式雙門雪櫃（163L）"/>
    <s v="大電"/>
    <s v="REF"/>
    <s v="rb221"/>
    <n v="1"/>
    <n v="1880"/>
    <n v="1880"/>
    <n v="902400"/>
    <m/>
    <m/>
    <s v="GR-RB221WE-PMA(57) 902400"/>
    <n v="3480"/>
    <n v="0.54022988505747127"/>
    <s v="Toshiba SRP"/>
    <m/>
    <s v="902400"/>
  </r>
  <r>
    <n v="5013"/>
    <s v="Fortress"/>
    <s v="APM"/>
    <x v="70"/>
    <n v="3"/>
    <x v="11"/>
    <x v="57"/>
    <s v="多功能備長炭本厚釜電飯煲1L"/>
    <s v="細電"/>
    <s v="SDA"/>
    <s v="10drnh"/>
    <n v="1"/>
    <n v="537"/>
    <n v="537"/>
    <n v="902411"/>
    <m/>
    <m/>
    <s v="RC-10DRNH 902411"/>
    <n v="798"/>
    <n v="0.67293233082706772"/>
    <s v="Toshiba SRP"/>
    <m/>
    <s v="902411"/>
  </r>
  <r>
    <n v="5014"/>
    <s v="Fortress"/>
    <s v="APM"/>
    <x v="70"/>
    <n v="3"/>
    <x v="11"/>
    <x v="45"/>
    <s v="備長炭本厚釜電飯煲0.7L"/>
    <s v="細電"/>
    <s v="SDA"/>
    <s v="7hmh"/>
    <n v="1"/>
    <n v="838"/>
    <n v="838"/>
    <n v="804901"/>
    <m/>
    <m/>
    <s v="RC-7HMH 804901"/>
    <n v="1288"/>
    <n v="0.65062111801242239"/>
    <s v="Toshiba SRP"/>
    <m/>
    <s v="804901"/>
  </r>
  <r>
    <n v="5015"/>
    <s v="Fortress"/>
    <s v="APM"/>
    <x v="70"/>
    <n v="3"/>
    <x v="11"/>
    <x v="47"/>
    <s v="磁應電飯煲(1公升)"/>
    <s v="細電"/>
    <s v="SDA"/>
    <s v="10iss"/>
    <n v="1"/>
    <n v="939"/>
    <n v="939"/>
    <n v="804901"/>
    <m/>
    <m/>
    <s v="RC-10ISSHK(W) 804901"/>
    <n v="1188"/>
    <n v="0.79040404040404044"/>
    <s v="Shops Highest Price"/>
    <m/>
    <s v="804901"/>
  </r>
  <r>
    <n v="5016"/>
    <s v="Fortress"/>
    <s v="APM"/>
    <x v="70"/>
    <n v="3"/>
    <x v="11"/>
    <x v="21"/>
    <s v="壓縮式抽濕機 (30公升)"/>
    <s v="細電"/>
    <s v="RAC"/>
    <s v="d300"/>
    <n v="1"/>
    <n v="2280"/>
    <n v="2280"/>
    <n v="902426"/>
    <m/>
    <m/>
    <s v="RAD-D300H 902426"/>
    <n v="3380"/>
    <n v="0.67455621301775148"/>
    <s v="Shops Highest Price"/>
    <m/>
    <s v="902426"/>
  </r>
  <r>
    <n v="5017"/>
    <s v="Fortress"/>
    <s v="APM"/>
    <x v="70"/>
    <n v="3"/>
    <x v="11"/>
    <x v="33"/>
    <s v="輕觸式燒烤微波爐"/>
    <s v="細電"/>
    <s v="MCA"/>
    <s v="eg20"/>
    <n v="1"/>
    <n v="698"/>
    <n v="698"/>
    <n v="804926"/>
    <m/>
    <m/>
    <s v="MM2-EG20PC(WH) 804926"/>
    <n v="918"/>
    <n v="0.76034858387799564"/>
    <s v="Shops Highest Price"/>
    <m/>
    <s v="804926"/>
  </r>
  <r>
    <n v="5018"/>
    <s v="Fortress"/>
    <s v="APM"/>
    <x v="70"/>
    <n v="3"/>
    <x v="11"/>
    <x v="74"/>
    <s v="4合1氣炸微波蒸焗爐(25公升)"/>
    <s v="細電"/>
    <s v="MCA"/>
    <s v="str25"/>
    <n v="1"/>
    <n v="3464"/>
    <n v="3464"/>
    <n v="902423"/>
    <m/>
    <m/>
    <s v="MX2-STR25SC(WH) 902423"/>
    <n v="4998"/>
    <n v="0.69307723089235695"/>
    <s v="Toshiba SRP"/>
    <m/>
    <s v="902423"/>
  </r>
  <r>
    <n v="5019"/>
    <s v="Fortress"/>
    <s v="APM"/>
    <x v="70"/>
    <n v="3"/>
    <x v="3"/>
    <x v="40"/>
    <s v="400MM超薄身前置式變頻洗衣機(7公斤)"/>
    <s v="大電"/>
    <s v="LAD"/>
    <s v="bu80"/>
    <n v="1"/>
    <n v="3190"/>
    <n v="3190"/>
    <n v="703777"/>
    <m/>
    <m/>
    <s v="TW-T21BU80UWH(MG) 703777"/>
    <n v="5180"/>
    <n v="0.61583011583011582"/>
    <s v="Toshiba SRP"/>
    <m/>
    <s v="703777"/>
  </r>
  <r>
    <n v="5020"/>
    <s v="Fortress"/>
    <s v="APM"/>
    <x v="70"/>
    <n v="3"/>
    <x v="3"/>
    <x v="66"/>
    <s v="變頻下置式雙門雪櫃（163L）"/>
    <s v="大電"/>
    <s v="REF"/>
    <s v="rb221"/>
    <n v="1"/>
    <n v="1880"/>
    <n v="1880"/>
    <n v="805065"/>
    <m/>
    <m/>
    <s v="GR-RB221WE-PMA(57) 805065"/>
    <n v="3480"/>
    <n v="0.54022988505747127"/>
    <s v="Toshiba SRP"/>
    <m/>
    <s v="805065"/>
  </r>
  <r>
    <n v="5021"/>
    <s v="Fortress"/>
    <s v="APM"/>
    <x v="70"/>
    <n v="3"/>
    <x v="3"/>
    <x v="114"/>
    <s v="變頻三門雪櫃 (233L)"/>
    <s v="大電"/>
    <s v="REF"/>
    <s v="rm352"/>
    <n v="1"/>
    <n v="3480"/>
    <n v="3480"/>
    <n v="703784"/>
    <m/>
    <m/>
    <s v="GR-RM352WI-PMA(53) 703784"/>
    <n v="5580"/>
    <n v="0.62365591397849462"/>
    <s v="Toshiba SRP"/>
    <m/>
    <s v="703784"/>
  </r>
  <r>
    <n v="5022"/>
    <s v="Fortress"/>
    <s v="APM"/>
    <x v="70"/>
    <n v="3"/>
    <x v="3"/>
    <x v="110"/>
    <s v="變頻六門雪櫃(451L)"/>
    <s v="大電"/>
    <s v="REF"/>
    <s v="rm598"/>
    <n v="1"/>
    <n v="10990"/>
    <n v="10990"/>
    <n v="805084"/>
    <m/>
    <m/>
    <s v="GR-RM598WE-PGA(B3) 805084"/>
    <n v="14980"/>
    <n v="0.73364485981308414"/>
    <s v="Toshiba SRP"/>
    <m/>
    <s v="805084"/>
  </r>
  <r>
    <n v="5023"/>
    <s v="Fortress"/>
    <s v="APM"/>
    <x v="70"/>
    <n v="3"/>
    <x v="3"/>
    <x v="17"/>
    <s v="4毫米厚釜電飯煲1L"/>
    <s v="細電"/>
    <s v="SDA"/>
    <s v="10nmf"/>
    <n v="1"/>
    <n v="719"/>
    <n v="719"/>
    <n v="703769"/>
    <m/>
    <m/>
    <s v="RC-10NMFIH(WT) 703769"/>
    <n v="898"/>
    <n v="0.80066815144766146"/>
    <s v="Toshiba SRP"/>
    <m/>
    <s v="703769"/>
  </r>
  <r>
    <n v="5024"/>
    <s v="Fortress"/>
    <s v="APM"/>
    <x v="70"/>
    <n v="3"/>
    <x v="3"/>
    <x v="17"/>
    <s v="4毫米厚釜電飯煲1L"/>
    <s v="細電"/>
    <s v="SDA"/>
    <s v="10nmf"/>
    <n v="1"/>
    <n v="719"/>
    <n v="719"/>
    <n v="703777"/>
    <m/>
    <m/>
    <s v="RC-10NMFIH(WT) 703777"/>
    <n v="898"/>
    <n v="0.80066815144766146"/>
    <s v="Toshiba SRP"/>
    <m/>
    <s v="703777"/>
  </r>
  <r>
    <n v="5025"/>
    <s v="Fortress"/>
    <s v="APM"/>
    <x v="70"/>
    <n v="3"/>
    <x v="3"/>
    <x v="61"/>
    <s v="酵活炊電飯煲(1.8公升)"/>
    <s v="細電"/>
    <s v="SDA"/>
    <s v="18amx"/>
    <n v="1"/>
    <n v="990"/>
    <n v="990"/>
    <n v="703791"/>
    <m/>
    <m/>
    <s v="RC-18AMXH(W) 703791"/>
    <n v="1588"/>
    <n v="0.62342569269521408"/>
    <s v="Toshiba SRP"/>
    <m/>
    <s v="703791"/>
  </r>
  <r>
    <n v="5026"/>
    <s v="Fortress"/>
    <s v="APM"/>
    <x v="70"/>
    <n v="3"/>
    <x v="3"/>
    <x v="38"/>
    <s v="無線雙層電熱水壺-附可鎖壺蓋"/>
    <s v="細電"/>
    <s v="SDA"/>
    <s v="15drt"/>
    <n v="1"/>
    <n v="358"/>
    <n v="358"/>
    <n v="902505"/>
    <m/>
    <m/>
    <s v="KT-15DRTHK(W) 902505"/>
    <n v="598"/>
    <n v="0.59866220735785958"/>
    <s v="Toshiba SRP"/>
    <m/>
    <s v="902505"/>
  </r>
  <r>
    <n v="5027"/>
    <s v="Fortress"/>
    <s v="APM"/>
    <x v="70"/>
    <n v="3"/>
    <x v="3"/>
    <x v="21"/>
    <s v="壓縮式抽濕機 (30公升)"/>
    <s v="細電"/>
    <s v="RAC"/>
    <s v="d300"/>
    <n v="1"/>
    <n v="2280"/>
    <n v="2280"/>
    <n v="703777"/>
    <m/>
    <m/>
    <s v="RAD-D300H 703777"/>
    <n v="3380"/>
    <n v="0.67455621301775148"/>
    <s v="Shops Highest Price"/>
    <m/>
    <s v="703777"/>
  </r>
  <r>
    <n v="5028"/>
    <s v="Fortress"/>
    <s v="APM"/>
    <x v="70"/>
    <n v="3"/>
    <x v="3"/>
    <x v="21"/>
    <s v="壓縮式抽濕機 (30公升)"/>
    <s v="細電"/>
    <s v="RAC"/>
    <s v="d300"/>
    <n v="1"/>
    <n v="2280"/>
    <n v="2280"/>
    <n v="805086"/>
    <m/>
    <m/>
    <s v="RAD-D300H 805086"/>
    <n v="3380"/>
    <n v="0.67455621301775148"/>
    <s v="Shops Highest Price"/>
    <m/>
    <s v="805086"/>
  </r>
  <r>
    <n v="5029"/>
    <s v="Fortress"/>
    <s v="APM"/>
    <x v="70"/>
    <n v="3"/>
    <x v="3"/>
    <x v="21"/>
    <s v="壓縮式抽濕機 (30公升)"/>
    <s v="細電"/>
    <s v="RAC"/>
    <s v="d300"/>
    <n v="1"/>
    <n v="2280"/>
    <n v="2280"/>
    <n v="902519"/>
    <m/>
    <m/>
    <s v="RAD-D300H 902519"/>
    <n v="3380"/>
    <n v="0.67455621301775148"/>
    <s v="Shops Highest Price"/>
    <m/>
    <s v="902519"/>
  </r>
  <r>
    <n v="5030"/>
    <s v="Fortress"/>
    <s v="APM"/>
    <x v="70"/>
    <n v="3"/>
    <x v="3"/>
    <x v="21"/>
    <s v="壓縮式抽濕機 (30公升)"/>
    <s v="細電"/>
    <s v="RAC"/>
    <s v="d300"/>
    <n v="1"/>
    <n v="2280"/>
    <n v="2280"/>
    <n v="902520"/>
    <m/>
    <m/>
    <s v="RAD-D300H 902520"/>
    <n v="3380"/>
    <n v="0.67455621301775148"/>
    <s v="Shops Highest Price"/>
    <m/>
    <s v="902520"/>
  </r>
  <r>
    <n v="5031"/>
    <s v="Fortress"/>
    <s v="APM"/>
    <x v="70"/>
    <n v="3"/>
    <x v="3"/>
    <x v="33"/>
    <s v="輕觸式燒烤微波爐"/>
    <s v="細電"/>
    <s v="MCA"/>
    <s v="eg20"/>
    <n v="1"/>
    <n v="698"/>
    <n v="698"/>
    <n v="805065"/>
    <m/>
    <m/>
    <s v="MM2-EG20PC(WH) 805065"/>
    <n v="918"/>
    <n v="0.76034858387799564"/>
    <s v="Shops Highest Price"/>
    <m/>
    <s v="805065"/>
  </r>
  <r>
    <n v="5032"/>
    <s v="Fortress"/>
    <s v="APM"/>
    <x v="70"/>
    <n v="3"/>
    <x v="3"/>
    <x v="33"/>
    <s v="輕觸式燒烤微波爐"/>
    <s v="細電"/>
    <s v="MCA"/>
    <s v="eg20"/>
    <n v="1"/>
    <n v="698"/>
    <n v="698"/>
    <n v="902515"/>
    <m/>
    <m/>
    <s v="MM2-EG20PC(WH) 902515"/>
    <n v="918"/>
    <n v="0.76034858387799564"/>
    <s v="Shops Highest Price"/>
    <m/>
    <s v="902515"/>
  </r>
  <r>
    <n v="5033"/>
    <s v="Fortress"/>
    <s v="APM"/>
    <x v="70"/>
    <n v="3"/>
    <x v="14"/>
    <x v="86"/>
    <s v="470MM超薄身前置式變頻洗衣乾衣機 (洗8.5公斤 乾6公斤)"/>
    <s v="大電"/>
    <s v="LAD"/>
    <s v="twdt21"/>
    <n v="1"/>
    <n v="3999"/>
    <n v="3999"/>
    <n v="805312"/>
    <m/>
    <m/>
    <s v="TWD-T21BU95UWH(WW) 805312"/>
    <n v="7280"/>
    <n v="0.54931318681318686"/>
    <s v="Toshiba SRP"/>
    <m/>
    <s v="805312"/>
  </r>
  <r>
    <n v="5034"/>
    <s v="Fortress"/>
    <s v="APM"/>
    <x v="70"/>
    <n v="3"/>
    <x v="14"/>
    <x v="87"/>
    <s v="變頻式環保雙門雪櫃(233L)"/>
    <s v="大電"/>
    <s v="REF"/>
    <s v="rt300"/>
    <n v="1"/>
    <n v="2780"/>
    <n v="2780"/>
    <n v="902633"/>
    <m/>
    <m/>
    <s v="GR-RT300WE-PMA(57) 902633"/>
    <n v="4280"/>
    <n v="0.64953271028037385"/>
    <s v="Toshiba SRP"/>
    <m/>
    <s v="902633"/>
  </r>
  <r>
    <n v="5035"/>
    <s v="Fortress"/>
    <s v="APM"/>
    <x v="70"/>
    <n v="3"/>
    <x v="14"/>
    <x v="66"/>
    <s v="變頻下置式雙門雪櫃（163L）"/>
    <s v="大電"/>
    <s v="REF"/>
    <s v="rb221"/>
    <n v="1"/>
    <n v="1880"/>
    <n v="1880"/>
    <n v="902618"/>
    <m/>
    <m/>
    <s v="GR-RB221WE-PMA(57) 902618"/>
    <n v="3480"/>
    <n v="0.54022988505747127"/>
    <s v="Toshiba SRP"/>
    <m/>
    <s v="902618"/>
  </r>
  <r>
    <n v="5036"/>
    <s v="Fortress"/>
    <s v="APM"/>
    <x v="70"/>
    <n v="3"/>
    <x v="14"/>
    <x v="114"/>
    <s v="變頻三門雪櫃 (233L)"/>
    <s v="大電"/>
    <s v="REF"/>
    <s v="rm352"/>
    <n v="1"/>
    <n v="3480"/>
    <n v="3480"/>
    <n v="805273"/>
    <m/>
    <m/>
    <s v="GR-RM352WI-PMA(53) 805273"/>
    <n v="5580"/>
    <n v="0.62365591397849462"/>
    <s v="Toshiba SRP"/>
    <m/>
    <s v="805273"/>
  </r>
  <r>
    <n v="5037"/>
    <s v="Fortress"/>
    <s v="APM"/>
    <x v="70"/>
    <n v="3"/>
    <x v="14"/>
    <x v="17"/>
    <s v="4毫米厚釜電飯煲1L"/>
    <s v="細電"/>
    <s v="SDA"/>
    <s v="10nmf"/>
    <n v="1"/>
    <n v="719"/>
    <n v="719"/>
    <s v="073847"/>
    <m/>
    <m/>
    <s v="RC-10NMFIH(WT) 073847"/>
    <n v="898"/>
    <n v="0.80066815144766146"/>
    <s v="Toshiba SRP"/>
    <m/>
    <s v="073847"/>
  </r>
  <r>
    <n v="5038"/>
    <s v="Fortress"/>
    <s v="APM"/>
    <x v="70"/>
    <n v="3"/>
    <x v="14"/>
    <x v="27"/>
    <s v="4毫米厚釜電飯煲1.8L"/>
    <s v="細電"/>
    <s v="SDA"/>
    <s v="18nmf"/>
    <n v="1"/>
    <n v="799"/>
    <n v="799"/>
    <n v="902621"/>
    <m/>
    <m/>
    <s v="RC-18NMFIH(WT) 902621"/>
    <n v="998"/>
    <n v="0.80060120240480959"/>
    <s v="Toshiba SRP"/>
    <m/>
    <s v="902621"/>
  </r>
  <r>
    <n v="5039"/>
    <s v="Fortress"/>
    <s v="APM"/>
    <x v="70"/>
    <n v="3"/>
    <x v="14"/>
    <x v="27"/>
    <s v="4毫米厚釜電飯煲1.8L"/>
    <s v="細電"/>
    <s v="SDA"/>
    <s v="18nmf"/>
    <n v="1"/>
    <n v="799"/>
    <n v="799"/>
    <n v="805314"/>
    <m/>
    <m/>
    <s v="RC-18NMFIH(WT) 805314"/>
    <n v="998"/>
    <n v="0.80060120240480959"/>
    <s v="Toshiba SRP"/>
    <m/>
    <s v="805314"/>
  </r>
  <r>
    <n v="5040"/>
    <s v="Fortress"/>
    <s v="APM"/>
    <x v="70"/>
    <n v="3"/>
    <x v="14"/>
    <x v="39"/>
    <s v="酵活炊電飯煲(1.0公升)"/>
    <s v="細電"/>
    <s v="SDA"/>
    <s v="10amx"/>
    <n v="1"/>
    <n v="990"/>
    <n v="990"/>
    <n v="805265"/>
    <m/>
    <m/>
    <s v="RC-10AMXH(W) 805265"/>
    <n v="1288"/>
    <n v="0.76863354037267084"/>
    <s v="Toshiba SRP"/>
    <m/>
    <s v="805265"/>
  </r>
  <r>
    <n v="5041"/>
    <s v="Fortress"/>
    <s v="APM"/>
    <x v="70"/>
    <n v="3"/>
    <x v="14"/>
    <x v="113"/>
    <s v="迷你壓力磁應電飯煲(0.63公升)"/>
    <s v="細電"/>
    <s v="SDA"/>
    <s v="6px"/>
    <n v="1"/>
    <n v="938"/>
    <n v="938"/>
    <n v="902636"/>
    <m/>
    <m/>
    <s v="RC-6PXTHK(W) 902636"/>
    <n v="1398"/>
    <n v="0.67095851216022895"/>
    <s v="Toshiba SRP"/>
    <m/>
    <s v="902636"/>
  </r>
  <r>
    <n v="5042"/>
    <s v="Fortress"/>
    <s v="APM"/>
    <x v="70"/>
    <n v="3"/>
    <x v="14"/>
    <x v="53"/>
    <s v="IH磁應電飯煲"/>
    <s v="細電"/>
    <s v="SDA"/>
    <s v="dr10t"/>
    <n v="1"/>
    <n v="2380"/>
    <n v="2380"/>
    <n v="902631"/>
    <m/>
    <m/>
    <s v="RC-DR10T(R) 902631"/>
    <n v="3188"/>
    <n v="0.74654956085319946"/>
    <s v="Toshiba SRP"/>
    <m/>
    <s v="902631"/>
  </r>
  <r>
    <n v="5043"/>
    <s v="Fortress"/>
    <s v="APM"/>
    <x v="70"/>
    <n v="3"/>
    <x v="14"/>
    <x v="58"/>
    <s v="IH磁應電飯煲_x000a_鑽石銅鍋"/>
    <s v="細電"/>
    <s v="SDA"/>
    <s v="dr18tw"/>
    <n v="1"/>
    <n v="2800"/>
    <n v="2800"/>
    <n v="902625"/>
    <m/>
    <m/>
    <s v="RC-DR18T(W) 902625"/>
    <n v="3588"/>
    <n v="0.78037904124860646"/>
    <s v="Toshiba SRP"/>
    <m/>
    <s v="902625"/>
  </r>
  <r>
    <n v="5044"/>
    <s v="Fortress"/>
    <s v="APM"/>
    <x v="70"/>
    <n v="3"/>
    <x v="14"/>
    <x v="9"/>
    <s v="電熱水瓶4.5L"/>
    <s v="細電"/>
    <s v="SDA"/>
    <s v="45sf"/>
    <n v="1"/>
    <n v="589"/>
    <n v="589"/>
    <n v="902621"/>
    <m/>
    <m/>
    <s v="PLK-45SFIH(WT) 902621"/>
    <n v="788"/>
    <n v="0.7474619289340102"/>
    <s v="Toshiba SRP"/>
    <m/>
    <s v="902621"/>
  </r>
  <r>
    <n v="5045"/>
    <s v="Fortress"/>
    <s v="APM"/>
    <x v="70"/>
    <n v="3"/>
    <x v="14"/>
    <x v="115"/>
    <s v="微波蒸焗爐23L"/>
    <s v="細電"/>
    <s v="SDA"/>
    <s v="th23"/>
    <n v="1"/>
    <n v="2580"/>
    <n v="2580"/>
    <n v="902656"/>
    <m/>
    <m/>
    <s v="MX1-TH23SC(WH) 902656"/>
    <n v="3380"/>
    <n v="0.76331360946745563"/>
    <s v="Toshiba SRP"/>
    <m/>
    <s v="902656"/>
  </r>
  <r>
    <n v="5046"/>
    <s v="Fortress"/>
    <s v="APM"/>
    <x v="70"/>
    <n v="3"/>
    <x v="18"/>
    <x v="87"/>
    <s v="變頻式環保雙門雪櫃(233L)"/>
    <s v="大電"/>
    <s v="REF"/>
    <s v="rt300"/>
    <n v="1"/>
    <n v="2780"/>
    <n v="2780"/>
    <n v="805494"/>
    <m/>
    <m/>
    <s v="GR-RT300WE-PMA(57) 805494"/>
    <n v="4280"/>
    <n v="0.64953271028037385"/>
    <s v="Toshiba SRP"/>
    <m/>
    <s v="805494"/>
  </r>
  <r>
    <n v="5047"/>
    <s v="Fortress"/>
    <s v="APM"/>
    <x v="70"/>
    <n v="3"/>
    <x v="18"/>
    <x v="87"/>
    <s v="變頻式環保雙門雪櫃(233L)"/>
    <s v="大電"/>
    <s v="REF"/>
    <s v="rt300"/>
    <n v="1"/>
    <n v="2780"/>
    <n v="2780"/>
    <n v="703910"/>
    <m/>
    <m/>
    <s v="GR-RT300WE-PMA(57) 703910"/>
    <n v="4280"/>
    <n v="0.64953271028037385"/>
    <s v="Toshiba SRP"/>
    <m/>
    <s v="703910"/>
  </r>
  <r>
    <n v="5048"/>
    <s v="Fortress"/>
    <s v="APM"/>
    <x v="70"/>
    <n v="3"/>
    <x v="18"/>
    <x v="69"/>
    <s v="多功能備長炭本厚釜電飯煲1.8L"/>
    <s v="細電"/>
    <s v="SDA"/>
    <s v="18drnh"/>
    <n v="1"/>
    <n v="619"/>
    <n v="619"/>
    <n v="805481"/>
    <m/>
    <m/>
    <s v="RC-18DRNH 805481"/>
    <n v="898"/>
    <n v="0.68930957683741645"/>
    <s v="Toshiba SRP"/>
    <m/>
    <s v="805481"/>
  </r>
  <r>
    <n v="5049"/>
    <s v="Fortress"/>
    <s v="APM"/>
    <x v="70"/>
    <n v="3"/>
    <x v="18"/>
    <x v="54"/>
    <s v="低醣磁應電飯煲1L"/>
    <s v="細電"/>
    <s v="SDA"/>
    <s v="10irph"/>
    <n v="1"/>
    <n v="798"/>
    <n v="798"/>
    <n v="703915"/>
    <m/>
    <m/>
    <s v="RC-10IRPH 703915"/>
    <n v="1388"/>
    <n v="0.5749279538904899"/>
    <s v="Toshiba SRP"/>
    <m/>
    <s v="703915"/>
  </r>
  <r>
    <n v="5050"/>
    <s v="Fortress"/>
    <s v="APM"/>
    <x v="70"/>
    <n v="3"/>
    <x v="18"/>
    <x v="116"/>
    <s v="IH磁應電飯煲"/>
    <s v="細電"/>
    <s v="SDA"/>
    <s v="ds18kw"/>
    <n v="1"/>
    <n v="3490"/>
    <n v="3490"/>
    <n v="902758"/>
    <m/>
    <m/>
    <s v="RC-DS18K(N) 902758"/>
    <n v="4988"/>
    <n v="0.69967923015236566"/>
    <s v="Toshiba SRP"/>
    <m/>
    <s v="902758"/>
  </r>
  <r>
    <n v="5051"/>
    <s v="Fortress"/>
    <s v="APM"/>
    <x v="70"/>
    <n v="3"/>
    <x v="18"/>
    <x v="116"/>
    <s v="IH磁應電飯煲"/>
    <s v="細電"/>
    <s v="SDA"/>
    <s v="ds18kw"/>
    <n v="1"/>
    <n v="3490"/>
    <n v="3490"/>
    <n v="902759"/>
    <m/>
    <m/>
    <s v="RC-DS18K(N) 902759"/>
    <n v="4988"/>
    <n v="0.69967923015236566"/>
    <s v="Toshiba SRP"/>
    <m/>
    <s v="902759"/>
  </r>
  <r>
    <n v="5052"/>
    <s v="Fortress"/>
    <s v="APM"/>
    <x v="70"/>
    <n v="3"/>
    <x v="18"/>
    <x v="32"/>
    <s v="電熱水瓶3L"/>
    <s v="細電"/>
    <s v="SDA"/>
    <s v="30fl"/>
    <n v="1"/>
    <n v="489"/>
    <n v="489"/>
    <n v="805528"/>
    <m/>
    <m/>
    <s v="PLK-30FLIH(WT) 805528"/>
    <n v="658"/>
    <n v="0.74316109422492405"/>
    <s v="Toshiba SRP"/>
    <m/>
    <s v="805528"/>
  </r>
  <r>
    <n v="5053"/>
    <s v="Fortress"/>
    <s v="APM"/>
    <x v="70"/>
    <n v="3"/>
    <x v="18"/>
    <x v="38"/>
    <s v="無線雙層電熱水壺-附可鎖壺蓋"/>
    <s v="細電"/>
    <s v="SDA"/>
    <s v="15drt"/>
    <n v="1"/>
    <n v="358"/>
    <n v="358"/>
    <n v="902760"/>
    <m/>
    <m/>
    <s v="KT-15DRTHK(W) 902760"/>
    <n v="598"/>
    <n v="0.59866220735785958"/>
    <s v="Toshiba SRP"/>
    <m/>
    <s v="902760"/>
  </r>
  <r>
    <n v="5054"/>
    <s v="Fortress"/>
    <s v="APM"/>
    <x v="70"/>
    <n v="3"/>
    <x v="18"/>
    <x v="21"/>
    <s v="壓縮式抽濕機 (30公升)"/>
    <s v="細電"/>
    <s v="RAC"/>
    <s v="d300"/>
    <n v="1"/>
    <n v="2280"/>
    <n v="2280"/>
    <n v="902772"/>
    <m/>
    <m/>
    <s v="RAD-D300H 902772"/>
    <n v="3380"/>
    <n v="0.67455621301775148"/>
    <s v="Shops Highest Price"/>
    <m/>
    <s v="902772"/>
  </r>
  <r>
    <n v="5055"/>
    <s v="Fortress"/>
    <s v="APM"/>
    <x v="70"/>
    <n v="3"/>
    <x v="18"/>
    <x v="93"/>
    <s v="座檯式洗碗碟機"/>
    <s v="細電"/>
    <s v="DW"/>
    <s v="05t2"/>
    <n v="1"/>
    <n v="3780"/>
    <n v="3780"/>
    <n v="902791"/>
    <m/>
    <m/>
    <s v="DW-05T2-HK 902791"/>
    <n v="4580"/>
    <n v="0.8253275109170306"/>
    <s v="Toshiba SRP"/>
    <m/>
    <s v="902791"/>
  </r>
  <r>
    <n v="5056"/>
    <s v="Fortress"/>
    <s v="APM"/>
    <x v="70"/>
    <n v="3"/>
    <x v="19"/>
    <x v="42"/>
    <s v="變頻下置式雙門雪櫃系列270L"/>
    <s v="大電"/>
    <s v="REF"/>
    <s v="rb360"/>
    <n v="1"/>
    <n v="3680"/>
    <n v="3680"/>
    <n v="703932"/>
    <m/>
    <m/>
    <s v="GR-RB360WE-PMA(06) 703932"/>
    <n v="5080"/>
    <n v="0.72440944881889768"/>
    <s v="Toshiba SRP"/>
    <m/>
    <s v="703932"/>
  </r>
  <r>
    <n v="5057"/>
    <s v="Fortress"/>
    <s v="APM"/>
    <x v="70"/>
    <n v="3"/>
    <x v="19"/>
    <x v="54"/>
    <s v="低醣磁應電飯煲1L"/>
    <s v="細電"/>
    <s v="SDA"/>
    <s v="10irph"/>
    <n v="1"/>
    <n v="798"/>
    <n v="798"/>
    <n v="805555"/>
    <m/>
    <m/>
    <s v="RC-10IRPH 805555"/>
    <n v="1388"/>
    <n v="0.5749279538904899"/>
    <s v="Toshiba SRP"/>
    <m/>
    <s v="805555"/>
  </r>
  <r>
    <n v="5058"/>
    <s v="Fortress"/>
    <s v="APM"/>
    <x v="70"/>
    <n v="3"/>
    <x v="19"/>
    <x v="21"/>
    <s v="壓縮式抽濕機 (30公升)"/>
    <s v="細電"/>
    <s v="RAC"/>
    <s v="d300"/>
    <n v="1"/>
    <n v="2280"/>
    <n v="2280"/>
    <n v="703925"/>
    <m/>
    <m/>
    <s v="RAD-D300H 703925"/>
    <n v="3380"/>
    <n v="0.67455621301775148"/>
    <s v="Shops Highest Price"/>
    <m/>
    <s v="703925"/>
  </r>
  <r>
    <n v="5059"/>
    <s v="Fortress"/>
    <s v="APM"/>
    <x v="70"/>
    <n v="3"/>
    <x v="19"/>
    <x v="21"/>
    <s v="壓縮式抽濕機 (30公升)"/>
    <s v="細電"/>
    <s v="RAC"/>
    <s v="d300"/>
    <n v="1"/>
    <n v="2280"/>
    <n v="2280"/>
    <n v="703928"/>
    <m/>
    <m/>
    <s v="RAD-D300H 703928"/>
    <n v="3380"/>
    <n v="0.67455621301775148"/>
    <s v="Shops Highest Price"/>
    <m/>
    <s v="703928"/>
  </r>
  <r>
    <n v="5060"/>
    <s v="Fortress"/>
    <s v="APM"/>
    <x v="70"/>
    <n v="3"/>
    <x v="19"/>
    <x v="21"/>
    <s v="壓縮式抽濕機 (30公升)"/>
    <s v="細電"/>
    <s v="RAC"/>
    <s v="d300"/>
    <n v="1"/>
    <n v="2280"/>
    <n v="2280"/>
    <n v="902823"/>
    <m/>
    <m/>
    <s v="RAD-D300H 902823"/>
    <n v="3380"/>
    <n v="0.67455621301775148"/>
    <s v="Shops Highest Price"/>
    <m/>
    <s v="902823"/>
  </r>
  <r>
    <n v="5061"/>
    <s v="Fortress"/>
    <s v="APM"/>
    <x v="70"/>
    <n v="3"/>
    <x v="19"/>
    <x v="92"/>
    <s v="1 匹 R32變頻窗口式冷氣機 (獨立抽濕遙控"/>
    <s v="大電"/>
    <s v="AC"/>
    <s v="09g3cvr"/>
    <n v="1"/>
    <n v="4517"/>
    <n v="4517"/>
    <n v="703918"/>
    <m/>
    <m/>
    <s v="RAC-09G3CVRGR-HK 703918"/>
    <n v="6980"/>
    <n v="0.64713467048710605"/>
    <s v="Toshiba SRP"/>
    <m/>
    <s v="703918"/>
  </r>
  <r>
    <n v="5062"/>
    <s v="Fortress"/>
    <s v="APM"/>
    <x v="70"/>
    <n v="3"/>
    <x v="20"/>
    <x v="87"/>
    <s v="變頻式環保雙門雪櫃(233L)"/>
    <s v="大電"/>
    <s v="REF"/>
    <s v="rt300"/>
    <n v="1"/>
    <n v="2780"/>
    <n v="2780"/>
    <n v="703941"/>
    <m/>
    <m/>
    <s v="GR-RT300WE-PMA(57) 703941"/>
    <n v="4280"/>
    <n v="0.64953271028037385"/>
    <s v="Toshiba SRP"/>
    <m/>
    <s v="703941"/>
  </r>
  <r>
    <n v="5063"/>
    <s v="Fortress"/>
    <s v="APM"/>
    <x v="70"/>
    <n v="3"/>
    <x v="20"/>
    <x v="42"/>
    <s v="變頻下置式雙門雪櫃系列270L"/>
    <s v="大電"/>
    <s v="REF"/>
    <s v="rb360"/>
    <n v="1"/>
    <n v="3580"/>
    <n v="3580"/>
    <n v="902844"/>
    <m/>
    <m/>
    <s v="GR-RB360WE-PMA(06) 902844"/>
    <n v="5080"/>
    <n v="0.70472440944881887"/>
    <s v="Toshiba SRP"/>
    <m/>
    <s v="902844"/>
  </r>
  <r>
    <n v="5064"/>
    <s v="Fortress"/>
    <s v="APM"/>
    <x v="70"/>
    <n v="3"/>
    <x v="20"/>
    <x v="57"/>
    <s v="多功能備長炭本厚釜電飯煲1L"/>
    <s v="細電"/>
    <s v="SDA"/>
    <s v="10drnh"/>
    <n v="1"/>
    <n v="537"/>
    <n v="537"/>
    <n v="703947"/>
    <m/>
    <m/>
    <s v="RC-10DRNH 703947"/>
    <n v="798"/>
    <n v="0.67293233082706772"/>
    <s v="Toshiba SRP"/>
    <m/>
    <s v="703947"/>
  </r>
  <r>
    <n v="5065"/>
    <s v="Fortress"/>
    <s v="APM"/>
    <x v="70"/>
    <n v="3"/>
    <x v="20"/>
    <x v="17"/>
    <s v="4毫米厚釜電飯煲1L"/>
    <s v="細電"/>
    <s v="SDA"/>
    <s v="10nmf"/>
    <n v="1"/>
    <n v="719"/>
    <n v="719"/>
    <n v="902840"/>
    <m/>
    <m/>
    <s v="RC-10NMFIH(WT) 902840"/>
    <n v="898"/>
    <n v="0.80066815144766146"/>
    <s v="Toshiba SRP"/>
    <m/>
    <s v="902840"/>
  </r>
  <r>
    <n v="5066"/>
    <s v="Fortress"/>
    <s v="APM"/>
    <x v="70"/>
    <n v="3"/>
    <x v="20"/>
    <x v="17"/>
    <s v="4毫米厚釜電飯煲1L"/>
    <s v="細電"/>
    <s v="SDA"/>
    <s v="10nmf"/>
    <n v="1"/>
    <n v="719"/>
    <n v="719"/>
    <n v="805642"/>
    <m/>
    <m/>
    <s v="RC-10NMFIH(WT) 805642"/>
    <n v="898"/>
    <n v="0.80066815144766146"/>
    <s v="Toshiba SRP"/>
    <m/>
    <s v="805642"/>
  </r>
  <r>
    <n v="5067"/>
    <s v="Fortress"/>
    <s v="APM"/>
    <x v="70"/>
    <n v="3"/>
    <x v="20"/>
    <x v="27"/>
    <s v="4毫米厚釜電飯煲1.8L"/>
    <s v="細電"/>
    <s v="SDA"/>
    <s v="18nmf"/>
    <n v="1"/>
    <n v="799"/>
    <n v="799"/>
    <n v="902841"/>
    <m/>
    <m/>
    <s v="RC-18NMFIH(WT) 902841"/>
    <n v="998"/>
    <n v="0.80060120240480959"/>
    <s v="Toshiba SRP"/>
    <m/>
    <s v="902841"/>
  </r>
  <r>
    <n v="5068"/>
    <s v="Fortress"/>
    <s v="APM"/>
    <x v="70"/>
    <n v="3"/>
    <x v="20"/>
    <x v="38"/>
    <s v="無線雙層電熱水壺-附可鎖壺蓋"/>
    <s v="細電"/>
    <s v="SDA"/>
    <s v="15drt"/>
    <n v="1"/>
    <n v="358"/>
    <n v="358"/>
    <n v="805624"/>
    <m/>
    <m/>
    <s v="KT-15DRTHK(W) 805624"/>
    <n v="598"/>
    <n v="0.59866220735785958"/>
    <s v="Toshiba SRP"/>
    <m/>
    <s v="805624"/>
  </r>
  <r>
    <n v="5069"/>
    <s v="Fortress"/>
    <s v="APM"/>
    <x v="70"/>
    <n v="3"/>
    <x v="20"/>
    <x v="43"/>
    <s v="470MM超薄身前置式變頻洗衣機(8.5公斤, 可飛頂)"/>
    <s v="大電"/>
    <s v="LAD"/>
    <s v="t2295"/>
    <n v="1"/>
    <n v="3680"/>
    <n v="3680"/>
    <n v="902842"/>
    <m/>
    <m/>
    <s v="TW-T22BU95UWH(WK)-B 902842"/>
    <n v="5880"/>
    <n v="0.62585034013605445"/>
    <s v="Toshiba SRP"/>
    <m/>
    <s v="902842"/>
  </r>
  <r>
    <n v="5070"/>
    <s v="Fortress"/>
    <s v="APM"/>
    <x v="70"/>
    <n v="3"/>
    <x v="21"/>
    <x v="86"/>
    <s v="470MM超薄身前置式變頻洗衣乾衣機 (洗8.5公斤 乾6公斤)"/>
    <s v="大電"/>
    <s v="LAD"/>
    <s v="twdt21"/>
    <n v="1"/>
    <n v="3999"/>
    <n v="3999"/>
    <n v="805743"/>
    <m/>
    <m/>
    <s v="TWD-T21BU95UWH(WW) 805743"/>
    <n v="7280"/>
    <n v="0.54931318681318686"/>
    <s v="Toshiba SRP"/>
    <m/>
    <s v="805743"/>
  </r>
  <r>
    <n v="5071"/>
    <s v="Fortress"/>
    <s v="APM"/>
    <x v="70"/>
    <n v="3"/>
    <x v="21"/>
    <x v="66"/>
    <s v="變頻下置式雙門雪櫃（163L）"/>
    <s v="大電"/>
    <s v="REF"/>
    <s v="rb221"/>
    <n v="1"/>
    <n v="1880"/>
    <n v="1880"/>
    <n v="902934"/>
    <m/>
    <m/>
    <s v="GR-RB221WE-PMA(57) 902934"/>
    <n v="3480"/>
    <n v="0.54022988505747127"/>
    <s v="Toshiba SRP"/>
    <m/>
    <s v="902934"/>
  </r>
  <r>
    <n v="5072"/>
    <s v="Fortress"/>
    <s v="APM"/>
    <x v="70"/>
    <n v="3"/>
    <x v="21"/>
    <x v="27"/>
    <s v="4毫米厚釜電飯煲1.8L"/>
    <s v="細電"/>
    <s v="SDA"/>
    <s v="18nmf"/>
    <n v="1"/>
    <n v="799"/>
    <n v="799"/>
    <n v="703992"/>
    <m/>
    <m/>
    <s v="RC-18NMFIH(WT) 703992"/>
    <n v="998"/>
    <n v="0.80060120240480959"/>
    <s v="Toshiba SRP"/>
    <m/>
    <s v="703992"/>
  </r>
  <r>
    <n v="5073"/>
    <s v="Fortress"/>
    <s v="APM"/>
    <x v="70"/>
    <n v="3"/>
    <x v="21"/>
    <x v="39"/>
    <s v="酵活炊電飯煲(1.0公升)"/>
    <s v="細電"/>
    <s v="SDA"/>
    <s v="10amx"/>
    <n v="1"/>
    <n v="990"/>
    <n v="990"/>
    <n v="902890"/>
    <m/>
    <m/>
    <s v="RC-10AMXH(W) 902890"/>
    <n v="1288"/>
    <n v="0.76863354037267084"/>
    <s v="Toshiba SRP"/>
    <m/>
    <s v="902890"/>
  </r>
  <r>
    <n v="5074"/>
    <s v="Fortress"/>
    <s v="APM"/>
    <x v="70"/>
    <n v="3"/>
    <x v="21"/>
    <x v="37"/>
    <s v="電熱水瓶 (5公升)"/>
    <s v="細電"/>
    <s v="SDA"/>
    <s v="50dr"/>
    <n v="1"/>
    <n v="598"/>
    <n v="598"/>
    <n v="805705"/>
    <m/>
    <m/>
    <s v="TP-50DRUHK(W) 805705"/>
    <n v="718"/>
    <n v="0.83286908077994426"/>
    <s v="Toshiba SRP"/>
    <m/>
    <s v="805705"/>
  </r>
  <r>
    <n v="5075"/>
    <s v="Fortress"/>
    <s v="APM"/>
    <x v="70"/>
    <n v="3"/>
    <x v="21"/>
    <x v="83"/>
    <s v="R32變頻窗口式冷氣機 (獨立抽濕遙控"/>
    <s v="大電"/>
    <s v="AC"/>
    <s v="12g3cvr"/>
    <n v="1"/>
    <n v="5480"/>
    <n v="5480"/>
    <n v="805718"/>
    <m/>
    <m/>
    <s v="RAC-12G3CVRGR-HK 805718"/>
    <n v="8680"/>
    <n v="0.63133640552995396"/>
    <s v="Toshiba SRP"/>
    <m/>
    <s v="805718"/>
  </r>
  <r>
    <n v="5076"/>
    <s v="Fortress"/>
    <s v="APM"/>
    <x v="70"/>
    <n v="3"/>
    <x v="21"/>
    <x v="48"/>
    <s v="3合1 微波蒸焗爐 (20公升)"/>
    <s v="細電"/>
    <s v="MCA"/>
    <s v="tt20"/>
    <n v="1"/>
    <n v="2580"/>
    <n v="2580"/>
    <n v="805750"/>
    <m/>
    <m/>
    <s v="MX2-TT20SC(WH) 805750"/>
    <n v="3580"/>
    <n v="0.72067039106145248"/>
    <s v="Toshiba SRP"/>
    <m/>
    <s v="805750"/>
  </r>
  <r>
    <n v="5077"/>
    <s v="Fortress"/>
    <s v="APM"/>
    <x v="70"/>
    <n v="3"/>
    <x v="21"/>
    <x v="48"/>
    <s v="3合1 微波蒸焗爐 (20公升)"/>
    <s v="細電"/>
    <s v="MCA"/>
    <s v="tt20"/>
    <n v="1"/>
    <n v="2580"/>
    <n v="2580"/>
    <n v="902938"/>
    <m/>
    <m/>
    <s v="MX2-TT20SC(WH) 902938"/>
    <n v="3580"/>
    <n v="0.72067039106145248"/>
    <s v="Toshiba SRP"/>
    <m/>
    <s v="902938"/>
  </r>
  <r>
    <n v="5078"/>
    <s v="Fortress"/>
    <s v="APM"/>
    <x v="70"/>
    <n v="3"/>
    <x v="21"/>
    <x v="99"/>
    <s v="前置式變頻洗衣乾衣機 (洗10.5公斤 乾7公斤)"/>
    <s v="大電"/>
    <s v="LAD"/>
    <s v="twdt25"/>
    <n v="1"/>
    <n v="5980"/>
    <n v="5980"/>
    <n v="902936"/>
    <m/>
    <m/>
    <s v="TWD-T25BZU115MWH(MG) 902936"/>
    <n v="8280"/>
    <n v="0.72222222222222221"/>
    <s v="Toshiba SRP"/>
    <m/>
    <s v="902936"/>
  </r>
  <r>
    <n v="5079"/>
    <s v="Fortress"/>
    <s v="APM"/>
    <x v="70"/>
    <n v="3"/>
    <x v="21"/>
    <x v="140"/>
    <s v="10.5KG前置式變頻洗衣機"/>
    <s v="大電"/>
    <s v="WM"/>
    <s v="bl115"/>
    <n v="1"/>
    <n v="3380"/>
    <n v="3380"/>
    <n v="703976"/>
    <m/>
    <m/>
    <s v="TW-BL115A2H(WW) 703976"/>
    <n v="6480"/>
    <n v="0.52160493827160492"/>
    <s v="Toshiba SRP"/>
    <m/>
    <s v="703976"/>
  </r>
  <r>
    <n v="5080"/>
    <s v="Fortress"/>
    <s v="APM"/>
    <x v="70"/>
    <n v="3"/>
    <x v="21"/>
    <x v="104"/>
    <e v="#N/A"/>
    <e v="#N/A"/>
    <e v="#N/A"/>
    <m/>
    <m/>
    <m/>
    <n v="0"/>
    <m/>
    <s v="duplicated,twdt21,$3990,805743"/>
    <m/>
    <s v="Model-Input-Ref2 "/>
    <e v="#N/A"/>
    <e v="#N/A"/>
    <e v="#N/A"/>
    <m/>
    <s v=""/>
  </r>
  <r>
    <n v="5081"/>
    <s v="Fortress"/>
    <s v="APM"/>
    <x v="70"/>
    <n v="3"/>
    <x v="22"/>
    <x v="75"/>
    <s v="日式洗衣機 (8公斤 結合高低水位)"/>
    <s v="大電"/>
    <s v="LAD"/>
    <s v="q901"/>
    <n v="1"/>
    <n v="2280"/>
    <n v="2280"/>
    <n v="704076"/>
    <m/>
    <m/>
    <s v="AW-Q901BPH(WW) 704076"/>
    <n v="3780"/>
    <n v="0.60317460317460314"/>
    <s v="Toshiba SRP"/>
    <m/>
    <s v="704076"/>
  </r>
  <r>
    <n v="5082"/>
    <s v="Fortress"/>
    <s v="APM"/>
    <x v="70"/>
    <n v="3"/>
    <x v="22"/>
    <x v="87"/>
    <s v="變頻式環保雙門雪櫃(233L)"/>
    <s v="大電"/>
    <s v="REF"/>
    <s v="rt300"/>
    <n v="1"/>
    <n v="2780"/>
    <n v="2780"/>
    <n v="902990"/>
    <m/>
    <m/>
    <s v="GR-RT300WE-PMA(57) 902990"/>
    <n v="4280"/>
    <n v="0.64953271028037385"/>
    <s v="Toshiba SRP"/>
    <m/>
    <s v="902990"/>
  </r>
  <r>
    <n v="5083"/>
    <s v="Fortress"/>
    <s v="APM"/>
    <x v="70"/>
    <n v="3"/>
    <x v="22"/>
    <x v="87"/>
    <s v="變頻式環保雙門雪櫃(233L)"/>
    <s v="大電"/>
    <s v="REF"/>
    <s v="rt300"/>
    <n v="1"/>
    <n v="2780"/>
    <n v="2780"/>
    <n v="704043"/>
    <m/>
    <m/>
    <s v="GR-RT300WE-PMA(57) 704043"/>
    <n v="4280"/>
    <n v="0.64953271028037385"/>
    <s v="Toshiba SRP"/>
    <m/>
    <s v="704043"/>
  </r>
  <r>
    <n v="5084"/>
    <s v="Fortress"/>
    <s v="APM"/>
    <x v="70"/>
    <n v="3"/>
    <x v="22"/>
    <x v="87"/>
    <s v="變頻式環保雙門雪櫃(233L)"/>
    <s v="大電"/>
    <s v="REF"/>
    <s v="rt300"/>
    <n v="1"/>
    <n v="2780"/>
    <n v="2780"/>
    <n v="704048"/>
    <m/>
    <m/>
    <s v="GR-RT300WE-PMA(57) 704048"/>
    <n v="4280"/>
    <n v="0.64953271028037385"/>
    <s v="Toshiba SRP"/>
    <m/>
    <s v="704048"/>
  </r>
  <r>
    <n v="5085"/>
    <s v="Fortress"/>
    <s v="APM"/>
    <x v="70"/>
    <n v="3"/>
    <x v="22"/>
    <x v="42"/>
    <s v="變頻下置式雙門雪櫃系列270L"/>
    <s v="大電"/>
    <s v="REF"/>
    <s v="rb360"/>
    <n v="1"/>
    <n v="3680"/>
    <n v="3680"/>
    <n v="704019"/>
    <m/>
    <m/>
    <s v="GR-RB360WE-PMA(06) 704019"/>
    <n v="5080"/>
    <n v="0.72440944881889768"/>
    <s v="Toshiba SRP"/>
    <m/>
    <s v="704019"/>
  </r>
  <r>
    <n v="5086"/>
    <s v="Fortress"/>
    <s v="APM"/>
    <x v="70"/>
    <n v="3"/>
    <x v="22"/>
    <x v="17"/>
    <s v="4毫米厚釜電飯煲1L"/>
    <s v="細電"/>
    <s v="SDA"/>
    <s v="10nmf"/>
    <n v="1"/>
    <n v="719"/>
    <n v="719"/>
    <n v="704025"/>
    <m/>
    <m/>
    <s v="RC-10NMFIH(WT) 704025"/>
    <n v="898"/>
    <n v="0.80066815144766146"/>
    <s v="Toshiba SRP"/>
    <m/>
    <s v="704025"/>
  </r>
  <r>
    <n v="5087"/>
    <s v="Fortress"/>
    <s v="APM"/>
    <x v="70"/>
    <n v="3"/>
    <x v="22"/>
    <x v="39"/>
    <s v="酵活炊電飯煲(1.0公升)"/>
    <s v="細電"/>
    <s v="SDA"/>
    <s v="10amx"/>
    <n v="1"/>
    <n v="990"/>
    <n v="990"/>
    <n v="704020"/>
    <m/>
    <m/>
    <s v="RC-10AMXH(W) 704020"/>
    <n v="1288"/>
    <n v="0.76863354037267084"/>
    <s v="Toshiba SRP"/>
    <m/>
    <s v="704020"/>
  </r>
  <r>
    <n v="5088"/>
    <s v="Fortress"/>
    <s v="APM"/>
    <x v="70"/>
    <n v="3"/>
    <x v="22"/>
    <x v="39"/>
    <s v="酵活炊電飯煲(1.0公升)"/>
    <s v="細電"/>
    <s v="SDA"/>
    <s v="10amx"/>
    <n v="1"/>
    <n v="990"/>
    <n v="990"/>
    <n v="902979"/>
    <m/>
    <m/>
    <s v="RC-10AMXH(W) 902979"/>
    <n v="1288"/>
    <n v="0.76863354037267084"/>
    <s v="Toshiba SRP"/>
    <m/>
    <s v="902979"/>
  </r>
  <r>
    <n v="5089"/>
    <s v="Fortress"/>
    <s v="APM"/>
    <x v="70"/>
    <n v="3"/>
    <x v="22"/>
    <x v="39"/>
    <s v="酵活炊電飯煲(1.0公升)"/>
    <s v="細電"/>
    <s v="SDA"/>
    <s v="10amx"/>
    <n v="1"/>
    <n v="990"/>
    <n v="990"/>
    <n v="704033"/>
    <m/>
    <m/>
    <s v="RC-10AMXH(W) 704033"/>
    <n v="1288"/>
    <n v="0.76863354037267084"/>
    <s v="Toshiba SRP"/>
    <m/>
    <s v="704033"/>
  </r>
  <r>
    <n v="5090"/>
    <s v="Fortress"/>
    <s v="APM"/>
    <x v="70"/>
    <n v="3"/>
    <x v="23"/>
    <x v="27"/>
    <s v="4毫米厚釜電飯煲1.8L"/>
    <s v="細電"/>
    <s v="SDA"/>
    <s v="18nmf"/>
    <n v="1"/>
    <n v="799"/>
    <n v="799"/>
    <n v="805986"/>
    <m/>
    <m/>
    <s v="RC-18NMFIH(WT) 805986"/>
    <n v="998"/>
    <n v="0.80060120240480959"/>
    <s v="Toshiba SRP"/>
    <m/>
    <s v="805986"/>
  </r>
  <r>
    <n v="5091"/>
    <s v="Fortress"/>
    <s v="APM"/>
    <x v="70"/>
    <n v="3"/>
    <x v="23"/>
    <x v="61"/>
    <s v="酵活炊電飯煲(1.8公升)"/>
    <s v="細電"/>
    <s v="SDA"/>
    <s v="18amx"/>
    <n v="1"/>
    <n v="990"/>
    <n v="990"/>
    <n v="805954"/>
    <m/>
    <m/>
    <s v="RC-18AMXH(W) 805954"/>
    <n v="1588"/>
    <n v="0.62342569269521408"/>
    <s v="Toshiba SRP"/>
    <m/>
    <s v="805954"/>
  </r>
  <r>
    <n v="5092"/>
    <s v="Fortress"/>
    <s v="APM"/>
    <x v="70"/>
    <n v="3"/>
    <x v="23"/>
    <x v="113"/>
    <s v="迷你壓力磁應電飯煲(0.63公升)"/>
    <s v="細電"/>
    <s v="SDA"/>
    <s v="6px"/>
    <n v="1"/>
    <n v="938"/>
    <n v="938"/>
    <n v="805947"/>
    <m/>
    <m/>
    <s v="RC-6PXTHK(W) 805947"/>
    <n v="1398"/>
    <n v="0.67095851216022895"/>
    <s v="Toshiba SRP"/>
    <m/>
    <s v="805947"/>
  </r>
  <r>
    <n v="5093"/>
    <s v="Fortress"/>
    <s v="APM"/>
    <x v="70"/>
    <n v="3"/>
    <x v="23"/>
    <x v="54"/>
    <s v="低醣磁應電飯煲1L"/>
    <s v="細電"/>
    <s v="SDA"/>
    <s v="10irph"/>
    <n v="1"/>
    <n v="798"/>
    <n v="798"/>
    <n v="805988"/>
    <m/>
    <m/>
    <s v="RC-10IRPH 805988"/>
    <n v="1388"/>
    <n v="0.5749279538904899"/>
    <s v="Toshiba SRP"/>
    <m/>
    <s v="805988"/>
  </r>
  <r>
    <n v="5094"/>
    <s v="Fortress"/>
    <s v="APM"/>
    <x v="70"/>
    <n v="3"/>
    <x v="23"/>
    <x v="38"/>
    <s v="無線雙層電熱水壺-附可鎖壺蓋"/>
    <s v="細電"/>
    <s v="SDA"/>
    <s v="15drt"/>
    <n v="1"/>
    <n v="358"/>
    <n v="358"/>
    <n v="903030"/>
    <m/>
    <m/>
    <s v="KT-15DRTHK(W) 903030"/>
    <n v="598"/>
    <n v="0.59866220735785958"/>
    <s v="Toshiba SRP"/>
    <m/>
    <s v="903030"/>
  </r>
  <r>
    <n v="5095"/>
    <s v="Fortress"/>
    <s v="APM"/>
    <x v="70"/>
    <n v="3"/>
    <x v="23"/>
    <x v="34"/>
    <s v="智能氣炸烤焗爐(24公升)"/>
    <s v="細電"/>
    <s v="MCA"/>
    <s v="sac24"/>
    <n v="1"/>
    <n v="1249"/>
    <n v="1249"/>
    <n v="903052"/>
    <m/>
    <m/>
    <s v="MW3-SAC24SE(BK) 903052"/>
    <n v="1680"/>
    <n v="0.74345238095238098"/>
    <s v="Toshiba SRP"/>
    <m/>
    <s v="903052"/>
  </r>
  <r>
    <n v="5096"/>
    <s v="Fortress"/>
    <s v="APM"/>
    <x v="70"/>
    <n v="3"/>
    <x v="24"/>
    <x v="96"/>
    <s v="日式洗衣機 (7公斤 結合高低水位)"/>
    <s v="大電"/>
    <s v="LAD"/>
    <s v="q800"/>
    <n v="1"/>
    <n v="1980"/>
    <n v="1980"/>
    <n v="806008"/>
    <m/>
    <m/>
    <s v="AW-Q800APH(WW) 806008"/>
    <n v="3580"/>
    <n v="0.55307262569832405"/>
    <s v="Toshiba SRP"/>
    <m/>
    <s v="806008"/>
  </r>
  <r>
    <n v="5097"/>
    <s v="Fortress"/>
    <s v="APM"/>
    <x v="70"/>
    <n v="3"/>
    <x v="24"/>
    <x v="96"/>
    <s v="日式洗衣機 (7公斤 結合高低水位)"/>
    <s v="大電"/>
    <s v="LAD"/>
    <s v="q800"/>
    <n v="1"/>
    <n v="1980"/>
    <n v="1980"/>
    <n v="806032"/>
    <m/>
    <m/>
    <s v="AW-Q800APH(WW) 806032"/>
    <n v="3580"/>
    <n v="0.55307262569832405"/>
    <s v="Toshiba SRP"/>
    <m/>
    <s v="806032"/>
  </r>
  <r>
    <n v="5098"/>
    <s v="Fortress"/>
    <s v="APM"/>
    <x v="70"/>
    <n v="3"/>
    <x v="24"/>
    <x v="96"/>
    <s v="日式洗衣機 (7公斤 結合高低水位)"/>
    <s v="大電"/>
    <s v="LAD"/>
    <s v="q800"/>
    <n v="1"/>
    <n v="1980"/>
    <n v="1980"/>
    <n v="806035"/>
    <m/>
    <m/>
    <s v="AW-Q800APH(WW) 806035"/>
    <n v="3580"/>
    <n v="0.55307262569832405"/>
    <s v="Toshiba SRP"/>
    <m/>
    <s v="806035"/>
  </r>
  <r>
    <n v="5099"/>
    <s v="Fortress"/>
    <s v="APM"/>
    <x v="70"/>
    <n v="3"/>
    <x v="24"/>
    <x v="96"/>
    <s v="日式洗衣機 (7公斤 結合高低水位)"/>
    <s v="大電"/>
    <s v="LAD"/>
    <s v="q800"/>
    <n v="1"/>
    <n v="1980"/>
    <n v="1980"/>
    <n v="806061"/>
    <m/>
    <m/>
    <s v="AW-Q800APH(WW) 806061"/>
    <n v="3580"/>
    <n v="0.55307262569832405"/>
    <s v="Toshiba SRP"/>
    <m/>
    <s v="806061"/>
  </r>
  <r>
    <n v="5100"/>
    <s v="Fortress"/>
    <s v="APM"/>
    <x v="70"/>
    <n v="3"/>
    <x v="24"/>
    <x v="96"/>
    <s v="日式洗衣機 (7公斤 結合高低水位)"/>
    <s v="大電"/>
    <s v="LAD"/>
    <s v="q800"/>
    <n v="1"/>
    <n v="1980"/>
    <n v="1980"/>
    <n v="903101"/>
    <m/>
    <m/>
    <s v="AW-Q800APH(WW) 903101"/>
    <n v="3580"/>
    <n v="0.55307262569832405"/>
    <s v="Toshiba SRP"/>
    <m/>
    <s v="903101"/>
  </r>
  <r>
    <n v="5101"/>
    <s v="Fortress"/>
    <s v="APM"/>
    <x v="70"/>
    <n v="3"/>
    <x v="24"/>
    <x v="43"/>
    <s v="470MM超薄身前置式變頻洗衣機(8.5公斤, 可飛頂)"/>
    <s v="大電"/>
    <s v="LAD"/>
    <s v="t2295"/>
    <n v="1"/>
    <n v="3690"/>
    <n v="3690"/>
    <n v="805990"/>
    <m/>
    <m/>
    <s v="TW-T22BU95UWH(WK)-B 805990"/>
    <n v="5880"/>
    <n v="0.62755102040816324"/>
    <s v="Toshiba SRP"/>
    <m/>
    <s v="805990"/>
  </r>
  <r>
    <n v="5102"/>
    <s v="Fortress"/>
    <s v="APM"/>
    <x v="70"/>
    <n v="3"/>
    <x v="24"/>
    <x v="66"/>
    <s v="變頻下置式雙門雪櫃（163L）"/>
    <s v="大電"/>
    <s v="REF"/>
    <s v="rb221"/>
    <n v="1"/>
    <n v="1880"/>
    <n v="1880"/>
    <n v="806032"/>
    <m/>
    <m/>
    <s v="GR-RB221WE-PMA(57) 806032"/>
    <n v="3480"/>
    <n v="0.54022988505747127"/>
    <s v="Toshiba SRP"/>
    <m/>
    <s v="806032"/>
  </r>
  <r>
    <n v="5103"/>
    <s v="Fortress"/>
    <s v="APM"/>
    <x v="70"/>
    <n v="3"/>
    <x v="24"/>
    <x v="42"/>
    <s v="變頻下置式雙門雪櫃系列270L"/>
    <s v="大電"/>
    <s v="REF"/>
    <s v="rb360"/>
    <n v="1"/>
    <n v="3680"/>
    <n v="3680"/>
    <n v="806026"/>
    <m/>
    <m/>
    <s v="GR-RB360WE-PMA(06) 806026"/>
    <n v="5080"/>
    <n v="0.72440944881889768"/>
    <s v="Toshiba SRP"/>
    <m/>
    <s v="806026"/>
  </r>
  <r>
    <n v="5104"/>
    <s v="Fortress"/>
    <s v="APM"/>
    <x v="70"/>
    <n v="3"/>
    <x v="24"/>
    <x v="110"/>
    <s v="變頻六門雪櫃(451L)"/>
    <s v="大電"/>
    <s v="REF"/>
    <s v="rm598"/>
    <n v="1"/>
    <n v="10990"/>
    <n v="10990"/>
    <n v="704095"/>
    <m/>
    <m/>
    <s v="GR-RM598WE-PGA(B3) 704095"/>
    <n v="14980"/>
    <n v="0.73364485981308414"/>
    <s v="Toshiba SRP"/>
    <m/>
    <s v="704095"/>
  </r>
  <r>
    <n v="5105"/>
    <s v="Fortress"/>
    <s v="APM"/>
    <x v="70"/>
    <n v="3"/>
    <x v="24"/>
    <x v="61"/>
    <s v="酵活炊電飯煲(1.8公升)"/>
    <s v="細電"/>
    <s v="SDA"/>
    <s v="18amx"/>
    <n v="1"/>
    <n v="990"/>
    <n v="990"/>
    <n v="903094"/>
    <m/>
    <m/>
    <s v="RC-18AMXH(W) 903094"/>
    <n v="1588"/>
    <n v="0.62342569269521408"/>
    <s v="Toshiba SRP"/>
    <m/>
    <s v="903094"/>
  </r>
  <r>
    <n v="5106"/>
    <s v="Fortress"/>
    <s v="APM"/>
    <x v="70"/>
    <n v="3"/>
    <x v="27"/>
    <x v="135"/>
    <s v="變頻日式洗衣機 (10公斤 結合高低水位)"/>
    <s v="大電"/>
    <s v="LAD"/>
    <s v="dq110"/>
    <n v="1"/>
    <n v="2780"/>
    <n v="2780"/>
    <n v="806106"/>
    <m/>
    <m/>
    <s v="AW-DQ110JPH(WW) 806106"/>
    <n v="4680"/>
    <n v="0.59401709401709402"/>
    <s v="Toshiba SRP"/>
    <m/>
    <s v="806106"/>
  </r>
  <r>
    <n v="5107"/>
    <s v="Fortress"/>
    <s v="APM"/>
    <x v="70"/>
    <n v="3"/>
    <x v="27"/>
    <x v="75"/>
    <s v="日式洗衣機 (8公斤 結合高低水位)"/>
    <s v="大電"/>
    <s v="LAD"/>
    <s v="q901"/>
    <n v="1"/>
    <n v="2280"/>
    <n v="2280"/>
    <n v="806255"/>
    <m/>
    <m/>
    <s v="AW-Q901BPH(WW) 806255"/>
    <n v="3780"/>
    <n v="0.60317460317460314"/>
    <s v="Toshiba SRP"/>
    <m/>
    <s v="806255"/>
  </r>
  <r>
    <n v="5108"/>
    <s v="Fortress"/>
    <s v="APM"/>
    <x v="70"/>
    <n v="3"/>
    <x v="27"/>
    <x v="140"/>
    <s v="10.5KG前置式變頻洗衣機"/>
    <s v="大電"/>
    <s v="WM"/>
    <s v="bl115"/>
    <n v="1"/>
    <n v="3380"/>
    <n v="3380"/>
    <n v="903207"/>
    <m/>
    <m/>
    <s v="TW-BL115A2H(WW) 903207"/>
    <n v="6480"/>
    <n v="0.52160493827160492"/>
    <s v="Toshiba SRP"/>
    <m/>
    <s v="903207"/>
  </r>
  <r>
    <n v="5109"/>
    <s v="Fortress"/>
    <s v="APM"/>
    <x v="70"/>
    <n v="3"/>
    <x v="27"/>
    <x v="87"/>
    <s v="變頻式環保雙門雪櫃(233L)"/>
    <s v="大電"/>
    <s v="REF"/>
    <s v="rt300"/>
    <n v="1"/>
    <n v="2780"/>
    <n v="2780"/>
    <n v="806306"/>
    <m/>
    <m/>
    <s v="GR-RT300WE-PMA(57) 806306"/>
    <n v="4280"/>
    <n v="0.64953271028037385"/>
    <s v="Toshiba SRP"/>
    <m/>
    <s v="806306"/>
  </r>
  <r>
    <n v="5110"/>
    <s v="Fortress"/>
    <s v="APM"/>
    <x v="70"/>
    <n v="3"/>
    <x v="27"/>
    <x v="66"/>
    <s v="變頻下置式雙門雪櫃（163L）"/>
    <s v="大電"/>
    <s v="REF"/>
    <s v="rb221"/>
    <n v="1"/>
    <n v="1880"/>
    <n v="1880"/>
    <n v="903215"/>
    <m/>
    <m/>
    <s v="GR-RB221WE-PMA(57) 903215"/>
    <n v="3480"/>
    <n v="0.54022988505747127"/>
    <s v="Toshiba SRP"/>
    <m/>
    <s v="903215"/>
  </r>
  <r>
    <n v="5111"/>
    <s v="Fortress"/>
    <s v="APM"/>
    <x v="70"/>
    <n v="3"/>
    <x v="27"/>
    <x v="42"/>
    <s v="變頻下置式雙門雪櫃系列270L"/>
    <s v="大電"/>
    <s v="REF"/>
    <s v="rb360"/>
    <n v="1"/>
    <n v="3780"/>
    <n v="3780"/>
    <n v="903216"/>
    <m/>
    <m/>
    <s v="GR-RB360WE-PMA(06) 903216"/>
    <n v="5080"/>
    <n v="0.74409448818897639"/>
    <s v="Toshiba SRP"/>
    <m/>
    <s v="903216"/>
  </r>
  <r>
    <n v="5112"/>
    <s v="Fortress"/>
    <s v="APM"/>
    <x v="70"/>
    <n v="3"/>
    <x v="27"/>
    <x v="42"/>
    <s v="變頻下置式雙門雪櫃系列270L"/>
    <s v="大電"/>
    <s v="REF"/>
    <s v="rb360"/>
    <n v="1"/>
    <n v="3780"/>
    <n v="3780"/>
    <n v="903220"/>
    <m/>
    <m/>
    <s v="GR-RB360WE-PMA(06) 903220"/>
    <n v="5080"/>
    <n v="0.74409448818897639"/>
    <s v="Toshiba SRP"/>
    <m/>
    <s v="903220"/>
  </r>
  <r>
    <n v="5113"/>
    <s v="Fortress"/>
    <s v="APM"/>
    <x v="70"/>
    <n v="3"/>
    <x v="27"/>
    <x v="39"/>
    <s v="酵活炊電飯煲(1.0公升)"/>
    <s v="細電"/>
    <s v="SDA"/>
    <s v="10amx"/>
    <n v="1"/>
    <n v="990"/>
    <n v="990"/>
    <n v="903237"/>
    <m/>
    <m/>
    <s v="RC-10AMXH(W) 903237"/>
    <n v="1288"/>
    <n v="0.76863354037267084"/>
    <s v="Toshiba SRP"/>
    <m/>
    <s v="903237"/>
  </r>
  <r>
    <n v="5114"/>
    <s v="Fortress"/>
    <s v="APM"/>
    <x v="70"/>
    <n v="3"/>
    <x v="27"/>
    <x v="109"/>
    <s v="12吋座地座檯電風扇"/>
    <s v="細電"/>
    <s v="SDA"/>
    <s v="b60"/>
    <n v="1"/>
    <n v="498"/>
    <n v="498"/>
    <n v="806263"/>
    <m/>
    <m/>
    <s v="F-ALB60HK(B) 806263"/>
    <n v="839"/>
    <n v="0.59356376638855779"/>
    <s v="Shops Highest Price"/>
    <m/>
    <s v="806263"/>
  </r>
  <r>
    <n v="5115"/>
    <s v="Fortress"/>
    <s v="APM"/>
    <x v="70"/>
    <n v="3"/>
    <x v="27"/>
    <x v="92"/>
    <s v="1 匹 R32變頻窗口式冷氣機 (獨立抽濕遙控"/>
    <s v="大電"/>
    <s v="AC"/>
    <s v="09g3cvr"/>
    <n v="1"/>
    <n v="4517"/>
    <n v="4517"/>
    <n v="806286"/>
    <m/>
    <m/>
    <s v="RAC-09G3CVRGR-HK 806286"/>
    <n v="6980"/>
    <n v="0.64713467048710605"/>
    <s v="Toshiba SRP"/>
    <m/>
    <s v="806286"/>
  </r>
  <r>
    <n v="5116"/>
    <s v="Fortress"/>
    <s v="APM"/>
    <x v="70"/>
    <n v="3"/>
    <x v="27"/>
    <x v="104"/>
    <e v="#N/A"/>
    <e v="#N/A"/>
    <e v="#N/A"/>
    <m/>
    <m/>
    <m/>
    <n v="0"/>
    <m/>
    <s v="duplicated,bl115,$3380,903207"/>
    <m/>
    <s v="Model-Input-Ref2 "/>
    <e v="#N/A"/>
    <e v="#N/A"/>
    <e v="#N/A"/>
    <m/>
    <s v=""/>
  </r>
  <r>
    <n v="5117"/>
    <s v="Fortress"/>
    <s v="APM"/>
    <x v="70"/>
    <n v="3"/>
    <x v="29"/>
    <x v="96"/>
    <s v="日式洗衣機 (7公斤 結合高低水位)"/>
    <s v="大電"/>
    <s v="LAD"/>
    <s v="q800"/>
    <n v="1"/>
    <n v="1980"/>
    <n v="1980"/>
    <n v="903318"/>
    <m/>
    <m/>
    <s v="AW-Q800APH(WW) 903318"/>
    <n v="3580"/>
    <n v="0.55307262569832405"/>
    <s v="Toshiba SRP"/>
    <m/>
    <s v="903318"/>
  </r>
  <r>
    <n v="5118"/>
    <s v="Fortress"/>
    <s v="APM"/>
    <x v="70"/>
    <n v="3"/>
    <x v="29"/>
    <x v="87"/>
    <s v="變頻式環保雙門雪櫃(233L)"/>
    <s v="大電"/>
    <s v="REF"/>
    <s v="rt300"/>
    <n v="1"/>
    <n v="2780"/>
    <n v="2780"/>
    <n v="903317"/>
    <m/>
    <m/>
    <s v="GR-RT300WE-PMA(57) 903317"/>
    <n v="4280"/>
    <n v="0.64953271028037385"/>
    <s v="Toshiba SRP"/>
    <m/>
    <s v="903317"/>
  </r>
  <r>
    <n v="5119"/>
    <s v="Fortress"/>
    <s v="APM"/>
    <x v="70"/>
    <n v="3"/>
    <x v="29"/>
    <x v="7"/>
    <s v="4毫米厚釜電飯煲0.54L"/>
    <s v="細電"/>
    <s v="SDA"/>
    <s v="5mm"/>
    <n v="1"/>
    <n v="557"/>
    <n v="557"/>
    <n v="806463"/>
    <m/>
    <m/>
    <s v="RC-5MMIH(WT) 806463"/>
    <n v="618"/>
    <n v="0.90129449838187703"/>
    <s v="Toshiba SRP"/>
    <m/>
    <s v="806463"/>
  </r>
  <r>
    <n v="5120"/>
    <s v="Fortress"/>
    <s v="APM"/>
    <x v="70"/>
    <n v="3"/>
    <x v="29"/>
    <x v="113"/>
    <s v="迷你壓力磁應電飯煲(0.63公升)"/>
    <s v="細電"/>
    <s v="SDA"/>
    <s v="6px"/>
    <n v="1"/>
    <n v="938"/>
    <n v="938"/>
    <n v="704178"/>
    <m/>
    <m/>
    <s v="RC-6PXTHK(W) 704178"/>
    <n v="1398"/>
    <n v="0.67095851216022895"/>
    <s v="Toshiba SRP"/>
    <m/>
    <s v="704178"/>
  </r>
  <r>
    <n v="5121"/>
    <s v="Fortress"/>
    <s v="APM"/>
    <x v="70"/>
    <n v="3"/>
    <x v="29"/>
    <x v="113"/>
    <s v="迷你壓力磁應電飯煲(0.63公升)"/>
    <s v="細電"/>
    <s v="SDA"/>
    <s v="6px"/>
    <n v="1"/>
    <n v="938"/>
    <n v="938"/>
    <n v="806487"/>
    <m/>
    <m/>
    <s v="RC-6PXTHK(W) 806487"/>
    <n v="1398"/>
    <n v="0.67095851216022895"/>
    <s v="Toshiba SRP"/>
    <m/>
    <s v="806487"/>
  </r>
  <r>
    <n v="5122"/>
    <s v="Fortress"/>
    <s v="APM"/>
    <x v="70"/>
    <n v="3"/>
    <x v="29"/>
    <x v="62"/>
    <s v="智能水波爐 (26公升)"/>
    <s v="細電"/>
    <s v="MCA"/>
    <s v="sd99"/>
    <n v="1"/>
    <n v="3589"/>
    <n v="3589"/>
    <n v="903302"/>
    <m/>
    <m/>
    <s v="ER-SD99HKW 903302"/>
    <n v="5888"/>
    <n v="0.60954483695652173"/>
    <s v="Toshiba SRP"/>
    <m/>
    <s v="903302"/>
  </r>
  <r>
    <n v="5123"/>
    <s v="Fortress"/>
    <s v="APM"/>
    <x v="70"/>
    <n v="3"/>
    <x v="29"/>
    <x v="48"/>
    <s v="3合1 微波蒸焗爐 (20公升)"/>
    <s v="細電"/>
    <s v="MCA"/>
    <s v="tt20"/>
    <n v="1"/>
    <n v="2580"/>
    <n v="2580"/>
    <n v="806469"/>
    <m/>
    <m/>
    <s v="MX2-TT20SC(WH) 806469"/>
    <n v="3580"/>
    <n v="0.72067039106145248"/>
    <s v="Toshiba SRP"/>
    <m/>
    <s v="806469"/>
  </r>
  <r>
    <n v="5124"/>
    <s v="Broadway"/>
    <s v="Kln Bay Demo"/>
    <x v="71"/>
    <n v="3"/>
    <x v="0"/>
    <x v="13"/>
    <s v="獨立式免安裝洗碗碟機"/>
    <s v="細電"/>
    <s v="DM"/>
    <s v="34ahk"/>
    <n v="1"/>
    <n v="2230"/>
    <n v="2230"/>
    <s v="451695"/>
    <m/>
    <m/>
    <s v="DWS-34AHK 451695"/>
    <n v="3999"/>
    <n v="0.55763940985246307"/>
    <s v="Web SRP"/>
    <m/>
    <s v="451695"/>
  </r>
  <r>
    <n v="5125"/>
    <s v="Broadway"/>
    <s v="Kln Bay Demo"/>
    <x v="71"/>
    <n v="3"/>
    <x v="0"/>
    <x v="121"/>
    <s v="IH磁應電飯煲"/>
    <s v="細電"/>
    <s v="SDA"/>
    <s v="ds10kw"/>
    <n v="1"/>
    <n v="2870"/>
    <n v="2870"/>
    <s v="451715"/>
    <m/>
    <m/>
    <s v="RC-DS10K(N) 451715"/>
    <n v="4588"/>
    <n v="0.62554489973844818"/>
    <s v="Toshiba SRP"/>
    <m/>
    <s v="451715"/>
  </r>
  <r>
    <n v="5126"/>
    <s v="Broadway"/>
    <s v="Kln Bay Demo"/>
    <x v="71"/>
    <n v="3"/>
    <x v="0"/>
    <x v="8"/>
    <s v="電壓力鍋"/>
    <s v="細電"/>
    <s v="SDA"/>
    <s v="PC-48DRSHK(K)"/>
    <n v="1"/>
    <n v="788"/>
    <n v="788"/>
    <s v="S17M63-589"/>
    <m/>
    <m/>
    <s v="PC-48DRSHK(K) S17M63-589"/>
    <n v="1188"/>
    <n v="0.66329966329966328"/>
    <s v="Shops Highest Price"/>
    <m/>
    <s v="S17M63-589"/>
  </r>
  <r>
    <n v="5127"/>
    <s v="Broadway"/>
    <s v="Kln Bay Demo"/>
    <x v="71"/>
    <n v="3"/>
    <x v="0"/>
    <x v="28"/>
    <s v="無線雙層電熱水壺-附可鎖壺蓋(0.8公升)"/>
    <s v="細電"/>
    <s v="SDA"/>
    <s v="KT-08DH1VHK(W)"/>
    <n v="1"/>
    <n v="308"/>
    <n v="308"/>
    <s v="451715"/>
    <m/>
    <m/>
    <s v="KT-08DH1VHK(W) 451715"/>
    <n v="428"/>
    <n v="0.71962616822429903"/>
    <s v="Toshiba SRP"/>
    <m/>
    <s v="451715"/>
  </r>
  <r>
    <n v="5128"/>
    <s v="Broadway"/>
    <s v="Kln Bay Demo"/>
    <x v="71"/>
    <n v="3"/>
    <x v="0"/>
    <x v="121"/>
    <s v="IH磁應電飯煲"/>
    <s v="細電"/>
    <s v="SDA"/>
    <s v="ds10kw"/>
    <n v="1"/>
    <n v="2870"/>
    <n v="2870"/>
    <s v="451702"/>
    <m/>
    <m/>
    <s v="RC-DS10K(N) 451702"/>
    <n v="4588"/>
    <n v="0.62554489973844818"/>
    <s v="Toshiba SRP"/>
    <m/>
    <s v="451702"/>
  </r>
  <r>
    <n v="5129"/>
    <s v="Broadway"/>
    <s v="Kln Bay Demo"/>
    <x v="71"/>
    <n v="3"/>
    <x v="0"/>
    <x v="116"/>
    <s v="IH磁應電飯煲"/>
    <s v="細電"/>
    <s v="SDA"/>
    <s v="ds18kw"/>
    <n v="1"/>
    <n v="3190"/>
    <n v="3190"/>
    <s v="451702"/>
    <m/>
    <m/>
    <s v="RC-DS18K(N) 451702"/>
    <n v="4988"/>
    <n v="0.63953488372093026"/>
    <s v="Toshiba SRP"/>
    <m/>
    <s v="451702"/>
  </r>
  <r>
    <n v="5130"/>
    <s v="Broadway"/>
    <s v="Kln Bay Demo"/>
    <x v="71"/>
    <n v="3"/>
    <x v="0"/>
    <x v="74"/>
    <s v="4合1氣炸微波蒸焗爐(25公升)"/>
    <s v="細電"/>
    <s v="MCA"/>
    <s v="MX2-STR25SC(WH)"/>
    <n v="1"/>
    <n v="3278"/>
    <n v="3278"/>
    <s v="451741"/>
    <m/>
    <m/>
    <s v="MX2-STR25SC(WH) 451741"/>
    <n v="4998"/>
    <n v="0.65586234493797524"/>
    <s v="Toshiba SRP"/>
    <m/>
    <s v="451741"/>
  </r>
  <r>
    <n v="5131"/>
    <s v="Broadway"/>
    <s v="Kln Bay Demo"/>
    <x v="71"/>
    <n v="3"/>
    <x v="0"/>
    <x v="74"/>
    <s v="4合1氣炸微波蒸焗爐(25公升)"/>
    <s v="細電"/>
    <s v="MCA"/>
    <s v="MX2-STR25SC(WH)"/>
    <n v="1"/>
    <n v="3278"/>
    <n v="3278"/>
    <s v="451717"/>
    <m/>
    <m/>
    <s v="MX2-STR25SC(WH) 451717"/>
    <n v="4998"/>
    <n v="0.65586234493797524"/>
    <s v="Toshiba SRP"/>
    <m/>
    <s v="451717"/>
  </r>
  <r>
    <n v="5132"/>
    <s v="Broadway"/>
    <s v="Kln Bay Demo"/>
    <x v="71"/>
    <n v="3"/>
    <x v="0"/>
    <x v="74"/>
    <s v="4合1氣炸微波蒸焗爐(25公升)"/>
    <s v="細電"/>
    <s v="MCA"/>
    <s v="MX2-STR25SC(WH)"/>
    <n v="1"/>
    <n v="3278"/>
    <n v="3278"/>
    <s v="S17M51-4034"/>
    <m/>
    <m/>
    <s v="MX2-STR25SC(WH) S17M51-4034"/>
    <n v="4998"/>
    <n v="0.65586234493797524"/>
    <s v="Toshiba SRP"/>
    <m/>
    <s v="S17M51-4034"/>
  </r>
  <r>
    <n v="5133"/>
    <s v="Broadway"/>
    <s v="Kln Bay Demo"/>
    <x v="71"/>
    <n v="3"/>
    <x v="0"/>
    <x v="48"/>
    <s v="3合1 微波蒸焗爐 (20公升)"/>
    <s v="細電"/>
    <s v="MCA"/>
    <s v="MX2-TT20SC(WH)"/>
    <n v="1"/>
    <n v="2330"/>
    <n v="2330"/>
    <s v="451716"/>
    <m/>
    <m/>
    <s v="MX2-TT20SC(WH) 451716"/>
    <n v="3580"/>
    <n v="0.65083798882681565"/>
    <s v="Toshiba SRP"/>
    <m/>
    <s v="451716"/>
  </r>
  <r>
    <n v="5134"/>
    <s v="Broadway"/>
    <s v="Kln Bay Demo"/>
    <x v="71"/>
    <n v="3"/>
    <x v="5"/>
    <x v="88"/>
    <s v="水波爐"/>
    <s v="細電"/>
    <s v="MCA"/>
    <s v="ER-VD7000HK(XK)"/>
    <n v="1"/>
    <n v="6200"/>
    <n v="6200"/>
    <s v="451744"/>
    <m/>
    <m/>
    <s v="ER-VD7000HK(XK) 451744"/>
    <n v="8998"/>
    <n v="0.68904200933540782"/>
    <s v="Toshiba SRP"/>
    <m/>
    <s v="451744"/>
  </r>
  <r>
    <n v="5135"/>
    <s v="Broadway"/>
    <s v="Kln Bay Demo"/>
    <x v="71"/>
    <n v="3"/>
    <x v="5"/>
    <x v="31"/>
    <s v="無線雙層電熱水壺(1.7公升)"/>
    <s v="細電"/>
    <s v="SDA"/>
    <s v="KT-17DRTHK(H)"/>
    <n v="1"/>
    <n v="388"/>
    <n v="388"/>
    <s v="1450"/>
    <m/>
    <m/>
    <s v="KT-17DRTHK(H) 1450"/>
    <n v="498"/>
    <n v="0.77911646586345384"/>
    <s v="Toshiba SRP"/>
    <m/>
    <s v="1450"/>
  </r>
  <r>
    <n v="5136"/>
    <s v="Broadway"/>
    <s v="Kln Bay Demo"/>
    <x v="71"/>
    <n v="3"/>
    <x v="5"/>
    <x v="33"/>
    <s v="輕觸式燒烤微波爐"/>
    <s v="細電"/>
    <s v="MCA"/>
    <s v="MM2-EG20PC(WH)"/>
    <n v="1"/>
    <n v="698"/>
    <n v="698"/>
    <s v="5479"/>
    <m/>
    <m/>
    <s v="MM2-EG20PC(WH) 5479"/>
    <n v="918"/>
    <n v="0.76034858387799564"/>
    <s v="Shops Highest Price"/>
    <m/>
    <s v="5479"/>
  </r>
  <r>
    <n v="5137"/>
    <s v="Broadway"/>
    <s v="Kln Bay Demo"/>
    <x v="71"/>
    <n v="3"/>
    <x v="5"/>
    <x v="33"/>
    <s v="輕觸式燒烤微波爐"/>
    <s v="細電"/>
    <s v="MCA"/>
    <s v="MM2-EG20PC(WH)"/>
    <n v="1"/>
    <n v="698"/>
    <n v="698"/>
    <s v="5482"/>
    <m/>
    <m/>
    <s v="MM2-EG20PC(WH) 5482"/>
    <n v="918"/>
    <n v="0.76034858387799564"/>
    <s v="Shops Highest Price"/>
    <m/>
    <s v="5482"/>
  </r>
  <r>
    <n v="5138"/>
    <s v="Broadway"/>
    <s v="Kln Bay Demo"/>
    <x v="71"/>
    <n v="3"/>
    <x v="5"/>
    <x v="74"/>
    <s v="4合1氣炸微波蒸焗爐(25公升)"/>
    <s v="細電"/>
    <s v="MCA"/>
    <s v="MX2-STR25SC(WH)"/>
    <n v="1"/>
    <n v="3278"/>
    <n v="3278"/>
    <s v="S17M63-597"/>
    <m/>
    <m/>
    <s v="MX2-STR25SC(WH) S17M63-597"/>
    <n v="4998"/>
    <n v="0.65586234493797524"/>
    <s v="Toshiba SRP"/>
    <m/>
    <s v="S17M63-597"/>
  </r>
  <r>
    <n v="5139"/>
    <s v="Broadway"/>
    <s v="Kln Bay Demo"/>
    <x v="71"/>
    <n v="3"/>
    <x v="5"/>
    <x v="31"/>
    <s v="無線雙層電熱水壺(1.7公升)"/>
    <s v="細電"/>
    <s v="SDA"/>
    <s v="KT-17DRTHK(H)"/>
    <n v="1"/>
    <n v="388"/>
    <n v="388"/>
    <s v="756"/>
    <m/>
    <m/>
    <s v="KT-17DRTHK(H) 756"/>
    <n v="498"/>
    <n v="0.77911646586345384"/>
    <s v="Toshiba SRP"/>
    <m/>
    <s v="756"/>
  </r>
  <r>
    <n v="5140"/>
    <s v="Broadway"/>
    <s v="Kln Bay Demo"/>
    <x v="71"/>
    <n v="3"/>
    <x v="6"/>
    <x v="48"/>
    <s v="3合1 微波蒸焗爐 (20公升)"/>
    <s v="細電"/>
    <s v="MCA"/>
    <s v="MX2-TT20SC(WH)"/>
    <n v="1"/>
    <n v="2330"/>
    <n v="2330"/>
    <s v="451815"/>
    <m/>
    <m/>
    <s v="MX2-TT20SC(WH) 451815"/>
    <n v="3580"/>
    <n v="0.65083798882681565"/>
    <s v="Toshiba SRP"/>
    <m/>
    <s v="451815"/>
  </r>
  <r>
    <n v="5141"/>
    <s v="Broadway"/>
    <s v="Kln Bay Demo"/>
    <x v="71"/>
    <n v="3"/>
    <x v="6"/>
    <x v="48"/>
    <s v="3合1 微波蒸焗爐 (20公升)"/>
    <s v="細電"/>
    <s v="MCA"/>
    <s v="MX2-TT20SC(WH)"/>
    <n v="1"/>
    <n v="2330"/>
    <n v="2330"/>
    <s v="451785"/>
    <m/>
    <m/>
    <s v="MX2-TT20SC(WH) 451785"/>
    <n v="3580"/>
    <n v="0.65083798882681565"/>
    <s v="Toshiba SRP"/>
    <m/>
    <s v="451785"/>
  </r>
  <r>
    <n v="5142"/>
    <s v="Broadway"/>
    <s v="Kln Bay Demo"/>
    <x v="71"/>
    <n v="3"/>
    <x v="6"/>
    <x v="58"/>
    <s v="IH磁應電飯煲_x000a_鑽石銅鍋"/>
    <s v="細電"/>
    <s v="SDA"/>
    <s v="dr18tw"/>
    <n v="1"/>
    <n v="2630"/>
    <n v="2630"/>
    <s v="451790"/>
    <m/>
    <m/>
    <s v="RC-DR18T(W) 451790"/>
    <n v="3588"/>
    <n v="0.73299888517279821"/>
    <s v="Toshiba SRP"/>
    <m/>
    <s v="451790"/>
  </r>
  <r>
    <n v="5143"/>
    <s v="Broadway"/>
    <s v="Kln Bay Demo"/>
    <x v="71"/>
    <n v="3"/>
    <x v="6"/>
    <x v="27"/>
    <s v="4毫米厚釜電飯煲1.8L"/>
    <s v="細電"/>
    <s v="SDA"/>
    <s v="18nmf"/>
    <n v="1"/>
    <n v="798"/>
    <n v="798"/>
    <s v="S17M52-5486"/>
    <m/>
    <m/>
    <s v="RC-18NMFIH(WT) S17M52-5486"/>
    <n v="998"/>
    <n v="0.79959919839679361"/>
    <s v="Toshiba SRP"/>
    <m/>
    <s v="S17M52-5486"/>
  </r>
  <r>
    <n v="5144"/>
    <s v="Broadway"/>
    <s v="Kln Bay Demo"/>
    <x v="71"/>
    <n v="3"/>
    <x v="6"/>
    <x v="24"/>
    <s v="微型電腦珍珠飯煲"/>
    <s v="細電"/>
    <s v="SDA"/>
    <s v="5sli"/>
    <n v="1"/>
    <n v="548"/>
    <n v="548"/>
    <s v="S17M62-773"/>
    <m/>
    <m/>
    <s v="RC-5SLIH(W) S17M62-773"/>
    <n v="658"/>
    <n v="0.83282674772036469"/>
    <s v="Toshiba SRP"/>
    <m/>
    <s v="S17M62-773"/>
  </r>
  <r>
    <n v="5145"/>
    <s v="Broadway"/>
    <s v="Kln Bay Demo"/>
    <x v="71"/>
    <n v="3"/>
    <x v="6"/>
    <x v="47"/>
    <s v="磁應電飯煲(1公升)"/>
    <s v="細電"/>
    <s v="SDA"/>
    <s v="RC-10ISSHK(W)"/>
    <n v="1"/>
    <n v="898"/>
    <n v="898"/>
    <s v="S17M63-599"/>
    <m/>
    <m/>
    <s v="RC-10ISSHK(W) S17M63-599"/>
    <n v="1188"/>
    <n v="0.75589225589225584"/>
    <s v="Shops Highest Price"/>
    <m/>
    <s v="S17M63-599"/>
  </r>
  <r>
    <n v="5146"/>
    <s v="Broadway"/>
    <s v="Kln Bay Demo"/>
    <x v="71"/>
    <n v="3"/>
    <x v="6"/>
    <x v="124"/>
    <s v="RO座檯式冷熱飲水機"/>
    <s v="細電"/>
    <s v="KWH"/>
    <s v="TWP-W2265THK(W)"/>
    <n v="1"/>
    <n v="2850"/>
    <n v="2850"/>
    <s v="S17M52-5487"/>
    <m/>
    <m/>
    <s v="TWP-W2265THK(W) S17M52-5487"/>
    <n v="3480"/>
    <n v="0.81896551724137934"/>
    <s v="Shops Highest Price"/>
    <m/>
    <s v="S17M52-5487"/>
  </r>
  <r>
    <n v="5147"/>
    <s v="Broadway"/>
    <s v="Kln Bay Demo"/>
    <x v="71"/>
    <n v="3"/>
    <x v="7"/>
    <x v="88"/>
    <s v="水波爐"/>
    <s v="細電"/>
    <s v="MCA"/>
    <s v="ER-VD7000HK(XK)"/>
    <n v="1"/>
    <n v="6200"/>
    <n v="6200"/>
    <s v="451848"/>
    <m/>
    <m/>
    <s v="ER-VD7000HK(XK) 451848"/>
    <n v="8998"/>
    <n v="0.68904200933540782"/>
    <s v="Toshiba SRP"/>
    <m/>
    <s v="451848"/>
  </r>
  <r>
    <n v="5148"/>
    <s v="Broadway"/>
    <s v="Kln Bay Demo"/>
    <x v="71"/>
    <n v="3"/>
    <x v="7"/>
    <x v="45"/>
    <s v="備長炭本厚釜電飯煲0.7L"/>
    <s v="細電"/>
    <s v="SDA"/>
    <s v="7hmh"/>
    <n v="1"/>
    <n v="788"/>
    <n v="788"/>
    <s v="S17M61-2197"/>
    <m/>
    <m/>
    <s v="RC-7HMH S17M61-2197"/>
    <n v="1288"/>
    <n v="0.61180124223602483"/>
    <s v="Toshiba SRP"/>
    <m/>
    <s v="S17M61-2197"/>
  </r>
  <r>
    <n v="5149"/>
    <s v="Broadway"/>
    <s v="Kln Bay Demo"/>
    <x v="71"/>
    <n v="3"/>
    <x v="13"/>
    <x v="68"/>
    <s v="旋鈕式微波爐 (20公升)"/>
    <s v="細電"/>
    <s v="MCA"/>
    <s v="MM-2MM20PC(WH)"/>
    <n v="1"/>
    <n v="598"/>
    <n v="598"/>
    <s v="2207"/>
    <m/>
    <m/>
    <s v="MM-2MM20PC(WH) 2207"/>
    <n v="738"/>
    <n v="0.81029810298102978"/>
    <s v="Toshiba SRP"/>
    <m/>
    <s v="2207"/>
  </r>
  <r>
    <n v="5150"/>
    <s v="Broadway"/>
    <s v="Kln Bay Demo"/>
    <x v="71"/>
    <n v="3"/>
    <x v="13"/>
    <x v="59"/>
    <s v="30公升蒸氣焗爐"/>
    <s v="細電"/>
    <s v="MCA"/>
    <s v="MS5-STR30SC(BK)"/>
    <n v="1"/>
    <n v="3490"/>
    <n v="3490"/>
    <s v="451886"/>
    <m/>
    <m/>
    <s v="MS5-STR30SC(BK) 451886"/>
    <n v="5998"/>
    <n v="0.58186062020673557"/>
    <s v="Shops Highest Price"/>
    <m/>
    <s v="451886"/>
  </r>
  <r>
    <n v="5151"/>
    <s v="Broadway"/>
    <s v="Kln Bay Demo"/>
    <x v="71"/>
    <n v="3"/>
    <x v="13"/>
    <x v="74"/>
    <s v="4合1氣炸微波蒸焗爐(25公升)"/>
    <s v="細電"/>
    <s v="MCA"/>
    <s v="MX2-STR25SC(WH)"/>
    <n v="1"/>
    <n v="3278"/>
    <n v="3278"/>
    <s v="S17M61-2215"/>
    <m/>
    <m/>
    <s v="MX2-STR25SC(WH) S17M61-2215"/>
    <n v="4998"/>
    <n v="0.65586234493797524"/>
    <s v="Toshiba SRP"/>
    <m/>
    <s v="S17M61-2215"/>
  </r>
  <r>
    <n v="5152"/>
    <s v="Broadway"/>
    <s v="Kln Bay Demo"/>
    <x v="71"/>
    <n v="3"/>
    <x v="13"/>
    <x v="48"/>
    <s v="3合1 微波蒸焗爐 (20公升)"/>
    <s v="細電"/>
    <s v="MCA"/>
    <s v="MX2-TT20SC(WH)"/>
    <n v="1"/>
    <n v="2330"/>
    <n v="2330"/>
    <s v="451864"/>
    <m/>
    <m/>
    <s v="MX2-TT20SC(WH) 451864"/>
    <n v="3580"/>
    <n v="0.65083798882681565"/>
    <s v="Toshiba SRP"/>
    <m/>
    <s v="451864"/>
  </r>
  <r>
    <n v="5153"/>
    <s v="Broadway"/>
    <s v="Kln Bay Demo"/>
    <x v="71"/>
    <n v="3"/>
    <x v="13"/>
    <x v="58"/>
    <s v="IH磁應電飯煲_x000a_鑽石銅鍋"/>
    <s v="細電"/>
    <s v="SDA"/>
    <s v="dr18tw"/>
    <n v="1"/>
    <n v="2630"/>
    <n v="2630"/>
    <s v="S17M58-1462"/>
    <m/>
    <m/>
    <s v="RC-DR18T(W) S17M58-1462"/>
    <n v="3588"/>
    <n v="0.73299888517279821"/>
    <s v="Toshiba SRP"/>
    <m/>
    <s v="S17M58-1462"/>
  </r>
  <r>
    <n v="5154"/>
    <s v="Broadway"/>
    <s v="Kln Bay Demo"/>
    <x v="71"/>
    <n v="3"/>
    <x v="13"/>
    <x v="60"/>
    <s v="酵活炊磁應電飯煲(1.5公升)"/>
    <s v="細電"/>
    <s v="SDA"/>
    <s v="RC-15BHH(W)"/>
    <n v="1"/>
    <n v="1818"/>
    <n v="1818"/>
    <s v="451862"/>
    <m/>
    <m/>
    <s v="RC-15BHH(W) 451862"/>
    <n v="2388"/>
    <n v="0.7613065326633166"/>
    <s v="Toshiba SRP"/>
    <m/>
    <s v="451862"/>
  </r>
  <r>
    <n v="5155"/>
    <s v="Broadway"/>
    <s v="Kln Bay Demo"/>
    <x v="71"/>
    <n v="3"/>
    <x v="13"/>
    <x v="24"/>
    <s v="微型電腦珍珠飯煲"/>
    <s v="細電"/>
    <s v="SDA"/>
    <s v="5sli"/>
    <n v="1"/>
    <n v="548"/>
    <n v="548"/>
    <s v="2208"/>
    <m/>
    <m/>
    <s v="RC-5SLIH(W) 2208"/>
    <n v="658"/>
    <n v="0.83282674772036469"/>
    <s v="Toshiba SRP"/>
    <m/>
    <s v="2208"/>
  </r>
  <r>
    <n v="5156"/>
    <s v="Broadway"/>
    <s v="Kln Bay Demo"/>
    <x v="71"/>
    <n v="3"/>
    <x v="13"/>
    <x v="24"/>
    <s v="微型電腦珍珠飯煲"/>
    <s v="細電"/>
    <s v="SDA"/>
    <s v="5sli"/>
    <n v="1"/>
    <n v="548"/>
    <n v="548"/>
    <s v="4052"/>
    <m/>
    <m/>
    <s v="RC-5SLIH(W) 4052"/>
    <n v="658"/>
    <n v="0.83282674772036469"/>
    <s v="Toshiba SRP"/>
    <m/>
    <s v="4052"/>
  </r>
  <r>
    <n v="5157"/>
    <s v="Broadway"/>
    <s v="Kln Bay Demo"/>
    <x v="71"/>
    <n v="3"/>
    <x v="8"/>
    <x v="59"/>
    <s v="30公升蒸氣焗爐"/>
    <s v="細電"/>
    <s v="MCA"/>
    <s v="MS5-STR30SC(BK)"/>
    <n v="1"/>
    <n v="3490"/>
    <n v="3490"/>
    <s v="451903"/>
    <m/>
    <m/>
    <s v="MS5-STR30SC(BK) 451903"/>
    <n v="5998"/>
    <n v="0.58186062020673557"/>
    <s v="Shops Highest Price"/>
    <m/>
    <s v="451903"/>
  </r>
  <r>
    <n v="5158"/>
    <s v="Broadway"/>
    <s v="Kln Bay Demo"/>
    <x v="71"/>
    <n v="3"/>
    <x v="8"/>
    <x v="74"/>
    <s v="4合1氣炸微波蒸焗爐(25公升)"/>
    <s v="細電"/>
    <s v="MCA"/>
    <s v="MX2-STR25SC(WH)"/>
    <n v="1"/>
    <n v="3278"/>
    <n v="3278"/>
    <s v="451925"/>
    <m/>
    <m/>
    <s v="MX2-STR25SC(WH) 451925"/>
    <n v="4998"/>
    <n v="0.65586234493797524"/>
    <s v="Toshiba SRP"/>
    <m/>
    <s v="451925"/>
  </r>
  <r>
    <n v="5159"/>
    <s v="Broadway"/>
    <s v="Kln Bay Demo"/>
    <x v="71"/>
    <n v="3"/>
    <x v="8"/>
    <x v="48"/>
    <s v="3合1 微波蒸焗爐 (20公升)"/>
    <s v="細電"/>
    <s v="MCA"/>
    <s v="MX2-TT20SC(WH)"/>
    <n v="1"/>
    <n v="2330"/>
    <n v="2330"/>
    <s v="451907"/>
    <m/>
    <m/>
    <s v="MX2-TT20SC(WH) 451907"/>
    <n v="3580"/>
    <n v="0.65083798882681565"/>
    <s v="Toshiba SRP"/>
    <m/>
    <s v="451907"/>
  </r>
  <r>
    <n v="5160"/>
    <s v="Broadway"/>
    <s v="Kln Bay Demo"/>
    <x v="71"/>
    <n v="3"/>
    <x v="8"/>
    <x v="48"/>
    <s v="3合1 微波蒸焗爐 (20公升)"/>
    <s v="細電"/>
    <s v="MCA"/>
    <s v="MX2-TT20SC(WH)"/>
    <n v="1"/>
    <n v="2330"/>
    <n v="2330"/>
    <s v="451908"/>
    <m/>
    <m/>
    <s v="MX2-TT20SC(WH) 451908"/>
    <n v="3580"/>
    <n v="0.65083798882681565"/>
    <s v="Toshiba SRP"/>
    <m/>
    <s v="451908"/>
  </r>
  <r>
    <n v="5161"/>
    <s v="Broadway"/>
    <s v="Kln Bay Demo"/>
    <x v="71"/>
    <n v="3"/>
    <x v="8"/>
    <x v="48"/>
    <s v="3合1 微波蒸焗爐 (20公升)"/>
    <s v="細電"/>
    <s v="MCA"/>
    <s v="MX2-TT20SC(WH)"/>
    <n v="1"/>
    <n v="2330"/>
    <n v="2330"/>
    <s v="451898"/>
    <m/>
    <m/>
    <s v="MX2-TT20SC(WH) 451898"/>
    <n v="3580"/>
    <n v="0.65083798882681565"/>
    <s v="Toshiba SRP"/>
    <m/>
    <s v="451898"/>
  </r>
  <r>
    <n v="5162"/>
    <s v="Broadway"/>
    <s v="Kln Bay Demo"/>
    <x v="71"/>
    <n v="3"/>
    <x v="8"/>
    <x v="47"/>
    <s v="磁應電飯煲(1公升)"/>
    <s v="細電"/>
    <s v="SDA"/>
    <s v="RC-10ISSHK(W)"/>
    <n v="1"/>
    <n v="898"/>
    <n v="898"/>
    <s v="2210"/>
    <m/>
    <m/>
    <s v="RC-10ISSHK(W) 2210"/>
    <n v="1188"/>
    <n v="0.75589225589225584"/>
    <s v="Shops Highest Price"/>
    <m/>
    <s v="2210"/>
  </r>
  <r>
    <n v="5163"/>
    <s v="Broadway"/>
    <s v="Kln Bay Demo"/>
    <x v="71"/>
    <n v="3"/>
    <x v="1"/>
    <x v="36"/>
    <s v="輕觸式微波爐 (20公升)"/>
    <s v="細電"/>
    <s v="MCA"/>
    <s v="MM2-EM20PC(WH)"/>
    <n v="1"/>
    <n v="598"/>
    <n v="598"/>
    <s v="2234"/>
    <m/>
    <m/>
    <s v="MM2-EM20PC(WH) 2234"/>
    <n v="788"/>
    <n v="0.75888324873096447"/>
    <s v="Toshiba SRP"/>
    <m/>
    <s v="2234"/>
  </r>
  <r>
    <n v="5164"/>
    <s v="Broadway"/>
    <s v="Kln Bay Demo"/>
    <x v="71"/>
    <n v="3"/>
    <x v="1"/>
    <x v="34"/>
    <s v="智能氣炸烤焗爐(24公升)"/>
    <s v="細電"/>
    <s v="MCA"/>
    <s v="MW3-SAC24SE(BK)"/>
    <n v="1"/>
    <n v="1288"/>
    <n v="1288"/>
    <s v="451993"/>
    <m/>
    <m/>
    <s v="MW3-SAC24SE(BK) 451993"/>
    <n v="1680"/>
    <n v="0.76666666666666672"/>
    <s v="Toshiba SRP"/>
    <m/>
    <s v="451993"/>
  </r>
  <r>
    <n v="5165"/>
    <s v="Broadway"/>
    <s v="Kln Bay Demo"/>
    <x v="71"/>
    <n v="3"/>
    <x v="1"/>
    <x v="74"/>
    <s v="4合1氣炸微波蒸焗爐(25公升)"/>
    <s v="細電"/>
    <s v="MCA"/>
    <s v="MX2-STR25SC(WH)"/>
    <n v="1"/>
    <n v="3278"/>
    <n v="3278"/>
    <s v="452009"/>
    <m/>
    <m/>
    <s v="MX2-STR25SC(WH) 452009"/>
    <n v="4998"/>
    <n v="0.65586234493797524"/>
    <s v="Toshiba SRP"/>
    <m/>
    <s v="452009"/>
  </r>
  <r>
    <n v="5166"/>
    <s v="Broadway"/>
    <s v="Kln Bay Demo"/>
    <x v="71"/>
    <n v="3"/>
    <x v="1"/>
    <x v="74"/>
    <s v="4合1氣炸微波蒸焗爐(25公升)"/>
    <s v="細電"/>
    <s v="MCA"/>
    <s v="MX2-STR25SC(WH)"/>
    <n v="1"/>
    <n v="3278"/>
    <n v="3278"/>
    <s v="451955"/>
    <m/>
    <m/>
    <s v="MX2-STR25SC(WH) 451955"/>
    <n v="4998"/>
    <n v="0.65586234493797524"/>
    <s v="Toshiba SRP"/>
    <m/>
    <s v="451955"/>
  </r>
  <r>
    <n v="5167"/>
    <s v="Broadway"/>
    <s v="Kln Bay Demo"/>
    <x v="71"/>
    <n v="3"/>
    <x v="1"/>
    <x v="74"/>
    <s v="4合1氣炸微波蒸焗爐(25公升)"/>
    <s v="細電"/>
    <s v="MCA"/>
    <s v="MX2-STR25SC(WH)"/>
    <n v="1"/>
    <n v="3278"/>
    <n v="3278"/>
    <s v="451994"/>
    <m/>
    <m/>
    <s v="MX2-STR25SC(WH) 451994"/>
    <n v="4998"/>
    <n v="0.65586234493797524"/>
    <s v="Toshiba SRP"/>
    <m/>
    <s v="451994"/>
  </r>
  <r>
    <n v="5168"/>
    <s v="Broadway"/>
    <s v="Kln Bay Demo"/>
    <x v="71"/>
    <n v="3"/>
    <x v="1"/>
    <x v="48"/>
    <s v="3合1 微波蒸焗爐 (20公升)"/>
    <s v="細電"/>
    <s v="MCA"/>
    <s v="MX2-TT20SC(WH)"/>
    <n v="1"/>
    <n v="2330"/>
    <n v="2330"/>
    <s v="S17M61-2232"/>
    <m/>
    <m/>
    <s v="MX2-TT20SC(WH) S17M61-2232"/>
    <n v="3580"/>
    <n v="0.65083798882681565"/>
    <s v="Toshiba SRP"/>
    <m/>
    <s v="S17M61-2232"/>
  </r>
  <r>
    <n v="5169"/>
    <s v="Broadway"/>
    <s v="Kln Bay Demo"/>
    <x v="71"/>
    <n v="3"/>
    <x v="1"/>
    <x v="48"/>
    <s v="3合1 微波蒸焗爐 (20公升)"/>
    <s v="細電"/>
    <s v="MCA"/>
    <s v="MX2-TT20SC(WH)"/>
    <n v="1"/>
    <n v="2330"/>
    <n v="2330"/>
    <s v="451937"/>
    <m/>
    <m/>
    <s v="MX2-TT20SC(WH) 451937"/>
    <n v="3580"/>
    <n v="0.65083798882681565"/>
    <s v="Toshiba SRP"/>
    <m/>
    <s v="451937"/>
  </r>
  <r>
    <n v="5170"/>
    <s v="Broadway"/>
    <s v="Kln Bay Demo"/>
    <x v="71"/>
    <n v="3"/>
    <x v="1"/>
    <x v="48"/>
    <s v="3合1 微波蒸焗爐 (20公升)"/>
    <s v="細電"/>
    <s v="MCA"/>
    <s v="MX2-TT20SC(WH)"/>
    <n v="1"/>
    <n v="2330"/>
    <n v="2330"/>
    <s v="451991"/>
    <m/>
    <m/>
    <s v="MX2-TT20SC(WH) 451991"/>
    <n v="3580"/>
    <n v="0.65083798882681565"/>
    <s v="Toshiba SRP"/>
    <m/>
    <s v="451991"/>
  </r>
  <r>
    <n v="5171"/>
    <s v="Broadway"/>
    <s v="Kln Bay Demo"/>
    <x v="71"/>
    <n v="3"/>
    <x v="1"/>
    <x v="38"/>
    <s v="無線雙層電熱水壺-附可鎖壺蓋"/>
    <s v="細電"/>
    <s v="SDA"/>
    <s v="KT-15DRTHK(W)"/>
    <n v="1"/>
    <n v="388"/>
    <n v="388"/>
    <s v="2075"/>
    <m/>
    <m/>
    <s v="KT-15DRTHK(W) 2075"/>
    <n v="598"/>
    <n v="0.6488294314381271"/>
    <s v="Toshiba SRP"/>
    <m/>
    <s v="2075"/>
  </r>
  <r>
    <n v="5172"/>
    <s v="Broadway"/>
    <s v="Kln Bay Demo"/>
    <x v="71"/>
    <n v="3"/>
    <x v="1"/>
    <x v="28"/>
    <s v="無線雙層電熱水壺-附可鎖壺蓋(0.8公升)"/>
    <s v="細電"/>
    <s v="SDA"/>
    <s v="KT-08DH1VHK(W)"/>
    <n v="1"/>
    <n v="308"/>
    <n v="308"/>
    <s v="4068"/>
    <m/>
    <m/>
    <s v="KT-08DH1VHK(W) 4068"/>
    <n v="428"/>
    <n v="0.71962616822429903"/>
    <s v="Toshiba SRP"/>
    <m/>
    <s v="4068"/>
  </r>
  <r>
    <n v="5173"/>
    <s v="Broadway"/>
    <s v="Kln Bay Demo"/>
    <x v="71"/>
    <n v="3"/>
    <x v="1"/>
    <x v="51"/>
    <s v="IH磁應電飯煲"/>
    <s v="細電"/>
    <s v="SDA"/>
    <s v="dr10tw"/>
    <n v="1"/>
    <n v="2230"/>
    <n v="2230"/>
    <s v="S17M51-4065"/>
    <m/>
    <m/>
    <s v="RC-DR10T(W) S17M51-4065"/>
    <n v="3188"/>
    <n v="0.69949811794228356"/>
    <s v="Toshiba SRP"/>
    <m/>
    <s v="S17M51-4065"/>
  </r>
  <r>
    <n v="5174"/>
    <s v="Broadway"/>
    <s v="Kln Bay Demo"/>
    <x v="71"/>
    <n v="3"/>
    <x v="1"/>
    <x v="51"/>
    <s v="IH磁應電飯煲"/>
    <s v="細電"/>
    <s v="SDA"/>
    <s v="dr10tw"/>
    <n v="1"/>
    <n v="2230"/>
    <n v="2230"/>
    <s v="S17M51-4063"/>
    <m/>
    <m/>
    <s v="RC-DR10T(W) S17M51-4063"/>
    <n v="3188"/>
    <n v="0.69949811794228356"/>
    <s v="Toshiba SRP"/>
    <m/>
    <s v="S17M51-4063"/>
  </r>
  <r>
    <n v="5175"/>
    <s v="Broadway"/>
    <s v="Kln Bay Demo"/>
    <x v="71"/>
    <n v="3"/>
    <x v="1"/>
    <x v="121"/>
    <s v="IH磁應電飯煲"/>
    <s v="細電"/>
    <s v="SDA"/>
    <s v="ds10kw"/>
    <n v="1"/>
    <n v="2870"/>
    <n v="2870"/>
    <s v="S17M51-4064"/>
    <m/>
    <m/>
    <s v="RC-DS10K(N) S17M51-4064"/>
    <n v="4588"/>
    <n v="0.62554489973844818"/>
    <s v="Toshiba SRP"/>
    <m/>
    <s v="S17M51-4064"/>
  </r>
  <r>
    <n v="5176"/>
    <s v="Broadway"/>
    <s v="Kln Bay Demo"/>
    <x v="71"/>
    <n v="3"/>
    <x v="2"/>
    <x v="59"/>
    <s v="30公升蒸氣焗爐"/>
    <s v="細電"/>
    <s v="MCA"/>
    <s v="MS5-STR30SC(BK)"/>
    <n v="1"/>
    <n v="3490"/>
    <n v="3490"/>
    <s v="452088"/>
    <m/>
    <m/>
    <s v="MS5-STR30SC(BK) 452088"/>
    <n v="5998"/>
    <n v="0.58186062020673557"/>
    <s v="Shops Highest Price"/>
    <m/>
    <s v="452088"/>
  </r>
  <r>
    <n v="5177"/>
    <s v="Broadway"/>
    <s v="Kln Bay Demo"/>
    <x v="71"/>
    <n v="3"/>
    <x v="2"/>
    <x v="71"/>
    <s v="輕觸式平板燒烤微波爐 (26公升)"/>
    <s v="細電"/>
    <s v="MCA"/>
    <s v="MV2-EG26PEI(BK)"/>
    <n v="1"/>
    <n v="918"/>
    <n v="918"/>
    <s v="452032"/>
    <m/>
    <m/>
    <s v="MV2-EG26PEI(BK) 452032"/>
    <n v="1180"/>
    <n v="0.7779661016949152"/>
    <s v="Toshiba SRP"/>
    <m/>
    <s v="452032"/>
  </r>
  <r>
    <n v="5178"/>
    <s v="Broadway"/>
    <s v="Kln Bay Demo"/>
    <x v="71"/>
    <n v="3"/>
    <x v="2"/>
    <x v="74"/>
    <s v="4合1氣炸微波蒸焗爐(25公升)"/>
    <s v="細電"/>
    <s v="MCA"/>
    <s v="MX2-STR25SC(WH)"/>
    <n v="1"/>
    <n v="3278"/>
    <n v="3278"/>
    <s v="452037"/>
    <m/>
    <m/>
    <s v="MX2-STR25SC(WH) 452037"/>
    <n v="4998"/>
    <n v="0.65586234493797524"/>
    <s v="Toshiba SRP"/>
    <m/>
    <s v="452037"/>
  </r>
  <r>
    <n v="5179"/>
    <s v="Broadway"/>
    <s v="Kln Bay Demo"/>
    <x v="71"/>
    <n v="3"/>
    <x v="2"/>
    <x v="74"/>
    <s v="4合1氣炸微波蒸焗爐(25公升)"/>
    <s v="細電"/>
    <s v="MCA"/>
    <s v="MX2-STR25SC(WH)"/>
    <n v="1"/>
    <n v="3278"/>
    <n v="3278"/>
    <s v="LMP-1198"/>
    <m/>
    <m/>
    <s v="MX2-STR25SC(WH) LMP-1198"/>
    <n v="4998"/>
    <n v="0.65586234493797524"/>
    <s v="Toshiba SRP"/>
    <m/>
    <s v="LMP-1198"/>
  </r>
  <r>
    <n v="5180"/>
    <s v="Broadway"/>
    <s v="Kln Bay Demo"/>
    <x v="71"/>
    <n v="3"/>
    <x v="2"/>
    <x v="48"/>
    <s v="3合1 微波蒸焗爐 (20公升)"/>
    <s v="細電"/>
    <s v="MCA"/>
    <s v="MX2-TT20SC(WH)"/>
    <n v="1"/>
    <n v="2330"/>
    <n v="2330"/>
    <s v="452045"/>
    <m/>
    <m/>
    <s v="MX2-TT20SC(WH) 452045"/>
    <n v="3580"/>
    <n v="0.65083798882681565"/>
    <s v="Toshiba SRP"/>
    <m/>
    <s v="452045"/>
  </r>
  <r>
    <n v="5181"/>
    <s v="Broadway"/>
    <s v="Kln Bay Demo"/>
    <x v="71"/>
    <n v="3"/>
    <x v="2"/>
    <x v="48"/>
    <s v="3合1 微波蒸焗爐 (20公升)"/>
    <s v="細電"/>
    <s v="MCA"/>
    <s v="MX2-TT20SC(WH)"/>
    <n v="1"/>
    <n v="2330"/>
    <n v="2330"/>
    <s v="452061"/>
    <m/>
    <m/>
    <s v="MX2-TT20SC(WH) 452061"/>
    <n v="3580"/>
    <n v="0.65083798882681565"/>
    <s v="Toshiba SRP"/>
    <m/>
    <s v="452061"/>
  </r>
  <r>
    <n v="5182"/>
    <s v="Broadway"/>
    <s v="Kln Bay Demo"/>
    <x v="71"/>
    <n v="3"/>
    <x v="2"/>
    <x v="48"/>
    <s v="3合1 微波蒸焗爐 (20公升)"/>
    <s v="細電"/>
    <s v="MCA"/>
    <s v="MX2-TT20SC(WH)"/>
    <n v="1"/>
    <n v="2330"/>
    <n v="2330"/>
    <s v="452097"/>
    <m/>
    <m/>
    <s v="MX2-TT20SC(WH) 452097"/>
    <n v="3580"/>
    <n v="0.65083798882681565"/>
    <s v="Toshiba SRP"/>
    <m/>
    <s v="452097"/>
  </r>
  <r>
    <n v="5183"/>
    <s v="Broadway"/>
    <s v="Kln Bay Demo"/>
    <x v="71"/>
    <n v="3"/>
    <x v="2"/>
    <x v="48"/>
    <s v="3合1 微波蒸焗爐 (20公升)"/>
    <s v="細電"/>
    <s v="MCA"/>
    <s v="MX2-TT20SC(WH)"/>
    <n v="1"/>
    <n v="2330"/>
    <n v="2330"/>
    <s v="S17M61-2248"/>
    <m/>
    <m/>
    <s v="MX2-TT20SC(WH) S17M61-2248"/>
    <n v="3580"/>
    <n v="0.65083798882681565"/>
    <s v="Toshiba SRP"/>
    <m/>
    <s v="S17M61-2248"/>
  </r>
  <r>
    <n v="5184"/>
    <s v="Broadway"/>
    <s v="Kln Bay Demo"/>
    <x v="71"/>
    <n v="3"/>
    <x v="2"/>
    <x v="8"/>
    <s v="電壓力鍋"/>
    <s v="細電"/>
    <s v="SDA"/>
    <s v="PC-48DRSHK(K)"/>
    <n v="1"/>
    <n v="788"/>
    <n v="788"/>
    <s v="S17M51-4074"/>
    <m/>
    <m/>
    <s v="PC-48DRSHK(K) S17M51-4074"/>
    <n v="1188"/>
    <n v="0.66329966329966328"/>
    <s v="Shops Highest Price"/>
    <m/>
    <s v="S17M51-4074"/>
  </r>
  <r>
    <n v="5185"/>
    <s v="Broadway"/>
    <s v="Kln Bay Demo"/>
    <x v="71"/>
    <n v="3"/>
    <x v="2"/>
    <x v="27"/>
    <s v="4毫米厚釜電飯煲1.8L"/>
    <s v="細電"/>
    <s v="SDA"/>
    <s v="18nmf"/>
    <n v="1"/>
    <n v="798"/>
    <n v="798"/>
    <s v="S17M61-2236"/>
    <m/>
    <m/>
    <s v="RC-18NMFIH(WT) S17M61-2236"/>
    <n v="998"/>
    <n v="0.79959919839679361"/>
    <s v="Toshiba SRP"/>
    <m/>
    <s v="S17M61-2236"/>
  </r>
  <r>
    <n v="5186"/>
    <s v="Broadway"/>
    <s v="Kln Bay Demo"/>
    <x v="71"/>
    <n v="3"/>
    <x v="2"/>
    <x v="29"/>
    <s v="酵活炊磁應電飯煲"/>
    <s v="細電"/>
    <s v="SDA"/>
    <s v="RC-10BHH(W)"/>
    <n v="1"/>
    <n v="1618"/>
    <n v="1618"/>
    <s v="S17M61-2245"/>
    <m/>
    <m/>
    <s v="RC-10BHH(W) S17M61-2245"/>
    <n v="2088"/>
    <n v="0.77490421455938696"/>
    <s v="Shops Highest Price"/>
    <m/>
    <s v="S17M61-2245"/>
  </r>
  <r>
    <n v="5187"/>
    <s v="Broadway"/>
    <s v="Kln Bay Demo"/>
    <x v="71"/>
    <n v="3"/>
    <x v="2"/>
    <x v="24"/>
    <s v="微型電腦珍珠飯煲"/>
    <s v="細電"/>
    <s v="SDA"/>
    <s v="5sli"/>
    <n v="1"/>
    <n v="548"/>
    <n v="548"/>
    <s v="2235"/>
    <m/>
    <m/>
    <s v="RC-5SLIH(W) 2235"/>
    <n v="658"/>
    <n v="0.83282674772036469"/>
    <s v="Toshiba SRP"/>
    <m/>
    <s v="2235"/>
  </r>
  <r>
    <n v="5188"/>
    <s v="Broadway"/>
    <s v="Kln Bay Demo"/>
    <x v="71"/>
    <n v="3"/>
    <x v="2"/>
    <x v="28"/>
    <s v="無線雙層電熱水壺-附可鎖壺蓋(0.8公升)"/>
    <s v="細電"/>
    <s v="SDA"/>
    <s v="KT-08DH1VHK(W)"/>
    <n v="1"/>
    <n v="308"/>
    <n v="308"/>
    <s v="4082"/>
    <m/>
    <m/>
    <s v="KT-08DH1VHK(W) 4082"/>
    <n v="428"/>
    <n v="0.71962616822429903"/>
    <s v="Toshiba SRP"/>
    <m/>
    <s v="4082"/>
  </r>
  <r>
    <n v="5189"/>
    <s v="Broadway"/>
    <s v="Kln Bay Demo"/>
    <x v="71"/>
    <n v="3"/>
    <x v="2"/>
    <x v="52"/>
    <s v="35L多功能電焗爐"/>
    <s v="細電"/>
    <s v="SDA"/>
    <s v="mc35"/>
    <n v="1"/>
    <n v="888"/>
    <n v="888"/>
    <s v="452032"/>
    <m/>
    <m/>
    <s v="TL-MC35Z 452032"/>
    <n v="1098"/>
    <n v="0.80874316939890711"/>
    <s v="Toshiba SRP"/>
    <m/>
    <s v="452032"/>
  </r>
  <r>
    <n v="5190"/>
    <s v="Broadway"/>
    <s v="Kln Bay Demo"/>
    <x v="71"/>
    <n v="3"/>
    <x v="2"/>
    <x v="52"/>
    <s v="35L多功能電焗爐"/>
    <s v="細電"/>
    <s v="SDA"/>
    <s v="mc35"/>
    <n v="1"/>
    <n v="888"/>
    <n v="888"/>
    <s v="452074"/>
    <m/>
    <m/>
    <s v="TL-MC35Z 452074"/>
    <n v="1098"/>
    <n v="0.80874316939890711"/>
    <s v="Toshiba SRP"/>
    <m/>
    <s v="452074"/>
  </r>
  <r>
    <n v="5191"/>
    <s v="Broadway"/>
    <s v="Kln Bay Demo"/>
    <x v="71"/>
    <n v="3"/>
    <x v="9"/>
    <x v="117"/>
    <s v="JAPANDi 嵌入式微波氣炸蒸焗爐 (45厘米)"/>
    <s v="大電"/>
    <s v="MCA"/>
    <s v="EB-T500APW"/>
    <n v="1"/>
    <n v="13450"/>
    <n v="13450"/>
    <s v="452128"/>
    <m/>
    <m/>
    <s v="EB-T500APW 452128"/>
    <n v="28800"/>
    <n v="0.4670138888888889"/>
    <s v="Toshiba SRP"/>
    <m/>
    <s v="452128"/>
  </r>
  <r>
    <n v="5192"/>
    <s v="Broadway"/>
    <s v="Kln Bay Demo"/>
    <x v="71"/>
    <n v="3"/>
    <x v="9"/>
    <x v="63"/>
    <s v="20L 智能蒸氣焗爐"/>
    <s v="細電"/>
    <s v="MCA"/>
    <s v="stq20"/>
    <n v="1"/>
    <n v="1950"/>
    <n v="1950"/>
    <s v="452134"/>
    <m/>
    <m/>
    <s v="MS3-STQ20SC(WH) 452134"/>
    <n v="2880"/>
    <n v="0.67708333333333337"/>
    <s v="Toshiba SRP"/>
    <m/>
    <s v="452134"/>
  </r>
  <r>
    <n v="5193"/>
    <s v="Broadway"/>
    <s v="Kln Bay Demo"/>
    <x v="71"/>
    <n v="3"/>
    <x v="9"/>
    <x v="101"/>
    <s v="旋鈕式微波爐 (25公升)"/>
    <s v="細電"/>
    <s v="MOA"/>
    <s v="MW3-MM25PC(BK)"/>
    <n v="1"/>
    <n v="718"/>
    <n v="718"/>
    <s v="452112"/>
    <m/>
    <m/>
    <s v="MW3-MM25PC(BK) 452112"/>
    <n v="998"/>
    <n v="0.71943887775551107"/>
    <s v="Toshiba SRP"/>
    <m/>
    <s v="452112"/>
  </r>
  <r>
    <n v="5194"/>
    <s v="Broadway"/>
    <s v="Kln Bay Demo"/>
    <x v="71"/>
    <n v="3"/>
    <x v="9"/>
    <x v="74"/>
    <s v="4合1氣炸微波蒸焗爐(25公升)"/>
    <s v="細電"/>
    <s v="MCA"/>
    <s v="MX2-STR25SC(WH)"/>
    <n v="1"/>
    <n v="3278"/>
    <n v="3278"/>
    <s v="452107"/>
    <m/>
    <m/>
    <s v="MX2-STR25SC(WH) 452107"/>
    <n v="4998"/>
    <n v="0.65586234493797524"/>
    <s v="Toshiba SRP"/>
    <m/>
    <s v="452107"/>
  </r>
  <r>
    <n v="5195"/>
    <s v="Broadway"/>
    <s v="Kln Bay Demo"/>
    <x v="71"/>
    <n v="3"/>
    <x v="9"/>
    <x v="74"/>
    <s v="4合1氣炸微波蒸焗爐(25公升)"/>
    <s v="細電"/>
    <s v="MCA"/>
    <s v="MX2-STR25SC(WH)"/>
    <n v="1"/>
    <n v="3278"/>
    <n v="3278"/>
    <s v="452139"/>
    <m/>
    <m/>
    <s v="MX2-STR25SC(WH) 452139"/>
    <n v="4998"/>
    <n v="0.65586234493797524"/>
    <s v="Toshiba SRP"/>
    <m/>
    <s v="452139"/>
  </r>
  <r>
    <n v="5196"/>
    <s v="Broadway"/>
    <s v="Kln Bay Demo"/>
    <x v="71"/>
    <n v="3"/>
    <x v="9"/>
    <x v="48"/>
    <s v="3合1 微波蒸焗爐 (20公升)"/>
    <s v="細電"/>
    <s v="MCA"/>
    <s v="MX2-TT20SC(WH)"/>
    <n v="1"/>
    <n v="2330"/>
    <n v="2330"/>
    <s v="452121"/>
    <m/>
    <m/>
    <s v="MX2-TT20SC(WH) 452121"/>
    <n v="3580"/>
    <n v="0.65083798882681565"/>
    <s v="Toshiba SRP"/>
    <m/>
    <s v="452121"/>
  </r>
  <r>
    <n v="5197"/>
    <s v="Broadway"/>
    <s v="Kln Bay Demo"/>
    <x v="71"/>
    <n v="3"/>
    <x v="9"/>
    <x v="48"/>
    <s v="3合1 微波蒸焗爐 (20公升)"/>
    <s v="細電"/>
    <s v="MCA"/>
    <s v="MX2-TT20SC(WH)"/>
    <n v="1"/>
    <n v="2330"/>
    <n v="2330"/>
    <s v="452120"/>
    <m/>
    <m/>
    <s v="MX2-TT20SC(WH) 452120"/>
    <n v="3580"/>
    <n v="0.65083798882681565"/>
    <s v="Toshiba SRP"/>
    <m/>
    <s v="452120"/>
  </r>
  <r>
    <n v="5198"/>
    <s v="Broadway"/>
    <s v="Kln Bay Demo"/>
    <x v="71"/>
    <n v="3"/>
    <x v="9"/>
    <x v="48"/>
    <s v="3合1 微波蒸焗爐 (20公升)"/>
    <s v="細電"/>
    <s v="MCA"/>
    <s v="MX2-TT20SC(WH)"/>
    <n v="1"/>
    <n v="2330"/>
    <n v="2330"/>
    <s v="452119"/>
    <m/>
    <m/>
    <s v="MX2-TT20SC(WH) 452119"/>
    <n v="3580"/>
    <n v="0.65083798882681565"/>
    <s v="Toshiba SRP"/>
    <m/>
    <s v="452119"/>
  </r>
  <r>
    <n v="5199"/>
    <s v="Broadway"/>
    <s v="Kln Bay Demo"/>
    <x v="71"/>
    <n v="3"/>
    <x v="9"/>
    <x v="48"/>
    <s v="3合1 微波蒸焗爐 (20公升)"/>
    <s v="細電"/>
    <s v="MCA"/>
    <s v="MX2-TT20SC(WH)"/>
    <n v="1"/>
    <n v="2330"/>
    <n v="2330"/>
    <s v="452138"/>
    <m/>
    <m/>
    <s v="MX2-TT20SC(WH) 452138"/>
    <n v="3580"/>
    <n v="0.65083798882681565"/>
    <s v="Toshiba SRP"/>
    <m/>
    <s v="452138"/>
  </r>
  <r>
    <n v="5200"/>
    <s v="Broadway"/>
    <s v="Kln Bay Demo"/>
    <x v="71"/>
    <n v="3"/>
    <x v="9"/>
    <x v="45"/>
    <s v="備長炭本厚釜電飯煲0.7L"/>
    <s v="細電"/>
    <s v="SDA"/>
    <s v="7hmh"/>
    <n v="1"/>
    <n v="788"/>
    <n v="788"/>
    <s v="S17M58-1481"/>
    <m/>
    <m/>
    <s v="RC-7HMH S17M58-1481"/>
    <n v="1288"/>
    <n v="0.61180124223602483"/>
    <s v="Toshiba SRP"/>
    <m/>
    <s v="S17M58-1481"/>
  </r>
  <r>
    <n v="5201"/>
    <s v="Broadway"/>
    <s v="Kln Bay Demo"/>
    <x v="71"/>
    <n v="3"/>
    <x v="9"/>
    <x v="29"/>
    <s v="酵活炊磁應電飯煲"/>
    <s v="細電"/>
    <s v="SDA"/>
    <s v="RC-10BHH(W)"/>
    <n v="1"/>
    <n v="1618"/>
    <n v="1618"/>
    <s v="S17M58-1485"/>
    <m/>
    <m/>
    <s v="RC-10BHH(W) S17M58-1485"/>
    <n v="2088"/>
    <n v="0.77490421455938696"/>
    <s v="Shops Highest Price"/>
    <m/>
    <s v="S17M58-1485"/>
  </r>
  <r>
    <n v="5202"/>
    <s v="Suning"/>
    <s v="tw"/>
    <x v="72"/>
    <n v="3"/>
    <x v="7"/>
    <x v="73"/>
    <s v="Comfee 3/4匹變頻窗口式冷氣機"/>
    <s v="大電"/>
    <s v="RAC"/>
    <s v="07cr"/>
    <n v="1"/>
    <n v="2650"/>
    <n v="2650"/>
    <n v="3527"/>
    <m/>
    <m/>
    <s v="CWF-07CRFN8-AD5 3527"/>
    <n v="3800"/>
    <n v="0.69736842105263153"/>
    <s v="Shops Highest Price"/>
    <m/>
    <s v="3527"/>
  </r>
  <r>
    <n v="5203"/>
    <s v="Suning"/>
    <s v="tw"/>
    <x v="72"/>
    <n v="3"/>
    <x v="1"/>
    <x v="18"/>
    <s v="Comfee 1匹變頻窗口式冷氣機"/>
    <s v="大電"/>
    <s v="RAC"/>
    <s v="09cr"/>
    <n v="1"/>
    <n v="3540"/>
    <n v="3540"/>
    <n v="3859"/>
    <m/>
    <m/>
    <s v="CWF-09CRFN8-AD5 3859"/>
    <n v="4600"/>
    <n v="0.76956521739130435"/>
    <s v="Shops Highest Price"/>
    <m/>
    <s v="3859"/>
  </r>
  <r>
    <n v="5204"/>
    <s v="Suning"/>
    <s v="tw"/>
    <x v="72"/>
    <n v="3"/>
    <x v="2"/>
    <x v="26"/>
    <s v="變頻頂揭式洗衣機 (7.5公斤)"/>
    <s v="大電"/>
    <s v="LAD"/>
    <s v="cfk01w75"/>
    <n v="1"/>
    <n v="3380"/>
    <n v="3380"/>
    <n v="3973"/>
    <m/>
    <m/>
    <s v="CFK01W75 3973"/>
    <n v="3888"/>
    <n v="0.86934156378600824"/>
    <s v="Shops Highest Price"/>
    <m/>
    <s v="3973"/>
  </r>
  <r>
    <n v="5205"/>
    <s v="Suning"/>
    <s v="tw"/>
    <x v="72"/>
    <n v="3"/>
    <x v="2"/>
    <x v="26"/>
    <s v="變頻頂揭式洗衣機 (7.5公斤)"/>
    <s v="大電"/>
    <s v="LAD"/>
    <s v="cfk01w75"/>
    <n v="1"/>
    <n v="3380"/>
    <n v="3380"/>
    <n v="3991"/>
    <m/>
    <m/>
    <s v="CFK01W75 3991"/>
    <n v="3888"/>
    <n v="0.86934156378600824"/>
    <s v="Shops Highest Price"/>
    <m/>
    <s v="3991"/>
  </r>
  <r>
    <n v="5206"/>
    <s v="Suning"/>
    <s v="tw"/>
    <x v="72"/>
    <n v="3"/>
    <x v="11"/>
    <x v="18"/>
    <s v="Comfee 1匹變頻窗口式冷氣機"/>
    <s v="大電"/>
    <s v="RAC"/>
    <s v="09cr"/>
    <n v="1"/>
    <n v="3540"/>
    <n v="3540"/>
    <n v="4357"/>
    <m/>
    <m/>
    <s v="CWF-09CRFN8-AD5 4357"/>
    <n v="4600"/>
    <n v="0.76956521739130435"/>
    <s v="Shops Highest Price"/>
    <m/>
    <s v="4357"/>
  </r>
  <r>
    <n v="5207"/>
    <s v="Suning"/>
    <s v="tw"/>
    <x v="72"/>
    <n v="3"/>
    <x v="3"/>
    <x v="144"/>
    <s v="Comfee 窗口冷氣機"/>
    <s v="大電"/>
    <s v="AC"/>
    <s v="07ff"/>
    <n v="1"/>
    <n v="2338"/>
    <n v="2338"/>
    <n v="4588"/>
    <m/>
    <m/>
    <s v="CFW-07FF-H 4588"/>
    <n v="2880"/>
    <n v="0.81180555555555556"/>
    <s v="Web SRP"/>
    <m/>
    <s v="4588"/>
  </r>
  <r>
    <n v="5208"/>
    <s v="Suning"/>
    <s v="tw"/>
    <x v="72"/>
    <n v="3"/>
    <x v="14"/>
    <x v="18"/>
    <s v="Comfee 1匹變頻窗口式冷氣機"/>
    <s v="大電"/>
    <s v="RAC"/>
    <s v="09cr"/>
    <n v="1"/>
    <n v="3540"/>
    <n v="3540"/>
    <n v="4788"/>
    <m/>
    <m/>
    <s v="CWF-09CRFN8-AD5 4788"/>
    <n v="4600"/>
    <n v="0.76956521739130435"/>
    <s v="Shops Highest Price"/>
    <m/>
    <s v="4788"/>
  </r>
  <r>
    <n v="5209"/>
    <s v="Suning"/>
    <s v="tw"/>
    <x v="73"/>
    <n v="3"/>
    <x v="28"/>
    <x v="73"/>
    <s v="Comfee 3/4匹變頻窗口式冷氣機"/>
    <s v="大電"/>
    <s v="RAC"/>
    <s v="07cr"/>
    <n v="3"/>
    <n v="2650"/>
    <n v="7950"/>
    <n v="6042"/>
    <m/>
    <m/>
    <s v="CWF-07CRFN8-AD5 6042"/>
    <n v="3800"/>
    <n v="0.69736842105263153"/>
    <s v="Shops Highest Price"/>
    <m/>
    <s v="6042"/>
  </r>
  <r>
    <n v="5210"/>
    <s v="Suning"/>
    <s v="tw"/>
    <x v="73"/>
    <n v="3"/>
    <x v="24"/>
    <x v="19"/>
    <s v="Comfee 2匹變頻窗口式冷氣機"/>
    <s v="大電"/>
    <s v="RAC"/>
    <s v="18cr"/>
    <n v="1"/>
    <n v="4880"/>
    <n v="4880"/>
    <n v="5650"/>
    <m/>
    <m/>
    <s v="CWF-18CRFN8-AD5 5650"/>
    <n v="6600"/>
    <n v="0.73939393939393938"/>
    <s v="Shops Highest Price"/>
    <m/>
    <s v="5650"/>
  </r>
  <r>
    <n v="5211"/>
    <s v="Suning"/>
    <s v="tw"/>
    <x v="73"/>
    <n v="3"/>
    <x v="29"/>
    <x v="144"/>
    <s v="Comfee 窗口冷氣機"/>
    <s v="大電"/>
    <s v="AC"/>
    <s v="07ff"/>
    <n v="1"/>
    <n v="2338"/>
    <n v="2338"/>
    <n v="6171"/>
    <m/>
    <m/>
    <s v="CFW-07FF-H 6171"/>
    <n v="2880"/>
    <n v="0.81180555555555556"/>
    <s v="Web SRP"/>
    <m/>
    <s v="6171"/>
  </r>
  <r>
    <n v="5212"/>
    <s v="Suning"/>
    <s v="tw"/>
    <x v="72"/>
    <n v="3"/>
    <x v="0"/>
    <x v="21"/>
    <s v="壓縮式抽濕機 (30公升)"/>
    <s v="細電"/>
    <s v="RAC"/>
    <s v="d300"/>
    <n v="1"/>
    <n v="1980"/>
    <n v="1980"/>
    <n v="3036"/>
    <m/>
    <m/>
    <s v="RAD-D300H 3036"/>
    <n v="3380"/>
    <n v="0.58579881656804733"/>
    <s v="Shops Highest Price"/>
    <m/>
    <s v="3036"/>
  </r>
  <r>
    <n v="5213"/>
    <s v="Suning"/>
    <s v="tw"/>
    <x v="72"/>
    <n v="3"/>
    <x v="0"/>
    <x v="21"/>
    <s v="壓縮式抽濕機 (30公升)"/>
    <s v="細電"/>
    <s v="RAC"/>
    <s v="d300"/>
    <n v="1"/>
    <n v="1980"/>
    <n v="1980"/>
    <n v="3144"/>
    <m/>
    <m/>
    <s v="RAD-D300H 3144"/>
    <n v="3380"/>
    <n v="0.58579881656804733"/>
    <s v="Shops Highest Price"/>
    <m/>
    <s v="3144"/>
  </r>
  <r>
    <n v="5214"/>
    <s v="Suning"/>
    <s v="tw"/>
    <x v="72"/>
    <n v="3"/>
    <x v="0"/>
    <x v="104"/>
    <e v="#N/A"/>
    <e v="#N/A"/>
    <e v="#N/A"/>
    <m/>
    <m/>
    <m/>
    <n v="0"/>
    <m/>
    <s v="duplicated,str25,$3250,4748"/>
    <m/>
    <s v="Model-Input-Ref2 "/>
    <e v="#N/A"/>
    <e v="#N/A"/>
    <e v="#N/A"/>
    <m/>
    <s v=""/>
  </r>
  <r>
    <n v="5215"/>
    <s v="Suning"/>
    <s v="tw"/>
    <x v="72"/>
    <n v="3"/>
    <x v="0"/>
    <x v="104"/>
    <e v="#N/A"/>
    <e v="#N/A"/>
    <e v="#N/A"/>
    <m/>
    <m/>
    <m/>
    <n v="0"/>
    <m/>
    <s v="duplicaetd,05t2,$3460,4751"/>
    <m/>
    <s v="Model-Input-Ref2 "/>
    <e v="#N/A"/>
    <e v="#N/A"/>
    <e v="#N/A"/>
    <m/>
    <s v=""/>
  </r>
  <r>
    <n v="5216"/>
    <s v="Suning"/>
    <s v="tw"/>
    <x v="72"/>
    <n v="3"/>
    <x v="0"/>
    <x v="104"/>
    <e v="#N/A"/>
    <e v="#N/A"/>
    <e v="#N/A"/>
    <m/>
    <m/>
    <m/>
    <n v="0"/>
    <m/>
    <s v="duplicated,07g3cvg,$3099,4754"/>
    <m/>
    <s v="Model-Input-Ref2 "/>
    <e v="#N/A"/>
    <e v="#N/A"/>
    <e v="#N/A"/>
    <m/>
    <s v=""/>
  </r>
  <r>
    <n v="5217"/>
    <s v="Suning"/>
    <s v="tw"/>
    <x v="72"/>
    <n v="3"/>
    <x v="0"/>
    <x v="21"/>
    <s v="壓縮式抽濕機 (30公升)"/>
    <s v="細電"/>
    <s v="RAC"/>
    <s v="d300"/>
    <n v="1"/>
    <n v="2180"/>
    <n v="2180"/>
    <n v="3215"/>
    <m/>
    <m/>
    <s v="RAD-D300H 3215"/>
    <n v="3380"/>
    <n v="0.6449704142011834"/>
    <s v="Shops Highest Price"/>
    <m/>
    <s v="3215"/>
  </r>
  <r>
    <n v="5218"/>
    <s v="Suning"/>
    <s v="tw"/>
    <x v="72"/>
    <n v="3"/>
    <x v="0"/>
    <x v="21"/>
    <s v="壓縮式抽濕機 (30公升)"/>
    <s v="細電"/>
    <s v="RAC"/>
    <s v="d300"/>
    <n v="1"/>
    <n v="1980"/>
    <n v="1980"/>
    <n v="3222"/>
    <m/>
    <m/>
    <s v="RAD-D300H 3222"/>
    <n v="3380"/>
    <n v="0.58579881656804733"/>
    <s v="Shops Highest Price"/>
    <m/>
    <s v="3222"/>
  </r>
  <r>
    <n v="5219"/>
    <s v="Suning"/>
    <s v="tw"/>
    <x v="72"/>
    <n v="3"/>
    <x v="0"/>
    <x v="44"/>
    <s v="1.7L無線雙層電熱水壺"/>
    <s v="細電"/>
    <s v="SDA"/>
    <s v="17shnh"/>
    <n v="1"/>
    <n v="198"/>
    <n v="198"/>
    <n v="3245"/>
    <m/>
    <m/>
    <s v="KT-17SHNH 3245"/>
    <n v="299"/>
    <n v="0.66220735785953178"/>
    <s v="Shops Highest Price"/>
    <m/>
    <s v="3245"/>
  </r>
  <r>
    <n v="5220"/>
    <s v="Suning"/>
    <s v="tw"/>
    <x v="72"/>
    <n v="3"/>
    <x v="0"/>
    <x v="39"/>
    <s v="酵活炊電飯煲(1.0公升)"/>
    <s v="細電"/>
    <s v="SDA"/>
    <s v="10amx"/>
    <n v="1"/>
    <n v="990"/>
    <n v="990"/>
    <n v="3246"/>
    <m/>
    <m/>
    <s v="RC-10AMXH(W) 3246"/>
    <n v="1288"/>
    <n v="0.76863354037267084"/>
    <s v="Toshiba SRP"/>
    <m/>
    <s v="3246"/>
  </r>
  <r>
    <n v="5221"/>
    <s v="Suning"/>
    <s v="tw"/>
    <x v="72"/>
    <n v="3"/>
    <x v="5"/>
    <x v="21"/>
    <s v="壓縮式抽濕機 (30公升)"/>
    <s v="細電"/>
    <s v="RAC"/>
    <s v="d300"/>
    <n v="1"/>
    <n v="1980"/>
    <n v="1980"/>
    <n v="3264"/>
    <m/>
    <m/>
    <s v="RAD-D300H 3264"/>
    <n v="3380"/>
    <n v="0.58579881656804733"/>
    <s v="Shops Highest Price"/>
    <m/>
    <s v="3264"/>
  </r>
  <r>
    <n v="5222"/>
    <s v="Suning"/>
    <s v="tw"/>
    <x v="72"/>
    <n v="3"/>
    <x v="5"/>
    <x v="114"/>
    <s v="變頻三門雪櫃 (233L)"/>
    <s v="大電"/>
    <s v="REF"/>
    <s v="rm352"/>
    <n v="1"/>
    <n v="3470"/>
    <n v="3470"/>
    <n v="3272"/>
    <m/>
    <m/>
    <s v="GR-RM352WI-PMA(53) 3272"/>
    <n v="5580"/>
    <n v="0.62186379928315416"/>
    <s v="Toshiba SRP"/>
    <m/>
    <s v="3272"/>
  </r>
  <r>
    <n v="5223"/>
    <s v="Suning"/>
    <s v="tw"/>
    <x v="72"/>
    <n v="3"/>
    <x v="5"/>
    <x v="21"/>
    <s v="壓縮式抽濕機 (30公升)"/>
    <s v="細電"/>
    <s v="RAC"/>
    <s v="d300"/>
    <n v="1"/>
    <n v="1980"/>
    <n v="1980"/>
    <n v="3275"/>
    <m/>
    <m/>
    <s v="RAD-D300H 3275"/>
    <n v="3380"/>
    <n v="0.58579881656804733"/>
    <s v="Shops Highest Price"/>
    <m/>
    <s v="3275"/>
  </r>
  <r>
    <n v="5224"/>
    <s v="Suning"/>
    <s v="tw"/>
    <x v="72"/>
    <n v="3"/>
    <x v="5"/>
    <x v="20"/>
    <s v="壓縮式抽濕機 (22公升)"/>
    <s v="細電"/>
    <s v="RAC"/>
    <s v="d200"/>
    <n v="1"/>
    <n v="1940"/>
    <n v="1940"/>
    <n v="3277"/>
    <m/>
    <m/>
    <s v="RAD-D200H 3277"/>
    <n v="2880"/>
    <n v="0.67361111111111116"/>
    <s v="Shops Highest Price"/>
    <m/>
    <s v="3277"/>
  </r>
  <r>
    <n v="5225"/>
    <s v="Suning"/>
    <s v="tw"/>
    <x v="72"/>
    <n v="3"/>
    <x v="6"/>
    <x v="74"/>
    <s v="4合1氣炸微波蒸焗爐(25公升)"/>
    <s v="細電"/>
    <s v="MCA"/>
    <s v="str25"/>
    <n v="1"/>
    <n v="3250"/>
    <n v="3250"/>
    <n v="3306"/>
    <m/>
    <m/>
    <s v="MX2-STR25SC(WH) 3306"/>
    <n v="4998"/>
    <n v="0.6502601040416166"/>
    <s v="Toshiba SRP"/>
    <m/>
    <s v="3306"/>
  </r>
  <r>
    <n v="5226"/>
    <s v="Suning"/>
    <s v="tw"/>
    <x v="72"/>
    <n v="3"/>
    <x v="6"/>
    <x v="34"/>
    <s v="智能氣炸烤焗爐(24公升)"/>
    <s v="細電"/>
    <s v="MCA"/>
    <s v="sac24"/>
    <n v="1"/>
    <n v="1298"/>
    <n v="1298"/>
    <n v="3337"/>
    <m/>
    <m/>
    <s v="MW3-SAC24SE(BK) 3337"/>
    <n v="1680"/>
    <n v="0.77261904761904765"/>
    <s v="Toshiba SRP"/>
    <m/>
    <s v="3337"/>
  </r>
  <r>
    <n v="5227"/>
    <s v="Suning"/>
    <s v="tw"/>
    <x v="72"/>
    <n v="3"/>
    <x v="6"/>
    <x v="21"/>
    <s v="壓縮式抽濕機 (30公升)"/>
    <s v="細電"/>
    <s v="RAC"/>
    <s v="d300"/>
    <n v="1"/>
    <n v="1980"/>
    <n v="1980"/>
    <n v="3350"/>
    <m/>
    <m/>
    <s v="RAD-D300H 3350"/>
    <n v="3380"/>
    <n v="0.58579881656804733"/>
    <s v="Shops Highest Price"/>
    <m/>
    <s v="3350"/>
  </r>
  <r>
    <n v="5228"/>
    <s v="Suning"/>
    <s v="tw"/>
    <x v="72"/>
    <n v="3"/>
    <x v="6"/>
    <x v="75"/>
    <s v="日式洗衣機 (8公斤 結合高低水位)"/>
    <s v="大電"/>
    <s v="LAD"/>
    <s v="q901"/>
    <n v="1"/>
    <n v="2280"/>
    <n v="2280"/>
    <n v="3387"/>
    <m/>
    <m/>
    <s v="AW-Q901BPH(WW) 3387"/>
    <n v="3780"/>
    <n v="0.60317460317460314"/>
    <s v="Toshiba SRP"/>
    <m/>
    <s v="3387"/>
  </r>
  <r>
    <n v="5229"/>
    <s v="Suning"/>
    <s v="tw"/>
    <x v="72"/>
    <n v="3"/>
    <x v="6"/>
    <x v="21"/>
    <s v="壓縮式抽濕機 (30公升)"/>
    <s v="細電"/>
    <s v="RAC"/>
    <s v="d300"/>
    <n v="1"/>
    <n v="1980"/>
    <n v="1980"/>
    <n v="3400"/>
    <m/>
    <m/>
    <s v="RAD-D300H 3400"/>
    <n v="3380"/>
    <n v="0.58579881656804733"/>
    <s v="Shops Highest Price"/>
    <m/>
    <s v="3400"/>
  </r>
  <r>
    <n v="5230"/>
    <s v="Suning"/>
    <s v="tw"/>
    <x v="72"/>
    <n v="3"/>
    <x v="7"/>
    <x v="21"/>
    <s v="壓縮式抽濕機 (30公升)"/>
    <s v="細電"/>
    <s v="RAC"/>
    <s v="d300"/>
    <n v="1"/>
    <n v="2080"/>
    <n v="2080"/>
    <n v="3421"/>
    <m/>
    <m/>
    <s v="RAD-D300H 3421"/>
    <n v="3380"/>
    <n v="0.61538461538461542"/>
    <s v="Shops Highest Price"/>
    <m/>
    <s v="3421"/>
  </r>
  <r>
    <n v="5231"/>
    <s v="Suning"/>
    <s v="tw"/>
    <x v="72"/>
    <n v="3"/>
    <x v="7"/>
    <x v="60"/>
    <s v="酵活炊磁應電飯煲(1.5公升)"/>
    <s v="細電"/>
    <s v="SDA"/>
    <s v="15bh"/>
    <n v="1"/>
    <n v="1938"/>
    <n v="1938"/>
    <n v="3480"/>
    <m/>
    <m/>
    <s v="RC-15BHH(W) 3480"/>
    <n v="2388"/>
    <n v="0.81155778894472363"/>
    <s v="Toshiba SRP"/>
    <m/>
    <s v="3480"/>
  </r>
  <r>
    <n v="5232"/>
    <s v="Suning"/>
    <s v="tw"/>
    <x v="72"/>
    <n v="3"/>
    <x v="7"/>
    <x v="21"/>
    <s v="壓縮式抽濕機 (30公升)"/>
    <s v="細電"/>
    <s v="RAC"/>
    <s v="d300"/>
    <n v="1"/>
    <n v="1980"/>
    <n v="1980"/>
    <n v="3490"/>
    <m/>
    <m/>
    <s v="RAD-D300H 3490"/>
    <n v="3380"/>
    <n v="0.58579881656804733"/>
    <s v="Shops Highest Price"/>
    <m/>
    <s v="3490"/>
  </r>
  <r>
    <n v="5233"/>
    <s v="Suning"/>
    <s v="tw"/>
    <x v="72"/>
    <n v="3"/>
    <x v="7"/>
    <x v="14"/>
    <s v="21L壓縮式抽濕機"/>
    <s v="大電"/>
    <s v="RAC"/>
    <s v="y200"/>
    <n v="1"/>
    <n v="1888"/>
    <n v="1888"/>
    <n v="3491"/>
    <m/>
    <m/>
    <s v="RAD-Y200H 3491"/>
    <n v="3280"/>
    <n v="0.57560975609756093"/>
    <s v="Toshiba SRP"/>
    <m/>
    <s v="3491"/>
  </r>
  <r>
    <n v="5234"/>
    <s v="Suning"/>
    <s v="tw"/>
    <x v="72"/>
    <n v="3"/>
    <x v="7"/>
    <x v="40"/>
    <s v="400MM超薄身前置式變頻洗衣機(7公斤)"/>
    <s v="大電"/>
    <s v="LAD"/>
    <s v="bu80"/>
    <n v="1"/>
    <n v="2880"/>
    <n v="2880"/>
    <n v="3514"/>
    <m/>
    <m/>
    <s v="TW-T21BU80UWH(MG) 3514"/>
    <n v="5180"/>
    <n v="0.55598455598455598"/>
    <s v="Toshiba SRP"/>
    <m/>
    <s v="3514"/>
  </r>
  <r>
    <n v="5235"/>
    <s v="Suning"/>
    <s v="tw"/>
    <x v="72"/>
    <n v="3"/>
    <x v="7"/>
    <x v="21"/>
    <s v="壓縮式抽濕機 (30公升)"/>
    <s v="細電"/>
    <s v="RAC"/>
    <s v="d300"/>
    <n v="1"/>
    <n v="1980"/>
    <n v="1980"/>
    <n v="3510"/>
    <m/>
    <m/>
    <s v="RAD-D300H 3510"/>
    <n v="3380"/>
    <n v="0.58579881656804733"/>
    <s v="Shops Highest Price"/>
    <m/>
    <s v="3510"/>
  </r>
  <r>
    <n v="5236"/>
    <s v="Suning"/>
    <s v="tw"/>
    <x v="72"/>
    <n v="3"/>
    <x v="8"/>
    <x v="21"/>
    <s v="壓縮式抽濕機 (30公升)"/>
    <s v="細電"/>
    <s v="RAC"/>
    <s v="d300"/>
    <n v="1"/>
    <n v="2088"/>
    <n v="2088"/>
    <n v="3520"/>
    <m/>
    <m/>
    <s v="RAD-D300H 3520"/>
    <n v="3380"/>
    <n v="0.61775147928994079"/>
    <s v="Shops Highest Price"/>
    <m/>
    <s v="3520"/>
  </r>
  <r>
    <n v="5237"/>
    <s v="Suning"/>
    <s v="tw"/>
    <x v="72"/>
    <n v="3"/>
    <x v="8"/>
    <x v="44"/>
    <s v="1.7L無線雙層電熱水壺"/>
    <s v="細電"/>
    <s v="SDA"/>
    <s v="17shnh"/>
    <n v="1"/>
    <n v="198"/>
    <n v="198"/>
    <n v="3541"/>
    <m/>
    <m/>
    <s v="KT-17SHNH 3541"/>
    <n v="299"/>
    <n v="0.66220735785953178"/>
    <s v="Shops Highest Price"/>
    <m/>
    <s v="3541"/>
  </r>
  <r>
    <n v="5238"/>
    <s v="Suning"/>
    <s v="tw"/>
    <x v="72"/>
    <n v="3"/>
    <x v="8"/>
    <x v="21"/>
    <s v="壓縮式抽濕機 (30公升)"/>
    <s v="細電"/>
    <s v="RAC"/>
    <s v="d300"/>
    <n v="1"/>
    <n v="1980"/>
    <n v="1980"/>
    <n v="3605"/>
    <m/>
    <m/>
    <s v="RAD-D300H 3605"/>
    <n v="3380"/>
    <n v="0.58579881656804733"/>
    <s v="Shops Highest Price"/>
    <m/>
    <s v="3605"/>
  </r>
  <r>
    <n v="5239"/>
    <s v="Suning"/>
    <s v="tw"/>
    <x v="72"/>
    <n v="3"/>
    <x v="1"/>
    <x v="21"/>
    <s v="壓縮式抽濕機 (30公升)"/>
    <s v="細電"/>
    <s v="RAC"/>
    <s v="d300"/>
    <n v="1"/>
    <n v="1980"/>
    <n v="1980"/>
    <n v="3606"/>
    <m/>
    <m/>
    <s v="RAD-D300H 3606"/>
    <n v="3380"/>
    <n v="0.58579881656804733"/>
    <s v="Shops Highest Price"/>
    <m/>
    <s v="3606"/>
  </r>
  <r>
    <n v="5240"/>
    <s v="Suning"/>
    <s v="tw"/>
    <x v="72"/>
    <n v="3"/>
    <x v="1"/>
    <x v="21"/>
    <s v="壓縮式抽濕機 (30公升)"/>
    <s v="細電"/>
    <s v="RAC"/>
    <s v="d300"/>
    <n v="1"/>
    <n v="2088"/>
    <n v="2088"/>
    <n v="3643"/>
    <m/>
    <m/>
    <s v="RAD-D300H 3643"/>
    <n v="3380"/>
    <n v="0.61775147928994079"/>
    <s v="Shops Highest Price"/>
    <m/>
    <s v="3643"/>
  </r>
  <r>
    <n v="5241"/>
    <s v="Suning"/>
    <s v="tw"/>
    <x v="72"/>
    <n v="3"/>
    <x v="1"/>
    <x v="87"/>
    <s v="變頻式環保雙門雪櫃(233L)"/>
    <s v="大電"/>
    <s v="REF"/>
    <s v="rt300"/>
    <n v="1"/>
    <n v="2680"/>
    <n v="2680"/>
    <n v="3698"/>
    <m/>
    <m/>
    <s v="GR-RT300WE-PMA(57) 3698"/>
    <n v="4280"/>
    <n v="0.62616822429906538"/>
    <s v="Toshiba SRP"/>
    <m/>
    <s v="3698"/>
  </r>
  <r>
    <n v="5242"/>
    <s v="Suning"/>
    <s v="tw"/>
    <x v="72"/>
    <n v="3"/>
    <x v="1"/>
    <x v="56"/>
    <s v="多士焗爐8L"/>
    <s v="細電"/>
    <s v="SDA"/>
    <n v="7080"/>
    <n v="1"/>
    <n v="428"/>
    <n v="428"/>
    <n v="3728"/>
    <m/>
    <m/>
    <s v="ET-TD7080(PN) 3728"/>
    <n v="498"/>
    <n v="0.85943775100401609"/>
    <s v="Toshiba SRP"/>
    <m/>
    <s v="3728"/>
  </r>
  <r>
    <n v="5243"/>
    <s v="Suning"/>
    <s v="tw"/>
    <x v="72"/>
    <n v="3"/>
    <x v="1"/>
    <x v="14"/>
    <s v="21L壓縮式抽濕機"/>
    <s v="大電"/>
    <s v="RAC"/>
    <s v="y200"/>
    <n v="1"/>
    <n v="1788"/>
    <n v="1788"/>
    <n v="3736"/>
    <m/>
    <m/>
    <s v="RAD-Y200H 3736"/>
    <n v="3280"/>
    <n v="0.54512195121951224"/>
    <s v="Toshiba SRP"/>
    <m/>
    <s v="3736"/>
  </r>
  <r>
    <n v="5244"/>
    <s v="Suning"/>
    <s v="tw"/>
    <x v="72"/>
    <n v="3"/>
    <x v="2"/>
    <x v="93"/>
    <s v="座檯式洗碗碟機"/>
    <s v="細電"/>
    <s v="DW"/>
    <s v="05t2"/>
    <n v="1"/>
    <n v="3460"/>
    <n v="3460"/>
    <n v="3747"/>
    <m/>
    <m/>
    <s v="DW-05T2-HK 3747"/>
    <n v="4580"/>
    <n v="0.75545851528384278"/>
    <s v="Toshiba SRP"/>
    <m/>
    <s v="3747"/>
  </r>
  <r>
    <n v="5245"/>
    <s v="Suning"/>
    <s v="tw"/>
    <x v="72"/>
    <n v="3"/>
    <x v="2"/>
    <x v="103"/>
    <s v="變頻下置式雙門雪櫃"/>
    <s v="大電"/>
    <s v="REF"/>
    <s v="rb449"/>
    <n v="1"/>
    <n v="4300"/>
    <n v="4300"/>
    <n v="3749"/>
    <m/>
    <m/>
    <s v="GR-RB449WE-PMA(57) 3749"/>
    <n v="6280"/>
    <n v="0.6847133757961783"/>
    <s v="Toshiba SRP"/>
    <m/>
    <s v="3749"/>
  </r>
  <r>
    <n v="5246"/>
    <s v="Suning"/>
    <s v="tw"/>
    <x v="72"/>
    <n v="3"/>
    <x v="2"/>
    <x v="28"/>
    <s v="無線雙層電熱水壺-附可鎖壺蓋(0.8公升)"/>
    <s v="細電"/>
    <s v="SDA"/>
    <s v="08dh"/>
    <n v="1"/>
    <n v="268"/>
    <n v="268"/>
    <n v="3759"/>
    <m/>
    <m/>
    <s v="KT-08DH1VHK(W) 3759"/>
    <n v="428"/>
    <n v="0.62616822429906538"/>
    <s v="Toshiba SRP"/>
    <m/>
    <s v="3759"/>
  </r>
  <r>
    <n v="5247"/>
    <s v="Suning"/>
    <s v="tw"/>
    <x v="72"/>
    <n v="3"/>
    <x v="2"/>
    <x v="66"/>
    <s v="變頻下置式雙門雪櫃（163L）"/>
    <s v="大電"/>
    <s v="REF"/>
    <s v="rb221"/>
    <n v="1"/>
    <n v="2080"/>
    <n v="2080"/>
    <n v="3800"/>
    <m/>
    <m/>
    <s v="GR-RB221WE-PMA(57) 3800"/>
    <n v="3480"/>
    <n v="0.5977011494252874"/>
    <s v="Toshiba SRP"/>
    <m/>
    <s v="3800"/>
  </r>
  <r>
    <n v="5248"/>
    <s v="Suning"/>
    <s v="tw"/>
    <x v="72"/>
    <n v="3"/>
    <x v="2"/>
    <x v="21"/>
    <s v="壓縮式抽濕機 (30公升)"/>
    <s v="細電"/>
    <s v="RAC"/>
    <s v="d300"/>
    <n v="1"/>
    <n v="1980"/>
    <n v="1980"/>
    <n v="3866"/>
    <m/>
    <m/>
    <s v="RAD-D300H 3866"/>
    <n v="3380"/>
    <n v="0.58579881656804733"/>
    <s v="Shops Highest Price"/>
    <m/>
    <s v="3866"/>
  </r>
  <r>
    <n v="5249"/>
    <s v="Suning"/>
    <s v="tw"/>
    <x v="72"/>
    <n v="3"/>
    <x v="2"/>
    <x v="47"/>
    <s v="磁應電飯煲(1公升)"/>
    <s v="細電"/>
    <s v="SDA"/>
    <s v="10iss"/>
    <n v="1"/>
    <n v="980"/>
    <n v="980"/>
    <n v="3895"/>
    <m/>
    <m/>
    <s v="RC-10ISSHK(W) 3895"/>
    <n v="1188"/>
    <n v="0.82491582491582494"/>
    <s v="Shops Highest Price"/>
    <m/>
    <s v="3895"/>
  </r>
  <r>
    <n v="5250"/>
    <s v="Suning"/>
    <s v="tw"/>
    <x v="72"/>
    <n v="3"/>
    <x v="2"/>
    <x v="34"/>
    <s v="智能氣炸烤焗爐(24公升)"/>
    <s v="細電"/>
    <s v="MCA"/>
    <s v="sac24"/>
    <n v="1"/>
    <n v="1298"/>
    <n v="1298"/>
    <n v="3905"/>
    <m/>
    <m/>
    <s v="MW3-SAC24SE(BK) 3905"/>
    <n v="1680"/>
    <n v="0.77261904761904765"/>
    <s v="Toshiba SRP"/>
    <m/>
    <s v="3905"/>
  </r>
  <r>
    <n v="5251"/>
    <s v="Suning"/>
    <s v="tw"/>
    <x v="72"/>
    <n v="3"/>
    <x v="2"/>
    <x v="21"/>
    <s v="壓縮式抽濕機 (30公升)"/>
    <s v="細電"/>
    <s v="RAC"/>
    <s v="d300"/>
    <n v="1"/>
    <n v="1980"/>
    <n v="1980"/>
    <n v="3910"/>
    <m/>
    <m/>
    <s v="RAD-D300H 3910"/>
    <n v="3380"/>
    <n v="0.58579881656804733"/>
    <s v="Shops Highest Price"/>
    <m/>
    <s v="3910"/>
  </r>
  <r>
    <n v="5252"/>
    <s v="Suning"/>
    <s v="tw"/>
    <x v="72"/>
    <n v="3"/>
    <x v="2"/>
    <x v="44"/>
    <s v="1.7L無線雙層電熱水壺"/>
    <s v="細電"/>
    <s v="SDA"/>
    <s v="17shnh"/>
    <n v="1"/>
    <n v="198"/>
    <n v="198"/>
    <n v="3911"/>
    <m/>
    <m/>
    <s v="KT-17SHNH 3911"/>
    <n v="299"/>
    <n v="0.66220735785953178"/>
    <s v="Shops Highest Price"/>
    <m/>
    <s v="3911"/>
  </r>
  <r>
    <n v="5253"/>
    <s v="Suning"/>
    <s v="tw"/>
    <x v="72"/>
    <n v="3"/>
    <x v="9"/>
    <x v="47"/>
    <s v="磁應電飯煲(1公升)"/>
    <s v="細電"/>
    <s v="SDA"/>
    <s v="10iss"/>
    <n v="1"/>
    <n v="980"/>
    <n v="980"/>
    <n v="3920"/>
    <m/>
    <m/>
    <s v="RC-10ISSHK(W) 3920"/>
    <n v="1188"/>
    <n v="0.82491582491582494"/>
    <s v="Shops Highest Price"/>
    <m/>
    <s v="3920"/>
  </r>
  <r>
    <n v="5254"/>
    <s v="Suning"/>
    <s v="tw"/>
    <x v="72"/>
    <n v="3"/>
    <x v="9"/>
    <x v="21"/>
    <s v="壓縮式抽濕機 (30公升)"/>
    <s v="細電"/>
    <s v="RAC"/>
    <s v="d300"/>
    <n v="1"/>
    <n v="2088"/>
    <n v="2088"/>
    <n v="3942"/>
    <m/>
    <m/>
    <s v="RAD-D300H 3942"/>
    <n v="3380"/>
    <n v="0.61775147928994079"/>
    <s v="Shops Highest Price"/>
    <m/>
    <s v="3942"/>
  </r>
  <r>
    <n v="5255"/>
    <s v="Suning"/>
    <s v="tw"/>
    <x v="72"/>
    <n v="3"/>
    <x v="9"/>
    <x v="21"/>
    <s v="壓縮式抽濕機 (30公升)"/>
    <s v="細電"/>
    <s v="RAC"/>
    <s v="d300"/>
    <n v="1"/>
    <n v="2088"/>
    <n v="2088"/>
    <n v="3949"/>
    <m/>
    <m/>
    <s v="RAD-D300H 3949"/>
    <n v="3380"/>
    <n v="0.61775147928994079"/>
    <s v="Shops Highest Price"/>
    <m/>
    <s v="3949"/>
  </r>
  <r>
    <n v="5256"/>
    <s v="Suning"/>
    <s v="tw"/>
    <x v="72"/>
    <n v="3"/>
    <x v="10"/>
    <x v="21"/>
    <s v="壓縮式抽濕機 (30公升)"/>
    <s v="細電"/>
    <s v="RAC"/>
    <s v="d300"/>
    <n v="1"/>
    <n v="1980"/>
    <n v="1980"/>
    <n v="3978"/>
    <m/>
    <m/>
    <s v="RAD-D300H 3978"/>
    <n v="3380"/>
    <n v="0.58579881656804733"/>
    <s v="Shops Highest Price"/>
    <m/>
    <s v="3978"/>
  </r>
  <r>
    <n v="5257"/>
    <s v="Suning"/>
    <s v="tw"/>
    <x v="72"/>
    <n v="3"/>
    <x v="10"/>
    <x v="89"/>
    <s v="2 匹 R32變頻窗口式冷氣機 (remote)"/>
    <s v="大電"/>
    <s v="AC"/>
    <s v="18g3cvr"/>
    <n v="1"/>
    <n v="5999"/>
    <n v="5999"/>
    <n v="3994"/>
    <m/>
    <m/>
    <s v="RAC-18G3CVRGR-HK 3994"/>
    <n v="10380"/>
    <n v="0.57793834296724467"/>
    <s v="Toshiba SRP"/>
    <m/>
    <s v="3994"/>
  </r>
  <r>
    <n v="5258"/>
    <s v="Suning"/>
    <s v="tw"/>
    <x v="72"/>
    <n v="3"/>
    <x v="10"/>
    <x v="68"/>
    <s v="旋鈕式微波爐 (20公升)"/>
    <s v="細電"/>
    <s v="MCA"/>
    <s v="2mm20"/>
    <n v="1"/>
    <n v="618"/>
    <n v="618"/>
    <n v="4000"/>
    <m/>
    <m/>
    <s v="MM-2MM20PC(WH) 4000"/>
    <n v="738"/>
    <n v="0.83739837398373984"/>
    <s v="Toshiba SRP"/>
    <m/>
    <s v="4000"/>
  </r>
  <r>
    <n v="5259"/>
    <s v="Suning"/>
    <s v="tw"/>
    <x v="72"/>
    <n v="3"/>
    <x v="10"/>
    <x v="31"/>
    <s v="無線雙層電熱水壺(1.7公升)"/>
    <s v="細電"/>
    <s v="SDA"/>
    <s v="17drt"/>
    <n v="1"/>
    <n v="388"/>
    <n v="388"/>
    <n v="4018"/>
    <m/>
    <m/>
    <s v="KT-17DRTHK(H) 4018"/>
    <n v="498"/>
    <n v="0.77911646586345384"/>
    <s v="Toshiba SRP"/>
    <m/>
    <s v="4018"/>
  </r>
  <r>
    <n v="5260"/>
    <s v="Suning"/>
    <s v="tw"/>
    <x v="72"/>
    <n v="3"/>
    <x v="10"/>
    <x v="0"/>
    <s v="超薄身前置式洗衣乾衣機 (洗8公斤 乾5公斤)"/>
    <s v="大電"/>
    <s v="WM"/>
    <s v="bn90"/>
    <n v="1"/>
    <n v="3688"/>
    <n v="3688"/>
    <n v="4020"/>
    <m/>
    <m/>
    <s v="TWD-BN90GF4H(WK) 4020"/>
    <n v="5980"/>
    <n v="0.61672240802675582"/>
    <s v="Toshiba SRP"/>
    <m/>
    <s v="4020"/>
  </r>
  <r>
    <n v="5261"/>
    <s v="Suning"/>
    <s v="tw"/>
    <x v="72"/>
    <n v="3"/>
    <x v="16"/>
    <x v="114"/>
    <s v="變頻三門雪櫃 (233L)"/>
    <s v="大電"/>
    <s v="REF"/>
    <s v="rm352"/>
    <n v="1"/>
    <n v="3470"/>
    <n v="3470"/>
    <n v="4027"/>
    <m/>
    <m/>
    <s v="GR-RM352WI-PMA(53) 4027"/>
    <n v="5580"/>
    <n v="0.62186379928315416"/>
    <s v="Toshiba SRP"/>
    <m/>
    <s v="4027"/>
  </r>
  <r>
    <n v="5262"/>
    <s v="Suning"/>
    <s v="tw"/>
    <x v="72"/>
    <n v="3"/>
    <x v="16"/>
    <x v="33"/>
    <s v="輕觸式燒烤微波爐"/>
    <s v="細電"/>
    <s v="MCA"/>
    <s v="eg20"/>
    <n v="1"/>
    <n v="698"/>
    <n v="698"/>
    <n v="4069"/>
    <m/>
    <m/>
    <s v="MM2-EG20PC(WH) 4069"/>
    <n v="918"/>
    <n v="0.76034858387799564"/>
    <s v="Shops Highest Price"/>
    <m/>
    <s v="4069"/>
  </r>
  <r>
    <n v="5263"/>
    <s v="Suning"/>
    <s v="tw"/>
    <x v="72"/>
    <n v="3"/>
    <x v="16"/>
    <x v="79"/>
    <s v="IH磁應電飯煲"/>
    <s v="細電"/>
    <s v="SDA"/>
    <s v="ds10k"/>
    <n v="1"/>
    <n v="2988"/>
    <n v="2988"/>
    <n v="4105"/>
    <m/>
    <m/>
    <s v="RC-DS10K(R) 4105"/>
    <n v="4588"/>
    <n v="0.6512641673931997"/>
    <s v="Toshiba SRP"/>
    <m/>
    <s v="4105"/>
  </r>
  <r>
    <n v="5264"/>
    <s v="Suning"/>
    <s v="tw"/>
    <x v="72"/>
    <n v="3"/>
    <x v="16"/>
    <x v="66"/>
    <s v="變頻下置式雙門雪櫃（163L）"/>
    <s v="大電"/>
    <s v="REF"/>
    <s v="rb221"/>
    <n v="1"/>
    <n v="2080"/>
    <n v="2080"/>
    <n v="4121"/>
    <m/>
    <m/>
    <s v="GR-RB221WE-PMA(57) 4121"/>
    <n v="3480"/>
    <n v="0.5977011494252874"/>
    <s v="Toshiba SRP"/>
    <m/>
    <s v="4121"/>
  </r>
  <r>
    <n v="5265"/>
    <s v="Suning"/>
    <s v="tw"/>
    <x v="72"/>
    <n v="3"/>
    <x v="16"/>
    <x v="66"/>
    <s v="變頻下置式雙門雪櫃（163L）"/>
    <s v="大電"/>
    <s v="REF"/>
    <s v="rb221"/>
    <n v="1"/>
    <n v="2080"/>
    <n v="2080"/>
    <n v="4135"/>
    <m/>
    <m/>
    <s v="GR-RB221WE-PMA(57) 4135"/>
    <n v="3480"/>
    <n v="0.5977011494252874"/>
    <s v="Toshiba SRP"/>
    <m/>
    <s v="4135"/>
  </r>
  <r>
    <n v="5266"/>
    <s v="Suning"/>
    <s v="tw"/>
    <x v="72"/>
    <n v="3"/>
    <x v="16"/>
    <x v="45"/>
    <s v="備長炭本厚釜電飯煲0.7L"/>
    <s v="細電"/>
    <s v="SDA"/>
    <s v="7hmh"/>
    <n v="1"/>
    <n v="838"/>
    <n v="838"/>
    <n v="4153"/>
    <m/>
    <m/>
    <s v="RC-7HMH 4153"/>
    <n v="1288"/>
    <n v="0.65062111801242239"/>
    <s v="Toshiba SRP"/>
    <m/>
    <s v="4153"/>
  </r>
  <r>
    <n v="5267"/>
    <s v="Suning"/>
    <s v="tw"/>
    <x v="72"/>
    <n v="3"/>
    <x v="11"/>
    <x v="39"/>
    <s v="酵活炊電飯煲(1.0公升)"/>
    <s v="細電"/>
    <s v="SDA"/>
    <s v="10amx"/>
    <n v="1"/>
    <n v="990"/>
    <n v="990"/>
    <n v="4164"/>
    <m/>
    <m/>
    <s v="RC-10AMXH(W) 4164"/>
    <n v="1288"/>
    <n v="0.76863354037267084"/>
    <s v="Toshiba SRP"/>
    <m/>
    <s v="4164"/>
  </r>
  <r>
    <n v="5268"/>
    <s v="Suning"/>
    <s v="tw"/>
    <x v="72"/>
    <n v="3"/>
    <x v="11"/>
    <x v="31"/>
    <s v="無線雙層電熱水壺(1.7公升)"/>
    <s v="細電"/>
    <s v="SDA"/>
    <s v="17drt"/>
    <n v="1"/>
    <n v="388"/>
    <n v="388"/>
    <n v="4176"/>
    <m/>
    <m/>
    <s v="KT-17DRTHK(H) 4176"/>
    <n v="498"/>
    <n v="0.77911646586345384"/>
    <s v="Toshiba SRP"/>
    <m/>
    <s v="4176"/>
  </r>
  <r>
    <n v="5269"/>
    <s v="Suning"/>
    <s v="tw"/>
    <x v="72"/>
    <n v="3"/>
    <x v="11"/>
    <x v="36"/>
    <s v="輕觸式微波爐 (20公升)"/>
    <s v="細電"/>
    <s v="MCA"/>
    <s v="em20"/>
    <n v="1"/>
    <n v="618"/>
    <n v="618"/>
    <n v="4168"/>
    <m/>
    <m/>
    <s v="MM2-EM20PC(WH) 4168"/>
    <n v="788"/>
    <n v="0.78426395939086291"/>
    <s v="Toshiba SRP"/>
    <m/>
    <s v="4168"/>
  </r>
  <r>
    <n v="5270"/>
    <s v="Suning"/>
    <s v="tw"/>
    <x v="72"/>
    <n v="3"/>
    <x v="11"/>
    <x v="21"/>
    <s v="壓縮式抽濕機 (30公升)"/>
    <s v="細電"/>
    <s v="RAC"/>
    <s v="d300"/>
    <n v="1"/>
    <n v="1980"/>
    <n v="1980"/>
    <n v="4188"/>
    <m/>
    <m/>
    <s v="RAD-D300H 4188"/>
    <n v="3380"/>
    <n v="0.58579881656804733"/>
    <s v="Shops Highest Price"/>
    <m/>
    <s v="4188"/>
  </r>
  <r>
    <n v="5271"/>
    <s v="Suning"/>
    <s v="tw"/>
    <x v="72"/>
    <n v="3"/>
    <x v="11"/>
    <x v="43"/>
    <s v="470MM超薄身前置式變頻洗衣機(8.5公斤, 可飛頂)"/>
    <s v="大電"/>
    <s v="LAD"/>
    <s v="t2295"/>
    <n v="1"/>
    <n v="3580"/>
    <n v="3580"/>
    <n v="4217"/>
    <m/>
    <m/>
    <s v="TW-T22BU95UWH(WK)-B 4217"/>
    <n v="5880"/>
    <n v="0.608843537414966"/>
    <s v="Toshiba SRP"/>
    <m/>
    <s v="4217"/>
  </r>
  <r>
    <n v="5272"/>
    <s v="Suning"/>
    <s v="tw"/>
    <x v="72"/>
    <n v="3"/>
    <x v="3"/>
    <x v="21"/>
    <s v="壓縮式抽濕機 (30公升)"/>
    <s v="細電"/>
    <s v="RAC"/>
    <s v="d300"/>
    <n v="1"/>
    <n v="1980"/>
    <n v="1980"/>
    <n v="4225"/>
    <m/>
    <m/>
    <s v="RAD-D300H 4225"/>
    <n v="3380"/>
    <n v="0.58579881656804733"/>
    <s v="Shops Highest Price"/>
    <m/>
    <s v="4225"/>
  </r>
  <r>
    <n v="5273"/>
    <s v="Suning"/>
    <s v="tw"/>
    <x v="72"/>
    <n v="3"/>
    <x v="3"/>
    <x v="44"/>
    <s v="1.7L無線雙層電熱水壺"/>
    <s v="細電"/>
    <s v="SDA"/>
    <s v="17shnh"/>
    <n v="1"/>
    <n v="198"/>
    <n v="198"/>
    <n v="4350"/>
    <m/>
    <m/>
    <s v="KT-17SHNH 4350"/>
    <n v="299"/>
    <n v="0.66220735785953178"/>
    <s v="Shops Highest Price"/>
    <m/>
    <s v="4350"/>
  </r>
  <r>
    <n v="5274"/>
    <s v="Suning"/>
    <s v="tw"/>
    <x v="72"/>
    <n v="3"/>
    <x v="3"/>
    <x v="42"/>
    <s v="變頻下置式雙門雪櫃系列270L"/>
    <s v="大電"/>
    <s v="REF"/>
    <s v="rb360"/>
    <n v="1"/>
    <n v="3880"/>
    <n v="3880"/>
    <n v="4377"/>
    <m/>
    <m/>
    <s v="GR-RB360WE-PMA(06) 4377"/>
    <n v="5080"/>
    <n v="0.76377952755905509"/>
    <s v="Toshiba SRP"/>
    <m/>
    <s v="4377"/>
  </r>
  <r>
    <n v="5275"/>
    <s v="Suning"/>
    <s v="tw"/>
    <x v="72"/>
    <n v="3"/>
    <x v="3"/>
    <x v="91"/>
    <s v="3/4 匹 R32變頻窗口式冷氣機"/>
    <s v="大電"/>
    <s v="AC"/>
    <s v="07g3cvg"/>
    <n v="1"/>
    <n v="3099"/>
    <n v="3099"/>
    <n v="4389"/>
    <m/>
    <m/>
    <s v="RAC-07G3CVG-HK 4389"/>
    <n v="4980"/>
    <n v="0.62228915662650608"/>
    <s v="Toshiba SRP"/>
    <m/>
    <s v="4389"/>
  </r>
  <r>
    <n v="5276"/>
    <s v="Suning"/>
    <s v="tw"/>
    <x v="72"/>
    <n v="3"/>
    <x v="3"/>
    <x v="36"/>
    <s v="輕觸式微波爐 (20公升)"/>
    <s v="細電"/>
    <s v="MCA"/>
    <s v="em20"/>
    <n v="1"/>
    <n v="598"/>
    <n v="598"/>
    <n v="4398"/>
    <m/>
    <m/>
    <s v="MM2-EM20PC(WH) 4398"/>
    <n v="788"/>
    <n v="0.75888324873096447"/>
    <s v="Toshiba SRP"/>
    <m/>
    <s v="4398"/>
  </r>
  <r>
    <n v="5277"/>
    <s v="Suning"/>
    <s v="tw"/>
    <x v="72"/>
    <n v="3"/>
    <x v="3"/>
    <x v="78"/>
    <s v="變頻式環保雙門雪櫃（179L）"/>
    <s v="大電"/>
    <s v="REF"/>
    <s v="rt234"/>
    <n v="1"/>
    <n v="1980"/>
    <n v="1980"/>
    <n v="4400"/>
    <m/>
    <m/>
    <s v="GR-RT234WE-PMA(57) 4400"/>
    <n v="3680"/>
    <n v="0.53804347826086951"/>
    <s v="Toshiba SRP"/>
    <m/>
    <s v="4400"/>
  </r>
  <r>
    <n v="5278"/>
    <s v="Suning"/>
    <s v="tw"/>
    <x v="72"/>
    <n v="3"/>
    <x v="3"/>
    <x v="80"/>
    <s v="無線雙層電熱水壺(1.4公升)"/>
    <s v="細電"/>
    <s v="SDA"/>
    <s v="14dh"/>
    <n v="1"/>
    <n v="298"/>
    <n v="298"/>
    <n v="4453"/>
    <m/>
    <m/>
    <s v="KT-14DHUHK(W) 4453"/>
    <n v="458"/>
    <n v="0.6506550218340611"/>
    <s v="Toshiba SRP"/>
    <m/>
    <s v="4453"/>
  </r>
  <r>
    <n v="5279"/>
    <s v="Suning"/>
    <s v="tw"/>
    <x v="72"/>
    <n v="3"/>
    <x v="3"/>
    <x v="44"/>
    <s v="1.7L無線雙層電熱水壺"/>
    <s v="細電"/>
    <s v="SDA"/>
    <s v="17shnh"/>
    <n v="1"/>
    <n v="198"/>
    <n v="198"/>
    <n v="4475"/>
    <m/>
    <m/>
    <s v="KT-17SHNH 4475"/>
    <n v="299"/>
    <n v="0.66220735785953178"/>
    <s v="Shops Highest Price"/>
    <m/>
    <s v="4475"/>
  </r>
  <r>
    <n v="5280"/>
    <s v="Suning"/>
    <s v="tw"/>
    <x v="72"/>
    <n v="3"/>
    <x v="3"/>
    <x v="21"/>
    <s v="壓縮式抽濕機 (30公升)"/>
    <s v="細電"/>
    <s v="RAC"/>
    <s v="d300"/>
    <n v="1"/>
    <n v="2088"/>
    <n v="2088"/>
    <n v="4511"/>
    <m/>
    <m/>
    <s v="RAD-D300H 4511"/>
    <n v="3380"/>
    <n v="0.61775147928994079"/>
    <s v="Shops Highest Price"/>
    <m/>
    <s v="4511"/>
  </r>
  <r>
    <n v="5281"/>
    <s v="Suning"/>
    <s v="tw"/>
    <x v="72"/>
    <n v="3"/>
    <x v="3"/>
    <x v="36"/>
    <s v="輕觸式微波爐 (20公升)"/>
    <s v="細電"/>
    <s v="MCA"/>
    <s v="em20"/>
    <n v="1"/>
    <n v="618"/>
    <n v="618"/>
    <n v="4525"/>
    <m/>
    <m/>
    <s v="MM2-EM20PC(WH) 4525"/>
    <n v="788"/>
    <n v="0.78426395939086291"/>
    <s v="Toshiba SRP"/>
    <m/>
    <s v="4525"/>
  </r>
  <r>
    <n v="5282"/>
    <s v="Suning"/>
    <s v="tw"/>
    <x v="72"/>
    <n v="3"/>
    <x v="3"/>
    <x v="136"/>
    <s v="單門直冷式環保雪櫃44L"/>
    <s v="大電"/>
    <s v="REF"/>
    <s v="h713"/>
    <n v="1"/>
    <n v="1600"/>
    <n v="1600"/>
    <n v="4522"/>
    <m/>
    <m/>
    <s v="GR-H713(WH) 4522"/>
    <n v="1780"/>
    <n v="0.898876404494382"/>
    <s v="Toshiba SRP"/>
    <m/>
    <s v="4522"/>
  </r>
  <r>
    <n v="5283"/>
    <s v="Suning"/>
    <s v="tw"/>
    <x v="72"/>
    <n v="3"/>
    <x v="3"/>
    <x v="42"/>
    <s v="變頻下置式雙門雪櫃系列270L"/>
    <s v="大電"/>
    <s v="REF"/>
    <s v="rb360"/>
    <n v="1"/>
    <n v="3780"/>
    <n v="3780"/>
    <n v="4549"/>
    <m/>
    <m/>
    <s v="GR-RB360WE-PMA(06) 4549"/>
    <n v="5080"/>
    <n v="0.74409448818897639"/>
    <s v="Toshiba SRP"/>
    <m/>
    <s v="4549"/>
  </r>
  <r>
    <n v="5284"/>
    <s v="Suning"/>
    <s v="tw"/>
    <x v="72"/>
    <n v="3"/>
    <x v="4"/>
    <x v="79"/>
    <s v="IH磁應電飯煲"/>
    <s v="細電"/>
    <s v="SDA"/>
    <s v="ds10k"/>
    <n v="1"/>
    <n v="2988"/>
    <n v="2988"/>
    <n v="4648"/>
    <m/>
    <m/>
    <s v="RC-DS10K(R) 4648"/>
    <n v="4588"/>
    <n v="0.6512641673931997"/>
    <s v="Toshiba SRP"/>
    <m/>
    <s v="4648"/>
  </r>
  <r>
    <n v="5285"/>
    <s v="Suning"/>
    <s v="tw"/>
    <x v="72"/>
    <n v="3"/>
    <x v="4"/>
    <x v="33"/>
    <s v="輕觸式燒烤微波爐"/>
    <s v="細電"/>
    <s v="MCA"/>
    <s v="eg20"/>
    <n v="1"/>
    <n v="698"/>
    <n v="698"/>
    <n v="4666"/>
    <m/>
    <m/>
    <s v="MM2-EG20PC(WH) 4666"/>
    <n v="918"/>
    <n v="0.76034858387799564"/>
    <s v="Shops Highest Price"/>
    <m/>
    <s v="4666"/>
  </r>
  <r>
    <n v="5286"/>
    <s v="Suning"/>
    <s v="tw"/>
    <x v="72"/>
    <n v="3"/>
    <x v="4"/>
    <x v="48"/>
    <s v="3合1 微波蒸焗爐 (20公升)"/>
    <s v="細電"/>
    <s v="MCA"/>
    <s v="tt20"/>
    <n v="1"/>
    <n v="2440"/>
    <n v="2440"/>
    <n v="4684"/>
    <m/>
    <m/>
    <s v="MX2-TT20SC(WH) 4684"/>
    <n v="3580"/>
    <n v="0.68156424581005581"/>
    <s v="Toshiba SRP"/>
    <m/>
    <s v="4684"/>
  </r>
  <r>
    <n v="5287"/>
    <s v="Suning"/>
    <s v="tw"/>
    <x v="72"/>
    <n v="3"/>
    <x v="4"/>
    <x v="30"/>
    <s v="旋鈕式燒烤微波爐20L"/>
    <s v="細電"/>
    <s v="SDA"/>
    <s v="mm20"/>
    <n v="1"/>
    <n v="599"/>
    <n v="599"/>
    <n v="4694"/>
    <m/>
    <m/>
    <s v="MWP-MM20P(WH) 4694"/>
    <n v="648"/>
    <n v="0.92438271604938271"/>
    <s v="Toshiba SRP"/>
    <m/>
    <s v="4694"/>
  </r>
  <r>
    <n v="5288"/>
    <s v="Suning"/>
    <s v="tw"/>
    <x v="72"/>
    <n v="3"/>
    <x v="4"/>
    <x v="31"/>
    <s v="無線雙層電熱水壺(1.7公升)"/>
    <s v="細電"/>
    <s v="SDA"/>
    <s v="17drt"/>
    <n v="1"/>
    <n v="388"/>
    <n v="388"/>
    <n v="4695"/>
    <m/>
    <m/>
    <s v="KT-17DRTHK(H) 4695"/>
    <n v="498"/>
    <n v="0.77911646586345384"/>
    <s v="Toshiba SRP"/>
    <m/>
    <s v="4695"/>
  </r>
  <r>
    <n v="5289"/>
    <s v="Suning"/>
    <s v="tw"/>
    <x v="72"/>
    <n v="3"/>
    <x v="4"/>
    <x v="93"/>
    <s v="座檯式洗碗碟機"/>
    <s v="細電"/>
    <s v="DW"/>
    <s v="05t2"/>
    <n v="1"/>
    <n v="3460"/>
    <n v="3460"/>
    <n v="4707"/>
    <m/>
    <m/>
    <s v="DW-05T2-HK 4707"/>
    <n v="4580"/>
    <n v="0.75545851528384278"/>
    <s v="Toshiba SRP"/>
    <m/>
    <s v="4707"/>
  </r>
  <r>
    <n v="5290"/>
    <s v="Suning"/>
    <s v="tw"/>
    <x v="72"/>
    <n v="3"/>
    <x v="4"/>
    <x v="124"/>
    <s v="RO座檯式冷熱飲水機"/>
    <s v="細電"/>
    <s v="KWH"/>
    <s v="w2265"/>
    <n v="1"/>
    <n v="2886"/>
    <n v="2886"/>
    <n v="4709"/>
    <m/>
    <m/>
    <s v="TWP-W2265THK(W) 4709"/>
    <n v="3480"/>
    <n v="0.82931034482758625"/>
    <s v="Shops Highest Price"/>
    <m/>
    <s v="4709"/>
  </r>
  <r>
    <n v="5291"/>
    <s v="Suning"/>
    <s v="tw"/>
    <x v="72"/>
    <n v="3"/>
    <x v="4"/>
    <x v="37"/>
    <s v="電熱水瓶 (5公升)"/>
    <s v="細電"/>
    <s v="SDA"/>
    <s v="50dr"/>
    <n v="1"/>
    <n v="600"/>
    <n v="600"/>
    <n v="4721"/>
    <m/>
    <m/>
    <s v="TP-50DRUHK(W) 4721"/>
    <n v="718"/>
    <n v="0.83565459610027859"/>
    <s v="Toshiba SRP"/>
    <m/>
    <s v="4721"/>
  </r>
  <r>
    <n v="5292"/>
    <s v="Suning"/>
    <s v="tw"/>
    <x v="72"/>
    <n v="3"/>
    <x v="4"/>
    <x v="79"/>
    <s v="IH磁應電飯煲"/>
    <s v="細電"/>
    <s v="SDA"/>
    <s v="ds10k"/>
    <n v="1"/>
    <n v="2988"/>
    <n v="2988"/>
    <n v="4734"/>
    <m/>
    <m/>
    <s v="RC-DS10K(R) 4734"/>
    <n v="4588"/>
    <n v="0.6512641673931997"/>
    <s v="Toshiba SRP"/>
    <m/>
    <s v="4734"/>
  </r>
  <r>
    <n v="5293"/>
    <s v="Suning"/>
    <s v="tw"/>
    <x v="72"/>
    <n v="3"/>
    <x v="4"/>
    <x v="34"/>
    <s v="智能氣炸烤焗爐(24公升)"/>
    <s v="細電"/>
    <s v="MCA"/>
    <s v="sac24"/>
    <n v="1"/>
    <n v="1258"/>
    <n v="1258"/>
    <n v="4737"/>
    <m/>
    <m/>
    <s v="MW3-SAC24SE(BK) 4737"/>
    <n v="1680"/>
    <n v="0.74880952380952381"/>
    <s v="Toshiba SRP"/>
    <m/>
    <s v="4737"/>
  </r>
  <r>
    <n v="5294"/>
    <s v="Suning"/>
    <s v="tw"/>
    <x v="72"/>
    <n v="3"/>
    <x v="4"/>
    <x v="45"/>
    <s v="備長炭本厚釜電飯煲0.7L"/>
    <s v="細電"/>
    <s v="SDA"/>
    <s v="7hmh"/>
    <n v="1"/>
    <n v="820"/>
    <n v="820"/>
    <n v="4744"/>
    <m/>
    <m/>
    <s v="RC-7HMH 4744"/>
    <n v="1288"/>
    <n v="0.63664596273291929"/>
    <s v="Toshiba SRP"/>
    <m/>
    <s v="4744"/>
  </r>
  <r>
    <n v="5295"/>
    <s v="Suning"/>
    <s v="tw"/>
    <x v="72"/>
    <n v="3"/>
    <x v="4"/>
    <x v="21"/>
    <s v="壓縮式抽濕機 (30公升)"/>
    <s v="細電"/>
    <s v="RAC"/>
    <s v="d300"/>
    <n v="1"/>
    <n v="1980"/>
    <n v="1980"/>
    <n v="4750"/>
    <m/>
    <m/>
    <s v="RAD-D300H 4750"/>
    <n v="3380"/>
    <n v="0.58579881656804733"/>
    <s v="Shops Highest Price"/>
    <m/>
    <s v="4750"/>
  </r>
  <r>
    <n v="5296"/>
    <s v="Suning"/>
    <s v="tw"/>
    <x v="72"/>
    <n v="3"/>
    <x v="4"/>
    <x v="74"/>
    <s v="4合1氣炸微波蒸焗爐(25公升)"/>
    <s v="細電"/>
    <s v="MCA"/>
    <s v="str25"/>
    <n v="1"/>
    <n v="3250"/>
    <n v="3250"/>
    <n v="4748"/>
    <m/>
    <m/>
    <s v="MX2-STR25SC(WH) 4748"/>
    <n v="4998"/>
    <n v="0.6502601040416166"/>
    <s v="Toshiba SRP"/>
    <m/>
    <s v="4748"/>
  </r>
  <r>
    <n v="5297"/>
    <s v="Suning"/>
    <s v="tw"/>
    <x v="72"/>
    <n v="3"/>
    <x v="4"/>
    <x v="93"/>
    <s v="座檯式洗碗碟機"/>
    <s v="細電"/>
    <s v="DW"/>
    <s v="05t2"/>
    <n v="1"/>
    <n v="3460"/>
    <n v="3460"/>
    <n v="4751"/>
    <m/>
    <m/>
    <s v="DW-05T2-HK 4751"/>
    <n v="4580"/>
    <n v="0.75545851528384278"/>
    <s v="Toshiba SRP"/>
    <m/>
    <s v="4751"/>
  </r>
  <r>
    <n v="5298"/>
    <s v="Suning"/>
    <s v="tw"/>
    <x v="72"/>
    <n v="3"/>
    <x v="4"/>
    <x v="91"/>
    <s v="3/4 匹 R32變頻窗口式冷氣機"/>
    <s v="大電"/>
    <s v="AC"/>
    <s v="07g3cvg"/>
    <n v="1"/>
    <n v="3099"/>
    <n v="3099"/>
    <n v="4754"/>
    <m/>
    <m/>
    <s v="RAC-07G3CVG-HK 4754"/>
    <n v="4980"/>
    <n v="0.62228915662650608"/>
    <s v="Toshiba SRP"/>
    <m/>
    <s v="4754"/>
  </r>
  <r>
    <n v="5299"/>
    <s v="Suning"/>
    <s v="tw"/>
    <x v="72"/>
    <n v="3"/>
    <x v="14"/>
    <x v="47"/>
    <s v="磁應電飯煲(1公升)"/>
    <s v="細電"/>
    <s v="SDA"/>
    <s v="10iss"/>
    <n v="1"/>
    <n v="980"/>
    <n v="980"/>
    <n v="4777"/>
    <m/>
    <m/>
    <s v="RC-10ISSHK(W) 4777"/>
    <n v="1188"/>
    <n v="0.82491582491582494"/>
    <s v="Shops Highest Price"/>
    <m/>
    <s v="4777"/>
  </r>
  <r>
    <n v="5300"/>
    <s v="Suning"/>
    <s v="tw"/>
    <x v="72"/>
    <n v="3"/>
    <x v="14"/>
    <x v="36"/>
    <s v="輕觸式微波爐 (20公升)"/>
    <s v="細電"/>
    <s v="MCA"/>
    <s v="em20"/>
    <n v="1"/>
    <n v="618"/>
    <n v="618"/>
    <n v="4779"/>
    <m/>
    <m/>
    <s v="MM2-EM20PC(WH) 4779"/>
    <n v="788"/>
    <n v="0.78426395939086291"/>
    <s v="Toshiba SRP"/>
    <m/>
    <s v="4779"/>
  </r>
  <r>
    <n v="5301"/>
    <s v="Suning"/>
    <s v="tw"/>
    <x v="72"/>
    <n v="3"/>
    <x v="14"/>
    <x v="135"/>
    <s v="變頻日式洗衣機 (10公斤 結合高低水位)"/>
    <s v="大電"/>
    <s v="LAD"/>
    <s v="dq110"/>
    <n v="1"/>
    <n v="2580"/>
    <n v="2580"/>
    <n v="4805"/>
    <m/>
    <m/>
    <s v="AW-DQ110JPH(WW) 4805"/>
    <n v="4680"/>
    <n v="0.55128205128205132"/>
    <s v="Toshiba SRP"/>
    <m/>
    <s v="4805"/>
  </r>
  <r>
    <n v="5302"/>
    <s v="Suning"/>
    <s v="tw"/>
    <x v="72"/>
    <n v="3"/>
    <x v="15"/>
    <x v="0"/>
    <s v="超薄身前置式洗衣乾衣機 (洗8公斤 乾5公斤)"/>
    <s v="大電"/>
    <s v="WM"/>
    <s v="bn90"/>
    <n v="1"/>
    <n v="3688"/>
    <n v="3688"/>
    <n v="4815"/>
    <m/>
    <m/>
    <s v="TWD-BN90GF4H(WK) 4815"/>
    <n v="5980"/>
    <n v="0.61672240802675582"/>
    <s v="Toshiba SRP"/>
    <m/>
    <s v="4815"/>
  </r>
  <r>
    <n v="5303"/>
    <s v="Suning"/>
    <s v="tw"/>
    <x v="72"/>
    <n v="3"/>
    <x v="15"/>
    <x v="37"/>
    <s v="電熱水瓶 (5公升)"/>
    <s v="細電"/>
    <s v="SDA"/>
    <s v="50dr"/>
    <n v="1"/>
    <n v="600"/>
    <n v="600"/>
    <n v="4817"/>
    <m/>
    <m/>
    <s v="TP-50DRUHK(W) 4817"/>
    <n v="718"/>
    <n v="0.83565459610027859"/>
    <s v="Toshiba SRP"/>
    <m/>
    <s v="4817"/>
  </r>
  <r>
    <n v="5304"/>
    <s v="Suning"/>
    <s v="tw"/>
    <x v="72"/>
    <n v="3"/>
    <x v="15"/>
    <x v="40"/>
    <s v="400MM超薄身前置式變頻洗衣機(7公斤)"/>
    <s v="大電"/>
    <s v="LAD"/>
    <s v="bu80"/>
    <n v="1"/>
    <n v="2880"/>
    <n v="2880"/>
    <n v="4836"/>
    <m/>
    <m/>
    <s v="TW-T21BU80UWH(MG) 4836"/>
    <n v="5180"/>
    <n v="0.55598455598455598"/>
    <s v="Toshiba SRP"/>
    <m/>
    <s v="4836"/>
  </r>
  <r>
    <n v="5305"/>
    <s v="Suning"/>
    <s v="tw"/>
    <x v="72"/>
    <n v="3"/>
    <x v="15"/>
    <x v="35"/>
    <s v="1.8公升電飯煲"/>
    <s v="細電"/>
    <s v="SDA"/>
    <s v="18jruh"/>
    <n v="1"/>
    <n v="388"/>
    <n v="388"/>
    <n v="4854"/>
    <m/>
    <m/>
    <s v="RC-18JRUH(N) 4854"/>
    <n v="458"/>
    <n v="0.84716157205240172"/>
    <s v="Shops Highest Price"/>
    <m/>
    <s v="4854"/>
  </r>
  <r>
    <n v="5306"/>
    <s v="Suning"/>
    <s v="tw"/>
    <x v="72"/>
    <n v="3"/>
    <x v="15"/>
    <x v="35"/>
    <s v="1.8公升電飯煲"/>
    <s v="細電"/>
    <s v="SDA"/>
    <s v="18jruh"/>
    <n v="1"/>
    <n v="388"/>
    <n v="388"/>
    <n v="4859"/>
    <m/>
    <m/>
    <s v="RC-18JRUH(N) 4859"/>
    <n v="458"/>
    <n v="0.84716157205240172"/>
    <s v="Shops Highest Price"/>
    <m/>
    <s v="4859"/>
  </r>
  <r>
    <n v="5307"/>
    <s v="Suning"/>
    <s v="tw"/>
    <x v="72"/>
    <n v="3"/>
    <x v="15"/>
    <x v="93"/>
    <s v="座檯式洗碗碟機"/>
    <s v="細電"/>
    <s v="DW"/>
    <s v="05t2"/>
    <n v="1"/>
    <n v="3460"/>
    <n v="3460"/>
    <n v="4864"/>
    <m/>
    <m/>
    <s v="DW-05T2-HK 4864"/>
    <n v="4580"/>
    <n v="0.75545851528384278"/>
    <s v="Toshiba SRP"/>
    <m/>
    <s v="4864"/>
  </r>
  <r>
    <n v="5308"/>
    <s v="Suning"/>
    <s v="tw"/>
    <x v="72"/>
    <n v="3"/>
    <x v="15"/>
    <x v="42"/>
    <s v="變頻下置式雙門雪櫃系列270L"/>
    <s v="大電"/>
    <s v="REF"/>
    <s v="rb360"/>
    <n v="1"/>
    <n v="3480"/>
    <n v="3480"/>
    <n v="4881"/>
    <m/>
    <m/>
    <s v="GR-RB360WE-PMA(06) 4881"/>
    <n v="5080"/>
    <n v="0.68503937007874016"/>
    <s v="Toshiba SRP"/>
    <m/>
    <s v="4881"/>
  </r>
  <r>
    <n v="5309"/>
    <s v="Suning"/>
    <s v="tw"/>
    <x v="72"/>
    <n v="3"/>
    <x v="15"/>
    <x v="21"/>
    <s v="壓縮式抽濕機 (30公升)"/>
    <s v="細電"/>
    <s v="RAC"/>
    <s v="d300"/>
    <n v="1"/>
    <n v="2088"/>
    <n v="2088"/>
    <n v="4884"/>
    <m/>
    <m/>
    <s v="RAD-D300H 4884"/>
    <n v="3380"/>
    <n v="0.61775147928994079"/>
    <s v="Shops Highest Price"/>
    <m/>
    <s v="4884"/>
  </r>
  <r>
    <n v="5310"/>
    <s v="Suning"/>
    <s v="tw"/>
    <x v="72"/>
    <n v="3"/>
    <x v="17"/>
    <x v="21"/>
    <s v="壓縮式抽濕機 (30公升)"/>
    <s v="細電"/>
    <s v="RAC"/>
    <s v="d300"/>
    <n v="1"/>
    <n v="2088"/>
    <n v="2088"/>
    <n v="4892"/>
    <m/>
    <m/>
    <s v="RAD-D300H 4892"/>
    <n v="3380"/>
    <n v="0.61775147928994079"/>
    <s v="Shops Highest Price"/>
    <m/>
    <s v="4892"/>
  </r>
  <r>
    <n v="5311"/>
    <s v="Suning"/>
    <s v="tw"/>
    <x v="72"/>
    <n v="3"/>
    <x v="17"/>
    <x v="21"/>
    <s v="壓縮式抽濕機 (30公升)"/>
    <s v="細電"/>
    <s v="RAC"/>
    <s v="d300"/>
    <n v="1"/>
    <n v="2030"/>
    <n v="2030"/>
    <n v="4900"/>
    <m/>
    <m/>
    <s v="RAD-D300H 4900"/>
    <n v="3380"/>
    <n v="0.60059171597633132"/>
    <s v="Shops Highest Price"/>
    <m/>
    <s v="4900"/>
  </r>
  <r>
    <n v="5312"/>
    <s v="Suning"/>
    <s v="tw"/>
    <x v="73"/>
    <n v="3"/>
    <x v="18"/>
    <x v="93"/>
    <s v="座檯式洗碗碟機"/>
    <s v="細電"/>
    <s v="DW"/>
    <s v="05t2"/>
    <n v="1"/>
    <n v="3460"/>
    <n v="3460"/>
    <n v="4947"/>
    <m/>
    <m/>
    <s v="DW-05T2-HK 4947"/>
    <n v="4580"/>
    <n v="0.75545851528384278"/>
    <s v="Toshiba SRP"/>
    <m/>
    <s v="4947"/>
  </r>
  <r>
    <n v="5313"/>
    <s v="Suning"/>
    <s v="tw"/>
    <x v="73"/>
    <n v="3"/>
    <x v="18"/>
    <x v="83"/>
    <s v="R32變頻窗口式冷氣機 (獨立抽濕遙控"/>
    <s v="大電"/>
    <s v="AC"/>
    <s v="12g3cvr"/>
    <n v="1"/>
    <n v="5480"/>
    <n v="5480"/>
    <n v="4992"/>
    <m/>
    <m/>
    <s v="RAC-12G3CVRGR-HK 4992"/>
    <n v="8680"/>
    <n v="0.63133640552995396"/>
    <s v="Toshiba SRP"/>
    <m/>
    <s v="4992"/>
  </r>
  <r>
    <n v="5314"/>
    <s v="Suning"/>
    <s v="tw"/>
    <x v="73"/>
    <n v="3"/>
    <x v="18"/>
    <x v="107"/>
    <s v="1.5L無線雙層電熱水壺"/>
    <s v="細電"/>
    <s v="SDA"/>
    <s v="15drr"/>
    <n v="1"/>
    <n v="368"/>
    <n v="368"/>
    <n v="4994"/>
    <m/>
    <m/>
    <s v="KT-15DRRH 4994"/>
    <n v="438"/>
    <n v="0.84018264840182644"/>
    <s v="Toshiba SRP"/>
    <m/>
    <s v="4994"/>
  </r>
  <r>
    <n v="5315"/>
    <s v="Suning"/>
    <s v="tw"/>
    <x v="73"/>
    <n v="3"/>
    <x v="18"/>
    <x v="35"/>
    <s v="1.8公升電飯煲"/>
    <s v="細電"/>
    <s v="SDA"/>
    <s v="18jruh"/>
    <n v="1"/>
    <n v="388"/>
    <n v="388"/>
    <n v="5003"/>
    <m/>
    <m/>
    <s v="RC-18JRUH(N) 5003"/>
    <n v="458"/>
    <n v="0.84716157205240172"/>
    <s v="Shops Highest Price"/>
    <m/>
    <s v="5003"/>
  </r>
  <r>
    <n v="5316"/>
    <s v="Suning"/>
    <s v="tw"/>
    <x v="72"/>
    <n v="3"/>
    <x v="19"/>
    <x v="30"/>
    <s v="旋鈕式燒烤微波爐20L"/>
    <s v="細電"/>
    <s v="SDA"/>
    <s v="mm20"/>
    <n v="1"/>
    <n v="599"/>
    <n v="599"/>
    <n v="5029"/>
    <m/>
    <m/>
    <s v="MWP-MM20P(WH) 5029"/>
    <n v="648"/>
    <n v="0.92438271604938271"/>
    <s v="Toshiba SRP"/>
    <m/>
    <s v="5029"/>
  </r>
  <r>
    <n v="5317"/>
    <s v="Suning"/>
    <s v="tw"/>
    <x v="72"/>
    <n v="3"/>
    <x v="19"/>
    <x v="91"/>
    <s v="3/4 匹 R32變頻窗口式冷氣機"/>
    <s v="大電"/>
    <s v="AC"/>
    <s v="07g3cvg"/>
    <n v="1"/>
    <n v="3099"/>
    <n v="3099"/>
    <n v="5068"/>
    <m/>
    <m/>
    <s v="RAC-07G3CVG-HK 5068"/>
    <n v="4980"/>
    <n v="0.62228915662650608"/>
    <s v="Toshiba SRP"/>
    <m/>
    <s v="5068"/>
  </r>
  <r>
    <n v="5318"/>
    <s v="Suning"/>
    <s v="tw"/>
    <x v="72"/>
    <n v="3"/>
    <x v="19"/>
    <x v="74"/>
    <s v="4合1氣炸微波蒸焗爐(25公升)"/>
    <s v="細電"/>
    <s v="MCA"/>
    <s v="str25"/>
    <n v="1"/>
    <n v="3250"/>
    <n v="3250"/>
    <n v="5096"/>
    <m/>
    <m/>
    <s v="MX2-STR25SC(WH) 5096"/>
    <n v="4998"/>
    <n v="0.6502601040416166"/>
    <s v="Toshiba SRP"/>
    <m/>
    <s v="5096"/>
  </r>
  <r>
    <n v="5319"/>
    <s v="Suning"/>
    <s v="tw"/>
    <x v="72"/>
    <n v="3"/>
    <x v="20"/>
    <x v="56"/>
    <s v="多士焗爐8L"/>
    <s v="細電"/>
    <s v="SDA"/>
    <n v="7080"/>
    <n v="1"/>
    <n v="428"/>
    <n v="428"/>
    <n v="5118"/>
    <m/>
    <m/>
    <s v="ET-TD7080(PN) 5118"/>
    <n v="498"/>
    <n v="0.85943775100401609"/>
    <s v="Toshiba SRP"/>
    <m/>
    <s v="5118"/>
  </r>
  <r>
    <n v="5320"/>
    <s v="Suning"/>
    <s v="tw"/>
    <x v="72"/>
    <n v="3"/>
    <x v="20"/>
    <x v="24"/>
    <s v="微型電腦珍珠飯煲"/>
    <s v="細電"/>
    <s v="SDA"/>
    <s v="5sli"/>
    <n v="1"/>
    <n v="598"/>
    <n v="598"/>
    <n v="5140"/>
    <m/>
    <m/>
    <s v="RC-5SLIH(W) 5140"/>
    <n v="658"/>
    <n v="0.90881458966565354"/>
    <s v="Toshiba SRP"/>
    <m/>
    <s v="5140"/>
  </r>
  <r>
    <n v="5321"/>
    <s v="Suning"/>
    <s v="tw"/>
    <x v="72"/>
    <n v="3"/>
    <x v="20"/>
    <x v="85"/>
    <s v="旗艦級變頻三門雪櫃 (300L)"/>
    <s v="大電"/>
    <s v="REF"/>
    <s v="rm469"/>
    <n v="1"/>
    <n v="5880"/>
    <n v="5880"/>
    <n v="5156"/>
    <m/>
    <m/>
    <s v="GR-RM469WE-PGA(B3) 5156"/>
    <n v="8990"/>
    <n v="0.65406006674082318"/>
    <s v="Toshiba SRP"/>
    <m/>
    <s v="5156"/>
  </r>
  <r>
    <n v="5322"/>
    <s v="Suning"/>
    <s v="tw"/>
    <x v="72"/>
    <n v="3"/>
    <x v="20"/>
    <x v="75"/>
    <s v="日式洗衣機 (8公斤 結合高低水位)"/>
    <s v="大電"/>
    <s v="LAD"/>
    <s v="q901"/>
    <n v="1"/>
    <n v="2280"/>
    <n v="2280"/>
    <n v="5157"/>
    <m/>
    <m/>
    <s v="AW-Q901BPH(WW) 5157"/>
    <n v="3780"/>
    <n v="0.60317460317460314"/>
    <s v="Toshiba SRP"/>
    <m/>
    <s v="5157"/>
  </r>
  <r>
    <n v="5323"/>
    <s v="Suning"/>
    <s v="tw"/>
    <x v="72"/>
    <n v="3"/>
    <x v="20"/>
    <x v="45"/>
    <s v="備長炭本厚釜電飯煲0.7L"/>
    <s v="細電"/>
    <s v="SDA"/>
    <s v="7hmh"/>
    <n v="1"/>
    <n v="820"/>
    <n v="820"/>
    <n v="5168"/>
    <m/>
    <m/>
    <s v="RC-7HMH 5168"/>
    <n v="1288"/>
    <n v="0.63664596273291929"/>
    <s v="Toshiba SRP"/>
    <m/>
    <s v="5168"/>
  </r>
  <r>
    <n v="5324"/>
    <s v="Suning"/>
    <s v="tw"/>
    <x v="72"/>
    <n v="3"/>
    <x v="20"/>
    <x v="31"/>
    <s v="無線雙層電熱水壺(1.7公升)"/>
    <s v="細電"/>
    <s v="SDA"/>
    <s v="17drt"/>
    <n v="1"/>
    <n v="388"/>
    <n v="388"/>
    <n v="5169"/>
    <m/>
    <m/>
    <s v="KT-17DRTHK(H) 5169"/>
    <n v="498"/>
    <n v="0.77911646586345384"/>
    <s v="Toshiba SRP"/>
    <m/>
    <s v="5169"/>
  </r>
  <r>
    <n v="5325"/>
    <s v="Suning"/>
    <s v="tw"/>
    <x v="72"/>
    <n v="3"/>
    <x v="20"/>
    <x v="14"/>
    <s v="21L壓縮式抽濕機"/>
    <s v="大電"/>
    <s v="RAC"/>
    <s v="y200"/>
    <n v="1"/>
    <n v="1788"/>
    <n v="1788"/>
    <n v="5172"/>
    <m/>
    <m/>
    <s v="RAD-Y200H 5172"/>
    <n v="3280"/>
    <n v="0.54512195121951224"/>
    <s v="Toshiba SRP"/>
    <m/>
    <s v="5172"/>
  </r>
  <r>
    <n v="5326"/>
    <s v="Suning"/>
    <s v="tw"/>
    <x v="72"/>
    <n v="3"/>
    <x v="20"/>
    <x v="87"/>
    <s v="變頻式環保雙門雪櫃(233L)"/>
    <s v="大電"/>
    <s v="REF"/>
    <s v="rt300"/>
    <n v="1"/>
    <n v="2680"/>
    <n v="2680"/>
    <n v="5187"/>
    <m/>
    <m/>
    <s v="GR-RT300WE-PMA(57) 5187"/>
    <n v="4280"/>
    <n v="0.62616822429906538"/>
    <s v="Toshiba SRP"/>
    <m/>
    <s v="5187"/>
  </r>
  <r>
    <n v="5327"/>
    <s v="Suning"/>
    <s v="tw"/>
    <x v="72"/>
    <n v="3"/>
    <x v="20"/>
    <x v="46"/>
    <s v="電熱水瓶 (2.5公升)"/>
    <s v="細電"/>
    <s v="SDA"/>
    <s v="25dr"/>
    <n v="1"/>
    <n v="398"/>
    <n v="398"/>
    <n v="5189"/>
    <m/>
    <m/>
    <s v="TP-25DR2UHK(W) 5189"/>
    <n v="538"/>
    <n v="0.7397769516728625"/>
    <s v="Toshiba SRP"/>
    <m/>
    <s v="5189"/>
  </r>
  <r>
    <n v="5328"/>
    <s v="Suning"/>
    <s v="tw"/>
    <x v="72"/>
    <n v="3"/>
    <x v="20"/>
    <x v="93"/>
    <s v="座檯式洗碗碟機"/>
    <s v="細電"/>
    <s v="DW"/>
    <s v="05t2"/>
    <n v="1"/>
    <n v="3460"/>
    <n v="3460"/>
    <n v="5199"/>
    <m/>
    <m/>
    <s v="DW-05T2-HK 5199"/>
    <n v="4580"/>
    <n v="0.75545851528384278"/>
    <s v="Toshiba SRP"/>
    <m/>
    <s v="5199"/>
  </r>
  <r>
    <n v="5329"/>
    <s v="Suning"/>
    <s v="tw"/>
    <x v="72"/>
    <n v="3"/>
    <x v="21"/>
    <x v="66"/>
    <s v="變頻下置式雙門雪櫃（163L）"/>
    <s v="大電"/>
    <s v="REF"/>
    <s v="rb221"/>
    <n v="1"/>
    <n v="1880"/>
    <n v="1880"/>
    <n v="5234"/>
    <m/>
    <m/>
    <s v="GR-RB221WE-PMA(57) 5234"/>
    <n v="3480"/>
    <n v="0.54022988505747127"/>
    <s v="Toshiba SRP"/>
    <m/>
    <s v="5234"/>
  </r>
  <r>
    <n v="5330"/>
    <s v="Suning"/>
    <s v="tw"/>
    <x v="72"/>
    <n v="3"/>
    <x v="21"/>
    <x v="20"/>
    <s v="壓縮式抽濕機 (22公升)"/>
    <s v="細電"/>
    <s v="RAC"/>
    <s v="d200"/>
    <n v="1"/>
    <n v="1880"/>
    <n v="1880"/>
    <n v="5237"/>
    <m/>
    <m/>
    <s v="RAD-D200H 5237"/>
    <n v="2880"/>
    <n v="0.65277777777777779"/>
    <s v="Shops Highest Price"/>
    <m/>
    <s v="5237"/>
  </r>
  <r>
    <n v="5331"/>
    <s v="Suning"/>
    <s v="tw"/>
    <x v="72"/>
    <n v="3"/>
    <x v="21"/>
    <x v="91"/>
    <s v="3/4 匹 R32變頻窗口式冷氣機"/>
    <s v="大電"/>
    <s v="AC"/>
    <s v="07g3cvg"/>
    <n v="1"/>
    <n v="3099"/>
    <n v="3099"/>
    <n v="5258"/>
    <m/>
    <m/>
    <s v="RAC-07G3CVG-HK 5258"/>
    <n v="4980"/>
    <n v="0.62228915662650608"/>
    <s v="Toshiba SRP"/>
    <m/>
    <s v="5258"/>
  </r>
  <r>
    <n v="5332"/>
    <s v="Suning"/>
    <s v="tw"/>
    <x v="72"/>
    <n v="3"/>
    <x v="21"/>
    <x v="91"/>
    <s v="3/4 匹 R32變頻窗口式冷氣機"/>
    <s v="大電"/>
    <s v="AC"/>
    <s v="07g3cvg"/>
    <n v="1"/>
    <n v="3099"/>
    <n v="3099"/>
    <n v="5257"/>
    <m/>
    <m/>
    <s v="RAC-07G3CVG-HK 5257"/>
    <n v="4980"/>
    <n v="0.62228915662650608"/>
    <s v="Toshiba SRP"/>
    <m/>
    <s v="5257"/>
  </r>
  <r>
    <n v="5333"/>
    <s v="Suning"/>
    <s v="tw"/>
    <x v="72"/>
    <n v="3"/>
    <x v="21"/>
    <x v="37"/>
    <s v="電熱水瓶 (5公升)"/>
    <s v="細電"/>
    <s v="SDA"/>
    <s v="50dr"/>
    <n v="1"/>
    <n v="598"/>
    <n v="598"/>
    <n v="5259"/>
    <m/>
    <m/>
    <s v="TP-50DRUHK(W) 5259"/>
    <n v="718"/>
    <n v="0.83286908077994426"/>
    <s v="Toshiba SRP"/>
    <m/>
    <s v="5259"/>
  </r>
  <r>
    <n v="5334"/>
    <s v="Suning"/>
    <s v="tw"/>
    <x v="72"/>
    <n v="3"/>
    <x v="21"/>
    <x v="87"/>
    <s v="變頻式環保雙門雪櫃(233L)"/>
    <s v="大電"/>
    <s v="REF"/>
    <s v="rt300"/>
    <n v="1"/>
    <n v="2680"/>
    <n v="2680"/>
    <n v="5261"/>
    <m/>
    <m/>
    <s v="GR-RT300WE-PMA(57) 5261"/>
    <n v="4280"/>
    <n v="0.62616822429906538"/>
    <s v="Toshiba SRP"/>
    <m/>
    <s v="5261"/>
  </r>
  <r>
    <n v="5335"/>
    <s v="Suning"/>
    <s v="tw"/>
    <x v="72"/>
    <n v="3"/>
    <x v="21"/>
    <x v="87"/>
    <s v="變頻式環保雙門雪櫃(233L)"/>
    <s v="大電"/>
    <s v="REF"/>
    <s v="rt300"/>
    <n v="1"/>
    <n v="2680"/>
    <n v="2680"/>
    <n v="5267"/>
    <m/>
    <m/>
    <s v="GR-RT300WE-PMA(57) 5267"/>
    <n v="4280"/>
    <n v="0.62616822429906538"/>
    <s v="Toshiba SRP"/>
    <m/>
    <s v="5267"/>
  </r>
  <r>
    <n v="5336"/>
    <s v="Suning"/>
    <s v="tw"/>
    <x v="72"/>
    <n v="3"/>
    <x v="21"/>
    <x v="17"/>
    <s v="4毫米厚釜電飯煲1L"/>
    <s v="細電"/>
    <s v="SDA"/>
    <s v="10nmf"/>
    <n v="1"/>
    <n v="738"/>
    <n v="738"/>
    <n v="5278"/>
    <m/>
    <m/>
    <s v="RC-10NMFIH(WT) 5278"/>
    <n v="898"/>
    <n v="0.82182628062360796"/>
    <s v="Toshiba SRP"/>
    <m/>
    <s v="5278"/>
  </r>
  <r>
    <n v="5337"/>
    <s v="Suning"/>
    <s v="tw"/>
    <x v="72"/>
    <n v="3"/>
    <x v="21"/>
    <x v="38"/>
    <s v="無線雙層電熱水壺-附可鎖壺蓋"/>
    <s v="細電"/>
    <s v="SDA"/>
    <s v="15drt"/>
    <n v="1"/>
    <n v="308"/>
    <n v="308"/>
    <n v="5293"/>
    <m/>
    <m/>
    <s v="KT-15DRTHK(W) 5293"/>
    <n v="598"/>
    <n v="0.51505016722408026"/>
    <s v="Toshiba SRP"/>
    <m/>
    <s v="5293"/>
  </r>
  <r>
    <n v="5338"/>
    <s v="Suning"/>
    <s v="tw"/>
    <x v="72"/>
    <n v="3"/>
    <x v="21"/>
    <x v="21"/>
    <s v="壓縮式抽濕機 (30公升)"/>
    <s v="細電"/>
    <s v="RAC"/>
    <s v="d300"/>
    <n v="1"/>
    <n v="2088"/>
    <n v="2088"/>
    <n v="5307"/>
    <m/>
    <m/>
    <s v="RAD-D300H 5307"/>
    <n v="3380"/>
    <n v="0.61775147928994079"/>
    <s v="Shops Highest Price"/>
    <m/>
    <s v="5307"/>
  </r>
  <r>
    <n v="5339"/>
    <s v="Suning"/>
    <s v="tw"/>
    <x v="72"/>
    <n v="3"/>
    <x v="21"/>
    <x v="80"/>
    <s v="無線雙層電熱水壺(1.4公升)"/>
    <s v="細電"/>
    <s v="SDA"/>
    <s v="14dh"/>
    <n v="1"/>
    <n v="298"/>
    <n v="298"/>
    <n v="5311"/>
    <m/>
    <m/>
    <s v="KT-14DHUHK(W) 5311"/>
    <n v="458"/>
    <n v="0.6506550218340611"/>
    <s v="Toshiba SRP"/>
    <m/>
    <s v="5311"/>
  </r>
  <r>
    <n v="5340"/>
    <s v="Suning"/>
    <s v="tw"/>
    <x v="72"/>
    <n v="3"/>
    <x v="21"/>
    <x v="47"/>
    <s v="磁應電飯煲(1公升)"/>
    <s v="細電"/>
    <s v="SDA"/>
    <s v="10iss"/>
    <n v="1"/>
    <n v="980"/>
    <n v="980"/>
    <n v="5324"/>
    <m/>
    <m/>
    <s v="RC-10ISSHK(W) 5324"/>
    <n v="1188"/>
    <n v="0.82491582491582494"/>
    <s v="Shops Highest Price"/>
    <m/>
    <s v="5324"/>
  </r>
  <r>
    <n v="5341"/>
    <s v="Suning"/>
    <s v="tw"/>
    <x v="72"/>
    <n v="3"/>
    <x v="21"/>
    <x v="31"/>
    <s v="無線雙層電熱水壺(1.7公升)"/>
    <s v="細電"/>
    <s v="SDA"/>
    <s v="17drt"/>
    <n v="1"/>
    <n v="388"/>
    <n v="388"/>
    <n v="5338"/>
    <m/>
    <m/>
    <s v="KT-17DRTHK(H) 5338"/>
    <n v="498"/>
    <n v="0.77911646586345384"/>
    <s v="Toshiba SRP"/>
    <m/>
    <s v="5338"/>
  </r>
  <r>
    <n v="5342"/>
    <s v="Suning"/>
    <s v="tw"/>
    <x v="72"/>
    <n v="3"/>
    <x v="21"/>
    <x v="50"/>
    <s v="輕便式電磁爐7個功能"/>
    <s v="細電"/>
    <s v="SDA"/>
    <s v="s19"/>
    <n v="1"/>
    <n v="400"/>
    <n v="400"/>
    <n v="5341"/>
    <m/>
    <m/>
    <s v="IC-S19RH 5341"/>
    <n v="638"/>
    <n v="0.62695924764890287"/>
    <s v="Toshiba SRP"/>
    <m/>
    <s v="5341"/>
  </r>
  <r>
    <n v="5343"/>
    <s v="Suning"/>
    <s v="tw"/>
    <x v="72"/>
    <n v="3"/>
    <x v="30"/>
    <x v="27"/>
    <s v="4毫米厚釜電飯煲1.8L"/>
    <s v="細電"/>
    <s v="SDA"/>
    <s v="18nmf"/>
    <n v="1"/>
    <n v="828"/>
    <n v="828"/>
    <n v="5365"/>
    <m/>
    <m/>
    <s v="RC-18NMFIH(WT) 5365"/>
    <n v="998"/>
    <n v="0.8296593186372746"/>
    <s v="Toshiba SRP"/>
    <m/>
    <s v="5365"/>
  </r>
  <r>
    <n v="5344"/>
    <s v="Suning"/>
    <s v="tw"/>
    <x v="72"/>
    <n v="3"/>
    <x v="30"/>
    <x v="22"/>
    <s v="變頻五門雪櫃(375L)"/>
    <s v="大電"/>
    <s v="REF"/>
    <s v="rm612"/>
    <n v="1"/>
    <n v="8999"/>
    <n v="8999"/>
    <n v="5403"/>
    <m/>
    <m/>
    <s v="GR-RM612WE-PGA(B5) 5403"/>
    <n v="11000"/>
    <n v="0.81809090909090909"/>
    <s v="Shops Highest Price"/>
    <m/>
    <s v="5403"/>
  </r>
  <r>
    <n v="5345"/>
    <s v="Suning"/>
    <s v="tw"/>
    <x v="72"/>
    <n v="3"/>
    <x v="30"/>
    <x v="77"/>
    <s v="470MM超薄身前置式變頻洗衣乾衣機 (洗8.5公斤/乾6公斤, 可飛頂)"/>
    <s v="大電"/>
    <s v="LAD"/>
    <s v="twdt22"/>
    <n v="1"/>
    <n v="4580"/>
    <n v="4580"/>
    <n v="5404"/>
    <m/>
    <m/>
    <s v="TWD-T22BU95UWH(WK)-B 5404"/>
    <n v="7480"/>
    <n v="0.61229946524064172"/>
    <s v="Toshiba SRP"/>
    <m/>
    <s v="5404"/>
  </r>
  <r>
    <n v="5346"/>
    <s v="Suning"/>
    <s v="tw"/>
    <x v="72"/>
    <n v="3"/>
    <x v="22"/>
    <x v="42"/>
    <s v="變頻下置式雙門雪櫃系列270L"/>
    <s v="大電"/>
    <s v="REF"/>
    <s v="rb360"/>
    <n v="1"/>
    <n v="3480"/>
    <n v="3480"/>
    <n v="5442"/>
    <m/>
    <m/>
    <s v="GR-RB360WE-PMA(06) 5442"/>
    <n v="5080"/>
    <n v="0.68503937007874016"/>
    <s v="Toshiba SRP"/>
    <m/>
    <s v="5442"/>
  </r>
  <r>
    <n v="5347"/>
    <s v="Suning"/>
    <s v="tw"/>
    <x v="72"/>
    <n v="3"/>
    <x v="22"/>
    <x v="74"/>
    <s v="4合1氣炸微波蒸焗爐(25公升)"/>
    <s v="細電"/>
    <s v="MCA"/>
    <s v="str25"/>
    <n v="1"/>
    <n v="3250"/>
    <n v="3250"/>
    <n v="5501"/>
    <m/>
    <m/>
    <s v="MX2-STR25SC(WH) 5501"/>
    <n v="4998"/>
    <n v="0.6502601040416166"/>
    <s v="Toshiba SRP"/>
    <m/>
    <s v="5501"/>
  </r>
  <r>
    <n v="5348"/>
    <s v="Suning"/>
    <s v="tw"/>
    <x v="72"/>
    <n v="3"/>
    <x v="22"/>
    <x v="48"/>
    <s v="3合1 微波蒸焗爐 (20公升)"/>
    <s v="細電"/>
    <s v="MCA"/>
    <s v="tt20"/>
    <n v="1"/>
    <n v="2440"/>
    <n v="2440"/>
    <n v="5515"/>
    <m/>
    <m/>
    <s v="MX2-TT20SC(WH) 5515"/>
    <n v="3580"/>
    <n v="0.68156424581005581"/>
    <s v="Toshiba SRP"/>
    <m/>
    <s v="5515"/>
  </r>
  <r>
    <n v="5349"/>
    <s v="Suning"/>
    <s v="tw"/>
    <x v="72"/>
    <n v="3"/>
    <x v="22"/>
    <x v="21"/>
    <s v="壓縮式抽濕機 (30公升)"/>
    <s v="細電"/>
    <s v="RAC"/>
    <s v="d300"/>
    <n v="1"/>
    <n v="2088"/>
    <n v="2088"/>
    <n v="5521"/>
    <m/>
    <m/>
    <s v="RAD-D300H 5521"/>
    <n v="3380"/>
    <n v="0.61775147928994079"/>
    <s v="Shops Highest Price"/>
    <m/>
    <s v="5521"/>
  </r>
  <r>
    <n v="5350"/>
    <s v="Suning"/>
    <s v="tw"/>
    <x v="72"/>
    <n v="3"/>
    <x v="23"/>
    <x v="89"/>
    <s v="2 匹 R32變頻窗口式冷氣機 (remote)"/>
    <s v="大電"/>
    <s v="AC"/>
    <s v="18g3cvr"/>
    <n v="1"/>
    <n v="6280"/>
    <n v="6280"/>
    <n v="5536"/>
    <m/>
    <m/>
    <s v="RAC-18G3CVRGR-HK 5536"/>
    <n v="10380"/>
    <n v="0.60500963391136797"/>
    <s v="Toshiba SRP"/>
    <m/>
    <s v="5536"/>
  </r>
  <r>
    <n v="5351"/>
    <s v="Suning"/>
    <s v="tw"/>
    <x v="73"/>
    <n v="3"/>
    <x v="24"/>
    <x v="91"/>
    <s v="3/4 匹 R32變頻窗口式冷氣機"/>
    <s v="大電"/>
    <s v="AC"/>
    <s v="07g3cvg"/>
    <n v="1"/>
    <n v="3380"/>
    <n v="3380"/>
    <n v="5557"/>
    <m/>
    <m/>
    <s v="RAC-07G3CVG-HK 5557"/>
    <n v="4980"/>
    <n v="0.67871485943775101"/>
    <s v="Toshiba SRP"/>
    <m/>
    <s v="5557"/>
  </r>
  <r>
    <n v="5352"/>
    <s v="Suning"/>
    <s v="tw"/>
    <x v="73"/>
    <n v="3"/>
    <x v="24"/>
    <x v="36"/>
    <s v="輕觸式微波爐 (20公升)"/>
    <s v="細電"/>
    <s v="MCA"/>
    <s v="em20"/>
    <n v="1"/>
    <n v="618"/>
    <n v="618"/>
    <n v="5674"/>
    <m/>
    <m/>
    <s v="MM2-EM20PC(WH) 5674"/>
    <n v="788"/>
    <n v="0.78426395939086291"/>
    <s v="Toshiba SRP"/>
    <m/>
    <s v="5674"/>
  </r>
  <r>
    <n v="5353"/>
    <s v="Suning"/>
    <s v="tw"/>
    <x v="73"/>
    <n v="3"/>
    <x v="25"/>
    <x v="35"/>
    <s v="1.8公升電飯煲"/>
    <s v="細電"/>
    <s v="SDA"/>
    <s v="18jruh"/>
    <n v="1"/>
    <n v="388"/>
    <n v="388"/>
    <n v="5733"/>
    <m/>
    <m/>
    <s v="RC-18JRUH(N) 5733"/>
    <n v="458"/>
    <n v="0.84716157205240172"/>
    <s v="Shops Highest Price"/>
    <m/>
    <s v="5733"/>
  </r>
  <r>
    <n v="5354"/>
    <s v="Suning"/>
    <s v="tw"/>
    <x v="73"/>
    <n v="3"/>
    <x v="26"/>
    <x v="74"/>
    <s v="4合1氣炸微波蒸焗爐(25公升)"/>
    <s v="細電"/>
    <s v="MCA"/>
    <s v="str25"/>
    <n v="1"/>
    <n v="3250"/>
    <n v="3250"/>
    <n v="5791"/>
    <m/>
    <m/>
    <s v="MX2-STR25SC(WH) 5791"/>
    <n v="4998"/>
    <n v="0.6502601040416166"/>
    <s v="Toshiba SRP"/>
    <m/>
    <s v="5791"/>
  </r>
  <r>
    <n v="5355"/>
    <s v="Suning"/>
    <s v="tw"/>
    <x v="73"/>
    <n v="3"/>
    <x v="26"/>
    <x v="123"/>
    <s v="1匹 R32變頻窗口式冷氣機 "/>
    <s v="大電"/>
    <s v="AC"/>
    <s v="09g3cvg"/>
    <n v="1"/>
    <n v="4080"/>
    <n v="4080"/>
    <n v="5792"/>
    <m/>
    <m/>
    <s v="RAC-09G3CVG-HK 5792"/>
    <n v="6380"/>
    <n v="0.63949843260188088"/>
    <s v="Toshiba SRP"/>
    <m/>
    <s v="5792"/>
  </r>
  <r>
    <n v="5356"/>
    <s v="Suning"/>
    <s v="tw"/>
    <x v="73"/>
    <n v="3"/>
    <x v="26"/>
    <x v="21"/>
    <s v="壓縮式抽濕機 (30公升)"/>
    <s v="細電"/>
    <s v="RAC"/>
    <s v="d300"/>
    <n v="1"/>
    <n v="2080"/>
    <n v="2080"/>
    <n v="5794"/>
    <m/>
    <m/>
    <s v="RAD-D300H 5794"/>
    <n v="3380"/>
    <n v="0.61538461538461542"/>
    <s v="Shops Highest Price"/>
    <m/>
    <s v="5794"/>
  </r>
  <r>
    <n v="5357"/>
    <s v="Suning"/>
    <s v="tw"/>
    <x v="73"/>
    <n v="3"/>
    <x v="26"/>
    <x v="93"/>
    <s v="座檯式洗碗碟機"/>
    <s v="細電"/>
    <s v="DW"/>
    <s v="05t2"/>
    <n v="1"/>
    <n v="3460"/>
    <n v="3460"/>
    <n v="5797"/>
    <m/>
    <m/>
    <s v="DW-05T2-HK 5797"/>
    <n v="4580"/>
    <n v="0.75545851528384278"/>
    <s v="Toshiba SRP"/>
    <m/>
    <s v="5797"/>
  </r>
  <r>
    <n v="5358"/>
    <s v="Suning"/>
    <s v="tw"/>
    <x v="73"/>
    <n v="3"/>
    <x v="26"/>
    <x v="110"/>
    <s v="變頻六門雪櫃(451L)"/>
    <s v="大電"/>
    <s v="REF"/>
    <s v="rm598"/>
    <n v="1"/>
    <n v="9400"/>
    <n v="9400"/>
    <n v="5847"/>
    <m/>
    <m/>
    <s v="GR-RM598WE-PGA(B3) 5847"/>
    <n v="14980"/>
    <n v="0.62750333778371159"/>
    <s v="Toshiba SRP"/>
    <m/>
    <s v="5847"/>
  </r>
  <r>
    <n v="5359"/>
    <s v="Suning"/>
    <s v="tw"/>
    <x v="73"/>
    <n v="3"/>
    <x v="26"/>
    <x v="34"/>
    <s v="智能氣炸烤焗爐(24公升)"/>
    <s v="細電"/>
    <s v="MCA"/>
    <s v="sac24"/>
    <n v="1"/>
    <n v="1298"/>
    <n v="1298"/>
    <n v="5865"/>
    <m/>
    <m/>
    <s v="MW3-SAC24SE(BK) 5865"/>
    <n v="1680"/>
    <n v="0.77261904761904765"/>
    <s v="Toshiba SRP"/>
    <m/>
    <s v="5865"/>
  </r>
  <r>
    <n v="5360"/>
    <s v="Suning"/>
    <s v="tw"/>
    <x v="73"/>
    <n v="3"/>
    <x v="26"/>
    <x v="93"/>
    <s v="座檯式洗碗碟機"/>
    <s v="細電"/>
    <s v="DW"/>
    <s v="05t2"/>
    <n v="1"/>
    <n v="3468"/>
    <n v="3468"/>
    <n v="5883"/>
    <m/>
    <m/>
    <s v="DW-05T2-HK 5883"/>
    <n v="4580"/>
    <n v="0.7572052401746725"/>
    <s v="Toshiba SRP"/>
    <m/>
    <s v="5883"/>
  </r>
  <r>
    <n v="5361"/>
    <s v="Suning"/>
    <s v="tw"/>
    <x v="73"/>
    <n v="3"/>
    <x v="27"/>
    <x v="30"/>
    <s v="旋鈕式燒烤微波爐20L"/>
    <s v="細電"/>
    <s v="SDA"/>
    <s v="mm20"/>
    <n v="1"/>
    <n v="599"/>
    <n v="599"/>
    <n v="5902"/>
    <m/>
    <m/>
    <s v="MWP-MM20P(WH) 5902"/>
    <n v="648"/>
    <n v="0.92438271604938271"/>
    <s v="Toshiba SRP"/>
    <m/>
    <s v="5902"/>
  </r>
  <r>
    <n v="5362"/>
    <s v="Suning"/>
    <s v="tw"/>
    <x v="73"/>
    <n v="3"/>
    <x v="27"/>
    <x v="31"/>
    <s v="無線雙層電熱水壺(1.7公升)"/>
    <s v="細電"/>
    <s v="SDA"/>
    <s v="17drt"/>
    <n v="1"/>
    <n v="388"/>
    <n v="388"/>
    <n v="5920"/>
    <m/>
    <m/>
    <s v="KT-17DRTHK(H) 5920"/>
    <n v="498"/>
    <n v="0.77911646586345384"/>
    <s v="Toshiba SRP"/>
    <m/>
    <s v="5920"/>
  </r>
  <r>
    <n v="5363"/>
    <s v="Suning"/>
    <s v="tw"/>
    <x v="73"/>
    <n v="3"/>
    <x v="27"/>
    <x v="46"/>
    <s v="電熱水瓶 (2.5公升)"/>
    <s v="細電"/>
    <s v="SDA"/>
    <s v="25dr"/>
    <n v="1"/>
    <n v="398"/>
    <n v="398"/>
    <n v="5947"/>
    <m/>
    <m/>
    <s v="TP-25DR2UHK(W) 5947"/>
    <n v="538"/>
    <n v="0.7397769516728625"/>
    <s v="Toshiba SRP"/>
    <m/>
    <s v="5947"/>
  </r>
  <r>
    <n v="5364"/>
    <s v="Suning"/>
    <s v="tw"/>
    <x v="73"/>
    <n v="3"/>
    <x v="27"/>
    <x v="31"/>
    <s v="無線雙層電熱水壺(1.7公升)"/>
    <s v="細電"/>
    <s v="SDA"/>
    <s v="17drt"/>
    <n v="1"/>
    <n v="388"/>
    <n v="388"/>
    <n v="5961"/>
    <m/>
    <m/>
    <s v="KT-17DRTHK(H) 5961"/>
    <n v="498"/>
    <n v="0.77911646586345384"/>
    <s v="Toshiba SRP"/>
    <m/>
    <s v="5961"/>
  </r>
  <r>
    <n v="5365"/>
    <s v="Suning"/>
    <s v="tw"/>
    <x v="73"/>
    <n v="3"/>
    <x v="27"/>
    <x v="31"/>
    <s v="無線雙層電熱水壺(1.7公升)"/>
    <s v="細電"/>
    <s v="SDA"/>
    <s v="17drt"/>
    <n v="1"/>
    <n v="388"/>
    <n v="388"/>
    <n v="5962"/>
    <m/>
    <m/>
    <s v="KT-17DRTHK(H) 5962"/>
    <n v="498"/>
    <n v="0.77911646586345384"/>
    <s v="Toshiba SRP"/>
    <m/>
    <s v="5962"/>
  </r>
  <r>
    <n v="5366"/>
    <s v="Suning"/>
    <s v="tw"/>
    <x v="73"/>
    <n v="3"/>
    <x v="28"/>
    <x v="37"/>
    <s v="電熱水瓶 (5公升)"/>
    <s v="細電"/>
    <s v="SDA"/>
    <s v="50dr"/>
    <n v="1"/>
    <n v="600"/>
    <n v="600"/>
    <n v="5967"/>
    <m/>
    <m/>
    <s v="TP-50DRUHK(W) 5967"/>
    <n v="718"/>
    <n v="0.83565459610027859"/>
    <s v="Toshiba SRP"/>
    <m/>
    <s v="5967"/>
  </r>
  <r>
    <n v="5367"/>
    <s v="Suning"/>
    <s v="tw"/>
    <x v="73"/>
    <n v="3"/>
    <x v="28"/>
    <x v="27"/>
    <s v="4毫米厚釜電飯煲1.8L"/>
    <s v="細電"/>
    <s v="SDA"/>
    <s v="18nmf"/>
    <n v="1"/>
    <n v="828"/>
    <n v="828"/>
    <n v="6008"/>
    <m/>
    <m/>
    <s v="RC-18NMFIH(WT) 6008"/>
    <n v="998"/>
    <n v="0.8296593186372746"/>
    <s v="Toshiba SRP"/>
    <m/>
    <s v="6008"/>
  </r>
  <r>
    <n v="5368"/>
    <s v="Suning"/>
    <s v="tw"/>
    <x v="73"/>
    <n v="3"/>
    <x v="28"/>
    <x v="33"/>
    <s v="輕觸式燒烤微波爐"/>
    <s v="細電"/>
    <s v="MCA"/>
    <s v="eg20"/>
    <n v="1"/>
    <n v="638"/>
    <n v="638"/>
    <n v="6028"/>
    <m/>
    <m/>
    <s v="MM2-EG20PC(WH) 6028"/>
    <n v="918"/>
    <n v="0.69498910675381265"/>
    <s v="Shops Highest Price"/>
    <m/>
    <s v="6028"/>
  </r>
  <r>
    <n v="5369"/>
    <s v="Suning"/>
    <s v="tw"/>
    <x v="73"/>
    <n v="3"/>
    <x v="28"/>
    <x v="62"/>
    <s v="智能水波爐 (26公升)"/>
    <s v="細電"/>
    <s v="MCA"/>
    <s v="sd99"/>
    <n v="1"/>
    <n v="3500"/>
    <n v="3500"/>
    <n v="6038"/>
    <m/>
    <m/>
    <s v="ER-SD99HKW 6038"/>
    <n v="5888"/>
    <n v="0.59442934782608692"/>
    <s v="Toshiba SRP"/>
    <m/>
    <s v="6038"/>
  </r>
  <r>
    <n v="5370"/>
    <s v="Suning"/>
    <s v="tw"/>
    <x v="73"/>
    <n v="3"/>
    <x v="28"/>
    <x v="62"/>
    <s v="智能水波爐 (26公升)"/>
    <s v="細電"/>
    <s v="MCA"/>
    <s v="sd99"/>
    <n v="1"/>
    <n v="3580"/>
    <n v="3580"/>
    <n v="6077"/>
    <m/>
    <m/>
    <s v="ER-SD99HKW 6077"/>
    <n v="5888"/>
    <n v="0.60801630434782605"/>
    <s v="Toshiba SRP"/>
    <m/>
    <s v="6077"/>
  </r>
  <r>
    <n v="5371"/>
    <s v="Suning"/>
    <s v="tw"/>
    <x v="73"/>
    <n v="3"/>
    <x v="28"/>
    <x v="46"/>
    <s v="電熱水瓶 (2.5公升)"/>
    <s v="細電"/>
    <s v="SDA"/>
    <s v="25dr"/>
    <n v="1"/>
    <n v="398"/>
    <n v="398"/>
    <n v="6126"/>
    <m/>
    <m/>
    <s v="TP-25DR2UHK(W) 6126"/>
    <n v="538"/>
    <n v="0.7397769516728625"/>
    <s v="Toshiba SRP"/>
    <m/>
    <s v="6126"/>
  </r>
  <r>
    <n v="5372"/>
    <s v="Suning"/>
    <s v="tw"/>
    <x v="73"/>
    <n v="3"/>
    <x v="28"/>
    <x v="47"/>
    <s v="磁應電飯煲(1公升)"/>
    <s v="細電"/>
    <s v="SDA"/>
    <s v="10iss"/>
    <n v="1"/>
    <n v="980"/>
    <n v="980"/>
    <n v="6127"/>
    <m/>
    <m/>
    <s v="RC-10ISSHK(W) 6127"/>
    <n v="1188"/>
    <n v="0.82491582491582494"/>
    <s v="Shops Highest Price"/>
    <m/>
    <s v="6127"/>
  </r>
  <r>
    <n v="5373"/>
    <s v="Suning"/>
    <s v="tw"/>
    <x v="73"/>
    <n v="3"/>
    <x v="28"/>
    <x v="66"/>
    <s v="變頻下置式雙門雪櫃（163L）"/>
    <s v="大電"/>
    <s v="REF"/>
    <s v="rb221"/>
    <n v="1"/>
    <n v="1880"/>
    <n v="1880"/>
    <n v="6197"/>
    <m/>
    <m/>
    <s v="GR-RB221WE-PMA(57) 6197"/>
    <n v="3480"/>
    <n v="0.54022988505747127"/>
    <s v="Toshiba SRP"/>
    <m/>
    <s v="6197"/>
  </r>
  <r>
    <n v="5374"/>
    <s v="Suning"/>
    <s v="tw"/>
    <x v="73"/>
    <n v="3"/>
    <x v="28"/>
    <x v="79"/>
    <s v="IH磁應電飯煲"/>
    <s v="細電"/>
    <s v="SDA"/>
    <s v="ds10k"/>
    <n v="1"/>
    <n v="2988"/>
    <n v="2988"/>
    <n v="6198"/>
    <m/>
    <m/>
    <s v="RC-DS10K(R) 6198"/>
    <n v="4588"/>
    <n v="0.6512641673931997"/>
    <s v="Toshiba SRP"/>
    <m/>
    <s v="6198"/>
  </r>
  <r>
    <n v="5375"/>
    <s v="Suning"/>
    <s v="tw"/>
    <x v="73"/>
    <n v="3"/>
    <x v="28"/>
    <x v="74"/>
    <s v="4合1氣炸微波蒸焗爐(25公升)"/>
    <s v="細電"/>
    <s v="MCA"/>
    <s v="str25"/>
    <n v="1"/>
    <n v="3180"/>
    <n v="3180"/>
    <n v="6208"/>
    <m/>
    <m/>
    <s v="MX2-STR25SC(WH) 6208"/>
    <n v="4998"/>
    <n v="0.6362545018007203"/>
    <s v="Toshiba SRP"/>
    <m/>
    <s v="6208"/>
  </r>
  <r>
    <n v="5376"/>
    <s v="BBE"/>
    <s v="Mongkok_1"/>
    <x v="74"/>
    <n v="3"/>
    <x v="24"/>
    <x v="22"/>
    <s v="變頻五門雪櫃(375L)"/>
    <s v="大電"/>
    <s v="REF"/>
    <s v="rm612"/>
    <n v="1"/>
    <n v="9389"/>
    <n v="9389"/>
    <n v="2631104"/>
    <m/>
    <m/>
    <s v="GR-RM612WE-PGA(B5) 2631104"/>
    <n v="11000"/>
    <n v="0.8535454545454545"/>
    <s v="Shops Highest Price"/>
    <m/>
    <s v="2631104"/>
  </r>
  <r>
    <n v="5377"/>
    <s v="BBE"/>
    <s v="Mongkok_1"/>
    <x v="74"/>
    <n v="3"/>
    <x v="24"/>
    <x v="78"/>
    <s v="變頻式環保雙門雪櫃（179L）"/>
    <s v="大電"/>
    <s v="REF"/>
    <s v="rt234"/>
    <n v="1"/>
    <n v="1830"/>
    <n v="1830"/>
    <n v="2631147"/>
    <m/>
    <m/>
    <s v="GR-RT234WE-PMA(57) 2631147"/>
    <n v="3680"/>
    <n v="0.49728260869565216"/>
    <s v="Toshiba SRP"/>
    <m/>
    <s v="2631147"/>
  </r>
  <r>
    <n v="5378"/>
    <s v="BBE"/>
    <s v="Mongkok_1"/>
    <x v="74"/>
    <n v="3"/>
    <x v="24"/>
    <x v="138"/>
    <s v="7KG前置式變頻洗衣機"/>
    <s v="大電"/>
    <s v="WM"/>
    <s v="bl80a2"/>
    <n v="1"/>
    <n v="2889"/>
    <n v="2889"/>
    <n v="2631178"/>
    <m/>
    <m/>
    <s v="TW-BL80A2H(WW) 2631178"/>
    <n v="3890"/>
    <n v="0.74267352185089974"/>
    <s v="Shops Highest Price"/>
    <m/>
    <s v="2631178"/>
  </r>
  <r>
    <n v="5379"/>
    <s v="BBE"/>
    <s v="Mongkok_1"/>
    <x v="74"/>
    <n v="3"/>
    <x v="25"/>
    <x v="110"/>
    <s v="變頻六門雪櫃(451L)"/>
    <s v="大電"/>
    <s v="REF"/>
    <s v="rm598"/>
    <n v="1"/>
    <n v="10499"/>
    <n v="10499"/>
    <n v="2631158"/>
    <m/>
    <m/>
    <s v="GR-RM598WE-PGA(B3) 2631158"/>
    <n v="14980"/>
    <n v="0.70086782376501999"/>
    <s v="Toshiba SRP"/>
    <m/>
    <s v="2631158"/>
  </r>
  <r>
    <n v="5380"/>
    <s v="BBE"/>
    <s v="Mongkok_1"/>
    <x v="74"/>
    <n v="3"/>
    <x v="25"/>
    <x v="114"/>
    <s v="變頻三門雪櫃 (233L)"/>
    <s v="大電"/>
    <s v="REF"/>
    <s v="rm352"/>
    <n v="1"/>
    <n v="3689"/>
    <n v="3689"/>
    <n v="2631168"/>
    <m/>
    <m/>
    <s v="GR-RM352WI-PMA(53) 2631168"/>
    <n v="5580"/>
    <n v="0.66111111111111109"/>
    <s v="Toshiba SRP"/>
    <m/>
    <s v="2631168"/>
  </r>
  <r>
    <n v="5381"/>
    <s v="BBE"/>
    <s v="Mongkok_1"/>
    <x v="74"/>
    <n v="3"/>
    <x v="25"/>
    <x v="40"/>
    <s v="400MM超薄身前置式變頻洗衣機(7公斤)"/>
    <s v="大電"/>
    <s v="LAD"/>
    <s v="bu80"/>
    <n v="1"/>
    <n v="3089"/>
    <n v="3089"/>
    <n v="2631218"/>
    <m/>
    <m/>
    <s v="TW-T21BU80UWH(MG) 2631218"/>
    <n v="5180"/>
    <n v="0.59633204633204628"/>
    <s v="Toshiba SRP"/>
    <m/>
    <s v="2631218"/>
  </r>
  <r>
    <n v="5382"/>
    <s v="BBE"/>
    <s v="Mongkok_1"/>
    <x v="74"/>
    <n v="3"/>
    <x v="25"/>
    <x v="117"/>
    <s v="JAPANDi 嵌入式微波氣炸蒸焗爐 (45厘米)"/>
    <s v="大電"/>
    <s v="MCA"/>
    <s v="t500a"/>
    <n v="1"/>
    <n v="13800"/>
    <n v="13800"/>
    <n v="2631235"/>
    <m/>
    <m/>
    <s v="EB-T500APW 2631235"/>
    <n v="28800"/>
    <n v="0.47916666666666669"/>
    <s v="Toshiba SRP"/>
    <m/>
    <s v="2631235"/>
  </r>
  <r>
    <n v="5383"/>
    <s v="BBE"/>
    <s v="Mongkok_1"/>
    <x v="74"/>
    <n v="3"/>
    <x v="26"/>
    <x v="34"/>
    <s v="智能氣炸烤焗爐(24公升)"/>
    <s v="細電"/>
    <s v="MCA"/>
    <s v="sac24"/>
    <n v="1"/>
    <n v="1249"/>
    <n v="1249"/>
    <n v="2631252"/>
    <m/>
    <m/>
    <s v="MW3-SAC24SE(BK) 2631252"/>
    <n v="1680"/>
    <n v="0.74345238095238098"/>
    <s v="Toshiba SRP"/>
    <m/>
    <s v="2631252"/>
  </r>
  <r>
    <n v="5384"/>
    <s v="BBE"/>
    <s v="Mongkok_1"/>
    <x v="74"/>
    <n v="3"/>
    <x v="26"/>
    <x v="117"/>
    <s v="JAPANDi 嵌入式微波氣炸蒸焗爐 (45厘米)"/>
    <s v="大電"/>
    <s v="MCA"/>
    <s v="t500a"/>
    <n v="1"/>
    <n v="13800"/>
    <n v="13800"/>
    <n v="2631257"/>
    <m/>
    <m/>
    <s v="EB-T500APW 2631257"/>
    <n v="28800"/>
    <n v="0.47916666666666669"/>
    <s v="Toshiba SRP"/>
    <m/>
    <s v="2631257"/>
  </r>
  <r>
    <n v="5385"/>
    <s v="BBE"/>
    <s v="Mongkok_1"/>
    <x v="74"/>
    <n v="3"/>
    <x v="26"/>
    <x v="110"/>
    <s v="變頻六門雪櫃(451L)"/>
    <s v="大電"/>
    <s v="REF"/>
    <s v="rm598"/>
    <n v="1"/>
    <n v="10499"/>
    <n v="10499"/>
    <n v="2631257"/>
    <m/>
    <m/>
    <s v="GR-RM598WE-PGA(B3) 2631257"/>
    <n v="14980"/>
    <n v="0.70086782376501999"/>
    <s v="Toshiba SRP"/>
    <m/>
    <s v="2631257"/>
  </r>
  <r>
    <n v="5386"/>
    <s v="BBE"/>
    <s v="Mongkok_1"/>
    <x v="74"/>
    <n v="3"/>
    <x v="26"/>
    <x v="0"/>
    <s v="超薄身前置式洗衣乾衣機 (洗8公斤 乾5公斤)"/>
    <s v="大電"/>
    <s v="WM"/>
    <s v="bn90"/>
    <n v="1"/>
    <n v="3789"/>
    <n v="3789"/>
    <n v="2631276"/>
    <m/>
    <m/>
    <s v="TWD-BN90GF4H(WK) 2631276"/>
    <n v="5980"/>
    <n v="0.63361204013377925"/>
    <s v="Toshiba SRP"/>
    <m/>
    <s v="2631276"/>
  </r>
  <r>
    <n v="5387"/>
    <s v="BBE"/>
    <s v="Mongkok_1"/>
    <x v="74"/>
    <n v="3"/>
    <x v="26"/>
    <x v="117"/>
    <s v="JAPANDi 嵌入式微波氣炸蒸焗爐 (45厘米)"/>
    <s v="大電"/>
    <s v="MCA"/>
    <s v="t500a"/>
    <n v="1"/>
    <n v="13800"/>
    <n v="13800"/>
    <n v="2631288"/>
    <m/>
    <m/>
    <s v="EB-T500APW 2631288"/>
    <n v="28800"/>
    <n v="0.47916666666666669"/>
    <s v="Toshiba SRP"/>
    <m/>
    <s v="2631288"/>
  </r>
  <r>
    <n v="5388"/>
    <s v="BBE"/>
    <s v="Mongkok_1"/>
    <x v="74"/>
    <n v="3"/>
    <x v="27"/>
    <x v="117"/>
    <s v="JAPANDi 嵌入式微波氣炸蒸焗爐 (45厘米)"/>
    <s v="大電"/>
    <s v="MCA"/>
    <s v="t500a"/>
    <n v="1"/>
    <n v="13800"/>
    <n v="13800"/>
    <n v="2631345"/>
    <m/>
    <m/>
    <s v="EB-T500APW 2631345"/>
    <n v="28800"/>
    <n v="0.47916666666666669"/>
    <s v="Toshiba SRP"/>
    <m/>
    <s v="2631345"/>
  </r>
  <r>
    <n v="5389"/>
    <s v="BBE"/>
    <s v="Mongkok_1"/>
    <x v="74"/>
    <n v="3"/>
    <x v="27"/>
    <x v="57"/>
    <s v="多功能備長炭本厚釜電飯煲1L"/>
    <s v="細電"/>
    <s v="SDA"/>
    <s v="10drnh"/>
    <n v="1"/>
    <n v="549"/>
    <n v="549"/>
    <n v="2631356"/>
    <m/>
    <m/>
    <s v="RC-10DRNH 2631356"/>
    <n v="798"/>
    <n v="0.68796992481203012"/>
    <s v="Toshiba SRP"/>
    <m/>
    <s v="2631356"/>
  </r>
  <r>
    <n v="539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39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0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1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2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3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4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5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6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7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8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1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2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3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4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5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6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7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8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499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  <r>
    <n v="5500"/>
    <m/>
    <m/>
    <x v="75"/>
    <n v="1"/>
    <x v="31"/>
    <x v="104"/>
    <e v="#N/A"/>
    <e v="#N/A"/>
    <e v="#N/A"/>
    <m/>
    <m/>
    <m/>
    <n v="0"/>
    <m/>
    <m/>
    <m/>
    <s v="Model-Input-Ref2 "/>
    <e v="#N/A"/>
    <e v="#N/A"/>
    <e v="#N/A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9316F-EEAC-4F44-9708-02C038E47991}" name="樞紐分析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120" firstHeaderRow="0" firstDataRow="1" firstDataCol="1" rowPageCount="1" colPageCount="1"/>
  <pivotFields count="25">
    <pivotField showAll="0"/>
    <pivotField showAll="0"/>
    <pivotField showAll="0"/>
    <pivotField axis="axisPage" multipleItemSelectionAllowed="1" showAll="0">
      <items count="114">
        <item h="1" m="1" x="76"/>
        <item m="1" x="110"/>
        <item h="1" x="41"/>
        <item h="1" x="40"/>
        <item m="1" x="90"/>
        <item m="1" x="91"/>
        <item h="1" x="19"/>
        <item m="1" x="107"/>
        <item m="1" x="108"/>
        <item m="1" x="109"/>
        <item x="74"/>
        <item h="1" x="29"/>
        <item h="1" x="8"/>
        <item m="1" x="81"/>
        <item h="1" x="11"/>
        <item h="1" x="65"/>
        <item h="1" x="42"/>
        <item h="1" x="55"/>
        <item m="1" x="87"/>
        <item h="1" x="13"/>
        <item m="1" x="82"/>
        <item m="1" x="83"/>
        <item h="1" x="14"/>
        <item h="1" x="15"/>
        <item h="1" x="17"/>
        <item h="1" x="16"/>
        <item x="72"/>
        <item x="73"/>
        <item m="1" x="103"/>
        <item h="1" x="48"/>
        <item h="1" x="47"/>
        <item h="1" x="51"/>
        <item h="1" x="50"/>
        <item m="1" x="85"/>
        <item h="1" x="56"/>
        <item h="1" x="57"/>
        <item h="1" x="49"/>
        <item m="1" x="112"/>
        <item h="1" x="39"/>
        <item m="1" x="104"/>
        <item h="1" x="28"/>
        <item h="1" x="26"/>
        <item h="1" x="27"/>
        <item h="1" x="24"/>
        <item h="1" x="25"/>
        <item h="1" x="32"/>
        <item h="1" x="31"/>
        <item h="1" x="53"/>
        <item h="1" x="54"/>
        <item h="1" x="9"/>
        <item h="1" x="10"/>
        <item m="1" x="79"/>
        <item h="1" x="2"/>
        <item h="1" x="58"/>
        <item h="1" x="38"/>
        <item h="1" x="6"/>
        <item x="59"/>
        <item x="62"/>
        <item h="1" x="4"/>
        <item h="1" x="33"/>
        <item h="1" x="34"/>
        <item m="1" x="99"/>
        <item h="1" x="22"/>
        <item h="1" x="18"/>
        <item m="1" x="92"/>
        <item h="1" x="35"/>
        <item h="1" x="36"/>
        <item m="1" x="97"/>
        <item m="1" x="98"/>
        <item m="1" x="96"/>
        <item h="1" x="3"/>
        <item m="1" x="89"/>
        <item x="71"/>
        <item m="1" x="95"/>
        <item x="67"/>
        <item x="68"/>
        <item m="1" x="102"/>
        <item m="1" x="77"/>
        <item h="1" x="5"/>
        <item h="1" x="30"/>
        <item h="1" x="66"/>
        <item m="1" x="84"/>
        <item m="1" x="88"/>
        <item h="1" x="12"/>
        <item m="1" x="78"/>
        <item h="1" x="37"/>
        <item h="1" x="52"/>
        <item m="1" x="100"/>
        <item x="70"/>
        <item m="1" x="101"/>
        <item h="1" x="44"/>
        <item h="1" x="43"/>
        <item h="1" x="45"/>
        <item h="1" x="46"/>
        <item h="1" x="20"/>
        <item h="1" x="21"/>
        <item h="1" x="1"/>
        <item m="1" x="86"/>
        <item m="1" x="93"/>
        <item m="1" x="94"/>
        <item m="1" x="105"/>
        <item m="1" x="106"/>
        <item m="1" x="80"/>
        <item h="1" x="7"/>
        <item h="1" x="61"/>
        <item h="1" x="0"/>
        <item h="1" x="60"/>
        <item m="1" x="111"/>
        <item h="1" x="75"/>
        <item h="1" x="23"/>
        <item h="1" x="63"/>
        <item h="1" x="64"/>
        <item h="1" x="69"/>
        <item t="default"/>
      </items>
    </pivotField>
    <pivotField showAll="0"/>
    <pivotField showAll="0">
      <items count="92">
        <item m="1" x="60"/>
        <item m="1" x="61"/>
        <item m="1" x="62"/>
        <item m="1" x="63"/>
        <item m="1" x="64"/>
        <item m="1" x="65"/>
        <item m="1" x="66"/>
        <item m="1" x="76"/>
        <item m="1" x="77"/>
        <item m="1" x="73"/>
        <item m="1" x="72"/>
        <item m="1" x="87"/>
        <item m="1" x="67"/>
        <item m="1" x="68"/>
        <item m="1" x="78"/>
        <item m="1" x="79"/>
        <item m="1" x="80"/>
        <item m="1" x="81"/>
        <item m="1" x="82"/>
        <item m="1" x="69"/>
        <item m="1" x="74"/>
        <item m="1" x="83"/>
        <item m="1" x="84"/>
        <item m="1" x="85"/>
        <item m="1" x="86"/>
        <item m="1" x="70"/>
        <item m="1" x="71"/>
        <item m="1" x="75"/>
        <item m="1" x="88"/>
        <item m="1" x="89"/>
        <item m="1" x="90"/>
        <item m="1" x="40"/>
        <item m="1" x="41"/>
        <item m="1" x="42"/>
        <item m="1" x="32"/>
        <item m="1" x="33"/>
        <item m="1" x="43"/>
        <item m="1" x="44"/>
        <item m="1" x="45"/>
        <item m="1" x="46"/>
        <item m="1" x="34"/>
        <item m="1" x="35"/>
        <item m="1" x="47"/>
        <item m="1" x="39"/>
        <item m="1" x="48"/>
        <item m="1" x="49"/>
        <item m="1" x="36"/>
        <item m="1" x="57"/>
        <item m="1" x="58"/>
        <item m="1" x="59"/>
        <item m="1" x="37"/>
        <item m="1" x="50"/>
        <item m="1" x="51"/>
        <item m="1" x="52"/>
        <item m="1" x="53"/>
        <item m="1" x="38"/>
        <item m="1" x="54"/>
        <item m="1" x="55"/>
        <item m="1" x="56"/>
        <item x="0"/>
        <item x="5"/>
        <item x="6"/>
        <item x="7"/>
        <item x="13"/>
        <item x="8"/>
        <item x="1"/>
        <item x="2"/>
        <item x="9"/>
        <item x="10"/>
        <item x="16"/>
        <item x="11"/>
        <item x="12"/>
        <item x="3"/>
        <item x="4"/>
        <item x="14"/>
        <item x="15"/>
        <item x="17"/>
        <item x="18"/>
        <item x="19"/>
        <item x="20"/>
        <item x="21"/>
        <item x="30"/>
        <item x="22"/>
        <item x="23"/>
        <item x="24"/>
        <item x="25"/>
        <item x="26"/>
        <item x="27"/>
        <item x="28"/>
        <item x="29"/>
        <item x="31"/>
        <item t="default"/>
      </items>
    </pivotField>
    <pivotField axis="axisRow" showAll="0" sortType="ascending">
      <items count="159">
        <item m="1" x="152"/>
        <item x="126"/>
        <item x="135"/>
        <item x="112"/>
        <item m="1" x="156"/>
        <item x="5"/>
        <item x="129"/>
        <item x="96"/>
        <item x="76"/>
        <item x="75"/>
        <item x="95"/>
        <item m="1" x="157"/>
        <item x="65"/>
        <item x="26"/>
        <item x="102"/>
        <item x="84"/>
        <item x="144"/>
        <item x="49"/>
        <item x="64"/>
        <item x="134"/>
        <item x="73"/>
        <item x="18"/>
        <item x="12"/>
        <item x="19"/>
        <item x="93"/>
        <item m="1" x="150"/>
        <item x="13"/>
        <item x="117"/>
        <item x="62"/>
        <item x="11"/>
        <item x="88"/>
        <item x="56"/>
        <item x="109"/>
        <item x="82"/>
        <item x="142"/>
        <item x="146"/>
        <item x="147"/>
        <item x="108"/>
        <item x="70"/>
        <item x="2"/>
        <item x="119"/>
        <item x="136"/>
        <item x="133"/>
        <item m="1" x="149"/>
        <item x="66"/>
        <item x="42"/>
        <item x="132"/>
        <item x="103"/>
        <item x="141"/>
        <item x="114"/>
        <item x="85"/>
        <item m="1" x="155"/>
        <item x="110"/>
        <item x="22"/>
        <item x="78"/>
        <item x="87"/>
        <item x="10"/>
        <item x="16"/>
        <item x="15"/>
        <item x="145"/>
        <item x="50"/>
        <item x="28"/>
        <item x="80"/>
        <item x="107"/>
        <item x="38"/>
        <item x="127"/>
        <item x="31"/>
        <item x="67"/>
        <item x="44"/>
        <item x="33"/>
        <item x="36"/>
        <item x="68"/>
        <item x="104"/>
        <item x="63"/>
        <item x="59"/>
        <item x="128"/>
        <item x="71"/>
        <item x="106"/>
        <item x="6"/>
        <item x="101"/>
        <item x="34"/>
        <item x="105"/>
        <item x="30"/>
        <item x="115"/>
        <item x="74"/>
        <item x="48"/>
        <item x="8"/>
        <item x="32"/>
        <item x="9"/>
        <item x="91"/>
        <item x="100"/>
        <item x="94"/>
        <item x="123"/>
        <item x="92"/>
        <item x="98"/>
        <item x="83"/>
        <item x="125"/>
        <item x="89"/>
        <item x="20"/>
        <item x="72"/>
        <item x="21"/>
        <item x="97"/>
        <item x="14"/>
        <item m="1" x="151"/>
        <item m="1" x="148"/>
        <item m="1" x="153"/>
        <item m="1" x="154"/>
        <item x="137"/>
        <item x="39"/>
        <item x="29"/>
        <item x="57"/>
        <item x="54"/>
        <item x="47"/>
        <item x="23"/>
        <item x="17"/>
        <item x="60"/>
        <item x="1"/>
        <item x="61"/>
        <item x="69"/>
        <item x="41"/>
        <item x="35"/>
        <item x="27"/>
        <item x="7"/>
        <item x="24"/>
        <item x="113"/>
        <item x="45"/>
        <item x="53"/>
        <item x="51"/>
        <item x="143"/>
        <item x="58"/>
        <item x="121"/>
        <item x="79"/>
        <item x="116"/>
        <item x="139"/>
        <item x="120"/>
        <item x="55"/>
        <item x="118"/>
        <item x="122"/>
        <item x="52"/>
        <item x="46"/>
        <item x="37"/>
        <item x="140"/>
        <item x="138"/>
        <item x="3"/>
        <item x="0"/>
        <item x="86"/>
        <item x="77"/>
        <item x="99"/>
        <item x="4"/>
        <item x="124"/>
        <item x="40"/>
        <item x="90"/>
        <item x="111"/>
        <item x="81"/>
        <item x="43"/>
        <item x="131"/>
        <item x="25"/>
        <item x="13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7">
    <i>
      <x v="2"/>
    </i>
    <i>
      <x v="5"/>
    </i>
    <i>
      <x v="7"/>
    </i>
    <i>
      <x v="9"/>
    </i>
    <i>
      <x v="13"/>
    </i>
    <i>
      <x v="15"/>
    </i>
    <i>
      <x v="16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>
      <x v="41"/>
    </i>
    <i>
      <x v="42"/>
    </i>
    <i>
      <x v="44"/>
    </i>
    <i>
      <x v="45"/>
    </i>
    <i>
      <x v="47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7"/>
    </i>
    <i>
      <x v="98"/>
    </i>
    <i>
      <x v="100"/>
    </i>
    <i>
      <x v="101"/>
    </i>
    <i>
      <x v="102"/>
    </i>
    <i>
      <x v="108"/>
    </i>
    <i>
      <x v="109"/>
    </i>
    <i>
      <x v="110"/>
    </i>
    <i>
      <x v="111"/>
    </i>
    <i>
      <x v="112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9"/>
    </i>
    <i>
      <x v="130"/>
    </i>
    <i>
      <x v="131"/>
    </i>
    <i>
      <x v="132"/>
    </i>
    <i>
      <x v="133"/>
    </i>
    <i>
      <x v="136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4"/>
    </i>
    <i>
      <x v="157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加總 - QTY" fld="11" baseField="0" baseItem="0"/>
    <dataField name="加總 - Total Amount" fld="13" baseField="0" baseItem="0"/>
  </dataFields>
  <formats count="15">
    <format dxfId="1188">
      <pivotArea collapsedLevelsAreSubtotals="1" fieldPosition="0">
        <references count="2">
          <reference field="4294967294" count="1" selected="0">
            <x v="1"/>
          </reference>
          <reference field="6" count="1">
            <x v="5"/>
          </reference>
        </references>
      </pivotArea>
    </format>
    <format dxfId="1187">
      <pivotArea collapsedLevelsAreSubtotals="1" fieldPosition="0">
        <references count="2">
          <reference field="4294967294" count="1" selected="0">
            <x v="1"/>
          </reference>
          <reference field="6" count="1">
            <x v="21"/>
          </reference>
        </references>
      </pivotArea>
    </format>
    <format dxfId="1186">
      <pivotArea collapsedLevelsAreSubtotals="1" fieldPosition="0">
        <references count="2">
          <reference field="4294967294" count="1" selected="0">
            <x v="1"/>
          </reference>
          <reference field="6" count="1">
            <x v="22"/>
          </reference>
        </references>
      </pivotArea>
    </format>
    <format dxfId="1185">
      <pivotArea collapsedLevelsAreSubtotals="1" fieldPosition="0">
        <references count="2">
          <reference field="4294967294" count="1" selected="0">
            <x v="1"/>
          </reference>
          <reference field="6" count="1">
            <x v="26"/>
          </reference>
        </references>
      </pivotArea>
    </format>
    <format dxfId="1184">
      <pivotArea collapsedLevelsAreSubtotals="1" fieldPosition="0">
        <references count="2">
          <reference field="4294967294" count="1" selected="0">
            <x v="1"/>
          </reference>
          <reference field="6" count="1">
            <x v="29"/>
          </reference>
        </references>
      </pivotArea>
    </format>
    <format dxfId="1183">
      <pivotArea collapsedLevelsAreSubtotals="1" fieldPosition="0">
        <references count="2">
          <reference field="4294967294" count="1" selected="0">
            <x v="1"/>
          </reference>
          <reference field="6" count="1">
            <x v="39"/>
          </reference>
        </references>
      </pivotArea>
    </format>
    <format dxfId="1182">
      <pivotArea collapsedLevelsAreSubtotals="1" fieldPosition="0">
        <references count="2">
          <reference field="4294967294" count="1" selected="0">
            <x v="1"/>
          </reference>
          <reference field="6" count="1">
            <x v="56"/>
          </reference>
        </references>
      </pivotArea>
    </format>
    <format dxfId="1181">
      <pivotArea collapsedLevelsAreSubtotals="1" fieldPosition="0">
        <references count="2">
          <reference field="4294967294" count="1" selected="0">
            <x v="1"/>
          </reference>
          <reference field="6" count="1">
            <x v="58"/>
          </reference>
        </references>
      </pivotArea>
    </format>
    <format dxfId="1180">
      <pivotArea collapsedLevelsAreSubtotals="1" fieldPosition="0">
        <references count="2">
          <reference field="4294967294" count="1" selected="0">
            <x v="1"/>
          </reference>
          <reference field="6" count="1">
            <x v="78"/>
          </reference>
        </references>
      </pivotArea>
    </format>
    <format dxfId="1179">
      <pivotArea collapsedLevelsAreSubtotals="1" fieldPosition="0">
        <references count="2">
          <reference field="4294967294" count="1" selected="0">
            <x v="1"/>
          </reference>
          <reference field="6" count="1">
            <x v="88"/>
          </reference>
        </references>
      </pivotArea>
    </format>
    <format dxfId="1178">
      <pivotArea collapsedLevelsAreSubtotals="1" fieldPosition="0">
        <references count="2">
          <reference field="4294967294" count="1" selected="0">
            <x v="1"/>
          </reference>
          <reference field="6" count="1">
            <x v="102"/>
          </reference>
        </references>
      </pivotArea>
    </format>
    <format dxfId="1177">
      <pivotArea collapsedLevelsAreSubtotals="1" fieldPosition="0">
        <references count="2">
          <reference field="4294967294" count="1" selected="0">
            <x v="1"/>
          </reference>
          <reference field="6" count="1">
            <x v="116"/>
          </reference>
        </references>
      </pivotArea>
    </format>
    <format dxfId="1176">
      <pivotArea collapsedLevelsAreSubtotals="1" fieldPosition="0">
        <references count="2">
          <reference field="4294967294" count="1" selected="0">
            <x v="1"/>
          </reference>
          <reference field="6" count="1">
            <x v="143"/>
          </reference>
        </references>
      </pivotArea>
    </format>
    <format dxfId="1175">
      <pivotArea collapsedLevelsAreSubtotals="1" fieldPosition="0">
        <references count="2">
          <reference field="4294967294" count="1" selected="0">
            <x v="1"/>
          </reference>
          <reference field="6" count="1">
            <x v="144"/>
          </reference>
        </references>
      </pivotArea>
    </format>
    <format dxfId="1174">
      <pivotArea collapsedLevelsAreSubtotals="1" fieldPosition="0">
        <references count="2">
          <reference field="4294967294" count="1" selected="0">
            <x v="1"/>
          </reference>
          <reference field="6" count="1">
            <x v="14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4EECC-A299-40DF-8F5D-1FFDCF0939B6}" name="樞紐分析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3:I19" firstHeaderRow="1" firstDataRow="1" firstDataCol="2"/>
  <pivotFields count="2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13">
        <item m="1" x="76"/>
        <item m="1" x="110"/>
        <item x="41"/>
        <item x="40"/>
        <item m="1" x="90"/>
        <item m="1" x="91"/>
        <item x="63"/>
        <item x="64"/>
        <item x="19"/>
        <item m="1" x="107"/>
        <item m="1" x="108"/>
        <item m="1" x="109"/>
        <item x="74"/>
        <item x="29"/>
        <item x="8"/>
        <item m="1" x="81"/>
        <item x="11"/>
        <item x="65"/>
        <item x="42"/>
        <item x="55"/>
        <item m="1" x="87"/>
        <item x="13"/>
        <item m="1" x="82"/>
        <item m="1" x="83"/>
        <item x="14"/>
        <item x="15"/>
        <item x="17"/>
        <item x="16"/>
        <item x="72"/>
        <item x="73"/>
        <item m="1" x="103"/>
        <item x="48"/>
        <item x="47"/>
        <item x="51"/>
        <item x="50"/>
        <item m="1" x="85"/>
        <item x="56"/>
        <item x="57"/>
        <item x="49"/>
        <item m="1" x="112"/>
        <item x="39"/>
        <item m="1" x="104"/>
        <item x="28"/>
        <item x="26"/>
        <item x="27"/>
        <item x="24"/>
        <item x="25"/>
        <item x="32"/>
        <item x="31"/>
        <item x="53"/>
        <item x="54"/>
        <item x="9"/>
        <item x="10"/>
        <item m="1" x="79"/>
        <item x="2"/>
        <item x="58"/>
        <item x="38"/>
        <item x="6"/>
        <item x="59"/>
        <item x="62"/>
        <item x="4"/>
        <item x="33"/>
        <item x="34"/>
        <item m="1" x="99"/>
        <item x="22"/>
        <item x="23"/>
        <item x="18"/>
        <item m="1" x="92"/>
        <item x="35"/>
        <item x="36"/>
        <item m="1" x="97"/>
        <item m="1" x="98"/>
        <item m="1" x="96"/>
        <item x="3"/>
        <item m="1" x="89"/>
        <item x="71"/>
        <item m="1" x="95"/>
        <item x="67"/>
        <item x="68"/>
        <item m="1" x="102"/>
        <item m="1" x="77"/>
        <item x="5"/>
        <item x="30"/>
        <item x="66"/>
        <item m="1" x="84"/>
        <item m="1" x="88"/>
        <item x="12"/>
        <item m="1" x="78"/>
        <item x="37"/>
        <item x="52"/>
        <item m="1" x="100"/>
        <item x="70"/>
        <item m="1" x="101"/>
        <item x="44"/>
        <item x="43"/>
        <item x="45"/>
        <item x="46"/>
        <item x="20"/>
        <item x="21"/>
        <item x="1"/>
        <item m="1" x="86"/>
        <item m="1" x="93"/>
        <item m="1" x="94"/>
        <item m="1" x="105"/>
        <item m="1" x="106"/>
        <item m="1" x="80"/>
        <item x="7"/>
        <item x="61"/>
        <item x="69"/>
        <item x="0"/>
        <item x="60"/>
        <item m="1" x="111"/>
        <item x="75"/>
      </items>
    </pivotField>
    <pivotField compact="0" outline="0" showAll="0" defaultSubtotal="0"/>
    <pivotField compact="0" outline="0" showAll="0" sortType="ascending" defaultSubtotal="0">
      <items count="91">
        <item m="1" x="60"/>
        <item m="1" x="61"/>
        <item m="1" x="62"/>
        <item m="1" x="63"/>
        <item m="1" x="64"/>
        <item m="1" x="65"/>
        <item m="1" x="66"/>
        <item m="1" x="76"/>
        <item m="1" x="77"/>
        <item m="1" x="73"/>
        <item m="1" x="72"/>
        <item m="1" x="87"/>
        <item m="1" x="67"/>
        <item m="1" x="68"/>
        <item m="1" x="78"/>
        <item m="1" x="79"/>
        <item m="1" x="80"/>
        <item m="1" x="81"/>
        <item m="1" x="82"/>
        <item m="1" x="69"/>
        <item m="1" x="74"/>
        <item m="1" x="83"/>
        <item m="1" x="84"/>
        <item m="1" x="85"/>
        <item m="1" x="86"/>
        <item m="1" x="70"/>
        <item m="1" x="71"/>
        <item m="1" x="75"/>
        <item m="1" x="88"/>
        <item m="1" x="89"/>
        <item m="1" x="90"/>
        <item m="1" x="40"/>
        <item m="1" x="41"/>
        <item m="1" x="42"/>
        <item m="1" x="32"/>
        <item m="1" x="33"/>
        <item m="1" x="43"/>
        <item m="1" x="44"/>
        <item m="1" x="45"/>
        <item m="1" x="46"/>
        <item m="1" x="34"/>
        <item m="1" x="35"/>
        <item m="1" x="47"/>
        <item m="1" x="39"/>
        <item m="1" x="48"/>
        <item m="1" x="49"/>
        <item m="1" x="36"/>
        <item m="1" x="57"/>
        <item m="1" x="58"/>
        <item m="1" x="59"/>
        <item m="1" x="37"/>
        <item m="1" x="50"/>
        <item m="1" x="51"/>
        <item m="1" x="52"/>
        <item m="1" x="53"/>
        <item m="1" x="38"/>
        <item m="1" x="54"/>
        <item m="1" x="55"/>
        <item m="1" x="56"/>
        <item x="0"/>
        <item x="5"/>
        <item x="6"/>
        <item x="7"/>
        <item x="13"/>
        <item x="8"/>
        <item x="1"/>
        <item x="2"/>
        <item x="9"/>
        <item x="10"/>
        <item x="16"/>
        <item x="11"/>
        <item x="12"/>
        <item x="3"/>
        <item x="4"/>
        <item x="14"/>
        <item x="15"/>
        <item x="17"/>
        <item x="18"/>
        <item x="19"/>
        <item x="20"/>
        <item x="21"/>
        <item x="30"/>
        <item x="22"/>
        <item x="23"/>
        <item x="24"/>
        <item x="25"/>
        <item x="26"/>
        <item x="27"/>
        <item x="28"/>
        <item x="29"/>
        <item x="31"/>
      </items>
    </pivotField>
    <pivotField axis="axisRow" compact="0" outline="0" showAll="0" defaultSubtotal="0">
      <items count="158">
        <item h="1" x="135"/>
        <item h="1" x="112"/>
        <item h="1" m="1" x="156"/>
        <item h="1" x="5"/>
        <item h="1" x="129"/>
        <item h="1" x="96"/>
        <item h="1" x="76"/>
        <item h="1" x="75"/>
        <item h="1" x="95"/>
        <item h="1" m="1" x="157"/>
        <item h="1" x="26"/>
        <item h="1" x="102"/>
        <item h="1" x="64"/>
        <item h="1" x="18"/>
        <item h="1" x="12"/>
        <item h="1" x="19"/>
        <item h="1" x="93"/>
        <item h="1" x="13"/>
        <item h="1" x="117"/>
        <item h="1" x="62"/>
        <item h="1" x="11"/>
        <item h="1" x="88"/>
        <item h="1" x="56"/>
        <item h="1" x="82"/>
        <item h="1" x="146"/>
        <item h="1" x="147"/>
        <item h="1" x="108"/>
        <item h="1" x="70"/>
        <item h="1" x="2"/>
        <item h="1" x="119"/>
        <item h="1" x="136"/>
        <item h="1" x="133"/>
        <item h="1" m="1" x="149"/>
        <item h="1" x="66"/>
        <item h="1" x="42"/>
        <item h="1" x="132"/>
        <item x="103"/>
        <item h="1" x="114"/>
        <item h="1" x="85"/>
        <item h="1" x="110"/>
        <item h="1" x="22"/>
        <item h="1" x="78"/>
        <item h="1" x="87"/>
        <item h="1" x="10"/>
        <item h="1" x="16"/>
        <item h="1" x="15"/>
        <item h="1" x="145"/>
        <item h="1" x="50"/>
        <item h="1" x="28"/>
        <item h="1" x="80"/>
        <item h="1" x="107"/>
        <item h="1" x="38"/>
        <item h="1" x="127"/>
        <item h="1" x="31"/>
        <item h="1" x="67"/>
        <item h="1" x="44"/>
        <item h="1" x="33"/>
        <item h="1" x="36"/>
        <item h="1" x="68"/>
        <item h="1" x="104"/>
        <item h="1" x="63"/>
        <item h="1" x="59"/>
        <item h="1" x="71"/>
        <item h="1" x="106"/>
        <item h="1" x="6"/>
        <item h="1" x="101"/>
        <item h="1" x="34"/>
        <item h="1" x="105"/>
        <item h="1" x="30"/>
        <item h="1" x="115"/>
        <item h="1" x="74"/>
        <item h="1" x="48"/>
        <item h="1" x="8"/>
        <item h="1" x="32"/>
        <item h="1" x="9"/>
        <item h="1" x="91"/>
        <item h="1" x="100"/>
        <item h="1" x="94"/>
        <item h="1" x="92"/>
        <item h="1" x="83"/>
        <item h="1" x="89"/>
        <item h="1" x="21"/>
        <item h="1" x="97"/>
        <item h="1" x="14"/>
        <item h="1" m="1" x="151"/>
        <item h="1" m="1" x="148"/>
        <item h="1" x="39"/>
        <item h="1" x="29"/>
        <item h="1" x="57"/>
        <item h="1" x="54"/>
        <item h="1" x="47"/>
        <item h="1" x="23"/>
        <item h="1" x="17"/>
        <item h="1" x="60"/>
        <item h="1" x="1"/>
        <item h="1" x="61"/>
        <item h="1" x="69"/>
        <item h="1" x="41"/>
        <item h="1" x="35"/>
        <item h="1" x="27"/>
        <item h="1" x="7"/>
        <item h="1" x="24"/>
        <item h="1" x="113"/>
        <item h="1" x="45"/>
        <item h="1" x="53"/>
        <item h="1" x="51"/>
        <item h="1" x="143"/>
        <item h="1" x="58"/>
        <item h="1" x="121"/>
        <item h="1" x="79"/>
        <item h="1" x="116"/>
        <item h="1" x="139"/>
        <item h="1" x="120"/>
        <item h="1" x="55"/>
        <item h="1" x="118"/>
        <item h="1" x="52"/>
        <item h="1" x="46"/>
        <item h="1" x="37"/>
        <item h="1" x="140"/>
        <item h="1" x="3"/>
        <item h="1" x="0"/>
        <item h="1" x="86"/>
        <item h="1" x="77"/>
        <item h="1" x="99"/>
        <item h="1" x="4"/>
        <item h="1" x="124"/>
        <item h="1" x="40"/>
        <item h="1" x="90"/>
        <item h="1" x="111"/>
        <item h="1" x="81"/>
        <item h="1" x="43"/>
        <item h="1" x="131"/>
        <item h="1" x="25"/>
        <item h="1" x="130"/>
        <item h="1" x="20"/>
        <item h="1" x="49"/>
        <item h="1" x="123"/>
        <item h="1" x="125"/>
        <item h="1" x="72"/>
        <item h="1" m="1" x="150"/>
        <item h="1" x="65"/>
        <item h="1" m="1" x="152"/>
        <item h="1" m="1" x="153"/>
        <item h="1" m="1" x="154"/>
        <item h="1" m="1" x="155"/>
        <item h="1" x="73"/>
        <item h="1" x="84"/>
        <item h="1" x="98"/>
        <item h="1" x="109"/>
        <item h="1" x="122"/>
        <item h="1" x="126"/>
        <item h="1" x="128"/>
        <item h="1" x="134"/>
        <item h="1" x="137"/>
        <item h="1" x="138"/>
        <item h="1" x="141"/>
        <item h="1" x="142"/>
        <item h="1" x="14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>
      <items count="36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6"/>
  </rowFields>
  <rowItems count="16">
    <i>
      <x v="18"/>
      <x v="36"/>
    </i>
    <i>
      <x v="19"/>
      <x v="36"/>
    </i>
    <i>
      <x v="28"/>
      <x v="36"/>
    </i>
    <i>
      <x v="33"/>
      <x v="36"/>
    </i>
    <i>
      <x v="34"/>
      <x v="36"/>
    </i>
    <i>
      <x v="38"/>
      <x v="36"/>
    </i>
    <i>
      <x v="45"/>
      <x v="36"/>
    </i>
    <i>
      <x v="47"/>
      <x v="36"/>
    </i>
    <i>
      <x v="48"/>
      <x v="36"/>
    </i>
    <i>
      <x v="61"/>
      <x v="36"/>
    </i>
    <i>
      <x v="64"/>
      <x v="36"/>
    </i>
    <i>
      <x v="68"/>
      <x v="36"/>
    </i>
    <i>
      <x v="82"/>
      <x v="36"/>
    </i>
    <i>
      <x v="89"/>
      <x v="36"/>
    </i>
    <i>
      <x v="97"/>
      <x v="36"/>
    </i>
    <i t="grand">
      <x/>
    </i>
  </rowItems>
  <colItems count="1">
    <i/>
  </colItems>
  <dataFields count="1">
    <dataField name="加總 - Q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22C05-9DC3-4973-84CA-2041CB955D20}" name="樞紐分析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P3:R82" firstHeaderRow="1" firstDataRow="1" firstDataCol="2"/>
  <pivotFields count="2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13">
        <item m="1" x="76"/>
        <item m="1" x="110"/>
        <item x="41"/>
        <item x="40"/>
        <item m="1" x="90"/>
        <item m="1" x="91"/>
        <item x="63"/>
        <item x="64"/>
        <item x="19"/>
        <item m="1" x="107"/>
        <item m="1" x="108"/>
        <item m="1" x="109"/>
        <item x="74"/>
        <item x="29"/>
        <item x="8"/>
        <item m="1" x="81"/>
        <item x="11"/>
        <item x="65"/>
        <item x="42"/>
        <item x="55"/>
        <item m="1" x="87"/>
        <item x="13"/>
        <item m="1" x="82"/>
        <item m="1" x="83"/>
        <item x="14"/>
        <item x="15"/>
        <item x="17"/>
        <item x="16"/>
        <item x="72"/>
        <item x="73"/>
        <item m="1" x="103"/>
        <item x="48"/>
        <item x="47"/>
        <item x="51"/>
        <item x="50"/>
        <item m="1" x="85"/>
        <item x="56"/>
        <item x="57"/>
        <item x="49"/>
        <item m="1" x="112"/>
        <item x="39"/>
        <item m="1" x="104"/>
        <item x="28"/>
        <item x="26"/>
        <item x="27"/>
        <item x="24"/>
        <item x="25"/>
        <item x="32"/>
        <item x="31"/>
        <item x="53"/>
        <item x="54"/>
        <item x="9"/>
        <item x="10"/>
        <item m="1" x="79"/>
        <item x="2"/>
        <item x="58"/>
        <item x="38"/>
        <item x="6"/>
        <item x="59"/>
        <item x="62"/>
        <item x="4"/>
        <item x="33"/>
        <item x="34"/>
        <item m="1" x="99"/>
        <item x="22"/>
        <item x="23"/>
        <item x="18"/>
        <item m="1" x="92"/>
        <item x="35"/>
        <item x="36"/>
        <item m="1" x="97"/>
        <item m="1" x="98"/>
        <item m="1" x="96"/>
        <item x="3"/>
        <item m="1" x="89"/>
        <item x="71"/>
        <item m="1" x="95"/>
        <item x="67"/>
        <item x="68"/>
        <item m="1" x="102"/>
        <item m="1" x="77"/>
        <item x="5"/>
        <item x="30"/>
        <item x="66"/>
        <item m="1" x="84"/>
        <item m="1" x="88"/>
        <item x="12"/>
        <item m="1" x="78"/>
        <item x="37"/>
        <item x="52"/>
        <item m="1" x="100"/>
        <item x="70"/>
        <item m="1" x="101"/>
        <item x="44"/>
        <item x="43"/>
        <item x="45"/>
        <item x="46"/>
        <item x="20"/>
        <item x="21"/>
        <item x="1"/>
        <item m="1" x="86"/>
        <item m="1" x="93"/>
        <item m="1" x="94"/>
        <item m="1" x="105"/>
        <item m="1" x="106"/>
        <item m="1" x="80"/>
        <item x="7"/>
        <item x="61"/>
        <item x="69"/>
        <item x="0"/>
        <item x="60"/>
        <item m="1" x="111"/>
        <item x="75"/>
      </items>
    </pivotField>
    <pivotField compact="0" outline="0" showAll="0" defaultSubtotal="0"/>
    <pivotField compact="0" outline="0" showAll="0" sortType="ascending" defaultSubtotal="0">
      <items count="91">
        <item m="1" x="60"/>
        <item m="1" x="61"/>
        <item m="1" x="62"/>
        <item m="1" x="63"/>
        <item m="1" x="64"/>
        <item m="1" x="65"/>
        <item m="1" x="66"/>
        <item m="1" x="76"/>
        <item m="1" x="77"/>
        <item m="1" x="73"/>
        <item m="1" x="72"/>
        <item m="1" x="87"/>
        <item m="1" x="67"/>
        <item m="1" x="68"/>
        <item m="1" x="78"/>
        <item m="1" x="79"/>
        <item m="1" x="80"/>
        <item m="1" x="81"/>
        <item m="1" x="82"/>
        <item m="1" x="69"/>
        <item m="1" x="74"/>
        <item m="1" x="83"/>
        <item m="1" x="84"/>
        <item m="1" x="85"/>
        <item m="1" x="86"/>
        <item m="1" x="70"/>
        <item m="1" x="71"/>
        <item m="1" x="75"/>
        <item m="1" x="88"/>
        <item m="1" x="89"/>
        <item m="1" x="90"/>
        <item m="1" x="40"/>
        <item m="1" x="41"/>
        <item m="1" x="42"/>
        <item m="1" x="32"/>
        <item m="1" x="33"/>
        <item m="1" x="43"/>
        <item m="1" x="44"/>
        <item m="1" x="45"/>
        <item m="1" x="46"/>
        <item m="1" x="34"/>
        <item m="1" x="35"/>
        <item m="1" x="47"/>
        <item m="1" x="39"/>
        <item m="1" x="48"/>
        <item m="1" x="49"/>
        <item m="1" x="36"/>
        <item m="1" x="57"/>
        <item m="1" x="58"/>
        <item m="1" x="59"/>
        <item m="1" x="37"/>
        <item m="1" x="50"/>
        <item m="1" x="51"/>
        <item m="1" x="52"/>
        <item m="1" x="53"/>
        <item m="1" x="38"/>
        <item m="1" x="54"/>
        <item m="1" x="55"/>
        <item m="1" x="56"/>
        <item x="0"/>
        <item x="5"/>
        <item x="6"/>
        <item x="7"/>
        <item x="13"/>
        <item x="8"/>
        <item x="1"/>
        <item x="2"/>
        <item x="9"/>
        <item x="10"/>
        <item x="16"/>
        <item x="11"/>
        <item x="12"/>
        <item x="3"/>
        <item x="4"/>
        <item x="14"/>
        <item x="15"/>
        <item x="17"/>
        <item x="18"/>
        <item x="19"/>
        <item x="20"/>
        <item x="21"/>
        <item x="30"/>
        <item x="22"/>
        <item x="23"/>
        <item x="24"/>
        <item x="25"/>
        <item x="26"/>
        <item x="27"/>
        <item x="28"/>
        <item x="29"/>
        <item x="31"/>
      </items>
    </pivotField>
    <pivotField axis="axisRow" compact="0" outline="0" showAll="0" defaultSubtotal="0">
      <items count="158">
        <item h="1" x="135"/>
        <item h="1" x="112"/>
        <item h="1" m="1" x="156"/>
        <item h="1" x="5"/>
        <item h="1" x="129"/>
        <item h="1" x="96"/>
        <item h="1" x="76"/>
        <item h="1" x="75"/>
        <item h="1" x="95"/>
        <item h="1" m="1" x="157"/>
        <item h="1" x="26"/>
        <item h="1" x="102"/>
        <item h="1" x="64"/>
        <item h="1" x="18"/>
        <item h="1" x="12"/>
        <item h="1" x="19"/>
        <item h="1" x="93"/>
        <item h="1" x="13"/>
        <item h="1" x="117"/>
        <item h="1" x="62"/>
        <item h="1" x="11"/>
        <item h="1" x="88"/>
        <item h="1" x="56"/>
        <item h="1" x="82"/>
        <item h="1" x="146"/>
        <item h="1" x="147"/>
        <item h="1" x="108"/>
        <item h="1" x="70"/>
        <item h="1" x="2"/>
        <item h="1" x="119"/>
        <item h="1" x="136"/>
        <item h="1" x="133"/>
        <item h="1" m="1" x="149"/>
        <item h="1" x="66"/>
        <item h="1" x="42"/>
        <item h="1" x="132"/>
        <item h="1" x="103"/>
        <item h="1" x="114"/>
        <item h="1" x="85"/>
        <item h="1" x="110"/>
        <item h="1" x="22"/>
        <item h="1" x="78"/>
        <item h="1" x="87"/>
        <item h="1" x="10"/>
        <item h="1" x="16"/>
        <item h="1" x="15"/>
        <item h="1" x="145"/>
        <item h="1" x="50"/>
        <item h="1" x="28"/>
        <item h="1" x="80"/>
        <item h="1" x="107"/>
        <item h="1" x="38"/>
        <item h="1" x="127"/>
        <item h="1" x="31"/>
        <item h="1" x="67"/>
        <item h="1" x="44"/>
        <item h="1" x="33"/>
        <item h="1" x="36"/>
        <item h="1" x="68"/>
        <item h="1" x="104"/>
        <item h="1" x="63"/>
        <item h="1" x="59"/>
        <item h="1" x="71"/>
        <item h="1" x="106"/>
        <item h="1" x="6"/>
        <item h="1" x="101"/>
        <item h="1" x="34"/>
        <item h="1" x="105"/>
        <item h="1" x="30"/>
        <item h="1" x="115"/>
        <item h="1" x="74"/>
        <item h="1" x="48"/>
        <item h="1" x="8"/>
        <item h="1" x="32"/>
        <item h="1" x="9"/>
        <item h="1" x="91"/>
        <item h="1" x="100"/>
        <item h="1" x="94"/>
        <item h="1" x="92"/>
        <item h="1" x="83"/>
        <item h="1" x="89"/>
        <item x="21"/>
        <item x="97"/>
        <item h="1" x="14"/>
        <item h="1" m="1" x="151"/>
        <item h="1" m="1" x="148"/>
        <item h="1" x="39"/>
        <item h="1" x="29"/>
        <item h="1" x="57"/>
        <item h="1" x="54"/>
        <item h="1" x="47"/>
        <item h="1" x="23"/>
        <item h="1" x="17"/>
        <item h="1" x="60"/>
        <item h="1" x="1"/>
        <item h="1" x="61"/>
        <item h="1" x="69"/>
        <item h="1" x="41"/>
        <item h="1" x="35"/>
        <item h="1" x="27"/>
        <item h="1" x="7"/>
        <item h="1" x="24"/>
        <item h="1" x="113"/>
        <item h="1" x="45"/>
        <item h="1" x="53"/>
        <item h="1" x="51"/>
        <item h="1" x="143"/>
        <item h="1" x="58"/>
        <item h="1" x="121"/>
        <item h="1" x="79"/>
        <item h="1" x="116"/>
        <item h="1" x="139"/>
        <item h="1" x="120"/>
        <item h="1" x="55"/>
        <item h="1" x="118"/>
        <item h="1" x="52"/>
        <item h="1" x="46"/>
        <item h="1" x="37"/>
        <item h="1" x="140"/>
        <item h="1" x="3"/>
        <item h="1" x="0"/>
        <item h="1" x="86"/>
        <item h="1" x="77"/>
        <item h="1" x="99"/>
        <item h="1" x="4"/>
        <item h="1" x="124"/>
        <item h="1" x="40"/>
        <item h="1" x="90"/>
        <item h="1" x="111"/>
        <item h="1" x="81"/>
        <item h="1" x="43"/>
        <item h="1" x="131"/>
        <item h="1" x="25"/>
        <item h="1" x="130"/>
        <item x="20"/>
        <item h="1" x="49"/>
        <item h="1" x="123"/>
        <item h="1" x="125"/>
        <item x="72"/>
        <item h="1" m="1" x="150"/>
        <item h="1" x="65"/>
        <item h="1" m="1" x="152"/>
        <item h="1" m="1" x="153"/>
        <item h="1" m="1" x="154"/>
        <item h="1" m="1" x="155"/>
        <item h="1" x="73"/>
        <item h="1" x="84"/>
        <item h="1" x="98"/>
        <item h="1" x="109"/>
        <item h="1" x="122"/>
        <item h="1" x="126"/>
        <item h="1" x="128"/>
        <item h="1" x="134"/>
        <item h="1" x="137"/>
        <item h="1" x="138"/>
        <item h="1" x="141"/>
        <item h="1" x="142"/>
        <item h="1" x="14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>
      <items count="36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6"/>
  </rowFields>
  <rowItems count="79">
    <i>
      <x v="2"/>
      <x v="138"/>
    </i>
    <i>
      <x v="3"/>
      <x v="134"/>
    </i>
    <i>
      <x v="7"/>
      <x v="81"/>
    </i>
    <i>
      <x v="8"/>
      <x v="81"/>
    </i>
    <i r="1">
      <x v="134"/>
    </i>
    <i>
      <x v="13"/>
      <x v="81"/>
    </i>
    <i r="1">
      <x v="134"/>
    </i>
    <i>
      <x v="14"/>
      <x v="134"/>
    </i>
    <i>
      <x v="16"/>
      <x v="138"/>
    </i>
    <i>
      <x v="18"/>
      <x v="81"/>
    </i>
    <i>
      <x v="19"/>
      <x v="81"/>
    </i>
    <i r="1">
      <x v="138"/>
    </i>
    <i>
      <x v="21"/>
      <x v="81"/>
    </i>
    <i r="1">
      <x v="134"/>
    </i>
    <i>
      <x v="26"/>
      <x v="81"/>
    </i>
    <i>
      <x v="27"/>
      <x v="81"/>
    </i>
    <i r="1">
      <x v="134"/>
    </i>
    <i>
      <x v="28"/>
      <x v="81"/>
    </i>
    <i r="1">
      <x v="134"/>
    </i>
    <i>
      <x v="29"/>
      <x v="81"/>
    </i>
    <i>
      <x v="31"/>
      <x v="81"/>
    </i>
    <i>
      <x v="32"/>
      <x v="81"/>
    </i>
    <i>
      <x v="33"/>
      <x v="81"/>
    </i>
    <i r="1">
      <x v="82"/>
    </i>
    <i>
      <x v="36"/>
      <x v="81"/>
    </i>
    <i r="1">
      <x v="134"/>
    </i>
    <i>
      <x v="37"/>
      <x v="81"/>
    </i>
    <i r="1">
      <x v="134"/>
    </i>
    <i>
      <x v="38"/>
      <x v="81"/>
    </i>
    <i r="1">
      <x v="82"/>
    </i>
    <i>
      <x v="40"/>
      <x v="81"/>
    </i>
    <i r="1">
      <x v="82"/>
    </i>
    <i>
      <x v="42"/>
      <x v="81"/>
    </i>
    <i>
      <x v="43"/>
      <x v="134"/>
    </i>
    <i>
      <x v="45"/>
      <x v="81"/>
    </i>
    <i r="1">
      <x v="134"/>
    </i>
    <i>
      <x v="46"/>
      <x v="81"/>
    </i>
    <i>
      <x v="47"/>
      <x v="81"/>
    </i>
    <i>
      <x v="48"/>
      <x v="81"/>
    </i>
    <i>
      <x v="49"/>
      <x v="134"/>
    </i>
    <i>
      <x v="50"/>
      <x v="81"/>
    </i>
    <i>
      <x v="51"/>
      <x v="81"/>
    </i>
    <i r="1">
      <x v="134"/>
    </i>
    <i>
      <x v="54"/>
      <x v="81"/>
    </i>
    <i r="1">
      <x v="134"/>
    </i>
    <i>
      <x v="55"/>
      <x v="81"/>
    </i>
    <i>
      <x v="56"/>
      <x v="81"/>
    </i>
    <i r="1">
      <x v="134"/>
    </i>
    <i>
      <x v="58"/>
      <x v="81"/>
    </i>
    <i r="1">
      <x v="134"/>
    </i>
    <i>
      <x v="61"/>
      <x v="81"/>
    </i>
    <i>
      <x v="62"/>
      <x v="81"/>
    </i>
    <i r="1">
      <x v="82"/>
    </i>
    <i>
      <x v="64"/>
      <x v="81"/>
    </i>
    <i>
      <x v="68"/>
      <x v="81"/>
    </i>
    <i r="1">
      <x v="134"/>
    </i>
    <i>
      <x v="77"/>
      <x v="81"/>
    </i>
    <i r="1">
      <x v="82"/>
    </i>
    <i>
      <x v="78"/>
      <x v="81"/>
    </i>
    <i>
      <x v="81"/>
      <x v="81"/>
    </i>
    <i r="1">
      <x v="134"/>
    </i>
    <i>
      <x v="82"/>
      <x v="81"/>
    </i>
    <i r="1">
      <x v="134"/>
    </i>
    <i>
      <x v="86"/>
      <x v="134"/>
    </i>
    <i>
      <x v="89"/>
      <x v="81"/>
    </i>
    <i>
      <x v="91"/>
      <x v="81"/>
    </i>
    <i r="1">
      <x v="82"/>
    </i>
    <i>
      <x v="96"/>
      <x v="134"/>
    </i>
    <i>
      <x v="97"/>
      <x v="81"/>
    </i>
    <i r="1">
      <x v="82"/>
    </i>
    <i>
      <x v="98"/>
      <x v="81"/>
    </i>
    <i>
      <x v="106"/>
      <x v="81"/>
    </i>
    <i r="1">
      <x v="134"/>
    </i>
    <i>
      <x v="107"/>
      <x v="81"/>
    </i>
    <i r="1">
      <x v="134"/>
    </i>
    <i>
      <x v="108"/>
      <x v="81"/>
    </i>
    <i>
      <x v="110"/>
      <x v="81"/>
    </i>
    <i r="1">
      <x v="134"/>
    </i>
    <i t="grand">
      <x/>
    </i>
  </rowItems>
  <colItems count="1">
    <i/>
  </colItems>
  <dataFields count="1">
    <dataField name="加總 - Q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1A511-CC6D-4C10-A9DB-B9DCE6D1D645}" name="樞紐分析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K3:M25" firstHeaderRow="1" firstDataRow="1" firstDataCol="2"/>
  <pivotFields count="2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13">
        <item m="1" x="76"/>
        <item m="1" x="110"/>
        <item x="41"/>
        <item x="40"/>
        <item m="1" x="90"/>
        <item m="1" x="91"/>
        <item x="63"/>
        <item x="64"/>
        <item x="19"/>
        <item m="1" x="107"/>
        <item m="1" x="108"/>
        <item m="1" x="109"/>
        <item x="74"/>
        <item x="29"/>
        <item x="8"/>
        <item m="1" x="81"/>
        <item x="11"/>
        <item x="65"/>
        <item x="42"/>
        <item x="55"/>
        <item m="1" x="87"/>
        <item x="13"/>
        <item m="1" x="82"/>
        <item m="1" x="83"/>
        <item x="14"/>
        <item x="15"/>
        <item x="17"/>
        <item x="16"/>
        <item x="72"/>
        <item x="73"/>
        <item m="1" x="103"/>
        <item x="48"/>
        <item x="47"/>
        <item x="51"/>
        <item x="50"/>
        <item m="1" x="85"/>
        <item x="56"/>
        <item x="57"/>
        <item x="49"/>
        <item m="1" x="112"/>
        <item x="39"/>
        <item m="1" x="104"/>
        <item x="28"/>
        <item x="26"/>
        <item x="27"/>
        <item x="24"/>
        <item x="25"/>
        <item x="32"/>
        <item x="31"/>
        <item x="53"/>
        <item x="54"/>
        <item x="9"/>
        <item x="10"/>
        <item m="1" x="79"/>
        <item x="2"/>
        <item x="58"/>
        <item x="38"/>
        <item x="6"/>
        <item x="59"/>
        <item x="62"/>
        <item x="4"/>
        <item x="33"/>
        <item x="34"/>
        <item m="1" x="99"/>
        <item x="22"/>
        <item x="23"/>
        <item x="18"/>
        <item m="1" x="92"/>
        <item x="35"/>
        <item x="36"/>
        <item m="1" x="97"/>
        <item m="1" x="98"/>
        <item m="1" x="96"/>
        <item x="3"/>
        <item m="1" x="89"/>
        <item x="71"/>
        <item m="1" x="95"/>
        <item x="67"/>
        <item x="68"/>
        <item m="1" x="102"/>
        <item m="1" x="77"/>
        <item x="5"/>
        <item x="30"/>
        <item x="66"/>
        <item m="1" x="84"/>
        <item m="1" x="88"/>
        <item x="12"/>
        <item m="1" x="78"/>
        <item x="37"/>
        <item x="52"/>
        <item m="1" x="100"/>
        <item x="70"/>
        <item m="1" x="101"/>
        <item x="44"/>
        <item x="43"/>
        <item x="45"/>
        <item x="46"/>
        <item x="20"/>
        <item x="21"/>
        <item x="1"/>
        <item m="1" x="86"/>
        <item m="1" x="93"/>
        <item m="1" x="94"/>
        <item m="1" x="105"/>
        <item m="1" x="106"/>
        <item m="1" x="80"/>
        <item x="7"/>
        <item x="61"/>
        <item x="69"/>
        <item x="0"/>
        <item x="60"/>
        <item m="1" x="111"/>
        <item x="75"/>
      </items>
    </pivotField>
    <pivotField compact="0" outline="0" showAll="0" defaultSubtotal="0"/>
    <pivotField compact="0" outline="0" showAll="0" sortType="ascending" defaultSubtotal="0">
      <items count="91">
        <item m="1" x="60"/>
        <item m="1" x="61"/>
        <item m="1" x="62"/>
        <item m="1" x="63"/>
        <item m="1" x="64"/>
        <item m="1" x="65"/>
        <item m="1" x="66"/>
        <item m="1" x="76"/>
        <item m="1" x="77"/>
        <item m="1" x="73"/>
        <item m="1" x="72"/>
        <item m="1" x="87"/>
        <item m="1" x="67"/>
        <item m="1" x="68"/>
        <item m="1" x="78"/>
        <item m="1" x="79"/>
        <item m="1" x="80"/>
        <item m="1" x="81"/>
        <item m="1" x="82"/>
        <item m="1" x="69"/>
        <item m="1" x="74"/>
        <item m="1" x="83"/>
        <item m="1" x="84"/>
        <item m="1" x="85"/>
        <item m="1" x="86"/>
        <item m="1" x="70"/>
        <item m="1" x="71"/>
        <item m="1" x="75"/>
        <item m="1" x="88"/>
        <item m="1" x="89"/>
        <item m="1" x="90"/>
        <item m="1" x="40"/>
        <item m="1" x="41"/>
        <item m="1" x="42"/>
        <item m="1" x="32"/>
        <item m="1" x="33"/>
        <item m="1" x="43"/>
        <item m="1" x="44"/>
        <item m="1" x="45"/>
        <item m="1" x="46"/>
        <item m="1" x="34"/>
        <item m="1" x="35"/>
        <item m="1" x="47"/>
        <item m="1" x="39"/>
        <item m="1" x="48"/>
        <item m="1" x="49"/>
        <item m="1" x="36"/>
        <item m="1" x="57"/>
        <item m="1" x="58"/>
        <item m="1" x="59"/>
        <item m="1" x="37"/>
        <item m="1" x="50"/>
        <item m="1" x="51"/>
        <item m="1" x="52"/>
        <item m="1" x="53"/>
        <item m="1" x="38"/>
        <item m="1" x="54"/>
        <item m="1" x="55"/>
        <item m="1" x="56"/>
        <item x="0"/>
        <item x="5"/>
        <item x="6"/>
        <item x="7"/>
        <item x="13"/>
        <item x="8"/>
        <item x="1"/>
        <item x="2"/>
        <item x="9"/>
        <item x="10"/>
        <item x="16"/>
        <item x="11"/>
        <item x="12"/>
        <item x="3"/>
        <item x="4"/>
        <item x="14"/>
        <item x="15"/>
        <item x="17"/>
        <item x="18"/>
        <item x="19"/>
        <item x="20"/>
        <item x="21"/>
        <item x="30"/>
        <item x="22"/>
        <item x="23"/>
        <item x="24"/>
        <item x="25"/>
        <item x="26"/>
        <item x="27"/>
        <item x="28"/>
        <item x="29"/>
        <item x="31"/>
      </items>
    </pivotField>
    <pivotField axis="axisRow" compact="0" outline="0" showAll="0" defaultSubtotal="0">
      <items count="158">
        <item h="1" x="135"/>
        <item h="1" x="112"/>
        <item h="1" m="1" x="156"/>
        <item h="1" x="5"/>
        <item h="1" x="129"/>
        <item h="1" x="96"/>
        <item h="1" x="76"/>
        <item h="1" x="75"/>
        <item h="1" x="95"/>
        <item h="1" m="1" x="157"/>
        <item h="1" x="26"/>
        <item h="1" x="102"/>
        <item h="1" x="64"/>
        <item h="1" x="18"/>
        <item h="1" x="12"/>
        <item h="1" x="19"/>
        <item h="1" x="93"/>
        <item h="1" x="13"/>
        <item h="1" x="117"/>
        <item h="1" x="62"/>
        <item h="1" x="11"/>
        <item h="1" x="88"/>
        <item h="1" x="56"/>
        <item h="1" x="82"/>
        <item h="1" x="146"/>
        <item h="1" x="147"/>
        <item h="1" x="108"/>
        <item h="1" x="70"/>
        <item h="1" x="2"/>
        <item h="1" x="119"/>
        <item h="1" x="136"/>
        <item h="1" x="133"/>
        <item h="1" m="1" x="149"/>
        <item h="1" x="66"/>
        <item h="1" x="42"/>
        <item h="1" x="132"/>
        <item h="1" x="103"/>
        <item h="1" x="114"/>
        <item h="1" x="85"/>
        <item h="1" x="110"/>
        <item h="1" x="22"/>
        <item h="1" x="78"/>
        <item h="1" x="87"/>
        <item h="1" x="10"/>
        <item h="1" x="16"/>
        <item h="1" x="15"/>
        <item h="1" x="145"/>
        <item h="1" x="50"/>
        <item h="1" x="28"/>
        <item h="1" x="80"/>
        <item h="1" x="107"/>
        <item h="1" x="38"/>
        <item h="1" x="127"/>
        <item h="1" x="31"/>
        <item h="1" x="67"/>
        <item h="1" x="44"/>
        <item h="1" x="33"/>
        <item h="1" x="36"/>
        <item h="1" x="68"/>
        <item h="1" x="104"/>
        <item h="1" x="63"/>
        <item h="1" x="59"/>
        <item h="1" x="71"/>
        <item h="1" x="106"/>
        <item h="1" x="6"/>
        <item h="1" x="101"/>
        <item h="1" x="34"/>
        <item h="1" x="105"/>
        <item h="1" x="30"/>
        <item h="1" x="115"/>
        <item h="1" x="74"/>
        <item h="1" x="48"/>
        <item h="1" x="8"/>
        <item h="1" x="32"/>
        <item h="1" x="9"/>
        <item h="1" x="91"/>
        <item h="1" x="100"/>
        <item h="1" x="94"/>
        <item h="1" x="92"/>
        <item h="1" x="83"/>
        <item h="1" x="89"/>
        <item h="1" x="21"/>
        <item h="1" x="97"/>
        <item h="1" x="14"/>
        <item h="1" m="1" x="151"/>
        <item h="1" m="1" x="148"/>
        <item h="1" x="39"/>
        <item h="1" x="29"/>
        <item h="1" x="57"/>
        <item h="1" x="54"/>
        <item h="1" x="47"/>
        <item h="1" x="23"/>
        <item h="1" x="17"/>
        <item h="1" x="60"/>
        <item h="1" x="1"/>
        <item x="61"/>
        <item h="1" x="69"/>
        <item h="1" x="41"/>
        <item h="1" x="35"/>
        <item h="1" x="27"/>
        <item h="1" x="7"/>
        <item h="1" x="24"/>
        <item h="1" x="113"/>
        <item h="1" x="45"/>
        <item h="1" x="53"/>
        <item h="1" x="51"/>
        <item h="1" x="143"/>
        <item h="1" x="58"/>
        <item h="1" x="121"/>
        <item h="1" x="79"/>
        <item h="1" x="116"/>
        <item h="1" x="139"/>
        <item h="1" x="120"/>
        <item h="1" x="55"/>
        <item h="1" x="118"/>
        <item h="1" x="52"/>
        <item h="1" x="46"/>
        <item h="1" x="37"/>
        <item h="1" x="140"/>
        <item h="1" x="3"/>
        <item h="1" x="0"/>
        <item h="1" x="86"/>
        <item h="1" x="77"/>
        <item h="1" x="99"/>
        <item h="1" x="4"/>
        <item h="1" x="124"/>
        <item h="1" x="40"/>
        <item h="1" x="90"/>
        <item h="1" x="111"/>
        <item h="1" x="81"/>
        <item h="1" x="43"/>
        <item h="1" x="131"/>
        <item h="1" x="25"/>
        <item h="1" x="130"/>
        <item h="1" x="20"/>
        <item h="1" x="49"/>
        <item h="1" x="123"/>
        <item h="1" x="125"/>
        <item h="1" x="72"/>
        <item h="1" m="1" x="150"/>
        <item h="1" x="65"/>
        <item h="1" m="1" x="152"/>
        <item h="1" m="1" x="153"/>
        <item h="1" m="1" x="154"/>
        <item h="1" m="1" x="155"/>
        <item h="1" x="73"/>
        <item h="1" x="84"/>
        <item h="1" x="98"/>
        <item h="1" x="109"/>
        <item h="1" x="122"/>
        <item h="1" x="126"/>
        <item h="1" x="128"/>
        <item h="1" x="134"/>
        <item h="1" x="137"/>
        <item h="1" x="138"/>
        <item h="1" x="141"/>
        <item h="1" x="142"/>
        <item h="1" x="14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>
      <items count="36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6"/>
  </rowFields>
  <rowItems count="22">
    <i>
      <x v="7"/>
      <x v="95"/>
    </i>
    <i>
      <x v="13"/>
      <x v="95"/>
    </i>
    <i>
      <x v="18"/>
      <x v="95"/>
    </i>
    <i>
      <x v="19"/>
      <x v="95"/>
    </i>
    <i>
      <x v="33"/>
      <x v="95"/>
    </i>
    <i>
      <x v="36"/>
      <x v="95"/>
    </i>
    <i>
      <x v="40"/>
      <x v="95"/>
    </i>
    <i>
      <x v="42"/>
      <x v="95"/>
    </i>
    <i>
      <x v="45"/>
      <x v="95"/>
    </i>
    <i>
      <x v="50"/>
      <x v="95"/>
    </i>
    <i>
      <x v="51"/>
      <x v="95"/>
    </i>
    <i>
      <x v="55"/>
      <x v="95"/>
    </i>
    <i>
      <x v="56"/>
      <x v="95"/>
    </i>
    <i>
      <x v="58"/>
      <x v="95"/>
    </i>
    <i>
      <x v="64"/>
      <x v="95"/>
    </i>
    <i>
      <x v="65"/>
      <x v="95"/>
    </i>
    <i>
      <x v="82"/>
      <x v="95"/>
    </i>
    <i>
      <x v="86"/>
      <x v="95"/>
    </i>
    <i>
      <x v="89"/>
      <x v="95"/>
    </i>
    <i>
      <x v="91"/>
      <x v="95"/>
    </i>
    <i>
      <x v="107"/>
      <x v="95"/>
    </i>
    <i t="grand">
      <x/>
    </i>
  </rowItems>
  <colItems count="1">
    <i/>
  </colItems>
  <dataFields count="1">
    <dataField name="加總 - Q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CC8E5-BFF3-4D04-84C3-89E969CC09F1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2" firstHeaderRow="1" firstDataRow="1" firstDataCol="1"/>
  <pivotFields count="25">
    <pivotField showAll="0"/>
    <pivotField showAll="0"/>
    <pivotField showAll="0"/>
    <pivotField axis="axisRow" showAll="0" sortType="ascending">
      <items count="114">
        <item sd="0" m="1" x="76"/>
        <item sd="0" m="1" x="110"/>
        <item sd="0" x="41"/>
        <item sd="0" x="40"/>
        <item sd="0" m="1" x="90"/>
        <item sd="0" m="1" x="91"/>
        <item sd="0" x="63"/>
        <item sd="0" x="64"/>
        <item sd="0" x="19"/>
        <item sd="0" m="1" x="107"/>
        <item sd="0" m="1" x="108"/>
        <item sd="0" m="1" x="109"/>
        <item sd="0" x="74"/>
        <item sd="0" x="29"/>
        <item sd="0" x="8"/>
        <item sd="0" m="1" x="81"/>
        <item sd="0" x="11"/>
        <item sd="0" x="65"/>
        <item sd="0" x="42"/>
        <item sd="0" x="55"/>
        <item sd="0" m="1" x="87"/>
        <item sd="0" x="13"/>
        <item sd="0" m="1" x="82"/>
        <item sd="0" m="1" x="83"/>
        <item sd="0" x="14"/>
        <item sd="0" x="15"/>
        <item sd="0" x="17"/>
        <item sd="0" x="16"/>
        <item sd="0" x="72"/>
        <item sd="0" x="73"/>
        <item sd="0" m="1" x="103"/>
        <item sd="0" x="48"/>
        <item sd="0" x="47"/>
        <item sd="0" x="51"/>
        <item sd="0" x="50"/>
        <item sd="0" m="1" x="85"/>
        <item sd="0" x="56"/>
        <item sd="0" x="57"/>
        <item sd="0" x="49"/>
        <item sd="0" m="1" x="112"/>
        <item sd="0" x="39"/>
        <item sd="0" m="1" x="104"/>
        <item sd="0" x="28"/>
        <item sd="0" x="26"/>
        <item sd="0" x="27"/>
        <item sd="0" x="24"/>
        <item sd="0" x="25"/>
        <item sd="0" x="32"/>
        <item sd="0" x="31"/>
        <item sd="0" x="53"/>
        <item sd="0" x="54"/>
        <item sd="0" x="9"/>
        <item sd="0" x="10"/>
        <item sd="0" m="1" x="79"/>
        <item sd="0" x="2"/>
        <item sd="0" x="58"/>
        <item sd="0" x="38"/>
        <item sd="0" x="6"/>
        <item sd="0" x="59"/>
        <item sd="0" x="62"/>
        <item sd="0" x="4"/>
        <item sd="0" x="33"/>
        <item sd="0" x="34"/>
        <item sd="0" m="1" x="99"/>
        <item sd="0" x="22"/>
        <item sd="0" x="23"/>
        <item sd="0" x="18"/>
        <item sd="0" m="1" x="92"/>
        <item sd="0" x="35"/>
        <item sd="0" x="36"/>
        <item sd="0" m="1" x="97"/>
        <item sd="0" m="1" x="98"/>
        <item sd="0" m="1" x="96"/>
        <item sd="0" x="3"/>
        <item sd="0" m="1" x="89"/>
        <item x="71"/>
        <item sd="0" m="1" x="95"/>
        <item sd="0" x="67"/>
        <item sd="0" x="68"/>
        <item sd="0" m="1" x="102"/>
        <item sd="0" m="1" x="77"/>
        <item sd="0" x="5"/>
        <item sd="0" x="30"/>
        <item sd="0" x="66"/>
        <item sd="0" m="1" x="84"/>
        <item sd="0" m="1" x="88"/>
        <item sd="0" x="12"/>
        <item sd="0" m="1" x="78"/>
        <item sd="0" x="37"/>
        <item sd="0" x="52"/>
        <item sd="0" m="1" x="100"/>
        <item sd="0" x="70"/>
        <item sd="0" m="1" x="101"/>
        <item sd="0" x="44"/>
        <item sd="0" x="43"/>
        <item sd="0" x="45"/>
        <item sd="0" x="46"/>
        <item sd="0" x="20"/>
        <item sd="0" x="21"/>
        <item sd="0" x="1"/>
        <item sd="0" m="1" x="86"/>
        <item sd="0" m="1" x="93"/>
        <item sd="0" m="1" x="94"/>
        <item sd="0" m="1" x="105"/>
        <item sd="0" m="1" x="106"/>
        <item sd="0" m="1" x="80"/>
        <item sd="0" x="7"/>
        <item sd="0" x="61"/>
        <item x="69"/>
        <item sd="0" x="0"/>
        <item sd="0" x="60"/>
        <item sd="0" m="1" x="111"/>
        <item sd="0" x="75"/>
        <item t="default" sd="0"/>
      </items>
    </pivotField>
    <pivotField showAll="0"/>
    <pivotField axis="axisRow" showAll="0" sortType="ascending">
      <items count="92">
        <item m="1" x="60"/>
        <item m="1" x="61"/>
        <item m="1" x="62"/>
        <item m="1" x="63"/>
        <item m="1" x="64"/>
        <item m="1" x="65"/>
        <item m="1" x="66"/>
        <item m="1" x="76"/>
        <item m="1" x="77"/>
        <item m="1" x="73"/>
        <item m="1" x="72"/>
        <item m="1" x="87"/>
        <item m="1" x="67"/>
        <item m="1" x="68"/>
        <item m="1" x="78"/>
        <item m="1" x="79"/>
        <item m="1" x="80"/>
        <item m="1" x="81"/>
        <item m="1" x="82"/>
        <item m="1" x="69"/>
        <item m="1" x="74"/>
        <item m="1" x="83"/>
        <item m="1" x="84"/>
        <item m="1" x="85"/>
        <item m="1" x="86"/>
        <item m="1" x="70"/>
        <item m="1" x="71"/>
        <item m="1" x="75"/>
        <item m="1" x="88"/>
        <item m="1" x="89"/>
        <item m="1" x="90"/>
        <item m="1" x="40"/>
        <item m="1" x="41"/>
        <item m="1" x="42"/>
        <item m="1" x="32"/>
        <item m="1" x="33"/>
        <item m="1" x="43"/>
        <item m="1" x="44"/>
        <item m="1" x="45"/>
        <item m="1" x="46"/>
        <item m="1" x="34"/>
        <item m="1" x="35"/>
        <item m="1" x="47"/>
        <item m="1" x="39"/>
        <item m="1" x="48"/>
        <item m="1" x="49"/>
        <item m="1" x="36"/>
        <item m="1" x="57"/>
        <item m="1" x="58"/>
        <item m="1" x="59"/>
        <item m="1" x="37"/>
        <item m="1" x="50"/>
        <item m="1" x="51"/>
        <item m="1" x="52"/>
        <item m="1" x="53"/>
        <item m="1" x="38"/>
        <item m="1" x="54"/>
        <item m="1" x="55"/>
        <item m="1" x="56"/>
        <item x="0"/>
        <item x="5"/>
        <item x="6"/>
        <item x="7"/>
        <item x="13"/>
        <item x="8"/>
        <item x="1"/>
        <item x="2"/>
        <item x="9"/>
        <item x="10"/>
        <item x="16"/>
        <item x="11"/>
        <item x="12"/>
        <item x="3"/>
        <item x="4"/>
        <item x="14"/>
        <item x="15"/>
        <item x="17"/>
        <item x="18"/>
        <item x="19"/>
        <item x="20"/>
        <item x="21"/>
        <item x="30"/>
        <item x="22"/>
        <item x="23"/>
        <item x="24"/>
        <item x="25"/>
        <item x="26"/>
        <item x="27"/>
        <item x="28"/>
        <item x="29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5"/>
  </rowFields>
  <rowItems count="89">
    <i>
      <x v="2"/>
    </i>
    <i>
      <x v="3"/>
    </i>
    <i>
      <x v="6"/>
    </i>
    <i>
      <x v="7"/>
    </i>
    <i>
      <x v="8"/>
    </i>
    <i>
      <x v="12"/>
    </i>
    <i>
      <x v="13"/>
    </i>
    <i>
      <x v="14"/>
    </i>
    <i>
      <x v="16"/>
    </i>
    <i>
      <x v="17"/>
    </i>
    <i>
      <x v="18"/>
    </i>
    <i>
      <x v="19"/>
    </i>
    <i>
      <x v="21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6"/>
    </i>
    <i>
      <x v="37"/>
    </i>
    <i>
      <x v="38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8"/>
    </i>
    <i>
      <x v="69"/>
    </i>
    <i>
      <x v="73"/>
    </i>
    <i>
      <x v="75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77"/>
    </i>
    <i>
      <x v="78"/>
    </i>
    <i>
      <x v="81"/>
    </i>
    <i>
      <x v="82"/>
    </i>
    <i>
      <x v="83"/>
    </i>
    <i>
      <x v="86"/>
    </i>
    <i>
      <x v="88"/>
    </i>
    <i>
      <x v="89"/>
    </i>
    <i>
      <x v="91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6"/>
    </i>
    <i>
      <x v="107"/>
    </i>
    <i>
      <x v="108"/>
    </i>
    <i r="1">
      <x v="59"/>
    </i>
    <i r="1">
      <x v="65"/>
    </i>
    <i r="1">
      <x v="66"/>
    </i>
    <i>
      <x v="109"/>
    </i>
    <i>
      <x v="110"/>
    </i>
    <i>
      <x v="112"/>
    </i>
    <i t="grand">
      <x/>
    </i>
  </rowItems>
  <colItems count="1">
    <i/>
  </colItems>
  <dataFields count="1">
    <dataField name="加總 - Total Amount" fld="13" baseField="0" baseItem="0"/>
  </dataFields>
  <formats count="3">
    <format dxfId="1170">
      <pivotArea collapsedLevelsAreSubtotals="1" fieldPosition="0">
        <references count="2">
          <reference field="3" count="1" selected="0">
            <x v="13"/>
          </reference>
          <reference field="5" count="1">
            <x v="78"/>
          </reference>
        </references>
      </pivotArea>
    </format>
    <format dxfId="1169">
      <pivotArea collapsedLevelsAreSubtotals="1" fieldPosition="0">
        <references count="2">
          <reference field="3" count="1" selected="0">
            <x v="64"/>
          </reference>
          <reference field="5" count="2">
            <x v="72"/>
            <x v="73"/>
          </reference>
        </references>
      </pivotArea>
    </format>
    <format dxfId="1168">
      <pivotArea dataOnly="0" labelOnly="1" fieldPosition="0">
        <references count="2">
          <reference field="3" count="1" selected="0">
            <x v="64"/>
          </reference>
          <reference field="5" count="2">
            <x v="72"/>
            <x v="7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数据透视表3" cacheId="0" applyNumberFormats="0" applyBorderFormats="0" applyFontFormats="0" applyPatternFormats="0" applyAlignmentFormats="0" applyWidthHeightFormats="1" dataCaption="Values" updatedVersion="5" minRefreshableVersion="3" useAutoFormatting="1" createdVersion="6" indent="0" outline="1" outlineData="1" multipleFieldFilters="0">
  <location ref="A3:B8" firstHeaderRow="1" firstDataRow="1" firstDataCol="1"/>
  <pivotFields count="4">
    <pivotField axis="axisRow" showAll="0">
      <items count="14">
        <item m="1" x="6"/>
        <item m="1" x="4"/>
        <item m="1" x="5"/>
        <item m="1" x="11"/>
        <item m="1" x="8"/>
        <item m="1" x="10"/>
        <item m="1" x="7"/>
        <item m="1" x="12"/>
        <item x="0"/>
        <item m="1" x="9"/>
        <item x="2"/>
        <item x="3"/>
        <item x="1"/>
        <item t="default"/>
      </items>
    </pivotField>
    <pivotField showAll="0" defaultSubtotal="0"/>
    <pivotField dataField="1" showAll="0"/>
    <pivotField showAll="0" defaultSubtotal="0"/>
  </pivotFields>
  <rowFields count="1">
    <field x="0"/>
  </rowFields>
  <rowItems count="5"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求和项:值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2:W5502" totalsRowShown="0" headerRowDxfId="1264" dataDxfId="1263">
  <autoFilter ref="A2:W5502" xr:uid="{00000000-000C-0000-FFFF-FFFF00000000}">
    <filterColumn colId="3">
      <filters>
        <filter val="May C"/>
        <filter val="May C off"/>
      </filters>
    </filterColumn>
  </autoFilter>
  <tableColumns count="23">
    <tableColumn id="1" xr3:uid="{00000000-0010-0000-0000-000001000000}" name="No." dataDxfId="1262"/>
    <tableColumn id="2" xr3:uid="{00000000-0010-0000-0000-000002000000}" name="Shop" dataDxfId="1261"/>
    <tableColumn id="3" xr3:uid="{00000000-0010-0000-0000-000003000000}" name="Location" dataDxfId="1260"/>
    <tableColumn id="4" xr3:uid="{00000000-0010-0000-0000-000004000000}" name="Name" dataDxfId="1259">
      <calculatedColumnFormula>OFFSET(Roster!$A$3,MATCH(表格1[[#This Row],[Location]]&amp;" "&amp;表格1[[#This Row],[Shop]]&amp;"*",Roster!$A$4:$A$72,0),DAY(表格1[[#This Row],[date]]),1,1)</calculatedColumnFormula>
    </tableColumn>
    <tableColumn id="5" xr3:uid="{00000000-0010-0000-0000-000005000000}" name="month" dataDxfId="1258">
      <calculatedColumnFormula>MONTH(表格1[[#This Row],[date]])</calculatedColumnFormula>
    </tableColumn>
    <tableColumn id="6" xr3:uid="{00000000-0010-0000-0000-000006000000}" name="date" dataDxfId="1257"/>
    <tableColumn id="7" xr3:uid="{00000000-0010-0000-0000-000007000000}" name="Model" dataDxfId="1256">
      <calculatedColumnFormula>VLOOKUP("*"&amp;表格1[[#This Row],[Input]]&amp;"*",'Ref-List'!$B:$D,2,)</calculatedColumnFormula>
    </tableColumn>
    <tableColumn id="8" xr3:uid="{00000000-0010-0000-0000-000008000000}" name="Product Line" dataDxfId="1255">
      <calculatedColumnFormula>_xlfn.XLOOKUP(表格1[[#This Row],[Model]],表格3[Model-Input-Ref2],表格3[Product Line])</calculatedColumnFormula>
    </tableColumn>
    <tableColumn id="17" xr3:uid="{00000000-0010-0000-0000-000011000000}" name="大/細電" dataDxfId="1254">
      <calculatedColumnFormula>_xlfn.XLOOKUP(表格1[[#This Row],[Model]],表格3[Model-Input-Ref2],表格3[大小電])</calculatedColumnFormula>
    </tableColumn>
    <tableColumn id="18" xr3:uid="{00000000-0010-0000-0000-000012000000}" name="Catalog" dataDxfId="1253">
      <calculatedColumnFormula>_xlfn.XLOOKUP(表格1[[#This Row],[Model]],表格3[Model-Input-Ref2],表格3[Code])</calculatedColumnFormula>
    </tableColumn>
    <tableColumn id="9" xr3:uid="{00000000-0010-0000-0000-000009000000}" name="Input" dataDxfId="1252"/>
    <tableColumn id="10" xr3:uid="{00000000-0010-0000-0000-00000A000000}" name="QTY" dataDxfId="1251"/>
    <tableColumn id="11" xr3:uid="{00000000-0010-0000-0000-00000B000000}" name="Unit Price" dataDxfId="1250"/>
    <tableColumn id="12" xr3:uid="{00000000-0010-0000-0000-00000C000000}" name="Total Amount" dataDxfId="1249">
      <calculatedColumnFormula>IFERROR(表格1[[#This Row],[QTY]]*表格1[[#This Row],[Unit Price]],"-")</calculatedColumnFormula>
    </tableColumn>
    <tableColumn id="13" xr3:uid="{00000000-0010-0000-0000-00000D000000}" name="inv no" dataDxfId="1248"/>
    <tableColumn id="14" xr3:uid="{00000000-0010-0000-0000-00000E000000}" name="apps report no." dataDxfId="1247"/>
    <tableColumn id="15" xr3:uid="{00000000-0010-0000-0000-00000F000000}" name="remark2" dataDxfId="1246"/>
    <tableColumn id="16" xr3:uid="{00000000-0010-0000-0000-000010000000}" name="Check" dataDxfId="1245">
      <calculatedColumnFormula>_xlfn.CONCAT(表格1[[#This Row],[Model]]," ",表格1[[#This Row],[inv no]])</calculatedColumnFormula>
    </tableColumn>
    <tableColumn id="26" xr3:uid="{67C44ACB-15F1-4672-B665-A746FF103282}" name="SRP" dataDxfId="1244">
      <calculatedColumnFormula>_xlfn.XLOOKUP(表格1[[#This Row],[Model]],表格3[Model-Input-Ref2],表格3[SRP PRICE])</calculatedColumnFormula>
    </tableColumn>
    <tableColumn id="27" xr3:uid="{A1E0E76F-642A-4876-BD6D-A69F7D676AAA}" name="%" dataDxfId="1243" dataCellStyle="百分比">
      <calculatedColumnFormula>表格1[[#This Row],[Unit Price]]/表格1[[#This Row],[SRP]]</calculatedColumnFormula>
    </tableColumn>
    <tableColumn id="28" xr3:uid="{C024FEA4-4851-421D-9998-17B6CF5010C4}" name="欄3" dataDxfId="1242">
      <calculatedColumnFormula>_xlfn.XLOOKUP(表格1[[#This Row],[Model]],表格3[Model-Input-Ref2],表格3[TOSHIBA/HIGHEST])</calculatedColumnFormula>
    </tableColumn>
    <tableColumn id="19" xr3:uid="{ADB67876-E4F6-43D7-AF62-8778716BE159}" name="欄4" dataDxfId="1241"/>
    <tableColumn id="20" xr3:uid="{CA129B9E-3F94-435B-A066-6C35819B83C7}" name="欄5" dataDxfId="1240">
      <calculatedColumnFormula>_xlfn.CONCAT(表格1[[#This Row],[欄4]],表格1[[#This Row],[inv no]])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格2" displayName="表格2" ref="A1:K672" totalsRowShown="0">
  <autoFilter ref="A1:K672" xr:uid="{00000000-0009-0000-0100-000002000000}"/>
  <tableColumns count="11">
    <tableColumn id="1" xr3:uid="{00000000-0010-0000-0100-000001000000}" name="No"/>
    <tableColumn id="2" xr3:uid="{00000000-0010-0000-0100-000002000000}" name="SS dealer" dataDxfId="1239">
      <calculatedColumnFormula>_xlfn.XLOOKUP($A2,表格1[No.],表格1[Shop],"---",0)</calculatedColumnFormula>
    </tableColumn>
    <tableColumn id="3" xr3:uid="{00000000-0010-0000-0100-000003000000}" name="SS Store" dataDxfId="1238">
      <calculatedColumnFormula>_xlfn.XLOOKUP($A2,表格1[No.],表格1[Location],"---",0)</calculatedColumnFormula>
    </tableColumn>
    <tableColumn id="4" xr3:uid="{00000000-0010-0000-0100-000004000000}" name="SS Account" dataDxfId="1237">
      <calculatedColumnFormula>_xlfn.XLOOKUP($A2,表格1[No.],表格1[Name],"---",0)</calculatedColumnFormula>
    </tableColumn>
    <tableColumn id="5" xr3:uid="{00000000-0010-0000-0100-000005000000}" name="欄14" dataDxfId="1236">
      <calculatedColumnFormula>_xlfn.XLOOKUP($A2,表格1[No.],表格1[month],"---",0)</calculatedColumnFormula>
    </tableColumn>
    <tableColumn id="6" xr3:uid="{00000000-0010-0000-0100-000006000000}" name="SS Date" dataDxfId="1235">
      <calculatedColumnFormula>_xlfn.XLOOKUP($A2,表格1[No.],表格1[date],"---",0)</calculatedColumnFormula>
    </tableColumn>
    <tableColumn id="7" xr3:uid="{00000000-0010-0000-0100-000007000000}" name="SS Model" dataDxfId="1234">
      <calculatedColumnFormula>_xlfn.XLOOKUP($A2,表格1[No.],表格1[Model],"---",0)</calculatedColumnFormula>
    </tableColumn>
    <tableColumn id="8" xr3:uid="{00000000-0010-0000-0100-000008000000}" name="SS QTY" dataDxfId="1233">
      <calculatedColumnFormula>_xlfn.XLOOKUP($A2,表格1[No.],表格1[QTY],"---",0)</calculatedColumnFormula>
    </tableColumn>
    <tableColumn id="9" xr3:uid="{00000000-0010-0000-0100-000009000000}" name="SS Price" dataDxfId="1232">
      <calculatedColumnFormula>_xlfn.XLOOKUP($A2,表格1[No.],表格1[Unit Price],"---",0)</calculatedColumnFormula>
    </tableColumn>
    <tableColumn id="10" xr3:uid="{00000000-0010-0000-0100-00000A000000}" name="SS Inv+remark" dataDxfId="1231">
      <calculatedColumnFormula>_xlfn.XLOOKUP($A2,表格1[No.],表格1[inv no],"---",0)</calculatedColumnFormula>
    </tableColumn>
    <tableColumn id="11" xr3:uid="{00000000-0010-0000-0100-00000B000000}" name="appsremark" dataDxfId="1230">
      <calculatedColumnFormula>_xlfn.XLOOKUP($A2,表格1[No.],表格1[apps report no.],"---",0)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454660-5FEB-4E99-9AFA-5E31D7E8AD54}" name="target" displayName="target" ref="A4:R41" totalsRowShown="0" headerRowDxfId="1229" headerRowBorderDxfId="1228" tableBorderDxfId="1227" totalsRowBorderDxfId="1226">
  <autoFilter ref="A4:R41" xr:uid="{D3454660-5FEB-4E99-9AFA-5E31D7E8AD54}"/>
  <tableColumns count="18">
    <tableColumn id="1" xr3:uid="{C3E8EB3D-16C3-4292-993B-3202036E5D9D}" name="NAME" dataDxfId="1225"/>
    <tableColumn id="11" xr3:uid="{49E3D525-1386-4949-8293-EF478AF59E6C}" name="Shop" dataDxfId="1224"/>
    <tableColumn id="2" xr3:uid="{2BD0DD33-CE45-40DA-88F3-498AD8386E0E}" name="RC-DS10K/18K" dataDxfId="1223"/>
    <tableColumn id="3" xr3:uid="{8996BCD3-701F-47AE-A40E-6C05E9FE3A5E}" name="RC-18AMXH(W)" dataDxfId="1222"/>
    <tableColumn id="23" xr3:uid="{392441D9-5C00-446C-AAE3-DAB15DBF8508}" name="EB-T500APW" dataDxfId="1221"/>
    <tableColumn id="4" xr3:uid="{3DA63168-7DE3-4D6A-B9F3-51B51CF770A9}" name="ER-VD7000HK(XK)" dataDxfId="1220"/>
    <tableColumn id="6" xr3:uid="{74D8BAC4-B5FD-48C2-AA5F-6110010D3903}" name="TWDT21BU95" dataDxfId="1219"/>
    <tableColumn id="5" xr3:uid="{76934971-45B8-448F-9CA0-60B4DF3F4636}" name="AW-Q800APH(WW)" dataDxfId="1218"/>
    <tableColumn id="10" xr3:uid="{D44101B4-BAEB-4099-8825-951548CA0654}" name="AW-Q801APH(WW)" dataDxfId="1217"/>
    <tableColumn id="20" xr3:uid="{4D2B119A-3AAB-4F73-A124-16961771E1B6}" name="GR-RM469WE-PGA(B3)" dataDxfId="1216"/>
    <tableColumn id="19" xr3:uid="{023A84EC-D665-43CE-8894-8F1E6C58587C}" name="GR-RB449WE-PMA(57)" dataDxfId="1215"/>
    <tableColumn id="18" xr3:uid="{4FFD8DCF-E3AF-42C1-9561-2763F4F46274}" name="GR-RB410WE-PMA(06)" dataDxfId="1214"/>
    <tableColumn id="22" xr3:uid="{E90FABAC-F041-4A47-A15C-973D4F5C7341}" name="GR-RF698WI" dataDxfId="1213"/>
    <tableColumn id="9" xr3:uid="{FE04F18D-8A3B-458D-A693-D71176632B2E}" name="TWP-W2265THK(W)" dataDxfId="1212"/>
    <tableColumn id="13" xr3:uid="{87D892B6-8CD5-4A8F-85D7-263857BDEB84}" name="RAD-D200/250/300/DIA17" dataDxfId="1211"/>
    <tableColumn id="12" xr3:uid="{F0A42803-591C-4DF0-AD20-10F246EDB388}" name="(Fortress ONLY)TW-T25BZU115MWH(MG) " dataDxfId="1210"/>
    <tableColumn id="14" xr3:uid="{0E6EA064-73BC-4A59-AC35-AED736757313}" name="開門紅(三月)" dataDxfId="1209"/>
    <tableColumn id="15" xr3:uid="{4294546A-9C4C-4EBD-A649-D090C0F4AF88}" name="開門紅(第一季)" dataDxfId="1208">
      <calculatedColumnFormula>_xlfn.XLOOKUP(target[[#This Row],[NAME]],$U$31:$U$52,$W$31:$W$52)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DB8761-E46C-4EFC-AC96-BB11ED9C7B2A}" name="表格6" displayName="表格6" ref="A2:B62" totalsRowShown="0">
  <autoFilter ref="A2:B62" xr:uid="{CBDB8761-E46C-4EFC-AC96-BB11ED9C7B2A}"/>
  <tableColumns count="2">
    <tableColumn id="1" xr3:uid="{71FDFFB4-74C2-4F98-9409-4B49AB8B6718}" name="Name"/>
    <tableColumn id="2" xr3:uid="{49ADED88-1785-44EF-938A-E1F973BD28B5}" name="Full Name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09A2EB-7C16-4324-B17C-21389135A4EC}" name="表格3" displayName="表格3" ref="A1:K332" totalsRowShown="0" headerRowDxfId="1207" dataDxfId="1206">
  <autoFilter ref="A1:K332" xr:uid="{9809A2EB-7C16-4324-B17C-21389135A4EC}"/>
  <tableColumns count="11">
    <tableColumn id="1" xr3:uid="{280F66DC-A642-43FF-8EFD-95A4A605722D}" name="欄1" dataDxfId="1205"/>
    <tableColumn id="2" xr3:uid="{229A2A3E-7634-4E70-A5BD-8B67FF177999}" name="Model-Input-Ref1" dataDxfId="1204"/>
    <tableColumn id="3" xr3:uid="{34F07846-0E30-4601-BC95-538B449560E9}" name="Model-Input-Ref2" dataDxfId="1203"/>
    <tableColumn id="4" xr3:uid="{77AE2A17-17D1-4ED1-A0FC-D72B42424598}" name="Report-Model-List" dataDxfId="1202"/>
    <tableColumn id="5" xr3:uid="{CEC9BA92-025F-450A-8B9A-D9AABEA62905}" name="Product Line" dataDxfId="1201"/>
    <tableColumn id="6" xr3:uid="{8D32B922-20A9-4EBB-AA88-8E8A2B8C78EC}" name="SRP PRICE" dataDxfId="1200"/>
    <tableColumn id="7" xr3:uid="{F400E3F4-D56F-4280-B754-85D7AB22D579}" name="TOSHIBA/HIGHEST" dataDxfId="1199"/>
    <tableColumn id="8" xr3:uid="{7B762178-1C92-4138-90A3-761C23A1FA3F}" name="OLD PRICE" dataDxfId="1198"/>
    <tableColumn id="9" xr3:uid="{71760C18-8228-45B0-BE20-7E77C3F0C245}" name="OLD SPR" dataDxfId="1197"/>
    <tableColumn id="10" xr3:uid="{1F375FAB-31FE-46A8-9622-746F3D10A0C4}" name="大小電" dataDxfId="1196"/>
    <tableColumn id="11" xr3:uid="{E800C23E-64CE-4D30-9869-91E3516A2794}" name="Code" dataDxfId="11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8D928C-5020-45DE-AC35-7A93DE56C07B}" name="表格4" displayName="表格4" ref="A2:G60" totalsRowShown="0" headerRowDxfId="1194" dataDxfId="1193">
  <autoFilter ref="A2:G60" xr:uid="{588D928C-5020-45DE-AC35-7A93DE56C07B}">
    <filterColumn colId="1">
      <filters>
        <filter val="no"/>
      </filters>
    </filterColumn>
    <filterColumn colId="2">
      <filters>
        <filter val="S"/>
      </filters>
    </filterColumn>
  </autoFilter>
  <sortState xmlns:xlrd2="http://schemas.microsoft.com/office/spreadsheetml/2017/richdata2" ref="A3:G60">
    <sortCondition ref="A2:A60"/>
  </sortState>
  <tableColumns count="7">
    <tableColumn id="1" xr3:uid="{DF0DB213-D1CA-4E61-87A0-F91225E280FC}" name="No"/>
    <tableColumn id="2" xr3:uid="{16DA902A-6FF7-45CB-85D1-CE17C45780AE}" name="CNY" dataDxfId="1192"/>
    <tableColumn id="3" xr3:uid="{227E6B6F-0A19-45CC-BBA2-976D398A2BBD}" name="BS" dataDxfId="1191"/>
    <tableColumn id="7" xr3:uid="{0ED5CC67-6F67-4389-B9AF-046E43FF8636}" name="Full model" dataDxfId="1190"/>
    <tableColumn id="4" xr3:uid="{2C5814B8-8F5B-4CD4-88C8-FC9DB33B71C1}" name="Model" dataDxfId="1189"/>
    <tableColumn id="5" xr3:uid="{2E6EC657-7CA7-4F82-B7D5-90817B912EF0}" name="Qty"/>
    <tableColumn id="6" xr3:uid="{C39BCFE1-A0DF-43C1-8456-85789D7CF53F}" name="Total Am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507677-8138-483C-8D7C-6FEC0B4BF4DD}" name="表格5" displayName="表格5" ref="A2:F130" totalsRowShown="0" headerRowDxfId="1173">
  <autoFilter ref="A2:F130" xr:uid="{A1507677-8138-483C-8D7C-6FEC0B4BF4DD}"/>
  <tableColumns count="6">
    <tableColumn id="1" xr3:uid="{F490C5A1-C157-4692-9E1D-02DDA1DA4A54}" name="NO"/>
    <tableColumn id="2" xr3:uid="{297B3C84-C920-4ED7-895E-BE72038DA654}" name="Date" dataDxfId="1172"/>
    <tableColumn id="3" xr3:uid="{8A2D1CAB-7B6C-4E4B-A9CC-86FFFCF0557A}" name="Model"/>
    <tableColumn id="4" xr3:uid="{4DE67165-6360-468B-AD1B-0C24A1DAD4B4}" name="Qty"/>
    <tableColumn id="5" xr3:uid="{54FD1426-20A5-4A78-B843-64160DEB1313}" name="Unit price"/>
    <tableColumn id="6" xr3:uid="{027D8A06-59A5-49D8-BFA3-F3AE435233A5}" name="欄1" dataDxfId="1171">
      <calculatedColumnFormula>表格5[[#This Row],[Qty]]*表格5[[#This Row],[Unit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1" dT="2026-04-06T10:58:16.01" personId="{100E788E-1F92-479B-B21A-87B0093D879F}" id="{68EA9A5D-E14F-4DBC-92E2-9CBA0EEC164C}">
    <text>12:00-15:00</text>
  </threadedComment>
  <threadedComment ref="F21" dT="2026-04-06T10:58:28.66" personId="{100E788E-1F92-479B-B21A-87B0093D879F}" id="{C5745DE7-F969-451B-A20E-54FFC0F74291}">
    <text>12:00-19:00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73"/>
  <sheetViews>
    <sheetView tabSelected="1" zoomScale="85" zoomScaleNormal="85" workbookViewId="0">
      <pane xSplit="1" ySplit="4" topLeftCell="G47" activePane="bottomRight" state="frozen"/>
      <selection pane="topRight" activeCell="B1" sqref="B1"/>
      <selection pane="bottomLeft" activeCell="A5" sqref="A5"/>
      <selection pane="bottomRight" activeCell="Q63" sqref="Q63"/>
    </sheetView>
  </sheetViews>
  <sheetFormatPr defaultColWidth="9" defaultRowHeight="16.5"/>
  <cols>
    <col min="1" max="1" width="32.85546875" style="20" customWidth="1"/>
    <col min="2" max="32" width="11" style="70" customWidth="1"/>
    <col min="33" max="33" width="9.140625" style="20" customWidth="1"/>
    <col min="34" max="34" width="12.140625" style="20" customWidth="1"/>
    <col min="35" max="35" width="17.7109375" style="20" customWidth="1"/>
    <col min="36" max="36" width="21.28515625" style="20" customWidth="1"/>
    <col min="37" max="37" width="9.5703125" style="20" bestFit="1" customWidth="1"/>
    <col min="38" max="38" width="9.7109375" style="20" customWidth="1"/>
    <col min="39" max="39" width="11.85546875" style="124" customWidth="1"/>
    <col min="40" max="43" width="9" style="20"/>
    <col min="44" max="44" width="10.28515625" style="20" bestFit="1" customWidth="1"/>
    <col min="45" max="16384" width="9" style="20"/>
  </cols>
  <sheetData>
    <row r="1" spans="1:40">
      <c r="A1" s="61">
        <v>2026</v>
      </c>
      <c r="B1" s="67"/>
      <c r="C1" s="67"/>
      <c r="D1" s="67"/>
      <c r="E1" s="67"/>
      <c r="F1" s="67" t="s">
        <v>0</v>
      </c>
      <c r="G1" s="67" t="s">
        <v>1</v>
      </c>
      <c r="H1" s="67" t="s">
        <v>2</v>
      </c>
      <c r="I1" s="67" t="s">
        <v>3</v>
      </c>
      <c r="J1" s="67" t="s">
        <v>4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21"/>
      <c r="AH1" s="21"/>
    </row>
    <row r="2" spans="1:40" s="18" customFormat="1">
      <c r="A2" s="61">
        <v>3</v>
      </c>
      <c r="B2" s="67"/>
      <c r="C2" s="67"/>
      <c r="D2" s="68"/>
      <c r="E2" s="67"/>
      <c r="F2" s="67" t="s">
        <v>0</v>
      </c>
      <c r="G2" s="67" t="s">
        <v>1</v>
      </c>
      <c r="H2" s="67" t="s">
        <v>2</v>
      </c>
      <c r="I2" s="67" t="s">
        <v>3</v>
      </c>
      <c r="J2" s="67" t="s">
        <v>4</v>
      </c>
      <c r="K2" s="67"/>
      <c r="L2" s="67"/>
      <c r="M2" s="67"/>
      <c r="N2" s="67"/>
      <c r="O2" s="68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23"/>
      <c r="AH2" s="23">
        <f>+AH3*60</f>
        <v>314550</v>
      </c>
      <c r="AM2" s="125"/>
    </row>
    <row r="3" spans="1:40" s="19" customFormat="1">
      <c r="A3" s="62"/>
      <c r="B3" s="112" t="str">
        <f>TEXT($A$1&amp;"/"&amp;$A$2&amp;"/"&amp;B4,"ddd")</f>
        <v>Sun</v>
      </c>
      <c r="C3" s="69" t="str">
        <f t="shared" ref="C3:AF3" si="0">TEXT($A$1&amp;"/"&amp;$A$2&amp;"/"&amp;C4,"ddd")</f>
        <v>Mon</v>
      </c>
      <c r="D3" s="69" t="str">
        <f t="shared" si="0"/>
        <v>Tue</v>
      </c>
      <c r="E3" s="69" t="str">
        <f t="shared" si="0"/>
        <v>Wed</v>
      </c>
      <c r="F3" s="69" t="str">
        <f t="shared" si="0"/>
        <v>Thu</v>
      </c>
      <c r="G3" s="69" t="str">
        <f t="shared" si="0"/>
        <v>Fri</v>
      </c>
      <c r="H3" s="112" t="str">
        <f t="shared" si="0"/>
        <v>Sat</v>
      </c>
      <c r="I3" s="112" t="str">
        <f t="shared" si="0"/>
        <v>Sun</v>
      </c>
      <c r="J3" s="69" t="str">
        <f t="shared" si="0"/>
        <v>Mon</v>
      </c>
      <c r="K3" s="69" t="str">
        <f t="shared" si="0"/>
        <v>Tue</v>
      </c>
      <c r="L3" s="69" t="str">
        <f t="shared" si="0"/>
        <v>Wed</v>
      </c>
      <c r="M3" s="69" t="str">
        <f t="shared" si="0"/>
        <v>Thu</v>
      </c>
      <c r="N3" s="69" t="str">
        <f t="shared" si="0"/>
        <v>Fri</v>
      </c>
      <c r="O3" s="112" t="str">
        <f t="shared" si="0"/>
        <v>Sat</v>
      </c>
      <c r="P3" s="112" t="str">
        <f t="shared" si="0"/>
        <v>Sun</v>
      </c>
      <c r="Q3" s="69" t="str">
        <f t="shared" si="0"/>
        <v>Mon</v>
      </c>
      <c r="R3" s="69" t="str">
        <f t="shared" si="0"/>
        <v>Tue</v>
      </c>
      <c r="S3" s="69" t="str">
        <f t="shared" si="0"/>
        <v>Wed</v>
      </c>
      <c r="T3" s="69" t="str">
        <f t="shared" si="0"/>
        <v>Thu</v>
      </c>
      <c r="U3" s="69" t="str">
        <f t="shared" si="0"/>
        <v>Fri</v>
      </c>
      <c r="V3" s="112" t="str">
        <f t="shared" si="0"/>
        <v>Sat</v>
      </c>
      <c r="W3" s="112" t="str">
        <f t="shared" si="0"/>
        <v>Sun</v>
      </c>
      <c r="X3" s="69" t="str">
        <f t="shared" si="0"/>
        <v>Mon</v>
      </c>
      <c r="Y3" s="69" t="str">
        <f t="shared" si="0"/>
        <v>Tue</v>
      </c>
      <c r="Z3" s="69" t="str">
        <f t="shared" si="0"/>
        <v>Wed</v>
      </c>
      <c r="AA3" s="69" t="str">
        <f t="shared" si="0"/>
        <v>Thu</v>
      </c>
      <c r="AB3" s="69" t="str">
        <f t="shared" si="0"/>
        <v>Fri</v>
      </c>
      <c r="AC3" s="112" t="str">
        <f t="shared" si="0"/>
        <v>Sat</v>
      </c>
      <c r="AD3" s="112" t="str">
        <f t="shared" si="0"/>
        <v>Sun</v>
      </c>
      <c r="AE3" s="69" t="str">
        <f t="shared" si="0"/>
        <v>Mon</v>
      </c>
      <c r="AF3" s="69" t="str">
        <f t="shared" si="0"/>
        <v>Tue</v>
      </c>
      <c r="AG3" s="24">
        <f>SUM(AG5:AG69)</f>
        <v>652</v>
      </c>
      <c r="AH3" s="127">
        <f>SUM(AH5:AH69)</f>
        <v>5242.5</v>
      </c>
      <c r="AM3" s="126"/>
    </row>
    <row r="4" spans="1:40">
      <c r="A4" s="22"/>
      <c r="B4" s="112">
        <v>1</v>
      </c>
      <c r="C4" s="69">
        <v>2</v>
      </c>
      <c r="D4" s="69">
        <v>3</v>
      </c>
      <c r="E4" s="69">
        <v>4</v>
      </c>
      <c r="F4" s="69">
        <v>5</v>
      </c>
      <c r="G4" s="69">
        <v>6</v>
      </c>
      <c r="H4" s="112">
        <v>7</v>
      </c>
      <c r="I4" s="112">
        <v>8</v>
      </c>
      <c r="J4" s="69">
        <v>9</v>
      </c>
      <c r="K4" s="69">
        <v>10</v>
      </c>
      <c r="L4" s="69">
        <v>11</v>
      </c>
      <c r="M4" s="69">
        <v>12</v>
      </c>
      <c r="N4" s="69">
        <v>13</v>
      </c>
      <c r="O4" s="112">
        <v>14</v>
      </c>
      <c r="P4" s="112">
        <v>15</v>
      </c>
      <c r="Q4" s="69">
        <v>16</v>
      </c>
      <c r="R4" s="69">
        <v>17</v>
      </c>
      <c r="S4" s="69">
        <v>18</v>
      </c>
      <c r="T4" s="69">
        <v>19</v>
      </c>
      <c r="U4" s="69">
        <v>20</v>
      </c>
      <c r="V4" s="112">
        <v>21</v>
      </c>
      <c r="W4" s="112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112">
        <v>28</v>
      </c>
      <c r="AD4" s="112">
        <v>29</v>
      </c>
      <c r="AE4" s="69">
        <v>30</v>
      </c>
      <c r="AF4" s="69">
        <v>31</v>
      </c>
      <c r="AG4" s="25"/>
      <c r="AH4" s="55"/>
      <c r="AI4" s="20" t="s">
        <v>1093</v>
      </c>
      <c r="AJ4" s="20" t="s">
        <v>1094</v>
      </c>
      <c r="AK4" s="20" t="s">
        <v>1092</v>
      </c>
      <c r="AL4" s="20" t="s">
        <v>1090</v>
      </c>
      <c r="AM4" s="124" t="s">
        <v>1091</v>
      </c>
    </row>
    <row r="5" spans="1:40">
      <c r="A5" s="170" t="s">
        <v>907</v>
      </c>
      <c r="B5" s="151" t="s">
        <v>983</v>
      </c>
      <c r="C5" s="151" t="s">
        <v>983</v>
      </c>
      <c r="D5" s="151" t="s">
        <v>983</v>
      </c>
      <c r="E5" s="151" t="s">
        <v>1971</v>
      </c>
      <c r="F5" s="151" t="s">
        <v>983</v>
      </c>
      <c r="G5" s="151" t="s">
        <v>983</v>
      </c>
      <c r="H5" s="151" t="s">
        <v>983</v>
      </c>
      <c r="I5" s="151" t="s">
        <v>983</v>
      </c>
      <c r="J5" s="151" t="s">
        <v>1971</v>
      </c>
      <c r="K5" s="151" t="s">
        <v>983</v>
      </c>
      <c r="L5" s="151" t="s">
        <v>983</v>
      </c>
      <c r="M5" s="151" t="s">
        <v>983</v>
      </c>
      <c r="N5" s="151" t="s">
        <v>983</v>
      </c>
      <c r="O5" s="151" t="s">
        <v>1971</v>
      </c>
      <c r="P5" s="151" t="s">
        <v>983</v>
      </c>
      <c r="Q5" s="151" t="s">
        <v>983</v>
      </c>
      <c r="R5" s="151" t="s">
        <v>983</v>
      </c>
      <c r="S5" s="151" t="s">
        <v>1971</v>
      </c>
      <c r="T5" s="151" t="s">
        <v>1971</v>
      </c>
      <c r="U5" s="151" t="s">
        <v>983</v>
      </c>
      <c r="V5" s="151" t="s">
        <v>983</v>
      </c>
      <c r="W5" s="151" t="s">
        <v>983</v>
      </c>
      <c r="X5" s="151" t="s">
        <v>983</v>
      </c>
      <c r="Y5" s="151" t="s">
        <v>1971</v>
      </c>
      <c r="Z5" s="151" t="s">
        <v>1971</v>
      </c>
      <c r="AA5" s="151" t="s">
        <v>983</v>
      </c>
      <c r="AB5" s="151" t="s">
        <v>983</v>
      </c>
      <c r="AC5" s="151" t="s">
        <v>983</v>
      </c>
      <c r="AD5" s="151" t="s">
        <v>983</v>
      </c>
      <c r="AE5" s="151" t="s">
        <v>1971</v>
      </c>
      <c r="AF5" s="151" t="s">
        <v>1971</v>
      </c>
      <c r="AG5" s="25">
        <f t="shared" ref="AG5" si="1">COUNTA(B5:AF5)-COUNTIF(B5:AF5,"."&amp;"*")-COUNTIF(B5:AF5,"off")-COUNTIF(B5:AF5,"SL"&amp;" "&amp;"*")-COUNTIF(B5:AF5,"PH"&amp;" "&amp;"*")-COUNTIF(B5:AF5,"AL"&amp;" "&amp;"*")-COUNTIF(B5:AF5,"CL"&amp;" "&amp;"*")-COUNTIF(B5:AF5,"Typhoon"&amp;" "&amp;"*")-COUNTIF(B5:AF5,"*"&amp;"off")-COUNTIF(B5:AF5," "&amp;"*")</f>
        <v>22</v>
      </c>
      <c r="AH5" s="55">
        <f t="shared" ref="AH5" si="2">AG5*8</f>
        <v>176</v>
      </c>
      <c r="AI5" s="20" t="str" cm="1">
        <f t="array" ref="AI5">_xlfn.LET(
    _xlpm.data, B5:AF5,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May C</v>
      </c>
      <c r="AJ5" s="20" t="str" cm="1">
        <f t="array" ref="AJ5">_xlfn._xlws.FILTER(表格6[Full Name],(表格6[Name]=AI5)+(表格6[Name]&amp;"_1"=AI5)+(表格6[Name]&amp;"_2"=AI5)+(表格6[Name]&amp;"_3"=AI5)+(表格6[Name]&amp;"_4"=AI5)+(表格6[Name]&amp;"_5"=AI5))</f>
        <v>Cheng Muk Kiu</v>
      </c>
      <c r="AK5" s="20" cm="1">
        <f t="array" ref="AK5">_xlfn._xlws.FILTER(三國演義!$C$13:$C$80,三國演義!$E$13:$E$80=Roster!AI5)</f>
        <v>1</v>
      </c>
      <c r="AL5" s="20">
        <v>55</v>
      </c>
      <c r="AM5" s="124">
        <v>30</v>
      </c>
      <c r="AN5" s="133">
        <v>0.02</v>
      </c>
    </row>
    <row r="6" spans="1:40">
      <c r="A6" s="170" t="s">
        <v>1311</v>
      </c>
      <c r="B6" s="151" t="s">
        <v>1211</v>
      </c>
      <c r="C6" s="151" t="s">
        <v>770</v>
      </c>
      <c r="D6" s="151" t="s">
        <v>770</v>
      </c>
      <c r="E6" s="151" t="s">
        <v>770</v>
      </c>
      <c r="F6" s="151" t="s">
        <v>770</v>
      </c>
      <c r="G6" s="151" t="s">
        <v>770</v>
      </c>
      <c r="H6" s="151" t="s">
        <v>770</v>
      </c>
      <c r="I6" s="151" t="s">
        <v>770</v>
      </c>
      <c r="J6" s="151" t="s">
        <v>770</v>
      </c>
      <c r="K6" s="151" t="s">
        <v>770</v>
      </c>
      <c r="L6" s="151" t="s">
        <v>770</v>
      </c>
      <c r="M6" s="151" t="s">
        <v>770</v>
      </c>
      <c r="N6" s="151" t="s">
        <v>770</v>
      </c>
      <c r="O6" s="151" t="s">
        <v>1211</v>
      </c>
      <c r="P6" s="151" t="s">
        <v>1211</v>
      </c>
      <c r="Q6" s="151" t="s">
        <v>770</v>
      </c>
      <c r="R6" s="151" t="s">
        <v>770</v>
      </c>
      <c r="S6" s="151" t="s">
        <v>770</v>
      </c>
      <c r="T6" s="151" t="s">
        <v>770</v>
      </c>
      <c r="U6" s="151" t="s">
        <v>770</v>
      </c>
      <c r="V6" s="151" t="s">
        <v>1211</v>
      </c>
      <c r="W6" s="151" t="s">
        <v>1211</v>
      </c>
      <c r="X6" s="151" t="s">
        <v>770</v>
      </c>
      <c r="Y6" s="151" t="s">
        <v>770</v>
      </c>
      <c r="Z6" s="151" t="s">
        <v>1211</v>
      </c>
      <c r="AA6" s="151" t="s">
        <v>770</v>
      </c>
      <c r="AB6" s="151" t="s">
        <v>770</v>
      </c>
      <c r="AC6" s="151" t="s">
        <v>1211</v>
      </c>
      <c r="AD6" s="151" t="s">
        <v>770</v>
      </c>
      <c r="AE6" s="151" t="s">
        <v>770</v>
      </c>
      <c r="AF6" s="151" t="s">
        <v>770</v>
      </c>
      <c r="AG6" s="25">
        <f t="shared" ref="AG6" si="3">COUNTA(B6:AF6)-COUNTIF(B6:AF6,"."&amp;"*")-COUNTIF(B6:AF6,"off")-COUNTIF(B6:AF6,"SL"&amp;" "&amp;"*")-COUNTIF(B6:AF6,"PH"&amp;" "&amp;"*")-COUNTIF(B6:AF6,"AL"&amp;" "&amp;"*")-COUNTIF(B6:AF6,"CL"&amp;" "&amp;"*")-COUNTIF(B6:AF6,"Typhoon"&amp;" "&amp;"*")-COUNTIF(B6:AF6,"*"&amp;"off")-COUNTIF(B6:AF6," "&amp;"*")</f>
        <v>7</v>
      </c>
      <c r="AH6" s="55">
        <f t="shared" ref="AH6" si="4">AG6*8</f>
        <v>56</v>
      </c>
      <c r="AI6" s="20" t="str" cm="1">
        <f t="array" ref="AI6">_xlfn.LET(
    _xlpm.data, B6:AF6,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Ivy Wong_1</v>
      </c>
      <c r="AJ6" s="20" t="str" cm="1">
        <f t="array" ref="AJ6">_xlfn._xlws.FILTER(表格6[Full Name],(表格6[Name]=AI6)+(表格6[Name]&amp;"_1"=AI6)+(表格6[Name]&amp;"_2"=AI6)+(表格6[Name]&amp;"_3"=AI6)+(表格6[Name]&amp;"_4"=AI6)+(表格6[Name]&amp;"_5"=AI6))</f>
        <v>Wong Wai Chu</v>
      </c>
      <c r="AK6" s="20" cm="1">
        <f t="array" ref="AK6">_xlfn._xlws.FILTER(三國演義!$C$13:$C$80,三國演義!$E$13:$E$80=Roster!AI6)</f>
        <v>2</v>
      </c>
      <c r="AL6" s="20">
        <v>60</v>
      </c>
      <c r="AM6" s="124">
        <v>0</v>
      </c>
      <c r="AN6" s="133">
        <v>0.02</v>
      </c>
    </row>
    <row r="7" spans="1:40">
      <c r="A7" s="170" t="s">
        <v>1568</v>
      </c>
      <c r="B7" s="80" t="s">
        <v>1302</v>
      </c>
      <c r="C7" s="80" t="s">
        <v>1302</v>
      </c>
      <c r="D7" s="80" t="s">
        <v>1302</v>
      </c>
      <c r="E7" s="80" t="s">
        <v>1302</v>
      </c>
      <c r="F7" s="80" t="s">
        <v>1302</v>
      </c>
      <c r="G7" s="80" t="s">
        <v>1302</v>
      </c>
      <c r="H7" s="151" t="s">
        <v>1414</v>
      </c>
      <c r="I7" s="151" t="s">
        <v>1414</v>
      </c>
      <c r="J7" s="80" t="s">
        <v>1302</v>
      </c>
      <c r="K7" s="80" t="s">
        <v>1302</v>
      </c>
      <c r="L7" s="80" t="s">
        <v>1302</v>
      </c>
      <c r="M7" s="80" t="s">
        <v>1302</v>
      </c>
      <c r="N7" s="80" t="s">
        <v>1302</v>
      </c>
      <c r="O7" s="80" t="s">
        <v>1302</v>
      </c>
      <c r="P7" s="80" t="s">
        <v>1302</v>
      </c>
      <c r="Q7" s="80" t="s">
        <v>1302</v>
      </c>
      <c r="R7" s="80" t="s">
        <v>1302</v>
      </c>
      <c r="S7" s="80" t="s">
        <v>1302</v>
      </c>
      <c r="T7" s="80" t="s">
        <v>1302</v>
      </c>
      <c r="U7" s="80" t="s">
        <v>1302</v>
      </c>
      <c r="V7" s="80" t="s">
        <v>1302</v>
      </c>
      <c r="W7" s="80" t="s">
        <v>1302</v>
      </c>
      <c r="X7" s="80" t="s">
        <v>1302</v>
      </c>
      <c r="Y7" s="80" t="s">
        <v>1302</v>
      </c>
      <c r="Z7" s="80" t="s">
        <v>1302</v>
      </c>
      <c r="AA7" s="80" t="s">
        <v>1302</v>
      </c>
      <c r="AB7" s="80" t="s">
        <v>1302</v>
      </c>
      <c r="AC7" s="80" t="s">
        <v>1302</v>
      </c>
      <c r="AD7" s="80" t="s">
        <v>1302</v>
      </c>
      <c r="AE7" s="80" t="s">
        <v>1302</v>
      </c>
      <c r="AF7" s="80" t="s">
        <v>1302</v>
      </c>
      <c r="AG7" s="25">
        <f t="shared" ref="AG7:AG8" si="5">COUNTA(B7:AF7)-COUNTIF(B7:AF7,"."&amp;"*")-COUNTIF(B7:AF7,"off")-COUNTIF(B7:AF7,"SL"&amp;" "&amp;"*")-COUNTIF(B7:AF7,"PH"&amp;" "&amp;"*")-COUNTIF(B7:AF7,"AL"&amp;" "&amp;"*")-COUNTIF(B7:AF7,"CL"&amp;" "&amp;"*")-COUNTIF(B7:AF7,"Typhoon"&amp;" "&amp;"*")-COUNTIF(B7:AF7,"*"&amp;"off")-COUNTIF(B7:AF7," "&amp;"*")</f>
        <v>2</v>
      </c>
      <c r="AH7" s="55">
        <f t="shared" ref="AH7:AH8" si="6">AG7*8</f>
        <v>16</v>
      </c>
      <c r="AI7" s="20" t="str" cm="1">
        <f t="array" ref="AI7">_xlfn.LET(
    _xlpm.data, B7:AF7,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Kit_3</v>
      </c>
      <c r="AJ7" s="20" t="str" cm="1">
        <f t="array" ref="AJ7">_xlfn._xlws.FILTER(表格6[Full Name],(表格6[Name]=AI7)+(表格6[Name]&amp;"_1"=AI7)+(表格6[Name]&amp;"_2"=AI7)+(表格6[Name]&amp;"_3"=AI7)+(表格6[Name]&amp;"_4"=AI7)+(表格6[Name]&amp;"_5"=AI7))</f>
        <v>Li Wenjie</v>
      </c>
      <c r="AK7" s="20" cm="1">
        <f t="array" ref="AK7">_xlfn._xlws.FILTER(三國演義!$C$13:$C$80,三國演義!$E$13:$E$80=Roster!AI7)</f>
        <v>3</v>
      </c>
      <c r="AL7" s="20">
        <v>60</v>
      </c>
      <c r="AN7" s="133"/>
    </row>
    <row r="8" spans="1:40">
      <c r="A8" s="170" t="s">
        <v>984</v>
      </c>
      <c r="B8" s="151" t="s">
        <v>993</v>
      </c>
      <c r="C8" s="151" t="s">
        <v>993</v>
      </c>
      <c r="D8" s="151" t="s">
        <v>1467</v>
      </c>
      <c r="E8" s="151" t="s">
        <v>993</v>
      </c>
      <c r="F8" s="151" t="s">
        <v>1467</v>
      </c>
      <c r="G8" s="151" t="s">
        <v>993</v>
      </c>
      <c r="H8" s="151" t="s">
        <v>993</v>
      </c>
      <c r="I8" s="151" t="s">
        <v>993</v>
      </c>
      <c r="J8" s="151" t="s">
        <v>1467</v>
      </c>
      <c r="K8" s="151" t="s">
        <v>1467</v>
      </c>
      <c r="L8" s="151" t="s">
        <v>1467</v>
      </c>
      <c r="M8" s="151" t="s">
        <v>1467</v>
      </c>
      <c r="N8" s="151" t="s">
        <v>993</v>
      </c>
      <c r="O8" s="151" t="s">
        <v>993</v>
      </c>
      <c r="P8" s="151" t="s">
        <v>993</v>
      </c>
      <c r="Q8" s="151" t="s">
        <v>993</v>
      </c>
      <c r="R8" s="151" t="s">
        <v>993</v>
      </c>
      <c r="S8" s="151" t="s">
        <v>993</v>
      </c>
      <c r="T8" s="151" t="s">
        <v>993</v>
      </c>
      <c r="U8" s="151" t="s">
        <v>1467</v>
      </c>
      <c r="V8" s="151" t="s">
        <v>993</v>
      </c>
      <c r="W8" s="151" t="s">
        <v>993</v>
      </c>
      <c r="X8" s="151" t="s">
        <v>993</v>
      </c>
      <c r="Y8" s="151" t="s">
        <v>993</v>
      </c>
      <c r="Z8" s="151" t="s">
        <v>993</v>
      </c>
      <c r="AA8" s="151" t="s">
        <v>993</v>
      </c>
      <c r="AB8" s="151" t="s">
        <v>993</v>
      </c>
      <c r="AC8" s="151" t="s">
        <v>993</v>
      </c>
      <c r="AD8" s="151" t="s">
        <v>993</v>
      </c>
      <c r="AE8" s="151" t="s">
        <v>993</v>
      </c>
      <c r="AF8" s="151" t="s">
        <v>993</v>
      </c>
      <c r="AG8" s="25">
        <f t="shared" si="5"/>
        <v>24</v>
      </c>
      <c r="AH8" s="55">
        <f t="shared" si="6"/>
        <v>192</v>
      </c>
      <c r="AI8" s="20" t="str" cm="1">
        <f t="array" ref="AI8">_xlfn.LET(
    _xlpm.data, B8:AF8,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Vicky L</v>
      </c>
      <c r="AJ8" s="20" t="str" cm="1">
        <f t="array" ref="AJ8">_xlfn._xlws.FILTER(表格6[Full Name],(表格6[Name]=AI8)+(表格6[Name]&amp;"_1"=AI8)+(表格6[Name]&amp;"_2"=AI8)+(表格6[Name]&amp;"_3"=AI8)+(表格6[Name]&amp;"_4"=AI8)+(表格6[Name]&amp;"_5"=AI8))</f>
        <v>Leung Ching</v>
      </c>
      <c r="AK8" s="20" cm="1">
        <f t="array" ref="AK8">_xlfn._xlws.FILTER(三國演義!$C$13:$C$80,三國演義!$E$13:$E$80=Roster!AI8)</f>
        <v>4</v>
      </c>
      <c r="AL8" s="20">
        <v>60</v>
      </c>
      <c r="AM8" s="124">
        <v>0</v>
      </c>
      <c r="AN8" s="133">
        <v>0.02</v>
      </c>
    </row>
    <row r="9" spans="1:40">
      <c r="A9" s="170" t="s">
        <v>682</v>
      </c>
      <c r="B9" s="151" t="s">
        <v>871</v>
      </c>
      <c r="C9" s="151" t="s">
        <v>1758</v>
      </c>
      <c r="D9" s="151" t="s">
        <v>1758</v>
      </c>
      <c r="E9" s="151" t="s">
        <v>1758</v>
      </c>
      <c r="F9" s="151" t="s">
        <v>871</v>
      </c>
      <c r="G9" s="151" t="s">
        <v>871</v>
      </c>
      <c r="H9" s="151" t="s">
        <v>871</v>
      </c>
      <c r="I9" s="151" t="s">
        <v>871</v>
      </c>
      <c r="J9" s="151" t="s">
        <v>1758</v>
      </c>
      <c r="K9" s="151" t="s">
        <v>1758</v>
      </c>
      <c r="L9" s="151" t="s">
        <v>871</v>
      </c>
      <c r="M9" s="151" t="s">
        <v>871</v>
      </c>
      <c r="N9" s="151" t="s">
        <v>871</v>
      </c>
      <c r="O9" s="151" t="s">
        <v>871</v>
      </c>
      <c r="P9" s="151" t="s">
        <v>871</v>
      </c>
      <c r="Q9" s="151" t="s">
        <v>1758</v>
      </c>
      <c r="R9" s="151" t="s">
        <v>871</v>
      </c>
      <c r="S9" s="151" t="s">
        <v>871</v>
      </c>
      <c r="T9" s="151" t="s">
        <v>871</v>
      </c>
      <c r="U9" s="151" t="s">
        <v>871</v>
      </c>
      <c r="V9" s="151" t="s">
        <v>871</v>
      </c>
      <c r="W9" s="151" t="s">
        <v>871</v>
      </c>
      <c r="X9" s="151" t="s">
        <v>1758</v>
      </c>
      <c r="Y9" s="151" t="s">
        <v>1758</v>
      </c>
      <c r="Z9" s="151" t="s">
        <v>871</v>
      </c>
      <c r="AA9" s="151" t="s">
        <v>871</v>
      </c>
      <c r="AB9" s="151" t="s">
        <v>871</v>
      </c>
      <c r="AC9" s="151" t="s">
        <v>871</v>
      </c>
      <c r="AD9" s="151" t="s">
        <v>871</v>
      </c>
      <c r="AE9" s="151" t="s">
        <v>1758</v>
      </c>
      <c r="AF9" s="151" t="s">
        <v>871</v>
      </c>
      <c r="AG9" s="25">
        <f t="shared" ref="AG9:AG69" si="7">COUNTA(B9:AF9)-COUNTIF(B9:AF9,"."&amp;"*")-COUNTIF(B9:AF9,"off")-COUNTIF(B9:AF9,"SL"&amp;" "&amp;"*")-COUNTIF(B9:AF9,"PH"&amp;" "&amp;"*")-COUNTIF(B9:AF9,"AL"&amp;" "&amp;"*")-COUNTIF(B9:AF9,"CL"&amp;" "&amp;"*")-COUNTIF(B9:AF9,"Typhoon"&amp;" "&amp;"*")-COUNTIF(B9:AF9,"*"&amp;"off")-COUNTIF(B9:AF9," "&amp;"*")</f>
        <v>22</v>
      </c>
      <c r="AH9" s="55">
        <f t="shared" ref="AH9:AH69" si="8">AG9*8</f>
        <v>176</v>
      </c>
      <c r="AI9" s="20" t="str" cm="1">
        <f t="array" ref="AI9">_xlfn.LET(
    _xlpm.data, B9:AF9,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Michelle</v>
      </c>
      <c r="AJ9" s="20" t="str" cm="1">
        <f t="array" ref="AJ9">_xlfn._xlws.FILTER(表格6[Full Name],(表格6[Name]=AI9)+(表格6[Name]&amp;"_1"=AI9)+(表格6[Name]&amp;"_2"=AI9)+(表格6[Name]&amp;"_3"=AI9)+(表格6[Name]&amp;"_4"=AI9)+(表格6[Name]&amp;"_5"=AI9))</f>
        <v>Lo Muk Chun</v>
      </c>
      <c r="AK9" s="20" cm="1">
        <f t="array" ref="AK9">_xlfn._xlws.FILTER(三國演義!$C$13:$C$80,三國演義!$E$13:$E$80=Roster!AI9)</f>
        <v>5</v>
      </c>
      <c r="AL9" s="20">
        <v>60</v>
      </c>
      <c r="AM9" s="124">
        <v>0</v>
      </c>
      <c r="AN9" s="133">
        <v>0.02</v>
      </c>
    </row>
    <row r="10" spans="1:40">
      <c r="A10" s="170" t="s">
        <v>1110</v>
      </c>
      <c r="B10" s="151" t="s">
        <v>1104</v>
      </c>
      <c r="C10" s="151" t="s">
        <v>1104</v>
      </c>
      <c r="D10" s="151" t="s">
        <v>1104</v>
      </c>
      <c r="E10" s="151" t="s">
        <v>1576</v>
      </c>
      <c r="F10" s="151" t="s">
        <v>1576</v>
      </c>
      <c r="G10" s="151" t="s">
        <v>1104</v>
      </c>
      <c r="H10" s="151" t="s">
        <v>1104</v>
      </c>
      <c r="I10" s="151" t="s">
        <v>1104</v>
      </c>
      <c r="J10" s="151" t="s">
        <v>1104</v>
      </c>
      <c r="K10" s="151" t="s">
        <v>1576</v>
      </c>
      <c r="L10" s="151" t="s">
        <v>1576</v>
      </c>
      <c r="M10" s="151" t="s">
        <v>1104</v>
      </c>
      <c r="N10" s="151" t="s">
        <v>1104</v>
      </c>
      <c r="O10" s="151" t="s">
        <v>1104</v>
      </c>
      <c r="P10" s="151" t="s">
        <v>1104</v>
      </c>
      <c r="Q10" s="151" t="s">
        <v>1576</v>
      </c>
      <c r="R10" s="151" t="s">
        <v>1576</v>
      </c>
      <c r="S10" s="151" t="s">
        <v>1576</v>
      </c>
      <c r="T10" s="151" t="s">
        <v>1104</v>
      </c>
      <c r="U10" s="151" t="s">
        <v>1104</v>
      </c>
      <c r="V10" s="151" t="s">
        <v>1104</v>
      </c>
      <c r="W10" s="151" t="s">
        <v>1104</v>
      </c>
      <c r="X10" s="151" t="s">
        <v>1104</v>
      </c>
      <c r="Y10" s="151" t="s">
        <v>1104</v>
      </c>
      <c r="Z10" s="151" t="s">
        <v>1576</v>
      </c>
      <c r="AA10" s="151" t="s">
        <v>1576</v>
      </c>
      <c r="AB10" s="151" t="s">
        <v>1104</v>
      </c>
      <c r="AC10" s="151" t="s">
        <v>1104</v>
      </c>
      <c r="AD10" s="151" t="s">
        <v>1576</v>
      </c>
      <c r="AE10" s="151" t="s">
        <v>1576</v>
      </c>
      <c r="AF10" s="151" t="s">
        <v>1104</v>
      </c>
      <c r="AG10" s="25">
        <f t="shared" si="7"/>
        <v>20</v>
      </c>
      <c r="AH10" s="55">
        <f t="shared" si="8"/>
        <v>160</v>
      </c>
      <c r="AI10" s="20" t="str" cm="1">
        <f t="array" ref="AI10">_xlfn.LET(
    _xlpm.data, B10:AF10,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Jessica</v>
      </c>
      <c r="AJ10" s="20" t="str" cm="1">
        <f t="array" ref="AJ10">_xlfn._xlws.FILTER(表格6[Full Name],(表格6[Name]=AI10)+(表格6[Name]&amp;"_1"=AI10)+(表格6[Name]&amp;"_2"=AI10)+(表格6[Name]&amp;"_3"=AI10)+(表格6[Name]&amp;"_4"=AI10)+(表格6[Name]&amp;"_5"=AI10))</f>
        <v>Chiu Kan</v>
      </c>
      <c r="AK10" s="20" cm="1">
        <f t="array" ref="AK10">_xlfn._xlws.FILTER(三國演義!$C$13:$C$80,三國演義!$E$13:$E$80=Roster!AI10)</f>
        <v>6</v>
      </c>
      <c r="AL10" s="20">
        <v>55</v>
      </c>
      <c r="AM10" s="124">
        <v>80</v>
      </c>
      <c r="AN10" s="133">
        <v>0.02</v>
      </c>
    </row>
    <row r="11" spans="1:40" ht="25.5">
      <c r="A11" s="170" t="s">
        <v>1144</v>
      </c>
      <c r="B11" s="151" t="s">
        <v>976</v>
      </c>
      <c r="C11" s="151" t="s">
        <v>976</v>
      </c>
      <c r="D11" s="151" t="s">
        <v>976</v>
      </c>
      <c r="E11" s="151" t="s">
        <v>976</v>
      </c>
      <c r="F11" s="151" t="s">
        <v>1556</v>
      </c>
      <c r="G11" s="151" t="s">
        <v>1556</v>
      </c>
      <c r="H11" s="151" t="s">
        <v>976</v>
      </c>
      <c r="I11" s="151" t="s">
        <v>976</v>
      </c>
      <c r="J11" s="151" t="s">
        <v>976</v>
      </c>
      <c r="K11" s="151" t="s">
        <v>976</v>
      </c>
      <c r="L11" s="151" t="s">
        <v>976</v>
      </c>
      <c r="M11" s="151" t="s">
        <v>1556</v>
      </c>
      <c r="N11" s="151" t="s">
        <v>1556</v>
      </c>
      <c r="O11" s="151" t="s">
        <v>976</v>
      </c>
      <c r="P11" s="151" t="s">
        <v>976</v>
      </c>
      <c r="Q11" s="151" t="s">
        <v>976</v>
      </c>
      <c r="R11" s="151" t="s">
        <v>976</v>
      </c>
      <c r="S11" s="151" t="s">
        <v>1556</v>
      </c>
      <c r="T11" s="151" t="s">
        <v>1556</v>
      </c>
      <c r="U11" s="151" t="s">
        <v>1556</v>
      </c>
      <c r="V11" s="151" t="s">
        <v>976</v>
      </c>
      <c r="W11" s="151" t="s">
        <v>976</v>
      </c>
      <c r="X11" s="151" t="s">
        <v>976</v>
      </c>
      <c r="Y11" s="151" t="s">
        <v>976</v>
      </c>
      <c r="Z11" s="151" t="s">
        <v>976</v>
      </c>
      <c r="AA11" s="151" t="s">
        <v>1556</v>
      </c>
      <c r="AB11" s="151" t="s">
        <v>1556</v>
      </c>
      <c r="AC11" s="151" t="s">
        <v>976</v>
      </c>
      <c r="AD11" s="151" t="s">
        <v>976</v>
      </c>
      <c r="AE11" s="151" t="s">
        <v>976</v>
      </c>
      <c r="AF11" s="151" t="s">
        <v>976</v>
      </c>
      <c r="AG11" s="25">
        <f t="shared" si="7"/>
        <v>22</v>
      </c>
      <c r="AH11" s="55">
        <f t="shared" si="8"/>
        <v>176</v>
      </c>
      <c r="AI11" s="20" t="str" cm="1">
        <f t="array" ref="AI11">_xlfn.LET(
    _xlpm.data, B11:AF11,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Kitty Yeung</v>
      </c>
      <c r="AJ11" s="20" t="str" cm="1">
        <f t="array" ref="AJ11">_xlfn._xlws.FILTER(表格6[Full Name],(表格6[Name]=AI11)+(表格6[Name]&amp;"_1"=AI11)+(表格6[Name]&amp;"_2"=AI11)+(表格6[Name]&amp;"_3"=AI11)+(表格6[Name]&amp;"_4"=AI11)+(表格6[Name]&amp;"_5"=AI11))</f>
        <v>Yeung Lai Shan</v>
      </c>
      <c r="AK11" s="20" cm="1">
        <f t="array" ref="AK11">_xlfn._xlws.FILTER(三國演義!$C$13:$C$80,三國演義!$E$13:$E$80=Roster!AI11)</f>
        <v>7</v>
      </c>
      <c r="AL11" s="20">
        <v>60</v>
      </c>
      <c r="AM11" s="124">
        <v>0</v>
      </c>
      <c r="AN11" s="133">
        <v>0.02</v>
      </c>
    </row>
    <row r="12" spans="1:40">
      <c r="A12" s="170" t="s">
        <v>800</v>
      </c>
      <c r="B12" s="151" t="s">
        <v>1213</v>
      </c>
      <c r="C12" s="151" t="s">
        <v>770</v>
      </c>
      <c r="D12" s="151" t="s">
        <v>770</v>
      </c>
      <c r="E12" s="151" t="s">
        <v>770</v>
      </c>
      <c r="F12" s="151" t="s">
        <v>770</v>
      </c>
      <c r="G12" s="151" t="s">
        <v>770</v>
      </c>
      <c r="H12" s="151" t="s">
        <v>1213</v>
      </c>
      <c r="I12" s="151" t="s">
        <v>1866</v>
      </c>
      <c r="J12" s="151" t="s">
        <v>770</v>
      </c>
      <c r="K12" s="151" t="s">
        <v>770</v>
      </c>
      <c r="L12" s="151" t="s">
        <v>770</v>
      </c>
      <c r="M12" s="151" t="s">
        <v>770</v>
      </c>
      <c r="N12" s="151" t="s">
        <v>770</v>
      </c>
      <c r="O12" s="151" t="s">
        <v>770</v>
      </c>
      <c r="P12" s="151" t="s">
        <v>770</v>
      </c>
      <c r="Q12" s="151" t="s">
        <v>770</v>
      </c>
      <c r="R12" s="151" t="s">
        <v>770</v>
      </c>
      <c r="S12" s="151" t="s">
        <v>770</v>
      </c>
      <c r="T12" s="151" t="s">
        <v>770</v>
      </c>
      <c r="U12" s="151" t="s">
        <v>770</v>
      </c>
      <c r="V12" s="151" t="s">
        <v>1866</v>
      </c>
      <c r="W12" s="151" t="s">
        <v>1866</v>
      </c>
      <c r="X12" s="151" t="s">
        <v>770</v>
      </c>
      <c r="Y12" s="151" t="s">
        <v>770</v>
      </c>
      <c r="Z12" s="151" t="s">
        <v>770</v>
      </c>
      <c r="AA12" s="151" t="s">
        <v>770</v>
      </c>
      <c r="AB12" s="151" t="s">
        <v>770</v>
      </c>
      <c r="AC12" s="151" t="s">
        <v>1213</v>
      </c>
      <c r="AD12" s="151" t="s">
        <v>1213</v>
      </c>
      <c r="AE12" s="151" t="s">
        <v>770</v>
      </c>
      <c r="AF12" s="151" t="s">
        <v>770</v>
      </c>
      <c r="AG12" s="25">
        <f t="shared" si="7"/>
        <v>4</v>
      </c>
      <c r="AH12" s="55">
        <f t="shared" si="8"/>
        <v>32</v>
      </c>
      <c r="AI12" s="20" t="str" cm="1">
        <f t="array" ref="AI12">_xlfn.LET(
    _xlpm.data, B12:AF12,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Amy Or_1</v>
      </c>
      <c r="AJ12" s="20" t="str" cm="1">
        <f t="array" ref="AJ12">_xlfn._xlws.FILTER(表格6[Full Name],(表格6[Name]=AI12)+(表格6[Name]&amp;"_1"=AI12)+(表格6[Name]&amp;"_2"=AI12)+(表格6[Name]&amp;"_3"=AI12)+(表格6[Name]&amp;"_4"=AI12)+(表格6[Name]&amp;"_5"=AI12))</f>
        <v>Or Sim Kiu</v>
      </c>
      <c r="AK12" s="20" cm="1">
        <f t="array" ref="AK12">_xlfn._xlws.FILTER(三國演義!$C$13:$C$80,三國演義!$E$13:$E$80=Roster!AI12)</f>
        <v>8</v>
      </c>
      <c r="AL12" s="20">
        <v>55</v>
      </c>
      <c r="AM12" s="124">
        <v>30</v>
      </c>
      <c r="AN12" s="133">
        <v>0.02</v>
      </c>
    </row>
    <row r="13" spans="1:40">
      <c r="A13" s="170" t="s">
        <v>1401</v>
      </c>
      <c r="B13" s="151" t="s">
        <v>1215</v>
      </c>
      <c r="C13" s="151" t="s">
        <v>770</v>
      </c>
      <c r="D13" s="151" t="s">
        <v>770</v>
      </c>
      <c r="E13" s="151" t="s">
        <v>770</v>
      </c>
      <c r="F13" s="151" t="s">
        <v>770</v>
      </c>
      <c r="G13" s="151" t="s">
        <v>770</v>
      </c>
      <c r="H13" s="151" t="s">
        <v>1215</v>
      </c>
      <c r="I13" s="151" t="s">
        <v>1215</v>
      </c>
      <c r="J13" s="151" t="s">
        <v>770</v>
      </c>
      <c r="K13" s="151" t="s">
        <v>770</v>
      </c>
      <c r="L13" s="151" t="s">
        <v>770</v>
      </c>
      <c r="M13" s="151" t="s">
        <v>770</v>
      </c>
      <c r="N13" s="151" t="s">
        <v>770</v>
      </c>
      <c r="O13" s="151" t="s">
        <v>1215</v>
      </c>
      <c r="P13" s="151" t="s">
        <v>1215</v>
      </c>
      <c r="Q13" s="151" t="s">
        <v>770</v>
      </c>
      <c r="R13" s="151" t="s">
        <v>770</v>
      </c>
      <c r="S13" s="151" t="s">
        <v>770</v>
      </c>
      <c r="T13" s="151" t="s">
        <v>770</v>
      </c>
      <c r="U13" s="151" t="s">
        <v>770</v>
      </c>
      <c r="V13" s="151" t="s">
        <v>770</v>
      </c>
      <c r="W13" s="151" t="s">
        <v>770</v>
      </c>
      <c r="X13" s="151" t="s">
        <v>770</v>
      </c>
      <c r="Y13" s="151" t="s">
        <v>770</v>
      </c>
      <c r="Z13" s="151" t="s">
        <v>770</v>
      </c>
      <c r="AA13" s="151" t="s">
        <v>770</v>
      </c>
      <c r="AB13" s="151" t="s">
        <v>770</v>
      </c>
      <c r="AC13" s="151" t="s">
        <v>1215</v>
      </c>
      <c r="AD13" s="151" t="s">
        <v>1215</v>
      </c>
      <c r="AE13" s="151" t="s">
        <v>770</v>
      </c>
      <c r="AF13" s="151" t="s">
        <v>770</v>
      </c>
      <c r="AG13" s="25">
        <f t="shared" si="7"/>
        <v>7</v>
      </c>
      <c r="AH13" s="55">
        <f t="shared" si="8"/>
        <v>56</v>
      </c>
      <c r="AI13" s="20" t="str" cm="1">
        <f t="array" ref="AI13">_xlfn.LET(
    _xlpm.data, B13:AF13,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Fong_1</v>
      </c>
      <c r="AJ13" s="20" t="str" cm="1">
        <f t="array" ref="AJ13">_xlfn._xlws.FILTER(表格6[Full Name],(表格6[Name]=AI13)+(表格6[Name]&amp;"_1"=AI13)+(表格6[Name]&amp;"_2"=AI13)+(表格6[Name]&amp;"_3"=AI13)+(表格6[Name]&amp;"_4"=AI13)+(表格6[Name]&amp;"_5"=AI13))</f>
        <v>Ng Nga Fong</v>
      </c>
      <c r="AK13" s="20" cm="1">
        <f t="array" ref="AK13">_xlfn._xlws.FILTER(三國演義!$C$13:$C$80,三國演義!$E$13:$E$80=Roster!AI13)</f>
        <v>9</v>
      </c>
      <c r="AL13" s="20">
        <v>60</v>
      </c>
      <c r="AM13" s="124">
        <v>0</v>
      </c>
      <c r="AN13" s="133">
        <v>0.02</v>
      </c>
    </row>
    <row r="14" spans="1:40">
      <c r="A14" s="170" t="s">
        <v>2103</v>
      </c>
      <c r="B14" s="80" t="s">
        <v>1402</v>
      </c>
      <c r="C14" s="80" t="s">
        <v>1402</v>
      </c>
      <c r="D14" s="80" t="s">
        <v>1402</v>
      </c>
      <c r="E14" s="80" t="s">
        <v>1402</v>
      </c>
      <c r="F14" s="80" t="s">
        <v>1402</v>
      </c>
      <c r="G14" s="80" t="s">
        <v>1402</v>
      </c>
      <c r="H14" s="80" t="s">
        <v>1402</v>
      </c>
      <c r="I14" s="80" t="s">
        <v>1402</v>
      </c>
      <c r="J14" s="80" t="s">
        <v>1402</v>
      </c>
      <c r="K14" s="80" t="s">
        <v>1402</v>
      </c>
      <c r="L14" s="80" t="s">
        <v>1402</v>
      </c>
      <c r="M14" s="80" t="s">
        <v>1402</v>
      </c>
      <c r="N14" s="80" t="s">
        <v>1402</v>
      </c>
      <c r="O14" s="80" t="s">
        <v>1402</v>
      </c>
      <c r="P14" s="80" t="s">
        <v>1402</v>
      </c>
      <c r="Q14" s="80" t="s">
        <v>1402</v>
      </c>
      <c r="R14" s="80" t="s">
        <v>1402</v>
      </c>
      <c r="S14" s="80" t="s">
        <v>1402</v>
      </c>
      <c r="T14" s="80" t="s">
        <v>1402</v>
      </c>
      <c r="U14" s="80" t="s">
        <v>1402</v>
      </c>
      <c r="V14" s="151" t="s">
        <v>1224</v>
      </c>
      <c r="W14" s="151" t="s">
        <v>1224</v>
      </c>
      <c r="X14" s="151" t="s">
        <v>1402</v>
      </c>
      <c r="Y14" s="80" t="s">
        <v>1402</v>
      </c>
      <c r="Z14" s="80" t="s">
        <v>1402</v>
      </c>
      <c r="AA14" s="80" t="s">
        <v>1402</v>
      </c>
      <c r="AB14" s="80" t="s">
        <v>1402</v>
      </c>
      <c r="AC14" s="80" t="s">
        <v>1402</v>
      </c>
      <c r="AD14" s="80" t="s">
        <v>1402</v>
      </c>
      <c r="AE14" s="80" t="s">
        <v>1402</v>
      </c>
      <c r="AF14" s="80" t="s">
        <v>1402</v>
      </c>
      <c r="AG14" s="25">
        <f t="shared" ref="AG14" si="9">COUNTA(B14:AF14)-COUNTIF(B14:AF14,"."&amp;"*")-COUNTIF(B14:AF14,"off")-COUNTIF(B14:AF14,"SL"&amp;" "&amp;"*")-COUNTIF(B14:AF14,"PH"&amp;" "&amp;"*")-COUNTIF(B14:AF14,"AL"&amp;" "&amp;"*")-COUNTIF(B14:AF14,"CL"&amp;" "&amp;"*")-COUNTIF(B14:AF14,"Typhoon"&amp;" "&amp;"*")-COUNTIF(B14:AF14,"*"&amp;"off")-COUNTIF(B14:AF14," "&amp;"*")</f>
        <v>2</v>
      </c>
      <c r="AH14" s="55">
        <f t="shared" ref="AH14" si="10">AG14*8</f>
        <v>16</v>
      </c>
      <c r="AI14" s="20" t="str" cm="1">
        <f t="array" ref="AI14">_xlfn.LET(
    _xlpm.data, B14:AF14,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Mui Chan_2</v>
      </c>
      <c r="AJ14" s="20" t="str" cm="1">
        <f t="array" ref="AJ14">_xlfn._xlws.FILTER(表格6[Full Name],(表格6[Name]=AI14)+(表格6[Name]&amp;"_1"=AI14)+(表格6[Name]&amp;"_2"=AI14)+(表格6[Name]&amp;"_3"=AI14)+(表格6[Name]&amp;"_4"=AI14)+(表格6[Name]&amp;"_5"=AI14))</f>
        <v>Chan So Mui</v>
      </c>
      <c r="AK14" s="20" cm="1">
        <f t="array" ref="AK14">_xlfn._xlws.FILTER(三國演義!$C$13:$C$80,三國演義!$E$13:$E$80=Roster!AI14)</f>
        <v>10</v>
      </c>
      <c r="AL14" s="20">
        <v>60</v>
      </c>
      <c r="AM14" s="124">
        <v>0</v>
      </c>
      <c r="AN14" s="133"/>
    </row>
    <row r="15" spans="1:40">
      <c r="A15" s="170" t="s">
        <v>958</v>
      </c>
      <c r="B15" s="151" t="s">
        <v>2079</v>
      </c>
      <c r="C15" s="151" t="s">
        <v>2079</v>
      </c>
      <c r="D15" s="151" t="s">
        <v>770</v>
      </c>
      <c r="E15" s="151" t="s">
        <v>770</v>
      </c>
      <c r="F15" s="151" t="s">
        <v>2079</v>
      </c>
      <c r="G15" s="151" t="s">
        <v>2079</v>
      </c>
      <c r="H15" s="151" t="s">
        <v>2079</v>
      </c>
      <c r="I15" s="151" t="s">
        <v>2079</v>
      </c>
      <c r="J15" s="151" t="s">
        <v>2079</v>
      </c>
      <c r="K15" s="151" t="s">
        <v>2079</v>
      </c>
      <c r="L15" s="151" t="s">
        <v>770</v>
      </c>
      <c r="M15" s="151" t="s">
        <v>770</v>
      </c>
      <c r="N15" s="151" t="s">
        <v>770</v>
      </c>
      <c r="O15" s="151" t="s">
        <v>2079</v>
      </c>
      <c r="P15" s="151" t="s">
        <v>2079</v>
      </c>
      <c r="Q15" s="151" t="s">
        <v>2079</v>
      </c>
      <c r="R15" s="151" t="s">
        <v>2079</v>
      </c>
      <c r="S15" s="151" t="s">
        <v>770</v>
      </c>
      <c r="T15" s="151" t="s">
        <v>770</v>
      </c>
      <c r="U15" s="151" t="s">
        <v>2079</v>
      </c>
      <c r="V15" s="151" t="s">
        <v>2079</v>
      </c>
      <c r="W15" s="151" t="s">
        <v>2079</v>
      </c>
      <c r="X15" s="151" t="s">
        <v>2079</v>
      </c>
      <c r="Y15" s="151" t="s">
        <v>770</v>
      </c>
      <c r="Z15" s="151" t="s">
        <v>770</v>
      </c>
      <c r="AA15" s="151" t="s">
        <v>770</v>
      </c>
      <c r="AB15" s="151" t="s">
        <v>770</v>
      </c>
      <c r="AC15" s="151" t="s">
        <v>770</v>
      </c>
      <c r="AD15" s="151" t="s">
        <v>770</v>
      </c>
      <c r="AE15" s="151" t="s">
        <v>770</v>
      </c>
      <c r="AF15" s="151" t="s">
        <v>770</v>
      </c>
      <c r="AG15" s="25">
        <f t="shared" si="7"/>
        <v>16</v>
      </c>
      <c r="AH15" s="153">
        <f>AG15*9</f>
        <v>144</v>
      </c>
      <c r="AI15" s="20" t="str" cm="1">
        <f t="array" ref="AI15">_xlfn.LET(
    _xlpm.data, B15:AF15,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Shan_1</v>
      </c>
      <c r="AJ15" s="20" t="str" cm="1">
        <f t="array" ref="AJ15">_xlfn._xlws.FILTER(表格6[Full Name],(表格6[Name]=AI15)+(表格6[Name]&amp;"_1"=AI15)+(表格6[Name]&amp;"_2"=AI15)+(表格6[Name]&amp;"_3"=AI15)+(表格6[Name]&amp;"_4"=AI15)+(表格6[Name]&amp;"_5"=AI15))</f>
        <v>Chiu Fung Shan</v>
      </c>
      <c r="AK15" s="20" cm="1">
        <f t="array" ref="AK15">_xlfn._xlws.FILTER(三國演義!$C$13:$C$80,三國演義!$E$13:$E$80=Roster!AI15)</f>
        <v>11</v>
      </c>
      <c r="AL15" s="20">
        <v>60</v>
      </c>
      <c r="AM15" s="124">
        <v>0</v>
      </c>
      <c r="AN15" s="133">
        <v>0.02</v>
      </c>
    </row>
    <row r="16" spans="1:40" ht="25.5">
      <c r="A16" s="170" t="s">
        <v>1116</v>
      </c>
      <c r="B16" s="80" t="s">
        <v>770</v>
      </c>
      <c r="C16" s="80" t="s">
        <v>770</v>
      </c>
      <c r="D16" s="151" t="s">
        <v>1216</v>
      </c>
      <c r="E16" s="151" t="s">
        <v>1216</v>
      </c>
      <c r="F16" s="151" t="s">
        <v>770</v>
      </c>
      <c r="G16" s="151" t="s">
        <v>770</v>
      </c>
      <c r="H16" s="151" t="s">
        <v>770</v>
      </c>
      <c r="I16" s="151" t="s">
        <v>770</v>
      </c>
      <c r="J16" s="151" t="s">
        <v>770</v>
      </c>
      <c r="K16" s="151" t="s">
        <v>770</v>
      </c>
      <c r="L16" s="151" t="s">
        <v>1216</v>
      </c>
      <c r="M16" s="151" t="s">
        <v>770</v>
      </c>
      <c r="N16" s="151" t="s">
        <v>1216</v>
      </c>
      <c r="O16" s="151" t="s">
        <v>770</v>
      </c>
      <c r="P16" s="151" t="s">
        <v>770</v>
      </c>
      <c r="Q16" s="151" t="s">
        <v>770</v>
      </c>
      <c r="R16" s="151" t="s">
        <v>770</v>
      </c>
      <c r="S16" s="151" t="s">
        <v>1216</v>
      </c>
      <c r="T16" s="151" t="s">
        <v>1216</v>
      </c>
      <c r="U16" s="80" t="s">
        <v>770</v>
      </c>
      <c r="V16" s="80" t="s">
        <v>770</v>
      </c>
      <c r="W16" s="80" t="s">
        <v>770</v>
      </c>
      <c r="X16" s="80" t="s">
        <v>770</v>
      </c>
      <c r="Y16" s="151" t="s">
        <v>1216</v>
      </c>
      <c r="Z16" s="80" t="s">
        <v>770</v>
      </c>
      <c r="AA16" s="80" t="s">
        <v>770</v>
      </c>
      <c r="AB16" s="80" t="s">
        <v>770</v>
      </c>
      <c r="AC16" s="80" t="s">
        <v>770</v>
      </c>
      <c r="AD16" s="80" t="s">
        <v>770</v>
      </c>
      <c r="AE16" s="80" t="s">
        <v>770</v>
      </c>
      <c r="AF16" s="80" t="s">
        <v>770</v>
      </c>
      <c r="AG16" s="25">
        <f t="shared" si="7"/>
        <v>7</v>
      </c>
      <c r="AH16" s="153">
        <f t="shared" ref="AH16:AH17" si="11">AG16*9</f>
        <v>63</v>
      </c>
      <c r="AI16" s="20" t="str" cm="1">
        <f t="array" ref="AI16">_xlfn.LET(
    _xlpm.data, B16:AF16,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Wendy Wong_1</v>
      </c>
      <c r="AJ16" s="20" t="str" cm="1">
        <f t="array" ref="AJ16">_xlfn._xlws.FILTER(表格6[Full Name],(表格6[Name]=AI16)+(表格6[Name]&amp;"_1"=AI16)+(表格6[Name]&amp;"_2"=AI16)+(表格6[Name]&amp;"_3"=AI16)+(表格6[Name]&amp;"_4"=AI16)+(表格6[Name]&amp;"_5"=AI16))</f>
        <v>Wong Lai Ying</v>
      </c>
      <c r="AK16" s="20" cm="1">
        <f t="array" ref="AK16">_xlfn._xlws.FILTER(三國演義!$C$13:$C$80,三國演義!$E$13:$E$80=Roster!AI16)</f>
        <v>12</v>
      </c>
      <c r="AL16" s="20">
        <v>60</v>
      </c>
      <c r="AM16" s="124">
        <v>0</v>
      </c>
      <c r="AN16" s="133">
        <v>0.02</v>
      </c>
    </row>
    <row r="17" spans="1:40">
      <c r="A17" s="170" t="s">
        <v>1194</v>
      </c>
      <c r="B17" s="80" t="s">
        <v>770</v>
      </c>
      <c r="C17" s="80" t="s">
        <v>770</v>
      </c>
      <c r="D17" s="80" t="s">
        <v>770</v>
      </c>
      <c r="E17" s="80" t="s">
        <v>770</v>
      </c>
      <c r="F17" s="80" t="s">
        <v>770</v>
      </c>
      <c r="G17" s="80" t="s">
        <v>770</v>
      </c>
      <c r="H17" s="80" t="s">
        <v>770</v>
      </c>
      <c r="I17" s="80" t="s">
        <v>770</v>
      </c>
      <c r="J17" s="80" t="s">
        <v>770</v>
      </c>
      <c r="K17" s="80" t="s">
        <v>770</v>
      </c>
      <c r="L17" s="80" t="s">
        <v>770</v>
      </c>
      <c r="M17" s="151" t="s">
        <v>1292</v>
      </c>
      <c r="N17" s="80" t="s">
        <v>770</v>
      </c>
      <c r="O17" s="80" t="s">
        <v>770</v>
      </c>
      <c r="P17" s="80" t="s">
        <v>770</v>
      </c>
      <c r="Q17" s="80" t="s">
        <v>770</v>
      </c>
      <c r="R17" s="80" t="s">
        <v>770</v>
      </c>
      <c r="S17" s="80" t="s">
        <v>770</v>
      </c>
      <c r="T17" s="80" t="s">
        <v>770</v>
      </c>
      <c r="U17" s="80" t="s">
        <v>770</v>
      </c>
      <c r="V17" s="80" t="s">
        <v>770</v>
      </c>
      <c r="W17" s="80" t="s">
        <v>770</v>
      </c>
      <c r="X17" s="80" t="s">
        <v>770</v>
      </c>
      <c r="Y17" s="80" t="s">
        <v>770</v>
      </c>
      <c r="Z17" s="80" t="s">
        <v>770</v>
      </c>
      <c r="AA17" s="80" t="s">
        <v>770</v>
      </c>
      <c r="AB17" s="80" t="s">
        <v>770</v>
      </c>
      <c r="AC17" s="80" t="s">
        <v>770</v>
      </c>
      <c r="AD17" s="80" t="s">
        <v>770</v>
      </c>
      <c r="AE17" s="80" t="s">
        <v>770</v>
      </c>
      <c r="AF17" s="80" t="s">
        <v>770</v>
      </c>
      <c r="AG17" s="25">
        <f t="shared" si="7"/>
        <v>1</v>
      </c>
      <c r="AH17" s="153">
        <f t="shared" si="11"/>
        <v>9</v>
      </c>
      <c r="AI17" s="20" t="str" cm="1">
        <f t="array" ref="AI17">_xlfn.LET(
    _xlpm.data, B17:AF17,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Mandy</v>
      </c>
      <c r="AJ17" s="20" t="str" cm="1">
        <f t="array" ref="AJ17">_xlfn._xlws.FILTER(表格6[Full Name],(表格6[Name]=AI17)+(表格6[Name]&amp;"_1"=AI17)+(表格6[Name]&amp;"_2"=AI17)+(表格6[Name]&amp;"_3"=AI17)+(表格6[Name]&amp;"_4"=AI17)+(表格6[Name]&amp;"_5"=AI17))</f>
        <v>Ho Lai Sim</v>
      </c>
      <c r="AK17" s="20" cm="1">
        <f t="array" ref="AK17">_xlfn._xlws.FILTER(三國演義!$C$13:$C$80,三國演義!$E$13:$E$80=Roster!AI17)</f>
        <v>13</v>
      </c>
      <c r="AL17" s="20">
        <v>60</v>
      </c>
      <c r="AM17" s="124">
        <v>0</v>
      </c>
      <c r="AN17" s="133">
        <v>0.02</v>
      </c>
    </row>
    <row r="18" spans="1:40">
      <c r="A18" s="170" t="s">
        <v>2076</v>
      </c>
      <c r="B18" s="80" t="s">
        <v>2077</v>
      </c>
      <c r="C18" s="80" t="s">
        <v>2077</v>
      </c>
      <c r="D18" s="80" t="s">
        <v>2077</v>
      </c>
      <c r="E18" s="80" t="s">
        <v>2077</v>
      </c>
      <c r="F18" s="80" t="s">
        <v>2077</v>
      </c>
      <c r="G18" s="80" t="s">
        <v>2077</v>
      </c>
      <c r="H18" s="80" t="s">
        <v>2077</v>
      </c>
      <c r="I18" s="80" t="s">
        <v>2077</v>
      </c>
      <c r="J18" s="80" t="s">
        <v>2077</v>
      </c>
      <c r="K18" s="80" t="s">
        <v>2077</v>
      </c>
      <c r="L18" s="80" t="s">
        <v>2077</v>
      </c>
      <c r="M18" s="80" t="s">
        <v>2077</v>
      </c>
      <c r="N18" s="80" t="s">
        <v>2077</v>
      </c>
      <c r="O18" s="80" t="s">
        <v>2077</v>
      </c>
      <c r="P18" s="80" t="s">
        <v>2077</v>
      </c>
      <c r="Q18" s="80" t="s">
        <v>2077</v>
      </c>
      <c r="R18" s="80" t="s">
        <v>2077</v>
      </c>
      <c r="S18" s="80" t="s">
        <v>2077</v>
      </c>
      <c r="T18" s="80" t="s">
        <v>2077</v>
      </c>
      <c r="U18" s="80" t="s">
        <v>2077</v>
      </c>
      <c r="V18" s="80" t="s">
        <v>2077</v>
      </c>
      <c r="W18" s="80" t="s">
        <v>2077</v>
      </c>
      <c r="X18" s="80" t="s">
        <v>2077</v>
      </c>
      <c r="Y18" s="80" t="s">
        <v>2077</v>
      </c>
      <c r="Z18" s="151" t="s">
        <v>2078</v>
      </c>
      <c r="AA18" s="151" t="s">
        <v>2078</v>
      </c>
      <c r="AB18" s="151" t="s">
        <v>2078</v>
      </c>
      <c r="AC18" s="151" t="s">
        <v>2078</v>
      </c>
      <c r="AD18" s="151" t="s">
        <v>2078</v>
      </c>
      <c r="AE18" s="151" t="s">
        <v>2078</v>
      </c>
      <c r="AF18" s="151" t="s">
        <v>2078</v>
      </c>
      <c r="AG18" s="25">
        <f t="shared" ref="AG18" si="12">COUNTA(B18:AF18)-COUNTIF(B18:AF18,"."&amp;"*")-COUNTIF(B18:AF18,"off")-COUNTIF(B18:AF18,"SL"&amp;" "&amp;"*")-COUNTIF(B18:AF18,"PH"&amp;" "&amp;"*")-COUNTIF(B18:AF18,"AL"&amp;" "&amp;"*")-COUNTIF(B18:AF18,"CL"&amp;" "&amp;"*")-COUNTIF(B18:AF18,"Typhoon"&amp;" "&amp;"*")-COUNTIF(B18:AF18,"*"&amp;"off")-COUNTIF(B18:AF18," "&amp;"*")</f>
        <v>7</v>
      </c>
      <c r="AH18" s="55">
        <f t="shared" ref="AH18" si="13">AG18*8</f>
        <v>56</v>
      </c>
      <c r="AI18" s="20" t="str" cm="1">
        <f t="array" ref="AI18">_xlfn.LET(
    _xlpm.data, B18:AF18,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Shan_2</v>
      </c>
      <c r="AJ18" s="20" t="str" cm="1">
        <f t="array" ref="AJ18">_xlfn._xlws.FILTER(表格6[Full Name],(表格6[Name]=AI18)+(表格6[Name]&amp;"_1"=AI18)+(表格6[Name]&amp;"_2"=AI18)+(表格6[Name]&amp;"_3"=AI18)+(表格6[Name]&amp;"_4"=AI18)+(表格6[Name]&amp;"_5"=AI18))</f>
        <v>Chiu Fung Shan</v>
      </c>
      <c r="AK18" s="20" cm="1">
        <f t="array" ref="AK18">_xlfn._xlws.FILTER(三國演義!$C$13:$C$80,三國演義!$E$13:$E$80=Roster!AI18)</f>
        <v>14</v>
      </c>
      <c r="AL18" s="20">
        <v>60</v>
      </c>
      <c r="AM18" s="124">
        <v>0</v>
      </c>
      <c r="AN18" s="133"/>
    </row>
    <row r="19" spans="1:40" ht="16.5" customHeight="1">
      <c r="A19" s="170" t="s">
        <v>2075</v>
      </c>
      <c r="B19" s="80" t="s">
        <v>770</v>
      </c>
      <c r="C19" s="80" t="s">
        <v>770</v>
      </c>
      <c r="D19" s="80" t="s">
        <v>770</v>
      </c>
      <c r="E19" s="80" t="s">
        <v>770</v>
      </c>
      <c r="F19" s="80" t="s">
        <v>770</v>
      </c>
      <c r="G19" s="80" t="s">
        <v>770</v>
      </c>
      <c r="H19" s="80" t="s">
        <v>770</v>
      </c>
      <c r="I19" s="80" t="s">
        <v>770</v>
      </c>
      <c r="J19" s="80" t="s">
        <v>770</v>
      </c>
      <c r="K19" s="80" t="s">
        <v>770</v>
      </c>
      <c r="L19" s="80" t="s">
        <v>770</v>
      </c>
      <c r="M19" s="80" t="s">
        <v>770</v>
      </c>
      <c r="N19" s="80" t="s">
        <v>770</v>
      </c>
      <c r="O19" s="80" t="s">
        <v>770</v>
      </c>
      <c r="P19" s="80" t="s">
        <v>770</v>
      </c>
      <c r="Q19" s="80" t="s">
        <v>770</v>
      </c>
      <c r="R19" s="80" t="s">
        <v>770</v>
      </c>
      <c r="S19" s="80" t="s">
        <v>770</v>
      </c>
      <c r="T19" s="80" t="s">
        <v>770</v>
      </c>
      <c r="U19" s="80" t="s">
        <v>770</v>
      </c>
      <c r="V19" s="80" t="s">
        <v>770</v>
      </c>
      <c r="W19" s="80" t="s">
        <v>770</v>
      </c>
      <c r="X19" s="80" t="s">
        <v>770</v>
      </c>
      <c r="Y19" s="80" t="s">
        <v>770</v>
      </c>
      <c r="Z19" s="80" t="s">
        <v>770</v>
      </c>
      <c r="AA19" s="80" t="s">
        <v>770</v>
      </c>
      <c r="AB19" s="151" t="s">
        <v>2072</v>
      </c>
      <c r="AC19" s="151" t="s">
        <v>2072</v>
      </c>
      <c r="AD19" s="151" t="s">
        <v>2072</v>
      </c>
      <c r="AE19" s="80" t="s">
        <v>770</v>
      </c>
      <c r="AF19" s="80" t="s">
        <v>770</v>
      </c>
      <c r="AG19" s="25">
        <f t="shared" ref="AG19" si="14">COUNTA(B19:AF19)-COUNTIF(B19:AF19,"."&amp;"*")-COUNTIF(B19:AF19,"off")-COUNTIF(B19:AF19,"SL"&amp;" "&amp;"*")-COUNTIF(B19:AF19,"PH"&amp;" "&amp;"*")-COUNTIF(B19:AF19,"AL"&amp;" "&amp;"*")-COUNTIF(B19:AF19,"CL"&amp;" "&amp;"*")-COUNTIF(B19:AF19,"Typhoon"&amp;" "&amp;"*")-COUNTIF(B19:AF19,"*"&amp;"off")-COUNTIF(B19:AF19," "&amp;"*")</f>
        <v>3</v>
      </c>
      <c r="AH19" s="55">
        <f t="shared" ref="AH19" si="15">AG19*8</f>
        <v>24</v>
      </c>
      <c r="AI19" s="20" t="str" cm="1">
        <f t="array" ref="AI19">_xlfn.LET(
    _xlpm.data, B19:AF19,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Wendy Wong_2</v>
      </c>
      <c r="AJ19" s="20" t="str" cm="1">
        <f t="array" ref="AJ19">_xlfn._xlws.FILTER(表格6[Full Name],(表格6[Name]=AI19)+(表格6[Name]&amp;"_1"=AI19)+(表格6[Name]&amp;"_2"=AI19)+(表格6[Name]&amp;"_3"=AI19)+(表格6[Name]&amp;"_4"=AI19)+(表格6[Name]&amp;"_5"=AI19))</f>
        <v>Wong Lai Ying</v>
      </c>
      <c r="AK19" s="20" cm="1">
        <f t="array" ref="AK19">_xlfn._xlws.FILTER(三國演義!$C$13:$C$80,三國演義!$E$13:$E$80=Roster!AI19)</f>
        <v>15</v>
      </c>
      <c r="AL19" s="20">
        <v>60</v>
      </c>
      <c r="AM19" s="124">
        <v>0</v>
      </c>
      <c r="AN19" s="133"/>
    </row>
    <row r="20" spans="1:40">
      <c r="A20" s="170" t="s">
        <v>1118</v>
      </c>
      <c r="B20" s="151" t="s">
        <v>771</v>
      </c>
      <c r="C20" s="151" t="s">
        <v>771</v>
      </c>
      <c r="D20" s="151" t="s">
        <v>771</v>
      </c>
      <c r="E20" s="151" t="s">
        <v>1400</v>
      </c>
      <c r="F20" s="151" t="s">
        <v>1400</v>
      </c>
      <c r="G20" s="151" t="s">
        <v>1400</v>
      </c>
      <c r="H20" s="151" t="s">
        <v>771</v>
      </c>
      <c r="I20" s="151" t="s">
        <v>771</v>
      </c>
      <c r="J20" s="151" t="s">
        <v>771</v>
      </c>
      <c r="K20" s="151" t="s">
        <v>771</v>
      </c>
      <c r="L20" s="151" t="s">
        <v>771</v>
      </c>
      <c r="M20" s="151" t="s">
        <v>1400</v>
      </c>
      <c r="N20" s="151" t="s">
        <v>1400</v>
      </c>
      <c r="O20" s="151" t="s">
        <v>771</v>
      </c>
      <c r="P20" s="151" t="s">
        <v>771</v>
      </c>
      <c r="Q20" s="151" t="s">
        <v>771</v>
      </c>
      <c r="R20" s="151" t="s">
        <v>771</v>
      </c>
      <c r="S20" s="151" t="s">
        <v>771</v>
      </c>
      <c r="T20" s="151" t="s">
        <v>1400</v>
      </c>
      <c r="U20" s="151" t="s">
        <v>1400</v>
      </c>
      <c r="V20" s="151" t="s">
        <v>771</v>
      </c>
      <c r="W20" s="151" t="s">
        <v>771</v>
      </c>
      <c r="X20" s="151" t="s">
        <v>771</v>
      </c>
      <c r="Y20" s="151" t="s">
        <v>771</v>
      </c>
      <c r="Z20" s="151" t="s">
        <v>771</v>
      </c>
      <c r="AA20" s="151" t="s">
        <v>1400</v>
      </c>
      <c r="AB20" s="151" t="s">
        <v>1400</v>
      </c>
      <c r="AC20" s="151" t="s">
        <v>771</v>
      </c>
      <c r="AD20" s="151" t="s">
        <v>771</v>
      </c>
      <c r="AE20" s="151" t="s">
        <v>771</v>
      </c>
      <c r="AF20" s="151" t="s">
        <v>771</v>
      </c>
      <c r="AG20" s="25">
        <f t="shared" si="7"/>
        <v>22</v>
      </c>
      <c r="AH20" s="55">
        <f t="shared" si="8"/>
        <v>176</v>
      </c>
      <c r="AI20" s="20" t="str" cm="1">
        <f t="array" ref="AI20">_xlfn.LET(
    _xlpm.data, B20:AF20,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Kiko</v>
      </c>
      <c r="AJ20" s="20" t="str" cm="1">
        <f t="array" ref="AJ20">_xlfn._xlws.FILTER(表格6[Full Name],(表格6[Name]=AI20)+(表格6[Name]&amp;"_1"=AI20)+(表格6[Name]&amp;"_2"=AI20)+(表格6[Name]&amp;"_3"=AI20)+(表格6[Name]&amp;"_4"=AI20)+(表格6[Name]&amp;"_5"=AI20))</f>
        <v>Chan Mei Sim</v>
      </c>
      <c r="AK20" s="20" cm="1">
        <f t="array" ref="AK20">_xlfn._xlws.FILTER(三國演義!$C$13:$C$80,三國演義!$E$13:$E$80=Roster!AI20)</f>
        <v>16</v>
      </c>
      <c r="AL20" s="20">
        <v>60</v>
      </c>
      <c r="AM20" s="124">
        <v>0</v>
      </c>
      <c r="AN20" s="133">
        <v>0.02</v>
      </c>
    </row>
    <row r="21" spans="1:40">
      <c r="A21" s="170" t="s">
        <v>1145</v>
      </c>
      <c r="B21" s="151" t="s">
        <v>1958</v>
      </c>
      <c r="C21" s="151" t="s">
        <v>932</v>
      </c>
      <c r="D21" s="151" t="s">
        <v>932</v>
      </c>
      <c r="E21" s="151" t="s">
        <v>932</v>
      </c>
      <c r="F21" s="151" t="s">
        <v>932</v>
      </c>
      <c r="G21" s="151" t="s">
        <v>1958</v>
      </c>
      <c r="H21" s="151" t="s">
        <v>932</v>
      </c>
      <c r="I21" s="151" t="s">
        <v>932</v>
      </c>
      <c r="J21" s="151" t="s">
        <v>932</v>
      </c>
      <c r="K21" s="151" t="s">
        <v>932</v>
      </c>
      <c r="L21" s="151" t="s">
        <v>932</v>
      </c>
      <c r="M21" s="151" t="s">
        <v>1958</v>
      </c>
      <c r="N21" s="151" t="s">
        <v>1958</v>
      </c>
      <c r="O21" s="151" t="s">
        <v>932</v>
      </c>
      <c r="P21" s="151" t="s">
        <v>932</v>
      </c>
      <c r="Q21" s="151" t="s">
        <v>932</v>
      </c>
      <c r="R21" s="151" t="s">
        <v>932</v>
      </c>
      <c r="S21" s="151" t="s">
        <v>1958</v>
      </c>
      <c r="T21" s="151" t="s">
        <v>1958</v>
      </c>
      <c r="U21" s="151" t="s">
        <v>932</v>
      </c>
      <c r="V21" s="151" t="s">
        <v>932</v>
      </c>
      <c r="W21" s="151" t="s">
        <v>932</v>
      </c>
      <c r="X21" s="151" t="s">
        <v>932</v>
      </c>
      <c r="Y21" s="151" t="s">
        <v>932</v>
      </c>
      <c r="Z21" s="151" t="s">
        <v>932</v>
      </c>
      <c r="AA21" s="151" t="s">
        <v>1958</v>
      </c>
      <c r="AB21" s="151" t="s">
        <v>1958</v>
      </c>
      <c r="AC21" s="151" t="s">
        <v>1958</v>
      </c>
      <c r="AD21" s="151" t="s">
        <v>932</v>
      </c>
      <c r="AE21" s="151" t="s">
        <v>932</v>
      </c>
      <c r="AF21" s="151" t="s">
        <v>932</v>
      </c>
      <c r="AG21" s="25">
        <f t="shared" si="7"/>
        <v>22</v>
      </c>
      <c r="AH21" s="153">
        <f>AG21*8-6</f>
        <v>170</v>
      </c>
      <c r="AI21" s="20" t="str" cm="1">
        <f t="array" ref="AI21">_xlfn.LET(
    _xlpm.data, B21:AF21,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Jaco</v>
      </c>
      <c r="AJ21" s="20" t="str" cm="1">
        <f t="array" ref="AJ21">_xlfn._xlws.FILTER(表格6[Full Name],(表格6[Name]=AI21)+(表格6[Name]&amp;"_1"=AI21)+(表格6[Name]&amp;"_2"=AI21)+(表格6[Name]&amp;"_3"=AI21)+(表格6[Name]&amp;"_4"=AI21)+(表格6[Name]&amp;"_5"=AI21))</f>
        <v>Ka Kui,Jaco</v>
      </c>
      <c r="AK21" s="20" cm="1">
        <f t="array" ref="AK21">_xlfn._xlws.FILTER(三國演義!$C$13:$C$80,三國演義!$E$13:$E$80=Roster!AI21)</f>
        <v>17</v>
      </c>
      <c r="AL21" s="20">
        <v>60</v>
      </c>
      <c r="AM21" s="124">
        <v>0</v>
      </c>
      <c r="AN21" s="133">
        <v>0.02</v>
      </c>
    </row>
    <row r="22" spans="1:40">
      <c r="A22" s="170" t="s">
        <v>683</v>
      </c>
      <c r="B22" s="151" t="s">
        <v>864</v>
      </c>
      <c r="C22" s="151" t="s">
        <v>864</v>
      </c>
      <c r="D22" s="151" t="s">
        <v>864</v>
      </c>
      <c r="E22" s="151" t="s">
        <v>864</v>
      </c>
      <c r="F22" s="151" t="s">
        <v>1577</v>
      </c>
      <c r="G22" s="151" t="s">
        <v>1577</v>
      </c>
      <c r="H22" s="151" t="s">
        <v>864</v>
      </c>
      <c r="I22" s="151" t="s">
        <v>864</v>
      </c>
      <c r="J22" s="151" t="s">
        <v>864</v>
      </c>
      <c r="K22" s="151" t="s">
        <v>864</v>
      </c>
      <c r="L22" s="151" t="s">
        <v>1577</v>
      </c>
      <c r="M22" s="151" t="s">
        <v>1577</v>
      </c>
      <c r="N22" s="151" t="s">
        <v>1577</v>
      </c>
      <c r="O22" s="151" t="s">
        <v>864</v>
      </c>
      <c r="P22" s="151" t="s">
        <v>864</v>
      </c>
      <c r="Q22" s="151" t="s">
        <v>864</v>
      </c>
      <c r="R22" s="151" t="s">
        <v>864</v>
      </c>
      <c r="S22" s="151" t="s">
        <v>864</v>
      </c>
      <c r="T22" s="151" t="s">
        <v>1577</v>
      </c>
      <c r="U22" s="151" t="s">
        <v>864</v>
      </c>
      <c r="V22" s="151" t="s">
        <v>864</v>
      </c>
      <c r="W22" s="151" t="s">
        <v>864</v>
      </c>
      <c r="X22" s="151" t="s">
        <v>864</v>
      </c>
      <c r="Y22" s="151" t="s">
        <v>864</v>
      </c>
      <c r="Z22" s="151" t="s">
        <v>864</v>
      </c>
      <c r="AA22" s="151" t="s">
        <v>1577</v>
      </c>
      <c r="AB22" s="151" t="s">
        <v>1577</v>
      </c>
      <c r="AC22" s="151" t="s">
        <v>864</v>
      </c>
      <c r="AD22" s="151" t="s">
        <v>864</v>
      </c>
      <c r="AE22" s="151" t="s">
        <v>864</v>
      </c>
      <c r="AF22" s="151" t="s">
        <v>864</v>
      </c>
      <c r="AG22" s="25">
        <f t="shared" si="7"/>
        <v>23</v>
      </c>
      <c r="AH22" s="55">
        <f t="shared" si="8"/>
        <v>184</v>
      </c>
      <c r="AI22" s="20" t="str" cm="1">
        <f t="array" ref="AI22">_xlfn.LET(
    _xlpm.data, B22:AF22,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Daisy</v>
      </c>
      <c r="AJ22" s="20" t="str" cm="1">
        <f t="array" ref="AJ22">_xlfn._xlws.FILTER(表格6[Full Name],(表格6[Name]=AI22)+(表格6[Name]&amp;"_1"=AI22)+(表格6[Name]&amp;"_2"=AI22)+(表格6[Name]&amp;"_3"=AI22)+(表格6[Name]&amp;"_4"=AI22)+(表格6[Name]&amp;"_5"=AI22))</f>
        <v>Yeung Kwai Lin</v>
      </c>
      <c r="AK22" s="20" cm="1">
        <f t="array" ref="AK22">_xlfn._xlws.FILTER(三國演義!$C$13:$C$80,三國演義!$E$13:$E$80=Roster!AI22)</f>
        <v>18</v>
      </c>
      <c r="AL22" s="20">
        <v>60</v>
      </c>
      <c r="AM22" s="124">
        <v>0</v>
      </c>
      <c r="AN22" s="133">
        <v>0.02</v>
      </c>
    </row>
    <row r="23" spans="1:40">
      <c r="A23" s="170" t="s">
        <v>1573</v>
      </c>
      <c r="B23" s="151" t="s">
        <v>873</v>
      </c>
      <c r="C23" s="151" t="s">
        <v>1572</v>
      </c>
      <c r="D23" s="151" t="s">
        <v>873</v>
      </c>
      <c r="E23" s="151" t="s">
        <v>873</v>
      </c>
      <c r="F23" s="151" t="s">
        <v>873</v>
      </c>
      <c r="G23" s="151" t="s">
        <v>1572</v>
      </c>
      <c r="H23" s="151" t="s">
        <v>873</v>
      </c>
      <c r="I23" s="151" t="s">
        <v>873</v>
      </c>
      <c r="J23" s="151" t="s">
        <v>873</v>
      </c>
      <c r="K23" s="151" t="s">
        <v>873</v>
      </c>
      <c r="L23" s="151" t="s">
        <v>1572</v>
      </c>
      <c r="M23" s="151" t="s">
        <v>873</v>
      </c>
      <c r="N23" s="151" t="s">
        <v>873</v>
      </c>
      <c r="O23" s="151" t="s">
        <v>873</v>
      </c>
      <c r="P23" s="151" t="s">
        <v>873</v>
      </c>
      <c r="Q23" s="151" t="s">
        <v>873</v>
      </c>
      <c r="R23" s="151" t="s">
        <v>1572</v>
      </c>
      <c r="S23" s="151" t="s">
        <v>873</v>
      </c>
      <c r="T23" s="151" t="s">
        <v>1572</v>
      </c>
      <c r="U23" s="151" t="s">
        <v>1572</v>
      </c>
      <c r="V23" s="151" t="s">
        <v>1575</v>
      </c>
      <c r="W23" s="151" t="s">
        <v>1575</v>
      </c>
      <c r="X23" s="151" t="s">
        <v>1572</v>
      </c>
      <c r="Y23" s="151" t="s">
        <v>873</v>
      </c>
      <c r="Z23" s="151" t="s">
        <v>873</v>
      </c>
      <c r="AA23" s="151" t="s">
        <v>873</v>
      </c>
      <c r="AB23" s="151" t="s">
        <v>1572</v>
      </c>
      <c r="AC23" s="151" t="s">
        <v>873</v>
      </c>
      <c r="AD23" s="151" t="s">
        <v>873</v>
      </c>
      <c r="AE23" s="151" t="s">
        <v>873</v>
      </c>
      <c r="AF23" s="151" t="s">
        <v>873</v>
      </c>
      <c r="AG23" s="25">
        <f t="shared" si="7"/>
        <v>21</v>
      </c>
      <c r="AH23" s="55">
        <f t="shared" si="8"/>
        <v>168</v>
      </c>
      <c r="AI23" s="20" t="str" cm="1">
        <f t="array" ref="AI23">_xlfn.LET(
    _xlpm.data, B23:AF23,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Pam</v>
      </c>
      <c r="AJ23" s="20" t="str" cm="1">
        <f t="array" ref="AJ23">_xlfn._xlws.FILTER(表格6[Full Name],(表格6[Name]=AI23)+(表格6[Name]&amp;"_1"=AI23)+(表格6[Name]&amp;"_2"=AI23)+(表格6[Name]&amp;"_3"=AI23)+(表格6[Name]&amp;"_4"=AI23)+(表格6[Name]&amp;"_5"=AI23))</f>
        <v>Tam Wing Lam</v>
      </c>
      <c r="AK23" s="20" cm="1">
        <f t="array" ref="AK23">_xlfn._xlws.FILTER(三國演義!$C$13:$C$80,三國演義!$E$13:$E$80=Roster!AI23)</f>
        <v>19</v>
      </c>
      <c r="AL23" s="20">
        <v>55</v>
      </c>
      <c r="AM23" s="124">
        <v>0</v>
      </c>
      <c r="AN23" s="133">
        <v>0.02</v>
      </c>
    </row>
    <row r="24" spans="1:40">
      <c r="A24" s="170" t="s">
        <v>1574</v>
      </c>
      <c r="B24" s="80" t="s">
        <v>1575</v>
      </c>
      <c r="C24" s="80" t="s">
        <v>1575</v>
      </c>
      <c r="D24" s="80" t="s">
        <v>1575</v>
      </c>
      <c r="E24" s="80" t="s">
        <v>1575</v>
      </c>
      <c r="F24" s="80" t="s">
        <v>1575</v>
      </c>
      <c r="G24" s="80" t="s">
        <v>1575</v>
      </c>
      <c r="H24" s="80" t="s">
        <v>1575</v>
      </c>
      <c r="I24" s="80" t="s">
        <v>1575</v>
      </c>
      <c r="J24" s="80" t="s">
        <v>1575</v>
      </c>
      <c r="K24" s="80" t="s">
        <v>1575</v>
      </c>
      <c r="L24" s="80" t="s">
        <v>1575</v>
      </c>
      <c r="M24" s="80" t="s">
        <v>1575</v>
      </c>
      <c r="N24" s="80" t="s">
        <v>1575</v>
      </c>
      <c r="O24" s="80" t="s">
        <v>1575</v>
      </c>
      <c r="P24" s="80" t="s">
        <v>1575</v>
      </c>
      <c r="Q24" s="80" t="s">
        <v>1575</v>
      </c>
      <c r="R24" s="80" t="s">
        <v>770</v>
      </c>
      <c r="S24" s="80" t="s">
        <v>1575</v>
      </c>
      <c r="T24" s="80" t="s">
        <v>1575</v>
      </c>
      <c r="U24" s="80" t="s">
        <v>1575</v>
      </c>
      <c r="V24" s="151" t="s">
        <v>1908</v>
      </c>
      <c r="W24" s="151" t="s">
        <v>1908</v>
      </c>
      <c r="X24" s="80" t="s">
        <v>1575</v>
      </c>
      <c r="Y24" s="80" t="s">
        <v>1575</v>
      </c>
      <c r="Z24" s="80" t="s">
        <v>1575</v>
      </c>
      <c r="AA24" s="80" t="s">
        <v>1575</v>
      </c>
      <c r="AB24" s="80" t="s">
        <v>1575</v>
      </c>
      <c r="AC24" s="80" t="s">
        <v>1575</v>
      </c>
      <c r="AD24" s="80" t="s">
        <v>1575</v>
      </c>
      <c r="AE24" s="80" t="s">
        <v>1575</v>
      </c>
      <c r="AF24" s="80" t="s">
        <v>1575</v>
      </c>
      <c r="AG24" s="25">
        <f t="shared" ref="AG24" si="16">COUNTA(B24:AF24)-COUNTIF(B24:AF24,"."&amp;"*")-COUNTIF(B24:AF24,"off")-COUNTIF(B24:AF24,"SL"&amp;" "&amp;"*")-COUNTIF(B24:AF24,"PH"&amp;" "&amp;"*")-COUNTIF(B24:AF24,"AL"&amp;" "&amp;"*")-COUNTIF(B24:AF24,"CL"&amp;" "&amp;"*")-COUNTIF(B24:AF24,"Typhoon"&amp;" "&amp;"*")-COUNTIF(B24:AF24,"*"&amp;"off")-COUNTIF(B24:AF24," "&amp;"*")</f>
        <v>2</v>
      </c>
      <c r="AH24" s="55">
        <f t="shared" ref="AH24" si="17">AG24*8</f>
        <v>16</v>
      </c>
      <c r="AI24" s="20" t="str" cm="1">
        <f t="array" ref="AI24">_xlfn.LET(
    _xlpm.data, B24:AF24,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Tony_4</v>
      </c>
      <c r="AJ24" s="20" t="str" cm="1">
        <f t="array" ref="AJ24">_xlfn._xlws.FILTER(表格6[Full Name],(表格6[Name]=AI24)+(表格6[Name]&amp;"_1"=AI24)+(表格6[Name]&amp;"_2"=AI24)+(表格6[Name]&amp;"_3"=AI24)+(表格6[Name]&amp;"_4"=AI24)+(表格6[Name]&amp;"_5"=AI24))</f>
        <v>Wong Tak Chung</v>
      </c>
      <c r="AK24" s="20" cm="1">
        <f t="array" ref="AK24">_xlfn._xlws.FILTER(三國演義!$C$13:$C$80,三國演義!$E$13:$E$80=Roster!AI24)</f>
        <v>20</v>
      </c>
      <c r="AL24" s="20">
        <v>60</v>
      </c>
      <c r="AM24" s="124">
        <v>0</v>
      </c>
      <c r="AN24" s="133"/>
    </row>
    <row r="25" spans="1:40">
      <c r="A25" s="170" t="s">
        <v>877</v>
      </c>
      <c r="B25" s="151" t="s">
        <v>933</v>
      </c>
      <c r="C25" s="151" t="s">
        <v>933</v>
      </c>
      <c r="D25" s="151" t="s">
        <v>1571</v>
      </c>
      <c r="E25" s="151" t="s">
        <v>933</v>
      </c>
      <c r="F25" s="151" t="s">
        <v>1571</v>
      </c>
      <c r="G25" s="151" t="s">
        <v>933</v>
      </c>
      <c r="H25" s="151" t="s">
        <v>1571</v>
      </c>
      <c r="I25" s="151" t="s">
        <v>933</v>
      </c>
      <c r="J25" s="151" t="s">
        <v>933</v>
      </c>
      <c r="K25" s="151" t="s">
        <v>1571</v>
      </c>
      <c r="L25" s="151" t="s">
        <v>933</v>
      </c>
      <c r="M25" s="151" t="s">
        <v>1571</v>
      </c>
      <c r="N25" s="151" t="s">
        <v>933</v>
      </c>
      <c r="O25" s="151" t="s">
        <v>1571</v>
      </c>
      <c r="P25" s="151" t="s">
        <v>1571</v>
      </c>
      <c r="Q25" s="151" t="s">
        <v>1571</v>
      </c>
      <c r="R25" s="151" t="s">
        <v>770</v>
      </c>
      <c r="S25" s="151" t="s">
        <v>770</v>
      </c>
      <c r="T25" s="151" t="s">
        <v>1571</v>
      </c>
      <c r="U25" s="151" t="s">
        <v>1571</v>
      </c>
      <c r="V25" s="151" t="s">
        <v>1571</v>
      </c>
      <c r="W25" s="151" t="s">
        <v>933</v>
      </c>
      <c r="X25" s="151" t="s">
        <v>933</v>
      </c>
      <c r="Y25" s="151" t="s">
        <v>933</v>
      </c>
      <c r="Z25" s="151" t="s">
        <v>933</v>
      </c>
      <c r="AA25" s="151" t="s">
        <v>770</v>
      </c>
      <c r="AB25" s="151" t="s">
        <v>933</v>
      </c>
      <c r="AC25" s="151" t="s">
        <v>933</v>
      </c>
      <c r="AD25" s="151" t="s">
        <v>933</v>
      </c>
      <c r="AE25" s="151" t="s">
        <v>770</v>
      </c>
      <c r="AF25" s="151" t="s">
        <v>933</v>
      </c>
      <c r="AG25" s="25">
        <f t="shared" si="7"/>
        <v>16</v>
      </c>
      <c r="AH25" s="55">
        <f t="shared" si="8"/>
        <v>128</v>
      </c>
      <c r="AI25" s="20" t="str" cm="1">
        <f t="array" ref="AI25">_xlfn.LET(
    _xlpm.data, B25:AF25,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Lily Hon</v>
      </c>
      <c r="AJ25" s="20" t="str" cm="1">
        <f t="array" ref="AJ25">_xlfn._xlws.FILTER(表格6[Full Name],(表格6[Name]=AI25)+(表格6[Name]&amp;"_1"=AI25)+(表格6[Name]&amp;"_2"=AI25)+(表格6[Name]&amp;"_3"=AI25)+(表格6[Name]&amp;"_4"=AI25)+(表格6[Name]&amp;"_5"=AI25))</f>
        <v>Hon Lily</v>
      </c>
      <c r="AK25" s="20" cm="1">
        <f t="array" ref="AK25">_xlfn._xlws.FILTER(三國演義!$C$13:$C$80,三國演義!$E$13:$E$80=Roster!AI25)</f>
        <v>21</v>
      </c>
      <c r="AL25" s="20">
        <v>55</v>
      </c>
      <c r="AM25" s="124">
        <v>30</v>
      </c>
      <c r="AN25" s="133">
        <v>0.02</v>
      </c>
    </row>
    <row r="26" spans="1:40">
      <c r="A26" s="170" t="s">
        <v>1137</v>
      </c>
      <c r="B26" s="80" t="s">
        <v>1302</v>
      </c>
      <c r="C26" s="80" t="s">
        <v>770</v>
      </c>
      <c r="D26" s="80" t="s">
        <v>770</v>
      </c>
      <c r="E26" s="80" t="s">
        <v>770</v>
      </c>
      <c r="F26" s="80" t="s">
        <v>770</v>
      </c>
      <c r="G26" s="80" t="s">
        <v>770</v>
      </c>
      <c r="H26" s="80" t="s">
        <v>770</v>
      </c>
      <c r="I26" s="80" t="s">
        <v>770</v>
      </c>
      <c r="J26" s="80" t="s">
        <v>770</v>
      </c>
      <c r="K26" s="80" t="s">
        <v>770</v>
      </c>
      <c r="L26" s="80" t="s">
        <v>770</v>
      </c>
      <c r="M26" s="80" t="s">
        <v>770</v>
      </c>
      <c r="N26" s="80" t="s">
        <v>770</v>
      </c>
      <c r="O26" s="80" t="s">
        <v>770</v>
      </c>
      <c r="P26" s="80" t="s">
        <v>770</v>
      </c>
      <c r="Q26" s="80" t="s">
        <v>770</v>
      </c>
      <c r="R26" s="151" t="s">
        <v>1466</v>
      </c>
      <c r="S26" s="151" t="s">
        <v>1466</v>
      </c>
      <c r="T26" s="151" t="s">
        <v>770</v>
      </c>
      <c r="U26" s="151" t="s">
        <v>770</v>
      </c>
      <c r="V26" s="151" t="s">
        <v>770</v>
      </c>
      <c r="W26" s="151" t="s">
        <v>770</v>
      </c>
      <c r="X26" s="151" t="s">
        <v>770</v>
      </c>
      <c r="Y26" s="151" t="s">
        <v>770</v>
      </c>
      <c r="Z26" s="151" t="s">
        <v>770</v>
      </c>
      <c r="AA26" s="151" t="s">
        <v>1466</v>
      </c>
      <c r="AB26" s="151" t="s">
        <v>770</v>
      </c>
      <c r="AC26" s="151" t="s">
        <v>770</v>
      </c>
      <c r="AD26" s="151" t="s">
        <v>770</v>
      </c>
      <c r="AE26" s="151" t="s">
        <v>1466</v>
      </c>
      <c r="AF26" s="80" t="s">
        <v>770</v>
      </c>
      <c r="AG26" s="25">
        <f t="shared" si="7"/>
        <v>4</v>
      </c>
      <c r="AH26" s="55">
        <f t="shared" si="8"/>
        <v>32</v>
      </c>
      <c r="AI26" s="20" t="str" cm="1">
        <f t="array" ref="AI26">_xlfn.LET(
    _xlpm.data, B26:AF26,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Ho_3</v>
      </c>
      <c r="AJ26" s="20" t="str" cm="1">
        <f t="array" ref="AJ26">_xlfn._xlws.FILTER(表格6[Full Name],(表格6[Name]=AI26)+(表格6[Name]&amp;"_1"=AI26)+(表格6[Name]&amp;"_2"=AI26)+(表格6[Name]&amp;"_3"=AI26)+(表格6[Name]&amp;"_4"=AI26)+(表格6[Name]&amp;"_5"=AI26))</f>
        <v>Kwan Tit Ho</v>
      </c>
      <c r="AK26" s="20" cm="1">
        <f t="array" ref="AK26">_xlfn._xlws.FILTER(三國演義!$C$13:$C$80,三國演義!$E$13:$E$80=Roster!AI26)</f>
        <v>22</v>
      </c>
      <c r="AL26" s="20">
        <v>55</v>
      </c>
      <c r="AM26" s="124">
        <v>0</v>
      </c>
      <c r="AN26" s="133">
        <v>0.02</v>
      </c>
    </row>
    <row r="27" spans="1:40">
      <c r="A27" s="170" t="s">
        <v>1146</v>
      </c>
      <c r="B27" s="151" t="s">
        <v>1147</v>
      </c>
      <c r="C27" s="151" t="s">
        <v>770</v>
      </c>
      <c r="D27" s="151" t="s">
        <v>770</v>
      </c>
      <c r="E27" s="151" t="s">
        <v>770</v>
      </c>
      <c r="F27" s="151" t="s">
        <v>770</v>
      </c>
      <c r="G27" s="151" t="s">
        <v>770</v>
      </c>
      <c r="H27" s="151" t="s">
        <v>1147</v>
      </c>
      <c r="I27" s="151" t="s">
        <v>1147</v>
      </c>
      <c r="J27" s="151" t="s">
        <v>770</v>
      </c>
      <c r="K27" s="151" t="s">
        <v>770</v>
      </c>
      <c r="L27" s="151" t="s">
        <v>770</v>
      </c>
      <c r="M27" s="151" t="s">
        <v>770</v>
      </c>
      <c r="N27" s="151" t="s">
        <v>770</v>
      </c>
      <c r="O27" s="151" t="s">
        <v>770</v>
      </c>
      <c r="P27" s="151" t="s">
        <v>770</v>
      </c>
      <c r="Q27" s="151" t="s">
        <v>770</v>
      </c>
      <c r="R27" s="151" t="s">
        <v>770</v>
      </c>
      <c r="S27" s="151" t="s">
        <v>770</v>
      </c>
      <c r="T27" s="151" t="s">
        <v>770</v>
      </c>
      <c r="U27" s="151" t="s">
        <v>770</v>
      </c>
      <c r="V27" s="151" t="s">
        <v>1147</v>
      </c>
      <c r="W27" s="151" t="s">
        <v>1147</v>
      </c>
      <c r="X27" s="151" t="s">
        <v>770</v>
      </c>
      <c r="Y27" s="151" t="s">
        <v>770</v>
      </c>
      <c r="Z27" s="151" t="s">
        <v>770</v>
      </c>
      <c r="AA27" s="151" t="s">
        <v>770</v>
      </c>
      <c r="AB27" s="151" t="s">
        <v>770</v>
      </c>
      <c r="AC27" s="151" t="s">
        <v>1147</v>
      </c>
      <c r="AD27" s="151" t="s">
        <v>1147</v>
      </c>
      <c r="AE27" s="151" t="s">
        <v>770</v>
      </c>
      <c r="AF27" s="80" t="s">
        <v>770</v>
      </c>
      <c r="AG27" s="25">
        <f t="shared" si="7"/>
        <v>7</v>
      </c>
      <c r="AH27" s="55">
        <f t="shared" si="8"/>
        <v>56</v>
      </c>
      <c r="AI27" s="20" t="str" cm="1">
        <f t="array" ref="AI27">_xlfn.LET(
    _xlpm.data, B27:AF27,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Kandy</v>
      </c>
      <c r="AJ27" s="20" t="str" cm="1">
        <f t="array" ref="AJ27">_xlfn._xlws.FILTER(表格6[Full Name],(表格6[Name]=AI27)+(表格6[Name]&amp;"_1"=AI27)+(表格6[Name]&amp;"_2"=AI27)+(表格6[Name]&amp;"_3"=AI27)+(表格6[Name]&amp;"_4"=AI27)+(表格6[Name]&amp;"_5"=AI27))</f>
        <v>Sin Hoi Yam</v>
      </c>
      <c r="AK27" s="20" cm="1">
        <f t="array" ref="AK27">_xlfn._xlws.FILTER(三國演義!$C$13:$C$80,三國演義!$E$13:$E$80=Roster!AI27)</f>
        <v>23</v>
      </c>
      <c r="AL27" s="20">
        <v>55</v>
      </c>
      <c r="AM27" s="124">
        <v>0</v>
      </c>
      <c r="AN27" s="133">
        <v>0.02</v>
      </c>
    </row>
    <row r="28" spans="1:40">
      <c r="A28" s="170" t="s">
        <v>834</v>
      </c>
      <c r="B28" s="151" t="s">
        <v>979</v>
      </c>
      <c r="C28" s="151" t="s">
        <v>979</v>
      </c>
      <c r="D28" s="151" t="s">
        <v>979</v>
      </c>
      <c r="E28" s="151" t="s">
        <v>979</v>
      </c>
      <c r="F28" s="151" t="s">
        <v>1312</v>
      </c>
      <c r="G28" s="151" t="s">
        <v>979</v>
      </c>
      <c r="H28" s="151" t="s">
        <v>979</v>
      </c>
      <c r="I28" s="151" t="s">
        <v>979</v>
      </c>
      <c r="J28" s="151" t="s">
        <v>979</v>
      </c>
      <c r="K28" s="151" t="s">
        <v>979</v>
      </c>
      <c r="L28" s="151" t="s">
        <v>979</v>
      </c>
      <c r="M28" s="151" t="s">
        <v>979</v>
      </c>
      <c r="N28" s="151" t="s">
        <v>1312</v>
      </c>
      <c r="O28" s="151" t="s">
        <v>979</v>
      </c>
      <c r="P28" s="151" t="s">
        <v>979</v>
      </c>
      <c r="Q28" s="151" t="s">
        <v>979</v>
      </c>
      <c r="R28" s="151" t="s">
        <v>979</v>
      </c>
      <c r="S28" s="151" t="s">
        <v>979</v>
      </c>
      <c r="T28" s="151" t="s">
        <v>1312</v>
      </c>
      <c r="U28" s="151" t="s">
        <v>979</v>
      </c>
      <c r="V28" s="151" t="s">
        <v>979</v>
      </c>
      <c r="W28" s="151" t="s">
        <v>979</v>
      </c>
      <c r="X28" s="151" t="s">
        <v>979</v>
      </c>
      <c r="Y28" s="151" t="s">
        <v>979</v>
      </c>
      <c r="Z28" s="151" t="s">
        <v>979</v>
      </c>
      <c r="AA28" s="151" t="s">
        <v>1312</v>
      </c>
      <c r="AB28" s="151" t="s">
        <v>1312</v>
      </c>
      <c r="AC28" s="151" t="s">
        <v>1312</v>
      </c>
      <c r="AD28" s="151" t="s">
        <v>1312</v>
      </c>
      <c r="AE28" s="151" t="s">
        <v>1312</v>
      </c>
      <c r="AF28" s="151" t="s">
        <v>1312</v>
      </c>
      <c r="AG28" s="25">
        <f t="shared" si="7"/>
        <v>22</v>
      </c>
      <c r="AH28" s="55">
        <f t="shared" si="8"/>
        <v>176</v>
      </c>
      <c r="AI28" s="20" t="str" cm="1">
        <f t="array" ref="AI28">_xlfn.LET(
    _xlpm.data, B28:AF28,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Hung</v>
      </c>
      <c r="AJ28" s="20" t="str" cm="1">
        <f t="array" ref="AJ28">_xlfn._xlws.FILTER(表格6[Full Name],(表格6[Name]=AI28)+(表格6[Name]&amp;"_1"=AI28)+(表格6[Name]&amp;"_2"=AI28)+(表格6[Name]&amp;"_3"=AI28)+(表格6[Name]&amp;"_4"=AI28)+(表格6[Name]&amp;"_5"=AI28))</f>
        <v>Hui Man Hung</v>
      </c>
      <c r="AK28" s="20" cm="1">
        <f t="array" ref="AK28">_xlfn._xlws.FILTER(三國演義!$C$13:$C$80,三國演義!$E$13:$E$80=Roster!AI28)</f>
        <v>24</v>
      </c>
      <c r="AL28" s="20">
        <v>60</v>
      </c>
      <c r="AM28" s="124">
        <v>0</v>
      </c>
      <c r="AN28" s="133">
        <v>0.02</v>
      </c>
    </row>
    <row r="29" spans="1:40">
      <c r="A29" s="170" t="s">
        <v>706</v>
      </c>
      <c r="B29" s="151" t="s">
        <v>1570</v>
      </c>
      <c r="C29" s="151" t="s">
        <v>865</v>
      </c>
      <c r="D29" s="151" t="s">
        <v>865</v>
      </c>
      <c r="E29" s="151" t="s">
        <v>1570</v>
      </c>
      <c r="F29" s="151" t="s">
        <v>865</v>
      </c>
      <c r="G29" s="151" t="s">
        <v>1570</v>
      </c>
      <c r="H29" s="151" t="s">
        <v>865</v>
      </c>
      <c r="I29" s="151" t="s">
        <v>865</v>
      </c>
      <c r="J29" s="151" t="s">
        <v>865</v>
      </c>
      <c r="K29" s="151" t="s">
        <v>865</v>
      </c>
      <c r="L29" s="151" t="s">
        <v>1570</v>
      </c>
      <c r="M29" s="151" t="s">
        <v>865</v>
      </c>
      <c r="N29" s="151" t="s">
        <v>865</v>
      </c>
      <c r="O29" s="151" t="s">
        <v>865</v>
      </c>
      <c r="P29" s="151" t="s">
        <v>865</v>
      </c>
      <c r="Q29" s="151" t="s">
        <v>865</v>
      </c>
      <c r="R29" s="151" t="s">
        <v>865</v>
      </c>
      <c r="S29" s="151" t="s">
        <v>1570</v>
      </c>
      <c r="T29" s="151" t="s">
        <v>865</v>
      </c>
      <c r="U29" s="151" t="s">
        <v>865</v>
      </c>
      <c r="V29" s="151" t="s">
        <v>865</v>
      </c>
      <c r="W29" s="151" t="s">
        <v>865</v>
      </c>
      <c r="X29" s="151" t="s">
        <v>865</v>
      </c>
      <c r="Y29" s="151" t="s">
        <v>865</v>
      </c>
      <c r="Z29" s="151" t="s">
        <v>1570</v>
      </c>
      <c r="AA29" s="151" t="s">
        <v>865</v>
      </c>
      <c r="AB29" s="151" t="s">
        <v>1570</v>
      </c>
      <c r="AC29" s="151" t="s">
        <v>1570</v>
      </c>
      <c r="AD29" s="151" t="s">
        <v>865</v>
      </c>
      <c r="AE29" s="151" t="s">
        <v>865</v>
      </c>
      <c r="AF29" s="151" t="s">
        <v>865</v>
      </c>
      <c r="AG29" s="25">
        <f t="shared" si="7"/>
        <v>23</v>
      </c>
      <c r="AH29" s="55">
        <f t="shared" si="8"/>
        <v>184</v>
      </c>
      <c r="AI29" s="20" t="str" cm="1">
        <f t="array" ref="AI29">_xlfn.LET(
    _xlpm.data, B29:AF29,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Leo</v>
      </c>
      <c r="AJ29" s="20" t="str" cm="1">
        <f t="array" ref="AJ29">_xlfn._xlws.FILTER(表格6[Full Name],(表格6[Name]=AI29)+(表格6[Name]&amp;"_1"=AI29)+(表格6[Name]&amp;"_2"=AI29)+(表格6[Name]&amp;"_3"=AI29)+(表格6[Name]&amp;"_4"=AI29)+(表格6[Name]&amp;"_5"=AI29))</f>
        <v>Lam King Chung</v>
      </c>
      <c r="AK29" s="20" cm="1">
        <f t="array" ref="AK29">_xlfn._xlws.FILTER(三國演義!$C$13:$C$80,三國演義!$E$13:$E$80=Roster!AI29)</f>
        <v>25</v>
      </c>
      <c r="AL29" s="20">
        <v>55</v>
      </c>
      <c r="AM29" s="124">
        <v>0</v>
      </c>
      <c r="AN29" s="133">
        <v>0.02</v>
      </c>
    </row>
    <row r="30" spans="1:40" ht="18.75" customHeight="1">
      <c r="A30" s="170" t="s">
        <v>1903</v>
      </c>
      <c r="B30" s="151" t="s">
        <v>1148</v>
      </c>
      <c r="C30" s="151" t="s">
        <v>2033</v>
      </c>
      <c r="D30" s="151" t="s">
        <v>2033</v>
      </c>
      <c r="E30" s="151" t="s">
        <v>2033</v>
      </c>
      <c r="F30" s="151" t="s">
        <v>1148</v>
      </c>
      <c r="G30" s="151" t="s">
        <v>1148</v>
      </c>
      <c r="H30" s="151" t="s">
        <v>1148</v>
      </c>
      <c r="I30" s="151" t="s">
        <v>1148</v>
      </c>
      <c r="J30" s="151" t="s">
        <v>1148</v>
      </c>
      <c r="K30" s="151" t="s">
        <v>2033</v>
      </c>
      <c r="L30" s="151" t="s">
        <v>2033</v>
      </c>
      <c r="M30" s="151" t="s">
        <v>1148</v>
      </c>
      <c r="N30" s="151" t="s">
        <v>1148</v>
      </c>
      <c r="O30" s="151" t="s">
        <v>1148</v>
      </c>
      <c r="P30" s="151" t="s">
        <v>1148</v>
      </c>
      <c r="Q30" s="151" t="s">
        <v>1148</v>
      </c>
      <c r="R30" s="151" t="s">
        <v>2033</v>
      </c>
      <c r="S30" s="151" t="s">
        <v>2033</v>
      </c>
      <c r="T30" s="151" t="s">
        <v>1148</v>
      </c>
      <c r="U30" s="151" t="s">
        <v>1148</v>
      </c>
      <c r="V30" s="151" t="s">
        <v>1148</v>
      </c>
      <c r="W30" s="151" t="s">
        <v>1148</v>
      </c>
      <c r="X30" s="151" t="s">
        <v>2033</v>
      </c>
      <c r="Y30" s="151" t="s">
        <v>2033</v>
      </c>
      <c r="Z30" s="151" t="s">
        <v>2033</v>
      </c>
      <c r="AA30" s="151" t="s">
        <v>1148</v>
      </c>
      <c r="AB30" s="151" t="s">
        <v>1148</v>
      </c>
      <c r="AC30" s="151" t="s">
        <v>1148</v>
      </c>
      <c r="AD30" s="151" t="s">
        <v>1148</v>
      </c>
      <c r="AE30" s="151" t="s">
        <v>1148</v>
      </c>
      <c r="AF30" s="151" t="s">
        <v>2033</v>
      </c>
      <c r="AG30" s="25">
        <f t="shared" si="7"/>
        <v>20</v>
      </c>
      <c r="AH30" s="55">
        <f t="shared" si="8"/>
        <v>160</v>
      </c>
      <c r="AI30" s="20" t="str" cm="1">
        <f t="array" ref="AI30">_xlfn.LET(
    _xlpm.data, B30:AF30,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Yee</v>
      </c>
      <c r="AJ30" s="20" t="str" cm="1">
        <f t="array" ref="AJ30">_xlfn._xlws.FILTER(表格6[Full Name],(表格6[Name]=AI30)+(表格6[Name]&amp;"_1"=AI30)+(表格6[Name]&amp;"_2"=AI30)+(表格6[Name]&amp;"_3"=AI30)+(表格6[Name]&amp;"_4"=AI30)+(表格6[Name]&amp;"_5"=AI30))</f>
        <v>Cheung Yu Wing Yee</v>
      </c>
      <c r="AK30" s="20" cm="1">
        <f t="array" ref="AK30">_xlfn._xlws.FILTER(三國演義!$C$13:$C$80,三國演義!$E$13:$E$80=Roster!AI30)</f>
        <v>26</v>
      </c>
      <c r="AL30" s="20">
        <v>60</v>
      </c>
      <c r="AM30" s="124">
        <v>0</v>
      </c>
      <c r="AN30" s="133">
        <v>0.02</v>
      </c>
    </row>
    <row r="31" spans="1:40" ht="18.75" customHeight="1">
      <c r="A31" s="170" t="s">
        <v>857</v>
      </c>
      <c r="B31" s="151" t="s">
        <v>956</v>
      </c>
      <c r="C31" s="151" t="s">
        <v>1373</v>
      </c>
      <c r="D31" s="151" t="s">
        <v>956</v>
      </c>
      <c r="E31" s="151" t="s">
        <v>956</v>
      </c>
      <c r="F31" s="151" t="s">
        <v>1373</v>
      </c>
      <c r="G31" s="151" t="s">
        <v>956</v>
      </c>
      <c r="H31" s="151" t="s">
        <v>956</v>
      </c>
      <c r="I31" s="151" t="s">
        <v>956</v>
      </c>
      <c r="J31" s="151" t="s">
        <v>956</v>
      </c>
      <c r="K31" s="151" t="s">
        <v>1373</v>
      </c>
      <c r="L31" s="151" t="s">
        <v>956</v>
      </c>
      <c r="M31" s="151" t="s">
        <v>956</v>
      </c>
      <c r="N31" s="151" t="s">
        <v>1373</v>
      </c>
      <c r="O31" s="151" t="s">
        <v>956</v>
      </c>
      <c r="P31" s="151" t="s">
        <v>956</v>
      </c>
      <c r="Q31" s="151" t="s">
        <v>956</v>
      </c>
      <c r="R31" s="151" t="s">
        <v>956</v>
      </c>
      <c r="S31" s="151" t="s">
        <v>1373</v>
      </c>
      <c r="T31" s="151" t="s">
        <v>1373</v>
      </c>
      <c r="U31" s="151" t="s">
        <v>956</v>
      </c>
      <c r="V31" s="151" t="s">
        <v>956</v>
      </c>
      <c r="W31" s="151" t="s">
        <v>956</v>
      </c>
      <c r="X31" s="151" t="s">
        <v>956</v>
      </c>
      <c r="Y31" s="151" t="s">
        <v>956</v>
      </c>
      <c r="Z31" s="151" t="s">
        <v>1373</v>
      </c>
      <c r="AA31" s="151" t="s">
        <v>956</v>
      </c>
      <c r="AB31" s="151" t="s">
        <v>956</v>
      </c>
      <c r="AC31" s="151" t="s">
        <v>956</v>
      </c>
      <c r="AD31" s="151" t="s">
        <v>956</v>
      </c>
      <c r="AE31" s="151" t="s">
        <v>956</v>
      </c>
      <c r="AF31" s="151" t="s">
        <v>956</v>
      </c>
      <c r="AG31" s="25">
        <f t="shared" si="7"/>
        <v>24</v>
      </c>
      <c r="AH31" s="55">
        <f t="shared" si="8"/>
        <v>192</v>
      </c>
      <c r="AI31" s="20" t="str" cm="1">
        <f t="array" ref="AI31">_xlfn.LET(
    _xlpm.data, B31:AF31,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 Ho</v>
      </c>
      <c r="AJ31" s="20" t="str" cm="1">
        <f t="array" ref="AJ31">_xlfn._xlws.FILTER(表格6[Full Name],(表格6[Name]=AI31)+(表格6[Name]&amp;"_1"=AI31)+(表格6[Name]&amp;"_2"=AI31)+(表格6[Name]&amp;"_3"=AI31)+(表格6[Name]&amp;"_4"=AI31)+(表格6[Name]&amp;"_5"=AI31))</f>
        <v>Ho Wai Ling</v>
      </c>
      <c r="AK31" s="20" cm="1">
        <f t="array" ref="AK31">_xlfn._xlws.FILTER(三國演義!$C$13:$C$80,三國演義!$E$13:$E$80=Roster!AI31)</f>
        <v>27</v>
      </c>
      <c r="AL31" s="20">
        <v>60</v>
      </c>
      <c r="AM31" s="124">
        <v>0</v>
      </c>
      <c r="AN31" s="133">
        <v>0.02</v>
      </c>
    </row>
    <row r="32" spans="1:40" ht="18.75" customHeight="1">
      <c r="A32" s="170" t="s">
        <v>994</v>
      </c>
      <c r="B32" s="151" t="s">
        <v>957</v>
      </c>
      <c r="C32" s="151" t="s">
        <v>1972</v>
      </c>
      <c r="D32" s="151" t="s">
        <v>957</v>
      </c>
      <c r="E32" s="151" t="s">
        <v>957</v>
      </c>
      <c r="F32" s="151" t="s">
        <v>957</v>
      </c>
      <c r="G32" s="151" t="s">
        <v>1972</v>
      </c>
      <c r="H32" s="151" t="s">
        <v>957</v>
      </c>
      <c r="I32" s="151" t="s">
        <v>957</v>
      </c>
      <c r="J32" s="151" t="s">
        <v>957</v>
      </c>
      <c r="K32" s="151" t="s">
        <v>1972</v>
      </c>
      <c r="L32" s="151" t="s">
        <v>957</v>
      </c>
      <c r="M32" s="151" t="s">
        <v>957</v>
      </c>
      <c r="N32" s="151" t="s">
        <v>1972</v>
      </c>
      <c r="O32" s="151" t="s">
        <v>1972</v>
      </c>
      <c r="P32" s="151" t="s">
        <v>957</v>
      </c>
      <c r="Q32" s="151" t="s">
        <v>957</v>
      </c>
      <c r="R32" s="151" t="s">
        <v>1972</v>
      </c>
      <c r="S32" s="151" t="s">
        <v>1972</v>
      </c>
      <c r="T32" s="151" t="s">
        <v>957</v>
      </c>
      <c r="U32" s="151" t="s">
        <v>957</v>
      </c>
      <c r="V32" s="151" t="s">
        <v>957</v>
      </c>
      <c r="W32" s="151" t="s">
        <v>957</v>
      </c>
      <c r="X32" s="151" t="s">
        <v>1972</v>
      </c>
      <c r="Y32" s="151" t="s">
        <v>1972</v>
      </c>
      <c r="Z32" s="151" t="s">
        <v>957</v>
      </c>
      <c r="AA32" s="151" t="s">
        <v>957</v>
      </c>
      <c r="AB32" s="151" t="s">
        <v>957</v>
      </c>
      <c r="AC32" s="151" t="s">
        <v>957</v>
      </c>
      <c r="AD32" s="151" t="s">
        <v>957</v>
      </c>
      <c r="AE32" s="151" t="s">
        <v>957</v>
      </c>
      <c r="AF32" s="151" t="s">
        <v>957</v>
      </c>
      <c r="AG32" s="25">
        <f t="shared" si="7"/>
        <v>22</v>
      </c>
      <c r="AH32" s="55">
        <f t="shared" si="8"/>
        <v>176</v>
      </c>
      <c r="AI32" s="20" t="str" cm="1">
        <f t="array" ref="AI32">_xlfn.LET(
    _xlpm.data, B32:AF32,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Happy</v>
      </c>
      <c r="AJ32" s="20" t="str" cm="1">
        <f t="array" ref="AJ32">_xlfn._xlws.FILTER(表格6[Full Name],(表格6[Name]=AI32)+(表格6[Name]&amp;"_1"=AI32)+(表格6[Name]&amp;"_2"=AI32)+(表格6[Name]&amp;"_3"=AI32)+(表格6[Name]&amp;"_4"=AI32)+(表格6[Name]&amp;"_5"=AI32))</f>
        <v>Chun Yin Ling</v>
      </c>
      <c r="AK32" s="20" cm="1">
        <f t="array" ref="AK32">_xlfn._xlws.FILTER(三國演義!$C$13:$C$80,三國演義!$E$13:$E$80=Roster!AI32)</f>
        <v>28</v>
      </c>
      <c r="AL32" s="20">
        <v>60</v>
      </c>
      <c r="AM32" s="124">
        <v>0</v>
      </c>
      <c r="AN32" s="133">
        <v>0.02</v>
      </c>
    </row>
    <row r="33" spans="1:40" ht="18.75" customHeight="1">
      <c r="A33" s="170" t="s">
        <v>1149</v>
      </c>
      <c r="B33" s="151" t="s">
        <v>1119</v>
      </c>
      <c r="C33" s="151" t="s">
        <v>2139</v>
      </c>
      <c r="D33" s="151" t="s">
        <v>2139</v>
      </c>
      <c r="E33" s="151" t="s">
        <v>2139</v>
      </c>
      <c r="F33" s="151" t="s">
        <v>1119</v>
      </c>
      <c r="G33" s="151" t="s">
        <v>1119</v>
      </c>
      <c r="H33" s="151" t="s">
        <v>2139</v>
      </c>
      <c r="I33" s="151" t="s">
        <v>1119</v>
      </c>
      <c r="J33" s="151" t="s">
        <v>1119</v>
      </c>
      <c r="K33" s="151" t="s">
        <v>2139</v>
      </c>
      <c r="L33" s="151" t="s">
        <v>1119</v>
      </c>
      <c r="M33" s="151" t="s">
        <v>1119</v>
      </c>
      <c r="N33" s="151" t="s">
        <v>2139</v>
      </c>
      <c r="O33" s="151" t="s">
        <v>1119</v>
      </c>
      <c r="P33" s="151" t="s">
        <v>2139</v>
      </c>
      <c r="Q33" s="151" t="s">
        <v>1119</v>
      </c>
      <c r="R33" s="151" t="s">
        <v>2139</v>
      </c>
      <c r="S33" s="151" t="s">
        <v>2139</v>
      </c>
      <c r="T33" s="151" t="s">
        <v>1119</v>
      </c>
      <c r="U33" s="151" t="s">
        <v>1119</v>
      </c>
      <c r="V33" s="151" t="s">
        <v>1119</v>
      </c>
      <c r="W33" s="151" t="s">
        <v>1119</v>
      </c>
      <c r="X33" s="151" t="s">
        <v>2139</v>
      </c>
      <c r="Y33" s="151" t="s">
        <v>1119</v>
      </c>
      <c r="Z33" s="151" t="s">
        <v>1119</v>
      </c>
      <c r="AA33" s="151" t="s">
        <v>1119</v>
      </c>
      <c r="AB33" s="151" t="s">
        <v>2139</v>
      </c>
      <c r="AC33" s="151" t="s">
        <v>2139</v>
      </c>
      <c r="AD33" s="151" t="s">
        <v>1119</v>
      </c>
      <c r="AE33" s="151" t="s">
        <v>2139</v>
      </c>
      <c r="AF33" s="151" t="s">
        <v>1119</v>
      </c>
      <c r="AG33" s="25">
        <f t="shared" si="7"/>
        <v>18</v>
      </c>
      <c r="AH33" s="55">
        <f t="shared" si="8"/>
        <v>144</v>
      </c>
      <c r="AI33" s="20" t="str" cm="1">
        <f t="array" ref="AI33">_xlfn.LET(
    _xlpm.data, B33:AF33,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Tiffany</v>
      </c>
      <c r="AJ33" s="20" t="str" cm="1">
        <f t="array" ref="AJ33">_xlfn._xlws.FILTER(表格6[Full Name],(表格6[Name]=AI33)+(表格6[Name]&amp;"_1"=AI33)+(表格6[Name]&amp;"_2"=AI33)+(表格6[Name]&amp;"_3"=AI33)+(表格6[Name]&amp;"_4"=AI33)+(表格6[Name]&amp;"_5"=AI33))</f>
        <v>Man Wai Han</v>
      </c>
      <c r="AK33" s="20" cm="1">
        <f t="array" ref="AK33">_xlfn._xlws.FILTER(三國演義!$C$13:$C$80,三國演義!$E$13:$E$80=Roster!AI33)</f>
        <v>29</v>
      </c>
      <c r="AL33" s="20">
        <v>60</v>
      </c>
      <c r="AM33" s="124">
        <v>0</v>
      </c>
      <c r="AN33" s="133">
        <v>0.02</v>
      </c>
    </row>
    <row r="34" spans="1:40">
      <c r="A34" s="170" t="s">
        <v>1133</v>
      </c>
      <c r="B34" s="151" t="s">
        <v>1150</v>
      </c>
      <c r="C34" s="151" t="s">
        <v>1468</v>
      </c>
      <c r="D34" s="151" t="s">
        <v>1150</v>
      </c>
      <c r="E34" s="151" t="s">
        <v>1150</v>
      </c>
      <c r="F34" s="151" t="s">
        <v>1150</v>
      </c>
      <c r="G34" s="151" t="s">
        <v>1468</v>
      </c>
      <c r="H34" s="151" t="s">
        <v>1150</v>
      </c>
      <c r="I34" s="151" t="s">
        <v>1150</v>
      </c>
      <c r="J34" s="151" t="s">
        <v>1468</v>
      </c>
      <c r="K34" s="151" t="s">
        <v>1468</v>
      </c>
      <c r="L34" s="151" t="s">
        <v>1150</v>
      </c>
      <c r="M34" s="151" t="s">
        <v>1150</v>
      </c>
      <c r="N34" s="151" t="s">
        <v>1468</v>
      </c>
      <c r="O34" s="151" t="s">
        <v>1150</v>
      </c>
      <c r="P34" s="151" t="s">
        <v>1150</v>
      </c>
      <c r="Q34" s="151" t="s">
        <v>1468</v>
      </c>
      <c r="R34" s="151" t="s">
        <v>1150</v>
      </c>
      <c r="S34" s="151" t="s">
        <v>1150</v>
      </c>
      <c r="T34" s="151" t="s">
        <v>1150</v>
      </c>
      <c r="U34" s="151" t="s">
        <v>1468</v>
      </c>
      <c r="V34" s="151" t="s">
        <v>1468</v>
      </c>
      <c r="W34" s="151" t="s">
        <v>1468</v>
      </c>
      <c r="X34" s="151" t="s">
        <v>1468</v>
      </c>
      <c r="Y34" s="151" t="s">
        <v>1150</v>
      </c>
      <c r="Z34" s="151" t="s">
        <v>1150</v>
      </c>
      <c r="AA34" s="151" t="s">
        <v>1150</v>
      </c>
      <c r="AB34" s="151" t="s">
        <v>1468</v>
      </c>
      <c r="AC34" s="151" t="s">
        <v>1150</v>
      </c>
      <c r="AD34" s="151" t="s">
        <v>1150</v>
      </c>
      <c r="AE34" s="151" t="s">
        <v>1150</v>
      </c>
      <c r="AF34" s="151" t="s">
        <v>1150</v>
      </c>
      <c r="AG34" s="25">
        <f t="shared" si="7"/>
        <v>20</v>
      </c>
      <c r="AH34" s="55">
        <f t="shared" si="8"/>
        <v>160</v>
      </c>
      <c r="AI34" s="20" t="str" cm="1">
        <f t="array" ref="AI34">_xlfn.LET(
    _xlpm.data, B34:AF34,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Coco</v>
      </c>
      <c r="AJ34" s="20" t="str" cm="1">
        <f t="array" ref="AJ34">_xlfn._xlws.FILTER(表格6[Full Name],(表格6[Name]=AI34)+(表格6[Name]&amp;"_1"=AI34)+(表格6[Name]&amp;"_2"=AI34)+(表格6[Name]&amp;"_3"=AI34)+(表格6[Name]&amp;"_4"=AI34)+(表格6[Name]&amp;"_5"=AI34))</f>
        <v>Yuen Lai Ying</v>
      </c>
      <c r="AK34" s="20" cm="1">
        <f t="array" ref="AK34">_xlfn._xlws.FILTER(三國演義!$C$13:$C$80,三國演義!$E$13:$E$80=Roster!AI34)</f>
        <v>30</v>
      </c>
      <c r="AL34" s="20">
        <v>60</v>
      </c>
      <c r="AM34" s="124">
        <v>0</v>
      </c>
      <c r="AN34" s="133">
        <v>0.02</v>
      </c>
    </row>
    <row r="35" spans="1:40" ht="18.75" customHeight="1">
      <c r="A35" s="170" t="s">
        <v>1120</v>
      </c>
      <c r="B35" s="151" t="s">
        <v>1121</v>
      </c>
      <c r="C35" s="151" t="s">
        <v>1121</v>
      </c>
      <c r="D35" s="151" t="s">
        <v>1121</v>
      </c>
      <c r="E35" s="151" t="s">
        <v>1121</v>
      </c>
      <c r="F35" s="151" t="s">
        <v>1121</v>
      </c>
      <c r="G35" s="151" t="s">
        <v>2138</v>
      </c>
      <c r="H35" s="151" t="s">
        <v>1121</v>
      </c>
      <c r="I35" s="151" t="s">
        <v>2138</v>
      </c>
      <c r="J35" s="151" t="s">
        <v>1121</v>
      </c>
      <c r="K35" s="151" t="s">
        <v>1121</v>
      </c>
      <c r="L35" s="151" t="s">
        <v>1121</v>
      </c>
      <c r="M35" s="151" t="s">
        <v>1121</v>
      </c>
      <c r="N35" s="151" t="s">
        <v>2138</v>
      </c>
      <c r="O35" s="151" t="s">
        <v>2138</v>
      </c>
      <c r="P35" s="151" t="s">
        <v>1121</v>
      </c>
      <c r="Q35" s="151" t="s">
        <v>1121</v>
      </c>
      <c r="R35" s="151" t="s">
        <v>1121</v>
      </c>
      <c r="S35" s="151" t="s">
        <v>1121</v>
      </c>
      <c r="T35" s="151" t="s">
        <v>2138</v>
      </c>
      <c r="U35" s="151" t="s">
        <v>2138</v>
      </c>
      <c r="V35" s="151" t="s">
        <v>1121</v>
      </c>
      <c r="W35" s="151" t="s">
        <v>1121</v>
      </c>
      <c r="X35" s="151" t="s">
        <v>1121</v>
      </c>
      <c r="Y35" s="151" t="s">
        <v>1121</v>
      </c>
      <c r="Z35" s="151" t="s">
        <v>1121</v>
      </c>
      <c r="AA35" s="151" t="s">
        <v>1121</v>
      </c>
      <c r="AB35" s="151" t="s">
        <v>2138</v>
      </c>
      <c r="AC35" s="151" t="s">
        <v>1121</v>
      </c>
      <c r="AD35" s="151" t="s">
        <v>1121</v>
      </c>
      <c r="AE35" s="151" t="s">
        <v>1121</v>
      </c>
      <c r="AF35" s="151" t="s">
        <v>1121</v>
      </c>
      <c r="AG35" s="25">
        <f t="shared" si="7"/>
        <v>24</v>
      </c>
      <c r="AH35" s="55">
        <f t="shared" si="8"/>
        <v>192</v>
      </c>
      <c r="AI35" s="20" t="str" cm="1">
        <f t="array" ref="AI35">_xlfn.LET(
    _xlpm.data, B35:AF35,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Raymond</v>
      </c>
      <c r="AJ35" s="20" t="str" cm="1">
        <f t="array" ref="AJ35">_xlfn._xlws.FILTER(表格6[Full Name],(表格6[Name]=AI35)+(表格6[Name]&amp;"_1"=AI35)+(表格6[Name]&amp;"_2"=AI35)+(表格6[Name]&amp;"_3"=AI35)+(表格6[Name]&amp;"_4"=AI35)+(表格6[Name]&amp;"_5"=AI35))</f>
        <v>Kwok Chun Wah</v>
      </c>
      <c r="AK35" s="20" cm="1">
        <f t="array" ref="AK35">_xlfn._xlws.FILTER(三國演義!$C$13:$C$80,三國演義!$E$13:$E$80=Roster!AI35)</f>
        <v>31</v>
      </c>
      <c r="AL35" s="20">
        <v>60</v>
      </c>
      <c r="AM35" s="124">
        <v>0</v>
      </c>
      <c r="AN35" s="133">
        <v>0.02</v>
      </c>
    </row>
    <row r="36" spans="1:40">
      <c r="A36" s="170" t="s">
        <v>827</v>
      </c>
      <c r="B36" s="151" t="s">
        <v>1095</v>
      </c>
      <c r="C36" s="151" t="s">
        <v>1095</v>
      </c>
      <c r="D36" s="151" t="s">
        <v>770</v>
      </c>
      <c r="E36" s="151" t="s">
        <v>770</v>
      </c>
      <c r="F36" s="151" t="s">
        <v>1095</v>
      </c>
      <c r="G36" s="151" t="s">
        <v>1095</v>
      </c>
      <c r="H36" s="151" t="s">
        <v>1095</v>
      </c>
      <c r="I36" s="151" t="s">
        <v>1095</v>
      </c>
      <c r="J36" s="151" t="s">
        <v>1095</v>
      </c>
      <c r="K36" s="151" t="s">
        <v>1095</v>
      </c>
      <c r="L36" s="151" t="s">
        <v>770</v>
      </c>
      <c r="M36" s="151" t="s">
        <v>770</v>
      </c>
      <c r="N36" s="151" t="s">
        <v>770</v>
      </c>
      <c r="O36" s="151" t="s">
        <v>1095</v>
      </c>
      <c r="P36" s="151" t="s">
        <v>1095</v>
      </c>
      <c r="Q36" s="151" t="s">
        <v>1095</v>
      </c>
      <c r="R36" s="151" t="s">
        <v>1095</v>
      </c>
      <c r="S36" s="151" t="s">
        <v>770</v>
      </c>
      <c r="T36" s="151" t="s">
        <v>770</v>
      </c>
      <c r="U36" s="151" t="s">
        <v>1095</v>
      </c>
      <c r="V36" s="151" t="s">
        <v>1095</v>
      </c>
      <c r="W36" s="151" t="s">
        <v>1095</v>
      </c>
      <c r="X36" s="151" t="s">
        <v>1095</v>
      </c>
      <c r="Y36" s="151" t="s">
        <v>1095</v>
      </c>
      <c r="Z36" s="151" t="s">
        <v>770</v>
      </c>
      <c r="AA36" s="151" t="s">
        <v>770</v>
      </c>
      <c r="AB36" s="151" t="s">
        <v>1095</v>
      </c>
      <c r="AC36" s="151" t="s">
        <v>1095</v>
      </c>
      <c r="AD36" s="151" t="s">
        <v>1095</v>
      </c>
      <c r="AE36" s="151" t="s">
        <v>1095</v>
      </c>
      <c r="AF36" s="151" t="s">
        <v>1095</v>
      </c>
      <c r="AG36" s="25">
        <f t="shared" si="7"/>
        <v>22</v>
      </c>
      <c r="AH36" s="55">
        <f t="shared" si="8"/>
        <v>176</v>
      </c>
      <c r="AI36" s="20" t="str" cm="1">
        <f t="array" ref="AI36">_xlfn.LET(
    _xlpm.data, B36:AF36,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Maggie Yip</v>
      </c>
      <c r="AJ36" s="20" t="str" cm="1">
        <f t="array" ref="AJ36">_xlfn._xlws.FILTER(表格6[Full Name],(表格6[Name]=AI36)+(表格6[Name]&amp;"_1"=AI36)+(表格6[Name]&amp;"_2"=AI36)+(表格6[Name]&amp;"_3"=AI36)+(表格6[Name]&amp;"_4"=AI36)+(表格6[Name]&amp;"_5"=AI36))</f>
        <v>Yip Mei King</v>
      </c>
      <c r="AK36" s="20" cm="1">
        <f t="array" ref="AK36">_xlfn._xlws.FILTER(三國演義!$C$13:$C$80,三國演義!$E$13:$E$80=Roster!AI36)</f>
        <v>32</v>
      </c>
      <c r="AL36" s="20">
        <v>60</v>
      </c>
      <c r="AM36" s="124">
        <v>0</v>
      </c>
      <c r="AN36" s="133">
        <v>0.02</v>
      </c>
    </row>
    <row r="37" spans="1:40">
      <c r="A37" s="170" t="s">
        <v>941</v>
      </c>
      <c r="B37" s="80" t="s">
        <v>770</v>
      </c>
      <c r="C37" s="80" t="s">
        <v>770</v>
      </c>
      <c r="D37" s="151" t="s">
        <v>1096</v>
      </c>
      <c r="E37" s="151" t="s">
        <v>1096</v>
      </c>
      <c r="F37" s="151" t="s">
        <v>770</v>
      </c>
      <c r="G37" s="151" t="s">
        <v>770</v>
      </c>
      <c r="H37" s="151" t="s">
        <v>770</v>
      </c>
      <c r="I37" s="151" t="s">
        <v>770</v>
      </c>
      <c r="J37" s="151" t="s">
        <v>770</v>
      </c>
      <c r="K37" s="151" t="s">
        <v>770</v>
      </c>
      <c r="L37" s="151" t="s">
        <v>770</v>
      </c>
      <c r="M37" s="151" t="s">
        <v>770</v>
      </c>
      <c r="N37" s="151" t="s">
        <v>770</v>
      </c>
      <c r="O37" s="151" t="s">
        <v>770</v>
      </c>
      <c r="P37" s="151" t="s">
        <v>770</v>
      </c>
      <c r="Q37" s="151" t="s">
        <v>770</v>
      </c>
      <c r="R37" s="151" t="s">
        <v>770</v>
      </c>
      <c r="S37" s="151" t="s">
        <v>1096</v>
      </c>
      <c r="T37" s="151" t="s">
        <v>1096</v>
      </c>
      <c r="U37" s="80" t="s">
        <v>770</v>
      </c>
      <c r="V37" s="80" t="s">
        <v>770</v>
      </c>
      <c r="W37" s="80" t="s">
        <v>770</v>
      </c>
      <c r="X37" s="80" t="s">
        <v>770</v>
      </c>
      <c r="Y37" s="80" t="s">
        <v>770</v>
      </c>
      <c r="Z37" s="80" t="s">
        <v>770</v>
      </c>
      <c r="AA37" s="80" t="s">
        <v>770</v>
      </c>
      <c r="AB37" s="80" t="s">
        <v>770</v>
      </c>
      <c r="AC37" s="80" t="s">
        <v>770</v>
      </c>
      <c r="AD37" s="80" t="s">
        <v>770</v>
      </c>
      <c r="AE37" s="80" t="s">
        <v>770</v>
      </c>
      <c r="AF37" s="80" t="s">
        <v>770</v>
      </c>
      <c r="AG37" s="25">
        <f t="shared" si="7"/>
        <v>4</v>
      </c>
      <c r="AH37" s="55">
        <f t="shared" si="8"/>
        <v>32</v>
      </c>
      <c r="AI37" s="20" t="str" cm="1">
        <f t="array" ref="AI37">_xlfn.LET(
    _xlpm.data, B37:AF37,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Emma</v>
      </c>
      <c r="AJ37" s="20" t="str" cm="1">
        <f t="array" ref="AJ37">_xlfn._xlws.FILTER(表格6[Full Name],(表格6[Name]=AI37)+(表格6[Name]&amp;"_1"=AI37)+(表格6[Name]&amp;"_2"=AI37)+(表格6[Name]&amp;"_3"=AI37)+(表格6[Name]&amp;"_4"=AI37)+(表格6[Name]&amp;"_5"=AI37))</f>
        <v>Ng Yuk Ying</v>
      </c>
      <c r="AK37" s="20" cm="1">
        <f t="array" ref="AK37">_xlfn._xlws.FILTER(三國演義!$C$13:$C$80,三國演義!$E$13:$E$80=Roster!AI37)</f>
        <v>33</v>
      </c>
      <c r="AL37" s="20">
        <v>60</v>
      </c>
      <c r="AM37" s="124">
        <v>0</v>
      </c>
      <c r="AN37" s="133">
        <v>0.02</v>
      </c>
    </row>
    <row r="38" spans="1:40">
      <c r="A38" s="170" t="s">
        <v>1301</v>
      </c>
      <c r="B38" s="80" t="s">
        <v>770</v>
      </c>
      <c r="C38" s="80" t="s">
        <v>770</v>
      </c>
      <c r="D38" s="80" t="s">
        <v>770</v>
      </c>
      <c r="E38" s="80" t="s">
        <v>770</v>
      </c>
      <c r="F38" s="80" t="s">
        <v>770</v>
      </c>
      <c r="G38" s="80" t="s">
        <v>770</v>
      </c>
      <c r="H38" s="80" t="s">
        <v>770</v>
      </c>
      <c r="I38" s="80" t="s">
        <v>770</v>
      </c>
      <c r="J38" s="80" t="s">
        <v>770</v>
      </c>
      <c r="K38" s="80" t="s">
        <v>770</v>
      </c>
      <c r="L38" s="80" t="s">
        <v>770</v>
      </c>
      <c r="M38" s="80" t="s">
        <v>770</v>
      </c>
      <c r="N38" s="80" t="s">
        <v>770</v>
      </c>
      <c r="O38" s="80" t="s">
        <v>770</v>
      </c>
      <c r="P38" s="80" t="s">
        <v>770</v>
      </c>
      <c r="Q38" s="80" t="s">
        <v>770</v>
      </c>
      <c r="R38" s="80" t="s">
        <v>770</v>
      </c>
      <c r="S38" s="80" t="s">
        <v>770</v>
      </c>
      <c r="T38" s="80" t="s">
        <v>770</v>
      </c>
      <c r="U38" s="80" t="s">
        <v>770</v>
      </c>
      <c r="V38" s="80" t="s">
        <v>770</v>
      </c>
      <c r="W38" s="80" t="s">
        <v>770</v>
      </c>
      <c r="X38" s="80" t="s">
        <v>770</v>
      </c>
      <c r="Y38" s="151" t="s">
        <v>770</v>
      </c>
      <c r="Z38" s="151" t="s">
        <v>1218</v>
      </c>
      <c r="AA38" s="151" t="s">
        <v>1218</v>
      </c>
      <c r="AB38" s="151" t="s">
        <v>770</v>
      </c>
      <c r="AC38" s="151" t="s">
        <v>770</v>
      </c>
      <c r="AD38" s="151" t="s">
        <v>770</v>
      </c>
      <c r="AE38" s="151" t="s">
        <v>770</v>
      </c>
      <c r="AF38" s="151" t="s">
        <v>770</v>
      </c>
      <c r="AG38" s="25">
        <f t="shared" si="7"/>
        <v>2</v>
      </c>
      <c r="AH38" s="55">
        <f t="shared" si="8"/>
        <v>16</v>
      </c>
      <c r="AI38" s="20" t="str" cm="1">
        <f t="array" ref="AI38">_xlfn.LET(
    _xlpm.data, B38:AF38,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Tony_1</v>
      </c>
      <c r="AJ38" s="20" t="str" cm="1">
        <f t="array" ref="AJ38">_xlfn._xlws.FILTER(表格6[Full Name],(表格6[Name]=AI38)+(表格6[Name]&amp;"_1"=AI38)+(表格6[Name]&amp;"_2"=AI38)+(表格6[Name]&amp;"_3"=AI38)+(表格6[Name]&amp;"_4"=AI38)+(表格6[Name]&amp;"_5"=AI38))</f>
        <v>Wong Tak Chung</v>
      </c>
      <c r="AK38" s="20" cm="1">
        <f t="array" ref="AK38">_xlfn._xlws.FILTER(三國演義!$C$13:$C$80,三國演義!$E$13:$E$80=Roster!AI38)</f>
        <v>34</v>
      </c>
      <c r="AL38" s="20">
        <v>60</v>
      </c>
      <c r="AM38" s="124">
        <v>0</v>
      </c>
      <c r="AN38" s="133"/>
    </row>
    <row r="39" spans="1:40">
      <c r="A39" s="170" t="s">
        <v>1566</v>
      </c>
      <c r="B39" s="80" t="s">
        <v>770</v>
      </c>
      <c r="C39" s="80" t="s">
        <v>770</v>
      </c>
      <c r="D39" s="80" t="s">
        <v>770</v>
      </c>
      <c r="E39" s="80" t="s">
        <v>770</v>
      </c>
      <c r="F39" s="80" t="s">
        <v>770</v>
      </c>
      <c r="G39" s="80" t="s">
        <v>770</v>
      </c>
      <c r="H39" s="80" t="s">
        <v>770</v>
      </c>
      <c r="I39" s="80" t="s">
        <v>770</v>
      </c>
      <c r="J39" s="80" t="s">
        <v>770</v>
      </c>
      <c r="K39" s="151" t="s">
        <v>770</v>
      </c>
      <c r="L39" s="151" t="s">
        <v>1415</v>
      </c>
      <c r="M39" s="151" t="s">
        <v>1415</v>
      </c>
      <c r="N39" s="151" t="s">
        <v>1415</v>
      </c>
      <c r="O39" s="151" t="s">
        <v>770</v>
      </c>
      <c r="P39" s="80" t="s">
        <v>770</v>
      </c>
      <c r="Q39" s="80" t="s">
        <v>770</v>
      </c>
      <c r="R39" s="80" t="s">
        <v>770</v>
      </c>
      <c r="S39" s="80" t="s">
        <v>770</v>
      </c>
      <c r="T39" s="80" t="s">
        <v>770</v>
      </c>
      <c r="U39" s="80" t="s">
        <v>770</v>
      </c>
      <c r="V39" s="80" t="s">
        <v>770</v>
      </c>
      <c r="W39" s="80" t="s">
        <v>770</v>
      </c>
      <c r="X39" s="80" t="s">
        <v>770</v>
      </c>
      <c r="Y39" s="80" t="s">
        <v>770</v>
      </c>
      <c r="Z39" s="80" t="s">
        <v>770</v>
      </c>
      <c r="AA39" s="80" t="s">
        <v>770</v>
      </c>
      <c r="AB39" s="80" t="s">
        <v>770</v>
      </c>
      <c r="AC39" s="80" t="s">
        <v>770</v>
      </c>
      <c r="AD39" s="80" t="s">
        <v>770</v>
      </c>
      <c r="AE39" s="80" t="s">
        <v>770</v>
      </c>
      <c r="AF39" s="80" t="s">
        <v>770</v>
      </c>
      <c r="AG39" s="25">
        <f t="shared" si="7"/>
        <v>3</v>
      </c>
      <c r="AH39" s="55">
        <f t="shared" si="8"/>
        <v>24</v>
      </c>
      <c r="AI39" s="20" t="str" cm="1">
        <f t="array" ref="AI39">_xlfn.LET(
    _xlpm.data, B39:AF39,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Kit_1</v>
      </c>
      <c r="AJ39" s="20" t="str" cm="1">
        <f t="array" ref="AJ39">_xlfn._xlws.FILTER(表格6[Full Name],(表格6[Name]=AI39)+(表格6[Name]&amp;"_1"=AI39)+(表格6[Name]&amp;"_2"=AI39)+(表格6[Name]&amp;"_3"=AI39)+(表格6[Name]&amp;"_4"=AI39)+(表格6[Name]&amp;"_5"=AI39))</f>
        <v>Li Wenjie</v>
      </c>
      <c r="AK39" s="20" cm="1">
        <f t="array" ref="AK39">_xlfn._xlws.FILTER(三國演義!$C$13:$C$80,三國演義!$E$13:$E$80=Roster!AI39)</f>
        <v>35</v>
      </c>
      <c r="AL39" s="20">
        <v>60</v>
      </c>
      <c r="AM39" s="124">
        <v>0</v>
      </c>
      <c r="AN39" s="133"/>
    </row>
    <row r="40" spans="1:40">
      <c r="A40" s="170" t="s">
        <v>1209</v>
      </c>
      <c r="B40" s="151" t="s">
        <v>1097</v>
      </c>
      <c r="C40" s="151" t="s">
        <v>770</v>
      </c>
      <c r="D40" s="151" t="s">
        <v>770</v>
      </c>
      <c r="E40" s="151" t="s">
        <v>1097</v>
      </c>
      <c r="F40" s="151" t="s">
        <v>1097</v>
      </c>
      <c r="G40" s="151" t="s">
        <v>1097</v>
      </c>
      <c r="H40" s="151" t="s">
        <v>1097</v>
      </c>
      <c r="I40" s="151" t="s">
        <v>1097</v>
      </c>
      <c r="J40" s="151" t="s">
        <v>770</v>
      </c>
      <c r="K40" s="151" t="s">
        <v>770</v>
      </c>
      <c r="L40" s="151" t="s">
        <v>1097</v>
      </c>
      <c r="M40" s="151" t="s">
        <v>1097</v>
      </c>
      <c r="N40" s="151" t="s">
        <v>1097</v>
      </c>
      <c r="O40" s="151" t="s">
        <v>1097</v>
      </c>
      <c r="P40" s="151" t="s">
        <v>1097</v>
      </c>
      <c r="Q40" s="151" t="s">
        <v>770</v>
      </c>
      <c r="R40" s="151" t="s">
        <v>770</v>
      </c>
      <c r="S40" s="151" t="s">
        <v>1097</v>
      </c>
      <c r="T40" s="151" t="s">
        <v>1097</v>
      </c>
      <c r="U40" s="151" t="s">
        <v>1097</v>
      </c>
      <c r="V40" s="151" t="s">
        <v>1097</v>
      </c>
      <c r="W40" s="151" t="s">
        <v>1097</v>
      </c>
      <c r="X40" s="151" t="s">
        <v>770</v>
      </c>
      <c r="Y40" s="151" t="s">
        <v>770</v>
      </c>
      <c r="Z40" s="151" t="s">
        <v>1097</v>
      </c>
      <c r="AA40" s="151" t="s">
        <v>1097</v>
      </c>
      <c r="AB40" s="151" t="s">
        <v>1097</v>
      </c>
      <c r="AC40" s="151" t="s">
        <v>1097</v>
      </c>
      <c r="AD40" s="151" t="s">
        <v>1097</v>
      </c>
      <c r="AE40" s="151" t="s">
        <v>770</v>
      </c>
      <c r="AF40" s="151" t="s">
        <v>770</v>
      </c>
      <c r="AG40" s="25">
        <f t="shared" si="7"/>
        <v>21</v>
      </c>
      <c r="AH40" s="55">
        <f t="shared" si="8"/>
        <v>168</v>
      </c>
      <c r="AI40" s="20" t="str" cm="1">
        <f t="array" ref="AI40">_xlfn.LET(
    _xlpm.data, B40:AF40,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Gloria</v>
      </c>
      <c r="AJ40" s="20" t="str" cm="1">
        <f t="array" ref="AJ40">_xlfn._xlws.FILTER(表格6[Full Name],(表格6[Name]=AI40)+(表格6[Name]&amp;"_1"=AI40)+(表格6[Name]&amp;"_2"=AI40)+(表格6[Name]&amp;"_3"=AI40)+(表格6[Name]&amp;"_4"=AI40)+(表格6[Name]&amp;"_5"=AI40))</f>
        <v>Yeung Chor Mui</v>
      </c>
      <c r="AK40" s="20" cm="1">
        <f t="array" ref="AK40">_xlfn._xlws.FILTER(三國演義!$C$13:$C$80,三國演義!$E$13:$E$80=Roster!AI40)</f>
        <v>36</v>
      </c>
      <c r="AL40" s="20">
        <v>60</v>
      </c>
      <c r="AM40" s="124">
        <v>0</v>
      </c>
      <c r="AN40" s="133">
        <v>0.02</v>
      </c>
    </row>
    <row r="41" spans="1:40">
      <c r="A41" s="170" t="s">
        <v>1210</v>
      </c>
      <c r="B41" s="80" t="s">
        <v>770</v>
      </c>
      <c r="C41" s="80" t="s">
        <v>770</v>
      </c>
      <c r="D41" s="80" t="s">
        <v>770</v>
      </c>
      <c r="E41" s="80" t="s">
        <v>770</v>
      </c>
      <c r="F41" s="80" t="s">
        <v>770</v>
      </c>
      <c r="G41" s="80" t="s">
        <v>770</v>
      </c>
      <c r="H41" s="80" t="s">
        <v>770</v>
      </c>
      <c r="I41" s="80" t="s">
        <v>770</v>
      </c>
      <c r="J41" s="151" t="s">
        <v>1219</v>
      </c>
      <c r="K41" s="151" t="s">
        <v>1219</v>
      </c>
      <c r="L41" s="151" t="s">
        <v>770</v>
      </c>
      <c r="M41" s="151" t="s">
        <v>770</v>
      </c>
      <c r="N41" s="151" t="s">
        <v>770</v>
      </c>
      <c r="O41" s="151" t="s">
        <v>770</v>
      </c>
      <c r="P41" s="151" t="s">
        <v>770</v>
      </c>
      <c r="Q41" s="151" t="s">
        <v>770</v>
      </c>
      <c r="R41" s="151" t="s">
        <v>770</v>
      </c>
      <c r="S41" s="151" t="s">
        <v>770</v>
      </c>
      <c r="T41" s="151" t="s">
        <v>770</v>
      </c>
      <c r="U41" s="151" t="s">
        <v>770</v>
      </c>
      <c r="V41" s="151" t="s">
        <v>770</v>
      </c>
      <c r="W41" s="151" t="s">
        <v>770</v>
      </c>
      <c r="X41" s="151" t="s">
        <v>1219</v>
      </c>
      <c r="Y41" s="151" t="s">
        <v>1219</v>
      </c>
      <c r="Z41" s="151" t="s">
        <v>770</v>
      </c>
      <c r="AA41" s="151" t="s">
        <v>770</v>
      </c>
      <c r="AB41" s="151" t="s">
        <v>770</v>
      </c>
      <c r="AC41" s="151" t="s">
        <v>770</v>
      </c>
      <c r="AD41" s="151" t="s">
        <v>770</v>
      </c>
      <c r="AE41" s="151" t="s">
        <v>1219</v>
      </c>
      <c r="AF41" s="151" t="s">
        <v>1219</v>
      </c>
      <c r="AG41" s="25">
        <f t="shared" si="7"/>
        <v>6</v>
      </c>
      <c r="AH41" s="55">
        <f t="shared" si="8"/>
        <v>48</v>
      </c>
      <c r="AI41" s="20" t="str" cm="1">
        <f t="array" ref="AI41">_xlfn.LET(
    _xlpm.data, B41:AF41,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Tony_2</v>
      </c>
      <c r="AJ41" s="20" t="str" cm="1">
        <f t="array" ref="AJ41">_xlfn._xlws.FILTER(表格6[Full Name],(表格6[Name]=AI41)+(表格6[Name]&amp;"_1"=AI41)+(表格6[Name]&amp;"_2"=AI41)+(表格6[Name]&amp;"_3"=AI41)+(表格6[Name]&amp;"_4"=AI41)+(表格6[Name]&amp;"_5"=AI41))</f>
        <v>Wong Tak Chung</v>
      </c>
      <c r="AK41" s="20" cm="1">
        <f t="array" ref="AK41">_xlfn._xlws.FILTER(三國演義!$C$13:$C$80,三國演義!$E$13:$E$80=Roster!AI41)</f>
        <v>37</v>
      </c>
      <c r="AL41" s="20">
        <v>60</v>
      </c>
      <c r="AM41" s="124">
        <v>0</v>
      </c>
      <c r="AN41" s="133">
        <v>0.02</v>
      </c>
    </row>
    <row r="42" spans="1:40">
      <c r="A42" s="170" t="s">
        <v>1221</v>
      </c>
      <c r="B42" s="151" t="s">
        <v>770</v>
      </c>
      <c r="C42" s="151" t="s">
        <v>1416</v>
      </c>
      <c r="D42" s="151" t="s">
        <v>1416</v>
      </c>
      <c r="E42" s="151" t="s">
        <v>770</v>
      </c>
      <c r="F42" s="151" t="s">
        <v>770</v>
      </c>
      <c r="G42" s="151" t="s">
        <v>770</v>
      </c>
      <c r="H42" s="151" t="s">
        <v>770</v>
      </c>
      <c r="I42" s="151" t="s">
        <v>770</v>
      </c>
      <c r="J42" s="151" t="s">
        <v>770</v>
      </c>
      <c r="K42" s="151" t="s">
        <v>770</v>
      </c>
      <c r="L42" s="151" t="s">
        <v>770</v>
      </c>
      <c r="M42" s="151" t="s">
        <v>770</v>
      </c>
      <c r="N42" s="151" t="s">
        <v>770</v>
      </c>
      <c r="O42" s="151" t="s">
        <v>770</v>
      </c>
      <c r="P42" s="151" t="s">
        <v>770</v>
      </c>
      <c r="Q42" s="151" t="s">
        <v>1416</v>
      </c>
      <c r="R42" s="151" t="s">
        <v>1416</v>
      </c>
      <c r="S42" s="151" t="s">
        <v>770</v>
      </c>
      <c r="T42" s="151" t="s">
        <v>770</v>
      </c>
      <c r="U42" s="151" t="s">
        <v>770</v>
      </c>
      <c r="V42" s="151" t="s">
        <v>770</v>
      </c>
      <c r="W42" s="151" t="s">
        <v>770</v>
      </c>
      <c r="X42" s="151" t="s">
        <v>770</v>
      </c>
      <c r="Y42" s="151" t="s">
        <v>770</v>
      </c>
      <c r="Z42" s="151" t="s">
        <v>770</v>
      </c>
      <c r="AA42" s="151" t="s">
        <v>770</v>
      </c>
      <c r="AB42" s="151" t="s">
        <v>770</v>
      </c>
      <c r="AC42" s="151" t="s">
        <v>770</v>
      </c>
      <c r="AD42" s="151" t="s">
        <v>770</v>
      </c>
      <c r="AE42" s="151" t="s">
        <v>770</v>
      </c>
      <c r="AF42" s="151" t="s">
        <v>770</v>
      </c>
      <c r="AG42" s="25">
        <f t="shared" si="7"/>
        <v>4</v>
      </c>
      <c r="AH42" s="55">
        <f t="shared" si="8"/>
        <v>32</v>
      </c>
      <c r="AI42" s="20" t="str" cm="1">
        <f t="array" ref="AI42">_xlfn.LET(
    _xlpm.data, B42:AF42,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Kit_2</v>
      </c>
      <c r="AJ42" s="20" t="str" cm="1">
        <f t="array" ref="AJ42">_xlfn._xlws.FILTER(表格6[Full Name],(表格6[Name]=AI42)+(表格6[Name]&amp;"_1"=AI42)+(表格6[Name]&amp;"_2"=AI42)+(表格6[Name]&amp;"_3"=AI42)+(表格6[Name]&amp;"_4"=AI42)+(表格6[Name]&amp;"_5"=AI42))</f>
        <v>Li Wenjie</v>
      </c>
      <c r="AK42" s="20" cm="1">
        <f t="array" ref="AK42">_xlfn._xlws.FILTER(三國演義!$C$13:$C$80,三國演義!$E$13:$E$80=Roster!AI42)</f>
        <v>38</v>
      </c>
      <c r="AL42" s="20">
        <v>60</v>
      </c>
      <c r="AM42" s="124">
        <v>0</v>
      </c>
      <c r="AN42" s="133">
        <v>0.02</v>
      </c>
    </row>
    <row r="43" spans="1:40">
      <c r="A43" s="170" t="s">
        <v>1198</v>
      </c>
      <c r="B43" s="80" t="s">
        <v>770</v>
      </c>
      <c r="C43" s="80" t="s">
        <v>770</v>
      </c>
      <c r="D43" s="80" t="s">
        <v>770</v>
      </c>
      <c r="E43" s="80" t="s">
        <v>770</v>
      </c>
      <c r="F43" s="80" t="s">
        <v>770</v>
      </c>
      <c r="G43" s="80" t="s">
        <v>770</v>
      </c>
      <c r="H43" s="80" t="s">
        <v>770</v>
      </c>
      <c r="I43" s="80" t="s">
        <v>770</v>
      </c>
      <c r="J43" s="80" t="s">
        <v>770</v>
      </c>
      <c r="K43" s="80" t="s">
        <v>770</v>
      </c>
      <c r="L43" s="80" t="s">
        <v>770</v>
      </c>
      <c r="M43" s="80" t="s">
        <v>770</v>
      </c>
      <c r="N43" s="80" t="s">
        <v>770</v>
      </c>
      <c r="O43" s="80" t="s">
        <v>770</v>
      </c>
      <c r="P43" s="80" t="s">
        <v>770</v>
      </c>
      <c r="Q43" s="80" t="s">
        <v>770</v>
      </c>
      <c r="R43" s="80" t="s">
        <v>770</v>
      </c>
      <c r="S43" s="80" t="s">
        <v>770</v>
      </c>
      <c r="T43" s="80" t="s">
        <v>770</v>
      </c>
      <c r="U43" s="80" t="s">
        <v>770</v>
      </c>
      <c r="V43" s="151" t="s">
        <v>1904</v>
      </c>
      <c r="W43" s="151" t="s">
        <v>1904</v>
      </c>
      <c r="X43" s="80" t="s">
        <v>770</v>
      </c>
      <c r="Y43" s="80" t="s">
        <v>770</v>
      </c>
      <c r="Z43" s="80" t="s">
        <v>770</v>
      </c>
      <c r="AA43" s="80" t="s">
        <v>770</v>
      </c>
      <c r="AB43" s="80" t="s">
        <v>770</v>
      </c>
      <c r="AC43" s="80" t="s">
        <v>770</v>
      </c>
      <c r="AD43" s="80" t="s">
        <v>770</v>
      </c>
      <c r="AE43" s="80" t="s">
        <v>770</v>
      </c>
      <c r="AF43" s="151" t="s">
        <v>1904</v>
      </c>
      <c r="AG43" s="25">
        <f t="shared" si="7"/>
        <v>3</v>
      </c>
      <c r="AH43" s="55">
        <f t="shared" si="8"/>
        <v>24</v>
      </c>
      <c r="AI43" s="20" t="str" cm="1">
        <f t="array" ref="AI43">_xlfn.LET(
    _xlpm.data, B43:AF43,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Anita_1</v>
      </c>
      <c r="AJ43" s="20" t="str" cm="1">
        <f t="array" ref="AJ43">_xlfn._xlws.FILTER(表格6[Full Name],(表格6[Name]=AI43)+(表格6[Name]&amp;"_1"=AI43)+(表格6[Name]&amp;"_2"=AI43)+(表格6[Name]&amp;"_3"=AI43)+(表格6[Name]&amp;"_4"=AI43)+(表格6[Name]&amp;"_5"=AI43))</f>
        <v>Chan Siu Kuen</v>
      </c>
      <c r="AK43" s="20" cm="1">
        <f t="array" ref="AK43">_xlfn._xlws.FILTER(三國演義!$C$13:$C$80,三國演義!$E$13:$E$80=Roster!AI43)</f>
        <v>39</v>
      </c>
      <c r="AL43" s="20">
        <v>60</v>
      </c>
      <c r="AM43" s="124">
        <v>0</v>
      </c>
      <c r="AN43" s="133">
        <v>0.02</v>
      </c>
    </row>
    <row r="44" spans="1:40">
      <c r="A44" s="170" t="s">
        <v>1229</v>
      </c>
      <c r="B44" s="151" t="s">
        <v>1310</v>
      </c>
      <c r="C44" s="151" t="s">
        <v>1310</v>
      </c>
      <c r="D44" s="151" t="s">
        <v>1310</v>
      </c>
      <c r="E44" s="151" t="s">
        <v>1310</v>
      </c>
      <c r="F44" s="151" t="s">
        <v>770</v>
      </c>
      <c r="G44" s="151" t="s">
        <v>770</v>
      </c>
      <c r="H44" s="151" t="s">
        <v>1310</v>
      </c>
      <c r="I44" s="151" t="s">
        <v>1310</v>
      </c>
      <c r="J44" s="80" t="s">
        <v>770</v>
      </c>
      <c r="K44" s="80" t="s">
        <v>770</v>
      </c>
      <c r="L44" s="80" t="s">
        <v>770</v>
      </c>
      <c r="M44" s="80" t="s">
        <v>770</v>
      </c>
      <c r="N44" s="80" t="s">
        <v>770</v>
      </c>
      <c r="O44" s="80" t="s">
        <v>770</v>
      </c>
      <c r="P44" s="80" t="s">
        <v>770</v>
      </c>
      <c r="Q44" s="80" t="s">
        <v>770</v>
      </c>
      <c r="R44" s="80" t="s">
        <v>770</v>
      </c>
      <c r="S44" s="80" t="s">
        <v>770</v>
      </c>
      <c r="T44" s="80" t="s">
        <v>770</v>
      </c>
      <c r="U44" s="80" t="s">
        <v>770</v>
      </c>
      <c r="V44" s="80" t="s">
        <v>770</v>
      </c>
      <c r="W44" s="80" t="s">
        <v>770</v>
      </c>
      <c r="X44" s="80" t="s">
        <v>770</v>
      </c>
      <c r="Y44" s="80" t="s">
        <v>770</v>
      </c>
      <c r="Z44" s="80" t="s">
        <v>770</v>
      </c>
      <c r="AA44" s="80" t="s">
        <v>770</v>
      </c>
      <c r="AB44" s="80" t="s">
        <v>770</v>
      </c>
      <c r="AC44" s="80" t="s">
        <v>770</v>
      </c>
      <c r="AD44" s="80" t="s">
        <v>770</v>
      </c>
      <c r="AE44" s="80" t="s">
        <v>770</v>
      </c>
      <c r="AF44" s="80" t="s">
        <v>770</v>
      </c>
      <c r="AG44" s="25">
        <f t="shared" si="7"/>
        <v>6</v>
      </c>
      <c r="AH44" s="55">
        <f t="shared" si="8"/>
        <v>48</v>
      </c>
      <c r="AI44" s="20" t="str" cm="1">
        <f t="array" ref="AI44">_xlfn.LET(
    _xlpm.data, B44:AF44,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Hazel</v>
      </c>
      <c r="AJ44" s="20" t="str" cm="1">
        <f t="array" ref="AJ44">_xlfn._xlws.FILTER(表格6[Full Name],(表格6[Name]=AI44)+(表格6[Name]&amp;"_1"=AI44)+(表格6[Name]&amp;"_2"=AI44)+(表格6[Name]&amp;"_3"=AI44)+(表格6[Name]&amp;"_4"=AI44)+(表格6[Name]&amp;"_5"=AI44))</f>
        <v>Tan Xingfang</v>
      </c>
      <c r="AK44" s="20" cm="1">
        <f t="array" ref="AK44">_xlfn._xlws.FILTER(三國演義!$C$13:$C$80,三國演義!$E$13:$E$80=Roster!AI44)</f>
        <v>40</v>
      </c>
      <c r="AL44" s="20">
        <v>65</v>
      </c>
      <c r="AM44" s="124">
        <v>0</v>
      </c>
      <c r="AN44" s="133"/>
    </row>
    <row r="45" spans="1:40" ht="25.5">
      <c r="A45" s="170" t="s">
        <v>1308</v>
      </c>
      <c r="B45" s="80" t="s">
        <v>770</v>
      </c>
      <c r="C45" s="80" t="s">
        <v>770</v>
      </c>
      <c r="D45" s="80" t="s">
        <v>770</v>
      </c>
      <c r="E45" s="80" t="s">
        <v>770</v>
      </c>
      <c r="F45" s="151" t="s">
        <v>1506</v>
      </c>
      <c r="G45" s="151" t="s">
        <v>770</v>
      </c>
      <c r="H45" s="151" t="s">
        <v>770</v>
      </c>
      <c r="I45" s="151" t="s">
        <v>770</v>
      </c>
      <c r="J45" s="151" t="s">
        <v>1506</v>
      </c>
      <c r="K45" s="151" t="s">
        <v>1506</v>
      </c>
      <c r="L45" s="151" t="s">
        <v>1506</v>
      </c>
      <c r="M45" s="151" t="s">
        <v>1506</v>
      </c>
      <c r="N45" s="151" t="s">
        <v>1506</v>
      </c>
      <c r="O45" s="151" t="s">
        <v>1506</v>
      </c>
      <c r="P45" s="151" t="s">
        <v>1506</v>
      </c>
      <c r="Q45" s="151" t="s">
        <v>1506</v>
      </c>
      <c r="R45" s="151" t="s">
        <v>1506</v>
      </c>
      <c r="S45" s="151" t="s">
        <v>1506</v>
      </c>
      <c r="T45" s="151" t="s">
        <v>1506</v>
      </c>
      <c r="U45" s="151" t="s">
        <v>2164</v>
      </c>
      <c r="V45" s="151" t="s">
        <v>770</v>
      </c>
      <c r="W45" s="151" t="s">
        <v>770</v>
      </c>
      <c r="X45" s="151" t="s">
        <v>770</v>
      </c>
      <c r="Y45" s="151" t="s">
        <v>1506</v>
      </c>
      <c r="Z45" s="151" t="s">
        <v>1506</v>
      </c>
      <c r="AA45" s="151" t="s">
        <v>1506</v>
      </c>
      <c r="AB45" s="80" t="s">
        <v>770</v>
      </c>
      <c r="AC45" s="80" t="s">
        <v>770</v>
      </c>
      <c r="AD45" s="80" t="s">
        <v>770</v>
      </c>
      <c r="AE45" s="80" t="s">
        <v>770</v>
      </c>
      <c r="AF45" s="80" t="s">
        <v>770</v>
      </c>
      <c r="AG45" s="25">
        <f t="shared" si="7"/>
        <v>15</v>
      </c>
      <c r="AH45" s="55">
        <f t="shared" si="8"/>
        <v>120</v>
      </c>
      <c r="AI45" s="20" t="str" cm="1">
        <f t="array" ref="AI45">_xlfn.LET(
    _xlpm.data, B45:AF45,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Mui Chan_1</v>
      </c>
      <c r="AJ45" s="20" t="str" cm="1">
        <f t="array" ref="AJ45">_xlfn._xlws.FILTER(表格6[Full Name],(表格6[Name]=AI45)+(表格6[Name]&amp;"_1"=AI45)+(表格6[Name]&amp;"_2"=AI45)+(表格6[Name]&amp;"_3"=AI45)+(表格6[Name]&amp;"_4"=AI45)+(表格6[Name]&amp;"_5"=AI45))</f>
        <v>Chan So Mui</v>
      </c>
      <c r="AK45" s="20" cm="1">
        <f t="array" ref="AK45">_xlfn._xlws.FILTER(三國演義!$C$13:$C$80,三國演義!$E$13:$E$80=Roster!AI45)</f>
        <v>41</v>
      </c>
      <c r="AL45" s="20">
        <v>60</v>
      </c>
      <c r="AM45" s="124">
        <v>0</v>
      </c>
      <c r="AN45" s="133"/>
    </row>
    <row r="46" spans="1:40">
      <c r="A46" s="170" t="s">
        <v>1309</v>
      </c>
      <c r="B46" s="80" t="s">
        <v>770</v>
      </c>
      <c r="C46" s="80" t="s">
        <v>770</v>
      </c>
      <c r="D46" s="80" t="s">
        <v>770</v>
      </c>
      <c r="E46" s="80" t="s">
        <v>770</v>
      </c>
      <c r="F46" s="80" t="s">
        <v>770</v>
      </c>
      <c r="G46" s="151" t="s">
        <v>1979</v>
      </c>
      <c r="H46" s="80" t="s">
        <v>770</v>
      </c>
      <c r="I46" s="80" t="s">
        <v>770</v>
      </c>
      <c r="J46" s="80" t="s">
        <v>770</v>
      </c>
      <c r="K46" s="80" t="s">
        <v>770</v>
      </c>
      <c r="L46" s="80" t="s">
        <v>770</v>
      </c>
      <c r="M46" s="80" t="s">
        <v>770</v>
      </c>
      <c r="N46" s="80" t="s">
        <v>770</v>
      </c>
      <c r="O46" s="80" t="s">
        <v>770</v>
      </c>
      <c r="P46" s="80" t="s">
        <v>770</v>
      </c>
      <c r="Q46" s="80" t="s">
        <v>770</v>
      </c>
      <c r="R46" s="80" t="s">
        <v>770</v>
      </c>
      <c r="S46" s="80" t="s">
        <v>770</v>
      </c>
      <c r="T46" s="80" t="s">
        <v>770</v>
      </c>
      <c r="U46" s="80" t="s">
        <v>770</v>
      </c>
      <c r="V46" s="80" t="s">
        <v>770</v>
      </c>
      <c r="W46" s="80" t="s">
        <v>770</v>
      </c>
      <c r="X46" s="80" t="s">
        <v>770</v>
      </c>
      <c r="Y46" s="80" t="s">
        <v>770</v>
      </c>
      <c r="Z46" s="80" t="s">
        <v>770</v>
      </c>
      <c r="AA46" s="80" t="s">
        <v>770</v>
      </c>
      <c r="AB46" s="80" t="s">
        <v>770</v>
      </c>
      <c r="AC46" s="80" t="s">
        <v>770</v>
      </c>
      <c r="AD46" s="80" t="s">
        <v>770</v>
      </c>
      <c r="AE46" s="80" t="s">
        <v>770</v>
      </c>
      <c r="AF46" s="80" t="s">
        <v>770</v>
      </c>
      <c r="AG46" s="25">
        <f t="shared" si="7"/>
        <v>1</v>
      </c>
      <c r="AH46" s="55">
        <f t="shared" si="8"/>
        <v>8</v>
      </c>
      <c r="AI46" s="20" t="str" cm="1">
        <f t="array" ref="AI46">_xlfn.LET(
    _xlpm.data, B46:AF46,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Fong_2</v>
      </c>
      <c r="AJ46" s="20" t="str" cm="1">
        <f t="array" ref="AJ46">_xlfn._xlws.FILTER(表格6[Full Name],(表格6[Name]=AI46)+(表格6[Name]&amp;"_1"=AI46)+(表格6[Name]&amp;"_2"=AI46)+(表格6[Name]&amp;"_3"=AI46)+(表格6[Name]&amp;"_4"=AI46)+(表格6[Name]&amp;"_5"=AI46))</f>
        <v>Ng Nga Fong</v>
      </c>
      <c r="AK46" s="20" cm="1">
        <f t="array" ref="AK46">_xlfn._xlws.FILTER(三國演義!$C$13:$C$80,三國演義!$E$13:$E$80=Roster!AI46)</f>
        <v>42</v>
      </c>
      <c r="AL46" s="20">
        <v>60</v>
      </c>
      <c r="AM46" s="124">
        <v>0</v>
      </c>
      <c r="AN46" s="133">
        <v>0.02</v>
      </c>
    </row>
    <row r="47" spans="1:40">
      <c r="A47" s="170" t="s">
        <v>1412</v>
      </c>
      <c r="B47" s="80" t="s">
        <v>770</v>
      </c>
      <c r="C47" s="80" t="s">
        <v>770</v>
      </c>
      <c r="D47" s="80" t="s">
        <v>770</v>
      </c>
      <c r="E47" s="80" t="s">
        <v>770</v>
      </c>
      <c r="F47" s="80" t="s">
        <v>770</v>
      </c>
      <c r="G47" s="80" t="s">
        <v>770</v>
      </c>
      <c r="H47" s="80" t="s">
        <v>770</v>
      </c>
      <c r="I47" s="80" t="s">
        <v>770</v>
      </c>
      <c r="J47" s="80" t="s">
        <v>770</v>
      </c>
      <c r="K47" s="80" t="s">
        <v>770</v>
      </c>
      <c r="L47" s="80" t="s">
        <v>770</v>
      </c>
      <c r="M47" s="80" t="s">
        <v>770</v>
      </c>
      <c r="N47" s="80" t="s">
        <v>770</v>
      </c>
      <c r="O47" s="80" t="s">
        <v>770</v>
      </c>
      <c r="P47" s="80" t="s">
        <v>770</v>
      </c>
      <c r="Q47" s="80" t="s">
        <v>770</v>
      </c>
      <c r="R47" s="80" t="s">
        <v>770</v>
      </c>
      <c r="S47" s="80" t="s">
        <v>770</v>
      </c>
      <c r="T47" s="80" t="s">
        <v>770</v>
      </c>
      <c r="U47" s="80" t="s">
        <v>770</v>
      </c>
      <c r="V47" s="80" t="s">
        <v>770</v>
      </c>
      <c r="W47" s="80" t="s">
        <v>770</v>
      </c>
      <c r="X47" s="80" t="s">
        <v>770</v>
      </c>
      <c r="Y47" s="80" t="s">
        <v>770</v>
      </c>
      <c r="Z47" s="80" t="s">
        <v>770</v>
      </c>
      <c r="AA47" s="80" t="s">
        <v>770</v>
      </c>
      <c r="AB47" s="80" t="s">
        <v>770</v>
      </c>
      <c r="AC47" s="151" t="s">
        <v>1413</v>
      </c>
      <c r="AD47" s="151" t="s">
        <v>1413</v>
      </c>
      <c r="AE47" s="80" t="s">
        <v>770</v>
      </c>
      <c r="AF47" s="80" t="s">
        <v>770</v>
      </c>
      <c r="AG47" s="25">
        <f t="shared" ref="AG47" si="18">COUNTA(B47:AF47)-COUNTIF(B47:AF47,"."&amp;"*")-COUNTIF(B47:AF47,"off")-COUNTIF(B47:AF47,"SL"&amp;" "&amp;"*")-COUNTIF(B47:AF47,"PH"&amp;" "&amp;"*")-COUNTIF(B47:AF47,"AL"&amp;" "&amp;"*")-COUNTIF(B47:AF47,"CL"&amp;" "&amp;"*")-COUNTIF(B47:AF47,"Typhoon"&amp;" "&amp;"*")-COUNTIF(B47:AF47,"*"&amp;"off")-COUNTIF(B47:AF47," "&amp;"*")</f>
        <v>2</v>
      </c>
      <c r="AH47" s="55">
        <f t="shared" ref="AH47" si="19">AG47*8</f>
        <v>16</v>
      </c>
      <c r="AI47" s="20" t="str" cm="1">
        <f t="array" ref="AI47">_xlfn.LET(
    _xlpm.data, B47:AF47,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Shirley</v>
      </c>
      <c r="AJ47" s="20" t="str" cm="1">
        <f t="array" ref="AJ47">_xlfn._xlws.FILTER(表格6[Full Name],(表格6[Name]=AI47)+(表格6[Name]&amp;"_1"=AI47)+(表格6[Name]&amp;"_2"=AI47)+(表格6[Name]&amp;"_3"=AI47)+(表格6[Name]&amp;"_4"=AI47)+(表格6[Name]&amp;"_5"=AI47))</f>
        <v>Sit Kwok Fong</v>
      </c>
      <c r="AK47" s="20" cm="1">
        <f t="array" ref="AK47">_xlfn._xlws.FILTER(三國演義!$C$13:$C$80,三國演義!$E$13:$E$80=Roster!AI47)</f>
        <v>43</v>
      </c>
      <c r="AL47" s="20">
        <v>60</v>
      </c>
      <c r="AM47" s="124">
        <v>0</v>
      </c>
      <c r="AN47" s="133"/>
    </row>
    <row r="48" spans="1:40" ht="25.5">
      <c r="A48" s="170" t="s">
        <v>1554</v>
      </c>
      <c r="B48" s="151" t="s">
        <v>2074</v>
      </c>
      <c r="C48" s="151" t="s">
        <v>1228</v>
      </c>
      <c r="D48" s="151" t="s">
        <v>770</v>
      </c>
      <c r="E48" s="151" t="s">
        <v>770</v>
      </c>
      <c r="F48" s="151" t="s">
        <v>770</v>
      </c>
      <c r="G48" s="151" t="s">
        <v>770</v>
      </c>
      <c r="H48" s="151" t="s">
        <v>2074</v>
      </c>
      <c r="I48" s="151" t="s">
        <v>2074</v>
      </c>
      <c r="J48" s="80" t="s">
        <v>770</v>
      </c>
      <c r="K48" s="80" t="s">
        <v>770</v>
      </c>
      <c r="L48" s="80" t="s">
        <v>770</v>
      </c>
      <c r="M48" s="80" t="s">
        <v>770</v>
      </c>
      <c r="N48" s="80" t="s">
        <v>770</v>
      </c>
      <c r="O48" s="80" t="s">
        <v>770</v>
      </c>
      <c r="P48" s="80" t="s">
        <v>770</v>
      </c>
      <c r="Q48" s="80" t="s">
        <v>770</v>
      </c>
      <c r="R48" s="80" t="s">
        <v>770</v>
      </c>
      <c r="S48" s="80" t="s">
        <v>770</v>
      </c>
      <c r="T48" s="80" t="s">
        <v>770</v>
      </c>
      <c r="U48" s="80" t="s">
        <v>770</v>
      </c>
      <c r="V48" s="80" t="s">
        <v>770</v>
      </c>
      <c r="W48" s="80" t="s">
        <v>770</v>
      </c>
      <c r="X48" s="80" t="s">
        <v>770</v>
      </c>
      <c r="Y48" s="80" t="s">
        <v>770</v>
      </c>
      <c r="Z48" s="80" t="s">
        <v>770</v>
      </c>
      <c r="AA48" s="80" t="s">
        <v>770</v>
      </c>
      <c r="AB48" s="80" t="s">
        <v>770</v>
      </c>
      <c r="AC48" s="80" t="s">
        <v>770</v>
      </c>
      <c r="AD48" s="80" t="s">
        <v>770</v>
      </c>
      <c r="AE48" s="80" t="s">
        <v>770</v>
      </c>
      <c r="AF48" s="80" t="s">
        <v>770</v>
      </c>
      <c r="AG48" s="25">
        <f t="shared" si="7"/>
        <v>3</v>
      </c>
      <c r="AH48" s="55">
        <f t="shared" si="8"/>
        <v>24</v>
      </c>
      <c r="AI48" s="20" t="str" cm="1">
        <f t="array" ref="AI48">_xlfn.LET(
    _xlpm.data, B48:AF48,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Wendy Wong_3</v>
      </c>
      <c r="AJ48" s="20" t="str" cm="1">
        <f t="array" ref="AJ48">_xlfn._xlws.FILTER(表格6[Full Name],(表格6[Name]=AI48)+(表格6[Name]&amp;"_1"=AI48)+(表格6[Name]&amp;"_2"=AI48)+(表格6[Name]&amp;"_3"=AI48)+(表格6[Name]&amp;"_4"=AI48)+(表格6[Name]&amp;"_5"=AI48))</f>
        <v>Wong Lai Ying</v>
      </c>
      <c r="AK48" s="20" cm="1">
        <f t="array" ref="AK48">_xlfn._xlws.FILTER(三國演義!$C$13:$C$80,三國演義!$E$13:$E$80=Roster!AI48)</f>
        <v>44</v>
      </c>
      <c r="AL48" s="20">
        <v>60</v>
      </c>
      <c r="AM48" s="124">
        <v>0</v>
      </c>
      <c r="AN48" s="150">
        <v>0.01</v>
      </c>
    </row>
    <row r="49" spans="1:40">
      <c r="A49" s="170" t="s">
        <v>1555</v>
      </c>
      <c r="B49" s="80" t="s">
        <v>1402</v>
      </c>
      <c r="C49" s="80" t="s">
        <v>1402</v>
      </c>
      <c r="D49" s="80" t="s">
        <v>1402</v>
      </c>
      <c r="E49" s="80" t="s">
        <v>1402</v>
      </c>
      <c r="F49" s="80" t="s">
        <v>1402</v>
      </c>
      <c r="G49" s="80" t="s">
        <v>1402</v>
      </c>
      <c r="H49" s="80" t="s">
        <v>1402</v>
      </c>
      <c r="I49" s="80" t="s">
        <v>1402</v>
      </c>
      <c r="J49" s="80" t="s">
        <v>1402</v>
      </c>
      <c r="K49" s="80" t="s">
        <v>1402</v>
      </c>
      <c r="L49" s="80" t="s">
        <v>1402</v>
      </c>
      <c r="M49" s="80" t="s">
        <v>1402</v>
      </c>
      <c r="N49" s="80" t="s">
        <v>1402</v>
      </c>
      <c r="O49" s="151" t="s">
        <v>1905</v>
      </c>
      <c r="P49" s="151" t="s">
        <v>1905</v>
      </c>
      <c r="Q49" s="80" t="s">
        <v>1402</v>
      </c>
      <c r="R49" s="80" t="s">
        <v>1402</v>
      </c>
      <c r="S49" s="80" t="s">
        <v>1402</v>
      </c>
      <c r="T49" s="80" t="s">
        <v>1402</v>
      </c>
      <c r="U49" s="80" t="s">
        <v>1402</v>
      </c>
      <c r="V49" s="80" t="s">
        <v>1402</v>
      </c>
      <c r="W49" s="80" t="s">
        <v>1402</v>
      </c>
      <c r="X49" s="80" t="s">
        <v>1402</v>
      </c>
      <c r="Y49" s="80" t="s">
        <v>1402</v>
      </c>
      <c r="Z49" s="80" t="s">
        <v>1402</v>
      </c>
      <c r="AA49" s="80" t="s">
        <v>1402</v>
      </c>
      <c r="AB49" s="80" t="s">
        <v>1402</v>
      </c>
      <c r="AC49" s="80" t="s">
        <v>1402</v>
      </c>
      <c r="AD49" s="80" t="s">
        <v>1402</v>
      </c>
      <c r="AE49" s="80" t="s">
        <v>1402</v>
      </c>
      <c r="AF49" s="80" t="s">
        <v>1402</v>
      </c>
      <c r="AG49" s="25">
        <f t="shared" ref="AG49" si="20">COUNTA(B49:AF49)-COUNTIF(B49:AF49,"."&amp;"*")-COUNTIF(B49:AF49,"off")-COUNTIF(B49:AF49,"SL"&amp;" "&amp;"*")-COUNTIF(B49:AF49,"PH"&amp;" "&amp;"*")-COUNTIF(B49:AF49,"AL"&amp;" "&amp;"*")-COUNTIF(B49:AF49,"CL"&amp;" "&amp;"*")-COUNTIF(B49:AF49,"Typhoon"&amp;" "&amp;"*")-COUNTIF(B49:AF49,"*"&amp;"off")-COUNTIF(B49:AF49," "&amp;"*")</f>
        <v>2</v>
      </c>
      <c r="AH49" s="55">
        <f t="shared" ref="AH49" si="21">AG49*8</f>
        <v>16</v>
      </c>
      <c r="AI49" s="20" t="str" cm="1">
        <f t="array" ref="AI49">_xlfn.LET(
    _xlpm.data, B49:AF49,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Anita_2</v>
      </c>
      <c r="AJ49" s="20" t="str" cm="1">
        <f t="array" ref="AJ49">_xlfn._xlws.FILTER(表格6[Full Name],(表格6[Name]=AI49)+(表格6[Name]&amp;"_1"=AI49)+(表格6[Name]&amp;"_2"=AI49)+(表格6[Name]&amp;"_3"=AI49)+(表格6[Name]&amp;"_4"=AI49)+(表格6[Name]&amp;"_5"=AI49))</f>
        <v>Chan Siu Kuen</v>
      </c>
      <c r="AK49" s="20" cm="1">
        <f t="array" ref="AK49">_xlfn._xlws.FILTER(三國演義!$C$13:$C$80,三國演義!$E$13:$E$80=Roster!AI49)</f>
        <v>45</v>
      </c>
      <c r="AL49" s="20">
        <v>60</v>
      </c>
      <c r="AM49" s="124">
        <v>0</v>
      </c>
      <c r="AN49" s="150"/>
    </row>
    <row r="50" spans="1:40">
      <c r="A50" s="170" t="s">
        <v>1298</v>
      </c>
      <c r="B50" s="151" t="s">
        <v>770</v>
      </c>
      <c r="C50" s="151" t="s">
        <v>770</v>
      </c>
      <c r="D50" s="151" t="s">
        <v>770</v>
      </c>
      <c r="E50" s="151" t="s">
        <v>770</v>
      </c>
      <c r="F50" s="151" t="s">
        <v>770</v>
      </c>
      <c r="G50" s="151" t="s">
        <v>770</v>
      </c>
      <c r="H50" s="151" t="s">
        <v>770</v>
      </c>
      <c r="I50" s="151" t="s">
        <v>770</v>
      </c>
      <c r="J50" s="151" t="s">
        <v>770</v>
      </c>
      <c r="K50" s="151" t="s">
        <v>770</v>
      </c>
      <c r="L50" s="151" t="s">
        <v>770</v>
      </c>
      <c r="M50" s="151" t="s">
        <v>770</v>
      </c>
      <c r="N50" s="151" t="s">
        <v>770</v>
      </c>
      <c r="O50" s="151" t="s">
        <v>770</v>
      </c>
      <c r="P50" s="151" t="s">
        <v>770</v>
      </c>
      <c r="Q50" s="151" t="s">
        <v>770</v>
      </c>
      <c r="R50" s="151" t="s">
        <v>770</v>
      </c>
      <c r="S50" s="151" t="s">
        <v>770</v>
      </c>
      <c r="T50" s="151" t="s">
        <v>770</v>
      </c>
      <c r="U50" s="151" t="s">
        <v>770</v>
      </c>
      <c r="V50" s="151" t="s">
        <v>770</v>
      </c>
      <c r="W50" s="151" t="s">
        <v>770</v>
      </c>
      <c r="X50" s="151" t="s">
        <v>770</v>
      </c>
      <c r="Y50" s="151" t="s">
        <v>770</v>
      </c>
      <c r="Z50" s="151" t="s">
        <v>770</v>
      </c>
      <c r="AA50" s="151" t="s">
        <v>1300</v>
      </c>
      <c r="AB50" s="151" t="s">
        <v>1300</v>
      </c>
      <c r="AC50" s="151" t="s">
        <v>1300</v>
      </c>
      <c r="AD50" s="151" t="s">
        <v>1300</v>
      </c>
      <c r="AE50" s="80" t="s">
        <v>770</v>
      </c>
      <c r="AF50" s="80" t="s">
        <v>770</v>
      </c>
      <c r="AG50" s="25">
        <f t="shared" si="7"/>
        <v>4</v>
      </c>
      <c r="AH50" s="55">
        <f t="shared" si="8"/>
        <v>32</v>
      </c>
      <c r="AI50" s="20" t="str" cm="1">
        <f t="array" ref="AI50">_xlfn.LET(
    _xlpm.data, B50:AF50,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Connie</v>
      </c>
      <c r="AJ50" s="20" t="str" cm="1">
        <f t="array" ref="AJ50">_xlfn._xlws.FILTER(表格6[Full Name],(表格6[Name]=AI50)+(表格6[Name]&amp;"_1"=AI50)+(表格6[Name]&amp;"_2"=AI50)+(表格6[Name]&amp;"_3"=AI50)+(表格6[Name]&amp;"_4"=AI50)+(表格6[Name]&amp;"_5"=AI50))</f>
        <v xml:space="preserve">Chan Siu Mui </v>
      </c>
      <c r="AK50" s="20" cm="1">
        <f t="array" ref="AK50">_xlfn._xlws.FILTER(三國演義!$C$13:$C$80,三國演義!$E$13:$E$80=Roster!AI50)</f>
        <v>46</v>
      </c>
      <c r="AL50" s="20">
        <v>60</v>
      </c>
      <c r="AM50" s="124">
        <v>0</v>
      </c>
      <c r="AN50" s="150"/>
    </row>
    <row r="51" spans="1:40">
      <c r="A51" s="170" t="s">
        <v>1299</v>
      </c>
      <c r="B51" s="80" t="s">
        <v>770</v>
      </c>
      <c r="C51" s="80" t="s">
        <v>770</v>
      </c>
      <c r="D51" s="80" t="s">
        <v>770</v>
      </c>
      <c r="E51" s="80" t="s">
        <v>770</v>
      </c>
      <c r="F51" s="80" t="s">
        <v>770</v>
      </c>
      <c r="G51" s="80" t="s">
        <v>770</v>
      </c>
      <c r="H51" s="80" t="s">
        <v>770</v>
      </c>
      <c r="I51" s="80" t="s">
        <v>770</v>
      </c>
      <c r="J51" s="80" t="s">
        <v>770</v>
      </c>
      <c r="K51" s="80" t="s">
        <v>770</v>
      </c>
      <c r="L51" s="80" t="s">
        <v>770</v>
      </c>
      <c r="M51" s="80" t="s">
        <v>770</v>
      </c>
      <c r="N51" s="151" t="s">
        <v>1302</v>
      </c>
      <c r="O51" s="151" t="s">
        <v>1214</v>
      </c>
      <c r="P51" s="151" t="s">
        <v>1214</v>
      </c>
      <c r="Q51" s="151" t="s">
        <v>1302</v>
      </c>
      <c r="R51" s="151" t="s">
        <v>1302</v>
      </c>
      <c r="S51" s="151" t="s">
        <v>1302</v>
      </c>
      <c r="T51" s="151" t="s">
        <v>1214</v>
      </c>
      <c r="U51" s="151" t="s">
        <v>1214</v>
      </c>
      <c r="V51" s="151" t="s">
        <v>1214</v>
      </c>
      <c r="W51" s="151" t="s">
        <v>1214</v>
      </c>
      <c r="X51" s="151" t="s">
        <v>1302</v>
      </c>
      <c r="Y51" s="151" t="s">
        <v>1302</v>
      </c>
      <c r="Z51" s="80" t="s">
        <v>1302</v>
      </c>
      <c r="AA51" s="80" t="s">
        <v>1302</v>
      </c>
      <c r="AB51" s="80" t="s">
        <v>1302</v>
      </c>
      <c r="AC51" s="80" t="s">
        <v>1302</v>
      </c>
      <c r="AD51" s="80" t="s">
        <v>1302</v>
      </c>
      <c r="AE51" s="80" t="s">
        <v>1302</v>
      </c>
      <c r="AF51" s="80" t="s">
        <v>1302</v>
      </c>
      <c r="AG51" s="25">
        <f t="shared" si="7"/>
        <v>6</v>
      </c>
      <c r="AH51" s="176">
        <f t="shared" si="8"/>
        <v>48</v>
      </c>
      <c r="AI51" s="20" t="str" cm="1">
        <f t="array" ref="AI51">_xlfn.LET(
    _xlpm.data, B51:AF51,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Amy Or_2</v>
      </c>
      <c r="AJ51" s="20" t="str" cm="1">
        <f t="array" ref="AJ51">_xlfn._xlws.FILTER(表格6[Full Name],(表格6[Name]=AI51)+(表格6[Name]&amp;"_1"=AI51)+(表格6[Name]&amp;"_2"=AI51)+(表格6[Name]&amp;"_3"=AI51)+(表格6[Name]&amp;"_4"=AI51)+(表格6[Name]&amp;"_5"=AI51))</f>
        <v>Or Sim Kiu</v>
      </c>
      <c r="AK51" s="20" cm="1">
        <f t="array" ref="AK51">_xlfn._xlws.FILTER(三國演義!$C$13:$C$80,三國演義!$E$13:$E$80=Roster!AI51)</f>
        <v>47</v>
      </c>
      <c r="AL51" s="20">
        <v>55</v>
      </c>
      <c r="AM51" s="124">
        <v>30</v>
      </c>
      <c r="AN51" s="150"/>
    </row>
    <row r="52" spans="1:40">
      <c r="A52" s="170" t="s">
        <v>1155</v>
      </c>
      <c r="B52" s="151" t="s">
        <v>1158</v>
      </c>
      <c r="C52" s="151" t="s">
        <v>770</v>
      </c>
      <c r="D52" s="151" t="s">
        <v>770</v>
      </c>
      <c r="E52" s="151" t="s">
        <v>770</v>
      </c>
      <c r="F52" s="151" t="s">
        <v>770</v>
      </c>
      <c r="G52" s="151" t="s">
        <v>770</v>
      </c>
      <c r="H52" s="151" t="s">
        <v>1140</v>
      </c>
      <c r="I52" s="151" t="s">
        <v>1140</v>
      </c>
      <c r="J52" s="151" t="s">
        <v>770</v>
      </c>
      <c r="K52" s="151" t="s">
        <v>770</v>
      </c>
      <c r="L52" s="151" t="s">
        <v>770</v>
      </c>
      <c r="M52" s="151" t="s">
        <v>770</v>
      </c>
      <c r="N52" s="151" t="s">
        <v>770</v>
      </c>
      <c r="O52" s="151" t="s">
        <v>1140</v>
      </c>
      <c r="P52" s="151" t="s">
        <v>1302</v>
      </c>
      <c r="Q52" s="151" t="s">
        <v>770</v>
      </c>
      <c r="R52" s="151" t="s">
        <v>770</v>
      </c>
      <c r="S52" s="151" t="s">
        <v>770</v>
      </c>
      <c r="T52" s="151" t="s">
        <v>770</v>
      </c>
      <c r="U52" s="151" t="s">
        <v>770</v>
      </c>
      <c r="V52" s="151" t="s">
        <v>1140</v>
      </c>
      <c r="W52" s="151" t="s">
        <v>1140</v>
      </c>
      <c r="X52" s="151" t="s">
        <v>1140</v>
      </c>
      <c r="Y52" s="151" t="s">
        <v>1140</v>
      </c>
      <c r="Z52" s="151" t="s">
        <v>770</v>
      </c>
      <c r="AA52" s="151" t="s">
        <v>770</v>
      </c>
      <c r="AB52" s="151" t="s">
        <v>770</v>
      </c>
      <c r="AC52" s="151" t="s">
        <v>1140</v>
      </c>
      <c r="AD52" s="151" t="s">
        <v>1140</v>
      </c>
      <c r="AE52" s="151" t="s">
        <v>770</v>
      </c>
      <c r="AF52" s="151" t="s">
        <v>770</v>
      </c>
      <c r="AG52" s="25">
        <f t="shared" si="7"/>
        <v>10</v>
      </c>
      <c r="AH52" s="55">
        <f t="shared" si="8"/>
        <v>80</v>
      </c>
      <c r="AI52" s="20" t="str" cm="1">
        <f t="array" ref="AI52">_xlfn.LET(
    _xlpm.data, B52:AF52,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SK</v>
      </c>
      <c r="AJ52" s="20" t="str" cm="1">
        <f t="array" ref="AJ52">_xlfn._xlws.FILTER(表格6[Full Name],(表格6[Name]=AI52)+(表格6[Name]&amp;"_1"=AI52)+(表格6[Name]&amp;"_2"=AI52)+(表格6[Name]&amp;"_3"=AI52)+(表格6[Name]&amp;"_4"=AI52)+(表格6[Name]&amp;"_5"=AI52))</f>
        <v>Ip Sau King</v>
      </c>
      <c r="AK52" s="20" cm="1">
        <f t="array" ref="AK52">_xlfn._xlws.FILTER(三國演義!$C$13:$C$80,三國演義!$E$13:$E$80=Roster!AI52)</f>
        <v>48</v>
      </c>
      <c r="AL52" s="20">
        <v>60</v>
      </c>
      <c r="AM52" s="124">
        <v>0</v>
      </c>
      <c r="AN52" s="133">
        <v>0.02</v>
      </c>
    </row>
    <row r="53" spans="1:40" ht="15" customHeight="1">
      <c r="A53" s="170" t="s">
        <v>1156</v>
      </c>
      <c r="B53" s="151" t="s">
        <v>770</v>
      </c>
      <c r="C53" s="151" t="s">
        <v>770</v>
      </c>
      <c r="D53" s="151" t="s">
        <v>770</v>
      </c>
      <c r="E53" s="151" t="s">
        <v>770</v>
      </c>
      <c r="F53" s="151" t="s">
        <v>770</v>
      </c>
      <c r="G53" s="151" t="s">
        <v>770</v>
      </c>
      <c r="H53" s="151" t="s">
        <v>770</v>
      </c>
      <c r="I53" s="151" t="s">
        <v>770</v>
      </c>
      <c r="J53" s="151" t="s">
        <v>770</v>
      </c>
      <c r="K53" s="151" t="s">
        <v>770</v>
      </c>
      <c r="L53" s="151" t="s">
        <v>770</v>
      </c>
      <c r="M53" s="151" t="s">
        <v>770</v>
      </c>
      <c r="N53" s="151" t="s">
        <v>770</v>
      </c>
      <c r="O53" s="151" t="s">
        <v>770</v>
      </c>
      <c r="P53" s="151" t="s">
        <v>1220</v>
      </c>
      <c r="Q53" s="80" t="s">
        <v>1157</v>
      </c>
      <c r="R53" s="80" t="s">
        <v>1157</v>
      </c>
      <c r="S53" s="80" t="s">
        <v>1157</v>
      </c>
      <c r="T53" s="80" t="s">
        <v>1157</v>
      </c>
      <c r="U53" s="80" t="s">
        <v>1157</v>
      </c>
      <c r="V53" s="80" t="s">
        <v>1157</v>
      </c>
      <c r="W53" s="80" t="s">
        <v>1157</v>
      </c>
      <c r="X53" s="80" t="s">
        <v>1157</v>
      </c>
      <c r="Y53" s="80" t="s">
        <v>1157</v>
      </c>
      <c r="Z53" s="80" t="s">
        <v>1157</v>
      </c>
      <c r="AA53" s="80" t="s">
        <v>1157</v>
      </c>
      <c r="AB53" s="80" t="s">
        <v>1157</v>
      </c>
      <c r="AC53" s="80" t="s">
        <v>770</v>
      </c>
      <c r="AD53" s="80" t="s">
        <v>770</v>
      </c>
      <c r="AE53" s="80" t="s">
        <v>770</v>
      </c>
      <c r="AF53" s="80" t="s">
        <v>1157</v>
      </c>
      <c r="AG53" s="25">
        <f t="shared" si="7"/>
        <v>1</v>
      </c>
      <c r="AH53" s="55">
        <f t="shared" si="8"/>
        <v>8</v>
      </c>
      <c r="AI53" s="20" t="str" cm="1">
        <f t="array" ref="AI53">_xlfn.LET(
    _xlpm.data, B53:AF53,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Tony_3</v>
      </c>
      <c r="AJ53" s="20" t="str" cm="1">
        <f t="array" ref="AJ53">_xlfn._xlws.FILTER(表格6[Full Name],(表格6[Name]=AI53)+(表格6[Name]&amp;"_1"=AI53)+(表格6[Name]&amp;"_2"=AI53)+(表格6[Name]&amp;"_3"=AI53)+(表格6[Name]&amp;"_4"=AI53)+(表格6[Name]&amp;"_5"=AI53))</f>
        <v>Wong Tak Chung</v>
      </c>
      <c r="AK53" s="20" cm="1">
        <f t="array" ref="AK53">_xlfn._xlws.FILTER(三國演義!$C$13:$C$80,三國演義!$E$13:$E$80=Roster!AI53)</f>
        <v>49</v>
      </c>
      <c r="AL53" s="20">
        <v>60</v>
      </c>
      <c r="AM53" s="124">
        <v>0</v>
      </c>
      <c r="AN53" s="133">
        <v>0.02</v>
      </c>
    </row>
    <row r="54" spans="1:40" ht="15" customHeight="1">
      <c r="A54" s="170" t="s">
        <v>1307</v>
      </c>
      <c r="B54" s="80" t="s">
        <v>1302</v>
      </c>
      <c r="C54" s="80" t="s">
        <v>1302</v>
      </c>
      <c r="D54" s="80" t="s">
        <v>1302</v>
      </c>
      <c r="E54" s="80" t="s">
        <v>1302</v>
      </c>
      <c r="F54" s="80" t="s">
        <v>1302</v>
      </c>
      <c r="G54" s="80" t="s">
        <v>1302</v>
      </c>
      <c r="H54" s="80" t="s">
        <v>1302</v>
      </c>
      <c r="I54" s="80" t="s">
        <v>1302</v>
      </c>
      <c r="J54" s="80" t="s">
        <v>1302</v>
      </c>
      <c r="K54" s="80" t="s">
        <v>1302</v>
      </c>
      <c r="L54" s="80" t="s">
        <v>1302</v>
      </c>
      <c r="M54" s="80" t="s">
        <v>1302</v>
      </c>
      <c r="N54" s="80" t="s">
        <v>1302</v>
      </c>
      <c r="O54" s="80" t="s">
        <v>1302</v>
      </c>
      <c r="P54" s="80" t="s">
        <v>1302</v>
      </c>
      <c r="Q54" s="80" t="s">
        <v>1302</v>
      </c>
      <c r="R54" s="80" t="s">
        <v>1302</v>
      </c>
      <c r="S54" s="80" t="s">
        <v>1302</v>
      </c>
      <c r="T54" s="151" t="s">
        <v>1906</v>
      </c>
      <c r="U54" s="151" t="s">
        <v>1906</v>
      </c>
      <c r="V54" s="151" t="s">
        <v>1302</v>
      </c>
      <c r="W54" s="151" t="s">
        <v>1302</v>
      </c>
      <c r="X54" s="151" t="s">
        <v>1302</v>
      </c>
      <c r="Y54" s="151" t="s">
        <v>1302</v>
      </c>
      <c r="Z54" s="151" t="s">
        <v>1906</v>
      </c>
      <c r="AA54" s="80" t="s">
        <v>1302</v>
      </c>
      <c r="AB54" s="80" t="s">
        <v>1302</v>
      </c>
      <c r="AC54" s="80" t="s">
        <v>1302</v>
      </c>
      <c r="AD54" s="80" t="s">
        <v>1302</v>
      </c>
      <c r="AE54" s="80" t="s">
        <v>1302</v>
      </c>
      <c r="AF54" s="80" t="s">
        <v>1302</v>
      </c>
      <c r="AG54" s="25">
        <f t="shared" si="7"/>
        <v>3</v>
      </c>
      <c r="AH54" s="55">
        <f t="shared" si="8"/>
        <v>24</v>
      </c>
      <c r="AI54" s="20" t="str" cm="1">
        <f t="array" ref="AI54">_xlfn.LET(
    _xlpm.data, B54:AF54,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Terence_1</v>
      </c>
      <c r="AJ54" s="20" t="str" cm="1">
        <f t="array" ref="AJ54">_xlfn._xlws.FILTER(表格6[Full Name],(表格6[Name]=AI54)+(表格6[Name]&amp;"_1"=AI54)+(表格6[Name]&amp;"_2"=AI54)+(表格6[Name]&amp;"_3"=AI54)+(表格6[Name]&amp;"_4"=AI54)+(表格6[Name]&amp;"_5"=AI54))</f>
        <v>Tsang Tak Kin</v>
      </c>
      <c r="AK54" s="20" cm="1">
        <f t="array" ref="AK54">_xlfn._xlws.FILTER(三國演義!$C$13:$C$80,三國演義!$E$13:$E$80=Roster!AI54)</f>
        <v>50</v>
      </c>
      <c r="AL54" s="20">
        <v>60</v>
      </c>
      <c r="AM54" s="124">
        <v>0</v>
      </c>
      <c r="AN54" s="133"/>
    </row>
    <row r="55" spans="1:40">
      <c r="A55" s="170" t="s">
        <v>1231</v>
      </c>
      <c r="B55" s="151" t="s">
        <v>1159</v>
      </c>
      <c r="C55" s="151" t="s">
        <v>1159</v>
      </c>
      <c r="D55" s="151" t="s">
        <v>1159</v>
      </c>
      <c r="E55" s="151" t="s">
        <v>1159</v>
      </c>
      <c r="F55" s="151" t="s">
        <v>1159</v>
      </c>
      <c r="G55" s="151" t="s">
        <v>1159</v>
      </c>
      <c r="H55" s="151" t="s">
        <v>1159</v>
      </c>
      <c r="I55" s="151" t="s">
        <v>1159</v>
      </c>
      <c r="J55" s="151" t="s">
        <v>1159</v>
      </c>
      <c r="K55" s="80" t="s">
        <v>770</v>
      </c>
      <c r="L55" s="80" t="s">
        <v>770</v>
      </c>
      <c r="M55" s="80" t="s">
        <v>770</v>
      </c>
      <c r="N55" s="80" t="s">
        <v>770</v>
      </c>
      <c r="O55" s="80" t="s">
        <v>770</v>
      </c>
      <c r="P55" s="80" t="s">
        <v>770</v>
      </c>
      <c r="Q55" s="80" t="s">
        <v>770</v>
      </c>
      <c r="R55" s="80" t="s">
        <v>770</v>
      </c>
      <c r="S55" s="80" t="s">
        <v>770</v>
      </c>
      <c r="T55" s="80" t="s">
        <v>770</v>
      </c>
      <c r="U55" s="80" t="s">
        <v>770</v>
      </c>
      <c r="V55" s="80" t="s">
        <v>770</v>
      </c>
      <c r="W55" s="80" t="s">
        <v>770</v>
      </c>
      <c r="X55" s="80" t="s">
        <v>770</v>
      </c>
      <c r="Y55" s="80" t="s">
        <v>770</v>
      </c>
      <c r="Z55" s="80" t="s">
        <v>770</v>
      </c>
      <c r="AA55" s="80" t="s">
        <v>770</v>
      </c>
      <c r="AB55" s="80" t="s">
        <v>770</v>
      </c>
      <c r="AC55" s="80" t="s">
        <v>770</v>
      </c>
      <c r="AD55" s="80" t="s">
        <v>770</v>
      </c>
      <c r="AE55" s="80" t="s">
        <v>770</v>
      </c>
      <c r="AF55" s="80" t="s">
        <v>770</v>
      </c>
      <c r="AG55" s="25">
        <f t="shared" si="7"/>
        <v>9</v>
      </c>
      <c r="AH55" s="55">
        <f t="shared" si="8"/>
        <v>72</v>
      </c>
      <c r="AI55" s="20" t="str" cm="1">
        <f t="array" ref="AI55">_xlfn.LET(
    _xlpm.data, B55:AF55,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PoWan</v>
      </c>
      <c r="AJ55" s="20" t="str" cm="1">
        <f t="array" ref="AJ55">_xlfn._xlws.FILTER(表格6[Full Name],(表格6[Name]=AI55)+(表格6[Name]&amp;"_1"=AI55)+(表格6[Name]&amp;"_2"=AI55)+(表格6[Name]&amp;"_3"=AI55)+(表格6[Name]&amp;"_4"=AI55)+(表格6[Name]&amp;"_5"=AI55))</f>
        <v>Ng Po Wan</v>
      </c>
      <c r="AK55" s="20" cm="1">
        <f t="array" ref="AK55">_xlfn._xlws.FILTER(三國演義!$C$13:$C$80,三國演義!$E$13:$E$80=Roster!AI55)</f>
        <v>51</v>
      </c>
      <c r="AL55" s="20">
        <v>80</v>
      </c>
      <c r="AM55" s="124">
        <v>0</v>
      </c>
      <c r="AN55" s="133">
        <v>0.02</v>
      </c>
    </row>
    <row r="56" spans="1:40" ht="25.5">
      <c r="A56" s="170" t="s">
        <v>1303</v>
      </c>
      <c r="B56" s="80" t="s">
        <v>1302</v>
      </c>
      <c r="C56" s="80" t="s">
        <v>1302</v>
      </c>
      <c r="D56" s="80" t="s">
        <v>1302</v>
      </c>
      <c r="E56" s="80" t="s">
        <v>1302</v>
      </c>
      <c r="F56" s="80" t="s">
        <v>1302</v>
      </c>
      <c r="G56" s="80" t="s">
        <v>1302</v>
      </c>
      <c r="H56" s="80" t="s">
        <v>1302</v>
      </c>
      <c r="I56" s="80" t="s">
        <v>1302</v>
      </c>
      <c r="J56" s="80" t="s">
        <v>1302</v>
      </c>
      <c r="K56" s="80" t="s">
        <v>1302</v>
      </c>
      <c r="L56" s="80" t="s">
        <v>1302</v>
      </c>
      <c r="M56" s="80" t="s">
        <v>1302</v>
      </c>
      <c r="N56" s="80" t="s">
        <v>1302</v>
      </c>
      <c r="O56" s="80" t="s">
        <v>1302</v>
      </c>
      <c r="P56" s="80" t="s">
        <v>1302</v>
      </c>
      <c r="Q56" s="151" t="s">
        <v>1223</v>
      </c>
      <c r="R56" s="151" t="s">
        <v>1223</v>
      </c>
      <c r="S56" s="151" t="s">
        <v>1302</v>
      </c>
      <c r="T56" s="151" t="s">
        <v>1302</v>
      </c>
      <c r="U56" s="151" t="s">
        <v>1223</v>
      </c>
      <c r="V56" s="151" t="s">
        <v>1223</v>
      </c>
      <c r="W56" s="151" t="s">
        <v>1302</v>
      </c>
      <c r="X56" s="151" t="s">
        <v>1223</v>
      </c>
      <c r="Y56" s="151" t="s">
        <v>1223</v>
      </c>
      <c r="Z56" s="151" t="s">
        <v>1302</v>
      </c>
      <c r="AA56" s="151" t="s">
        <v>1223</v>
      </c>
      <c r="AB56" s="151" t="s">
        <v>1223</v>
      </c>
      <c r="AC56" s="80" t="s">
        <v>1302</v>
      </c>
      <c r="AD56" s="80" t="s">
        <v>1302</v>
      </c>
      <c r="AE56" s="80" t="s">
        <v>1302</v>
      </c>
      <c r="AF56" s="80" t="s">
        <v>1302</v>
      </c>
      <c r="AG56" s="25">
        <f t="shared" si="7"/>
        <v>8</v>
      </c>
      <c r="AH56" s="55">
        <f t="shared" si="8"/>
        <v>64</v>
      </c>
      <c r="AI56" s="20" t="str" cm="1">
        <f t="array" ref="AI56">_xlfn.LET(
    _xlpm.data, B56:AF56,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Maggie Ho_2</v>
      </c>
      <c r="AJ56" s="20" t="str" cm="1">
        <f t="array" ref="AJ56">_xlfn._xlws.FILTER(表格6[Full Name],(表格6[Name]=AI56)+(表格6[Name]&amp;"_1"=AI56)+(表格6[Name]&amp;"_2"=AI56)+(表格6[Name]&amp;"_3"=AI56)+(表格6[Name]&amp;"_4"=AI56)+(表格6[Name]&amp;"_5"=AI56))</f>
        <v>Ho Lai Kuen</v>
      </c>
      <c r="AK56" s="20" cm="1">
        <f t="array" ref="AK56">_xlfn._xlws.FILTER(三國演義!$C$13:$C$80,三國演義!$E$13:$E$80=Roster!AI56)</f>
        <v>52</v>
      </c>
      <c r="AL56" s="20">
        <v>65</v>
      </c>
      <c r="AM56" s="124">
        <v>0</v>
      </c>
      <c r="AN56" s="133"/>
    </row>
    <row r="57" spans="1:40">
      <c r="A57" s="170" t="s">
        <v>1304</v>
      </c>
      <c r="B57" s="80" t="s">
        <v>1302</v>
      </c>
      <c r="C57" s="80" t="s">
        <v>1302</v>
      </c>
      <c r="D57" s="80" t="s">
        <v>1302</v>
      </c>
      <c r="E57" s="80" t="s">
        <v>1302</v>
      </c>
      <c r="F57" s="80" t="s">
        <v>1302</v>
      </c>
      <c r="G57" s="151" t="s">
        <v>1212</v>
      </c>
      <c r="H57" s="151" t="s">
        <v>1212</v>
      </c>
      <c r="I57" s="151" t="s">
        <v>1212</v>
      </c>
      <c r="J57" s="151" t="s">
        <v>1212</v>
      </c>
      <c r="K57" s="151" t="s">
        <v>1302</v>
      </c>
      <c r="L57" s="80" t="s">
        <v>1302</v>
      </c>
      <c r="M57" s="80" t="s">
        <v>1302</v>
      </c>
      <c r="N57" s="80" t="s">
        <v>1302</v>
      </c>
      <c r="O57" s="80" t="s">
        <v>1302</v>
      </c>
      <c r="P57" s="80" t="s">
        <v>1302</v>
      </c>
      <c r="Q57" s="80" t="s">
        <v>1302</v>
      </c>
      <c r="R57" s="80" t="s">
        <v>1302</v>
      </c>
      <c r="S57" s="80" t="s">
        <v>1302</v>
      </c>
      <c r="T57" s="80" t="s">
        <v>1302</v>
      </c>
      <c r="U57" s="80" t="s">
        <v>1302</v>
      </c>
      <c r="V57" s="80" t="s">
        <v>1302</v>
      </c>
      <c r="W57" s="80" t="s">
        <v>1302</v>
      </c>
      <c r="X57" s="80" t="s">
        <v>1302</v>
      </c>
      <c r="Y57" s="80" t="s">
        <v>1302</v>
      </c>
      <c r="Z57" s="80" t="s">
        <v>1302</v>
      </c>
      <c r="AA57" s="80" t="s">
        <v>1302</v>
      </c>
      <c r="AB57" s="80" t="s">
        <v>1302</v>
      </c>
      <c r="AC57" s="80" t="s">
        <v>1302</v>
      </c>
      <c r="AD57" s="80" t="s">
        <v>1302</v>
      </c>
      <c r="AE57" s="80" t="s">
        <v>1302</v>
      </c>
      <c r="AF57" s="80" t="s">
        <v>1302</v>
      </c>
      <c r="AG57" s="25">
        <f t="shared" si="7"/>
        <v>4</v>
      </c>
      <c r="AH57" s="153">
        <v>35.5</v>
      </c>
      <c r="AI57" s="20" t="str" cm="1">
        <f t="array" ref="AI57">_xlfn.LET(
    _xlpm.data, B57:AF57,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Ivy Wong_2</v>
      </c>
      <c r="AJ57" s="20" t="str" cm="1">
        <f t="array" ref="AJ57">_xlfn._xlws.FILTER(表格6[Full Name],(表格6[Name]=AI57)+(表格6[Name]&amp;"_1"=AI57)+(表格6[Name]&amp;"_2"=AI57)+(表格6[Name]&amp;"_3"=AI57)+(表格6[Name]&amp;"_4"=AI57)+(表格6[Name]&amp;"_5"=AI57))</f>
        <v>Wong Wai Chu</v>
      </c>
      <c r="AK57" s="20" cm="1">
        <f t="array" ref="AK57">_xlfn._xlws.FILTER(三國演義!$C$13:$C$80,三國演義!$E$13:$E$80=Roster!AI57)</f>
        <v>53</v>
      </c>
      <c r="AL57" s="20">
        <v>60</v>
      </c>
      <c r="AM57" s="124">
        <v>0</v>
      </c>
      <c r="AN57" s="133"/>
    </row>
    <row r="58" spans="1:40">
      <c r="A58" s="170" t="s">
        <v>1306</v>
      </c>
      <c r="B58" s="80" t="s">
        <v>1302</v>
      </c>
      <c r="C58" s="80" t="s">
        <v>1302</v>
      </c>
      <c r="D58" s="80" t="s">
        <v>1302</v>
      </c>
      <c r="E58" s="80" t="s">
        <v>1302</v>
      </c>
      <c r="F58" s="80" t="s">
        <v>1302</v>
      </c>
      <c r="G58" s="80" t="s">
        <v>1302</v>
      </c>
      <c r="H58" s="80" t="s">
        <v>1302</v>
      </c>
      <c r="I58" s="80" t="s">
        <v>1302</v>
      </c>
      <c r="J58" s="80" t="s">
        <v>1302</v>
      </c>
      <c r="K58" s="80" t="s">
        <v>1302</v>
      </c>
      <c r="L58" s="80" t="s">
        <v>1302</v>
      </c>
      <c r="M58" s="80" t="s">
        <v>1302</v>
      </c>
      <c r="N58" s="80" t="s">
        <v>1302</v>
      </c>
      <c r="O58" s="80" t="s">
        <v>1302</v>
      </c>
      <c r="P58" s="80" t="s">
        <v>1302</v>
      </c>
      <c r="Q58" s="80" t="s">
        <v>1302</v>
      </c>
      <c r="R58" s="80" t="s">
        <v>1302</v>
      </c>
      <c r="S58" s="80" t="s">
        <v>1302</v>
      </c>
      <c r="T58" s="80" t="s">
        <v>1302</v>
      </c>
      <c r="U58" s="151" t="s">
        <v>1465</v>
      </c>
      <c r="V58" s="151" t="s">
        <v>1465</v>
      </c>
      <c r="W58" s="151" t="s">
        <v>1465</v>
      </c>
      <c r="X58" s="151" t="s">
        <v>1465</v>
      </c>
      <c r="Y58" s="80" t="s">
        <v>1302</v>
      </c>
      <c r="Z58" s="80" t="s">
        <v>1302</v>
      </c>
      <c r="AA58" s="80" t="s">
        <v>1302</v>
      </c>
      <c r="AB58" s="80" t="s">
        <v>1302</v>
      </c>
      <c r="AC58" s="80" t="s">
        <v>1302</v>
      </c>
      <c r="AD58" s="80" t="s">
        <v>1302</v>
      </c>
      <c r="AE58" s="80" t="s">
        <v>1302</v>
      </c>
      <c r="AF58" s="80" t="s">
        <v>1302</v>
      </c>
      <c r="AG58" s="25">
        <f t="shared" si="7"/>
        <v>4</v>
      </c>
      <c r="AH58" s="55">
        <f t="shared" si="8"/>
        <v>32</v>
      </c>
      <c r="AI58" s="20" t="str" cm="1">
        <f t="array" ref="AI58">_xlfn.LET(
    _xlpm.data, B58:AF58,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Ho_2</v>
      </c>
      <c r="AJ58" s="20" t="str" cm="1">
        <f t="array" ref="AJ58">_xlfn._xlws.FILTER(表格6[Full Name],(表格6[Name]=AI58)+(表格6[Name]&amp;"_1"=AI58)+(表格6[Name]&amp;"_2"=AI58)+(表格6[Name]&amp;"_3"=AI58)+(表格6[Name]&amp;"_4"=AI58)+(表格6[Name]&amp;"_5"=AI58))</f>
        <v>Kwan Tit Ho</v>
      </c>
      <c r="AK58" s="20" cm="1">
        <f t="array" ref="AK58">_xlfn._xlws.FILTER(三國演義!$C$13:$C$80,三國演義!$E$13:$E$80=Roster!AI58)</f>
        <v>54</v>
      </c>
      <c r="AL58" s="20">
        <v>60</v>
      </c>
      <c r="AM58" s="124">
        <v>0</v>
      </c>
      <c r="AN58" s="133"/>
    </row>
    <row r="59" spans="1:40">
      <c r="A59" s="170" t="s">
        <v>1305</v>
      </c>
      <c r="B59" s="80" t="s">
        <v>1302</v>
      </c>
      <c r="C59" s="80" t="s">
        <v>1302</v>
      </c>
      <c r="D59" s="80" t="s">
        <v>1302</v>
      </c>
      <c r="E59" s="80" t="s">
        <v>1302</v>
      </c>
      <c r="F59" s="80" t="s">
        <v>1302</v>
      </c>
      <c r="G59" s="80" t="s">
        <v>1302</v>
      </c>
      <c r="H59" s="80" t="s">
        <v>1302</v>
      </c>
      <c r="I59" s="80" t="s">
        <v>1302</v>
      </c>
      <c r="J59" s="80" t="s">
        <v>1302</v>
      </c>
      <c r="K59" s="80" t="s">
        <v>1302</v>
      </c>
      <c r="L59" s="80" t="s">
        <v>1302</v>
      </c>
      <c r="M59" s="80" t="s">
        <v>1302</v>
      </c>
      <c r="N59" s="80" t="s">
        <v>1302</v>
      </c>
      <c r="O59" s="80" t="s">
        <v>1302</v>
      </c>
      <c r="P59" s="80" t="s">
        <v>1302</v>
      </c>
      <c r="Q59" s="80" t="s">
        <v>1302</v>
      </c>
      <c r="R59" s="80" t="s">
        <v>1302</v>
      </c>
      <c r="S59" s="80" t="s">
        <v>1302</v>
      </c>
      <c r="T59" s="80" t="s">
        <v>1302</v>
      </c>
      <c r="U59" s="80" t="s">
        <v>1302</v>
      </c>
      <c r="V59" s="80" t="s">
        <v>1302</v>
      </c>
      <c r="W59" s="80" t="s">
        <v>1302</v>
      </c>
      <c r="X59" s="80" t="s">
        <v>1302</v>
      </c>
      <c r="Y59" s="80" t="s">
        <v>1302</v>
      </c>
      <c r="Z59" s="80" t="s">
        <v>1302</v>
      </c>
      <c r="AA59" s="80" t="s">
        <v>1302</v>
      </c>
      <c r="AB59" s="151" t="s">
        <v>1907</v>
      </c>
      <c r="AC59" s="151" t="s">
        <v>1907</v>
      </c>
      <c r="AD59" s="151" t="s">
        <v>1907</v>
      </c>
      <c r="AE59" s="151" t="s">
        <v>1907</v>
      </c>
      <c r="AF59" s="80" t="s">
        <v>1302</v>
      </c>
      <c r="AG59" s="25">
        <f t="shared" si="7"/>
        <v>4</v>
      </c>
      <c r="AH59" s="153">
        <f>AG59*10</f>
        <v>40</v>
      </c>
      <c r="AI59" s="20" t="str" cm="1">
        <f t="array" ref="AI59">_xlfn.LET(
    _xlpm.data, B59:AF59,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Terence_2</v>
      </c>
      <c r="AJ59" s="20" t="str" cm="1">
        <f t="array" ref="AJ59">_xlfn._xlws.FILTER(表格6[Full Name],(表格6[Name]=AI59)+(表格6[Name]&amp;"_1"=AI59)+(表格6[Name]&amp;"_2"=AI59)+(表格6[Name]&amp;"_3"=AI59)+(表格6[Name]&amp;"_4"=AI59)+(表格6[Name]&amp;"_5"=AI59))</f>
        <v>Tsang Tak Kin</v>
      </c>
      <c r="AK59" s="20" cm="1">
        <f t="array" ref="AK59">_xlfn._xlws.FILTER(三國演義!$C$13:$C$80,三國演義!$E$13:$E$80=Roster!AI59)</f>
        <v>55</v>
      </c>
      <c r="AL59" s="20">
        <v>60</v>
      </c>
      <c r="AM59" s="124">
        <v>0</v>
      </c>
      <c r="AN59" s="133"/>
    </row>
    <row r="60" spans="1:40">
      <c r="A60" s="170" t="s">
        <v>1105</v>
      </c>
      <c r="B60" s="151" t="s">
        <v>1463</v>
      </c>
      <c r="C60" s="151" t="s">
        <v>1463</v>
      </c>
      <c r="D60" s="151" t="s">
        <v>1463</v>
      </c>
      <c r="E60" s="151" t="s">
        <v>1464</v>
      </c>
      <c r="F60" s="151" t="s">
        <v>1463</v>
      </c>
      <c r="G60" s="151" t="s">
        <v>1463</v>
      </c>
      <c r="H60" s="151" t="s">
        <v>1463</v>
      </c>
      <c r="I60" s="151" t="s">
        <v>1463</v>
      </c>
      <c r="J60" s="151" t="s">
        <v>1463</v>
      </c>
      <c r="K60" s="151" t="s">
        <v>1463</v>
      </c>
      <c r="L60" s="151" t="s">
        <v>1463</v>
      </c>
      <c r="M60" s="151" t="s">
        <v>1463</v>
      </c>
      <c r="N60" s="151" t="s">
        <v>1464</v>
      </c>
      <c r="O60" s="151" t="s">
        <v>1463</v>
      </c>
      <c r="P60" s="151" t="s">
        <v>1463</v>
      </c>
      <c r="Q60" s="80" t="s">
        <v>770</v>
      </c>
      <c r="R60" s="80" t="s">
        <v>770</v>
      </c>
      <c r="S60" s="80" t="s">
        <v>770</v>
      </c>
      <c r="T60" s="80" t="s">
        <v>770</v>
      </c>
      <c r="U60" s="80" t="s">
        <v>770</v>
      </c>
      <c r="V60" s="80" t="s">
        <v>770</v>
      </c>
      <c r="W60" s="80" t="s">
        <v>770</v>
      </c>
      <c r="X60" s="80" t="s">
        <v>770</v>
      </c>
      <c r="Y60" s="80" t="s">
        <v>770</v>
      </c>
      <c r="Z60" s="80" t="s">
        <v>770</v>
      </c>
      <c r="AA60" s="80" t="s">
        <v>770</v>
      </c>
      <c r="AB60" s="80" t="s">
        <v>770</v>
      </c>
      <c r="AC60" s="80" t="s">
        <v>770</v>
      </c>
      <c r="AD60" s="80" t="s">
        <v>770</v>
      </c>
      <c r="AE60" s="80" t="s">
        <v>770</v>
      </c>
      <c r="AF60" s="80" t="s">
        <v>770</v>
      </c>
      <c r="AG60" s="25">
        <f t="shared" si="7"/>
        <v>13</v>
      </c>
      <c r="AH60" s="55">
        <f t="shared" si="8"/>
        <v>104</v>
      </c>
      <c r="AI60" s="20" t="str" cm="1">
        <f t="array" ref="AI60">_xlfn.LET(
    _xlpm.data, B60:AF60,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Ho_1</v>
      </c>
      <c r="AJ60" s="20" t="str" cm="1">
        <f t="array" ref="AJ60">_xlfn._xlws.FILTER(表格6[Full Name],(表格6[Name]=AI60)+(表格6[Name]&amp;"_1"=AI60)+(表格6[Name]&amp;"_2"=AI60)+(表格6[Name]&amp;"_3"=AI60)+(表格6[Name]&amp;"_4"=AI60)+(表格6[Name]&amp;"_5"=AI60))</f>
        <v>Kwan Tit Ho</v>
      </c>
      <c r="AK60" s="20" cm="1">
        <f t="array" ref="AK60">_xlfn._xlws.FILTER(三國演義!$C$13:$C$80,三國演義!$E$13:$E$80=Roster!AI60)</f>
        <v>56</v>
      </c>
      <c r="AL60" s="20">
        <v>60</v>
      </c>
      <c r="AM60" s="124">
        <v>0</v>
      </c>
      <c r="AN60" s="133">
        <v>0.02</v>
      </c>
    </row>
    <row r="61" spans="1:40">
      <c r="A61" s="170" t="s">
        <v>1106</v>
      </c>
      <c r="B61" s="151" t="s">
        <v>1108</v>
      </c>
      <c r="C61" s="151" t="s">
        <v>1234</v>
      </c>
      <c r="D61" s="151" t="s">
        <v>1234</v>
      </c>
      <c r="E61" s="151" t="s">
        <v>1234</v>
      </c>
      <c r="F61" s="151" t="s">
        <v>1234</v>
      </c>
      <c r="G61" s="151" t="s">
        <v>1234</v>
      </c>
      <c r="H61" s="151" t="s">
        <v>1108</v>
      </c>
      <c r="I61" s="151" t="s">
        <v>1108</v>
      </c>
      <c r="J61" s="151" t="s">
        <v>770</v>
      </c>
      <c r="K61" s="151" t="s">
        <v>770</v>
      </c>
      <c r="L61" s="151" t="s">
        <v>770</v>
      </c>
      <c r="M61" s="151" t="s">
        <v>770</v>
      </c>
      <c r="N61" s="151" t="s">
        <v>770</v>
      </c>
      <c r="O61" s="151" t="s">
        <v>1108</v>
      </c>
      <c r="P61" s="151" t="s">
        <v>1108</v>
      </c>
      <c r="Q61" s="80" t="s">
        <v>770</v>
      </c>
      <c r="R61" s="80" t="s">
        <v>770</v>
      </c>
      <c r="S61" s="80" t="s">
        <v>770</v>
      </c>
      <c r="T61" s="80" t="s">
        <v>770</v>
      </c>
      <c r="U61" s="80" t="s">
        <v>770</v>
      </c>
      <c r="V61" s="80" t="s">
        <v>770</v>
      </c>
      <c r="W61" s="80" t="s">
        <v>770</v>
      </c>
      <c r="X61" s="80" t="s">
        <v>770</v>
      </c>
      <c r="Y61" s="80" t="s">
        <v>770</v>
      </c>
      <c r="Z61" s="80" t="s">
        <v>770</v>
      </c>
      <c r="AA61" s="80" t="s">
        <v>770</v>
      </c>
      <c r="AB61" s="80" t="s">
        <v>770</v>
      </c>
      <c r="AC61" s="80" t="s">
        <v>770</v>
      </c>
      <c r="AD61" s="80" t="s">
        <v>770</v>
      </c>
      <c r="AE61" s="80" t="s">
        <v>770</v>
      </c>
      <c r="AF61" s="80" t="s">
        <v>770</v>
      </c>
      <c r="AG61" s="25">
        <f t="shared" si="7"/>
        <v>5</v>
      </c>
      <c r="AH61" s="55">
        <f t="shared" si="8"/>
        <v>40</v>
      </c>
      <c r="AI61" s="20" t="str" cm="1">
        <f t="array" ref="AI61">_xlfn.LET(
    _xlpm.data, B61:AF61,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Winnie</v>
      </c>
      <c r="AJ61" s="20" t="str" cm="1">
        <f t="array" ref="AJ61">_xlfn._xlws.FILTER(表格6[Full Name],(表格6[Name]=AI61)+(表格6[Name]&amp;"_1"=AI61)+(表格6[Name]&amp;"_2"=AI61)+(表格6[Name]&amp;"_3"=AI61)+(表格6[Name]&amp;"_4"=AI61)+(表格6[Name]&amp;"_5"=AI61))</f>
        <v>Lee Yee Wan</v>
      </c>
      <c r="AK61" s="20" cm="1">
        <f t="array" ref="AK61">_xlfn._xlws.FILTER(三國演義!$C$13:$C$80,三國演義!$E$13:$E$80=Roster!AI61)</f>
        <v>57</v>
      </c>
      <c r="AL61" s="20">
        <v>60</v>
      </c>
      <c r="AM61" s="124">
        <v>0</v>
      </c>
      <c r="AN61" s="133">
        <v>0.02</v>
      </c>
    </row>
    <row r="62" spans="1:40">
      <c r="A62" s="170" t="s">
        <v>1233</v>
      </c>
      <c r="B62" s="151" t="s">
        <v>1151</v>
      </c>
      <c r="C62" s="151" t="s">
        <v>1234</v>
      </c>
      <c r="D62" s="151" t="s">
        <v>1234</v>
      </c>
      <c r="E62" s="151" t="s">
        <v>1234</v>
      </c>
      <c r="F62" s="151" t="s">
        <v>1234</v>
      </c>
      <c r="G62" s="151" t="s">
        <v>1234</v>
      </c>
      <c r="H62" s="151" t="s">
        <v>1151</v>
      </c>
      <c r="I62" s="151" t="s">
        <v>1151</v>
      </c>
      <c r="J62" s="151" t="s">
        <v>770</v>
      </c>
      <c r="K62" s="151" t="s">
        <v>770</v>
      </c>
      <c r="L62" s="151" t="s">
        <v>770</v>
      </c>
      <c r="M62" s="151" t="s">
        <v>770</v>
      </c>
      <c r="N62" s="151" t="s">
        <v>770</v>
      </c>
      <c r="O62" s="151" t="s">
        <v>1151</v>
      </c>
      <c r="P62" s="151" t="s">
        <v>1151</v>
      </c>
      <c r="Q62" s="80" t="s">
        <v>770</v>
      </c>
      <c r="R62" s="80" t="s">
        <v>770</v>
      </c>
      <c r="S62" s="80" t="s">
        <v>770</v>
      </c>
      <c r="T62" s="80" t="s">
        <v>770</v>
      </c>
      <c r="U62" s="80" t="s">
        <v>770</v>
      </c>
      <c r="V62" s="80" t="s">
        <v>770</v>
      </c>
      <c r="W62" s="80" t="s">
        <v>770</v>
      </c>
      <c r="X62" s="80" t="s">
        <v>770</v>
      </c>
      <c r="Y62" s="80" t="s">
        <v>770</v>
      </c>
      <c r="Z62" s="80" t="s">
        <v>770</v>
      </c>
      <c r="AA62" s="80" t="s">
        <v>770</v>
      </c>
      <c r="AB62" s="80" t="s">
        <v>770</v>
      </c>
      <c r="AC62" s="80" t="s">
        <v>770</v>
      </c>
      <c r="AD62" s="80" t="s">
        <v>770</v>
      </c>
      <c r="AE62" s="80" t="s">
        <v>770</v>
      </c>
      <c r="AF62" s="80" t="s">
        <v>770</v>
      </c>
      <c r="AG62" s="25">
        <f t="shared" si="7"/>
        <v>5</v>
      </c>
      <c r="AH62" s="55">
        <f t="shared" si="8"/>
        <v>40</v>
      </c>
      <c r="AI62" s="20" t="str" cm="1">
        <f t="array" ref="AI62">_xlfn.LET(
    _xlpm.data, B62:AF62,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Wendy Lau</v>
      </c>
      <c r="AJ62" s="20" t="str" cm="1">
        <f t="array" ref="AJ62">_xlfn._xlws.FILTER(表格6[Full Name],(表格6[Name]=AI62)+(表格6[Name]&amp;"_1"=AI62)+(表格6[Name]&amp;"_2"=AI62)+(表格6[Name]&amp;"_3"=AI62)+(表格6[Name]&amp;"_4"=AI62)+(表格6[Name]&amp;"_5"=AI62))</f>
        <v>Lau Kwan Wai</v>
      </c>
      <c r="AK62" s="20" cm="1">
        <f t="array" ref="AK62">_xlfn._xlws.FILTER(三國演義!$C$13:$C$80,三國演義!$E$13:$E$80=Roster!AI62)</f>
        <v>58</v>
      </c>
      <c r="AL62" s="20">
        <v>60</v>
      </c>
      <c r="AM62" s="124">
        <v>0</v>
      </c>
      <c r="AN62" s="133">
        <v>0.02</v>
      </c>
    </row>
    <row r="63" spans="1:40">
      <c r="A63" s="170" t="s">
        <v>1152</v>
      </c>
      <c r="B63" s="151" t="s">
        <v>1109</v>
      </c>
      <c r="C63" s="151" t="s">
        <v>1109</v>
      </c>
      <c r="D63" s="151" t="s">
        <v>1109</v>
      </c>
      <c r="E63" s="151" t="s">
        <v>1109</v>
      </c>
      <c r="F63" s="151" t="s">
        <v>1254</v>
      </c>
      <c r="G63" s="151" t="s">
        <v>1109</v>
      </c>
      <c r="H63" s="151" t="s">
        <v>1109</v>
      </c>
      <c r="I63" s="151" t="s">
        <v>1109</v>
      </c>
      <c r="J63" s="151" t="s">
        <v>1109</v>
      </c>
      <c r="K63" s="151" t="s">
        <v>1109</v>
      </c>
      <c r="L63" s="151" t="s">
        <v>1254</v>
      </c>
      <c r="M63" s="151" t="s">
        <v>1109</v>
      </c>
      <c r="N63" s="151" t="s">
        <v>1109</v>
      </c>
      <c r="O63" s="151" t="s">
        <v>1109</v>
      </c>
      <c r="P63" s="151" t="s">
        <v>1109</v>
      </c>
      <c r="Q63" s="80" t="s">
        <v>770</v>
      </c>
      <c r="R63" s="80" t="s">
        <v>770</v>
      </c>
      <c r="S63" s="80" t="s">
        <v>770</v>
      </c>
      <c r="T63" s="80" t="s">
        <v>770</v>
      </c>
      <c r="U63" s="80" t="s">
        <v>770</v>
      </c>
      <c r="V63" s="80" t="s">
        <v>770</v>
      </c>
      <c r="W63" s="80" t="s">
        <v>770</v>
      </c>
      <c r="X63" s="80" t="s">
        <v>770</v>
      </c>
      <c r="Y63" s="80" t="s">
        <v>770</v>
      </c>
      <c r="Z63" s="80" t="s">
        <v>770</v>
      </c>
      <c r="AA63" s="80" t="s">
        <v>770</v>
      </c>
      <c r="AB63" s="80" t="s">
        <v>770</v>
      </c>
      <c r="AC63" s="80" t="s">
        <v>770</v>
      </c>
      <c r="AD63" s="80" t="s">
        <v>770</v>
      </c>
      <c r="AE63" s="80" t="s">
        <v>770</v>
      </c>
      <c r="AF63" s="80" t="s">
        <v>770</v>
      </c>
      <c r="AG63" s="25">
        <f t="shared" si="7"/>
        <v>13</v>
      </c>
      <c r="AH63" s="55">
        <f t="shared" si="8"/>
        <v>104</v>
      </c>
      <c r="AI63" s="20" t="str" cm="1">
        <f t="array" ref="AI63">_xlfn.LET(
    _xlpm.data, B63:AF63,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Me</v>
      </c>
      <c r="AJ63" s="20" t="str" cm="1">
        <f t="array" ref="AJ63">_xlfn._xlws.FILTER(表格6[Full Name],(表格6[Name]=AI63)+(表格6[Name]&amp;"_1"=AI63)+(表格6[Name]&amp;"_2"=AI63)+(表格6[Name]&amp;"_3"=AI63)+(表格6[Name]&amp;"_4"=AI63)+(表格6[Name]&amp;"_5"=AI63))</f>
        <v>Ngai Kong Ying</v>
      </c>
      <c r="AK63" s="20" cm="1">
        <f t="array" ref="AK63">_xlfn._xlws.FILTER(三國演義!$C$13:$C$80,三國演義!$E$13:$E$80=Roster!AI63)</f>
        <v>59</v>
      </c>
      <c r="AL63" s="20">
        <v>60</v>
      </c>
      <c r="AM63" s="124">
        <v>0</v>
      </c>
      <c r="AN63" s="133">
        <v>0.02</v>
      </c>
    </row>
    <row r="64" spans="1:40">
      <c r="A64" s="170" t="s">
        <v>1232</v>
      </c>
      <c r="B64" s="151" t="s">
        <v>1246</v>
      </c>
      <c r="C64" s="151" t="s">
        <v>770</v>
      </c>
      <c r="D64" s="151" t="s">
        <v>770</v>
      </c>
      <c r="E64" s="151" t="s">
        <v>770</v>
      </c>
      <c r="F64" s="151" t="s">
        <v>770</v>
      </c>
      <c r="G64" s="151" t="s">
        <v>770</v>
      </c>
      <c r="H64" s="151" t="s">
        <v>1246</v>
      </c>
      <c r="I64" s="151" t="s">
        <v>1246</v>
      </c>
      <c r="J64" s="151" t="s">
        <v>770</v>
      </c>
      <c r="K64" s="151" t="s">
        <v>770</v>
      </c>
      <c r="L64" s="151" t="s">
        <v>770</v>
      </c>
      <c r="M64" s="151" t="s">
        <v>770</v>
      </c>
      <c r="N64" s="151" t="s">
        <v>770</v>
      </c>
      <c r="O64" s="151" t="s">
        <v>1246</v>
      </c>
      <c r="P64" s="151" t="s">
        <v>1246</v>
      </c>
      <c r="Q64" s="80" t="s">
        <v>770</v>
      </c>
      <c r="R64" s="80" t="s">
        <v>770</v>
      </c>
      <c r="S64" s="80" t="s">
        <v>770</v>
      </c>
      <c r="T64" s="80" t="s">
        <v>770</v>
      </c>
      <c r="U64" s="80" t="s">
        <v>770</v>
      </c>
      <c r="V64" s="80" t="s">
        <v>770</v>
      </c>
      <c r="W64" s="80" t="s">
        <v>770</v>
      </c>
      <c r="X64" s="80" t="s">
        <v>770</v>
      </c>
      <c r="Y64" s="80" t="s">
        <v>770</v>
      </c>
      <c r="Z64" s="80" t="s">
        <v>770</v>
      </c>
      <c r="AA64" s="80" t="s">
        <v>770</v>
      </c>
      <c r="AB64" s="80" t="s">
        <v>770</v>
      </c>
      <c r="AC64" s="80" t="s">
        <v>770</v>
      </c>
      <c r="AD64" s="80" t="s">
        <v>770</v>
      </c>
      <c r="AE64" s="80" t="s">
        <v>770</v>
      </c>
      <c r="AF64" s="80" t="s">
        <v>770</v>
      </c>
      <c r="AG64" s="25">
        <f t="shared" si="7"/>
        <v>5</v>
      </c>
      <c r="AH64" s="55">
        <f t="shared" si="8"/>
        <v>40</v>
      </c>
      <c r="AI64" s="20" t="str" cm="1">
        <f t="array" ref="AI64">_xlfn.LET(
    _xlpm.data, B64:AF64,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Pinky</v>
      </c>
      <c r="AJ64" s="20" t="str" cm="1">
        <f t="array" ref="AJ64">_xlfn._xlws.FILTER(表格6[Full Name],(表格6[Name]=AI64)+(表格6[Name]&amp;"_1"=AI64)+(表格6[Name]&amp;"_2"=AI64)+(表格6[Name]&amp;"_3"=AI64)+(表格6[Name]&amp;"_4"=AI64)+(表格6[Name]&amp;"_5"=AI64))</f>
        <v>Cheung Yin Ping</v>
      </c>
      <c r="AK64" s="20" cm="1">
        <f t="array" ref="AK64">_xlfn._xlws.FILTER(三國演義!$C$13:$C$80,三國演義!$E$13:$E$80=Roster!AI64)</f>
        <v>60</v>
      </c>
      <c r="AL64" s="20">
        <v>60</v>
      </c>
      <c r="AM64" s="124">
        <v>0</v>
      </c>
      <c r="AN64" s="133">
        <v>0.02</v>
      </c>
    </row>
    <row r="65" spans="1:40" ht="25.5">
      <c r="A65" s="170" t="s">
        <v>1107</v>
      </c>
      <c r="B65" s="151" t="s">
        <v>1222</v>
      </c>
      <c r="C65" s="151" t="s">
        <v>770</v>
      </c>
      <c r="D65" s="151" t="s">
        <v>770</v>
      </c>
      <c r="E65" s="151" t="s">
        <v>770</v>
      </c>
      <c r="F65" s="151" t="s">
        <v>770</v>
      </c>
      <c r="G65" s="151" t="s">
        <v>770</v>
      </c>
      <c r="H65" s="151" t="s">
        <v>1222</v>
      </c>
      <c r="I65" s="151" t="s">
        <v>1222</v>
      </c>
      <c r="J65" s="151" t="s">
        <v>770</v>
      </c>
      <c r="K65" s="151" t="s">
        <v>770</v>
      </c>
      <c r="L65" s="151" t="s">
        <v>770</v>
      </c>
      <c r="M65" s="151" t="s">
        <v>770</v>
      </c>
      <c r="N65" s="151" t="s">
        <v>770</v>
      </c>
      <c r="O65" s="151" t="s">
        <v>1222</v>
      </c>
      <c r="P65" s="151" t="s">
        <v>1222</v>
      </c>
      <c r="Q65" s="80" t="s">
        <v>770</v>
      </c>
      <c r="R65" s="80" t="s">
        <v>770</v>
      </c>
      <c r="S65" s="80" t="s">
        <v>770</v>
      </c>
      <c r="T65" s="80" t="s">
        <v>770</v>
      </c>
      <c r="U65" s="80" t="s">
        <v>770</v>
      </c>
      <c r="V65" s="80" t="s">
        <v>770</v>
      </c>
      <c r="W65" s="80" t="s">
        <v>770</v>
      </c>
      <c r="X65" s="80" t="s">
        <v>770</v>
      </c>
      <c r="Y65" s="80" t="s">
        <v>770</v>
      </c>
      <c r="Z65" s="80" t="s">
        <v>770</v>
      </c>
      <c r="AA65" s="80" t="s">
        <v>770</v>
      </c>
      <c r="AB65" s="80" t="s">
        <v>770</v>
      </c>
      <c r="AC65" s="80" t="s">
        <v>770</v>
      </c>
      <c r="AD65" s="80" t="s">
        <v>770</v>
      </c>
      <c r="AE65" s="80" t="s">
        <v>770</v>
      </c>
      <c r="AF65" s="80" t="s">
        <v>770</v>
      </c>
      <c r="AG65" s="25">
        <f t="shared" si="7"/>
        <v>5</v>
      </c>
      <c r="AH65" s="55">
        <f t="shared" si="8"/>
        <v>40</v>
      </c>
      <c r="AI65" s="20" t="str" cm="1">
        <f t="array" ref="AI65">_xlfn.LET(
    _xlpm.data, B65:AF65,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Maggie Ho_1</v>
      </c>
      <c r="AJ65" s="20" t="str" cm="1">
        <f t="array" ref="AJ65">_xlfn._xlws.FILTER(表格6[Full Name],(表格6[Name]=AI65)+(表格6[Name]&amp;"_1"=AI65)+(表格6[Name]&amp;"_2"=AI65)+(表格6[Name]&amp;"_3"=AI65)+(表格6[Name]&amp;"_4"=AI65)+(表格6[Name]&amp;"_5"=AI65))</f>
        <v>Ho Lai Kuen</v>
      </c>
      <c r="AK65" s="20" cm="1">
        <f t="array" ref="AK65">_xlfn._xlws.FILTER(三國演義!$C$13:$C$80,三國演義!$E$13:$E$80=Roster!AI65)</f>
        <v>61</v>
      </c>
      <c r="AL65" s="20">
        <v>65</v>
      </c>
      <c r="AM65" s="124">
        <v>0</v>
      </c>
      <c r="AN65" s="133">
        <v>0.02</v>
      </c>
    </row>
    <row r="66" spans="1:40">
      <c r="A66" s="170" t="s">
        <v>2464</v>
      </c>
      <c r="B66" s="80" t="s">
        <v>770</v>
      </c>
      <c r="C66" s="80" t="s">
        <v>770</v>
      </c>
      <c r="D66" s="80" t="s">
        <v>770</v>
      </c>
      <c r="E66" s="80" t="s">
        <v>770</v>
      </c>
      <c r="F66" s="80" t="s">
        <v>770</v>
      </c>
      <c r="G66" s="80" t="s">
        <v>770</v>
      </c>
      <c r="H66" s="80" t="s">
        <v>770</v>
      </c>
      <c r="I66" s="80" t="s">
        <v>770</v>
      </c>
      <c r="J66" s="80" t="s">
        <v>770</v>
      </c>
      <c r="K66" s="80" t="s">
        <v>770</v>
      </c>
      <c r="L66" s="80" t="s">
        <v>770</v>
      </c>
      <c r="M66" s="80" t="s">
        <v>770</v>
      </c>
      <c r="N66" s="80" t="s">
        <v>770</v>
      </c>
      <c r="O66" s="80" t="s">
        <v>770</v>
      </c>
      <c r="P66" s="80" t="s">
        <v>770</v>
      </c>
      <c r="Q66" s="80" t="s">
        <v>770</v>
      </c>
      <c r="R66" s="80" t="s">
        <v>770</v>
      </c>
      <c r="S66" s="80" t="s">
        <v>770</v>
      </c>
      <c r="T66" s="80" t="s">
        <v>770</v>
      </c>
      <c r="U66" s="80" t="s">
        <v>770</v>
      </c>
      <c r="V66" s="80" t="s">
        <v>770</v>
      </c>
      <c r="W66" s="80" t="s">
        <v>770</v>
      </c>
      <c r="X66" s="80" t="s">
        <v>770</v>
      </c>
      <c r="Y66" s="80" t="s">
        <v>2468</v>
      </c>
      <c r="Z66" s="80" t="s">
        <v>770</v>
      </c>
      <c r="AA66" s="80" t="s">
        <v>770</v>
      </c>
      <c r="AB66" s="80" t="s">
        <v>770</v>
      </c>
      <c r="AC66" s="80" t="s">
        <v>770</v>
      </c>
      <c r="AD66" s="80" t="s">
        <v>770</v>
      </c>
      <c r="AE66" s="80" t="s">
        <v>770</v>
      </c>
      <c r="AF66" s="80" t="s">
        <v>770</v>
      </c>
      <c r="AG66" s="25">
        <v>1</v>
      </c>
      <c r="AH66" s="55">
        <v>7</v>
      </c>
      <c r="AI66" s="20" t="str" cm="1">
        <f t="array" ref="AI66">_xlfn.LET(
    _xlpm.data, B66:AF66,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Eddy</v>
      </c>
      <c r="AJ66" s="20" t="str" cm="1">
        <f t="array" ref="AJ66">_xlfn._xlws.FILTER(表格6[Full Name],(表格6[Name]=AI66)+(表格6[Name]&amp;"_1"=AI66)+(表格6[Name]&amp;"_2"=AI66)+(表格6[Name]&amp;"_3"=AI66)+(表格6[Name]&amp;"_4"=AI66)+(表格6[Name]&amp;"_5"=AI66))</f>
        <v>Chan Chi Tim</v>
      </c>
      <c r="AK66" s="20" cm="1">
        <f t="array" ref="AK66">_xlfn._xlws.FILTER(三國演義!$C$13:$C$80,三國演義!$E$13:$E$80=Roster!AI66)</f>
        <v>62</v>
      </c>
      <c r="AL66" s="20">
        <v>50</v>
      </c>
      <c r="AM66" s="124">
        <v>0</v>
      </c>
      <c r="AN66" s="133"/>
    </row>
    <row r="67" spans="1:40">
      <c r="A67" s="170" t="s">
        <v>2465</v>
      </c>
      <c r="B67" s="80" t="s">
        <v>770</v>
      </c>
      <c r="C67" s="80" t="s">
        <v>770</v>
      </c>
      <c r="D67" s="80" t="s">
        <v>770</v>
      </c>
      <c r="E67" s="80" t="s">
        <v>770</v>
      </c>
      <c r="F67" s="80" t="s">
        <v>770</v>
      </c>
      <c r="G67" s="80" t="s">
        <v>770</v>
      </c>
      <c r="H67" s="80" t="s">
        <v>770</v>
      </c>
      <c r="I67" s="80" t="s">
        <v>770</v>
      </c>
      <c r="J67" s="80" t="s">
        <v>770</v>
      </c>
      <c r="K67" s="80" t="s">
        <v>770</v>
      </c>
      <c r="L67" s="80" t="s">
        <v>770</v>
      </c>
      <c r="M67" s="80" t="s">
        <v>770</v>
      </c>
      <c r="N67" s="80" t="s">
        <v>770</v>
      </c>
      <c r="O67" s="80" t="s">
        <v>770</v>
      </c>
      <c r="P67" s="80" t="s">
        <v>770</v>
      </c>
      <c r="Q67" s="80" t="s">
        <v>770</v>
      </c>
      <c r="R67" s="80" t="s">
        <v>770</v>
      </c>
      <c r="S67" s="80" t="s">
        <v>770</v>
      </c>
      <c r="T67" s="80" t="s">
        <v>770</v>
      </c>
      <c r="U67" s="80" t="s">
        <v>770</v>
      </c>
      <c r="V67" s="80" t="s">
        <v>770</v>
      </c>
      <c r="W67" s="80" t="s">
        <v>770</v>
      </c>
      <c r="X67" s="80" t="s">
        <v>770</v>
      </c>
      <c r="Y67" s="80" t="s">
        <v>2470</v>
      </c>
      <c r="Z67" s="80" t="s">
        <v>770</v>
      </c>
      <c r="AA67" s="80" t="s">
        <v>770</v>
      </c>
      <c r="AB67" s="80" t="s">
        <v>770</v>
      </c>
      <c r="AC67" s="80" t="s">
        <v>770</v>
      </c>
      <c r="AD67" s="80" t="s">
        <v>770</v>
      </c>
      <c r="AE67" s="80" t="s">
        <v>770</v>
      </c>
      <c r="AF67" s="80" t="s">
        <v>770</v>
      </c>
      <c r="AG67" s="25">
        <v>1</v>
      </c>
      <c r="AH67" s="55">
        <v>7</v>
      </c>
      <c r="AI67" s="20" t="str" cm="1">
        <f t="array" ref="AI67">_xlfn.LET(
    _xlpm.data, B67:AF67,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Jenny</v>
      </c>
      <c r="AJ67" s="20" t="str" cm="1">
        <f t="array" ref="AJ67">_xlfn._xlws.FILTER(表格6[Full Name],(表格6[Name]=AI67)+(表格6[Name]&amp;"_1"=AI67)+(表格6[Name]&amp;"_2"=AI67)+(表格6[Name]&amp;"_3"=AI67)+(表格6[Name]&amp;"_4"=AI67)+(表格6[Name]&amp;"_5"=AI67))</f>
        <v>Pang Kam Chun</v>
      </c>
      <c r="AK67" s="20" cm="1">
        <f t="array" ref="AK67">_xlfn._xlws.FILTER(三國演義!$C$13:$C$80,三國演義!$E$13:$E$80=Roster!AI67)</f>
        <v>63</v>
      </c>
      <c r="AL67" s="20">
        <v>50</v>
      </c>
      <c r="AM67" s="124">
        <v>0</v>
      </c>
      <c r="AN67" s="133"/>
    </row>
    <row r="68" spans="1:40">
      <c r="A68" s="170" t="s">
        <v>2466</v>
      </c>
      <c r="B68" s="80" t="s">
        <v>770</v>
      </c>
      <c r="C68" s="80" t="s">
        <v>770</v>
      </c>
      <c r="D68" s="80" t="s">
        <v>770</v>
      </c>
      <c r="E68" s="80" t="s">
        <v>770</v>
      </c>
      <c r="F68" s="80" t="s">
        <v>770</v>
      </c>
      <c r="G68" s="80" t="s">
        <v>770</v>
      </c>
      <c r="H68" s="80" t="s">
        <v>770</v>
      </c>
      <c r="I68" s="80" t="s">
        <v>770</v>
      </c>
      <c r="J68" s="80" t="s">
        <v>770</v>
      </c>
      <c r="K68" s="80" t="s">
        <v>770</v>
      </c>
      <c r="L68" s="80" t="s">
        <v>770</v>
      </c>
      <c r="M68" s="80" t="s">
        <v>770</v>
      </c>
      <c r="N68" s="80" t="s">
        <v>770</v>
      </c>
      <c r="O68" s="80" t="s">
        <v>770</v>
      </c>
      <c r="P68" s="80" t="s">
        <v>770</v>
      </c>
      <c r="Q68" s="80" t="s">
        <v>770</v>
      </c>
      <c r="R68" s="80" t="s">
        <v>770</v>
      </c>
      <c r="S68" s="80" t="s">
        <v>770</v>
      </c>
      <c r="T68" s="80" t="s">
        <v>770</v>
      </c>
      <c r="U68" s="80" t="s">
        <v>770</v>
      </c>
      <c r="V68" s="80" t="s">
        <v>770</v>
      </c>
      <c r="W68" s="80" t="s">
        <v>770</v>
      </c>
      <c r="X68" s="80" t="s">
        <v>770</v>
      </c>
      <c r="Y68" s="80" t="s">
        <v>2472</v>
      </c>
      <c r="Z68" s="80" t="s">
        <v>770</v>
      </c>
      <c r="AA68" s="80" t="s">
        <v>770</v>
      </c>
      <c r="AB68" s="80" t="s">
        <v>770</v>
      </c>
      <c r="AC68" s="80" t="s">
        <v>770</v>
      </c>
      <c r="AD68" s="80" t="s">
        <v>770</v>
      </c>
      <c r="AE68" s="80" t="s">
        <v>770</v>
      </c>
      <c r="AF68" s="80" t="s">
        <v>770</v>
      </c>
      <c r="AG68" s="25">
        <v>1</v>
      </c>
      <c r="AH68" s="55">
        <v>7</v>
      </c>
      <c r="AI68" s="20" t="str" cm="1">
        <f t="array" ref="AI68">_xlfn.LET(
    _xlpm.data, B68:AF68,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WanWah</v>
      </c>
      <c r="AJ68" s="20" t="str" cm="1">
        <f t="array" ref="AJ68">_xlfn._xlws.FILTER(表格6[Full Name],(表格6[Name]=AI68)+(表格6[Name]&amp;"_1"=AI68)+(表格6[Name]&amp;"_2"=AI68)+(表格6[Name]&amp;"_3"=AI68)+(表格6[Name]&amp;"_4"=AI68)+(表格6[Name]&amp;"_5"=AI68))</f>
        <v>Chan Wan Wah</v>
      </c>
      <c r="AK68" s="20" cm="1">
        <f t="array" ref="AK68">_xlfn._xlws.FILTER(三國演義!$C$13:$C$80,三國演義!$E$13:$E$80=Roster!AI68)</f>
        <v>64</v>
      </c>
      <c r="AL68" s="20">
        <v>50</v>
      </c>
      <c r="AM68" s="124">
        <v>0</v>
      </c>
      <c r="AN68" s="133"/>
    </row>
    <row r="69" spans="1:40">
      <c r="A69" s="22"/>
      <c r="B69" s="80" t="s">
        <v>770</v>
      </c>
      <c r="C69" s="80" t="s">
        <v>770</v>
      </c>
      <c r="D69" s="80" t="s">
        <v>770</v>
      </c>
      <c r="E69" s="80" t="s">
        <v>770</v>
      </c>
      <c r="F69" s="80" t="s">
        <v>770</v>
      </c>
      <c r="G69" s="80" t="s">
        <v>770</v>
      </c>
      <c r="H69" s="80" t="s">
        <v>770</v>
      </c>
      <c r="I69" s="80" t="s">
        <v>770</v>
      </c>
      <c r="J69" s="80" t="s">
        <v>770</v>
      </c>
      <c r="K69" s="80" t="s">
        <v>770</v>
      </c>
      <c r="L69" s="80" t="s">
        <v>770</v>
      </c>
      <c r="M69" s="80" t="s">
        <v>770</v>
      </c>
      <c r="N69" s="80" t="s">
        <v>770</v>
      </c>
      <c r="O69" s="80" t="s">
        <v>770</v>
      </c>
      <c r="P69" s="80" t="s">
        <v>770</v>
      </c>
      <c r="Q69" s="80" t="s">
        <v>770</v>
      </c>
      <c r="R69" s="80" t="s">
        <v>770</v>
      </c>
      <c r="S69" s="80" t="s">
        <v>770</v>
      </c>
      <c r="T69" s="80" t="s">
        <v>770</v>
      </c>
      <c r="U69" s="80" t="s">
        <v>770</v>
      </c>
      <c r="V69" s="80" t="s">
        <v>770</v>
      </c>
      <c r="W69" s="80" t="s">
        <v>770</v>
      </c>
      <c r="X69" s="80" t="s">
        <v>770</v>
      </c>
      <c r="Y69" s="80" t="s">
        <v>770</v>
      </c>
      <c r="Z69" s="80" t="s">
        <v>770</v>
      </c>
      <c r="AA69" s="80" t="s">
        <v>770</v>
      </c>
      <c r="AB69" s="80" t="s">
        <v>770</v>
      </c>
      <c r="AC69" s="80" t="s">
        <v>770</v>
      </c>
      <c r="AD69" s="80" t="s">
        <v>770</v>
      </c>
      <c r="AE69" s="80" t="s">
        <v>770</v>
      </c>
      <c r="AF69" s="80" t="s">
        <v>770</v>
      </c>
      <c r="AG69" s="25">
        <f t="shared" si="7"/>
        <v>0</v>
      </c>
      <c r="AH69" s="55">
        <f t="shared" si="8"/>
        <v>0</v>
      </c>
      <c r="AI69" s="20" t="e" cm="1" vm="1">
        <f t="array" ref="AI69">_xlfn.LET(
    _xlpm.data, B69:AF69,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AJ69" s="20" t="e" cm="1" vm="2">
        <f t="array" ref="AJ69">_xlfn._xlws.FILTER(表格6[Full Name],(表格6[Name]=AI69)+(表格6[Name]&amp;"_1"=AI69)+(表格6[Name]&amp;"_2"=AI69)+(表格6[Name]&amp;"_3"=AI69)+(表格6[Name]&amp;"_4"=AI69)+(表格6[Name]&amp;"_5"=AI69))</f>
        <v>#VALUE!</v>
      </c>
      <c r="AK69" s="20" t="e" cm="1" vm="2">
        <f t="array" ref="AK69">_xlfn._xlws.FILTER(三國演義!$C$13:$C$80,三國演義!$E$13:$E$80=Roster!AI69)</f>
        <v>#VALUE!</v>
      </c>
    </row>
    <row r="72" spans="1:40">
      <c r="D72" s="79"/>
    </row>
    <row r="73" spans="1:40">
      <c r="O73" s="110"/>
      <c r="P73" s="109"/>
    </row>
  </sheetData>
  <autoFilter ref="AI4:AL69" xr:uid="{00000000-0001-0000-0000-000000000000}"/>
  <phoneticPr fontId="24" type="noConversion"/>
  <conditionalFormatting sqref="B5:AF69">
    <cfRule type="containsText" dxfId="1167" priority="2475" operator="containsText" text=".">
      <formula>NOT(ISERROR(SEARCH(".",B5)))</formula>
    </cfRule>
    <cfRule type="cellIs" dxfId="1166" priority="1081" operator="equal">
      <formula>0</formula>
    </cfRule>
    <cfRule type="containsText" dxfId="1165" priority="2145" operator="containsText" text="Off">
      <formula>NOT(ISERROR(SEARCH("Off",B5)))</formula>
    </cfRule>
  </conditionalFormatting>
  <conditionalFormatting sqref="B10:AF10">
    <cfRule type="cellIs" dxfId="1164" priority="2589" operator="equal">
      <formula>0</formula>
    </cfRule>
    <cfRule type="cellIs" dxfId="1163" priority="741" operator="equal">
      <formula>0</formula>
    </cfRule>
    <cfRule type="beginsWith" dxfId="1162" priority="545" operator="beginsWith" text="PH">
      <formula>LEFT(B10,LEN("PH"))="PH"</formula>
    </cfRule>
    <cfRule type="containsText" dxfId="1161" priority="546" operator="containsText" text="AL ">
      <formula>NOT(ISERROR(SEARCH("AL ",B10)))</formula>
    </cfRule>
    <cfRule type="beginsWith" dxfId="1160" priority="547" operator="beginsWith" text="SL">
      <formula>LEFT(B10,LEN("SL"))="SL"</formula>
    </cfRule>
  </conditionalFormatting>
  <conditionalFormatting sqref="B20:AF21">
    <cfRule type="cellIs" dxfId="1159" priority="1374" operator="equal">
      <formula>0</formula>
    </cfRule>
    <cfRule type="containsText" dxfId="1158" priority="1373" operator="containsText" text="Off">
      <formula>NOT(ISERROR(SEARCH("Off",B20)))</formula>
    </cfRule>
    <cfRule type="beginsWith" dxfId="1157" priority="1372" operator="beginsWith" text="SL">
      <formula>LEFT(B20,LEN("SL"))="SL"</formula>
    </cfRule>
    <cfRule type="containsText" dxfId="1156" priority="2088" operator="containsText" text="AL ">
      <formula>NOT(ISERROR(SEARCH("AL ",B20)))</formula>
    </cfRule>
    <cfRule type="containsText" dxfId="1155" priority="1371" operator="containsText" text="AL ">
      <formula>NOT(ISERROR(SEARCH("AL ",B20)))</formula>
    </cfRule>
    <cfRule type="beginsWith" dxfId="1154" priority="1370" operator="beginsWith" text="PH">
      <formula>LEFT(B20,LEN("PH"))="PH"</formula>
    </cfRule>
    <cfRule type="beginsWith" dxfId="1153" priority="2087" operator="beginsWith" text="PH">
      <formula>LEFT(B20,LEN("PH"))="PH"</formula>
    </cfRule>
    <cfRule type="containsText" dxfId="1152" priority="2626" operator="containsText" text=".">
      <formula>NOT(ISERROR(SEARCH(".",B20)))</formula>
    </cfRule>
    <cfRule type="containsText" dxfId="1151" priority="2086" operator="containsText" text=".">
      <formula>NOT(ISERROR(SEARCH(".",B20)))</formula>
    </cfRule>
    <cfRule type="containsText" dxfId="1150" priority="2583" operator="containsText" text="Off">
      <formula>NOT(ISERROR(SEARCH("Off",B20)))</formula>
    </cfRule>
    <cfRule type="cellIs" dxfId="1149" priority="2085" operator="equal">
      <formula>0</formula>
    </cfRule>
    <cfRule type="cellIs" dxfId="1148" priority="2456" operator="equal">
      <formula>0</formula>
    </cfRule>
    <cfRule type="containsText" dxfId="1147" priority="2455" operator="containsText" text="Off">
      <formula>NOT(ISERROR(SEARCH("Off",B20)))</formula>
    </cfRule>
    <cfRule type="beginsWith" dxfId="1146" priority="2454" operator="beginsWith" text="SL">
      <formula>LEFT(B20,LEN("SL"))="SL"</formula>
    </cfRule>
    <cfRule type="containsText" dxfId="1145" priority="2453" operator="containsText" text="AL ">
      <formula>NOT(ISERROR(SEARCH("AL ",B20)))</formula>
    </cfRule>
    <cfRule type="containsText" dxfId="1144" priority="2084" operator="containsText" text="Off">
      <formula>NOT(ISERROR(SEARCH("Off",B20)))</formula>
    </cfRule>
    <cfRule type="beginsWith" dxfId="1143" priority="2452" operator="beginsWith" text="PH">
      <formula>LEFT(B20,LEN("PH"))="PH"</formula>
    </cfRule>
    <cfRule type="containsText" dxfId="1142" priority="2439" operator="containsText" text=".">
      <formula>NOT(ISERROR(SEARCH(".",B20)))</formula>
    </cfRule>
    <cfRule type="cellIs" dxfId="1141" priority="2418" operator="equal">
      <formula>0</formula>
    </cfRule>
    <cfRule type="containsText" dxfId="1140" priority="2417" operator="containsText" text="Off">
      <formula>NOT(ISERROR(SEARCH("Off",B20)))</formula>
    </cfRule>
    <cfRule type="beginsWith" dxfId="1139" priority="2416" operator="beginsWith" text="SL">
      <formula>LEFT(B20,LEN("SL"))="SL"</formula>
    </cfRule>
    <cfRule type="containsText" dxfId="1138" priority="2415" operator="containsText" text="AL ">
      <formula>NOT(ISERROR(SEARCH("AL ",B20)))</formula>
    </cfRule>
    <cfRule type="beginsWith" dxfId="1137" priority="2414" operator="beginsWith" text="PH">
      <formula>LEFT(B20,LEN("PH"))="PH"</formula>
    </cfRule>
    <cfRule type="beginsWith" dxfId="1136" priority="2083" operator="beginsWith" text="SL">
      <formula>LEFT(B20,LEN("SL"))="SL"</formula>
    </cfRule>
    <cfRule type="containsText" dxfId="1135" priority="2082" operator="containsText" text="AL ">
      <formula>NOT(ISERROR(SEARCH("AL ",B20)))</formula>
    </cfRule>
    <cfRule type="beginsWith" dxfId="1134" priority="2081" operator="beginsWith" text="PH">
      <formula>LEFT(B20,LEN("PH"))="PH"</formula>
    </cfRule>
    <cfRule type="cellIs" dxfId="1133" priority="1023" operator="equal">
      <formula>0</formula>
    </cfRule>
    <cfRule type="cellIs" dxfId="1132" priority="2074" operator="equal">
      <formula>0</formula>
    </cfRule>
    <cfRule type="containsText" dxfId="1131" priority="2073" operator="containsText" text="Off">
      <formula>NOT(ISERROR(SEARCH("Off",B20)))</formula>
    </cfRule>
    <cfRule type="beginsWith" dxfId="1130" priority="2072" operator="beginsWith" text="SL">
      <formula>LEFT(B20,LEN("SL"))="SL"</formula>
    </cfRule>
    <cfRule type="containsText" dxfId="1129" priority="2071" operator="containsText" text="AL ">
      <formula>NOT(ISERROR(SEARCH("AL ",B20)))</formula>
    </cfRule>
    <cfRule type="beginsWith" dxfId="1128" priority="2070" operator="beginsWith" text="PH">
      <formula>LEFT(B20,LEN("PH"))="PH"</formula>
    </cfRule>
    <cfRule type="beginsWith" dxfId="1127" priority="2020" operator="beginsWith" text="PH">
      <formula>LEFT(B20,LEN("PH"))="PH"</formula>
    </cfRule>
    <cfRule type="containsText" dxfId="1126" priority="2021" operator="containsText" text="AL ">
      <formula>NOT(ISERROR(SEARCH("AL ",B20)))</formula>
    </cfRule>
    <cfRule type="beginsWith" dxfId="1125" priority="2022" operator="beginsWith" text="SL">
      <formula>LEFT(B20,LEN("SL"))="SL"</formula>
    </cfRule>
    <cfRule type="containsText" dxfId="1124" priority="2023" operator="containsText" text="Off">
      <formula>NOT(ISERROR(SEARCH("Off",B20)))</formula>
    </cfRule>
    <cfRule type="cellIs" dxfId="1123" priority="2024" operator="equal">
      <formula>0</formula>
    </cfRule>
    <cfRule type="cellIs" dxfId="1122" priority="2041" operator="equal">
      <formula>0</formula>
    </cfRule>
    <cfRule type="beginsWith" dxfId="1121" priority="2273" operator="beginsWith" text="SL">
      <formula>LEFT(B20,LEN("SL"))="SL"</formula>
    </cfRule>
    <cfRule type="containsText" dxfId="1120" priority="2272" operator="containsText" text="AL ">
      <formula>NOT(ISERROR(SEARCH("AL ",B20)))</formula>
    </cfRule>
    <cfRule type="beginsWith" dxfId="1119" priority="2271" operator="beginsWith" text="PH">
      <formula>LEFT(B20,LEN("PH"))="PH"</formula>
    </cfRule>
    <cfRule type="containsText" dxfId="1118" priority="2270" operator="containsText" text=".">
      <formula>NOT(ISERROR(SEARCH(".",B20)))</formula>
    </cfRule>
    <cfRule type="cellIs" dxfId="1117" priority="2269" operator="equal">
      <formula>0</formula>
    </cfRule>
    <cfRule type="containsText" dxfId="1116" priority="2268" operator="containsText" text="Off">
      <formula>NOT(ISERROR(SEARCH("Off",B20)))</formula>
    </cfRule>
    <cfRule type="beginsWith" dxfId="1115" priority="2267" operator="beginsWith" text="SL">
      <formula>LEFT(B20,LEN("SL"))="SL"</formula>
    </cfRule>
    <cfRule type="containsText" dxfId="1114" priority="2266" operator="containsText" text="AL ">
      <formula>NOT(ISERROR(SEARCH("AL ",B20)))</formula>
    </cfRule>
    <cfRule type="beginsWith" dxfId="1113" priority="2265" operator="beginsWith" text="PH">
      <formula>LEFT(B20,LEN("PH"))="PH"</formula>
    </cfRule>
    <cfRule type="containsText" dxfId="1112" priority="2216" operator="containsText" text=".">
      <formula>NOT(ISERROR(SEARCH(".",B20)))</formula>
    </cfRule>
    <cfRule type="cellIs" dxfId="1111" priority="2215" operator="equal">
      <formula>0</formula>
    </cfRule>
    <cfRule type="containsText" dxfId="1110" priority="2214" operator="containsText" text="Off">
      <formula>NOT(ISERROR(SEARCH("Off",B20)))</formula>
    </cfRule>
    <cfRule type="beginsWith" dxfId="1109" priority="2213" operator="beginsWith" text="SL">
      <formula>LEFT(B20,LEN("SL"))="SL"</formula>
    </cfRule>
    <cfRule type="containsText" dxfId="1108" priority="2212" operator="containsText" text="AL ">
      <formula>NOT(ISERROR(SEARCH("AL ",B20)))</formula>
    </cfRule>
    <cfRule type="beginsWith" dxfId="1107" priority="2211" operator="beginsWith" text="PH">
      <formula>LEFT(B20,LEN("PH"))="PH"</formula>
    </cfRule>
    <cfRule type="containsText" dxfId="1106" priority="2210" operator="containsText" text=".">
      <formula>NOT(ISERROR(SEARCH(".",B20)))</formula>
    </cfRule>
    <cfRule type="cellIs" dxfId="1105" priority="2209" operator="equal">
      <formula>0</formula>
    </cfRule>
    <cfRule type="containsText" dxfId="1104" priority="2208" operator="containsText" text="Off">
      <formula>NOT(ISERROR(SEARCH("Off",B20)))</formula>
    </cfRule>
    <cfRule type="beginsWith" dxfId="1103" priority="2207" operator="beginsWith" text="SL">
      <formula>LEFT(B20,LEN("SL"))="SL"</formula>
    </cfRule>
    <cfRule type="containsText" dxfId="1102" priority="2206" operator="containsText" text="AL ">
      <formula>NOT(ISERROR(SEARCH("AL ",B20)))</formula>
    </cfRule>
    <cfRule type="beginsWith" dxfId="1101" priority="2205" operator="beginsWith" text="PH">
      <formula>LEFT(B20,LEN("PH"))="PH"</formula>
    </cfRule>
    <cfRule type="containsText" dxfId="1100" priority="1375" operator="containsText" text=".">
      <formula>NOT(ISERROR(SEARCH(".",B20)))</formula>
    </cfRule>
    <cfRule type="containsText" dxfId="1099" priority="2040" operator="containsText" text="Off">
      <formula>NOT(ISERROR(SEARCH("Off",B20)))</formula>
    </cfRule>
    <cfRule type="beginsWith" dxfId="1098" priority="2039" operator="beginsWith" text="SL">
      <formula>LEFT(B20,LEN("SL"))="SL"</formula>
    </cfRule>
    <cfRule type="containsText" dxfId="1097" priority="2038" operator="containsText" text="AL ">
      <formula>NOT(ISERROR(SEARCH("AL ",B20)))</formula>
    </cfRule>
    <cfRule type="beginsWith" dxfId="1096" priority="2037" operator="beginsWith" text="PH">
      <formula>LEFT(B20,LEN("PH"))="PH"</formula>
    </cfRule>
    <cfRule type="containsText" dxfId="1095" priority="2025" operator="containsText" text=".">
      <formula>NOT(ISERROR(SEARCH(".",B20)))</formula>
    </cfRule>
    <cfRule type="cellIs" dxfId="1094" priority="2030" operator="equal">
      <formula>0</formula>
    </cfRule>
    <cfRule type="containsText" dxfId="1093" priority="2029" operator="containsText" text="Off">
      <formula>NOT(ISERROR(SEARCH("Off",B20)))</formula>
    </cfRule>
    <cfRule type="beginsWith" dxfId="1092" priority="2028" operator="beginsWith" text="SL">
      <formula>LEFT(B20,LEN("SL"))="SL"</formula>
    </cfRule>
    <cfRule type="cellIs" dxfId="1091" priority="2136" operator="equal">
      <formula>0</formula>
    </cfRule>
    <cfRule type="containsText" dxfId="1090" priority="2135" operator="containsText" text="Off">
      <formula>NOT(ISERROR(SEARCH("Off",B20)))</formula>
    </cfRule>
    <cfRule type="beginsWith" dxfId="1089" priority="2134" operator="beginsWith" text="SL">
      <formula>LEFT(B20,LEN("SL"))="SL"</formula>
    </cfRule>
    <cfRule type="containsText" dxfId="1088" priority="2133" operator="containsText" text="AL ">
      <formula>NOT(ISERROR(SEARCH("AL ",B20)))</formula>
    </cfRule>
    <cfRule type="beginsWith" dxfId="1087" priority="2132" operator="beginsWith" text="PH">
      <formula>LEFT(B20,LEN("PH"))="PH"</formula>
    </cfRule>
    <cfRule type="cellIs" dxfId="1086" priority="2091" operator="equal">
      <formula>0</formula>
    </cfRule>
    <cfRule type="containsText" dxfId="1085" priority="2090" operator="containsText" text="Off">
      <formula>NOT(ISERROR(SEARCH("Off",B20)))</formula>
    </cfRule>
    <cfRule type="containsText" dxfId="1084" priority="2276" operator="containsText" text=".">
      <formula>NOT(ISERROR(SEARCH(".",B20)))</formula>
    </cfRule>
    <cfRule type="cellIs" dxfId="1083" priority="2275" operator="equal">
      <formula>0</formula>
    </cfRule>
    <cfRule type="containsText" dxfId="1082" priority="2274" operator="containsText" text="Off">
      <formula>NOT(ISERROR(SEARCH("Off",B20)))</formula>
    </cfRule>
    <cfRule type="beginsWith" dxfId="1081" priority="2089" operator="beginsWith" text="SL">
      <formula>LEFT(B20,LEN("SL"))="SL"</formula>
    </cfRule>
    <cfRule type="containsText" dxfId="1080" priority="2027" operator="containsText" text="AL ">
      <formula>NOT(ISERROR(SEARCH("AL ",B20)))</formula>
    </cfRule>
    <cfRule type="beginsWith" dxfId="1079" priority="2026" operator="beginsWith" text="PH">
      <formula>LEFT(B20,LEN("PH"))="PH"</formula>
    </cfRule>
    <cfRule type="cellIs" dxfId="1078" priority="2625" operator="equal">
      <formula>0</formula>
    </cfRule>
    <cfRule type="beginsWith" dxfId="1077" priority="2623" operator="beginsWith" text="SL">
      <formula>LEFT(B20,LEN("SL"))="SL"</formula>
    </cfRule>
    <cfRule type="containsText" dxfId="1076" priority="2622" operator="containsText" text="AL ">
      <formula>NOT(ISERROR(SEARCH("AL ",B20)))</formula>
    </cfRule>
    <cfRule type="beginsWith" dxfId="1075" priority="2621" operator="beginsWith" text="PH">
      <formula>LEFT(B20,LEN("PH"))="PH"</formula>
    </cfRule>
  </conditionalFormatting>
  <conditionalFormatting sqref="B29:AF29 B30">
    <cfRule type="containsText" dxfId="1074" priority="1953" operator="containsText" text="Off">
      <formula>NOT(ISERROR(SEARCH("Off",B29)))</formula>
    </cfRule>
    <cfRule type="beginsWith" dxfId="1073" priority="1952" operator="beginsWith" text="SL">
      <formula>LEFT(B29,LEN("SL"))="SL"</formula>
    </cfRule>
    <cfRule type="containsText" dxfId="1072" priority="1951" operator="containsText" text="AL ">
      <formula>NOT(ISERROR(SEARCH("AL ",B29)))</formula>
    </cfRule>
    <cfRule type="beginsWith" dxfId="1071" priority="1950" operator="beginsWith" text="PH">
      <formula>LEFT(B29,LEN("PH"))="PH"</formula>
    </cfRule>
    <cfRule type="containsText" dxfId="1070" priority="1949" operator="containsText" text=".">
      <formula>NOT(ISERROR(SEARCH(".",B29)))</formula>
    </cfRule>
    <cfRule type="cellIs" dxfId="1069" priority="1948" operator="equal">
      <formula>0</formula>
    </cfRule>
    <cfRule type="containsText" dxfId="1068" priority="2348" operator="containsText" text=".">
      <formula>NOT(ISERROR(SEARCH(".",B29)))</formula>
    </cfRule>
    <cfRule type="cellIs" dxfId="1067" priority="2347" operator="equal">
      <formula>0</formula>
    </cfRule>
    <cfRule type="containsText" dxfId="1066" priority="2346" operator="containsText" text="Off">
      <formula>NOT(ISERROR(SEARCH("Off",B29)))</formula>
    </cfRule>
    <cfRule type="beginsWith" dxfId="1065" priority="2345" operator="beginsWith" text="SL">
      <formula>LEFT(B29,LEN("SL"))="SL"</formula>
    </cfRule>
    <cfRule type="containsText" dxfId="1064" priority="1947" operator="containsText" text=".">
      <formula>NOT(ISERROR(SEARCH(".",B29)))</formula>
    </cfRule>
    <cfRule type="cellIs" dxfId="1063" priority="1946" operator="equal">
      <formula>0</formula>
    </cfRule>
    <cfRule type="containsText" dxfId="1062" priority="1945" operator="containsText" text="Off">
      <formula>NOT(ISERROR(SEARCH("Off",B29)))</formula>
    </cfRule>
    <cfRule type="beginsWith" dxfId="1061" priority="1944" operator="beginsWith" text="SL">
      <formula>LEFT(B29,LEN("SL"))="SL"</formula>
    </cfRule>
    <cfRule type="containsText" dxfId="1060" priority="1943" operator="containsText" text="AL ">
      <formula>NOT(ISERROR(SEARCH("AL ",B29)))</formula>
    </cfRule>
    <cfRule type="beginsWith" dxfId="1059" priority="1942" operator="beginsWith" text="PH">
      <formula>LEFT(B29,LEN("PH"))="PH"</formula>
    </cfRule>
    <cfRule type="containsText" dxfId="1058" priority="1941" operator="containsText" text=".">
      <formula>NOT(ISERROR(SEARCH(".",B29)))</formula>
    </cfRule>
    <cfRule type="containsText" dxfId="1057" priority="2382" operator="containsText" text=".">
      <formula>NOT(ISERROR(SEARCH(".",B29)))</formula>
    </cfRule>
    <cfRule type="cellIs" dxfId="1056" priority="2381" operator="equal">
      <formula>0</formula>
    </cfRule>
    <cfRule type="containsText" dxfId="1055" priority="2380" operator="containsText" text="Off">
      <formula>NOT(ISERROR(SEARCH("Off",B29)))</formula>
    </cfRule>
    <cfRule type="beginsWith" dxfId="1054" priority="2379" operator="beginsWith" text="SL">
      <formula>LEFT(B29,LEN("SL"))="SL"</formula>
    </cfRule>
    <cfRule type="containsText" dxfId="1053" priority="2378" operator="containsText" text="AL ">
      <formula>NOT(ISERROR(SEARCH("AL ",B29)))</formula>
    </cfRule>
    <cfRule type="beginsWith" dxfId="1052" priority="2377" operator="beginsWith" text="PH">
      <formula>LEFT(B29,LEN("PH"))="PH"</formula>
    </cfRule>
    <cfRule type="containsText" dxfId="1051" priority="2376" operator="containsText" text=".">
      <formula>NOT(ISERROR(SEARCH(".",B29)))</formula>
    </cfRule>
    <cfRule type="cellIs" dxfId="1050" priority="2375" operator="equal">
      <formula>0</formula>
    </cfRule>
    <cfRule type="containsText" dxfId="1049" priority="2374" operator="containsText" text="Off">
      <formula>NOT(ISERROR(SEARCH("Off",B29)))</formula>
    </cfRule>
    <cfRule type="beginsWith" dxfId="1048" priority="2373" operator="beginsWith" text="SL">
      <formula>LEFT(B29,LEN("SL"))="SL"</formula>
    </cfRule>
    <cfRule type="containsText" dxfId="1047" priority="2372" operator="containsText" text="AL ">
      <formula>NOT(ISERROR(SEARCH("AL ",B29)))</formula>
    </cfRule>
    <cfRule type="beginsWith" dxfId="1046" priority="2371" operator="beginsWith" text="PH">
      <formula>LEFT(B29,LEN("PH"))="PH"</formula>
    </cfRule>
    <cfRule type="containsText" dxfId="1045" priority="2370" operator="containsText" text=".">
      <formula>NOT(ISERROR(SEARCH(".",B29)))</formula>
    </cfRule>
    <cfRule type="cellIs" dxfId="1044" priority="2369" operator="equal">
      <formula>0</formula>
    </cfRule>
    <cfRule type="containsText" dxfId="1043" priority="2368" operator="containsText" text=".">
      <formula>NOT(ISERROR(SEARCH(".",B29)))</formula>
    </cfRule>
    <cfRule type="cellIs" dxfId="1042" priority="2367" operator="equal">
      <formula>0</formula>
    </cfRule>
    <cfRule type="containsText" dxfId="1041" priority="2366" operator="containsText" text="Off">
      <formula>NOT(ISERROR(SEARCH("Off",B29)))</formula>
    </cfRule>
    <cfRule type="beginsWith" dxfId="1040" priority="2365" operator="beginsWith" text="SL">
      <formula>LEFT(B29,LEN("SL"))="SL"</formula>
    </cfRule>
    <cfRule type="containsText" dxfId="1039" priority="2364" operator="containsText" text="AL ">
      <formula>NOT(ISERROR(SEARCH("AL ",B29)))</formula>
    </cfRule>
    <cfRule type="beginsWith" dxfId="1038" priority="2363" operator="beginsWith" text="PH">
      <formula>LEFT(B29,LEN("PH"))="PH"</formula>
    </cfRule>
    <cfRule type="containsText" dxfId="1037" priority="2362" operator="containsText" text=".">
      <formula>NOT(ISERROR(SEARCH(".",B29)))</formula>
    </cfRule>
    <cfRule type="cellIs" dxfId="1036" priority="1940" operator="equal">
      <formula>0</formula>
    </cfRule>
    <cfRule type="containsText" dxfId="1035" priority="1939" operator="containsText" text="Off">
      <formula>NOT(ISERROR(SEARCH("Off",B29)))</formula>
    </cfRule>
    <cfRule type="beginsWith" dxfId="1034" priority="1938" operator="beginsWith" text="SL">
      <formula>LEFT(B29,LEN("SL"))="SL"</formula>
    </cfRule>
    <cfRule type="containsText" dxfId="1033" priority="1937" operator="containsText" text="AL ">
      <formula>NOT(ISERROR(SEARCH("AL ",B29)))</formula>
    </cfRule>
    <cfRule type="beginsWith" dxfId="1032" priority="1936" operator="beginsWith" text="PH">
      <formula>LEFT(B29,LEN("PH"))="PH"</formula>
    </cfRule>
    <cfRule type="containsText" dxfId="1031" priority="1711" operator="containsText" text=".">
      <formula>NOT(ISERROR(SEARCH(".",B29)))</formula>
    </cfRule>
    <cfRule type="cellIs" dxfId="1030" priority="1710" operator="equal">
      <formula>0</formula>
    </cfRule>
    <cfRule type="containsText" dxfId="1029" priority="1709" operator="containsText" text=".">
      <formula>NOT(ISERROR(SEARCH(".",B29)))</formula>
    </cfRule>
    <cfRule type="cellIs" dxfId="1028" priority="1708" operator="equal">
      <formula>0</formula>
    </cfRule>
    <cfRule type="containsText" dxfId="1027" priority="1707" operator="containsText" text="Off">
      <formula>NOT(ISERROR(SEARCH("Off",B29)))</formula>
    </cfRule>
    <cfRule type="beginsWith" dxfId="1026" priority="1706" operator="beginsWith" text="SL">
      <formula>LEFT(B29,LEN("SL"))="SL"</formula>
    </cfRule>
    <cfRule type="containsText" dxfId="1025" priority="2344" operator="containsText" text="AL ">
      <formula>NOT(ISERROR(SEARCH("AL ",B29)))</formula>
    </cfRule>
    <cfRule type="beginsWith" dxfId="1024" priority="2343" operator="beginsWith" text="PH">
      <formula>LEFT(B29,LEN("PH"))="PH"</formula>
    </cfRule>
    <cfRule type="containsText" dxfId="1023" priority="2342" operator="containsText" text=".">
      <formula>NOT(ISERROR(SEARCH(".",B29)))</formula>
    </cfRule>
    <cfRule type="containsText" dxfId="1022" priority="1705" operator="containsText" text="AL ">
      <formula>NOT(ISERROR(SEARCH("AL ",B29)))</formula>
    </cfRule>
    <cfRule type="beginsWith" dxfId="1021" priority="1704" operator="beginsWith" text="PH">
      <formula>LEFT(B29,LEN("PH"))="PH"</formula>
    </cfRule>
    <cfRule type="containsText" dxfId="1020" priority="1703" operator="containsText" text=".">
      <formula>NOT(ISERROR(SEARCH(".",B29)))</formula>
    </cfRule>
    <cfRule type="cellIs" dxfId="1019" priority="1702" operator="equal">
      <formula>0</formula>
    </cfRule>
    <cfRule type="containsText" dxfId="1018" priority="1701" operator="containsText" text="Off">
      <formula>NOT(ISERROR(SEARCH("Off",B29)))</formula>
    </cfRule>
    <cfRule type="beginsWith" dxfId="1017" priority="1700" operator="beginsWith" text="SL">
      <formula>LEFT(B29,LEN("SL"))="SL"</formula>
    </cfRule>
    <cfRule type="containsText" dxfId="1016" priority="1699" operator="containsText" text="AL ">
      <formula>NOT(ISERROR(SEARCH("AL ",B29)))</formula>
    </cfRule>
    <cfRule type="beginsWith" dxfId="1015" priority="1698" operator="beginsWith" text="PH">
      <formula>LEFT(B29,LEN("PH"))="PH"</formula>
    </cfRule>
    <cfRule type="containsText" dxfId="1014" priority="1697" operator="containsText" text=".">
      <formula>NOT(ISERROR(SEARCH(".",B29)))</formula>
    </cfRule>
    <cfRule type="cellIs" dxfId="1013" priority="1696" operator="equal">
      <formula>0</formula>
    </cfRule>
    <cfRule type="containsText" dxfId="1012" priority="1695" operator="containsText" text=".">
      <formula>NOT(ISERROR(SEARCH(".",B29)))</formula>
    </cfRule>
    <cfRule type="cellIs" dxfId="1011" priority="1694" operator="equal">
      <formula>0</formula>
    </cfRule>
    <cfRule type="beginsWith" dxfId="1010" priority="338" operator="beginsWith" text="PH">
      <formula>LEFT(B29,LEN("PH"))="PH"</formula>
    </cfRule>
    <cfRule type="containsText" dxfId="1009" priority="339" operator="containsText" text="AL ">
      <formula>NOT(ISERROR(SEARCH("AL ",B29)))</formula>
    </cfRule>
    <cfRule type="cellIs" dxfId="1008" priority="2361" operator="equal">
      <formula>0</formula>
    </cfRule>
    <cfRule type="containsText" dxfId="1007" priority="2352" operator="containsText" text="Off">
      <formula>NOT(ISERROR(SEARCH("Off",B29)))</formula>
    </cfRule>
    <cfRule type="beginsWith" dxfId="1006" priority="2351" operator="beginsWith" text="SL">
      <formula>LEFT(B29,LEN("SL"))="SL"</formula>
    </cfRule>
    <cfRule type="containsText" dxfId="1005" priority="2350" operator="containsText" text="AL ">
      <formula>NOT(ISERROR(SEARCH("AL ",B29)))</formula>
    </cfRule>
    <cfRule type="beginsWith" dxfId="1004" priority="2349" operator="beginsWith" text="PH">
      <formula>LEFT(B29,LEN("PH"))="PH"</formula>
    </cfRule>
    <cfRule type="beginsWith" dxfId="1003" priority="340" operator="beginsWith" text="SL">
      <formula>LEFT(B29,LEN("SL"))="SL"</formula>
    </cfRule>
    <cfRule type="containsText" dxfId="1002" priority="341" operator="containsText" text="Off">
      <formula>NOT(ISERROR(SEARCH("Off",B29)))</formula>
    </cfRule>
    <cfRule type="cellIs" dxfId="1001" priority="342" operator="equal">
      <formula>0</formula>
    </cfRule>
    <cfRule type="containsText" dxfId="1000" priority="343" operator="containsText" text=".">
      <formula>NOT(ISERROR(SEARCH(".",B29)))</formula>
    </cfRule>
    <cfRule type="beginsWith" dxfId="999" priority="344" operator="beginsWith" text="PH">
      <formula>LEFT(B29,LEN("PH"))="PH"</formula>
    </cfRule>
    <cfRule type="containsText" dxfId="998" priority="345" operator="containsText" text="AL ">
      <formula>NOT(ISERROR(SEARCH("AL ",B29)))</formula>
    </cfRule>
    <cfRule type="beginsWith" dxfId="997" priority="346" operator="beginsWith" text="SL">
      <formula>LEFT(B29,LEN("SL"))="SL"</formula>
    </cfRule>
    <cfRule type="containsText" dxfId="996" priority="347" operator="containsText" text="Off">
      <formula>NOT(ISERROR(SEARCH("Off",B29)))</formula>
    </cfRule>
    <cfRule type="cellIs" dxfId="995" priority="348" operator="equal">
      <formula>0</formula>
    </cfRule>
    <cfRule type="containsText" dxfId="994" priority="349" operator="containsText" text=".">
      <formula>NOT(ISERROR(SEARCH(".",B29)))</formula>
    </cfRule>
    <cfRule type="cellIs" dxfId="993" priority="350" operator="equal">
      <formula>0</formula>
    </cfRule>
    <cfRule type="containsText" dxfId="992" priority="351" operator="containsText" text=".">
      <formula>NOT(ISERROR(SEARCH(".",B29)))</formula>
    </cfRule>
    <cfRule type="beginsWith" dxfId="991" priority="352" operator="beginsWith" text="PH">
      <formula>LEFT(B29,LEN("PH"))="PH"</formula>
    </cfRule>
    <cfRule type="containsText" dxfId="990" priority="353" operator="containsText" text="AL ">
      <formula>NOT(ISERROR(SEARCH("AL ",B29)))</formula>
    </cfRule>
    <cfRule type="beginsWith" dxfId="989" priority="354" operator="beginsWith" text="SL">
      <formula>LEFT(B29,LEN("SL"))="SL"</formula>
    </cfRule>
    <cfRule type="containsText" dxfId="988" priority="355" operator="containsText" text="Off">
      <formula>NOT(ISERROR(SEARCH("Off",B29)))</formula>
    </cfRule>
    <cfRule type="cellIs" dxfId="987" priority="356" operator="equal">
      <formula>0</formula>
    </cfRule>
    <cfRule type="containsText" dxfId="986" priority="357" operator="containsText" text=".">
      <formula>NOT(ISERROR(SEARCH(".",B29)))</formula>
    </cfRule>
    <cfRule type="beginsWith" dxfId="985" priority="358" operator="beginsWith" text="PH">
      <formula>LEFT(B29,LEN("PH"))="PH"</formula>
    </cfRule>
    <cfRule type="containsText" dxfId="984" priority="359" operator="containsText" text="AL ">
      <formula>NOT(ISERROR(SEARCH("AL ",B29)))</formula>
    </cfRule>
    <cfRule type="beginsWith" dxfId="983" priority="360" operator="beginsWith" text="SL">
      <formula>LEFT(B29,LEN("SL"))="SL"</formula>
    </cfRule>
    <cfRule type="containsText" dxfId="982" priority="361" operator="containsText" text="Off">
      <formula>NOT(ISERROR(SEARCH("Off",B29)))</formula>
    </cfRule>
    <cfRule type="cellIs" dxfId="981" priority="362" operator="equal">
      <formula>0</formula>
    </cfRule>
    <cfRule type="containsText" dxfId="980" priority="363" operator="containsText" text=".">
      <formula>NOT(ISERROR(SEARCH(".",B29)))</formula>
    </cfRule>
    <cfRule type="cellIs" dxfId="979" priority="364" operator="equal">
      <formula>0</formula>
    </cfRule>
    <cfRule type="containsText" dxfId="978" priority="365" operator="containsText" text=".">
      <formula>NOT(ISERROR(SEARCH(".",B29)))</formula>
    </cfRule>
    <cfRule type="containsText" dxfId="977" priority="1693" operator="containsText" text="Off">
      <formula>NOT(ISERROR(SEARCH("Off",B29)))</formula>
    </cfRule>
    <cfRule type="beginsWith" dxfId="976" priority="1692" operator="beginsWith" text="SL">
      <formula>LEFT(B29,LEN("SL"))="SL"</formula>
    </cfRule>
    <cfRule type="containsText" dxfId="975" priority="1691" operator="containsText" text="AL ">
      <formula>NOT(ISERROR(SEARCH("AL ",B29)))</formula>
    </cfRule>
    <cfRule type="beginsWith" dxfId="974" priority="1690" operator="beginsWith" text="PH">
      <formula>LEFT(B29,LEN("PH"))="PH"</formula>
    </cfRule>
    <cfRule type="containsText" dxfId="973" priority="1689" operator="containsText" text=".">
      <formula>NOT(ISERROR(SEARCH(".",B29)))</formula>
    </cfRule>
    <cfRule type="containsText" dxfId="972" priority="1687" operator="containsText" text="Off">
      <formula>NOT(ISERROR(SEARCH("Off",B29)))</formula>
    </cfRule>
    <cfRule type="beginsWith" dxfId="971" priority="1686" operator="beginsWith" text="SL">
      <formula>LEFT(B29,LEN("SL"))="SL"</formula>
    </cfRule>
    <cfRule type="containsText" dxfId="970" priority="1685" operator="containsText" text="AL ">
      <formula>NOT(ISERROR(SEARCH("AL ",B29)))</formula>
    </cfRule>
    <cfRule type="beginsWith" dxfId="969" priority="1684" operator="beginsWith" text="PH">
      <formula>LEFT(B29,LEN("PH"))="PH"</formula>
    </cfRule>
    <cfRule type="cellIs" dxfId="968" priority="1688" operator="equal">
      <formula>0</formula>
    </cfRule>
    <cfRule type="containsText" dxfId="967" priority="1963" operator="containsText" text=".">
      <formula>NOT(ISERROR(SEARCH(".",B29)))</formula>
    </cfRule>
    <cfRule type="cellIs" dxfId="966" priority="1962" operator="equal">
      <formula>0</formula>
    </cfRule>
    <cfRule type="containsText" dxfId="965" priority="1961" operator="containsText" text=".">
      <formula>NOT(ISERROR(SEARCH(".",B29)))</formula>
    </cfRule>
    <cfRule type="cellIs" dxfId="964" priority="1960" operator="equal">
      <formula>0</formula>
    </cfRule>
    <cfRule type="containsText" dxfId="963" priority="1959" operator="containsText" text="Off">
      <formula>NOT(ISERROR(SEARCH("Off",B29)))</formula>
    </cfRule>
    <cfRule type="beginsWith" dxfId="962" priority="1958" operator="beginsWith" text="SL">
      <formula>LEFT(B29,LEN("SL"))="SL"</formula>
    </cfRule>
    <cfRule type="containsText" dxfId="961" priority="1957" operator="containsText" text="AL ">
      <formula>NOT(ISERROR(SEARCH("AL ",B29)))</formula>
    </cfRule>
    <cfRule type="beginsWith" dxfId="960" priority="1956" operator="beginsWith" text="PH">
      <formula>LEFT(B29,LEN("PH"))="PH"</formula>
    </cfRule>
    <cfRule type="containsText" dxfId="959" priority="1955" operator="containsText" text=".">
      <formula>NOT(ISERROR(SEARCH(".",B29)))</formula>
    </cfRule>
    <cfRule type="cellIs" dxfId="958" priority="1954" operator="equal">
      <formula>0</formula>
    </cfRule>
  </conditionalFormatting>
  <conditionalFormatting sqref="B37:AF42">
    <cfRule type="cellIs" dxfId="957" priority="305" operator="equal">
      <formula>0</formula>
    </cfRule>
  </conditionalFormatting>
  <conditionalFormatting sqref="F10:I10">
    <cfRule type="beginsWith" dxfId="956" priority="497" operator="beginsWith" text="SL">
      <formula>LEFT(F10,LEN("SL"))="SL"</formula>
    </cfRule>
    <cfRule type="beginsWith" dxfId="955" priority="495" operator="beginsWith" text="PH">
      <formula>LEFT(F10,LEN("PH"))="PH"</formula>
    </cfRule>
    <cfRule type="cellIs" dxfId="954" priority="498" operator="equal">
      <formula>0</formula>
    </cfRule>
    <cfRule type="containsText" dxfId="953" priority="496" operator="containsText" text="AL ">
      <formula>NOT(ISERROR(SEARCH("AL ",F10)))</formula>
    </cfRule>
  </conditionalFormatting>
  <conditionalFormatting sqref="I10">
    <cfRule type="beginsWith" dxfId="952" priority="334" operator="beginsWith" text="PH">
      <formula>LEFT(I10,LEN("PH"))="PH"</formula>
    </cfRule>
    <cfRule type="containsText" dxfId="951" priority="335" operator="containsText" text="AL ">
      <formula>NOT(ISERROR(SEARCH("AL ",I10)))</formula>
    </cfRule>
    <cfRule type="cellIs" dxfId="950" priority="337" operator="equal">
      <formula>0</formula>
    </cfRule>
    <cfRule type="beginsWith" dxfId="949" priority="336" operator="beginsWith" text="SL">
      <formula>LEFT(I10,LEN("SL"))="SL"</formula>
    </cfRule>
  </conditionalFormatting>
  <conditionalFormatting sqref="I12:AF12">
    <cfRule type="cellIs" dxfId="948" priority="423" operator="equal">
      <formula>0</formula>
    </cfRule>
  </conditionalFormatting>
  <conditionalFormatting sqref="J28">
    <cfRule type="cellIs" dxfId="947" priority="1105" operator="equal">
      <formula>0</formula>
    </cfRule>
  </conditionalFormatting>
  <conditionalFormatting sqref="K10">
    <cfRule type="cellIs" dxfId="946" priority="304" operator="equal">
      <formula>0</formula>
    </cfRule>
  </conditionalFormatting>
  <conditionalFormatting sqref="K15:L19">
    <cfRule type="cellIs" dxfId="945" priority="563" operator="equal">
      <formula>0</formula>
    </cfRule>
  </conditionalFormatting>
  <conditionalFormatting sqref="K10:M10">
    <cfRule type="beginsWith" dxfId="944" priority="297" operator="beginsWith" text="PH">
      <formula>LEFT(K10,LEN("PH"))="PH"</formula>
    </cfRule>
    <cfRule type="containsText" dxfId="943" priority="298" operator="containsText" text="AL ">
      <formula>NOT(ISERROR(SEARCH("AL ",K10)))</formula>
    </cfRule>
    <cfRule type="beginsWith" dxfId="942" priority="299" operator="beginsWith" text="SL">
      <formula>LEFT(K10,LEN("SL"))="SL"</formula>
    </cfRule>
  </conditionalFormatting>
  <conditionalFormatting sqref="L10:L12 Z10:Z12 S10:S14 T11:U12 R13:U14 AB20:AF22 B23:AF24 C26:AF26">
    <cfRule type="cellIs" dxfId="941" priority="100" operator="equal">
      <formula>0</formula>
    </cfRule>
  </conditionalFormatting>
  <conditionalFormatting sqref="L29">
    <cfRule type="containsText" dxfId="940" priority="2005" operator="containsText" text=".">
      <formula>NOT(ISERROR(SEARCH(".",L29)))</formula>
    </cfRule>
    <cfRule type="containsText" dxfId="939" priority="2019" operator="containsText" text=".">
      <formula>NOT(ISERROR(SEARCH(".",L29)))</formula>
    </cfRule>
    <cfRule type="beginsWith" dxfId="938" priority="2006" operator="beginsWith" text="PH">
      <formula>LEFT(L29,LEN("PH"))="PH"</formula>
    </cfRule>
    <cfRule type="containsText" dxfId="937" priority="2007" operator="containsText" text="AL ">
      <formula>NOT(ISERROR(SEARCH("AL ",L29)))</formula>
    </cfRule>
    <cfRule type="containsText" dxfId="936" priority="1995" operator="containsText" text="Off">
      <formula>NOT(ISERROR(SEARCH("Off",L29)))</formula>
    </cfRule>
    <cfRule type="containsText" dxfId="935" priority="2015" operator="containsText" text="Off">
      <formula>NOT(ISERROR(SEARCH("Off",L29)))</formula>
    </cfRule>
    <cfRule type="containsText" dxfId="934" priority="2011" operator="containsText" text=".">
      <formula>NOT(ISERROR(SEARCH(".",L29)))</formula>
    </cfRule>
    <cfRule type="cellIs" dxfId="933" priority="2016" operator="equal">
      <formula>0</formula>
    </cfRule>
    <cfRule type="containsText" dxfId="932" priority="2017" operator="containsText" text=".">
      <formula>NOT(ISERROR(SEARCH(".",L29)))</formula>
    </cfRule>
    <cfRule type="cellIs" dxfId="931" priority="2018" operator="equal">
      <formula>0</formula>
    </cfRule>
    <cfRule type="beginsWith" dxfId="930" priority="2008" operator="beginsWith" text="SL">
      <formula>LEFT(L29,LEN("SL"))="SL"</formula>
    </cfRule>
    <cfRule type="beginsWith" dxfId="929" priority="2012" operator="beginsWith" text="PH">
      <formula>LEFT(L29,LEN("PH"))="PH"</formula>
    </cfRule>
    <cfRule type="containsText" dxfId="928" priority="2013" operator="containsText" text="AL ">
      <formula>NOT(ISERROR(SEARCH("AL ",L29)))</formula>
    </cfRule>
    <cfRule type="beginsWith" dxfId="927" priority="2014" operator="beginsWith" text="SL">
      <formula>LEFT(L29,LEN("SL"))="SL"</formula>
    </cfRule>
    <cfRule type="beginsWith" dxfId="926" priority="1992" operator="beginsWith" text="PH">
      <formula>LEFT(L29,LEN("PH"))="PH"</formula>
    </cfRule>
    <cfRule type="cellIs" dxfId="925" priority="2004" operator="equal">
      <formula>0</formula>
    </cfRule>
    <cfRule type="containsText" dxfId="924" priority="1993" operator="containsText" text="AL ">
      <formula>NOT(ISERROR(SEARCH("AL ",L29)))</formula>
    </cfRule>
    <cfRule type="cellIs" dxfId="923" priority="2010" operator="equal">
      <formula>0</formula>
    </cfRule>
    <cfRule type="beginsWith" dxfId="922" priority="1994" operator="beginsWith" text="SL">
      <formula>LEFT(L29,LEN("SL"))="SL"</formula>
    </cfRule>
    <cfRule type="cellIs" dxfId="921" priority="1996" operator="equal">
      <formula>0</formula>
    </cfRule>
    <cfRule type="containsText" dxfId="920" priority="1997" operator="containsText" text=".">
      <formula>NOT(ISERROR(SEARCH(".",L29)))</formula>
    </cfRule>
    <cfRule type="beginsWith" dxfId="919" priority="1998" operator="beginsWith" text="PH">
      <formula>LEFT(L29,LEN("PH"))="PH"</formula>
    </cfRule>
    <cfRule type="containsText" dxfId="918" priority="1999" operator="containsText" text="AL ">
      <formula>NOT(ISERROR(SEARCH("AL ",L29)))</formula>
    </cfRule>
    <cfRule type="beginsWith" dxfId="917" priority="2000" operator="beginsWith" text="SL">
      <formula>LEFT(L29,LEN("SL"))="SL"</formula>
    </cfRule>
    <cfRule type="containsText" dxfId="916" priority="2001" operator="containsText" text="Off">
      <formula>NOT(ISERROR(SEARCH("Off",L29)))</formula>
    </cfRule>
    <cfRule type="cellIs" dxfId="915" priority="2002" operator="equal">
      <formula>0</formula>
    </cfRule>
    <cfRule type="containsText" dxfId="914" priority="2003" operator="containsText" text=".">
      <formula>NOT(ISERROR(SEARCH(".",L29)))</formula>
    </cfRule>
    <cfRule type="containsText" dxfId="913" priority="2009" operator="containsText" text="Off">
      <formula>NOT(ISERROR(SEARCH("Off",L29)))</formula>
    </cfRule>
  </conditionalFormatting>
  <conditionalFormatting sqref="L20:P21">
    <cfRule type="cellIs" dxfId="912" priority="2141" operator="equal">
      <formula>0</formula>
    </cfRule>
    <cfRule type="containsText" dxfId="911" priority="2140" operator="containsText" text="Off">
      <formula>NOT(ISERROR(SEARCH("Off",L20)))</formula>
    </cfRule>
    <cfRule type="beginsWith" dxfId="910" priority="2139" operator="beginsWith" text="SL">
      <formula>LEFT(L20,LEN("SL"))="SL"</formula>
    </cfRule>
    <cfRule type="containsText" dxfId="909" priority="2138" operator="containsText" text="AL ">
      <formula>NOT(ISERROR(SEARCH("AL ",L20)))</formula>
    </cfRule>
    <cfRule type="beginsWith" dxfId="908" priority="2137" operator="beginsWith" text="PH">
      <formula>LEFT(L20,LEN("PH"))="PH"</formula>
    </cfRule>
  </conditionalFormatting>
  <conditionalFormatting sqref="L22:T22">
    <cfRule type="cellIs" dxfId="907" priority="552" operator="equal">
      <formula>0</formula>
    </cfRule>
  </conditionalFormatting>
  <conditionalFormatting sqref="M10">
    <cfRule type="cellIs" dxfId="906" priority="296" operator="equal">
      <formula>0</formula>
    </cfRule>
    <cfRule type="cellIs" dxfId="905" priority="494" operator="equal">
      <formula>0</formula>
    </cfRule>
  </conditionalFormatting>
  <conditionalFormatting sqref="M20:M21">
    <cfRule type="containsText" dxfId="904" priority="2457" operator="containsText" text=".">
      <formula>NOT(ISERROR(SEARCH(".",M20)))</formula>
    </cfRule>
  </conditionalFormatting>
  <conditionalFormatting sqref="M10:N10">
    <cfRule type="beginsWith" dxfId="903" priority="289" operator="beginsWith" text="PH">
      <formula>LEFT(M10,LEN("PH"))="PH"</formula>
    </cfRule>
    <cfRule type="containsText" dxfId="902" priority="290" operator="containsText" text="AL ">
      <formula>NOT(ISERROR(SEARCH("AL ",M10)))</formula>
    </cfRule>
    <cfRule type="beginsWith" dxfId="901" priority="291" operator="beginsWith" text="SL">
      <formula>LEFT(M10,LEN("SL"))="SL"</formula>
    </cfRule>
  </conditionalFormatting>
  <conditionalFormatting sqref="M25:T25">
    <cfRule type="cellIs" dxfId="900" priority="464" operator="equal">
      <formula>0</formula>
    </cfRule>
  </conditionalFormatting>
  <conditionalFormatting sqref="N10">
    <cfRule type="containsText" dxfId="899" priority="114" operator="containsText" text="AL ">
      <formula>NOT(ISERROR(SEARCH("AL ",N10)))</formula>
    </cfRule>
    <cfRule type="beginsWith" dxfId="898" priority="113" operator="beginsWith" text="PH">
      <formula>LEFT(N10,LEN("PH"))="PH"</formula>
    </cfRule>
    <cfRule type="beginsWith" dxfId="897" priority="115" operator="beginsWith" text="SL">
      <formula>LEFT(N10,LEN("SL"))="SL"</formula>
    </cfRule>
    <cfRule type="cellIs" dxfId="896" priority="116" operator="equal">
      <formula>0</formula>
    </cfRule>
  </conditionalFormatting>
  <conditionalFormatting sqref="N10:N11">
    <cfRule type="cellIs" dxfId="895" priority="292" operator="equal">
      <formula>0</formula>
    </cfRule>
  </conditionalFormatting>
  <conditionalFormatting sqref="N20:N21">
    <cfRule type="containsText" dxfId="894" priority="2080" operator="containsText" text=".">
      <formula>NOT(ISERROR(SEARCH(".",N20)))</formula>
    </cfRule>
  </conditionalFormatting>
  <conditionalFormatting sqref="N28:N29">
    <cfRule type="cellIs" dxfId="893" priority="560" operator="equal">
      <formula>0</formula>
    </cfRule>
  </conditionalFormatting>
  <conditionalFormatting sqref="N29">
    <cfRule type="containsText" dxfId="892" priority="1985" operator="containsText" text="AL ">
      <formula>NOT(ISERROR(SEARCH("AL ",N29)))</formula>
    </cfRule>
    <cfRule type="beginsWith" dxfId="891" priority="1986" operator="beginsWith" text="SL">
      <formula>LEFT(N29,LEN("SL"))="SL"</formula>
    </cfRule>
    <cfRule type="containsText" dxfId="890" priority="1987" operator="containsText" text="Off">
      <formula>NOT(ISERROR(SEARCH("Off",N29)))</formula>
    </cfRule>
    <cfRule type="cellIs" dxfId="889" priority="1988" operator="equal">
      <formula>0</formula>
    </cfRule>
    <cfRule type="cellIs" dxfId="888" priority="1990" operator="equal">
      <formula>0</formula>
    </cfRule>
    <cfRule type="containsText" dxfId="887" priority="1991" operator="containsText" text=".">
      <formula>NOT(ISERROR(SEARCH(".",N29)))</formula>
    </cfRule>
    <cfRule type="beginsWith" dxfId="886" priority="1984" operator="beginsWith" text="PH">
      <formula>LEFT(N29,LEN("PH"))="PH"</formula>
    </cfRule>
    <cfRule type="beginsWith" dxfId="885" priority="1978" operator="beginsWith" text="PH">
      <formula>LEFT(N29,LEN("PH"))="PH"</formula>
    </cfRule>
    <cfRule type="cellIs" dxfId="884" priority="1976" operator="equal">
      <formula>0</formula>
    </cfRule>
    <cfRule type="containsText" dxfId="883" priority="1975" operator="containsText" text=".">
      <formula>NOT(ISERROR(SEARCH(".",N29)))</formula>
    </cfRule>
    <cfRule type="cellIs" dxfId="882" priority="1974" operator="equal">
      <formula>0</formula>
    </cfRule>
    <cfRule type="containsText" dxfId="881" priority="1973" operator="containsText" text="Off">
      <formula>NOT(ISERROR(SEARCH("Off",N29)))</formula>
    </cfRule>
    <cfRule type="beginsWith" dxfId="880" priority="1972" operator="beginsWith" text="SL">
      <formula>LEFT(N29,LEN("SL"))="SL"</formula>
    </cfRule>
    <cfRule type="containsText" dxfId="879" priority="1971" operator="containsText" text="AL ">
      <formula>NOT(ISERROR(SEARCH("AL ",N29)))</formula>
    </cfRule>
    <cfRule type="beginsWith" dxfId="878" priority="1970" operator="beginsWith" text="PH">
      <formula>LEFT(N29,LEN("PH"))="PH"</formula>
    </cfRule>
    <cfRule type="containsText" dxfId="877" priority="1979" operator="containsText" text="AL ">
      <formula>NOT(ISERROR(SEARCH("AL ",N29)))</formula>
    </cfRule>
    <cfRule type="beginsWith" dxfId="876" priority="1980" operator="beginsWith" text="SL">
      <formula>LEFT(N29,LEN("SL"))="SL"</formula>
    </cfRule>
    <cfRule type="containsText" dxfId="875" priority="1981" operator="containsText" text="Off">
      <formula>NOT(ISERROR(SEARCH("Off",N29)))</formula>
    </cfRule>
    <cfRule type="containsText" dxfId="874" priority="1977" operator="containsText" text=".">
      <formula>NOT(ISERROR(SEARCH(".",N29)))</formula>
    </cfRule>
    <cfRule type="cellIs" dxfId="873" priority="1982" operator="equal">
      <formula>0</formula>
    </cfRule>
    <cfRule type="containsText" dxfId="872" priority="1989" operator="containsText" text=".">
      <formula>NOT(ISERROR(SEARCH(".",N29)))</formula>
    </cfRule>
    <cfRule type="containsText" dxfId="871" priority="1983" operator="containsText" text=".">
      <formula>NOT(ISERROR(SEARCH(".",N29)))</formula>
    </cfRule>
  </conditionalFormatting>
  <conditionalFormatting sqref="O10">
    <cfRule type="cellIs" dxfId="870" priority="333" operator="equal">
      <formula>0</formula>
    </cfRule>
  </conditionalFormatting>
  <conditionalFormatting sqref="O10:P10">
    <cfRule type="containsText" dxfId="869" priority="331" operator="containsText" text="AL ">
      <formula>NOT(ISERROR(SEARCH("AL ",O10)))</formula>
    </cfRule>
    <cfRule type="beginsWith" dxfId="868" priority="332" operator="beginsWith" text="SL">
      <formula>LEFT(O10,LEN("SL"))="SL"</formula>
    </cfRule>
    <cfRule type="beginsWith" dxfId="867" priority="330" operator="beginsWith" text="PH">
      <formula>LEFT(O10,LEN("PH"))="PH"</formula>
    </cfRule>
  </conditionalFormatting>
  <conditionalFormatting sqref="P10">
    <cfRule type="containsText" dxfId="866" priority="327" operator="containsText" text="AL ">
      <formula>NOT(ISERROR(SEARCH("AL ",P10)))</formula>
    </cfRule>
    <cfRule type="beginsWith" dxfId="865" priority="328" operator="beginsWith" text="SL">
      <formula>LEFT(P10,LEN("SL"))="SL"</formula>
    </cfRule>
    <cfRule type="beginsWith" dxfId="864" priority="326" operator="beginsWith" text="PH">
      <formula>LEFT(P10,LEN("PH"))="PH"</formula>
    </cfRule>
    <cfRule type="cellIs" dxfId="863" priority="329" operator="equal">
      <formula>0</formula>
    </cfRule>
  </conditionalFormatting>
  <conditionalFormatting sqref="P10:P11 Q11:AF11">
    <cfRule type="cellIs" dxfId="862" priority="490" operator="equal">
      <formula>0</formula>
    </cfRule>
  </conditionalFormatting>
  <conditionalFormatting sqref="P29">
    <cfRule type="cellIs" dxfId="861" priority="558" operator="equal">
      <formula>0</formula>
    </cfRule>
  </conditionalFormatting>
  <conditionalFormatting sqref="Q8 U8 Y8">
    <cfRule type="cellIs" dxfId="860" priority="583" operator="equal">
      <formula>0</formula>
    </cfRule>
  </conditionalFormatting>
  <conditionalFormatting sqref="Q29:T29">
    <cfRule type="containsText" dxfId="859" priority="1580" operator="containsText" text=".">
      <formula>NOT(ISERROR(SEARCH(".",Q29)))</formula>
    </cfRule>
    <cfRule type="cellIs" dxfId="858" priority="1579" operator="equal">
      <formula>0</formula>
    </cfRule>
    <cfRule type="containsText" dxfId="857" priority="1578" operator="containsText" text="Off">
      <formula>NOT(ISERROR(SEARCH("Off",Q29)))</formula>
    </cfRule>
    <cfRule type="beginsWith" dxfId="856" priority="1577" operator="beginsWith" text="SL">
      <formula>LEFT(Q29,LEN("SL"))="SL"</formula>
    </cfRule>
    <cfRule type="beginsWith" dxfId="855" priority="1575" operator="beginsWith" text="PH">
      <formula>LEFT(Q29,LEN("PH"))="PH"</formula>
    </cfRule>
    <cfRule type="containsText" dxfId="854" priority="1574" operator="containsText" text=".">
      <formula>NOT(ISERROR(SEARCH(".",Q29)))</formula>
    </cfRule>
    <cfRule type="cellIs" dxfId="853" priority="1573" operator="equal">
      <formula>0</formula>
    </cfRule>
    <cfRule type="beginsWith" dxfId="852" priority="1571" operator="beginsWith" text="SL">
      <formula>LEFT(Q29,LEN("SL"))="SL"</formula>
    </cfRule>
    <cfRule type="containsText" dxfId="851" priority="1570" operator="containsText" text="AL ">
      <formula>NOT(ISERROR(SEARCH("AL ",Q29)))</formula>
    </cfRule>
    <cfRule type="beginsWith" dxfId="850" priority="1569" operator="beginsWith" text="PH">
      <formula>LEFT(Q29,LEN("PH"))="PH"</formula>
    </cfRule>
    <cfRule type="containsText" dxfId="849" priority="1568" operator="containsText" text=".">
      <formula>NOT(ISERROR(SEARCH(".",Q29)))</formula>
    </cfRule>
    <cfRule type="cellIs" dxfId="848" priority="1567" operator="equal">
      <formula>0</formula>
    </cfRule>
    <cfRule type="containsText" dxfId="847" priority="1566" operator="containsText" text=".">
      <formula>NOT(ISERROR(SEARCH(".",Q29)))</formula>
    </cfRule>
    <cfRule type="cellIs" dxfId="846" priority="1565" operator="equal">
      <formula>0</formula>
    </cfRule>
    <cfRule type="containsText" dxfId="845" priority="1564" operator="containsText" text="Off">
      <formula>NOT(ISERROR(SEARCH("Off",Q29)))</formula>
    </cfRule>
    <cfRule type="beginsWith" dxfId="844" priority="1563" operator="beginsWith" text="SL">
      <formula>LEFT(Q29,LEN("SL"))="SL"</formula>
    </cfRule>
    <cfRule type="containsText" dxfId="843" priority="1562" operator="containsText" text="AL ">
      <formula>NOT(ISERROR(SEARCH("AL ",Q29)))</formula>
    </cfRule>
    <cfRule type="beginsWith" dxfId="842" priority="1561" operator="beginsWith" text="PH">
      <formula>LEFT(Q29,LEN("PH"))="PH"</formula>
    </cfRule>
    <cfRule type="containsText" dxfId="841" priority="1572" operator="containsText" text="Off">
      <formula>NOT(ISERROR(SEARCH("Off",Q29)))</formula>
    </cfRule>
    <cfRule type="containsText" dxfId="840" priority="1576" operator="containsText" text="AL ">
      <formula>NOT(ISERROR(SEARCH("AL ",Q29)))</formula>
    </cfRule>
    <cfRule type="containsText" dxfId="839" priority="1582" operator="containsText" text=".">
      <formula>NOT(ISERROR(SEARCH(".",Q29)))</formula>
    </cfRule>
    <cfRule type="cellIs" dxfId="838" priority="1581" operator="equal">
      <formula>0</formula>
    </cfRule>
  </conditionalFormatting>
  <conditionalFormatting sqref="Q29:V29">
    <cfRule type="containsText" dxfId="837" priority="1548" operator="containsText" text="AL ">
      <formula>NOT(ISERROR(SEARCH("AL ",Q29)))</formula>
    </cfRule>
    <cfRule type="containsText" dxfId="836" priority="1550" operator="containsText" text="Off">
      <formula>NOT(ISERROR(SEARCH("Off",Q29)))</formula>
    </cfRule>
    <cfRule type="cellIs" dxfId="835" priority="1553" operator="equal">
      <formula>0</formula>
    </cfRule>
    <cfRule type="containsText" dxfId="834" priority="1554" operator="containsText" text=".">
      <formula>NOT(ISERROR(SEARCH(".",Q29)))</formula>
    </cfRule>
    <cfRule type="beginsWith" dxfId="833" priority="1549" operator="beginsWith" text="SL">
      <formula>LEFT(Q29,LEN("SL"))="SL"</formula>
    </cfRule>
    <cfRule type="beginsWith" dxfId="832" priority="1547" operator="beginsWith" text="PH">
      <formula>LEFT(Q29,LEN("PH"))="PH"</formula>
    </cfRule>
  </conditionalFormatting>
  <conditionalFormatting sqref="R10">
    <cfRule type="cellIs" dxfId="831" priority="288" operator="equal">
      <formula>0</formula>
    </cfRule>
  </conditionalFormatting>
  <conditionalFormatting sqref="R12:R14">
    <cfRule type="cellIs" dxfId="830" priority="529" operator="equal">
      <formula>0</formula>
    </cfRule>
  </conditionalFormatting>
  <conditionalFormatting sqref="R29">
    <cfRule type="containsText" dxfId="829" priority="1921" operator="containsText" text=".">
      <formula>NOT(ISERROR(SEARCH(".",R29)))</formula>
    </cfRule>
    <cfRule type="cellIs" dxfId="828" priority="1920" operator="equal">
      <formula>0</formula>
    </cfRule>
    <cfRule type="containsText" dxfId="827" priority="1919" operator="containsText" text=".">
      <formula>NOT(ISERROR(SEARCH(".",R29)))</formula>
    </cfRule>
    <cfRule type="cellIs" dxfId="826" priority="1918" operator="equal">
      <formula>0</formula>
    </cfRule>
    <cfRule type="containsText" dxfId="825" priority="1917" operator="containsText" text="Off">
      <formula>NOT(ISERROR(SEARCH("Off",R29)))</formula>
    </cfRule>
    <cfRule type="beginsWith" dxfId="824" priority="1916" operator="beginsWith" text="SL">
      <formula>LEFT(R29,LEN("SL"))="SL"</formula>
    </cfRule>
    <cfRule type="beginsWith" dxfId="823" priority="1914" operator="beginsWith" text="PH">
      <formula>LEFT(R29,LEN("PH"))="PH"</formula>
    </cfRule>
    <cfRule type="beginsWith" dxfId="822" priority="1928" operator="beginsWith" text="PH">
      <formula>LEFT(R29,LEN("PH"))="PH"</formula>
    </cfRule>
    <cfRule type="containsText" dxfId="821" priority="1929" operator="containsText" text="AL ">
      <formula>NOT(ISERROR(SEARCH("AL ",R29)))</formula>
    </cfRule>
    <cfRule type="beginsWith" dxfId="820" priority="1930" operator="beginsWith" text="SL">
      <formula>LEFT(R29,LEN("SL"))="SL"</formula>
    </cfRule>
    <cfRule type="containsText" dxfId="819" priority="1931" operator="containsText" text="Off">
      <formula>NOT(ISERROR(SEARCH("Off",R29)))</formula>
    </cfRule>
    <cfRule type="cellIs" dxfId="818" priority="1932" operator="equal">
      <formula>0</formula>
    </cfRule>
    <cfRule type="containsText" dxfId="817" priority="1933" operator="containsText" text=".">
      <formula>NOT(ISERROR(SEARCH(".",R29)))</formula>
    </cfRule>
    <cfRule type="cellIs" dxfId="816" priority="1934" operator="equal">
      <formula>0</formula>
    </cfRule>
    <cfRule type="containsText" dxfId="815" priority="1935" operator="containsText" text=".">
      <formula>NOT(ISERROR(SEARCH(".",R29)))</formula>
    </cfRule>
    <cfRule type="containsText" dxfId="814" priority="1915" operator="containsText" text="AL ">
      <formula>NOT(ISERROR(SEARCH("AL ",R29)))</formula>
    </cfRule>
    <cfRule type="containsText" dxfId="813" priority="1927" operator="containsText" text=".">
      <formula>NOT(ISERROR(SEARCH(".",R29)))</formula>
    </cfRule>
    <cfRule type="cellIs" dxfId="812" priority="1926" operator="equal">
      <formula>0</formula>
    </cfRule>
    <cfRule type="containsText" dxfId="811" priority="1925" operator="containsText" text="Off">
      <formula>NOT(ISERROR(SEARCH("Off",R29)))</formula>
    </cfRule>
    <cfRule type="beginsWith" dxfId="810" priority="1924" operator="beginsWith" text="SL">
      <formula>LEFT(R29,LEN("SL"))="SL"</formula>
    </cfRule>
    <cfRule type="containsText" dxfId="809" priority="1923" operator="containsText" text="AL ">
      <formula>NOT(ISERROR(SEARCH("AL ",R29)))</formula>
    </cfRule>
    <cfRule type="beginsWith" dxfId="808" priority="1922" operator="beginsWith" text="PH">
      <formula>LEFT(R29,LEN("PH"))="PH"</formula>
    </cfRule>
  </conditionalFormatting>
  <conditionalFormatting sqref="R10:T10">
    <cfRule type="beginsWith" dxfId="807" priority="287" operator="beginsWith" text="SL">
      <formula>LEFT(R10,LEN("SL"))="SL"</formula>
    </cfRule>
    <cfRule type="containsText" dxfId="806" priority="286" operator="containsText" text="AL ">
      <formula>NOT(ISERROR(SEARCH("AL ",R10)))</formula>
    </cfRule>
    <cfRule type="beginsWith" dxfId="805" priority="285" operator="beginsWith" text="PH">
      <formula>LEFT(R10,LEN("PH"))="PH"</formula>
    </cfRule>
  </conditionalFormatting>
  <conditionalFormatting sqref="R17:T24 B16:K16 C16:AF19 B17:E19 I25 B31:AF35">
    <cfRule type="cellIs" dxfId="804" priority="469" operator="equal">
      <formula>0</formula>
    </cfRule>
  </conditionalFormatting>
  <conditionalFormatting sqref="R21:T21">
    <cfRule type="beginsWith" dxfId="803" priority="12" operator="beginsWith" text="PH">
      <formula>LEFT(R21,LEN("PH"))="PH"</formula>
    </cfRule>
    <cfRule type="containsText" dxfId="802" priority="13" operator="containsText" text="AL ">
      <formula>NOT(ISERROR(SEARCH("AL ",R21)))</formula>
    </cfRule>
    <cfRule type="beginsWith" dxfId="801" priority="14" operator="beginsWith" text="SL">
      <formula>LEFT(R21,LEN("SL"))="SL"</formula>
    </cfRule>
    <cfRule type="containsText" dxfId="800" priority="15" operator="containsText" text="Off">
      <formula>NOT(ISERROR(SEARCH("Off",R21)))</formula>
    </cfRule>
    <cfRule type="containsText" dxfId="799" priority="11" operator="containsText" text=".">
      <formula>NOT(ISERROR(SEARCH(".",R21)))</formula>
    </cfRule>
  </conditionalFormatting>
  <conditionalFormatting sqref="R28:T28">
    <cfRule type="cellIs" dxfId="798" priority="41" operator="equal">
      <formula>0</formula>
    </cfRule>
  </conditionalFormatting>
  <conditionalFormatting sqref="T10">
    <cfRule type="containsText" dxfId="797" priority="282" operator="containsText" text="AL ">
      <formula>NOT(ISERROR(SEARCH("AL ",T10)))</formula>
    </cfRule>
    <cfRule type="beginsWith" dxfId="796" priority="283" operator="beginsWith" text="SL">
      <formula>LEFT(T10,LEN("SL"))="SL"</formula>
    </cfRule>
    <cfRule type="cellIs" dxfId="795" priority="284" operator="equal">
      <formula>0</formula>
    </cfRule>
    <cfRule type="cellIs" dxfId="794" priority="482" operator="equal">
      <formula>0</formula>
    </cfRule>
    <cfRule type="beginsWith" dxfId="793" priority="281" operator="beginsWith" text="PH">
      <formula>LEFT(T10,LEN("PH"))="PH"</formula>
    </cfRule>
  </conditionalFormatting>
  <conditionalFormatting sqref="T20:T21">
    <cfRule type="beginsWith" dxfId="792" priority="2064" operator="beginsWith" text="PH">
      <formula>LEFT(T20,LEN("PH"))="PH"</formula>
    </cfRule>
    <cfRule type="containsText" dxfId="791" priority="2065" operator="containsText" text="AL ">
      <formula>NOT(ISERROR(SEARCH("AL ",T20)))</formula>
    </cfRule>
    <cfRule type="beginsWith" dxfId="790" priority="2066" operator="beginsWith" text="SL">
      <formula>LEFT(T20,LEN("SL"))="SL"</formula>
    </cfRule>
    <cfRule type="containsText" dxfId="789" priority="2067" operator="containsText" text="Off">
      <formula>NOT(ISERROR(SEARCH("Off",T20)))</formula>
    </cfRule>
    <cfRule type="containsText" dxfId="788" priority="2069" operator="containsText" text=".">
      <formula>NOT(ISERROR(SEARCH(".",T20)))</formula>
    </cfRule>
    <cfRule type="cellIs" dxfId="787" priority="2068" operator="equal">
      <formula>0</formula>
    </cfRule>
  </conditionalFormatting>
  <conditionalFormatting sqref="T21">
    <cfRule type="beginsWith" dxfId="786" priority="8" operator="beginsWith" text="SL">
      <formula>LEFT(T21,LEN("SL"))="SL"</formula>
    </cfRule>
    <cfRule type="containsText" dxfId="785" priority="9" operator="containsText" text="Off">
      <formula>NOT(ISERROR(SEARCH("Off",T21)))</formula>
    </cfRule>
    <cfRule type="cellIs" dxfId="784" priority="10" operator="equal">
      <formula>0</formula>
    </cfRule>
    <cfRule type="cellIs" dxfId="783" priority="1" operator="equal">
      <formula>0</formula>
    </cfRule>
    <cfRule type="containsText" dxfId="782" priority="2" operator="containsText" text=".">
      <formula>NOT(ISERROR(SEARCH(".",T21)))</formula>
    </cfRule>
    <cfRule type="containsText" dxfId="781" priority="3" operator="containsText" text="Off">
      <formula>NOT(ISERROR(SEARCH("Off",T21)))</formula>
    </cfRule>
    <cfRule type="cellIs" dxfId="780" priority="4" operator="equal">
      <formula>0</formula>
    </cfRule>
    <cfRule type="containsText" dxfId="779" priority="5" operator="containsText" text=".">
      <formula>NOT(ISERROR(SEARCH(".",T21)))</formula>
    </cfRule>
    <cfRule type="beginsWith" dxfId="778" priority="6" operator="beginsWith" text="PH">
      <formula>LEFT(T21,LEN("PH"))="PH"</formula>
    </cfRule>
    <cfRule type="containsText" dxfId="777" priority="7" operator="containsText" text="AL ">
      <formula>NOT(ISERROR(SEARCH("AL ",T21)))</formula>
    </cfRule>
  </conditionalFormatting>
  <conditionalFormatting sqref="T29">
    <cfRule type="beginsWith" dxfId="776" priority="877" operator="beginsWith" text="SL">
      <formula>LEFT(T29,LEN("SL"))="SL"</formula>
    </cfRule>
    <cfRule type="containsText" dxfId="775" priority="878" operator="containsText" text="Off">
      <formula>NOT(ISERROR(SEARCH("Off",T29)))</formula>
    </cfRule>
    <cfRule type="cellIs" dxfId="774" priority="879" operator="equal">
      <formula>0</formula>
    </cfRule>
    <cfRule type="containsText" dxfId="773" priority="880" operator="containsText" text=".">
      <formula>NOT(ISERROR(SEARCH(".",T29)))</formula>
    </cfRule>
    <cfRule type="containsText" dxfId="772" priority="267" operator="containsText" text="Off">
      <formula>NOT(ISERROR(SEARCH("Off",T29)))</formula>
    </cfRule>
    <cfRule type="containsText" dxfId="771" priority="882" operator="containsText" text=".">
      <formula>NOT(ISERROR(SEARCH(".",T29)))</formula>
    </cfRule>
    <cfRule type="containsText" dxfId="770" priority="1907" operator="containsText" text=".">
      <formula>NOT(ISERROR(SEARCH(".",T29)))</formula>
    </cfRule>
    <cfRule type="cellIs" dxfId="769" priority="1906" operator="equal">
      <formula>0</formula>
    </cfRule>
    <cfRule type="containsText" dxfId="768" priority="1905" operator="containsText" text=".">
      <formula>NOT(ISERROR(SEARCH(".",T29)))</formula>
    </cfRule>
    <cfRule type="containsText" dxfId="767" priority="1903" operator="containsText" text="Off">
      <formula>NOT(ISERROR(SEARCH("Off",T29)))</formula>
    </cfRule>
    <cfRule type="beginsWith" dxfId="766" priority="1902" operator="beginsWith" text="SL">
      <formula>LEFT(T29,LEN("SL"))="SL"</formula>
    </cfRule>
    <cfRule type="containsText" dxfId="765" priority="1901" operator="containsText" text="AL ">
      <formula>NOT(ISERROR(SEARCH("AL ",T29)))</formula>
    </cfRule>
    <cfRule type="beginsWith" dxfId="764" priority="1900" operator="beginsWith" text="PH">
      <formula>LEFT(T29,LEN("PH"))="PH"</formula>
    </cfRule>
    <cfRule type="containsText" dxfId="763" priority="1899" operator="containsText" text=".">
      <formula>NOT(ISERROR(SEARCH(".",T29)))</formula>
    </cfRule>
    <cfRule type="cellIs" dxfId="762" priority="1898" operator="equal">
      <formula>0</formula>
    </cfRule>
    <cfRule type="containsText" dxfId="761" priority="1897" operator="containsText" text="Off">
      <formula>NOT(ISERROR(SEARCH("Off",T29)))</formula>
    </cfRule>
    <cfRule type="beginsWith" dxfId="760" priority="1896" operator="beginsWith" text="SL">
      <formula>LEFT(T29,LEN("SL"))="SL"</formula>
    </cfRule>
    <cfRule type="containsText" dxfId="759" priority="1895" operator="containsText" text="AL ">
      <formula>NOT(ISERROR(SEARCH("AL ",T29)))</formula>
    </cfRule>
    <cfRule type="beginsWith" dxfId="758" priority="1894" operator="beginsWith" text="PH">
      <formula>LEFT(T29,LEN("PH"))="PH"</formula>
    </cfRule>
    <cfRule type="containsText" dxfId="757" priority="1893" operator="containsText" text=".">
      <formula>NOT(ISERROR(SEARCH(".",T29)))</formula>
    </cfRule>
    <cfRule type="cellIs" dxfId="756" priority="1892" operator="equal">
      <formula>0</formula>
    </cfRule>
    <cfRule type="containsText" dxfId="755" priority="1891" operator="containsText" text=".">
      <formula>NOT(ISERROR(SEARCH(".",T29)))</formula>
    </cfRule>
    <cfRule type="cellIs" dxfId="754" priority="1890" operator="equal">
      <formula>0</formula>
    </cfRule>
    <cfRule type="containsText" dxfId="753" priority="1889" operator="containsText" text="Off">
      <formula>NOT(ISERROR(SEARCH("Off",T29)))</formula>
    </cfRule>
    <cfRule type="beginsWith" dxfId="752" priority="1888" operator="beginsWith" text="SL">
      <formula>LEFT(T29,LEN("SL"))="SL"</formula>
    </cfRule>
    <cfRule type="containsText" dxfId="751" priority="1887" operator="containsText" text="AL ">
      <formula>NOT(ISERROR(SEARCH("AL ",T29)))</formula>
    </cfRule>
    <cfRule type="beginsWith" dxfId="750" priority="1886" operator="beginsWith" text="PH">
      <formula>LEFT(T29,LEN("PH"))="PH"</formula>
    </cfRule>
    <cfRule type="beginsWith" dxfId="749" priority="228" operator="beginsWith" text="PH">
      <formula>LEFT(T29,LEN("PH"))="PH"</formula>
    </cfRule>
    <cfRule type="containsText" dxfId="748" priority="229" operator="containsText" text="AL ">
      <formula>NOT(ISERROR(SEARCH("AL ",T29)))</formula>
    </cfRule>
    <cfRule type="beginsWith" dxfId="747" priority="230" operator="beginsWith" text="SL">
      <formula>LEFT(T29,LEN("SL"))="SL"</formula>
    </cfRule>
    <cfRule type="containsText" dxfId="746" priority="231" operator="containsText" text="Off">
      <formula>NOT(ISERROR(SEARCH("Off",T29)))</formula>
    </cfRule>
    <cfRule type="cellIs" dxfId="745" priority="232" operator="equal">
      <formula>0</formula>
    </cfRule>
    <cfRule type="containsText" dxfId="744" priority="233" operator="containsText" text=".">
      <formula>NOT(ISERROR(SEARCH(".",T29)))</formula>
    </cfRule>
    <cfRule type="cellIs" dxfId="743" priority="234" operator="equal">
      <formula>0</formula>
    </cfRule>
    <cfRule type="containsText" dxfId="742" priority="235" operator="containsText" text=".">
      <formula>NOT(ISERROR(SEARCH(".",T29)))</formula>
    </cfRule>
    <cfRule type="beginsWith" dxfId="741" priority="236" operator="beginsWith" text="PH">
      <formula>LEFT(T29,LEN("PH"))="PH"</formula>
    </cfRule>
    <cfRule type="containsText" dxfId="740" priority="237" operator="containsText" text="AL ">
      <formula>NOT(ISERROR(SEARCH("AL ",T29)))</formula>
    </cfRule>
    <cfRule type="beginsWith" dxfId="739" priority="238" operator="beginsWith" text="SL">
      <formula>LEFT(T29,LEN("SL"))="SL"</formula>
    </cfRule>
    <cfRule type="containsText" dxfId="738" priority="239" operator="containsText" text="Off">
      <formula>NOT(ISERROR(SEARCH("Off",T29)))</formula>
    </cfRule>
    <cfRule type="cellIs" dxfId="737" priority="240" operator="equal">
      <formula>0</formula>
    </cfRule>
    <cfRule type="containsText" dxfId="736" priority="241" operator="containsText" text=".">
      <formula>NOT(ISERROR(SEARCH(".",T29)))</formula>
    </cfRule>
    <cfRule type="beginsWith" dxfId="735" priority="242" operator="beginsWith" text="PH">
      <formula>LEFT(T29,LEN("PH"))="PH"</formula>
    </cfRule>
    <cfRule type="containsText" dxfId="734" priority="243" operator="containsText" text="AL ">
      <formula>NOT(ISERROR(SEARCH("AL ",T29)))</formula>
    </cfRule>
    <cfRule type="beginsWith" dxfId="733" priority="244" operator="beginsWith" text="SL">
      <formula>LEFT(T29,LEN("SL"))="SL"</formula>
    </cfRule>
    <cfRule type="containsText" dxfId="732" priority="245" operator="containsText" text="Off">
      <formula>NOT(ISERROR(SEARCH("Off",T29)))</formula>
    </cfRule>
    <cfRule type="cellIs" dxfId="731" priority="246" operator="equal">
      <formula>0</formula>
    </cfRule>
    <cfRule type="containsText" dxfId="730" priority="247" operator="containsText" text=".">
      <formula>NOT(ISERROR(SEARCH(".",T29)))</formula>
    </cfRule>
    <cfRule type="cellIs" dxfId="729" priority="248" operator="equal">
      <formula>0</formula>
    </cfRule>
    <cfRule type="containsText" dxfId="728" priority="249" operator="containsText" text=".">
      <formula>NOT(ISERROR(SEARCH(".",T29)))</formula>
    </cfRule>
    <cfRule type="beginsWith" dxfId="727" priority="250" operator="beginsWith" text="PH">
      <formula>LEFT(T29,LEN("PH"))="PH"</formula>
    </cfRule>
    <cfRule type="containsText" dxfId="726" priority="251" operator="containsText" text="AL ">
      <formula>NOT(ISERROR(SEARCH("AL ",T29)))</formula>
    </cfRule>
    <cfRule type="beginsWith" dxfId="725" priority="252" operator="beginsWith" text="SL">
      <formula>LEFT(T29,LEN("SL"))="SL"</formula>
    </cfRule>
    <cfRule type="containsText" dxfId="724" priority="253" operator="containsText" text="Off">
      <formula>NOT(ISERROR(SEARCH("Off",T29)))</formula>
    </cfRule>
    <cfRule type="cellIs" dxfId="723" priority="254" operator="equal">
      <formula>0</formula>
    </cfRule>
    <cfRule type="containsText" dxfId="722" priority="255" operator="containsText" text=".">
      <formula>NOT(ISERROR(SEARCH(".",T29)))</formula>
    </cfRule>
    <cfRule type="cellIs" dxfId="721" priority="256" operator="equal">
      <formula>0</formula>
    </cfRule>
    <cfRule type="containsText" dxfId="720" priority="257" operator="containsText" text=".">
      <formula>NOT(ISERROR(SEARCH(".",T29)))</formula>
    </cfRule>
    <cfRule type="beginsWith" dxfId="719" priority="258" operator="beginsWith" text="PH">
      <formula>LEFT(T29,LEN("PH"))="PH"</formula>
    </cfRule>
    <cfRule type="containsText" dxfId="718" priority="259" operator="containsText" text="AL ">
      <formula>NOT(ISERROR(SEARCH("AL ",T29)))</formula>
    </cfRule>
    <cfRule type="beginsWith" dxfId="717" priority="260" operator="beginsWith" text="SL">
      <formula>LEFT(T29,LEN("SL"))="SL"</formula>
    </cfRule>
    <cfRule type="containsText" dxfId="716" priority="261" operator="containsText" text="Off">
      <formula>NOT(ISERROR(SEARCH("Off",T29)))</formula>
    </cfRule>
    <cfRule type="cellIs" dxfId="715" priority="262" operator="equal">
      <formula>0</formula>
    </cfRule>
    <cfRule type="containsText" dxfId="714" priority="263" operator="containsText" text=".">
      <formula>NOT(ISERROR(SEARCH(".",T29)))</formula>
    </cfRule>
    <cfRule type="beginsWith" dxfId="713" priority="264" operator="beginsWith" text="PH">
      <formula>LEFT(T29,LEN("PH"))="PH"</formula>
    </cfRule>
    <cfRule type="containsText" dxfId="712" priority="265" operator="containsText" text="AL ">
      <formula>NOT(ISERROR(SEARCH("AL ",T29)))</formula>
    </cfRule>
    <cfRule type="beginsWith" dxfId="711" priority="266" operator="beginsWith" text="SL">
      <formula>LEFT(T29,LEN("SL"))="SL"</formula>
    </cfRule>
    <cfRule type="cellIs" dxfId="710" priority="881" operator="equal">
      <formula>0</formula>
    </cfRule>
    <cfRule type="cellIs" dxfId="709" priority="268" operator="equal">
      <formula>0</formula>
    </cfRule>
    <cfRule type="containsText" dxfId="708" priority="269" operator="containsText" text=".">
      <formula>NOT(ISERROR(SEARCH(".",T29)))</formula>
    </cfRule>
    <cfRule type="cellIs" dxfId="707" priority="270" operator="equal">
      <formula>0</formula>
    </cfRule>
    <cfRule type="containsText" dxfId="706" priority="271" operator="containsText" text=".">
      <formula>NOT(ISERROR(SEARCH(".",T29)))</formula>
    </cfRule>
    <cfRule type="beginsWith" dxfId="705" priority="855" operator="beginsWith" text="PH">
      <formula>LEFT(T29,LEN("PH"))="PH"</formula>
    </cfRule>
    <cfRule type="containsText" dxfId="704" priority="856" operator="containsText" text="AL ">
      <formula>NOT(ISERROR(SEARCH("AL ",T29)))</formula>
    </cfRule>
    <cfRule type="beginsWith" dxfId="703" priority="857" operator="beginsWith" text="SL">
      <formula>LEFT(T29,LEN("SL"))="SL"</formula>
    </cfRule>
    <cfRule type="containsText" dxfId="702" priority="858" operator="containsText" text="Off">
      <formula>NOT(ISERROR(SEARCH("Off",T29)))</formula>
    </cfRule>
    <cfRule type="cellIs" dxfId="701" priority="859" operator="equal">
      <formula>0</formula>
    </cfRule>
    <cfRule type="containsText" dxfId="700" priority="860" operator="containsText" text=".">
      <formula>NOT(ISERROR(SEARCH(".",T29)))</formula>
    </cfRule>
    <cfRule type="beginsWith" dxfId="699" priority="861" operator="beginsWith" text="PH">
      <formula>LEFT(T29,LEN("PH"))="PH"</formula>
    </cfRule>
    <cfRule type="containsText" dxfId="698" priority="862" operator="containsText" text="AL ">
      <formula>NOT(ISERROR(SEARCH("AL ",T29)))</formula>
    </cfRule>
    <cfRule type="beginsWith" dxfId="697" priority="863" operator="beginsWith" text="SL">
      <formula>LEFT(T29,LEN("SL"))="SL"</formula>
    </cfRule>
    <cfRule type="containsText" dxfId="696" priority="864" operator="containsText" text="Off">
      <formula>NOT(ISERROR(SEARCH("Off",T29)))</formula>
    </cfRule>
    <cfRule type="cellIs" dxfId="695" priority="865" operator="equal">
      <formula>0</formula>
    </cfRule>
    <cfRule type="containsText" dxfId="694" priority="866" operator="containsText" text=".">
      <formula>NOT(ISERROR(SEARCH(".",T29)))</formula>
    </cfRule>
    <cfRule type="cellIs" dxfId="693" priority="867" operator="equal">
      <formula>0</formula>
    </cfRule>
    <cfRule type="containsText" dxfId="692" priority="868" operator="containsText" text=".">
      <formula>NOT(ISERROR(SEARCH(".",T29)))</formula>
    </cfRule>
    <cfRule type="beginsWith" dxfId="691" priority="869" operator="beginsWith" text="PH">
      <formula>LEFT(T29,LEN("PH"))="PH"</formula>
    </cfRule>
    <cfRule type="containsText" dxfId="690" priority="870" operator="containsText" text="AL ">
      <formula>NOT(ISERROR(SEARCH("AL ",T29)))</formula>
    </cfRule>
    <cfRule type="beginsWith" dxfId="689" priority="871" operator="beginsWith" text="SL">
      <formula>LEFT(T29,LEN("SL"))="SL"</formula>
    </cfRule>
    <cfRule type="containsText" dxfId="688" priority="872" operator="containsText" text="Off">
      <formula>NOT(ISERROR(SEARCH("Off",T29)))</formula>
    </cfRule>
    <cfRule type="cellIs" dxfId="687" priority="873" operator="equal">
      <formula>0</formula>
    </cfRule>
    <cfRule type="containsText" dxfId="686" priority="874" operator="containsText" text=".">
      <formula>NOT(ISERROR(SEARCH(".",T29)))</formula>
    </cfRule>
    <cfRule type="beginsWith" dxfId="685" priority="875" operator="beginsWith" text="PH">
      <formula>LEFT(T29,LEN("PH"))="PH"</formula>
    </cfRule>
    <cfRule type="containsText" dxfId="684" priority="876" operator="containsText" text="AL ">
      <formula>NOT(ISERROR(SEARCH("AL ",T29)))</formula>
    </cfRule>
    <cfRule type="cellIs" dxfId="683" priority="1904" operator="equal">
      <formula>0</formula>
    </cfRule>
  </conditionalFormatting>
  <conditionalFormatting sqref="T20:U21">
    <cfRule type="cellIs" dxfId="682" priority="678" operator="equal">
      <formula>0</formula>
    </cfRule>
  </conditionalFormatting>
  <conditionalFormatting sqref="T29:V29">
    <cfRule type="containsText" dxfId="681" priority="93" operator="containsText" text="AL ">
      <formula>NOT(ISERROR(SEARCH("AL ",T29)))</formula>
    </cfRule>
    <cfRule type="containsText" dxfId="680" priority="95" operator="containsText" text="Off">
      <formula>NOT(ISERROR(SEARCH("Off",T29)))</formula>
    </cfRule>
    <cfRule type="beginsWith" dxfId="679" priority="94" operator="beginsWith" text="SL">
      <formula>LEFT(T29,LEN("SL"))="SL"</formula>
    </cfRule>
    <cfRule type="beginsWith" dxfId="678" priority="92" operator="beginsWith" text="PH">
      <formula>LEFT(T29,LEN("PH"))="PH"</formula>
    </cfRule>
    <cfRule type="containsText" dxfId="677" priority="1875" operator="containsText" text="Off">
      <formula>NOT(ISERROR(SEARCH("Off",T29)))</formula>
    </cfRule>
    <cfRule type="containsText" dxfId="676" priority="99" operator="containsText" text=".">
      <formula>NOT(ISERROR(SEARCH(".",T29)))</formula>
    </cfRule>
    <cfRule type="cellIs" dxfId="675" priority="98" operator="equal">
      <formula>0</formula>
    </cfRule>
    <cfRule type="containsText" dxfId="674" priority="1879" operator="containsText" text=".">
      <formula>NOT(ISERROR(SEARCH(".",T29)))</formula>
    </cfRule>
    <cfRule type="cellIs" dxfId="673" priority="1878" operator="equal">
      <formula>0</formula>
    </cfRule>
  </conditionalFormatting>
  <conditionalFormatting sqref="T20:W21">
    <cfRule type="containsText" dxfId="672" priority="683" operator="containsText" text="Off">
      <formula>NOT(ISERROR(SEARCH("Off",T20)))</formula>
    </cfRule>
    <cfRule type="beginsWith" dxfId="671" priority="682" operator="beginsWith" text="SL">
      <formula>LEFT(T20,LEN("SL"))="SL"</formula>
    </cfRule>
    <cfRule type="containsText" dxfId="670" priority="681" operator="containsText" text="AL ">
      <formula>NOT(ISERROR(SEARCH("AL ",T20)))</formula>
    </cfRule>
    <cfRule type="beginsWith" dxfId="669" priority="680" operator="beginsWith" text="PH">
      <formula>LEFT(T20,LEN("PH"))="PH"</formula>
    </cfRule>
  </conditionalFormatting>
  <conditionalFormatting sqref="T29:X29">
    <cfRule type="cellIs" dxfId="668" priority="420" operator="equal">
      <formula>0</formula>
    </cfRule>
  </conditionalFormatting>
  <conditionalFormatting sqref="U20:U21">
    <cfRule type="containsText" dxfId="667" priority="1610" operator="containsText" text="Off">
      <formula>NOT(ISERROR(SEARCH("Off",U20)))</formula>
    </cfRule>
    <cfRule type="containsText" dxfId="666" priority="1618" operator="containsText" text=".">
      <formula>NOT(ISERROR(SEARCH(".",U20)))</formula>
    </cfRule>
    <cfRule type="cellIs" dxfId="665" priority="1617" operator="equal">
      <formula>0</formula>
    </cfRule>
    <cfRule type="containsText" dxfId="664" priority="1616" operator="containsText" text="Off">
      <formula>NOT(ISERROR(SEARCH("Off",U20)))</formula>
    </cfRule>
    <cfRule type="beginsWith" dxfId="663" priority="1615" operator="beginsWith" text="SL">
      <formula>LEFT(U20,LEN("SL"))="SL"</formula>
    </cfRule>
    <cfRule type="containsText" dxfId="662" priority="1614" operator="containsText" text="AL ">
      <formula>NOT(ISERROR(SEARCH("AL ",U20)))</formula>
    </cfRule>
    <cfRule type="beginsWith" dxfId="661" priority="1613" operator="beginsWith" text="PH">
      <formula>LEFT(U20,LEN("PH"))="PH"</formula>
    </cfRule>
    <cfRule type="containsText" dxfId="660" priority="1612" operator="containsText" text=".">
      <formula>NOT(ISERROR(SEARCH(".",U20)))</formula>
    </cfRule>
    <cfRule type="cellIs" dxfId="659" priority="1611" operator="equal">
      <formula>0</formula>
    </cfRule>
  </conditionalFormatting>
  <conditionalFormatting sqref="U29:V29">
    <cfRule type="cellIs" dxfId="658" priority="90" operator="equal">
      <formula>0</formula>
    </cfRule>
    <cfRule type="containsText" dxfId="657" priority="89" operator="containsText" text="Off">
      <formula>NOT(ISERROR(SEARCH("Off",U29)))</formula>
    </cfRule>
    <cfRule type="beginsWith" dxfId="656" priority="88" operator="beginsWith" text="SL">
      <formula>LEFT(U29,LEN("SL"))="SL"</formula>
    </cfRule>
    <cfRule type="containsText" dxfId="655" priority="87" operator="containsText" text="AL ">
      <formula>NOT(ISERROR(SEARCH("AL ",U29)))</formula>
    </cfRule>
    <cfRule type="beginsWith" dxfId="654" priority="86" operator="beginsWith" text="PH">
      <formula>LEFT(U29,LEN("PH"))="PH"</formula>
    </cfRule>
    <cfRule type="containsText" dxfId="653" priority="85" operator="containsText" text=".">
      <formula>NOT(ISERROR(SEARCH(".",U29)))</formula>
    </cfRule>
    <cfRule type="cellIs" dxfId="652" priority="84" operator="equal">
      <formula>0</formula>
    </cfRule>
    <cfRule type="containsText" dxfId="651" priority="83" operator="containsText" text=".">
      <formula>NOT(ISERROR(SEARCH(".",U29)))</formula>
    </cfRule>
    <cfRule type="cellIs" dxfId="650" priority="82" operator="equal">
      <formula>0</formula>
    </cfRule>
    <cfRule type="containsText" dxfId="649" priority="81" operator="containsText" text="Off">
      <formula>NOT(ISERROR(SEARCH("Off",U29)))</formula>
    </cfRule>
    <cfRule type="beginsWith" dxfId="648" priority="80" operator="beginsWith" text="SL">
      <formula>LEFT(U29,LEN("SL"))="SL"</formula>
    </cfRule>
    <cfRule type="beginsWith" dxfId="647" priority="72" operator="beginsWith" text="PH">
      <formula>LEFT(U29,LEN("PH"))="PH"</formula>
    </cfRule>
    <cfRule type="beginsWith" dxfId="646" priority="78" operator="beginsWith" text="PH">
      <formula>LEFT(U29,LEN("PH"))="PH"</formula>
    </cfRule>
    <cfRule type="containsText" dxfId="645" priority="77" operator="containsText" text=".">
      <formula>NOT(ISERROR(SEARCH(".",U29)))</formula>
    </cfRule>
    <cfRule type="cellIs" dxfId="644" priority="76" operator="equal">
      <formula>0</formula>
    </cfRule>
    <cfRule type="containsText" dxfId="643" priority="75" operator="containsText" text="Off">
      <formula>NOT(ISERROR(SEARCH("Off",U29)))</formula>
    </cfRule>
    <cfRule type="containsText" dxfId="642" priority="1534" operator="containsText" text="AL ">
      <formula>NOT(ISERROR(SEARCH("AL ",U29)))</formula>
    </cfRule>
    <cfRule type="beginsWith" dxfId="641" priority="1533" operator="beginsWith" text="PH">
      <formula>LEFT(U29,LEN("PH"))="PH"</formula>
    </cfRule>
    <cfRule type="containsText" dxfId="640" priority="79" operator="containsText" text="AL ">
      <formula>NOT(ISERROR(SEARCH("AL ",U29)))</formula>
    </cfRule>
    <cfRule type="containsText" dxfId="639" priority="1532" operator="containsText" text=".">
      <formula>NOT(ISERROR(SEARCH(".",U29)))</formula>
    </cfRule>
    <cfRule type="cellIs" dxfId="638" priority="1531" operator="equal">
      <formula>0</formula>
    </cfRule>
    <cfRule type="containsText" dxfId="637" priority="1530" operator="containsText" text="Off">
      <formula>NOT(ISERROR(SEARCH("Off",U29)))</formula>
    </cfRule>
    <cfRule type="containsText" dxfId="636" priority="97" operator="containsText" text=".">
      <formula>NOT(ISERROR(SEARCH(".",U29)))</formula>
    </cfRule>
    <cfRule type="containsText" dxfId="635" priority="91" operator="containsText" text=".">
      <formula>NOT(ISERROR(SEARCH(".",U29)))</formula>
    </cfRule>
    <cfRule type="cellIs" dxfId="634" priority="96" operator="equal">
      <formula>0</formula>
    </cfRule>
    <cfRule type="containsText" dxfId="633" priority="1877" operator="containsText" text=".">
      <formula>NOT(ISERROR(SEARCH(".",U29)))</formula>
    </cfRule>
    <cfRule type="cellIs" dxfId="632" priority="1876" operator="equal">
      <formula>0</formula>
    </cfRule>
    <cfRule type="beginsWith" dxfId="631" priority="1874" operator="beginsWith" text="SL">
      <formula>LEFT(U29,LEN("SL"))="SL"</formula>
    </cfRule>
    <cfRule type="containsText" dxfId="630" priority="1873" operator="containsText" text="AL ">
      <formula>NOT(ISERROR(SEARCH("AL ",U29)))</formula>
    </cfRule>
    <cfRule type="beginsWith" dxfId="629" priority="1872" operator="beginsWith" text="PH">
      <formula>LEFT(U29,LEN("PH"))="PH"</formula>
    </cfRule>
    <cfRule type="containsText" dxfId="628" priority="1871" operator="containsText" text=".">
      <formula>NOT(ISERROR(SEARCH(".",U29)))</formula>
    </cfRule>
    <cfRule type="beginsWith" dxfId="627" priority="74" operator="beginsWith" text="SL">
      <formula>LEFT(U29,LEN("SL"))="SL"</formula>
    </cfRule>
    <cfRule type="containsText" dxfId="626" priority="73" operator="containsText" text="AL ">
      <formula>NOT(ISERROR(SEARCH("AL ",U29)))</formula>
    </cfRule>
    <cfRule type="cellIs" dxfId="625" priority="1870" operator="equal">
      <formula>0</formula>
    </cfRule>
    <cfRule type="containsText" dxfId="624" priority="1869" operator="containsText" text="Off">
      <formula>NOT(ISERROR(SEARCH("Off",U29)))</formula>
    </cfRule>
    <cfRule type="beginsWith" dxfId="623" priority="1868" operator="beginsWith" text="SL">
      <formula>LEFT(U29,LEN("SL"))="SL"</formula>
    </cfRule>
    <cfRule type="containsText" dxfId="622" priority="1867" operator="containsText" text="AL ">
      <formula>NOT(ISERROR(SEARCH("AL ",U29)))</formula>
    </cfRule>
    <cfRule type="beginsWith" dxfId="621" priority="1866" operator="beginsWith" text="PH">
      <formula>LEFT(U29,LEN("PH"))="PH"</formula>
    </cfRule>
    <cfRule type="containsText" dxfId="620" priority="1865" operator="containsText" text=".">
      <formula>NOT(ISERROR(SEARCH(".",U29)))</formula>
    </cfRule>
    <cfRule type="cellIs" dxfId="619" priority="1864" operator="equal">
      <formula>0</formula>
    </cfRule>
    <cfRule type="containsText" dxfId="618" priority="1863" operator="containsText" text=".">
      <formula>NOT(ISERROR(SEARCH(".",U29)))</formula>
    </cfRule>
    <cfRule type="cellIs" dxfId="617" priority="1862" operator="equal">
      <formula>0</formula>
    </cfRule>
    <cfRule type="containsText" dxfId="616" priority="1552" operator="containsText" text=".">
      <formula>NOT(ISERROR(SEARCH(".",U29)))</formula>
    </cfRule>
    <cfRule type="cellIs" dxfId="615" priority="1551" operator="equal">
      <formula>0</formula>
    </cfRule>
    <cfRule type="containsText" dxfId="614" priority="1861" operator="containsText" text="Off">
      <formula>NOT(ISERROR(SEARCH("Off",U29)))</formula>
    </cfRule>
    <cfRule type="beginsWith" dxfId="613" priority="1860" operator="beginsWith" text="SL">
      <formula>LEFT(U29,LEN("SL"))="SL"</formula>
    </cfRule>
    <cfRule type="containsText" dxfId="612" priority="1859" operator="containsText" text="AL ">
      <formula>NOT(ISERROR(SEARCH("AL ",U29)))</formula>
    </cfRule>
    <cfRule type="beginsWith" dxfId="611" priority="1858" operator="beginsWith" text="PH">
      <formula>LEFT(U29,LEN("PH"))="PH"</formula>
    </cfRule>
    <cfRule type="containsText" dxfId="610" priority="1546" operator="containsText" text=".">
      <formula>NOT(ISERROR(SEARCH(".",U29)))</formula>
    </cfRule>
    <cfRule type="cellIs" dxfId="609" priority="1545" operator="equal">
      <formula>0</formula>
    </cfRule>
    <cfRule type="containsText" dxfId="608" priority="1544" operator="containsText" text="Off">
      <formula>NOT(ISERROR(SEARCH("Off",U29)))</formula>
    </cfRule>
    <cfRule type="beginsWith" dxfId="607" priority="1543" operator="beginsWith" text="SL">
      <formula>LEFT(U29,LEN("SL"))="SL"</formula>
    </cfRule>
    <cfRule type="containsText" dxfId="606" priority="1542" operator="containsText" text="AL ">
      <formula>NOT(ISERROR(SEARCH("AL ",U29)))</formula>
    </cfRule>
    <cfRule type="beginsWith" dxfId="605" priority="1541" operator="beginsWith" text="PH">
      <formula>LEFT(U29,LEN("PH"))="PH"</formula>
    </cfRule>
    <cfRule type="containsText" dxfId="604" priority="1540" operator="containsText" text=".">
      <formula>NOT(ISERROR(SEARCH(".",U29)))</formula>
    </cfRule>
    <cfRule type="cellIs" dxfId="603" priority="1539" operator="equal">
      <formula>0</formula>
    </cfRule>
    <cfRule type="containsText" dxfId="602" priority="1538" operator="containsText" text=".">
      <formula>NOT(ISERROR(SEARCH(".",U29)))</formula>
    </cfRule>
    <cfRule type="cellIs" dxfId="601" priority="1537" operator="equal">
      <formula>0</formula>
    </cfRule>
    <cfRule type="containsText" dxfId="600" priority="1536" operator="containsText" text="Off">
      <formula>NOT(ISERROR(SEARCH("Off",U29)))</formula>
    </cfRule>
    <cfRule type="beginsWith" dxfId="599" priority="1535" operator="beginsWith" text="SL">
      <formula>LEFT(U29,LEN("SL"))="SL"</formula>
    </cfRule>
  </conditionalFormatting>
  <conditionalFormatting sqref="U20:W21">
    <cfRule type="cellIs" dxfId="598" priority="739" operator="equal">
      <formula>0</formula>
    </cfRule>
    <cfRule type="containsText" dxfId="597" priority="740" operator="containsText" text=".">
      <formula>NOT(ISERROR(SEARCH(".",U20)))</formula>
    </cfRule>
  </conditionalFormatting>
  <conditionalFormatting sqref="U29:W29">
    <cfRule type="containsText" dxfId="596" priority="1851" operator="containsText" text=".">
      <formula>NOT(ISERROR(SEARCH(".",U29)))</formula>
    </cfRule>
    <cfRule type="cellIs" dxfId="595" priority="1850" operator="equal">
      <formula>0</formula>
    </cfRule>
    <cfRule type="containsText" dxfId="594" priority="1847" operator="containsText" text="Off">
      <formula>NOT(ISERROR(SEARCH("Off",U29)))</formula>
    </cfRule>
    <cfRule type="beginsWith" dxfId="593" priority="1846" operator="beginsWith" text="SL">
      <formula>LEFT(U29,LEN("SL"))="SL"</formula>
    </cfRule>
    <cfRule type="containsText" dxfId="592" priority="1845" operator="containsText" text="AL ">
      <formula>NOT(ISERROR(SEARCH("AL ",U29)))</formula>
    </cfRule>
    <cfRule type="beginsWith" dxfId="591" priority="1844" operator="beginsWith" text="PH">
      <formula>LEFT(U29,LEN("PH"))="PH"</formula>
    </cfRule>
  </conditionalFormatting>
  <conditionalFormatting sqref="V10">
    <cfRule type="containsText" dxfId="590" priority="110" operator="containsText" text="AL ">
      <formula>NOT(ISERROR(SEARCH("AL ",V10)))</formula>
    </cfRule>
    <cfRule type="cellIs" dxfId="589" priority="112" operator="equal">
      <formula>0</formula>
    </cfRule>
    <cfRule type="beginsWith" dxfId="588" priority="111" operator="beginsWith" text="SL">
      <formula>LEFT(V10,LEN("SL"))="SL"</formula>
    </cfRule>
    <cfRule type="beginsWith" dxfId="587" priority="109" operator="beginsWith" text="PH">
      <formula>LEFT(V10,LEN("PH"))="PH"</formula>
    </cfRule>
  </conditionalFormatting>
  <conditionalFormatting sqref="V20:V21">
    <cfRule type="containsText" dxfId="586" priority="2123" operator="containsText" text="AL ">
      <formula>NOT(ISERROR(SEARCH("AL ",V20)))</formula>
    </cfRule>
    <cfRule type="beginsWith" dxfId="585" priority="2124" operator="beginsWith" text="SL">
      <formula>LEFT(V20,LEN("SL"))="SL"</formula>
    </cfRule>
    <cfRule type="containsText" dxfId="584" priority="2125" operator="containsText" text="Off">
      <formula>NOT(ISERROR(SEARCH("Off",V20)))</formula>
    </cfRule>
    <cfRule type="cellIs" dxfId="583" priority="2126" operator="equal">
      <formula>0</formula>
    </cfRule>
    <cfRule type="beginsWith" dxfId="582" priority="2259" operator="beginsWith" text="PH">
      <formula>LEFT(V20,LEN("PH"))="PH"</formula>
    </cfRule>
    <cfRule type="containsText" dxfId="581" priority="2260" operator="containsText" text="AL ">
      <formula>NOT(ISERROR(SEARCH("AL ",V20)))</formula>
    </cfRule>
    <cfRule type="beginsWith" dxfId="580" priority="2261" operator="beginsWith" text="SL">
      <formula>LEFT(V20,LEN("SL"))="SL"</formula>
    </cfRule>
    <cfRule type="containsText" dxfId="579" priority="2262" operator="containsText" text="Off">
      <formula>NOT(ISERROR(SEARCH("Off",V20)))</formula>
    </cfRule>
    <cfRule type="cellIs" dxfId="578" priority="2263" operator="equal">
      <formula>0</formula>
    </cfRule>
    <cfRule type="containsText" dxfId="577" priority="2264" operator="containsText" text=".">
      <formula>NOT(ISERROR(SEARCH(".",V20)))</formula>
    </cfRule>
    <cfRule type="beginsWith" dxfId="576" priority="2104" operator="beginsWith" text="SL">
      <formula>LEFT(V20,LEN("SL"))="SL"</formula>
    </cfRule>
    <cfRule type="beginsWith" dxfId="575" priority="2102" operator="beginsWith" text="PH">
      <formula>LEFT(V20,LEN("PH"))="PH"</formula>
    </cfRule>
    <cfRule type="containsText" dxfId="574" priority="2103" operator="containsText" text="AL ">
      <formula>NOT(ISERROR(SEARCH("AL ",V20)))</formula>
    </cfRule>
    <cfRule type="containsText" dxfId="573" priority="2105" operator="containsText" text="Off">
      <formula>NOT(ISERROR(SEARCH("Off",V20)))</formula>
    </cfRule>
    <cfRule type="cellIs" dxfId="572" priority="2106" operator="equal">
      <formula>0</formula>
    </cfRule>
    <cfRule type="beginsWith" dxfId="571" priority="2122" operator="beginsWith" text="PH">
      <formula>LEFT(V20,LEN("PH"))="PH"</formula>
    </cfRule>
  </conditionalFormatting>
  <conditionalFormatting sqref="V5:W5">
    <cfRule type="cellIs" dxfId="570" priority="1133" operator="equal">
      <formula>0</formula>
    </cfRule>
  </conditionalFormatting>
  <conditionalFormatting sqref="V10:W10">
    <cfRule type="beginsWith" dxfId="569" priority="320" operator="beginsWith" text="SL">
      <formula>LEFT(V10,LEN("SL"))="SL"</formula>
    </cfRule>
    <cfRule type="containsText" dxfId="568" priority="319" operator="containsText" text="AL ">
      <formula>NOT(ISERROR(SEARCH("AL ",V10)))</formula>
    </cfRule>
    <cfRule type="beginsWith" dxfId="567" priority="318" operator="beginsWith" text="PH">
      <formula>LEFT(V10,LEN("PH"))="PH"</formula>
    </cfRule>
  </conditionalFormatting>
  <conditionalFormatting sqref="V20:W21">
    <cfRule type="cellIs" dxfId="566" priority="2168" operator="equal">
      <formula>0</formula>
    </cfRule>
    <cfRule type="containsText" dxfId="565" priority="2167" operator="containsText" text="Off">
      <formula>NOT(ISERROR(SEARCH("Off",V20)))</formula>
    </cfRule>
    <cfRule type="beginsWith" dxfId="564" priority="2160" operator="beginsWith" text="SL">
      <formula>LEFT(V20,LEN("SL"))="SL"</formula>
    </cfRule>
    <cfRule type="containsText" dxfId="563" priority="2159" operator="containsText" text="AL ">
      <formula>NOT(ISERROR(SEARCH("AL ",V20)))</formula>
    </cfRule>
    <cfRule type="beginsWith" dxfId="562" priority="2158" operator="beginsWith" text="PH">
      <formula>LEFT(V20,LEN("PH"))="PH"</formula>
    </cfRule>
  </conditionalFormatting>
  <conditionalFormatting sqref="V10:AF10">
    <cfRule type="cellIs" dxfId="561" priority="321" operator="equal">
      <formula>0</formula>
    </cfRule>
  </conditionalFormatting>
  <conditionalFormatting sqref="V25:AF25">
    <cfRule type="cellIs" dxfId="560" priority="101" operator="equal">
      <formula>0</formula>
    </cfRule>
  </conditionalFormatting>
  <conditionalFormatting sqref="V36:AF36">
    <cfRule type="cellIs" dxfId="559" priority="562" operator="equal">
      <formula>0</formula>
    </cfRule>
  </conditionalFormatting>
  <conditionalFormatting sqref="W20:W21">
    <cfRule type="containsText" dxfId="558" priority="1367" operator="containsText" text="Off">
      <formula>NOT(ISERROR(SEARCH("Off",W20)))</formula>
    </cfRule>
    <cfRule type="containsText" dxfId="557" priority="2165" operator="containsText" text="AL ">
      <formula>NOT(ISERROR(SEARCH("AL ",W20)))</formula>
    </cfRule>
    <cfRule type="beginsWith" dxfId="556" priority="2164" operator="beginsWith" text="PH">
      <formula>LEFT(W20,LEN("PH"))="PH"</formula>
    </cfRule>
    <cfRule type="cellIs" dxfId="555" priority="2162" operator="equal">
      <formula>0</formula>
    </cfRule>
    <cfRule type="containsText" dxfId="554" priority="2163" operator="containsText" text=".">
      <formula>NOT(ISERROR(SEARCH(".",W20)))</formula>
    </cfRule>
    <cfRule type="beginsWith" dxfId="553" priority="2166" operator="beginsWith" text="SL">
      <formula>LEFT(W20,LEN("SL"))="SL"</formula>
    </cfRule>
    <cfRule type="cellIs" dxfId="552" priority="1368" operator="equal">
      <formula>0</formula>
    </cfRule>
    <cfRule type="containsText" dxfId="551" priority="2161" operator="containsText" text="Off">
      <formula>NOT(ISERROR(SEARCH("Off",W20)))</formula>
    </cfRule>
    <cfRule type="containsText" dxfId="550" priority="1369" operator="containsText" text=".">
      <formula>NOT(ISERROR(SEARCH(".",W20)))</formula>
    </cfRule>
    <cfRule type="beginsWith" dxfId="549" priority="1366" operator="beginsWith" text="SL">
      <formula>LEFT(W20,LEN("SL"))="SL"</formula>
    </cfRule>
    <cfRule type="containsText" dxfId="548" priority="1365" operator="containsText" text="AL ">
      <formula>NOT(ISERROR(SEARCH("AL ",W20)))</formula>
    </cfRule>
    <cfRule type="beginsWith" dxfId="547" priority="1364" operator="beginsWith" text="PH">
      <formula>LEFT(W20,LEN("PH"))="PH"</formula>
    </cfRule>
  </conditionalFormatting>
  <conditionalFormatting sqref="W29">
    <cfRule type="cellIs" dxfId="546" priority="1842" operator="equal">
      <formula>0</formula>
    </cfRule>
    <cfRule type="containsText" dxfId="545" priority="1843" operator="containsText" text=".">
      <formula>NOT(ISERROR(SEARCH(".",W29)))</formula>
    </cfRule>
    <cfRule type="containsText" dxfId="544" priority="409" operator="containsText" text="AL ">
      <formula>NOT(ISERROR(SEARCH("AL ",W29)))</formula>
    </cfRule>
    <cfRule type="beginsWith" dxfId="543" priority="410" operator="beginsWith" text="SL">
      <formula>LEFT(W29,LEN("SL"))="SL"</formula>
    </cfRule>
    <cfRule type="containsText" dxfId="542" priority="411" operator="containsText" text="Off">
      <formula>NOT(ISERROR(SEARCH("Off",W29)))</formula>
    </cfRule>
    <cfRule type="cellIs" dxfId="541" priority="412" operator="equal">
      <formula>0</formula>
    </cfRule>
    <cfRule type="cellIs" dxfId="540" priority="1848" operator="equal">
      <formula>0</formula>
    </cfRule>
    <cfRule type="containsText" dxfId="539" priority="1849" operator="containsText" text=".">
      <formula>NOT(ISERROR(SEARCH(".",W29)))</formula>
    </cfRule>
    <cfRule type="beginsWith" dxfId="538" priority="414" operator="beginsWith" text="PH">
      <formula>LEFT(W29,LEN("PH"))="PH"</formula>
    </cfRule>
    <cfRule type="containsText" dxfId="537" priority="1833" operator="containsText" text="Off">
      <formula>NOT(ISERROR(SEARCH("Off",W29)))</formula>
    </cfRule>
    <cfRule type="beginsWith" dxfId="536" priority="400" operator="beginsWith" text="PH">
      <formula>LEFT(W29,LEN("PH"))="PH"</formula>
    </cfRule>
    <cfRule type="containsText" dxfId="535" priority="399" operator="containsText" text=".">
      <formula>NOT(ISERROR(SEARCH(".",W29)))</formula>
    </cfRule>
    <cfRule type="cellIs" dxfId="534" priority="398" operator="equal">
      <formula>0</formula>
    </cfRule>
    <cfRule type="beginsWith" dxfId="533" priority="396" operator="beginsWith" text="SL">
      <formula>LEFT(W29,LEN("SL"))="SL"</formula>
    </cfRule>
    <cfRule type="containsText" dxfId="532" priority="397" operator="containsText" text="Off">
      <formula>NOT(ISERROR(SEARCH("Off",W29)))</formula>
    </cfRule>
    <cfRule type="beginsWith" dxfId="531" priority="1830" operator="beginsWith" text="PH">
      <formula>LEFT(W29,LEN("PH"))="PH"</formula>
    </cfRule>
    <cfRule type="containsText" dxfId="530" priority="1831" operator="containsText" text="AL ">
      <formula>NOT(ISERROR(SEARCH("AL ",W29)))</formula>
    </cfRule>
    <cfRule type="containsText" dxfId="529" priority="413" operator="containsText" text=".">
      <formula>NOT(ISERROR(SEARCH(".",W29)))</formula>
    </cfRule>
    <cfRule type="containsText" dxfId="528" priority="395" operator="containsText" text="AL ">
      <formula>NOT(ISERROR(SEARCH("AL ",W29)))</formula>
    </cfRule>
    <cfRule type="beginsWith" dxfId="527" priority="394" operator="beginsWith" text="PH">
      <formula>LEFT(W29,LEN("PH"))="PH"</formula>
    </cfRule>
    <cfRule type="beginsWith" dxfId="526" priority="1832" operator="beginsWith" text="SL">
      <formula>LEFT(W29,LEN("SL"))="SL"</formula>
    </cfRule>
    <cfRule type="cellIs" dxfId="525" priority="1834" operator="equal">
      <formula>0</formula>
    </cfRule>
    <cfRule type="containsText" dxfId="524" priority="1835" operator="containsText" text=".">
      <formula>NOT(ISERROR(SEARCH(".",W29)))</formula>
    </cfRule>
    <cfRule type="cellIs" dxfId="523" priority="1836" operator="equal">
      <formula>0</formula>
    </cfRule>
    <cfRule type="containsText" dxfId="522" priority="1837" operator="containsText" text=".">
      <formula>NOT(ISERROR(SEARCH(".",W29)))</formula>
    </cfRule>
    <cfRule type="beginsWith" dxfId="521" priority="1838" operator="beginsWith" text="PH">
      <formula>LEFT(W29,LEN("PH"))="PH"</formula>
    </cfRule>
    <cfRule type="containsText" dxfId="520" priority="421" operator="containsText" text=".">
      <formula>NOT(ISERROR(SEARCH(".",W29)))</formula>
    </cfRule>
    <cfRule type="containsText" dxfId="519" priority="419" operator="containsText" text=".">
      <formula>NOT(ISERROR(SEARCH(".",W29)))</formula>
    </cfRule>
    <cfRule type="cellIs" dxfId="518" priority="418" operator="equal">
      <formula>0</formula>
    </cfRule>
    <cfRule type="containsText" dxfId="517" priority="1839" operator="containsText" text="AL ">
      <formula>NOT(ISERROR(SEARCH("AL ",W29)))</formula>
    </cfRule>
    <cfRule type="beginsWith" dxfId="516" priority="1840" operator="beginsWith" text="SL">
      <formula>LEFT(W29,LEN("SL"))="SL"</formula>
    </cfRule>
    <cfRule type="containsText" dxfId="515" priority="1841" operator="containsText" text="Off">
      <formula>NOT(ISERROR(SEARCH("Off",W29)))</formula>
    </cfRule>
    <cfRule type="containsText" dxfId="514" priority="415" operator="containsText" text="AL ">
      <formula>NOT(ISERROR(SEARCH("AL ",W29)))</formula>
    </cfRule>
    <cfRule type="beginsWith" dxfId="513" priority="416" operator="beginsWith" text="SL">
      <formula>LEFT(W29,LEN("SL"))="SL"</formula>
    </cfRule>
    <cfRule type="beginsWith" dxfId="512" priority="408" operator="beginsWith" text="PH">
      <formula>LEFT(W29,LEN("PH"))="PH"</formula>
    </cfRule>
    <cfRule type="containsText" dxfId="511" priority="407" operator="containsText" text=".">
      <formula>NOT(ISERROR(SEARCH(".",W29)))</formula>
    </cfRule>
    <cfRule type="cellIs" dxfId="510" priority="406" operator="equal">
      <formula>0</formula>
    </cfRule>
    <cfRule type="containsText" dxfId="509" priority="405" operator="containsText" text=".">
      <formula>NOT(ISERROR(SEARCH(".",W29)))</formula>
    </cfRule>
    <cfRule type="cellIs" dxfId="508" priority="404" operator="equal">
      <formula>0</formula>
    </cfRule>
    <cfRule type="containsText" dxfId="507" priority="403" operator="containsText" text="Off">
      <formula>NOT(ISERROR(SEARCH("Off",W29)))</formula>
    </cfRule>
    <cfRule type="containsText" dxfId="506" priority="417" operator="containsText" text="Off">
      <formula>NOT(ISERROR(SEARCH("Off",W29)))</formula>
    </cfRule>
    <cfRule type="beginsWith" dxfId="505" priority="402" operator="beginsWith" text="SL">
      <formula>LEFT(W29,LEN("SL"))="SL"</formula>
    </cfRule>
    <cfRule type="containsText" dxfId="504" priority="401" operator="containsText" text="AL ">
      <formula>NOT(ISERROR(SEARCH("AL ",W29)))</formula>
    </cfRule>
  </conditionalFormatting>
  <conditionalFormatting sqref="W29:X29">
    <cfRule type="containsText" dxfId="503" priority="1819" operator="containsText" text="Off">
      <formula>NOT(ISERROR(SEARCH("Off",W29)))</formula>
    </cfRule>
    <cfRule type="beginsWith" dxfId="502" priority="1816" operator="beginsWith" text="PH">
      <formula>LEFT(W29,LEN("PH"))="PH"</formula>
    </cfRule>
    <cfRule type="cellIs" dxfId="501" priority="1822" operator="equal">
      <formula>0</formula>
    </cfRule>
    <cfRule type="containsText" dxfId="500" priority="1823" operator="containsText" text=".">
      <formula>NOT(ISERROR(SEARCH(".",W29)))</formula>
    </cfRule>
    <cfRule type="containsText" dxfId="499" priority="1817" operator="containsText" text="AL ">
      <formula>NOT(ISERROR(SEARCH("AL ",W29)))</formula>
    </cfRule>
    <cfRule type="beginsWith" dxfId="498" priority="1818" operator="beginsWith" text="SL">
      <formula>LEFT(W29,LEN("SL"))="SL"</formula>
    </cfRule>
  </conditionalFormatting>
  <conditionalFormatting sqref="X29">
    <cfRule type="cellIs" dxfId="497" priority="1820" operator="equal">
      <formula>0</formula>
    </cfRule>
    <cfRule type="containsText" dxfId="496" priority="1821" operator="containsText" text=".">
      <formula>NOT(ISERROR(SEARCH(".",X29)))</formula>
    </cfRule>
    <cfRule type="containsText" dxfId="495" priority="853" operator="containsText" text=".">
      <formula>NOT(ISERROR(SEARCH(".",X29)))</formula>
    </cfRule>
    <cfRule type="containsText" dxfId="494" priority="1811" operator="containsText" text="AL ">
      <formula>NOT(ISERROR(SEARCH("AL ",X29)))</formula>
    </cfRule>
    <cfRule type="beginsWith" dxfId="493" priority="1812" operator="beginsWith" text="SL">
      <formula>LEFT(X29,LEN("SL"))="SL"</formula>
    </cfRule>
    <cfRule type="containsText" dxfId="492" priority="1813" operator="containsText" text="Off">
      <formula>NOT(ISERROR(SEARCH("Off",X29)))</formula>
    </cfRule>
    <cfRule type="cellIs" dxfId="491" priority="1814" operator="equal">
      <formula>0</formula>
    </cfRule>
    <cfRule type="containsText" dxfId="490" priority="1815" operator="containsText" text=".">
      <formula>NOT(ISERROR(SEARCH(".",X29)))</formula>
    </cfRule>
    <cfRule type="beginsWith" dxfId="489" priority="846" operator="beginsWith" text="PH">
      <formula>LEFT(X29,LEN("PH"))="PH"</formula>
    </cfRule>
    <cfRule type="containsText" dxfId="488" priority="843" operator="containsText" text="Off">
      <formula>NOT(ISERROR(SEARCH("Off",X29)))</formula>
    </cfRule>
    <cfRule type="cellIs" dxfId="487" priority="844" operator="equal">
      <formula>0</formula>
    </cfRule>
    <cfRule type="containsText" dxfId="486" priority="845" operator="containsText" text=".">
      <formula>NOT(ISERROR(SEARCH(".",X29)))</formula>
    </cfRule>
    <cfRule type="containsText" dxfId="485" priority="829" operator="containsText" text="Off">
      <formula>NOT(ISERROR(SEARCH("Off",X29)))</formula>
    </cfRule>
    <cfRule type="containsText" dxfId="484" priority="847" operator="containsText" text="AL ">
      <formula>NOT(ISERROR(SEARCH("AL ",X29)))</formula>
    </cfRule>
    <cfRule type="beginsWith" dxfId="483" priority="848" operator="beginsWith" text="SL">
      <formula>LEFT(X29,LEN("SL"))="SL"</formula>
    </cfRule>
    <cfRule type="containsText" dxfId="482" priority="849" operator="containsText" text="Off">
      <formula>NOT(ISERROR(SEARCH("Off",X29)))</formula>
    </cfRule>
    <cfRule type="containsText" dxfId="481" priority="1807" operator="containsText" text=".">
      <formula>NOT(ISERROR(SEARCH(".",X29)))</formula>
    </cfRule>
    <cfRule type="cellIs" dxfId="480" priority="838" operator="equal">
      <formula>0</formula>
    </cfRule>
    <cfRule type="containsText" dxfId="479" priority="851" operator="containsText" text=".">
      <formula>NOT(ISERROR(SEARCH(".",X29)))</formula>
    </cfRule>
    <cfRule type="beginsWith" dxfId="478" priority="1802" operator="beginsWith" text="PH">
      <formula>LEFT(X29,LEN("PH"))="PH"</formula>
    </cfRule>
    <cfRule type="cellIs" dxfId="477" priority="852" operator="equal">
      <formula>0</formula>
    </cfRule>
    <cfRule type="beginsWith" dxfId="476" priority="826" operator="beginsWith" text="PH">
      <formula>LEFT(X29,LEN("PH"))="PH"</formula>
    </cfRule>
    <cfRule type="containsText" dxfId="475" priority="827" operator="containsText" text="AL ">
      <formula>NOT(ISERROR(SEARCH("AL ",X29)))</formula>
    </cfRule>
    <cfRule type="beginsWith" dxfId="474" priority="828" operator="beginsWith" text="SL">
      <formula>LEFT(X29,LEN("SL"))="SL"</formula>
    </cfRule>
    <cfRule type="containsText" dxfId="473" priority="1803" operator="containsText" text="AL ">
      <formula>NOT(ISERROR(SEARCH("AL ",X29)))</formula>
    </cfRule>
    <cfRule type="cellIs" dxfId="472" priority="830" operator="equal">
      <formula>0</formula>
    </cfRule>
    <cfRule type="containsText" dxfId="471" priority="831" operator="containsText" text=".">
      <formula>NOT(ISERROR(SEARCH(".",X29)))</formula>
    </cfRule>
    <cfRule type="beginsWith" dxfId="470" priority="832" operator="beginsWith" text="PH">
      <formula>LEFT(X29,LEN("PH"))="PH"</formula>
    </cfRule>
    <cfRule type="containsText" dxfId="469" priority="833" operator="containsText" text="AL ">
      <formula>NOT(ISERROR(SEARCH("AL ",X29)))</formula>
    </cfRule>
    <cfRule type="beginsWith" dxfId="468" priority="834" operator="beginsWith" text="SL">
      <formula>LEFT(X29,LEN("SL"))="SL"</formula>
    </cfRule>
    <cfRule type="containsText" dxfId="467" priority="835" operator="containsText" text="Off">
      <formula>NOT(ISERROR(SEARCH("Off",X29)))</formula>
    </cfRule>
    <cfRule type="cellIs" dxfId="466" priority="836" operator="equal">
      <formula>0</formula>
    </cfRule>
    <cfRule type="containsText" dxfId="465" priority="837" operator="containsText" text=".">
      <formula>NOT(ISERROR(SEARCH(".",X29)))</formula>
    </cfRule>
    <cfRule type="beginsWith" dxfId="464" priority="1804" operator="beginsWith" text="SL">
      <formula>LEFT(X29,LEN("SL"))="SL"</formula>
    </cfRule>
    <cfRule type="containsText" dxfId="463" priority="839" operator="containsText" text=".">
      <formula>NOT(ISERROR(SEARCH(".",X29)))</formula>
    </cfRule>
    <cfRule type="beginsWith" dxfId="462" priority="840" operator="beginsWith" text="PH">
      <formula>LEFT(X29,LEN("PH"))="PH"</formula>
    </cfRule>
    <cfRule type="containsText" dxfId="461" priority="841" operator="containsText" text="AL ">
      <formula>NOT(ISERROR(SEARCH("AL ",X29)))</formula>
    </cfRule>
    <cfRule type="beginsWith" dxfId="460" priority="842" operator="beginsWith" text="SL">
      <formula>LEFT(X29,LEN("SL"))="SL"</formula>
    </cfRule>
    <cfRule type="containsText" dxfId="459" priority="1805" operator="containsText" text="Off">
      <formula>NOT(ISERROR(SEARCH("Off",X29)))</formula>
    </cfRule>
    <cfRule type="cellIs" dxfId="458" priority="1806" operator="equal">
      <formula>0</formula>
    </cfRule>
    <cfRule type="cellIs" dxfId="457" priority="850" operator="equal">
      <formula>0</formula>
    </cfRule>
    <cfRule type="cellIs" dxfId="456" priority="1808" operator="equal">
      <formula>0</formula>
    </cfRule>
    <cfRule type="containsText" dxfId="455" priority="1809" operator="containsText" text=".">
      <formula>NOT(ISERROR(SEARCH(".",X29)))</formula>
    </cfRule>
    <cfRule type="beginsWith" dxfId="454" priority="1810" operator="beginsWith" text="PH">
      <formula>LEFT(X29,LEN("PH"))="PH"</formula>
    </cfRule>
  </conditionalFormatting>
  <conditionalFormatting sqref="X20:Y21">
    <cfRule type="cellIs" dxfId="453" priority="1218" operator="equal">
      <formula>0</formula>
    </cfRule>
  </conditionalFormatting>
  <conditionalFormatting sqref="X29:Y29">
    <cfRule type="containsText" dxfId="452" priority="1789" operator="containsText" text="AL ">
      <formula>NOT(ISERROR(SEARCH("AL ",X29)))</formula>
    </cfRule>
    <cfRule type="beginsWith" dxfId="451" priority="1790" operator="beginsWith" text="SL">
      <formula>LEFT(X29,LEN("SL"))="SL"</formula>
    </cfRule>
    <cfRule type="containsText" dxfId="450" priority="1791" operator="containsText" text="Off">
      <formula>NOT(ISERROR(SEARCH("Off",X29)))</formula>
    </cfRule>
    <cfRule type="cellIs" dxfId="449" priority="1794" operator="equal">
      <formula>0</formula>
    </cfRule>
    <cfRule type="containsText" dxfId="448" priority="1795" operator="containsText" text=".">
      <formula>NOT(ISERROR(SEARCH(".",X29)))</formula>
    </cfRule>
    <cfRule type="beginsWith" dxfId="447" priority="1788" operator="beginsWith" text="PH">
      <formula>LEFT(X29,LEN("PH"))="PH"</formula>
    </cfRule>
  </conditionalFormatting>
  <conditionalFormatting sqref="X10:AF10">
    <cfRule type="beginsWith" dxfId="446" priority="441" operator="beginsWith" text="PH">
      <formula>LEFT(X10,LEN("PH"))="PH"</formula>
    </cfRule>
    <cfRule type="containsText" dxfId="445" priority="442" operator="containsText" text="AL ">
      <formula>NOT(ISERROR(SEARCH("AL ",X10)))</formula>
    </cfRule>
    <cfRule type="beginsWith" dxfId="444" priority="443" operator="beginsWith" text="SL">
      <formula>LEFT(X10,LEN("SL"))="SL"</formula>
    </cfRule>
  </conditionalFormatting>
  <conditionalFormatting sqref="Y20:Y21">
    <cfRule type="containsText" dxfId="443" priority="1067" operator="containsText" text="Off">
      <formula>NOT(ISERROR(SEARCH("Off",Y20)))</formula>
    </cfRule>
    <cfRule type="containsText" dxfId="442" priority="1065" operator="containsText" text="AL ">
      <formula>NOT(ISERROR(SEARCH("AL ",Y20)))</formula>
    </cfRule>
    <cfRule type="beginsWith" dxfId="441" priority="1064" operator="beginsWith" text="PH">
      <formula>LEFT(Y20,LEN("PH"))="PH"</formula>
    </cfRule>
    <cfRule type="cellIs" dxfId="440" priority="1063" operator="equal">
      <formula>0</formula>
    </cfRule>
    <cfRule type="beginsWith" dxfId="439" priority="1069" operator="beginsWith" text="PH">
      <formula>LEFT(Y20,LEN("PH"))="PH"</formula>
    </cfRule>
    <cfRule type="containsText" dxfId="438" priority="1057" operator="containsText" text="Off">
      <formula>NOT(ISERROR(SEARCH("Off",Y20)))</formula>
    </cfRule>
    <cfRule type="beginsWith" dxfId="437" priority="1066" operator="beginsWith" text="SL">
      <formula>LEFT(Y20,LEN("SL"))="SL"</formula>
    </cfRule>
    <cfRule type="containsText" dxfId="436" priority="1215" operator="containsText" text="AL ">
      <formula>NOT(ISERROR(SEARCH("AL ",Y20)))</formula>
    </cfRule>
    <cfRule type="cellIs" dxfId="435" priority="1058" operator="equal">
      <formula>0</formula>
    </cfRule>
    <cfRule type="beginsWith" dxfId="434" priority="1202" operator="beginsWith" text="PH">
      <formula>LEFT(Y20,LEN("PH"))="PH"</formula>
    </cfRule>
    <cfRule type="containsText" dxfId="433" priority="1203" operator="containsText" text="AL ">
      <formula>NOT(ISERROR(SEARCH("AL ",Y20)))</formula>
    </cfRule>
    <cfRule type="beginsWith" dxfId="432" priority="1204" operator="beginsWith" text="SL">
      <formula>LEFT(Y20,LEN("SL"))="SL"</formula>
    </cfRule>
    <cfRule type="containsText" dxfId="431" priority="1205" operator="containsText" text="Off">
      <formula>NOT(ISERROR(SEARCH("Off",Y20)))</formula>
    </cfRule>
    <cfRule type="cellIs" dxfId="430" priority="1206" operator="equal">
      <formula>0</formula>
    </cfRule>
    <cfRule type="containsText" dxfId="429" priority="1207" operator="containsText" text=".">
      <formula>NOT(ISERROR(SEARCH(".",Y20)))</formula>
    </cfRule>
    <cfRule type="beginsWith" dxfId="428" priority="1208" operator="beginsWith" text="PH">
      <formula>LEFT(Y20,LEN("PH"))="PH"</formula>
    </cfRule>
    <cfRule type="containsText" dxfId="427" priority="1209" operator="containsText" text="AL ">
      <formula>NOT(ISERROR(SEARCH("AL ",Y20)))</formula>
    </cfRule>
    <cfRule type="beginsWith" dxfId="426" priority="1210" operator="beginsWith" text="SL">
      <formula>LEFT(Y20,LEN("SL"))="SL"</formula>
    </cfRule>
    <cfRule type="containsText" dxfId="425" priority="1211" operator="containsText" text="Off">
      <formula>NOT(ISERROR(SEARCH("Off",Y20)))</formula>
    </cfRule>
    <cfRule type="beginsWith" dxfId="424" priority="1061" operator="beginsWith" text="SL">
      <formula>LEFT(Y20,LEN("SL"))="SL"</formula>
    </cfRule>
    <cfRule type="containsText" dxfId="423" priority="1074" operator="containsText" text=".">
      <formula>NOT(ISERROR(SEARCH(".",Y20)))</formula>
    </cfRule>
    <cfRule type="cellIs" dxfId="422" priority="1073" operator="equal">
      <formula>0</formula>
    </cfRule>
    <cfRule type="containsText" dxfId="421" priority="1062" operator="containsText" text="Off">
      <formula>NOT(ISERROR(SEARCH("Off",Y20)))</formula>
    </cfRule>
    <cfRule type="containsText" dxfId="420" priority="1213" operator="containsText" text=".">
      <formula>NOT(ISERROR(SEARCH(".",Y20)))</formula>
    </cfRule>
    <cfRule type="containsText" dxfId="419" priority="1072" operator="containsText" text="Off">
      <formula>NOT(ISERROR(SEARCH("Off",Y20)))</formula>
    </cfRule>
    <cfRule type="beginsWith" dxfId="418" priority="1071" operator="beginsWith" text="SL">
      <formula>LEFT(Y20,LEN("SL"))="SL"</formula>
    </cfRule>
    <cfRule type="beginsWith" dxfId="417" priority="1214" operator="beginsWith" text="PH">
      <formula>LEFT(Y20,LEN("PH"))="PH"</formula>
    </cfRule>
    <cfRule type="beginsWith" dxfId="416" priority="1216" operator="beginsWith" text="SL">
      <formula>LEFT(Y20,LEN("SL"))="SL"</formula>
    </cfRule>
    <cfRule type="cellIs" dxfId="415" priority="1212" operator="equal">
      <formula>0</formula>
    </cfRule>
    <cfRule type="containsText" dxfId="414" priority="1217" operator="containsText" text="Off">
      <formula>NOT(ISERROR(SEARCH("Off",Y20)))</formula>
    </cfRule>
    <cfRule type="cellIs" dxfId="413" priority="934" operator="equal">
      <formula>0</formula>
    </cfRule>
    <cfRule type="containsText" dxfId="412" priority="1070" operator="containsText" text="AL ">
      <formula>NOT(ISERROR(SEARCH("AL ",Y20)))</formula>
    </cfRule>
    <cfRule type="beginsWith" dxfId="411" priority="932" operator="beginsWith" text="SL">
      <formula>LEFT(Y20,LEN("SL"))="SL"</formula>
    </cfRule>
    <cfRule type="containsText" dxfId="410" priority="931" operator="containsText" text="AL ">
      <formula>NOT(ISERROR(SEARCH("AL ",Y20)))</formula>
    </cfRule>
    <cfRule type="beginsWith" dxfId="409" priority="930" operator="beginsWith" text="PH">
      <formula>LEFT(Y20,LEN("PH"))="PH"</formula>
    </cfRule>
    <cfRule type="containsText" dxfId="408" priority="929" operator="containsText" text=".">
      <formula>NOT(ISERROR(SEARCH(".",Y20)))</formula>
    </cfRule>
    <cfRule type="cellIs" dxfId="407" priority="928" operator="equal">
      <formula>0</formula>
    </cfRule>
    <cfRule type="beginsWith" dxfId="406" priority="1059" operator="beginsWith" text="PH">
      <formula>LEFT(Y20,LEN("PH"))="PH"</formula>
    </cfRule>
    <cfRule type="containsText" dxfId="405" priority="1060" operator="containsText" text="AL ">
      <formula>NOT(ISERROR(SEARCH("AL ",Y20)))</formula>
    </cfRule>
    <cfRule type="cellIs" dxfId="404" priority="1068" operator="equal">
      <formula>0</formula>
    </cfRule>
    <cfRule type="beginsWith" dxfId="403" priority="1054" operator="beginsWith" text="PH">
      <formula>LEFT(Y20,LEN("PH"))="PH"</formula>
    </cfRule>
    <cfRule type="containsText" dxfId="402" priority="1055" operator="containsText" text="AL ">
      <formula>NOT(ISERROR(SEARCH("AL ",Y20)))</formula>
    </cfRule>
    <cfRule type="beginsWith" dxfId="401" priority="1056" operator="beginsWith" text="SL">
      <formula>LEFT(Y20,LEN("SL"))="SL"</formula>
    </cfRule>
    <cfRule type="containsText" dxfId="400" priority="933" operator="containsText" text="Off">
      <formula>NOT(ISERROR(SEARCH("Off",Y20)))</formula>
    </cfRule>
  </conditionalFormatting>
  <conditionalFormatting sqref="Y29">
    <cfRule type="cellIs" dxfId="399" priority="1475" operator="equal">
      <formula>0</formula>
    </cfRule>
    <cfRule type="containsText" dxfId="398" priority="1474" operator="containsText" text="Off">
      <formula>NOT(ISERROR(SEARCH("Off",Y29)))</formula>
    </cfRule>
    <cfRule type="beginsWith" dxfId="397" priority="1473" operator="beginsWith" text="SL">
      <formula>LEFT(Y29,LEN("SL"))="SL"</formula>
    </cfRule>
    <cfRule type="containsText" dxfId="396" priority="1472" operator="containsText" text="AL ">
      <formula>NOT(ISERROR(SEARCH("AL ",Y29)))</formula>
    </cfRule>
    <cfRule type="beginsWith" dxfId="395" priority="1471" operator="beginsWith" text="PH">
      <formula>LEFT(Y29,LEN("PH"))="PH"</formula>
    </cfRule>
    <cfRule type="containsText" dxfId="394" priority="1470" operator="containsText" text=".">
      <formula>NOT(ISERROR(SEARCH(".",Y29)))</formula>
    </cfRule>
    <cfRule type="cellIs" dxfId="393" priority="1469" operator="equal">
      <formula>0</formula>
    </cfRule>
    <cfRule type="containsText" dxfId="392" priority="1468" operator="containsText" text=".">
      <formula>NOT(ISERROR(SEARCH(".",Y29)))</formula>
    </cfRule>
    <cfRule type="cellIs" dxfId="391" priority="1467" operator="equal">
      <formula>0</formula>
    </cfRule>
    <cfRule type="containsText" dxfId="390" priority="1466" operator="containsText" text="Off">
      <formula>NOT(ISERROR(SEARCH("Off",Y29)))</formula>
    </cfRule>
    <cfRule type="beginsWith" dxfId="389" priority="1465" operator="beginsWith" text="SL">
      <formula>LEFT(Y29,LEN("SL"))="SL"</formula>
    </cfRule>
    <cfRule type="containsText" dxfId="388" priority="1464" operator="containsText" text="AL ">
      <formula>NOT(ISERROR(SEARCH("AL ",Y29)))</formula>
    </cfRule>
    <cfRule type="beginsWith" dxfId="387" priority="1463" operator="beginsWith" text="PH">
      <formula>LEFT(Y29,LEN("PH"))="PH"</formula>
    </cfRule>
    <cfRule type="containsText" dxfId="386" priority="1462" operator="containsText" text=".">
      <formula>NOT(ISERROR(SEARCH(".",Y29)))</formula>
    </cfRule>
    <cfRule type="cellIs" dxfId="385" priority="1461" operator="equal">
      <formula>0</formula>
    </cfRule>
    <cfRule type="containsText" dxfId="384" priority="1460" operator="containsText" text="Off">
      <formula>NOT(ISERROR(SEARCH("Off",Y29)))</formula>
    </cfRule>
    <cfRule type="beginsWith" dxfId="383" priority="1459" operator="beginsWith" text="SL">
      <formula>LEFT(Y29,LEN("SL"))="SL"</formula>
    </cfRule>
    <cfRule type="containsText" dxfId="382" priority="1458" operator="containsText" text="AL ">
      <formula>NOT(ISERROR(SEARCH("AL ",Y29)))</formula>
    </cfRule>
    <cfRule type="beginsWith" dxfId="381" priority="1457" operator="beginsWith" text="PH">
      <formula>LEFT(Y29,LEN("PH"))="PH"</formula>
    </cfRule>
    <cfRule type="containsText" dxfId="380" priority="1456" operator="containsText" text=".">
      <formula>NOT(ISERROR(SEARCH(".",Y29)))</formula>
    </cfRule>
    <cfRule type="cellIs" dxfId="379" priority="1455" operator="equal">
      <formula>0</formula>
    </cfRule>
    <cfRule type="containsText" dxfId="378" priority="1454" operator="containsText" text=".">
      <formula>NOT(ISERROR(SEARCH(".",Y29)))</formula>
    </cfRule>
    <cfRule type="cellIs" dxfId="377" priority="1453" operator="equal">
      <formula>0</formula>
    </cfRule>
    <cfRule type="containsText" dxfId="376" priority="1452" operator="containsText" text="Off">
      <formula>NOT(ISERROR(SEARCH("Off",Y29)))</formula>
    </cfRule>
    <cfRule type="beginsWith" dxfId="375" priority="1451" operator="beginsWith" text="SL">
      <formula>LEFT(Y29,LEN("SL"))="SL"</formula>
    </cfRule>
    <cfRule type="containsText" dxfId="374" priority="1450" operator="containsText" text="AL ">
      <formula>NOT(ISERROR(SEARCH("AL ",Y29)))</formula>
    </cfRule>
    <cfRule type="beginsWith" dxfId="373" priority="1449" operator="beginsWith" text="PH">
      <formula>LEFT(Y29,LEN("PH"))="PH"</formula>
    </cfRule>
    <cfRule type="beginsWith" dxfId="372" priority="1493" operator="beginsWith" text="SL">
      <formula>LEFT(Y29,LEN("SL"))="SL"</formula>
    </cfRule>
    <cfRule type="containsText" dxfId="371" priority="1492" operator="containsText" text="AL ">
      <formula>NOT(ISERROR(SEARCH("AL ",Y29)))</formula>
    </cfRule>
    <cfRule type="beginsWith" dxfId="370" priority="1491" operator="beginsWith" text="PH">
      <formula>LEFT(Y29,LEN("PH"))="PH"</formula>
    </cfRule>
    <cfRule type="containsText" dxfId="369" priority="1490" operator="containsText" text=".">
      <formula>NOT(ISERROR(SEARCH(".",Y29)))</formula>
    </cfRule>
    <cfRule type="cellIs" dxfId="368" priority="1489" operator="equal">
      <formula>0</formula>
    </cfRule>
    <cfRule type="containsText" dxfId="367" priority="1488" operator="containsText" text="Off">
      <formula>NOT(ISERROR(SEARCH("Off",Y29)))</formula>
    </cfRule>
    <cfRule type="containsText" dxfId="366" priority="1448" operator="containsText" text=".">
      <formula>NOT(ISERROR(SEARCH(".",Y29)))</formula>
    </cfRule>
    <cfRule type="cellIs" dxfId="365" priority="1447" operator="equal">
      <formula>0</formula>
    </cfRule>
    <cfRule type="containsText" dxfId="364" priority="1446" operator="containsText" text="Off">
      <formula>NOT(ISERROR(SEARCH("Off",Y29)))</formula>
    </cfRule>
    <cfRule type="beginsWith" dxfId="363" priority="1445" operator="beginsWith" text="SL">
      <formula>LEFT(Y29,LEN("SL"))="SL"</formula>
    </cfRule>
    <cfRule type="containsText" dxfId="362" priority="1444" operator="containsText" text="AL ">
      <formula>NOT(ISERROR(SEARCH("AL ",Y29)))</formula>
    </cfRule>
    <cfRule type="beginsWith" dxfId="361" priority="1443" operator="beginsWith" text="PH">
      <formula>LEFT(Y29,LEN("PH"))="PH"</formula>
    </cfRule>
    <cfRule type="beginsWith" dxfId="360" priority="1487" operator="beginsWith" text="SL">
      <formula>LEFT(Y29,LEN("SL"))="SL"</formula>
    </cfRule>
    <cfRule type="containsText" dxfId="359" priority="1486" operator="containsText" text="AL ">
      <formula>NOT(ISERROR(SEARCH("AL ",Y29)))</formula>
    </cfRule>
    <cfRule type="containsText" dxfId="358" priority="1484" operator="containsText" text=".">
      <formula>NOT(ISERROR(SEARCH(".",Y29)))</formula>
    </cfRule>
    <cfRule type="cellIs" dxfId="357" priority="1483" operator="equal">
      <formula>0</formula>
    </cfRule>
    <cfRule type="containsText" dxfId="356" priority="1482" operator="containsText" text=".">
      <formula>NOT(ISERROR(SEARCH(".",Y29)))</formula>
    </cfRule>
    <cfRule type="cellIs" dxfId="355" priority="1481" operator="equal">
      <formula>0</formula>
    </cfRule>
    <cfRule type="containsText" dxfId="354" priority="1480" operator="containsText" text="Off">
      <formula>NOT(ISERROR(SEARCH("Off",Y29)))</formula>
    </cfRule>
    <cfRule type="beginsWith" dxfId="353" priority="1479" operator="beginsWith" text="SL">
      <formula>LEFT(Y29,LEN("SL"))="SL"</formula>
    </cfRule>
    <cfRule type="containsText" dxfId="352" priority="1478" operator="containsText" text="AL ">
      <formula>NOT(ISERROR(SEARCH("AL ",Y29)))</formula>
    </cfRule>
    <cfRule type="beginsWith" dxfId="351" priority="1477" operator="beginsWith" text="PH">
      <formula>LEFT(Y29,LEN("PH"))="PH"</formula>
    </cfRule>
    <cfRule type="beginsWith" dxfId="350" priority="1774" operator="beginsWith" text="PH">
      <formula>LEFT(Y29,LEN("PH"))="PH"</formula>
    </cfRule>
    <cfRule type="containsText" dxfId="349" priority="1775" operator="containsText" text="AL ">
      <formula>NOT(ISERROR(SEARCH("AL ",Y29)))</formula>
    </cfRule>
    <cfRule type="beginsWith" dxfId="348" priority="1776" operator="beginsWith" text="SL">
      <formula>LEFT(Y29,LEN("SL"))="SL"</formula>
    </cfRule>
    <cfRule type="containsText" dxfId="347" priority="1777" operator="containsText" text="Off">
      <formula>NOT(ISERROR(SEARCH("Off",Y29)))</formula>
    </cfRule>
    <cfRule type="cellIs" dxfId="346" priority="1778" operator="equal">
      <formula>0</formula>
    </cfRule>
    <cfRule type="containsText" dxfId="345" priority="1476" operator="containsText" text=".">
      <formula>NOT(ISERROR(SEARCH(".",Y29)))</formula>
    </cfRule>
    <cfRule type="containsText" dxfId="344" priority="1779" operator="containsText" text=".">
      <formula>NOT(ISERROR(SEARCH(".",Y29)))</formula>
    </cfRule>
    <cfRule type="cellIs" dxfId="343" priority="1780" operator="equal">
      <formula>0</formula>
    </cfRule>
    <cfRule type="containsText" dxfId="342" priority="1781" operator="containsText" text=".">
      <formula>NOT(ISERROR(SEARCH(".",Y29)))</formula>
    </cfRule>
    <cfRule type="beginsWith" dxfId="341" priority="1782" operator="beginsWith" text="PH">
      <formula>LEFT(Y29,LEN("PH"))="PH"</formula>
    </cfRule>
    <cfRule type="containsText" dxfId="340" priority="1783" operator="containsText" text="AL ">
      <formula>NOT(ISERROR(SEARCH("AL ",Y29)))</formula>
    </cfRule>
    <cfRule type="beginsWith" dxfId="339" priority="1784" operator="beginsWith" text="SL">
      <formula>LEFT(Y29,LEN("SL"))="SL"</formula>
    </cfRule>
    <cfRule type="containsText" dxfId="338" priority="1785" operator="containsText" text="Off">
      <formula>NOT(ISERROR(SEARCH("Off",Y29)))</formula>
    </cfRule>
    <cfRule type="cellIs" dxfId="337" priority="1786" operator="equal">
      <formula>0</formula>
    </cfRule>
    <cfRule type="containsText" dxfId="336" priority="1787" operator="containsText" text=".">
      <formula>NOT(ISERROR(SEARCH(".",Y29)))</formula>
    </cfRule>
    <cfRule type="cellIs" dxfId="335" priority="1792" operator="equal">
      <formula>0</formula>
    </cfRule>
    <cfRule type="containsText" dxfId="334" priority="1793" operator="containsText" text=".">
      <formula>NOT(ISERROR(SEARCH(".",Y29)))</formula>
    </cfRule>
    <cfRule type="containsText" dxfId="333" priority="1496" operator="containsText" text=".">
      <formula>NOT(ISERROR(SEARCH(".",Y29)))</formula>
    </cfRule>
    <cfRule type="beginsWith" dxfId="332" priority="1485" operator="beginsWith" text="PH">
      <formula>LEFT(Y29,LEN("PH"))="PH"</formula>
    </cfRule>
    <cfRule type="cellIs" dxfId="331" priority="1497" operator="equal">
      <formula>0</formula>
    </cfRule>
    <cfRule type="containsText" dxfId="330" priority="1498" operator="containsText" text=".">
      <formula>NOT(ISERROR(SEARCH(".",Y29)))</formula>
    </cfRule>
    <cfRule type="cellIs" dxfId="329" priority="1495" operator="equal">
      <formula>0</formula>
    </cfRule>
    <cfRule type="containsText" dxfId="328" priority="1494" operator="containsText" text="Off">
      <formula>NOT(ISERROR(SEARCH("Off",Y29)))</formula>
    </cfRule>
  </conditionalFormatting>
  <conditionalFormatting sqref="Y20:Z21">
    <cfRule type="beginsWith" dxfId="327" priority="1219" operator="beginsWith" text="PH">
      <formula>LEFT(Y20,LEN("PH"))="PH"</formula>
    </cfRule>
    <cfRule type="containsText" dxfId="326" priority="1220" operator="containsText" text="AL ">
      <formula>NOT(ISERROR(SEARCH("AL ",Y20)))</formula>
    </cfRule>
    <cfRule type="containsText" dxfId="325" priority="922" operator="containsText" text="Off">
      <formula>NOT(ISERROR(SEARCH("Off",Y20)))</formula>
    </cfRule>
    <cfRule type="containsText" dxfId="324" priority="920" operator="containsText" text="AL ">
      <formula>NOT(ISERROR(SEARCH("AL ",Y20)))</formula>
    </cfRule>
    <cfRule type="containsText" dxfId="323" priority="1222" operator="containsText" text="Off">
      <formula>NOT(ISERROR(SEARCH("Off",Y20)))</formula>
    </cfRule>
    <cfRule type="beginsWith" dxfId="322" priority="1221" operator="beginsWith" text="SL">
      <formula>LEFT(Y20,LEN("SL"))="SL"</formula>
    </cfRule>
    <cfRule type="beginsWith" dxfId="321" priority="919" operator="beginsWith" text="PH">
      <formula>LEFT(Y20,LEN("PH"))="PH"</formula>
    </cfRule>
    <cfRule type="beginsWith" dxfId="320" priority="921" operator="beginsWith" text="SL">
      <formula>LEFT(Y20,LEN("SL"))="SL"</formula>
    </cfRule>
  </conditionalFormatting>
  <conditionalFormatting sqref="Y29:Z29">
    <cfRule type="containsText" dxfId="319" priority="1761" operator="containsText" text="AL ">
      <formula>NOT(ISERROR(SEARCH("AL ",Y29)))</formula>
    </cfRule>
    <cfRule type="beginsWith" dxfId="318" priority="1760" operator="beginsWith" text="PH">
      <formula>LEFT(Y29,LEN("PH"))="PH"</formula>
    </cfRule>
    <cfRule type="containsText" dxfId="317" priority="1767" operator="containsText" text=".">
      <formula>NOT(ISERROR(SEARCH(".",Y29)))</formula>
    </cfRule>
    <cfRule type="cellIs" dxfId="316" priority="1766" operator="equal">
      <formula>0</formula>
    </cfRule>
    <cfRule type="containsText" dxfId="315" priority="1763" operator="containsText" text="Off">
      <formula>NOT(ISERROR(SEARCH("Off",Y29)))</formula>
    </cfRule>
    <cfRule type="beginsWith" dxfId="314" priority="1762" operator="beginsWith" text="SL">
      <formula>LEFT(Y29,LEN("SL"))="SL"</formula>
    </cfRule>
  </conditionalFormatting>
  <conditionalFormatting sqref="Z20:Z21">
    <cfRule type="beginsWith" dxfId="313" priority="1626" operator="beginsWith" text="PH">
      <formula>LEFT(Z20,LEN("PH"))="PH"</formula>
    </cfRule>
    <cfRule type="containsText" dxfId="312" priority="1627" operator="containsText" text="AL ">
      <formula>NOT(ISERROR(SEARCH("AL ",Z20)))</formula>
    </cfRule>
    <cfRule type="beginsWith" dxfId="311" priority="1628" operator="beginsWith" text="SL">
      <formula>LEFT(Z20,LEN("SL"))="SL"</formula>
    </cfRule>
    <cfRule type="containsText" dxfId="310" priority="1629" operator="containsText" text="Off">
      <formula>NOT(ISERROR(SEARCH("Off",Z20)))</formula>
    </cfRule>
    <cfRule type="cellIs" dxfId="309" priority="1630" operator="equal">
      <formula>0</formula>
    </cfRule>
    <cfRule type="beginsWith" dxfId="308" priority="1631" operator="beginsWith" text="PH">
      <formula>LEFT(Z20,LEN("PH"))="PH"</formula>
    </cfRule>
    <cfRule type="containsText" dxfId="307" priority="1632" operator="containsText" text="AL ">
      <formula>NOT(ISERROR(SEARCH("AL ",Z20)))</formula>
    </cfRule>
    <cfRule type="beginsWith" dxfId="306" priority="1633" operator="beginsWith" text="SL">
      <formula>LEFT(Z20,LEN("SL"))="SL"</formula>
    </cfRule>
    <cfRule type="containsText" dxfId="305" priority="1634" operator="containsText" text="Off">
      <formula>NOT(ISERROR(SEARCH("Off",Z20)))</formula>
    </cfRule>
    <cfRule type="cellIs" dxfId="304" priority="1635" operator="equal">
      <formula>0</formula>
    </cfRule>
    <cfRule type="containsText" dxfId="303" priority="918" operator="containsText" text=".">
      <formula>NOT(ISERROR(SEARCH(".",Z20)))</formula>
    </cfRule>
  </conditionalFormatting>
  <conditionalFormatting sqref="Z20:Z22">
    <cfRule type="cellIs" dxfId="302" priority="28" operator="equal">
      <formula>0</formula>
    </cfRule>
  </conditionalFormatting>
  <conditionalFormatting sqref="Z29">
    <cfRule type="containsText" dxfId="301" priority="1759" operator="containsText" text=".">
      <formula>NOT(ISERROR(SEARCH(".",Z29)))</formula>
    </cfRule>
    <cfRule type="beginsWith" dxfId="300" priority="44" operator="beginsWith" text="PH">
      <formula>LEFT(Z29,LEN("PH"))="PH"</formula>
    </cfRule>
    <cfRule type="containsText" dxfId="299" priority="45" operator="containsText" text="AL ">
      <formula>NOT(ISERROR(SEARCH("AL ",Z29)))</formula>
    </cfRule>
    <cfRule type="beginsWith" dxfId="298" priority="46" operator="beginsWith" text="SL">
      <formula>LEFT(Z29,LEN("SL"))="SL"</formula>
    </cfRule>
    <cfRule type="containsText" dxfId="297" priority="47" operator="containsText" text="Off">
      <formula>NOT(ISERROR(SEARCH("Off",Z29)))</formula>
    </cfRule>
    <cfRule type="cellIs" dxfId="296" priority="48" operator="equal">
      <formula>0</formula>
    </cfRule>
    <cfRule type="containsText" dxfId="295" priority="49" operator="containsText" text=".">
      <formula>NOT(ISERROR(SEARCH(".",Z29)))</formula>
    </cfRule>
    <cfRule type="beginsWith" dxfId="294" priority="50" operator="beginsWith" text="PH">
      <formula>LEFT(Z29,LEN("PH"))="PH"</formula>
    </cfRule>
    <cfRule type="containsText" dxfId="293" priority="51" operator="containsText" text="AL ">
      <formula>NOT(ISERROR(SEARCH("AL ",Z29)))</formula>
    </cfRule>
    <cfRule type="beginsWith" dxfId="292" priority="52" operator="beginsWith" text="SL">
      <formula>LEFT(Z29,LEN("SL"))="SL"</formula>
    </cfRule>
    <cfRule type="containsText" dxfId="291" priority="53" operator="containsText" text="Off">
      <formula>NOT(ISERROR(SEARCH("Off",Z29)))</formula>
    </cfRule>
    <cfRule type="cellIs" dxfId="290" priority="54" operator="equal">
      <formula>0</formula>
    </cfRule>
    <cfRule type="containsText" dxfId="289" priority="55" operator="containsText" text=".">
      <formula>NOT(ISERROR(SEARCH(".",Z29)))</formula>
    </cfRule>
    <cfRule type="cellIs" dxfId="288" priority="56" operator="equal">
      <formula>0</formula>
    </cfRule>
    <cfRule type="beginsWith" dxfId="287" priority="58" operator="beginsWith" text="PH">
      <formula>LEFT(Z29,LEN("PH"))="PH"</formula>
    </cfRule>
    <cfRule type="containsText" dxfId="286" priority="59" operator="containsText" text="AL ">
      <formula>NOT(ISERROR(SEARCH("AL ",Z29)))</formula>
    </cfRule>
    <cfRule type="beginsWith" dxfId="285" priority="60" operator="beginsWith" text="SL">
      <formula>LEFT(Z29,LEN("SL"))="SL"</formula>
    </cfRule>
    <cfRule type="containsText" dxfId="284" priority="61" operator="containsText" text="Off">
      <formula>NOT(ISERROR(SEARCH("Off",Z29)))</formula>
    </cfRule>
    <cfRule type="cellIs" dxfId="283" priority="62" operator="equal">
      <formula>0</formula>
    </cfRule>
    <cfRule type="containsText" dxfId="282" priority="63" operator="containsText" text=".">
      <formula>NOT(ISERROR(SEARCH(".",Z29)))</formula>
    </cfRule>
    <cfRule type="beginsWith" dxfId="281" priority="64" operator="beginsWith" text="PH">
      <formula>LEFT(Z29,LEN("PH"))="PH"</formula>
    </cfRule>
    <cfRule type="containsText" dxfId="280" priority="65" operator="containsText" text="AL ">
      <formula>NOT(ISERROR(SEARCH("AL ",Z29)))</formula>
    </cfRule>
    <cfRule type="beginsWith" dxfId="279" priority="66" operator="beginsWith" text="SL">
      <formula>LEFT(Z29,LEN("SL"))="SL"</formula>
    </cfRule>
    <cfRule type="cellIs" dxfId="278" priority="68" operator="equal">
      <formula>0</formula>
    </cfRule>
    <cfRule type="containsText" dxfId="277" priority="69" operator="containsText" text=".">
      <formula>NOT(ISERROR(SEARCH(".",Z29)))</formula>
    </cfRule>
    <cfRule type="cellIs" dxfId="276" priority="70" operator="equal">
      <formula>0</formula>
    </cfRule>
    <cfRule type="beginsWith" dxfId="275" priority="1746" operator="beginsWith" text="PH">
      <formula>LEFT(Z29,LEN("PH"))="PH"</formula>
    </cfRule>
    <cfRule type="containsText" dxfId="274" priority="1747" operator="containsText" text="AL ">
      <formula>NOT(ISERROR(SEARCH("AL ",Z29)))</formula>
    </cfRule>
    <cfRule type="containsText" dxfId="273" priority="71" operator="containsText" text=".">
      <formula>NOT(ISERROR(SEARCH(".",Z29)))</formula>
    </cfRule>
    <cfRule type="beginsWith" dxfId="272" priority="1748" operator="beginsWith" text="SL">
      <formula>LEFT(Z29,LEN("SL"))="SL"</formula>
    </cfRule>
    <cfRule type="containsText" dxfId="271" priority="1749" operator="containsText" text="Off">
      <formula>NOT(ISERROR(SEARCH("Off",Z29)))</formula>
    </cfRule>
    <cfRule type="cellIs" dxfId="270" priority="1752" operator="equal">
      <formula>0</formula>
    </cfRule>
    <cfRule type="cellIs" dxfId="269" priority="1750" operator="equal">
      <formula>0</formula>
    </cfRule>
    <cfRule type="containsText" dxfId="268" priority="1751" operator="containsText" text=".">
      <formula>NOT(ISERROR(SEARCH(".",Z29)))</formula>
    </cfRule>
    <cfRule type="containsText" dxfId="267" priority="57" operator="containsText" text=".">
      <formula>NOT(ISERROR(SEARCH(".",Z29)))</formula>
    </cfRule>
    <cfRule type="containsText" dxfId="266" priority="1753" operator="containsText" text=".">
      <formula>NOT(ISERROR(SEARCH(".",Z29)))</formula>
    </cfRule>
    <cfRule type="containsText" dxfId="265" priority="67" operator="containsText" text="Off">
      <formula>NOT(ISERROR(SEARCH("Off",Z29)))</formula>
    </cfRule>
    <cfRule type="beginsWith" dxfId="264" priority="1754" operator="beginsWith" text="PH">
      <formula>LEFT(Z29,LEN("PH"))="PH"</formula>
    </cfRule>
    <cfRule type="containsText" dxfId="263" priority="1755" operator="containsText" text="AL ">
      <formula>NOT(ISERROR(SEARCH("AL ",Z29)))</formula>
    </cfRule>
    <cfRule type="containsText" dxfId="262" priority="1765" operator="containsText" text=".">
      <formula>NOT(ISERROR(SEARCH(".",Z29)))</formula>
    </cfRule>
    <cfRule type="cellIs" dxfId="261" priority="1764" operator="equal">
      <formula>0</formula>
    </cfRule>
    <cfRule type="cellIs" dxfId="260" priority="1758" operator="equal">
      <formula>0</formula>
    </cfRule>
    <cfRule type="beginsWith" dxfId="259" priority="1756" operator="beginsWith" text="SL">
      <formula>LEFT(Z29,LEN("SL"))="SL"</formula>
    </cfRule>
    <cfRule type="containsText" dxfId="258" priority="1757" operator="containsText" text="Off">
      <formula>NOT(ISERROR(SEARCH("Off",Z29)))</formula>
    </cfRule>
  </conditionalFormatting>
  <conditionalFormatting sqref="Z20:AA21">
    <cfRule type="containsText" dxfId="257" priority="676" operator="containsText" text="Off">
      <formula>NOT(ISERROR(SEARCH("Off",Z20)))</formula>
    </cfRule>
    <cfRule type="cellIs" dxfId="256" priority="677" operator="equal">
      <formula>0</formula>
    </cfRule>
    <cfRule type="beginsWith" dxfId="255" priority="675" operator="beginsWith" text="SL">
      <formula>LEFT(Z20,LEN("SL"))="SL"</formula>
    </cfRule>
    <cfRule type="beginsWith" dxfId="254" priority="2059" operator="beginsWith" text="PH">
      <formula>LEFT(Z20,LEN("PH"))="PH"</formula>
    </cfRule>
    <cfRule type="containsText" dxfId="253" priority="2060" operator="containsText" text="AL ">
      <formula>NOT(ISERROR(SEARCH("AL ",Z20)))</formula>
    </cfRule>
    <cfRule type="beginsWith" dxfId="252" priority="2061" operator="beginsWith" text="SL">
      <formula>LEFT(Z20,LEN("SL"))="SL"</formula>
    </cfRule>
    <cfRule type="containsText" dxfId="251" priority="2062" operator="containsText" text="Off">
      <formula>NOT(ISERROR(SEARCH("Off",Z20)))</formula>
    </cfRule>
    <cfRule type="cellIs" dxfId="250" priority="2063" operator="equal">
      <formula>0</formula>
    </cfRule>
    <cfRule type="containsText" dxfId="249" priority="674" operator="containsText" text="AL ">
      <formula>NOT(ISERROR(SEARCH("AL ",Z20)))</formula>
    </cfRule>
    <cfRule type="beginsWith" dxfId="248" priority="673" operator="beginsWith" text="PH">
      <formula>LEFT(Z20,LEN("PH"))="PH"</formula>
    </cfRule>
  </conditionalFormatting>
  <conditionalFormatting sqref="Z21:AA21">
    <cfRule type="beginsWith" dxfId="247" priority="20" operator="beginsWith" text="SL">
      <formula>LEFT(Z21,LEN("SL"))="SL"</formula>
    </cfRule>
    <cfRule type="containsText" dxfId="246" priority="19" operator="containsText" text="AL ">
      <formula>NOT(ISERROR(SEARCH("AL ",Z21)))</formula>
    </cfRule>
    <cfRule type="beginsWith" dxfId="245" priority="18" operator="beginsWith" text="PH">
      <formula>LEFT(Z21,LEN("PH"))="PH"</formula>
    </cfRule>
    <cfRule type="containsText" dxfId="244" priority="17" operator="containsText" text=".">
      <formula>NOT(ISERROR(SEARCH(".",Z21)))</formula>
    </cfRule>
    <cfRule type="containsText" dxfId="243" priority="21" operator="containsText" text="Off">
      <formula>NOT(ISERROR(SEARCH("Off",Z21)))</formula>
    </cfRule>
  </conditionalFormatting>
  <conditionalFormatting sqref="Z29:AA29 AF29">
    <cfRule type="cellIs" dxfId="242" priority="1738" operator="equal">
      <formula>0</formula>
    </cfRule>
    <cfRule type="containsText" dxfId="241" priority="1739" operator="containsText" text=".">
      <formula>NOT(ISERROR(SEARCH(".",Z29)))</formula>
    </cfRule>
    <cfRule type="containsText" dxfId="240" priority="1735" operator="containsText" text="Off">
      <formula>NOT(ISERROR(SEARCH("Off",Z29)))</formula>
    </cfRule>
    <cfRule type="beginsWith" dxfId="239" priority="1734" operator="beginsWith" text="SL">
      <formula>LEFT(Z29,LEN("SL"))="SL"</formula>
    </cfRule>
    <cfRule type="containsText" dxfId="238" priority="1733" operator="containsText" text="AL ">
      <formula>NOT(ISERROR(SEARCH("AL ",Z29)))</formula>
    </cfRule>
    <cfRule type="beginsWith" dxfId="237" priority="1732" operator="beginsWith" text="PH">
      <formula>LEFT(Z29,LEN("PH"))="PH"</formula>
    </cfRule>
  </conditionalFormatting>
  <conditionalFormatting sqref="Z10:AF10">
    <cfRule type="cellIs" dxfId="236" priority="444" operator="equal">
      <formula>0</formula>
    </cfRule>
  </conditionalFormatting>
  <conditionalFormatting sqref="Z20:AF21">
    <cfRule type="containsText" dxfId="235" priority="1606" operator="containsText" text=".">
      <formula>NOT(ISERROR(SEARCH(".",Z20)))</formula>
    </cfRule>
  </conditionalFormatting>
  <conditionalFormatting sqref="AA20:AA21">
    <cfRule type="containsText" dxfId="234" priority="2154" operator="containsText" text="AL ">
      <formula>NOT(ISERROR(SEARCH("AL ",AA20)))</formula>
    </cfRule>
    <cfRule type="containsText" dxfId="233" priority="2156" operator="containsText" text="Off">
      <formula>NOT(ISERROR(SEARCH("Off",AA20)))</formula>
    </cfRule>
    <cfRule type="containsText" dxfId="232" priority="1193" operator="containsText" text="Off">
      <formula>NOT(ISERROR(SEARCH("Off",AA20)))</formula>
    </cfRule>
    <cfRule type="beginsWith" dxfId="231" priority="1192" operator="beginsWith" text="SL">
      <formula>LEFT(AA20,LEN("SL"))="SL"</formula>
    </cfRule>
    <cfRule type="containsText" dxfId="230" priority="1191" operator="containsText" text="AL ">
      <formula>NOT(ISERROR(SEARCH("AL ",AA20)))</formula>
    </cfRule>
    <cfRule type="beginsWith" dxfId="229" priority="1190" operator="beginsWith" text="PH">
      <formula>LEFT(AA20,LEN("PH"))="PH"</formula>
    </cfRule>
    <cfRule type="containsText" dxfId="228" priority="1189" operator="containsText" text=".">
      <formula>NOT(ISERROR(SEARCH(".",AA20)))</formula>
    </cfRule>
    <cfRule type="cellIs" dxfId="227" priority="2157" operator="equal">
      <formula>0</formula>
    </cfRule>
    <cfRule type="beginsWith" dxfId="226" priority="662" operator="beginsWith" text="PH">
      <formula>LEFT(AA20,LEN("PH"))="PH"</formula>
    </cfRule>
    <cfRule type="containsText" dxfId="225" priority="1179" operator="containsText" text="AL ">
      <formula>NOT(ISERROR(SEARCH("AL ",AA20)))</formula>
    </cfRule>
    <cfRule type="containsText" dxfId="224" priority="2058" operator="containsText" text=".">
      <formula>NOT(ISERROR(SEARCH(".",AA20)))</formula>
    </cfRule>
    <cfRule type="containsText" dxfId="223" priority="663" operator="containsText" text="AL ">
      <formula>NOT(ISERROR(SEARCH("AL ",AA20)))</formula>
    </cfRule>
    <cfRule type="cellIs" dxfId="222" priority="672" operator="equal">
      <formula>0</formula>
    </cfRule>
    <cfRule type="containsText" dxfId="221" priority="671" operator="containsText" text="Off">
      <formula>NOT(ISERROR(SEARCH("Off",AA20)))</formula>
    </cfRule>
    <cfRule type="beginsWith" dxfId="220" priority="670" operator="beginsWith" text="SL">
      <formula>LEFT(AA20,LEN("SL"))="SL"</formula>
    </cfRule>
    <cfRule type="containsText" dxfId="219" priority="669" operator="containsText" text="AL ">
      <formula>NOT(ISERROR(SEARCH("AL ",AA20)))</formula>
    </cfRule>
    <cfRule type="beginsWith" dxfId="218" priority="668" operator="beginsWith" text="PH">
      <formula>LEFT(AA20,LEN("PH"))="PH"</formula>
    </cfRule>
    <cfRule type="containsText" dxfId="217" priority="667" operator="containsText" text=".">
      <formula>NOT(ISERROR(SEARCH(".",AA20)))</formula>
    </cfRule>
    <cfRule type="cellIs" dxfId="216" priority="666" operator="equal">
      <formula>0</formula>
    </cfRule>
    <cfRule type="containsText" dxfId="215" priority="665" operator="containsText" text="Off">
      <formula>NOT(ISERROR(SEARCH("Off",AA20)))</formula>
    </cfRule>
    <cfRule type="beginsWith" dxfId="214" priority="664" operator="beginsWith" text="SL">
      <formula>LEFT(AA20,LEN("SL"))="SL"</formula>
    </cfRule>
    <cfRule type="cellIs" dxfId="213" priority="1188" operator="equal">
      <formula>0</formula>
    </cfRule>
    <cfRule type="containsText" dxfId="212" priority="1187" operator="containsText" text="Off">
      <formula>NOT(ISERROR(SEARCH("Off",AA20)))</formula>
    </cfRule>
    <cfRule type="beginsWith" dxfId="211" priority="1186" operator="beginsWith" text="SL">
      <formula>LEFT(AA20,LEN("SL"))="SL"</formula>
    </cfRule>
    <cfRule type="beginsWith" dxfId="210" priority="2155" operator="beginsWith" text="SL">
      <formula>LEFT(AA20,LEN("SL"))="SL"</formula>
    </cfRule>
    <cfRule type="containsText" dxfId="209" priority="1185" operator="containsText" text="AL ">
      <formula>NOT(ISERROR(SEARCH("AL ",AA20)))</formula>
    </cfRule>
    <cfRule type="beginsWith" dxfId="208" priority="1184" operator="beginsWith" text="PH">
      <formula>LEFT(AA20,LEN("PH"))="PH"</formula>
    </cfRule>
    <cfRule type="containsText" dxfId="207" priority="1183" operator="containsText" text=".">
      <formula>NOT(ISERROR(SEARCH(".",AA20)))</formula>
    </cfRule>
    <cfRule type="cellIs" dxfId="206" priority="1182" operator="equal">
      <formula>0</formula>
    </cfRule>
    <cfRule type="containsText" dxfId="205" priority="1181" operator="containsText" text="Off">
      <formula>NOT(ISERROR(SEARCH("Off",AA20)))</formula>
    </cfRule>
    <cfRule type="beginsWith" dxfId="204" priority="1180" operator="beginsWith" text="SL">
      <formula>LEFT(AA20,LEN("SL"))="SL"</formula>
    </cfRule>
    <cfRule type="beginsWith" dxfId="203" priority="1178" operator="beginsWith" text="PH">
      <formula>LEFT(AA20,LEN("PH"))="PH"</formula>
    </cfRule>
    <cfRule type="cellIs" dxfId="202" priority="2057" operator="equal">
      <formula>0</formula>
    </cfRule>
    <cfRule type="containsText" dxfId="201" priority="2054" operator="containsText" text="AL ">
      <formula>NOT(ISERROR(SEARCH("AL ",AA20)))</formula>
    </cfRule>
    <cfRule type="beginsWith" dxfId="200" priority="2055" operator="beginsWith" text="SL">
      <formula>LEFT(AA20,LEN("SL"))="SL"</formula>
    </cfRule>
    <cfRule type="containsText" dxfId="199" priority="2056" operator="containsText" text="Off">
      <formula>NOT(ISERROR(SEARCH("Off",AA20)))</formula>
    </cfRule>
    <cfRule type="containsText" dxfId="198" priority="2248" operator="containsText" text="AL ">
      <formula>NOT(ISERROR(SEARCH("AL ",AA20)))</formula>
    </cfRule>
    <cfRule type="containsText" dxfId="197" priority="2250" operator="containsText" text="Off">
      <formula>NOT(ISERROR(SEARCH("Off",AA20)))</formula>
    </cfRule>
    <cfRule type="cellIs" dxfId="196" priority="2251" operator="equal">
      <formula>0</formula>
    </cfRule>
    <cfRule type="containsText" dxfId="195" priority="2252" operator="containsText" text=".">
      <formula>NOT(ISERROR(SEARCH(".",AA20)))</formula>
    </cfRule>
    <cfRule type="cellIs" dxfId="194" priority="2151" operator="equal">
      <formula>0</formula>
    </cfRule>
    <cfRule type="beginsWith" dxfId="193" priority="2247" operator="beginsWith" text="PH">
      <formula>LEFT(AA20,LEN("PH"))="PH"</formula>
    </cfRule>
    <cfRule type="containsText" dxfId="192" priority="2152" operator="containsText" text=".">
      <formula>NOT(ISERROR(SEARCH(".",AA20)))</formula>
    </cfRule>
    <cfRule type="beginsWith" dxfId="191" priority="2153" operator="beginsWith" text="PH">
      <formula>LEFT(AA20,LEN("PH"))="PH"</formula>
    </cfRule>
    <cfRule type="beginsWith" dxfId="190" priority="2053" operator="beginsWith" text="PH">
      <formula>LEFT(AA20,LEN("PH"))="PH"</formula>
    </cfRule>
    <cfRule type="beginsWith" dxfId="189" priority="2249" operator="beginsWith" text="SL">
      <formula>LEFT(AA20,LEN("SL"))="SL"</formula>
    </cfRule>
    <cfRule type="beginsWith" dxfId="188" priority="2147" operator="beginsWith" text="PH">
      <formula>LEFT(AA20,LEN("PH"))="PH"</formula>
    </cfRule>
    <cfRule type="containsText" dxfId="187" priority="2148" operator="containsText" text="AL ">
      <formula>NOT(ISERROR(SEARCH("AL ",AA20)))</formula>
    </cfRule>
    <cfRule type="beginsWith" dxfId="186" priority="2149" operator="beginsWith" text="SL">
      <formula>LEFT(AA20,LEN("SL"))="SL"</formula>
    </cfRule>
    <cfRule type="containsText" dxfId="185" priority="2150" operator="containsText" text="Off">
      <formula>NOT(ISERROR(SEARCH("Off",AA20)))</formula>
    </cfRule>
  </conditionalFormatting>
  <conditionalFormatting sqref="AA21:AA22">
    <cfRule type="cellIs" dxfId="184" priority="22" operator="equal">
      <formula>0</formula>
    </cfRule>
  </conditionalFormatting>
  <conditionalFormatting sqref="AA29 AF29">
    <cfRule type="containsText" dxfId="183" priority="1729" operator="containsText" text="Off">
      <formula>NOT(ISERROR(SEARCH("Off",AA29)))</formula>
    </cfRule>
    <cfRule type="beginsWith" dxfId="182" priority="1728" operator="beginsWith" text="SL">
      <formula>LEFT(AA29,LEN("SL"))="SL"</formula>
    </cfRule>
    <cfRule type="containsText" dxfId="181" priority="1713" operator="containsText" text="AL ">
      <formula>NOT(ISERROR(SEARCH("AL ",AA29)))</formula>
    </cfRule>
    <cfRule type="containsText" dxfId="180" priority="1727" operator="containsText" text="AL ">
      <formula>NOT(ISERROR(SEARCH("AL ",AA29)))</formula>
    </cfRule>
    <cfRule type="beginsWith" dxfId="179" priority="1712" operator="beginsWith" text="PH">
      <formula>LEFT(AA29,LEN("PH"))="PH"</formula>
    </cfRule>
    <cfRule type="containsText" dxfId="178" priority="1725" operator="containsText" text=".">
      <formula>NOT(ISERROR(SEARCH(".",AA29)))</formula>
    </cfRule>
    <cfRule type="cellIs" dxfId="177" priority="1724" operator="equal">
      <formula>0</formula>
    </cfRule>
    <cfRule type="containsText" dxfId="176" priority="1723" operator="containsText" text=".">
      <formula>NOT(ISERROR(SEARCH(".",AA29)))</formula>
    </cfRule>
    <cfRule type="cellIs" dxfId="175" priority="1722" operator="equal">
      <formula>0</formula>
    </cfRule>
    <cfRule type="containsText" dxfId="174" priority="1721" operator="containsText" text="Off">
      <formula>NOT(ISERROR(SEARCH("Off",AA29)))</formula>
    </cfRule>
    <cfRule type="beginsWith" dxfId="173" priority="1720" operator="beginsWith" text="SL">
      <formula>LEFT(AA29,LEN("SL"))="SL"</formula>
    </cfRule>
    <cfRule type="containsText" dxfId="172" priority="1719" operator="containsText" text="AL ">
      <formula>NOT(ISERROR(SEARCH("AL ",AA29)))</formula>
    </cfRule>
    <cfRule type="beginsWith" dxfId="171" priority="1726" operator="beginsWith" text="PH">
      <formula>LEFT(AA29,LEN("PH"))="PH"</formula>
    </cfRule>
    <cfRule type="containsText" dxfId="170" priority="1717" operator="containsText" text=".">
      <formula>NOT(ISERROR(SEARCH(".",AA29)))</formula>
    </cfRule>
    <cfRule type="cellIs" dxfId="169" priority="1716" operator="equal">
      <formula>0</formula>
    </cfRule>
    <cfRule type="containsText" dxfId="168" priority="1715" operator="containsText" text="Off">
      <formula>NOT(ISERROR(SEARCH("Off",AA29)))</formula>
    </cfRule>
    <cfRule type="beginsWith" dxfId="167" priority="1714" operator="beginsWith" text="SL">
      <formula>LEFT(AA29,LEN("SL"))="SL"</formula>
    </cfRule>
    <cfRule type="containsText" dxfId="166" priority="1737" operator="containsText" text=".">
      <formula>NOT(ISERROR(SEARCH(".",AA29)))</formula>
    </cfRule>
    <cfRule type="cellIs" dxfId="165" priority="1736" operator="equal">
      <formula>0</formula>
    </cfRule>
    <cfRule type="containsText" dxfId="164" priority="1731" operator="containsText" text=".">
      <formula>NOT(ISERROR(SEARCH(".",AA29)))</formula>
    </cfRule>
    <cfRule type="cellIs" dxfId="163" priority="1730" operator="equal">
      <formula>0</formula>
    </cfRule>
    <cfRule type="beginsWith" dxfId="162" priority="1718" operator="beginsWith" text="PH">
      <formula>LEFT(AA29,LEN("PH"))="PH"</formula>
    </cfRule>
  </conditionalFormatting>
  <conditionalFormatting sqref="AA29">
    <cfRule type="cellIs" dxfId="161" priority="815" operator="equal">
      <formula>0</formula>
    </cfRule>
    <cfRule type="containsText" dxfId="160" priority="814" operator="containsText" text="Off">
      <formula>NOT(ISERROR(SEARCH("Off",AA29)))</formula>
    </cfRule>
    <cfRule type="beginsWith" dxfId="159" priority="813" operator="beginsWith" text="SL">
      <formula>LEFT(AA29,LEN("SL"))="SL"</formula>
    </cfRule>
    <cfRule type="containsText" dxfId="158" priority="812" operator="containsText" text="AL ">
      <formula>NOT(ISERROR(SEARCH("AL ",AA29)))</formula>
    </cfRule>
    <cfRule type="beginsWith" dxfId="157" priority="811" operator="beginsWith" text="PH">
      <formula>LEFT(AA29,LEN("PH"))="PH"</formula>
    </cfRule>
    <cfRule type="containsText" dxfId="156" priority="810" operator="containsText" text=".">
      <formula>NOT(ISERROR(SEARCH(".",AA29)))</formula>
    </cfRule>
    <cfRule type="containsText" dxfId="155" priority="808" operator="containsText" text=".">
      <formula>NOT(ISERROR(SEARCH(".",AA29)))</formula>
    </cfRule>
    <cfRule type="cellIs" dxfId="154" priority="807" operator="equal">
      <formula>0</formula>
    </cfRule>
    <cfRule type="containsText" dxfId="153" priority="806" operator="containsText" text="Off">
      <formula>NOT(ISERROR(SEARCH("Off",AA29)))</formula>
    </cfRule>
    <cfRule type="beginsWith" dxfId="152" priority="805" operator="beginsWith" text="SL">
      <formula>LEFT(AA29,LEN("SL"))="SL"</formula>
    </cfRule>
    <cfRule type="containsText" dxfId="151" priority="804" operator="containsText" text="AL ">
      <formula>NOT(ISERROR(SEARCH("AL ",AA29)))</formula>
    </cfRule>
    <cfRule type="beginsWith" dxfId="150" priority="803" operator="beginsWith" text="PH">
      <formula>LEFT(AA29,LEN("PH"))="PH"</formula>
    </cfRule>
    <cfRule type="containsText" dxfId="149" priority="802" operator="containsText" text=".">
      <formula>NOT(ISERROR(SEARCH(".",AA29)))</formula>
    </cfRule>
    <cfRule type="cellIs" dxfId="148" priority="801" operator="equal">
      <formula>0</formula>
    </cfRule>
    <cfRule type="containsText" dxfId="147" priority="800" operator="containsText" text="Off">
      <formula>NOT(ISERROR(SEARCH("Off",AA29)))</formula>
    </cfRule>
    <cfRule type="beginsWith" dxfId="146" priority="799" operator="beginsWith" text="SL">
      <formula>LEFT(AA29,LEN("SL"))="SL"</formula>
    </cfRule>
    <cfRule type="containsText" dxfId="145" priority="798" operator="containsText" text="AL ">
      <formula>NOT(ISERROR(SEARCH("AL ",AA29)))</formula>
    </cfRule>
    <cfRule type="beginsWith" dxfId="144" priority="797" operator="beginsWith" text="PH">
      <formula>LEFT(AA29,LEN("PH"))="PH"</formula>
    </cfRule>
    <cfRule type="cellIs" dxfId="143" priority="809" operator="equal">
      <formula>0</formula>
    </cfRule>
    <cfRule type="containsText" dxfId="142" priority="824" operator="containsText" text=".">
      <formula>NOT(ISERROR(SEARCH(".",AA29)))</formula>
    </cfRule>
    <cfRule type="cellIs" dxfId="141" priority="823" operator="equal">
      <formula>0</formula>
    </cfRule>
    <cfRule type="containsText" dxfId="140" priority="822" operator="containsText" text=".">
      <formula>NOT(ISERROR(SEARCH(".",AA29)))</formula>
    </cfRule>
    <cfRule type="cellIs" dxfId="139" priority="821" operator="equal">
      <formula>0</formula>
    </cfRule>
    <cfRule type="containsText" dxfId="138" priority="820" operator="containsText" text="Off">
      <formula>NOT(ISERROR(SEARCH("Off",AA29)))</formula>
    </cfRule>
    <cfRule type="beginsWith" dxfId="137" priority="819" operator="beginsWith" text="SL">
      <formula>LEFT(AA29,LEN("SL"))="SL"</formula>
    </cfRule>
    <cfRule type="containsText" dxfId="136" priority="818" operator="containsText" text="AL ">
      <formula>NOT(ISERROR(SEARCH("AL ",AA29)))</formula>
    </cfRule>
    <cfRule type="beginsWith" dxfId="135" priority="817" operator="beginsWith" text="PH">
      <formula>LEFT(AA29,LEN("PH"))="PH"</formula>
    </cfRule>
    <cfRule type="cellIs" dxfId="134" priority="555" operator="equal">
      <formula>0</formula>
    </cfRule>
    <cfRule type="containsText" dxfId="133" priority="816" operator="containsText" text=".">
      <formula>NOT(ISERROR(SEARCH(".",AA29)))</formula>
    </cfRule>
  </conditionalFormatting>
  <conditionalFormatting sqref="AA10:AF10">
    <cfRule type="beginsWith" dxfId="132" priority="273" operator="beginsWith" text="PH">
      <formula>LEFT(AA10,LEN("PH"))="PH"</formula>
    </cfRule>
    <cfRule type="beginsWith" dxfId="131" priority="275" operator="beginsWith" text="SL">
      <formula>LEFT(AA10,LEN("SL"))="SL"</formula>
    </cfRule>
    <cfRule type="containsText" dxfId="130" priority="274" operator="containsText" text="AL ">
      <formula>NOT(ISERROR(SEARCH("AL ",AA10)))</formula>
    </cfRule>
    <cfRule type="cellIs" dxfId="129" priority="276" operator="equal">
      <formula>0</formula>
    </cfRule>
  </conditionalFormatting>
  <conditionalFormatting sqref="AA20:AF21">
    <cfRule type="cellIs" dxfId="128" priority="660" operator="equal">
      <formula>0</formula>
    </cfRule>
    <cfRule type="containsText" dxfId="127" priority="1196" operator="containsText" text="AL ">
      <formula>NOT(ISERROR(SEARCH("AL ",AA20)))</formula>
    </cfRule>
    <cfRule type="beginsWith" dxfId="126" priority="1197" operator="beginsWith" text="SL">
      <formula>LEFT(AA20,LEN("SL"))="SL"</formula>
    </cfRule>
    <cfRule type="beginsWith" dxfId="125" priority="2235" operator="beginsWith" text="PH">
      <formula>LEFT(AA20,LEN("PH"))="PH"</formula>
    </cfRule>
    <cfRule type="containsText" dxfId="124" priority="2236" operator="containsText" text="AL ">
      <formula>NOT(ISERROR(SEARCH("AL ",AA20)))</formula>
    </cfRule>
    <cfRule type="beginsWith" dxfId="123" priority="2237" operator="beginsWith" text="SL">
      <formula>LEFT(AA20,LEN("SL"))="SL"</formula>
    </cfRule>
    <cfRule type="containsText" dxfId="122" priority="2238" operator="containsText" text="Off">
      <formula>NOT(ISERROR(SEARCH("Off",AA20)))</formula>
    </cfRule>
    <cfRule type="cellIs" dxfId="121" priority="2239" operator="equal">
      <formula>0</formula>
    </cfRule>
    <cfRule type="cellIs" dxfId="120" priority="1194" operator="equal">
      <formula>0</formula>
    </cfRule>
    <cfRule type="beginsWith" dxfId="119" priority="1195" operator="beginsWith" text="PH">
      <formula>LEFT(AA20,LEN("PH"))="PH"</formula>
    </cfRule>
    <cfRule type="containsText" dxfId="118" priority="2240" operator="containsText" text=".">
      <formula>NOT(ISERROR(SEARCH(".",AA20)))</formula>
    </cfRule>
    <cfRule type="containsText" dxfId="117" priority="1198" operator="containsText" text="Off">
      <formula>NOT(ISERROR(SEARCH("Off",AA20)))</formula>
    </cfRule>
  </conditionalFormatting>
  <conditionalFormatting sqref="AB10:AF10">
    <cfRule type="beginsWith" dxfId="116" priority="105" operator="beginsWith" text="PH">
      <formula>LEFT(AB10,LEN("PH"))="PH"</formula>
    </cfRule>
    <cfRule type="containsText" dxfId="115" priority="106" operator="containsText" text="AL ">
      <formula>NOT(ISERROR(SEARCH("AL ",AB10)))</formula>
    </cfRule>
    <cfRule type="beginsWith" dxfId="114" priority="107" operator="beginsWith" text="SL">
      <formula>LEFT(AB10,LEN("SL"))="SL"</formula>
    </cfRule>
    <cfRule type="cellIs" dxfId="113" priority="108" operator="equal">
      <formula>0</formula>
    </cfRule>
  </conditionalFormatting>
  <conditionalFormatting sqref="AB20:AF21">
    <cfRule type="beginsWith" dxfId="112" priority="651" operator="beginsWith" text="PH">
      <formula>LEFT(AB20,LEN("PH"))="PH"</formula>
    </cfRule>
    <cfRule type="containsText" dxfId="111" priority="652" operator="containsText" text="AL ">
      <formula>NOT(ISERROR(SEARCH("AL ",AB20)))</formula>
    </cfRule>
    <cfRule type="beginsWith" dxfId="110" priority="653" operator="beginsWith" text="SL">
      <formula>LEFT(AB20,LEN("SL"))="SL"</formula>
    </cfRule>
    <cfRule type="cellIs" dxfId="109" priority="655" operator="equal">
      <formula>0</formula>
    </cfRule>
    <cfRule type="beginsWith" dxfId="108" priority="656" operator="beginsWith" text="PH">
      <formula>LEFT(AB20,LEN("PH"))="PH"</formula>
    </cfRule>
    <cfRule type="containsText" dxfId="107" priority="657" operator="containsText" text="AL ">
      <formula>NOT(ISERROR(SEARCH("AL ",AB20)))</formula>
    </cfRule>
    <cfRule type="beginsWith" dxfId="106" priority="658" operator="beginsWith" text="SL">
      <formula>LEFT(AB20,LEN("SL"))="SL"</formula>
    </cfRule>
    <cfRule type="containsText" dxfId="105" priority="659" operator="containsText" text="Off">
      <formula>NOT(ISERROR(SEARCH("Off",AB20)))</formula>
    </cfRule>
    <cfRule type="containsText" dxfId="104" priority="1001" operator="containsText" text="AL ">
      <formula>NOT(ISERROR(SEARCH("AL ",AB20)))</formula>
    </cfRule>
    <cfRule type="beginsWith" dxfId="103" priority="1002" operator="beginsWith" text="SL">
      <formula>LEFT(AB20,LEN("SL"))="SL"</formula>
    </cfRule>
    <cfRule type="containsText" dxfId="102" priority="1003" operator="containsText" text="Off">
      <formula>NOT(ISERROR(SEARCH("Off",AB20)))</formula>
    </cfRule>
    <cfRule type="beginsWith" dxfId="101" priority="719" operator="beginsWith" text="PH">
      <formula>LEFT(AB20,LEN("PH"))="PH"</formula>
    </cfRule>
    <cfRule type="containsText" dxfId="100" priority="720" operator="containsText" text="AL ">
      <formula>NOT(ISERROR(SEARCH("AL ",AB20)))</formula>
    </cfRule>
    <cfRule type="beginsWith" dxfId="99" priority="721" operator="beginsWith" text="SL">
      <formula>LEFT(AB20,LEN("SL"))="SL"</formula>
    </cfRule>
    <cfRule type="containsText" dxfId="98" priority="722" operator="containsText" text="Off">
      <formula>NOT(ISERROR(SEARCH("Off",AB20)))</formula>
    </cfRule>
    <cfRule type="cellIs" dxfId="97" priority="728" operator="equal">
      <formula>0</formula>
    </cfRule>
    <cfRule type="containsText" dxfId="96" priority="729" operator="containsText" text=".">
      <formula>NOT(ISERROR(SEARCH(".",AB20)))</formula>
    </cfRule>
    <cfRule type="beginsWith" dxfId="95" priority="730" operator="beginsWith" text="PH">
      <formula>LEFT(AB20,LEN("PH"))="PH"</formula>
    </cfRule>
    <cfRule type="containsText" dxfId="94" priority="731" operator="containsText" text="AL ">
      <formula>NOT(ISERROR(SEARCH("AL ",AB20)))</formula>
    </cfRule>
    <cfRule type="beginsWith" dxfId="93" priority="732" operator="beginsWith" text="SL">
      <formula>LEFT(AB20,LEN("SL"))="SL"</formula>
    </cfRule>
    <cfRule type="containsText" dxfId="92" priority="733" operator="containsText" text="Off">
      <formula>NOT(ISERROR(SEARCH("Off",AB20)))</formula>
    </cfRule>
    <cfRule type="beginsWith" dxfId="91" priority="2223" operator="beginsWith" text="PH">
      <formula>LEFT(AB20,LEN("PH"))="PH"</formula>
    </cfRule>
    <cfRule type="containsText" dxfId="90" priority="2224" operator="containsText" text="AL ">
      <formula>NOT(ISERROR(SEARCH("AL ",AB20)))</formula>
    </cfRule>
    <cfRule type="beginsWith" dxfId="89" priority="2225" operator="beginsWith" text="SL">
      <formula>LEFT(AB20,LEN("SL"))="SL"</formula>
    </cfRule>
    <cfRule type="containsText" dxfId="88" priority="2226" operator="containsText" text="Off">
      <formula>NOT(ISERROR(SEARCH("Off",AB20)))</formula>
    </cfRule>
    <cfRule type="cellIs" dxfId="87" priority="2227" operator="equal">
      <formula>0</formula>
    </cfRule>
    <cfRule type="containsText" dxfId="86" priority="2228" operator="containsText" text=".">
      <formula>NOT(ISERROR(SEARCH(".",AB20)))</formula>
    </cfRule>
    <cfRule type="beginsWith" dxfId="85" priority="1601" operator="beginsWith" text="PH">
      <formula>LEFT(AB20,LEN("PH"))="PH"</formula>
    </cfRule>
    <cfRule type="beginsWith" dxfId="84" priority="991" operator="beginsWith" text="SL">
      <formula>LEFT(AB20,LEN("SL"))="SL"</formula>
    </cfRule>
    <cfRule type="containsText" dxfId="83" priority="992" operator="containsText" text="Off">
      <formula>NOT(ISERROR(SEARCH("Off",AB20)))</formula>
    </cfRule>
    <cfRule type="cellIs" dxfId="82" priority="993" operator="equal">
      <formula>0</formula>
    </cfRule>
    <cfRule type="containsText" dxfId="81" priority="999" operator="containsText" text=".">
      <formula>NOT(ISERROR(SEARCH(".",AB20)))</formula>
    </cfRule>
    <cfRule type="beginsWith" dxfId="80" priority="1000" operator="beginsWith" text="PH">
      <formula>LEFT(AB20,LEN("PH"))="PH"</formula>
    </cfRule>
    <cfRule type="cellIs" dxfId="79" priority="1318" operator="equal">
      <formula>0</formula>
    </cfRule>
    <cfRule type="cellIs" dxfId="78" priority="1605" operator="equal">
      <formula>0</formula>
    </cfRule>
    <cfRule type="containsText" dxfId="77" priority="1604" operator="containsText" text="Off">
      <formula>NOT(ISERROR(SEARCH("Off",AB20)))</formula>
    </cfRule>
    <cfRule type="beginsWith" dxfId="76" priority="1603" operator="beginsWith" text="SL">
      <formula>LEFT(AB20,LEN("SL"))="SL"</formula>
    </cfRule>
    <cfRule type="containsText" dxfId="75" priority="1602" operator="containsText" text="AL ">
      <formula>NOT(ISERROR(SEARCH("AL ",AB20)))</formula>
    </cfRule>
    <cfRule type="beginsWith" dxfId="74" priority="2097" operator="beginsWith" text="PH">
      <formula>LEFT(AB20,LEN("PH"))="PH"</formula>
    </cfRule>
    <cfRule type="containsText" dxfId="73" priority="2098" operator="containsText" text="AL ">
      <formula>NOT(ISERROR(SEARCH("AL ",AB20)))</formula>
    </cfRule>
    <cfRule type="beginsWith" dxfId="72" priority="2099" operator="beginsWith" text="SL">
      <formula>LEFT(AB20,LEN("SL"))="SL"</formula>
    </cfRule>
    <cfRule type="containsText" dxfId="71" priority="2100" operator="containsText" text="Off">
      <formula>NOT(ISERROR(SEARCH("Off",AB20)))</formula>
    </cfRule>
    <cfRule type="cellIs" dxfId="70" priority="2101" operator="equal">
      <formula>0</formula>
    </cfRule>
    <cfRule type="beginsWith" dxfId="69" priority="645" operator="beginsWith" text="PH">
      <formula>LEFT(AB20,LEN("PH"))="PH"</formula>
    </cfRule>
    <cfRule type="containsText" dxfId="68" priority="646" operator="containsText" text="AL ">
      <formula>NOT(ISERROR(SEARCH("AL ",AB20)))</formula>
    </cfRule>
    <cfRule type="beginsWith" dxfId="67" priority="647" operator="beginsWith" text="SL">
      <formula>LEFT(AB20,LEN("SL"))="SL"</formula>
    </cfRule>
    <cfRule type="containsText" dxfId="66" priority="648" operator="containsText" text="Off">
      <formula>NOT(ISERROR(SEARCH("Off",AB20)))</formula>
    </cfRule>
    <cfRule type="cellIs" dxfId="65" priority="649" operator="equal">
      <formula>0</formula>
    </cfRule>
    <cfRule type="containsText" dxfId="64" priority="650" operator="containsText" text=".">
      <formula>NOT(ISERROR(SEARCH(".",AB20)))</formula>
    </cfRule>
    <cfRule type="beginsWith" dxfId="63" priority="989" operator="beginsWith" text="PH">
      <formula>LEFT(AB20,LEN("PH"))="PH"</formula>
    </cfRule>
    <cfRule type="containsText" dxfId="62" priority="990" operator="containsText" text="AL ">
      <formula>NOT(ISERROR(SEARCH("AL ",AB20)))</formula>
    </cfRule>
    <cfRule type="containsText" dxfId="61" priority="654" operator="containsText" text="Off">
      <formula>NOT(ISERROR(SEARCH("Off",AB20)))</formula>
    </cfRule>
  </conditionalFormatting>
  <conditionalFormatting sqref="AF9">
    <cfRule type="cellIs" dxfId="60" priority="307" operator="equal">
      <formula>0</formula>
    </cfRule>
  </conditionalFormatting>
  <conditionalFormatting sqref="AF10">
    <cfRule type="beginsWith" dxfId="59" priority="428" operator="beginsWith" text="SL">
      <formula>LEFT(AF10,LEN("SL"))="SL"</formula>
    </cfRule>
    <cfRule type="containsText" dxfId="58" priority="427" operator="containsText" text="AL ">
      <formula>NOT(ISERROR(SEARCH("AL ",AF10)))</formula>
    </cfRule>
    <cfRule type="beginsWith" dxfId="57" priority="426" operator="beginsWith" text="PH">
      <formula>LEFT(AF10,LEN("PH"))="PH"</formula>
    </cfRule>
    <cfRule type="cellIs" dxfId="56" priority="429" operator="equal">
      <formula>0</formula>
    </cfRule>
  </conditionalFormatting>
  <conditionalFormatting sqref="AF20">
    <cfRule type="cellIs" dxfId="55" priority="306" operator="equal">
      <formula>0</formula>
    </cfRule>
  </conditionalFormatting>
  <conditionalFormatting sqref="AF20:AF21">
    <cfRule type="beginsWith" dxfId="54" priority="2050" operator="beginsWith" text="SL">
      <formula>LEFT(AF20,LEN("SL"))="SL"</formula>
    </cfRule>
    <cfRule type="containsText" dxfId="53" priority="2049" operator="containsText" text="AL ">
      <formula>NOT(ISERROR(SEARCH("AL ",AF20)))</formula>
    </cfRule>
    <cfRule type="beginsWith" dxfId="52" priority="2048" operator="beginsWith" text="PH">
      <formula>LEFT(AF20,LEN("PH"))="PH"</formula>
    </cfRule>
    <cfRule type="containsText" dxfId="51" priority="2047" operator="containsText" text=".">
      <formula>NOT(ISERROR(SEARCH(".",AF20)))</formula>
    </cfRule>
    <cfRule type="cellIs" dxfId="50" priority="2046" operator="equal">
      <formula>0</formula>
    </cfRule>
    <cfRule type="beginsWith" dxfId="49" priority="2044" operator="beginsWith" text="SL">
      <formula>LEFT(AF20,LEN("SL"))="SL"</formula>
    </cfRule>
    <cfRule type="containsText" dxfId="48" priority="2043" operator="containsText" text="AL ">
      <formula>NOT(ISERROR(SEARCH("AL ",AF20)))</formula>
    </cfRule>
    <cfRule type="beginsWith" dxfId="47" priority="2042" operator="beginsWith" text="PH">
      <formula>LEFT(AF20,LEN("PH"))="PH"</formula>
    </cfRule>
    <cfRule type="containsText" dxfId="46" priority="718" operator="containsText" text=".">
      <formula>NOT(ISERROR(SEARCH(".",AF20)))</formula>
    </cfRule>
    <cfRule type="containsText" dxfId="45" priority="988" operator="containsText" text=".">
      <formula>NOT(ISERROR(SEARCH(".",AF20)))</formula>
    </cfRule>
    <cfRule type="containsText" dxfId="44" priority="1040" operator="containsText" text="Off">
      <formula>NOT(ISERROR(SEARCH("Off",AF20)))</formula>
    </cfRule>
    <cfRule type="cellIs" dxfId="43" priority="1041" operator="equal">
      <formula>0</formula>
    </cfRule>
    <cfRule type="containsText" dxfId="42" priority="1043" operator="containsText" text="AL ">
      <formula>NOT(ISERROR(SEARCH("AL ",AF20)))</formula>
    </cfRule>
    <cfRule type="beginsWith" dxfId="41" priority="1047" operator="beginsWith" text="PH">
      <formula>LEFT(AF20,LEN("PH"))="PH"</formula>
    </cfRule>
    <cfRule type="containsText" dxfId="40" priority="1048" operator="containsText" text="AL ">
      <formula>NOT(ISERROR(SEARCH("AL ",AF20)))</formula>
    </cfRule>
    <cfRule type="beginsWith" dxfId="39" priority="1049" operator="beginsWith" text="SL">
      <formula>LEFT(AF20,LEN("SL"))="SL"</formula>
    </cfRule>
    <cfRule type="containsText" dxfId="38" priority="1050" operator="containsText" text="Off">
      <formula>NOT(ISERROR(SEARCH("Off",AF20)))</formula>
    </cfRule>
    <cfRule type="cellIs" dxfId="37" priority="1051" operator="equal">
      <formula>0</formula>
    </cfRule>
    <cfRule type="containsText" dxfId="36" priority="1052" operator="containsText" text=".">
      <formula>NOT(ISERROR(SEARCH(".",AF20)))</formula>
    </cfRule>
    <cfRule type="beginsWith" dxfId="35" priority="1044" operator="beginsWith" text="SL">
      <formula>LEFT(AF20,LEN("SL"))="SL"</formula>
    </cfRule>
    <cfRule type="containsText" dxfId="34" priority="1045" operator="containsText" text="Off">
      <formula>NOT(ISERROR(SEARCH("Off",AF20)))</formula>
    </cfRule>
    <cfRule type="cellIs" dxfId="33" priority="2052" operator="equal">
      <formula>0</formula>
    </cfRule>
    <cfRule type="cellIs" dxfId="32" priority="1046" operator="equal">
      <formula>0</formula>
    </cfRule>
    <cfRule type="containsText" dxfId="31" priority="2051" operator="containsText" text="Off">
      <formula>NOT(ISERROR(SEARCH("Off",AF20)))</formula>
    </cfRule>
    <cfRule type="beginsWith" dxfId="30" priority="1042" operator="beginsWith" text="PH">
      <formula>LEFT(AF20,LEN("PH"))="PH"</formula>
    </cfRule>
    <cfRule type="containsText" dxfId="29" priority="1035" operator="containsText" text="Off">
      <formula>NOT(ISERROR(SEARCH("Off",AF20)))</formula>
    </cfRule>
    <cfRule type="cellIs" dxfId="28" priority="1036" operator="equal">
      <formula>0</formula>
    </cfRule>
    <cfRule type="containsText" dxfId="27" priority="2045" operator="containsText" text="Off">
      <formula>NOT(ISERROR(SEARCH("Off",AF20)))</formula>
    </cfRule>
    <cfRule type="beginsWith" dxfId="26" priority="1037" operator="beginsWith" text="PH">
      <formula>LEFT(AF20,LEN("PH"))="PH"</formula>
    </cfRule>
    <cfRule type="containsText" dxfId="25" priority="1038" operator="containsText" text="AL ">
      <formula>NOT(ISERROR(SEARCH("AL ",AF20)))</formula>
    </cfRule>
    <cfRule type="beginsWith" dxfId="24" priority="1039" operator="beginsWith" text="SL">
      <formula>LEFT(AF20,LEN("SL"))="SL"</formula>
    </cfRule>
    <cfRule type="cellIs" dxfId="23" priority="987" operator="equal">
      <formula>0</formula>
    </cfRule>
    <cfRule type="beginsWith" dxfId="22" priority="1032" operator="beginsWith" text="PH">
      <formula>LEFT(AF20,LEN("PH"))="PH"</formula>
    </cfRule>
    <cfRule type="containsText" dxfId="21" priority="1033" operator="containsText" text="AL ">
      <formula>NOT(ISERROR(SEARCH("AL ",AF20)))</formula>
    </cfRule>
    <cfRule type="beginsWith" dxfId="20" priority="1034" operator="beginsWith" text="SL">
      <formula>LEFT(AF20,LEN("SL"))="SL"</formula>
    </cfRule>
  </conditionalFormatting>
  <conditionalFormatting sqref="AG2:XFD3 A3:A4 AH4:XFD4 AH5:AM5 AO5:XFD11 AL6:AM11 AH6:AK69">
    <cfRule type="cellIs" dxfId="19" priority="2632" operator="equal">
      <formula>"OFF"</formula>
    </cfRule>
  </conditionalFormatting>
  <conditionalFormatting sqref="AI5:AI69">
    <cfRule type="duplicateValues" dxfId="18" priority="7144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>
    <pageSetUpPr fitToPage="1"/>
  </sheetPr>
  <dimension ref="A1:AB5502"/>
  <sheetViews>
    <sheetView zoomScale="85" zoomScaleNormal="85" workbookViewId="0">
      <selection activeCell="I4230" sqref="I4230"/>
    </sheetView>
  </sheetViews>
  <sheetFormatPr defaultColWidth="9" defaultRowHeight="15"/>
  <cols>
    <col min="1" max="1" width="8.140625" style="86" customWidth="1"/>
    <col min="2" max="2" width="20.28515625" style="86" customWidth="1"/>
    <col min="3" max="3" width="16.7109375" style="86" customWidth="1"/>
    <col min="4" max="4" width="20.140625" style="89" customWidth="1"/>
    <col min="5" max="5" width="10" style="86" hidden="1" customWidth="1"/>
    <col min="6" max="6" width="12.42578125" style="90" bestFit="1" customWidth="1"/>
    <col min="7" max="7" width="39" style="92" customWidth="1"/>
    <col min="8" max="8" width="42.140625" style="91" customWidth="1"/>
    <col min="9" max="9" width="12.5703125" style="88" customWidth="1"/>
    <col min="10" max="10" width="12.7109375" style="88" customWidth="1"/>
    <col min="11" max="11" width="25.5703125" style="89" bestFit="1" customWidth="1"/>
    <col min="12" max="12" width="7.42578125" style="86" customWidth="1"/>
    <col min="13" max="13" width="9.28515625" style="87" customWidth="1"/>
    <col min="14" max="14" width="17.28515625" style="87" bestFit="1" customWidth="1"/>
    <col min="15" max="15" width="21.28515625" style="86" customWidth="1"/>
    <col min="16" max="16" width="60.7109375" style="86" customWidth="1"/>
    <col min="17" max="17" width="38.5703125" style="86" customWidth="1"/>
    <col min="18" max="18" width="43" style="86" bestFit="1" customWidth="1"/>
    <col min="19" max="19" width="16.85546875" style="86" customWidth="1"/>
    <col min="20" max="20" width="13.7109375" style="86" customWidth="1"/>
    <col min="21" max="21" width="25.140625" style="86" customWidth="1"/>
    <col min="22" max="22" width="12.42578125" style="86" bestFit="1" customWidth="1"/>
    <col min="23" max="24" width="9" style="86"/>
    <col min="25" max="25" width="11" style="86" bestFit="1" customWidth="1"/>
    <col min="26" max="27" width="9" style="86"/>
    <col min="28" max="28" width="9.7109375" style="86" bestFit="1" customWidth="1"/>
    <col min="29" max="29" width="10.5703125" style="86" customWidth="1"/>
    <col min="30" max="30" width="9" style="86"/>
    <col min="31" max="32" width="9.7109375" style="86" bestFit="1" customWidth="1"/>
    <col min="33" max="16384" width="9" style="86"/>
  </cols>
  <sheetData>
    <row r="1" spans="1:23" ht="15.75">
      <c r="A1" s="81"/>
      <c r="B1" s="81"/>
      <c r="C1" s="81"/>
      <c r="D1" s="82"/>
      <c r="E1" s="81"/>
      <c r="F1" s="83"/>
      <c r="G1" s="81"/>
      <c r="H1" s="84"/>
      <c r="I1" s="84"/>
      <c r="J1" s="84"/>
      <c r="K1" s="82"/>
      <c r="L1">
        <f>SUBTOTAL(9,L3:L5502)</f>
        <v>405</v>
      </c>
      <c r="M1" s="132"/>
      <c r="N1" s="123">
        <f>SUBTOTAL(9,N3:N5502)</f>
        <v>455239.6</v>
      </c>
      <c r="O1" s="81"/>
      <c r="P1" s="81"/>
      <c r="Q1" s="81">
        <f>+N1*0.02</f>
        <v>9104.7919999999995</v>
      </c>
      <c r="R1" s="81"/>
    </row>
    <row r="2" spans="1:23" ht="16.5">
      <c r="A2" s="81" t="s">
        <v>7</v>
      </c>
      <c r="B2" s="81" t="s">
        <v>8</v>
      </c>
      <c r="C2" s="81" t="s">
        <v>9</v>
      </c>
      <c r="D2" s="82" t="s">
        <v>10</v>
      </c>
      <c r="E2" s="81" t="s">
        <v>11</v>
      </c>
      <c r="F2" s="101" t="s">
        <v>12</v>
      </c>
      <c r="G2" s="81" t="s">
        <v>13</v>
      </c>
      <c r="H2" s="81" t="s">
        <v>14</v>
      </c>
      <c r="I2" s="102" t="s">
        <v>15</v>
      </c>
      <c r="J2" s="84" t="s">
        <v>16</v>
      </c>
      <c r="K2" s="82" t="s">
        <v>17</v>
      </c>
      <c r="L2" s="81" t="s">
        <v>18</v>
      </c>
      <c r="M2" s="85" t="s">
        <v>19</v>
      </c>
      <c r="N2" s="85" t="s">
        <v>20</v>
      </c>
      <c r="O2" s="81" t="s">
        <v>21</v>
      </c>
      <c r="P2" s="81" t="s">
        <v>22</v>
      </c>
      <c r="Q2" s="81" t="s">
        <v>23</v>
      </c>
      <c r="R2" s="81" t="s">
        <v>858</v>
      </c>
      <c r="S2" s="86" t="s">
        <v>24</v>
      </c>
      <c r="T2" s="86" t="s">
        <v>713</v>
      </c>
      <c r="U2" s="86" t="s">
        <v>743</v>
      </c>
      <c r="V2" s="86" t="s">
        <v>860</v>
      </c>
      <c r="W2" s="86" t="s">
        <v>863</v>
      </c>
    </row>
    <row r="3" spans="1:23" hidden="1">
      <c r="A3" s="81">
        <v>1</v>
      </c>
      <c r="B3" s="81" t="s">
        <v>1203</v>
      </c>
      <c r="C3" s="81" t="s">
        <v>1226</v>
      </c>
      <c r="D3" s="82" t="str">
        <f ca="1">OFFSET(Roster!$A$3,MATCH(表格1[[#This Row],[Location]]&amp;" "&amp;表格1[[#This Row],[Shop]]&amp;"*",Roster!$A$4:$A$72,0),DAY(表格1[[#This Row],[date]]),1,1)</f>
        <v>Winnie</v>
      </c>
      <c r="E3" s="81">
        <f>MONTH(表格1[[#This Row],[date]])</f>
        <v>3</v>
      </c>
      <c r="F3" s="101">
        <v>46082</v>
      </c>
      <c r="G3" s="81" t="str">
        <f>VLOOKUP("*"&amp;表格1[[#This Row],[Input]]&amp;"*",'Ref-List'!$B:$D,2,)</f>
        <v>TWD-BN90GF4H(WK)</v>
      </c>
      <c r="H3" s="81" t="str">
        <f>_xlfn.XLOOKUP(表格1[[#This Row],[Model]],表格3[Model-Input-Ref2],表格3[Product Line])</f>
        <v>超薄身前置式洗衣乾衣機 (洗8公斤 乾5公斤)</v>
      </c>
      <c r="I3" s="81" t="str">
        <f>_xlfn.XLOOKUP(表格1[[#This Row],[Model]],表格3[Model-Input-Ref2],表格3[大小電])</f>
        <v>大電</v>
      </c>
      <c r="J3" s="81" t="str">
        <f>_xlfn.XLOOKUP(表格1[[#This Row],[Model]],表格3[Model-Input-Ref2],表格3[Code])</f>
        <v>WM</v>
      </c>
      <c r="K3" s="82" t="s">
        <v>1199</v>
      </c>
      <c r="L3" s="81">
        <v>1</v>
      </c>
      <c r="M3" s="85">
        <v>3588</v>
      </c>
      <c r="N3" s="85">
        <f>IFERROR(表格1[[#This Row],[QTY]]*表格1[[#This Row],[Unit Price]],"-")</f>
        <v>3588</v>
      </c>
      <c r="O3" s="134">
        <v>5817993</v>
      </c>
      <c r="P3" s="81"/>
      <c r="Q3" s="81"/>
      <c r="R3" s="81" t="str">
        <f>_xlfn.CONCAT(表格1[[#This Row],[Model]]," ",表格1[[#This Row],[inv no]])</f>
        <v>TWD-BN90GF4H(WK) 5817993</v>
      </c>
      <c r="S3" s="135">
        <f>_xlfn.XLOOKUP(表格1[[#This Row],[Model]],表格3[Model-Input-Ref2],表格3[SRP PRICE])</f>
        <v>5980</v>
      </c>
      <c r="T3" s="43">
        <f>表格1[[#This Row],[Unit Price]]/表格1[[#This Row],[SRP]]</f>
        <v>0.6</v>
      </c>
      <c r="U3" s="86" t="str">
        <f>_xlfn.XLOOKUP(表格1[[#This Row],[Model]],表格3[Model-Input-Ref2],表格3[TOSHIBA/HIGHEST])</f>
        <v>Toshiba SRP</v>
      </c>
      <c r="W3" s="86" t="str">
        <f>_xlfn.CONCAT(表格1[[#This Row],[欄4]],表格1[[#This Row],[inv no]])</f>
        <v>5817993</v>
      </c>
    </row>
    <row r="4" spans="1:23" ht="15.6" hidden="1" customHeight="1">
      <c r="A4" s="81">
        <v>2</v>
      </c>
      <c r="B4" s="81" t="s">
        <v>1203</v>
      </c>
      <c r="C4" s="81" t="s">
        <v>1226</v>
      </c>
      <c r="D4" s="82" t="str">
        <f ca="1">OFFSET(Roster!$A$3,MATCH(表格1[[#This Row],[Location]]&amp;" "&amp;表格1[[#This Row],[Shop]]&amp;"*",Roster!$A$4:$A$72,0),DAY(表格1[[#This Row],[date]]),1,1)</f>
        <v>Winnie</v>
      </c>
      <c r="E4" s="81">
        <f>MONTH(表格1[[#This Row],[date]])</f>
        <v>3</v>
      </c>
      <c r="F4" s="101">
        <v>46082</v>
      </c>
      <c r="G4" s="81" t="str">
        <f>VLOOKUP("*"&amp;表格1[[#This Row],[Input]]&amp;"*",'Ref-List'!$B:$D,2,)</f>
        <v>RC-15ISTHK(W)</v>
      </c>
      <c r="H4" s="81" t="str">
        <f>_xlfn.XLOOKUP(表格1[[#This Row],[Model]],表格3[Model-Input-Ref2],表格3[Product Line])</f>
        <v>磁應電飯煲(1.5公升)</v>
      </c>
      <c r="I4" s="81" t="str">
        <f>_xlfn.XLOOKUP(表格1[[#This Row],[Model]],表格3[Model-Input-Ref2],表格3[大小電])</f>
        <v>細電</v>
      </c>
      <c r="J4" s="81" t="str">
        <f>_xlfn.XLOOKUP(表格1[[#This Row],[Model]],表格3[Model-Input-Ref2],表格3[Code])</f>
        <v>SDA</v>
      </c>
      <c r="K4" s="82" t="s">
        <v>1204</v>
      </c>
      <c r="L4" s="81">
        <v>1</v>
      </c>
      <c r="M4" s="85">
        <v>500</v>
      </c>
      <c r="N4" s="85">
        <f>IFERROR(表格1[[#This Row],[QTY]]*表格1[[#This Row],[Unit Price]],"-")</f>
        <v>500</v>
      </c>
      <c r="O4" s="134">
        <v>5817988</v>
      </c>
      <c r="P4" s="81"/>
      <c r="Q4" s="81"/>
      <c r="R4" s="81" t="str">
        <f>_xlfn.CONCAT(表格1[[#This Row],[Model]]," ",表格1[[#This Row],[inv no]])</f>
        <v>RC-15ISTHK(W) 5817988</v>
      </c>
      <c r="S4" s="135">
        <f>_xlfn.XLOOKUP(表格1[[#This Row],[Model]],表格3[Model-Input-Ref2],表格3[SRP PRICE])</f>
        <v>1688</v>
      </c>
      <c r="T4" s="43">
        <f>表格1[[#This Row],[Unit Price]]/表格1[[#This Row],[SRP]]</f>
        <v>0.29620853080568721</v>
      </c>
      <c r="U4" s="86" t="str">
        <f>_xlfn.XLOOKUP(表格1[[#This Row],[Model]],表格3[Model-Input-Ref2],表格3[TOSHIBA/HIGHEST])</f>
        <v>Toshiba SRP</v>
      </c>
      <c r="W4" s="86" t="str">
        <f>_xlfn.CONCAT(表格1[[#This Row],[欄4]],表格1[[#This Row],[inv no]])</f>
        <v>5817988</v>
      </c>
    </row>
    <row r="5" spans="1:23" ht="15.6" hidden="1" customHeight="1">
      <c r="A5" s="81">
        <v>3</v>
      </c>
      <c r="B5" s="81" t="s">
        <v>1203</v>
      </c>
      <c r="C5" s="81" t="s">
        <v>1226</v>
      </c>
      <c r="D5" s="82" t="str">
        <f ca="1">OFFSET(Roster!$A$3,MATCH(表格1[[#This Row],[Location]]&amp;" "&amp;表格1[[#This Row],[Shop]]&amp;"*",Roster!$A$4:$A$72,0),DAY(表格1[[#This Row],[date]]),1,1)</f>
        <v>Winnie</v>
      </c>
      <c r="E5" s="81">
        <f>MONTH(表格1[[#This Row],[date]])</f>
        <v>3</v>
      </c>
      <c r="F5" s="101">
        <v>46082</v>
      </c>
      <c r="G5" s="81" t="str">
        <f>VLOOKUP("*"&amp;表格1[[#This Row],[Input]]&amp;"*",'Ref-List'!$B:$D,2,)</f>
        <v>RC-15ISTHK(W)</v>
      </c>
      <c r="H5" s="81" t="str">
        <f>_xlfn.XLOOKUP(表格1[[#This Row],[Model]],表格3[Model-Input-Ref2],表格3[Product Line])</f>
        <v>磁應電飯煲(1.5公升)</v>
      </c>
      <c r="I5" s="81" t="str">
        <f>_xlfn.XLOOKUP(表格1[[#This Row],[Model]],表格3[Model-Input-Ref2],表格3[大小電])</f>
        <v>細電</v>
      </c>
      <c r="J5" s="81" t="str">
        <f>_xlfn.XLOOKUP(表格1[[#This Row],[Model]],表格3[Model-Input-Ref2],表格3[Code])</f>
        <v>SDA</v>
      </c>
      <c r="K5" s="82" t="s">
        <v>1204</v>
      </c>
      <c r="L5" s="81">
        <v>1</v>
      </c>
      <c r="M5" s="85">
        <v>500</v>
      </c>
      <c r="N5" s="85">
        <f>IFERROR(表格1[[#This Row],[QTY]]*表格1[[#This Row],[Unit Price]],"-")</f>
        <v>500</v>
      </c>
      <c r="O5" s="134">
        <v>5817996</v>
      </c>
      <c r="P5" s="81"/>
      <c r="Q5" s="81"/>
      <c r="R5" s="81" t="str">
        <f>_xlfn.CONCAT(表格1[[#This Row],[Model]]," ",表格1[[#This Row],[inv no]])</f>
        <v>RC-15ISTHK(W) 5817996</v>
      </c>
      <c r="S5" s="135">
        <f>_xlfn.XLOOKUP(表格1[[#This Row],[Model]],表格3[Model-Input-Ref2],表格3[SRP PRICE])</f>
        <v>1688</v>
      </c>
      <c r="T5" s="43">
        <f>表格1[[#This Row],[Unit Price]]/表格1[[#This Row],[SRP]]</f>
        <v>0.29620853080568721</v>
      </c>
      <c r="U5" s="86" t="str">
        <f>_xlfn.XLOOKUP(表格1[[#This Row],[Model]],表格3[Model-Input-Ref2],表格3[TOSHIBA/HIGHEST])</f>
        <v>Toshiba SRP</v>
      </c>
      <c r="V5" s="86">
        <v>110</v>
      </c>
      <c r="W5" s="86" t="str">
        <f>_xlfn.CONCAT(表格1[[#This Row],[欄4]],表格1[[#This Row],[inv no]])</f>
        <v>1105817996</v>
      </c>
    </row>
    <row r="6" spans="1:23" ht="15" hidden="1" customHeight="1">
      <c r="A6" s="81">
        <v>4</v>
      </c>
      <c r="B6" s="81" t="s">
        <v>1203</v>
      </c>
      <c r="C6" s="81" t="s">
        <v>1226</v>
      </c>
      <c r="D6" s="82" t="str">
        <f ca="1">OFFSET(Roster!$A$3,MATCH(表格1[[#This Row],[Location]]&amp;" "&amp;表格1[[#This Row],[Shop]]&amp;"*",Roster!$A$4:$A$72,0),DAY(表格1[[#This Row],[date]]),1,1)</f>
        <v>Winnie</v>
      </c>
      <c r="E6" s="81">
        <f>MONTH(表格1[[#This Row],[date]])</f>
        <v>3</v>
      </c>
      <c r="F6" s="101">
        <v>46082</v>
      </c>
      <c r="G6" s="81" t="str">
        <f>VLOOKUP("*"&amp;表格1[[#This Row],[Input]]&amp;"*",'Ref-List'!$B:$D,2,)</f>
        <v>GR-A26HSZ(DS)</v>
      </c>
      <c r="H6" s="81" t="str">
        <f>_xlfn.XLOOKUP(表格1[[#This Row],[Model]],表格3[Model-Input-Ref2],表格3[Product Line])</f>
        <v>雙門變頻式環保雪櫃</v>
      </c>
      <c r="I6" s="81" t="str">
        <f>_xlfn.XLOOKUP(表格1[[#This Row],[Model]],表格3[Model-Input-Ref2],表格3[大小電])</f>
        <v>大電</v>
      </c>
      <c r="J6" s="81" t="str">
        <f>_xlfn.XLOOKUP(表格1[[#This Row],[Model]],表格3[Model-Input-Ref2],表格3[Code])</f>
        <v>AC</v>
      </c>
      <c r="K6" s="82" t="s">
        <v>1207</v>
      </c>
      <c r="L6" s="81">
        <v>1</v>
      </c>
      <c r="M6" s="85">
        <v>1500</v>
      </c>
      <c r="N6" s="85">
        <f>IFERROR(表格1[[#This Row],[QTY]]*表格1[[#This Row],[Unit Price]],"-")</f>
        <v>1500</v>
      </c>
      <c r="O6" s="134">
        <v>5817973</v>
      </c>
      <c r="P6" s="81"/>
      <c r="Q6" s="81"/>
      <c r="R6" s="81" t="str">
        <f>_xlfn.CONCAT(表格1[[#This Row],[Model]]," ",表格1[[#This Row],[inv no]])</f>
        <v>GR-A26HSZ(DS) 5817973</v>
      </c>
      <c r="S6" s="135">
        <f>_xlfn.XLOOKUP(表格1[[#This Row],[Model]],表格3[Model-Input-Ref2],表格3[SRP PRICE])</f>
        <v>3780</v>
      </c>
      <c r="T6" s="43">
        <f>表格1[[#This Row],[Unit Price]]/表格1[[#This Row],[SRP]]</f>
        <v>0.3968253968253968</v>
      </c>
      <c r="U6" s="86" t="str">
        <f>_xlfn.XLOOKUP(表格1[[#This Row],[Model]],表格3[Model-Input-Ref2],表格3[TOSHIBA/HIGHEST])</f>
        <v>Toshiba SRP</v>
      </c>
      <c r="V6" s="86">
        <v>110</v>
      </c>
      <c r="W6" s="86" t="str">
        <f>_xlfn.CONCAT(表格1[[#This Row],[欄4]],表格1[[#This Row],[inv no]])</f>
        <v>1105817973</v>
      </c>
    </row>
    <row r="7" spans="1:23" ht="15.6" hidden="1" customHeight="1">
      <c r="A7" s="81">
        <v>5</v>
      </c>
      <c r="B7" s="81" t="s">
        <v>1203</v>
      </c>
      <c r="C7" s="81" t="s">
        <v>1226</v>
      </c>
      <c r="D7" s="82" t="str">
        <f ca="1">OFFSET(Roster!$A$3,MATCH(表格1[[#This Row],[Location]]&amp;" "&amp;表格1[[#This Row],[Shop]]&amp;"*",Roster!$A$4:$A$72,0),DAY(表格1[[#This Row],[date]]),1,1)</f>
        <v>Winnie</v>
      </c>
      <c r="E7" s="81">
        <f>MONTH(表格1[[#This Row],[date]])</f>
        <v>3</v>
      </c>
      <c r="F7" s="101">
        <v>46082</v>
      </c>
      <c r="G7" s="81" t="str">
        <f>VLOOKUP("*"&amp;表格1[[#This Row],[Input]]&amp;"*",'Ref-List'!$B:$D,2,)</f>
        <v>RC-15ISTHK(W)</v>
      </c>
      <c r="H7" s="81" t="str">
        <f>_xlfn.XLOOKUP(表格1[[#This Row],[Model]],表格3[Model-Input-Ref2],表格3[Product Line])</f>
        <v>磁應電飯煲(1.5公升)</v>
      </c>
      <c r="I7" s="81" t="str">
        <f>_xlfn.XLOOKUP(表格1[[#This Row],[Model]],表格3[Model-Input-Ref2],表格3[大小電])</f>
        <v>細電</v>
      </c>
      <c r="J7" s="81" t="str">
        <f>_xlfn.XLOOKUP(表格1[[#This Row],[Model]],表格3[Model-Input-Ref2],表格3[Code])</f>
        <v>SDA</v>
      </c>
      <c r="K7" s="82" t="s">
        <v>1204</v>
      </c>
      <c r="L7" s="81">
        <v>1</v>
      </c>
      <c r="M7" s="85">
        <v>500</v>
      </c>
      <c r="N7" s="85">
        <f>IFERROR(表格1[[#This Row],[QTY]]*表格1[[#This Row],[Unit Price]],"-")</f>
        <v>500</v>
      </c>
      <c r="O7" s="134">
        <v>5817973</v>
      </c>
      <c r="P7" s="81"/>
      <c r="Q7" s="81"/>
      <c r="R7" s="81" t="str">
        <f>_xlfn.CONCAT(表格1[[#This Row],[Model]]," ",表格1[[#This Row],[inv no]])</f>
        <v>RC-15ISTHK(W) 5817973</v>
      </c>
      <c r="S7" s="135">
        <f>_xlfn.XLOOKUP(表格1[[#This Row],[Model]],表格3[Model-Input-Ref2],表格3[SRP PRICE])</f>
        <v>1688</v>
      </c>
      <c r="T7" s="43">
        <f>表格1[[#This Row],[Unit Price]]/表格1[[#This Row],[SRP]]</f>
        <v>0.29620853080568721</v>
      </c>
      <c r="U7" s="86" t="str">
        <f>_xlfn.XLOOKUP(表格1[[#This Row],[Model]],表格3[Model-Input-Ref2],表格3[TOSHIBA/HIGHEST])</f>
        <v>Toshiba SRP</v>
      </c>
      <c r="V7" s="86">
        <v>110</v>
      </c>
      <c r="W7" s="86" t="str">
        <f>_xlfn.CONCAT(表格1[[#This Row],[欄4]],表格1[[#This Row],[inv no]])</f>
        <v>1105817973</v>
      </c>
    </row>
    <row r="8" spans="1:23" ht="15.6" hidden="1" customHeight="1">
      <c r="A8" s="81">
        <v>6</v>
      </c>
      <c r="B8" s="81" t="s">
        <v>1203</v>
      </c>
      <c r="C8" s="81" t="s">
        <v>1226</v>
      </c>
      <c r="D8" s="82" t="str">
        <f ca="1">OFFSET(Roster!$A$3,MATCH(表格1[[#This Row],[Location]]&amp;" "&amp;表格1[[#This Row],[Shop]]&amp;"*",Roster!$A$4:$A$72,0),DAY(表格1[[#This Row],[date]]),1,1)</f>
        <v>Winnie</v>
      </c>
      <c r="E8" s="81">
        <f>MONTH(表格1[[#This Row],[date]])</f>
        <v>3</v>
      </c>
      <c r="F8" s="101">
        <v>46082</v>
      </c>
      <c r="G8" s="81" t="str">
        <f>VLOOKUP("*"&amp;表格1[[#This Row],[Input]]&amp;"*",'Ref-List'!$B:$D,2,)</f>
        <v>TW-BL85A2H(WW)</v>
      </c>
      <c r="H8" s="81" t="str">
        <f>_xlfn.XLOOKUP(表格1[[#This Row],[Model]],表格3[Model-Input-Ref2],表格3[Product Line])</f>
        <v>7.5KG超薄身前置式變頻洗衣機</v>
      </c>
      <c r="I8" s="81" t="str">
        <f>_xlfn.XLOOKUP(表格1[[#This Row],[Model]],表格3[Model-Input-Ref2],表格3[大小電])</f>
        <v>大電</v>
      </c>
      <c r="J8" s="81" t="str">
        <f>_xlfn.XLOOKUP(表格1[[#This Row],[Model]],表格3[Model-Input-Ref2],表格3[Code])</f>
        <v>WM</v>
      </c>
      <c r="K8" s="82" t="s">
        <v>1206</v>
      </c>
      <c r="L8" s="81">
        <v>1</v>
      </c>
      <c r="M8" s="85">
        <v>2588</v>
      </c>
      <c r="N8" s="85">
        <f>IFERROR(表格1[[#This Row],[QTY]]*表格1[[#This Row],[Unit Price]],"-")</f>
        <v>2588</v>
      </c>
      <c r="O8" s="134">
        <v>5817997</v>
      </c>
      <c r="P8" s="81"/>
      <c r="Q8" s="81"/>
      <c r="R8" s="81" t="str">
        <f>_xlfn.CONCAT(表格1[[#This Row],[Model]]," ",表格1[[#This Row],[inv no]])</f>
        <v>TW-BL85A2H(WW) 5817997</v>
      </c>
      <c r="S8" s="135">
        <f>_xlfn.XLOOKUP(表格1[[#This Row],[Model]],表格3[Model-Input-Ref2],表格3[SRP PRICE])</f>
        <v>5080</v>
      </c>
      <c r="T8" s="43">
        <f>表格1[[#This Row],[Unit Price]]/表格1[[#This Row],[SRP]]</f>
        <v>0.50944881889763782</v>
      </c>
      <c r="U8" s="86" t="str">
        <f>_xlfn.XLOOKUP(表格1[[#This Row],[Model]],表格3[Model-Input-Ref2],表格3[TOSHIBA/HIGHEST])</f>
        <v>Toshiba SRP</v>
      </c>
      <c r="V8" s="86">
        <v>110</v>
      </c>
      <c r="W8" s="86" t="str">
        <f>_xlfn.CONCAT(表格1[[#This Row],[欄4]],表格1[[#This Row],[inv no]])</f>
        <v>1105817997</v>
      </c>
    </row>
    <row r="9" spans="1:23" ht="15.6" hidden="1" customHeight="1">
      <c r="A9" s="81">
        <v>7</v>
      </c>
      <c r="B9" s="81" t="s">
        <v>1203</v>
      </c>
      <c r="C9" s="81" t="s">
        <v>1226</v>
      </c>
      <c r="D9" s="82" t="str">
        <f ca="1">OFFSET(Roster!$A$3,MATCH(表格1[[#This Row],[Location]]&amp;" "&amp;表格1[[#This Row],[Shop]]&amp;"*",Roster!$A$4:$A$72,0),DAY(表格1[[#This Row],[date]]),1,1)</f>
        <v>Winnie</v>
      </c>
      <c r="E9" s="81">
        <f>MONTH(表格1[[#This Row],[date]])</f>
        <v>3</v>
      </c>
      <c r="F9" s="101">
        <v>46082</v>
      </c>
      <c r="G9" s="81" t="str">
        <f>VLOOKUP("*"&amp;表格1[[#This Row],[Input]]&amp;"*",'Ref-List'!$B:$D,2,)</f>
        <v>TWP-TSR76THK(W)</v>
      </c>
      <c r="H9" s="81" t="str">
        <f>_xlfn.XLOOKUP(表格1[[#This Row],[Model]],表格3[Model-Input-Ref2],表格3[Product Line])</f>
        <v>RO座檯式飲水機</v>
      </c>
      <c r="I9" s="81" t="str">
        <f>_xlfn.XLOOKUP(表格1[[#This Row],[Model]],表格3[Model-Input-Ref2],表格3[大小電])</f>
        <v>細電</v>
      </c>
      <c r="J9" s="81" t="str">
        <f>_xlfn.XLOOKUP(表格1[[#This Row],[Model]],表格3[Model-Input-Ref2],表格3[Code])</f>
        <v>KWH</v>
      </c>
      <c r="K9" s="82" t="s">
        <v>1197</v>
      </c>
      <c r="L9" s="81">
        <v>1</v>
      </c>
      <c r="M9" s="85">
        <v>1500</v>
      </c>
      <c r="N9" s="85">
        <f>IFERROR(表格1[[#This Row],[QTY]]*表格1[[#This Row],[Unit Price]],"-")</f>
        <v>1500</v>
      </c>
      <c r="O9" s="134">
        <v>6053083</v>
      </c>
      <c r="P9" s="81"/>
      <c r="Q9" s="81"/>
      <c r="R9" s="81" t="str">
        <f>_xlfn.CONCAT(表格1[[#This Row],[Model]]," ",表格1[[#This Row],[inv no]])</f>
        <v>TWP-TSR76THK(W) 6053083</v>
      </c>
      <c r="S9" s="135">
        <f>_xlfn.XLOOKUP(表格1[[#This Row],[Model]],表格3[Model-Input-Ref2],表格3[SRP PRICE])</f>
        <v>2680</v>
      </c>
      <c r="T9" s="43">
        <f>表格1[[#This Row],[Unit Price]]/表格1[[#This Row],[SRP]]</f>
        <v>0.55970149253731338</v>
      </c>
      <c r="U9" s="86" t="str">
        <f>_xlfn.XLOOKUP(表格1[[#This Row],[Model]],表格3[Model-Input-Ref2],表格3[TOSHIBA/HIGHEST])</f>
        <v>Toshiba SRP</v>
      </c>
      <c r="V9" s="86">
        <v>110</v>
      </c>
      <c r="W9" s="86" t="str">
        <f>_xlfn.CONCAT(表格1[[#This Row],[欄4]],表格1[[#This Row],[inv no]])</f>
        <v>1106053083</v>
      </c>
    </row>
    <row r="10" spans="1:23" ht="15.6" hidden="1" customHeight="1">
      <c r="A10" s="81">
        <v>8</v>
      </c>
      <c r="B10" s="81" t="s">
        <v>1203</v>
      </c>
      <c r="C10" s="81" t="s">
        <v>1226</v>
      </c>
      <c r="D10" s="82" t="str">
        <f ca="1">OFFSET(Roster!$A$3,MATCH(表格1[[#This Row],[Location]]&amp;" "&amp;表格1[[#This Row],[Shop]]&amp;"*",Roster!$A$4:$A$72,0),DAY(表格1[[#This Row],[date]]),1,1)</f>
        <v>Winnie</v>
      </c>
      <c r="E10" s="81">
        <f>MONTH(表格1[[#This Row],[date]])</f>
        <v>3</v>
      </c>
      <c r="F10" s="101">
        <v>46082</v>
      </c>
      <c r="G10" s="81" t="str">
        <f>VLOOKUP("*"&amp;表格1[[#This Row],[Input]]&amp;"*",'Ref-List'!$B:$D,2,)</f>
        <v>RC-15ISTHK(W)</v>
      </c>
      <c r="H10" s="81" t="str">
        <f>_xlfn.XLOOKUP(表格1[[#This Row],[Model]],表格3[Model-Input-Ref2],表格3[Product Line])</f>
        <v>磁應電飯煲(1.5公升)</v>
      </c>
      <c r="I10" s="81" t="str">
        <f>_xlfn.XLOOKUP(表格1[[#This Row],[Model]],表格3[Model-Input-Ref2],表格3[大小電])</f>
        <v>細電</v>
      </c>
      <c r="J10" s="81" t="str">
        <f>_xlfn.XLOOKUP(表格1[[#This Row],[Model]],表格3[Model-Input-Ref2],表格3[Code])</f>
        <v>SDA</v>
      </c>
      <c r="K10" s="82" t="s">
        <v>1204</v>
      </c>
      <c r="L10" s="81">
        <v>1</v>
      </c>
      <c r="M10" s="85">
        <v>500</v>
      </c>
      <c r="N10" s="85">
        <f>IFERROR(表格1[[#This Row],[QTY]]*表格1[[#This Row],[Unit Price]],"-")</f>
        <v>500</v>
      </c>
      <c r="O10" s="134">
        <v>6053082</v>
      </c>
      <c r="P10" s="81"/>
      <c r="Q10" s="81"/>
      <c r="R10" s="81" t="str">
        <f>_xlfn.CONCAT(表格1[[#This Row],[Model]]," ",表格1[[#This Row],[inv no]])</f>
        <v>RC-15ISTHK(W) 6053082</v>
      </c>
      <c r="S10" s="135">
        <f>_xlfn.XLOOKUP(表格1[[#This Row],[Model]],表格3[Model-Input-Ref2],表格3[SRP PRICE])</f>
        <v>1688</v>
      </c>
      <c r="T10" s="43">
        <f>表格1[[#This Row],[Unit Price]]/表格1[[#This Row],[SRP]]</f>
        <v>0.29620853080568721</v>
      </c>
      <c r="U10" s="86" t="str">
        <f>_xlfn.XLOOKUP(表格1[[#This Row],[Model]],表格3[Model-Input-Ref2],表格3[TOSHIBA/HIGHEST])</f>
        <v>Toshiba SRP</v>
      </c>
      <c r="V10" s="86">
        <v>110</v>
      </c>
      <c r="W10" s="86" t="str">
        <f>_xlfn.CONCAT(表格1[[#This Row],[欄4]],表格1[[#This Row],[inv no]])</f>
        <v>1106053082</v>
      </c>
    </row>
    <row r="11" spans="1:23" ht="15.6" hidden="1" customHeight="1">
      <c r="A11" s="81">
        <v>9</v>
      </c>
      <c r="B11" s="81" t="s">
        <v>1203</v>
      </c>
      <c r="C11" s="81" t="s">
        <v>1226</v>
      </c>
      <c r="D11" s="82" t="str">
        <f ca="1">OFFSET(Roster!$A$3,MATCH(表格1[[#This Row],[Location]]&amp;" "&amp;表格1[[#This Row],[Shop]]&amp;"*",Roster!$A$4:$A$72,0),DAY(表格1[[#This Row],[date]]),1,1)</f>
        <v>Winnie</v>
      </c>
      <c r="E11" s="81">
        <f>MONTH(表格1[[#This Row],[date]])</f>
        <v>3</v>
      </c>
      <c r="F11" s="101">
        <v>46082</v>
      </c>
      <c r="G11" s="81" t="str">
        <f>VLOOKUP("*"&amp;表格1[[#This Row],[Input]]&amp;"*",'Ref-List'!$B:$D,2,)</f>
        <v>RC-15ISTHK(W)</v>
      </c>
      <c r="H11" s="81" t="str">
        <f>_xlfn.XLOOKUP(表格1[[#This Row],[Model]],表格3[Model-Input-Ref2],表格3[Product Line])</f>
        <v>磁應電飯煲(1.5公升)</v>
      </c>
      <c r="I11" s="81" t="str">
        <f>_xlfn.XLOOKUP(表格1[[#This Row],[Model]],表格3[Model-Input-Ref2],表格3[大小電])</f>
        <v>細電</v>
      </c>
      <c r="J11" s="81" t="str">
        <f>_xlfn.XLOOKUP(表格1[[#This Row],[Model]],表格3[Model-Input-Ref2],表格3[Code])</f>
        <v>SDA</v>
      </c>
      <c r="K11" s="82" t="s">
        <v>1204</v>
      </c>
      <c r="L11" s="81">
        <v>1</v>
      </c>
      <c r="M11" s="85">
        <v>500</v>
      </c>
      <c r="N11" s="85">
        <f>IFERROR(表格1[[#This Row],[QTY]]*表格1[[#This Row],[Unit Price]],"-")</f>
        <v>500</v>
      </c>
      <c r="O11" s="134">
        <v>5818000</v>
      </c>
      <c r="P11" s="81"/>
      <c r="Q11" s="81"/>
      <c r="R11" s="81" t="str">
        <f>_xlfn.CONCAT(表格1[[#This Row],[Model]]," ",表格1[[#This Row],[inv no]])</f>
        <v>RC-15ISTHK(W) 5818000</v>
      </c>
      <c r="S11" s="135">
        <f>_xlfn.XLOOKUP(表格1[[#This Row],[Model]],表格3[Model-Input-Ref2],表格3[SRP PRICE])</f>
        <v>1688</v>
      </c>
      <c r="T11" s="43">
        <f>表格1[[#This Row],[Unit Price]]/表格1[[#This Row],[SRP]]</f>
        <v>0.29620853080568721</v>
      </c>
      <c r="U11" s="86" t="str">
        <f>_xlfn.XLOOKUP(表格1[[#This Row],[Model]],表格3[Model-Input-Ref2],表格3[TOSHIBA/HIGHEST])</f>
        <v>Toshiba SRP</v>
      </c>
      <c r="V11" s="86">
        <v>110</v>
      </c>
      <c r="W11" s="86" t="str">
        <f>_xlfn.CONCAT(表格1[[#This Row],[欄4]],表格1[[#This Row],[inv no]])</f>
        <v>1105818000</v>
      </c>
    </row>
    <row r="12" spans="1:23" ht="15.6" hidden="1" customHeight="1">
      <c r="A12" s="81">
        <v>10</v>
      </c>
      <c r="B12" s="81" t="s">
        <v>1203</v>
      </c>
      <c r="C12" s="81" t="s">
        <v>1226</v>
      </c>
      <c r="D12" s="82" t="str">
        <f ca="1">OFFSET(Roster!$A$3,MATCH(表格1[[#This Row],[Location]]&amp;" "&amp;表格1[[#This Row],[Shop]]&amp;"*",Roster!$A$4:$A$72,0),DAY(表格1[[#This Row],[date]]),1,1)</f>
        <v>Winnie</v>
      </c>
      <c r="E12" s="81">
        <f>MONTH(表格1[[#This Row],[date]])</f>
        <v>3</v>
      </c>
      <c r="F12" s="101">
        <v>46082</v>
      </c>
      <c r="G12" s="81" t="str">
        <f>VLOOKUP("*"&amp;表格1[[#This Row],[Input]]&amp;"*",'Ref-List'!$B:$D,2,)</f>
        <v>RC-15ISTHK(W)</v>
      </c>
      <c r="H12" s="81" t="str">
        <f>_xlfn.XLOOKUP(表格1[[#This Row],[Model]],表格3[Model-Input-Ref2],表格3[Product Line])</f>
        <v>磁應電飯煲(1.5公升)</v>
      </c>
      <c r="I12" s="81" t="str">
        <f>_xlfn.XLOOKUP(表格1[[#This Row],[Model]],表格3[Model-Input-Ref2],表格3[大小電])</f>
        <v>細電</v>
      </c>
      <c r="J12" s="81" t="str">
        <f>_xlfn.XLOOKUP(表格1[[#This Row],[Model]],表格3[Model-Input-Ref2],表格3[Code])</f>
        <v>SDA</v>
      </c>
      <c r="K12" s="82" t="s">
        <v>1204</v>
      </c>
      <c r="L12" s="81">
        <v>1</v>
      </c>
      <c r="M12" s="85">
        <v>500</v>
      </c>
      <c r="N12" s="85">
        <f>IFERROR(表格1[[#This Row],[QTY]]*表格1[[#This Row],[Unit Price]],"-")</f>
        <v>500</v>
      </c>
      <c r="O12" s="134">
        <v>6053087</v>
      </c>
      <c r="P12" s="81"/>
      <c r="Q12" s="81"/>
      <c r="R12" s="81" t="str">
        <f>_xlfn.CONCAT(表格1[[#This Row],[Model]]," ",表格1[[#This Row],[inv no]])</f>
        <v>RC-15ISTHK(W) 6053087</v>
      </c>
      <c r="S12" s="135">
        <f>_xlfn.XLOOKUP(表格1[[#This Row],[Model]],表格3[Model-Input-Ref2],表格3[SRP PRICE])</f>
        <v>1688</v>
      </c>
      <c r="T12" s="43">
        <f>表格1[[#This Row],[Unit Price]]/表格1[[#This Row],[SRP]]</f>
        <v>0.29620853080568721</v>
      </c>
      <c r="U12" s="86" t="str">
        <f>_xlfn.XLOOKUP(表格1[[#This Row],[Model]],表格3[Model-Input-Ref2],表格3[TOSHIBA/HIGHEST])</f>
        <v>Toshiba SRP</v>
      </c>
      <c r="V12" s="86">
        <v>110</v>
      </c>
      <c r="W12" s="86" t="str">
        <f>_xlfn.CONCAT(表格1[[#This Row],[欄4]],表格1[[#This Row],[inv no]])</f>
        <v>1106053087</v>
      </c>
    </row>
    <row r="13" spans="1:23" ht="15.6" hidden="1" customHeight="1">
      <c r="A13" s="81">
        <v>11</v>
      </c>
      <c r="B13" s="81" t="s">
        <v>1203</v>
      </c>
      <c r="C13" s="81" t="s">
        <v>1226</v>
      </c>
      <c r="D13" s="82" t="str">
        <f ca="1">OFFSET(Roster!$A$3,MATCH(表格1[[#This Row],[Location]]&amp;" "&amp;表格1[[#This Row],[Shop]]&amp;"*",Roster!$A$4:$A$72,0),DAY(表格1[[#This Row],[date]]),1,1)</f>
        <v>Winnie</v>
      </c>
      <c r="E13" s="81">
        <f>MONTH(表格1[[#This Row],[date]])</f>
        <v>3</v>
      </c>
      <c r="F13" s="101">
        <v>46088</v>
      </c>
      <c r="G13" s="81" t="str">
        <f>VLOOKUP("*"&amp;表格1[[#This Row],[Input]]&amp;"*",'Ref-List'!$B:$D,2,)</f>
        <v>TW-BL85A2H(WW)</v>
      </c>
      <c r="H13" s="81" t="str">
        <f>_xlfn.XLOOKUP(表格1[[#This Row],[Model]],表格3[Model-Input-Ref2],表格3[Product Line])</f>
        <v>7.5KG超薄身前置式變頻洗衣機</v>
      </c>
      <c r="I13" s="81" t="str">
        <f>_xlfn.XLOOKUP(表格1[[#This Row],[Model]],表格3[Model-Input-Ref2],表格3[大小電])</f>
        <v>大電</v>
      </c>
      <c r="J13" s="81" t="str">
        <f>_xlfn.XLOOKUP(表格1[[#This Row],[Model]],表格3[Model-Input-Ref2],表格3[Code])</f>
        <v>WM</v>
      </c>
      <c r="K13" s="82" t="s">
        <v>1206</v>
      </c>
      <c r="L13" s="81">
        <v>1</v>
      </c>
      <c r="M13" s="85">
        <v>2588</v>
      </c>
      <c r="N13" s="85">
        <f>IFERROR(表格1[[#This Row],[QTY]]*表格1[[#This Row],[Unit Price]],"-")</f>
        <v>2588</v>
      </c>
      <c r="O13" s="134">
        <v>6053308</v>
      </c>
      <c r="P13" s="81"/>
      <c r="Q13" s="81"/>
      <c r="R13" s="81" t="str">
        <f>_xlfn.CONCAT(表格1[[#This Row],[Model]]," ",表格1[[#This Row],[inv no]])</f>
        <v>TW-BL85A2H(WW) 6053308</v>
      </c>
      <c r="S13" s="135">
        <f>_xlfn.XLOOKUP(表格1[[#This Row],[Model]],表格3[Model-Input-Ref2],表格3[SRP PRICE])</f>
        <v>5080</v>
      </c>
      <c r="T13" s="43">
        <f>表格1[[#This Row],[Unit Price]]/表格1[[#This Row],[SRP]]</f>
        <v>0.50944881889763782</v>
      </c>
      <c r="U13" s="86" t="str">
        <f>_xlfn.XLOOKUP(表格1[[#This Row],[Model]],表格3[Model-Input-Ref2],表格3[TOSHIBA/HIGHEST])</f>
        <v>Toshiba SRP</v>
      </c>
      <c r="V13" s="86">
        <v>110</v>
      </c>
      <c r="W13" s="86" t="str">
        <f>_xlfn.CONCAT(表格1[[#This Row],[欄4]],表格1[[#This Row],[inv no]])</f>
        <v>1106053308</v>
      </c>
    </row>
    <row r="14" spans="1:23" ht="15.6" hidden="1" customHeight="1">
      <c r="A14" s="81">
        <v>12</v>
      </c>
      <c r="B14" s="81" t="s">
        <v>1203</v>
      </c>
      <c r="C14" s="81" t="s">
        <v>1226</v>
      </c>
      <c r="D14" s="82" t="str">
        <f ca="1">OFFSET(Roster!$A$3,MATCH(表格1[[#This Row],[Location]]&amp;" "&amp;表格1[[#This Row],[Shop]]&amp;"*",Roster!$A$4:$A$72,0),DAY(表格1[[#This Row],[date]]),1,1)</f>
        <v>Winnie</v>
      </c>
      <c r="E14" s="81">
        <f>MONTH(表格1[[#This Row],[date]])</f>
        <v>3</v>
      </c>
      <c r="F14" s="101">
        <v>46088</v>
      </c>
      <c r="G14" s="81" t="str">
        <f>VLOOKUP("*"&amp;表格1[[#This Row],[Input]]&amp;"*",'Ref-List'!$B:$D,2,)</f>
        <v>TWP-TSR76THK(W)</v>
      </c>
      <c r="H14" s="81" t="str">
        <f>_xlfn.XLOOKUP(表格1[[#This Row],[Model]],表格3[Model-Input-Ref2],表格3[Product Line])</f>
        <v>RO座檯式飲水機</v>
      </c>
      <c r="I14" s="81" t="str">
        <f>_xlfn.XLOOKUP(表格1[[#This Row],[Model]],表格3[Model-Input-Ref2],表格3[大小電])</f>
        <v>細電</v>
      </c>
      <c r="J14" s="81" t="str">
        <f>_xlfn.XLOOKUP(表格1[[#This Row],[Model]],表格3[Model-Input-Ref2],表格3[Code])</f>
        <v>KWH</v>
      </c>
      <c r="K14" s="82" t="s">
        <v>1197</v>
      </c>
      <c r="L14" s="81">
        <v>1</v>
      </c>
      <c r="M14" s="85">
        <v>1500</v>
      </c>
      <c r="N14" s="85">
        <f>IFERROR(表格1[[#This Row],[QTY]]*表格1[[#This Row],[Unit Price]],"-")</f>
        <v>1500</v>
      </c>
      <c r="O14" s="134">
        <v>6053308</v>
      </c>
      <c r="P14" s="81"/>
      <c r="Q14" s="81"/>
      <c r="R14" s="81" t="str">
        <f>_xlfn.CONCAT(表格1[[#This Row],[Model]]," ",表格1[[#This Row],[inv no]])</f>
        <v>TWP-TSR76THK(W) 6053308</v>
      </c>
      <c r="S14" s="135">
        <f>_xlfn.XLOOKUP(表格1[[#This Row],[Model]],表格3[Model-Input-Ref2],表格3[SRP PRICE])</f>
        <v>2680</v>
      </c>
      <c r="T14" s="43">
        <f>表格1[[#This Row],[Unit Price]]/表格1[[#This Row],[SRP]]</f>
        <v>0.55970149253731338</v>
      </c>
      <c r="U14" s="86" t="str">
        <f>_xlfn.XLOOKUP(表格1[[#This Row],[Model]],表格3[Model-Input-Ref2],表格3[TOSHIBA/HIGHEST])</f>
        <v>Toshiba SRP</v>
      </c>
      <c r="V14" s="86">
        <v>110</v>
      </c>
      <c r="W14" s="86" t="str">
        <f>_xlfn.CONCAT(表格1[[#This Row],[欄4]],表格1[[#This Row],[inv no]])</f>
        <v>1106053308</v>
      </c>
    </row>
    <row r="15" spans="1:23" ht="15.6" hidden="1" customHeight="1">
      <c r="A15" s="81">
        <v>13</v>
      </c>
      <c r="B15" s="81" t="s">
        <v>1203</v>
      </c>
      <c r="C15" s="81" t="s">
        <v>1226</v>
      </c>
      <c r="D15" s="82" t="str">
        <f ca="1">OFFSET(Roster!$A$3,MATCH(表格1[[#This Row],[Location]]&amp;" "&amp;表格1[[#This Row],[Shop]]&amp;"*",Roster!$A$4:$A$72,0),DAY(表格1[[#This Row],[date]]),1,1)</f>
        <v>Winnie</v>
      </c>
      <c r="E15" s="81">
        <f>MONTH(表格1[[#This Row],[date]])</f>
        <v>3</v>
      </c>
      <c r="F15" s="101">
        <v>46088</v>
      </c>
      <c r="G15" s="81" t="str">
        <f>VLOOKUP("*"&amp;表格1[[#This Row],[Input]]&amp;"*",'Ref-List'!$B:$D,2,)</f>
        <v>RC-15ISTHK(W)</v>
      </c>
      <c r="H15" s="81" t="str">
        <f>_xlfn.XLOOKUP(表格1[[#This Row],[Model]],表格3[Model-Input-Ref2],表格3[Product Line])</f>
        <v>磁應電飯煲(1.5公升)</v>
      </c>
      <c r="I15" s="81" t="str">
        <f>_xlfn.XLOOKUP(表格1[[#This Row],[Model]],表格3[Model-Input-Ref2],表格3[大小電])</f>
        <v>細電</v>
      </c>
      <c r="J15" s="81" t="str">
        <f>_xlfn.XLOOKUP(表格1[[#This Row],[Model]],表格3[Model-Input-Ref2],表格3[Code])</f>
        <v>SDA</v>
      </c>
      <c r="K15" s="82" t="s">
        <v>1204</v>
      </c>
      <c r="L15" s="81">
        <v>1</v>
      </c>
      <c r="M15" s="85">
        <v>500</v>
      </c>
      <c r="N15" s="85">
        <f>IFERROR(表格1[[#This Row],[QTY]]*表格1[[#This Row],[Unit Price]],"-")</f>
        <v>500</v>
      </c>
      <c r="O15" s="134">
        <v>6053092</v>
      </c>
      <c r="P15" s="81"/>
      <c r="Q15" s="81"/>
      <c r="R15" s="81" t="str">
        <f>_xlfn.CONCAT(表格1[[#This Row],[Model]]," ",表格1[[#This Row],[inv no]])</f>
        <v>RC-15ISTHK(W) 6053092</v>
      </c>
      <c r="S15" s="135">
        <f>_xlfn.XLOOKUP(表格1[[#This Row],[Model]],表格3[Model-Input-Ref2],表格3[SRP PRICE])</f>
        <v>1688</v>
      </c>
      <c r="T15" s="43">
        <f>表格1[[#This Row],[Unit Price]]/表格1[[#This Row],[SRP]]</f>
        <v>0.29620853080568721</v>
      </c>
      <c r="U15" s="86" t="str">
        <f>_xlfn.XLOOKUP(表格1[[#This Row],[Model]],表格3[Model-Input-Ref2],表格3[TOSHIBA/HIGHEST])</f>
        <v>Toshiba SRP</v>
      </c>
      <c r="V15" s="86">
        <v>110</v>
      </c>
      <c r="W15" s="86" t="str">
        <f>_xlfn.CONCAT(表格1[[#This Row],[欄4]],表格1[[#This Row],[inv no]])</f>
        <v>1106053092</v>
      </c>
    </row>
    <row r="16" spans="1:23" ht="15.6" hidden="1" customHeight="1">
      <c r="A16" s="81">
        <v>14</v>
      </c>
      <c r="B16" s="81" t="s">
        <v>1203</v>
      </c>
      <c r="C16" s="81" t="s">
        <v>1226</v>
      </c>
      <c r="D16" s="82" t="str">
        <f ca="1">OFFSET(Roster!$A$3,MATCH(表格1[[#This Row],[Location]]&amp;" "&amp;表格1[[#This Row],[Shop]]&amp;"*",Roster!$A$4:$A$72,0),DAY(表格1[[#This Row],[date]]),1,1)</f>
        <v>Winnie</v>
      </c>
      <c r="E16" s="81">
        <f>MONTH(表格1[[#This Row],[date]])</f>
        <v>3</v>
      </c>
      <c r="F16" s="101">
        <v>46088</v>
      </c>
      <c r="G16" s="81" t="str">
        <f>VLOOKUP("*"&amp;表格1[[#This Row],[Input]]&amp;"*",'Ref-List'!$B:$D,2,)</f>
        <v>RC-15ISTHK(W)</v>
      </c>
      <c r="H16" s="81" t="str">
        <f>_xlfn.XLOOKUP(表格1[[#This Row],[Model]],表格3[Model-Input-Ref2],表格3[Product Line])</f>
        <v>磁應電飯煲(1.5公升)</v>
      </c>
      <c r="I16" s="81" t="str">
        <f>_xlfn.XLOOKUP(表格1[[#This Row],[Model]],表格3[Model-Input-Ref2],表格3[大小電])</f>
        <v>細電</v>
      </c>
      <c r="J16" s="81" t="str">
        <f>_xlfn.XLOOKUP(表格1[[#This Row],[Model]],表格3[Model-Input-Ref2],表格3[Code])</f>
        <v>SDA</v>
      </c>
      <c r="K16" s="82" t="s">
        <v>1204</v>
      </c>
      <c r="L16" s="81">
        <v>1</v>
      </c>
      <c r="M16" s="85">
        <v>500</v>
      </c>
      <c r="N16" s="85">
        <f>IFERROR(表格1[[#This Row],[QTY]]*表格1[[#This Row],[Unit Price]],"-")</f>
        <v>500</v>
      </c>
      <c r="O16" s="134">
        <v>6053340</v>
      </c>
      <c r="P16" s="81"/>
      <c r="Q16" s="81"/>
      <c r="R16" s="81" t="str">
        <f>_xlfn.CONCAT(表格1[[#This Row],[Model]]," ",表格1[[#This Row],[inv no]])</f>
        <v>RC-15ISTHK(W) 6053340</v>
      </c>
      <c r="S16" s="135">
        <f>_xlfn.XLOOKUP(表格1[[#This Row],[Model]],表格3[Model-Input-Ref2],表格3[SRP PRICE])</f>
        <v>1688</v>
      </c>
      <c r="T16" s="43">
        <f>表格1[[#This Row],[Unit Price]]/表格1[[#This Row],[SRP]]</f>
        <v>0.29620853080568721</v>
      </c>
      <c r="U16" s="86" t="str">
        <f>_xlfn.XLOOKUP(表格1[[#This Row],[Model]],表格3[Model-Input-Ref2],表格3[TOSHIBA/HIGHEST])</f>
        <v>Toshiba SRP</v>
      </c>
      <c r="V16" s="86">
        <v>110</v>
      </c>
      <c r="W16" s="86" t="str">
        <f>_xlfn.CONCAT(表格1[[#This Row],[欄4]],表格1[[#This Row],[inv no]])</f>
        <v>1106053340</v>
      </c>
    </row>
    <row r="17" spans="1:23" ht="15.6" hidden="1" customHeight="1">
      <c r="A17" s="81">
        <v>15</v>
      </c>
      <c r="B17" s="81" t="s">
        <v>1203</v>
      </c>
      <c r="C17" s="81" t="s">
        <v>1226</v>
      </c>
      <c r="D17" s="82" t="str">
        <f ca="1">OFFSET(Roster!$A$3,MATCH(表格1[[#This Row],[Location]]&amp;" "&amp;表格1[[#This Row],[Shop]]&amp;"*",Roster!$A$4:$A$72,0),DAY(表格1[[#This Row],[date]]),1,1)</f>
        <v>Winnie</v>
      </c>
      <c r="E17" s="81">
        <f>MONTH(表格1[[#This Row],[date]])</f>
        <v>3</v>
      </c>
      <c r="F17" s="101">
        <v>46088</v>
      </c>
      <c r="G17" s="81" t="str">
        <f>VLOOKUP("*"&amp;表格1[[#This Row],[Input]]&amp;"*",'Ref-List'!$B:$D,2,)</f>
        <v>AW-M901BPH(WW)</v>
      </c>
      <c r="H17" s="81" t="str">
        <f>_xlfn.XLOOKUP(表格1[[#This Row],[Model]],表格3[Model-Input-Ref2],表格3[Product Line])</f>
        <v>全自動洗衣機 (8公斤 結合高低水位)</v>
      </c>
      <c r="I17" s="81" t="str">
        <f>_xlfn.XLOOKUP(表格1[[#This Row],[Model]],表格3[Model-Input-Ref2],表格3[大小電])</f>
        <v>大電</v>
      </c>
      <c r="J17" s="81" t="str">
        <f>_xlfn.XLOOKUP(表格1[[#This Row],[Model]],表格3[Model-Input-Ref2],表格3[Code])</f>
        <v>WM</v>
      </c>
      <c r="K17" s="82" t="s">
        <v>1202</v>
      </c>
      <c r="L17" s="81">
        <v>1</v>
      </c>
      <c r="M17" s="85">
        <v>1500</v>
      </c>
      <c r="N17" s="85">
        <f>IFERROR(表格1[[#This Row],[QTY]]*表格1[[#This Row],[Unit Price]],"-")</f>
        <v>1500</v>
      </c>
      <c r="O17" s="134">
        <v>6053341</v>
      </c>
      <c r="P17" s="81"/>
      <c r="Q17" s="81"/>
      <c r="R17" s="81" t="str">
        <f>_xlfn.CONCAT(表格1[[#This Row],[Model]]," ",表格1[[#This Row],[inv no]])</f>
        <v>AW-M901BPH(WW) 6053341</v>
      </c>
      <c r="S17" s="135">
        <f>_xlfn.XLOOKUP(表格1[[#This Row],[Model]],表格3[Model-Input-Ref2],表格3[SRP PRICE])</f>
        <v>3580</v>
      </c>
      <c r="T17" s="43">
        <f>表格1[[#This Row],[Unit Price]]/表格1[[#This Row],[SRP]]</f>
        <v>0.41899441340782123</v>
      </c>
      <c r="U17" s="86" t="str">
        <f>_xlfn.XLOOKUP(表格1[[#This Row],[Model]],表格3[Model-Input-Ref2],表格3[TOSHIBA/HIGHEST])</f>
        <v>Toshiba SRP</v>
      </c>
      <c r="V17" s="86">
        <v>110</v>
      </c>
      <c r="W17" s="86" t="str">
        <f>_xlfn.CONCAT(表格1[[#This Row],[欄4]],表格1[[#This Row],[inv no]])</f>
        <v>1106053341</v>
      </c>
    </row>
    <row r="18" spans="1:23" ht="15.6" hidden="1" customHeight="1">
      <c r="A18" s="81">
        <v>16</v>
      </c>
      <c r="B18" s="81" t="s">
        <v>1203</v>
      </c>
      <c r="C18" s="81" t="s">
        <v>1226</v>
      </c>
      <c r="D18" s="82" t="str">
        <f ca="1">OFFSET(Roster!$A$3,MATCH(表格1[[#This Row],[Location]]&amp;" "&amp;表格1[[#This Row],[Shop]]&amp;"*",Roster!$A$4:$A$72,0),DAY(表格1[[#This Row],[date]]),1,1)</f>
        <v>Winnie</v>
      </c>
      <c r="E18" s="81">
        <f>MONTH(表格1[[#This Row],[date]])</f>
        <v>3</v>
      </c>
      <c r="F18" s="101">
        <v>46088</v>
      </c>
      <c r="G18" s="81" t="str">
        <f>VLOOKUP("*"&amp;表格1[[#This Row],[Input]]&amp;"*",'Ref-List'!$B:$D,2,)</f>
        <v>MW2-MM24PC(BK)</v>
      </c>
      <c r="H18" s="81" t="str">
        <f>_xlfn.XLOOKUP(表格1[[#This Row],[Model]],表格3[Model-Input-Ref2],表格3[Product Line])</f>
        <v>旋鈕式微波爐24L</v>
      </c>
      <c r="I18" s="81" t="str">
        <f>_xlfn.XLOOKUP(表格1[[#This Row],[Model]],表格3[Model-Input-Ref2],表格3[大小電])</f>
        <v>細電</v>
      </c>
      <c r="J18" s="81" t="str">
        <f>_xlfn.XLOOKUP(表格1[[#This Row],[Model]],表格3[Model-Input-Ref2],表格3[Code])</f>
        <v>SDA</v>
      </c>
      <c r="K18" s="82" t="s">
        <v>1196</v>
      </c>
      <c r="L18" s="81">
        <v>1</v>
      </c>
      <c r="M18" s="85">
        <v>500</v>
      </c>
      <c r="N18" s="85">
        <f>IFERROR(表格1[[#This Row],[QTY]]*表格1[[#This Row],[Unit Price]],"-")</f>
        <v>500</v>
      </c>
      <c r="O18" s="134">
        <v>6053341</v>
      </c>
      <c r="P18" s="81"/>
      <c r="Q18" s="81"/>
      <c r="R18" s="81" t="str">
        <f>_xlfn.CONCAT(表格1[[#This Row],[Model]]," ",表格1[[#This Row],[inv no]])</f>
        <v>MW2-MM24PC(BK) 6053341</v>
      </c>
      <c r="S18" s="135">
        <f>_xlfn.XLOOKUP(表格1[[#This Row],[Model]],表格3[Model-Input-Ref2],表格3[SRP PRICE])</f>
        <v>848</v>
      </c>
      <c r="T18" s="43">
        <f>表格1[[#This Row],[Unit Price]]/表格1[[#This Row],[SRP]]</f>
        <v>0.589622641509434</v>
      </c>
      <c r="U18" s="86" t="str">
        <f>_xlfn.XLOOKUP(表格1[[#This Row],[Model]],表格3[Model-Input-Ref2],表格3[TOSHIBA/HIGHEST])</f>
        <v>Toshiba SRP</v>
      </c>
      <c r="V18" s="86">
        <v>110</v>
      </c>
      <c r="W18" s="86" t="str">
        <f>_xlfn.CONCAT(表格1[[#This Row],[欄4]],表格1[[#This Row],[inv no]])</f>
        <v>1106053341</v>
      </c>
    </row>
    <row r="19" spans="1:23" ht="15.6" hidden="1" customHeight="1">
      <c r="A19" s="81">
        <v>17</v>
      </c>
      <c r="B19" s="81" t="s">
        <v>1203</v>
      </c>
      <c r="C19" s="81" t="s">
        <v>1226</v>
      </c>
      <c r="D19" s="82" t="str">
        <f ca="1">OFFSET(Roster!$A$3,MATCH(表格1[[#This Row],[Location]]&amp;" "&amp;表格1[[#This Row],[Shop]]&amp;"*",Roster!$A$4:$A$72,0),DAY(表格1[[#This Row],[date]]),1,1)</f>
        <v>Winnie</v>
      </c>
      <c r="E19" s="81">
        <f>MONTH(表格1[[#This Row],[date]])</f>
        <v>3</v>
      </c>
      <c r="F19" s="101">
        <v>46088</v>
      </c>
      <c r="G19" s="81" t="str">
        <f>VLOOKUP("*"&amp;表格1[[#This Row],[Input]]&amp;"*",'Ref-List'!$B:$D,2,)</f>
        <v>RC-5MMIH(WT)</v>
      </c>
      <c r="H19" s="81" t="str">
        <f>_xlfn.XLOOKUP(表格1[[#This Row],[Model]],表格3[Model-Input-Ref2],表格3[Product Line])</f>
        <v>4毫米厚釜電飯煲0.54L</v>
      </c>
      <c r="I19" s="81" t="str">
        <f>_xlfn.XLOOKUP(表格1[[#This Row],[Model]],表格3[Model-Input-Ref2],表格3[大小電])</f>
        <v>細電</v>
      </c>
      <c r="J19" s="81" t="str">
        <f>_xlfn.XLOOKUP(表格1[[#This Row],[Model]],表格3[Model-Input-Ref2],表格3[Code])</f>
        <v>SDA</v>
      </c>
      <c r="K19" s="82" t="s">
        <v>1195</v>
      </c>
      <c r="L19" s="81">
        <v>1</v>
      </c>
      <c r="M19" s="85">
        <v>490</v>
      </c>
      <c r="N19" s="85">
        <f>IFERROR(表格1[[#This Row],[QTY]]*表格1[[#This Row],[Unit Price]],"-")</f>
        <v>490</v>
      </c>
      <c r="O19" s="134">
        <v>3061366</v>
      </c>
      <c r="P19" s="81"/>
      <c r="Q19" s="81"/>
      <c r="R19" s="81" t="str">
        <f>_xlfn.CONCAT(表格1[[#This Row],[Model]]," ",表格1[[#This Row],[inv no]])</f>
        <v>RC-5MMIH(WT) 3061366</v>
      </c>
      <c r="S19" s="135">
        <f>_xlfn.XLOOKUP(表格1[[#This Row],[Model]],表格3[Model-Input-Ref2],表格3[SRP PRICE])</f>
        <v>618</v>
      </c>
      <c r="T19" s="43">
        <f>表格1[[#This Row],[Unit Price]]/表格1[[#This Row],[SRP]]</f>
        <v>0.79288025889967639</v>
      </c>
      <c r="U19" s="86" t="str">
        <f>_xlfn.XLOOKUP(表格1[[#This Row],[Model]],表格3[Model-Input-Ref2],表格3[TOSHIBA/HIGHEST])</f>
        <v>Toshiba SRP</v>
      </c>
      <c r="V19" s="86">
        <v>110</v>
      </c>
      <c r="W19" s="86" t="str">
        <f>_xlfn.CONCAT(表格1[[#This Row],[欄4]],表格1[[#This Row],[inv no]])</f>
        <v>1103061366</v>
      </c>
    </row>
    <row r="20" spans="1:23" ht="15.6" hidden="1" customHeight="1">
      <c r="A20" s="81">
        <v>18</v>
      </c>
      <c r="B20" s="81" t="s">
        <v>1203</v>
      </c>
      <c r="C20" s="81" t="s">
        <v>1226</v>
      </c>
      <c r="D20" s="82" t="str">
        <f ca="1">OFFSET(Roster!$A$3,MATCH(表格1[[#This Row],[Location]]&amp;" "&amp;表格1[[#This Row],[Shop]]&amp;"*",Roster!$A$4:$A$72,0),DAY(表格1[[#This Row],[date]]),1,1)</f>
        <v>Winnie</v>
      </c>
      <c r="E20" s="81">
        <f>MONTH(表格1[[#This Row],[date]])</f>
        <v>3</v>
      </c>
      <c r="F20" s="101">
        <v>46088</v>
      </c>
      <c r="G20" s="81" t="str">
        <f>VLOOKUP("*"&amp;表格1[[#This Row],[Input]]&amp;"*",'Ref-List'!$B:$D,2,)</f>
        <v>MW2-MM24PC(BK)</v>
      </c>
      <c r="H20" s="81" t="str">
        <f>_xlfn.XLOOKUP(表格1[[#This Row],[Model]],表格3[Model-Input-Ref2],表格3[Product Line])</f>
        <v>旋鈕式微波爐24L</v>
      </c>
      <c r="I20" s="81" t="str">
        <f>_xlfn.XLOOKUP(表格1[[#This Row],[Model]],表格3[Model-Input-Ref2],表格3[大小電])</f>
        <v>細電</v>
      </c>
      <c r="J20" s="81" t="str">
        <f>_xlfn.XLOOKUP(表格1[[#This Row],[Model]],表格3[Model-Input-Ref2],表格3[Code])</f>
        <v>SDA</v>
      </c>
      <c r="K20" s="82" t="s">
        <v>1196</v>
      </c>
      <c r="L20" s="81">
        <v>1</v>
      </c>
      <c r="M20" s="85">
        <v>500</v>
      </c>
      <c r="N20" s="85">
        <f>IFERROR(表格1[[#This Row],[QTY]]*表格1[[#This Row],[Unit Price]],"-")</f>
        <v>500</v>
      </c>
      <c r="O20" s="134">
        <v>6053339</v>
      </c>
      <c r="P20" s="81"/>
      <c r="Q20" s="81"/>
      <c r="R20" s="81" t="str">
        <f>_xlfn.CONCAT(表格1[[#This Row],[Model]]," ",表格1[[#This Row],[inv no]])</f>
        <v>MW2-MM24PC(BK) 6053339</v>
      </c>
      <c r="S20" s="135">
        <f>_xlfn.XLOOKUP(表格1[[#This Row],[Model]],表格3[Model-Input-Ref2],表格3[SRP PRICE])</f>
        <v>848</v>
      </c>
      <c r="T20" s="43">
        <f>表格1[[#This Row],[Unit Price]]/表格1[[#This Row],[SRP]]</f>
        <v>0.589622641509434</v>
      </c>
      <c r="U20" s="86" t="str">
        <f>_xlfn.XLOOKUP(表格1[[#This Row],[Model]],表格3[Model-Input-Ref2],表格3[TOSHIBA/HIGHEST])</f>
        <v>Toshiba SRP</v>
      </c>
      <c r="V20" s="86">
        <v>110</v>
      </c>
      <c r="W20" s="86" t="str">
        <f>_xlfn.CONCAT(表格1[[#This Row],[欄4]],表格1[[#This Row],[inv no]])</f>
        <v>1106053339</v>
      </c>
    </row>
    <row r="21" spans="1:23" ht="15.6" hidden="1" customHeight="1">
      <c r="A21" s="81">
        <v>19</v>
      </c>
      <c r="B21" s="81" t="s">
        <v>1203</v>
      </c>
      <c r="C21" s="81" t="s">
        <v>1226</v>
      </c>
      <c r="D21" s="82" t="str">
        <f ca="1">OFFSET(Roster!$A$3,MATCH(表格1[[#This Row],[Location]]&amp;" "&amp;表格1[[#This Row],[Shop]]&amp;"*",Roster!$A$4:$A$72,0),DAY(表格1[[#This Row],[date]]),1,1)</f>
        <v>Winnie</v>
      </c>
      <c r="E21" s="81">
        <f>MONTH(表格1[[#This Row],[date]])</f>
        <v>3</v>
      </c>
      <c r="F21" s="101">
        <v>46089</v>
      </c>
      <c r="G21" s="81" t="str">
        <f>VLOOKUP("*"&amp;表格1[[#This Row],[Input]]&amp;"*",'Ref-List'!$B:$D,2,)</f>
        <v>TW-BL85A2H(WW)</v>
      </c>
      <c r="H21" s="81" t="str">
        <f>_xlfn.XLOOKUP(表格1[[#This Row],[Model]],表格3[Model-Input-Ref2],表格3[Product Line])</f>
        <v>7.5KG超薄身前置式變頻洗衣機</v>
      </c>
      <c r="I21" s="81" t="str">
        <f>_xlfn.XLOOKUP(表格1[[#This Row],[Model]],表格3[Model-Input-Ref2],表格3[大小電])</f>
        <v>大電</v>
      </c>
      <c r="J21" s="81" t="str">
        <f>_xlfn.XLOOKUP(表格1[[#This Row],[Model]],表格3[Model-Input-Ref2],表格3[Code])</f>
        <v>WM</v>
      </c>
      <c r="K21" s="82" t="s">
        <v>1206</v>
      </c>
      <c r="L21" s="81">
        <v>1</v>
      </c>
      <c r="M21" s="85">
        <v>2588</v>
      </c>
      <c r="N21" s="85">
        <f>IFERROR(表格1[[#This Row],[QTY]]*表格1[[#This Row],[Unit Price]],"-")</f>
        <v>2588</v>
      </c>
      <c r="O21" s="134">
        <v>6053323</v>
      </c>
      <c r="P21" s="81"/>
      <c r="Q21" s="81"/>
      <c r="R21" s="81" t="str">
        <f>_xlfn.CONCAT(表格1[[#This Row],[Model]]," ",表格1[[#This Row],[inv no]])</f>
        <v>TW-BL85A2H(WW) 6053323</v>
      </c>
      <c r="S21" s="135">
        <f>_xlfn.XLOOKUP(表格1[[#This Row],[Model]],表格3[Model-Input-Ref2],表格3[SRP PRICE])</f>
        <v>5080</v>
      </c>
      <c r="T21" s="43">
        <f>表格1[[#This Row],[Unit Price]]/表格1[[#This Row],[SRP]]</f>
        <v>0.50944881889763782</v>
      </c>
      <c r="U21" s="86" t="str">
        <f>_xlfn.XLOOKUP(表格1[[#This Row],[Model]],表格3[Model-Input-Ref2],表格3[TOSHIBA/HIGHEST])</f>
        <v>Toshiba SRP</v>
      </c>
      <c r="V21" s="86">
        <v>110</v>
      </c>
      <c r="W21" s="86" t="str">
        <f>_xlfn.CONCAT(表格1[[#This Row],[欄4]],表格1[[#This Row],[inv no]])</f>
        <v>1106053323</v>
      </c>
    </row>
    <row r="22" spans="1:23" ht="15.6" hidden="1" customHeight="1">
      <c r="A22" s="81">
        <v>20</v>
      </c>
      <c r="B22" s="81" t="s">
        <v>1203</v>
      </c>
      <c r="C22" s="81" t="s">
        <v>1226</v>
      </c>
      <c r="D22" s="82" t="str">
        <f ca="1">OFFSET(Roster!$A$3,MATCH(表格1[[#This Row],[Location]]&amp;" "&amp;表格1[[#This Row],[Shop]]&amp;"*",Roster!$A$4:$A$72,0),DAY(表格1[[#This Row],[date]]),1,1)</f>
        <v>Winnie</v>
      </c>
      <c r="E22" s="81">
        <f>MONTH(表格1[[#This Row],[date]])</f>
        <v>3</v>
      </c>
      <c r="F22" s="101">
        <v>46089</v>
      </c>
      <c r="G22" s="81" t="str">
        <f>VLOOKUP("*"&amp;表格1[[#This Row],[Input]]&amp;"*",'Ref-List'!$B:$D,2,)</f>
        <v>RC-15ISTHK(W)</v>
      </c>
      <c r="H22" s="81" t="str">
        <f>_xlfn.XLOOKUP(表格1[[#This Row],[Model]],表格3[Model-Input-Ref2],表格3[Product Line])</f>
        <v>磁應電飯煲(1.5公升)</v>
      </c>
      <c r="I22" s="81" t="str">
        <f>_xlfn.XLOOKUP(表格1[[#This Row],[Model]],表格3[Model-Input-Ref2],表格3[大小電])</f>
        <v>細電</v>
      </c>
      <c r="J22" s="81" t="str">
        <f>_xlfn.XLOOKUP(表格1[[#This Row],[Model]],表格3[Model-Input-Ref2],表格3[Code])</f>
        <v>SDA</v>
      </c>
      <c r="K22" s="82" t="s">
        <v>1204</v>
      </c>
      <c r="L22" s="81">
        <v>1</v>
      </c>
      <c r="M22" s="85">
        <v>500</v>
      </c>
      <c r="N22" s="85">
        <f>IFERROR(表格1[[#This Row],[QTY]]*表格1[[#This Row],[Unit Price]],"-")</f>
        <v>500</v>
      </c>
      <c r="O22" s="134">
        <v>6053349</v>
      </c>
      <c r="P22" s="81"/>
      <c r="Q22" s="81"/>
      <c r="R22" s="81" t="str">
        <f>_xlfn.CONCAT(表格1[[#This Row],[Model]]," ",表格1[[#This Row],[inv no]])</f>
        <v>RC-15ISTHK(W) 6053349</v>
      </c>
      <c r="S22" s="135">
        <f>_xlfn.XLOOKUP(表格1[[#This Row],[Model]],表格3[Model-Input-Ref2],表格3[SRP PRICE])</f>
        <v>1688</v>
      </c>
      <c r="T22" s="43">
        <f>表格1[[#This Row],[Unit Price]]/表格1[[#This Row],[SRP]]</f>
        <v>0.29620853080568721</v>
      </c>
      <c r="U22" s="86" t="str">
        <f>_xlfn.XLOOKUP(表格1[[#This Row],[Model]],表格3[Model-Input-Ref2],表格3[TOSHIBA/HIGHEST])</f>
        <v>Toshiba SRP</v>
      </c>
      <c r="V22" s="86">
        <v>110</v>
      </c>
      <c r="W22" s="86" t="str">
        <f>_xlfn.CONCAT(表格1[[#This Row],[欄4]],表格1[[#This Row],[inv no]])</f>
        <v>1106053349</v>
      </c>
    </row>
    <row r="23" spans="1:23" ht="15.6" hidden="1" customHeight="1">
      <c r="A23" s="81">
        <v>21</v>
      </c>
      <c r="B23" s="81" t="s">
        <v>1203</v>
      </c>
      <c r="C23" s="81" t="s">
        <v>1226</v>
      </c>
      <c r="D23" s="82" t="str">
        <f ca="1">OFFSET(Roster!$A$3,MATCH(表格1[[#This Row],[Location]]&amp;" "&amp;表格1[[#This Row],[Shop]]&amp;"*",Roster!$A$4:$A$72,0),DAY(表格1[[#This Row],[date]]),1,1)</f>
        <v>Winnie</v>
      </c>
      <c r="E23" s="81">
        <f>MONTH(表格1[[#This Row],[date]])</f>
        <v>3</v>
      </c>
      <c r="F23" s="101">
        <v>46089</v>
      </c>
      <c r="G23" s="81" t="str">
        <f>VLOOKUP("*"&amp;表格1[[#This Row],[Input]]&amp;"*",'Ref-List'!$B:$D,2,)</f>
        <v>TWP-TSR76THK(W)</v>
      </c>
      <c r="H23" s="81" t="str">
        <f>_xlfn.XLOOKUP(表格1[[#This Row],[Model]],表格3[Model-Input-Ref2],表格3[Product Line])</f>
        <v>RO座檯式飲水機</v>
      </c>
      <c r="I23" s="81" t="str">
        <f>_xlfn.XLOOKUP(表格1[[#This Row],[Model]],表格3[Model-Input-Ref2],表格3[大小電])</f>
        <v>細電</v>
      </c>
      <c r="J23" s="81" t="str">
        <f>_xlfn.XLOOKUP(表格1[[#This Row],[Model]],表格3[Model-Input-Ref2],表格3[Code])</f>
        <v>KWH</v>
      </c>
      <c r="K23" s="82" t="s">
        <v>1197</v>
      </c>
      <c r="L23" s="81">
        <v>1</v>
      </c>
      <c r="M23" s="85">
        <v>1500</v>
      </c>
      <c r="N23" s="85">
        <f>IFERROR(表格1[[#This Row],[QTY]]*表格1[[#This Row],[Unit Price]],"-")</f>
        <v>1500</v>
      </c>
      <c r="O23" s="134">
        <v>6053354</v>
      </c>
      <c r="P23" s="81"/>
      <c r="Q23" s="81"/>
      <c r="R23" s="81" t="str">
        <f>_xlfn.CONCAT(表格1[[#This Row],[Model]]," ",表格1[[#This Row],[inv no]])</f>
        <v>TWP-TSR76THK(W) 6053354</v>
      </c>
      <c r="S23" s="135">
        <f>_xlfn.XLOOKUP(表格1[[#This Row],[Model]],表格3[Model-Input-Ref2],表格3[SRP PRICE])</f>
        <v>2680</v>
      </c>
      <c r="T23" s="43">
        <f>表格1[[#This Row],[Unit Price]]/表格1[[#This Row],[SRP]]</f>
        <v>0.55970149253731338</v>
      </c>
      <c r="U23" s="86" t="str">
        <f>_xlfn.XLOOKUP(表格1[[#This Row],[Model]],表格3[Model-Input-Ref2],表格3[TOSHIBA/HIGHEST])</f>
        <v>Toshiba SRP</v>
      </c>
      <c r="V23" s="86">
        <v>110</v>
      </c>
      <c r="W23" s="86" t="str">
        <f>_xlfn.CONCAT(表格1[[#This Row],[欄4]],表格1[[#This Row],[inv no]])</f>
        <v>1106053354</v>
      </c>
    </row>
    <row r="24" spans="1:23" ht="15.6" hidden="1" customHeight="1">
      <c r="A24" s="81">
        <v>22</v>
      </c>
      <c r="B24" s="81" t="s">
        <v>1203</v>
      </c>
      <c r="C24" s="81" t="s">
        <v>1226</v>
      </c>
      <c r="D24" s="82" t="str">
        <f ca="1">OFFSET(Roster!$A$3,MATCH(表格1[[#This Row],[Location]]&amp;" "&amp;表格1[[#This Row],[Shop]]&amp;"*",Roster!$A$4:$A$72,0),DAY(表格1[[#This Row],[date]]),1,1)</f>
        <v>Winnie</v>
      </c>
      <c r="E24" s="81">
        <f>MONTH(表格1[[#This Row],[date]])</f>
        <v>3</v>
      </c>
      <c r="F24" s="101">
        <v>46089</v>
      </c>
      <c r="G24" s="81" t="str">
        <f>VLOOKUP("*"&amp;表格1[[#This Row],[Input]]&amp;"*",'Ref-List'!$B:$D,2,)</f>
        <v>RC-15ISTHK(W)</v>
      </c>
      <c r="H24" s="81" t="str">
        <f>_xlfn.XLOOKUP(表格1[[#This Row],[Model]],表格3[Model-Input-Ref2],表格3[Product Line])</f>
        <v>磁應電飯煲(1.5公升)</v>
      </c>
      <c r="I24" s="81" t="str">
        <f>_xlfn.XLOOKUP(表格1[[#This Row],[Model]],表格3[Model-Input-Ref2],表格3[大小電])</f>
        <v>細電</v>
      </c>
      <c r="J24" s="81" t="str">
        <f>_xlfn.XLOOKUP(表格1[[#This Row],[Model]],表格3[Model-Input-Ref2],表格3[Code])</f>
        <v>SDA</v>
      </c>
      <c r="K24" s="82" t="s">
        <v>1204</v>
      </c>
      <c r="L24" s="81">
        <v>1</v>
      </c>
      <c r="M24" s="85">
        <v>500</v>
      </c>
      <c r="N24" s="85">
        <f>IFERROR(表格1[[#This Row],[QTY]]*表格1[[#This Row],[Unit Price]],"-")</f>
        <v>500</v>
      </c>
      <c r="O24" s="134">
        <v>6053360</v>
      </c>
      <c r="P24" s="136"/>
      <c r="Q24" s="81"/>
      <c r="R24" s="81" t="str">
        <f>_xlfn.CONCAT(表格1[[#This Row],[Model]]," ",表格1[[#This Row],[inv no]])</f>
        <v>RC-15ISTHK(W) 6053360</v>
      </c>
      <c r="S24" s="135">
        <f>_xlfn.XLOOKUP(表格1[[#This Row],[Model]],表格3[Model-Input-Ref2],表格3[SRP PRICE])</f>
        <v>1688</v>
      </c>
      <c r="T24" s="43">
        <f>表格1[[#This Row],[Unit Price]]/表格1[[#This Row],[SRP]]</f>
        <v>0.29620853080568721</v>
      </c>
      <c r="U24" s="86" t="str">
        <f>_xlfn.XLOOKUP(表格1[[#This Row],[Model]],表格3[Model-Input-Ref2],表格3[TOSHIBA/HIGHEST])</f>
        <v>Toshiba SRP</v>
      </c>
      <c r="V24" s="86">
        <v>110</v>
      </c>
      <c r="W24" s="86" t="str">
        <f>_xlfn.CONCAT(表格1[[#This Row],[欄4]],表格1[[#This Row],[inv no]])</f>
        <v>1106053360</v>
      </c>
    </row>
    <row r="25" spans="1:23" ht="15.6" hidden="1" customHeight="1">
      <c r="A25" s="81">
        <v>23</v>
      </c>
      <c r="B25" s="81" t="s">
        <v>1203</v>
      </c>
      <c r="C25" s="81" t="s">
        <v>1226</v>
      </c>
      <c r="D25" s="82" t="str">
        <f ca="1">OFFSET(Roster!$A$3,MATCH(表格1[[#This Row],[Location]]&amp;" "&amp;表格1[[#This Row],[Shop]]&amp;"*",Roster!$A$4:$A$72,0),DAY(表格1[[#This Row],[date]]),1,1)</f>
        <v>Winnie</v>
      </c>
      <c r="E25" s="81">
        <f>MONTH(表格1[[#This Row],[date]])</f>
        <v>3</v>
      </c>
      <c r="F25" s="101">
        <v>46089</v>
      </c>
      <c r="G25" s="81" t="str">
        <f>VLOOKUP("*"&amp;表格1[[#This Row],[Input]]&amp;"*",'Ref-List'!$B:$D,2,)</f>
        <v>GR-A26HSZ(DS)</v>
      </c>
      <c r="H25" s="81" t="str">
        <f>_xlfn.XLOOKUP(表格1[[#This Row],[Model]],表格3[Model-Input-Ref2],表格3[Product Line])</f>
        <v>雙門變頻式環保雪櫃</v>
      </c>
      <c r="I25" s="81" t="str">
        <f>_xlfn.XLOOKUP(表格1[[#This Row],[Model]],表格3[Model-Input-Ref2],表格3[大小電])</f>
        <v>大電</v>
      </c>
      <c r="J25" s="81" t="str">
        <f>_xlfn.XLOOKUP(表格1[[#This Row],[Model]],表格3[Model-Input-Ref2],表格3[Code])</f>
        <v>AC</v>
      </c>
      <c r="K25" s="82" t="s">
        <v>1207</v>
      </c>
      <c r="L25" s="81">
        <v>1</v>
      </c>
      <c r="M25" s="85">
        <v>1500</v>
      </c>
      <c r="N25" s="85">
        <f>IFERROR(表格1[[#This Row],[QTY]]*表格1[[#This Row],[Unit Price]],"-")</f>
        <v>1500</v>
      </c>
      <c r="O25" s="134">
        <v>6053359</v>
      </c>
      <c r="P25" s="136"/>
      <c r="Q25" s="81"/>
      <c r="R25" s="81" t="str">
        <f>_xlfn.CONCAT(表格1[[#This Row],[Model]]," ",表格1[[#This Row],[inv no]])</f>
        <v>GR-A26HSZ(DS) 6053359</v>
      </c>
      <c r="S25" s="135">
        <f>_xlfn.XLOOKUP(表格1[[#This Row],[Model]],表格3[Model-Input-Ref2],表格3[SRP PRICE])</f>
        <v>3780</v>
      </c>
      <c r="T25" s="43">
        <f>表格1[[#This Row],[Unit Price]]/表格1[[#This Row],[SRP]]</f>
        <v>0.3968253968253968</v>
      </c>
      <c r="U25" s="86" t="str">
        <f>_xlfn.XLOOKUP(表格1[[#This Row],[Model]],表格3[Model-Input-Ref2],表格3[TOSHIBA/HIGHEST])</f>
        <v>Toshiba SRP</v>
      </c>
      <c r="V25" s="86">
        <v>110</v>
      </c>
      <c r="W25" s="86" t="str">
        <f>_xlfn.CONCAT(表格1[[#This Row],[欄4]],表格1[[#This Row],[inv no]])</f>
        <v>1106053359</v>
      </c>
    </row>
    <row r="26" spans="1:23" ht="15.6" hidden="1" customHeight="1">
      <c r="A26" s="81">
        <v>24</v>
      </c>
      <c r="B26" s="81" t="s">
        <v>1203</v>
      </c>
      <c r="C26" s="81" t="s">
        <v>1226</v>
      </c>
      <c r="D26" s="82" t="str">
        <f ca="1">OFFSET(Roster!$A$3,MATCH(表格1[[#This Row],[Location]]&amp;" "&amp;表格1[[#This Row],[Shop]]&amp;"*",Roster!$A$4:$A$72,0),DAY(表格1[[#This Row],[date]]),1,1)</f>
        <v>Winnie</v>
      </c>
      <c r="E26" s="81">
        <f>MONTH(表格1[[#This Row],[date]])</f>
        <v>3</v>
      </c>
      <c r="F26" s="101">
        <v>46089</v>
      </c>
      <c r="G26" s="81" t="str">
        <f>VLOOKUP("*"&amp;表格1[[#This Row],[Input]]&amp;"*",'Ref-List'!$B:$D,2,)</f>
        <v>PC-48DRSHK(K)</v>
      </c>
      <c r="H26" s="81" t="str">
        <f>_xlfn.XLOOKUP(表格1[[#This Row],[Model]],表格3[Model-Input-Ref2],表格3[Product Line])</f>
        <v>電壓力鍋</v>
      </c>
      <c r="I26" s="81" t="str">
        <f>_xlfn.XLOOKUP(表格1[[#This Row],[Model]],表格3[Model-Input-Ref2],表格3[大小電])</f>
        <v>細電</v>
      </c>
      <c r="J26" s="81" t="str">
        <f>_xlfn.XLOOKUP(表格1[[#This Row],[Model]],表格3[Model-Input-Ref2],表格3[Code])</f>
        <v>SDA</v>
      </c>
      <c r="K26" s="82" t="s">
        <v>1154</v>
      </c>
      <c r="L26" s="81">
        <v>1</v>
      </c>
      <c r="M26" s="85">
        <v>890</v>
      </c>
      <c r="N26" s="85">
        <f>IFERROR(表格1[[#This Row],[QTY]]*表格1[[#This Row],[Unit Price]],"-")</f>
        <v>890</v>
      </c>
      <c r="O26" s="134">
        <v>3061458</v>
      </c>
      <c r="P26" s="136"/>
      <c r="Q26" s="81"/>
      <c r="R26" s="81" t="str">
        <f>_xlfn.CONCAT(表格1[[#This Row],[Model]]," ",表格1[[#This Row],[inv no]])</f>
        <v>PC-48DRSHK(K) 3061458</v>
      </c>
      <c r="S26" s="135">
        <f>_xlfn.XLOOKUP(表格1[[#This Row],[Model]],表格3[Model-Input-Ref2],表格3[SRP PRICE])</f>
        <v>1188</v>
      </c>
      <c r="T26" s="43">
        <f>表格1[[#This Row],[Unit Price]]/表格1[[#This Row],[SRP]]</f>
        <v>0.74915824915824913</v>
      </c>
      <c r="U26" s="86" t="str">
        <f>_xlfn.XLOOKUP(表格1[[#This Row],[Model]],表格3[Model-Input-Ref2],表格3[TOSHIBA/HIGHEST])</f>
        <v>Shops Highest Price</v>
      </c>
      <c r="V26" s="86">
        <v>110</v>
      </c>
      <c r="W26" s="86" t="str">
        <f>_xlfn.CONCAT(表格1[[#This Row],[欄4]],表格1[[#This Row],[inv no]])</f>
        <v>1103061458</v>
      </c>
    </row>
    <row r="27" spans="1:23" ht="15.6" hidden="1" customHeight="1">
      <c r="A27" s="81">
        <v>25</v>
      </c>
      <c r="B27" s="81" t="s">
        <v>1203</v>
      </c>
      <c r="C27" s="81" t="s">
        <v>1226</v>
      </c>
      <c r="D27" s="82" t="str">
        <f ca="1">OFFSET(Roster!$A$3,MATCH(表格1[[#This Row],[Location]]&amp;" "&amp;表格1[[#This Row],[Shop]]&amp;"*",Roster!$A$4:$A$72,0),DAY(表格1[[#This Row],[date]]),1,1)</f>
        <v>Winnie</v>
      </c>
      <c r="E27" s="81">
        <f>MONTH(表格1[[#This Row],[date]])</f>
        <v>3</v>
      </c>
      <c r="F27" s="101">
        <v>46095</v>
      </c>
      <c r="G27" s="81" t="str">
        <f>VLOOKUP("*"&amp;表格1[[#This Row],[Input]]&amp;"*",'Ref-List'!$B:$D,2,)</f>
        <v>RC-15ISTHK(W)</v>
      </c>
      <c r="H27" s="81" t="str">
        <f>_xlfn.XLOOKUP(表格1[[#This Row],[Model]],表格3[Model-Input-Ref2],表格3[Product Line])</f>
        <v>磁應電飯煲(1.5公升)</v>
      </c>
      <c r="I27" s="81" t="str">
        <f>_xlfn.XLOOKUP(表格1[[#This Row],[Model]],表格3[Model-Input-Ref2],表格3[大小電])</f>
        <v>細電</v>
      </c>
      <c r="J27" s="81" t="str">
        <f>_xlfn.XLOOKUP(表格1[[#This Row],[Model]],表格3[Model-Input-Ref2],表格3[Code])</f>
        <v>SDA</v>
      </c>
      <c r="K27" s="82" t="s">
        <v>1204</v>
      </c>
      <c r="L27" s="81">
        <v>1</v>
      </c>
      <c r="M27" s="85">
        <v>500</v>
      </c>
      <c r="N27" s="85">
        <f>IFERROR(表格1[[#This Row],[QTY]]*表格1[[#This Row],[Unit Price]],"-")</f>
        <v>500</v>
      </c>
      <c r="O27" s="134">
        <v>6053362</v>
      </c>
      <c r="P27" s="136"/>
      <c r="Q27" s="81"/>
      <c r="R27" s="81" t="str">
        <f>_xlfn.CONCAT(表格1[[#This Row],[Model]]," ",表格1[[#This Row],[inv no]])</f>
        <v>RC-15ISTHK(W) 6053362</v>
      </c>
      <c r="S27" s="135">
        <f>_xlfn.XLOOKUP(表格1[[#This Row],[Model]],表格3[Model-Input-Ref2],表格3[SRP PRICE])</f>
        <v>1688</v>
      </c>
      <c r="T27" s="43">
        <f>表格1[[#This Row],[Unit Price]]/表格1[[#This Row],[SRP]]</f>
        <v>0.29620853080568721</v>
      </c>
      <c r="U27" s="86" t="str">
        <f>_xlfn.XLOOKUP(表格1[[#This Row],[Model]],表格3[Model-Input-Ref2],表格3[TOSHIBA/HIGHEST])</f>
        <v>Toshiba SRP</v>
      </c>
      <c r="V27" s="86">
        <v>110</v>
      </c>
      <c r="W27" s="86" t="str">
        <f>_xlfn.CONCAT(表格1[[#This Row],[欄4]],表格1[[#This Row],[inv no]])</f>
        <v>1106053362</v>
      </c>
    </row>
    <row r="28" spans="1:23" ht="15.6" hidden="1" customHeight="1">
      <c r="A28" s="81">
        <v>26</v>
      </c>
      <c r="B28" s="81" t="s">
        <v>1203</v>
      </c>
      <c r="C28" s="81" t="s">
        <v>1226</v>
      </c>
      <c r="D28" s="82" t="str">
        <f ca="1">OFFSET(Roster!$A$3,MATCH(表格1[[#This Row],[Location]]&amp;" "&amp;表格1[[#This Row],[Shop]]&amp;"*",Roster!$A$4:$A$72,0),DAY(表格1[[#This Row],[date]]),1,1)</f>
        <v>Winnie</v>
      </c>
      <c r="E28" s="81">
        <f>MONTH(表格1[[#This Row],[date]])</f>
        <v>3</v>
      </c>
      <c r="F28" s="101">
        <v>46095</v>
      </c>
      <c r="G28" s="81" t="str">
        <f>VLOOKUP("*"&amp;表格1[[#This Row],[Input]]&amp;"*",'Ref-List'!$B:$D,2,)</f>
        <v>AW-M901BPH(WW)</v>
      </c>
      <c r="H28" s="81" t="str">
        <f>_xlfn.XLOOKUP(表格1[[#This Row],[Model]],表格3[Model-Input-Ref2],表格3[Product Line])</f>
        <v>全自動洗衣機 (8公斤 結合高低水位)</v>
      </c>
      <c r="I28" s="81" t="str">
        <f>_xlfn.XLOOKUP(表格1[[#This Row],[Model]],表格3[Model-Input-Ref2],表格3[大小電])</f>
        <v>大電</v>
      </c>
      <c r="J28" s="81" t="str">
        <f>_xlfn.XLOOKUP(表格1[[#This Row],[Model]],表格3[Model-Input-Ref2],表格3[Code])</f>
        <v>WM</v>
      </c>
      <c r="K28" s="82" t="s">
        <v>1202</v>
      </c>
      <c r="L28" s="81">
        <v>1</v>
      </c>
      <c r="M28" s="85">
        <v>1500</v>
      </c>
      <c r="N28" s="85">
        <f>IFERROR(表格1[[#This Row],[QTY]]*表格1[[#This Row],[Unit Price]],"-")</f>
        <v>1500</v>
      </c>
      <c r="O28" s="134">
        <v>6053306</v>
      </c>
      <c r="P28" s="136"/>
      <c r="Q28" s="81"/>
      <c r="R28" s="81" t="str">
        <f>_xlfn.CONCAT(表格1[[#This Row],[Model]]," ",表格1[[#This Row],[inv no]])</f>
        <v>AW-M901BPH(WW) 6053306</v>
      </c>
      <c r="S28" s="135">
        <f>_xlfn.XLOOKUP(表格1[[#This Row],[Model]],表格3[Model-Input-Ref2],表格3[SRP PRICE])</f>
        <v>3580</v>
      </c>
      <c r="T28" s="43">
        <f>表格1[[#This Row],[Unit Price]]/表格1[[#This Row],[SRP]]</f>
        <v>0.41899441340782123</v>
      </c>
      <c r="U28" s="86" t="str">
        <f>_xlfn.XLOOKUP(表格1[[#This Row],[Model]],表格3[Model-Input-Ref2],表格3[TOSHIBA/HIGHEST])</f>
        <v>Toshiba SRP</v>
      </c>
      <c r="V28" s="86">
        <v>110</v>
      </c>
      <c r="W28" s="86" t="str">
        <f>_xlfn.CONCAT(表格1[[#This Row],[欄4]],表格1[[#This Row],[inv no]])</f>
        <v>1106053306</v>
      </c>
    </row>
    <row r="29" spans="1:23" ht="15.6" hidden="1" customHeight="1">
      <c r="A29" s="81">
        <v>27</v>
      </c>
      <c r="B29" s="81" t="s">
        <v>1203</v>
      </c>
      <c r="C29" s="81" t="s">
        <v>1226</v>
      </c>
      <c r="D29" s="82" t="str">
        <f ca="1">OFFSET(Roster!$A$3,MATCH(表格1[[#This Row],[Location]]&amp;" "&amp;表格1[[#This Row],[Shop]]&amp;"*",Roster!$A$4:$A$72,0),DAY(表格1[[#This Row],[date]]),1,1)</f>
        <v>Winnie</v>
      </c>
      <c r="E29" s="81">
        <f>MONTH(表格1[[#This Row],[date]])</f>
        <v>3</v>
      </c>
      <c r="F29" s="101">
        <v>46095</v>
      </c>
      <c r="G29" s="81" t="str">
        <f>VLOOKUP("*"&amp;表格1[[#This Row],[Input]]&amp;"*",'Ref-List'!$B:$D,2,)</f>
        <v>AW-M901BPH(WW)</v>
      </c>
      <c r="H29" s="81" t="str">
        <f>_xlfn.XLOOKUP(表格1[[#This Row],[Model]],表格3[Model-Input-Ref2],表格3[Product Line])</f>
        <v>全自動洗衣機 (8公斤 結合高低水位)</v>
      </c>
      <c r="I29" s="81" t="str">
        <f>_xlfn.XLOOKUP(表格1[[#This Row],[Model]],表格3[Model-Input-Ref2],表格3[大小電])</f>
        <v>大電</v>
      </c>
      <c r="J29" s="81" t="str">
        <f>_xlfn.XLOOKUP(表格1[[#This Row],[Model]],表格3[Model-Input-Ref2],表格3[Code])</f>
        <v>WM</v>
      </c>
      <c r="K29" s="82" t="s">
        <v>1202</v>
      </c>
      <c r="L29" s="81">
        <v>1</v>
      </c>
      <c r="M29" s="85">
        <v>1500</v>
      </c>
      <c r="N29" s="85">
        <f>IFERROR(表格1[[#This Row],[QTY]]*表格1[[#This Row],[Unit Price]],"-")</f>
        <v>1500</v>
      </c>
      <c r="O29" s="134">
        <v>6053369</v>
      </c>
      <c r="P29" s="136"/>
      <c r="Q29" s="81"/>
      <c r="R29" s="81" t="str">
        <f>_xlfn.CONCAT(表格1[[#This Row],[Model]]," ",表格1[[#This Row],[inv no]])</f>
        <v>AW-M901BPH(WW) 6053369</v>
      </c>
      <c r="S29" s="135">
        <f>_xlfn.XLOOKUP(表格1[[#This Row],[Model]],表格3[Model-Input-Ref2],表格3[SRP PRICE])</f>
        <v>3580</v>
      </c>
      <c r="T29" s="43">
        <f>表格1[[#This Row],[Unit Price]]/表格1[[#This Row],[SRP]]</f>
        <v>0.41899441340782123</v>
      </c>
      <c r="U29" s="86" t="str">
        <f>_xlfn.XLOOKUP(表格1[[#This Row],[Model]],表格3[Model-Input-Ref2],表格3[TOSHIBA/HIGHEST])</f>
        <v>Toshiba SRP</v>
      </c>
      <c r="V29" s="86">
        <v>110</v>
      </c>
      <c r="W29" s="86" t="str">
        <f>_xlfn.CONCAT(表格1[[#This Row],[欄4]],表格1[[#This Row],[inv no]])</f>
        <v>1106053369</v>
      </c>
    </row>
    <row r="30" spans="1:23" ht="15.6" hidden="1" customHeight="1">
      <c r="A30" s="81">
        <v>28</v>
      </c>
      <c r="B30" s="81" t="s">
        <v>1203</v>
      </c>
      <c r="C30" s="81" t="s">
        <v>1226</v>
      </c>
      <c r="D30" s="82" t="str">
        <f ca="1">OFFSET(Roster!$A$3,MATCH(表格1[[#This Row],[Location]]&amp;" "&amp;表格1[[#This Row],[Shop]]&amp;"*",Roster!$A$4:$A$72,0),DAY(表格1[[#This Row],[date]]),1,1)</f>
        <v>Winnie</v>
      </c>
      <c r="E30" s="81">
        <f>MONTH(表格1[[#This Row],[date]])</f>
        <v>3</v>
      </c>
      <c r="F30" s="101">
        <v>46095</v>
      </c>
      <c r="G30" s="81" t="str">
        <f>VLOOKUP("*"&amp;表格1[[#This Row],[Input]]&amp;"*",'Ref-List'!$B:$D,2,)</f>
        <v>PLK-45SFIH(WT)</v>
      </c>
      <c r="H30" s="81" t="str">
        <f>_xlfn.XLOOKUP(表格1[[#This Row],[Model]],表格3[Model-Input-Ref2],表格3[Product Line])</f>
        <v>電熱水瓶4.5L</v>
      </c>
      <c r="I30" s="81" t="str">
        <f>_xlfn.XLOOKUP(表格1[[#This Row],[Model]],表格3[Model-Input-Ref2],表格3[大小電])</f>
        <v>細電</v>
      </c>
      <c r="J30" s="81" t="str">
        <f>_xlfn.XLOOKUP(表格1[[#This Row],[Model]],表格3[Model-Input-Ref2],表格3[Code])</f>
        <v>SDA</v>
      </c>
      <c r="K30" s="82" t="s">
        <v>1117</v>
      </c>
      <c r="L30" s="81">
        <v>1</v>
      </c>
      <c r="M30" s="85">
        <v>500</v>
      </c>
      <c r="N30" s="85">
        <f>IFERROR(表格1[[#This Row],[QTY]]*表格1[[#This Row],[Unit Price]],"-")</f>
        <v>500</v>
      </c>
      <c r="O30" s="134">
        <v>6053378</v>
      </c>
      <c r="P30" s="137"/>
      <c r="Q30" s="81"/>
      <c r="R30" s="81" t="str">
        <f>_xlfn.CONCAT(表格1[[#This Row],[Model]]," ",表格1[[#This Row],[inv no]])</f>
        <v>PLK-45SFIH(WT) 6053378</v>
      </c>
      <c r="S30" s="135">
        <f>_xlfn.XLOOKUP(表格1[[#This Row],[Model]],表格3[Model-Input-Ref2],表格3[SRP PRICE])</f>
        <v>788</v>
      </c>
      <c r="T30" s="43">
        <f>表格1[[#This Row],[Unit Price]]/表格1[[#This Row],[SRP]]</f>
        <v>0.63451776649746194</v>
      </c>
      <c r="U30" s="86" t="str">
        <f>_xlfn.XLOOKUP(表格1[[#This Row],[Model]],表格3[Model-Input-Ref2],表格3[TOSHIBA/HIGHEST])</f>
        <v>Toshiba SRP</v>
      </c>
      <c r="V30" s="86">
        <v>110</v>
      </c>
      <c r="W30" s="86" t="str">
        <f>_xlfn.CONCAT(表格1[[#This Row],[欄4]],表格1[[#This Row],[inv no]])</f>
        <v>1106053378</v>
      </c>
    </row>
    <row r="31" spans="1:23" ht="15.6" hidden="1" customHeight="1">
      <c r="A31" s="81">
        <v>29</v>
      </c>
      <c r="B31" s="81" t="s">
        <v>1203</v>
      </c>
      <c r="C31" s="81" t="s">
        <v>1226</v>
      </c>
      <c r="D31" s="82" t="str">
        <f ca="1">OFFSET(Roster!$A$3,MATCH(表格1[[#This Row],[Location]]&amp;" "&amp;表格1[[#This Row],[Shop]]&amp;"*",Roster!$A$4:$A$72,0),DAY(表格1[[#This Row],[date]]),1,1)</f>
        <v>Winnie</v>
      </c>
      <c r="E31" s="81">
        <f>MONTH(表格1[[#This Row],[date]])</f>
        <v>3</v>
      </c>
      <c r="F31" s="101">
        <v>46095</v>
      </c>
      <c r="G31" s="81" t="str">
        <f>VLOOKUP("*"&amp;表格1[[#This Row],[Input]]&amp;"*",'Ref-List'!$B:$D,2,)</f>
        <v>AW-M901BPH(WW)</v>
      </c>
      <c r="H31" s="81" t="str">
        <f>_xlfn.XLOOKUP(表格1[[#This Row],[Model]],表格3[Model-Input-Ref2],表格3[Product Line])</f>
        <v>全自動洗衣機 (8公斤 結合高低水位)</v>
      </c>
      <c r="I31" s="81" t="str">
        <f>_xlfn.XLOOKUP(表格1[[#This Row],[Model]],表格3[Model-Input-Ref2],表格3[大小電])</f>
        <v>大電</v>
      </c>
      <c r="J31" s="81" t="str">
        <f>_xlfn.XLOOKUP(表格1[[#This Row],[Model]],表格3[Model-Input-Ref2],表格3[Code])</f>
        <v>WM</v>
      </c>
      <c r="K31" s="82" t="s">
        <v>1202</v>
      </c>
      <c r="L31" s="81">
        <v>1</v>
      </c>
      <c r="M31" s="85">
        <v>1500</v>
      </c>
      <c r="N31" s="85">
        <f>IFERROR(表格1[[#This Row],[QTY]]*表格1[[#This Row],[Unit Price]],"-")</f>
        <v>1500</v>
      </c>
      <c r="O31" s="134">
        <v>6053388</v>
      </c>
      <c r="P31" s="137"/>
      <c r="Q31" s="81"/>
      <c r="R31" s="81" t="str">
        <f>_xlfn.CONCAT(表格1[[#This Row],[Model]]," ",表格1[[#This Row],[inv no]])</f>
        <v>AW-M901BPH(WW) 6053388</v>
      </c>
      <c r="S31" s="135">
        <f>_xlfn.XLOOKUP(表格1[[#This Row],[Model]],表格3[Model-Input-Ref2],表格3[SRP PRICE])</f>
        <v>3580</v>
      </c>
      <c r="T31" s="43">
        <f>表格1[[#This Row],[Unit Price]]/表格1[[#This Row],[SRP]]</f>
        <v>0.41899441340782123</v>
      </c>
      <c r="U31" s="86" t="str">
        <f>_xlfn.XLOOKUP(表格1[[#This Row],[Model]],表格3[Model-Input-Ref2],表格3[TOSHIBA/HIGHEST])</f>
        <v>Toshiba SRP</v>
      </c>
      <c r="V31" s="86">
        <v>110</v>
      </c>
      <c r="W31" s="86" t="str">
        <f>_xlfn.CONCAT(表格1[[#This Row],[欄4]],表格1[[#This Row],[inv no]])</f>
        <v>1106053388</v>
      </c>
    </row>
    <row r="32" spans="1:23" ht="15.6" hidden="1" customHeight="1">
      <c r="A32" s="81">
        <v>30</v>
      </c>
      <c r="B32" s="81" t="s">
        <v>1203</v>
      </c>
      <c r="C32" s="81" t="s">
        <v>1226</v>
      </c>
      <c r="D32" s="82" t="str">
        <f ca="1">OFFSET(Roster!$A$3,MATCH(表格1[[#This Row],[Location]]&amp;" "&amp;表格1[[#This Row],[Shop]]&amp;"*",Roster!$A$4:$A$72,0),DAY(表格1[[#This Row],[date]]),1,1)</f>
        <v>Winnie</v>
      </c>
      <c r="E32" s="81">
        <f>MONTH(表格1[[#This Row],[date]])</f>
        <v>3</v>
      </c>
      <c r="F32" s="101">
        <v>46095</v>
      </c>
      <c r="G32" s="81" t="str">
        <f>VLOOKUP("*"&amp;表格1[[#This Row],[Input]]&amp;"*",'Ref-List'!$B:$D,2,)</f>
        <v>AW-M901BPH(WW)</v>
      </c>
      <c r="H32" s="81" t="str">
        <f>_xlfn.XLOOKUP(表格1[[#This Row],[Model]],表格3[Model-Input-Ref2],表格3[Product Line])</f>
        <v>全自動洗衣機 (8公斤 結合高低水位)</v>
      </c>
      <c r="I32" s="81" t="str">
        <f>_xlfn.XLOOKUP(表格1[[#This Row],[Model]],表格3[Model-Input-Ref2],表格3[大小電])</f>
        <v>大電</v>
      </c>
      <c r="J32" s="81" t="str">
        <f>_xlfn.XLOOKUP(表格1[[#This Row],[Model]],表格3[Model-Input-Ref2],表格3[Code])</f>
        <v>WM</v>
      </c>
      <c r="K32" s="82" t="s">
        <v>1202</v>
      </c>
      <c r="L32" s="81">
        <v>1</v>
      </c>
      <c r="M32" s="85">
        <v>1500</v>
      </c>
      <c r="N32" s="85">
        <f>IFERROR(表格1[[#This Row],[QTY]]*表格1[[#This Row],[Unit Price]],"-")</f>
        <v>1500</v>
      </c>
      <c r="O32" s="134">
        <v>6053012</v>
      </c>
      <c r="P32" s="137"/>
      <c r="Q32" s="81"/>
      <c r="R32" s="81" t="str">
        <f>_xlfn.CONCAT(表格1[[#This Row],[Model]]," ",表格1[[#This Row],[inv no]])</f>
        <v>AW-M901BPH(WW) 6053012</v>
      </c>
      <c r="S32" s="135">
        <f>_xlfn.XLOOKUP(表格1[[#This Row],[Model]],表格3[Model-Input-Ref2],表格3[SRP PRICE])</f>
        <v>3580</v>
      </c>
      <c r="T32" s="43">
        <f>表格1[[#This Row],[Unit Price]]/表格1[[#This Row],[SRP]]</f>
        <v>0.41899441340782123</v>
      </c>
      <c r="U32" s="86" t="str">
        <f>_xlfn.XLOOKUP(表格1[[#This Row],[Model]],表格3[Model-Input-Ref2],表格3[TOSHIBA/HIGHEST])</f>
        <v>Toshiba SRP</v>
      </c>
      <c r="V32" s="86">
        <v>110</v>
      </c>
      <c r="W32" s="86" t="str">
        <f>_xlfn.CONCAT(表格1[[#This Row],[欄4]],表格1[[#This Row],[inv no]])</f>
        <v>1106053012</v>
      </c>
    </row>
    <row r="33" spans="1:23" ht="15.6" hidden="1" customHeight="1">
      <c r="A33" s="81">
        <v>31</v>
      </c>
      <c r="B33" s="81" t="s">
        <v>1203</v>
      </c>
      <c r="C33" s="81" t="s">
        <v>1226</v>
      </c>
      <c r="D33" s="82" t="str">
        <f ca="1">OFFSET(Roster!$A$3,MATCH(表格1[[#This Row],[Location]]&amp;" "&amp;表格1[[#This Row],[Shop]]&amp;"*",Roster!$A$4:$A$72,0),DAY(表格1[[#This Row],[date]]),1,1)</f>
        <v>Winnie</v>
      </c>
      <c r="E33" s="81">
        <f>MONTH(表格1[[#This Row],[date]])</f>
        <v>3</v>
      </c>
      <c r="F33" s="101">
        <v>46095</v>
      </c>
      <c r="G33" s="81" t="str">
        <f>VLOOKUP("*"&amp;表格1[[#This Row],[Input]]&amp;"*",'Ref-List'!$B:$D,2,)</f>
        <v>RC-15ISTHK(W)</v>
      </c>
      <c r="H33" s="81" t="str">
        <f>_xlfn.XLOOKUP(表格1[[#This Row],[Model]],表格3[Model-Input-Ref2],表格3[Product Line])</f>
        <v>磁應電飯煲(1.5公升)</v>
      </c>
      <c r="I33" s="81" t="str">
        <f>_xlfn.XLOOKUP(表格1[[#This Row],[Model]],表格3[Model-Input-Ref2],表格3[大小電])</f>
        <v>細電</v>
      </c>
      <c r="J33" s="81" t="str">
        <f>_xlfn.XLOOKUP(表格1[[#This Row],[Model]],表格3[Model-Input-Ref2],表格3[Code])</f>
        <v>SDA</v>
      </c>
      <c r="K33" s="82" t="s">
        <v>1204</v>
      </c>
      <c r="L33" s="81">
        <v>1</v>
      </c>
      <c r="M33" s="85">
        <v>500</v>
      </c>
      <c r="N33" s="85">
        <f>IFERROR(表格1[[#This Row],[QTY]]*表格1[[#This Row],[Unit Price]],"-")</f>
        <v>500</v>
      </c>
      <c r="O33" s="134">
        <v>6053016</v>
      </c>
      <c r="P33" s="136"/>
      <c r="Q33" s="81"/>
      <c r="R33" s="81" t="str">
        <f>_xlfn.CONCAT(表格1[[#This Row],[Model]]," ",表格1[[#This Row],[inv no]])</f>
        <v>RC-15ISTHK(W) 6053016</v>
      </c>
      <c r="S33" s="135">
        <f>_xlfn.XLOOKUP(表格1[[#This Row],[Model]],表格3[Model-Input-Ref2],表格3[SRP PRICE])</f>
        <v>1688</v>
      </c>
      <c r="T33" s="43">
        <f>表格1[[#This Row],[Unit Price]]/表格1[[#This Row],[SRP]]</f>
        <v>0.29620853080568721</v>
      </c>
      <c r="U33" s="86" t="str">
        <f>_xlfn.XLOOKUP(表格1[[#This Row],[Model]],表格3[Model-Input-Ref2],表格3[TOSHIBA/HIGHEST])</f>
        <v>Toshiba SRP</v>
      </c>
      <c r="V33" s="86">
        <v>110</v>
      </c>
      <c r="W33" s="86" t="str">
        <f>_xlfn.CONCAT(表格1[[#This Row],[欄4]],表格1[[#This Row],[inv no]])</f>
        <v>1106053016</v>
      </c>
    </row>
    <row r="34" spans="1:23" ht="15.6" hidden="1" customHeight="1">
      <c r="A34" s="81">
        <v>32</v>
      </c>
      <c r="B34" s="81" t="s">
        <v>1203</v>
      </c>
      <c r="C34" s="81" t="s">
        <v>1226</v>
      </c>
      <c r="D34" s="82" t="str">
        <f ca="1">OFFSET(Roster!$A$3,MATCH(表格1[[#This Row],[Location]]&amp;" "&amp;表格1[[#This Row],[Shop]]&amp;"*",Roster!$A$4:$A$72,0),DAY(表格1[[#This Row],[date]]),1,1)</f>
        <v>Winnie</v>
      </c>
      <c r="E34" s="81">
        <f>MONTH(表格1[[#This Row],[date]])</f>
        <v>3</v>
      </c>
      <c r="F34" s="101">
        <v>46095</v>
      </c>
      <c r="G34" s="81" t="str">
        <f>VLOOKUP("*"&amp;表格1[[#This Row],[Input]]&amp;"*",'Ref-List'!$B:$D,2,)</f>
        <v>RC-15ISTHK(W)</v>
      </c>
      <c r="H34" s="81" t="str">
        <f>_xlfn.XLOOKUP(表格1[[#This Row],[Model]],表格3[Model-Input-Ref2],表格3[Product Line])</f>
        <v>磁應電飯煲(1.5公升)</v>
      </c>
      <c r="I34" s="81" t="str">
        <f>_xlfn.XLOOKUP(表格1[[#This Row],[Model]],表格3[Model-Input-Ref2],表格3[大小電])</f>
        <v>細電</v>
      </c>
      <c r="J34" s="81" t="str">
        <f>_xlfn.XLOOKUP(表格1[[#This Row],[Model]],表格3[Model-Input-Ref2],表格3[Code])</f>
        <v>SDA</v>
      </c>
      <c r="K34" s="82" t="s">
        <v>1204</v>
      </c>
      <c r="L34" s="81">
        <v>1</v>
      </c>
      <c r="M34" s="85">
        <v>500</v>
      </c>
      <c r="N34" s="85">
        <f>IFERROR(表格1[[#This Row],[QTY]]*表格1[[#This Row],[Unit Price]],"-")</f>
        <v>500</v>
      </c>
      <c r="O34" s="134">
        <v>6053023</v>
      </c>
      <c r="P34" s="136"/>
      <c r="Q34" s="81"/>
      <c r="R34" s="81" t="str">
        <f>_xlfn.CONCAT(表格1[[#This Row],[Model]]," ",表格1[[#This Row],[inv no]])</f>
        <v>RC-15ISTHK(W) 6053023</v>
      </c>
      <c r="S34" s="135">
        <f>_xlfn.XLOOKUP(表格1[[#This Row],[Model]],表格3[Model-Input-Ref2],表格3[SRP PRICE])</f>
        <v>1688</v>
      </c>
      <c r="T34" s="43">
        <f>表格1[[#This Row],[Unit Price]]/表格1[[#This Row],[SRP]]</f>
        <v>0.29620853080568721</v>
      </c>
      <c r="U34" s="86" t="str">
        <f>_xlfn.XLOOKUP(表格1[[#This Row],[Model]],表格3[Model-Input-Ref2],表格3[TOSHIBA/HIGHEST])</f>
        <v>Toshiba SRP</v>
      </c>
      <c r="V34" s="86">
        <v>110</v>
      </c>
      <c r="W34" s="86" t="str">
        <f>_xlfn.CONCAT(表格1[[#This Row],[欄4]],表格1[[#This Row],[inv no]])</f>
        <v>1106053023</v>
      </c>
    </row>
    <row r="35" spans="1:23" ht="15.6" hidden="1" customHeight="1">
      <c r="A35" s="81">
        <v>33</v>
      </c>
      <c r="B35" s="81" t="s">
        <v>1203</v>
      </c>
      <c r="C35" s="81" t="s">
        <v>1226</v>
      </c>
      <c r="D35" s="82" t="str">
        <f ca="1">OFFSET(Roster!$A$3,MATCH(表格1[[#This Row],[Location]]&amp;" "&amp;表格1[[#This Row],[Shop]]&amp;"*",Roster!$A$4:$A$72,0),DAY(表格1[[#This Row],[date]]),1,1)</f>
        <v>Winnie</v>
      </c>
      <c r="E35" s="81">
        <f>MONTH(表格1[[#This Row],[date]])</f>
        <v>3</v>
      </c>
      <c r="F35" s="101">
        <v>46095</v>
      </c>
      <c r="G35" s="81" t="str">
        <f>VLOOKUP("*"&amp;表格1[[#This Row],[Input]]&amp;"*",'Ref-List'!$B:$D,2,)</f>
        <v>TW-BL85A2H(WW)</v>
      </c>
      <c r="H35" s="81" t="str">
        <f>_xlfn.XLOOKUP(表格1[[#This Row],[Model]],表格3[Model-Input-Ref2],表格3[Product Line])</f>
        <v>7.5KG超薄身前置式變頻洗衣機</v>
      </c>
      <c r="I35" s="81" t="str">
        <f>_xlfn.XLOOKUP(表格1[[#This Row],[Model]],表格3[Model-Input-Ref2],表格3[大小電])</f>
        <v>大電</v>
      </c>
      <c r="J35" s="81" t="str">
        <f>_xlfn.XLOOKUP(表格1[[#This Row],[Model]],表格3[Model-Input-Ref2],表格3[Code])</f>
        <v>WM</v>
      </c>
      <c r="K35" s="82" t="s">
        <v>1206</v>
      </c>
      <c r="L35" s="81">
        <v>1</v>
      </c>
      <c r="M35" s="85">
        <v>2588</v>
      </c>
      <c r="N35" s="85">
        <f>IFERROR(表格1[[#This Row],[QTY]]*表格1[[#This Row],[Unit Price]],"-")</f>
        <v>2588</v>
      </c>
      <c r="O35" s="134">
        <v>6053414</v>
      </c>
      <c r="P35" s="136"/>
      <c r="Q35" s="81"/>
      <c r="R35" s="81" t="str">
        <f>_xlfn.CONCAT(表格1[[#This Row],[Model]]," ",表格1[[#This Row],[inv no]])</f>
        <v>TW-BL85A2H(WW) 6053414</v>
      </c>
      <c r="S35" s="135">
        <f>_xlfn.XLOOKUP(表格1[[#This Row],[Model]],表格3[Model-Input-Ref2],表格3[SRP PRICE])</f>
        <v>5080</v>
      </c>
      <c r="T35" s="43">
        <f>表格1[[#This Row],[Unit Price]]/表格1[[#This Row],[SRP]]</f>
        <v>0.50944881889763782</v>
      </c>
      <c r="U35" s="86" t="str">
        <f>_xlfn.XLOOKUP(表格1[[#This Row],[Model]],表格3[Model-Input-Ref2],表格3[TOSHIBA/HIGHEST])</f>
        <v>Toshiba SRP</v>
      </c>
      <c r="V35" s="86">
        <v>110</v>
      </c>
      <c r="W35" s="86" t="str">
        <f>_xlfn.CONCAT(表格1[[#This Row],[欄4]],表格1[[#This Row],[inv no]])</f>
        <v>1106053414</v>
      </c>
    </row>
    <row r="36" spans="1:23" ht="15.6" hidden="1" customHeight="1">
      <c r="A36" s="81">
        <v>34</v>
      </c>
      <c r="B36" s="81" t="s">
        <v>1203</v>
      </c>
      <c r="C36" s="81" t="s">
        <v>1226</v>
      </c>
      <c r="D36" s="82" t="str">
        <f ca="1">OFFSET(Roster!$A$3,MATCH(表格1[[#This Row],[Location]]&amp;" "&amp;表格1[[#This Row],[Shop]]&amp;"*",Roster!$A$4:$A$72,0),DAY(表格1[[#This Row],[date]]),1,1)</f>
        <v>Winnie</v>
      </c>
      <c r="E36" s="81">
        <f>MONTH(表格1[[#This Row],[date]])</f>
        <v>3</v>
      </c>
      <c r="F36" s="101">
        <v>46095</v>
      </c>
      <c r="G36" s="81" t="str">
        <f>VLOOKUP("*"&amp;表格1[[#This Row],[Input]]&amp;"*",'Ref-List'!$B:$D,2,)</f>
        <v>RC-15ISTHK(W)</v>
      </c>
      <c r="H36" s="81" t="str">
        <f>_xlfn.XLOOKUP(表格1[[#This Row],[Model]],表格3[Model-Input-Ref2],表格3[Product Line])</f>
        <v>磁應電飯煲(1.5公升)</v>
      </c>
      <c r="I36" s="81" t="str">
        <f>_xlfn.XLOOKUP(表格1[[#This Row],[Model]],表格3[Model-Input-Ref2],表格3[大小電])</f>
        <v>細電</v>
      </c>
      <c r="J36" s="81" t="str">
        <f>_xlfn.XLOOKUP(表格1[[#This Row],[Model]],表格3[Model-Input-Ref2],表格3[Code])</f>
        <v>SDA</v>
      </c>
      <c r="K36" s="82" t="s">
        <v>1204</v>
      </c>
      <c r="L36" s="81">
        <v>1</v>
      </c>
      <c r="M36" s="85">
        <v>500</v>
      </c>
      <c r="N36" s="85">
        <f>IFERROR(表格1[[#This Row],[QTY]]*表格1[[#This Row],[Unit Price]],"-")</f>
        <v>500</v>
      </c>
      <c r="O36" s="134">
        <v>6053427</v>
      </c>
      <c r="P36" s="136"/>
      <c r="Q36" s="81"/>
      <c r="R36" s="81" t="str">
        <f>_xlfn.CONCAT(表格1[[#This Row],[Model]]," ",表格1[[#This Row],[inv no]])</f>
        <v>RC-15ISTHK(W) 6053427</v>
      </c>
      <c r="S36" s="135">
        <f>_xlfn.XLOOKUP(表格1[[#This Row],[Model]],表格3[Model-Input-Ref2],表格3[SRP PRICE])</f>
        <v>1688</v>
      </c>
      <c r="T36" s="43">
        <f>表格1[[#This Row],[Unit Price]]/表格1[[#This Row],[SRP]]</f>
        <v>0.29620853080568721</v>
      </c>
      <c r="U36" s="86" t="str">
        <f>_xlfn.XLOOKUP(表格1[[#This Row],[Model]],表格3[Model-Input-Ref2],表格3[TOSHIBA/HIGHEST])</f>
        <v>Toshiba SRP</v>
      </c>
      <c r="V36" s="86">
        <v>110</v>
      </c>
      <c r="W36" s="86" t="str">
        <f>_xlfn.CONCAT(表格1[[#This Row],[欄4]],表格1[[#This Row],[inv no]])</f>
        <v>1106053427</v>
      </c>
    </row>
    <row r="37" spans="1:23" ht="15.6" hidden="1" customHeight="1">
      <c r="A37" s="81">
        <v>35</v>
      </c>
      <c r="B37" s="81" t="s">
        <v>1203</v>
      </c>
      <c r="C37" s="81" t="s">
        <v>1226</v>
      </c>
      <c r="D37" s="82" t="str">
        <f ca="1">OFFSET(Roster!$A$3,MATCH(表格1[[#This Row],[Location]]&amp;" "&amp;表格1[[#This Row],[Shop]]&amp;"*",Roster!$A$4:$A$72,0),DAY(表格1[[#This Row],[date]]),1,1)</f>
        <v>Winnie</v>
      </c>
      <c r="E37" s="81">
        <f>MONTH(表格1[[#This Row],[date]])</f>
        <v>3</v>
      </c>
      <c r="F37" s="101">
        <v>46095</v>
      </c>
      <c r="G37" s="81" t="str">
        <f>VLOOKUP("*"&amp;表格1[[#This Row],[Input]]&amp;"*",'Ref-List'!$B:$D,2,)</f>
        <v>GR-A26HSZ(DS)</v>
      </c>
      <c r="H37" s="81" t="str">
        <f>_xlfn.XLOOKUP(表格1[[#This Row],[Model]],表格3[Model-Input-Ref2],表格3[Product Line])</f>
        <v>雙門變頻式環保雪櫃</v>
      </c>
      <c r="I37" s="81" t="str">
        <f>_xlfn.XLOOKUP(表格1[[#This Row],[Model]],表格3[Model-Input-Ref2],表格3[大小電])</f>
        <v>大電</v>
      </c>
      <c r="J37" s="81" t="str">
        <f>_xlfn.XLOOKUP(表格1[[#This Row],[Model]],表格3[Model-Input-Ref2],表格3[Code])</f>
        <v>AC</v>
      </c>
      <c r="K37" s="82" t="s">
        <v>1207</v>
      </c>
      <c r="L37" s="81">
        <v>1</v>
      </c>
      <c r="M37" s="85">
        <v>1500</v>
      </c>
      <c r="N37" s="85">
        <f>IFERROR(表格1[[#This Row],[QTY]]*表格1[[#This Row],[Unit Price]],"-")</f>
        <v>1500</v>
      </c>
      <c r="O37" s="134">
        <v>6053438</v>
      </c>
      <c r="P37" s="137"/>
      <c r="Q37" s="81"/>
      <c r="R37" s="81" t="str">
        <f>_xlfn.CONCAT(表格1[[#This Row],[Model]]," ",表格1[[#This Row],[inv no]])</f>
        <v>GR-A26HSZ(DS) 6053438</v>
      </c>
      <c r="S37" s="135">
        <f>_xlfn.XLOOKUP(表格1[[#This Row],[Model]],表格3[Model-Input-Ref2],表格3[SRP PRICE])</f>
        <v>3780</v>
      </c>
      <c r="T37" s="43">
        <f>表格1[[#This Row],[Unit Price]]/表格1[[#This Row],[SRP]]</f>
        <v>0.3968253968253968</v>
      </c>
      <c r="U37" s="86" t="str">
        <f>_xlfn.XLOOKUP(表格1[[#This Row],[Model]],表格3[Model-Input-Ref2],表格3[TOSHIBA/HIGHEST])</f>
        <v>Toshiba SRP</v>
      </c>
      <c r="V37" s="86">
        <v>110</v>
      </c>
      <c r="W37" s="86" t="str">
        <f>_xlfn.CONCAT(表格1[[#This Row],[欄4]],表格1[[#This Row],[inv no]])</f>
        <v>1106053438</v>
      </c>
    </row>
    <row r="38" spans="1:23" ht="15.6" hidden="1" customHeight="1">
      <c r="A38" s="81">
        <v>36</v>
      </c>
      <c r="B38" s="81" t="s">
        <v>1203</v>
      </c>
      <c r="C38" s="81" t="s">
        <v>1226</v>
      </c>
      <c r="D38" s="82" t="str">
        <f ca="1">OFFSET(Roster!$A$3,MATCH(表格1[[#This Row],[Location]]&amp;" "&amp;表格1[[#This Row],[Shop]]&amp;"*",Roster!$A$4:$A$72,0),DAY(表格1[[#This Row],[date]]),1,1)</f>
        <v>Winnie</v>
      </c>
      <c r="E38" s="81">
        <f>MONTH(表格1[[#This Row],[date]])</f>
        <v>3</v>
      </c>
      <c r="F38" s="101">
        <v>46095</v>
      </c>
      <c r="G38" s="81" t="str">
        <f>VLOOKUP("*"&amp;表格1[[#This Row],[Input]]&amp;"*",'Ref-List'!$B:$D,2,)</f>
        <v>RC-15ISTHK(W)</v>
      </c>
      <c r="H38" s="81" t="str">
        <f>_xlfn.XLOOKUP(表格1[[#This Row],[Model]],表格3[Model-Input-Ref2],表格3[Product Line])</f>
        <v>磁應電飯煲(1.5公升)</v>
      </c>
      <c r="I38" s="81" t="str">
        <f>_xlfn.XLOOKUP(表格1[[#This Row],[Model]],表格3[Model-Input-Ref2],表格3[大小電])</f>
        <v>細電</v>
      </c>
      <c r="J38" s="81" t="str">
        <f>_xlfn.XLOOKUP(表格1[[#This Row],[Model]],表格3[Model-Input-Ref2],表格3[Code])</f>
        <v>SDA</v>
      </c>
      <c r="K38" s="82" t="s">
        <v>1204</v>
      </c>
      <c r="L38" s="81">
        <v>1</v>
      </c>
      <c r="M38" s="85">
        <v>500</v>
      </c>
      <c r="N38" s="85">
        <f>IFERROR(表格1[[#This Row],[QTY]]*表格1[[#This Row],[Unit Price]],"-")</f>
        <v>500</v>
      </c>
      <c r="O38" s="134">
        <v>6053437</v>
      </c>
      <c r="P38" s="137"/>
      <c r="Q38" s="81"/>
      <c r="R38" s="81" t="str">
        <f>_xlfn.CONCAT(表格1[[#This Row],[Model]]," ",表格1[[#This Row],[inv no]])</f>
        <v>RC-15ISTHK(W) 6053437</v>
      </c>
      <c r="S38" s="135">
        <f>_xlfn.XLOOKUP(表格1[[#This Row],[Model]],表格3[Model-Input-Ref2],表格3[SRP PRICE])</f>
        <v>1688</v>
      </c>
      <c r="T38" s="43">
        <f>表格1[[#This Row],[Unit Price]]/表格1[[#This Row],[SRP]]</f>
        <v>0.29620853080568721</v>
      </c>
      <c r="U38" s="86" t="str">
        <f>_xlfn.XLOOKUP(表格1[[#This Row],[Model]],表格3[Model-Input-Ref2],表格3[TOSHIBA/HIGHEST])</f>
        <v>Toshiba SRP</v>
      </c>
      <c r="V38" s="86">
        <v>110</v>
      </c>
      <c r="W38" s="86" t="str">
        <f>_xlfn.CONCAT(表格1[[#This Row],[欄4]],表格1[[#This Row],[inv no]])</f>
        <v>1106053437</v>
      </c>
    </row>
    <row r="39" spans="1:23" ht="15.6" hidden="1" customHeight="1">
      <c r="A39" s="81">
        <v>37</v>
      </c>
      <c r="B39" s="81" t="s">
        <v>1203</v>
      </c>
      <c r="C39" s="81" t="s">
        <v>1226</v>
      </c>
      <c r="D39" s="82" t="str">
        <f ca="1">OFFSET(Roster!$A$3,MATCH(表格1[[#This Row],[Location]]&amp;" "&amp;表格1[[#This Row],[Shop]]&amp;"*",Roster!$A$4:$A$72,0),DAY(表格1[[#This Row],[date]]),1,1)</f>
        <v>Winnie</v>
      </c>
      <c r="E39" s="81">
        <f>MONTH(表格1[[#This Row],[date]])</f>
        <v>3</v>
      </c>
      <c r="F39" s="101">
        <v>46095</v>
      </c>
      <c r="G39" s="81" t="str">
        <f>VLOOKUP("*"&amp;表格1[[#This Row],[Input]]&amp;"*",'Ref-List'!$B:$D,2,)</f>
        <v>AW-M901BPH(WW)</v>
      </c>
      <c r="H39" s="81" t="str">
        <f>_xlfn.XLOOKUP(表格1[[#This Row],[Model]],表格3[Model-Input-Ref2],表格3[Product Line])</f>
        <v>全自動洗衣機 (8公斤 結合高低水位)</v>
      </c>
      <c r="I39" s="81" t="str">
        <f>_xlfn.XLOOKUP(表格1[[#This Row],[Model]],表格3[Model-Input-Ref2],表格3[大小電])</f>
        <v>大電</v>
      </c>
      <c r="J39" s="81" t="str">
        <f>_xlfn.XLOOKUP(表格1[[#This Row],[Model]],表格3[Model-Input-Ref2],表格3[Code])</f>
        <v>WM</v>
      </c>
      <c r="K39" s="82" t="s">
        <v>1202</v>
      </c>
      <c r="L39" s="81">
        <v>1</v>
      </c>
      <c r="M39" s="85">
        <v>1500</v>
      </c>
      <c r="N39" s="85">
        <f>IFERROR(表格1[[#This Row],[QTY]]*表格1[[#This Row],[Unit Price]],"-")</f>
        <v>1500</v>
      </c>
      <c r="O39" s="134">
        <v>6053426</v>
      </c>
      <c r="P39" s="137"/>
      <c r="Q39" s="81"/>
      <c r="R39" s="81" t="str">
        <f>_xlfn.CONCAT(表格1[[#This Row],[Model]]," ",表格1[[#This Row],[inv no]])</f>
        <v>AW-M901BPH(WW) 6053426</v>
      </c>
      <c r="S39" s="135">
        <f>_xlfn.XLOOKUP(表格1[[#This Row],[Model]],表格3[Model-Input-Ref2],表格3[SRP PRICE])</f>
        <v>3580</v>
      </c>
      <c r="T39" s="43">
        <f>表格1[[#This Row],[Unit Price]]/表格1[[#This Row],[SRP]]</f>
        <v>0.41899441340782123</v>
      </c>
      <c r="U39" s="86" t="str">
        <f>_xlfn.XLOOKUP(表格1[[#This Row],[Model]],表格3[Model-Input-Ref2],表格3[TOSHIBA/HIGHEST])</f>
        <v>Toshiba SRP</v>
      </c>
      <c r="V39" s="86">
        <v>110</v>
      </c>
      <c r="W39" s="86" t="str">
        <f>_xlfn.CONCAT(表格1[[#This Row],[欄4]],表格1[[#This Row],[inv no]])</f>
        <v>1106053426</v>
      </c>
    </row>
    <row r="40" spans="1:23" ht="15.6" hidden="1" customHeight="1">
      <c r="A40" s="81">
        <v>38</v>
      </c>
      <c r="B40" s="81" t="s">
        <v>1203</v>
      </c>
      <c r="C40" s="81" t="s">
        <v>1226</v>
      </c>
      <c r="D40" s="82" t="str">
        <f ca="1">OFFSET(Roster!$A$3,MATCH(表格1[[#This Row],[Location]]&amp;" "&amp;表格1[[#This Row],[Shop]]&amp;"*",Roster!$A$4:$A$72,0),DAY(表格1[[#This Row],[date]]),1,1)</f>
        <v>Winnie</v>
      </c>
      <c r="E40" s="81">
        <f>MONTH(表格1[[#This Row],[date]])</f>
        <v>3</v>
      </c>
      <c r="F40" s="101">
        <v>46096</v>
      </c>
      <c r="G40" s="81" t="str">
        <f>VLOOKUP("*"&amp;表格1[[#This Row],[Input]]&amp;"*",'Ref-List'!$B:$D,2,)</f>
        <v>TWD-BN90GF4H(WK)</v>
      </c>
      <c r="H40" s="81" t="str">
        <f>_xlfn.XLOOKUP(表格1[[#This Row],[Model]],表格3[Model-Input-Ref2],表格3[Product Line])</f>
        <v>超薄身前置式洗衣乾衣機 (洗8公斤 乾5公斤)</v>
      </c>
      <c r="I40" s="81" t="str">
        <f>_xlfn.XLOOKUP(表格1[[#This Row],[Model]],表格3[Model-Input-Ref2],表格3[大小電])</f>
        <v>大電</v>
      </c>
      <c r="J40" s="81" t="str">
        <f>_xlfn.XLOOKUP(表格1[[#This Row],[Model]],表格3[Model-Input-Ref2],表格3[Code])</f>
        <v>WM</v>
      </c>
      <c r="K40" s="82" t="s">
        <v>1199</v>
      </c>
      <c r="L40" s="81">
        <v>1</v>
      </c>
      <c r="M40" s="85">
        <v>3588</v>
      </c>
      <c r="N40" s="85">
        <f>IFERROR(表格1[[#This Row],[QTY]]*表格1[[#This Row],[Unit Price]],"-")</f>
        <v>3588</v>
      </c>
      <c r="O40" s="134">
        <v>6053390</v>
      </c>
      <c r="P40" s="136"/>
      <c r="Q40" s="81"/>
      <c r="R40" s="81" t="str">
        <f>_xlfn.CONCAT(表格1[[#This Row],[Model]]," ",表格1[[#This Row],[inv no]])</f>
        <v>TWD-BN90GF4H(WK) 6053390</v>
      </c>
      <c r="S40" s="135">
        <f>_xlfn.XLOOKUP(表格1[[#This Row],[Model]],表格3[Model-Input-Ref2],表格3[SRP PRICE])</f>
        <v>5980</v>
      </c>
      <c r="T40" s="43">
        <f>表格1[[#This Row],[Unit Price]]/表格1[[#This Row],[SRP]]</f>
        <v>0.6</v>
      </c>
      <c r="U40" s="86" t="str">
        <f>_xlfn.XLOOKUP(表格1[[#This Row],[Model]],表格3[Model-Input-Ref2],表格3[TOSHIBA/HIGHEST])</f>
        <v>Toshiba SRP</v>
      </c>
      <c r="V40" s="86">
        <v>110</v>
      </c>
      <c r="W40" s="86" t="str">
        <f>_xlfn.CONCAT(表格1[[#This Row],[欄4]],表格1[[#This Row],[inv no]])</f>
        <v>1106053390</v>
      </c>
    </row>
    <row r="41" spans="1:23" ht="15.6" hidden="1" customHeight="1">
      <c r="A41" s="81">
        <v>39</v>
      </c>
      <c r="B41" s="81" t="s">
        <v>1203</v>
      </c>
      <c r="C41" s="81" t="s">
        <v>1226</v>
      </c>
      <c r="D41" s="82" t="str">
        <f ca="1">OFFSET(Roster!$A$3,MATCH(表格1[[#This Row],[Location]]&amp;" "&amp;表格1[[#This Row],[Shop]]&amp;"*",Roster!$A$4:$A$72,0),DAY(表格1[[#This Row],[date]]),1,1)</f>
        <v>Winnie</v>
      </c>
      <c r="E41" s="81">
        <f>MONTH(表格1[[#This Row],[date]])</f>
        <v>3</v>
      </c>
      <c r="F41" s="101">
        <v>46096</v>
      </c>
      <c r="G41" s="81" t="str">
        <f>VLOOKUP("*"&amp;表格1[[#This Row],[Input]]&amp;"*",'Ref-List'!$B:$D,2,)</f>
        <v>MW2-MM24PC(BK)</v>
      </c>
      <c r="H41" s="81" t="str">
        <f>_xlfn.XLOOKUP(表格1[[#This Row],[Model]],表格3[Model-Input-Ref2],表格3[Product Line])</f>
        <v>旋鈕式微波爐24L</v>
      </c>
      <c r="I41" s="81" t="str">
        <f>_xlfn.XLOOKUP(表格1[[#This Row],[Model]],表格3[Model-Input-Ref2],表格3[大小電])</f>
        <v>細電</v>
      </c>
      <c r="J41" s="81" t="str">
        <f>_xlfn.XLOOKUP(表格1[[#This Row],[Model]],表格3[Model-Input-Ref2],表格3[Code])</f>
        <v>SDA</v>
      </c>
      <c r="K41" s="82" t="s">
        <v>1196</v>
      </c>
      <c r="L41" s="81">
        <v>1</v>
      </c>
      <c r="M41" s="85">
        <v>500</v>
      </c>
      <c r="N41" s="85">
        <f>IFERROR(表格1[[#This Row],[QTY]]*表格1[[#This Row],[Unit Price]],"-")</f>
        <v>500</v>
      </c>
      <c r="O41" s="134">
        <v>6053394</v>
      </c>
      <c r="P41" s="136"/>
      <c r="Q41" s="81"/>
      <c r="R41" s="81" t="str">
        <f>_xlfn.CONCAT(表格1[[#This Row],[Model]]," ",表格1[[#This Row],[inv no]])</f>
        <v>MW2-MM24PC(BK) 6053394</v>
      </c>
      <c r="S41" s="135">
        <f>_xlfn.XLOOKUP(表格1[[#This Row],[Model]],表格3[Model-Input-Ref2],表格3[SRP PRICE])</f>
        <v>848</v>
      </c>
      <c r="T41" s="43">
        <f>表格1[[#This Row],[Unit Price]]/表格1[[#This Row],[SRP]]</f>
        <v>0.589622641509434</v>
      </c>
      <c r="U41" s="86" t="str">
        <f>_xlfn.XLOOKUP(表格1[[#This Row],[Model]],表格3[Model-Input-Ref2],表格3[TOSHIBA/HIGHEST])</f>
        <v>Toshiba SRP</v>
      </c>
      <c r="V41" s="86">
        <v>110</v>
      </c>
      <c r="W41" s="86" t="str">
        <f>_xlfn.CONCAT(表格1[[#This Row],[欄4]],表格1[[#This Row],[inv no]])</f>
        <v>1106053394</v>
      </c>
    </row>
    <row r="42" spans="1:23" ht="15.6" hidden="1" customHeight="1">
      <c r="A42" s="81">
        <v>40</v>
      </c>
      <c r="B42" s="81" t="s">
        <v>1203</v>
      </c>
      <c r="C42" s="81" t="s">
        <v>1226</v>
      </c>
      <c r="D42" s="82" t="str">
        <f ca="1">OFFSET(Roster!$A$3,MATCH(表格1[[#This Row],[Location]]&amp;" "&amp;表格1[[#This Row],[Shop]]&amp;"*",Roster!$A$4:$A$72,0),DAY(表格1[[#This Row],[date]]),1,1)</f>
        <v>Winnie</v>
      </c>
      <c r="E42" s="81">
        <f>MONTH(表格1[[#This Row],[date]])</f>
        <v>3</v>
      </c>
      <c r="F42" s="101">
        <v>46096</v>
      </c>
      <c r="G42" s="81" t="str">
        <f>VLOOKUP("*"&amp;表格1[[#This Row],[Input]]&amp;"*",'Ref-List'!$B:$D,2,)</f>
        <v>RC-15ISTHK(W)</v>
      </c>
      <c r="H42" s="81" t="str">
        <f>_xlfn.XLOOKUP(表格1[[#This Row],[Model]],表格3[Model-Input-Ref2],表格3[Product Line])</f>
        <v>磁應電飯煲(1.5公升)</v>
      </c>
      <c r="I42" s="81" t="str">
        <f>_xlfn.XLOOKUP(表格1[[#This Row],[Model]],表格3[Model-Input-Ref2],表格3[大小電])</f>
        <v>細電</v>
      </c>
      <c r="J42" s="81" t="str">
        <f>_xlfn.XLOOKUP(表格1[[#This Row],[Model]],表格3[Model-Input-Ref2],表格3[Code])</f>
        <v>SDA</v>
      </c>
      <c r="K42" s="82" t="s">
        <v>1204</v>
      </c>
      <c r="L42" s="81">
        <v>1</v>
      </c>
      <c r="M42" s="85">
        <v>500</v>
      </c>
      <c r="N42" s="85">
        <f>IFERROR(表格1[[#This Row],[QTY]]*表格1[[#This Row],[Unit Price]],"-")</f>
        <v>500</v>
      </c>
      <c r="O42" s="134">
        <v>6053403</v>
      </c>
      <c r="P42" s="137"/>
      <c r="Q42" s="81"/>
      <c r="R42" s="81" t="str">
        <f>_xlfn.CONCAT(表格1[[#This Row],[Model]]," ",表格1[[#This Row],[inv no]])</f>
        <v>RC-15ISTHK(W) 6053403</v>
      </c>
      <c r="S42" s="135">
        <f>_xlfn.XLOOKUP(表格1[[#This Row],[Model]],表格3[Model-Input-Ref2],表格3[SRP PRICE])</f>
        <v>1688</v>
      </c>
      <c r="T42" s="43">
        <f>表格1[[#This Row],[Unit Price]]/表格1[[#This Row],[SRP]]</f>
        <v>0.29620853080568721</v>
      </c>
      <c r="U42" s="86" t="str">
        <f>_xlfn.XLOOKUP(表格1[[#This Row],[Model]],表格3[Model-Input-Ref2],表格3[TOSHIBA/HIGHEST])</f>
        <v>Toshiba SRP</v>
      </c>
      <c r="V42" s="86">
        <v>110</v>
      </c>
      <c r="W42" s="86" t="str">
        <f>_xlfn.CONCAT(表格1[[#This Row],[欄4]],表格1[[#This Row],[inv no]])</f>
        <v>1106053403</v>
      </c>
    </row>
    <row r="43" spans="1:23" ht="15.6" hidden="1" customHeight="1">
      <c r="A43" s="81">
        <v>41</v>
      </c>
      <c r="B43" s="81" t="s">
        <v>1203</v>
      </c>
      <c r="C43" s="81" t="s">
        <v>1226</v>
      </c>
      <c r="D43" s="82" t="str">
        <f ca="1">OFFSET(Roster!$A$3,MATCH(表格1[[#This Row],[Location]]&amp;" "&amp;表格1[[#This Row],[Shop]]&amp;"*",Roster!$A$4:$A$72,0),DAY(表格1[[#This Row],[date]]),1,1)</f>
        <v>Winnie</v>
      </c>
      <c r="E43" s="81">
        <f>MONTH(表格1[[#This Row],[date]])</f>
        <v>3</v>
      </c>
      <c r="F43" s="101">
        <v>46096</v>
      </c>
      <c r="G43" s="81" t="str">
        <f>VLOOKUP("*"&amp;表格1[[#This Row],[Input]]&amp;"*",'Ref-List'!$B:$D,2,)</f>
        <v>AW-M901BPH(WW)</v>
      </c>
      <c r="H43" s="81" t="str">
        <f>_xlfn.XLOOKUP(表格1[[#This Row],[Model]],表格3[Model-Input-Ref2],表格3[Product Line])</f>
        <v>全自動洗衣機 (8公斤 結合高低水位)</v>
      </c>
      <c r="I43" s="81" t="str">
        <f>_xlfn.XLOOKUP(表格1[[#This Row],[Model]],表格3[Model-Input-Ref2],表格3[大小電])</f>
        <v>大電</v>
      </c>
      <c r="J43" s="81" t="str">
        <f>_xlfn.XLOOKUP(表格1[[#This Row],[Model]],表格3[Model-Input-Ref2],表格3[Code])</f>
        <v>WM</v>
      </c>
      <c r="K43" s="82" t="s">
        <v>1202</v>
      </c>
      <c r="L43" s="81">
        <v>1</v>
      </c>
      <c r="M43" s="85">
        <v>1500</v>
      </c>
      <c r="N43" s="85">
        <f>IFERROR(表格1[[#This Row],[QTY]]*表格1[[#This Row],[Unit Price]],"-")</f>
        <v>1500</v>
      </c>
      <c r="O43" s="134">
        <v>6053405</v>
      </c>
      <c r="P43" s="136"/>
      <c r="Q43" s="81"/>
      <c r="R43" s="81" t="str">
        <f>_xlfn.CONCAT(表格1[[#This Row],[Model]]," ",表格1[[#This Row],[inv no]])</f>
        <v>AW-M901BPH(WW) 6053405</v>
      </c>
      <c r="S43" s="135">
        <f>_xlfn.XLOOKUP(表格1[[#This Row],[Model]],表格3[Model-Input-Ref2],表格3[SRP PRICE])</f>
        <v>3580</v>
      </c>
      <c r="T43" s="43">
        <f>表格1[[#This Row],[Unit Price]]/表格1[[#This Row],[SRP]]</f>
        <v>0.41899441340782123</v>
      </c>
      <c r="U43" s="86" t="str">
        <f>_xlfn.XLOOKUP(表格1[[#This Row],[Model]],表格3[Model-Input-Ref2],表格3[TOSHIBA/HIGHEST])</f>
        <v>Toshiba SRP</v>
      </c>
      <c r="V43" s="86">
        <v>110</v>
      </c>
      <c r="W43" s="86" t="str">
        <f>_xlfn.CONCAT(表格1[[#This Row],[欄4]],表格1[[#This Row],[inv no]])</f>
        <v>1106053405</v>
      </c>
    </row>
    <row r="44" spans="1:23" ht="15.6" hidden="1" customHeight="1">
      <c r="A44" s="81">
        <v>42</v>
      </c>
      <c r="B44" s="81" t="s">
        <v>1203</v>
      </c>
      <c r="C44" s="81" t="s">
        <v>1226</v>
      </c>
      <c r="D44" s="82" t="str">
        <f ca="1">OFFSET(Roster!$A$3,MATCH(表格1[[#This Row],[Location]]&amp;" "&amp;表格1[[#This Row],[Shop]]&amp;"*",Roster!$A$4:$A$72,0),DAY(表格1[[#This Row],[date]]),1,1)</f>
        <v>Winnie</v>
      </c>
      <c r="E44" s="81">
        <f>MONTH(表格1[[#This Row],[date]])</f>
        <v>3</v>
      </c>
      <c r="F44" s="101">
        <v>46096</v>
      </c>
      <c r="G44" s="81" t="str">
        <f>VLOOKUP("*"&amp;表格1[[#This Row],[Input]]&amp;"*",'Ref-List'!$B:$D,2,)</f>
        <v>GR-RT416WE-PMA(06)</v>
      </c>
      <c r="H44" s="81" t="str">
        <f>_xlfn.XLOOKUP(表格1[[#This Row],[Model]],表格3[Model-Input-Ref2],表格3[Product Line])</f>
        <v xml:space="preserve">變頻上置式雙門雪櫃313L </v>
      </c>
      <c r="I44" s="81" t="str">
        <f>_xlfn.XLOOKUP(表格1[[#This Row],[Model]],表格3[Model-Input-Ref2],表格3[大小電])</f>
        <v>大電</v>
      </c>
      <c r="J44" s="81" t="str">
        <f>_xlfn.XLOOKUP(表格1[[#This Row],[Model]],表格3[Model-Input-Ref2],表格3[Code])</f>
        <v>REF</v>
      </c>
      <c r="K44" s="82" t="s">
        <v>1208</v>
      </c>
      <c r="L44" s="81">
        <v>1</v>
      </c>
      <c r="M44" s="85">
        <v>2888</v>
      </c>
      <c r="N44" s="85">
        <f>IFERROR(表格1[[#This Row],[QTY]]*表格1[[#This Row],[Unit Price]],"-")</f>
        <v>2888</v>
      </c>
      <c r="O44" s="134">
        <v>6053422</v>
      </c>
      <c r="P44" s="136"/>
      <c r="Q44" s="81"/>
      <c r="R44" s="81" t="str">
        <f>_xlfn.CONCAT(表格1[[#This Row],[Model]]," ",表格1[[#This Row],[inv no]])</f>
        <v>GR-RT416WE-PMA(06) 6053422</v>
      </c>
      <c r="S44" s="135">
        <f>_xlfn.XLOOKUP(表格1[[#This Row],[Model]],表格3[Model-Input-Ref2],表格3[SRP PRICE])</f>
        <v>5380</v>
      </c>
      <c r="T44" s="43">
        <f>表格1[[#This Row],[Unit Price]]/表格1[[#This Row],[SRP]]</f>
        <v>0.53680297397769516</v>
      </c>
      <c r="U44" s="86" t="str">
        <f>_xlfn.XLOOKUP(表格1[[#This Row],[Model]],表格3[Model-Input-Ref2],表格3[TOSHIBA/HIGHEST])</f>
        <v>Toshiba SRP</v>
      </c>
      <c r="V44" s="86">
        <v>110</v>
      </c>
      <c r="W44" s="86" t="str">
        <f>_xlfn.CONCAT(表格1[[#This Row],[欄4]],表格1[[#This Row],[inv no]])</f>
        <v>1106053422</v>
      </c>
    </row>
    <row r="45" spans="1:23" ht="15.6" hidden="1" customHeight="1">
      <c r="A45" s="81">
        <v>43</v>
      </c>
      <c r="B45" s="81" t="s">
        <v>1203</v>
      </c>
      <c r="C45" s="81" t="s">
        <v>1226</v>
      </c>
      <c r="D45" s="82" t="str">
        <f ca="1">OFFSET(Roster!$A$3,MATCH(表格1[[#This Row],[Location]]&amp;" "&amp;表格1[[#This Row],[Shop]]&amp;"*",Roster!$A$4:$A$72,0),DAY(表格1[[#This Row],[date]]),1,1)</f>
        <v>Winnie</v>
      </c>
      <c r="E45" s="81">
        <f>MONTH(表格1[[#This Row],[date]])</f>
        <v>3</v>
      </c>
      <c r="F45" s="101">
        <v>46096</v>
      </c>
      <c r="G45" s="81" t="str">
        <f>VLOOKUP("*"&amp;表格1[[#This Row],[Input]]&amp;"*",'Ref-List'!$B:$D,2,)</f>
        <v>ER-TD5000HK(XK)</v>
      </c>
      <c r="H45" s="81" t="str">
        <f>_xlfn.XLOOKUP(表格1[[#This Row],[Model]],表格3[Model-Input-Ref2],表格3[Product Line])</f>
        <v>座檯式純蒸氣烤焗水波爐30L</v>
      </c>
      <c r="I45" s="81" t="str">
        <f>_xlfn.XLOOKUP(表格1[[#This Row],[Model]],表格3[Model-Input-Ref2],表格3[大小電])</f>
        <v>細電</v>
      </c>
      <c r="J45" s="81" t="str">
        <f>_xlfn.XLOOKUP(表格1[[#This Row],[Model]],表格3[Model-Input-Ref2],表格3[Code])</f>
        <v>SDA</v>
      </c>
      <c r="K45" s="82" t="s">
        <v>1205</v>
      </c>
      <c r="L45" s="81">
        <v>1</v>
      </c>
      <c r="M45" s="85">
        <v>3588</v>
      </c>
      <c r="N45" s="85">
        <f>IFERROR(表格1[[#This Row],[QTY]]*表格1[[#This Row],[Unit Price]],"-")</f>
        <v>3588</v>
      </c>
      <c r="O45" s="134">
        <v>6053460</v>
      </c>
      <c r="P45" s="136"/>
      <c r="Q45" s="81"/>
      <c r="R45" s="81" t="str">
        <f>_xlfn.CONCAT(表格1[[#This Row],[Model]]," ",表格1[[#This Row],[inv no]])</f>
        <v>ER-TD5000HK(XK) 6053460</v>
      </c>
      <c r="S45" s="135">
        <f>_xlfn.XLOOKUP(表格1[[#This Row],[Model]],表格3[Model-Input-Ref2],表格3[SRP PRICE])</f>
        <v>7998</v>
      </c>
      <c r="T45" s="43">
        <f>表格1[[#This Row],[Unit Price]]/表格1[[#This Row],[SRP]]</f>
        <v>0.44861215303825958</v>
      </c>
      <c r="U45" s="86" t="str">
        <f>_xlfn.XLOOKUP(表格1[[#This Row],[Model]],表格3[Model-Input-Ref2],表格3[TOSHIBA/HIGHEST])</f>
        <v>Toshiba SRP</v>
      </c>
      <c r="V45" s="86">
        <v>110</v>
      </c>
      <c r="W45" s="86" t="str">
        <f>_xlfn.CONCAT(表格1[[#This Row],[欄4]],表格1[[#This Row],[inv no]])</f>
        <v>1106053460</v>
      </c>
    </row>
    <row r="46" spans="1:23" ht="15.6" hidden="1" customHeight="1">
      <c r="A46" s="81">
        <v>44</v>
      </c>
      <c r="B46" s="81" t="s">
        <v>1203</v>
      </c>
      <c r="C46" s="81" t="s">
        <v>1226</v>
      </c>
      <c r="D46" s="82" t="str">
        <f ca="1">OFFSET(Roster!$A$3,MATCH(表格1[[#This Row],[Location]]&amp;" "&amp;表格1[[#This Row],[Shop]]&amp;"*",Roster!$A$4:$A$72,0),DAY(表格1[[#This Row],[date]]),1,1)</f>
        <v>Winnie</v>
      </c>
      <c r="E46" s="81">
        <f>MONTH(表格1[[#This Row],[date]])</f>
        <v>3</v>
      </c>
      <c r="F46" s="101">
        <v>46096</v>
      </c>
      <c r="G46" s="81" t="str">
        <f>VLOOKUP("*"&amp;表格1[[#This Row],[Input]]&amp;"*",'Ref-List'!$B:$D,2,)</f>
        <v>RC-15ISTHK(W)</v>
      </c>
      <c r="H46" s="81" t="str">
        <f>_xlfn.XLOOKUP(表格1[[#This Row],[Model]],表格3[Model-Input-Ref2],表格3[Product Line])</f>
        <v>磁應電飯煲(1.5公升)</v>
      </c>
      <c r="I46" s="81" t="str">
        <f>_xlfn.XLOOKUP(表格1[[#This Row],[Model]],表格3[Model-Input-Ref2],表格3[大小電])</f>
        <v>細電</v>
      </c>
      <c r="J46" s="81" t="str">
        <f>_xlfn.XLOOKUP(表格1[[#This Row],[Model]],表格3[Model-Input-Ref2],表格3[Code])</f>
        <v>SDA</v>
      </c>
      <c r="K46" s="82" t="s">
        <v>1204</v>
      </c>
      <c r="L46" s="81">
        <v>1</v>
      </c>
      <c r="M46" s="85">
        <v>500</v>
      </c>
      <c r="N46" s="85">
        <f>IFERROR(表格1[[#This Row],[QTY]]*表格1[[#This Row],[Unit Price]],"-")</f>
        <v>500</v>
      </c>
      <c r="O46" s="134">
        <v>6053468</v>
      </c>
      <c r="P46" s="136"/>
      <c r="Q46" s="81"/>
      <c r="R46" s="81" t="str">
        <f>_xlfn.CONCAT(表格1[[#This Row],[Model]]," ",表格1[[#This Row],[inv no]])</f>
        <v>RC-15ISTHK(W) 6053468</v>
      </c>
      <c r="S46" s="135">
        <f>_xlfn.XLOOKUP(表格1[[#This Row],[Model]],表格3[Model-Input-Ref2],表格3[SRP PRICE])</f>
        <v>1688</v>
      </c>
      <c r="T46" s="43">
        <f>表格1[[#This Row],[Unit Price]]/表格1[[#This Row],[SRP]]</f>
        <v>0.29620853080568721</v>
      </c>
      <c r="U46" s="86" t="str">
        <f>_xlfn.XLOOKUP(表格1[[#This Row],[Model]],表格3[Model-Input-Ref2],表格3[TOSHIBA/HIGHEST])</f>
        <v>Toshiba SRP</v>
      </c>
      <c r="V46" s="86">
        <v>110</v>
      </c>
      <c r="W46" s="86" t="str">
        <f>_xlfn.CONCAT(表格1[[#This Row],[欄4]],表格1[[#This Row],[inv no]])</f>
        <v>1106053468</v>
      </c>
    </row>
    <row r="47" spans="1:23" ht="15.6" hidden="1" customHeight="1">
      <c r="A47" s="81">
        <v>45</v>
      </c>
      <c r="B47" s="81" t="s">
        <v>1203</v>
      </c>
      <c r="C47" s="81" t="s">
        <v>1226</v>
      </c>
      <c r="D47" s="82" t="str">
        <f ca="1">OFFSET(Roster!$A$3,MATCH(表格1[[#This Row],[Location]]&amp;" "&amp;表格1[[#This Row],[Shop]]&amp;"*",Roster!$A$4:$A$72,0),DAY(表格1[[#This Row],[date]]),1,1)</f>
        <v>Winnie</v>
      </c>
      <c r="E47" s="81">
        <f>MONTH(表格1[[#This Row],[date]])</f>
        <v>3</v>
      </c>
      <c r="F47" s="101">
        <v>46096</v>
      </c>
      <c r="G47" s="81" t="str">
        <f>VLOOKUP("*"&amp;表格1[[#This Row],[Input]]&amp;"*",'Ref-List'!$B:$D,2,)</f>
        <v>AW-M901BPH(WW)</v>
      </c>
      <c r="H47" s="81" t="str">
        <f>_xlfn.XLOOKUP(表格1[[#This Row],[Model]],表格3[Model-Input-Ref2],表格3[Product Line])</f>
        <v>全自動洗衣機 (8公斤 結合高低水位)</v>
      </c>
      <c r="I47" s="81" t="str">
        <f>_xlfn.XLOOKUP(表格1[[#This Row],[Model]],表格3[Model-Input-Ref2],表格3[大小電])</f>
        <v>大電</v>
      </c>
      <c r="J47" s="81" t="str">
        <f>_xlfn.XLOOKUP(表格1[[#This Row],[Model]],表格3[Model-Input-Ref2],表格3[Code])</f>
        <v>WM</v>
      </c>
      <c r="K47" s="82" t="s">
        <v>1202</v>
      </c>
      <c r="L47" s="81">
        <v>1</v>
      </c>
      <c r="M47" s="85">
        <v>1500</v>
      </c>
      <c r="N47" s="85">
        <f>IFERROR(表格1[[#This Row],[QTY]]*表格1[[#This Row],[Unit Price]],"-")</f>
        <v>1500</v>
      </c>
      <c r="O47" s="134">
        <v>6053474</v>
      </c>
      <c r="P47" s="137"/>
      <c r="Q47" s="81"/>
      <c r="R47" s="81" t="str">
        <f>_xlfn.CONCAT(表格1[[#This Row],[Model]]," ",表格1[[#This Row],[inv no]])</f>
        <v>AW-M901BPH(WW) 6053474</v>
      </c>
      <c r="S47" s="135">
        <f>_xlfn.XLOOKUP(表格1[[#This Row],[Model]],表格3[Model-Input-Ref2],表格3[SRP PRICE])</f>
        <v>3580</v>
      </c>
      <c r="T47" s="43">
        <f>表格1[[#This Row],[Unit Price]]/表格1[[#This Row],[SRP]]</f>
        <v>0.41899441340782123</v>
      </c>
      <c r="U47" s="86" t="str">
        <f>_xlfn.XLOOKUP(表格1[[#This Row],[Model]],表格3[Model-Input-Ref2],表格3[TOSHIBA/HIGHEST])</f>
        <v>Toshiba SRP</v>
      </c>
      <c r="V47" s="86">
        <v>110</v>
      </c>
      <c r="W47" s="86" t="str">
        <f>_xlfn.CONCAT(表格1[[#This Row],[欄4]],表格1[[#This Row],[inv no]])</f>
        <v>1106053474</v>
      </c>
    </row>
    <row r="48" spans="1:23" ht="15.6" hidden="1" customHeight="1">
      <c r="A48" s="81">
        <v>46</v>
      </c>
      <c r="B48" s="81" t="s">
        <v>1203</v>
      </c>
      <c r="C48" s="81" t="s">
        <v>1226</v>
      </c>
      <c r="D48" s="82" t="str">
        <f ca="1">OFFSET(Roster!$A$3,MATCH(表格1[[#This Row],[Location]]&amp;" "&amp;表格1[[#This Row],[Shop]]&amp;"*",Roster!$A$4:$A$72,0),DAY(表格1[[#This Row],[date]]),1,1)</f>
        <v>Winnie</v>
      </c>
      <c r="E48" s="81">
        <f>MONTH(表格1[[#This Row],[date]])</f>
        <v>3</v>
      </c>
      <c r="F48" s="101">
        <v>46096</v>
      </c>
      <c r="G48" s="81" t="str">
        <f>VLOOKUP("*"&amp;表格1[[#This Row],[Input]]&amp;"*",'Ref-List'!$B:$D,2,)</f>
        <v>MW2-MM24PC(BK)</v>
      </c>
      <c r="H48" s="81" t="str">
        <f>_xlfn.XLOOKUP(表格1[[#This Row],[Model]],表格3[Model-Input-Ref2],表格3[Product Line])</f>
        <v>旋鈕式微波爐24L</v>
      </c>
      <c r="I48" s="81" t="str">
        <f>_xlfn.XLOOKUP(表格1[[#This Row],[Model]],表格3[Model-Input-Ref2],表格3[大小電])</f>
        <v>細電</v>
      </c>
      <c r="J48" s="81" t="str">
        <f>_xlfn.XLOOKUP(表格1[[#This Row],[Model]],表格3[Model-Input-Ref2],表格3[Code])</f>
        <v>SDA</v>
      </c>
      <c r="K48" s="82" t="s">
        <v>1196</v>
      </c>
      <c r="L48" s="81">
        <v>1</v>
      </c>
      <c r="M48" s="85">
        <v>500</v>
      </c>
      <c r="N48" s="85">
        <f>IFERROR(表格1[[#This Row],[QTY]]*表格1[[#This Row],[Unit Price]],"-")</f>
        <v>500</v>
      </c>
      <c r="O48" s="134">
        <v>6053474</v>
      </c>
      <c r="P48" s="136"/>
      <c r="Q48" s="81"/>
      <c r="R48" s="81" t="str">
        <f>_xlfn.CONCAT(表格1[[#This Row],[Model]]," ",表格1[[#This Row],[inv no]])</f>
        <v>MW2-MM24PC(BK) 6053474</v>
      </c>
      <c r="S48" s="135">
        <f>_xlfn.XLOOKUP(表格1[[#This Row],[Model]],表格3[Model-Input-Ref2],表格3[SRP PRICE])</f>
        <v>848</v>
      </c>
      <c r="T48" s="43">
        <f>表格1[[#This Row],[Unit Price]]/表格1[[#This Row],[SRP]]</f>
        <v>0.589622641509434</v>
      </c>
      <c r="U48" s="86" t="str">
        <f>_xlfn.XLOOKUP(表格1[[#This Row],[Model]],表格3[Model-Input-Ref2],表格3[TOSHIBA/HIGHEST])</f>
        <v>Toshiba SRP</v>
      </c>
      <c r="V48" s="86">
        <v>110</v>
      </c>
      <c r="W48" s="86" t="str">
        <f>_xlfn.CONCAT(表格1[[#This Row],[欄4]],表格1[[#This Row],[inv no]])</f>
        <v>1106053474</v>
      </c>
    </row>
    <row r="49" spans="1:23" ht="15.6" hidden="1" customHeight="1">
      <c r="A49" s="81">
        <v>47</v>
      </c>
      <c r="B49" s="81" t="s">
        <v>1203</v>
      </c>
      <c r="C49" s="81" t="s">
        <v>1226</v>
      </c>
      <c r="D49" s="82" t="str">
        <f ca="1">OFFSET(Roster!$A$3,MATCH(表格1[[#This Row],[Location]]&amp;" "&amp;表格1[[#This Row],[Shop]]&amp;"*",Roster!$A$4:$A$72,0),DAY(表格1[[#This Row],[date]]),1,1)</f>
        <v>Winnie</v>
      </c>
      <c r="E49" s="81">
        <f>MONTH(表格1[[#This Row],[date]])</f>
        <v>3</v>
      </c>
      <c r="F49" s="101">
        <v>46096</v>
      </c>
      <c r="G49" s="81" t="str">
        <f>VLOOKUP("*"&amp;表格1[[#This Row],[Input]]&amp;"*",'Ref-List'!$B:$D,2,)</f>
        <v>GR-RT416WE-PMA(06)</v>
      </c>
      <c r="H49" s="81" t="str">
        <f>_xlfn.XLOOKUP(表格1[[#This Row],[Model]],表格3[Model-Input-Ref2],表格3[Product Line])</f>
        <v xml:space="preserve">變頻上置式雙門雪櫃313L </v>
      </c>
      <c r="I49" s="81" t="str">
        <f>_xlfn.XLOOKUP(表格1[[#This Row],[Model]],表格3[Model-Input-Ref2],表格3[大小電])</f>
        <v>大電</v>
      </c>
      <c r="J49" s="81" t="str">
        <f>_xlfn.XLOOKUP(表格1[[#This Row],[Model]],表格3[Model-Input-Ref2],表格3[Code])</f>
        <v>REF</v>
      </c>
      <c r="K49" s="82" t="s">
        <v>1208</v>
      </c>
      <c r="L49" s="81">
        <v>1</v>
      </c>
      <c r="M49" s="85">
        <v>2888</v>
      </c>
      <c r="N49" s="85">
        <f>IFERROR(表格1[[#This Row],[QTY]]*表格1[[#This Row],[Unit Price]],"-")</f>
        <v>2888</v>
      </c>
      <c r="O49" s="134">
        <v>6053473</v>
      </c>
      <c r="P49" s="136"/>
      <c r="Q49" s="81"/>
      <c r="R49" s="81" t="str">
        <f>_xlfn.CONCAT(表格1[[#This Row],[Model]]," ",表格1[[#This Row],[inv no]])</f>
        <v>GR-RT416WE-PMA(06) 6053473</v>
      </c>
      <c r="S49" s="135">
        <f>_xlfn.XLOOKUP(表格1[[#This Row],[Model]],表格3[Model-Input-Ref2],表格3[SRP PRICE])</f>
        <v>5380</v>
      </c>
      <c r="T49" s="43">
        <f>表格1[[#This Row],[Unit Price]]/表格1[[#This Row],[SRP]]</f>
        <v>0.53680297397769516</v>
      </c>
      <c r="U49" s="86" t="str">
        <f>_xlfn.XLOOKUP(表格1[[#This Row],[Model]],表格3[Model-Input-Ref2],表格3[TOSHIBA/HIGHEST])</f>
        <v>Toshiba SRP</v>
      </c>
      <c r="V49" s="86">
        <v>110</v>
      </c>
      <c r="W49" s="86" t="str">
        <f>_xlfn.CONCAT(表格1[[#This Row],[欄4]],表格1[[#This Row],[inv no]])</f>
        <v>1106053473</v>
      </c>
    </row>
    <row r="50" spans="1:23" ht="15.6" hidden="1" customHeight="1">
      <c r="A50" s="81">
        <v>48</v>
      </c>
      <c r="B50" s="81" t="s">
        <v>1203</v>
      </c>
      <c r="C50" s="81" t="s">
        <v>1226</v>
      </c>
      <c r="D50" s="82" t="str">
        <f ca="1">OFFSET(Roster!$A$3,MATCH(表格1[[#This Row],[Location]]&amp;" "&amp;表格1[[#This Row],[Shop]]&amp;"*",Roster!$A$4:$A$72,0),DAY(表格1[[#This Row],[date]]),1,1)</f>
        <v>Winnie</v>
      </c>
      <c r="E50" s="81">
        <f>MONTH(表格1[[#This Row],[date]])</f>
        <v>3</v>
      </c>
      <c r="F50" s="101">
        <v>46096</v>
      </c>
      <c r="G50" s="81" t="str">
        <f>VLOOKUP("*"&amp;表格1[[#This Row],[Input]]&amp;"*",'Ref-List'!$B:$D,2,)</f>
        <v>CWF-12CRFN8-AD5</v>
      </c>
      <c r="H50" s="81" t="str">
        <f>_xlfn.XLOOKUP(表格1[[#This Row],[Model]],表格3[Model-Input-Ref2],表格3[Product Line])</f>
        <v>Comfee 1.5匹變頻窗口式冷氣機</v>
      </c>
      <c r="I50" s="81" t="str">
        <f>_xlfn.XLOOKUP(表格1[[#This Row],[Model]],表格3[Model-Input-Ref2],表格3[大小電])</f>
        <v>大電</v>
      </c>
      <c r="J50" s="81" t="str">
        <f>_xlfn.XLOOKUP(表格1[[#This Row],[Model]],表格3[Model-Input-Ref2],表格3[Code])</f>
        <v>RAC</v>
      </c>
      <c r="K50" s="82" t="s">
        <v>1235</v>
      </c>
      <c r="L50" s="81">
        <v>1</v>
      </c>
      <c r="M50" s="85">
        <v>4088</v>
      </c>
      <c r="N50" s="85">
        <f>IFERROR(表格1[[#This Row],[QTY]]*表格1[[#This Row],[Unit Price]],"-")</f>
        <v>4088</v>
      </c>
      <c r="O50" s="134">
        <v>6053481</v>
      </c>
      <c r="P50" s="136"/>
      <c r="Q50" s="81"/>
      <c r="R50" s="81" t="str">
        <f>_xlfn.CONCAT(表格1[[#This Row],[Model]]," ",表格1[[#This Row],[inv no]])</f>
        <v>CWF-12CRFN8-AD5 6053481</v>
      </c>
      <c r="S50" s="135">
        <f>_xlfn.XLOOKUP(表格1[[#This Row],[Model]],表格3[Model-Input-Ref2],表格3[SRP PRICE])</f>
        <v>5200</v>
      </c>
      <c r="T50" s="43">
        <f>表格1[[#This Row],[Unit Price]]/表格1[[#This Row],[SRP]]</f>
        <v>0.7861538461538462</v>
      </c>
      <c r="U50" s="86" t="str">
        <f>_xlfn.XLOOKUP(表格1[[#This Row],[Model]],表格3[Model-Input-Ref2],表格3[TOSHIBA/HIGHEST])</f>
        <v>Shops Highest Price</v>
      </c>
      <c r="V50" s="86">
        <v>110</v>
      </c>
      <c r="W50" s="86" t="str">
        <f>_xlfn.CONCAT(表格1[[#This Row],[欄4]],表格1[[#This Row],[inv no]])</f>
        <v>1106053481</v>
      </c>
    </row>
    <row r="51" spans="1:23" ht="13.5" hidden="1" customHeight="1">
      <c r="A51" s="81">
        <v>49</v>
      </c>
      <c r="B51" s="81" t="s">
        <v>1203</v>
      </c>
      <c r="C51" s="81" t="s">
        <v>1226</v>
      </c>
      <c r="D51" s="82" t="str">
        <f ca="1">OFFSET(Roster!$A$3,MATCH(表格1[[#This Row],[Location]]&amp;" "&amp;表格1[[#This Row],[Shop]]&amp;"*",Roster!$A$4:$A$72,0),DAY(表格1[[#This Row],[date]]),1,1)</f>
        <v>Winnie</v>
      </c>
      <c r="E51" s="81">
        <f>MONTH(表格1[[#This Row],[date]])</f>
        <v>3</v>
      </c>
      <c r="F51" s="101">
        <v>46096</v>
      </c>
      <c r="G51" s="81" t="str">
        <f>VLOOKUP("*"&amp;表格1[[#This Row],[Input]]&amp;"*",'Ref-List'!$B:$D,2,)</f>
        <v>TWP-TSR76THK(W)</v>
      </c>
      <c r="H51" s="81" t="str">
        <f>_xlfn.XLOOKUP(表格1[[#This Row],[Model]],表格3[Model-Input-Ref2],表格3[Product Line])</f>
        <v>RO座檯式飲水機</v>
      </c>
      <c r="I51" s="81" t="str">
        <f>_xlfn.XLOOKUP(表格1[[#This Row],[Model]],表格3[Model-Input-Ref2],表格3[大小電])</f>
        <v>細電</v>
      </c>
      <c r="J51" s="81" t="str">
        <f>_xlfn.XLOOKUP(表格1[[#This Row],[Model]],表格3[Model-Input-Ref2],表格3[Code])</f>
        <v>KWH</v>
      </c>
      <c r="K51" s="82" t="s">
        <v>1197</v>
      </c>
      <c r="L51" s="81">
        <v>1</v>
      </c>
      <c r="M51" s="85">
        <v>1500</v>
      </c>
      <c r="N51" s="85">
        <f>IFERROR(表格1[[#This Row],[QTY]]*表格1[[#This Row],[Unit Price]],"-")</f>
        <v>1500</v>
      </c>
      <c r="O51" s="134">
        <v>6053485</v>
      </c>
      <c r="P51" s="136"/>
      <c r="Q51" s="81"/>
      <c r="R51" s="81" t="str">
        <f>_xlfn.CONCAT(表格1[[#This Row],[Model]]," ",表格1[[#This Row],[inv no]])</f>
        <v>TWP-TSR76THK(W) 6053485</v>
      </c>
      <c r="S51" s="135">
        <f>_xlfn.XLOOKUP(表格1[[#This Row],[Model]],表格3[Model-Input-Ref2],表格3[SRP PRICE])</f>
        <v>2680</v>
      </c>
      <c r="T51" s="43">
        <f>表格1[[#This Row],[Unit Price]]/表格1[[#This Row],[SRP]]</f>
        <v>0.55970149253731338</v>
      </c>
      <c r="U51" s="86" t="str">
        <f>_xlfn.XLOOKUP(表格1[[#This Row],[Model]],表格3[Model-Input-Ref2],表格3[TOSHIBA/HIGHEST])</f>
        <v>Toshiba SRP</v>
      </c>
      <c r="V51" s="86">
        <v>110</v>
      </c>
      <c r="W51" s="86" t="str">
        <f>_xlfn.CONCAT(表格1[[#This Row],[欄4]],表格1[[#This Row],[inv no]])</f>
        <v>1106053485</v>
      </c>
    </row>
    <row r="52" spans="1:23" ht="15.6" hidden="1" customHeight="1">
      <c r="A52" s="81">
        <v>50</v>
      </c>
      <c r="B52" s="81" t="s">
        <v>1203</v>
      </c>
      <c r="C52" s="81" t="s">
        <v>1226</v>
      </c>
      <c r="D52" s="82" t="str">
        <f ca="1">OFFSET(Roster!$A$3,MATCH(表格1[[#This Row],[Location]]&amp;" "&amp;表格1[[#This Row],[Shop]]&amp;"*",Roster!$A$4:$A$72,0),DAY(表格1[[#This Row],[date]]),1,1)</f>
        <v>Winnie</v>
      </c>
      <c r="E52" s="81">
        <f>MONTH(表格1[[#This Row],[date]])</f>
        <v>3</v>
      </c>
      <c r="F52" s="101">
        <v>46096</v>
      </c>
      <c r="G52" s="81" t="str">
        <f>VLOOKUP("*"&amp;表格1[[#This Row],[Input]]&amp;"*",'Ref-List'!$B:$D,2,)</f>
        <v>RC-15ISTHK(W)</v>
      </c>
      <c r="H52" s="81" t="str">
        <f>_xlfn.XLOOKUP(表格1[[#This Row],[Model]],表格3[Model-Input-Ref2],表格3[Product Line])</f>
        <v>磁應電飯煲(1.5公升)</v>
      </c>
      <c r="I52" s="81" t="str">
        <f>_xlfn.XLOOKUP(表格1[[#This Row],[Model]],表格3[Model-Input-Ref2],表格3[大小電])</f>
        <v>細電</v>
      </c>
      <c r="J52" s="81" t="str">
        <f>_xlfn.XLOOKUP(表格1[[#This Row],[Model]],表格3[Model-Input-Ref2],表格3[Code])</f>
        <v>SDA</v>
      </c>
      <c r="K52" s="82" t="s">
        <v>1204</v>
      </c>
      <c r="L52" s="81">
        <v>1</v>
      </c>
      <c r="M52" s="85">
        <v>500</v>
      </c>
      <c r="N52" s="85">
        <f>IFERROR(表格1[[#This Row],[QTY]]*表格1[[#This Row],[Unit Price]],"-")</f>
        <v>500</v>
      </c>
      <c r="O52" s="134">
        <v>6053487</v>
      </c>
      <c r="P52" s="136"/>
      <c r="Q52" s="81"/>
      <c r="R52" s="81" t="str">
        <f>_xlfn.CONCAT(表格1[[#This Row],[Model]]," ",表格1[[#This Row],[inv no]])</f>
        <v>RC-15ISTHK(W) 6053487</v>
      </c>
      <c r="S52" s="135">
        <f>_xlfn.XLOOKUP(表格1[[#This Row],[Model]],表格3[Model-Input-Ref2],表格3[SRP PRICE])</f>
        <v>1688</v>
      </c>
      <c r="T52" s="43">
        <f>表格1[[#This Row],[Unit Price]]/表格1[[#This Row],[SRP]]</f>
        <v>0.29620853080568721</v>
      </c>
      <c r="U52" s="86" t="str">
        <f>_xlfn.XLOOKUP(表格1[[#This Row],[Model]],表格3[Model-Input-Ref2],表格3[TOSHIBA/HIGHEST])</f>
        <v>Toshiba SRP</v>
      </c>
      <c r="V52" s="86">
        <v>110</v>
      </c>
      <c r="W52" s="86" t="str">
        <f>_xlfn.CONCAT(表格1[[#This Row],[欄4]],表格1[[#This Row],[inv no]])</f>
        <v>1106053487</v>
      </c>
    </row>
    <row r="53" spans="1:23" ht="15.6" hidden="1" customHeight="1">
      <c r="A53" s="81">
        <v>51</v>
      </c>
      <c r="B53" s="81" t="s">
        <v>1203</v>
      </c>
      <c r="C53" s="81" t="s">
        <v>1237</v>
      </c>
      <c r="D53" s="82" t="str">
        <f ca="1">OFFSET(Roster!$A$3,MATCH(表格1[[#This Row],[Location]]&amp;" "&amp;表格1[[#This Row],[Shop]]&amp;"*",Roster!$A$4:$A$72,0),DAY(表格1[[#This Row],[date]]),1,1)</f>
        <v>Wendy Lau</v>
      </c>
      <c r="E53" s="81">
        <f>MONTH(表格1[[#This Row],[date]])</f>
        <v>3</v>
      </c>
      <c r="F53" s="101">
        <v>46082</v>
      </c>
      <c r="G53" s="81" t="str">
        <f>VLOOKUP("*"&amp;表格1[[#This Row],[Input]]&amp;"*",'Ref-List'!$B:$D,2,)</f>
        <v>RC-15ISTHK(W)</v>
      </c>
      <c r="H53" s="81" t="str">
        <f>_xlfn.XLOOKUP(表格1[[#This Row],[Model]],表格3[Model-Input-Ref2],表格3[Product Line])</f>
        <v>磁應電飯煲(1.5公升)</v>
      </c>
      <c r="I53" s="81" t="str">
        <f>_xlfn.XLOOKUP(表格1[[#This Row],[Model]],表格3[Model-Input-Ref2],表格3[大小電])</f>
        <v>細電</v>
      </c>
      <c r="J53" s="81" t="str">
        <f>_xlfn.XLOOKUP(表格1[[#This Row],[Model]],表格3[Model-Input-Ref2],表格3[Code])</f>
        <v>SDA</v>
      </c>
      <c r="K53" s="82" t="s">
        <v>1204</v>
      </c>
      <c r="L53" s="81">
        <v>1</v>
      </c>
      <c r="M53" s="85">
        <v>500</v>
      </c>
      <c r="N53" s="85">
        <f>IFERROR(表格1[[#This Row],[QTY]]*表格1[[#This Row],[Unit Price]],"-")</f>
        <v>500</v>
      </c>
      <c r="O53" s="134">
        <v>6027003</v>
      </c>
      <c r="P53" s="137"/>
      <c r="Q53" s="81"/>
      <c r="R53" s="81" t="str">
        <f>_xlfn.CONCAT(表格1[[#This Row],[Model]]," ",表格1[[#This Row],[inv no]])</f>
        <v>RC-15ISTHK(W) 6027003</v>
      </c>
      <c r="S53" s="135">
        <f>_xlfn.XLOOKUP(表格1[[#This Row],[Model]],表格3[Model-Input-Ref2],表格3[SRP PRICE])</f>
        <v>1688</v>
      </c>
      <c r="T53" s="43">
        <f>表格1[[#This Row],[Unit Price]]/表格1[[#This Row],[SRP]]</f>
        <v>0.29620853080568721</v>
      </c>
      <c r="U53" s="86" t="str">
        <f>_xlfn.XLOOKUP(表格1[[#This Row],[Model]],表格3[Model-Input-Ref2],表格3[TOSHIBA/HIGHEST])</f>
        <v>Toshiba SRP</v>
      </c>
      <c r="V53" s="86">
        <v>110</v>
      </c>
      <c r="W53" s="86" t="str">
        <f>_xlfn.CONCAT(表格1[[#This Row],[欄4]],表格1[[#This Row],[inv no]])</f>
        <v>1106027003</v>
      </c>
    </row>
    <row r="54" spans="1:23" ht="15.6" hidden="1" customHeight="1">
      <c r="A54" s="81">
        <v>52</v>
      </c>
      <c r="B54" s="81" t="s">
        <v>1203</v>
      </c>
      <c r="C54" s="81" t="s">
        <v>1237</v>
      </c>
      <c r="D54" s="82" t="str">
        <f ca="1">OFFSET(Roster!$A$3,MATCH(表格1[[#This Row],[Location]]&amp;" "&amp;表格1[[#This Row],[Shop]]&amp;"*",Roster!$A$4:$A$72,0),DAY(表格1[[#This Row],[date]]),1,1)</f>
        <v>Wendy Lau</v>
      </c>
      <c r="E54" s="81">
        <f>MONTH(表格1[[#This Row],[date]])</f>
        <v>3</v>
      </c>
      <c r="F54" s="101">
        <v>46082</v>
      </c>
      <c r="G54" s="81" t="str">
        <f>VLOOKUP("*"&amp;表格1[[#This Row],[Input]]&amp;"*",'Ref-List'!$B:$D,2,)</f>
        <v>RC-15ISTHK(W)</v>
      </c>
      <c r="H54" s="81" t="str">
        <f>_xlfn.XLOOKUP(表格1[[#This Row],[Model]],表格3[Model-Input-Ref2],表格3[Product Line])</f>
        <v>磁應電飯煲(1.5公升)</v>
      </c>
      <c r="I54" s="81" t="str">
        <f>_xlfn.XLOOKUP(表格1[[#This Row],[Model]],表格3[Model-Input-Ref2],表格3[大小電])</f>
        <v>細電</v>
      </c>
      <c r="J54" s="81" t="str">
        <f>_xlfn.XLOOKUP(表格1[[#This Row],[Model]],表格3[Model-Input-Ref2],表格3[Code])</f>
        <v>SDA</v>
      </c>
      <c r="K54" s="82" t="s">
        <v>1204</v>
      </c>
      <c r="L54" s="81">
        <v>1</v>
      </c>
      <c r="M54" s="85">
        <v>500</v>
      </c>
      <c r="N54" s="85">
        <f>IFERROR(表格1[[#This Row],[QTY]]*表格1[[#This Row],[Unit Price]],"-")</f>
        <v>500</v>
      </c>
      <c r="O54" s="134">
        <v>6027022</v>
      </c>
      <c r="P54" s="137"/>
      <c r="Q54" s="81"/>
      <c r="R54" s="81" t="str">
        <f>_xlfn.CONCAT(表格1[[#This Row],[Model]]," ",表格1[[#This Row],[inv no]])</f>
        <v>RC-15ISTHK(W) 6027022</v>
      </c>
      <c r="S54" s="135">
        <f>_xlfn.XLOOKUP(表格1[[#This Row],[Model]],表格3[Model-Input-Ref2],表格3[SRP PRICE])</f>
        <v>1688</v>
      </c>
      <c r="T54" s="43">
        <f>表格1[[#This Row],[Unit Price]]/表格1[[#This Row],[SRP]]</f>
        <v>0.29620853080568721</v>
      </c>
      <c r="U54" s="86" t="str">
        <f>_xlfn.XLOOKUP(表格1[[#This Row],[Model]],表格3[Model-Input-Ref2],表格3[TOSHIBA/HIGHEST])</f>
        <v>Toshiba SRP</v>
      </c>
      <c r="V54" s="86">
        <v>110</v>
      </c>
      <c r="W54" s="86" t="str">
        <f>_xlfn.CONCAT(表格1[[#This Row],[欄4]],表格1[[#This Row],[inv no]])</f>
        <v>1106027022</v>
      </c>
    </row>
    <row r="55" spans="1:23" ht="15.6" hidden="1" customHeight="1">
      <c r="A55" s="81">
        <v>53</v>
      </c>
      <c r="B55" s="81" t="s">
        <v>1203</v>
      </c>
      <c r="C55" s="81" t="s">
        <v>1237</v>
      </c>
      <c r="D55" s="82" t="str">
        <f ca="1">OFFSET(Roster!$A$3,MATCH(表格1[[#This Row],[Location]]&amp;" "&amp;表格1[[#This Row],[Shop]]&amp;"*",Roster!$A$4:$A$72,0),DAY(表格1[[#This Row],[date]]),1,1)</f>
        <v>Wendy Lau</v>
      </c>
      <c r="E55" s="81">
        <f>MONTH(表格1[[#This Row],[date]])</f>
        <v>3</v>
      </c>
      <c r="F55" s="101">
        <v>46082</v>
      </c>
      <c r="G55" s="81" t="str">
        <f>VLOOKUP("*"&amp;表格1[[#This Row],[Input]]&amp;"*",'Ref-List'!$B:$D,2,)</f>
        <v>RC-15ISTHK(W)</v>
      </c>
      <c r="H55" s="81" t="str">
        <f>_xlfn.XLOOKUP(表格1[[#This Row],[Model]],表格3[Model-Input-Ref2],表格3[Product Line])</f>
        <v>磁應電飯煲(1.5公升)</v>
      </c>
      <c r="I55" s="81" t="str">
        <f>_xlfn.XLOOKUP(表格1[[#This Row],[Model]],表格3[Model-Input-Ref2],表格3[大小電])</f>
        <v>細電</v>
      </c>
      <c r="J55" s="81" t="str">
        <f>_xlfn.XLOOKUP(表格1[[#This Row],[Model]],表格3[Model-Input-Ref2],表格3[Code])</f>
        <v>SDA</v>
      </c>
      <c r="K55" s="82" t="s">
        <v>1238</v>
      </c>
      <c r="L55" s="81">
        <v>1</v>
      </c>
      <c r="M55" s="85">
        <v>500</v>
      </c>
      <c r="N55" s="85">
        <f>IFERROR(表格1[[#This Row],[QTY]]*表格1[[#This Row],[Unit Price]],"-")</f>
        <v>500</v>
      </c>
      <c r="O55" s="134">
        <v>6027247</v>
      </c>
      <c r="P55" s="137"/>
      <c r="Q55" s="81"/>
      <c r="R55" s="81" t="str">
        <f>_xlfn.CONCAT(表格1[[#This Row],[Model]]," ",表格1[[#This Row],[inv no]])</f>
        <v>RC-15ISTHK(W) 6027247</v>
      </c>
      <c r="S55" s="135">
        <f>_xlfn.XLOOKUP(表格1[[#This Row],[Model]],表格3[Model-Input-Ref2],表格3[SRP PRICE])</f>
        <v>1688</v>
      </c>
      <c r="T55" s="43">
        <f>表格1[[#This Row],[Unit Price]]/表格1[[#This Row],[SRP]]</f>
        <v>0.29620853080568721</v>
      </c>
      <c r="U55" s="86" t="str">
        <f>_xlfn.XLOOKUP(表格1[[#This Row],[Model]],表格3[Model-Input-Ref2],表格3[TOSHIBA/HIGHEST])</f>
        <v>Toshiba SRP</v>
      </c>
      <c r="V55" s="86">
        <v>110</v>
      </c>
      <c r="W55" s="86" t="str">
        <f>_xlfn.CONCAT(表格1[[#This Row],[欄4]],表格1[[#This Row],[inv no]])</f>
        <v>1106027247</v>
      </c>
    </row>
    <row r="56" spans="1:23" ht="15.6" hidden="1" customHeight="1">
      <c r="A56" s="81">
        <v>54</v>
      </c>
      <c r="B56" s="81" t="s">
        <v>1203</v>
      </c>
      <c r="C56" s="81" t="s">
        <v>1237</v>
      </c>
      <c r="D56" s="82" t="str">
        <f ca="1">OFFSET(Roster!$A$3,MATCH(表格1[[#This Row],[Location]]&amp;" "&amp;表格1[[#This Row],[Shop]]&amp;"*",Roster!$A$4:$A$72,0),DAY(表格1[[#This Row],[date]]),1,1)</f>
        <v>Wendy Lau</v>
      </c>
      <c r="E56" s="81">
        <f>MONTH(表格1[[#This Row],[date]])</f>
        <v>3</v>
      </c>
      <c r="F56" s="101">
        <v>46082</v>
      </c>
      <c r="G56" s="81" t="str">
        <f>VLOOKUP("*"&amp;表格1[[#This Row],[Input]]&amp;"*",'Ref-List'!$B:$D,2,)</f>
        <v>RC-15ISTHK(W)</v>
      </c>
      <c r="H56" s="81" t="str">
        <f>_xlfn.XLOOKUP(表格1[[#This Row],[Model]],表格3[Model-Input-Ref2],表格3[Product Line])</f>
        <v>磁應電飯煲(1.5公升)</v>
      </c>
      <c r="I56" s="81" t="str">
        <f>_xlfn.XLOOKUP(表格1[[#This Row],[Model]],表格3[Model-Input-Ref2],表格3[大小電])</f>
        <v>細電</v>
      </c>
      <c r="J56" s="81" t="str">
        <f>_xlfn.XLOOKUP(表格1[[#This Row],[Model]],表格3[Model-Input-Ref2],表格3[Code])</f>
        <v>SDA</v>
      </c>
      <c r="K56" s="82" t="s">
        <v>1238</v>
      </c>
      <c r="L56" s="81">
        <v>1</v>
      </c>
      <c r="M56" s="85">
        <v>500</v>
      </c>
      <c r="N56" s="85">
        <f>IFERROR(表格1[[#This Row],[QTY]]*表格1[[#This Row],[Unit Price]],"-")</f>
        <v>500</v>
      </c>
      <c r="O56" s="134">
        <v>6027249</v>
      </c>
      <c r="P56" s="137"/>
      <c r="Q56" s="81"/>
      <c r="R56" s="81" t="str">
        <f>_xlfn.CONCAT(表格1[[#This Row],[Model]]," ",表格1[[#This Row],[inv no]])</f>
        <v>RC-15ISTHK(W) 6027249</v>
      </c>
      <c r="S56" s="135">
        <f>_xlfn.XLOOKUP(表格1[[#This Row],[Model]],表格3[Model-Input-Ref2],表格3[SRP PRICE])</f>
        <v>1688</v>
      </c>
      <c r="T56" s="43">
        <f>表格1[[#This Row],[Unit Price]]/表格1[[#This Row],[SRP]]</f>
        <v>0.29620853080568721</v>
      </c>
      <c r="U56" s="86" t="str">
        <f>_xlfn.XLOOKUP(表格1[[#This Row],[Model]],表格3[Model-Input-Ref2],表格3[TOSHIBA/HIGHEST])</f>
        <v>Toshiba SRP</v>
      </c>
      <c r="V56" s="86">
        <v>110</v>
      </c>
      <c r="W56" s="86" t="str">
        <f>_xlfn.CONCAT(表格1[[#This Row],[欄4]],表格1[[#This Row],[inv no]])</f>
        <v>1106027249</v>
      </c>
    </row>
    <row r="57" spans="1:23" ht="15.6" hidden="1" customHeight="1">
      <c r="A57" s="81">
        <v>55</v>
      </c>
      <c r="B57" s="81" t="s">
        <v>1203</v>
      </c>
      <c r="C57" s="81" t="s">
        <v>1237</v>
      </c>
      <c r="D57" s="82" t="str">
        <f ca="1">OFFSET(Roster!$A$3,MATCH(表格1[[#This Row],[Location]]&amp;" "&amp;表格1[[#This Row],[Shop]]&amp;"*",Roster!$A$4:$A$72,0),DAY(表格1[[#This Row],[date]]),1,1)</f>
        <v>Wendy Lau</v>
      </c>
      <c r="E57" s="81">
        <f>MONTH(表格1[[#This Row],[date]])</f>
        <v>3</v>
      </c>
      <c r="F57" s="101">
        <v>46082</v>
      </c>
      <c r="G57" s="81" t="str">
        <f>VLOOKUP("*"&amp;表格1[[#This Row],[Input]]&amp;"*",'Ref-List'!$B:$D,2,)</f>
        <v>RC-15ISTHK(W)</v>
      </c>
      <c r="H57" s="81" t="str">
        <f>_xlfn.XLOOKUP(表格1[[#This Row],[Model]],表格3[Model-Input-Ref2],表格3[Product Line])</f>
        <v>磁應電飯煲(1.5公升)</v>
      </c>
      <c r="I57" s="81" t="str">
        <f>_xlfn.XLOOKUP(表格1[[#This Row],[Model]],表格3[Model-Input-Ref2],表格3[大小電])</f>
        <v>細電</v>
      </c>
      <c r="J57" s="81" t="str">
        <f>_xlfn.XLOOKUP(表格1[[#This Row],[Model]],表格3[Model-Input-Ref2],表格3[Code])</f>
        <v>SDA</v>
      </c>
      <c r="K57" s="82" t="s">
        <v>1238</v>
      </c>
      <c r="L57" s="81">
        <v>1</v>
      </c>
      <c r="M57" s="85">
        <v>500</v>
      </c>
      <c r="N57" s="85">
        <f>IFERROR(表格1[[#This Row],[QTY]]*表格1[[#This Row],[Unit Price]],"-")</f>
        <v>500</v>
      </c>
      <c r="O57" s="134">
        <v>6027251</v>
      </c>
      <c r="P57" s="137"/>
      <c r="Q57" s="81"/>
      <c r="R57" s="81" t="str">
        <f>_xlfn.CONCAT(表格1[[#This Row],[Model]]," ",表格1[[#This Row],[inv no]])</f>
        <v>RC-15ISTHK(W) 6027251</v>
      </c>
      <c r="S57" s="135">
        <f>_xlfn.XLOOKUP(表格1[[#This Row],[Model]],表格3[Model-Input-Ref2],表格3[SRP PRICE])</f>
        <v>1688</v>
      </c>
      <c r="T57" s="43">
        <f>表格1[[#This Row],[Unit Price]]/表格1[[#This Row],[SRP]]</f>
        <v>0.29620853080568721</v>
      </c>
      <c r="U57" s="86" t="str">
        <f>_xlfn.XLOOKUP(表格1[[#This Row],[Model]],表格3[Model-Input-Ref2],表格3[TOSHIBA/HIGHEST])</f>
        <v>Toshiba SRP</v>
      </c>
      <c r="V57" s="86">
        <v>110</v>
      </c>
      <c r="W57" s="86" t="str">
        <f>_xlfn.CONCAT(表格1[[#This Row],[欄4]],表格1[[#This Row],[inv no]])</f>
        <v>1106027251</v>
      </c>
    </row>
    <row r="58" spans="1:23" ht="15.6" hidden="1" customHeight="1">
      <c r="A58" s="81">
        <v>56</v>
      </c>
      <c r="B58" s="81" t="s">
        <v>1203</v>
      </c>
      <c r="C58" s="81" t="s">
        <v>1237</v>
      </c>
      <c r="D58" s="82" t="str">
        <f ca="1">OFFSET(Roster!$A$3,MATCH(表格1[[#This Row],[Location]]&amp;" "&amp;表格1[[#This Row],[Shop]]&amp;"*",Roster!$A$4:$A$72,0),DAY(表格1[[#This Row],[date]]),1,1)</f>
        <v>Wendy Lau</v>
      </c>
      <c r="E58" s="81">
        <f>MONTH(表格1[[#This Row],[date]])</f>
        <v>3</v>
      </c>
      <c r="F58" s="101">
        <v>46082</v>
      </c>
      <c r="G58" s="81" t="str">
        <f>VLOOKUP("*"&amp;表格1[[#This Row],[Input]]&amp;"*",'Ref-List'!$B:$D,2,)</f>
        <v>RC-15ISTHK(W)</v>
      </c>
      <c r="H58" s="81" t="str">
        <f>_xlfn.XLOOKUP(表格1[[#This Row],[Model]],表格3[Model-Input-Ref2],表格3[Product Line])</f>
        <v>磁應電飯煲(1.5公升)</v>
      </c>
      <c r="I58" s="81" t="str">
        <f>_xlfn.XLOOKUP(表格1[[#This Row],[Model]],表格3[Model-Input-Ref2],表格3[大小電])</f>
        <v>細電</v>
      </c>
      <c r="J58" s="81" t="str">
        <f>_xlfn.XLOOKUP(表格1[[#This Row],[Model]],表格3[Model-Input-Ref2],表格3[Code])</f>
        <v>SDA</v>
      </c>
      <c r="K58" s="82" t="s">
        <v>1238</v>
      </c>
      <c r="L58" s="81">
        <v>1</v>
      </c>
      <c r="M58" s="85">
        <v>500</v>
      </c>
      <c r="N58" s="85">
        <f>IFERROR(表格1[[#This Row],[QTY]]*表格1[[#This Row],[Unit Price]],"-")</f>
        <v>500</v>
      </c>
      <c r="O58" s="134">
        <v>6027005</v>
      </c>
      <c r="P58" s="137"/>
      <c r="Q58" s="81"/>
      <c r="R58" s="81" t="str">
        <f>_xlfn.CONCAT(表格1[[#This Row],[Model]]," ",表格1[[#This Row],[inv no]])</f>
        <v>RC-15ISTHK(W) 6027005</v>
      </c>
      <c r="S58" s="135">
        <f>_xlfn.XLOOKUP(表格1[[#This Row],[Model]],表格3[Model-Input-Ref2],表格3[SRP PRICE])</f>
        <v>1688</v>
      </c>
      <c r="T58" s="43">
        <f>表格1[[#This Row],[Unit Price]]/表格1[[#This Row],[SRP]]</f>
        <v>0.29620853080568721</v>
      </c>
      <c r="U58" s="86" t="str">
        <f>_xlfn.XLOOKUP(表格1[[#This Row],[Model]],表格3[Model-Input-Ref2],表格3[TOSHIBA/HIGHEST])</f>
        <v>Toshiba SRP</v>
      </c>
      <c r="V58" s="86">
        <v>110</v>
      </c>
      <c r="W58" s="86" t="str">
        <f>_xlfn.CONCAT(表格1[[#This Row],[欄4]],表格1[[#This Row],[inv no]])</f>
        <v>1106027005</v>
      </c>
    </row>
    <row r="59" spans="1:23" ht="15.6" hidden="1" customHeight="1">
      <c r="A59" s="81">
        <v>57</v>
      </c>
      <c r="B59" s="81" t="s">
        <v>1203</v>
      </c>
      <c r="C59" s="81" t="s">
        <v>1237</v>
      </c>
      <c r="D59" s="82" t="str">
        <f ca="1">OFFSET(Roster!$A$3,MATCH(表格1[[#This Row],[Location]]&amp;" "&amp;表格1[[#This Row],[Shop]]&amp;"*",Roster!$A$4:$A$72,0),DAY(表格1[[#This Row],[date]]),1,1)</f>
        <v>Wendy Lau</v>
      </c>
      <c r="E59" s="81">
        <f>MONTH(表格1[[#This Row],[date]])</f>
        <v>3</v>
      </c>
      <c r="F59" s="101">
        <v>46082</v>
      </c>
      <c r="G59" s="81" t="str">
        <f>VLOOKUP("*"&amp;表格1[[#This Row],[Input]]&amp;"*",'Ref-List'!$B:$D,2,)</f>
        <v>RC-15ISTHK(W)</v>
      </c>
      <c r="H59" s="81" t="str">
        <f>_xlfn.XLOOKUP(表格1[[#This Row],[Model]],表格3[Model-Input-Ref2],表格3[Product Line])</f>
        <v>磁應電飯煲(1.5公升)</v>
      </c>
      <c r="I59" s="81" t="str">
        <f>_xlfn.XLOOKUP(表格1[[#This Row],[Model]],表格3[Model-Input-Ref2],表格3[大小電])</f>
        <v>細電</v>
      </c>
      <c r="J59" s="81" t="str">
        <f>_xlfn.XLOOKUP(表格1[[#This Row],[Model]],表格3[Model-Input-Ref2],表格3[Code])</f>
        <v>SDA</v>
      </c>
      <c r="K59" s="82" t="s">
        <v>1238</v>
      </c>
      <c r="L59" s="81">
        <v>1</v>
      </c>
      <c r="M59" s="85">
        <v>500</v>
      </c>
      <c r="N59" s="85">
        <f>IFERROR(表格1[[#This Row],[QTY]]*表格1[[#This Row],[Unit Price]],"-")</f>
        <v>500</v>
      </c>
      <c r="O59" s="134">
        <v>6027815</v>
      </c>
      <c r="P59" s="137"/>
      <c r="Q59" s="81"/>
      <c r="R59" s="81" t="str">
        <f>_xlfn.CONCAT(表格1[[#This Row],[Model]]," ",表格1[[#This Row],[inv no]])</f>
        <v>RC-15ISTHK(W) 6027815</v>
      </c>
      <c r="S59" s="135">
        <f>_xlfn.XLOOKUP(表格1[[#This Row],[Model]],表格3[Model-Input-Ref2],表格3[SRP PRICE])</f>
        <v>1688</v>
      </c>
      <c r="T59" s="43">
        <f>表格1[[#This Row],[Unit Price]]/表格1[[#This Row],[SRP]]</f>
        <v>0.29620853080568721</v>
      </c>
      <c r="U59" s="86" t="str">
        <f>_xlfn.XLOOKUP(表格1[[#This Row],[Model]],表格3[Model-Input-Ref2],表格3[TOSHIBA/HIGHEST])</f>
        <v>Toshiba SRP</v>
      </c>
      <c r="V59" s="86">
        <v>110</v>
      </c>
      <c r="W59" s="86" t="str">
        <f>_xlfn.CONCAT(表格1[[#This Row],[欄4]],表格1[[#This Row],[inv no]])</f>
        <v>1106027815</v>
      </c>
    </row>
    <row r="60" spans="1:23" ht="15.6" hidden="1" customHeight="1">
      <c r="A60" s="81">
        <v>58</v>
      </c>
      <c r="B60" s="81" t="s">
        <v>1203</v>
      </c>
      <c r="C60" s="81" t="s">
        <v>1237</v>
      </c>
      <c r="D60" s="82" t="str">
        <f ca="1">OFFSET(Roster!$A$3,MATCH(表格1[[#This Row],[Location]]&amp;" "&amp;表格1[[#This Row],[Shop]]&amp;"*",Roster!$A$4:$A$72,0),DAY(表格1[[#This Row],[date]]),1,1)</f>
        <v>Wendy Lau</v>
      </c>
      <c r="E60" s="81">
        <f>MONTH(表格1[[#This Row],[date]])</f>
        <v>3</v>
      </c>
      <c r="F60" s="101">
        <v>46082</v>
      </c>
      <c r="G60" s="81" t="str">
        <f>VLOOKUP("*"&amp;表格1[[#This Row],[Input]]&amp;"*",'Ref-List'!$B:$D,2,)</f>
        <v>RC-15ISTHK(W)</v>
      </c>
      <c r="H60" s="81" t="str">
        <f>_xlfn.XLOOKUP(表格1[[#This Row],[Model]],表格3[Model-Input-Ref2],表格3[Product Line])</f>
        <v>磁應電飯煲(1.5公升)</v>
      </c>
      <c r="I60" s="81" t="str">
        <f>_xlfn.XLOOKUP(表格1[[#This Row],[Model]],表格3[Model-Input-Ref2],表格3[大小電])</f>
        <v>細電</v>
      </c>
      <c r="J60" s="81" t="str">
        <f>_xlfn.XLOOKUP(表格1[[#This Row],[Model]],表格3[Model-Input-Ref2],表格3[Code])</f>
        <v>SDA</v>
      </c>
      <c r="K60" s="82" t="s">
        <v>1238</v>
      </c>
      <c r="L60" s="81">
        <v>1</v>
      </c>
      <c r="M60" s="85">
        <v>500</v>
      </c>
      <c r="N60" s="85">
        <f>IFERROR(表格1[[#This Row],[QTY]]*表格1[[#This Row],[Unit Price]],"-")</f>
        <v>500</v>
      </c>
      <c r="O60" s="134">
        <v>6027850</v>
      </c>
      <c r="P60" s="137"/>
      <c r="Q60" s="81"/>
      <c r="R60" s="81" t="str">
        <f>_xlfn.CONCAT(表格1[[#This Row],[Model]]," ",表格1[[#This Row],[inv no]])</f>
        <v>RC-15ISTHK(W) 6027850</v>
      </c>
      <c r="S60" s="135">
        <f>_xlfn.XLOOKUP(表格1[[#This Row],[Model]],表格3[Model-Input-Ref2],表格3[SRP PRICE])</f>
        <v>1688</v>
      </c>
      <c r="T60" s="43">
        <f>表格1[[#This Row],[Unit Price]]/表格1[[#This Row],[SRP]]</f>
        <v>0.29620853080568721</v>
      </c>
      <c r="U60" s="86" t="str">
        <f>_xlfn.XLOOKUP(表格1[[#This Row],[Model]],表格3[Model-Input-Ref2],表格3[TOSHIBA/HIGHEST])</f>
        <v>Toshiba SRP</v>
      </c>
      <c r="V60" s="86">
        <v>110</v>
      </c>
      <c r="W60" s="86" t="str">
        <f>_xlfn.CONCAT(表格1[[#This Row],[欄4]],表格1[[#This Row],[inv no]])</f>
        <v>1106027850</v>
      </c>
    </row>
    <row r="61" spans="1:23" ht="15.6" hidden="1" customHeight="1">
      <c r="A61" s="81">
        <v>59</v>
      </c>
      <c r="B61" s="81" t="s">
        <v>1203</v>
      </c>
      <c r="C61" s="81" t="s">
        <v>1237</v>
      </c>
      <c r="D61" s="82" t="str">
        <f ca="1">OFFSET(Roster!$A$3,MATCH(表格1[[#This Row],[Location]]&amp;" "&amp;表格1[[#This Row],[Shop]]&amp;"*",Roster!$A$4:$A$72,0),DAY(表格1[[#This Row],[date]]),1,1)</f>
        <v>Wendy Lau</v>
      </c>
      <c r="E61" s="81">
        <f>MONTH(表格1[[#This Row],[date]])</f>
        <v>3</v>
      </c>
      <c r="F61" s="101">
        <v>46082</v>
      </c>
      <c r="G61" s="81" t="str">
        <f>VLOOKUP("*"&amp;表格1[[#This Row],[Input]]&amp;"*",'Ref-List'!$B:$D,2,)</f>
        <v>DWS-34AHK</v>
      </c>
      <c r="H61" s="81" t="str">
        <f>_xlfn.XLOOKUP(表格1[[#This Row],[Model]],表格3[Model-Input-Ref2],表格3[Product Line])</f>
        <v>獨立式免安裝洗碗碟機</v>
      </c>
      <c r="I61" s="81" t="str">
        <f>_xlfn.XLOOKUP(表格1[[#This Row],[Model]],表格3[Model-Input-Ref2],表格3[大小電])</f>
        <v>細電</v>
      </c>
      <c r="J61" s="81" t="str">
        <f>_xlfn.XLOOKUP(表格1[[#This Row],[Model]],表格3[Model-Input-Ref2],表格3[Code])</f>
        <v>DM</v>
      </c>
      <c r="K61" s="82" t="s">
        <v>1240</v>
      </c>
      <c r="L61" s="81">
        <v>1</v>
      </c>
      <c r="M61" s="85">
        <v>1500</v>
      </c>
      <c r="N61" s="85">
        <f>IFERROR(表格1[[#This Row],[QTY]]*表格1[[#This Row],[Unit Price]],"-")</f>
        <v>1500</v>
      </c>
      <c r="O61" s="134">
        <v>6027246</v>
      </c>
      <c r="P61" s="81"/>
      <c r="Q61" s="81"/>
      <c r="R61" s="81" t="str">
        <f>_xlfn.CONCAT(表格1[[#This Row],[Model]]," ",表格1[[#This Row],[inv no]])</f>
        <v>DWS-34AHK 6027246</v>
      </c>
      <c r="S61" s="135">
        <f>_xlfn.XLOOKUP(表格1[[#This Row],[Model]],表格3[Model-Input-Ref2],表格3[SRP PRICE])</f>
        <v>3999</v>
      </c>
      <c r="T61" s="43">
        <f>表格1[[#This Row],[Unit Price]]/表格1[[#This Row],[SRP]]</f>
        <v>0.37509377344336087</v>
      </c>
      <c r="U61" s="86" t="str">
        <f>_xlfn.XLOOKUP(表格1[[#This Row],[Model]],表格3[Model-Input-Ref2],表格3[TOSHIBA/HIGHEST])</f>
        <v>Web SRP</v>
      </c>
      <c r="V61" s="86">
        <v>110</v>
      </c>
      <c r="W61" s="86" t="str">
        <f>_xlfn.CONCAT(表格1[[#This Row],[欄4]],表格1[[#This Row],[inv no]])</f>
        <v>1106027246</v>
      </c>
    </row>
    <row r="62" spans="1:23" ht="15.6" hidden="1" customHeight="1">
      <c r="A62" s="81">
        <v>60</v>
      </c>
      <c r="B62" s="81" t="s">
        <v>1203</v>
      </c>
      <c r="C62" s="81" t="s">
        <v>1237</v>
      </c>
      <c r="D62" s="82" t="str">
        <f ca="1">OFFSET(Roster!$A$3,MATCH(表格1[[#This Row],[Location]]&amp;" "&amp;表格1[[#This Row],[Shop]]&amp;"*",Roster!$A$4:$A$72,0),DAY(表格1[[#This Row],[date]]),1,1)</f>
        <v>Wendy Lau</v>
      </c>
      <c r="E62" s="81">
        <f>MONTH(表格1[[#This Row],[date]])</f>
        <v>3</v>
      </c>
      <c r="F62" s="101">
        <v>46082</v>
      </c>
      <c r="G62" s="81" t="str">
        <f>VLOOKUP("*"&amp;表格1[[#This Row],[Input]]&amp;"*",'Ref-List'!$B:$D,2,)</f>
        <v>DWS-34AHK</v>
      </c>
      <c r="H62" s="81" t="str">
        <f>_xlfn.XLOOKUP(表格1[[#This Row],[Model]],表格3[Model-Input-Ref2],表格3[Product Line])</f>
        <v>獨立式免安裝洗碗碟機</v>
      </c>
      <c r="I62" s="81" t="str">
        <f>_xlfn.XLOOKUP(表格1[[#This Row],[Model]],表格3[Model-Input-Ref2],表格3[大小電])</f>
        <v>細電</v>
      </c>
      <c r="J62" s="81" t="str">
        <f>_xlfn.XLOOKUP(表格1[[#This Row],[Model]],表格3[Model-Input-Ref2],表格3[Code])</f>
        <v>DM</v>
      </c>
      <c r="K62" s="82" t="s">
        <v>1240</v>
      </c>
      <c r="L62" s="81">
        <v>1</v>
      </c>
      <c r="M62" s="85">
        <v>1500</v>
      </c>
      <c r="N62" s="85">
        <f>IFERROR(表格1[[#This Row],[QTY]]*表格1[[#This Row],[Unit Price]],"-")</f>
        <v>1500</v>
      </c>
      <c r="O62" s="134">
        <v>6027888</v>
      </c>
      <c r="P62" s="81"/>
      <c r="Q62" s="81"/>
      <c r="R62" s="81" t="str">
        <f>_xlfn.CONCAT(表格1[[#This Row],[Model]]," ",表格1[[#This Row],[inv no]])</f>
        <v>DWS-34AHK 6027888</v>
      </c>
      <c r="S62" s="135">
        <f>_xlfn.XLOOKUP(表格1[[#This Row],[Model]],表格3[Model-Input-Ref2],表格3[SRP PRICE])</f>
        <v>3999</v>
      </c>
      <c r="T62" s="43">
        <f>表格1[[#This Row],[Unit Price]]/表格1[[#This Row],[SRP]]</f>
        <v>0.37509377344336087</v>
      </c>
      <c r="U62" s="86" t="str">
        <f>_xlfn.XLOOKUP(表格1[[#This Row],[Model]],表格3[Model-Input-Ref2],表格3[TOSHIBA/HIGHEST])</f>
        <v>Web SRP</v>
      </c>
      <c r="V62" s="86">
        <v>110</v>
      </c>
      <c r="W62" s="86" t="str">
        <f>_xlfn.CONCAT(表格1[[#This Row],[欄4]],表格1[[#This Row],[inv no]])</f>
        <v>1106027888</v>
      </c>
    </row>
    <row r="63" spans="1:23" ht="15.6" hidden="1" customHeight="1">
      <c r="A63" s="81">
        <v>61</v>
      </c>
      <c r="B63" s="81" t="s">
        <v>1203</v>
      </c>
      <c r="C63" s="81" t="s">
        <v>1237</v>
      </c>
      <c r="D63" s="82" t="str">
        <f ca="1">OFFSET(Roster!$A$3,MATCH(表格1[[#This Row],[Location]]&amp;" "&amp;表格1[[#This Row],[Shop]]&amp;"*",Roster!$A$4:$A$72,0),DAY(表格1[[#This Row],[date]]),1,1)</f>
        <v>Wendy Lau</v>
      </c>
      <c r="E63" s="81">
        <f>MONTH(表格1[[#This Row],[date]])</f>
        <v>3</v>
      </c>
      <c r="F63" s="101">
        <v>46082</v>
      </c>
      <c r="G63" s="81" t="str">
        <f>VLOOKUP("*"&amp;表格1[[#This Row],[Input]]&amp;"*",'Ref-List'!$B:$D,2,)</f>
        <v>DWS-34AHK</v>
      </c>
      <c r="H63" s="81" t="str">
        <f>_xlfn.XLOOKUP(表格1[[#This Row],[Model]],表格3[Model-Input-Ref2],表格3[Product Line])</f>
        <v>獨立式免安裝洗碗碟機</v>
      </c>
      <c r="I63" s="81" t="str">
        <f>_xlfn.XLOOKUP(表格1[[#This Row],[Model]],表格3[Model-Input-Ref2],表格3[大小電])</f>
        <v>細電</v>
      </c>
      <c r="J63" s="81" t="str">
        <f>_xlfn.XLOOKUP(表格1[[#This Row],[Model]],表格3[Model-Input-Ref2],表格3[Code])</f>
        <v>DM</v>
      </c>
      <c r="K63" s="82" t="s">
        <v>1240</v>
      </c>
      <c r="L63" s="81">
        <v>1</v>
      </c>
      <c r="M63" s="85">
        <v>1500</v>
      </c>
      <c r="N63" s="85">
        <f>IFERROR(表格1[[#This Row],[QTY]]*表格1[[#This Row],[Unit Price]],"-")</f>
        <v>1500</v>
      </c>
      <c r="O63" s="134">
        <v>6027032</v>
      </c>
      <c r="P63" s="81"/>
      <c r="Q63" s="81"/>
      <c r="R63" s="81" t="str">
        <f>_xlfn.CONCAT(表格1[[#This Row],[Model]]," ",表格1[[#This Row],[inv no]])</f>
        <v>DWS-34AHK 6027032</v>
      </c>
      <c r="S63" s="135">
        <f>_xlfn.XLOOKUP(表格1[[#This Row],[Model]],表格3[Model-Input-Ref2],表格3[SRP PRICE])</f>
        <v>3999</v>
      </c>
      <c r="T63" s="43">
        <f>表格1[[#This Row],[Unit Price]]/表格1[[#This Row],[SRP]]</f>
        <v>0.37509377344336087</v>
      </c>
      <c r="U63" s="86" t="str">
        <f>_xlfn.XLOOKUP(表格1[[#This Row],[Model]],表格3[Model-Input-Ref2],表格3[TOSHIBA/HIGHEST])</f>
        <v>Web SRP</v>
      </c>
      <c r="V63" s="86">
        <v>110</v>
      </c>
      <c r="W63" s="86" t="str">
        <f>_xlfn.CONCAT(表格1[[#This Row],[欄4]],表格1[[#This Row],[inv no]])</f>
        <v>1106027032</v>
      </c>
    </row>
    <row r="64" spans="1:23" ht="15.6" hidden="1" customHeight="1">
      <c r="A64" s="81">
        <v>62</v>
      </c>
      <c r="B64" s="81" t="s">
        <v>1203</v>
      </c>
      <c r="C64" s="81" t="s">
        <v>1237</v>
      </c>
      <c r="D64" s="82" t="str">
        <f ca="1">OFFSET(Roster!$A$3,MATCH(表格1[[#This Row],[Location]]&amp;" "&amp;表格1[[#This Row],[Shop]]&amp;"*",Roster!$A$4:$A$72,0),DAY(表格1[[#This Row],[date]]),1,1)</f>
        <v>Wendy Lau</v>
      </c>
      <c r="E64" s="81">
        <f>MONTH(表格1[[#This Row],[date]])</f>
        <v>3</v>
      </c>
      <c r="F64" s="101">
        <v>46082</v>
      </c>
      <c r="G64" s="81" t="str">
        <f>VLOOKUP("*"&amp;表格1[[#This Row],[Input]]&amp;"*",'Ref-List'!$B:$D,2,)</f>
        <v>MW2-MM24PC(BK)</v>
      </c>
      <c r="H64" s="81" t="str">
        <f>_xlfn.XLOOKUP(表格1[[#This Row],[Model]],表格3[Model-Input-Ref2],表格3[Product Line])</f>
        <v>旋鈕式微波爐24L</v>
      </c>
      <c r="I64" s="81" t="str">
        <f>_xlfn.XLOOKUP(表格1[[#This Row],[Model]],表格3[Model-Input-Ref2],表格3[大小電])</f>
        <v>細電</v>
      </c>
      <c r="J64" s="81" t="str">
        <f>_xlfn.XLOOKUP(表格1[[#This Row],[Model]],表格3[Model-Input-Ref2],表格3[Code])</f>
        <v>SDA</v>
      </c>
      <c r="K64" s="82" t="s">
        <v>1196</v>
      </c>
      <c r="L64" s="81">
        <v>1</v>
      </c>
      <c r="M64" s="85">
        <v>500</v>
      </c>
      <c r="N64" s="85">
        <f>IFERROR(表格1[[#This Row],[QTY]]*表格1[[#This Row],[Unit Price]],"-")</f>
        <v>500</v>
      </c>
      <c r="O64" s="134">
        <v>6027256</v>
      </c>
      <c r="P64" s="81"/>
      <c r="Q64" s="81"/>
      <c r="R64" s="81" t="str">
        <f>_xlfn.CONCAT(表格1[[#This Row],[Model]]," ",表格1[[#This Row],[inv no]])</f>
        <v>MW2-MM24PC(BK) 6027256</v>
      </c>
      <c r="S64" s="135">
        <f>_xlfn.XLOOKUP(表格1[[#This Row],[Model]],表格3[Model-Input-Ref2],表格3[SRP PRICE])</f>
        <v>848</v>
      </c>
      <c r="T64" s="43">
        <f>表格1[[#This Row],[Unit Price]]/表格1[[#This Row],[SRP]]</f>
        <v>0.589622641509434</v>
      </c>
      <c r="U64" s="86" t="str">
        <f>_xlfn.XLOOKUP(表格1[[#This Row],[Model]],表格3[Model-Input-Ref2],表格3[TOSHIBA/HIGHEST])</f>
        <v>Toshiba SRP</v>
      </c>
      <c r="V64" s="86">
        <v>110</v>
      </c>
      <c r="W64" s="86" t="str">
        <f>_xlfn.CONCAT(表格1[[#This Row],[欄4]],表格1[[#This Row],[inv no]])</f>
        <v>1106027256</v>
      </c>
    </row>
    <row r="65" spans="1:23" ht="15.6" hidden="1" customHeight="1">
      <c r="A65" s="81">
        <v>63</v>
      </c>
      <c r="B65" s="81" t="s">
        <v>1203</v>
      </c>
      <c r="C65" s="81" t="s">
        <v>1237</v>
      </c>
      <c r="D65" s="82" t="str">
        <f ca="1">OFFSET(Roster!$A$3,MATCH(表格1[[#This Row],[Location]]&amp;" "&amp;表格1[[#This Row],[Shop]]&amp;"*",Roster!$A$4:$A$72,0),DAY(表格1[[#This Row],[date]]),1,1)</f>
        <v>Wendy Lau</v>
      </c>
      <c r="E65" s="81">
        <f>MONTH(表格1[[#This Row],[date]])</f>
        <v>3</v>
      </c>
      <c r="F65" s="101">
        <v>46082</v>
      </c>
      <c r="G65" s="81" t="str">
        <f>VLOOKUP("*"&amp;表格1[[#This Row],[Input]]&amp;"*",'Ref-List'!$B:$D,2,)</f>
        <v>MW2-MM24PC(BK)</v>
      </c>
      <c r="H65" s="81" t="str">
        <f>_xlfn.XLOOKUP(表格1[[#This Row],[Model]],表格3[Model-Input-Ref2],表格3[Product Line])</f>
        <v>旋鈕式微波爐24L</v>
      </c>
      <c r="I65" s="81" t="str">
        <f>_xlfn.XLOOKUP(表格1[[#This Row],[Model]],表格3[Model-Input-Ref2],表格3[大小電])</f>
        <v>細電</v>
      </c>
      <c r="J65" s="81" t="str">
        <f>_xlfn.XLOOKUP(表格1[[#This Row],[Model]],表格3[Model-Input-Ref2],表格3[Code])</f>
        <v>SDA</v>
      </c>
      <c r="K65" s="82" t="s">
        <v>1196</v>
      </c>
      <c r="L65" s="81">
        <v>1</v>
      </c>
      <c r="M65" s="85">
        <v>500</v>
      </c>
      <c r="N65" s="85">
        <f>IFERROR(表格1[[#This Row],[QTY]]*表格1[[#This Row],[Unit Price]],"-")</f>
        <v>500</v>
      </c>
      <c r="O65" s="134">
        <v>6027880</v>
      </c>
      <c r="P65" s="137"/>
      <c r="Q65" s="81"/>
      <c r="R65" s="81" t="str">
        <f>_xlfn.CONCAT(表格1[[#This Row],[Model]]," ",表格1[[#This Row],[inv no]])</f>
        <v>MW2-MM24PC(BK) 6027880</v>
      </c>
      <c r="S65" s="135">
        <f>_xlfn.XLOOKUP(表格1[[#This Row],[Model]],表格3[Model-Input-Ref2],表格3[SRP PRICE])</f>
        <v>848</v>
      </c>
      <c r="T65" s="43">
        <f>表格1[[#This Row],[Unit Price]]/表格1[[#This Row],[SRP]]</f>
        <v>0.589622641509434</v>
      </c>
      <c r="U65" s="86" t="str">
        <f>_xlfn.XLOOKUP(表格1[[#This Row],[Model]],表格3[Model-Input-Ref2],表格3[TOSHIBA/HIGHEST])</f>
        <v>Toshiba SRP</v>
      </c>
      <c r="V65" s="86">
        <v>110</v>
      </c>
      <c r="W65" s="86" t="str">
        <f>_xlfn.CONCAT(表格1[[#This Row],[欄4]],表格1[[#This Row],[inv no]])</f>
        <v>1106027880</v>
      </c>
    </row>
    <row r="66" spans="1:23" ht="15.6" hidden="1" customHeight="1">
      <c r="A66" s="81">
        <v>64</v>
      </c>
      <c r="B66" s="81" t="s">
        <v>1203</v>
      </c>
      <c r="C66" s="81" t="s">
        <v>1237</v>
      </c>
      <c r="D66" s="82" t="str">
        <f ca="1">OFFSET(Roster!$A$3,MATCH(表格1[[#This Row],[Location]]&amp;" "&amp;表格1[[#This Row],[Shop]]&amp;"*",Roster!$A$4:$A$72,0),DAY(表格1[[#This Row],[date]]),1,1)</f>
        <v>Wendy Lau</v>
      </c>
      <c r="E66" s="81">
        <f>MONTH(表格1[[#This Row],[date]])</f>
        <v>3</v>
      </c>
      <c r="F66" s="101">
        <v>46082</v>
      </c>
      <c r="G66" s="81" t="str">
        <f>VLOOKUP("*"&amp;表格1[[#This Row],[Input]]&amp;"*",'Ref-List'!$B:$D,2,)</f>
        <v>MW2-MM24PC(BK)</v>
      </c>
      <c r="H66" s="81" t="str">
        <f>_xlfn.XLOOKUP(表格1[[#This Row],[Model]],表格3[Model-Input-Ref2],表格3[Product Line])</f>
        <v>旋鈕式微波爐24L</v>
      </c>
      <c r="I66" s="81" t="str">
        <f>_xlfn.XLOOKUP(表格1[[#This Row],[Model]],表格3[Model-Input-Ref2],表格3[大小電])</f>
        <v>細電</v>
      </c>
      <c r="J66" s="81" t="str">
        <f>_xlfn.XLOOKUP(表格1[[#This Row],[Model]],表格3[Model-Input-Ref2],表格3[Code])</f>
        <v>SDA</v>
      </c>
      <c r="K66" s="82" t="s">
        <v>1196</v>
      </c>
      <c r="L66" s="81">
        <v>1</v>
      </c>
      <c r="M66" s="85">
        <v>500</v>
      </c>
      <c r="N66" s="85">
        <f>IFERROR(表格1[[#This Row],[QTY]]*表格1[[#This Row],[Unit Price]],"-")</f>
        <v>500</v>
      </c>
      <c r="O66" s="134">
        <v>6027017</v>
      </c>
      <c r="P66" s="137"/>
      <c r="Q66" s="81"/>
      <c r="R66" s="81" t="str">
        <f>_xlfn.CONCAT(表格1[[#This Row],[Model]]," ",表格1[[#This Row],[inv no]])</f>
        <v>MW2-MM24PC(BK) 6027017</v>
      </c>
      <c r="S66" s="135">
        <f>_xlfn.XLOOKUP(表格1[[#This Row],[Model]],表格3[Model-Input-Ref2],表格3[SRP PRICE])</f>
        <v>848</v>
      </c>
      <c r="T66" s="43">
        <f>表格1[[#This Row],[Unit Price]]/表格1[[#This Row],[SRP]]</f>
        <v>0.589622641509434</v>
      </c>
      <c r="U66" s="86" t="str">
        <f>_xlfn.XLOOKUP(表格1[[#This Row],[Model]],表格3[Model-Input-Ref2],表格3[TOSHIBA/HIGHEST])</f>
        <v>Toshiba SRP</v>
      </c>
      <c r="V66" s="86">
        <v>110</v>
      </c>
      <c r="W66" s="86" t="str">
        <f>_xlfn.CONCAT(表格1[[#This Row],[欄4]],表格1[[#This Row],[inv no]])</f>
        <v>1106027017</v>
      </c>
    </row>
    <row r="67" spans="1:23" ht="15.6" hidden="1" customHeight="1">
      <c r="A67" s="81">
        <v>65</v>
      </c>
      <c r="B67" s="81" t="s">
        <v>1203</v>
      </c>
      <c r="C67" s="81" t="s">
        <v>1237</v>
      </c>
      <c r="D67" s="82" t="str">
        <f ca="1">OFFSET(Roster!$A$3,MATCH(表格1[[#This Row],[Location]]&amp;" "&amp;表格1[[#This Row],[Shop]]&amp;"*",Roster!$A$4:$A$72,0),DAY(表格1[[#This Row],[date]]),1,1)</f>
        <v>Wendy Lau</v>
      </c>
      <c r="E67" s="81">
        <f>MONTH(表格1[[#This Row],[date]])</f>
        <v>3</v>
      </c>
      <c r="F67" s="101">
        <v>46082</v>
      </c>
      <c r="G67" s="81" t="str">
        <f>VLOOKUP("*"&amp;表格1[[#This Row],[Input]]&amp;"*",'Ref-List'!$B:$D,2,)</f>
        <v>PLK-45SFIH(WT)</v>
      </c>
      <c r="H67" s="81" t="str">
        <f>_xlfn.XLOOKUP(表格1[[#This Row],[Model]],表格3[Model-Input-Ref2],表格3[Product Line])</f>
        <v>電熱水瓶4.5L</v>
      </c>
      <c r="I67" s="81" t="str">
        <f>_xlfn.XLOOKUP(表格1[[#This Row],[Model]],表格3[Model-Input-Ref2],表格3[大小電])</f>
        <v>細電</v>
      </c>
      <c r="J67" s="81" t="str">
        <f>_xlfn.XLOOKUP(表格1[[#This Row],[Model]],表格3[Model-Input-Ref2],表格3[Code])</f>
        <v>SDA</v>
      </c>
      <c r="K67" s="82" t="s">
        <v>1117</v>
      </c>
      <c r="L67" s="81">
        <v>1</v>
      </c>
      <c r="M67" s="85">
        <v>500</v>
      </c>
      <c r="N67" s="85">
        <f>IFERROR(表格1[[#This Row],[QTY]]*表格1[[#This Row],[Unit Price]],"-")</f>
        <v>500</v>
      </c>
      <c r="O67" s="134">
        <v>6027244</v>
      </c>
      <c r="P67" s="81"/>
      <c r="Q67" s="81"/>
      <c r="R67" s="81" t="str">
        <f>_xlfn.CONCAT(表格1[[#This Row],[Model]]," ",表格1[[#This Row],[inv no]])</f>
        <v>PLK-45SFIH(WT) 6027244</v>
      </c>
      <c r="S67" s="135">
        <f>_xlfn.XLOOKUP(表格1[[#This Row],[Model]],表格3[Model-Input-Ref2],表格3[SRP PRICE])</f>
        <v>788</v>
      </c>
      <c r="T67" s="43">
        <f>表格1[[#This Row],[Unit Price]]/表格1[[#This Row],[SRP]]</f>
        <v>0.63451776649746194</v>
      </c>
      <c r="U67" s="86" t="str">
        <f>_xlfn.XLOOKUP(表格1[[#This Row],[Model]],表格3[Model-Input-Ref2],表格3[TOSHIBA/HIGHEST])</f>
        <v>Toshiba SRP</v>
      </c>
      <c r="V67" s="86">
        <v>110</v>
      </c>
      <c r="W67" s="86" t="str">
        <f>_xlfn.CONCAT(表格1[[#This Row],[欄4]],表格1[[#This Row],[inv no]])</f>
        <v>1106027244</v>
      </c>
    </row>
    <row r="68" spans="1:23" ht="15.6" hidden="1" customHeight="1">
      <c r="A68" s="81">
        <v>66</v>
      </c>
      <c r="B68" s="81" t="s">
        <v>1203</v>
      </c>
      <c r="C68" s="81" t="s">
        <v>1237</v>
      </c>
      <c r="D68" s="82" t="str">
        <f ca="1">OFFSET(Roster!$A$3,MATCH(表格1[[#This Row],[Location]]&amp;" "&amp;表格1[[#This Row],[Shop]]&amp;"*",Roster!$A$4:$A$72,0),DAY(表格1[[#This Row],[date]]),1,1)</f>
        <v>Wendy Lau</v>
      </c>
      <c r="E68" s="81">
        <f>MONTH(表格1[[#This Row],[date]])</f>
        <v>3</v>
      </c>
      <c r="F68" s="101">
        <v>46082</v>
      </c>
      <c r="G68" s="81" t="str">
        <f>VLOOKUP("*"&amp;表格1[[#This Row],[Input]]&amp;"*",'Ref-List'!$B:$D,2,)</f>
        <v>RAD-Y200H</v>
      </c>
      <c r="H68" s="81" t="str">
        <f>_xlfn.XLOOKUP(表格1[[#This Row],[Model]],表格3[Model-Input-Ref2],表格3[Product Line])</f>
        <v>21L壓縮式抽濕機</v>
      </c>
      <c r="I68" s="81" t="str">
        <f>_xlfn.XLOOKUP(表格1[[#This Row],[Model]],表格3[Model-Input-Ref2],表格3[大小電])</f>
        <v>大電</v>
      </c>
      <c r="J68" s="81" t="str">
        <f>_xlfn.XLOOKUP(表格1[[#This Row],[Model]],表格3[Model-Input-Ref2],表格3[Code])</f>
        <v>RAC</v>
      </c>
      <c r="K68" s="82" t="s">
        <v>1241</v>
      </c>
      <c r="L68" s="81">
        <v>1</v>
      </c>
      <c r="M68" s="85">
        <v>1500</v>
      </c>
      <c r="N68" s="85">
        <f>IFERROR(表格1[[#This Row],[QTY]]*表格1[[#This Row],[Unit Price]],"-")</f>
        <v>1500</v>
      </c>
      <c r="O68" s="134">
        <v>6027251</v>
      </c>
      <c r="P68" s="137"/>
      <c r="Q68" s="81"/>
      <c r="R68" s="81" t="str">
        <f>_xlfn.CONCAT(表格1[[#This Row],[Model]]," ",表格1[[#This Row],[inv no]])</f>
        <v>RAD-Y200H 6027251</v>
      </c>
      <c r="S68" s="135">
        <f>_xlfn.XLOOKUP(表格1[[#This Row],[Model]],表格3[Model-Input-Ref2],表格3[SRP PRICE])</f>
        <v>3280</v>
      </c>
      <c r="T68" s="43">
        <f>表格1[[#This Row],[Unit Price]]/表格1[[#This Row],[SRP]]</f>
        <v>0.45731707317073172</v>
      </c>
      <c r="U68" s="86" t="str">
        <f>_xlfn.XLOOKUP(表格1[[#This Row],[Model]],表格3[Model-Input-Ref2],表格3[TOSHIBA/HIGHEST])</f>
        <v>Toshiba SRP</v>
      </c>
      <c r="V68" s="86">
        <v>110</v>
      </c>
      <c r="W68" s="86" t="str">
        <f>_xlfn.CONCAT(表格1[[#This Row],[欄4]],表格1[[#This Row],[inv no]])</f>
        <v>1106027251</v>
      </c>
    </row>
    <row r="69" spans="1:23" ht="15.6" hidden="1" customHeight="1">
      <c r="A69" s="81">
        <v>67</v>
      </c>
      <c r="B69" s="81" t="s">
        <v>1203</v>
      </c>
      <c r="C69" s="81" t="s">
        <v>1237</v>
      </c>
      <c r="D69" s="82" t="str">
        <f ca="1">OFFSET(Roster!$A$3,MATCH(表格1[[#This Row],[Location]]&amp;" "&amp;表格1[[#This Row],[Shop]]&amp;"*",Roster!$A$4:$A$72,0),DAY(表格1[[#This Row],[date]]),1,1)</f>
        <v>Wendy Lau</v>
      </c>
      <c r="E69" s="81">
        <f>MONTH(表格1[[#This Row],[date]])</f>
        <v>3</v>
      </c>
      <c r="F69" s="101">
        <v>46082</v>
      </c>
      <c r="G69" s="81" t="str">
        <f>VLOOKUP("*"&amp;表格1[[#This Row],[Input]]&amp;"*",'Ref-List'!$B:$D,2,)</f>
        <v>AW-M901BPH(WW)</v>
      </c>
      <c r="H69" s="81" t="str">
        <f>_xlfn.XLOOKUP(表格1[[#This Row],[Model]],表格3[Model-Input-Ref2],表格3[Product Line])</f>
        <v>全自動洗衣機 (8公斤 結合高低水位)</v>
      </c>
      <c r="I69" s="81" t="str">
        <f>_xlfn.XLOOKUP(表格1[[#This Row],[Model]],表格3[Model-Input-Ref2],表格3[大小電])</f>
        <v>大電</v>
      </c>
      <c r="J69" s="81" t="str">
        <f>_xlfn.XLOOKUP(表格1[[#This Row],[Model]],表格3[Model-Input-Ref2],表格3[Code])</f>
        <v>WM</v>
      </c>
      <c r="K69" s="82" t="s">
        <v>1202</v>
      </c>
      <c r="L69" s="81">
        <v>1</v>
      </c>
      <c r="M69" s="85">
        <v>1500</v>
      </c>
      <c r="N69" s="85">
        <f>IFERROR(表格1[[#This Row],[QTY]]*表格1[[#This Row],[Unit Price]],"-")</f>
        <v>1500</v>
      </c>
      <c r="O69" s="134">
        <v>6027249</v>
      </c>
      <c r="P69" s="137"/>
      <c r="Q69" s="81"/>
      <c r="R69" s="81" t="str">
        <f>_xlfn.CONCAT(表格1[[#This Row],[Model]]," ",表格1[[#This Row],[inv no]])</f>
        <v>AW-M901BPH(WW) 6027249</v>
      </c>
      <c r="S69" s="135">
        <f>_xlfn.XLOOKUP(表格1[[#This Row],[Model]],表格3[Model-Input-Ref2],表格3[SRP PRICE])</f>
        <v>3580</v>
      </c>
      <c r="T69" s="43">
        <f>表格1[[#This Row],[Unit Price]]/表格1[[#This Row],[SRP]]</f>
        <v>0.41899441340782123</v>
      </c>
      <c r="U69" s="86" t="str">
        <f>_xlfn.XLOOKUP(表格1[[#This Row],[Model]],表格3[Model-Input-Ref2],表格3[TOSHIBA/HIGHEST])</f>
        <v>Toshiba SRP</v>
      </c>
      <c r="V69" s="86">
        <v>110</v>
      </c>
      <c r="W69" s="86" t="str">
        <f>_xlfn.CONCAT(表格1[[#This Row],[欄4]],表格1[[#This Row],[inv no]])</f>
        <v>1106027249</v>
      </c>
    </row>
    <row r="70" spans="1:23" ht="15.6" hidden="1" customHeight="1">
      <c r="A70" s="81">
        <v>68</v>
      </c>
      <c r="B70" s="81" t="s">
        <v>1203</v>
      </c>
      <c r="C70" s="81" t="s">
        <v>1237</v>
      </c>
      <c r="D70" s="82" t="str">
        <f ca="1">OFFSET(Roster!$A$3,MATCH(表格1[[#This Row],[Location]]&amp;" "&amp;表格1[[#This Row],[Shop]]&amp;"*",Roster!$A$4:$A$72,0),DAY(表格1[[#This Row],[date]]),1,1)</f>
        <v>Wendy Lau</v>
      </c>
      <c r="E70" s="81">
        <f>MONTH(表格1[[#This Row],[date]])</f>
        <v>3</v>
      </c>
      <c r="F70" s="101">
        <v>46082</v>
      </c>
      <c r="G70" s="81" t="str">
        <f>VLOOKUP("*"&amp;表格1[[#This Row],[Input]]&amp;"*",'Ref-List'!$B:$D,2,)</f>
        <v>AW-M901BPH(WW)</v>
      </c>
      <c r="H70" s="81" t="str">
        <f>_xlfn.XLOOKUP(表格1[[#This Row],[Model]],表格3[Model-Input-Ref2],表格3[Product Line])</f>
        <v>全自動洗衣機 (8公斤 結合高低水位)</v>
      </c>
      <c r="I70" s="81" t="str">
        <f>_xlfn.XLOOKUP(表格1[[#This Row],[Model]],表格3[Model-Input-Ref2],表格3[大小電])</f>
        <v>大電</v>
      </c>
      <c r="J70" s="81" t="str">
        <f>_xlfn.XLOOKUP(表格1[[#This Row],[Model]],表格3[Model-Input-Ref2],表格3[Code])</f>
        <v>WM</v>
      </c>
      <c r="K70" s="82" t="s">
        <v>1202</v>
      </c>
      <c r="L70" s="81">
        <v>1</v>
      </c>
      <c r="M70" s="85">
        <v>1500</v>
      </c>
      <c r="N70" s="85">
        <f>IFERROR(表格1[[#This Row],[QTY]]*表格1[[#This Row],[Unit Price]],"-")</f>
        <v>1500</v>
      </c>
      <c r="O70" s="134">
        <v>6027861</v>
      </c>
      <c r="P70" s="137"/>
      <c r="Q70" s="81"/>
      <c r="R70" s="81" t="str">
        <f>_xlfn.CONCAT(表格1[[#This Row],[Model]]," ",表格1[[#This Row],[inv no]])</f>
        <v>AW-M901BPH(WW) 6027861</v>
      </c>
      <c r="S70" s="135">
        <f>_xlfn.XLOOKUP(表格1[[#This Row],[Model]],表格3[Model-Input-Ref2],表格3[SRP PRICE])</f>
        <v>3580</v>
      </c>
      <c r="T70" s="43">
        <f>表格1[[#This Row],[Unit Price]]/表格1[[#This Row],[SRP]]</f>
        <v>0.41899441340782123</v>
      </c>
      <c r="U70" s="86" t="str">
        <f>_xlfn.XLOOKUP(表格1[[#This Row],[Model]],表格3[Model-Input-Ref2],表格3[TOSHIBA/HIGHEST])</f>
        <v>Toshiba SRP</v>
      </c>
      <c r="V70" s="86">
        <v>110</v>
      </c>
      <c r="W70" s="86" t="str">
        <f>_xlfn.CONCAT(表格1[[#This Row],[欄4]],表格1[[#This Row],[inv no]])</f>
        <v>1106027861</v>
      </c>
    </row>
    <row r="71" spans="1:23" ht="15.6" hidden="1" customHeight="1">
      <c r="A71" s="81">
        <v>69</v>
      </c>
      <c r="B71" s="81" t="s">
        <v>1203</v>
      </c>
      <c r="C71" s="81" t="s">
        <v>1237</v>
      </c>
      <c r="D71" s="82" t="str">
        <f ca="1">OFFSET(Roster!$A$3,MATCH(表格1[[#This Row],[Location]]&amp;" "&amp;表格1[[#This Row],[Shop]]&amp;"*",Roster!$A$4:$A$72,0),DAY(表格1[[#This Row],[date]]),1,1)</f>
        <v>Wendy Lau</v>
      </c>
      <c r="E71" s="81">
        <f>MONTH(表格1[[#This Row],[date]])</f>
        <v>3</v>
      </c>
      <c r="F71" s="101">
        <v>46082</v>
      </c>
      <c r="G71" s="81" t="str">
        <f>VLOOKUP("*"&amp;表格1[[#This Row],[Input]]&amp;"*",'Ref-List'!$B:$D,2,)</f>
        <v>GR-A26HSZ(DS)</v>
      </c>
      <c r="H71" s="81" t="str">
        <f>_xlfn.XLOOKUP(表格1[[#This Row],[Model]],表格3[Model-Input-Ref2],表格3[Product Line])</f>
        <v>雙門變頻式環保雪櫃</v>
      </c>
      <c r="I71" s="81" t="str">
        <f>_xlfn.XLOOKUP(表格1[[#This Row],[Model]],表格3[Model-Input-Ref2],表格3[大小電])</f>
        <v>大電</v>
      </c>
      <c r="J71" s="81" t="str">
        <f>_xlfn.XLOOKUP(表格1[[#This Row],[Model]],表格3[Model-Input-Ref2],表格3[Code])</f>
        <v>AC</v>
      </c>
      <c r="K71" s="82" t="s">
        <v>1207</v>
      </c>
      <c r="L71" s="81">
        <v>1</v>
      </c>
      <c r="M71" s="85">
        <v>1500</v>
      </c>
      <c r="N71" s="85">
        <f>IFERROR(表格1[[#This Row],[QTY]]*表格1[[#This Row],[Unit Price]],"-")</f>
        <v>1500</v>
      </c>
      <c r="O71" s="134">
        <v>6027230</v>
      </c>
      <c r="P71" s="137"/>
      <c r="Q71" s="81"/>
      <c r="R71" s="81" t="str">
        <f>_xlfn.CONCAT(表格1[[#This Row],[Model]]," ",表格1[[#This Row],[inv no]])</f>
        <v>GR-A26HSZ(DS) 6027230</v>
      </c>
      <c r="S71" s="135">
        <f>_xlfn.XLOOKUP(表格1[[#This Row],[Model]],表格3[Model-Input-Ref2],表格3[SRP PRICE])</f>
        <v>3780</v>
      </c>
      <c r="T71" s="43">
        <f>表格1[[#This Row],[Unit Price]]/表格1[[#This Row],[SRP]]</f>
        <v>0.3968253968253968</v>
      </c>
      <c r="U71" s="86" t="str">
        <f>_xlfn.XLOOKUP(表格1[[#This Row],[Model]],表格3[Model-Input-Ref2],表格3[TOSHIBA/HIGHEST])</f>
        <v>Toshiba SRP</v>
      </c>
      <c r="V71" s="86">
        <v>110</v>
      </c>
      <c r="W71" s="86" t="str">
        <f>_xlfn.CONCAT(表格1[[#This Row],[欄4]],表格1[[#This Row],[inv no]])</f>
        <v>1106027230</v>
      </c>
    </row>
    <row r="72" spans="1:23" ht="15.6" hidden="1" customHeight="1">
      <c r="A72" s="81">
        <v>70</v>
      </c>
      <c r="B72" s="81" t="s">
        <v>1203</v>
      </c>
      <c r="C72" s="81" t="s">
        <v>1237</v>
      </c>
      <c r="D72" s="82" t="str">
        <f ca="1">OFFSET(Roster!$A$3,MATCH(表格1[[#This Row],[Location]]&amp;" "&amp;表格1[[#This Row],[Shop]]&amp;"*",Roster!$A$4:$A$72,0),DAY(表格1[[#This Row],[date]]),1,1)</f>
        <v>Wendy Lau</v>
      </c>
      <c r="E72" s="81">
        <f>MONTH(表格1[[#This Row],[date]])</f>
        <v>3</v>
      </c>
      <c r="F72" s="101">
        <v>46082</v>
      </c>
      <c r="G72" s="81" t="str">
        <f>VLOOKUP("*"&amp;表格1[[#This Row],[Input]]&amp;"*",'Ref-List'!$B:$D,2,)</f>
        <v>IC-21TSHK</v>
      </c>
      <c r="H72" s="81" t="str">
        <f>_xlfn.XLOOKUP(表格1[[#This Row],[Model]],表格3[Model-Input-Ref2],表格3[Product Line])</f>
        <v>Induction Cooker</v>
      </c>
      <c r="I72" s="81" t="str">
        <f>_xlfn.XLOOKUP(表格1[[#This Row],[Model]],表格3[Model-Input-Ref2],表格3[大小電])</f>
        <v>細電</v>
      </c>
      <c r="J72" s="81" t="str">
        <f>_xlfn.XLOOKUP(表格1[[#This Row],[Model]],表格3[Model-Input-Ref2],表格3[Code])</f>
        <v>SDA</v>
      </c>
      <c r="K72" s="82" t="s">
        <v>1242</v>
      </c>
      <c r="L72" s="81">
        <v>1</v>
      </c>
      <c r="M72" s="85">
        <v>500</v>
      </c>
      <c r="N72" s="85">
        <f>IFERROR(表格1[[#This Row],[QTY]]*表格1[[#This Row],[Unit Price]],"-")</f>
        <v>500</v>
      </c>
      <c r="O72" s="134">
        <v>6027259</v>
      </c>
      <c r="P72" s="81"/>
      <c r="Q72" s="81"/>
      <c r="R72" s="81" t="str">
        <f>_xlfn.CONCAT(表格1[[#This Row],[Model]]," ",表格1[[#This Row],[inv no]])</f>
        <v>IC-21TSHK 6027259</v>
      </c>
      <c r="S72" s="135">
        <f>_xlfn.XLOOKUP(表格1[[#This Row],[Model]],表格3[Model-Input-Ref2],表格3[SRP PRICE])</f>
        <v>998</v>
      </c>
      <c r="T72" s="43">
        <f>表格1[[#This Row],[Unit Price]]/表格1[[#This Row],[SRP]]</f>
        <v>0.50100200400801598</v>
      </c>
      <c r="U72" s="86" t="str">
        <f>_xlfn.XLOOKUP(表格1[[#This Row],[Model]],表格3[Model-Input-Ref2],表格3[TOSHIBA/HIGHEST])</f>
        <v>web SRP</v>
      </c>
      <c r="V72" s="86">
        <v>110</v>
      </c>
      <c r="W72" s="86" t="str">
        <f>_xlfn.CONCAT(表格1[[#This Row],[欄4]],表格1[[#This Row],[inv no]])</f>
        <v>1106027259</v>
      </c>
    </row>
    <row r="73" spans="1:23" ht="15.6" hidden="1" customHeight="1">
      <c r="A73" s="81">
        <v>71</v>
      </c>
      <c r="B73" s="81" t="s">
        <v>1203</v>
      </c>
      <c r="C73" s="81" t="s">
        <v>1237</v>
      </c>
      <c r="D73" s="82" t="str">
        <f ca="1">OFFSET(Roster!$A$3,MATCH(表格1[[#This Row],[Location]]&amp;" "&amp;表格1[[#This Row],[Shop]]&amp;"*",Roster!$A$4:$A$72,0),DAY(表格1[[#This Row],[date]]),1,1)</f>
        <v>Wendy Lau</v>
      </c>
      <c r="E73" s="81">
        <f>MONTH(表格1[[#This Row],[date]])</f>
        <v>3</v>
      </c>
      <c r="F73" s="101">
        <v>46088</v>
      </c>
      <c r="G73" s="81" t="str">
        <f>VLOOKUP("*"&amp;表格1[[#This Row],[Input]]&amp;"*",'Ref-List'!$B:$D,2,)</f>
        <v>GR-A26HSZ(DS)</v>
      </c>
      <c r="H73" s="81" t="str">
        <f>_xlfn.XLOOKUP(表格1[[#This Row],[Model]],表格3[Model-Input-Ref2],表格3[Product Line])</f>
        <v>雙門變頻式環保雪櫃</v>
      </c>
      <c r="I73" s="81" t="str">
        <f>_xlfn.XLOOKUP(表格1[[#This Row],[Model]],表格3[Model-Input-Ref2],表格3[大小電])</f>
        <v>大電</v>
      </c>
      <c r="J73" s="81" t="str">
        <f>_xlfn.XLOOKUP(表格1[[#This Row],[Model]],表格3[Model-Input-Ref2],表格3[Code])</f>
        <v>AC</v>
      </c>
      <c r="K73" s="82" t="s">
        <v>1207</v>
      </c>
      <c r="L73" s="81">
        <v>1</v>
      </c>
      <c r="M73" s="85">
        <v>1500</v>
      </c>
      <c r="N73" s="85">
        <f>IFERROR(表格1[[#This Row],[QTY]]*表格1[[#This Row],[Unit Price]],"-")</f>
        <v>1500</v>
      </c>
      <c r="O73" s="134">
        <v>6027323</v>
      </c>
      <c r="P73" s="137"/>
      <c r="Q73" s="81"/>
      <c r="R73" s="81" t="str">
        <f>_xlfn.CONCAT(表格1[[#This Row],[Model]]," ",表格1[[#This Row],[inv no]])</f>
        <v>GR-A26HSZ(DS) 6027323</v>
      </c>
      <c r="S73" s="135">
        <f>_xlfn.XLOOKUP(表格1[[#This Row],[Model]],表格3[Model-Input-Ref2],表格3[SRP PRICE])</f>
        <v>3780</v>
      </c>
      <c r="T73" s="43">
        <f>表格1[[#This Row],[Unit Price]]/表格1[[#This Row],[SRP]]</f>
        <v>0.3968253968253968</v>
      </c>
      <c r="U73" s="86" t="str">
        <f>_xlfn.XLOOKUP(表格1[[#This Row],[Model]],表格3[Model-Input-Ref2],表格3[TOSHIBA/HIGHEST])</f>
        <v>Toshiba SRP</v>
      </c>
      <c r="V73" s="86">
        <v>110</v>
      </c>
      <c r="W73" s="86" t="str">
        <f>_xlfn.CONCAT(表格1[[#This Row],[欄4]],表格1[[#This Row],[inv no]])</f>
        <v>1106027323</v>
      </c>
    </row>
    <row r="74" spans="1:23" ht="15.6" hidden="1" customHeight="1">
      <c r="A74" s="81">
        <v>72</v>
      </c>
      <c r="B74" s="81" t="s">
        <v>1203</v>
      </c>
      <c r="C74" s="81" t="s">
        <v>1237</v>
      </c>
      <c r="D74" s="82" t="str">
        <f ca="1">OFFSET(Roster!$A$3,MATCH(表格1[[#This Row],[Location]]&amp;" "&amp;表格1[[#This Row],[Shop]]&amp;"*",Roster!$A$4:$A$72,0),DAY(表格1[[#This Row],[date]]),1,1)</f>
        <v>Wendy Lau</v>
      </c>
      <c r="E74" s="81">
        <f>MONTH(表格1[[#This Row],[date]])</f>
        <v>3</v>
      </c>
      <c r="F74" s="101">
        <v>46088</v>
      </c>
      <c r="G74" s="81" t="str">
        <f>VLOOKUP("*"&amp;表格1[[#This Row],[Input]]&amp;"*",'Ref-List'!$B:$D,2,)</f>
        <v>AW-M901BPH(WW)</v>
      </c>
      <c r="H74" s="81" t="str">
        <f>_xlfn.XLOOKUP(表格1[[#This Row],[Model]],表格3[Model-Input-Ref2],表格3[Product Line])</f>
        <v>全自動洗衣機 (8公斤 結合高低水位)</v>
      </c>
      <c r="I74" s="81" t="str">
        <f>_xlfn.XLOOKUP(表格1[[#This Row],[Model]],表格3[Model-Input-Ref2],表格3[大小電])</f>
        <v>大電</v>
      </c>
      <c r="J74" s="81" t="str">
        <f>_xlfn.XLOOKUP(表格1[[#This Row],[Model]],表格3[Model-Input-Ref2],表格3[Code])</f>
        <v>WM</v>
      </c>
      <c r="K74" s="82" t="s">
        <v>1202</v>
      </c>
      <c r="L74" s="81">
        <v>1</v>
      </c>
      <c r="M74" s="85">
        <v>1500</v>
      </c>
      <c r="N74" s="85">
        <f>IFERROR(表格1[[#This Row],[QTY]]*表格1[[#This Row],[Unit Price]],"-")</f>
        <v>1500</v>
      </c>
      <c r="O74" s="134">
        <v>6027366</v>
      </c>
      <c r="P74" s="137"/>
      <c r="Q74" s="81"/>
      <c r="R74" s="81" t="str">
        <f>_xlfn.CONCAT(表格1[[#This Row],[Model]]," ",表格1[[#This Row],[inv no]])</f>
        <v>AW-M901BPH(WW) 6027366</v>
      </c>
      <c r="S74" s="135">
        <f>_xlfn.XLOOKUP(表格1[[#This Row],[Model]],表格3[Model-Input-Ref2],表格3[SRP PRICE])</f>
        <v>3580</v>
      </c>
      <c r="T74" s="43">
        <f>表格1[[#This Row],[Unit Price]]/表格1[[#This Row],[SRP]]</f>
        <v>0.41899441340782123</v>
      </c>
      <c r="U74" s="86" t="str">
        <f>_xlfn.XLOOKUP(表格1[[#This Row],[Model]],表格3[Model-Input-Ref2],表格3[TOSHIBA/HIGHEST])</f>
        <v>Toshiba SRP</v>
      </c>
      <c r="V74" s="86">
        <v>110</v>
      </c>
      <c r="W74" s="86" t="str">
        <f>_xlfn.CONCAT(表格1[[#This Row],[欄4]],表格1[[#This Row],[inv no]])</f>
        <v>1106027366</v>
      </c>
    </row>
    <row r="75" spans="1:23" ht="15.6" hidden="1" customHeight="1">
      <c r="A75" s="81">
        <v>73</v>
      </c>
      <c r="B75" s="81" t="s">
        <v>1203</v>
      </c>
      <c r="C75" s="81" t="s">
        <v>1237</v>
      </c>
      <c r="D75" s="82" t="str">
        <f ca="1">OFFSET(Roster!$A$3,MATCH(表格1[[#This Row],[Location]]&amp;" "&amp;表格1[[#This Row],[Shop]]&amp;"*",Roster!$A$4:$A$72,0),DAY(表格1[[#This Row],[date]]),1,1)</f>
        <v>Wendy Lau</v>
      </c>
      <c r="E75" s="81">
        <f>MONTH(表格1[[#This Row],[date]])</f>
        <v>3</v>
      </c>
      <c r="F75" s="101">
        <v>46088</v>
      </c>
      <c r="G75" s="81" t="str">
        <f>VLOOKUP("*"&amp;表格1[[#This Row],[Input]]&amp;"*",'Ref-List'!$B:$D,2,)</f>
        <v>RC-15ISTHK(W)</v>
      </c>
      <c r="H75" s="81" t="str">
        <f>_xlfn.XLOOKUP(表格1[[#This Row],[Model]],表格3[Model-Input-Ref2],表格3[Product Line])</f>
        <v>磁應電飯煲(1.5公升)</v>
      </c>
      <c r="I75" s="81" t="str">
        <f>_xlfn.XLOOKUP(表格1[[#This Row],[Model]],表格3[Model-Input-Ref2],表格3[大小電])</f>
        <v>細電</v>
      </c>
      <c r="J75" s="81" t="str">
        <f>_xlfn.XLOOKUP(表格1[[#This Row],[Model]],表格3[Model-Input-Ref2],表格3[Code])</f>
        <v>SDA</v>
      </c>
      <c r="K75" s="82" t="s">
        <v>1204</v>
      </c>
      <c r="L75" s="81">
        <v>1</v>
      </c>
      <c r="M75" s="85">
        <v>500</v>
      </c>
      <c r="N75" s="85">
        <f>IFERROR(表格1[[#This Row],[QTY]]*表格1[[#This Row],[Unit Price]],"-")</f>
        <v>500</v>
      </c>
      <c r="O75" s="134">
        <v>6027072</v>
      </c>
      <c r="P75" s="137"/>
      <c r="Q75" s="81"/>
      <c r="R75" s="81" t="str">
        <f>_xlfn.CONCAT(表格1[[#This Row],[Model]]," ",表格1[[#This Row],[inv no]])</f>
        <v>RC-15ISTHK(W) 6027072</v>
      </c>
      <c r="S75" s="135">
        <f>_xlfn.XLOOKUP(表格1[[#This Row],[Model]],表格3[Model-Input-Ref2],表格3[SRP PRICE])</f>
        <v>1688</v>
      </c>
      <c r="T75" s="43">
        <f>表格1[[#This Row],[Unit Price]]/表格1[[#This Row],[SRP]]</f>
        <v>0.29620853080568721</v>
      </c>
      <c r="U75" s="86" t="str">
        <f>_xlfn.XLOOKUP(表格1[[#This Row],[Model]],表格3[Model-Input-Ref2],表格3[TOSHIBA/HIGHEST])</f>
        <v>Toshiba SRP</v>
      </c>
      <c r="V75" s="86">
        <v>110</v>
      </c>
      <c r="W75" s="86" t="str">
        <f>_xlfn.CONCAT(表格1[[#This Row],[欄4]],表格1[[#This Row],[inv no]])</f>
        <v>1106027072</v>
      </c>
    </row>
    <row r="76" spans="1:23" ht="15.6" hidden="1" customHeight="1">
      <c r="A76" s="81">
        <v>74</v>
      </c>
      <c r="B76" s="81" t="s">
        <v>1203</v>
      </c>
      <c r="C76" s="81" t="s">
        <v>1237</v>
      </c>
      <c r="D76" s="82" t="str">
        <f ca="1">OFFSET(Roster!$A$3,MATCH(表格1[[#This Row],[Location]]&amp;" "&amp;表格1[[#This Row],[Shop]]&amp;"*",Roster!$A$4:$A$72,0),DAY(表格1[[#This Row],[date]]),1,1)</f>
        <v>Wendy Lau</v>
      </c>
      <c r="E76" s="81">
        <f>MONTH(表格1[[#This Row],[date]])</f>
        <v>3</v>
      </c>
      <c r="F76" s="101">
        <v>46088</v>
      </c>
      <c r="G76" s="81" t="str">
        <f>VLOOKUP("*"&amp;表格1[[#This Row],[Input]]&amp;"*",'Ref-List'!$B:$D,2,)</f>
        <v>RC-15ISTHK(W)</v>
      </c>
      <c r="H76" s="81" t="str">
        <f>_xlfn.XLOOKUP(表格1[[#This Row],[Model]],表格3[Model-Input-Ref2],表格3[Product Line])</f>
        <v>磁應電飯煲(1.5公升)</v>
      </c>
      <c r="I76" s="81" t="str">
        <f>_xlfn.XLOOKUP(表格1[[#This Row],[Model]],表格3[Model-Input-Ref2],表格3[大小電])</f>
        <v>細電</v>
      </c>
      <c r="J76" s="81" t="str">
        <f>_xlfn.XLOOKUP(表格1[[#This Row],[Model]],表格3[Model-Input-Ref2],表格3[Code])</f>
        <v>SDA</v>
      </c>
      <c r="K76" s="82" t="s">
        <v>1204</v>
      </c>
      <c r="L76" s="81">
        <v>1</v>
      </c>
      <c r="M76" s="85">
        <v>500</v>
      </c>
      <c r="N76" s="85">
        <f>IFERROR(表格1[[#This Row],[QTY]]*表格1[[#This Row],[Unit Price]],"-")</f>
        <v>500</v>
      </c>
      <c r="O76" s="134">
        <v>6027087</v>
      </c>
      <c r="P76" s="137"/>
      <c r="Q76" s="81"/>
      <c r="R76" s="81" t="str">
        <f>_xlfn.CONCAT(表格1[[#This Row],[Model]]," ",表格1[[#This Row],[inv no]])</f>
        <v>RC-15ISTHK(W) 6027087</v>
      </c>
      <c r="S76" s="135">
        <f>_xlfn.XLOOKUP(表格1[[#This Row],[Model]],表格3[Model-Input-Ref2],表格3[SRP PRICE])</f>
        <v>1688</v>
      </c>
      <c r="T76" s="43">
        <f>表格1[[#This Row],[Unit Price]]/表格1[[#This Row],[SRP]]</f>
        <v>0.29620853080568721</v>
      </c>
      <c r="U76" s="86" t="str">
        <f>_xlfn.XLOOKUP(表格1[[#This Row],[Model]],表格3[Model-Input-Ref2],表格3[TOSHIBA/HIGHEST])</f>
        <v>Toshiba SRP</v>
      </c>
      <c r="V76" s="86">
        <v>110</v>
      </c>
      <c r="W76" s="86" t="str">
        <f>_xlfn.CONCAT(表格1[[#This Row],[欄4]],表格1[[#This Row],[inv no]])</f>
        <v>1106027087</v>
      </c>
    </row>
    <row r="77" spans="1:23" ht="15.6" hidden="1" customHeight="1">
      <c r="A77" s="81">
        <v>75</v>
      </c>
      <c r="B77" s="81" t="s">
        <v>1203</v>
      </c>
      <c r="C77" s="81" t="s">
        <v>1237</v>
      </c>
      <c r="D77" s="82" t="str">
        <f ca="1">OFFSET(Roster!$A$3,MATCH(表格1[[#This Row],[Location]]&amp;" "&amp;表格1[[#This Row],[Shop]]&amp;"*",Roster!$A$4:$A$72,0),DAY(表格1[[#This Row],[date]]),1,1)</f>
        <v>Wendy Lau</v>
      </c>
      <c r="E77" s="81">
        <f>MONTH(表格1[[#This Row],[date]])</f>
        <v>3</v>
      </c>
      <c r="F77" s="101">
        <v>46088</v>
      </c>
      <c r="G77" s="81" t="str">
        <f>VLOOKUP("*"&amp;表格1[[#This Row],[Input]]&amp;"*",'Ref-List'!$B:$D,2,)</f>
        <v>PLK-45SFIH(WT)</v>
      </c>
      <c r="H77" s="81" t="str">
        <f>_xlfn.XLOOKUP(表格1[[#This Row],[Model]],表格3[Model-Input-Ref2],表格3[Product Line])</f>
        <v>電熱水瓶4.5L</v>
      </c>
      <c r="I77" s="81" t="str">
        <f>_xlfn.XLOOKUP(表格1[[#This Row],[Model]],表格3[Model-Input-Ref2],表格3[大小電])</f>
        <v>細電</v>
      </c>
      <c r="J77" s="81" t="str">
        <f>_xlfn.XLOOKUP(表格1[[#This Row],[Model]],表格3[Model-Input-Ref2],表格3[Code])</f>
        <v>SDA</v>
      </c>
      <c r="K77" s="82" t="s">
        <v>1117</v>
      </c>
      <c r="L77" s="81">
        <v>1</v>
      </c>
      <c r="M77" s="85">
        <v>500</v>
      </c>
      <c r="N77" s="85">
        <f>IFERROR(表格1[[#This Row],[QTY]]*表格1[[#This Row],[Unit Price]],"-")</f>
        <v>500</v>
      </c>
      <c r="O77" s="134">
        <v>6027086</v>
      </c>
      <c r="P77" s="81"/>
      <c r="Q77" s="81"/>
      <c r="R77" s="81" t="str">
        <f>_xlfn.CONCAT(表格1[[#This Row],[Model]]," ",表格1[[#This Row],[inv no]])</f>
        <v>PLK-45SFIH(WT) 6027086</v>
      </c>
      <c r="S77" s="135">
        <f>_xlfn.XLOOKUP(表格1[[#This Row],[Model]],表格3[Model-Input-Ref2],表格3[SRP PRICE])</f>
        <v>788</v>
      </c>
      <c r="T77" s="43">
        <f>表格1[[#This Row],[Unit Price]]/表格1[[#This Row],[SRP]]</f>
        <v>0.63451776649746194</v>
      </c>
      <c r="U77" s="86" t="str">
        <f>_xlfn.XLOOKUP(表格1[[#This Row],[Model]],表格3[Model-Input-Ref2],表格3[TOSHIBA/HIGHEST])</f>
        <v>Toshiba SRP</v>
      </c>
      <c r="V77" s="86">
        <v>110</v>
      </c>
      <c r="W77" s="86" t="str">
        <f>_xlfn.CONCAT(表格1[[#This Row],[欄4]],表格1[[#This Row],[inv no]])</f>
        <v>1106027086</v>
      </c>
    </row>
    <row r="78" spans="1:23" ht="15.6" hidden="1" customHeight="1">
      <c r="A78" s="81">
        <v>76</v>
      </c>
      <c r="B78" s="81" t="s">
        <v>1203</v>
      </c>
      <c r="C78" s="81" t="s">
        <v>1237</v>
      </c>
      <c r="D78" s="82" t="str">
        <f ca="1">OFFSET(Roster!$A$3,MATCH(表格1[[#This Row],[Location]]&amp;" "&amp;表格1[[#This Row],[Shop]]&amp;"*",Roster!$A$4:$A$72,0),DAY(表格1[[#This Row],[date]]),1,1)</f>
        <v>Wendy Lau</v>
      </c>
      <c r="E78" s="81">
        <f>MONTH(表格1[[#This Row],[date]])</f>
        <v>3</v>
      </c>
      <c r="F78" s="101">
        <v>46088</v>
      </c>
      <c r="G78" s="81" t="str">
        <f>VLOOKUP("*"&amp;表格1[[#This Row],[Input]]&amp;"*",'Ref-List'!$B:$D,2,)</f>
        <v>RC-15ISTHK(W)</v>
      </c>
      <c r="H78" s="81" t="str">
        <f>_xlfn.XLOOKUP(表格1[[#This Row],[Model]],表格3[Model-Input-Ref2],表格3[Product Line])</f>
        <v>磁應電飯煲(1.5公升)</v>
      </c>
      <c r="I78" s="81" t="str">
        <f>_xlfn.XLOOKUP(表格1[[#This Row],[Model]],表格3[Model-Input-Ref2],表格3[大小電])</f>
        <v>細電</v>
      </c>
      <c r="J78" s="81" t="str">
        <f>_xlfn.XLOOKUP(表格1[[#This Row],[Model]],表格3[Model-Input-Ref2],表格3[Code])</f>
        <v>SDA</v>
      </c>
      <c r="K78" s="82" t="s">
        <v>1204</v>
      </c>
      <c r="L78" s="81">
        <v>1</v>
      </c>
      <c r="M78" s="85">
        <v>500</v>
      </c>
      <c r="N78" s="85">
        <f>IFERROR(表格1[[#This Row],[QTY]]*表格1[[#This Row],[Unit Price]],"-")</f>
        <v>500</v>
      </c>
      <c r="O78" s="134">
        <v>6027281</v>
      </c>
      <c r="P78" s="137"/>
      <c r="Q78" s="81"/>
      <c r="R78" s="81" t="str">
        <f>_xlfn.CONCAT(表格1[[#This Row],[Model]]," ",表格1[[#This Row],[inv no]])</f>
        <v>RC-15ISTHK(W) 6027281</v>
      </c>
      <c r="S78" s="135">
        <f>_xlfn.XLOOKUP(表格1[[#This Row],[Model]],表格3[Model-Input-Ref2],表格3[SRP PRICE])</f>
        <v>1688</v>
      </c>
      <c r="T78" s="43">
        <f>表格1[[#This Row],[Unit Price]]/表格1[[#This Row],[SRP]]</f>
        <v>0.29620853080568721</v>
      </c>
      <c r="U78" s="86" t="str">
        <f>_xlfn.XLOOKUP(表格1[[#This Row],[Model]],表格3[Model-Input-Ref2],表格3[TOSHIBA/HIGHEST])</f>
        <v>Toshiba SRP</v>
      </c>
      <c r="V78" s="86">
        <v>110</v>
      </c>
      <c r="W78" s="86" t="str">
        <f>_xlfn.CONCAT(表格1[[#This Row],[欄4]],表格1[[#This Row],[inv no]])</f>
        <v>1106027281</v>
      </c>
    </row>
    <row r="79" spans="1:23" ht="15.6" hidden="1" customHeight="1">
      <c r="A79" s="81">
        <v>77</v>
      </c>
      <c r="B79" s="81" t="s">
        <v>1203</v>
      </c>
      <c r="C79" s="81" t="s">
        <v>1237</v>
      </c>
      <c r="D79" s="82" t="str">
        <f ca="1">OFFSET(Roster!$A$3,MATCH(表格1[[#This Row],[Location]]&amp;" "&amp;表格1[[#This Row],[Shop]]&amp;"*",Roster!$A$4:$A$72,0),DAY(表格1[[#This Row],[date]]),1,1)</f>
        <v>Wendy Lau</v>
      </c>
      <c r="E79" s="81">
        <f>MONTH(表格1[[#This Row],[date]])</f>
        <v>3</v>
      </c>
      <c r="F79" s="101">
        <v>46089</v>
      </c>
      <c r="G79" s="81" t="str">
        <f>VLOOKUP("*"&amp;表格1[[#This Row],[Input]]&amp;"*",'Ref-List'!$B:$D,2,)</f>
        <v>TWP-TSR76THK(W)</v>
      </c>
      <c r="H79" s="81" t="str">
        <f>_xlfn.XLOOKUP(表格1[[#This Row],[Model]],表格3[Model-Input-Ref2],表格3[Product Line])</f>
        <v>RO座檯式飲水機</v>
      </c>
      <c r="I79" s="81" t="str">
        <f>_xlfn.XLOOKUP(表格1[[#This Row],[Model]],表格3[Model-Input-Ref2],表格3[大小電])</f>
        <v>細電</v>
      </c>
      <c r="J79" s="81" t="str">
        <f>_xlfn.XLOOKUP(表格1[[#This Row],[Model]],表格3[Model-Input-Ref2],表格3[Code])</f>
        <v>KWH</v>
      </c>
      <c r="K79" s="82" t="s">
        <v>1197</v>
      </c>
      <c r="L79" s="81">
        <v>1</v>
      </c>
      <c r="M79" s="85">
        <v>1500</v>
      </c>
      <c r="N79" s="85">
        <f>IFERROR(表格1[[#This Row],[QTY]]*表格1[[#This Row],[Unit Price]],"-")</f>
        <v>1500</v>
      </c>
      <c r="O79" s="134">
        <v>6027368</v>
      </c>
      <c r="P79" s="81"/>
      <c r="Q79" s="81"/>
      <c r="R79" s="81" t="str">
        <f>_xlfn.CONCAT(表格1[[#This Row],[Model]]," ",表格1[[#This Row],[inv no]])</f>
        <v>TWP-TSR76THK(W) 6027368</v>
      </c>
      <c r="S79" s="135">
        <f>_xlfn.XLOOKUP(表格1[[#This Row],[Model]],表格3[Model-Input-Ref2],表格3[SRP PRICE])</f>
        <v>2680</v>
      </c>
      <c r="T79" s="43">
        <f>表格1[[#This Row],[Unit Price]]/表格1[[#This Row],[SRP]]</f>
        <v>0.55970149253731338</v>
      </c>
      <c r="U79" s="86" t="str">
        <f>_xlfn.XLOOKUP(表格1[[#This Row],[Model]],表格3[Model-Input-Ref2],表格3[TOSHIBA/HIGHEST])</f>
        <v>Toshiba SRP</v>
      </c>
      <c r="V79" s="86">
        <v>110</v>
      </c>
      <c r="W79" s="86" t="str">
        <f>_xlfn.CONCAT(表格1[[#This Row],[欄4]],表格1[[#This Row],[inv no]])</f>
        <v>1106027368</v>
      </c>
    </row>
    <row r="80" spans="1:23" ht="15.6" hidden="1" customHeight="1">
      <c r="A80" s="81">
        <v>78</v>
      </c>
      <c r="B80" s="81" t="s">
        <v>1203</v>
      </c>
      <c r="C80" s="81" t="s">
        <v>1237</v>
      </c>
      <c r="D80" s="82" t="str">
        <f ca="1">OFFSET(Roster!$A$3,MATCH(表格1[[#This Row],[Location]]&amp;" "&amp;表格1[[#This Row],[Shop]]&amp;"*",Roster!$A$4:$A$72,0),DAY(表格1[[#This Row],[date]]),1,1)</f>
        <v>Wendy Lau</v>
      </c>
      <c r="E80" s="81">
        <f>MONTH(表格1[[#This Row],[date]])</f>
        <v>3</v>
      </c>
      <c r="F80" s="101">
        <v>46089</v>
      </c>
      <c r="G80" s="81" t="str">
        <f>VLOOKUP("*"&amp;表格1[[#This Row],[Input]]&amp;"*",'Ref-List'!$B:$D,2,)</f>
        <v>GR-RT416WE-PMA(06)</v>
      </c>
      <c r="H80" s="81" t="str">
        <f>_xlfn.XLOOKUP(表格1[[#This Row],[Model]],表格3[Model-Input-Ref2],表格3[Product Line])</f>
        <v xml:space="preserve">變頻上置式雙門雪櫃313L </v>
      </c>
      <c r="I80" s="81" t="str">
        <f>_xlfn.XLOOKUP(表格1[[#This Row],[Model]],表格3[Model-Input-Ref2],表格3[大小電])</f>
        <v>大電</v>
      </c>
      <c r="J80" s="81" t="str">
        <f>_xlfn.XLOOKUP(表格1[[#This Row],[Model]],表格3[Model-Input-Ref2],表格3[Code])</f>
        <v>REF</v>
      </c>
      <c r="K80" s="82" t="s">
        <v>1208</v>
      </c>
      <c r="L80" s="81">
        <v>1</v>
      </c>
      <c r="M80" s="85">
        <v>2888</v>
      </c>
      <c r="N80" s="85">
        <f>IFERROR(表格1[[#This Row],[QTY]]*表格1[[#This Row],[Unit Price]],"-")</f>
        <v>2888</v>
      </c>
      <c r="O80" s="134">
        <v>6027333</v>
      </c>
      <c r="P80" s="81"/>
      <c r="Q80" s="81"/>
      <c r="R80" s="81" t="str">
        <f>_xlfn.CONCAT(表格1[[#This Row],[Model]]," ",表格1[[#This Row],[inv no]])</f>
        <v>GR-RT416WE-PMA(06) 6027333</v>
      </c>
      <c r="S80" s="135">
        <f>_xlfn.XLOOKUP(表格1[[#This Row],[Model]],表格3[Model-Input-Ref2],表格3[SRP PRICE])</f>
        <v>5380</v>
      </c>
      <c r="T80" s="43">
        <f>表格1[[#This Row],[Unit Price]]/表格1[[#This Row],[SRP]]</f>
        <v>0.53680297397769516</v>
      </c>
      <c r="U80" s="86" t="str">
        <f>_xlfn.XLOOKUP(表格1[[#This Row],[Model]],表格3[Model-Input-Ref2],表格3[TOSHIBA/HIGHEST])</f>
        <v>Toshiba SRP</v>
      </c>
      <c r="V80" s="86">
        <v>110</v>
      </c>
      <c r="W80" s="86" t="str">
        <f>_xlfn.CONCAT(表格1[[#This Row],[欄4]],表格1[[#This Row],[inv no]])</f>
        <v>1106027333</v>
      </c>
    </row>
    <row r="81" spans="1:28" ht="15.6" hidden="1" customHeight="1">
      <c r="A81" s="81">
        <v>79</v>
      </c>
      <c r="B81" s="81" t="s">
        <v>1203</v>
      </c>
      <c r="C81" s="81" t="s">
        <v>1237</v>
      </c>
      <c r="D81" s="82" t="str">
        <f ca="1">OFFSET(Roster!$A$3,MATCH(表格1[[#This Row],[Location]]&amp;" "&amp;表格1[[#This Row],[Shop]]&amp;"*",Roster!$A$4:$A$72,0),DAY(表格1[[#This Row],[date]]),1,1)</f>
        <v>Wendy Lau</v>
      </c>
      <c r="E81" s="81">
        <f>MONTH(表格1[[#This Row],[date]])</f>
        <v>3</v>
      </c>
      <c r="F81" s="101">
        <v>46089</v>
      </c>
      <c r="G81" s="81" t="str">
        <f>VLOOKUP("*"&amp;表格1[[#This Row],[Input]]&amp;"*",'Ref-List'!$B:$D,2,)</f>
        <v>RC-15ISTHK(W)</v>
      </c>
      <c r="H81" s="81" t="str">
        <f>_xlfn.XLOOKUP(表格1[[#This Row],[Model]],表格3[Model-Input-Ref2],表格3[Product Line])</f>
        <v>磁應電飯煲(1.5公升)</v>
      </c>
      <c r="I81" s="81" t="str">
        <f>_xlfn.XLOOKUP(表格1[[#This Row],[Model]],表格3[Model-Input-Ref2],表格3[大小電])</f>
        <v>細電</v>
      </c>
      <c r="J81" s="81" t="str">
        <f>_xlfn.XLOOKUP(表格1[[#This Row],[Model]],表格3[Model-Input-Ref2],表格3[Code])</f>
        <v>SDA</v>
      </c>
      <c r="K81" s="82" t="s">
        <v>1204</v>
      </c>
      <c r="L81" s="81">
        <v>1</v>
      </c>
      <c r="M81" s="85">
        <v>500</v>
      </c>
      <c r="N81" s="85">
        <f>IFERROR(表格1[[#This Row],[QTY]]*表格1[[#This Row],[Unit Price]],"-")</f>
        <v>500</v>
      </c>
      <c r="O81" s="134">
        <v>5975471</v>
      </c>
      <c r="P81" s="137"/>
      <c r="Q81" s="81"/>
      <c r="R81" s="81" t="str">
        <f>_xlfn.CONCAT(表格1[[#This Row],[Model]]," ",表格1[[#This Row],[inv no]])</f>
        <v>RC-15ISTHK(W) 5975471</v>
      </c>
      <c r="S81" s="135">
        <f>_xlfn.XLOOKUP(表格1[[#This Row],[Model]],表格3[Model-Input-Ref2],表格3[SRP PRICE])</f>
        <v>1688</v>
      </c>
      <c r="T81" s="43">
        <f>表格1[[#This Row],[Unit Price]]/表格1[[#This Row],[SRP]]</f>
        <v>0.29620853080568721</v>
      </c>
      <c r="U81" s="86" t="str">
        <f>_xlfn.XLOOKUP(表格1[[#This Row],[Model]],表格3[Model-Input-Ref2],表格3[TOSHIBA/HIGHEST])</f>
        <v>Toshiba SRP</v>
      </c>
      <c r="V81" s="86">
        <v>110</v>
      </c>
      <c r="W81" s="86" t="str">
        <f>_xlfn.CONCAT(表格1[[#This Row],[欄4]],表格1[[#This Row],[inv no]])</f>
        <v>1105975471</v>
      </c>
    </row>
    <row r="82" spans="1:28" ht="15.6" hidden="1" customHeight="1">
      <c r="A82" s="81">
        <v>80</v>
      </c>
      <c r="B82" s="81" t="s">
        <v>1203</v>
      </c>
      <c r="C82" s="81" t="s">
        <v>1237</v>
      </c>
      <c r="D82" s="82" t="str">
        <f ca="1">OFFSET(Roster!$A$3,MATCH(表格1[[#This Row],[Location]]&amp;" "&amp;表格1[[#This Row],[Shop]]&amp;"*",Roster!$A$4:$A$72,0),DAY(表格1[[#This Row],[date]]),1,1)</f>
        <v>Wendy Lau</v>
      </c>
      <c r="E82" s="81">
        <f>MONTH(表格1[[#This Row],[date]])</f>
        <v>3</v>
      </c>
      <c r="F82" s="101">
        <v>46089</v>
      </c>
      <c r="G82" s="81" t="str">
        <f>VLOOKUP("*"&amp;表格1[[#This Row],[Input]]&amp;"*",'Ref-List'!$B:$D,2,)</f>
        <v>RC-15ISTHK(W)</v>
      </c>
      <c r="H82" s="81" t="str">
        <f>_xlfn.XLOOKUP(表格1[[#This Row],[Model]],表格3[Model-Input-Ref2],表格3[Product Line])</f>
        <v>磁應電飯煲(1.5公升)</v>
      </c>
      <c r="I82" s="81" t="str">
        <f>_xlfn.XLOOKUP(表格1[[#This Row],[Model]],表格3[Model-Input-Ref2],表格3[大小電])</f>
        <v>細電</v>
      </c>
      <c r="J82" s="81" t="str">
        <f>_xlfn.XLOOKUP(表格1[[#This Row],[Model]],表格3[Model-Input-Ref2],表格3[Code])</f>
        <v>SDA</v>
      </c>
      <c r="K82" s="82" t="s">
        <v>1204</v>
      </c>
      <c r="L82" s="81">
        <v>1</v>
      </c>
      <c r="M82" s="85">
        <v>500</v>
      </c>
      <c r="N82" s="85">
        <f>IFERROR(表格1[[#This Row],[QTY]]*表格1[[#This Row],[Unit Price]],"-")</f>
        <v>500</v>
      </c>
      <c r="O82" s="134">
        <v>6027038</v>
      </c>
      <c r="P82" s="81"/>
      <c r="Q82" s="81"/>
      <c r="R82" s="81" t="str">
        <f>_xlfn.CONCAT(表格1[[#This Row],[Model]]," ",表格1[[#This Row],[inv no]])</f>
        <v>RC-15ISTHK(W) 6027038</v>
      </c>
      <c r="S82" s="135">
        <f>_xlfn.XLOOKUP(表格1[[#This Row],[Model]],表格3[Model-Input-Ref2],表格3[SRP PRICE])</f>
        <v>1688</v>
      </c>
      <c r="T82" s="43">
        <f>表格1[[#This Row],[Unit Price]]/表格1[[#This Row],[SRP]]</f>
        <v>0.29620853080568721</v>
      </c>
      <c r="U82" s="86" t="str">
        <f>_xlfn.XLOOKUP(表格1[[#This Row],[Model]],表格3[Model-Input-Ref2],表格3[TOSHIBA/HIGHEST])</f>
        <v>Toshiba SRP</v>
      </c>
      <c r="V82" s="86">
        <v>110</v>
      </c>
      <c r="W82" s="86" t="str">
        <f>_xlfn.CONCAT(表格1[[#This Row],[欄4]],表格1[[#This Row],[inv no]])</f>
        <v>1106027038</v>
      </c>
    </row>
    <row r="83" spans="1:28" ht="15.6" hidden="1" customHeight="1">
      <c r="A83" s="81">
        <v>81</v>
      </c>
      <c r="B83" s="81" t="s">
        <v>1203</v>
      </c>
      <c r="C83" s="81" t="s">
        <v>1237</v>
      </c>
      <c r="D83" s="82" t="str">
        <f ca="1">OFFSET(Roster!$A$3,MATCH(表格1[[#This Row],[Location]]&amp;" "&amp;表格1[[#This Row],[Shop]]&amp;"*",Roster!$A$4:$A$72,0),DAY(表格1[[#This Row],[date]]),1,1)</f>
        <v>Wendy Lau</v>
      </c>
      <c r="E83" s="81">
        <f>MONTH(表格1[[#This Row],[date]])</f>
        <v>3</v>
      </c>
      <c r="F83" s="101">
        <v>46089</v>
      </c>
      <c r="G83" s="81" t="str">
        <f>VLOOKUP("*"&amp;表格1[[#This Row],[Input]]&amp;"*",'Ref-List'!$B:$D,2,)</f>
        <v>IC-21TSHK</v>
      </c>
      <c r="H83" s="81" t="str">
        <f>_xlfn.XLOOKUP(表格1[[#This Row],[Model]],表格3[Model-Input-Ref2],表格3[Product Line])</f>
        <v>Induction Cooker</v>
      </c>
      <c r="I83" s="81" t="str">
        <f>_xlfn.XLOOKUP(表格1[[#This Row],[Model]],表格3[Model-Input-Ref2],表格3[大小電])</f>
        <v>細電</v>
      </c>
      <c r="J83" s="81" t="str">
        <f>_xlfn.XLOOKUP(表格1[[#This Row],[Model]],表格3[Model-Input-Ref2],表格3[Code])</f>
        <v>SDA</v>
      </c>
      <c r="K83" s="82" t="s">
        <v>1242</v>
      </c>
      <c r="L83" s="81">
        <v>1</v>
      </c>
      <c r="M83" s="85">
        <v>500</v>
      </c>
      <c r="N83" s="85">
        <f>IFERROR(表格1[[#This Row],[QTY]]*表格1[[#This Row],[Unit Price]],"-")</f>
        <v>500</v>
      </c>
      <c r="O83" s="134">
        <v>6027271</v>
      </c>
      <c r="P83" s="81"/>
      <c r="Q83" s="81"/>
      <c r="R83" s="81" t="str">
        <f>_xlfn.CONCAT(表格1[[#This Row],[Model]]," ",表格1[[#This Row],[inv no]])</f>
        <v>IC-21TSHK 6027271</v>
      </c>
      <c r="S83" s="135">
        <f>_xlfn.XLOOKUP(表格1[[#This Row],[Model]],表格3[Model-Input-Ref2],表格3[SRP PRICE])</f>
        <v>998</v>
      </c>
      <c r="T83" s="43">
        <f>表格1[[#This Row],[Unit Price]]/表格1[[#This Row],[SRP]]</f>
        <v>0.50100200400801598</v>
      </c>
      <c r="U83" s="86" t="str">
        <f>_xlfn.XLOOKUP(表格1[[#This Row],[Model]],表格3[Model-Input-Ref2],表格3[TOSHIBA/HIGHEST])</f>
        <v>web SRP</v>
      </c>
      <c r="V83" s="86">
        <v>110</v>
      </c>
      <c r="W83" s="86" t="str">
        <f>_xlfn.CONCAT(表格1[[#This Row],[欄4]],表格1[[#This Row],[inv no]])</f>
        <v>1106027271</v>
      </c>
    </row>
    <row r="84" spans="1:28" ht="15.6" hidden="1" customHeight="1">
      <c r="A84" s="81">
        <v>82</v>
      </c>
      <c r="B84" s="81" t="s">
        <v>1203</v>
      </c>
      <c r="C84" s="81" t="s">
        <v>1237</v>
      </c>
      <c r="D84" s="82" t="str">
        <f ca="1">OFFSET(Roster!$A$3,MATCH(表格1[[#This Row],[Location]]&amp;" "&amp;表格1[[#This Row],[Shop]]&amp;"*",Roster!$A$4:$A$72,0),DAY(表格1[[#This Row],[date]]),1,1)</f>
        <v>Wendy Lau</v>
      </c>
      <c r="E84" s="81">
        <f>MONTH(表格1[[#This Row],[date]])</f>
        <v>3</v>
      </c>
      <c r="F84" s="101">
        <v>46089</v>
      </c>
      <c r="G84" s="81" t="str">
        <f>VLOOKUP("*"&amp;表格1[[#This Row],[Input]]&amp;"*",'Ref-List'!$B:$D,2,)</f>
        <v>PLK-45SFIH(WT)</v>
      </c>
      <c r="H84" s="81" t="str">
        <f>_xlfn.XLOOKUP(表格1[[#This Row],[Model]],表格3[Model-Input-Ref2],表格3[Product Line])</f>
        <v>電熱水瓶4.5L</v>
      </c>
      <c r="I84" s="81" t="str">
        <f>_xlfn.XLOOKUP(表格1[[#This Row],[Model]],表格3[Model-Input-Ref2],表格3[大小電])</f>
        <v>細電</v>
      </c>
      <c r="J84" s="81" t="str">
        <f>_xlfn.XLOOKUP(表格1[[#This Row],[Model]],表格3[Model-Input-Ref2],表格3[Code])</f>
        <v>SDA</v>
      </c>
      <c r="K84" s="82" t="s">
        <v>1117</v>
      </c>
      <c r="L84" s="81">
        <v>1</v>
      </c>
      <c r="M84" s="85">
        <v>500</v>
      </c>
      <c r="N84" s="85">
        <f>IFERROR(表格1[[#This Row],[QTY]]*表格1[[#This Row],[Unit Price]],"-")</f>
        <v>500</v>
      </c>
      <c r="O84" s="134">
        <v>6027389</v>
      </c>
      <c r="P84" s="81"/>
      <c r="Q84" s="81"/>
      <c r="R84" s="81" t="str">
        <f>_xlfn.CONCAT(表格1[[#This Row],[Model]]," ",表格1[[#This Row],[inv no]])</f>
        <v>PLK-45SFIH(WT) 6027389</v>
      </c>
      <c r="S84" s="135">
        <f>_xlfn.XLOOKUP(表格1[[#This Row],[Model]],表格3[Model-Input-Ref2],表格3[SRP PRICE])</f>
        <v>788</v>
      </c>
      <c r="T84" s="43">
        <f>表格1[[#This Row],[Unit Price]]/表格1[[#This Row],[SRP]]</f>
        <v>0.63451776649746194</v>
      </c>
      <c r="U84" s="86" t="str">
        <f>_xlfn.XLOOKUP(表格1[[#This Row],[Model]],表格3[Model-Input-Ref2],表格3[TOSHIBA/HIGHEST])</f>
        <v>Toshiba SRP</v>
      </c>
      <c r="V84" s="86">
        <v>110</v>
      </c>
      <c r="W84" s="86" t="str">
        <f>_xlfn.CONCAT(表格1[[#This Row],[欄4]],表格1[[#This Row],[inv no]])</f>
        <v>1106027389</v>
      </c>
      <c r="Z84" s="138"/>
      <c r="AA84" s="138"/>
      <c r="AB84" s="138"/>
    </row>
    <row r="85" spans="1:28" ht="15.6" hidden="1" customHeight="1">
      <c r="A85" s="81">
        <v>83</v>
      </c>
      <c r="B85" s="81" t="s">
        <v>1203</v>
      </c>
      <c r="C85" s="81" t="s">
        <v>1237</v>
      </c>
      <c r="D85" s="82" t="str">
        <f ca="1">OFFSET(Roster!$A$3,MATCH(表格1[[#This Row],[Location]]&amp;" "&amp;表格1[[#This Row],[Shop]]&amp;"*",Roster!$A$4:$A$72,0),DAY(表格1[[#This Row],[date]]),1,1)</f>
        <v>Wendy Lau</v>
      </c>
      <c r="E85" s="81">
        <f>MONTH(表格1[[#This Row],[date]])</f>
        <v>3</v>
      </c>
      <c r="F85" s="101">
        <v>46089</v>
      </c>
      <c r="G85" s="81" t="str">
        <f>VLOOKUP("*"&amp;表格1[[#This Row],[Input]]&amp;"*",'Ref-List'!$B:$D,2,)</f>
        <v>GR-A26HSZ(DS)</v>
      </c>
      <c r="H85" s="81" t="str">
        <f>_xlfn.XLOOKUP(表格1[[#This Row],[Model]],表格3[Model-Input-Ref2],表格3[Product Line])</f>
        <v>雙門變頻式環保雪櫃</v>
      </c>
      <c r="I85" s="81" t="str">
        <f>_xlfn.XLOOKUP(表格1[[#This Row],[Model]],表格3[Model-Input-Ref2],表格3[大小電])</f>
        <v>大電</v>
      </c>
      <c r="J85" s="81" t="str">
        <f>_xlfn.XLOOKUP(表格1[[#This Row],[Model]],表格3[Model-Input-Ref2],表格3[Code])</f>
        <v>AC</v>
      </c>
      <c r="K85" s="82" t="s">
        <v>1207</v>
      </c>
      <c r="L85" s="81">
        <v>1</v>
      </c>
      <c r="M85" s="85">
        <v>1500</v>
      </c>
      <c r="N85" s="85">
        <f>IFERROR(表格1[[#This Row],[QTY]]*表格1[[#This Row],[Unit Price]],"-")</f>
        <v>1500</v>
      </c>
      <c r="O85" s="134">
        <v>6027252</v>
      </c>
      <c r="P85" s="137"/>
      <c r="Q85" s="81"/>
      <c r="R85" s="81" t="str">
        <f>_xlfn.CONCAT(表格1[[#This Row],[Model]]," ",表格1[[#This Row],[inv no]])</f>
        <v>GR-A26HSZ(DS) 6027252</v>
      </c>
      <c r="S85" s="135">
        <f>_xlfn.XLOOKUP(表格1[[#This Row],[Model]],表格3[Model-Input-Ref2],表格3[SRP PRICE])</f>
        <v>3780</v>
      </c>
      <c r="T85" s="43">
        <f>表格1[[#This Row],[Unit Price]]/表格1[[#This Row],[SRP]]</f>
        <v>0.3968253968253968</v>
      </c>
      <c r="U85" s="86" t="str">
        <f>_xlfn.XLOOKUP(表格1[[#This Row],[Model]],表格3[Model-Input-Ref2],表格3[TOSHIBA/HIGHEST])</f>
        <v>Toshiba SRP</v>
      </c>
      <c r="V85" s="86">
        <v>110</v>
      </c>
      <c r="W85" s="86" t="str">
        <f>_xlfn.CONCAT(表格1[[#This Row],[欄4]],表格1[[#This Row],[inv no]])</f>
        <v>1106027252</v>
      </c>
      <c r="Z85" s="138"/>
      <c r="AA85" s="138"/>
      <c r="AB85" s="138"/>
    </row>
    <row r="86" spans="1:28" ht="15.6" hidden="1" customHeight="1">
      <c r="A86" s="81">
        <v>84</v>
      </c>
      <c r="B86" s="81" t="s">
        <v>1203</v>
      </c>
      <c r="C86" s="81" t="s">
        <v>1237</v>
      </c>
      <c r="D86" s="82" t="str">
        <f ca="1">OFFSET(Roster!$A$3,MATCH(表格1[[#This Row],[Location]]&amp;" "&amp;表格1[[#This Row],[Shop]]&amp;"*",Roster!$A$4:$A$72,0),DAY(表格1[[#This Row],[date]]),1,1)</f>
        <v>Wendy Lau</v>
      </c>
      <c r="E86" s="81">
        <f>MONTH(表格1[[#This Row],[date]])</f>
        <v>3</v>
      </c>
      <c r="F86" s="101">
        <v>46089</v>
      </c>
      <c r="G86" s="81" t="str">
        <f>VLOOKUP("*"&amp;表格1[[#This Row],[Input]]&amp;"*",'Ref-List'!$B:$D,2,)</f>
        <v>MW2-MM24PC(BK)</v>
      </c>
      <c r="H86" s="81" t="str">
        <f>_xlfn.XLOOKUP(表格1[[#This Row],[Model]],表格3[Model-Input-Ref2],表格3[Product Line])</f>
        <v>旋鈕式微波爐24L</v>
      </c>
      <c r="I86" s="81" t="str">
        <f>_xlfn.XLOOKUP(表格1[[#This Row],[Model]],表格3[Model-Input-Ref2],表格3[大小電])</f>
        <v>細電</v>
      </c>
      <c r="J86" s="81" t="str">
        <f>_xlfn.XLOOKUP(表格1[[#This Row],[Model]],表格3[Model-Input-Ref2],表格3[Code])</f>
        <v>SDA</v>
      </c>
      <c r="K86" s="82" t="s">
        <v>1196</v>
      </c>
      <c r="L86" s="81">
        <v>1</v>
      </c>
      <c r="M86" s="85">
        <v>500</v>
      </c>
      <c r="N86" s="85">
        <f>IFERROR(表格1[[#This Row],[QTY]]*表格1[[#This Row],[Unit Price]],"-")</f>
        <v>500</v>
      </c>
      <c r="O86" s="134">
        <v>6027324</v>
      </c>
      <c r="P86" s="137"/>
      <c r="Q86" s="81"/>
      <c r="R86" s="81" t="str">
        <f>_xlfn.CONCAT(表格1[[#This Row],[Model]]," ",表格1[[#This Row],[inv no]])</f>
        <v>MW2-MM24PC(BK) 6027324</v>
      </c>
      <c r="S86" s="135">
        <f>_xlfn.XLOOKUP(表格1[[#This Row],[Model]],表格3[Model-Input-Ref2],表格3[SRP PRICE])</f>
        <v>848</v>
      </c>
      <c r="T86" s="43">
        <f>表格1[[#This Row],[Unit Price]]/表格1[[#This Row],[SRP]]</f>
        <v>0.589622641509434</v>
      </c>
      <c r="U86" s="86" t="str">
        <f>_xlfn.XLOOKUP(表格1[[#This Row],[Model]],表格3[Model-Input-Ref2],表格3[TOSHIBA/HIGHEST])</f>
        <v>Toshiba SRP</v>
      </c>
      <c r="V86" s="86">
        <v>110</v>
      </c>
      <c r="W86" s="86" t="str">
        <f>_xlfn.CONCAT(表格1[[#This Row],[欄4]],表格1[[#This Row],[inv no]])</f>
        <v>1106027324</v>
      </c>
    </row>
    <row r="87" spans="1:28" ht="15.6" hidden="1" customHeight="1">
      <c r="A87" s="81">
        <v>85</v>
      </c>
      <c r="B87" s="81" t="s">
        <v>1203</v>
      </c>
      <c r="C87" s="81" t="s">
        <v>1237</v>
      </c>
      <c r="D87" s="82" t="str">
        <f ca="1">OFFSET(Roster!$A$3,MATCH(表格1[[#This Row],[Location]]&amp;" "&amp;表格1[[#This Row],[Shop]]&amp;"*",Roster!$A$4:$A$72,0),DAY(表格1[[#This Row],[date]]),1,1)</f>
        <v>Wendy Lau</v>
      </c>
      <c r="E87" s="81">
        <f>MONTH(表格1[[#This Row],[date]])</f>
        <v>3</v>
      </c>
      <c r="F87" s="101">
        <v>46089</v>
      </c>
      <c r="G87" s="81" t="str">
        <f>VLOOKUP("*"&amp;表格1[[#This Row],[Input]]&amp;"*",'Ref-List'!$B:$D,2,)</f>
        <v>MW2-MM24PC(BK)</v>
      </c>
      <c r="H87" s="81" t="str">
        <f>_xlfn.XLOOKUP(表格1[[#This Row],[Model]],表格3[Model-Input-Ref2],表格3[Product Line])</f>
        <v>旋鈕式微波爐24L</v>
      </c>
      <c r="I87" s="81" t="str">
        <f>_xlfn.XLOOKUP(表格1[[#This Row],[Model]],表格3[Model-Input-Ref2],表格3[大小電])</f>
        <v>細電</v>
      </c>
      <c r="J87" s="81" t="str">
        <f>_xlfn.XLOOKUP(表格1[[#This Row],[Model]],表格3[Model-Input-Ref2],表格3[Code])</f>
        <v>SDA</v>
      </c>
      <c r="K87" s="82" t="s">
        <v>1196</v>
      </c>
      <c r="L87" s="81">
        <v>1</v>
      </c>
      <c r="M87" s="85">
        <v>500</v>
      </c>
      <c r="N87" s="85">
        <f>IFERROR(表格1[[#This Row],[QTY]]*表格1[[#This Row],[Unit Price]],"-")</f>
        <v>500</v>
      </c>
      <c r="O87" s="134">
        <v>6027322</v>
      </c>
      <c r="P87" s="81"/>
      <c r="Q87" s="81"/>
      <c r="R87" s="81" t="str">
        <f>_xlfn.CONCAT(表格1[[#This Row],[Model]]," ",表格1[[#This Row],[inv no]])</f>
        <v>MW2-MM24PC(BK) 6027322</v>
      </c>
      <c r="S87" s="135">
        <f>_xlfn.XLOOKUP(表格1[[#This Row],[Model]],表格3[Model-Input-Ref2],表格3[SRP PRICE])</f>
        <v>848</v>
      </c>
      <c r="T87" s="43">
        <f>表格1[[#This Row],[Unit Price]]/表格1[[#This Row],[SRP]]</f>
        <v>0.589622641509434</v>
      </c>
      <c r="U87" s="86" t="str">
        <f>_xlfn.XLOOKUP(表格1[[#This Row],[Model]],表格3[Model-Input-Ref2],表格3[TOSHIBA/HIGHEST])</f>
        <v>Toshiba SRP</v>
      </c>
      <c r="V87" s="86">
        <v>110</v>
      </c>
      <c r="W87" s="86" t="str">
        <f>_xlfn.CONCAT(表格1[[#This Row],[欄4]],表格1[[#This Row],[inv no]])</f>
        <v>1106027322</v>
      </c>
    </row>
    <row r="88" spans="1:28" ht="15.6" hidden="1" customHeight="1">
      <c r="A88" s="81">
        <v>86</v>
      </c>
      <c r="B88" s="81" t="s">
        <v>1203</v>
      </c>
      <c r="C88" s="81" t="s">
        <v>1237</v>
      </c>
      <c r="D88" s="82" t="str">
        <f ca="1">OFFSET(Roster!$A$3,MATCH(表格1[[#This Row],[Location]]&amp;" "&amp;表格1[[#This Row],[Shop]]&amp;"*",Roster!$A$4:$A$72,0),DAY(表格1[[#This Row],[date]]),1,1)</f>
        <v>Wendy Lau</v>
      </c>
      <c r="E88" s="81">
        <f>MONTH(表格1[[#This Row],[date]])</f>
        <v>3</v>
      </c>
      <c r="F88" s="101">
        <v>46095</v>
      </c>
      <c r="G88" s="81" t="str">
        <f>VLOOKUP("*"&amp;表格1[[#This Row],[Input]]&amp;"*",'Ref-List'!$B:$D,2,)</f>
        <v>IC-21TSHK</v>
      </c>
      <c r="H88" s="81" t="str">
        <f>_xlfn.XLOOKUP(表格1[[#This Row],[Model]],表格3[Model-Input-Ref2],表格3[Product Line])</f>
        <v>Induction Cooker</v>
      </c>
      <c r="I88" s="81" t="str">
        <f>_xlfn.XLOOKUP(表格1[[#This Row],[Model]],表格3[Model-Input-Ref2],表格3[大小電])</f>
        <v>細電</v>
      </c>
      <c r="J88" s="81" t="str">
        <f>_xlfn.XLOOKUP(表格1[[#This Row],[Model]],表格3[Model-Input-Ref2],表格3[Code])</f>
        <v>SDA</v>
      </c>
      <c r="K88" s="82" t="s">
        <v>1242</v>
      </c>
      <c r="L88" s="81">
        <v>1</v>
      </c>
      <c r="M88" s="85">
        <v>500</v>
      </c>
      <c r="N88" s="85">
        <f>IFERROR(表格1[[#This Row],[QTY]]*表格1[[#This Row],[Unit Price]],"-")</f>
        <v>500</v>
      </c>
      <c r="O88" s="134">
        <v>6027387</v>
      </c>
      <c r="P88" s="137"/>
      <c r="Q88" s="81"/>
      <c r="R88" s="81" t="str">
        <f>_xlfn.CONCAT(表格1[[#This Row],[Model]]," ",表格1[[#This Row],[inv no]])</f>
        <v>IC-21TSHK 6027387</v>
      </c>
      <c r="S88" s="135">
        <f>_xlfn.XLOOKUP(表格1[[#This Row],[Model]],表格3[Model-Input-Ref2],表格3[SRP PRICE])</f>
        <v>998</v>
      </c>
      <c r="T88" s="43">
        <f>表格1[[#This Row],[Unit Price]]/表格1[[#This Row],[SRP]]</f>
        <v>0.50100200400801598</v>
      </c>
      <c r="U88" s="86" t="str">
        <f>_xlfn.XLOOKUP(表格1[[#This Row],[Model]],表格3[Model-Input-Ref2],表格3[TOSHIBA/HIGHEST])</f>
        <v>web SRP</v>
      </c>
      <c r="V88" s="86">
        <v>110</v>
      </c>
      <c r="W88" s="86" t="str">
        <f>_xlfn.CONCAT(表格1[[#This Row],[欄4]],表格1[[#This Row],[inv no]])</f>
        <v>1106027387</v>
      </c>
    </row>
    <row r="89" spans="1:28" ht="15.6" hidden="1" customHeight="1">
      <c r="A89" s="81">
        <v>87</v>
      </c>
      <c r="B89" s="81" t="s">
        <v>1203</v>
      </c>
      <c r="C89" s="81" t="s">
        <v>1237</v>
      </c>
      <c r="D89" s="82" t="str">
        <f ca="1">OFFSET(Roster!$A$3,MATCH(表格1[[#This Row],[Location]]&amp;" "&amp;表格1[[#This Row],[Shop]]&amp;"*",Roster!$A$4:$A$72,0),DAY(表格1[[#This Row],[date]]),1,1)</f>
        <v>Wendy Lau</v>
      </c>
      <c r="E89" s="81">
        <f>MONTH(表格1[[#This Row],[date]])</f>
        <v>3</v>
      </c>
      <c r="F89" s="101">
        <v>46095</v>
      </c>
      <c r="G89" s="81" t="str">
        <f>VLOOKUP("*"&amp;表格1[[#This Row],[Input]]&amp;"*",'Ref-List'!$B:$D,2,)</f>
        <v>AW-M901BPH(WW)</v>
      </c>
      <c r="H89" s="81" t="str">
        <f>_xlfn.XLOOKUP(表格1[[#This Row],[Model]],表格3[Model-Input-Ref2],表格3[Product Line])</f>
        <v>全自動洗衣機 (8公斤 結合高低水位)</v>
      </c>
      <c r="I89" s="81" t="str">
        <f>_xlfn.XLOOKUP(表格1[[#This Row],[Model]],表格3[Model-Input-Ref2],表格3[大小電])</f>
        <v>大電</v>
      </c>
      <c r="J89" s="81" t="str">
        <f>_xlfn.XLOOKUP(表格1[[#This Row],[Model]],表格3[Model-Input-Ref2],表格3[Code])</f>
        <v>WM</v>
      </c>
      <c r="K89" s="82" t="s">
        <v>1202</v>
      </c>
      <c r="L89" s="81">
        <v>1</v>
      </c>
      <c r="M89" s="85">
        <v>1500</v>
      </c>
      <c r="N89" s="85">
        <f>IFERROR(表格1[[#This Row],[QTY]]*表格1[[#This Row],[Unit Price]],"-")</f>
        <v>1500</v>
      </c>
      <c r="O89" s="134">
        <v>6027950</v>
      </c>
      <c r="P89" s="137"/>
      <c r="Q89" s="81"/>
      <c r="R89" s="81" t="str">
        <f>_xlfn.CONCAT(表格1[[#This Row],[Model]]," ",表格1[[#This Row],[inv no]])</f>
        <v>AW-M901BPH(WW) 6027950</v>
      </c>
      <c r="S89" s="135">
        <f>_xlfn.XLOOKUP(表格1[[#This Row],[Model]],表格3[Model-Input-Ref2],表格3[SRP PRICE])</f>
        <v>3580</v>
      </c>
      <c r="T89" s="43">
        <f>表格1[[#This Row],[Unit Price]]/表格1[[#This Row],[SRP]]</f>
        <v>0.41899441340782123</v>
      </c>
      <c r="U89" s="86" t="str">
        <f>_xlfn.XLOOKUP(表格1[[#This Row],[Model]],表格3[Model-Input-Ref2],表格3[TOSHIBA/HIGHEST])</f>
        <v>Toshiba SRP</v>
      </c>
      <c r="V89" s="86">
        <v>110</v>
      </c>
      <c r="W89" s="86" t="str">
        <f>_xlfn.CONCAT(表格1[[#This Row],[欄4]],表格1[[#This Row],[inv no]])</f>
        <v>1106027950</v>
      </c>
    </row>
    <row r="90" spans="1:28" ht="15.6" hidden="1" customHeight="1">
      <c r="A90" s="81">
        <v>88</v>
      </c>
      <c r="B90" s="81" t="s">
        <v>1203</v>
      </c>
      <c r="C90" s="81" t="s">
        <v>1237</v>
      </c>
      <c r="D90" s="82" t="str">
        <f ca="1">OFFSET(Roster!$A$3,MATCH(表格1[[#This Row],[Location]]&amp;" "&amp;表格1[[#This Row],[Shop]]&amp;"*",Roster!$A$4:$A$72,0),DAY(表格1[[#This Row],[date]]),1,1)</f>
        <v>Wendy Lau</v>
      </c>
      <c r="E90" s="81">
        <f>MONTH(表格1[[#This Row],[date]])</f>
        <v>3</v>
      </c>
      <c r="F90" s="101">
        <v>46095</v>
      </c>
      <c r="G90" s="81" t="str">
        <f>VLOOKUP("*"&amp;表格1[[#This Row],[Input]]&amp;"*",'Ref-List'!$B:$D,2,)</f>
        <v>AW-M901BPH(WW)</v>
      </c>
      <c r="H90" s="81" t="str">
        <f>_xlfn.XLOOKUP(表格1[[#This Row],[Model]],表格3[Model-Input-Ref2],表格3[Product Line])</f>
        <v>全自動洗衣機 (8公斤 結合高低水位)</v>
      </c>
      <c r="I90" s="81" t="str">
        <f>_xlfn.XLOOKUP(表格1[[#This Row],[Model]],表格3[Model-Input-Ref2],表格3[大小電])</f>
        <v>大電</v>
      </c>
      <c r="J90" s="81" t="str">
        <f>_xlfn.XLOOKUP(表格1[[#This Row],[Model]],表格3[Model-Input-Ref2],表格3[Code])</f>
        <v>WM</v>
      </c>
      <c r="K90" s="82" t="s">
        <v>1202</v>
      </c>
      <c r="L90" s="81">
        <v>1</v>
      </c>
      <c r="M90" s="85">
        <v>1500</v>
      </c>
      <c r="N90" s="85">
        <f>IFERROR(表格1[[#This Row],[QTY]]*表格1[[#This Row],[Unit Price]],"-")</f>
        <v>1500</v>
      </c>
      <c r="O90" s="134">
        <v>6027947</v>
      </c>
      <c r="P90" s="137"/>
      <c r="Q90" s="81"/>
      <c r="R90" s="81" t="str">
        <f>_xlfn.CONCAT(表格1[[#This Row],[Model]]," ",表格1[[#This Row],[inv no]])</f>
        <v>AW-M901BPH(WW) 6027947</v>
      </c>
      <c r="S90" s="135">
        <f>_xlfn.XLOOKUP(表格1[[#This Row],[Model]],表格3[Model-Input-Ref2],表格3[SRP PRICE])</f>
        <v>3580</v>
      </c>
      <c r="T90" s="43">
        <f>表格1[[#This Row],[Unit Price]]/表格1[[#This Row],[SRP]]</f>
        <v>0.41899441340782123</v>
      </c>
      <c r="U90" s="86" t="str">
        <f>_xlfn.XLOOKUP(表格1[[#This Row],[Model]],表格3[Model-Input-Ref2],表格3[TOSHIBA/HIGHEST])</f>
        <v>Toshiba SRP</v>
      </c>
      <c r="V90" s="86">
        <v>110</v>
      </c>
      <c r="W90" s="86" t="str">
        <f>_xlfn.CONCAT(表格1[[#This Row],[欄4]],表格1[[#This Row],[inv no]])</f>
        <v>1106027947</v>
      </c>
    </row>
    <row r="91" spans="1:28" ht="15.6" hidden="1" customHeight="1">
      <c r="A91" s="81">
        <v>89</v>
      </c>
      <c r="B91" s="81" t="s">
        <v>1203</v>
      </c>
      <c r="C91" s="81" t="s">
        <v>1237</v>
      </c>
      <c r="D91" s="82" t="str">
        <f ca="1">OFFSET(Roster!$A$3,MATCH(表格1[[#This Row],[Location]]&amp;" "&amp;表格1[[#This Row],[Shop]]&amp;"*",Roster!$A$4:$A$72,0),DAY(表格1[[#This Row],[date]]),1,1)</f>
        <v>Wendy Lau</v>
      </c>
      <c r="E91" s="81">
        <f>MONTH(表格1[[#This Row],[date]])</f>
        <v>3</v>
      </c>
      <c r="F91" s="101">
        <v>46095</v>
      </c>
      <c r="G91" s="81" t="str">
        <f>VLOOKUP("*"&amp;表格1[[#This Row],[Input]]&amp;"*",'Ref-List'!$B:$D,2,)</f>
        <v>TWD-BN90GF4H(WK)</v>
      </c>
      <c r="H91" s="81" t="str">
        <f>_xlfn.XLOOKUP(表格1[[#This Row],[Model]],表格3[Model-Input-Ref2],表格3[Product Line])</f>
        <v>超薄身前置式洗衣乾衣機 (洗8公斤 乾5公斤)</v>
      </c>
      <c r="I91" s="81" t="str">
        <f>_xlfn.XLOOKUP(表格1[[#This Row],[Model]],表格3[Model-Input-Ref2],表格3[大小電])</f>
        <v>大電</v>
      </c>
      <c r="J91" s="81" t="str">
        <f>_xlfn.XLOOKUP(表格1[[#This Row],[Model]],表格3[Model-Input-Ref2],表格3[Code])</f>
        <v>WM</v>
      </c>
      <c r="K91" s="82" t="s">
        <v>1199</v>
      </c>
      <c r="L91" s="81">
        <v>1</v>
      </c>
      <c r="M91" s="85">
        <v>3588</v>
      </c>
      <c r="N91" s="85">
        <f>IFERROR(表格1[[#This Row],[QTY]]*表格1[[#This Row],[Unit Price]],"-")</f>
        <v>3588</v>
      </c>
      <c r="O91" s="134">
        <v>6027934</v>
      </c>
      <c r="P91" s="137"/>
      <c r="Q91" s="81"/>
      <c r="R91" s="81" t="str">
        <f>_xlfn.CONCAT(表格1[[#This Row],[Model]]," ",表格1[[#This Row],[inv no]])</f>
        <v>TWD-BN90GF4H(WK) 6027934</v>
      </c>
      <c r="S91" s="135">
        <f>_xlfn.XLOOKUP(表格1[[#This Row],[Model]],表格3[Model-Input-Ref2],表格3[SRP PRICE])</f>
        <v>5980</v>
      </c>
      <c r="T91" s="43">
        <f>表格1[[#This Row],[Unit Price]]/表格1[[#This Row],[SRP]]</f>
        <v>0.6</v>
      </c>
      <c r="U91" s="86" t="str">
        <f>_xlfn.XLOOKUP(表格1[[#This Row],[Model]],表格3[Model-Input-Ref2],表格3[TOSHIBA/HIGHEST])</f>
        <v>Toshiba SRP</v>
      </c>
      <c r="V91" s="86">
        <v>110</v>
      </c>
      <c r="W91" s="86" t="str">
        <f>_xlfn.CONCAT(表格1[[#This Row],[欄4]],表格1[[#This Row],[inv no]])</f>
        <v>1106027934</v>
      </c>
    </row>
    <row r="92" spans="1:28" ht="15.6" hidden="1" customHeight="1">
      <c r="A92" s="81">
        <v>90</v>
      </c>
      <c r="B92" s="81" t="s">
        <v>1203</v>
      </c>
      <c r="C92" s="81" t="s">
        <v>1237</v>
      </c>
      <c r="D92" s="82" t="str">
        <f ca="1">OFFSET(Roster!$A$3,MATCH(表格1[[#This Row],[Location]]&amp;" "&amp;表格1[[#This Row],[Shop]]&amp;"*",Roster!$A$4:$A$72,0),DAY(表格1[[#This Row],[date]]),1,1)</f>
        <v>Wendy Lau</v>
      </c>
      <c r="E92" s="81">
        <f>MONTH(表格1[[#This Row],[date]])</f>
        <v>3</v>
      </c>
      <c r="F92" s="101">
        <v>46095</v>
      </c>
      <c r="G92" s="81" t="str">
        <f>VLOOKUP("*"&amp;表格1[[#This Row],[Input]]&amp;"*",'Ref-List'!$B:$D,2,)</f>
        <v>IC-21TSHK</v>
      </c>
      <c r="H92" s="81" t="str">
        <f>_xlfn.XLOOKUP(表格1[[#This Row],[Model]],表格3[Model-Input-Ref2],表格3[Product Line])</f>
        <v>Induction Cooker</v>
      </c>
      <c r="I92" s="81" t="str">
        <f>_xlfn.XLOOKUP(表格1[[#This Row],[Model]],表格3[Model-Input-Ref2],表格3[大小電])</f>
        <v>細電</v>
      </c>
      <c r="J92" s="81" t="str">
        <f>_xlfn.XLOOKUP(表格1[[#This Row],[Model]],表格3[Model-Input-Ref2],表格3[Code])</f>
        <v>SDA</v>
      </c>
      <c r="K92" s="82" t="s">
        <v>1242</v>
      </c>
      <c r="L92" s="81">
        <v>1</v>
      </c>
      <c r="M92" s="85">
        <v>500</v>
      </c>
      <c r="N92" s="85">
        <f>IFERROR(表格1[[#This Row],[QTY]]*表格1[[#This Row],[Unit Price]],"-")</f>
        <v>500</v>
      </c>
      <c r="O92" s="134">
        <v>6027908</v>
      </c>
      <c r="P92" s="81"/>
      <c r="Q92" s="81"/>
      <c r="R92" s="81" t="str">
        <f>_xlfn.CONCAT(表格1[[#This Row],[Model]]," ",表格1[[#This Row],[inv no]])</f>
        <v>IC-21TSHK 6027908</v>
      </c>
      <c r="S92" s="135">
        <f>_xlfn.XLOOKUP(表格1[[#This Row],[Model]],表格3[Model-Input-Ref2],表格3[SRP PRICE])</f>
        <v>998</v>
      </c>
      <c r="T92" s="43">
        <f>表格1[[#This Row],[Unit Price]]/表格1[[#This Row],[SRP]]</f>
        <v>0.50100200400801598</v>
      </c>
      <c r="U92" s="86" t="str">
        <f>_xlfn.XLOOKUP(表格1[[#This Row],[Model]],表格3[Model-Input-Ref2],表格3[TOSHIBA/HIGHEST])</f>
        <v>web SRP</v>
      </c>
      <c r="V92" s="86">
        <v>110</v>
      </c>
      <c r="W92" s="86" t="str">
        <f>_xlfn.CONCAT(表格1[[#This Row],[欄4]],表格1[[#This Row],[inv no]])</f>
        <v>1106027908</v>
      </c>
    </row>
    <row r="93" spans="1:28" ht="15.6" hidden="1" customHeight="1">
      <c r="A93" s="81">
        <v>91</v>
      </c>
      <c r="B93" s="81" t="s">
        <v>1203</v>
      </c>
      <c r="C93" s="81" t="s">
        <v>1237</v>
      </c>
      <c r="D93" s="82" t="str">
        <f ca="1">OFFSET(Roster!$A$3,MATCH(表格1[[#This Row],[Location]]&amp;" "&amp;表格1[[#This Row],[Shop]]&amp;"*",Roster!$A$4:$A$72,0),DAY(表格1[[#This Row],[date]]),1,1)</f>
        <v>Wendy Lau</v>
      </c>
      <c r="E93" s="81">
        <f>MONTH(表格1[[#This Row],[date]])</f>
        <v>3</v>
      </c>
      <c r="F93" s="101">
        <v>46095</v>
      </c>
      <c r="G93" s="81" t="str">
        <f>VLOOKUP("*"&amp;表格1[[#This Row],[Input]]&amp;"*",'Ref-List'!$B:$D,2,)</f>
        <v>IC-21TSHK</v>
      </c>
      <c r="H93" s="81" t="str">
        <f>_xlfn.XLOOKUP(表格1[[#This Row],[Model]],表格3[Model-Input-Ref2],表格3[Product Line])</f>
        <v>Induction Cooker</v>
      </c>
      <c r="I93" s="81" t="str">
        <f>_xlfn.XLOOKUP(表格1[[#This Row],[Model]],表格3[Model-Input-Ref2],表格3[大小電])</f>
        <v>細電</v>
      </c>
      <c r="J93" s="81" t="str">
        <f>_xlfn.XLOOKUP(表格1[[#This Row],[Model]],表格3[Model-Input-Ref2],表格3[Code])</f>
        <v>SDA</v>
      </c>
      <c r="K93" s="82" t="s">
        <v>1242</v>
      </c>
      <c r="L93" s="81">
        <v>1</v>
      </c>
      <c r="M93" s="85">
        <v>500</v>
      </c>
      <c r="N93" s="85">
        <f>IFERROR(表格1[[#This Row],[QTY]]*表格1[[#This Row],[Unit Price]],"-")</f>
        <v>500</v>
      </c>
      <c r="O93" s="134">
        <v>5858129</v>
      </c>
      <c r="P93" s="137"/>
      <c r="Q93" s="81"/>
      <c r="R93" s="81" t="str">
        <f>_xlfn.CONCAT(表格1[[#This Row],[Model]]," ",表格1[[#This Row],[inv no]])</f>
        <v>IC-21TSHK 5858129</v>
      </c>
      <c r="S93" s="135">
        <f>_xlfn.XLOOKUP(表格1[[#This Row],[Model]],表格3[Model-Input-Ref2],表格3[SRP PRICE])</f>
        <v>998</v>
      </c>
      <c r="T93" s="43">
        <f>表格1[[#This Row],[Unit Price]]/表格1[[#This Row],[SRP]]</f>
        <v>0.50100200400801598</v>
      </c>
      <c r="U93" s="86" t="str">
        <f>_xlfn.XLOOKUP(表格1[[#This Row],[Model]],表格3[Model-Input-Ref2],表格3[TOSHIBA/HIGHEST])</f>
        <v>web SRP</v>
      </c>
      <c r="V93" s="86">
        <v>110</v>
      </c>
      <c r="W93" s="86" t="str">
        <f>_xlfn.CONCAT(表格1[[#This Row],[欄4]],表格1[[#This Row],[inv no]])</f>
        <v>1105858129</v>
      </c>
    </row>
    <row r="94" spans="1:28" ht="15.6" hidden="1" customHeight="1">
      <c r="A94" s="81">
        <v>92</v>
      </c>
      <c r="B94" s="81" t="s">
        <v>1203</v>
      </c>
      <c r="C94" s="81" t="s">
        <v>1237</v>
      </c>
      <c r="D94" s="82" t="str">
        <f ca="1">OFFSET(Roster!$A$3,MATCH(表格1[[#This Row],[Location]]&amp;" "&amp;表格1[[#This Row],[Shop]]&amp;"*",Roster!$A$4:$A$72,0),DAY(表格1[[#This Row],[date]]),1,1)</f>
        <v>Wendy Lau</v>
      </c>
      <c r="E94" s="81">
        <f>MONTH(表格1[[#This Row],[date]])</f>
        <v>3</v>
      </c>
      <c r="F94" s="101">
        <v>46095</v>
      </c>
      <c r="G94" s="81" t="str">
        <f>VLOOKUP("*"&amp;表格1[[#This Row],[Input]]&amp;"*",'Ref-List'!$B:$D,2,)</f>
        <v>RC-15ISTHK(W)</v>
      </c>
      <c r="H94" s="81" t="str">
        <f>_xlfn.XLOOKUP(表格1[[#This Row],[Model]],表格3[Model-Input-Ref2],表格3[Product Line])</f>
        <v>磁應電飯煲(1.5公升)</v>
      </c>
      <c r="I94" s="81" t="str">
        <f>_xlfn.XLOOKUP(表格1[[#This Row],[Model]],表格3[Model-Input-Ref2],表格3[大小電])</f>
        <v>細電</v>
      </c>
      <c r="J94" s="81" t="str">
        <f>_xlfn.XLOOKUP(表格1[[#This Row],[Model]],表格3[Model-Input-Ref2],表格3[Code])</f>
        <v>SDA</v>
      </c>
      <c r="K94" s="82" t="s">
        <v>1204</v>
      </c>
      <c r="L94" s="81">
        <v>1</v>
      </c>
      <c r="M94" s="85">
        <v>500</v>
      </c>
      <c r="N94" s="85">
        <f>IFERROR(表格1[[#This Row],[QTY]]*表格1[[#This Row],[Unit Price]],"-")</f>
        <v>500</v>
      </c>
      <c r="O94" s="134">
        <v>6027290</v>
      </c>
      <c r="P94" s="137"/>
      <c r="Q94" s="81"/>
      <c r="R94" s="81" t="str">
        <f>_xlfn.CONCAT(表格1[[#This Row],[Model]]," ",表格1[[#This Row],[inv no]])</f>
        <v>RC-15ISTHK(W) 6027290</v>
      </c>
      <c r="S94" s="135">
        <f>_xlfn.XLOOKUP(表格1[[#This Row],[Model]],表格3[Model-Input-Ref2],表格3[SRP PRICE])</f>
        <v>1688</v>
      </c>
      <c r="T94" s="43">
        <f>表格1[[#This Row],[Unit Price]]/表格1[[#This Row],[SRP]]</f>
        <v>0.29620853080568721</v>
      </c>
      <c r="U94" s="86" t="str">
        <f>_xlfn.XLOOKUP(表格1[[#This Row],[Model]],表格3[Model-Input-Ref2],表格3[TOSHIBA/HIGHEST])</f>
        <v>Toshiba SRP</v>
      </c>
      <c r="V94" s="86">
        <v>110</v>
      </c>
      <c r="W94" s="86" t="str">
        <f>_xlfn.CONCAT(表格1[[#This Row],[欄4]],表格1[[#This Row],[inv no]])</f>
        <v>1106027290</v>
      </c>
    </row>
    <row r="95" spans="1:28" ht="15.6" hidden="1" customHeight="1">
      <c r="A95" s="81">
        <v>93</v>
      </c>
      <c r="B95" s="81" t="s">
        <v>1203</v>
      </c>
      <c r="C95" s="81" t="s">
        <v>1237</v>
      </c>
      <c r="D95" s="82" t="str">
        <f ca="1">OFFSET(Roster!$A$3,MATCH(表格1[[#This Row],[Location]]&amp;" "&amp;表格1[[#This Row],[Shop]]&amp;"*",Roster!$A$4:$A$72,0),DAY(表格1[[#This Row],[date]]),1,1)</f>
        <v>Wendy Lau</v>
      </c>
      <c r="E95" s="81">
        <f>MONTH(表格1[[#This Row],[date]])</f>
        <v>3</v>
      </c>
      <c r="F95" s="101">
        <v>46095</v>
      </c>
      <c r="G95" s="81" t="str">
        <f>VLOOKUP("*"&amp;表格1[[#This Row],[Input]]&amp;"*",'Ref-List'!$B:$D,2,)</f>
        <v>AW-M901BPH(WW)</v>
      </c>
      <c r="H95" s="81" t="str">
        <f>_xlfn.XLOOKUP(表格1[[#This Row],[Model]],表格3[Model-Input-Ref2],表格3[Product Line])</f>
        <v>全自動洗衣機 (8公斤 結合高低水位)</v>
      </c>
      <c r="I95" s="81" t="str">
        <f>_xlfn.XLOOKUP(表格1[[#This Row],[Model]],表格3[Model-Input-Ref2],表格3[大小電])</f>
        <v>大電</v>
      </c>
      <c r="J95" s="81" t="str">
        <f>_xlfn.XLOOKUP(表格1[[#This Row],[Model]],表格3[Model-Input-Ref2],表格3[Code])</f>
        <v>WM</v>
      </c>
      <c r="K95" s="82" t="s">
        <v>1202</v>
      </c>
      <c r="L95" s="81">
        <v>1</v>
      </c>
      <c r="M95" s="85">
        <v>1500</v>
      </c>
      <c r="N95" s="85">
        <f>IFERROR(表格1[[#This Row],[QTY]]*表格1[[#This Row],[Unit Price]],"-")</f>
        <v>1500</v>
      </c>
      <c r="O95" s="134">
        <v>6194048</v>
      </c>
      <c r="P95" s="137"/>
      <c r="Q95" s="81"/>
      <c r="R95" s="81" t="str">
        <f>_xlfn.CONCAT(表格1[[#This Row],[Model]]," ",表格1[[#This Row],[inv no]])</f>
        <v>AW-M901BPH(WW) 6194048</v>
      </c>
      <c r="S95" s="135">
        <f>_xlfn.XLOOKUP(表格1[[#This Row],[Model]],表格3[Model-Input-Ref2],表格3[SRP PRICE])</f>
        <v>3580</v>
      </c>
      <c r="T95" s="43">
        <f>表格1[[#This Row],[Unit Price]]/表格1[[#This Row],[SRP]]</f>
        <v>0.41899441340782123</v>
      </c>
      <c r="U95" s="86" t="str">
        <f>_xlfn.XLOOKUP(表格1[[#This Row],[Model]],表格3[Model-Input-Ref2],表格3[TOSHIBA/HIGHEST])</f>
        <v>Toshiba SRP</v>
      </c>
      <c r="V95" s="86">
        <v>110</v>
      </c>
      <c r="W95" s="86" t="str">
        <f>_xlfn.CONCAT(表格1[[#This Row],[欄4]],表格1[[#This Row],[inv no]])</f>
        <v>1106194048</v>
      </c>
    </row>
    <row r="96" spans="1:28" ht="15.6" hidden="1" customHeight="1">
      <c r="A96" s="81">
        <v>94</v>
      </c>
      <c r="B96" s="81" t="s">
        <v>1203</v>
      </c>
      <c r="C96" s="81" t="s">
        <v>1237</v>
      </c>
      <c r="D96" s="82" t="str">
        <f ca="1">OFFSET(Roster!$A$3,MATCH(表格1[[#This Row],[Location]]&amp;" "&amp;表格1[[#This Row],[Shop]]&amp;"*",Roster!$A$4:$A$72,0),DAY(表格1[[#This Row],[date]]),1,1)</f>
        <v>Wendy Lau</v>
      </c>
      <c r="E96" s="81">
        <f>MONTH(表格1[[#This Row],[date]])</f>
        <v>3</v>
      </c>
      <c r="F96" s="101">
        <v>46095</v>
      </c>
      <c r="G96" s="81" t="str">
        <f>VLOOKUP("*"&amp;表格1[[#This Row],[Input]]&amp;"*",'Ref-List'!$B:$D,2,)</f>
        <v>RC-15ISTHK(W)</v>
      </c>
      <c r="H96" s="81" t="str">
        <f>_xlfn.XLOOKUP(表格1[[#This Row],[Model]],表格3[Model-Input-Ref2],表格3[Product Line])</f>
        <v>磁應電飯煲(1.5公升)</v>
      </c>
      <c r="I96" s="81" t="str">
        <f>_xlfn.XLOOKUP(表格1[[#This Row],[Model]],表格3[Model-Input-Ref2],表格3[大小電])</f>
        <v>細電</v>
      </c>
      <c r="J96" s="81" t="str">
        <f>_xlfn.XLOOKUP(表格1[[#This Row],[Model]],表格3[Model-Input-Ref2],表格3[Code])</f>
        <v>SDA</v>
      </c>
      <c r="K96" s="82" t="s">
        <v>1204</v>
      </c>
      <c r="L96" s="81">
        <v>1</v>
      </c>
      <c r="M96" s="85">
        <v>500</v>
      </c>
      <c r="N96" s="85">
        <f>IFERROR(表格1[[#This Row],[QTY]]*表格1[[#This Row],[Unit Price]],"-")</f>
        <v>500</v>
      </c>
      <c r="O96" s="134">
        <v>6027903</v>
      </c>
      <c r="P96" s="81"/>
      <c r="Q96" s="81"/>
      <c r="R96" s="81" t="str">
        <f>_xlfn.CONCAT(表格1[[#This Row],[Model]]," ",表格1[[#This Row],[inv no]])</f>
        <v>RC-15ISTHK(W) 6027903</v>
      </c>
      <c r="S96" s="135">
        <f>_xlfn.XLOOKUP(表格1[[#This Row],[Model]],表格3[Model-Input-Ref2],表格3[SRP PRICE])</f>
        <v>1688</v>
      </c>
      <c r="T96" s="43">
        <f>表格1[[#This Row],[Unit Price]]/表格1[[#This Row],[SRP]]</f>
        <v>0.29620853080568721</v>
      </c>
      <c r="U96" s="86" t="str">
        <f>_xlfn.XLOOKUP(表格1[[#This Row],[Model]],表格3[Model-Input-Ref2],表格3[TOSHIBA/HIGHEST])</f>
        <v>Toshiba SRP</v>
      </c>
      <c r="V96" s="86">
        <v>110</v>
      </c>
      <c r="W96" s="86" t="str">
        <f>_xlfn.CONCAT(表格1[[#This Row],[欄4]],表格1[[#This Row],[inv no]])</f>
        <v>1106027903</v>
      </c>
    </row>
    <row r="97" spans="1:23" ht="15.6" hidden="1" customHeight="1">
      <c r="A97" s="81">
        <v>95</v>
      </c>
      <c r="B97" s="81" t="s">
        <v>1203</v>
      </c>
      <c r="C97" s="81" t="s">
        <v>1237</v>
      </c>
      <c r="D97" s="82" t="str">
        <f ca="1">OFFSET(Roster!$A$3,MATCH(表格1[[#This Row],[Location]]&amp;" "&amp;表格1[[#This Row],[Shop]]&amp;"*",Roster!$A$4:$A$72,0),DAY(表格1[[#This Row],[date]]),1,1)</f>
        <v>Wendy Lau</v>
      </c>
      <c r="E97" s="81">
        <f>MONTH(表格1[[#This Row],[date]])</f>
        <v>3</v>
      </c>
      <c r="F97" s="101">
        <v>46095</v>
      </c>
      <c r="G97" s="81" t="str">
        <f>VLOOKUP("*"&amp;表格1[[#This Row],[Input]]&amp;"*",'Ref-List'!$B:$D,2,)</f>
        <v>RC-15ISTHK(W)</v>
      </c>
      <c r="H97" s="81" t="str">
        <f>_xlfn.XLOOKUP(表格1[[#This Row],[Model]],表格3[Model-Input-Ref2],表格3[Product Line])</f>
        <v>磁應電飯煲(1.5公升)</v>
      </c>
      <c r="I97" s="81" t="str">
        <f>_xlfn.XLOOKUP(表格1[[#This Row],[Model]],表格3[Model-Input-Ref2],表格3[大小電])</f>
        <v>細電</v>
      </c>
      <c r="J97" s="81" t="str">
        <f>_xlfn.XLOOKUP(表格1[[#This Row],[Model]],表格3[Model-Input-Ref2],表格3[Code])</f>
        <v>SDA</v>
      </c>
      <c r="K97" s="82" t="s">
        <v>1204</v>
      </c>
      <c r="L97" s="81">
        <v>1</v>
      </c>
      <c r="M97" s="85">
        <v>500</v>
      </c>
      <c r="N97" s="85">
        <f>IFERROR(表格1[[#This Row],[QTY]]*表格1[[#This Row],[Unit Price]],"-")</f>
        <v>500</v>
      </c>
      <c r="O97" s="134">
        <v>6027917</v>
      </c>
      <c r="P97" s="137"/>
      <c r="Q97" s="81"/>
      <c r="R97" s="81" t="str">
        <f>_xlfn.CONCAT(表格1[[#This Row],[Model]]," ",表格1[[#This Row],[inv no]])</f>
        <v>RC-15ISTHK(W) 6027917</v>
      </c>
      <c r="S97" s="135">
        <f>_xlfn.XLOOKUP(表格1[[#This Row],[Model]],表格3[Model-Input-Ref2],表格3[SRP PRICE])</f>
        <v>1688</v>
      </c>
      <c r="T97" s="43">
        <f>表格1[[#This Row],[Unit Price]]/表格1[[#This Row],[SRP]]</f>
        <v>0.29620853080568721</v>
      </c>
      <c r="U97" s="86" t="str">
        <f>_xlfn.XLOOKUP(表格1[[#This Row],[Model]],表格3[Model-Input-Ref2],表格3[TOSHIBA/HIGHEST])</f>
        <v>Toshiba SRP</v>
      </c>
      <c r="V97" s="86">
        <v>110</v>
      </c>
      <c r="W97" s="86" t="str">
        <f>_xlfn.CONCAT(表格1[[#This Row],[欄4]],表格1[[#This Row],[inv no]])</f>
        <v>1106027917</v>
      </c>
    </row>
    <row r="98" spans="1:23" ht="15.6" hidden="1" customHeight="1">
      <c r="A98" s="81">
        <v>96</v>
      </c>
      <c r="B98" s="81" t="s">
        <v>1203</v>
      </c>
      <c r="C98" s="81" t="s">
        <v>1237</v>
      </c>
      <c r="D98" s="82" t="str">
        <f ca="1">OFFSET(Roster!$A$3,MATCH(表格1[[#This Row],[Location]]&amp;" "&amp;表格1[[#This Row],[Shop]]&amp;"*",Roster!$A$4:$A$72,0),DAY(表格1[[#This Row],[date]]),1,1)</f>
        <v>Wendy Lau</v>
      </c>
      <c r="E98" s="81">
        <f>MONTH(表格1[[#This Row],[date]])</f>
        <v>3</v>
      </c>
      <c r="F98" s="101">
        <v>46095</v>
      </c>
      <c r="G98" s="81" t="str">
        <f>VLOOKUP("*"&amp;表格1[[#This Row],[Input]]&amp;"*",'Ref-List'!$B:$D,2,)</f>
        <v>RC-15ISTHK(W)</v>
      </c>
      <c r="H98" s="81" t="str">
        <f>_xlfn.XLOOKUP(表格1[[#This Row],[Model]],表格3[Model-Input-Ref2],表格3[Product Line])</f>
        <v>磁應電飯煲(1.5公升)</v>
      </c>
      <c r="I98" s="81" t="str">
        <f>_xlfn.XLOOKUP(表格1[[#This Row],[Model]],表格3[Model-Input-Ref2],表格3[大小電])</f>
        <v>細電</v>
      </c>
      <c r="J98" s="81" t="str">
        <f>_xlfn.XLOOKUP(表格1[[#This Row],[Model]],表格3[Model-Input-Ref2],表格3[Code])</f>
        <v>SDA</v>
      </c>
      <c r="K98" s="82" t="s">
        <v>1204</v>
      </c>
      <c r="L98" s="81">
        <v>1</v>
      </c>
      <c r="M98" s="85">
        <v>500</v>
      </c>
      <c r="N98" s="85">
        <f>IFERROR(表格1[[#This Row],[QTY]]*表格1[[#This Row],[Unit Price]],"-")</f>
        <v>500</v>
      </c>
      <c r="O98" s="134">
        <v>6027908</v>
      </c>
      <c r="P98" s="137" t="s">
        <v>1245</v>
      </c>
      <c r="Q98" s="81"/>
      <c r="R98" s="81" t="str">
        <f>_xlfn.CONCAT(表格1[[#This Row],[Model]]," ",表格1[[#This Row],[inv no]])</f>
        <v>RC-15ISTHK(W) 6027908</v>
      </c>
      <c r="S98" s="135">
        <f>_xlfn.XLOOKUP(表格1[[#This Row],[Model]],表格3[Model-Input-Ref2],表格3[SRP PRICE])</f>
        <v>1688</v>
      </c>
      <c r="T98" s="43">
        <f>表格1[[#This Row],[Unit Price]]/表格1[[#This Row],[SRP]]</f>
        <v>0.29620853080568721</v>
      </c>
      <c r="U98" s="86" t="str">
        <f>_xlfn.XLOOKUP(表格1[[#This Row],[Model]],表格3[Model-Input-Ref2],表格3[TOSHIBA/HIGHEST])</f>
        <v>Toshiba SRP</v>
      </c>
      <c r="V98" s="86">
        <v>110</v>
      </c>
      <c r="W98" s="86" t="str">
        <f>_xlfn.CONCAT(表格1[[#This Row],[欄4]],表格1[[#This Row],[inv no]])</f>
        <v>1106027908</v>
      </c>
    </row>
    <row r="99" spans="1:23" ht="15.6" hidden="1" customHeight="1">
      <c r="A99" s="81">
        <v>97</v>
      </c>
      <c r="B99" s="81" t="s">
        <v>1203</v>
      </c>
      <c r="C99" s="81" t="s">
        <v>1237</v>
      </c>
      <c r="D99" s="82" t="str">
        <f ca="1">OFFSET(Roster!$A$3,MATCH(表格1[[#This Row],[Location]]&amp;" "&amp;表格1[[#This Row],[Shop]]&amp;"*",Roster!$A$4:$A$72,0),DAY(表格1[[#This Row],[date]]),1,1)</f>
        <v>Wendy Lau</v>
      </c>
      <c r="E99" s="81">
        <f>MONTH(表格1[[#This Row],[date]])</f>
        <v>3</v>
      </c>
      <c r="F99" s="101">
        <v>46095</v>
      </c>
      <c r="G99" s="81" t="str">
        <f>VLOOKUP("*"&amp;表格1[[#This Row],[Input]]&amp;"*",'Ref-List'!$B:$D,2,)</f>
        <v>AW-M901BPH(WW)</v>
      </c>
      <c r="H99" s="81" t="str">
        <f>_xlfn.XLOOKUP(表格1[[#This Row],[Model]],表格3[Model-Input-Ref2],表格3[Product Line])</f>
        <v>全自動洗衣機 (8公斤 結合高低水位)</v>
      </c>
      <c r="I99" s="81" t="str">
        <f>_xlfn.XLOOKUP(表格1[[#This Row],[Model]],表格3[Model-Input-Ref2],表格3[大小電])</f>
        <v>大電</v>
      </c>
      <c r="J99" s="81" t="str">
        <f>_xlfn.XLOOKUP(表格1[[#This Row],[Model]],表格3[Model-Input-Ref2],表格3[Code])</f>
        <v>WM</v>
      </c>
      <c r="K99" s="82" t="s">
        <v>1202</v>
      </c>
      <c r="L99" s="81">
        <v>1</v>
      </c>
      <c r="M99" s="85">
        <v>1500</v>
      </c>
      <c r="N99" s="85">
        <f>IFERROR(表格1[[#This Row],[QTY]]*表格1[[#This Row],[Unit Price]],"-")</f>
        <v>1500</v>
      </c>
      <c r="O99" s="134">
        <v>6027412</v>
      </c>
      <c r="P99" s="137"/>
      <c r="Q99" s="81"/>
      <c r="R99" s="81" t="str">
        <f>_xlfn.CONCAT(表格1[[#This Row],[Model]]," ",表格1[[#This Row],[inv no]])</f>
        <v>AW-M901BPH(WW) 6027412</v>
      </c>
      <c r="S99" s="135">
        <f>_xlfn.XLOOKUP(表格1[[#This Row],[Model]],表格3[Model-Input-Ref2],表格3[SRP PRICE])</f>
        <v>3580</v>
      </c>
      <c r="T99" s="43">
        <f>表格1[[#This Row],[Unit Price]]/表格1[[#This Row],[SRP]]</f>
        <v>0.41899441340782123</v>
      </c>
      <c r="U99" s="86" t="str">
        <f>_xlfn.XLOOKUP(表格1[[#This Row],[Model]],表格3[Model-Input-Ref2],表格3[TOSHIBA/HIGHEST])</f>
        <v>Toshiba SRP</v>
      </c>
      <c r="V99" s="86">
        <v>110</v>
      </c>
      <c r="W99" s="86" t="str">
        <f>_xlfn.CONCAT(表格1[[#This Row],[欄4]],表格1[[#This Row],[inv no]])</f>
        <v>1106027412</v>
      </c>
    </row>
    <row r="100" spans="1:23" ht="16.5" hidden="1" customHeight="1">
      <c r="A100" s="81">
        <v>98</v>
      </c>
      <c r="B100" s="81" t="s">
        <v>1203</v>
      </c>
      <c r="C100" s="81" t="s">
        <v>1237</v>
      </c>
      <c r="D100" s="82" t="str">
        <f ca="1">OFFSET(Roster!$A$3,MATCH(表格1[[#This Row],[Location]]&amp;" "&amp;表格1[[#This Row],[Shop]]&amp;"*",Roster!$A$4:$A$72,0),DAY(表格1[[#This Row],[date]]),1,1)</f>
        <v>Wendy Lau</v>
      </c>
      <c r="E100" s="81">
        <f>MONTH(表格1[[#This Row],[date]])</f>
        <v>3</v>
      </c>
      <c r="F100" s="101">
        <v>46095</v>
      </c>
      <c r="G100" s="81" t="str">
        <f>VLOOKUP("*"&amp;表格1[[#This Row],[Input]]&amp;"*",'Ref-List'!$B:$D,2,)</f>
        <v>AW-M901BPH(WW)</v>
      </c>
      <c r="H100" s="81" t="str">
        <f>_xlfn.XLOOKUP(表格1[[#This Row],[Model]],表格3[Model-Input-Ref2],表格3[Product Line])</f>
        <v>全自動洗衣機 (8公斤 結合高低水位)</v>
      </c>
      <c r="I100" s="81" t="str">
        <f>_xlfn.XLOOKUP(表格1[[#This Row],[Model]],表格3[Model-Input-Ref2],表格3[大小電])</f>
        <v>大電</v>
      </c>
      <c r="J100" s="81" t="str">
        <f>_xlfn.XLOOKUP(表格1[[#This Row],[Model]],表格3[Model-Input-Ref2],表格3[Code])</f>
        <v>WM</v>
      </c>
      <c r="K100" s="82" t="s">
        <v>1202</v>
      </c>
      <c r="L100" s="81">
        <v>1</v>
      </c>
      <c r="M100" s="85">
        <v>1500</v>
      </c>
      <c r="N100" s="85">
        <f>IFERROR(表格1[[#This Row],[QTY]]*表格1[[#This Row],[Unit Price]],"-")</f>
        <v>1500</v>
      </c>
      <c r="O100" s="134">
        <v>6027928</v>
      </c>
      <c r="P100" s="81"/>
      <c r="Q100" s="81"/>
      <c r="R100" s="81" t="str">
        <f>_xlfn.CONCAT(表格1[[#This Row],[Model]]," ",表格1[[#This Row],[inv no]])</f>
        <v>AW-M901BPH(WW) 6027928</v>
      </c>
      <c r="S100" s="135">
        <f>_xlfn.XLOOKUP(表格1[[#This Row],[Model]],表格3[Model-Input-Ref2],表格3[SRP PRICE])</f>
        <v>3580</v>
      </c>
      <c r="T100" s="43">
        <f>表格1[[#This Row],[Unit Price]]/表格1[[#This Row],[SRP]]</f>
        <v>0.41899441340782123</v>
      </c>
      <c r="U100" s="86" t="str">
        <f>_xlfn.XLOOKUP(表格1[[#This Row],[Model]],表格3[Model-Input-Ref2],表格3[TOSHIBA/HIGHEST])</f>
        <v>Toshiba SRP</v>
      </c>
      <c r="V100" s="86">
        <v>110</v>
      </c>
      <c r="W100" s="86" t="str">
        <f>_xlfn.CONCAT(表格1[[#This Row],[欄4]],表格1[[#This Row],[inv no]])</f>
        <v>1106027928</v>
      </c>
    </row>
    <row r="101" spans="1:23" ht="15.6" hidden="1" customHeight="1">
      <c r="A101" s="81">
        <v>99</v>
      </c>
      <c r="B101" s="81" t="s">
        <v>1203</v>
      </c>
      <c r="C101" s="81" t="s">
        <v>1237</v>
      </c>
      <c r="D101" s="82" t="str">
        <f ca="1">OFFSET(Roster!$A$3,MATCH(表格1[[#This Row],[Location]]&amp;" "&amp;表格1[[#This Row],[Shop]]&amp;"*",Roster!$A$4:$A$72,0),DAY(表格1[[#This Row],[date]]),1,1)</f>
        <v>Wendy Lau</v>
      </c>
      <c r="E101" s="81">
        <f>MONTH(表格1[[#This Row],[date]])</f>
        <v>3</v>
      </c>
      <c r="F101" s="101">
        <v>46095</v>
      </c>
      <c r="G101" s="81" t="str">
        <f>VLOOKUP("*"&amp;表格1[[#This Row],[Input]]&amp;"*",'Ref-List'!$B:$D,2,)</f>
        <v>ER-TD5000HK(XK)</v>
      </c>
      <c r="H101" s="81" t="str">
        <f>_xlfn.XLOOKUP(表格1[[#This Row],[Model]],表格3[Model-Input-Ref2],表格3[Product Line])</f>
        <v>座檯式純蒸氣烤焗水波爐30L</v>
      </c>
      <c r="I101" s="81" t="str">
        <f>_xlfn.XLOOKUP(表格1[[#This Row],[Model]],表格3[Model-Input-Ref2],表格3[大小電])</f>
        <v>細電</v>
      </c>
      <c r="J101" s="81" t="str">
        <f>_xlfn.XLOOKUP(表格1[[#This Row],[Model]],表格3[Model-Input-Ref2],表格3[Code])</f>
        <v>SDA</v>
      </c>
      <c r="K101" s="82" t="s">
        <v>1205</v>
      </c>
      <c r="L101" s="81">
        <v>1</v>
      </c>
      <c r="M101" s="85">
        <v>3588</v>
      </c>
      <c r="N101" s="85">
        <f>IFERROR(表格1[[#This Row],[QTY]]*表格1[[#This Row],[Unit Price]],"-")</f>
        <v>3588</v>
      </c>
      <c r="O101" s="134">
        <v>6027921</v>
      </c>
      <c r="P101" s="137"/>
      <c r="Q101" s="81"/>
      <c r="R101" s="81" t="str">
        <f>_xlfn.CONCAT(表格1[[#This Row],[Model]]," ",表格1[[#This Row],[inv no]])</f>
        <v>ER-TD5000HK(XK) 6027921</v>
      </c>
      <c r="S101" s="135">
        <f>_xlfn.XLOOKUP(表格1[[#This Row],[Model]],表格3[Model-Input-Ref2],表格3[SRP PRICE])</f>
        <v>7998</v>
      </c>
      <c r="T101" s="43">
        <f>表格1[[#This Row],[Unit Price]]/表格1[[#This Row],[SRP]]</f>
        <v>0.44861215303825958</v>
      </c>
      <c r="U101" s="86" t="str">
        <f>_xlfn.XLOOKUP(表格1[[#This Row],[Model]],表格3[Model-Input-Ref2],表格3[TOSHIBA/HIGHEST])</f>
        <v>Toshiba SRP</v>
      </c>
      <c r="V101" s="86">
        <v>110</v>
      </c>
      <c r="W101" s="86" t="str">
        <f>_xlfn.CONCAT(表格1[[#This Row],[欄4]],表格1[[#This Row],[inv no]])</f>
        <v>1106027921</v>
      </c>
    </row>
    <row r="102" spans="1:23" ht="15.6" hidden="1" customHeight="1">
      <c r="A102" s="81">
        <v>100</v>
      </c>
      <c r="B102" s="81" t="s">
        <v>1203</v>
      </c>
      <c r="C102" s="81" t="s">
        <v>1237</v>
      </c>
      <c r="D102" s="82" t="str">
        <f ca="1">OFFSET(Roster!$A$3,MATCH(表格1[[#This Row],[Location]]&amp;" "&amp;表格1[[#This Row],[Shop]]&amp;"*",Roster!$A$4:$A$72,0),DAY(表格1[[#This Row],[date]]),1,1)</f>
        <v>Wendy Lau</v>
      </c>
      <c r="E102" s="81">
        <f>MONTH(表格1[[#This Row],[date]])</f>
        <v>3</v>
      </c>
      <c r="F102" s="101">
        <v>46095</v>
      </c>
      <c r="G102" s="81" t="str">
        <f>VLOOKUP("*"&amp;表格1[[#This Row],[Input]]&amp;"*",'Ref-List'!$B:$D,2,)</f>
        <v>TWP-TSR76THK(W)</v>
      </c>
      <c r="H102" s="81" t="str">
        <f>_xlfn.XLOOKUP(表格1[[#This Row],[Model]],表格3[Model-Input-Ref2],表格3[Product Line])</f>
        <v>RO座檯式飲水機</v>
      </c>
      <c r="I102" s="81" t="str">
        <f>_xlfn.XLOOKUP(表格1[[#This Row],[Model]],表格3[Model-Input-Ref2],表格3[大小電])</f>
        <v>細電</v>
      </c>
      <c r="J102" s="81" t="str">
        <f>_xlfn.XLOOKUP(表格1[[#This Row],[Model]],表格3[Model-Input-Ref2],表格3[Code])</f>
        <v>KWH</v>
      </c>
      <c r="K102" s="82" t="s">
        <v>1197</v>
      </c>
      <c r="L102" s="81">
        <v>1</v>
      </c>
      <c r="M102" s="85">
        <v>1500</v>
      </c>
      <c r="N102" s="85">
        <f>IFERROR(表格1[[#This Row],[QTY]]*表格1[[#This Row],[Unit Price]],"-")</f>
        <v>1500</v>
      </c>
      <c r="O102" s="134">
        <v>6027918</v>
      </c>
      <c r="P102" s="81"/>
      <c r="Q102" s="81"/>
      <c r="R102" s="81" t="str">
        <f>_xlfn.CONCAT(表格1[[#This Row],[Model]]," ",表格1[[#This Row],[inv no]])</f>
        <v>TWP-TSR76THK(W) 6027918</v>
      </c>
      <c r="S102" s="135">
        <f>_xlfn.XLOOKUP(表格1[[#This Row],[Model]],表格3[Model-Input-Ref2],表格3[SRP PRICE])</f>
        <v>2680</v>
      </c>
      <c r="T102" s="43">
        <f>表格1[[#This Row],[Unit Price]]/表格1[[#This Row],[SRP]]</f>
        <v>0.55970149253731338</v>
      </c>
      <c r="U102" s="86" t="str">
        <f>_xlfn.XLOOKUP(表格1[[#This Row],[Model]],表格3[Model-Input-Ref2],表格3[TOSHIBA/HIGHEST])</f>
        <v>Toshiba SRP</v>
      </c>
      <c r="V102" s="86">
        <v>110</v>
      </c>
      <c r="W102" s="86" t="str">
        <f>_xlfn.CONCAT(表格1[[#This Row],[欄4]],表格1[[#This Row],[inv no]])</f>
        <v>1106027918</v>
      </c>
    </row>
    <row r="103" spans="1:23" ht="15.6" hidden="1" customHeight="1">
      <c r="A103" s="81">
        <v>101</v>
      </c>
      <c r="B103" s="81" t="s">
        <v>1203</v>
      </c>
      <c r="C103" s="81" t="s">
        <v>1237</v>
      </c>
      <c r="D103" s="82" t="str">
        <f ca="1">OFFSET(Roster!$A$3,MATCH(表格1[[#This Row],[Location]]&amp;" "&amp;表格1[[#This Row],[Shop]]&amp;"*",Roster!$A$4:$A$72,0),DAY(表格1[[#This Row],[date]]),1,1)</f>
        <v>Wendy Lau</v>
      </c>
      <c r="E103" s="81">
        <f>MONTH(表格1[[#This Row],[date]])</f>
        <v>3</v>
      </c>
      <c r="F103" s="101">
        <v>46095</v>
      </c>
      <c r="G103" s="81" t="str">
        <f>VLOOKUP("*"&amp;表格1[[#This Row],[Input]]&amp;"*",'Ref-List'!$B:$D,2,)</f>
        <v>MW2-MM24PC(BK)</v>
      </c>
      <c r="H103" s="81" t="str">
        <f>_xlfn.XLOOKUP(表格1[[#This Row],[Model]],表格3[Model-Input-Ref2],表格3[Product Line])</f>
        <v>旋鈕式微波爐24L</v>
      </c>
      <c r="I103" s="81" t="str">
        <f>_xlfn.XLOOKUP(表格1[[#This Row],[Model]],表格3[Model-Input-Ref2],表格3[大小電])</f>
        <v>細電</v>
      </c>
      <c r="J103" s="81" t="str">
        <f>_xlfn.XLOOKUP(表格1[[#This Row],[Model]],表格3[Model-Input-Ref2],表格3[Code])</f>
        <v>SDA</v>
      </c>
      <c r="K103" s="82" t="s">
        <v>1196</v>
      </c>
      <c r="L103" s="81">
        <v>1</v>
      </c>
      <c r="M103" s="85">
        <v>500</v>
      </c>
      <c r="N103" s="85">
        <f>IFERROR(表格1[[#This Row],[QTY]]*表格1[[#This Row],[Unit Price]],"-")</f>
        <v>500</v>
      </c>
      <c r="O103" s="134">
        <v>6027906</v>
      </c>
      <c r="P103" s="137"/>
      <c r="Q103" s="81"/>
      <c r="R103" s="81" t="str">
        <f>_xlfn.CONCAT(表格1[[#This Row],[Model]]," ",表格1[[#This Row],[inv no]])</f>
        <v>MW2-MM24PC(BK) 6027906</v>
      </c>
      <c r="S103" s="135">
        <f>_xlfn.XLOOKUP(表格1[[#This Row],[Model]],表格3[Model-Input-Ref2],表格3[SRP PRICE])</f>
        <v>848</v>
      </c>
      <c r="T103" s="43">
        <f>表格1[[#This Row],[Unit Price]]/表格1[[#This Row],[SRP]]</f>
        <v>0.589622641509434</v>
      </c>
      <c r="U103" s="86" t="str">
        <f>_xlfn.XLOOKUP(表格1[[#This Row],[Model]],表格3[Model-Input-Ref2],表格3[TOSHIBA/HIGHEST])</f>
        <v>Toshiba SRP</v>
      </c>
      <c r="V103" s="86">
        <v>110</v>
      </c>
      <c r="W103" s="86" t="str">
        <f>_xlfn.CONCAT(表格1[[#This Row],[欄4]],表格1[[#This Row],[inv no]])</f>
        <v>1106027906</v>
      </c>
    </row>
    <row r="104" spans="1:23" ht="15.6" hidden="1" customHeight="1">
      <c r="A104" s="81">
        <v>102</v>
      </c>
      <c r="B104" s="81" t="s">
        <v>1203</v>
      </c>
      <c r="C104" s="81" t="s">
        <v>1237</v>
      </c>
      <c r="D104" s="82" t="str">
        <f ca="1">OFFSET(Roster!$A$3,MATCH(表格1[[#This Row],[Location]]&amp;" "&amp;表格1[[#This Row],[Shop]]&amp;"*",Roster!$A$4:$A$72,0),DAY(表格1[[#This Row],[date]]),1,1)</f>
        <v>Wendy Lau</v>
      </c>
      <c r="E104" s="81">
        <f>MONTH(表格1[[#This Row],[date]])</f>
        <v>3</v>
      </c>
      <c r="F104" s="101">
        <v>46095</v>
      </c>
      <c r="G104" s="81" t="str">
        <f>VLOOKUP("*"&amp;表格1[[#This Row],[Input]]&amp;"*",'Ref-List'!$B:$D,2,)</f>
        <v>MW2-MM24PC(BK)</v>
      </c>
      <c r="H104" s="81" t="str">
        <f>_xlfn.XLOOKUP(表格1[[#This Row],[Model]],表格3[Model-Input-Ref2],表格3[Product Line])</f>
        <v>旋鈕式微波爐24L</v>
      </c>
      <c r="I104" s="81" t="str">
        <f>_xlfn.XLOOKUP(表格1[[#This Row],[Model]],表格3[Model-Input-Ref2],表格3[大小電])</f>
        <v>細電</v>
      </c>
      <c r="J104" s="81" t="str">
        <f>_xlfn.XLOOKUP(表格1[[#This Row],[Model]],表格3[Model-Input-Ref2],表格3[Code])</f>
        <v>SDA</v>
      </c>
      <c r="K104" s="82" t="s">
        <v>1196</v>
      </c>
      <c r="L104" s="81">
        <v>1</v>
      </c>
      <c r="M104" s="85">
        <v>500</v>
      </c>
      <c r="N104" s="85">
        <f>IFERROR(表格1[[#This Row],[QTY]]*表格1[[#This Row],[Unit Price]],"-")</f>
        <v>500</v>
      </c>
      <c r="O104" s="134">
        <v>6027930</v>
      </c>
      <c r="P104" s="137"/>
      <c r="Q104" s="81"/>
      <c r="R104" s="81" t="str">
        <f>_xlfn.CONCAT(表格1[[#This Row],[Model]]," ",表格1[[#This Row],[inv no]])</f>
        <v>MW2-MM24PC(BK) 6027930</v>
      </c>
      <c r="S104" s="135">
        <f>_xlfn.XLOOKUP(表格1[[#This Row],[Model]],表格3[Model-Input-Ref2],表格3[SRP PRICE])</f>
        <v>848</v>
      </c>
      <c r="T104" s="43">
        <f>表格1[[#This Row],[Unit Price]]/表格1[[#This Row],[SRP]]</f>
        <v>0.589622641509434</v>
      </c>
      <c r="U104" s="86" t="str">
        <f>_xlfn.XLOOKUP(表格1[[#This Row],[Model]],表格3[Model-Input-Ref2],表格3[TOSHIBA/HIGHEST])</f>
        <v>Toshiba SRP</v>
      </c>
      <c r="V104" s="86">
        <v>110</v>
      </c>
      <c r="W104" s="86" t="str">
        <f>_xlfn.CONCAT(表格1[[#This Row],[欄4]],表格1[[#This Row],[inv no]])</f>
        <v>1106027930</v>
      </c>
    </row>
    <row r="105" spans="1:23" ht="15.6" hidden="1" customHeight="1">
      <c r="A105" s="81">
        <v>103</v>
      </c>
      <c r="B105" s="81" t="s">
        <v>1203</v>
      </c>
      <c r="C105" s="81" t="s">
        <v>1237</v>
      </c>
      <c r="D105" s="82" t="str">
        <f ca="1">OFFSET(Roster!$A$3,MATCH(表格1[[#This Row],[Location]]&amp;" "&amp;表格1[[#This Row],[Shop]]&amp;"*",Roster!$A$4:$A$72,0),DAY(表格1[[#This Row],[date]]),1,1)</f>
        <v>Wendy Lau</v>
      </c>
      <c r="E105" s="81">
        <f>MONTH(表格1[[#This Row],[date]])</f>
        <v>3</v>
      </c>
      <c r="F105" s="101">
        <v>46095</v>
      </c>
      <c r="G105" s="81" t="str">
        <f>VLOOKUP("*"&amp;表格1[[#This Row],[Input]]&amp;"*",'Ref-List'!$B:$D,2,)</f>
        <v>IC-20R1THK</v>
      </c>
      <c r="H105" s="81" t="str">
        <f>_xlfn.XLOOKUP(表格1[[#This Row],[Model]],表格3[Model-Input-Ref2],表格3[Product Line])</f>
        <v>輕便式電磁爐</v>
      </c>
      <c r="I105" s="81" t="str">
        <f>_xlfn.XLOOKUP(表格1[[#This Row],[Model]],表格3[Model-Input-Ref2],表格3[大小電])</f>
        <v>細電</v>
      </c>
      <c r="J105" s="81" t="str">
        <f>_xlfn.XLOOKUP(表格1[[#This Row],[Model]],表格3[Model-Input-Ref2],表格3[Code])</f>
        <v>SDA</v>
      </c>
      <c r="K105" s="82" t="s">
        <v>1243</v>
      </c>
      <c r="L105" s="81">
        <v>1</v>
      </c>
      <c r="M105" s="85">
        <v>290</v>
      </c>
      <c r="N105" s="85">
        <f>IFERROR(表格1[[#This Row],[QTY]]*表格1[[#This Row],[Unit Price]],"-")</f>
        <v>290</v>
      </c>
      <c r="O105" s="134">
        <v>3118098</v>
      </c>
      <c r="P105" s="137"/>
      <c r="Q105" s="81"/>
      <c r="R105" s="81" t="str">
        <f>_xlfn.CONCAT(表格1[[#This Row],[Model]]," ",表格1[[#This Row],[inv no]])</f>
        <v>IC-20R1THK 3118098</v>
      </c>
      <c r="S105" s="135">
        <f>_xlfn.XLOOKUP(表格1[[#This Row],[Model]],表格3[Model-Input-Ref2],表格3[SRP PRICE])</f>
        <v>438</v>
      </c>
      <c r="T105" s="43">
        <f>表格1[[#This Row],[Unit Price]]/表格1[[#This Row],[SRP]]</f>
        <v>0.66210045662100458</v>
      </c>
      <c r="U105" s="86" t="str">
        <f>_xlfn.XLOOKUP(表格1[[#This Row],[Model]],表格3[Model-Input-Ref2],表格3[TOSHIBA/HIGHEST])</f>
        <v>Shops Highest Price</v>
      </c>
      <c r="V105" s="86">
        <v>110</v>
      </c>
      <c r="W105" s="86" t="str">
        <f>_xlfn.CONCAT(表格1[[#This Row],[欄4]],表格1[[#This Row],[inv no]])</f>
        <v>1103118098</v>
      </c>
    </row>
    <row r="106" spans="1:23" ht="15.6" hidden="1" customHeight="1">
      <c r="A106" s="81">
        <v>104</v>
      </c>
      <c r="B106" s="81" t="s">
        <v>1203</v>
      </c>
      <c r="C106" s="81" t="s">
        <v>1237</v>
      </c>
      <c r="D106" s="82" t="str">
        <f ca="1">OFFSET(Roster!$A$3,MATCH(表格1[[#This Row],[Location]]&amp;" "&amp;表格1[[#This Row],[Shop]]&amp;"*",Roster!$A$4:$A$72,0),DAY(表格1[[#This Row],[date]]),1,1)</f>
        <v>Wendy Lau</v>
      </c>
      <c r="E106" s="81">
        <f>MONTH(表格1[[#This Row],[date]])</f>
        <v>3</v>
      </c>
      <c r="F106" s="101">
        <v>46096</v>
      </c>
      <c r="G106" s="81" t="str">
        <f>VLOOKUP("*"&amp;表格1[[#This Row],[Input]]&amp;"*",'Ref-List'!$B:$D,2,)</f>
        <v>AW-M901BPH(WW)</v>
      </c>
      <c r="H106" s="81" t="str">
        <f>_xlfn.XLOOKUP(表格1[[#This Row],[Model]],表格3[Model-Input-Ref2],表格3[Product Line])</f>
        <v>全自動洗衣機 (8公斤 結合高低水位)</v>
      </c>
      <c r="I106" s="81" t="str">
        <f>_xlfn.XLOOKUP(表格1[[#This Row],[Model]],表格3[Model-Input-Ref2],表格3[大小電])</f>
        <v>大電</v>
      </c>
      <c r="J106" s="81" t="str">
        <f>_xlfn.XLOOKUP(表格1[[#This Row],[Model]],表格3[Model-Input-Ref2],表格3[Code])</f>
        <v>WM</v>
      </c>
      <c r="K106" s="82" t="s">
        <v>1202</v>
      </c>
      <c r="L106" s="81">
        <v>1</v>
      </c>
      <c r="M106" s="85">
        <v>1500</v>
      </c>
      <c r="N106" s="85">
        <f>IFERROR(表格1[[#This Row],[QTY]]*表格1[[#This Row],[Unit Price]],"-")</f>
        <v>1500</v>
      </c>
      <c r="O106" s="134">
        <v>6027444</v>
      </c>
      <c r="P106" s="81"/>
      <c r="Q106" s="81"/>
      <c r="R106" s="81" t="str">
        <f>_xlfn.CONCAT(表格1[[#This Row],[Model]]," ",表格1[[#This Row],[inv no]])</f>
        <v>AW-M901BPH(WW) 6027444</v>
      </c>
      <c r="S106" s="135">
        <f>_xlfn.XLOOKUP(表格1[[#This Row],[Model]],表格3[Model-Input-Ref2],表格3[SRP PRICE])</f>
        <v>3580</v>
      </c>
      <c r="T106" s="43">
        <f>表格1[[#This Row],[Unit Price]]/表格1[[#This Row],[SRP]]</f>
        <v>0.41899441340782123</v>
      </c>
      <c r="U106" s="86" t="str">
        <f>_xlfn.XLOOKUP(表格1[[#This Row],[Model]],表格3[Model-Input-Ref2],表格3[TOSHIBA/HIGHEST])</f>
        <v>Toshiba SRP</v>
      </c>
      <c r="V106" s="86">
        <v>110</v>
      </c>
      <c r="W106" s="86" t="str">
        <f>_xlfn.CONCAT(表格1[[#This Row],[欄4]],表格1[[#This Row],[inv no]])</f>
        <v>1106027444</v>
      </c>
    </row>
    <row r="107" spans="1:23" ht="15.6" hidden="1" customHeight="1">
      <c r="A107" s="81">
        <v>105</v>
      </c>
      <c r="B107" s="81" t="s">
        <v>1203</v>
      </c>
      <c r="C107" s="81" t="s">
        <v>1237</v>
      </c>
      <c r="D107" s="82" t="str">
        <f ca="1">OFFSET(Roster!$A$3,MATCH(表格1[[#This Row],[Location]]&amp;" "&amp;表格1[[#This Row],[Shop]]&amp;"*",Roster!$A$4:$A$72,0),DAY(表格1[[#This Row],[date]]),1,1)</f>
        <v>Wendy Lau</v>
      </c>
      <c r="E107" s="81">
        <f>MONTH(表格1[[#This Row],[date]])</f>
        <v>3</v>
      </c>
      <c r="F107" s="101">
        <v>46096</v>
      </c>
      <c r="G107" s="81" t="str">
        <f>VLOOKUP("*"&amp;表格1[[#This Row],[Input]]&amp;"*",'Ref-List'!$B:$D,2,)</f>
        <v>AW-M901BPH(WW)</v>
      </c>
      <c r="H107" s="81" t="str">
        <f>_xlfn.XLOOKUP(表格1[[#This Row],[Model]],表格3[Model-Input-Ref2],表格3[Product Line])</f>
        <v>全自動洗衣機 (8公斤 結合高低水位)</v>
      </c>
      <c r="I107" s="81" t="str">
        <f>_xlfn.XLOOKUP(表格1[[#This Row],[Model]],表格3[Model-Input-Ref2],表格3[大小電])</f>
        <v>大電</v>
      </c>
      <c r="J107" s="81" t="str">
        <f>_xlfn.XLOOKUP(表格1[[#This Row],[Model]],表格3[Model-Input-Ref2],表格3[Code])</f>
        <v>WM</v>
      </c>
      <c r="K107" s="82" t="s">
        <v>1202</v>
      </c>
      <c r="L107" s="81">
        <v>1</v>
      </c>
      <c r="M107" s="85">
        <v>1500</v>
      </c>
      <c r="N107" s="85">
        <f>IFERROR(表格1[[#This Row],[QTY]]*表格1[[#This Row],[Unit Price]],"-")</f>
        <v>1500</v>
      </c>
      <c r="O107" s="134">
        <v>6027981</v>
      </c>
      <c r="P107" s="137"/>
      <c r="Q107" s="81"/>
      <c r="R107" s="81" t="str">
        <f>_xlfn.CONCAT(表格1[[#This Row],[Model]]," ",表格1[[#This Row],[inv no]])</f>
        <v>AW-M901BPH(WW) 6027981</v>
      </c>
      <c r="S107" s="135">
        <f>_xlfn.XLOOKUP(表格1[[#This Row],[Model]],表格3[Model-Input-Ref2],表格3[SRP PRICE])</f>
        <v>3580</v>
      </c>
      <c r="T107" s="43">
        <f>表格1[[#This Row],[Unit Price]]/表格1[[#This Row],[SRP]]</f>
        <v>0.41899441340782123</v>
      </c>
      <c r="U107" s="86" t="str">
        <f>_xlfn.XLOOKUP(表格1[[#This Row],[Model]],表格3[Model-Input-Ref2],表格3[TOSHIBA/HIGHEST])</f>
        <v>Toshiba SRP</v>
      </c>
      <c r="V107" s="86">
        <v>110</v>
      </c>
      <c r="W107" s="86" t="str">
        <f>_xlfn.CONCAT(表格1[[#This Row],[欄4]],表格1[[#This Row],[inv no]])</f>
        <v>1106027981</v>
      </c>
    </row>
    <row r="108" spans="1:23" ht="15.6" hidden="1" customHeight="1">
      <c r="A108" s="81">
        <v>106</v>
      </c>
      <c r="B108" s="81" t="s">
        <v>1203</v>
      </c>
      <c r="C108" s="81" t="s">
        <v>1237</v>
      </c>
      <c r="D108" s="82" t="str">
        <f ca="1">OFFSET(Roster!$A$3,MATCH(表格1[[#This Row],[Location]]&amp;" "&amp;表格1[[#This Row],[Shop]]&amp;"*",Roster!$A$4:$A$72,0),DAY(表格1[[#This Row],[date]]),1,1)</f>
        <v>Wendy Lau</v>
      </c>
      <c r="E108" s="81">
        <f>MONTH(表格1[[#This Row],[date]])</f>
        <v>3</v>
      </c>
      <c r="F108" s="101">
        <v>46096</v>
      </c>
      <c r="G108" s="81" t="str">
        <f>VLOOKUP("*"&amp;表格1[[#This Row],[Input]]&amp;"*",'Ref-List'!$B:$D,2,)</f>
        <v>AW-M901BPH(WW)</v>
      </c>
      <c r="H108" s="81" t="str">
        <f>_xlfn.XLOOKUP(表格1[[#This Row],[Model]],表格3[Model-Input-Ref2],表格3[Product Line])</f>
        <v>全自動洗衣機 (8公斤 結合高低水位)</v>
      </c>
      <c r="I108" s="81" t="str">
        <f>_xlfn.XLOOKUP(表格1[[#This Row],[Model]],表格3[Model-Input-Ref2],表格3[大小電])</f>
        <v>大電</v>
      </c>
      <c r="J108" s="81" t="str">
        <f>_xlfn.XLOOKUP(表格1[[#This Row],[Model]],表格3[Model-Input-Ref2],表格3[Code])</f>
        <v>WM</v>
      </c>
      <c r="K108" s="82" t="s">
        <v>1202</v>
      </c>
      <c r="L108" s="81">
        <v>1</v>
      </c>
      <c r="M108" s="85">
        <v>1500</v>
      </c>
      <c r="N108" s="85">
        <f>IFERROR(表格1[[#This Row],[QTY]]*表格1[[#This Row],[Unit Price]],"-")</f>
        <v>1500</v>
      </c>
      <c r="O108" s="134">
        <v>6027101</v>
      </c>
      <c r="P108" s="137"/>
      <c r="Q108" s="81"/>
      <c r="R108" s="81" t="str">
        <f>_xlfn.CONCAT(表格1[[#This Row],[Model]]," ",表格1[[#This Row],[inv no]])</f>
        <v>AW-M901BPH(WW) 6027101</v>
      </c>
      <c r="S108" s="135">
        <f>_xlfn.XLOOKUP(表格1[[#This Row],[Model]],表格3[Model-Input-Ref2],表格3[SRP PRICE])</f>
        <v>3580</v>
      </c>
      <c r="T108" s="43">
        <f>表格1[[#This Row],[Unit Price]]/表格1[[#This Row],[SRP]]</f>
        <v>0.41899441340782123</v>
      </c>
      <c r="U108" s="86" t="str">
        <f>_xlfn.XLOOKUP(表格1[[#This Row],[Model]],表格3[Model-Input-Ref2],表格3[TOSHIBA/HIGHEST])</f>
        <v>Toshiba SRP</v>
      </c>
      <c r="V108" s="86">
        <v>110</v>
      </c>
      <c r="W108" s="86" t="str">
        <f>_xlfn.CONCAT(表格1[[#This Row],[欄4]],表格1[[#This Row],[inv no]])</f>
        <v>1106027101</v>
      </c>
    </row>
    <row r="109" spans="1:23" ht="15.6" hidden="1" customHeight="1">
      <c r="A109" s="81">
        <v>107</v>
      </c>
      <c r="B109" s="81" t="s">
        <v>1203</v>
      </c>
      <c r="C109" s="81" t="s">
        <v>1237</v>
      </c>
      <c r="D109" s="82" t="str">
        <f ca="1">OFFSET(Roster!$A$3,MATCH(表格1[[#This Row],[Location]]&amp;" "&amp;表格1[[#This Row],[Shop]]&amp;"*",Roster!$A$4:$A$72,0),DAY(表格1[[#This Row],[date]]),1,1)</f>
        <v>Wendy Lau</v>
      </c>
      <c r="E109" s="81">
        <f>MONTH(表格1[[#This Row],[date]])</f>
        <v>3</v>
      </c>
      <c r="F109" s="101">
        <v>46096</v>
      </c>
      <c r="G109" s="81" t="str">
        <f>VLOOKUP("*"&amp;表格1[[#This Row],[Input]]&amp;"*",'Ref-List'!$B:$D,2,)</f>
        <v>TWD-BN90GF4H(WK)</v>
      </c>
      <c r="H109" s="81" t="str">
        <f>_xlfn.XLOOKUP(表格1[[#This Row],[Model]],表格3[Model-Input-Ref2],表格3[Product Line])</f>
        <v>超薄身前置式洗衣乾衣機 (洗8公斤 乾5公斤)</v>
      </c>
      <c r="I109" s="81" t="str">
        <f>_xlfn.XLOOKUP(表格1[[#This Row],[Model]],表格3[Model-Input-Ref2],表格3[大小電])</f>
        <v>大電</v>
      </c>
      <c r="J109" s="81" t="str">
        <f>_xlfn.XLOOKUP(表格1[[#This Row],[Model]],表格3[Model-Input-Ref2],表格3[Code])</f>
        <v>WM</v>
      </c>
      <c r="K109" s="82" t="s">
        <v>1199</v>
      </c>
      <c r="L109" s="81">
        <v>1</v>
      </c>
      <c r="M109" s="85">
        <v>3588</v>
      </c>
      <c r="N109" s="85">
        <f>IFERROR(表格1[[#This Row],[QTY]]*表格1[[#This Row],[Unit Price]],"-")</f>
        <v>3588</v>
      </c>
      <c r="O109" s="134">
        <v>6027990</v>
      </c>
      <c r="P109" s="81"/>
      <c r="Q109" s="81"/>
      <c r="R109" s="81" t="str">
        <f>_xlfn.CONCAT(表格1[[#This Row],[Model]]," ",表格1[[#This Row],[inv no]])</f>
        <v>TWD-BN90GF4H(WK) 6027990</v>
      </c>
      <c r="S109" s="135">
        <f>_xlfn.XLOOKUP(表格1[[#This Row],[Model]],表格3[Model-Input-Ref2],表格3[SRP PRICE])</f>
        <v>5980</v>
      </c>
      <c r="T109" s="43">
        <f>表格1[[#This Row],[Unit Price]]/表格1[[#This Row],[SRP]]</f>
        <v>0.6</v>
      </c>
      <c r="U109" s="86" t="str">
        <f>_xlfn.XLOOKUP(表格1[[#This Row],[Model]],表格3[Model-Input-Ref2],表格3[TOSHIBA/HIGHEST])</f>
        <v>Toshiba SRP</v>
      </c>
      <c r="V109" s="86">
        <v>110</v>
      </c>
      <c r="W109" s="86" t="str">
        <f>_xlfn.CONCAT(表格1[[#This Row],[欄4]],表格1[[#This Row],[inv no]])</f>
        <v>1106027990</v>
      </c>
    </row>
    <row r="110" spans="1:23" ht="15.6" hidden="1" customHeight="1">
      <c r="A110" s="81">
        <v>108</v>
      </c>
      <c r="B110" s="81" t="s">
        <v>1203</v>
      </c>
      <c r="C110" s="81" t="s">
        <v>1237</v>
      </c>
      <c r="D110" s="82" t="str">
        <f ca="1">OFFSET(Roster!$A$3,MATCH(表格1[[#This Row],[Location]]&amp;" "&amp;表格1[[#This Row],[Shop]]&amp;"*",Roster!$A$4:$A$72,0),DAY(表格1[[#This Row],[date]]),1,1)</f>
        <v>Wendy Lau</v>
      </c>
      <c r="E110" s="81">
        <f>MONTH(表格1[[#This Row],[date]])</f>
        <v>3</v>
      </c>
      <c r="F110" s="101">
        <v>46096</v>
      </c>
      <c r="G110" s="81" t="str">
        <f>VLOOKUP("*"&amp;表格1[[#This Row],[Input]]&amp;"*",'Ref-List'!$B:$D,2,)</f>
        <v>TWD-BN90GF4H(WK)</v>
      </c>
      <c r="H110" s="81" t="str">
        <f>_xlfn.XLOOKUP(表格1[[#This Row],[Model]],表格3[Model-Input-Ref2],表格3[Product Line])</f>
        <v>超薄身前置式洗衣乾衣機 (洗8公斤 乾5公斤)</v>
      </c>
      <c r="I110" s="81" t="str">
        <f>_xlfn.XLOOKUP(表格1[[#This Row],[Model]],表格3[Model-Input-Ref2],表格3[大小電])</f>
        <v>大電</v>
      </c>
      <c r="J110" s="81" t="str">
        <f>_xlfn.XLOOKUP(表格1[[#This Row],[Model]],表格3[Model-Input-Ref2],表格3[Code])</f>
        <v>WM</v>
      </c>
      <c r="K110" s="82" t="s">
        <v>1199</v>
      </c>
      <c r="L110" s="81">
        <v>1</v>
      </c>
      <c r="M110" s="85">
        <v>3588</v>
      </c>
      <c r="N110" s="85">
        <f>IFERROR(表格1[[#This Row],[QTY]]*表格1[[#This Row],[Unit Price]],"-")</f>
        <v>3588</v>
      </c>
      <c r="O110" s="134">
        <v>6027960</v>
      </c>
      <c r="P110" s="137"/>
      <c r="Q110" s="81"/>
      <c r="R110" s="81" t="str">
        <f>_xlfn.CONCAT(表格1[[#This Row],[Model]]," ",表格1[[#This Row],[inv no]])</f>
        <v>TWD-BN90GF4H(WK) 6027960</v>
      </c>
      <c r="S110" s="135">
        <f>_xlfn.XLOOKUP(表格1[[#This Row],[Model]],表格3[Model-Input-Ref2],表格3[SRP PRICE])</f>
        <v>5980</v>
      </c>
      <c r="T110" s="43">
        <f>表格1[[#This Row],[Unit Price]]/表格1[[#This Row],[SRP]]</f>
        <v>0.6</v>
      </c>
      <c r="U110" s="86" t="str">
        <f>_xlfn.XLOOKUP(表格1[[#This Row],[Model]],表格3[Model-Input-Ref2],表格3[TOSHIBA/HIGHEST])</f>
        <v>Toshiba SRP</v>
      </c>
      <c r="V110" s="86">
        <v>110</v>
      </c>
      <c r="W110" s="86" t="str">
        <f>_xlfn.CONCAT(表格1[[#This Row],[欄4]],表格1[[#This Row],[inv no]])</f>
        <v>1106027960</v>
      </c>
    </row>
    <row r="111" spans="1:23" ht="15.6" hidden="1" customHeight="1">
      <c r="A111" s="81">
        <v>109</v>
      </c>
      <c r="B111" s="81" t="s">
        <v>1203</v>
      </c>
      <c r="C111" s="81" t="s">
        <v>1237</v>
      </c>
      <c r="D111" s="82" t="str">
        <f ca="1">OFFSET(Roster!$A$3,MATCH(表格1[[#This Row],[Location]]&amp;" "&amp;表格1[[#This Row],[Shop]]&amp;"*",Roster!$A$4:$A$72,0),DAY(表格1[[#This Row],[date]]),1,1)</f>
        <v>Wendy Lau</v>
      </c>
      <c r="E111" s="81">
        <f>MONTH(表格1[[#This Row],[date]])</f>
        <v>3</v>
      </c>
      <c r="F111" s="101">
        <v>46096</v>
      </c>
      <c r="G111" s="81" t="str">
        <f>VLOOKUP("*"&amp;表格1[[#This Row],[Input]]&amp;"*",'Ref-List'!$B:$D,2,)</f>
        <v>ER-TD5000HK(XK)</v>
      </c>
      <c r="H111" s="81" t="str">
        <f>_xlfn.XLOOKUP(表格1[[#This Row],[Model]],表格3[Model-Input-Ref2],表格3[Product Line])</f>
        <v>座檯式純蒸氣烤焗水波爐30L</v>
      </c>
      <c r="I111" s="81" t="str">
        <f>_xlfn.XLOOKUP(表格1[[#This Row],[Model]],表格3[Model-Input-Ref2],表格3[大小電])</f>
        <v>細電</v>
      </c>
      <c r="J111" s="81" t="str">
        <f>_xlfn.XLOOKUP(表格1[[#This Row],[Model]],表格3[Model-Input-Ref2],表格3[Code])</f>
        <v>SDA</v>
      </c>
      <c r="K111" s="82" t="s">
        <v>1205</v>
      </c>
      <c r="L111" s="81">
        <v>1</v>
      </c>
      <c r="M111" s="85">
        <v>3588</v>
      </c>
      <c r="N111" s="85">
        <f>IFERROR(表格1[[#This Row],[QTY]]*表格1[[#This Row],[Unit Price]],"-")</f>
        <v>3588</v>
      </c>
      <c r="O111" s="134">
        <v>6027988</v>
      </c>
      <c r="P111" s="137"/>
      <c r="Q111" s="81"/>
      <c r="R111" s="81" t="str">
        <f>_xlfn.CONCAT(表格1[[#This Row],[Model]]," ",表格1[[#This Row],[inv no]])</f>
        <v>ER-TD5000HK(XK) 6027988</v>
      </c>
      <c r="S111" s="135">
        <f>_xlfn.XLOOKUP(表格1[[#This Row],[Model]],表格3[Model-Input-Ref2],表格3[SRP PRICE])</f>
        <v>7998</v>
      </c>
      <c r="T111" s="43">
        <f>表格1[[#This Row],[Unit Price]]/表格1[[#This Row],[SRP]]</f>
        <v>0.44861215303825958</v>
      </c>
      <c r="U111" s="86" t="str">
        <f>_xlfn.XLOOKUP(表格1[[#This Row],[Model]],表格3[Model-Input-Ref2],表格3[TOSHIBA/HIGHEST])</f>
        <v>Toshiba SRP</v>
      </c>
      <c r="V111" s="86">
        <v>110</v>
      </c>
      <c r="W111" s="86" t="str">
        <f>_xlfn.CONCAT(表格1[[#This Row],[欄4]],表格1[[#This Row],[inv no]])</f>
        <v>1106027988</v>
      </c>
    </row>
    <row r="112" spans="1:23" ht="15.6" hidden="1" customHeight="1">
      <c r="A112" s="81">
        <v>110</v>
      </c>
      <c r="B112" s="81" t="s">
        <v>1203</v>
      </c>
      <c r="C112" s="81" t="s">
        <v>1237</v>
      </c>
      <c r="D112" s="82" t="str">
        <f ca="1">OFFSET(Roster!$A$3,MATCH(表格1[[#This Row],[Location]]&amp;" "&amp;表格1[[#This Row],[Shop]]&amp;"*",Roster!$A$4:$A$72,0),DAY(表格1[[#This Row],[date]]),1,1)</f>
        <v>Wendy Lau</v>
      </c>
      <c r="E112" s="81">
        <f>MONTH(表格1[[#This Row],[date]])</f>
        <v>3</v>
      </c>
      <c r="F112" s="101">
        <v>46096</v>
      </c>
      <c r="G112" s="81" t="str">
        <f>VLOOKUP("*"&amp;表格1[[#This Row],[Input]]&amp;"*",'Ref-List'!$B:$D,2,)</f>
        <v>RC-15ISTHK(W)</v>
      </c>
      <c r="H112" s="81" t="str">
        <f>_xlfn.XLOOKUP(表格1[[#This Row],[Model]],表格3[Model-Input-Ref2],表格3[Product Line])</f>
        <v>磁應電飯煲(1.5公升)</v>
      </c>
      <c r="I112" s="81" t="str">
        <f>_xlfn.XLOOKUP(表格1[[#This Row],[Model]],表格3[Model-Input-Ref2],表格3[大小電])</f>
        <v>細電</v>
      </c>
      <c r="J112" s="81" t="str">
        <f>_xlfn.XLOOKUP(表格1[[#This Row],[Model]],表格3[Model-Input-Ref2],表格3[Code])</f>
        <v>SDA</v>
      </c>
      <c r="K112" s="82" t="s">
        <v>1204</v>
      </c>
      <c r="L112" s="81">
        <v>1</v>
      </c>
      <c r="M112" s="85">
        <v>500</v>
      </c>
      <c r="N112" s="85">
        <f>IFERROR(表格1[[#This Row],[QTY]]*表格1[[#This Row],[Unit Price]],"-")</f>
        <v>500</v>
      </c>
      <c r="O112" s="134">
        <v>6027964</v>
      </c>
      <c r="P112" s="137"/>
      <c r="Q112" s="81"/>
      <c r="R112" s="81" t="str">
        <f>_xlfn.CONCAT(表格1[[#This Row],[Model]]," ",表格1[[#This Row],[inv no]])</f>
        <v>RC-15ISTHK(W) 6027964</v>
      </c>
      <c r="S112" s="135">
        <f>_xlfn.XLOOKUP(表格1[[#This Row],[Model]],表格3[Model-Input-Ref2],表格3[SRP PRICE])</f>
        <v>1688</v>
      </c>
      <c r="T112" s="43">
        <f>表格1[[#This Row],[Unit Price]]/表格1[[#This Row],[SRP]]</f>
        <v>0.29620853080568721</v>
      </c>
      <c r="U112" s="86" t="str">
        <f>_xlfn.XLOOKUP(表格1[[#This Row],[Model]],表格3[Model-Input-Ref2],表格3[TOSHIBA/HIGHEST])</f>
        <v>Toshiba SRP</v>
      </c>
      <c r="V112" s="86">
        <v>110</v>
      </c>
      <c r="W112" s="86" t="str">
        <f>_xlfn.CONCAT(表格1[[#This Row],[欄4]],表格1[[#This Row],[inv no]])</f>
        <v>1106027964</v>
      </c>
    </row>
    <row r="113" spans="1:23" ht="15.6" hidden="1" customHeight="1">
      <c r="A113" s="81">
        <v>111</v>
      </c>
      <c r="B113" s="81" t="s">
        <v>1203</v>
      </c>
      <c r="C113" s="81" t="s">
        <v>1237</v>
      </c>
      <c r="D113" s="82" t="str">
        <f ca="1">OFFSET(Roster!$A$3,MATCH(表格1[[#This Row],[Location]]&amp;" "&amp;表格1[[#This Row],[Shop]]&amp;"*",Roster!$A$4:$A$72,0),DAY(表格1[[#This Row],[date]]),1,1)</f>
        <v>Wendy Lau</v>
      </c>
      <c r="E113" s="81">
        <f>MONTH(表格1[[#This Row],[date]])</f>
        <v>3</v>
      </c>
      <c r="F113" s="101">
        <v>46096</v>
      </c>
      <c r="G113" s="81" t="str">
        <f>VLOOKUP("*"&amp;表格1[[#This Row],[Input]]&amp;"*",'Ref-List'!$B:$D,2,)</f>
        <v>RC-15ISTHK(W)</v>
      </c>
      <c r="H113" s="81" t="str">
        <f>_xlfn.XLOOKUP(表格1[[#This Row],[Model]],表格3[Model-Input-Ref2],表格3[Product Line])</f>
        <v>磁應電飯煲(1.5公升)</v>
      </c>
      <c r="I113" s="81" t="str">
        <f>_xlfn.XLOOKUP(表格1[[#This Row],[Model]],表格3[Model-Input-Ref2],表格3[大小電])</f>
        <v>細電</v>
      </c>
      <c r="J113" s="81" t="str">
        <f>_xlfn.XLOOKUP(表格1[[#This Row],[Model]],表格3[Model-Input-Ref2],表格3[Code])</f>
        <v>SDA</v>
      </c>
      <c r="K113" s="82" t="s">
        <v>1204</v>
      </c>
      <c r="L113" s="81">
        <v>1</v>
      </c>
      <c r="M113" s="85">
        <v>500</v>
      </c>
      <c r="N113" s="85">
        <f>IFERROR(表格1[[#This Row],[QTY]]*表格1[[#This Row],[Unit Price]],"-")</f>
        <v>500</v>
      </c>
      <c r="O113" s="134">
        <v>6027967</v>
      </c>
      <c r="P113" s="137"/>
      <c r="Q113" s="81"/>
      <c r="R113" s="81" t="str">
        <f>_xlfn.CONCAT(表格1[[#This Row],[Model]]," ",表格1[[#This Row],[inv no]])</f>
        <v>RC-15ISTHK(W) 6027967</v>
      </c>
      <c r="S113" s="135">
        <f>_xlfn.XLOOKUP(表格1[[#This Row],[Model]],表格3[Model-Input-Ref2],表格3[SRP PRICE])</f>
        <v>1688</v>
      </c>
      <c r="T113" s="43">
        <f>表格1[[#This Row],[Unit Price]]/表格1[[#This Row],[SRP]]</f>
        <v>0.29620853080568721</v>
      </c>
      <c r="U113" s="86" t="str">
        <f>_xlfn.XLOOKUP(表格1[[#This Row],[Model]],表格3[Model-Input-Ref2],表格3[TOSHIBA/HIGHEST])</f>
        <v>Toshiba SRP</v>
      </c>
      <c r="V113" s="86">
        <v>110</v>
      </c>
      <c r="W113" s="86" t="str">
        <f>_xlfn.CONCAT(表格1[[#This Row],[欄4]],表格1[[#This Row],[inv no]])</f>
        <v>1106027967</v>
      </c>
    </row>
    <row r="114" spans="1:23" ht="15.6" hidden="1" customHeight="1">
      <c r="A114" s="81">
        <v>112</v>
      </c>
      <c r="B114" s="81" t="s">
        <v>1203</v>
      </c>
      <c r="C114" s="81" t="s">
        <v>1237</v>
      </c>
      <c r="D114" s="82" t="str">
        <f ca="1">OFFSET(Roster!$A$3,MATCH(表格1[[#This Row],[Location]]&amp;" "&amp;表格1[[#This Row],[Shop]]&amp;"*",Roster!$A$4:$A$72,0),DAY(表格1[[#This Row],[date]]),1,1)</f>
        <v>Wendy Lau</v>
      </c>
      <c r="E114" s="81">
        <f>MONTH(表格1[[#This Row],[date]])</f>
        <v>3</v>
      </c>
      <c r="F114" s="101">
        <v>46096</v>
      </c>
      <c r="G114" s="81" t="str">
        <f>VLOOKUP("*"&amp;表格1[[#This Row],[Input]]&amp;"*",'Ref-List'!$B:$D,2,)</f>
        <v>RC-15ISTHK(W)</v>
      </c>
      <c r="H114" s="81" t="str">
        <f>_xlfn.XLOOKUP(表格1[[#This Row],[Model]],表格3[Model-Input-Ref2],表格3[Product Line])</f>
        <v>磁應電飯煲(1.5公升)</v>
      </c>
      <c r="I114" s="81" t="str">
        <f>_xlfn.XLOOKUP(表格1[[#This Row],[Model]],表格3[Model-Input-Ref2],表格3[大小電])</f>
        <v>細電</v>
      </c>
      <c r="J114" s="81" t="str">
        <f>_xlfn.XLOOKUP(表格1[[#This Row],[Model]],表格3[Model-Input-Ref2],表格3[Code])</f>
        <v>SDA</v>
      </c>
      <c r="K114" s="82" t="s">
        <v>1204</v>
      </c>
      <c r="L114" s="81">
        <v>2</v>
      </c>
      <c r="M114" s="85">
        <v>500</v>
      </c>
      <c r="N114" s="85">
        <f>IFERROR(表格1[[#This Row],[QTY]]*表格1[[#This Row],[Unit Price]],"-")</f>
        <v>1000</v>
      </c>
      <c r="O114" s="134">
        <v>6027429</v>
      </c>
      <c r="P114" s="81"/>
      <c r="Q114" s="81"/>
      <c r="R114" s="81" t="str">
        <f>_xlfn.CONCAT(表格1[[#This Row],[Model]]," ",表格1[[#This Row],[inv no]])</f>
        <v>RC-15ISTHK(W) 6027429</v>
      </c>
      <c r="S114" s="135">
        <f>_xlfn.XLOOKUP(表格1[[#This Row],[Model]],表格3[Model-Input-Ref2],表格3[SRP PRICE])</f>
        <v>1688</v>
      </c>
      <c r="T114" s="43">
        <f>表格1[[#This Row],[Unit Price]]/表格1[[#This Row],[SRP]]</f>
        <v>0.29620853080568721</v>
      </c>
      <c r="U114" s="86" t="str">
        <f>_xlfn.XLOOKUP(表格1[[#This Row],[Model]],表格3[Model-Input-Ref2],表格3[TOSHIBA/HIGHEST])</f>
        <v>Toshiba SRP</v>
      </c>
      <c r="V114" s="86">
        <v>110</v>
      </c>
      <c r="W114" s="86" t="str">
        <f>_xlfn.CONCAT(表格1[[#This Row],[欄4]],表格1[[#This Row],[inv no]])</f>
        <v>1106027429</v>
      </c>
    </row>
    <row r="115" spans="1:23" ht="15.6" hidden="1" customHeight="1">
      <c r="A115" s="81">
        <v>113</v>
      </c>
      <c r="B115" s="81" t="s">
        <v>1203</v>
      </c>
      <c r="C115" s="81" t="s">
        <v>1237</v>
      </c>
      <c r="D115" s="82" t="str">
        <f ca="1">OFFSET(Roster!$A$3,MATCH(表格1[[#This Row],[Location]]&amp;" "&amp;表格1[[#This Row],[Shop]]&amp;"*",Roster!$A$4:$A$72,0),DAY(表格1[[#This Row],[date]]),1,1)</f>
        <v>Wendy Lau</v>
      </c>
      <c r="E115" s="81">
        <f>MONTH(表格1[[#This Row],[date]])</f>
        <v>3</v>
      </c>
      <c r="F115" s="101">
        <v>46096</v>
      </c>
      <c r="G115" s="81" t="str">
        <f>VLOOKUP("*"&amp;表格1[[#This Row],[Input]]&amp;"*",'Ref-List'!$B:$D,2,)</f>
        <v>RC-10NMFIH(WT)</v>
      </c>
      <c r="H115" s="81" t="str">
        <f>_xlfn.XLOOKUP(表格1[[#This Row],[Model]],表格3[Model-Input-Ref2],表格3[Product Line])</f>
        <v>4毫米厚釜電飯煲1L</v>
      </c>
      <c r="I115" s="81" t="str">
        <f>_xlfn.XLOOKUP(表格1[[#This Row],[Model]],表格3[Model-Input-Ref2],表格3[大小電])</f>
        <v>細電</v>
      </c>
      <c r="J115" s="81" t="str">
        <f>_xlfn.XLOOKUP(表格1[[#This Row],[Model]],表格3[Model-Input-Ref2],表格3[Code])</f>
        <v>SDA</v>
      </c>
      <c r="K115" s="82" t="s">
        <v>1244</v>
      </c>
      <c r="L115" s="81">
        <v>1</v>
      </c>
      <c r="M115" s="85">
        <v>720</v>
      </c>
      <c r="N115" s="85">
        <f>IFERROR(表格1[[#This Row],[QTY]]*表格1[[#This Row],[Unit Price]],"-")</f>
        <v>720</v>
      </c>
      <c r="O115" s="134">
        <v>6027918</v>
      </c>
      <c r="P115" s="81"/>
      <c r="Q115" s="81"/>
      <c r="R115" s="81" t="str">
        <f>_xlfn.CONCAT(表格1[[#This Row],[Model]]," ",表格1[[#This Row],[inv no]])</f>
        <v>RC-10NMFIH(WT) 6027918</v>
      </c>
      <c r="S115" s="135">
        <f>_xlfn.XLOOKUP(表格1[[#This Row],[Model]],表格3[Model-Input-Ref2],表格3[SRP PRICE])</f>
        <v>898</v>
      </c>
      <c r="T115" s="43">
        <f>表格1[[#This Row],[Unit Price]]/表格1[[#This Row],[SRP]]</f>
        <v>0.80178173719376389</v>
      </c>
      <c r="U115" s="86" t="str">
        <f>_xlfn.XLOOKUP(表格1[[#This Row],[Model]],表格3[Model-Input-Ref2],表格3[TOSHIBA/HIGHEST])</f>
        <v>Toshiba SRP</v>
      </c>
      <c r="V115" s="86">
        <v>110</v>
      </c>
      <c r="W115" s="86" t="str">
        <f>_xlfn.CONCAT(表格1[[#This Row],[欄4]],表格1[[#This Row],[inv no]])</f>
        <v>1106027918</v>
      </c>
    </row>
    <row r="116" spans="1:23" ht="15.6" hidden="1" customHeight="1">
      <c r="A116" s="81">
        <v>114</v>
      </c>
      <c r="B116" s="81" t="s">
        <v>1203</v>
      </c>
      <c r="C116" s="81" t="s">
        <v>1237</v>
      </c>
      <c r="D116" s="82" t="str">
        <f ca="1">OFFSET(Roster!$A$3,MATCH(表格1[[#This Row],[Location]]&amp;" "&amp;表格1[[#This Row],[Shop]]&amp;"*",Roster!$A$4:$A$72,0),DAY(表格1[[#This Row],[date]]),1,1)</f>
        <v>Wendy Lau</v>
      </c>
      <c r="E116" s="81">
        <f>MONTH(表格1[[#This Row],[date]])</f>
        <v>3</v>
      </c>
      <c r="F116" s="101">
        <v>46096</v>
      </c>
      <c r="G116" s="81" t="str">
        <f>VLOOKUP("*"&amp;表格1[[#This Row],[Input]]&amp;"*",'Ref-List'!$B:$D,2,)</f>
        <v>IC-20R1THK</v>
      </c>
      <c r="H116" s="81" t="str">
        <f>_xlfn.XLOOKUP(表格1[[#This Row],[Model]],表格3[Model-Input-Ref2],表格3[Product Line])</f>
        <v>輕便式電磁爐</v>
      </c>
      <c r="I116" s="81" t="str">
        <f>_xlfn.XLOOKUP(表格1[[#This Row],[Model]],表格3[Model-Input-Ref2],表格3[大小電])</f>
        <v>細電</v>
      </c>
      <c r="J116" s="81" t="str">
        <f>_xlfn.XLOOKUP(表格1[[#This Row],[Model]],表格3[Model-Input-Ref2],表格3[Code])</f>
        <v>SDA</v>
      </c>
      <c r="K116" s="82" t="s">
        <v>1243</v>
      </c>
      <c r="L116" s="81">
        <v>1</v>
      </c>
      <c r="M116" s="85">
        <v>290</v>
      </c>
      <c r="N116" s="85">
        <f>IFERROR(表格1[[#This Row],[QTY]]*表格1[[#This Row],[Unit Price]],"-")</f>
        <v>290</v>
      </c>
      <c r="O116" s="134">
        <v>7039626</v>
      </c>
      <c r="P116" s="81"/>
      <c r="Q116" s="81"/>
      <c r="R116" s="81" t="str">
        <f>_xlfn.CONCAT(表格1[[#This Row],[Model]]," ",表格1[[#This Row],[inv no]])</f>
        <v>IC-20R1THK 7039626</v>
      </c>
      <c r="S116" s="135">
        <f>_xlfn.XLOOKUP(表格1[[#This Row],[Model]],表格3[Model-Input-Ref2],表格3[SRP PRICE])</f>
        <v>438</v>
      </c>
      <c r="T116" s="43">
        <f>表格1[[#This Row],[Unit Price]]/表格1[[#This Row],[SRP]]</f>
        <v>0.66210045662100458</v>
      </c>
      <c r="U116" s="86" t="str">
        <f>_xlfn.XLOOKUP(表格1[[#This Row],[Model]],表格3[Model-Input-Ref2],表格3[TOSHIBA/HIGHEST])</f>
        <v>Shops Highest Price</v>
      </c>
      <c r="V116" s="86">
        <v>110</v>
      </c>
      <c r="W116" s="86" t="str">
        <f>_xlfn.CONCAT(表格1[[#This Row],[欄4]],表格1[[#This Row],[inv no]])</f>
        <v>1107039626</v>
      </c>
    </row>
    <row r="117" spans="1:23" ht="15.6" hidden="1" customHeight="1">
      <c r="A117" s="81">
        <v>115</v>
      </c>
      <c r="B117" s="81" t="s">
        <v>1203</v>
      </c>
      <c r="C117" s="81" t="s">
        <v>1247</v>
      </c>
      <c r="D117" s="82" t="str">
        <f ca="1">OFFSET(Roster!$A$3,MATCH(表格1[[#This Row],[Location]]&amp;" "&amp;表格1[[#This Row],[Shop]]&amp;"*",Roster!$A$4:$A$72,0),DAY(表格1[[#This Row],[date]]),1,1)</f>
        <v>Maggie Ho_1</v>
      </c>
      <c r="E117" s="81">
        <f>MONTH(表格1[[#This Row],[date]])</f>
        <v>3</v>
      </c>
      <c r="F117" s="101">
        <v>46082</v>
      </c>
      <c r="G117" s="81" t="str">
        <f>VLOOKUP("*"&amp;表格1[[#This Row],[Input]]&amp;"*",'Ref-List'!$B:$D,2,)</f>
        <v>RC-15ISTHK(W)</v>
      </c>
      <c r="H117" s="81" t="str">
        <f>_xlfn.XLOOKUP(表格1[[#This Row],[Model]],表格3[Model-Input-Ref2],表格3[Product Line])</f>
        <v>磁應電飯煲(1.5公升)</v>
      </c>
      <c r="I117" s="81" t="str">
        <f>_xlfn.XLOOKUP(表格1[[#This Row],[Model]],表格3[Model-Input-Ref2],表格3[大小電])</f>
        <v>細電</v>
      </c>
      <c r="J117" s="81" t="str">
        <f>_xlfn.XLOOKUP(表格1[[#This Row],[Model]],表格3[Model-Input-Ref2],表格3[Code])</f>
        <v>SDA</v>
      </c>
      <c r="K117" s="82" t="s">
        <v>1204</v>
      </c>
      <c r="L117" s="81">
        <v>1</v>
      </c>
      <c r="M117" s="85">
        <v>500</v>
      </c>
      <c r="N117" s="85">
        <f>IFERROR(表格1[[#This Row],[QTY]]*表格1[[#This Row],[Unit Price]],"-")</f>
        <v>500</v>
      </c>
      <c r="O117" s="134">
        <v>4016587</v>
      </c>
      <c r="P117" s="137"/>
      <c r="Q117" s="81"/>
      <c r="R117" s="81" t="str">
        <f>_xlfn.CONCAT(表格1[[#This Row],[Model]]," ",表格1[[#This Row],[inv no]])</f>
        <v>RC-15ISTHK(W) 4016587</v>
      </c>
      <c r="S117" s="135">
        <f>_xlfn.XLOOKUP(表格1[[#This Row],[Model]],表格3[Model-Input-Ref2],表格3[SRP PRICE])</f>
        <v>1688</v>
      </c>
      <c r="T117" s="43">
        <f>表格1[[#This Row],[Unit Price]]/表格1[[#This Row],[SRP]]</f>
        <v>0.29620853080568721</v>
      </c>
      <c r="U117" s="86" t="str">
        <f>_xlfn.XLOOKUP(表格1[[#This Row],[Model]],表格3[Model-Input-Ref2],表格3[TOSHIBA/HIGHEST])</f>
        <v>Toshiba SRP</v>
      </c>
      <c r="V117" s="86">
        <v>110</v>
      </c>
      <c r="W117" s="86" t="str">
        <f>_xlfn.CONCAT(表格1[[#This Row],[欄4]],表格1[[#This Row],[inv no]])</f>
        <v>1104016587</v>
      </c>
    </row>
    <row r="118" spans="1:23" ht="15.6" hidden="1" customHeight="1">
      <c r="A118" s="81">
        <v>116</v>
      </c>
      <c r="B118" s="81" t="s">
        <v>1203</v>
      </c>
      <c r="C118" s="81" t="s">
        <v>1247</v>
      </c>
      <c r="D118" s="82" t="str">
        <f ca="1">OFFSET(Roster!$A$3,MATCH(表格1[[#This Row],[Location]]&amp;" "&amp;表格1[[#This Row],[Shop]]&amp;"*",Roster!$A$4:$A$72,0),DAY(表格1[[#This Row],[date]]),1,1)</f>
        <v>Maggie Ho_1</v>
      </c>
      <c r="E118" s="81">
        <f>MONTH(表格1[[#This Row],[date]])</f>
        <v>3</v>
      </c>
      <c r="F118" s="101">
        <v>46082</v>
      </c>
      <c r="G118" s="81" t="str">
        <f>VLOOKUP("*"&amp;表格1[[#This Row],[Input]]&amp;"*",'Ref-List'!$B:$D,2,)</f>
        <v>CWF-09CRFN8-AD5</v>
      </c>
      <c r="H118" s="81" t="str">
        <f>_xlfn.XLOOKUP(表格1[[#This Row],[Model]],表格3[Model-Input-Ref2],表格3[Product Line])</f>
        <v>Comfee 1匹變頻窗口式冷氣機</v>
      </c>
      <c r="I118" s="81" t="str">
        <f>_xlfn.XLOOKUP(表格1[[#This Row],[Model]],表格3[Model-Input-Ref2],表格3[大小電])</f>
        <v>大電</v>
      </c>
      <c r="J118" s="81" t="str">
        <f>_xlfn.XLOOKUP(表格1[[#This Row],[Model]],表格3[Model-Input-Ref2],表格3[Code])</f>
        <v>RAC</v>
      </c>
      <c r="K118" s="82" t="s">
        <v>1248</v>
      </c>
      <c r="L118" s="81">
        <v>1</v>
      </c>
      <c r="M118" s="85">
        <v>3588</v>
      </c>
      <c r="N118" s="85">
        <f>IFERROR(表格1[[#This Row],[QTY]]*表格1[[#This Row],[Unit Price]],"-")</f>
        <v>3588</v>
      </c>
      <c r="O118" s="134">
        <v>4016603</v>
      </c>
      <c r="P118" s="137"/>
      <c r="Q118" s="81"/>
      <c r="R118" s="81" t="str">
        <f>_xlfn.CONCAT(表格1[[#This Row],[Model]]," ",表格1[[#This Row],[inv no]])</f>
        <v>CWF-09CRFN8-AD5 4016603</v>
      </c>
      <c r="S118" s="135">
        <f>_xlfn.XLOOKUP(表格1[[#This Row],[Model]],表格3[Model-Input-Ref2],表格3[SRP PRICE])</f>
        <v>4600</v>
      </c>
      <c r="T118" s="43">
        <f>表格1[[#This Row],[Unit Price]]/表格1[[#This Row],[SRP]]</f>
        <v>0.78</v>
      </c>
      <c r="U118" s="86" t="str">
        <f>_xlfn.XLOOKUP(表格1[[#This Row],[Model]],表格3[Model-Input-Ref2],表格3[TOSHIBA/HIGHEST])</f>
        <v>Shops Highest Price</v>
      </c>
      <c r="V118" s="86">
        <v>110</v>
      </c>
      <c r="W118" s="86" t="str">
        <f>_xlfn.CONCAT(表格1[[#This Row],[欄4]],表格1[[#This Row],[inv no]])</f>
        <v>1104016603</v>
      </c>
    </row>
    <row r="119" spans="1:23" ht="15.6" hidden="1" customHeight="1">
      <c r="A119" s="81">
        <v>117</v>
      </c>
      <c r="B119" s="81" t="s">
        <v>1203</v>
      </c>
      <c r="C119" s="81" t="s">
        <v>1247</v>
      </c>
      <c r="D119" s="82" t="str">
        <f ca="1">OFFSET(Roster!$A$3,MATCH(表格1[[#This Row],[Location]]&amp;" "&amp;表格1[[#This Row],[Shop]]&amp;"*",Roster!$A$4:$A$72,0),DAY(表格1[[#This Row],[date]]),1,1)</f>
        <v>Maggie Ho_1</v>
      </c>
      <c r="E119" s="81">
        <f>MONTH(表格1[[#This Row],[date]])</f>
        <v>3</v>
      </c>
      <c r="F119" s="101">
        <v>46082</v>
      </c>
      <c r="G119" s="81" t="str">
        <f>VLOOKUP("*"&amp;表格1[[#This Row],[Input]]&amp;"*",'Ref-List'!$B:$D,2,)</f>
        <v>RC-15ISTHK(W)</v>
      </c>
      <c r="H119" s="81" t="str">
        <f>_xlfn.XLOOKUP(表格1[[#This Row],[Model]],表格3[Model-Input-Ref2],表格3[Product Line])</f>
        <v>磁應電飯煲(1.5公升)</v>
      </c>
      <c r="I119" s="81" t="str">
        <f>_xlfn.XLOOKUP(表格1[[#This Row],[Model]],表格3[Model-Input-Ref2],表格3[大小電])</f>
        <v>細電</v>
      </c>
      <c r="J119" s="81" t="str">
        <f>_xlfn.XLOOKUP(表格1[[#This Row],[Model]],表格3[Model-Input-Ref2],表格3[Code])</f>
        <v>SDA</v>
      </c>
      <c r="K119" s="82" t="s">
        <v>1204</v>
      </c>
      <c r="L119" s="81">
        <v>1</v>
      </c>
      <c r="M119" s="85">
        <v>500</v>
      </c>
      <c r="N119" s="85">
        <f>IFERROR(表格1[[#This Row],[QTY]]*表格1[[#This Row],[Unit Price]],"-")</f>
        <v>500</v>
      </c>
      <c r="O119" s="134">
        <v>4016604</v>
      </c>
      <c r="P119" s="137"/>
      <c r="Q119" s="81"/>
      <c r="R119" s="81" t="str">
        <f>_xlfn.CONCAT(表格1[[#This Row],[Model]]," ",表格1[[#This Row],[inv no]])</f>
        <v>RC-15ISTHK(W) 4016604</v>
      </c>
      <c r="S119" s="135">
        <f>_xlfn.XLOOKUP(表格1[[#This Row],[Model]],表格3[Model-Input-Ref2],表格3[SRP PRICE])</f>
        <v>1688</v>
      </c>
      <c r="T119" s="43">
        <f>表格1[[#This Row],[Unit Price]]/表格1[[#This Row],[SRP]]</f>
        <v>0.29620853080568721</v>
      </c>
      <c r="U119" s="86" t="str">
        <f>_xlfn.XLOOKUP(表格1[[#This Row],[Model]],表格3[Model-Input-Ref2],表格3[TOSHIBA/HIGHEST])</f>
        <v>Toshiba SRP</v>
      </c>
      <c r="V119" s="86">
        <v>110</v>
      </c>
      <c r="W119" s="86" t="str">
        <f>_xlfn.CONCAT(表格1[[#This Row],[欄4]],表格1[[#This Row],[inv no]])</f>
        <v>1104016604</v>
      </c>
    </row>
    <row r="120" spans="1:23" ht="15.6" hidden="1" customHeight="1">
      <c r="A120" s="81">
        <v>118</v>
      </c>
      <c r="B120" s="81" t="s">
        <v>1203</v>
      </c>
      <c r="C120" s="81" t="s">
        <v>1247</v>
      </c>
      <c r="D120" s="82" t="str">
        <f ca="1">OFFSET(Roster!$A$3,MATCH(表格1[[#This Row],[Location]]&amp;" "&amp;表格1[[#This Row],[Shop]]&amp;"*",Roster!$A$4:$A$72,0),DAY(表格1[[#This Row],[date]]),1,1)</f>
        <v>Maggie Ho_1</v>
      </c>
      <c r="E120" s="81">
        <f>MONTH(表格1[[#This Row],[date]])</f>
        <v>3</v>
      </c>
      <c r="F120" s="101">
        <v>46082</v>
      </c>
      <c r="G120" s="81" t="str">
        <f>VLOOKUP("*"&amp;表格1[[#This Row],[Input]]&amp;"*",'Ref-List'!$B:$D,2,)</f>
        <v>DWS-34AHK</v>
      </c>
      <c r="H120" s="81" t="str">
        <f>_xlfn.XLOOKUP(表格1[[#This Row],[Model]],表格3[Model-Input-Ref2],表格3[Product Line])</f>
        <v>獨立式免安裝洗碗碟機</v>
      </c>
      <c r="I120" s="81" t="str">
        <f>_xlfn.XLOOKUP(表格1[[#This Row],[Model]],表格3[Model-Input-Ref2],表格3[大小電])</f>
        <v>細電</v>
      </c>
      <c r="J120" s="81" t="str">
        <f>_xlfn.XLOOKUP(表格1[[#This Row],[Model]],表格3[Model-Input-Ref2],表格3[Code])</f>
        <v>DM</v>
      </c>
      <c r="K120" s="82" t="s">
        <v>1240</v>
      </c>
      <c r="L120" s="81">
        <v>1</v>
      </c>
      <c r="M120" s="85">
        <v>1500</v>
      </c>
      <c r="N120" s="85">
        <f>IFERROR(表格1[[#This Row],[QTY]]*表格1[[#This Row],[Unit Price]],"-")</f>
        <v>1500</v>
      </c>
      <c r="O120" s="134">
        <v>4016579</v>
      </c>
      <c r="P120" s="137"/>
      <c r="Q120" s="81"/>
      <c r="R120" s="81" t="str">
        <f>_xlfn.CONCAT(表格1[[#This Row],[Model]]," ",表格1[[#This Row],[inv no]])</f>
        <v>DWS-34AHK 4016579</v>
      </c>
      <c r="S120" s="135">
        <f>_xlfn.XLOOKUP(表格1[[#This Row],[Model]],表格3[Model-Input-Ref2],表格3[SRP PRICE])</f>
        <v>3999</v>
      </c>
      <c r="T120" s="43">
        <f>表格1[[#This Row],[Unit Price]]/表格1[[#This Row],[SRP]]</f>
        <v>0.37509377344336087</v>
      </c>
      <c r="U120" s="86" t="str">
        <f>_xlfn.XLOOKUP(表格1[[#This Row],[Model]],表格3[Model-Input-Ref2],表格3[TOSHIBA/HIGHEST])</f>
        <v>Web SRP</v>
      </c>
      <c r="V120" s="86">
        <v>110</v>
      </c>
      <c r="W120" s="86" t="str">
        <f>_xlfn.CONCAT(表格1[[#This Row],[欄4]],表格1[[#This Row],[inv no]])</f>
        <v>1104016579</v>
      </c>
    </row>
    <row r="121" spans="1:23" ht="15.6" hidden="1" customHeight="1">
      <c r="A121" s="81">
        <v>119</v>
      </c>
      <c r="B121" s="81" t="s">
        <v>1203</v>
      </c>
      <c r="C121" s="81" t="s">
        <v>1247</v>
      </c>
      <c r="D121" s="82" t="str">
        <f ca="1">OFFSET(Roster!$A$3,MATCH(表格1[[#This Row],[Location]]&amp;" "&amp;表格1[[#This Row],[Shop]]&amp;"*",Roster!$A$4:$A$72,0),DAY(表格1[[#This Row],[date]]),1,1)</f>
        <v>Maggie Ho_1</v>
      </c>
      <c r="E121" s="81">
        <f>MONTH(表格1[[#This Row],[date]])</f>
        <v>3</v>
      </c>
      <c r="F121" s="101">
        <v>46082</v>
      </c>
      <c r="G121" s="81" t="str">
        <f>VLOOKUP("*"&amp;表格1[[#This Row],[Input]]&amp;"*",'Ref-List'!$B:$D,2,)</f>
        <v>TWD-BN90GF4H(WK)</v>
      </c>
      <c r="H121" s="81" t="str">
        <f>_xlfn.XLOOKUP(表格1[[#This Row],[Model]],表格3[Model-Input-Ref2],表格3[Product Line])</f>
        <v>超薄身前置式洗衣乾衣機 (洗8公斤 乾5公斤)</v>
      </c>
      <c r="I121" s="81" t="str">
        <f>_xlfn.XLOOKUP(表格1[[#This Row],[Model]],表格3[Model-Input-Ref2],表格3[大小電])</f>
        <v>大電</v>
      </c>
      <c r="J121" s="81" t="str">
        <f>_xlfn.XLOOKUP(表格1[[#This Row],[Model]],表格3[Model-Input-Ref2],表格3[Code])</f>
        <v>WM</v>
      </c>
      <c r="K121" s="82" t="s">
        <v>1199</v>
      </c>
      <c r="L121" s="81">
        <v>1</v>
      </c>
      <c r="M121" s="85">
        <v>3588</v>
      </c>
      <c r="N121" s="85">
        <f>IFERROR(表格1[[#This Row],[QTY]]*表格1[[#This Row],[Unit Price]],"-")</f>
        <v>3588</v>
      </c>
      <c r="O121" s="134">
        <v>4016574</v>
      </c>
      <c r="P121" s="137"/>
      <c r="Q121" s="81"/>
      <c r="R121" s="81" t="str">
        <f>_xlfn.CONCAT(表格1[[#This Row],[Model]]," ",表格1[[#This Row],[inv no]])</f>
        <v>TWD-BN90GF4H(WK) 4016574</v>
      </c>
      <c r="S121" s="135">
        <f>_xlfn.XLOOKUP(表格1[[#This Row],[Model]],表格3[Model-Input-Ref2],表格3[SRP PRICE])</f>
        <v>5980</v>
      </c>
      <c r="T121" s="43">
        <f>表格1[[#This Row],[Unit Price]]/表格1[[#This Row],[SRP]]</f>
        <v>0.6</v>
      </c>
      <c r="U121" s="86" t="str">
        <f>_xlfn.XLOOKUP(表格1[[#This Row],[Model]],表格3[Model-Input-Ref2],表格3[TOSHIBA/HIGHEST])</f>
        <v>Toshiba SRP</v>
      </c>
      <c r="V121" s="86">
        <v>110</v>
      </c>
      <c r="W121" s="86" t="str">
        <f>_xlfn.CONCAT(表格1[[#This Row],[欄4]],表格1[[#This Row],[inv no]])</f>
        <v>1104016574</v>
      </c>
    </row>
    <row r="122" spans="1:23" ht="15.6" hidden="1" customHeight="1">
      <c r="A122" s="81">
        <v>120</v>
      </c>
      <c r="B122" s="81" t="s">
        <v>1203</v>
      </c>
      <c r="C122" s="81" t="s">
        <v>1247</v>
      </c>
      <c r="D122" s="82" t="str">
        <f ca="1">OFFSET(Roster!$A$3,MATCH(表格1[[#This Row],[Location]]&amp;" "&amp;表格1[[#This Row],[Shop]]&amp;"*",Roster!$A$4:$A$72,0),DAY(表格1[[#This Row],[date]]),1,1)</f>
        <v>Maggie Ho_1</v>
      </c>
      <c r="E122" s="81">
        <f>MONTH(表格1[[#This Row],[date]])</f>
        <v>3</v>
      </c>
      <c r="F122" s="101">
        <v>46082</v>
      </c>
      <c r="G122" s="81" t="str">
        <f>VLOOKUP("*"&amp;表格1[[#This Row],[Input]]&amp;"*",'Ref-List'!$B:$D,2,)</f>
        <v>RAD-Y200H</v>
      </c>
      <c r="H122" s="81" t="str">
        <f>_xlfn.XLOOKUP(表格1[[#This Row],[Model]],表格3[Model-Input-Ref2],表格3[Product Line])</f>
        <v>21L壓縮式抽濕機</v>
      </c>
      <c r="I122" s="81" t="str">
        <f>_xlfn.XLOOKUP(表格1[[#This Row],[Model]],表格3[Model-Input-Ref2],表格3[大小電])</f>
        <v>大電</v>
      </c>
      <c r="J122" s="81" t="str">
        <f>_xlfn.XLOOKUP(表格1[[#This Row],[Model]],表格3[Model-Input-Ref2],表格3[Code])</f>
        <v>RAC</v>
      </c>
      <c r="K122" s="82" t="s">
        <v>1241</v>
      </c>
      <c r="L122" s="81">
        <v>1</v>
      </c>
      <c r="M122" s="85">
        <v>1500</v>
      </c>
      <c r="N122" s="85">
        <f>IFERROR(表格1[[#This Row],[QTY]]*表格1[[#This Row],[Unit Price]],"-")</f>
        <v>1500</v>
      </c>
      <c r="O122" s="134">
        <v>4016571</v>
      </c>
      <c r="P122" s="81"/>
      <c r="Q122" s="81"/>
      <c r="R122" s="81" t="str">
        <f>_xlfn.CONCAT(表格1[[#This Row],[Model]]," ",表格1[[#This Row],[inv no]])</f>
        <v>RAD-Y200H 4016571</v>
      </c>
      <c r="S122" s="135">
        <f>_xlfn.XLOOKUP(表格1[[#This Row],[Model]],表格3[Model-Input-Ref2],表格3[SRP PRICE])</f>
        <v>3280</v>
      </c>
      <c r="T122" s="43">
        <f>表格1[[#This Row],[Unit Price]]/表格1[[#This Row],[SRP]]</f>
        <v>0.45731707317073172</v>
      </c>
      <c r="U122" s="86" t="str">
        <f>_xlfn.XLOOKUP(表格1[[#This Row],[Model]],表格3[Model-Input-Ref2],表格3[TOSHIBA/HIGHEST])</f>
        <v>Toshiba SRP</v>
      </c>
      <c r="V122" s="86">
        <v>110</v>
      </c>
      <c r="W122" s="86" t="str">
        <f>_xlfn.CONCAT(表格1[[#This Row],[欄4]],表格1[[#This Row],[inv no]])</f>
        <v>1104016571</v>
      </c>
    </row>
    <row r="123" spans="1:23" ht="16.5" hidden="1">
      <c r="A123" s="81">
        <v>121</v>
      </c>
      <c r="B123" s="81" t="s">
        <v>1203</v>
      </c>
      <c r="C123" s="81" t="s">
        <v>1247</v>
      </c>
      <c r="D123" s="82" t="str">
        <f ca="1">OFFSET(Roster!$A$3,MATCH(表格1[[#This Row],[Location]]&amp;" "&amp;表格1[[#This Row],[Shop]]&amp;"*",Roster!$A$4:$A$72,0),DAY(表格1[[#This Row],[date]]),1,1)</f>
        <v>Maggie Ho_1</v>
      </c>
      <c r="E123" s="81">
        <f>MONTH(表格1[[#This Row],[date]])</f>
        <v>3</v>
      </c>
      <c r="F123" s="101">
        <v>46082</v>
      </c>
      <c r="G123" s="81" t="str">
        <f>VLOOKUP("*"&amp;表格1[[#This Row],[Input]]&amp;"*",'Ref-List'!$B:$D,2,)</f>
        <v>PLK-45SFIH(WT)</v>
      </c>
      <c r="H123" s="81" t="str">
        <f>_xlfn.XLOOKUP(表格1[[#This Row],[Model]],表格3[Model-Input-Ref2],表格3[Product Line])</f>
        <v>電熱水瓶4.5L</v>
      </c>
      <c r="I123" s="81" t="str">
        <f>_xlfn.XLOOKUP(表格1[[#This Row],[Model]],表格3[Model-Input-Ref2],表格3[大小電])</f>
        <v>細電</v>
      </c>
      <c r="J123" s="81" t="str">
        <f>_xlfn.XLOOKUP(表格1[[#This Row],[Model]],表格3[Model-Input-Ref2],表格3[Code])</f>
        <v>SDA</v>
      </c>
      <c r="K123" s="82" t="s">
        <v>1117</v>
      </c>
      <c r="L123" s="81">
        <v>1</v>
      </c>
      <c r="M123" s="85">
        <v>500</v>
      </c>
      <c r="N123" s="85">
        <f>IFERROR(表格1[[#This Row],[QTY]]*表格1[[#This Row],[Unit Price]],"-")</f>
        <v>500</v>
      </c>
      <c r="O123" s="134">
        <v>4016571</v>
      </c>
      <c r="P123" s="137"/>
      <c r="Q123" s="81"/>
      <c r="R123" s="81" t="str">
        <f>_xlfn.CONCAT(表格1[[#This Row],[Model]]," ",表格1[[#This Row],[inv no]])</f>
        <v>PLK-45SFIH(WT) 4016571</v>
      </c>
      <c r="S123" s="135">
        <f>_xlfn.XLOOKUP(表格1[[#This Row],[Model]],表格3[Model-Input-Ref2],表格3[SRP PRICE])</f>
        <v>788</v>
      </c>
      <c r="T123" s="43">
        <f>表格1[[#This Row],[Unit Price]]/表格1[[#This Row],[SRP]]</f>
        <v>0.63451776649746194</v>
      </c>
      <c r="U123" s="86" t="str">
        <f>_xlfn.XLOOKUP(表格1[[#This Row],[Model]],表格3[Model-Input-Ref2],表格3[TOSHIBA/HIGHEST])</f>
        <v>Toshiba SRP</v>
      </c>
      <c r="V123" s="86">
        <v>110</v>
      </c>
      <c r="W123" s="86" t="str">
        <f>_xlfn.CONCAT(表格1[[#This Row],[欄4]],表格1[[#This Row],[inv no]])</f>
        <v>1104016571</v>
      </c>
    </row>
    <row r="124" spans="1:23" ht="16.5" hidden="1">
      <c r="A124" s="81">
        <v>122</v>
      </c>
      <c r="B124" s="81" t="s">
        <v>1203</v>
      </c>
      <c r="C124" s="81" t="s">
        <v>1247</v>
      </c>
      <c r="D124" s="82" t="str">
        <f ca="1">OFFSET(Roster!$A$3,MATCH(表格1[[#This Row],[Location]]&amp;" "&amp;表格1[[#This Row],[Shop]]&amp;"*",Roster!$A$4:$A$72,0),DAY(表格1[[#This Row],[date]]),1,1)</f>
        <v>Maggie Ho_1</v>
      </c>
      <c r="E124" s="81">
        <f>MONTH(表格1[[#This Row],[date]])</f>
        <v>3</v>
      </c>
      <c r="F124" s="101">
        <v>46082</v>
      </c>
      <c r="G124" s="81" t="str">
        <f>VLOOKUP("*"&amp;表格1[[#This Row],[Input]]&amp;"*",'Ref-List'!$B:$D,2,)</f>
        <v>MW2-MM24PC(BK)</v>
      </c>
      <c r="H124" s="81" t="str">
        <f>_xlfn.XLOOKUP(表格1[[#This Row],[Model]],表格3[Model-Input-Ref2],表格3[Product Line])</f>
        <v>旋鈕式微波爐24L</v>
      </c>
      <c r="I124" s="81" t="str">
        <f>_xlfn.XLOOKUP(表格1[[#This Row],[Model]],表格3[Model-Input-Ref2],表格3[大小電])</f>
        <v>細電</v>
      </c>
      <c r="J124" s="81" t="str">
        <f>_xlfn.XLOOKUP(表格1[[#This Row],[Model]],表格3[Model-Input-Ref2],表格3[Code])</f>
        <v>SDA</v>
      </c>
      <c r="K124" s="82" t="s">
        <v>1196</v>
      </c>
      <c r="L124" s="81">
        <v>1</v>
      </c>
      <c r="M124" s="85">
        <v>500</v>
      </c>
      <c r="N124" s="85">
        <f>IFERROR(表格1[[#This Row],[QTY]]*表格1[[#This Row],[Unit Price]],"-")</f>
        <v>500</v>
      </c>
      <c r="O124" s="134">
        <v>4016572</v>
      </c>
      <c r="P124" s="137"/>
      <c r="Q124" s="81"/>
      <c r="R124" s="81" t="str">
        <f>_xlfn.CONCAT(表格1[[#This Row],[Model]]," ",表格1[[#This Row],[inv no]])</f>
        <v>MW2-MM24PC(BK) 4016572</v>
      </c>
      <c r="S124" s="135">
        <f>_xlfn.XLOOKUP(表格1[[#This Row],[Model]],表格3[Model-Input-Ref2],表格3[SRP PRICE])</f>
        <v>848</v>
      </c>
      <c r="T124" s="43">
        <f>表格1[[#This Row],[Unit Price]]/表格1[[#This Row],[SRP]]</f>
        <v>0.589622641509434</v>
      </c>
      <c r="U124" s="86" t="str">
        <f>_xlfn.XLOOKUP(表格1[[#This Row],[Model]],表格3[Model-Input-Ref2],表格3[TOSHIBA/HIGHEST])</f>
        <v>Toshiba SRP</v>
      </c>
      <c r="V124" s="86">
        <v>110</v>
      </c>
      <c r="W124" s="86" t="str">
        <f>_xlfn.CONCAT(表格1[[#This Row],[欄4]],表格1[[#This Row],[inv no]])</f>
        <v>1104016572</v>
      </c>
    </row>
    <row r="125" spans="1:23" hidden="1">
      <c r="A125" s="81">
        <v>123</v>
      </c>
      <c r="B125" s="81" t="s">
        <v>1203</v>
      </c>
      <c r="C125" s="81" t="s">
        <v>1247</v>
      </c>
      <c r="D125" s="82" t="str">
        <f ca="1">OFFSET(Roster!$A$3,MATCH(表格1[[#This Row],[Location]]&amp;" "&amp;表格1[[#This Row],[Shop]]&amp;"*",Roster!$A$4:$A$72,0),DAY(表格1[[#This Row],[date]]),1,1)</f>
        <v>Maggie Ho_1</v>
      </c>
      <c r="E125" s="81">
        <f>MONTH(表格1[[#This Row],[date]])</f>
        <v>3</v>
      </c>
      <c r="F125" s="101">
        <v>46082</v>
      </c>
      <c r="G125" s="81" t="str">
        <f>VLOOKUP("*"&amp;表格1[[#This Row],[Input]]&amp;"*",'Ref-List'!$B:$D,2,)</f>
        <v>RAD-Y200H</v>
      </c>
      <c r="H125" s="81" t="str">
        <f>_xlfn.XLOOKUP(表格1[[#This Row],[Model]],表格3[Model-Input-Ref2],表格3[Product Line])</f>
        <v>21L壓縮式抽濕機</v>
      </c>
      <c r="I125" s="81" t="str">
        <f>_xlfn.XLOOKUP(表格1[[#This Row],[Model]],表格3[Model-Input-Ref2],表格3[大小電])</f>
        <v>大電</v>
      </c>
      <c r="J125" s="81" t="str">
        <f>_xlfn.XLOOKUP(表格1[[#This Row],[Model]],表格3[Model-Input-Ref2],表格3[Code])</f>
        <v>RAC</v>
      </c>
      <c r="K125" s="82" t="s">
        <v>1241</v>
      </c>
      <c r="L125" s="81">
        <v>1</v>
      </c>
      <c r="M125" s="85">
        <v>1500</v>
      </c>
      <c r="N125" s="85">
        <f>IFERROR(表格1[[#This Row],[QTY]]*表格1[[#This Row],[Unit Price]],"-")</f>
        <v>1500</v>
      </c>
      <c r="O125" s="134">
        <v>4016444</v>
      </c>
      <c r="P125" s="81"/>
      <c r="Q125" s="81"/>
      <c r="R125" s="81" t="str">
        <f>_xlfn.CONCAT(表格1[[#This Row],[Model]]," ",表格1[[#This Row],[inv no]])</f>
        <v>RAD-Y200H 4016444</v>
      </c>
      <c r="S125" s="135">
        <f>_xlfn.XLOOKUP(表格1[[#This Row],[Model]],表格3[Model-Input-Ref2],表格3[SRP PRICE])</f>
        <v>3280</v>
      </c>
      <c r="T125" s="43">
        <f>表格1[[#This Row],[Unit Price]]/表格1[[#This Row],[SRP]]</f>
        <v>0.45731707317073172</v>
      </c>
      <c r="U125" s="86" t="str">
        <f>_xlfn.XLOOKUP(表格1[[#This Row],[Model]],表格3[Model-Input-Ref2],表格3[TOSHIBA/HIGHEST])</f>
        <v>Toshiba SRP</v>
      </c>
      <c r="V125" s="86">
        <v>110</v>
      </c>
      <c r="W125" s="86" t="str">
        <f>_xlfn.CONCAT(表格1[[#This Row],[欄4]],表格1[[#This Row],[inv no]])</f>
        <v>1104016444</v>
      </c>
    </row>
    <row r="126" spans="1:23" ht="16.5" hidden="1">
      <c r="A126" s="81">
        <v>124</v>
      </c>
      <c r="B126" s="81" t="s">
        <v>1203</v>
      </c>
      <c r="C126" s="81" t="s">
        <v>1247</v>
      </c>
      <c r="D126" s="82" t="str">
        <f ca="1">OFFSET(Roster!$A$3,MATCH(表格1[[#This Row],[Location]]&amp;" "&amp;表格1[[#This Row],[Shop]]&amp;"*",Roster!$A$4:$A$72,0),DAY(表格1[[#This Row],[date]]),1,1)</f>
        <v>Maggie Ho_1</v>
      </c>
      <c r="E126" s="81">
        <f>MONTH(表格1[[#This Row],[date]])</f>
        <v>3</v>
      </c>
      <c r="F126" s="101">
        <v>46082</v>
      </c>
      <c r="G126" s="81" t="str">
        <f>VLOOKUP("*"&amp;表格1[[#This Row],[Input]]&amp;"*",'Ref-List'!$B:$D,2,)</f>
        <v>GR-RT416WE-PMA(06)</v>
      </c>
      <c r="H126" s="81" t="str">
        <f>_xlfn.XLOOKUP(表格1[[#This Row],[Model]],表格3[Model-Input-Ref2],表格3[Product Line])</f>
        <v xml:space="preserve">變頻上置式雙門雪櫃313L </v>
      </c>
      <c r="I126" s="81" t="str">
        <f>_xlfn.XLOOKUP(表格1[[#This Row],[Model]],表格3[Model-Input-Ref2],表格3[大小電])</f>
        <v>大電</v>
      </c>
      <c r="J126" s="81" t="str">
        <f>_xlfn.XLOOKUP(表格1[[#This Row],[Model]],表格3[Model-Input-Ref2],表格3[Code])</f>
        <v>REF</v>
      </c>
      <c r="K126" s="82" t="s">
        <v>1208</v>
      </c>
      <c r="L126" s="81">
        <v>1</v>
      </c>
      <c r="M126" s="85">
        <v>2888</v>
      </c>
      <c r="N126" s="85">
        <f>IFERROR(表格1[[#This Row],[QTY]]*表格1[[#This Row],[Unit Price]],"-")</f>
        <v>2888</v>
      </c>
      <c r="O126" s="134">
        <v>4026484</v>
      </c>
      <c r="P126" s="137"/>
      <c r="Q126" s="81"/>
      <c r="R126" s="81" t="str">
        <f>_xlfn.CONCAT(表格1[[#This Row],[Model]]," ",表格1[[#This Row],[inv no]])</f>
        <v>GR-RT416WE-PMA(06) 4026484</v>
      </c>
      <c r="S126" s="135">
        <f>_xlfn.XLOOKUP(表格1[[#This Row],[Model]],表格3[Model-Input-Ref2],表格3[SRP PRICE])</f>
        <v>5380</v>
      </c>
      <c r="T126" s="43">
        <f>表格1[[#This Row],[Unit Price]]/表格1[[#This Row],[SRP]]</f>
        <v>0.53680297397769516</v>
      </c>
      <c r="U126" s="86" t="str">
        <f>_xlfn.XLOOKUP(表格1[[#This Row],[Model]],表格3[Model-Input-Ref2],表格3[TOSHIBA/HIGHEST])</f>
        <v>Toshiba SRP</v>
      </c>
      <c r="V126" s="86">
        <v>110</v>
      </c>
      <c r="W126" s="86" t="str">
        <f>_xlfn.CONCAT(表格1[[#This Row],[欄4]],表格1[[#This Row],[inv no]])</f>
        <v>1104026484</v>
      </c>
    </row>
    <row r="127" spans="1:23" ht="16.5" hidden="1">
      <c r="A127" s="81">
        <v>125</v>
      </c>
      <c r="B127" s="81" t="s">
        <v>1203</v>
      </c>
      <c r="C127" s="81" t="s">
        <v>1247</v>
      </c>
      <c r="D127" s="82" t="str">
        <f ca="1">OFFSET(Roster!$A$3,MATCH(表格1[[#This Row],[Location]]&amp;" "&amp;表格1[[#This Row],[Shop]]&amp;"*",Roster!$A$4:$A$72,0),DAY(表格1[[#This Row],[date]]),1,1)</f>
        <v>Maggie Ho_1</v>
      </c>
      <c r="E127" s="81">
        <f>MONTH(表格1[[#This Row],[date]])</f>
        <v>3</v>
      </c>
      <c r="F127" s="101">
        <v>46082</v>
      </c>
      <c r="G127" s="81" t="str">
        <f>VLOOKUP("*"&amp;表格1[[#This Row],[Input]]&amp;"*",'Ref-List'!$B:$D,2,)</f>
        <v>IC-21TSHK</v>
      </c>
      <c r="H127" s="81" t="str">
        <f>_xlfn.XLOOKUP(表格1[[#This Row],[Model]],表格3[Model-Input-Ref2],表格3[Product Line])</f>
        <v>Induction Cooker</v>
      </c>
      <c r="I127" s="81" t="str">
        <f>_xlfn.XLOOKUP(表格1[[#This Row],[Model]],表格3[Model-Input-Ref2],表格3[大小電])</f>
        <v>細電</v>
      </c>
      <c r="J127" s="81" t="str">
        <f>_xlfn.XLOOKUP(表格1[[#This Row],[Model]],表格3[Model-Input-Ref2],表格3[Code])</f>
        <v>SDA</v>
      </c>
      <c r="K127" s="82" t="s">
        <v>1242</v>
      </c>
      <c r="L127" s="81">
        <v>1</v>
      </c>
      <c r="M127" s="85">
        <v>500</v>
      </c>
      <c r="N127" s="85">
        <f>IFERROR(表格1[[#This Row],[QTY]]*表格1[[#This Row],[Unit Price]],"-")</f>
        <v>500</v>
      </c>
      <c r="O127" s="134">
        <v>4026485</v>
      </c>
      <c r="P127" s="137"/>
      <c r="Q127" s="81"/>
      <c r="R127" s="81" t="str">
        <f>_xlfn.CONCAT(表格1[[#This Row],[Model]]," ",表格1[[#This Row],[inv no]])</f>
        <v>IC-21TSHK 4026485</v>
      </c>
      <c r="S127" s="135">
        <f>_xlfn.XLOOKUP(表格1[[#This Row],[Model]],表格3[Model-Input-Ref2],表格3[SRP PRICE])</f>
        <v>998</v>
      </c>
      <c r="T127" s="43">
        <f>表格1[[#This Row],[Unit Price]]/表格1[[#This Row],[SRP]]</f>
        <v>0.50100200400801598</v>
      </c>
      <c r="U127" s="86" t="str">
        <f>_xlfn.XLOOKUP(表格1[[#This Row],[Model]],表格3[Model-Input-Ref2],表格3[TOSHIBA/HIGHEST])</f>
        <v>web SRP</v>
      </c>
      <c r="V127" s="86">
        <v>110</v>
      </c>
      <c r="W127" s="86" t="str">
        <f>_xlfn.CONCAT(表格1[[#This Row],[欄4]],表格1[[#This Row],[inv no]])</f>
        <v>1104026485</v>
      </c>
    </row>
    <row r="128" spans="1:23" hidden="1">
      <c r="A128" s="81">
        <v>126</v>
      </c>
      <c r="B128" s="81" t="s">
        <v>1203</v>
      </c>
      <c r="C128" s="81" t="s">
        <v>1247</v>
      </c>
      <c r="D128" s="82" t="str">
        <f ca="1">OFFSET(Roster!$A$3,MATCH(表格1[[#This Row],[Location]]&amp;" "&amp;表格1[[#This Row],[Shop]]&amp;"*",Roster!$A$4:$A$72,0),DAY(表格1[[#This Row],[date]]),1,1)</f>
        <v>Maggie Ho_1</v>
      </c>
      <c r="E128" s="81">
        <f>MONTH(表格1[[#This Row],[date]])</f>
        <v>3</v>
      </c>
      <c r="F128" s="101">
        <v>46082</v>
      </c>
      <c r="G128" s="81" t="str">
        <f>VLOOKUP("*"&amp;表格1[[#This Row],[Input]]&amp;"*",'Ref-List'!$B:$D,2,)</f>
        <v>RC-15ISTHK(W)</v>
      </c>
      <c r="H128" s="81" t="str">
        <f>_xlfn.XLOOKUP(表格1[[#This Row],[Model]],表格3[Model-Input-Ref2],表格3[Product Line])</f>
        <v>磁應電飯煲(1.5公升)</v>
      </c>
      <c r="I128" s="81" t="str">
        <f>_xlfn.XLOOKUP(表格1[[#This Row],[Model]],表格3[Model-Input-Ref2],表格3[大小電])</f>
        <v>細電</v>
      </c>
      <c r="J128" s="81" t="str">
        <f>_xlfn.XLOOKUP(表格1[[#This Row],[Model]],表格3[Model-Input-Ref2],表格3[Code])</f>
        <v>SDA</v>
      </c>
      <c r="K128" s="82" t="s">
        <v>1204</v>
      </c>
      <c r="L128" s="81">
        <v>1</v>
      </c>
      <c r="M128" s="85">
        <v>500</v>
      </c>
      <c r="N128" s="85">
        <f>IFERROR(表格1[[#This Row],[QTY]]*表格1[[#This Row],[Unit Price]],"-")</f>
        <v>500</v>
      </c>
      <c r="O128" s="134">
        <v>4016526</v>
      </c>
      <c r="P128" s="81"/>
      <c r="Q128" s="81"/>
      <c r="R128" s="81" t="str">
        <f>_xlfn.CONCAT(表格1[[#This Row],[Model]]," ",表格1[[#This Row],[inv no]])</f>
        <v>RC-15ISTHK(W) 4016526</v>
      </c>
      <c r="S128" s="135">
        <f>_xlfn.XLOOKUP(表格1[[#This Row],[Model]],表格3[Model-Input-Ref2],表格3[SRP PRICE])</f>
        <v>1688</v>
      </c>
      <c r="T128" s="43">
        <f>表格1[[#This Row],[Unit Price]]/表格1[[#This Row],[SRP]]</f>
        <v>0.29620853080568721</v>
      </c>
      <c r="U128" s="86" t="str">
        <f>_xlfn.XLOOKUP(表格1[[#This Row],[Model]],表格3[Model-Input-Ref2],表格3[TOSHIBA/HIGHEST])</f>
        <v>Toshiba SRP</v>
      </c>
      <c r="V128" s="86">
        <v>110</v>
      </c>
      <c r="W128" s="86" t="str">
        <f>_xlfn.CONCAT(表格1[[#This Row],[欄4]],表格1[[#This Row],[inv no]])</f>
        <v>1104016526</v>
      </c>
    </row>
    <row r="129" spans="1:23" hidden="1">
      <c r="A129" s="81">
        <v>127</v>
      </c>
      <c r="B129" s="81" t="s">
        <v>1203</v>
      </c>
      <c r="C129" s="81" t="s">
        <v>1247</v>
      </c>
      <c r="D129" s="82" t="str">
        <f ca="1">OFFSET(Roster!$A$3,MATCH(表格1[[#This Row],[Location]]&amp;" "&amp;表格1[[#This Row],[Shop]]&amp;"*",Roster!$A$4:$A$72,0),DAY(表格1[[#This Row],[date]]),1,1)</f>
        <v>Maggie Ho_1</v>
      </c>
      <c r="E129" s="81">
        <f>MONTH(表格1[[#This Row],[date]])</f>
        <v>3</v>
      </c>
      <c r="F129" s="101">
        <v>46082</v>
      </c>
      <c r="G129" s="81" t="str">
        <f>VLOOKUP("*"&amp;表格1[[#This Row],[Input]]&amp;"*",'Ref-List'!$B:$D,2,)</f>
        <v>TW-BL85A2H(WW)</v>
      </c>
      <c r="H129" s="81" t="str">
        <f>_xlfn.XLOOKUP(表格1[[#This Row],[Model]],表格3[Model-Input-Ref2],表格3[Product Line])</f>
        <v>7.5KG超薄身前置式變頻洗衣機</v>
      </c>
      <c r="I129" s="81" t="str">
        <f>_xlfn.XLOOKUP(表格1[[#This Row],[Model]],表格3[Model-Input-Ref2],表格3[大小電])</f>
        <v>大電</v>
      </c>
      <c r="J129" s="81" t="str">
        <f>_xlfn.XLOOKUP(表格1[[#This Row],[Model]],表格3[Model-Input-Ref2],表格3[Code])</f>
        <v>WM</v>
      </c>
      <c r="K129" s="82" t="s">
        <v>1206</v>
      </c>
      <c r="L129" s="81">
        <v>1</v>
      </c>
      <c r="M129" s="85">
        <v>2588</v>
      </c>
      <c r="N129" s="85">
        <f>IFERROR(表格1[[#This Row],[QTY]]*表格1[[#This Row],[Unit Price]],"-")</f>
        <v>2588</v>
      </c>
      <c r="O129" s="134">
        <v>4026479</v>
      </c>
      <c r="P129" s="81"/>
      <c r="Q129" s="81"/>
      <c r="R129" s="81" t="str">
        <f>_xlfn.CONCAT(表格1[[#This Row],[Model]]," ",表格1[[#This Row],[inv no]])</f>
        <v>TW-BL85A2H(WW) 4026479</v>
      </c>
      <c r="S129" s="135">
        <f>_xlfn.XLOOKUP(表格1[[#This Row],[Model]],表格3[Model-Input-Ref2],表格3[SRP PRICE])</f>
        <v>5080</v>
      </c>
      <c r="T129" s="43">
        <f>表格1[[#This Row],[Unit Price]]/表格1[[#This Row],[SRP]]</f>
        <v>0.50944881889763782</v>
      </c>
      <c r="U129" s="86" t="str">
        <f>_xlfn.XLOOKUP(表格1[[#This Row],[Model]],表格3[Model-Input-Ref2],表格3[TOSHIBA/HIGHEST])</f>
        <v>Toshiba SRP</v>
      </c>
      <c r="V129" s="86">
        <v>110</v>
      </c>
      <c r="W129" s="86" t="str">
        <f>_xlfn.CONCAT(表格1[[#This Row],[欄4]],表格1[[#This Row],[inv no]])</f>
        <v>1104026479</v>
      </c>
    </row>
    <row r="130" spans="1:23" ht="16.5" hidden="1">
      <c r="A130" s="81">
        <v>128</v>
      </c>
      <c r="B130" s="81" t="s">
        <v>1203</v>
      </c>
      <c r="C130" s="81" t="s">
        <v>1247</v>
      </c>
      <c r="D130" s="82" t="str">
        <f ca="1">OFFSET(Roster!$A$3,MATCH(表格1[[#This Row],[Location]]&amp;" "&amp;表格1[[#This Row],[Shop]]&amp;"*",Roster!$A$4:$A$72,0),DAY(表格1[[#This Row],[date]]),1,1)</f>
        <v>Maggie Ho_1</v>
      </c>
      <c r="E130" s="81">
        <f>MONTH(表格1[[#This Row],[date]])</f>
        <v>3</v>
      </c>
      <c r="F130" s="101">
        <v>46082</v>
      </c>
      <c r="G130" s="81" t="str">
        <f>VLOOKUP("*"&amp;表格1[[#This Row],[Input]]&amp;"*",'Ref-List'!$B:$D,2,)</f>
        <v>RAD-Y200H</v>
      </c>
      <c r="H130" s="81" t="str">
        <f>_xlfn.XLOOKUP(表格1[[#This Row],[Model]],表格3[Model-Input-Ref2],表格3[Product Line])</f>
        <v>21L壓縮式抽濕機</v>
      </c>
      <c r="I130" s="81" t="str">
        <f>_xlfn.XLOOKUP(表格1[[#This Row],[Model]],表格3[Model-Input-Ref2],表格3[大小電])</f>
        <v>大電</v>
      </c>
      <c r="J130" s="81" t="str">
        <f>_xlfn.XLOOKUP(表格1[[#This Row],[Model]],表格3[Model-Input-Ref2],表格3[Code])</f>
        <v>RAC</v>
      </c>
      <c r="K130" s="82" t="s">
        <v>1241</v>
      </c>
      <c r="L130" s="81">
        <v>1</v>
      </c>
      <c r="M130" s="85">
        <v>1500</v>
      </c>
      <c r="N130" s="85">
        <f>IFERROR(表格1[[#This Row],[QTY]]*表格1[[#This Row],[Unit Price]],"-")</f>
        <v>1500</v>
      </c>
      <c r="O130" s="134">
        <v>4026480</v>
      </c>
      <c r="P130" s="137"/>
      <c r="Q130" s="81"/>
      <c r="R130" s="81" t="str">
        <f>_xlfn.CONCAT(表格1[[#This Row],[Model]]," ",表格1[[#This Row],[inv no]])</f>
        <v>RAD-Y200H 4026480</v>
      </c>
      <c r="S130" s="135">
        <f>_xlfn.XLOOKUP(表格1[[#This Row],[Model]],表格3[Model-Input-Ref2],表格3[SRP PRICE])</f>
        <v>3280</v>
      </c>
      <c r="T130" s="43">
        <f>表格1[[#This Row],[Unit Price]]/表格1[[#This Row],[SRP]]</f>
        <v>0.45731707317073172</v>
      </c>
      <c r="U130" s="86" t="str">
        <f>_xlfn.XLOOKUP(表格1[[#This Row],[Model]],表格3[Model-Input-Ref2],表格3[TOSHIBA/HIGHEST])</f>
        <v>Toshiba SRP</v>
      </c>
      <c r="V130" s="86">
        <v>110</v>
      </c>
      <c r="W130" s="86" t="str">
        <f>_xlfn.CONCAT(表格1[[#This Row],[欄4]],表格1[[#This Row],[inv no]])</f>
        <v>1104026480</v>
      </c>
    </row>
    <row r="131" spans="1:23" ht="16.5" hidden="1">
      <c r="A131" s="81">
        <v>129</v>
      </c>
      <c r="B131" s="81" t="s">
        <v>1203</v>
      </c>
      <c r="C131" s="81" t="s">
        <v>1247</v>
      </c>
      <c r="D131" s="82" t="str">
        <f ca="1">OFFSET(Roster!$A$3,MATCH(表格1[[#This Row],[Location]]&amp;" "&amp;表格1[[#This Row],[Shop]]&amp;"*",Roster!$A$4:$A$72,0),DAY(表格1[[#This Row],[date]]),1,1)</f>
        <v>Maggie Ho_1</v>
      </c>
      <c r="E131" s="81">
        <f>MONTH(表格1[[#This Row],[date]])</f>
        <v>3</v>
      </c>
      <c r="F131" s="101">
        <v>46082</v>
      </c>
      <c r="G131" s="81" t="str">
        <f>VLOOKUP("*"&amp;表格1[[#This Row],[Input]]&amp;"*",'Ref-List'!$B:$D,2,)</f>
        <v>RC-15ISTHK(W)</v>
      </c>
      <c r="H131" s="81" t="str">
        <f>_xlfn.XLOOKUP(表格1[[#This Row],[Model]],表格3[Model-Input-Ref2],表格3[Product Line])</f>
        <v>磁應電飯煲(1.5公升)</v>
      </c>
      <c r="I131" s="81" t="str">
        <f>_xlfn.XLOOKUP(表格1[[#This Row],[Model]],表格3[Model-Input-Ref2],表格3[大小電])</f>
        <v>細電</v>
      </c>
      <c r="J131" s="81" t="str">
        <f>_xlfn.XLOOKUP(表格1[[#This Row],[Model]],表格3[Model-Input-Ref2],表格3[Code])</f>
        <v>SDA</v>
      </c>
      <c r="K131" s="82" t="s">
        <v>1204</v>
      </c>
      <c r="L131" s="81">
        <v>1</v>
      </c>
      <c r="M131" s="85">
        <v>500</v>
      </c>
      <c r="N131" s="85">
        <f>IFERROR(表格1[[#This Row],[QTY]]*表格1[[#This Row],[Unit Price]],"-")</f>
        <v>500</v>
      </c>
      <c r="O131" s="134">
        <v>4016428</v>
      </c>
      <c r="P131" s="137"/>
      <c r="Q131" s="81"/>
      <c r="R131" s="81" t="str">
        <f>_xlfn.CONCAT(表格1[[#This Row],[Model]]," ",表格1[[#This Row],[inv no]])</f>
        <v>RC-15ISTHK(W) 4016428</v>
      </c>
      <c r="S131" s="135">
        <f>_xlfn.XLOOKUP(表格1[[#This Row],[Model]],表格3[Model-Input-Ref2],表格3[SRP PRICE])</f>
        <v>1688</v>
      </c>
      <c r="T131" s="43">
        <f>表格1[[#This Row],[Unit Price]]/表格1[[#This Row],[SRP]]</f>
        <v>0.29620853080568721</v>
      </c>
      <c r="U131" s="86" t="str">
        <f>_xlfn.XLOOKUP(表格1[[#This Row],[Model]],表格3[Model-Input-Ref2],表格3[TOSHIBA/HIGHEST])</f>
        <v>Toshiba SRP</v>
      </c>
      <c r="V131" s="86">
        <v>110</v>
      </c>
      <c r="W131" s="86" t="str">
        <f>_xlfn.CONCAT(表格1[[#This Row],[欄4]],表格1[[#This Row],[inv no]])</f>
        <v>1104016428</v>
      </c>
    </row>
    <row r="132" spans="1:23" hidden="1">
      <c r="A132" s="81">
        <v>130</v>
      </c>
      <c r="B132" s="81" t="s">
        <v>1203</v>
      </c>
      <c r="C132" s="81" t="s">
        <v>1247</v>
      </c>
      <c r="D132" s="82" t="str">
        <f ca="1">OFFSET(Roster!$A$3,MATCH(表格1[[#This Row],[Location]]&amp;" "&amp;表格1[[#This Row],[Shop]]&amp;"*",Roster!$A$4:$A$72,0),DAY(表格1[[#This Row],[date]]),1,1)</f>
        <v>Maggie Ho_1</v>
      </c>
      <c r="E132" s="81">
        <f>MONTH(表格1[[#This Row],[date]])</f>
        <v>3</v>
      </c>
      <c r="F132" s="101">
        <v>46082</v>
      </c>
      <c r="G132" s="81" t="str">
        <f>VLOOKUP("*"&amp;表格1[[#This Row],[Input]]&amp;"*",'Ref-List'!$B:$D,2,)</f>
        <v>TW-BL85A2H(WW)</v>
      </c>
      <c r="H132" s="81" t="str">
        <f>_xlfn.XLOOKUP(表格1[[#This Row],[Model]],表格3[Model-Input-Ref2],表格3[Product Line])</f>
        <v>7.5KG超薄身前置式變頻洗衣機</v>
      </c>
      <c r="I132" s="81" t="str">
        <f>_xlfn.XLOOKUP(表格1[[#This Row],[Model]],表格3[Model-Input-Ref2],表格3[大小電])</f>
        <v>大電</v>
      </c>
      <c r="J132" s="81" t="str">
        <f>_xlfn.XLOOKUP(表格1[[#This Row],[Model]],表格3[Model-Input-Ref2],表格3[Code])</f>
        <v>WM</v>
      </c>
      <c r="K132" s="82" t="s">
        <v>1206</v>
      </c>
      <c r="L132" s="81">
        <v>1</v>
      </c>
      <c r="M132" s="85">
        <v>2588</v>
      </c>
      <c r="N132" s="85">
        <f>IFERROR(表格1[[#This Row],[QTY]]*表格1[[#This Row],[Unit Price]],"-")</f>
        <v>2588</v>
      </c>
      <c r="O132" s="134">
        <v>4026472</v>
      </c>
      <c r="P132" s="81"/>
      <c r="Q132" s="81"/>
      <c r="R132" s="81" t="str">
        <f>_xlfn.CONCAT(表格1[[#This Row],[Model]]," ",表格1[[#This Row],[inv no]])</f>
        <v>TW-BL85A2H(WW) 4026472</v>
      </c>
      <c r="S132" s="135">
        <f>_xlfn.XLOOKUP(表格1[[#This Row],[Model]],表格3[Model-Input-Ref2],表格3[SRP PRICE])</f>
        <v>5080</v>
      </c>
      <c r="T132" s="43">
        <f>表格1[[#This Row],[Unit Price]]/表格1[[#This Row],[SRP]]</f>
        <v>0.50944881889763782</v>
      </c>
      <c r="U132" s="86" t="str">
        <f>_xlfn.XLOOKUP(表格1[[#This Row],[Model]],表格3[Model-Input-Ref2],表格3[TOSHIBA/HIGHEST])</f>
        <v>Toshiba SRP</v>
      </c>
      <c r="V132" s="86">
        <v>110</v>
      </c>
      <c r="W132" s="86" t="str">
        <f>_xlfn.CONCAT(表格1[[#This Row],[欄4]],表格1[[#This Row],[inv no]])</f>
        <v>1104026472</v>
      </c>
    </row>
    <row r="133" spans="1:23" hidden="1">
      <c r="A133" s="81">
        <v>131</v>
      </c>
      <c r="B133" s="81" t="s">
        <v>1203</v>
      </c>
      <c r="C133" s="81" t="s">
        <v>1247</v>
      </c>
      <c r="D133" s="82" t="str">
        <f ca="1">OFFSET(Roster!$A$3,MATCH(表格1[[#This Row],[Location]]&amp;" "&amp;表格1[[#This Row],[Shop]]&amp;"*",Roster!$A$4:$A$72,0),DAY(表格1[[#This Row],[date]]),1,1)</f>
        <v>Maggie Ho_1</v>
      </c>
      <c r="E133" s="81">
        <f>MONTH(表格1[[#This Row],[date]])</f>
        <v>3</v>
      </c>
      <c r="F133" s="101">
        <v>46082</v>
      </c>
      <c r="G133" s="81" t="str">
        <f>VLOOKUP("*"&amp;表格1[[#This Row],[Input]]&amp;"*",'Ref-List'!$B:$D,2,)</f>
        <v>CWF-18CRFN8-AD5</v>
      </c>
      <c r="H133" s="81" t="str">
        <f>_xlfn.XLOOKUP(表格1[[#This Row],[Model]],表格3[Model-Input-Ref2],表格3[Product Line])</f>
        <v>Comfee 2匹變頻窗口式冷氣機</v>
      </c>
      <c r="I133" s="81" t="str">
        <f>_xlfn.XLOOKUP(表格1[[#This Row],[Model]],表格3[Model-Input-Ref2],表格3[大小電])</f>
        <v>大電</v>
      </c>
      <c r="J133" s="81" t="str">
        <f>_xlfn.XLOOKUP(表格1[[#This Row],[Model]],表格3[Model-Input-Ref2],表格3[Code])</f>
        <v>RAC</v>
      </c>
      <c r="K133" s="82" t="s">
        <v>1249</v>
      </c>
      <c r="L133" s="81">
        <v>1</v>
      </c>
      <c r="M133" s="85">
        <v>4588</v>
      </c>
      <c r="N133" s="85">
        <f>IFERROR(表格1[[#This Row],[QTY]]*表格1[[#This Row],[Unit Price]],"-")</f>
        <v>4588</v>
      </c>
      <c r="O133" s="134">
        <v>4026465</v>
      </c>
      <c r="P133" s="81"/>
      <c r="Q133" s="81"/>
      <c r="R133" s="81" t="str">
        <f>_xlfn.CONCAT(表格1[[#This Row],[Model]]," ",表格1[[#This Row],[inv no]])</f>
        <v>CWF-18CRFN8-AD5 4026465</v>
      </c>
      <c r="S133" s="135">
        <f>_xlfn.XLOOKUP(表格1[[#This Row],[Model]],表格3[Model-Input-Ref2],表格3[SRP PRICE])</f>
        <v>6600</v>
      </c>
      <c r="T133" s="43">
        <f>表格1[[#This Row],[Unit Price]]/表格1[[#This Row],[SRP]]</f>
        <v>0.69515151515151519</v>
      </c>
      <c r="U133" s="86" t="str">
        <f>_xlfn.XLOOKUP(表格1[[#This Row],[Model]],表格3[Model-Input-Ref2],表格3[TOSHIBA/HIGHEST])</f>
        <v>Shops Highest Price</v>
      </c>
      <c r="V133" s="86">
        <v>110</v>
      </c>
      <c r="W133" s="86" t="str">
        <f>_xlfn.CONCAT(表格1[[#This Row],[欄4]],表格1[[#This Row],[inv no]])</f>
        <v>1104026465</v>
      </c>
    </row>
    <row r="134" spans="1:23" ht="16.5" hidden="1">
      <c r="A134" s="81">
        <v>132</v>
      </c>
      <c r="B134" s="81" t="s">
        <v>1203</v>
      </c>
      <c r="C134" s="81" t="s">
        <v>1247</v>
      </c>
      <c r="D134" s="82" t="str">
        <f ca="1">OFFSET(Roster!$A$3,MATCH(表格1[[#This Row],[Location]]&amp;" "&amp;表格1[[#This Row],[Shop]]&amp;"*",Roster!$A$4:$A$72,0),DAY(表格1[[#This Row],[date]]),1,1)</f>
        <v>Maggie Ho_1</v>
      </c>
      <c r="E134" s="81">
        <f>MONTH(表格1[[#This Row],[date]])</f>
        <v>3</v>
      </c>
      <c r="F134" s="101">
        <v>46082</v>
      </c>
      <c r="G134" s="81" t="str">
        <f>VLOOKUP("*"&amp;表格1[[#This Row],[Input]]&amp;"*",'Ref-List'!$B:$D,2,)</f>
        <v>RAD-Y200H</v>
      </c>
      <c r="H134" s="81" t="str">
        <f>_xlfn.XLOOKUP(表格1[[#This Row],[Model]],表格3[Model-Input-Ref2],表格3[Product Line])</f>
        <v>21L壓縮式抽濕機</v>
      </c>
      <c r="I134" s="81" t="str">
        <f>_xlfn.XLOOKUP(表格1[[#This Row],[Model]],表格3[Model-Input-Ref2],表格3[大小電])</f>
        <v>大電</v>
      </c>
      <c r="J134" s="81" t="str">
        <f>_xlfn.XLOOKUP(表格1[[#This Row],[Model]],表格3[Model-Input-Ref2],表格3[Code])</f>
        <v>RAC</v>
      </c>
      <c r="K134" s="82" t="s">
        <v>1241</v>
      </c>
      <c r="L134" s="81">
        <v>1</v>
      </c>
      <c r="M134" s="85">
        <v>1500</v>
      </c>
      <c r="N134" s="85">
        <f>IFERROR(表格1[[#This Row],[QTY]]*表格1[[#This Row],[Unit Price]],"-")</f>
        <v>1500</v>
      </c>
      <c r="O134" s="134">
        <v>4026427</v>
      </c>
      <c r="P134" s="137"/>
      <c r="Q134" s="81"/>
      <c r="R134" s="81" t="str">
        <f>_xlfn.CONCAT(表格1[[#This Row],[Model]]," ",表格1[[#This Row],[inv no]])</f>
        <v>RAD-Y200H 4026427</v>
      </c>
      <c r="S134" s="135">
        <f>_xlfn.XLOOKUP(表格1[[#This Row],[Model]],表格3[Model-Input-Ref2],表格3[SRP PRICE])</f>
        <v>3280</v>
      </c>
      <c r="T134" s="43">
        <f>表格1[[#This Row],[Unit Price]]/表格1[[#This Row],[SRP]]</f>
        <v>0.45731707317073172</v>
      </c>
      <c r="U134" s="86" t="str">
        <f>_xlfn.XLOOKUP(表格1[[#This Row],[Model]],表格3[Model-Input-Ref2],表格3[TOSHIBA/HIGHEST])</f>
        <v>Toshiba SRP</v>
      </c>
      <c r="V134" s="86">
        <v>110</v>
      </c>
      <c r="W134" s="86" t="str">
        <f>_xlfn.CONCAT(表格1[[#This Row],[欄4]],表格1[[#This Row],[inv no]])</f>
        <v>1104026427</v>
      </c>
    </row>
    <row r="135" spans="1:23" ht="16.5" hidden="1">
      <c r="A135" s="81">
        <v>133</v>
      </c>
      <c r="B135" s="81" t="s">
        <v>1203</v>
      </c>
      <c r="C135" s="81" t="s">
        <v>1247</v>
      </c>
      <c r="D135" s="82" t="str">
        <f ca="1">OFFSET(Roster!$A$3,MATCH(表格1[[#This Row],[Location]]&amp;" "&amp;表格1[[#This Row],[Shop]]&amp;"*",Roster!$A$4:$A$72,0),DAY(表格1[[#This Row],[date]]),1,1)</f>
        <v>Maggie Ho_1</v>
      </c>
      <c r="E135" s="81">
        <f>MONTH(表格1[[#This Row],[date]])</f>
        <v>3</v>
      </c>
      <c r="F135" s="101">
        <v>46082</v>
      </c>
      <c r="G135" s="81" t="str">
        <f>VLOOKUP("*"&amp;表格1[[#This Row],[Input]]&amp;"*",'Ref-List'!$B:$D,2,)</f>
        <v>PLK-45SFIH(WT)</v>
      </c>
      <c r="H135" s="81" t="str">
        <f>_xlfn.XLOOKUP(表格1[[#This Row],[Model]],表格3[Model-Input-Ref2],表格3[Product Line])</f>
        <v>電熱水瓶4.5L</v>
      </c>
      <c r="I135" s="81" t="str">
        <f>_xlfn.XLOOKUP(表格1[[#This Row],[Model]],表格3[Model-Input-Ref2],表格3[大小電])</f>
        <v>細電</v>
      </c>
      <c r="J135" s="81" t="str">
        <f>_xlfn.XLOOKUP(表格1[[#This Row],[Model]],表格3[Model-Input-Ref2],表格3[Code])</f>
        <v>SDA</v>
      </c>
      <c r="K135" s="82" t="s">
        <v>1117</v>
      </c>
      <c r="L135" s="81">
        <v>1</v>
      </c>
      <c r="M135" s="85">
        <v>500</v>
      </c>
      <c r="N135" s="85">
        <f>IFERROR(表格1[[#This Row],[QTY]]*表格1[[#This Row],[Unit Price]],"-")</f>
        <v>500</v>
      </c>
      <c r="O135" s="134">
        <v>4026427</v>
      </c>
      <c r="P135" s="137"/>
      <c r="Q135" s="81"/>
      <c r="R135" s="81" t="str">
        <f>_xlfn.CONCAT(表格1[[#This Row],[Model]]," ",表格1[[#This Row],[inv no]])</f>
        <v>PLK-45SFIH(WT) 4026427</v>
      </c>
      <c r="S135" s="135">
        <f>_xlfn.XLOOKUP(表格1[[#This Row],[Model]],表格3[Model-Input-Ref2],表格3[SRP PRICE])</f>
        <v>788</v>
      </c>
      <c r="T135" s="43">
        <f>表格1[[#This Row],[Unit Price]]/表格1[[#This Row],[SRP]]</f>
        <v>0.63451776649746194</v>
      </c>
      <c r="U135" s="86" t="str">
        <f>_xlfn.XLOOKUP(表格1[[#This Row],[Model]],表格3[Model-Input-Ref2],表格3[TOSHIBA/HIGHEST])</f>
        <v>Toshiba SRP</v>
      </c>
      <c r="V135" s="86">
        <v>110</v>
      </c>
      <c r="W135" s="86" t="str">
        <f>_xlfn.CONCAT(表格1[[#This Row],[欄4]],表格1[[#This Row],[inv no]])</f>
        <v>1104026427</v>
      </c>
    </row>
    <row r="136" spans="1:23" ht="16.5" hidden="1">
      <c r="A136" s="81">
        <v>134</v>
      </c>
      <c r="B136" s="81" t="s">
        <v>1203</v>
      </c>
      <c r="C136" s="81" t="s">
        <v>1247</v>
      </c>
      <c r="D136" s="82" t="str">
        <f ca="1">OFFSET(Roster!$A$3,MATCH(表格1[[#This Row],[Location]]&amp;" "&amp;表格1[[#This Row],[Shop]]&amp;"*",Roster!$A$4:$A$72,0),DAY(表格1[[#This Row],[date]]),1,1)</f>
        <v>Maggie Ho_1</v>
      </c>
      <c r="E136" s="81">
        <f>MONTH(表格1[[#This Row],[date]])</f>
        <v>3</v>
      </c>
      <c r="F136" s="101">
        <v>46082</v>
      </c>
      <c r="G136" s="81" t="str">
        <f>VLOOKUP("*"&amp;表格1[[#This Row],[Input]]&amp;"*",'Ref-List'!$B:$D,2,)</f>
        <v>CWF-18CRFN8-AD5</v>
      </c>
      <c r="H136" s="81" t="str">
        <f>_xlfn.XLOOKUP(表格1[[#This Row],[Model]],表格3[Model-Input-Ref2],表格3[Product Line])</f>
        <v>Comfee 2匹變頻窗口式冷氣機</v>
      </c>
      <c r="I136" s="81" t="str">
        <f>_xlfn.XLOOKUP(表格1[[#This Row],[Model]],表格3[Model-Input-Ref2],表格3[大小電])</f>
        <v>大電</v>
      </c>
      <c r="J136" s="81" t="str">
        <f>_xlfn.XLOOKUP(表格1[[#This Row],[Model]],表格3[Model-Input-Ref2],表格3[Code])</f>
        <v>RAC</v>
      </c>
      <c r="K136" s="82" t="s">
        <v>1249</v>
      </c>
      <c r="L136" s="81">
        <v>1</v>
      </c>
      <c r="M136" s="85">
        <v>4588</v>
      </c>
      <c r="N136" s="85">
        <f>IFERROR(表格1[[#This Row],[QTY]]*表格1[[#This Row],[Unit Price]],"-")</f>
        <v>4588</v>
      </c>
      <c r="O136" s="134">
        <v>4026640</v>
      </c>
      <c r="P136" s="137" t="s">
        <v>1259</v>
      </c>
      <c r="Q136" s="81"/>
      <c r="R136" s="81" t="str">
        <f>_xlfn.CONCAT(表格1[[#This Row],[Model]]," ",表格1[[#This Row],[inv no]])</f>
        <v>CWF-18CRFN8-AD5 4026640</v>
      </c>
      <c r="S136" s="135">
        <f>_xlfn.XLOOKUP(表格1[[#This Row],[Model]],表格3[Model-Input-Ref2],表格3[SRP PRICE])</f>
        <v>6600</v>
      </c>
      <c r="T136" s="43">
        <f>表格1[[#This Row],[Unit Price]]/表格1[[#This Row],[SRP]]</f>
        <v>0.69515151515151519</v>
      </c>
      <c r="U136" s="86" t="str">
        <f>_xlfn.XLOOKUP(表格1[[#This Row],[Model]],表格3[Model-Input-Ref2],表格3[TOSHIBA/HIGHEST])</f>
        <v>Shops Highest Price</v>
      </c>
      <c r="V136" s="86">
        <v>110</v>
      </c>
      <c r="W136" s="86" t="str">
        <f>_xlfn.CONCAT(表格1[[#This Row],[欄4]],表格1[[#This Row],[inv no]])</f>
        <v>1104026640</v>
      </c>
    </row>
    <row r="137" spans="1:23" ht="16.5" hidden="1">
      <c r="A137" s="81">
        <v>135</v>
      </c>
      <c r="B137" s="81" t="s">
        <v>1203</v>
      </c>
      <c r="C137" s="81" t="s">
        <v>1247</v>
      </c>
      <c r="D137" s="82" t="str">
        <f ca="1">OFFSET(Roster!$A$3,MATCH(表格1[[#This Row],[Location]]&amp;" "&amp;表格1[[#This Row],[Shop]]&amp;"*",Roster!$A$4:$A$72,0),DAY(表格1[[#This Row],[date]]),1,1)</f>
        <v>Maggie Ho_1</v>
      </c>
      <c r="E137" s="81">
        <f>MONTH(表格1[[#This Row],[date]])</f>
        <v>3</v>
      </c>
      <c r="F137" s="101">
        <v>46088</v>
      </c>
      <c r="G137" s="81" t="str">
        <f>VLOOKUP("*"&amp;表格1[[#This Row],[Input]]&amp;"*",'Ref-List'!$B:$D,2,)</f>
        <v>RC-15ISTHK(W)</v>
      </c>
      <c r="H137" s="81" t="str">
        <f>_xlfn.XLOOKUP(表格1[[#This Row],[Model]],表格3[Model-Input-Ref2],表格3[Product Line])</f>
        <v>磁應電飯煲(1.5公升)</v>
      </c>
      <c r="I137" s="81" t="str">
        <f>_xlfn.XLOOKUP(表格1[[#This Row],[Model]],表格3[Model-Input-Ref2],表格3[大小電])</f>
        <v>細電</v>
      </c>
      <c r="J137" s="81" t="str">
        <f>_xlfn.XLOOKUP(表格1[[#This Row],[Model]],表格3[Model-Input-Ref2],表格3[Code])</f>
        <v>SDA</v>
      </c>
      <c r="K137" s="82" t="s">
        <v>1204</v>
      </c>
      <c r="L137" s="81">
        <v>1</v>
      </c>
      <c r="M137" s="85">
        <v>500</v>
      </c>
      <c r="N137" s="85">
        <f>IFERROR(表格1[[#This Row],[QTY]]*表格1[[#This Row],[Unit Price]],"-")</f>
        <v>500</v>
      </c>
      <c r="O137" s="134">
        <v>4026644</v>
      </c>
      <c r="P137" s="137"/>
      <c r="Q137" s="81"/>
      <c r="R137" s="81" t="str">
        <f>_xlfn.CONCAT(表格1[[#This Row],[Model]]," ",表格1[[#This Row],[inv no]])</f>
        <v>RC-15ISTHK(W) 4026644</v>
      </c>
      <c r="S137" s="135">
        <f>_xlfn.XLOOKUP(表格1[[#This Row],[Model]],表格3[Model-Input-Ref2],表格3[SRP PRICE])</f>
        <v>1688</v>
      </c>
      <c r="T137" s="43">
        <f>表格1[[#This Row],[Unit Price]]/表格1[[#This Row],[SRP]]</f>
        <v>0.29620853080568721</v>
      </c>
      <c r="U137" s="86" t="str">
        <f>_xlfn.XLOOKUP(表格1[[#This Row],[Model]],表格3[Model-Input-Ref2],表格3[TOSHIBA/HIGHEST])</f>
        <v>Toshiba SRP</v>
      </c>
      <c r="V137" s="86">
        <v>110</v>
      </c>
      <c r="W137" s="86" t="str">
        <f>_xlfn.CONCAT(表格1[[#This Row],[欄4]],表格1[[#This Row],[inv no]])</f>
        <v>1104026644</v>
      </c>
    </row>
    <row r="138" spans="1:23" ht="16.5" hidden="1">
      <c r="A138" s="81">
        <v>136</v>
      </c>
      <c r="B138" s="81" t="s">
        <v>1203</v>
      </c>
      <c r="C138" s="81" t="s">
        <v>1247</v>
      </c>
      <c r="D138" s="82" t="str">
        <f ca="1">OFFSET(Roster!$A$3,MATCH(表格1[[#This Row],[Location]]&amp;" "&amp;表格1[[#This Row],[Shop]]&amp;"*",Roster!$A$4:$A$72,0),DAY(表格1[[#This Row],[date]]),1,1)</f>
        <v>Maggie Ho_1</v>
      </c>
      <c r="E138" s="81">
        <f>MONTH(表格1[[#This Row],[date]])</f>
        <v>3</v>
      </c>
      <c r="F138" s="101">
        <v>46088</v>
      </c>
      <c r="G138" s="81" t="str">
        <f>VLOOKUP("*"&amp;表格1[[#This Row],[Input]]&amp;"*",'Ref-List'!$B:$D,2,)</f>
        <v>RC-15ISTHK(W)</v>
      </c>
      <c r="H138" s="81" t="str">
        <f>_xlfn.XLOOKUP(表格1[[#This Row],[Model]],表格3[Model-Input-Ref2],表格3[Product Line])</f>
        <v>磁應電飯煲(1.5公升)</v>
      </c>
      <c r="I138" s="81" t="str">
        <f>_xlfn.XLOOKUP(表格1[[#This Row],[Model]],表格3[Model-Input-Ref2],表格3[大小電])</f>
        <v>細電</v>
      </c>
      <c r="J138" s="81" t="str">
        <f>_xlfn.XLOOKUP(表格1[[#This Row],[Model]],表格3[Model-Input-Ref2],表格3[Code])</f>
        <v>SDA</v>
      </c>
      <c r="K138" s="82" t="s">
        <v>1204</v>
      </c>
      <c r="L138" s="81">
        <v>1</v>
      </c>
      <c r="M138" s="85">
        <v>500</v>
      </c>
      <c r="N138" s="85">
        <f>IFERROR(表格1[[#This Row],[QTY]]*表格1[[#This Row],[Unit Price]],"-")</f>
        <v>500</v>
      </c>
      <c r="O138" s="134">
        <v>4026761</v>
      </c>
      <c r="P138" s="137"/>
      <c r="Q138" s="81"/>
      <c r="R138" s="81" t="str">
        <f>_xlfn.CONCAT(表格1[[#This Row],[Model]]," ",表格1[[#This Row],[inv no]])</f>
        <v>RC-15ISTHK(W) 4026761</v>
      </c>
      <c r="S138" s="135">
        <f>_xlfn.XLOOKUP(表格1[[#This Row],[Model]],表格3[Model-Input-Ref2],表格3[SRP PRICE])</f>
        <v>1688</v>
      </c>
      <c r="T138" s="43">
        <f>表格1[[#This Row],[Unit Price]]/表格1[[#This Row],[SRP]]</f>
        <v>0.29620853080568721</v>
      </c>
      <c r="U138" s="86" t="str">
        <f>_xlfn.XLOOKUP(表格1[[#This Row],[Model]],表格3[Model-Input-Ref2],表格3[TOSHIBA/HIGHEST])</f>
        <v>Toshiba SRP</v>
      </c>
      <c r="V138" s="86">
        <v>110</v>
      </c>
      <c r="W138" s="86" t="str">
        <f>_xlfn.CONCAT(表格1[[#This Row],[欄4]],表格1[[#This Row],[inv no]])</f>
        <v>1104026761</v>
      </c>
    </row>
    <row r="139" spans="1:23" ht="16.5" hidden="1">
      <c r="A139" s="81">
        <v>137</v>
      </c>
      <c r="B139" s="81" t="s">
        <v>1203</v>
      </c>
      <c r="C139" s="81" t="s">
        <v>1247</v>
      </c>
      <c r="D139" s="82" t="str">
        <f ca="1">OFFSET(Roster!$A$3,MATCH(表格1[[#This Row],[Location]]&amp;" "&amp;表格1[[#This Row],[Shop]]&amp;"*",Roster!$A$4:$A$72,0),DAY(表格1[[#This Row],[date]]),1,1)</f>
        <v>Maggie Ho_1</v>
      </c>
      <c r="E139" s="81">
        <f>MONTH(表格1[[#This Row],[date]])</f>
        <v>3</v>
      </c>
      <c r="F139" s="101">
        <v>46088</v>
      </c>
      <c r="G139" s="81" t="str">
        <f>VLOOKUP("*"&amp;表格1[[#This Row],[Input]]&amp;"*",'Ref-List'!$B:$D,2,)</f>
        <v>TWD-BN90GF4H(WK)</v>
      </c>
      <c r="H139" s="81" t="str">
        <f>_xlfn.XLOOKUP(表格1[[#This Row],[Model]],表格3[Model-Input-Ref2],表格3[Product Line])</f>
        <v>超薄身前置式洗衣乾衣機 (洗8公斤 乾5公斤)</v>
      </c>
      <c r="I139" s="81" t="str">
        <f>_xlfn.XLOOKUP(表格1[[#This Row],[Model]],表格3[Model-Input-Ref2],表格3[大小電])</f>
        <v>大電</v>
      </c>
      <c r="J139" s="81" t="str">
        <f>_xlfn.XLOOKUP(表格1[[#This Row],[Model]],表格3[Model-Input-Ref2],表格3[Code])</f>
        <v>WM</v>
      </c>
      <c r="K139" s="82" t="s">
        <v>1199</v>
      </c>
      <c r="L139" s="81">
        <v>1</v>
      </c>
      <c r="M139" s="85">
        <v>3588</v>
      </c>
      <c r="N139" s="85">
        <f>IFERROR(表格1[[#This Row],[QTY]]*表格1[[#This Row],[Unit Price]],"-")</f>
        <v>3588</v>
      </c>
      <c r="O139" s="134">
        <v>4026760</v>
      </c>
      <c r="P139" s="137"/>
      <c r="Q139" s="81"/>
      <c r="R139" s="81" t="str">
        <f>_xlfn.CONCAT(表格1[[#This Row],[Model]]," ",表格1[[#This Row],[inv no]])</f>
        <v>TWD-BN90GF4H(WK) 4026760</v>
      </c>
      <c r="S139" s="135">
        <f>_xlfn.XLOOKUP(表格1[[#This Row],[Model]],表格3[Model-Input-Ref2],表格3[SRP PRICE])</f>
        <v>5980</v>
      </c>
      <c r="T139" s="43">
        <f>表格1[[#This Row],[Unit Price]]/表格1[[#This Row],[SRP]]</f>
        <v>0.6</v>
      </c>
      <c r="U139" s="86" t="str">
        <f>_xlfn.XLOOKUP(表格1[[#This Row],[Model]],表格3[Model-Input-Ref2],表格3[TOSHIBA/HIGHEST])</f>
        <v>Toshiba SRP</v>
      </c>
      <c r="V139" s="86">
        <v>110</v>
      </c>
      <c r="W139" s="86" t="str">
        <f>_xlfn.CONCAT(表格1[[#This Row],[欄4]],表格1[[#This Row],[inv no]])</f>
        <v>1104026760</v>
      </c>
    </row>
    <row r="140" spans="1:23" hidden="1">
      <c r="A140" s="81">
        <v>138</v>
      </c>
      <c r="B140" s="81" t="s">
        <v>1203</v>
      </c>
      <c r="C140" s="81" t="s">
        <v>1247</v>
      </c>
      <c r="D140" s="82" t="str">
        <f ca="1">OFFSET(Roster!$A$3,MATCH(表格1[[#This Row],[Location]]&amp;" "&amp;表格1[[#This Row],[Shop]]&amp;"*",Roster!$A$4:$A$72,0),DAY(表格1[[#This Row],[date]]),1,1)</f>
        <v>Maggie Ho_1</v>
      </c>
      <c r="E140" s="81">
        <f>MONTH(表格1[[#This Row],[date]])</f>
        <v>3</v>
      </c>
      <c r="F140" s="101">
        <v>46088</v>
      </c>
      <c r="G140" s="81" t="str">
        <f>VLOOKUP("*"&amp;表格1[[#This Row],[Input]]&amp;"*",'Ref-List'!$B:$D,2,)</f>
        <v>TWP-TSR76THK(W)</v>
      </c>
      <c r="H140" s="81" t="str">
        <f>_xlfn.XLOOKUP(表格1[[#This Row],[Model]],表格3[Model-Input-Ref2],表格3[Product Line])</f>
        <v>RO座檯式飲水機</v>
      </c>
      <c r="I140" s="81" t="str">
        <f>_xlfn.XLOOKUP(表格1[[#This Row],[Model]],表格3[Model-Input-Ref2],表格3[大小電])</f>
        <v>細電</v>
      </c>
      <c r="J140" s="81" t="str">
        <f>_xlfn.XLOOKUP(表格1[[#This Row],[Model]],表格3[Model-Input-Ref2],表格3[Code])</f>
        <v>KWH</v>
      </c>
      <c r="K140" s="82" t="s">
        <v>1197</v>
      </c>
      <c r="L140" s="81">
        <v>1</v>
      </c>
      <c r="M140" s="85">
        <v>1500</v>
      </c>
      <c r="N140" s="85">
        <f>IFERROR(表格1[[#This Row],[QTY]]*表格1[[#This Row],[Unit Price]],"-")</f>
        <v>1500</v>
      </c>
      <c r="O140" s="134">
        <v>4018190</v>
      </c>
      <c r="P140" s="81"/>
      <c r="Q140" s="81"/>
      <c r="R140" s="81" t="str">
        <f>_xlfn.CONCAT(表格1[[#This Row],[Model]]," ",表格1[[#This Row],[inv no]])</f>
        <v>TWP-TSR76THK(W) 4018190</v>
      </c>
      <c r="S140" s="135">
        <f>_xlfn.XLOOKUP(表格1[[#This Row],[Model]],表格3[Model-Input-Ref2],表格3[SRP PRICE])</f>
        <v>2680</v>
      </c>
      <c r="T140" s="43">
        <f>表格1[[#This Row],[Unit Price]]/表格1[[#This Row],[SRP]]</f>
        <v>0.55970149253731338</v>
      </c>
      <c r="U140" s="86" t="str">
        <f>_xlfn.XLOOKUP(表格1[[#This Row],[Model]],表格3[Model-Input-Ref2],表格3[TOSHIBA/HIGHEST])</f>
        <v>Toshiba SRP</v>
      </c>
      <c r="V140" s="86">
        <v>110</v>
      </c>
      <c r="W140" s="86" t="str">
        <f>_xlfn.CONCAT(表格1[[#This Row],[欄4]],表格1[[#This Row],[inv no]])</f>
        <v>1104018190</v>
      </c>
    </row>
    <row r="141" spans="1:23" hidden="1">
      <c r="A141" s="81">
        <v>139</v>
      </c>
      <c r="B141" s="81" t="s">
        <v>1203</v>
      </c>
      <c r="C141" s="81" t="s">
        <v>1247</v>
      </c>
      <c r="D141" s="82" t="str">
        <f ca="1">OFFSET(Roster!$A$3,MATCH(表格1[[#This Row],[Location]]&amp;" "&amp;表格1[[#This Row],[Shop]]&amp;"*",Roster!$A$4:$A$72,0),DAY(表格1[[#This Row],[date]]),1,1)</f>
        <v>Maggie Ho_1</v>
      </c>
      <c r="E141" s="81">
        <f>MONTH(表格1[[#This Row],[date]])</f>
        <v>3</v>
      </c>
      <c r="F141" s="101">
        <v>46088</v>
      </c>
      <c r="G141" s="81" t="str">
        <f>VLOOKUP("*"&amp;表格1[[#This Row],[Input]]&amp;"*",'Ref-List'!$B:$D,2,)</f>
        <v>AW-M901BPH(WW)</v>
      </c>
      <c r="H141" s="81" t="str">
        <f>_xlfn.XLOOKUP(表格1[[#This Row],[Model]],表格3[Model-Input-Ref2],表格3[Product Line])</f>
        <v>全自動洗衣機 (8公斤 結合高低水位)</v>
      </c>
      <c r="I141" s="81" t="str">
        <f>_xlfn.XLOOKUP(表格1[[#This Row],[Model]],表格3[Model-Input-Ref2],表格3[大小電])</f>
        <v>大電</v>
      </c>
      <c r="J141" s="81" t="str">
        <f>_xlfn.XLOOKUP(表格1[[#This Row],[Model]],表格3[Model-Input-Ref2],表格3[Code])</f>
        <v>WM</v>
      </c>
      <c r="K141" s="82" t="s">
        <v>1202</v>
      </c>
      <c r="L141" s="81">
        <v>1</v>
      </c>
      <c r="M141" s="85">
        <v>1500</v>
      </c>
      <c r="N141" s="85">
        <f>IFERROR(表格1[[#This Row],[QTY]]*表格1[[#This Row],[Unit Price]],"-")</f>
        <v>1500</v>
      </c>
      <c r="O141" s="134">
        <v>4018373</v>
      </c>
      <c r="P141" s="81"/>
      <c r="Q141" s="81"/>
      <c r="R141" s="81" t="str">
        <f>_xlfn.CONCAT(表格1[[#This Row],[Model]]," ",表格1[[#This Row],[inv no]])</f>
        <v>AW-M901BPH(WW) 4018373</v>
      </c>
      <c r="S141" s="135">
        <f>_xlfn.XLOOKUP(表格1[[#This Row],[Model]],表格3[Model-Input-Ref2],表格3[SRP PRICE])</f>
        <v>3580</v>
      </c>
      <c r="T141" s="43">
        <f>表格1[[#This Row],[Unit Price]]/表格1[[#This Row],[SRP]]</f>
        <v>0.41899441340782123</v>
      </c>
      <c r="U141" s="86" t="str">
        <f>_xlfn.XLOOKUP(表格1[[#This Row],[Model]],表格3[Model-Input-Ref2],表格3[TOSHIBA/HIGHEST])</f>
        <v>Toshiba SRP</v>
      </c>
      <c r="V141" s="86">
        <v>110</v>
      </c>
      <c r="W141" s="86" t="str">
        <f>_xlfn.CONCAT(表格1[[#This Row],[欄4]],表格1[[#This Row],[inv no]])</f>
        <v>1104018373</v>
      </c>
    </row>
    <row r="142" spans="1:23" ht="16.5" hidden="1">
      <c r="A142" s="81">
        <v>140</v>
      </c>
      <c r="B142" s="81" t="s">
        <v>1203</v>
      </c>
      <c r="C142" s="81" t="s">
        <v>1247</v>
      </c>
      <c r="D142" s="82" t="str">
        <f ca="1">OFFSET(Roster!$A$3,MATCH(表格1[[#This Row],[Location]]&amp;" "&amp;表格1[[#This Row],[Shop]]&amp;"*",Roster!$A$4:$A$72,0),DAY(表格1[[#This Row],[date]]),1,1)</f>
        <v>Maggie Ho_1</v>
      </c>
      <c r="E142" s="81">
        <f>MONTH(表格1[[#This Row],[date]])</f>
        <v>3</v>
      </c>
      <c r="F142" s="101">
        <v>46088</v>
      </c>
      <c r="G142" s="81" t="str">
        <f>VLOOKUP("*"&amp;表格1[[#This Row],[Input]]&amp;"*",'Ref-List'!$B:$D,2,)</f>
        <v>TW-BL85A2H(WW)</v>
      </c>
      <c r="H142" s="81" t="str">
        <f>_xlfn.XLOOKUP(表格1[[#This Row],[Model]],表格3[Model-Input-Ref2],表格3[Product Line])</f>
        <v>7.5KG超薄身前置式變頻洗衣機</v>
      </c>
      <c r="I142" s="81" t="str">
        <f>_xlfn.XLOOKUP(表格1[[#This Row],[Model]],表格3[Model-Input-Ref2],表格3[大小電])</f>
        <v>大電</v>
      </c>
      <c r="J142" s="81" t="str">
        <f>_xlfn.XLOOKUP(表格1[[#This Row],[Model]],表格3[Model-Input-Ref2],表格3[Code])</f>
        <v>WM</v>
      </c>
      <c r="K142" s="82" t="s">
        <v>1206</v>
      </c>
      <c r="L142" s="81">
        <v>1</v>
      </c>
      <c r="M142" s="85">
        <v>2588</v>
      </c>
      <c r="N142" s="85">
        <f>IFERROR(表格1[[#This Row],[QTY]]*表格1[[#This Row],[Unit Price]],"-")</f>
        <v>2588</v>
      </c>
      <c r="O142" s="134">
        <v>4026652</v>
      </c>
      <c r="P142" s="137"/>
      <c r="Q142" s="81"/>
      <c r="R142" s="81" t="str">
        <f>_xlfn.CONCAT(表格1[[#This Row],[Model]]," ",表格1[[#This Row],[inv no]])</f>
        <v>TW-BL85A2H(WW) 4026652</v>
      </c>
      <c r="S142" s="135">
        <f>_xlfn.XLOOKUP(表格1[[#This Row],[Model]],表格3[Model-Input-Ref2],表格3[SRP PRICE])</f>
        <v>5080</v>
      </c>
      <c r="T142" s="43">
        <f>表格1[[#This Row],[Unit Price]]/表格1[[#This Row],[SRP]]</f>
        <v>0.50944881889763782</v>
      </c>
      <c r="U142" s="86" t="str">
        <f>_xlfn.XLOOKUP(表格1[[#This Row],[Model]],表格3[Model-Input-Ref2],表格3[TOSHIBA/HIGHEST])</f>
        <v>Toshiba SRP</v>
      </c>
      <c r="V142" s="86">
        <v>110</v>
      </c>
      <c r="W142" s="86" t="str">
        <f>_xlfn.CONCAT(表格1[[#This Row],[欄4]],表格1[[#This Row],[inv no]])</f>
        <v>1104026652</v>
      </c>
    </row>
    <row r="143" spans="1:23" hidden="1">
      <c r="A143" s="81">
        <v>141</v>
      </c>
      <c r="B143" s="81" t="s">
        <v>1203</v>
      </c>
      <c r="C143" s="81" t="s">
        <v>1247</v>
      </c>
      <c r="D143" s="82" t="str">
        <f ca="1">OFFSET(Roster!$A$3,MATCH(表格1[[#This Row],[Location]]&amp;" "&amp;表格1[[#This Row],[Shop]]&amp;"*",Roster!$A$4:$A$72,0),DAY(表格1[[#This Row],[date]]),1,1)</f>
        <v>Maggie Ho_1</v>
      </c>
      <c r="E143" s="81">
        <f>MONTH(表格1[[#This Row],[date]])</f>
        <v>3</v>
      </c>
      <c r="F143" s="101">
        <v>46089</v>
      </c>
      <c r="G143" s="81" t="str">
        <f>VLOOKUP("*"&amp;表格1[[#This Row],[Input]]&amp;"*",'Ref-List'!$B:$D,2,)</f>
        <v>GR-A26HSZ(DS)</v>
      </c>
      <c r="H143" s="81" t="str">
        <f>_xlfn.XLOOKUP(表格1[[#This Row],[Model]],表格3[Model-Input-Ref2],表格3[Product Line])</f>
        <v>雙門變頻式環保雪櫃</v>
      </c>
      <c r="I143" s="81" t="str">
        <f>_xlfn.XLOOKUP(表格1[[#This Row],[Model]],表格3[Model-Input-Ref2],表格3[大小電])</f>
        <v>大電</v>
      </c>
      <c r="J143" s="81" t="str">
        <f>_xlfn.XLOOKUP(表格1[[#This Row],[Model]],表格3[Model-Input-Ref2],表格3[Code])</f>
        <v>AC</v>
      </c>
      <c r="K143" s="82" t="s">
        <v>1207</v>
      </c>
      <c r="L143" s="81">
        <v>1</v>
      </c>
      <c r="M143" s="85">
        <v>1500</v>
      </c>
      <c r="N143" s="85">
        <f>IFERROR(表格1[[#This Row],[QTY]]*表格1[[#This Row],[Unit Price]],"-")</f>
        <v>1500</v>
      </c>
      <c r="O143" s="134">
        <v>4018572</v>
      </c>
      <c r="P143" s="81"/>
      <c r="Q143" s="81"/>
      <c r="R143" s="81" t="str">
        <f>_xlfn.CONCAT(表格1[[#This Row],[Model]]," ",表格1[[#This Row],[inv no]])</f>
        <v>GR-A26HSZ(DS) 4018572</v>
      </c>
      <c r="S143" s="135">
        <f>_xlfn.XLOOKUP(表格1[[#This Row],[Model]],表格3[Model-Input-Ref2],表格3[SRP PRICE])</f>
        <v>3780</v>
      </c>
      <c r="T143" s="43">
        <f>表格1[[#This Row],[Unit Price]]/表格1[[#This Row],[SRP]]</f>
        <v>0.3968253968253968</v>
      </c>
      <c r="U143" s="86" t="str">
        <f>_xlfn.XLOOKUP(表格1[[#This Row],[Model]],表格3[Model-Input-Ref2],表格3[TOSHIBA/HIGHEST])</f>
        <v>Toshiba SRP</v>
      </c>
      <c r="V143" s="86">
        <v>110</v>
      </c>
      <c r="W143" s="86" t="str">
        <f>_xlfn.CONCAT(表格1[[#This Row],[欄4]],表格1[[#This Row],[inv no]])</f>
        <v>1104018572</v>
      </c>
    </row>
    <row r="144" spans="1:23" ht="16.5" hidden="1">
      <c r="A144" s="81">
        <v>142</v>
      </c>
      <c r="B144" s="81" t="s">
        <v>1203</v>
      </c>
      <c r="C144" s="81" t="s">
        <v>1247</v>
      </c>
      <c r="D144" s="82" t="str">
        <f ca="1">OFFSET(Roster!$A$3,MATCH(表格1[[#This Row],[Location]]&amp;" "&amp;表格1[[#This Row],[Shop]]&amp;"*",Roster!$A$4:$A$72,0),DAY(表格1[[#This Row],[date]]),1,1)</f>
        <v>Maggie Ho_1</v>
      </c>
      <c r="E144" s="81">
        <f>MONTH(表格1[[#This Row],[date]])</f>
        <v>3</v>
      </c>
      <c r="F144" s="101">
        <v>46089</v>
      </c>
      <c r="G144" s="81" t="str">
        <f>VLOOKUP("*"&amp;表格1[[#This Row],[Input]]&amp;"*",'Ref-List'!$B:$D,2,)</f>
        <v>TWP-TSR76THK(W)</v>
      </c>
      <c r="H144" s="81" t="str">
        <f>_xlfn.XLOOKUP(表格1[[#This Row],[Model]],表格3[Model-Input-Ref2],表格3[Product Line])</f>
        <v>RO座檯式飲水機</v>
      </c>
      <c r="I144" s="81" t="str">
        <f>_xlfn.XLOOKUP(表格1[[#This Row],[Model]],表格3[Model-Input-Ref2],表格3[大小電])</f>
        <v>細電</v>
      </c>
      <c r="J144" s="81" t="str">
        <f>_xlfn.XLOOKUP(表格1[[#This Row],[Model]],表格3[Model-Input-Ref2],表格3[Code])</f>
        <v>KWH</v>
      </c>
      <c r="K144" s="82" t="s">
        <v>1197</v>
      </c>
      <c r="L144" s="81">
        <v>1</v>
      </c>
      <c r="M144" s="85">
        <v>1500</v>
      </c>
      <c r="N144" s="85">
        <f>IFERROR(表格1[[#This Row],[QTY]]*表格1[[#This Row],[Unit Price]],"-")</f>
        <v>1500</v>
      </c>
      <c r="O144" s="134">
        <v>4019382</v>
      </c>
      <c r="P144" s="137"/>
      <c r="Q144" s="81"/>
      <c r="R144" s="81" t="str">
        <f>_xlfn.CONCAT(表格1[[#This Row],[Model]]," ",表格1[[#This Row],[inv no]])</f>
        <v>TWP-TSR76THK(W) 4019382</v>
      </c>
      <c r="S144" s="135">
        <f>_xlfn.XLOOKUP(表格1[[#This Row],[Model]],表格3[Model-Input-Ref2],表格3[SRP PRICE])</f>
        <v>2680</v>
      </c>
      <c r="T144" s="43">
        <f>表格1[[#This Row],[Unit Price]]/表格1[[#This Row],[SRP]]</f>
        <v>0.55970149253731338</v>
      </c>
      <c r="U144" s="86" t="str">
        <f>_xlfn.XLOOKUP(表格1[[#This Row],[Model]],表格3[Model-Input-Ref2],表格3[TOSHIBA/HIGHEST])</f>
        <v>Toshiba SRP</v>
      </c>
      <c r="V144" s="86">
        <v>110</v>
      </c>
      <c r="W144" s="86" t="str">
        <f>_xlfn.CONCAT(表格1[[#This Row],[欄4]],表格1[[#This Row],[inv no]])</f>
        <v>1104019382</v>
      </c>
    </row>
    <row r="145" spans="1:23" hidden="1">
      <c r="A145" s="81">
        <v>143</v>
      </c>
      <c r="B145" s="81" t="s">
        <v>1203</v>
      </c>
      <c r="C145" s="81" t="s">
        <v>1247</v>
      </c>
      <c r="D145" s="82" t="str">
        <f ca="1">OFFSET(Roster!$A$3,MATCH(表格1[[#This Row],[Location]]&amp;" "&amp;表格1[[#This Row],[Shop]]&amp;"*",Roster!$A$4:$A$72,0),DAY(表格1[[#This Row],[date]]),1,1)</f>
        <v>Maggie Ho_1</v>
      </c>
      <c r="E145" s="81">
        <f>MONTH(表格1[[#This Row],[date]])</f>
        <v>3</v>
      </c>
      <c r="F145" s="101">
        <v>46089</v>
      </c>
      <c r="G145" s="81" t="str">
        <f>VLOOKUP("*"&amp;表格1[[#This Row],[Input]]&amp;"*",'Ref-List'!$B:$D,2,)</f>
        <v>RC-15ISTHK(W)</v>
      </c>
      <c r="H145" s="81" t="str">
        <f>_xlfn.XLOOKUP(表格1[[#This Row],[Model]],表格3[Model-Input-Ref2],表格3[Product Line])</f>
        <v>磁應電飯煲(1.5公升)</v>
      </c>
      <c r="I145" s="81" t="str">
        <f>_xlfn.XLOOKUP(表格1[[#This Row],[Model]],表格3[Model-Input-Ref2],表格3[大小電])</f>
        <v>細電</v>
      </c>
      <c r="J145" s="81" t="str">
        <f>_xlfn.XLOOKUP(表格1[[#This Row],[Model]],表格3[Model-Input-Ref2],表格3[Code])</f>
        <v>SDA</v>
      </c>
      <c r="K145" s="82" t="s">
        <v>1204</v>
      </c>
      <c r="L145" s="81">
        <v>1</v>
      </c>
      <c r="M145" s="85">
        <v>500</v>
      </c>
      <c r="N145" s="85">
        <f>IFERROR(表格1[[#This Row],[QTY]]*表格1[[#This Row],[Unit Price]],"-")</f>
        <v>500</v>
      </c>
      <c r="O145" s="134">
        <v>4019409</v>
      </c>
      <c r="P145" s="81"/>
      <c r="Q145" s="81"/>
      <c r="R145" s="81" t="str">
        <f>_xlfn.CONCAT(表格1[[#This Row],[Model]]," ",表格1[[#This Row],[inv no]])</f>
        <v>RC-15ISTHK(W) 4019409</v>
      </c>
      <c r="S145" s="135">
        <f>_xlfn.XLOOKUP(表格1[[#This Row],[Model]],表格3[Model-Input-Ref2],表格3[SRP PRICE])</f>
        <v>1688</v>
      </c>
      <c r="T145" s="43">
        <f>表格1[[#This Row],[Unit Price]]/表格1[[#This Row],[SRP]]</f>
        <v>0.29620853080568721</v>
      </c>
      <c r="U145" s="86" t="str">
        <f>_xlfn.XLOOKUP(表格1[[#This Row],[Model]],表格3[Model-Input-Ref2],表格3[TOSHIBA/HIGHEST])</f>
        <v>Toshiba SRP</v>
      </c>
      <c r="V145" s="86">
        <v>110</v>
      </c>
      <c r="W145" s="86" t="str">
        <f>_xlfn.CONCAT(表格1[[#This Row],[欄4]],表格1[[#This Row],[inv no]])</f>
        <v>1104019409</v>
      </c>
    </row>
    <row r="146" spans="1:23" ht="16.5" hidden="1">
      <c r="A146" s="81">
        <v>144</v>
      </c>
      <c r="B146" s="81" t="s">
        <v>1203</v>
      </c>
      <c r="C146" s="81" t="s">
        <v>1247</v>
      </c>
      <c r="D146" s="82" t="str">
        <f ca="1">OFFSET(Roster!$A$3,MATCH(表格1[[#This Row],[Location]]&amp;" "&amp;表格1[[#This Row],[Shop]]&amp;"*",Roster!$A$4:$A$72,0),DAY(表格1[[#This Row],[date]]),1,1)</f>
        <v>Maggie Ho_1</v>
      </c>
      <c r="E146" s="81">
        <f>MONTH(表格1[[#This Row],[date]])</f>
        <v>3</v>
      </c>
      <c r="F146" s="101">
        <v>46089</v>
      </c>
      <c r="G146" s="81" t="str">
        <f>VLOOKUP("*"&amp;表格1[[#This Row],[Input]]&amp;"*",'Ref-List'!$B:$D,2,)</f>
        <v>MW2-MM24PC(BK)</v>
      </c>
      <c r="H146" s="81" t="str">
        <f>_xlfn.XLOOKUP(表格1[[#This Row],[Model]],表格3[Model-Input-Ref2],表格3[Product Line])</f>
        <v>旋鈕式微波爐24L</v>
      </c>
      <c r="I146" s="81" t="str">
        <f>_xlfn.XLOOKUP(表格1[[#This Row],[Model]],表格3[Model-Input-Ref2],表格3[大小電])</f>
        <v>細電</v>
      </c>
      <c r="J146" s="81" t="str">
        <f>_xlfn.XLOOKUP(表格1[[#This Row],[Model]],表格3[Model-Input-Ref2],表格3[Code])</f>
        <v>SDA</v>
      </c>
      <c r="K146" s="82" t="s">
        <v>1196</v>
      </c>
      <c r="L146" s="81">
        <v>1</v>
      </c>
      <c r="M146" s="85">
        <v>500</v>
      </c>
      <c r="N146" s="85">
        <f>IFERROR(表格1[[#This Row],[QTY]]*表格1[[#This Row],[Unit Price]],"-")</f>
        <v>500</v>
      </c>
      <c r="O146" s="134">
        <v>4019125</v>
      </c>
      <c r="P146" s="137"/>
      <c r="Q146" s="81"/>
      <c r="R146" s="81" t="str">
        <f>_xlfn.CONCAT(表格1[[#This Row],[Model]]," ",表格1[[#This Row],[inv no]])</f>
        <v>MW2-MM24PC(BK) 4019125</v>
      </c>
      <c r="S146" s="135">
        <f>_xlfn.XLOOKUP(表格1[[#This Row],[Model]],表格3[Model-Input-Ref2],表格3[SRP PRICE])</f>
        <v>848</v>
      </c>
      <c r="T146" s="43">
        <f>表格1[[#This Row],[Unit Price]]/表格1[[#This Row],[SRP]]</f>
        <v>0.589622641509434</v>
      </c>
      <c r="U146" s="86" t="str">
        <f>_xlfn.XLOOKUP(表格1[[#This Row],[Model]],表格3[Model-Input-Ref2],表格3[TOSHIBA/HIGHEST])</f>
        <v>Toshiba SRP</v>
      </c>
      <c r="V146" s="86">
        <v>110</v>
      </c>
      <c r="W146" s="86" t="str">
        <f>_xlfn.CONCAT(表格1[[#This Row],[欄4]],表格1[[#This Row],[inv no]])</f>
        <v>1104019125</v>
      </c>
    </row>
    <row r="147" spans="1:23" hidden="1">
      <c r="A147" s="81">
        <v>145</v>
      </c>
      <c r="B147" s="81" t="s">
        <v>1203</v>
      </c>
      <c r="C147" s="81" t="s">
        <v>1247</v>
      </c>
      <c r="D147" s="82" t="str">
        <f ca="1">OFFSET(Roster!$A$3,MATCH(表格1[[#This Row],[Location]]&amp;" "&amp;表格1[[#This Row],[Shop]]&amp;"*",Roster!$A$4:$A$72,0),DAY(表格1[[#This Row],[date]]),1,1)</f>
        <v>Maggie Ho_1</v>
      </c>
      <c r="E147" s="81">
        <f>MONTH(表格1[[#This Row],[date]])</f>
        <v>3</v>
      </c>
      <c r="F147" s="101">
        <v>46089</v>
      </c>
      <c r="G147" s="81" t="str">
        <f>VLOOKUP("*"&amp;表格1[[#This Row],[Input]]&amp;"*",'Ref-List'!$B:$D,2,)</f>
        <v>RC-15ISTHK(W)</v>
      </c>
      <c r="H147" s="81" t="str">
        <f>_xlfn.XLOOKUP(表格1[[#This Row],[Model]],表格3[Model-Input-Ref2],表格3[Product Line])</f>
        <v>磁應電飯煲(1.5公升)</v>
      </c>
      <c r="I147" s="81" t="str">
        <f>_xlfn.XLOOKUP(表格1[[#This Row],[Model]],表格3[Model-Input-Ref2],表格3[大小電])</f>
        <v>細電</v>
      </c>
      <c r="J147" s="81" t="str">
        <f>_xlfn.XLOOKUP(表格1[[#This Row],[Model]],表格3[Model-Input-Ref2],表格3[Code])</f>
        <v>SDA</v>
      </c>
      <c r="K147" s="82" t="s">
        <v>1204</v>
      </c>
      <c r="L147" s="81">
        <v>1</v>
      </c>
      <c r="M147" s="85">
        <v>500</v>
      </c>
      <c r="N147" s="85">
        <f>IFERROR(表格1[[#This Row],[QTY]]*表格1[[#This Row],[Unit Price]],"-")</f>
        <v>500</v>
      </c>
      <c r="O147" s="134">
        <v>4027689</v>
      </c>
      <c r="P147" s="81"/>
      <c r="Q147" s="81"/>
      <c r="R147" s="81" t="str">
        <f>_xlfn.CONCAT(表格1[[#This Row],[Model]]," ",表格1[[#This Row],[inv no]])</f>
        <v>RC-15ISTHK(W) 4027689</v>
      </c>
      <c r="S147" s="135">
        <f>_xlfn.XLOOKUP(表格1[[#This Row],[Model]],表格3[Model-Input-Ref2],表格3[SRP PRICE])</f>
        <v>1688</v>
      </c>
      <c r="T147" s="43">
        <f>表格1[[#This Row],[Unit Price]]/表格1[[#This Row],[SRP]]</f>
        <v>0.29620853080568721</v>
      </c>
      <c r="U147" s="86" t="str">
        <f>_xlfn.XLOOKUP(表格1[[#This Row],[Model]],表格3[Model-Input-Ref2],表格3[TOSHIBA/HIGHEST])</f>
        <v>Toshiba SRP</v>
      </c>
      <c r="V147" s="86">
        <v>110</v>
      </c>
      <c r="W147" s="86" t="str">
        <f>_xlfn.CONCAT(表格1[[#This Row],[欄4]],表格1[[#This Row],[inv no]])</f>
        <v>1104027689</v>
      </c>
    </row>
    <row r="148" spans="1:23" ht="16.5" hidden="1">
      <c r="A148" s="81">
        <v>146</v>
      </c>
      <c r="B148" s="81" t="s">
        <v>1203</v>
      </c>
      <c r="C148" s="81" t="s">
        <v>1247</v>
      </c>
      <c r="D148" s="82" t="str">
        <f ca="1">OFFSET(Roster!$A$3,MATCH(表格1[[#This Row],[Location]]&amp;" "&amp;表格1[[#This Row],[Shop]]&amp;"*",Roster!$A$4:$A$72,0),DAY(表格1[[#This Row],[date]]),1,1)</f>
        <v>Maggie Ho_1</v>
      </c>
      <c r="E148" s="81">
        <f>MONTH(表格1[[#This Row],[date]])</f>
        <v>3</v>
      </c>
      <c r="F148" s="101">
        <v>46089</v>
      </c>
      <c r="G148" s="81" t="str">
        <f>VLOOKUP("*"&amp;表格1[[#This Row],[Input]]&amp;"*",'Ref-List'!$B:$D,2,)</f>
        <v>RAD-D200H</v>
      </c>
      <c r="H148" s="81" t="str">
        <f>_xlfn.XLOOKUP(表格1[[#This Row],[Model]],表格3[Model-Input-Ref2],表格3[Product Line])</f>
        <v>壓縮式抽濕機 (22公升)</v>
      </c>
      <c r="I148" s="81" t="str">
        <f>_xlfn.XLOOKUP(表格1[[#This Row],[Model]],表格3[Model-Input-Ref2],表格3[大小電])</f>
        <v>細電</v>
      </c>
      <c r="J148" s="81" t="str">
        <f>_xlfn.XLOOKUP(表格1[[#This Row],[Model]],表格3[Model-Input-Ref2],表格3[Code])</f>
        <v>RAC</v>
      </c>
      <c r="K148" s="82" t="s">
        <v>1250</v>
      </c>
      <c r="L148" s="81">
        <v>1</v>
      </c>
      <c r="M148" s="85">
        <v>2280</v>
      </c>
      <c r="N148" s="85">
        <f>IFERROR(表格1[[#This Row],[QTY]]*表格1[[#This Row],[Unit Price]],"-")</f>
        <v>2280</v>
      </c>
      <c r="O148" s="134">
        <v>4028068</v>
      </c>
      <c r="P148" s="137"/>
      <c r="Q148" s="81"/>
      <c r="R148" s="81" t="str">
        <f>_xlfn.CONCAT(表格1[[#This Row],[Model]]," ",表格1[[#This Row],[inv no]])</f>
        <v>RAD-D200H 4028068</v>
      </c>
      <c r="S148" s="135">
        <f>_xlfn.XLOOKUP(表格1[[#This Row],[Model]],表格3[Model-Input-Ref2],表格3[SRP PRICE])</f>
        <v>2880</v>
      </c>
      <c r="T148" s="43">
        <f>表格1[[#This Row],[Unit Price]]/表格1[[#This Row],[SRP]]</f>
        <v>0.79166666666666663</v>
      </c>
      <c r="U148" s="86" t="str">
        <f>_xlfn.XLOOKUP(表格1[[#This Row],[Model]],表格3[Model-Input-Ref2],表格3[TOSHIBA/HIGHEST])</f>
        <v>Shops Highest Price</v>
      </c>
      <c r="V148" s="86">
        <v>110</v>
      </c>
      <c r="W148" s="86" t="str">
        <f>_xlfn.CONCAT(表格1[[#This Row],[欄4]],表格1[[#This Row],[inv no]])</f>
        <v>1104028068</v>
      </c>
    </row>
    <row r="149" spans="1:23" ht="16.5" hidden="1">
      <c r="A149" s="81">
        <v>147</v>
      </c>
      <c r="B149" s="81" t="s">
        <v>1203</v>
      </c>
      <c r="C149" s="81" t="s">
        <v>1247</v>
      </c>
      <c r="D149" s="82" t="str">
        <f ca="1">OFFSET(Roster!$A$3,MATCH(表格1[[#This Row],[Location]]&amp;" "&amp;表格1[[#This Row],[Shop]]&amp;"*",Roster!$A$4:$A$72,0),DAY(表格1[[#This Row],[date]]),1,1)</f>
        <v>Maggie Ho_1</v>
      </c>
      <c r="E149" s="81">
        <f>MONTH(表格1[[#This Row],[date]])</f>
        <v>3</v>
      </c>
      <c r="F149" s="101">
        <v>46095</v>
      </c>
      <c r="G149" s="81" t="str">
        <f>VLOOKUP("*"&amp;表格1[[#This Row],[Input]]&amp;"*",'Ref-List'!$B:$D,2,)</f>
        <v>CWF-18CRFN8-AD5</v>
      </c>
      <c r="H149" s="81" t="str">
        <f>_xlfn.XLOOKUP(表格1[[#This Row],[Model]],表格3[Model-Input-Ref2],表格3[Product Line])</f>
        <v>Comfee 2匹變頻窗口式冷氣機</v>
      </c>
      <c r="I149" s="81" t="str">
        <f>_xlfn.XLOOKUP(表格1[[#This Row],[Model]],表格3[Model-Input-Ref2],表格3[大小電])</f>
        <v>大電</v>
      </c>
      <c r="J149" s="81" t="str">
        <f>_xlfn.XLOOKUP(表格1[[#This Row],[Model]],表格3[Model-Input-Ref2],表格3[Code])</f>
        <v>RAC</v>
      </c>
      <c r="K149" s="82" t="s">
        <v>1251</v>
      </c>
      <c r="L149" s="81">
        <v>1</v>
      </c>
      <c r="M149" s="85">
        <v>4588</v>
      </c>
      <c r="N149" s="85">
        <f>IFERROR(表格1[[#This Row],[QTY]]*表格1[[#This Row],[Unit Price]],"-")</f>
        <v>4588</v>
      </c>
      <c r="O149" s="134">
        <v>4028883</v>
      </c>
      <c r="P149" s="137"/>
      <c r="Q149" s="81"/>
      <c r="R149" s="81" t="str">
        <f>_xlfn.CONCAT(表格1[[#This Row],[Model]]," ",表格1[[#This Row],[inv no]])</f>
        <v>CWF-18CRFN8-AD5 4028883</v>
      </c>
      <c r="S149" s="135">
        <f>_xlfn.XLOOKUP(表格1[[#This Row],[Model]],表格3[Model-Input-Ref2],表格3[SRP PRICE])</f>
        <v>6600</v>
      </c>
      <c r="T149" s="43">
        <f>表格1[[#This Row],[Unit Price]]/表格1[[#This Row],[SRP]]</f>
        <v>0.69515151515151519</v>
      </c>
      <c r="U149" s="86" t="str">
        <f>_xlfn.XLOOKUP(表格1[[#This Row],[Model]],表格3[Model-Input-Ref2],表格3[TOSHIBA/HIGHEST])</f>
        <v>Shops Highest Price</v>
      </c>
      <c r="V149" s="86">
        <v>110</v>
      </c>
      <c r="W149" s="86" t="str">
        <f>_xlfn.CONCAT(表格1[[#This Row],[欄4]],表格1[[#This Row],[inv no]])</f>
        <v>1104028883</v>
      </c>
    </row>
    <row r="150" spans="1:23" ht="16.5" hidden="1">
      <c r="A150" s="81">
        <v>148</v>
      </c>
      <c r="B150" s="81" t="s">
        <v>1203</v>
      </c>
      <c r="C150" s="81" t="s">
        <v>1247</v>
      </c>
      <c r="D150" s="82" t="str">
        <f ca="1">OFFSET(Roster!$A$3,MATCH(表格1[[#This Row],[Location]]&amp;" "&amp;表格1[[#This Row],[Shop]]&amp;"*",Roster!$A$4:$A$72,0),DAY(表格1[[#This Row],[date]]),1,1)</f>
        <v>Maggie Ho_1</v>
      </c>
      <c r="E150" s="81">
        <f>MONTH(表格1[[#This Row],[date]])</f>
        <v>3</v>
      </c>
      <c r="F150" s="101">
        <v>46095</v>
      </c>
      <c r="G150" s="81" t="str">
        <f>VLOOKUP("*"&amp;表格1[[#This Row],[Input]]&amp;"*",'Ref-List'!$B:$D,2,)</f>
        <v>ER-TD5000HK(XK)</v>
      </c>
      <c r="H150" s="81" t="str">
        <f>_xlfn.XLOOKUP(表格1[[#This Row],[Model]],表格3[Model-Input-Ref2],表格3[Product Line])</f>
        <v>座檯式純蒸氣烤焗水波爐30L</v>
      </c>
      <c r="I150" s="81" t="str">
        <f>_xlfn.XLOOKUP(表格1[[#This Row],[Model]],表格3[Model-Input-Ref2],表格3[大小電])</f>
        <v>細電</v>
      </c>
      <c r="J150" s="81" t="str">
        <f>_xlfn.XLOOKUP(表格1[[#This Row],[Model]],表格3[Model-Input-Ref2],表格3[Code])</f>
        <v>SDA</v>
      </c>
      <c r="K150" s="82" t="s">
        <v>1205</v>
      </c>
      <c r="L150" s="81">
        <v>1</v>
      </c>
      <c r="M150" s="85">
        <v>3588</v>
      </c>
      <c r="N150" s="85">
        <f>IFERROR(表格1[[#This Row],[QTY]]*表格1[[#This Row],[Unit Price]],"-")</f>
        <v>3588</v>
      </c>
      <c r="O150" s="134">
        <v>4028236</v>
      </c>
      <c r="P150" s="137"/>
      <c r="Q150" s="81"/>
      <c r="R150" s="81" t="str">
        <f>_xlfn.CONCAT(表格1[[#This Row],[Model]]," ",表格1[[#This Row],[inv no]])</f>
        <v>ER-TD5000HK(XK) 4028236</v>
      </c>
      <c r="S150" s="135">
        <f>_xlfn.XLOOKUP(表格1[[#This Row],[Model]],表格3[Model-Input-Ref2],表格3[SRP PRICE])</f>
        <v>7998</v>
      </c>
      <c r="T150" s="43">
        <f>表格1[[#This Row],[Unit Price]]/表格1[[#This Row],[SRP]]</f>
        <v>0.44861215303825958</v>
      </c>
      <c r="U150" s="86" t="str">
        <f>_xlfn.XLOOKUP(表格1[[#This Row],[Model]],表格3[Model-Input-Ref2],表格3[TOSHIBA/HIGHEST])</f>
        <v>Toshiba SRP</v>
      </c>
      <c r="V150" s="86">
        <v>110</v>
      </c>
      <c r="W150" s="86" t="str">
        <f>_xlfn.CONCAT(表格1[[#This Row],[欄4]],表格1[[#This Row],[inv no]])</f>
        <v>1104028236</v>
      </c>
    </row>
    <row r="151" spans="1:23" ht="16.5" hidden="1">
      <c r="A151" s="81">
        <v>149</v>
      </c>
      <c r="B151" s="81" t="s">
        <v>1203</v>
      </c>
      <c r="C151" s="81" t="s">
        <v>1247</v>
      </c>
      <c r="D151" s="82" t="str">
        <f ca="1">OFFSET(Roster!$A$3,MATCH(表格1[[#This Row],[Location]]&amp;" "&amp;表格1[[#This Row],[Shop]]&amp;"*",Roster!$A$4:$A$72,0),DAY(表格1[[#This Row],[date]]),1,1)</f>
        <v>Maggie Ho_1</v>
      </c>
      <c r="E151" s="81">
        <f>MONTH(表格1[[#This Row],[date]])</f>
        <v>3</v>
      </c>
      <c r="F151" s="101">
        <v>46095</v>
      </c>
      <c r="G151" s="81" t="str">
        <f>VLOOKUP("*"&amp;表格1[[#This Row],[Input]]&amp;"*",'Ref-List'!$B:$D,2,)</f>
        <v>PLK-45SFIH(WT)</v>
      </c>
      <c r="H151" s="81" t="str">
        <f>_xlfn.XLOOKUP(表格1[[#This Row],[Model]],表格3[Model-Input-Ref2],表格3[Product Line])</f>
        <v>電熱水瓶4.5L</v>
      </c>
      <c r="I151" s="81" t="str">
        <f>_xlfn.XLOOKUP(表格1[[#This Row],[Model]],表格3[Model-Input-Ref2],表格3[大小電])</f>
        <v>細電</v>
      </c>
      <c r="J151" s="81" t="str">
        <f>_xlfn.XLOOKUP(表格1[[#This Row],[Model]],表格3[Model-Input-Ref2],表格3[Code])</f>
        <v>SDA</v>
      </c>
      <c r="K151" s="82" t="s">
        <v>1117</v>
      </c>
      <c r="L151" s="81">
        <v>1</v>
      </c>
      <c r="M151" s="85">
        <v>500</v>
      </c>
      <c r="N151" s="85">
        <f>IFERROR(表格1[[#This Row],[QTY]]*表格1[[#This Row],[Unit Price]],"-")</f>
        <v>500</v>
      </c>
      <c r="O151" s="134">
        <v>4010388</v>
      </c>
      <c r="P151" s="137"/>
      <c r="Q151" s="81"/>
      <c r="R151" s="81" t="str">
        <f>_xlfn.CONCAT(表格1[[#This Row],[Model]]," ",表格1[[#This Row],[inv no]])</f>
        <v>PLK-45SFIH(WT) 4010388</v>
      </c>
      <c r="S151" s="135">
        <f>_xlfn.XLOOKUP(表格1[[#This Row],[Model]],表格3[Model-Input-Ref2],表格3[SRP PRICE])</f>
        <v>788</v>
      </c>
      <c r="T151" s="43">
        <f>表格1[[#This Row],[Unit Price]]/表格1[[#This Row],[SRP]]</f>
        <v>0.63451776649746194</v>
      </c>
      <c r="U151" s="86" t="str">
        <f>_xlfn.XLOOKUP(表格1[[#This Row],[Model]],表格3[Model-Input-Ref2],表格3[TOSHIBA/HIGHEST])</f>
        <v>Toshiba SRP</v>
      </c>
      <c r="V151" s="86">
        <v>110</v>
      </c>
      <c r="W151" s="86" t="str">
        <f>_xlfn.CONCAT(表格1[[#This Row],[欄4]],表格1[[#This Row],[inv no]])</f>
        <v>1104010388</v>
      </c>
    </row>
    <row r="152" spans="1:23" ht="16.5" hidden="1">
      <c r="A152" s="81">
        <v>150</v>
      </c>
      <c r="B152" s="81" t="s">
        <v>1203</v>
      </c>
      <c r="C152" s="81" t="s">
        <v>1247</v>
      </c>
      <c r="D152" s="82" t="str">
        <f ca="1">OFFSET(Roster!$A$3,MATCH(表格1[[#This Row],[Location]]&amp;" "&amp;表格1[[#This Row],[Shop]]&amp;"*",Roster!$A$4:$A$72,0),DAY(表格1[[#This Row],[date]]),1,1)</f>
        <v>Maggie Ho_1</v>
      </c>
      <c r="E152" s="81">
        <f>MONTH(表格1[[#This Row],[date]])</f>
        <v>3</v>
      </c>
      <c r="F152" s="101">
        <v>46095</v>
      </c>
      <c r="G152" s="81" t="str">
        <f>VLOOKUP("*"&amp;表格1[[#This Row],[Input]]&amp;"*",'Ref-List'!$B:$D,2,)</f>
        <v>DWS-34AHK</v>
      </c>
      <c r="H152" s="81" t="str">
        <f>_xlfn.XLOOKUP(表格1[[#This Row],[Model]],表格3[Model-Input-Ref2],表格3[Product Line])</f>
        <v>獨立式免安裝洗碗碟機</v>
      </c>
      <c r="I152" s="81" t="str">
        <f>_xlfn.XLOOKUP(表格1[[#This Row],[Model]],表格3[Model-Input-Ref2],表格3[大小電])</f>
        <v>細電</v>
      </c>
      <c r="J152" s="81" t="str">
        <f>_xlfn.XLOOKUP(表格1[[#This Row],[Model]],表格3[Model-Input-Ref2],表格3[Code])</f>
        <v>DM</v>
      </c>
      <c r="K152" s="82" t="s">
        <v>1240</v>
      </c>
      <c r="L152" s="81">
        <v>1</v>
      </c>
      <c r="M152" s="85">
        <v>1500</v>
      </c>
      <c r="N152" s="85">
        <f>IFERROR(表格1[[#This Row],[QTY]]*表格1[[#This Row],[Unit Price]],"-")</f>
        <v>1500</v>
      </c>
      <c r="O152" s="134">
        <v>4029714</v>
      </c>
      <c r="P152" s="137" t="s">
        <v>2461</v>
      </c>
      <c r="Q152" s="81"/>
      <c r="R152" s="81" t="str">
        <f>_xlfn.CONCAT(表格1[[#This Row],[Model]]," ",表格1[[#This Row],[inv no]])</f>
        <v>DWS-34AHK 4029714</v>
      </c>
      <c r="S152" s="135">
        <f>_xlfn.XLOOKUP(表格1[[#This Row],[Model]],表格3[Model-Input-Ref2],表格3[SRP PRICE])</f>
        <v>3999</v>
      </c>
      <c r="T152" s="43">
        <f>表格1[[#This Row],[Unit Price]]/表格1[[#This Row],[SRP]]</f>
        <v>0.37509377344336087</v>
      </c>
      <c r="U152" s="86" t="str">
        <f>_xlfn.XLOOKUP(表格1[[#This Row],[Model]],表格3[Model-Input-Ref2],表格3[TOSHIBA/HIGHEST])</f>
        <v>Web SRP</v>
      </c>
      <c r="V152" s="86">
        <v>110</v>
      </c>
      <c r="W152" s="86" t="str">
        <f>_xlfn.CONCAT(表格1[[#This Row],[欄4]],表格1[[#This Row],[inv no]])</f>
        <v>1104029714</v>
      </c>
    </row>
    <row r="153" spans="1:23" ht="16.5" hidden="1">
      <c r="A153" s="81">
        <v>151</v>
      </c>
      <c r="B153" s="81" t="s">
        <v>1203</v>
      </c>
      <c r="C153" s="81" t="s">
        <v>1247</v>
      </c>
      <c r="D153" s="82" t="str">
        <f ca="1">OFFSET(Roster!$A$3,MATCH(表格1[[#This Row],[Location]]&amp;" "&amp;表格1[[#This Row],[Shop]]&amp;"*",Roster!$A$4:$A$72,0),DAY(表格1[[#This Row],[date]]),1,1)</f>
        <v>Maggie Ho_1</v>
      </c>
      <c r="E153" s="81">
        <f>MONTH(表格1[[#This Row],[date]])</f>
        <v>3</v>
      </c>
      <c r="F153" s="101">
        <v>46095</v>
      </c>
      <c r="G153" s="81" t="str">
        <f>VLOOKUP("*"&amp;表格1[[#This Row],[Input]]&amp;"*",'Ref-List'!$B:$D,2,)</f>
        <v>TW-BL85A2H(WW)</v>
      </c>
      <c r="H153" s="81" t="str">
        <f>_xlfn.XLOOKUP(表格1[[#This Row],[Model]],表格3[Model-Input-Ref2],表格3[Product Line])</f>
        <v>7.5KG超薄身前置式變頻洗衣機</v>
      </c>
      <c r="I153" s="81" t="str">
        <f>_xlfn.XLOOKUP(表格1[[#This Row],[Model]],表格3[Model-Input-Ref2],表格3[大小電])</f>
        <v>大電</v>
      </c>
      <c r="J153" s="81" t="str">
        <f>_xlfn.XLOOKUP(表格1[[#This Row],[Model]],表格3[Model-Input-Ref2],表格3[Code])</f>
        <v>WM</v>
      </c>
      <c r="K153" s="82" t="s">
        <v>1206</v>
      </c>
      <c r="L153" s="81">
        <v>1</v>
      </c>
      <c r="M153" s="85">
        <v>2588</v>
      </c>
      <c r="N153" s="85">
        <f>IFERROR(表格1[[#This Row],[QTY]]*表格1[[#This Row],[Unit Price]],"-")</f>
        <v>2588</v>
      </c>
      <c r="O153" s="134">
        <v>4012203</v>
      </c>
      <c r="P153" s="137"/>
      <c r="Q153" s="81"/>
      <c r="R153" s="81" t="str">
        <f>_xlfn.CONCAT(表格1[[#This Row],[Model]]," ",表格1[[#This Row],[inv no]])</f>
        <v>TW-BL85A2H(WW) 4012203</v>
      </c>
      <c r="S153" s="135">
        <f>_xlfn.XLOOKUP(表格1[[#This Row],[Model]],表格3[Model-Input-Ref2],表格3[SRP PRICE])</f>
        <v>5080</v>
      </c>
      <c r="T153" s="43">
        <f>表格1[[#This Row],[Unit Price]]/表格1[[#This Row],[SRP]]</f>
        <v>0.50944881889763782</v>
      </c>
      <c r="U153" s="86" t="str">
        <f>_xlfn.XLOOKUP(表格1[[#This Row],[Model]],表格3[Model-Input-Ref2],表格3[TOSHIBA/HIGHEST])</f>
        <v>Toshiba SRP</v>
      </c>
      <c r="V153" s="86">
        <v>110</v>
      </c>
      <c r="W153" s="86" t="str">
        <f>_xlfn.CONCAT(表格1[[#This Row],[欄4]],表格1[[#This Row],[inv no]])</f>
        <v>1104012203</v>
      </c>
    </row>
    <row r="154" spans="1:23" ht="16.5" hidden="1">
      <c r="A154" s="81">
        <v>152</v>
      </c>
      <c r="B154" s="81" t="s">
        <v>1203</v>
      </c>
      <c r="C154" s="81" t="s">
        <v>1247</v>
      </c>
      <c r="D154" s="82" t="str">
        <f ca="1">OFFSET(Roster!$A$3,MATCH(表格1[[#This Row],[Location]]&amp;" "&amp;表格1[[#This Row],[Shop]]&amp;"*",Roster!$A$4:$A$72,0),DAY(表格1[[#This Row],[date]]),1,1)</f>
        <v>Maggie Ho_1</v>
      </c>
      <c r="E154" s="81">
        <f>MONTH(表格1[[#This Row],[date]])</f>
        <v>3</v>
      </c>
      <c r="F154" s="101">
        <v>46096</v>
      </c>
      <c r="G154" s="81" t="str">
        <f>VLOOKUP("*"&amp;表格1[[#This Row],[Input]]&amp;"*",'Ref-List'!$B:$D,2,)</f>
        <v>TW-BL85A2H(WW)</v>
      </c>
      <c r="H154" s="81" t="str">
        <f>_xlfn.XLOOKUP(表格1[[#This Row],[Model]],表格3[Model-Input-Ref2],表格3[Product Line])</f>
        <v>7.5KG超薄身前置式變頻洗衣機</v>
      </c>
      <c r="I154" s="81" t="str">
        <f>_xlfn.XLOOKUP(表格1[[#This Row],[Model]],表格3[Model-Input-Ref2],表格3[大小電])</f>
        <v>大電</v>
      </c>
      <c r="J154" s="81" t="str">
        <f>_xlfn.XLOOKUP(表格1[[#This Row],[Model]],表格3[Model-Input-Ref2],表格3[Code])</f>
        <v>WM</v>
      </c>
      <c r="K154" s="82" t="s">
        <v>1206</v>
      </c>
      <c r="L154" s="81">
        <v>1</v>
      </c>
      <c r="M154" s="85">
        <v>2588</v>
      </c>
      <c r="N154" s="85">
        <f>IFERROR(表格1[[#This Row],[QTY]]*表格1[[#This Row],[Unit Price]],"-")</f>
        <v>2588</v>
      </c>
      <c r="O154" s="134">
        <v>4029663</v>
      </c>
      <c r="P154" s="137"/>
      <c r="Q154" s="81"/>
      <c r="R154" s="81" t="str">
        <f>_xlfn.CONCAT(表格1[[#This Row],[Model]]," ",表格1[[#This Row],[inv no]])</f>
        <v>TW-BL85A2H(WW) 4029663</v>
      </c>
      <c r="S154" s="135">
        <f>_xlfn.XLOOKUP(表格1[[#This Row],[Model]],表格3[Model-Input-Ref2],表格3[SRP PRICE])</f>
        <v>5080</v>
      </c>
      <c r="T154" s="43">
        <f>表格1[[#This Row],[Unit Price]]/表格1[[#This Row],[SRP]]</f>
        <v>0.50944881889763782</v>
      </c>
      <c r="U154" s="86" t="str">
        <f>_xlfn.XLOOKUP(表格1[[#This Row],[Model]],表格3[Model-Input-Ref2],表格3[TOSHIBA/HIGHEST])</f>
        <v>Toshiba SRP</v>
      </c>
      <c r="V154" s="86">
        <v>110</v>
      </c>
      <c r="W154" s="86" t="str">
        <f>_xlfn.CONCAT(表格1[[#This Row],[欄4]],表格1[[#This Row],[inv no]])</f>
        <v>1104029663</v>
      </c>
    </row>
    <row r="155" spans="1:23" ht="16.5" hidden="1">
      <c r="A155" s="81">
        <v>153</v>
      </c>
      <c r="B155" s="81" t="s">
        <v>1203</v>
      </c>
      <c r="C155" s="81" t="s">
        <v>1247</v>
      </c>
      <c r="D155" s="82" t="str">
        <f ca="1">OFFSET(Roster!$A$3,MATCH(表格1[[#This Row],[Location]]&amp;" "&amp;表格1[[#This Row],[Shop]]&amp;"*",Roster!$A$4:$A$72,0),DAY(表格1[[#This Row],[date]]),1,1)</f>
        <v>Maggie Ho_1</v>
      </c>
      <c r="E155" s="81">
        <f>MONTH(表格1[[#This Row],[date]])</f>
        <v>3</v>
      </c>
      <c r="F155" s="101">
        <v>46096</v>
      </c>
      <c r="G155" s="81" t="str">
        <f>VLOOKUP("*"&amp;表格1[[#This Row],[Input]]&amp;"*",'Ref-List'!$B:$D,2,)</f>
        <v>DWS-34AHK</v>
      </c>
      <c r="H155" s="81" t="str">
        <f>_xlfn.XLOOKUP(表格1[[#This Row],[Model]],表格3[Model-Input-Ref2],表格3[Product Line])</f>
        <v>獨立式免安裝洗碗碟機</v>
      </c>
      <c r="I155" s="81" t="str">
        <f>_xlfn.XLOOKUP(表格1[[#This Row],[Model]],表格3[Model-Input-Ref2],表格3[大小電])</f>
        <v>細電</v>
      </c>
      <c r="J155" s="81" t="str">
        <f>_xlfn.XLOOKUP(表格1[[#This Row],[Model]],表格3[Model-Input-Ref2],表格3[Code])</f>
        <v>DM</v>
      </c>
      <c r="K155" s="82" t="s">
        <v>1240</v>
      </c>
      <c r="L155" s="81">
        <v>1</v>
      </c>
      <c r="M155" s="85">
        <v>1500</v>
      </c>
      <c r="N155" s="85">
        <f>IFERROR(表格1[[#This Row],[QTY]]*表格1[[#This Row],[Unit Price]],"-")</f>
        <v>1500</v>
      </c>
      <c r="O155" s="134">
        <v>4029717</v>
      </c>
      <c r="P155" s="137"/>
      <c r="Q155" s="81"/>
      <c r="R155" s="81" t="str">
        <f>_xlfn.CONCAT(表格1[[#This Row],[Model]]," ",表格1[[#This Row],[inv no]])</f>
        <v>DWS-34AHK 4029717</v>
      </c>
      <c r="S155" s="135">
        <f>_xlfn.XLOOKUP(表格1[[#This Row],[Model]],表格3[Model-Input-Ref2],表格3[SRP PRICE])</f>
        <v>3999</v>
      </c>
      <c r="T155" s="43">
        <f>表格1[[#This Row],[Unit Price]]/表格1[[#This Row],[SRP]]</f>
        <v>0.37509377344336087</v>
      </c>
      <c r="U155" s="86" t="str">
        <f>_xlfn.XLOOKUP(表格1[[#This Row],[Model]],表格3[Model-Input-Ref2],表格3[TOSHIBA/HIGHEST])</f>
        <v>Web SRP</v>
      </c>
      <c r="V155" s="86">
        <v>110</v>
      </c>
      <c r="W155" s="86" t="str">
        <f>_xlfn.CONCAT(表格1[[#This Row],[欄4]],表格1[[#This Row],[inv no]])</f>
        <v>1104029717</v>
      </c>
    </row>
    <row r="156" spans="1:23" ht="16.5" hidden="1">
      <c r="A156" s="81">
        <v>154</v>
      </c>
      <c r="B156" s="81" t="s">
        <v>1203</v>
      </c>
      <c r="C156" s="81" t="s">
        <v>1247</v>
      </c>
      <c r="D156" s="82" t="str">
        <f ca="1">OFFSET(Roster!$A$3,MATCH(表格1[[#This Row],[Location]]&amp;" "&amp;表格1[[#This Row],[Shop]]&amp;"*",Roster!$A$4:$A$72,0),DAY(表格1[[#This Row],[date]]),1,1)</f>
        <v>Maggie Ho_1</v>
      </c>
      <c r="E156" s="81">
        <f>MONTH(表格1[[#This Row],[date]])</f>
        <v>3</v>
      </c>
      <c r="F156" s="101">
        <v>46096</v>
      </c>
      <c r="G156" s="81" t="str">
        <f>VLOOKUP("*"&amp;表格1[[#This Row],[Input]]&amp;"*",'Ref-List'!$B:$D,2,)</f>
        <v>RC-15ISTHK(W)</v>
      </c>
      <c r="H156" s="81" t="str">
        <f>_xlfn.XLOOKUP(表格1[[#This Row],[Model]],表格3[Model-Input-Ref2],表格3[Product Line])</f>
        <v>磁應電飯煲(1.5公升)</v>
      </c>
      <c r="I156" s="81" t="str">
        <f>_xlfn.XLOOKUP(表格1[[#This Row],[Model]],表格3[Model-Input-Ref2],表格3[大小電])</f>
        <v>細電</v>
      </c>
      <c r="J156" s="81" t="str">
        <f>_xlfn.XLOOKUP(表格1[[#This Row],[Model]],表格3[Model-Input-Ref2],表格3[Code])</f>
        <v>SDA</v>
      </c>
      <c r="K156" s="82" t="s">
        <v>1204</v>
      </c>
      <c r="L156" s="81">
        <v>1</v>
      </c>
      <c r="M156" s="85">
        <v>500</v>
      </c>
      <c r="N156" s="85">
        <f>IFERROR(表格1[[#This Row],[QTY]]*表格1[[#This Row],[Unit Price]],"-")</f>
        <v>500</v>
      </c>
      <c r="O156" s="134">
        <v>4029743</v>
      </c>
      <c r="P156" s="137"/>
      <c r="Q156" s="81"/>
      <c r="R156" s="81" t="str">
        <f>_xlfn.CONCAT(表格1[[#This Row],[Model]]," ",表格1[[#This Row],[inv no]])</f>
        <v>RC-15ISTHK(W) 4029743</v>
      </c>
      <c r="S156" s="135">
        <f>_xlfn.XLOOKUP(表格1[[#This Row],[Model]],表格3[Model-Input-Ref2],表格3[SRP PRICE])</f>
        <v>1688</v>
      </c>
      <c r="T156" s="43">
        <f>表格1[[#This Row],[Unit Price]]/表格1[[#This Row],[SRP]]</f>
        <v>0.29620853080568721</v>
      </c>
      <c r="U156" s="86" t="str">
        <f>_xlfn.XLOOKUP(表格1[[#This Row],[Model]],表格3[Model-Input-Ref2],表格3[TOSHIBA/HIGHEST])</f>
        <v>Toshiba SRP</v>
      </c>
      <c r="V156" s="86">
        <v>110</v>
      </c>
      <c r="W156" s="86" t="str">
        <f>_xlfn.CONCAT(表格1[[#This Row],[欄4]],表格1[[#This Row],[inv no]])</f>
        <v>1104029743</v>
      </c>
    </row>
    <row r="157" spans="1:23" ht="16.5" hidden="1">
      <c r="A157" s="81">
        <v>155</v>
      </c>
      <c r="B157" s="81" t="s">
        <v>1203</v>
      </c>
      <c r="C157" s="81" t="s">
        <v>1247</v>
      </c>
      <c r="D157" s="82" t="str">
        <f ca="1">OFFSET(Roster!$A$3,MATCH(表格1[[#This Row],[Location]]&amp;" "&amp;表格1[[#This Row],[Shop]]&amp;"*",Roster!$A$4:$A$72,0),DAY(表格1[[#This Row],[date]]),1,1)</f>
        <v>Maggie Ho_1</v>
      </c>
      <c r="E157" s="81">
        <f>MONTH(表格1[[#This Row],[date]])</f>
        <v>3</v>
      </c>
      <c r="F157" s="101">
        <v>46096</v>
      </c>
      <c r="G157" s="81" t="str">
        <f>VLOOKUP("*"&amp;表格1[[#This Row],[Input]]&amp;"*",'Ref-List'!$B:$D,2,)</f>
        <v>GR-A26HSZ(DS)</v>
      </c>
      <c r="H157" s="81" t="str">
        <f>_xlfn.XLOOKUP(表格1[[#This Row],[Model]],表格3[Model-Input-Ref2],表格3[Product Line])</f>
        <v>雙門變頻式環保雪櫃</v>
      </c>
      <c r="I157" s="81" t="str">
        <f>_xlfn.XLOOKUP(表格1[[#This Row],[Model]],表格3[Model-Input-Ref2],表格3[大小電])</f>
        <v>大電</v>
      </c>
      <c r="J157" s="81" t="str">
        <f>_xlfn.XLOOKUP(表格1[[#This Row],[Model]],表格3[Model-Input-Ref2],表格3[Code])</f>
        <v>AC</v>
      </c>
      <c r="K157" s="82" t="s">
        <v>1207</v>
      </c>
      <c r="L157" s="81">
        <v>1</v>
      </c>
      <c r="M157" s="85">
        <v>1500</v>
      </c>
      <c r="N157" s="85">
        <f>IFERROR(表格1[[#This Row],[QTY]]*表格1[[#This Row],[Unit Price]],"-")</f>
        <v>1500</v>
      </c>
      <c r="O157" s="134">
        <v>4029671</v>
      </c>
      <c r="P157" s="137"/>
      <c r="Q157" s="81"/>
      <c r="R157" s="81" t="str">
        <f>_xlfn.CONCAT(表格1[[#This Row],[Model]]," ",表格1[[#This Row],[inv no]])</f>
        <v>GR-A26HSZ(DS) 4029671</v>
      </c>
      <c r="S157" s="135">
        <f>_xlfn.XLOOKUP(表格1[[#This Row],[Model]],表格3[Model-Input-Ref2],表格3[SRP PRICE])</f>
        <v>3780</v>
      </c>
      <c r="T157" s="43">
        <f>表格1[[#This Row],[Unit Price]]/表格1[[#This Row],[SRP]]</f>
        <v>0.3968253968253968</v>
      </c>
      <c r="U157" s="86" t="str">
        <f>_xlfn.XLOOKUP(表格1[[#This Row],[Model]],表格3[Model-Input-Ref2],表格3[TOSHIBA/HIGHEST])</f>
        <v>Toshiba SRP</v>
      </c>
      <c r="V157" s="86">
        <v>110</v>
      </c>
      <c r="W157" s="86" t="str">
        <f>_xlfn.CONCAT(表格1[[#This Row],[欄4]],表格1[[#This Row],[inv no]])</f>
        <v>1104029671</v>
      </c>
    </row>
    <row r="158" spans="1:23" ht="16.5" hidden="1">
      <c r="A158" s="81">
        <v>156</v>
      </c>
      <c r="B158" s="81" t="s">
        <v>1203</v>
      </c>
      <c r="C158" s="81" t="s">
        <v>1247</v>
      </c>
      <c r="D158" s="82" t="str">
        <f ca="1">OFFSET(Roster!$A$3,MATCH(表格1[[#This Row],[Location]]&amp;" "&amp;表格1[[#This Row],[Shop]]&amp;"*",Roster!$A$4:$A$72,0),DAY(表格1[[#This Row],[date]]),1,1)</f>
        <v>Maggie Ho_1</v>
      </c>
      <c r="E158" s="81">
        <f>MONTH(表格1[[#This Row],[date]])</f>
        <v>3</v>
      </c>
      <c r="F158" s="101">
        <v>46096</v>
      </c>
      <c r="G158" s="81" t="str">
        <f>VLOOKUP("*"&amp;表格1[[#This Row],[Input]]&amp;"*",'Ref-List'!$B:$D,2,)</f>
        <v>GR-A26HSZ(DS)</v>
      </c>
      <c r="H158" s="81" t="str">
        <f>_xlfn.XLOOKUP(表格1[[#This Row],[Model]],表格3[Model-Input-Ref2],表格3[Product Line])</f>
        <v>雙門變頻式環保雪櫃</v>
      </c>
      <c r="I158" s="81" t="str">
        <f>_xlfn.XLOOKUP(表格1[[#This Row],[Model]],表格3[Model-Input-Ref2],表格3[大小電])</f>
        <v>大電</v>
      </c>
      <c r="J158" s="81" t="str">
        <f>_xlfn.XLOOKUP(表格1[[#This Row],[Model]],表格3[Model-Input-Ref2],表格3[Code])</f>
        <v>AC</v>
      </c>
      <c r="K158" s="82" t="s">
        <v>1207</v>
      </c>
      <c r="L158" s="81">
        <v>1</v>
      </c>
      <c r="M158" s="85">
        <v>1500</v>
      </c>
      <c r="N158" s="85">
        <f>IFERROR(表格1[[#This Row],[QTY]]*表格1[[#This Row],[Unit Price]],"-")</f>
        <v>1500</v>
      </c>
      <c r="O158" s="134">
        <v>4029664</v>
      </c>
      <c r="P158" s="137"/>
      <c r="Q158" s="81"/>
      <c r="R158" s="81" t="str">
        <f>_xlfn.CONCAT(表格1[[#This Row],[Model]]," ",表格1[[#This Row],[inv no]])</f>
        <v>GR-A26HSZ(DS) 4029664</v>
      </c>
      <c r="S158" s="135">
        <f>_xlfn.XLOOKUP(表格1[[#This Row],[Model]],表格3[Model-Input-Ref2],表格3[SRP PRICE])</f>
        <v>3780</v>
      </c>
      <c r="T158" s="43">
        <f>表格1[[#This Row],[Unit Price]]/表格1[[#This Row],[SRP]]</f>
        <v>0.3968253968253968</v>
      </c>
      <c r="U158" s="86" t="str">
        <f>_xlfn.XLOOKUP(表格1[[#This Row],[Model]],表格3[Model-Input-Ref2],表格3[TOSHIBA/HIGHEST])</f>
        <v>Toshiba SRP</v>
      </c>
      <c r="V158" s="86">
        <v>110</v>
      </c>
      <c r="W158" s="86" t="str">
        <f>_xlfn.CONCAT(表格1[[#This Row],[欄4]],表格1[[#This Row],[inv no]])</f>
        <v>1104029664</v>
      </c>
    </row>
    <row r="159" spans="1:23" ht="16.5" hidden="1">
      <c r="A159" s="81">
        <v>157</v>
      </c>
      <c r="B159" s="81" t="s">
        <v>1203</v>
      </c>
      <c r="C159" s="81" t="s">
        <v>1247</v>
      </c>
      <c r="D159" s="82" t="str">
        <f ca="1">OFFSET(Roster!$A$3,MATCH(表格1[[#This Row],[Location]]&amp;" "&amp;表格1[[#This Row],[Shop]]&amp;"*",Roster!$A$4:$A$72,0),DAY(表格1[[#This Row],[date]]),1,1)</f>
        <v>Maggie Ho_1</v>
      </c>
      <c r="E159" s="81">
        <f>MONTH(表格1[[#This Row],[date]])</f>
        <v>3</v>
      </c>
      <c r="F159" s="101">
        <v>46096</v>
      </c>
      <c r="G159" s="81" t="str">
        <f>VLOOKUP("*"&amp;表格1[[#This Row],[Input]]&amp;"*",'Ref-List'!$B:$D,2,)</f>
        <v>RC-15ISTHK(W)</v>
      </c>
      <c r="H159" s="81" t="str">
        <f>_xlfn.XLOOKUP(表格1[[#This Row],[Model]],表格3[Model-Input-Ref2],表格3[Product Line])</f>
        <v>磁應電飯煲(1.5公升)</v>
      </c>
      <c r="I159" s="81" t="str">
        <f>_xlfn.XLOOKUP(表格1[[#This Row],[Model]],表格3[Model-Input-Ref2],表格3[大小電])</f>
        <v>細電</v>
      </c>
      <c r="J159" s="81" t="str">
        <f>_xlfn.XLOOKUP(表格1[[#This Row],[Model]],表格3[Model-Input-Ref2],表格3[Code])</f>
        <v>SDA</v>
      </c>
      <c r="K159" s="82" t="s">
        <v>1204</v>
      </c>
      <c r="L159" s="81">
        <v>1</v>
      </c>
      <c r="M159" s="85">
        <v>500</v>
      </c>
      <c r="N159" s="85">
        <f>IFERROR(表格1[[#This Row],[QTY]]*表格1[[#This Row],[Unit Price]],"-")</f>
        <v>500</v>
      </c>
      <c r="O159" s="134">
        <v>4029668</v>
      </c>
      <c r="P159" s="137"/>
      <c r="Q159" s="81"/>
      <c r="R159" s="81" t="str">
        <f>_xlfn.CONCAT(表格1[[#This Row],[Model]]," ",表格1[[#This Row],[inv no]])</f>
        <v>RC-15ISTHK(W) 4029668</v>
      </c>
      <c r="S159" s="135">
        <f>_xlfn.XLOOKUP(表格1[[#This Row],[Model]],表格3[Model-Input-Ref2],表格3[SRP PRICE])</f>
        <v>1688</v>
      </c>
      <c r="T159" s="43">
        <f>表格1[[#This Row],[Unit Price]]/表格1[[#This Row],[SRP]]</f>
        <v>0.29620853080568721</v>
      </c>
      <c r="U159" s="86" t="str">
        <f>_xlfn.XLOOKUP(表格1[[#This Row],[Model]],表格3[Model-Input-Ref2],表格3[TOSHIBA/HIGHEST])</f>
        <v>Toshiba SRP</v>
      </c>
      <c r="V159" s="86">
        <v>110</v>
      </c>
      <c r="W159" s="86" t="str">
        <f>_xlfn.CONCAT(表格1[[#This Row],[欄4]],表格1[[#This Row],[inv no]])</f>
        <v>1104029668</v>
      </c>
    </row>
    <row r="160" spans="1:23" hidden="1">
      <c r="A160" s="81">
        <v>158</v>
      </c>
      <c r="B160" s="81" t="s">
        <v>1203</v>
      </c>
      <c r="C160" s="81" t="s">
        <v>1247</v>
      </c>
      <c r="D160" s="82" t="str">
        <f ca="1">OFFSET(Roster!$A$3,MATCH(表格1[[#This Row],[Location]]&amp;" "&amp;表格1[[#This Row],[Shop]]&amp;"*",Roster!$A$4:$A$72,0),DAY(表格1[[#This Row],[date]]),1,1)</f>
        <v>Maggie Ho_1</v>
      </c>
      <c r="E160" s="81">
        <f>MONTH(表格1[[#This Row],[date]])</f>
        <v>3</v>
      </c>
      <c r="F160" s="101">
        <v>46096</v>
      </c>
      <c r="G160" s="81" t="str">
        <f>VLOOKUP("*"&amp;表格1[[#This Row],[Input]]&amp;"*",'Ref-List'!$B:$D,2,)</f>
        <v>RC-15ISTHK(W)</v>
      </c>
      <c r="H160" s="81" t="str">
        <f>_xlfn.XLOOKUP(表格1[[#This Row],[Model]],表格3[Model-Input-Ref2],表格3[Product Line])</f>
        <v>磁應電飯煲(1.5公升)</v>
      </c>
      <c r="I160" s="81" t="str">
        <f>_xlfn.XLOOKUP(表格1[[#This Row],[Model]],表格3[Model-Input-Ref2],表格3[大小電])</f>
        <v>細電</v>
      </c>
      <c r="J160" s="81" t="str">
        <f>_xlfn.XLOOKUP(表格1[[#This Row],[Model]],表格3[Model-Input-Ref2],表格3[Code])</f>
        <v>SDA</v>
      </c>
      <c r="K160" s="82" t="s">
        <v>1204</v>
      </c>
      <c r="L160" s="81">
        <v>1</v>
      </c>
      <c r="M160" s="85">
        <v>500</v>
      </c>
      <c r="N160" s="85">
        <f>IFERROR(表格1[[#This Row],[QTY]]*表格1[[#This Row],[Unit Price]],"-")</f>
        <v>500</v>
      </c>
      <c r="O160" s="134">
        <v>4012249</v>
      </c>
      <c r="P160" s="81"/>
      <c r="Q160" s="81"/>
      <c r="R160" s="81" t="str">
        <f>_xlfn.CONCAT(表格1[[#This Row],[Model]]," ",表格1[[#This Row],[inv no]])</f>
        <v>RC-15ISTHK(W) 4012249</v>
      </c>
      <c r="S160" s="135">
        <f>_xlfn.XLOOKUP(表格1[[#This Row],[Model]],表格3[Model-Input-Ref2],表格3[SRP PRICE])</f>
        <v>1688</v>
      </c>
      <c r="T160" s="43">
        <f>表格1[[#This Row],[Unit Price]]/表格1[[#This Row],[SRP]]</f>
        <v>0.29620853080568721</v>
      </c>
      <c r="U160" s="86" t="str">
        <f>_xlfn.XLOOKUP(表格1[[#This Row],[Model]],表格3[Model-Input-Ref2],表格3[TOSHIBA/HIGHEST])</f>
        <v>Toshiba SRP</v>
      </c>
      <c r="V160" s="86">
        <v>110</v>
      </c>
      <c r="W160" s="86" t="str">
        <f>_xlfn.CONCAT(表格1[[#This Row],[欄4]],表格1[[#This Row],[inv no]])</f>
        <v>1104012249</v>
      </c>
    </row>
    <row r="161" spans="1:23" ht="16.5" hidden="1">
      <c r="A161" s="81">
        <v>159</v>
      </c>
      <c r="B161" s="81" t="s">
        <v>1203</v>
      </c>
      <c r="C161" s="81" t="s">
        <v>1247</v>
      </c>
      <c r="D161" s="82" t="str">
        <f ca="1">OFFSET(Roster!$A$3,MATCH(表格1[[#This Row],[Location]]&amp;" "&amp;表格1[[#This Row],[Shop]]&amp;"*",Roster!$A$4:$A$72,0),DAY(表格1[[#This Row],[date]]),1,1)</f>
        <v>Maggie Ho_1</v>
      </c>
      <c r="E161" s="81">
        <f>MONTH(表格1[[#This Row],[date]])</f>
        <v>3</v>
      </c>
      <c r="F161" s="101">
        <v>46096</v>
      </c>
      <c r="G161" s="81" t="str">
        <f>VLOOKUP("*"&amp;表格1[[#This Row],[Input]]&amp;"*",'Ref-List'!$B:$D,2,)</f>
        <v>ER-TD5000HK(XK)</v>
      </c>
      <c r="H161" s="81" t="str">
        <f>_xlfn.XLOOKUP(表格1[[#This Row],[Model]],表格3[Model-Input-Ref2],表格3[Product Line])</f>
        <v>座檯式純蒸氣烤焗水波爐30L</v>
      </c>
      <c r="I161" s="81" t="str">
        <f>_xlfn.XLOOKUP(表格1[[#This Row],[Model]],表格3[Model-Input-Ref2],表格3[大小電])</f>
        <v>細電</v>
      </c>
      <c r="J161" s="81" t="str">
        <f>_xlfn.XLOOKUP(表格1[[#This Row],[Model]],表格3[Model-Input-Ref2],表格3[Code])</f>
        <v>SDA</v>
      </c>
      <c r="K161" s="82" t="s">
        <v>1205</v>
      </c>
      <c r="L161" s="81">
        <v>1</v>
      </c>
      <c r="M161" s="85">
        <v>3588</v>
      </c>
      <c r="N161" s="85">
        <f>IFERROR(表格1[[#This Row],[QTY]]*表格1[[#This Row],[Unit Price]],"-")</f>
        <v>3588</v>
      </c>
      <c r="O161" s="134">
        <v>4012235</v>
      </c>
      <c r="P161" s="137"/>
      <c r="Q161" s="81"/>
      <c r="R161" s="81" t="str">
        <f>_xlfn.CONCAT(表格1[[#This Row],[Model]]," ",表格1[[#This Row],[inv no]])</f>
        <v>ER-TD5000HK(XK) 4012235</v>
      </c>
      <c r="S161" s="135">
        <f>_xlfn.XLOOKUP(表格1[[#This Row],[Model]],表格3[Model-Input-Ref2],表格3[SRP PRICE])</f>
        <v>7998</v>
      </c>
      <c r="T161" s="43">
        <f>表格1[[#This Row],[Unit Price]]/表格1[[#This Row],[SRP]]</f>
        <v>0.44861215303825958</v>
      </c>
      <c r="U161" s="86" t="str">
        <f>_xlfn.XLOOKUP(表格1[[#This Row],[Model]],表格3[Model-Input-Ref2],表格3[TOSHIBA/HIGHEST])</f>
        <v>Toshiba SRP</v>
      </c>
      <c r="V161" s="86">
        <v>110</v>
      </c>
      <c r="W161" s="86" t="str">
        <f>_xlfn.CONCAT(表格1[[#This Row],[欄4]],表格1[[#This Row],[inv no]])</f>
        <v>1104012235</v>
      </c>
    </row>
    <row r="162" spans="1:23" ht="16.5" hidden="1">
      <c r="A162" s="81">
        <v>160</v>
      </c>
      <c r="B162" s="81" t="s">
        <v>1203</v>
      </c>
      <c r="C162" s="81" t="s">
        <v>1247</v>
      </c>
      <c r="D162" s="82" t="str">
        <f ca="1">OFFSET(Roster!$A$3,MATCH(表格1[[#This Row],[Location]]&amp;" "&amp;表格1[[#This Row],[Shop]]&amp;"*",Roster!$A$4:$A$72,0),DAY(表格1[[#This Row],[date]]),1,1)</f>
        <v>Maggie Ho_1</v>
      </c>
      <c r="E162" s="81">
        <f>MONTH(表格1[[#This Row],[date]])</f>
        <v>3</v>
      </c>
      <c r="F162" s="101">
        <v>46096</v>
      </c>
      <c r="G162" s="81" t="str">
        <f>VLOOKUP("*"&amp;表格1[[#This Row],[Input]]&amp;"*",'Ref-List'!$B:$D,2,)</f>
        <v>PLK-45SFIH(WT)</v>
      </c>
      <c r="H162" s="81" t="str">
        <f>_xlfn.XLOOKUP(表格1[[#This Row],[Model]],表格3[Model-Input-Ref2],表格3[Product Line])</f>
        <v>電熱水瓶4.5L</v>
      </c>
      <c r="I162" s="81" t="str">
        <f>_xlfn.XLOOKUP(表格1[[#This Row],[Model]],表格3[Model-Input-Ref2],表格3[大小電])</f>
        <v>細電</v>
      </c>
      <c r="J162" s="81" t="str">
        <f>_xlfn.XLOOKUP(表格1[[#This Row],[Model]],表格3[Model-Input-Ref2],表格3[Code])</f>
        <v>SDA</v>
      </c>
      <c r="K162" s="82" t="s">
        <v>1117</v>
      </c>
      <c r="L162" s="81">
        <v>1</v>
      </c>
      <c r="M162" s="85">
        <v>500</v>
      </c>
      <c r="N162" s="85">
        <f>IFERROR(表格1[[#This Row],[QTY]]*表格1[[#This Row],[Unit Price]],"-")</f>
        <v>500</v>
      </c>
      <c r="O162" s="134">
        <v>4012179</v>
      </c>
      <c r="P162" s="137"/>
      <c r="Q162" s="81"/>
      <c r="R162" s="81" t="str">
        <f>_xlfn.CONCAT(表格1[[#This Row],[Model]]," ",表格1[[#This Row],[inv no]])</f>
        <v>PLK-45SFIH(WT) 4012179</v>
      </c>
      <c r="S162" s="135">
        <f>_xlfn.XLOOKUP(表格1[[#This Row],[Model]],表格3[Model-Input-Ref2],表格3[SRP PRICE])</f>
        <v>788</v>
      </c>
      <c r="T162" s="43">
        <f>表格1[[#This Row],[Unit Price]]/表格1[[#This Row],[SRP]]</f>
        <v>0.63451776649746194</v>
      </c>
      <c r="U162" s="86" t="str">
        <f>_xlfn.XLOOKUP(表格1[[#This Row],[Model]],表格3[Model-Input-Ref2],表格3[TOSHIBA/HIGHEST])</f>
        <v>Toshiba SRP</v>
      </c>
      <c r="V162" s="86">
        <v>110</v>
      </c>
      <c r="W162" s="86" t="str">
        <f>_xlfn.CONCAT(表格1[[#This Row],[欄4]],表格1[[#This Row],[inv no]])</f>
        <v>1104012179</v>
      </c>
    </row>
    <row r="163" spans="1:23" hidden="1">
      <c r="A163" s="81">
        <v>161</v>
      </c>
      <c r="B163" s="81" t="s">
        <v>1203</v>
      </c>
      <c r="C163" s="81" t="s">
        <v>1247</v>
      </c>
      <c r="D163" s="82" t="str">
        <f ca="1">OFFSET(Roster!$A$3,MATCH(表格1[[#This Row],[Location]]&amp;" "&amp;表格1[[#This Row],[Shop]]&amp;"*",Roster!$A$4:$A$72,0),DAY(表格1[[#This Row],[date]]),1,1)</f>
        <v>Maggie Ho_1</v>
      </c>
      <c r="E163" s="81">
        <f>MONTH(表格1[[#This Row],[date]])</f>
        <v>3</v>
      </c>
      <c r="F163" s="101">
        <v>46096</v>
      </c>
      <c r="G163" s="81" t="str">
        <f>VLOOKUP("*"&amp;表格1[[#This Row],[Input]]&amp;"*",'Ref-List'!$B:$D,2,)</f>
        <v>RC-15ISTHK(W)</v>
      </c>
      <c r="H163" s="81" t="str">
        <f>_xlfn.XLOOKUP(表格1[[#This Row],[Model]],表格3[Model-Input-Ref2],表格3[Product Line])</f>
        <v>磁應電飯煲(1.5公升)</v>
      </c>
      <c r="I163" s="81" t="str">
        <f>_xlfn.XLOOKUP(表格1[[#This Row],[Model]],表格3[Model-Input-Ref2],表格3[大小電])</f>
        <v>細電</v>
      </c>
      <c r="J163" s="81" t="str">
        <f>_xlfn.XLOOKUP(表格1[[#This Row],[Model]],表格3[Model-Input-Ref2],表格3[Code])</f>
        <v>SDA</v>
      </c>
      <c r="K163" s="82" t="s">
        <v>1204</v>
      </c>
      <c r="L163" s="81">
        <v>1</v>
      </c>
      <c r="M163" s="85">
        <v>500</v>
      </c>
      <c r="N163" s="85">
        <f>IFERROR(表格1[[#This Row],[QTY]]*表格1[[#This Row],[Unit Price]],"-")</f>
        <v>500</v>
      </c>
      <c r="O163" s="134">
        <v>4012286</v>
      </c>
      <c r="P163" s="81"/>
      <c r="Q163" s="81"/>
      <c r="R163" s="81" t="str">
        <f>_xlfn.CONCAT(表格1[[#This Row],[Model]]," ",表格1[[#This Row],[inv no]])</f>
        <v>RC-15ISTHK(W) 4012286</v>
      </c>
      <c r="S163" s="135">
        <f>_xlfn.XLOOKUP(表格1[[#This Row],[Model]],表格3[Model-Input-Ref2],表格3[SRP PRICE])</f>
        <v>1688</v>
      </c>
      <c r="T163" s="43">
        <f>表格1[[#This Row],[Unit Price]]/表格1[[#This Row],[SRP]]</f>
        <v>0.29620853080568721</v>
      </c>
      <c r="U163" s="86" t="str">
        <f>_xlfn.XLOOKUP(表格1[[#This Row],[Model]],表格3[Model-Input-Ref2],表格3[TOSHIBA/HIGHEST])</f>
        <v>Toshiba SRP</v>
      </c>
      <c r="V163" s="86">
        <v>110</v>
      </c>
      <c r="W163" s="86" t="str">
        <f>_xlfn.CONCAT(表格1[[#This Row],[欄4]],表格1[[#This Row],[inv no]])</f>
        <v>1104012286</v>
      </c>
    </row>
    <row r="164" spans="1:23" ht="16.5" hidden="1">
      <c r="A164" s="81">
        <v>162</v>
      </c>
      <c r="B164" s="81" t="s">
        <v>1203</v>
      </c>
      <c r="C164" s="81" t="s">
        <v>1247</v>
      </c>
      <c r="D164" s="82" t="str">
        <f ca="1">OFFSET(Roster!$A$3,MATCH(表格1[[#This Row],[Location]]&amp;" "&amp;表格1[[#This Row],[Shop]]&amp;"*",Roster!$A$4:$A$72,0),DAY(表格1[[#This Row],[date]]),1,1)</f>
        <v>Maggie Ho_1</v>
      </c>
      <c r="E164" s="81">
        <f>MONTH(表格1[[#This Row],[date]])</f>
        <v>3</v>
      </c>
      <c r="F164" s="101">
        <v>46096</v>
      </c>
      <c r="G164" s="81" t="str">
        <f>VLOOKUP("*"&amp;表格1[[#This Row],[Input]]&amp;"*",'Ref-List'!$B:$D,2,)</f>
        <v>AW-M901BPH(WW)</v>
      </c>
      <c r="H164" s="81" t="str">
        <f>_xlfn.XLOOKUP(表格1[[#This Row],[Model]],表格3[Model-Input-Ref2],表格3[Product Line])</f>
        <v>全自動洗衣機 (8公斤 結合高低水位)</v>
      </c>
      <c r="I164" s="81" t="str">
        <f>_xlfn.XLOOKUP(表格1[[#This Row],[Model]],表格3[Model-Input-Ref2],表格3[大小電])</f>
        <v>大電</v>
      </c>
      <c r="J164" s="81" t="str">
        <f>_xlfn.XLOOKUP(表格1[[#This Row],[Model]],表格3[Model-Input-Ref2],表格3[Code])</f>
        <v>WM</v>
      </c>
      <c r="K164" s="82" t="s">
        <v>1202</v>
      </c>
      <c r="L164" s="81">
        <v>1</v>
      </c>
      <c r="M164" s="85">
        <v>1500</v>
      </c>
      <c r="N164" s="85">
        <f>IFERROR(表格1[[#This Row],[QTY]]*表格1[[#This Row],[Unit Price]],"-")</f>
        <v>1500</v>
      </c>
      <c r="O164" s="134">
        <v>4029669</v>
      </c>
      <c r="P164" s="137"/>
      <c r="Q164" s="81"/>
      <c r="R164" s="81" t="str">
        <f>_xlfn.CONCAT(表格1[[#This Row],[Model]]," ",表格1[[#This Row],[inv no]])</f>
        <v>AW-M901BPH(WW) 4029669</v>
      </c>
      <c r="S164" s="135">
        <f>_xlfn.XLOOKUP(表格1[[#This Row],[Model]],表格3[Model-Input-Ref2],表格3[SRP PRICE])</f>
        <v>3580</v>
      </c>
      <c r="T164" s="43">
        <f>表格1[[#This Row],[Unit Price]]/表格1[[#This Row],[SRP]]</f>
        <v>0.41899441340782123</v>
      </c>
      <c r="U164" s="86" t="str">
        <f>_xlfn.XLOOKUP(表格1[[#This Row],[Model]],表格3[Model-Input-Ref2],表格3[TOSHIBA/HIGHEST])</f>
        <v>Toshiba SRP</v>
      </c>
      <c r="V164" s="86">
        <v>110</v>
      </c>
      <c r="W164" s="86" t="str">
        <f>_xlfn.CONCAT(表格1[[#This Row],[欄4]],表格1[[#This Row],[inv no]])</f>
        <v>1104029669</v>
      </c>
    </row>
    <row r="165" spans="1:23" ht="16.5" hidden="1">
      <c r="A165" s="81">
        <v>163</v>
      </c>
      <c r="B165" s="81" t="s">
        <v>1203</v>
      </c>
      <c r="C165" s="81" t="s">
        <v>1247</v>
      </c>
      <c r="D165" s="82" t="str">
        <f ca="1">OFFSET(Roster!$A$3,MATCH(表格1[[#This Row],[Location]]&amp;" "&amp;表格1[[#This Row],[Shop]]&amp;"*",Roster!$A$4:$A$72,0),DAY(表格1[[#This Row],[date]]),1,1)</f>
        <v>Maggie Ho_1</v>
      </c>
      <c r="E165" s="81">
        <f>MONTH(表格1[[#This Row],[date]])</f>
        <v>3</v>
      </c>
      <c r="F165" s="101">
        <v>46096</v>
      </c>
      <c r="G165" s="81" t="str">
        <f>VLOOKUP("*"&amp;表格1[[#This Row],[Input]]&amp;"*",'Ref-List'!$B:$D,2,)</f>
        <v>RC-15ISTHK(W)</v>
      </c>
      <c r="H165" s="81" t="str">
        <f>_xlfn.XLOOKUP(表格1[[#This Row],[Model]],表格3[Model-Input-Ref2],表格3[Product Line])</f>
        <v>磁應電飯煲(1.5公升)</v>
      </c>
      <c r="I165" s="81" t="str">
        <f>_xlfn.XLOOKUP(表格1[[#This Row],[Model]],表格3[Model-Input-Ref2],表格3[大小電])</f>
        <v>細電</v>
      </c>
      <c r="J165" s="81" t="str">
        <f>_xlfn.XLOOKUP(表格1[[#This Row],[Model]],表格3[Model-Input-Ref2],表格3[Code])</f>
        <v>SDA</v>
      </c>
      <c r="K165" s="82" t="s">
        <v>1204</v>
      </c>
      <c r="L165" s="81">
        <v>1</v>
      </c>
      <c r="M165" s="85">
        <v>500</v>
      </c>
      <c r="N165" s="85">
        <f>IFERROR(表格1[[#This Row],[QTY]]*表格1[[#This Row],[Unit Price]],"-")</f>
        <v>500</v>
      </c>
      <c r="O165" s="134">
        <v>4029679</v>
      </c>
      <c r="P165" s="137"/>
      <c r="Q165" s="81"/>
      <c r="R165" s="81" t="str">
        <f>_xlfn.CONCAT(表格1[[#This Row],[Model]]," ",表格1[[#This Row],[inv no]])</f>
        <v>RC-15ISTHK(W) 4029679</v>
      </c>
      <c r="S165" s="135">
        <f>_xlfn.XLOOKUP(表格1[[#This Row],[Model]],表格3[Model-Input-Ref2],表格3[SRP PRICE])</f>
        <v>1688</v>
      </c>
      <c r="T165" s="43">
        <f>表格1[[#This Row],[Unit Price]]/表格1[[#This Row],[SRP]]</f>
        <v>0.29620853080568721</v>
      </c>
      <c r="U165" s="86" t="str">
        <f>_xlfn.XLOOKUP(表格1[[#This Row],[Model]],表格3[Model-Input-Ref2],表格3[TOSHIBA/HIGHEST])</f>
        <v>Toshiba SRP</v>
      </c>
      <c r="V165" s="86">
        <v>110</v>
      </c>
      <c r="W165" s="86" t="str">
        <f>_xlfn.CONCAT(表格1[[#This Row],[欄4]],表格1[[#This Row],[inv no]])</f>
        <v>1104029679</v>
      </c>
    </row>
    <row r="166" spans="1:23" ht="16.5" hidden="1">
      <c r="A166" s="81">
        <v>164</v>
      </c>
      <c r="B166" s="81" t="s">
        <v>1203</v>
      </c>
      <c r="C166" s="81" t="s">
        <v>1247</v>
      </c>
      <c r="D166" s="82" t="str">
        <f ca="1">OFFSET(Roster!$A$3,MATCH(表格1[[#This Row],[Location]]&amp;" "&amp;表格1[[#This Row],[Shop]]&amp;"*",Roster!$A$4:$A$72,0),DAY(表格1[[#This Row],[date]]),1,1)</f>
        <v>Maggie Ho_1</v>
      </c>
      <c r="E166" s="81">
        <f>MONTH(表格1[[#This Row],[date]])</f>
        <v>3</v>
      </c>
      <c r="F166" s="101">
        <v>46096</v>
      </c>
      <c r="G166" s="81" t="str">
        <f>VLOOKUP("*"&amp;表格1[[#This Row],[Input]]&amp;"*",'Ref-List'!$B:$D,2,)</f>
        <v>RAD-Y200H</v>
      </c>
      <c r="H166" s="81" t="str">
        <f>_xlfn.XLOOKUP(表格1[[#This Row],[Model]],表格3[Model-Input-Ref2],表格3[Product Line])</f>
        <v>21L壓縮式抽濕機</v>
      </c>
      <c r="I166" s="81" t="str">
        <f>_xlfn.XLOOKUP(表格1[[#This Row],[Model]],表格3[Model-Input-Ref2],表格3[大小電])</f>
        <v>大電</v>
      </c>
      <c r="J166" s="81" t="str">
        <f>_xlfn.XLOOKUP(表格1[[#This Row],[Model]],表格3[Model-Input-Ref2],表格3[Code])</f>
        <v>RAC</v>
      </c>
      <c r="K166" s="82" t="s">
        <v>1241</v>
      </c>
      <c r="L166" s="81">
        <v>1</v>
      </c>
      <c r="M166" s="85">
        <v>1980</v>
      </c>
      <c r="N166" s="85">
        <f>IFERROR(表格1[[#This Row],[QTY]]*表格1[[#This Row],[Unit Price]],"-")</f>
        <v>1980</v>
      </c>
      <c r="O166" s="134">
        <v>4012263</v>
      </c>
      <c r="P166" s="137"/>
      <c r="Q166" s="81"/>
      <c r="R166" s="81" t="str">
        <f>_xlfn.CONCAT(表格1[[#This Row],[Model]]," ",表格1[[#This Row],[inv no]])</f>
        <v>RAD-Y200H 4012263</v>
      </c>
      <c r="S166" s="135">
        <f>_xlfn.XLOOKUP(表格1[[#This Row],[Model]],表格3[Model-Input-Ref2],表格3[SRP PRICE])</f>
        <v>3280</v>
      </c>
      <c r="T166" s="43">
        <f>表格1[[#This Row],[Unit Price]]/表格1[[#This Row],[SRP]]</f>
        <v>0.60365853658536583</v>
      </c>
      <c r="U166" s="86" t="str">
        <f>_xlfn.XLOOKUP(表格1[[#This Row],[Model]],表格3[Model-Input-Ref2],表格3[TOSHIBA/HIGHEST])</f>
        <v>Toshiba SRP</v>
      </c>
      <c r="V166" s="86">
        <v>110</v>
      </c>
      <c r="W166" s="86" t="str">
        <f>_xlfn.CONCAT(表格1[[#This Row],[欄4]],表格1[[#This Row],[inv no]])</f>
        <v>1104012263</v>
      </c>
    </row>
    <row r="167" spans="1:23" ht="16.5" hidden="1">
      <c r="A167" s="81">
        <v>165</v>
      </c>
      <c r="B167" s="81" t="s">
        <v>1203</v>
      </c>
      <c r="C167" s="81" t="s">
        <v>1247</v>
      </c>
      <c r="D167" s="82" t="str">
        <f ca="1">OFFSET(Roster!$A$3,MATCH(表格1[[#This Row],[Location]]&amp;" "&amp;表格1[[#This Row],[Shop]]&amp;"*",Roster!$A$4:$A$72,0),DAY(表格1[[#This Row],[date]]),1,1)</f>
        <v>Maggie Ho_1</v>
      </c>
      <c r="E167" s="81">
        <f>MONTH(表格1[[#This Row],[date]])</f>
        <v>3</v>
      </c>
      <c r="F167" s="101">
        <v>46096</v>
      </c>
      <c r="G167" s="81" t="str">
        <f>VLOOKUP("*"&amp;表格1[[#This Row],[Input]]&amp;"*",'Ref-List'!$B:$D,2,)</f>
        <v>RC-15ISTHK(W)</v>
      </c>
      <c r="H167" s="81" t="str">
        <f>_xlfn.XLOOKUP(表格1[[#This Row],[Model]],表格3[Model-Input-Ref2],表格3[Product Line])</f>
        <v>磁應電飯煲(1.5公升)</v>
      </c>
      <c r="I167" s="81" t="str">
        <f>_xlfn.XLOOKUP(表格1[[#This Row],[Model]],表格3[Model-Input-Ref2],表格3[大小電])</f>
        <v>細電</v>
      </c>
      <c r="J167" s="81" t="str">
        <f>_xlfn.XLOOKUP(表格1[[#This Row],[Model]],表格3[Model-Input-Ref2],表格3[Code])</f>
        <v>SDA</v>
      </c>
      <c r="K167" s="82" t="s">
        <v>1204</v>
      </c>
      <c r="L167" s="81">
        <v>1</v>
      </c>
      <c r="M167" s="85">
        <v>500</v>
      </c>
      <c r="N167" s="85">
        <f>IFERROR(表格1[[#This Row],[QTY]]*表格1[[#This Row],[Unit Price]],"-")</f>
        <v>500</v>
      </c>
      <c r="O167" s="134">
        <v>4029760</v>
      </c>
      <c r="P167" s="137"/>
      <c r="Q167" s="81"/>
      <c r="R167" s="81" t="str">
        <f>_xlfn.CONCAT(表格1[[#This Row],[Model]]," ",表格1[[#This Row],[inv no]])</f>
        <v>RC-15ISTHK(W) 4029760</v>
      </c>
      <c r="S167" s="135">
        <f>_xlfn.XLOOKUP(表格1[[#This Row],[Model]],表格3[Model-Input-Ref2],表格3[SRP PRICE])</f>
        <v>1688</v>
      </c>
      <c r="T167" s="43">
        <f>表格1[[#This Row],[Unit Price]]/表格1[[#This Row],[SRP]]</f>
        <v>0.29620853080568721</v>
      </c>
      <c r="U167" s="86" t="str">
        <f>_xlfn.XLOOKUP(表格1[[#This Row],[Model]],表格3[Model-Input-Ref2],表格3[TOSHIBA/HIGHEST])</f>
        <v>Toshiba SRP</v>
      </c>
      <c r="V167" s="86">
        <v>110</v>
      </c>
      <c r="W167" s="86" t="str">
        <f>_xlfn.CONCAT(表格1[[#This Row],[欄4]],表格1[[#This Row],[inv no]])</f>
        <v>1104029760</v>
      </c>
    </row>
    <row r="168" spans="1:23" ht="16.5" hidden="1">
      <c r="A168" s="81">
        <v>166</v>
      </c>
      <c r="B168" s="81" t="s">
        <v>1203</v>
      </c>
      <c r="C168" s="81" t="s">
        <v>1247</v>
      </c>
      <c r="D168" s="82" t="str">
        <f ca="1">OFFSET(Roster!$A$3,MATCH(表格1[[#This Row],[Location]]&amp;" "&amp;表格1[[#This Row],[Shop]]&amp;"*",Roster!$A$4:$A$72,0),DAY(表格1[[#This Row],[date]]),1,1)</f>
        <v>Maggie Ho_1</v>
      </c>
      <c r="E168" s="81">
        <f>MONTH(表格1[[#This Row],[date]])</f>
        <v>3</v>
      </c>
      <c r="F168" s="101">
        <v>46096</v>
      </c>
      <c r="G168" s="81" t="str">
        <f>VLOOKUP("*"&amp;表格1[[#This Row],[Input]]&amp;"*",'Ref-List'!$B:$D,2,)</f>
        <v>RAD-D300H</v>
      </c>
      <c r="H168" s="81" t="str">
        <f>_xlfn.XLOOKUP(表格1[[#This Row],[Model]],表格3[Model-Input-Ref2],表格3[Product Line])</f>
        <v>壓縮式抽濕機 (30公升)</v>
      </c>
      <c r="I168" s="81" t="str">
        <f>_xlfn.XLOOKUP(表格1[[#This Row],[Model]],表格3[Model-Input-Ref2],表格3[大小電])</f>
        <v>細電</v>
      </c>
      <c r="J168" s="81" t="str">
        <f>_xlfn.XLOOKUP(表格1[[#This Row],[Model]],表格3[Model-Input-Ref2],表格3[Code])</f>
        <v>RAC</v>
      </c>
      <c r="K168" s="82" t="s">
        <v>1252</v>
      </c>
      <c r="L168" s="81">
        <v>1</v>
      </c>
      <c r="M168" s="85">
        <v>2980</v>
      </c>
      <c r="N168" s="85">
        <f>IFERROR(表格1[[#This Row],[QTY]]*表格1[[#This Row],[Unit Price]],"-")</f>
        <v>2980</v>
      </c>
      <c r="O168" s="134">
        <v>4029732</v>
      </c>
      <c r="P168" s="137"/>
      <c r="Q168" s="81"/>
      <c r="R168" s="81" t="str">
        <f>_xlfn.CONCAT(表格1[[#This Row],[Model]]," ",表格1[[#This Row],[inv no]])</f>
        <v>RAD-D300H 4029732</v>
      </c>
      <c r="S168" s="135">
        <f>_xlfn.XLOOKUP(表格1[[#This Row],[Model]],表格3[Model-Input-Ref2],表格3[SRP PRICE])</f>
        <v>3380</v>
      </c>
      <c r="T168" s="43">
        <f>表格1[[#This Row],[Unit Price]]/表格1[[#This Row],[SRP]]</f>
        <v>0.88165680473372776</v>
      </c>
      <c r="U168" s="86" t="str">
        <f>_xlfn.XLOOKUP(表格1[[#This Row],[Model]],表格3[Model-Input-Ref2],表格3[TOSHIBA/HIGHEST])</f>
        <v>Shops Highest Price</v>
      </c>
      <c r="V168" s="86">
        <v>110</v>
      </c>
      <c r="W168" s="86" t="str">
        <f>_xlfn.CONCAT(表格1[[#This Row],[欄4]],表格1[[#This Row],[inv no]])</f>
        <v>1104029732</v>
      </c>
    </row>
    <row r="169" spans="1:23" ht="16.5" hidden="1">
      <c r="A169" s="81">
        <v>167</v>
      </c>
      <c r="B169" s="81" t="s">
        <v>1203</v>
      </c>
      <c r="C169" s="81" t="s">
        <v>1247</v>
      </c>
      <c r="D169" s="82" t="str">
        <f ca="1">OFFSET(Roster!$A$3,MATCH(表格1[[#This Row],[Location]]&amp;" "&amp;表格1[[#This Row],[Shop]]&amp;"*",Roster!$A$4:$A$72,0),DAY(表格1[[#This Row],[date]]),1,1)</f>
        <v>Maggie Ho_1</v>
      </c>
      <c r="E169" s="81">
        <f>MONTH(表格1[[#This Row],[date]])</f>
        <v>3</v>
      </c>
      <c r="F169" s="101">
        <v>46096</v>
      </c>
      <c r="G169" s="81" t="str">
        <f>VLOOKUP("*"&amp;表格1[[#This Row],[Input]]&amp;"*",'Ref-List'!$B:$D,2,)</f>
        <v>PLK-45SFIH(WT)</v>
      </c>
      <c r="H169" s="81" t="str">
        <f>_xlfn.XLOOKUP(表格1[[#This Row],[Model]],表格3[Model-Input-Ref2],表格3[Product Line])</f>
        <v>電熱水瓶4.5L</v>
      </c>
      <c r="I169" s="81" t="str">
        <f>_xlfn.XLOOKUP(表格1[[#This Row],[Model]],表格3[Model-Input-Ref2],表格3[大小電])</f>
        <v>細電</v>
      </c>
      <c r="J169" s="81" t="str">
        <f>_xlfn.XLOOKUP(表格1[[#This Row],[Model]],表格3[Model-Input-Ref2],表格3[Code])</f>
        <v>SDA</v>
      </c>
      <c r="K169" s="82" t="s">
        <v>1117</v>
      </c>
      <c r="L169" s="81">
        <v>1</v>
      </c>
      <c r="M169" s="85">
        <v>500</v>
      </c>
      <c r="N169" s="85">
        <f>IFERROR(表格1[[#This Row],[QTY]]*表格1[[#This Row],[Unit Price]],"-")</f>
        <v>500</v>
      </c>
      <c r="O169" s="134">
        <v>4029787</v>
      </c>
      <c r="P169" s="137"/>
      <c r="Q169" s="81"/>
      <c r="R169" s="81" t="str">
        <f>_xlfn.CONCAT(表格1[[#This Row],[Model]]," ",表格1[[#This Row],[inv no]])</f>
        <v>PLK-45SFIH(WT) 4029787</v>
      </c>
      <c r="S169" s="135">
        <f>_xlfn.XLOOKUP(表格1[[#This Row],[Model]],表格3[Model-Input-Ref2],表格3[SRP PRICE])</f>
        <v>788</v>
      </c>
      <c r="T169" s="43">
        <f>表格1[[#This Row],[Unit Price]]/表格1[[#This Row],[SRP]]</f>
        <v>0.63451776649746194</v>
      </c>
      <c r="U169" s="86" t="str">
        <f>_xlfn.XLOOKUP(表格1[[#This Row],[Model]],表格3[Model-Input-Ref2],表格3[TOSHIBA/HIGHEST])</f>
        <v>Toshiba SRP</v>
      </c>
      <c r="V169" s="86">
        <v>110</v>
      </c>
      <c r="W169" s="86" t="str">
        <f>_xlfn.CONCAT(表格1[[#This Row],[欄4]],表格1[[#This Row],[inv no]])</f>
        <v>1104029787</v>
      </c>
    </row>
    <row r="170" spans="1:23" hidden="1">
      <c r="A170" s="81">
        <v>168</v>
      </c>
      <c r="B170" s="81" t="s">
        <v>1203</v>
      </c>
      <c r="C170" s="81" t="s">
        <v>1247</v>
      </c>
      <c r="D170" s="82" t="str">
        <f ca="1">OFFSET(Roster!$A$3,MATCH(表格1[[#This Row],[Location]]&amp;" "&amp;表格1[[#This Row],[Shop]]&amp;"*",Roster!$A$4:$A$72,0),DAY(表格1[[#This Row],[date]]),1,1)</f>
        <v>Maggie Ho_1</v>
      </c>
      <c r="E170" s="81">
        <f>MONTH(表格1[[#This Row],[date]])</f>
        <v>3</v>
      </c>
      <c r="F170" s="101">
        <v>46096</v>
      </c>
      <c r="G170" s="81" t="str">
        <f>VLOOKUP("*"&amp;表格1[[#This Row],[Input]]&amp;"*",'Ref-List'!$B:$D,2,)</f>
        <v>IC-21TSHK</v>
      </c>
      <c r="H170" s="81" t="str">
        <f>_xlfn.XLOOKUP(表格1[[#This Row],[Model]],表格3[Model-Input-Ref2],表格3[Product Line])</f>
        <v>Induction Cooker</v>
      </c>
      <c r="I170" s="81" t="str">
        <f>_xlfn.XLOOKUP(表格1[[#This Row],[Model]],表格3[Model-Input-Ref2],表格3[大小電])</f>
        <v>細電</v>
      </c>
      <c r="J170" s="81" t="str">
        <f>_xlfn.XLOOKUP(表格1[[#This Row],[Model]],表格3[Model-Input-Ref2],表格3[Code])</f>
        <v>SDA</v>
      </c>
      <c r="K170" s="82" t="s">
        <v>1242</v>
      </c>
      <c r="L170" s="81">
        <v>1</v>
      </c>
      <c r="M170" s="85">
        <v>500</v>
      </c>
      <c r="N170" s="85">
        <f>IFERROR(表格1[[#This Row],[QTY]]*表格1[[#This Row],[Unit Price]],"-")</f>
        <v>500</v>
      </c>
      <c r="O170" s="134">
        <v>4029797</v>
      </c>
      <c r="P170" s="81"/>
      <c r="Q170" s="81"/>
      <c r="R170" s="81" t="str">
        <f>_xlfn.CONCAT(表格1[[#This Row],[Model]]," ",表格1[[#This Row],[inv no]])</f>
        <v>IC-21TSHK 4029797</v>
      </c>
      <c r="S170" s="135">
        <f>_xlfn.XLOOKUP(表格1[[#This Row],[Model]],表格3[Model-Input-Ref2],表格3[SRP PRICE])</f>
        <v>998</v>
      </c>
      <c r="T170" s="43">
        <f>表格1[[#This Row],[Unit Price]]/表格1[[#This Row],[SRP]]</f>
        <v>0.50100200400801598</v>
      </c>
      <c r="U170" s="86" t="str">
        <f>_xlfn.XLOOKUP(表格1[[#This Row],[Model]],表格3[Model-Input-Ref2],表格3[TOSHIBA/HIGHEST])</f>
        <v>web SRP</v>
      </c>
      <c r="V170" s="86">
        <v>110</v>
      </c>
      <c r="W170" s="86" t="str">
        <f>_xlfn.CONCAT(表格1[[#This Row],[欄4]],表格1[[#This Row],[inv no]])</f>
        <v>1104029797</v>
      </c>
    </row>
    <row r="171" spans="1:23" hidden="1">
      <c r="A171" s="81">
        <v>169</v>
      </c>
      <c r="B171" s="81" t="s">
        <v>1203</v>
      </c>
      <c r="C171" s="81" t="s">
        <v>1247</v>
      </c>
      <c r="D171" s="82" t="str">
        <f ca="1">OFFSET(Roster!$A$3,MATCH(表格1[[#This Row],[Location]]&amp;" "&amp;表格1[[#This Row],[Shop]]&amp;"*",Roster!$A$4:$A$72,0),DAY(表格1[[#This Row],[date]]),1,1)</f>
        <v>Maggie Ho_1</v>
      </c>
      <c r="E171" s="81">
        <f>MONTH(表格1[[#This Row],[date]])</f>
        <v>3</v>
      </c>
      <c r="F171" s="101">
        <v>46096</v>
      </c>
      <c r="G171" s="81" t="str">
        <f>VLOOKUP("*"&amp;表格1[[#This Row],[Input]]&amp;"*",'Ref-List'!$B:$D,2,)</f>
        <v>DWS-34AHK</v>
      </c>
      <c r="H171" s="81" t="str">
        <f>_xlfn.XLOOKUP(表格1[[#This Row],[Model]],表格3[Model-Input-Ref2],表格3[Product Line])</f>
        <v>獨立式免安裝洗碗碟機</v>
      </c>
      <c r="I171" s="81" t="str">
        <f>_xlfn.XLOOKUP(表格1[[#This Row],[Model]],表格3[Model-Input-Ref2],表格3[大小電])</f>
        <v>細電</v>
      </c>
      <c r="J171" s="81" t="str">
        <f>_xlfn.XLOOKUP(表格1[[#This Row],[Model]],表格3[Model-Input-Ref2],表格3[Code])</f>
        <v>DM</v>
      </c>
      <c r="K171" s="82" t="s">
        <v>1240</v>
      </c>
      <c r="L171" s="81">
        <v>1</v>
      </c>
      <c r="M171" s="85">
        <v>1500</v>
      </c>
      <c r="N171" s="85">
        <f>IFERROR(表格1[[#This Row],[QTY]]*表格1[[#This Row],[Unit Price]],"-")</f>
        <v>1500</v>
      </c>
      <c r="O171" s="134">
        <v>4029793</v>
      </c>
      <c r="P171" s="81"/>
      <c r="Q171" s="81"/>
      <c r="R171" s="81" t="str">
        <f>_xlfn.CONCAT(表格1[[#This Row],[Model]]," ",表格1[[#This Row],[inv no]])</f>
        <v>DWS-34AHK 4029793</v>
      </c>
      <c r="S171" s="135">
        <f>_xlfn.XLOOKUP(表格1[[#This Row],[Model]],表格3[Model-Input-Ref2],表格3[SRP PRICE])</f>
        <v>3999</v>
      </c>
      <c r="T171" s="43">
        <f>表格1[[#This Row],[Unit Price]]/表格1[[#This Row],[SRP]]</f>
        <v>0.37509377344336087</v>
      </c>
      <c r="U171" s="86" t="str">
        <f>_xlfn.XLOOKUP(表格1[[#This Row],[Model]],表格3[Model-Input-Ref2],表格3[TOSHIBA/HIGHEST])</f>
        <v>Web SRP</v>
      </c>
      <c r="V171" s="86">
        <v>110</v>
      </c>
      <c r="W171" s="86" t="str">
        <f>_xlfn.CONCAT(表格1[[#This Row],[欄4]],表格1[[#This Row],[inv no]])</f>
        <v>1104029793</v>
      </c>
    </row>
    <row r="172" spans="1:23" hidden="1">
      <c r="A172" s="81">
        <v>170</v>
      </c>
      <c r="B172" s="81" t="s">
        <v>1203</v>
      </c>
      <c r="C172" s="81" t="s">
        <v>1253</v>
      </c>
      <c r="D172" s="82" t="str">
        <f ca="1">OFFSET(Roster!$A$3,MATCH(表格1[[#This Row],[Location]]&amp;" "&amp;表格1[[#This Row],[Shop]]&amp;"*",Roster!$A$4:$A$72,0),DAY(表格1[[#This Row],[date]]),1,1)</f>
        <v>Pinky</v>
      </c>
      <c r="E172" s="81">
        <f>MONTH(表格1[[#This Row],[date]])</f>
        <v>3</v>
      </c>
      <c r="F172" s="101">
        <v>46082</v>
      </c>
      <c r="G172" s="81" t="str">
        <f>VLOOKUP("*"&amp;表格1[[#This Row],[Input]]&amp;"*",'Ref-List'!$B:$D,2,)</f>
        <v>AW-M901BPH(WW)</v>
      </c>
      <c r="H172" s="81" t="str">
        <f>_xlfn.XLOOKUP(表格1[[#This Row],[Model]],表格3[Model-Input-Ref2],表格3[Product Line])</f>
        <v>全自動洗衣機 (8公斤 結合高低水位)</v>
      </c>
      <c r="I172" s="81" t="str">
        <f>_xlfn.XLOOKUP(表格1[[#This Row],[Model]],表格3[Model-Input-Ref2],表格3[大小電])</f>
        <v>大電</v>
      </c>
      <c r="J172" s="81" t="str">
        <f>_xlfn.XLOOKUP(表格1[[#This Row],[Model]],表格3[Model-Input-Ref2],表格3[Code])</f>
        <v>WM</v>
      </c>
      <c r="K172" s="82" t="s">
        <v>1202</v>
      </c>
      <c r="L172" s="81">
        <v>1</v>
      </c>
      <c r="M172" s="85">
        <v>1500</v>
      </c>
      <c r="N172" s="85">
        <f>IFERROR(表格1[[#This Row],[QTY]]*表格1[[#This Row],[Unit Price]],"-")</f>
        <v>1500</v>
      </c>
      <c r="O172" s="134">
        <v>5926389</v>
      </c>
      <c r="P172" s="81"/>
      <c r="Q172" s="81"/>
      <c r="R172" s="81" t="str">
        <f>_xlfn.CONCAT(表格1[[#This Row],[Model]]," ",表格1[[#This Row],[inv no]])</f>
        <v>AW-M901BPH(WW) 5926389</v>
      </c>
      <c r="S172" s="135">
        <f>_xlfn.XLOOKUP(表格1[[#This Row],[Model]],表格3[Model-Input-Ref2],表格3[SRP PRICE])</f>
        <v>3580</v>
      </c>
      <c r="T172" s="43">
        <f>表格1[[#This Row],[Unit Price]]/表格1[[#This Row],[SRP]]</f>
        <v>0.41899441340782123</v>
      </c>
      <c r="U172" s="86" t="str">
        <f>_xlfn.XLOOKUP(表格1[[#This Row],[Model]],表格3[Model-Input-Ref2],表格3[TOSHIBA/HIGHEST])</f>
        <v>Toshiba SRP</v>
      </c>
      <c r="V172" s="86">
        <v>110</v>
      </c>
      <c r="W172" s="86" t="str">
        <f>_xlfn.CONCAT(表格1[[#This Row],[欄4]],表格1[[#This Row],[inv no]])</f>
        <v>1105926389</v>
      </c>
    </row>
    <row r="173" spans="1:23" hidden="1">
      <c r="A173" s="81">
        <v>171</v>
      </c>
      <c r="B173" s="81" t="s">
        <v>1203</v>
      </c>
      <c r="C173" s="81" t="s">
        <v>1253</v>
      </c>
      <c r="D173" s="82" t="str">
        <f ca="1">OFFSET(Roster!$A$3,MATCH(表格1[[#This Row],[Location]]&amp;" "&amp;表格1[[#This Row],[Shop]]&amp;"*",Roster!$A$4:$A$72,0),DAY(表格1[[#This Row],[date]]),1,1)</f>
        <v>Pinky</v>
      </c>
      <c r="E173" s="81">
        <f>MONTH(表格1[[#This Row],[date]])</f>
        <v>3</v>
      </c>
      <c r="F173" s="101">
        <v>46088</v>
      </c>
      <c r="G173" s="81" t="str">
        <f>VLOOKUP("*"&amp;表格1[[#This Row],[Input]]&amp;"*",'Ref-List'!$B:$D,2,)</f>
        <v>AW-M901BPH(WW)</v>
      </c>
      <c r="H173" s="81" t="str">
        <f>_xlfn.XLOOKUP(表格1[[#This Row],[Model]],表格3[Model-Input-Ref2],表格3[Product Line])</f>
        <v>全自動洗衣機 (8公斤 結合高低水位)</v>
      </c>
      <c r="I173" s="81" t="str">
        <f>_xlfn.XLOOKUP(表格1[[#This Row],[Model]],表格3[Model-Input-Ref2],表格3[大小電])</f>
        <v>大電</v>
      </c>
      <c r="J173" s="81" t="str">
        <f>_xlfn.XLOOKUP(表格1[[#This Row],[Model]],表格3[Model-Input-Ref2],表格3[Code])</f>
        <v>WM</v>
      </c>
      <c r="K173" s="82" t="s">
        <v>1202</v>
      </c>
      <c r="L173" s="81">
        <v>1</v>
      </c>
      <c r="M173" s="85">
        <v>1500</v>
      </c>
      <c r="N173" s="85">
        <f>IFERROR(表格1[[#This Row],[QTY]]*表格1[[#This Row],[Unit Price]],"-")</f>
        <v>1500</v>
      </c>
      <c r="O173" s="134">
        <v>5926197</v>
      </c>
      <c r="P173" s="81"/>
      <c r="Q173" s="81"/>
      <c r="R173" s="81" t="str">
        <f>_xlfn.CONCAT(表格1[[#This Row],[Model]]," ",表格1[[#This Row],[inv no]])</f>
        <v>AW-M901BPH(WW) 5926197</v>
      </c>
      <c r="S173" s="135">
        <f>_xlfn.XLOOKUP(表格1[[#This Row],[Model]],表格3[Model-Input-Ref2],表格3[SRP PRICE])</f>
        <v>3580</v>
      </c>
      <c r="T173" s="43">
        <f>表格1[[#This Row],[Unit Price]]/表格1[[#This Row],[SRP]]</f>
        <v>0.41899441340782123</v>
      </c>
      <c r="U173" s="86" t="str">
        <f>_xlfn.XLOOKUP(表格1[[#This Row],[Model]],表格3[Model-Input-Ref2],表格3[TOSHIBA/HIGHEST])</f>
        <v>Toshiba SRP</v>
      </c>
      <c r="V173" s="86">
        <v>110</v>
      </c>
      <c r="W173" s="86" t="str">
        <f>_xlfn.CONCAT(表格1[[#This Row],[欄4]],表格1[[#This Row],[inv no]])</f>
        <v>1105926197</v>
      </c>
    </row>
    <row r="174" spans="1:23" ht="16.5" hidden="1">
      <c r="A174" s="81">
        <v>172</v>
      </c>
      <c r="B174" s="81" t="s">
        <v>1203</v>
      </c>
      <c r="C174" s="81" t="s">
        <v>1253</v>
      </c>
      <c r="D174" s="82" t="str">
        <f ca="1">OFFSET(Roster!$A$3,MATCH(表格1[[#This Row],[Location]]&amp;" "&amp;表格1[[#This Row],[Shop]]&amp;"*",Roster!$A$4:$A$72,0),DAY(表格1[[#This Row],[date]]),1,1)</f>
        <v>Pinky</v>
      </c>
      <c r="E174" s="81">
        <f>MONTH(表格1[[#This Row],[date]])</f>
        <v>3</v>
      </c>
      <c r="F174" s="101">
        <v>46088</v>
      </c>
      <c r="G174" s="81" t="str">
        <f>VLOOKUP("*"&amp;表格1[[#This Row],[Input]]&amp;"*",'Ref-List'!$B:$D,2,)</f>
        <v>MW2-MM24PC(BK)</v>
      </c>
      <c r="H174" s="81" t="str">
        <f>_xlfn.XLOOKUP(表格1[[#This Row],[Model]],表格3[Model-Input-Ref2],表格3[Product Line])</f>
        <v>旋鈕式微波爐24L</v>
      </c>
      <c r="I174" s="81" t="str">
        <f>_xlfn.XLOOKUP(表格1[[#This Row],[Model]],表格3[Model-Input-Ref2],表格3[大小電])</f>
        <v>細電</v>
      </c>
      <c r="J174" s="81" t="str">
        <f>_xlfn.XLOOKUP(表格1[[#This Row],[Model]],表格3[Model-Input-Ref2],表格3[Code])</f>
        <v>SDA</v>
      </c>
      <c r="K174" s="82" t="s">
        <v>1196</v>
      </c>
      <c r="L174" s="81">
        <v>1</v>
      </c>
      <c r="M174" s="85">
        <v>500</v>
      </c>
      <c r="N174" s="85">
        <f>IFERROR(表格1[[#This Row],[QTY]]*表格1[[#This Row],[Unit Price]],"-")</f>
        <v>500</v>
      </c>
      <c r="O174" s="134">
        <v>5926197</v>
      </c>
      <c r="P174" s="137"/>
      <c r="Q174" s="81"/>
      <c r="R174" s="81" t="str">
        <f>_xlfn.CONCAT(表格1[[#This Row],[Model]]," ",表格1[[#This Row],[inv no]])</f>
        <v>MW2-MM24PC(BK) 5926197</v>
      </c>
      <c r="S174" s="135">
        <f>_xlfn.XLOOKUP(表格1[[#This Row],[Model]],表格3[Model-Input-Ref2],表格3[SRP PRICE])</f>
        <v>848</v>
      </c>
      <c r="T174" s="43">
        <f>表格1[[#This Row],[Unit Price]]/表格1[[#This Row],[SRP]]</f>
        <v>0.589622641509434</v>
      </c>
      <c r="U174" s="86" t="str">
        <f>_xlfn.XLOOKUP(表格1[[#This Row],[Model]],表格3[Model-Input-Ref2],表格3[TOSHIBA/HIGHEST])</f>
        <v>Toshiba SRP</v>
      </c>
      <c r="V174" s="86">
        <v>110</v>
      </c>
      <c r="W174" s="86" t="str">
        <f>_xlfn.CONCAT(表格1[[#This Row],[欄4]],表格1[[#This Row],[inv no]])</f>
        <v>1105926197</v>
      </c>
    </row>
    <row r="175" spans="1:23" hidden="1">
      <c r="A175" s="81">
        <v>173</v>
      </c>
      <c r="B175" s="81" t="s">
        <v>1203</v>
      </c>
      <c r="C175" s="81" t="s">
        <v>1253</v>
      </c>
      <c r="D175" s="82" t="str">
        <f ca="1">OFFSET(Roster!$A$3,MATCH(表格1[[#This Row],[Location]]&amp;" "&amp;表格1[[#This Row],[Shop]]&amp;"*",Roster!$A$4:$A$72,0),DAY(表格1[[#This Row],[date]]),1,1)</f>
        <v>Pinky</v>
      </c>
      <c r="E175" s="81">
        <f>MONTH(表格1[[#This Row],[date]])</f>
        <v>3</v>
      </c>
      <c r="F175" s="101">
        <v>46095</v>
      </c>
      <c r="G175" s="81" t="str">
        <f>VLOOKUP("*"&amp;表格1[[#This Row],[Input]]&amp;"*",'Ref-List'!$B:$D,2,)</f>
        <v>ER-TD5000HK(XK)</v>
      </c>
      <c r="H175" s="81" t="str">
        <f>_xlfn.XLOOKUP(表格1[[#This Row],[Model]],表格3[Model-Input-Ref2],表格3[Product Line])</f>
        <v>座檯式純蒸氣烤焗水波爐30L</v>
      </c>
      <c r="I175" s="81" t="str">
        <f>_xlfn.XLOOKUP(表格1[[#This Row],[Model]],表格3[Model-Input-Ref2],表格3[大小電])</f>
        <v>細電</v>
      </c>
      <c r="J175" s="81" t="str">
        <f>_xlfn.XLOOKUP(表格1[[#This Row],[Model]],表格3[Model-Input-Ref2],表格3[Code])</f>
        <v>SDA</v>
      </c>
      <c r="K175" s="82" t="s">
        <v>1205</v>
      </c>
      <c r="L175" s="81">
        <v>1</v>
      </c>
      <c r="M175" s="85">
        <v>3588</v>
      </c>
      <c r="N175" s="85">
        <f>IFERROR(表格1[[#This Row],[QTY]]*表格1[[#This Row],[Unit Price]],"-")</f>
        <v>3588</v>
      </c>
      <c r="O175" s="134"/>
      <c r="P175" s="136"/>
      <c r="Q175" s="81"/>
      <c r="R175" s="81" t="str">
        <f>_xlfn.CONCAT(表格1[[#This Row],[Model]]," ",表格1[[#This Row],[inv no]])</f>
        <v xml:space="preserve">ER-TD5000HK(XK) </v>
      </c>
      <c r="S175" s="135">
        <f>_xlfn.XLOOKUP(表格1[[#This Row],[Model]],表格3[Model-Input-Ref2],表格3[SRP PRICE])</f>
        <v>7998</v>
      </c>
      <c r="T175" s="43">
        <f>表格1[[#This Row],[Unit Price]]/表格1[[#This Row],[SRP]]</f>
        <v>0.44861215303825958</v>
      </c>
      <c r="U175" s="86" t="str">
        <f>_xlfn.XLOOKUP(表格1[[#This Row],[Model]],表格3[Model-Input-Ref2],表格3[TOSHIBA/HIGHEST])</f>
        <v>Toshiba SRP</v>
      </c>
      <c r="V175" s="86">
        <v>110</v>
      </c>
      <c r="W175" s="86" t="str">
        <f>_xlfn.CONCAT(表格1[[#This Row],[欄4]],表格1[[#This Row],[inv no]])</f>
        <v>110</v>
      </c>
    </row>
    <row r="176" spans="1:23" hidden="1">
      <c r="A176" s="81">
        <v>174</v>
      </c>
      <c r="B176" s="81" t="s">
        <v>1203</v>
      </c>
      <c r="C176" s="81" t="s">
        <v>1253</v>
      </c>
      <c r="D176" s="82" t="str">
        <f ca="1">OFFSET(Roster!$A$3,MATCH(表格1[[#This Row],[Location]]&amp;" "&amp;表格1[[#This Row],[Shop]]&amp;"*",Roster!$A$4:$A$72,0),DAY(表格1[[#This Row],[date]]),1,1)</f>
        <v>Pinky</v>
      </c>
      <c r="E176" s="81">
        <f>MONTH(表格1[[#This Row],[date]])</f>
        <v>3</v>
      </c>
      <c r="F176" s="101">
        <v>46096</v>
      </c>
      <c r="G176" s="81" t="str">
        <f>VLOOKUP("*"&amp;表格1[[#This Row],[Input]]&amp;"*",'Ref-List'!$B:$D,2,)</f>
        <v>AW-M901BPH(WW)</v>
      </c>
      <c r="H176" s="81" t="str">
        <f>_xlfn.XLOOKUP(表格1[[#This Row],[Model]],表格3[Model-Input-Ref2],表格3[Product Line])</f>
        <v>全自動洗衣機 (8公斤 結合高低水位)</v>
      </c>
      <c r="I176" s="81" t="str">
        <f>_xlfn.XLOOKUP(表格1[[#This Row],[Model]],表格3[Model-Input-Ref2],表格3[大小電])</f>
        <v>大電</v>
      </c>
      <c r="J176" s="81" t="str">
        <f>_xlfn.XLOOKUP(表格1[[#This Row],[Model]],表格3[Model-Input-Ref2],表格3[Code])</f>
        <v>WM</v>
      </c>
      <c r="K176" s="82" t="s">
        <v>1202</v>
      </c>
      <c r="L176" s="81">
        <v>1</v>
      </c>
      <c r="M176" s="85">
        <v>1500</v>
      </c>
      <c r="N176" s="85">
        <f>IFERROR(表格1[[#This Row],[QTY]]*表格1[[#This Row],[Unit Price]],"-")</f>
        <v>1500</v>
      </c>
      <c r="O176" s="134">
        <v>5926109</v>
      </c>
      <c r="P176" s="136"/>
      <c r="Q176" s="81"/>
      <c r="R176" s="81" t="str">
        <f>_xlfn.CONCAT(表格1[[#This Row],[Model]]," ",表格1[[#This Row],[inv no]])</f>
        <v>AW-M901BPH(WW) 5926109</v>
      </c>
      <c r="S176" s="135">
        <f>_xlfn.XLOOKUP(表格1[[#This Row],[Model]],表格3[Model-Input-Ref2],表格3[SRP PRICE])</f>
        <v>3580</v>
      </c>
      <c r="T176" s="43">
        <f>表格1[[#This Row],[Unit Price]]/表格1[[#This Row],[SRP]]</f>
        <v>0.41899441340782123</v>
      </c>
      <c r="U176" s="86" t="str">
        <f>_xlfn.XLOOKUP(表格1[[#This Row],[Model]],表格3[Model-Input-Ref2],表格3[TOSHIBA/HIGHEST])</f>
        <v>Toshiba SRP</v>
      </c>
      <c r="V176" s="86">
        <v>110</v>
      </c>
      <c r="W176" s="86" t="str">
        <f>_xlfn.CONCAT(表格1[[#This Row],[欄4]],表格1[[#This Row],[inv no]])</f>
        <v>1105926109</v>
      </c>
    </row>
    <row r="177" spans="1:23" ht="16.5" hidden="1">
      <c r="A177" s="81">
        <v>175</v>
      </c>
      <c r="B177" s="81" t="s">
        <v>1203</v>
      </c>
      <c r="C177" s="81" t="s">
        <v>1253</v>
      </c>
      <c r="D177" s="82" t="str">
        <f ca="1">OFFSET(Roster!$A$3,MATCH(表格1[[#This Row],[Location]]&amp;" "&amp;表格1[[#This Row],[Shop]]&amp;"*",Roster!$A$4:$A$72,0),DAY(表格1[[#This Row],[date]]),1,1)</f>
        <v>Pinky</v>
      </c>
      <c r="E177" s="81">
        <f>MONTH(表格1[[#This Row],[date]])</f>
        <v>3</v>
      </c>
      <c r="F177" s="101">
        <v>46096</v>
      </c>
      <c r="G177" s="81" t="str">
        <f>VLOOKUP("*"&amp;表格1[[#This Row],[Input]]&amp;"*",'Ref-List'!$B:$D,2,)</f>
        <v>AW-M901BPH(WW)</v>
      </c>
      <c r="H177" s="81" t="str">
        <f>_xlfn.XLOOKUP(表格1[[#This Row],[Model]],表格3[Model-Input-Ref2],表格3[Product Line])</f>
        <v>全自動洗衣機 (8公斤 結合高低水位)</v>
      </c>
      <c r="I177" s="81" t="str">
        <f>_xlfn.XLOOKUP(表格1[[#This Row],[Model]],表格3[Model-Input-Ref2],表格3[大小電])</f>
        <v>大電</v>
      </c>
      <c r="J177" s="81" t="str">
        <f>_xlfn.XLOOKUP(表格1[[#This Row],[Model]],表格3[Model-Input-Ref2],表格3[Code])</f>
        <v>WM</v>
      </c>
      <c r="K177" s="82" t="s">
        <v>1202</v>
      </c>
      <c r="L177" s="81">
        <v>1</v>
      </c>
      <c r="M177" s="85">
        <v>1500</v>
      </c>
      <c r="N177" s="85">
        <f>IFERROR(表格1[[#This Row],[QTY]]*表格1[[#This Row],[Unit Price]],"-")</f>
        <v>1500</v>
      </c>
      <c r="O177" s="134"/>
      <c r="P177" s="137"/>
      <c r="Q177" s="81"/>
      <c r="R177" s="81" t="str">
        <f>_xlfn.CONCAT(表格1[[#This Row],[Model]]," ",表格1[[#This Row],[inv no]])</f>
        <v xml:space="preserve">AW-M901BPH(WW) </v>
      </c>
      <c r="S177" s="135">
        <f>_xlfn.XLOOKUP(表格1[[#This Row],[Model]],表格3[Model-Input-Ref2],表格3[SRP PRICE])</f>
        <v>3580</v>
      </c>
      <c r="T177" s="43">
        <f>表格1[[#This Row],[Unit Price]]/表格1[[#This Row],[SRP]]</f>
        <v>0.41899441340782123</v>
      </c>
      <c r="U177" s="86" t="str">
        <f>_xlfn.XLOOKUP(表格1[[#This Row],[Model]],表格3[Model-Input-Ref2],表格3[TOSHIBA/HIGHEST])</f>
        <v>Toshiba SRP</v>
      </c>
      <c r="V177" s="86">
        <v>110</v>
      </c>
      <c r="W177" s="86" t="str">
        <f>_xlfn.CONCAT(表格1[[#This Row],[欄4]],表格1[[#This Row],[inv no]])</f>
        <v>110</v>
      </c>
    </row>
    <row r="178" spans="1:23" hidden="1">
      <c r="A178" s="81">
        <v>176</v>
      </c>
      <c r="B178" s="81" t="s">
        <v>1203</v>
      </c>
      <c r="C178" s="81" t="s">
        <v>1253</v>
      </c>
      <c r="D178" s="82" t="str">
        <f ca="1">OFFSET(Roster!$A$3,MATCH(表格1[[#This Row],[Location]]&amp;" "&amp;表格1[[#This Row],[Shop]]&amp;"*",Roster!$A$4:$A$72,0),DAY(表格1[[#This Row],[date]]),1,1)</f>
        <v>Pinky</v>
      </c>
      <c r="E178" s="81">
        <f>MONTH(表格1[[#This Row],[date]])</f>
        <v>3</v>
      </c>
      <c r="F178" s="101">
        <v>46096</v>
      </c>
      <c r="G178" s="81" t="str">
        <f>VLOOKUP("*"&amp;表格1[[#This Row],[Input]]&amp;"*",'Ref-List'!$B:$D,2,)</f>
        <v>PLK-45SFIH(WT)</v>
      </c>
      <c r="H178" s="81" t="str">
        <f>_xlfn.XLOOKUP(表格1[[#This Row],[Model]],表格3[Model-Input-Ref2],表格3[Product Line])</f>
        <v>電熱水瓶4.5L</v>
      </c>
      <c r="I178" s="81" t="str">
        <f>_xlfn.XLOOKUP(表格1[[#This Row],[Model]],表格3[Model-Input-Ref2],表格3[大小電])</f>
        <v>細電</v>
      </c>
      <c r="J178" s="81" t="str">
        <f>_xlfn.XLOOKUP(表格1[[#This Row],[Model]],表格3[Model-Input-Ref2],表格3[Code])</f>
        <v>SDA</v>
      </c>
      <c r="K178" s="82" t="s">
        <v>1117</v>
      </c>
      <c r="L178" s="81">
        <v>1</v>
      </c>
      <c r="M178" s="85">
        <v>500</v>
      </c>
      <c r="N178" s="85">
        <f>IFERROR(表格1[[#This Row],[QTY]]*表格1[[#This Row],[Unit Price]],"-")</f>
        <v>500</v>
      </c>
      <c r="O178" s="134"/>
      <c r="P178" s="81"/>
      <c r="Q178" s="81"/>
      <c r="R178" s="81" t="str">
        <f>_xlfn.CONCAT(表格1[[#This Row],[Model]]," ",表格1[[#This Row],[inv no]])</f>
        <v xml:space="preserve">PLK-45SFIH(WT) </v>
      </c>
      <c r="S178" s="135">
        <f>_xlfn.XLOOKUP(表格1[[#This Row],[Model]],表格3[Model-Input-Ref2],表格3[SRP PRICE])</f>
        <v>788</v>
      </c>
      <c r="T178" s="43">
        <f>表格1[[#This Row],[Unit Price]]/表格1[[#This Row],[SRP]]</f>
        <v>0.63451776649746194</v>
      </c>
      <c r="U178" s="86" t="str">
        <f>_xlfn.XLOOKUP(表格1[[#This Row],[Model]],表格3[Model-Input-Ref2],表格3[TOSHIBA/HIGHEST])</f>
        <v>Toshiba SRP</v>
      </c>
      <c r="V178" s="86">
        <v>110</v>
      </c>
      <c r="W178" s="86" t="str">
        <f>_xlfn.CONCAT(表格1[[#This Row],[欄4]],表格1[[#This Row],[inv no]])</f>
        <v>110</v>
      </c>
    </row>
    <row r="179" spans="1:23" hidden="1">
      <c r="A179" s="81">
        <v>177</v>
      </c>
      <c r="B179" s="81" t="s">
        <v>1203</v>
      </c>
      <c r="C179" s="81" t="s">
        <v>1255</v>
      </c>
      <c r="D179" s="82" t="str">
        <f ca="1">OFFSET(Roster!$A$3,MATCH(表格1[[#This Row],[Location]]&amp;" "&amp;表格1[[#This Row],[Shop]]&amp;"*",Roster!$A$4:$A$72,0),DAY(表格1[[#This Row],[date]]),1,1)</f>
        <v>Me</v>
      </c>
      <c r="E179" s="81">
        <f>MONTH(表格1[[#This Row],[date]])</f>
        <v>3</v>
      </c>
      <c r="F179" s="101">
        <v>46082</v>
      </c>
      <c r="G179" s="81" t="str">
        <f>VLOOKUP("*"&amp;表格1[[#This Row],[Input]]&amp;"*",'Ref-List'!$B:$D,2,)</f>
        <v>IC-21TSHK</v>
      </c>
      <c r="H179" s="81" t="str">
        <f>_xlfn.XLOOKUP(表格1[[#This Row],[Model]],表格3[Model-Input-Ref2],表格3[Product Line])</f>
        <v>Induction Cooker</v>
      </c>
      <c r="I179" s="81" t="str">
        <f>_xlfn.XLOOKUP(表格1[[#This Row],[Model]],表格3[Model-Input-Ref2],表格3[大小電])</f>
        <v>細電</v>
      </c>
      <c r="J179" s="81" t="str">
        <f>_xlfn.XLOOKUP(表格1[[#This Row],[Model]],表格3[Model-Input-Ref2],表格3[Code])</f>
        <v>SDA</v>
      </c>
      <c r="K179" s="82" t="s">
        <v>1242</v>
      </c>
      <c r="L179" s="81">
        <v>1</v>
      </c>
      <c r="M179" s="85">
        <v>500</v>
      </c>
      <c r="N179" s="85">
        <f>IFERROR(表格1[[#This Row],[QTY]]*表格1[[#This Row],[Unit Price]],"-")</f>
        <v>500</v>
      </c>
      <c r="O179" s="134">
        <v>7017032</v>
      </c>
      <c r="P179" s="81"/>
      <c r="Q179" s="81"/>
      <c r="R179" s="81" t="str">
        <f>_xlfn.CONCAT(表格1[[#This Row],[Model]]," ",表格1[[#This Row],[inv no]])</f>
        <v>IC-21TSHK 7017032</v>
      </c>
      <c r="S179" s="135">
        <f>_xlfn.XLOOKUP(表格1[[#This Row],[Model]],表格3[Model-Input-Ref2],表格3[SRP PRICE])</f>
        <v>998</v>
      </c>
      <c r="T179" s="43">
        <f>表格1[[#This Row],[Unit Price]]/表格1[[#This Row],[SRP]]</f>
        <v>0.50100200400801598</v>
      </c>
      <c r="U179" s="86" t="str">
        <f>_xlfn.XLOOKUP(表格1[[#This Row],[Model]],表格3[Model-Input-Ref2],表格3[TOSHIBA/HIGHEST])</f>
        <v>web SRP</v>
      </c>
      <c r="V179" s="86">
        <v>110</v>
      </c>
      <c r="W179" s="86" t="str">
        <f>_xlfn.CONCAT(表格1[[#This Row],[欄4]],表格1[[#This Row],[inv no]])</f>
        <v>1107017032</v>
      </c>
    </row>
    <row r="180" spans="1:23" ht="16.5" hidden="1">
      <c r="A180" s="81">
        <v>178</v>
      </c>
      <c r="B180" s="81" t="s">
        <v>1203</v>
      </c>
      <c r="C180" s="81" t="s">
        <v>1255</v>
      </c>
      <c r="D180" s="82" t="str">
        <f ca="1">OFFSET(Roster!$A$3,MATCH(表格1[[#This Row],[Location]]&amp;" "&amp;表格1[[#This Row],[Shop]]&amp;"*",Roster!$A$4:$A$72,0),DAY(表格1[[#This Row],[date]]),1,1)</f>
        <v>Me</v>
      </c>
      <c r="E180" s="81">
        <f>MONTH(表格1[[#This Row],[date]])</f>
        <v>3</v>
      </c>
      <c r="F180" s="101">
        <v>46082</v>
      </c>
      <c r="G180" s="81" t="str">
        <f>VLOOKUP("*"&amp;表格1[[#This Row],[Input]]&amp;"*",'Ref-List'!$B:$D,2,)</f>
        <v>IC-21TSHK</v>
      </c>
      <c r="H180" s="81" t="str">
        <f>_xlfn.XLOOKUP(表格1[[#This Row],[Model]],表格3[Model-Input-Ref2],表格3[Product Line])</f>
        <v>Induction Cooker</v>
      </c>
      <c r="I180" s="81" t="str">
        <f>_xlfn.XLOOKUP(表格1[[#This Row],[Model]],表格3[Model-Input-Ref2],表格3[大小電])</f>
        <v>細電</v>
      </c>
      <c r="J180" s="81" t="str">
        <f>_xlfn.XLOOKUP(表格1[[#This Row],[Model]],表格3[Model-Input-Ref2],表格3[Code])</f>
        <v>SDA</v>
      </c>
      <c r="K180" s="82" t="s">
        <v>1242</v>
      </c>
      <c r="L180" s="81">
        <v>1</v>
      </c>
      <c r="M180" s="85">
        <v>500</v>
      </c>
      <c r="N180" s="85">
        <f>IFERROR(表格1[[#This Row],[QTY]]*表格1[[#This Row],[Unit Price]],"-")</f>
        <v>500</v>
      </c>
      <c r="O180" s="134">
        <v>7065365</v>
      </c>
      <c r="P180" s="137"/>
      <c r="Q180" s="81"/>
      <c r="R180" s="81" t="str">
        <f>_xlfn.CONCAT(表格1[[#This Row],[Model]]," ",表格1[[#This Row],[inv no]])</f>
        <v>IC-21TSHK 7065365</v>
      </c>
      <c r="S180" s="135">
        <f>_xlfn.XLOOKUP(表格1[[#This Row],[Model]],表格3[Model-Input-Ref2],表格3[SRP PRICE])</f>
        <v>998</v>
      </c>
      <c r="T180" s="43">
        <f>表格1[[#This Row],[Unit Price]]/表格1[[#This Row],[SRP]]</f>
        <v>0.50100200400801598</v>
      </c>
      <c r="U180" s="86" t="str">
        <f>_xlfn.XLOOKUP(表格1[[#This Row],[Model]],表格3[Model-Input-Ref2],表格3[TOSHIBA/HIGHEST])</f>
        <v>web SRP</v>
      </c>
      <c r="V180" s="86">
        <v>110</v>
      </c>
      <c r="W180" s="86" t="str">
        <f>_xlfn.CONCAT(表格1[[#This Row],[欄4]],表格1[[#This Row],[inv no]])</f>
        <v>1107065365</v>
      </c>
    </row>
    <row r="181" spans="1:23" ht="16.5" hidden="1">
      <c r="A181" s="81">
        <v>179</v>
      </c>
      <c r="B181" s="81" t="s">
        <v>1203</v>
      </c>
      <c r="C181" s="81" t="s">
        <v>1255</v>
      </c>
      <c r="D181" s="82" t="str">
        <f ca="1">OFFSET(Roster!$A$3,MATCH(表格1[[#This Row],[Location]]&amp;" "&amp;表格1[[#This Row],[Shop]]&amp;"*",Roster!$A$4:$A$72,0),DAY(表格1[[#This Row],[date]]),1,1)</f>
        <v>Me</v>
      </c>
      <c r="E181" s="81">
        <f>MONTH(表格1[[#This Row],[date]])</f>
        <v>3</v>
      </c>
      <c r="F181" s="101">
        <v>46082</v>
      </c>
      <c r="G181" s="81" t="str">
        <f>VLOOKUP("*"&amp;表格1[[#This Row],[Input]]&amp;"*",'Ref-List'!$B:$D,2,)</f>
        <v>IC-21TSHK</v>
      </c>
      <c r="H181" s="81" t="str">
        <f>_xlfn.XLOOKUP(表格1[[#This Row],[Model]],表格3[Model-Input-Ref2],表格3[Product Line])</f>
        <v>Induction Cooker</v>
      </c>
      <c r="I181" s="81" t="str">
        <f>_xlfn.XLOOKUP(表格1[[#This Row],[Model]],表格3[Model-Input-Ref2],表格3[大小電])</f>
        <v>細電</v>
      </c>
      <c r="J181" s="81" t="str">
        <f>_xlfn.XLOOKUP(表格1[[#This Row],[Model]],表格3[Model-Input-Ref2],表格3[Code])</f>
        <v>SDA</v>
      </c>
      <c r="K181" s="82" t="s">
        <v>1242</v>
      </c>
      <c r="L181" s="81">
        <v>1</v>
      </c>
      <c r="M181" s="85">
        <v>500</v>
      </c>
      <c r="N181" s="85">
        <f>IFERROR(表格1[[#This Row],[QTY]]*表格1[[#This Row],[Unit Price]],"-")</f>
        <v>500</v>
      </c>
      <c r="O181" s="134">
        <v>7027051</v>
      </c>
      <c r="P181" s="137"/>
      <c r="Q181" s="81"/>
      <c r="R181" s="81" t="str">
        <f>_xlfn.CONCAT(表格1[[#This Row],[Model]]," ",表格1[[#This Row],[inv no]])</f>
        <v>IC-21TSHK 7027051</v>
      </c>
      <c r="S181" s="135">
        <f>_xlfn.XLOOKUP(表格1[[#This Row],[Model]],表格3[Model-Input-Ref2],表格3[SRP PRICE])</f>
        <v>998</v>
      </c>
      <c r="T181" s="43">
        <f>表格1[[#This Row],[Unit Price]]/表格1[[#This Row],[SRP]]</f>
        <v>0.50100200400801598</v>
      </c>
      <c r="U181" s="86" t="str">
        <f>_xlfn.XLOOKUP(表格1[[#This Row],[Model]],表格3[Model-Input-Ref2],表格3[TOSHIBA/HIGHEST])</f>
        <v>web SRP</v>
      </c>
      <c r="V181" s="86">
        <v>110</v>
      </c>
      <c r="W181" s="86" t="str">
        <f>_xlfn.CONCAT(表格1[[#This Row],[欄4]],表格1[[#This Row],[inv no]])</f>
        <v>1107027051</v>
      </c>
    </row>
    <row r="182" spans="1:23" ht="16.5" hidden="1">
      <c r="A182" s="81">
        <v>180</v>
      </c>
      <c r="B182" s="81" t="s">
        <v>1203</v>
      </c>
      <c r="C182" s="81" t="s">
        <v>1255</v>
      </c>
      <c r="D182" s="82" t="str">
        <f ca="1">OFFSET(Roster!$A$3,MATCH(表格1[[#This Row],[Location]]&amp;" "&amp;表格1[[#This Row],[Shop]]&amp;"*",Roster!$A$4:$A$72,0),DAY(表格1[[#This Row],[date]]),1,1)</f>
        <v>Me</v>
      </c>
      <c r="E182" s="81">
        <f>MONTH(表格1[[#This Row],[date]])</f>
        <v>3</v>
      </c>
      <c r="F182" s="101">
        <v>46082</v>
      </c>
      <c r="G182" s="81" t="str">
        <f>VLOOKUP("*"&amp;表格1[[#This Row],[Input]]&amp;"*",'Ref-List'!$B:$D,2,)</f>
        <v>MW2-MM24PC(BK)</v>
      </c>
      <c r="H182" s="81" t="str">
        <f>_xlfn.XLOOKUP(表格1[[#This Row],[Model]],表格3[Model-Input-Ref2],表格3[Product Line])</f>
        <v>旋鈕式微波爐24L</v>
      </c>
      <c r="I182" s="81" t="str">
        <f>_xlfn.XLOOKUP(表格1[[#This Row],[Model]],表格3[Model-Input-Ref2],表格3[大小電])</f>
        <v>細電</v>
      </c>
      <c r="J182" s="81" t="str">
        <f>_xlfn.XLOOKUP(表格1[[#This Row],[Model]],表格3[Model-Input-Ref2],表格3[Code])</f>
        <v>SDA</v>
      </c>
      <c r="K182" s="82" t="s">
        <v>1196</v>
      </c>
      <c r="L182" s="81">
        <v>1</v>
      </c>
      <c r="M182" s="85">
        <v>500</v>
      </c>
      <c r="N182" s="85">
        <f>IFERROR(表格1[[#This Row],[QTY]]*表格1[[#This Row],[Unit Price]],"-")</f>
        <v>500</v>
      </c>
      <c r="O182" s="134">
        <v>7026898</v>
      </c>
      <c r="P182" s="137"/>
      <c r="Q182" s="81"/>
      <c r="R182" s="81" t="str">
        <f>_xlfn.CONCAT(表格1[[#This Row],[Model]]," ",表格1[[#This Row],[inv no]])</f>
        <v>MW2-MM24PC(BK) 7026898</v>
      </c>
      <c r="S182" s="135">
        <f>_xlfn.XLOOKUP(表格1[[#This Row],[Model]],表格3[Model-Input-Ref2],表格3[SRP PRICE])</f>
        <v>848</v>
      </c>
      <c r="T182" s="43">
        <f>表格1[[#This Row],[Unit Price]]/表格1[[#This Row],[SRP]]</f>
        <v>0.589622641509434</v>
      </c>
      <c r="U182" s="86" t="str">
        <f>_xlfn.XLOOKUP(表格1[[#This Row],[Model]],表格3[Model-Input-Ref2],表格3[TOSHIBA/HIGHEST])</f>
        <v>Toshiba SRP</v>
      </c>
      <c r="V182" s="86">
        <v>110</v>
      </c>
      <c r="W182" s="86" t="str">
        <f>_xlfn.CONCAT(表格1[[#This Row],[欄4]],表格1[[#This Row],[inv no]])</f>
        <v>1107026898</v>
      </c>
    </row>
    <row r="183" spans="1:23" ht="16.5" hidden="1">
      <c r="A183" s="81">
        <v>181</v>
      </c>
      <c r="B183" s="81" t="s">
        <v>1203</v>
      </c>
      <c r="C183" s="81" t="s">
        <v>1255</v>
      </c>
      <c r="D183" s="82" t="str">
        <f ca="1">OFFSET(Roster!$A$3,MATCH(表格1[[#This Row],[Location]]&amp;" "&amp;表格1[[#This Row],[Shop]]&amp;"*",Roster!$A$4:$A$72,0),DAY(表格1[[#This Row],[date]]),1,1)</f>
        <v>Me</v>
      </c>
      <c r="E183" s="81">
        <f>MONTH(表格1[[#This Row],[date]])</f>
        <v>3</v>
      </c>
      <c r="F183" s="101">
        <v>46082</v>
      </c>
      <c r="G183" s="81" t="str">
        <f>VLOOKUP("*"&amp;表格1[[#This Row],[Input]]&amp;"*",'Ref-List'!$B:$D,2,)</f>
        <v>PLK-45SFIH(WT)</v>
      </c>
      <c r="H183" s="81" t="str">
        <f>_xlfn.XLOOKUP(表格1[[#This Row],[Model]],表格3[Model-Input-Ref2],表格3[Product Line])</f>
        <v>電熱水瓶4.5L</v>
      </c>
      <c r="I183" s="81" t="str">
        <f>_xlfn.XLOOKUP(表格1[[#This Row],[Model]],表格3[Model-Input-Ref2],表格3[大小電])</f>
        <v>細電</v>
      </c>
      <c r="J183" s="81" t="str">
        <f>_xlfn.XLOOKUP(表格1[[#This Row],[Model]],表格3[Model-Input-Ref2],表格3[Code])</f>
        <v>SDA</v>
      </c>
      <c r="K183" s="82" t="s">
        <v>1117</v>
      </c>
      <c r="L183" s="81">
        <v>1</v>
      </c>
      <c r="M183" s="85">
        <v>500</v>
      </c>
      <c r="N183" s="85">
        <f>IFERROR(表格1[[#This Row],[QTY]]*表格1[[#This Row],[Unit Price]],"-")</f>
        <v>500</v>
      </c>
      <c r="O183" s="134">
        <v>7017070</v>
      </c>
      <c r="P183" s="137"/>
      <c r="Q183" s="81"/>
      <c r="R183" s="81" t="str">
        <f>_xlfn.CONCAT(表格1[[#This Row],[Model]]," ",表格1[[#This Row],[inv no]])</f>
        <v>PLK-45SFIH(WT) 7017070</v>
      </c>
      <c r="S183" s="135">
        <f>_xlfn.XLOOKUP(表格1[[#This Row],[Model]],表格3[Model-Input-Ref2],表格3[SRP PRICE])</f>
        <v>788</v>
      </c>
      <c r="T183" s="43">
        <f>表格1[[#This Row],[Unit Price]]/表格1[[#This Row],[SRP]]</f>
        <v>0.63451776649746194</v>
      </c>
      <c r="U183" s="86" t="str">
        <f>_xlfn.XLOOKUP(表格1[[#This Row],[Model]],表格3[Model-Input-Ref2],表格3[TOSHIBA/HIGHEST])</f>
        <v>Toshiba SRP</v>
      </c>
      <c r="V183" s="86">
        <v>110</v>
      </c>
      <c r="W183" s="86" t="str">
        <f>_xlfn.CONCAT(表格1[[#This Row],[欄4]],表格1[[#This Row],[inv no]])</f>
        <v>1107017070</v>
      </c>
    </row>
    <row r="184" spans="1:23" hidden="1">
      <c r="A184" s="81">
        <v>182</v>
      </c>
      <c r="B184" s="81" t="s">
        <v>1203</v>
      </c>
      <c r="C184" s="81" t="s">
        <v>1255</v>
      </c>
      <c r="D184" s="82" t="str">
        <f ca="1">OFFSET(Roster!$A$3,MATCH(表格1[[#This Row],[Location]]&amp;" "&amp;表格1[[#This Row],[Shop]]&amp;"*",Roster!$A$4:$A$72,0),DAY(表格1[[#This Row],[date]]),1,1)</f>
        <v>Me</v>
      </c>
      <c r="E184" s="81">
        <f>MONTH(表格1[[#This Row],[date]])</f>
        <v>3</v>
      </c>
      <c r="F184" s="101">
        <v>46082</v>
      </c>
      <c r="G184" s="81" t="str">
        <f>VLOOKUP("*"&amp;表格1[[#This Row],[Input]]&amp;"*",'Ref-List'!$B:$D,2,)</f>
        <v>RC-15ISTHK(W)</v>
      </c>
      <c r="H184" s="81" t="str">
        <f>_xlfn.XLOOKUP(表格1[[#This Row],[Model]],表格3[Model-Input-Ref2],表格3[Product Line])</f>
        <v>磁應電飯煲(1.5公升)</v>
      </c>
      <c r="I184" s="81" t="str">
        <f>_xlfn.XLOOKUP(表格1[[#This Row],[Model]],表格3[Model-Input-Ref2],表格3[大小電])</f>
        <v>細電</v>
      </c>
      <c r="J184" s="81" t="str">
        <f>_xlfn.XLOOKUP(表格1[[#This Row],[Model]],表格3[Model-Input-Ref2],表格3[Code])</f>
        <v>SDA</v>
      </c>
      <c r="K184" s="82" t="s">
        <v>1204</v>
      </c>
      <c r="L184" s="81">
        <v>1</v>
      </c>
      <c r="M184" s="85">
        <v>500</v>
      </c>
      <c r="N184" s="85">
        <f>IFERROR(表格1[[#This Row],[QTY]]*表格1[[#This Row],[Unit Price]],"-")</f>
        <v>500</v>
      </c>
      <c r="O184" s="134">
        <v>7026842</v>
      </c>
      <c r="P184" s="81"/>
      <c r="Q184" s="81"/>
      <c r="R184" s="81" t="str">
        <f>_xlfn.CONCAT(表格1[[#This Row],[Model]]," ",表格1[[#This Row],[inv no]])</f>
        <v>RC-15ISTHK(W) 7026842</v>
      </c>
      <c r="S184" s="135">
        <f>_xlfn.XLOOKUP(表格1[[#This Row],[Model]],表格3[Model-Input-Ref2],表格3[SRP PRICE])</f>
        <v>1688</v>
      </c>
      <c r="T184" s="43">
        <f>表格1[[#This Row],[Unit Price]]/表格1[[#This Row],[SRP]]</f>
        <v>0.29620853080568721</v>
      </c>
      <c r="U184" s="86" t="str">
        <f>_xlfn.XLOOKUP(表格1[[#This Row],[Model]],表格3[Model-Input-Ref2],表格3[TOSHIBA/HIGHEST])</f>
        <v>Toshiba SRP</v>
      </c>
      <c r="V184" s="86">
        <v>110</v>
      </c>
      <c r="W184" s="86" t="str">
        <f>_xlfn.CONCAT(表格1[[#This Row],[欄4]],表格1[[#This Row],[inv no]])</f>
        <v>1107026842</v>
      </c>
    </row>
    <row r="185" spans="1:23" hidden="1">
      <c r="A185" s="81">
        <v>183</v>
      </c>
      <c r="B185" s="81" t="s">
        <v>1203</v>
      </c>
      <c r="C185" s="81" t="s">
        <v>1255</v>
      </c>
      <c r="D185" s="82" t="str">
        <f ca="1">OFFSET(Roster!$A$3,MATCH(表格1[[#This Row],[Location]]&amp;" "&amp;表格1[[#This Row],[Shop]]&amp;"*",Roster!$A$4:$A$72,0),DAY(表格1[[#This Row],[date]]),1,1)</f>
        <v>Me</v>
      </c>
      <c r="E185" s="81">
        <f>MONTH(表格1[[#This Row],[date]])</f>
        <v>3</v>
      </c>
      <c r="F185" s="101">
        <v>46082</v>
      </c>
      <c r="G185" s="81" t="str">
        <f>VLOOKUP("*"&amp;表格1[[#This Row],[Input]]&amp;"*",'Ref-List'!$B:$D,2,)</f>
        <v>RC-15ISTHK(W)</v>
      </c>
      <c r="H185" s="81" t="str">
        <f>_xlfn.XLOOKUP(表格1[[#This Row],[Model]],表格3[Model-Input-Ref2],表格3[Product Line])</f>
        <v>磁應電飯煲(1.5公升)</v>
      </c>
      <c r="I185" s="81" t="str">
        <f>_xlfn.XLOOKUP(表格1[[#This Row],[Model]],表格3[Model-Input-Ref2],表格3[大小電])</f>
        <v>細電</v>
      </c>
      <c r="J185" s="81" t="str">
        <f>_xlfn.XLOOKUP(表格1[[#This Row],[Model]],表格3[Model-Input-Ref2],表格3[Code])</f>
        <v>SDA</v>
      </c>
      <c r="K185" s="82" t="s">
        <v>1204</v>
      </c>
      <c r="L185" s="81">
        <v>1</v>
      </c>
      <c r="M185" s="85">
        <v>500</v>
      </c>
      <c r="N185" s="85">
        <f>IFERROR(表格1[[#This Row],[QTY]]*表格1[[#This Row],[Unit Price]],"-")</f>
        <v>500</v>
      </c>
      <c r="O185" s="134">
        <v>7026867</v>
      </c>
      <c r="P185" s="81"/>
      <c r="Q185" s="81"/>
      <c r="R185" s="81" t="str">
        <f>_xlfn.CONCAT(表格1[[#This Row],[Model]]," ",表格1[[#This Row],[inv no]])</f>
        <v>RC-15ISTHK(W) 7026867</v>
      </c>
      <c r="S185" s="135">
        <f>_xlfn.XLOOKUP(表格1[[#This Row],[Model]],表格3[Model-Input-Ref2],表格3[SRP PRICE])</f>
        <v>1688</v>
      </c>
      <c r="T185" s="43">
        <f>表格1[[#This Row],[Unit Price]]/表格1[[#This Row],[SRP]]</f>
        <v>0.29620853080568721</v>
      </c>
      <c r="U185" s="86" t="str">
        <f>_xlfn.XLOOKUP(表格1[[#This Row],[Model]],表格3[Model-Input-Ref2],表格3[TOSHIBA/HIGHEST])</f>
        <v>Toshiba SRP</v>
      </c>
      <c r="V185" s="86">
        <v>110</v>
      </c>
      <c r="W185" s="86" t="str">
        <f>_xlfn.CONCAT(表格1[[#This Row],[欄4]],表格1[[#This Row],[inv no]])</f>
        <v>1107026867</v>
      </c>
    </row>
    <row r="186" spans="1:23" ht="16.5" hidden="1">
      <c r="A186" s="81">
        <v>184</v>
      </c>
      <c r="B186" s="81" t="s">
        <v>1203</v>
      </c>
      <c r="C186" s="81" t="s">
        <v>1255</v>
      </c>
      <c r="D186" s="82" t="str">
        <f ca="1">OFFSET(Roster!$A$3,MATCH(表格1[[#This Row],[Location]]&amp;" "&amp;表格1[[#This Row],[Shop]]&amp;"*",Roster!$A$4:$A$72,0),DAY(表格1[[#This Row],[date]]),1,1)</f>
        <v>Me</v>
      </c>
      <c r="E186" s="81">
        <f>MONTH(表格1[[#This Row],[date]])</f>
        <v>3</v>
      </c>
      <c r="F186" s="101">
        <v>46082</v>
      </c>
      <c r="G186" s="81" t="str">
        <f>VLOOKUP("*"&amp;表格1[[#This Row],[Input]]&amp;"*",'Ref-List'!$B:$D,2,)</f>
        <v>RC-15ISTHK(W)</v>
      </c>
      <c r="H186" s="81" t="str">
        <f>_xlfn.XLOOKUP(表格1[[#This Row],[Model]],表格3[Model-Input-Ref2],表格3[Product Line])</f>
        <v>磁應電飯煲(1.5公升)</v>
      </c>
      <c r="I186" s="81" t="str">
        <f>_xlfn.XLOOKUP(表格1[[#This Row],[Model]],表格3[Model-Input-Ref2],表格3[大小電])</f>
        <v>細電</v>
      </c>
      <c r="J186" s="81" t="str">
        <f>_xlfn.XLOOKUP(表格1[[#This Row],[Model]],表格3[Model-Input-Ref2],表格3[Code])</f>
        <v>SDA</v>
      </c>
      <c r="K186" s="82" t="s">
        <v>1238</v>
      </c>
      <c r="L186" s="81">
        <v>1</v>
      </c>
      <c r="M186" s="85">
        <v>500</v>
      </c>
      <c r="N186" s="85">
        <f>IFERROR(表格1[[#This Row],[QTY]]*表格1[[#This Row],[Unit Price]],"-")</f>
        <v>500</v>
      </c>
      <c r="O186" s="134">
        <v>7017029</v>
      </c>
      <c r="P186" s="137"/>
      <c r="Q186" s="81"/>
      <c r="R186" s="81" t="str">
        <f>_xlfn.CONCAT(表格1[[#This Row],[Model]]," ",表格1[[#This Row],[inv no]])</f>
        <v>RC-15ISTHK(W) 7017029</v>
      </c>
      <c r="S186" s="135">
        <f>_xlfn.XLOOKUP(表格1[[#This Row],[Model]],表格3[Model-Input-Ref2],表格3[SRP PRICE])</f>
        <v>1688</v>
      </c>
      <c r="T186" s="43">
        <f>表格1[[#This Row],[Unit Price]]/表格1[[#This Row],[SRP]]</f>
        <v>0.29620853080568721</v>
      </c>
      <c r="U186" s="86" t="str">
        <f>_xlfn.XLOOKUP(表格1[[#This Row],[Model]],表格3[Model-Input-Ref2],表格3[TOSHIBA/HIGHEST])</f>
        <v>Toshiba SRP</v>
      </c>
      <c r="V186" s="86">
        <v>110</v>
      </c>
      <c r="W186" s="86" t="str">
        <f>_xlfn.CONCAT(表格1[[#This Row],[欄4]],表格1[[#This Row],[inv no]])</f>
        <v>1107017029</v>
      </c>
    </row>
    <row r="187" spans="1:23" ht="16.5" hidden="1">
      <c r="A187" s="81">
        <v>185</v>
      </c>
      <c r="B187" s="81" t="s">
        <v>1203</v>
      </c>
      <c r="C187" s="81" t="s">
        <v>1255</v>
      </c>
      <c r="D187" s="82" t="str">
        <f ca="1">OFFSET(Roster!$A$3,MATCH(表格1[[#This Row],[Location]]&amp;" "&amp;表格1[[#This Row],[Shop]]&amp;"*",Roster!$A$4:$A$72,0),DAY(表格1[[#This Row],[date]]),1,1)</f>
        <v>Me</v>
      </c>
      <c r="E187" s="81">
        <f>MONTH(表格1[[#This Row],[date]])</f>
        <v>3</v>
      </c>
      <c r="F187" s="101">
        <v>46082</v>
      </c>
      <c r="G187" s="81" t="str">
        <f>VLOOKUP("*"&amp;表格1[[#This Row],[Input]]&amp;"*",'Ref-List'!$B:$D,2,)</f>
        <v>RC-15ISTHK(W)</v>
      </c>
      <c r="H187" s="81" t="str">
        <f>_xlfn.XLOOKUP(表格1[[#This Row],[Model]],表格3[Model-Input-Ref2],表格3[Product Line])</f>
        <v>磁應電飯煲(1.5公升)</v>
      </c>
      <c r="I187" s="81" t="str">
        <f>_xlfn.XLOOKUP(表格1[[#This Row],[Model]],表格3[Model-Input-Ref2],表格3[大小電])</f>
        <v>細電</v>
      </c>
      <c r="J187" s="81" t="str">
        <f>_xlfn.XLOOKUP(表格1[[#This Row],[Model]],表格3[Model-Input-Ref2],表格3[Code])</f>
        <v>SDA</v>
      </c>
      <c r="K187" s="82" t="s">
        <v>1238</v>
      </c>
      <c r="L187" s="81">
        <v>1</v>
      </c>
      <c r="M187" s="85">
        <v>500</v>
      </c>
      <c r="N187" s="85">
        <f>IFERROR(表格1[[#This Row],[QTY]]*表格1[[#This Row],[Unit Price]],"-")</f>
        <v>500</v>
      </c>
      <c r="O187" s="134">
        <v>7065321</v>
      </c>
      <c r="P187" s="137"/>
      <c r="Q187" s="81"/>
      <c r="R187" s="81" t="str">
        <f>_xlfn.CONCAT(表格1[[#This Row],[Model]]," ",表格1[[#This Row],[inv no]])</f>
        <v>RC-15ISTHK(W) 7065321</v>
      </c>
      <c r="S187" s="135">
        <f>_xlfn.XLOOKUP(表格1[[#This Row],[Model]],表格3[Model-Input-Ref2],表格3[SRP PRICE])</f>
        <v>1688</v>
      </c>
      <c r="T187" s="43">
        <f>表格1[[#This Row],[Unit Price]]/表格1[[#This Row],[SRP]]</f>
        <v>0.29620853080568721</v>
      </c>
      <c r="U187" s="86" t="str">
        <f>_xlfn.XLOOKUP(表格1[[#This Row],[Model]],表格3[Model-Input-Ref2],表格3[TOSHIBA/HIGHEST])</f>
        <v>Toshiba SRP</v>
      </c>
      <c r="V187" s="86">
        <v>110</v>
      </c>
      <c r="W187" s="86" t="str">
        <f>_xlfn.CONCAT(表格1[[#This Row],[欄4]],表格1[[#This Row],[inv no]])</f>
        <v>1107065321</v>
      </c>
    </row>
    <row r="188" spans="1:23" ht="16.5" hidden="1">
      <c r="A188" s="81">
        <v>186</v>
      </c>
      <c r="B188" s="81" t="s">
        <v>1203</v>
      </c>
      <c r="C188" s="81" t="s">
        <v>1255</v>
      </c>
      <c r="D188" s="82" t="str">
        <f ca="1">OFFSET(Roster!$A$3,MATCH(表格1[[#This Row],[Location]]&amp;" "&amp;表格1[[#This Row],[Shop]]&amp;"*",Roster!$A$4:$A$72,0),DAY(表格1[[#This Row],[date]]),1,1)</f>
        <v>Me</v>
      </c>
      <c r="E188" s="81">
        <f>MONTH(表格1[[#This Row],[date]])</f>
        <v>3</v>
      </c>
      <c r="F188" s="101">
        <v>46082</v>
      </c>
      <c r="G188" s="81" t="str">
        <f>VLOOKUP("*"&amp;表格1[[#This Row],[Input]]&amp;"*",'Ref-List'!$B:$D,2,)</f>
        <v>RC-15ISTHK(W)</v>
      </c>
      <c r="H188" s="81" t="str">
        <f>_xlfn.XLOOKUP(表格1[[#This Row],[Model]],表格3[Model-Input-Ref2],表格3[Product Line])</f>
        <v>磁應電飯煲(1.5公升)</v>
      </c>
      <c r="I188" s="81" t="str">
        <f>_xlfn.XLOOKUP(表格1[[#This Row],[Model]],表格3[Model-Input-Ref2],表格3[大小電])</f>
        <v>細電</v>
      </c>
      <c r="J188" s="81" t="str">
        <f>_xlfn.XLOOKUP(表格1[[#This Row],[Model]],表格3[Model-Input-Ref2],表格3[Code])</f>
        <v>SDA</v>
      </c>
      <c r="K188" s="82" t="s">
        <v>1238</v>
      </c>
      <c r="L188" s="81">
        <v>1</v>
      </c>
      <c r="M188" s="85">
        <v>500</v>
      </c>
      <c r="N188" s="85">
        <f>IFERROR(表格1[[#This Row],[QTY]]*表格1[[#This Row],[Unit Price]],"-")</f>
        <v>500</v>
      </c>
      <c r="O188" s="134">
        <v>7026918</v>
      </c>
      <c r="P188" s="137"/>
      <c r="Q188" s="81"/>
      <c r="R188" s="81" t="str">
        <f>_xlfn.CONCAT(表格1[[#This Row],[Model]]," ",表格1[[#This Row],[inv no]])</f>
        <v>RC-15ISTHK(W) 7026918</v>
      </c>
      <c r="S188" s="135">
        <f>_xlfn.XLOOKUP(表格1[[#This Row],[Model]],表格3[Model-Input-Ref2],表格3[SRP PRICE])</f>
        <v>1688</v>
      </c>
      <c r="T188" s="43">
        <f>表格1[[#This Row],[Unit Price]]/表格1[[#This Row],[SRP]]</f>
        <v>0.29620853080568721</v>
      </c>
      <c r="U188" s="86" t="str">
        <f>_xlfn.XLOOKUP(表格1[[#This Row],[Model]],表格3[Model-Input-Ref2],表格3[TOSHIBA/HIGHEST])</f>
        <v>Toshiba SRP</v>
      </c>
      <c r="V188" s="86">
        <v>110</v>
      </c>
      <c r="W188" s="86" t="str">
        <f>_xlfn.CONCAT(表格1[[#This Row],[欄4]],表格1[[#This Row],[inv no]])</f>
        <v>1107026918</v>
      </c>
    </row>
    <row r="189" spans="1:23" hidden="1">
      <c r="A189" s="81">
        <v>187</v>
      </c>
      <c r="B189" s="81" t="s">
        <v>1203</v>
      </c>
      <c r="C189" s="81" t="s">
        <v>1255</v>
      </c>
      <c r="D189" s="82" t="str">
        <f ca="1">OFFSET(Roster!$A$3,MATCH(表格1[[#This Row],[Location]]&amp;" "&amp;表格1[[#This Row],[Shop]]&amp;"*",Roster!$A$4:$A$72,0),DAY(表格1[[#This Row],[date]]),1,1)</f>
        <v>Me</v>
      </c>
      <c r="E189" s="81">
        <f>MONTH(表格1[[#This Row],[date]])</f>
        <v>3</v>
      </c>
      <c r="F189" s="101">
        <v>46082</v>
      </c>
      <c r="G189" s="81" t="str">
        <f>VLOOKUP("*"&amp;表格1[[#This Row],[Input]]&amp;"*",'Ref-List'!$B:$D,2,)</f>
        <v>RC-15ISTHK(W)</v>
      </c>
      <c r="H189" s="81" t="str">
        <f>_xlfn.XLOOKUP(表格1[[#This Row],[Model]],表格3[Model-Input-Ref2],表格3[Product Line])</f>
        <v>磁應電飯煲(1.5公升)</v>
      </c>
      <c r="I189" s="81" t="str">
        <f>_xlfn.XLOOKUP(表格1[[#This Row],[Model]],表格3[Model-Input-Ref2],表格3[大小電])</f>
        <v>細電</v>
      </c>
      <c r="J189" s="81" t="str">
        <f>_xlfn.XLOOKUP(表格1[[#This Row],[Model]],表格3[Model-Input-Ref2],表格3[Code])</f>
        <v>SDA</v>
      </c>
      <c r="K189" s="82" t="s">
        <v>1238</v>
      </c>
      <c r="L189" s="81">
        <v>1</v>
      </c>
      <c r="M189" s="85">
        <v>500</v>
      </c>
      <c r="N189" s="85">
        <f>IFERROR(表格1[[#This Row],[QTY]]*表格1[[#This Row],[Unit Price]],"-")</f>
        <v>500</v>
      </c>
      <c r="O189" s="134">
        <v>7017019</v>
      </c>
      <c r="P189" s="136"/>
      <c r="Q189" s="81"/>
      <c r="R189" s="81" t="str">
        <f>_xlfn.CONCAT(表格1[[#This Row],[Model]]," ",表格1[[#This Row],[inv no]])</f>
        <v>RC-15ISTHK(W) 7017019</v>
      </c>
      <c r="S189" s="135">
        <f>_xlfn.XLOOKUP(表格1[[#This Row],[Model]],表格3[Model-Input-Ref2],表格3[SRP PRICE])</f>
        <v>1688</v>
      </c>
      <c r="T189" s="43">
        <f>表格1[[#This Row],[Unit Price]]/表格1[[#This Row],[SRP]]</f>
        <v>0.29620853080568721</v>
      </c>
      <c r="U189" s="86" t="str">
        <f>_xlfn.XLOOKUP(表格1[[#This Row],[Model]],表格3[Model-Input-Ref2],表格3[TOSHIBA/HIGHEST])</f>
        <v>Toshiba SRP</v>
      </c>
      <c r="V189" s="86">
        <v>110</v>
      </c>
      <c r="W189" s="86" t="str">
        <f>_xlfn.CONCAT(表格1[[#This Row],[欄4]],表格1[[#This Row],[inv no]])</f>
        <v>1107017019</v>
      </c>
    </row>
    <row r="190" spans="1:23" hidden="1">
      <c r="A190" s="81">
        <v>188</v>
      </c>
      <c r="B190" s="81" t="s">
        <v>1203</v>
      </c>
      <c r="C190" s="81" t="s">
        <v>1255</v>
      </c>
      <c r="D190" s="82" t="str">
        <f ca="1">OFFSET(Roster!$A$3,MATCH(表格1[[#This Row],[Location]]&amp;" "&amp;表格1[[#This Row],[Shop]]&amp;"*",Roster!$A$4:$A$72,0),DAY(表格1[[#This Row],[date]]),1,1)</f>
        <v>Me</v>
      </c>
      <c r="E190" s="81">
        <f>MONTH(表格1[[#This Row],[date]])</f>
        <v>3</v>
      </c>
      <c r="F190" s="101">
        <v>46082</v>
      </c>
      <c r="G190" s="81" t="str">
        <f>VLOOKUP("*"&amp;表格1[[#This Row],[Input]]&amp;"*",'Ref-List'!$B:$D,2,)</f>
        <v>RC-15ISTHK(W)</v>
      </c>
      <c r="H190" s="81" t="str">
        <f>_xlfn.XLOOKUP(表格1[[#This Row],[Model]],表格3[Model-Input-Ref2],表格3[Product Line])</f>
        <v>磁應電飯煲(1.5公升)</v>
      </c>
      <c r="I190" s="81" t="str">
        <f>_xlfn.XLOOKUP(表格1[[#This Row],[Model]],表格3[Model-Input-Ref2],表格3[大小電])</f>
        <v>細電</v>
      </c>
      <c r="J190" s="81" t="str">
        <f>_xlfn.XLOOKUP(表格1[[#This Row],[Model]],表格3[Model-Input-Ref2],表格3[Code])</f>
        <v>SDA</v>
      </c>
      <c r="K190" s="82" t="s">
        <v>1238</v>
      </c>
      <c r="L190" s="81">
        <v>1</v>
      </c>
      <c r="M190" s="85">
        <v>500</v>
      </c>
      <c r="N190" s="85">
        <f>IFERROR(表格1[[#This Row],[QTY]]*表格1[[#This Row],[Unit Price]],"-")</f>
        <v>500</v>
      </c>
      <c r="O190" s="134">
        <v>7016994</v>
      </c>
      <c r="P190" s="81"/>
      <c r="Q190" s="81"/>
      <c r="R190" s="81" t="str">
        <f>_xlfn.CONCAT(表格1[[#This Row],[Model]]," ",表格1[[#This Row],[inv no]])</f>
        <v>RC-15ISTHK(W) 7016994</v>
      </c>
      <c r="S190" s="135">
        <f>_xlfn.XLOOKUP(表格1[[#This Row],[Model]],表格3[Model-Input-Ref2],表格3[SRP PRICE])</f>
        <v>1688</v>
      </c>
      <c r="T190" s="43">
        <f>表格1[[#This Row],[Unit Price]]/表格1[[#This Row],[SRP]]</f>
        <v>0.29620853080568721</v>
      </c>
      <c r="U190" s="86" t="str">
        <f>_xlfn.XLOOKUP(表格1[[#This Row],[Model]],表格3[Model-Input-Ref2],表格3[TOSHIBA/HIGHEST])</f>
        <v>Toshiba SRP</v>
      </c>
      <c r="V190" s="86">
        <v>110</v>
      </c>
      <c r="W190" s="86" t="str">
        <f>_xlfn.CONCAT(表格1[[#This Row],[欄4]],表格1[[#This Row],[inv no]])</f>
        <v>1107016994</v>
      </c>
    </row>
    <row r="191" spans="1:23" hidden="1">
      <c r="A191" s="81">
        <v>189</v>
      </c>
      <c r="B191" s="81" t="s">
        <v>1203</v>
      </c>
      <c r="C191" s="81" t="s">
        <v>1255</v>
      </c>
      <c r="D191" s="82" t="str">
        <f ca="1">OFFSET(Roster!$A$3,MATCH(表格1[[#This Row],[Location]]&amp;" "&amp;表格1[[#This Row],[Shop]]&amp;"*",Roster!$A$4:$A$72,0),DAY(表格1[[#This Row],[date]]),1,1)</f>
        <v>Me</v>
      </c>
      <c r="E191" s="81">
        <f>MONTH(表格1[[#This Row],[date]])</f>
        <v>3</v>
      </c>
      <c r="F191" s="101">
        <v>46082</v>
      </c>
      <c r="G191" s="81" t="str">
        <f>VLOOKUP("*"&amp;表格1[[#This Row],[Input]]&amp;"*",'Ref-List'!$B:$D,2,)</f>
        <v>RC-15ISTHK(W)</v>
      </c>
      <c r="H191" s="81" t="str">
        <f>_xlfn.XLOOKUP(表格1[[#This Row],[Model]],表格3[Model-Input-Ref2],表格3[Product Line])</f>
        <v>磁應電飯煲(1.5公升)</v>
      </c>
      <c r="I191" s="81" t="str">
        <f>_xlfn.XLOOKUP(表格1[[#This Row],[Model]],表格3[Model-Input-Ref2],表格3[大小電])</f>
        <v>細電</v>
      </c>
      <c r="J191" s="81" t="str">
        <f>_xlfn.XLOOKUP(表格1[[#This Row],[Model]],表格3[Model-Input-Ref2],表格3[Code])</f>
        <v>SDA</v>
      </c>
      <c r="K191" s="82" t="s">
        <v>1238</v>
      </c>
      <c r="L191" s="81">
        <v>1</v>
      </c>
      <c r="M191" s="85">
        <v>500</v>
      </c>
      <c r="N191" s="85">
        <f>IFERROR(表格1[[#This Row],[QTY]]*表格1[[#This Row],[Unit Price]],"-")</f>
        <v>500</v>
      </c>
      <c r="O191" s="134">
        <v>7016983</v>
      </c>
      <c r="P191" s="136"/>
      <c r="Q191" s="81"/>
      <c r="R191" s="81" t="str">
        <f>_xlfn.CONCAT(表格1[[#This Row],[Model]]," ",表格1[[#This Row],[inv no]])</f>
        <v>RC-15ISTHK(W) 7016983</v>
      </c>
      <c r="S191" s="135">
        <f>_xlfn.XLOOKUP(表格1[[#This Row],[Model]],表格3[Model-Input-Ref2],表格3[SRP PRICE])</f>
        <v>1688</v>
      </c>
      <c r="T191" s="43">
        <f>表格1[[#This Row],[Unit Price]]/表格1[[#This Row],[SRP]]</f>
        <v>0.29620853080568721</v>
      </c>
      <c r="U191" s="86" t="str">
        <f>_xlfn.XLOOKUP(表格1[[#This Row],[Model]],表格3[Model-Input-Ref2],表格3[TOSHIBA/HIGHEST])</f>
        <v>Toshiba SRP</v>
      </c>
      <c r="V191" s="86">
        <v>110</v>
      </c>
      <c r="W191" s="86" t="str">
        <f>_xlfn.CONCAT(表格1[[#This Row],[欄4]],表格1[[#This Row],[inv no]])</f>
        <v>1107016983</v>
      </c>
    </row>
    <row r="192" spans="1:23" hidden="1">
      <c r="A192" s="81">
        <v>190</v>
      </c>
      <c r="B192" s="81" t="s">
        <v>1203</v>
      </c>
      <c r="C192" s="81" t="s">
        <v>1255</v>
      </c>
      <c r="D192" s="82" t="str">
        <f ca="1">OFFSET(Roster!$A$3,MATCH(表格1[[#This Row],[Location]]&amp;" "&amp;表格1[[#This Row],[Shop]]&amp;"*",Roster!$A$4:$A$72,0),DAY(表格1[[#This Row],[date]]),1,1)</f>
        <v>Me</v>
      </c>
      <c r="E192" s="81">
        <f>MONTH(表格1[[#This Row],[date]])</f>
        <v>3</v>
      </c>
      <c r="F192" s="101">
        <v>46082</v>
      </c>
      <c r="G192" s="81" t="str">
        <f>VLOOKUP("*"&amp;表格1[[#This Row],[Input]]&amp;"*",'Ref-List'!$B:$D,2,)</f>
        <v>RC-15ISTHK(W)</v>
      </c>
      <c r="H192" s="81" t="str">
        <f>_xlfn.XLOOKUP(表格1[[#This Row],[Model]],表格3[Model-Input-Ref2],表格3[Product Line])</f>
        <v>磁應電飯煲(1.5公升)</v>
      </c>
      <c r="I192" s="81" t="str">
        <f>_xlfn.XLOOKUP(表格1[[#This Row],[Model]],表格3[Model-Input-Ref2],表格3[大小電])</f>
        <v>細電</v>
      </c>
      <c r="J192" s="81" t="str">
        <f>_xlfn.XLOOKUP(表格1[[#This Row],[Model]],表格3[Model-Input-Ref2],表格3[Code])</f>
        <v>SDA</v>
      </c>
      <c r="K192" s="82" t="s">
        <v>1238</v>
      </c>
      <c r="L192" s="81">
        <v>1</v>
      </c>
      <c r="M192" s="85">
        <v>500</v>
      </c>
      <c r="N192" s="85">
        <f>IFERROR(表格1[[#This Row],[QTY]]*表格1[[#This Row],[Unit Price]],"-")</f>
        <v>500</v>
      </c>
      <c r="O192" s="134">
        <v>7016979</v>
      </c>
      <c r="P192" s="81"/>
      <c r="Q192" s="81"/>
      <c r="R192" s="81" t="str">
        <f>_xlfn.CONCAT(表格1[[#This Row],[Model]]," ",表格1[[#This Row],[inv no]])</f>
        <v>RC-15ISTHK(W) 7016979</v>
      </c>
      <c r="S192" s="135">
        <f>_xlfn.XLOOKUP(表格1[[#This Row],[Model]],表格3[Model-Input-Ref2],表格3[SRP PRICE])</f>
        <v>1688</v>
      </c>
      <c r="T192" s="43">
        <f>表格1[[#This Row],[Unit Price]]/表格1[[#This Row],[SRP]]</f>
        <v>0.29620853080568721</v>
      </c>
      <c r="U192" s="86" t="str">
        <f>_xlfn.XLOOKUP(表格1[[#This Row],[Model]],表格3[Model-Input-Ref2],表格3[TOSHIBA/HIGHEST])</f>
        <v>Toshiba SRP</v>
      </c>
      <c r="V192" s="86">
        <v>110</v>
      </c>
      <c r="W192" s="86" t="str">
        <f>_xlfn.CONCAT(表格1[[#This Row],[欄4]],表格1[[#This Row],[inv no]])</f>
        <v>1107016979</v>
      </c>
    </row>
    <row r="193" spans="1:23" hidden="1">
      <c r="A193" s="81">
        <v>191</v>
      </c>
      <c r="B193" s="81" t="s">
        <v>1203</v>
      </c>
      <c r="C193" s="81" t="s">
        <v>1255</v>
      </c>
      <c r="D193" s="82" t="str">
        <f ca="1">OFFSET(Roster!$A$3,MATCH(表格1[[#This Row],[Location]]&amp;" "&amp;表格1[[#This Row],[Shop]]&amp;"*",Roster!$A$4:$A$72,0),DAY(表格1[[#This Row],[date]]),1,1)</f>
        <v>Me</v>
      </c>
      <c r="E193" s="81">
        <f>MONTH(表格1[[#This Row],[date]])</f>
        <v>3</v>
      </c>
      <c r="F193" s="101">
        <v>46082</v>
      </c>
      <c r="G193" s="81" t="str">
        <f>VLOOKUP("*"&amp;表格1[[#This Row],[Input]]&amp;"*",'Ref-List'!$B:$D,2,)</f>
        <v>RC-15ISTHK(W)</v>
      </c>
      <c r="H193" s="81" t="str">
        <f>_xlfn.XLOOKUP(表格1[[#This Row],[Model]],表格3[Model-Input-Ref2],表格3[Product Line])</f>
        <v>磁應電飯煲(1.5公升)</v>
      </c>
      <c r="I193" s="81" t="str">
        <f>_xlfn.XLOOKUP(表格1[[#This Row],[Model]],表格3[Model-Input-Ref2],表格3[大小電])</f>
        <v>細電</v>
      </c>
      <c r="J193" s="81" t="str">
        <f>_xlfn.XLOOKUP(表格1[[#This Row],[Model]],表格3[Model-Input-Ref2],表格3[Code])</f>
        <v>SDA</v>
      </c>
      <c r="K193" s="82" t="s">
        <v>1238</v>
      </c>
      <c r="L193" s="81">
        <v>1</v>
      </c>
      <c r="M193" s="85">
        <v>500</v>
      </c>
      <c r="N193" s="85">
        <f>IFERROR(表格1[[#This Row],[QTY]]*表格1[[#This Row],[Unit Price]],"-")</f>
        <v>500</v>
      </c>
      <c r="O193" s="134">
        <v>7026886</v>
      </c>
      <c r="P193" s="81"/>
      <c r="Q193" s="81"/>
      <c r="R193" s="81" t="str">
        <f>_xlfn.CONCAT(表格1[[#This Row],[Model]]," ",表格1[[#This Row],[inv no]])</f>
        <v>RC-15ISTHK(W) 7026886</v>
      </c>
      <c r="S193" s="135">
        <f>_xlfn.XLOOKUP(表格1[[#This Row],[Model]],表格3[Model-Input-Ref2],表格3[SRP PRICE])</f>
        <v>1688</v>
      </c>
      <c r="T193" s="43">
        <f>表格1[[#This Row],[Unit Price]]/表格1[[#This Row],[SRP]]</f>
        <v>0.29620853080568721</v>
      </c>
      <c r="U193" s="86" t="str">
        <f>_xlfn.XLOOKUP(表格1[[#This Row],[Model]],表格3[Model-Input-Ref2],表格3[TOSHIBA/HIGHEST])</f>
        <v>Toshiba SRP</v>
      </c>
      <c r="V193" s="86">
        <v>110</v>
      </c>
      <c r="W193" s="86" t="str">
        <f>_xlfn.CONCAT(表格1[[#This Row],[欄4]],表格1[[#This Row],[inv no]])</f>
        <v>1107026886</v>
      </c>
    </row>
    <row r="194" spans="1:23" hidden="1">
      <c r="A194" s="81">
        <v>192</v>
      </c>
      <c r="B194" s="81" t="s">
        <v>1203</v>
      </c>
      <c r="C194" s="81" t="s">
        <v>1255</v>
      </c>
      <c r="D194" s="82" t="str">
        <f ca="1">OFFSET(Roster!$A$3,MATCH(表格1[[#This Row],[Location]]&amp;" "&amp;表格1[[#This Row],[Shop]]&amp;"*",Roster!$A$4:$A$72,0),DAY(表格1[[#This Row],[date]]),1,1)</f>
        <v>Me</v>
      </c>
      <c r="E194" s="81">
        <f>MONTH(表格1[[#This Row],[date]])</f>
        <v>3</v>
      </c>
      <c r="F194" s="101">
        <v>46082</v>
      </c>
      <c r="G194" s="81" t="str">
        <f>VLOOKUP("*"&amp;表格1[[#This Row],[Input]]&amp;"*",'Ref-List'!$B:$D,2,)</f>
        <v>RC-15ISTHK(W)</v>
      </c>
      <c r="H194" s="81" t="str">
        <f>_xlfn.XLOOKUP(表格1[[#This Row],[Model]],表格3[Model-Input-Ref2],表格3[Product Line])</f>
        <v>磁應電飯煲(1.5公升)</v>
      </c>
      <c r="I194" s="81" t="str">
        <f>_xlfn.XLOOKUP(表格1[[#This Row],[Model]],表格3[Model-Input-Ref2],表格3[大小電])</f>
        <v>細電</v>
      </c>
      <c r="J194" s="81" t="str">
        <f>_xlfn.XLOOKUP(表格1[[#This Row],[Model]],表格3[Model-Input-Ref2],表格3[Code])</f>
        <v>SDA</v>
      </c>
      <c r="K194" s="82" t="s">
        <v>1238</v>
      </c>
      <c r="L194" s="81">
        <v>1</v>
      </c>
      <c r="M194" s="85">
        <v>500</v>
      </c>
      <c r="N194" s="85">
        <f>IFERROR(表格1[[#This Row],[QTY]]*表格1[[#This Row],[Unit Price]],"-")</f>
        <v>500</v>
      </c>
      <c r="O194" s="134">
        <v>7017163</v>
      </c>
      <c r="P194" s="81"/>
      <c r="Q194" s="81"/>
      <c r="R194" s="81" t="str">
        <f>_xlfn.CONCAT(表格1[[#This Row],[Model]]," ",表格1[[#This Row],[inv no]])</f>
        <v>RC-15ISTHK(W) 7017163</v>
      </c>
      <c r="S194" s="135">
        <f>_xlfn.XLOOKUP(表格1[[#This Row],[Model]],表格3[Model-Input-Ref2],表格3[SRP PRICE])</f>
        <v>1688</v>
      </c>
      <c r="T194" s="43">
        <f>表格1[[#This Row],[Unit Price]]/表格1[[#This Row],[SRP]]</f>
        <v>0.29620853080568721</v>
      </c>
      <c r="U194" s="86" t="str">
        <f>_xlfn.XLOOKUP(表格1[[#This Row],[Model]],表格3[Model-Input-Ref2],表格3[TOSHIBA/HIGHEST])</f>
        <v>Toshiba SRP</v>
      </c>
      <c r="V194" s="86">
        <v>110</v>
      </c>
      <c r="W194" s="86" t="str">
        <f>_xlfn.CONCAT(表格1[[#This Row],[欄4]],表格1[[#This Row],[inv no]])</f>
        <v>1107017163</v>
      </c>
    </row>
    <row r="195" spans="1:23" hidden="1">
      <c r="A195" s="81">
        <v>193</v>
      </c>
      <c r="B195" s="81" t="s">
        <v>1203</v>
      </c>
      <c r="C195" s="81" t="s">
        <v>1255</v>
      </c>
      <c r="D195" s="82" t="str">
        <f ca="1">OFFSET(Roster!$A$3,MATCH(表格1[[#This Row],[Location]]&amp;" "&amp;表格1[[#This Row],[Shop]]&amp;"*",Roster!$A$4:$A$72,0),DAY(表格1[[#This Row],[date]]),1,1)</f>
        <v>Me</v>
      </c>
      <c r="E195" s="81">
        <f>MONTH(表格1[[#This Row],[date]])</f>
        <v>3</v>
      </c>
      <c r="F195" s="101">
        <v>46082</v>
      </c>
      <c r="G195" s="81" t="str">
        <f>VLOOKUP("*"&amp;表格1[[#This Row],[Input]]&amp;"*",'Ref-List'!$B:$D,2,)</f>
        <v>RC-15ISTHK(W)</v>
      </c>
      <c r="H195" s="81" t="str">
        <f>_xlfn.XLOOKUP(表格1[[#This Row],[Model]],表格3[Model-Input-Ref2],表格3[Product Line])</f>
        <v>磁應電飯煲(1.5公升)</v>
      </c>
      <c r="I195" s="81" t="str">
        <f>_xlfn.XLOOKUP(表格1[[#This Row],[Model]],表格3[Model-Input-Ref2],表格3[大小電])</f>
        <v>細電</v>
      </c>
      <c r="J195" s="81" t="str">
        <f>_xlfn.XLOOKUP(表格1[[#This Row],[Model]],表格3[Model-Input-Ref2],表格3[Code])</f>
        <v>SDA</v>
      </c>
      <c r="K195" s="82" t="s">
        <v>1238</v>
      </c>
      <c r="L195" s="81">
        <v>1</v>
      </c>
      <c r="M195" s="85">
        <v>500</v>
      </c>
      <c r="N195" s="85">
        <f>IFERROR(表格1[[#This Row],[QTY]]*表格1[[#This Row],[Unit Price]],"-")</f>
        <v>500</v>
      </c>
      <c r="O195" s="134">
        <v>7065361</v>
      </c>
      <c r="P195" s="81"/>
      <c r="Q195" s="81"/>
      <c r="R195" s="81" t="str">
        <f>_xlfn.CONCAT(表格1[[#This Row],[Model]]," ",表格1[[#This Row],[inv no]])</f>
        <v>RC-15ISTHK(W) 7065361</v>
      </c>
      <c r="S195" s="135">
        <f>_xlfn.XLOOKUP(表格1[[#This Row],[Model]],表格3[Model-Input-Ref2],表格3[SRP PRICE])</f>
        <v>1688</v>
      </c>
      <c r="T195" s="43">
        <f>表格1[[#This Row],[Unit Price]]/表格1[[#This Row],[SRP]]</f>
        <v>0.29620853080568721</v>
      </c>
      <c r="U195" s="86" t="str">
        <f>_xlfn.XLOOKUP(表格1[[#This Row],[Model]],表格3[Model-Input-Ref2],表格3[TOSHIBA/HIGHEST])</f>
        <v>Toshiba SRP</v>
      </c>
      <c r="V195" s="86">
        <v>110</v>
      </c>
      <c r="W195" s="86" t="str">
        <f>_xlfn.CONCAT(表格1[[#This Row],[欄4]],表格1[[#This Row],[inv no]])</f>
        <v>1107065361</v>
      </c>
    </row>
    <row r="196" spans="1:23" hidden="1">
      <c r="A196" s="81">
        <v>194</v>
      </c>
      <c r="B196" s="81" t="s">
        <v>1203</v>
      </c>
      <c r="C196" s="81" t="s">
        <v>1255</v>
      </c>
      <c r="D196" s="82" t="str">
        <f ca="1">OFFSET(Roster!$A$3,MATCH(表格1[[#This Row],[Location]]&amp;" "&amp;表格1[[#This Row],[Shop]]&amp;"*",Roster!$A$4:$A$72,0),DAY(表格1[[#This Row],[date]]),1,1)</f>
        <v>Me</v>
      </c>
      <c r="E196" s="81">
        <f>MONTH(表格1[[#This Row],[date]])</f>
        <v>3</v>
      </c>
      <c r="F196" s="101">
        <v>46082</v>
      </c>
      <c r="G196" s="81" t="str">
        <f>VLOOKUP("*"&amp;表格1[[#This Row],[Input]]&amp;"*",'Ref-List'!$B:$D,2,)</f>
        <v>RC-15ISTHK(W)</v>
      </c>
      <c r="H196" s="81" t="str">
        <f>_xlfn.XLOOKUP(表格1[[#This Row],[Model]],表格3[Model-Input-Ref2],表格3[Product Line])</f>
        <v>磁應電飯煲(1.5公升)</v>
      </c>
      <c r="I196" s="81" t="str">
        <f>_xlfn.XLOOKUP(表格1[[#This Row],[Model]],表格3[Model-Input-Ref2],表格3[大小電])</f>
        <v>細電</v>
      </c>
      <c r="J196" s="81" t="str">
        <f>_xlfn.XLOOKUP(表格1[[#This Row],[Model]],表格3[Model-Input-Ref2],表格3[Code])</f>
        <v>SDA</v>
      </c>
      <c r="K196" s="82" t="s">
        <v>1238</v>
      </c>
      <c r="L196" s="81">
        <v>1</v>
      </c>
      <c r="M196" s="85">
        <v>500</v>
      </c>
      <c r="N196" s="85">
        <f>IFERROR(表格1[[#This Row],[QTY]]*表格1[[#This Row],[Unit Price]],"-")</f>
        <v>500</v>
      </c>
      <c r="O196" s="134">
        <v>7017130</v>
      </c>
      <c r="P196" s="81"/>
      <c r="Q196" s="81"/>
      <c r="R196" s="81" t="str">
        <f>_xlfn.CONCAT(表格1[[#This Row],[Model]]," ",表格1[[#This Row],[inv no]])</f>
        <v>RC-15ISTHK(W) 7017130</v>
      </c>
      <c r="S196" s="135">
        <f>_xlfn.XLOOKUP(表格1[[#This Row],[Model]],表格3[Model-Input-Ref2],表格3[SRP PRICE])</f>
        <v>1688</v>
      </c>
      <c r="T196" s="43">
        <f>表格1[[#This Row],[Unit Price]]/表格1[[#This Row],[SRP]]</f>
        <v>0.29620853080568721</v>
      </c>
      <c r="U196" s="86" t="str">
        <f>_xlfn.XLOOKUP(表格1[[#This Row],[Model]],表格3[Model-Input-Ref2],表格3[TOSHIBA/HIGHEST])</f>
        <v>Toshiba SRP</v>
      </c>
      <c r="V196" s="86">
        <v>110</v>
      </c>
      <c r="W196" s="86" t="str">
        <f>_xlfn.CONCAT(表格1[[#This Row],[欄4]],表格1[[#This Row],[inv no]])</f>
        <v>1107017130</v>
      </c>
    </row>
    <row r="197" spans="1:23" hidden="1">
      <c r="A197" s="81">
        <v>195</v>
      </c>
      <c r="B197" s="81" t="s">
        <v>1203</v>
      </c>
      <c r="C197" s="81" t="s">
        <v>1255</v>
      </c>
      <c r="D197" s="82" t="str">
        <f ca="1">OFFSET(Roster!$A$3,MATCH(表格1[[#This Row],[Location]]&amp;" "&amp;表格1[[#This Row],[Shop]]&amp;"*",Roster!$A$4:$A$72,0),DAY(表格1[[#This Row],[date]]),1,1)</f>
        <v>Me</v>
      </c>
      <c r="E197" s="81">
        <f>MONTH(表格1[[#This Row],[date]])</f>
        <v>3</v>
      </c>
      <c r="F197" s="101">
        <v>46082</v>
      </c>
      <c r="G197" s="81" t="str">
        <f>VLOOKUP("*"&amp;表格1[[#This Row],[Input]]&amp;"*",'Ref-List'!$B:$D,2,)</f>
        <v>RC-15ISTHK(W)</v>
      </c>
      <c r="H197" s="81" t="str">
        <f>_xlfn.XLOOKUP(表格1[[#This Row],[Model]],表格3[Model-Input-Ref2],表格3[Product Line])</f>
        <v>磁應電飯煲(1.5公升)</v>
      </c>
      <c r="I197" s="81" t="str">
        <f>_xlfn.XLOOKUP(表格1[[#This Row],[Model]],表格3[Model-Input-Ref2],表格3[大小電])</f>
        <v>細電</v>
      </c>
      <c r="J197" s="81" t="str">
        <f>_xlfn.XLOOKUP(表格1[[#This Row],[Model]],表格3[Model-Input-Ref2],表格3[Code])</f>
        <v>SDA</v>
      </c>
      <c r="K197" s="82" t="s">
        <v>1238</v>
      </c>
      <c r="L197" s="81">
        <v>1</v>
      </c>
      <c r="M197" s="85">
        <v>500</v>
      </c>
      <c r="N197" s="85">
        <f>IFERROR(表格1[[#This Row],[QTY]]*表格1[[#This Row],[Unit Price]],"-")</f>
        <v>500</v>
      </c>
      <c r="O197" s="134">
        <v>7027061</v>
      </c>
      <c r="P197" s="81"/>
      <c r="Q197" s="81"/>
      <c r="R197" s="81" t="str">
        <f>_xlfn.CONCAT(表格1[[#This Row],[Model]]," ",表格1[[#This Row],[inv no]])</f>
        <v>RC-15ISTHK(W) 7027061</v>
      </c>
      <c r="S197" s="135">
        <f>_xlfn.XLOOKUP(表格1[[#This Row],[Model]],表格3[Model-Input-Ref2],表格3[SRP PRICE])</f>
        <v>1688</v>
      </c>
      <c r="T197" s="43">
        <f>表格1[[#This Row],[Unit Price]]/表格1[[#This Row],[SRP]]</f>
        <v>0.29620853080568721</v>
      </c>
      <c r="U197" s="86" t="str">
        <f>_xlfn.XLOOKUP(表格1[[#This Row],[Model]],表格3[Model-Input-Ref2],表格3[TOSHIBA/HIGHEST])</f>
        <v>Toshiba SRP</v>
      </c>
      <c r="V197" s="86">
        <v>110</v>
      </c>
      <c r="W197" s="86" t="str">
        <f>_xlfn.CONCAT(表格1[[#This Row],[欄4]],表格1[[#This Row],[inv no]])</f>
        <v>1107027061</v>
      </c>
    </row>
    <row r="198" spans="1:23" ht="16.5" hidden="1">
      <c r="A198" s="81">
        <v>196</v>
      </c>
      <c r="B198" s="81" t="s">
        <v>1203</v>
      </c>
      <c r="C198" s="81" t="s">
        <v>1255</v>
      </c>
      <c r="D198" s="82" t="str">
        <f ca="1">OFFSET(Roster!$A$3,MATCH(表格1[[#This Row],[Location]]&amp;" "&amp;表格1[[#This Row],[Shop]]&amp;"*",Roster!$A$4:$A$72,0),DAY(表格1[[#This Row],[date]]),1,1)</f>
        <v>Me</v>
      </c>
      <c r="E198" s="81">
        <f>MONTH(表格1[[#This Row],[date]])</f>
        <v>3</v>
      </c>
      <c r="F198" s="101">
        <v>46082</v>
      </c>
      <c r="G198" s="81" t="str">
        <f>VLOOKUP("*"&amp;表格1[[#This Row],[Input]]&amp;"*",'Ref-List'!$B:$D,2,)</f>
        <v>RC-15ISTHK(W)</v>
      </c>
      <c r="H198" s="81" t="str">
        <f>_xlfn.XLOOKUP(表格1[[#This Row],[Model]],表格3[Model-Input-Ref2],表格3[Product Line])</f>
        <v>磁應電飯煲(1.5公升)</v>
      </c>
      <c r="I198" s="81" t="str">
        <f>_xlfn.XLOOKUP(表格1[[#This Row],[Model]],表格3[Model-Input-Ref2],表格3[大小電])</f>
        <v>細電</v>
      </c>
      <c r="J198" s="81" t="str">
        <f>_xlfn.XLOOKUP(表格1[[#This Row],[Model]],表格3[Model-Input-Ref2],表格3[Code])</f>
        <v>SDA</v>
      </c>
      <c r="K198" s="82" t="s">
        <v>1238</v>
      </c>
      <c r="L198" s="81">
        <v>1</v>
      </c>
      <c r="M198" s="85">
        <v>500</v>
      </c>
      <c r="N198" s="85">
        <f>IFERROR(表格1[[#This Row],[QTY]]*表格1[[#This Row],[Unit Price]],"-")</f>
        <v>500</v>
      </c>
      <c r="O198" s="134">
        <v>7017042</v>
      </c>
      <c r="P198" s="137"/>
      <c r="Q198" s="81"/>
      <c r="R198" s="81" t="str">
        <f>_xlfn.CONCAT(表格1[[#This Row],[Model]]," ",表格1[[#This Row],[inv no]])</f>
        <v>RC-15ISTHK(W) 7017042</v>
      </c>
      <c r="S198" s="135">
        <f>_xlfn.XLOOKUP(表格1[[#This Row],[Model]],表格3[Model-Input-Ref2],表格3[SRP PRICE])</f>
        <v>1688</v>
      </c>
      <c r="T198" s="43">
        <f>表格1[[#This Row],[Unit Price]]/表格1[[#This Row],[SRP]]</f>
        <v>0.29620853080568721</v>
      </c>
      <c r="U198" s="86" t="str">
        <f>_xlfn.XLOOKUP(表格1[[#This Row],[Model]],表格3[Model-Input-Ref2],表格3[TOSHIBA/HIGHEST])</f>
        <v>Toshiba SRP</v>
      </c>
      <c r="V198" s="86">
        <v>110</v>
      </c>
      <c r="W198" s="86" t="str">
        <f>_xlfn.CONCAT(表格1[[#This Row],[欄4]],表格1[[#This Row],[inv no]])</f>
        <v>1107017042</v>
      </c>
    </row>
    <row r="199" spans="1:23" ht="16.5" hidden="1">
      <c r="A199" s="81">
        <v>197</v>
      </c>
      <c r="B199" s="81" t="s">
        <v>1203</v>
      </c>
      <c r="C199" s="81" t="s">
        <v>1255</v>
      </c>
      <c r="D199" s="82" t="str">
        <f ca="1">OFFSET(Roster!$A$3,MATCH(表格1[[#This Row],[Location]]&amp;" "&amp;表格1[[#This Row],[Shop]]&amp;"*",Roster!$A$4:$A$72,0),DAY(表格1[[#This Row],[date]]),1,1)</f>
        <v>Me</v>
      </c>
      <c r="E199" s="81">
        <f>MONTH(表格1[[#This Row],[date]])</f>
        <v>3</v>
      </c>
      <c r="F199" s="101">
        <v>46082</v>
      </c>
      <c r="G199" s="81" t="str">
        <f>VLOOKUP("*"&amp;表格1[[#This Row],[Input]]&amp;"*",'Ref-List'!$B:$D,2,)</f>
        <v>AW-M901BPH(WW)</v>
      </c>
      <c r="H199" s="81" t="str">
        <f>_xlfn.XLOOKUP(表格1[[#This Row],[Model]],表格3[Model-Input-Ref2],表格3[Product Line])</f>
        <v>全自動洗衣機 (8公斤 結合高低水位)</v>
      </c>
      <c r="I199" s="81" t="str">
        <f>_xlfn.XLOOKUP(表格1[[#This Row],[Model]],表格3[Model-Input-Ref2],表格3[大小電])</f>
        <v>大電</v>
      </c>
      <c r="J199" s="81" t="str">
        <f>_xlfn.XLOOKUP(表格1[[#This Row],[Model]],表格3[Model-Input-Ref2],表格3[Code])</f>
        <v>WM</v>
      </c>
      <c r="K199" s="82" t="s">
        <v>1202</v>
      </c>
      <c r="L199" s="81">
        <v>1</v>
      </c>
      <c r="M199" s="85">
        <v>1500</v>
      </c>
      <c r="N199" s="85">
        <f>IFERROR(表格1[[#This Row],[QTY]]*表格1[[#This Row],[Unit Price]],"-")</f>
        <v>1500</v>
      </c>
      <c r="O199" s="134">
        <v>7026907</v>
      </c>
      <c r="P199" s="137"/>
      <c r="Q199" s="81"/>
      <c r="R199" s="81" t="str">
        <f>_xlfn.CONCAT(表格1[[#This Row],[Model]]," ",表格1[[#This Row],[inv no]])</f>
        <v>AW-M901BPH(WW) 7026907</v>
      </c>
      <c r="S199" s="135">
        <f>_xlfn.XLOOKUP(表格1[[#This Row],[Model]],表格3[Model-Input-Ref2],表格3[SRP PRICE])</f>
        <v>3580</v>
      </c>
      <c r="T199" s="43">
        <f>表格1[[#This Row],[Unit Price]]/表格1[[#This Row],[SRP]]</f>
        <v>0.41899441340782123</v>
      </c>
      <c r="U199" s="86" t="str">
        <f>_xlfn.XLOOKUP(表格1[[#This Row],[Model]],表格3[Model-Input-Ref2],表格3[TOSHIBA/HIGHEST])</f>
        <v>Toshiba SRP</v>
      </c>
      <c r="V199" s="86">
        <v>110</v>
      </c>
      <c r="W199" s="86" t="str">
        <f>_xlfn.CONCAT(表格1[[#This Row],[欄4]],表格1[[#This Row],[inv no]])</f>
        <v>1107026907</v>
      </c>
    </row>
    <row r="200" spans="1:23" hidden="1">
      <c r="A200" s="81">
        <v>198</v>
      </c>
      <c r="B200" s="81" t="s">
        <v>1203</v>
      </c>
      <c r="C200" s="81" t="s">
        <v>1255</v>
      </c>
      <c r="D200" s="82" t="str">
        <f ca="1">OFFSET(Roster!$A$3,MATCH(表格1[[#This Row],[Location]]&amp;" "&amp;表格1[[#This Row],[Shop]]&amp;"*",Roster!$A$4:$A$72,0),DAY(表格1[[#This Row],[date]]),1,1)</f>
        <v>Me</v>
      </c>
      <c r="E200" s="81">
        <f>MONTH(表格1[[#This Row],[date]])</f>
        <v>3</v>
      </c>
      <c r="F200" s="101">
        <v>46082</v>
      </c>
      <c r="G200" s="81" t="str">
        <f>VLOOKUP("*"&amp;表格1[[#This Row],[Input]]&amp;"*",'Ref-List'!$B:$D,2,)</f>
        <v>AW-M901BPH(WW)</v>
      </c>
      <c r="H200" s="81" t="str">
        <f>_xlfn.XLOOKUP(表格1[[#This Row],[Model]],表格3[Model-Input-Ref2],表格3[Product Line])</f>
        <v>全自動洗衣機 (8公斤 結合高低水位)</v>
      </c>
      <c r="I200" s="81" t="str">
        <f>_xlfn.XLOOKUP(表格1[[#This Row],[Model]],表格3[Model-Input-Ref2],表格3[大小電])</f>
        <v>大電</v>
      </c>
      <c r="J200" s="81" t="str">
        <f>_xlfn.XLOOKUP(表格1[[#This Row],[Model]],表格3[Model-Input-Ref2],表格3[Code])</f>
        <v>WM</v>
      </c>
      <c r="K200" s="82" t="s">
        <v>1202</v>
      </c>
      <c r="L200" s="81">
        <v>1</v>
      </c>
      <c r="M200" s="85">
        <v>1500</v>
      </c>
      <c r="N200" s="85">
        <f>IFERROR(表格1[[#This Row],[QTY]]*表格1[[#This Row],[Unit Price]],"-")</f>
        <v>1500</v>
      </c>
      <c r="O200" s="134">
        <v>7026898</v>
      </c>
      <c r="P200" s="81"/>
      <c r="Q200" s="81"/>
      <c r="R200" s="81" t="str">
        <f>_xlfn.CONCAT(表格1[[#This Row],[Model]]," ",表格1[[#This Row],[inv no]])</f>
        <v>AW-M901BPH(WW) 7026898</v>
      </c>
      <c r="S200" s="135">
        <f>_xlfn.XLOOKUP(表格1[[#This Row],[Model]],表格3[Model-Input-Ref2],表格3[SRP PRICE])</f>
        <v>3580</v>
      </c>
      <c r="T200" s="43">
        <f>表格1[[#This Row],[Unit Price]]/表格1[[#This Row],[SRP]]</f>
        <v>0.41899441340782123</v>
      </c>
      <c r="U200" s="86" t="str">
        <f>_xlfn.XLOOKUP(表格1[[#This Row],[Model]],表格3[Model-Input-Ref2],表格3[TOSHIBA/HIGHEST])</f>
        <v>Toshiba SRP</v>
      </c>
      <c r="V200" s="86">
        <v>110</v>
      </c>
      <c r="W200" s="86" t="str">
        <f>_xlfn.CONCAT(表格1[[#This Row],[欄4]],表格1[[#This Row],[inv no]])</f>
        <v>1107026898</v>
      </c>
    </row>
    <row r="201" spans="1:23" ht="16.5" hidden="1">
      <c r="A201" s="81">
        <v>199</v>
      </c>
      <c r="B201" s="81" t="s">
        <v>1203</v>
      </c>
      <c r="C201" s="81" t="s">
        <v>1255</v>
      </c>
      <c r="D201" s="82" t="str">
        <f ca="1">OFFSET(Roster!$A$3,MATCH(表格1[[#This Row],[Location]]&amp;" "&amp;表格1[[#This Row],[Shop]]&amp;"*",Roster!$A$4:$A$72,0),DAY(表格1[[#This Row],[date]]),1,1)</f>
        <v>Me</v>
      </c>
      <c r="E201" s="81">
        <f>MONTH(表格1[[#This Row],[date]])</f>
        <v>3</v>
      </c>
      <c r="F201" s="101">
        <v>46082</v>
      </c>
      <c r="G201" s="81" t="str">
        <f>VLOOKUP("*"&amp;表格1[[#This Row],[Input]]&amp;"*",'Ref-List'!$B:$D,2,)</f>
        <v>AW-M901BPH(WW)</v>
      </c>
      <c r="H201" s="81" t="str">
        <f>_xlfn.XLOOKUP(表格1[[#This Row],[Model]],表格3[Model-Input-Ref2],表格3[Product Line])</f>
        <v>全自動洗衣機 (8公斤 結合高低水位)</v>
      </c>
      <c r="I201" s="81" t="str">
        <f>_xlfn.XLOOKUP(表格1[[#This Row],[Model]],表格3[Model-Input-Ref2],表格3[大小電])</f>
        <v>大電</v>
      </c>
      <c r="J201" s="81" t="str">
        <f>_xlfn.XLOOKUP(表格1[[#This Row],[Model]],表格3[Model-Input-Ref2],表格3[Code])</f>
        <v>WM</v>
      </c>
      <c r="K201" s="82" t="s">
        <v>1202</v>
      </c>
      <c r="L201" s="81">
        <v>1</v>
      </c>
      <c r="M201" s="85">
        <v>1500</v>
      </c>
      <c r="N201" s="85">
        <f>IFERROR(表格1[[#This Row],[QTY]]*表格1[[#This Row],[Unit Price]],"-")</f>
        <v>1500</v>
      </c>
      <c r="O201" s="134">
        <v>7027061</v>
      </c>
      <c r="P201" s="137"/>
      <c r="Q201" s="81"/>
      <c r="R201" s="81" t="str">
        <f>_xlfn.CONCAT(表格1[[#This Row],[Model]]," ",表格1[[#This Row],[inv no]])</f>
        <v>AW-M901BPH(WW) 7027061</v>
      </c>
      <c r="S201" s="135">
        <f>_xlfn.XLOOKUP(表格1[[#This Row],[Model]],表格3[Model-Input-Ref2],表格3[SRP PRICE])</f>
        <v>3580</v>
      </c>
      <c r="T201" s="43">
        <f>表格1[[#This Row],[Unit Price]]/表格1[[#This Row],[SRP]]</f>
        <v>0.41899441340782123</v>
      </c>
      <c r="U201" s="86" t="str">
        <f>_xlfn.XLOOKUP(表格1[[#This Row],[Model]],表格3[Model-Input-Ref2],表格3[TOSHIBA/HIGHEST])</f>
        <v>Toshiba SRP</v>
      </c>
      <c r="V201" s="86">
        <v>110</v>
      </c>
      <c r="W201" s="86" t="str">
        <f>_xlfn.CONCAT(表格1[[#This Row],[欄4]],表格1[[#This Row],[inv no]])</f>
        <v>1107027061</v>
      </c>
    </row>
    <row r="202" spans="1:23" ht="16.5" hidden="1">
      <c r="A202" s="81">
        <v>200</v>
      </c>
      <c r="B202" s="81" t="s">
        <v>1203</v>
      </c>
      <c r="C202" s="81" t="s">
        <v>1255</v>
      </c>
      <c r="D202" s="82" t="str">
        <f ca="1">OFFSET(Roster!$A$3,MATCH(表格1[[#This Row],[Location]]&amp;" "&amp;表格1[[#This Row],[Shop]]&amp;"*",Roster!$A$4:$A$72,0),DAY(表格1[[#This Row],[date]]),1,1)</f>
        <v>Me</v>
      </c>
      <c r="E202" s="81">
        <f>MONTH(表格1[[#This Row],[date]])</f>
        <v>3</v>
      </c>
      <c r="F202" s="101">
        <v>46082</v>
      </c>
      <c r="G202" s="81" t="str">
        <f>VLOOKUP("*"&amp;表格1[[#This Row],[Input]]&amp;"*",'Ref-List'!$B:$D,2,)</f>
        <v>DWS-34AHK</v>
      </c>
      <c r="H202" s="81" t="str">
        <f>_xlfn.XLOOKUP(表格1[[#This Row],[Model]],表格3[Model-Input-Ref2],表格3[Product Line])</f>
        <v>獨立式免安裝洗碗碟機</v>
      </c>
      <c r="I202" s="81" t="str">
        <f>_xlfn.XLOOKUP(表格1[[#This Row],[Model]],表格3[Model-Input-Ref2],表格3[大小電])</f>
        <v>細電</v>
      </c>
      <c r="J202" s="81" t="str">
        <f>_xlfn.XLOOKUP(表格1[[#This Row],[Model]],表格3[Model-Input-Ref2],表格3[Code])</f>
        <v>DM</v>
      </c>
      <c r="K202" s="82" t="s">
        <v>1240</v>
      </c>
      <c r="L202" s="81">
        <v>1</v>
      </c>
      <c r="M202" s="85">
        <v>1500</v>
      </c>
      <c r="N202" s="85">
        <f>IFERROR(表格1[[#This Row],[QTY]]*表格1[[#This Row],[Unit Price]],"-")</f>
        <v>1500</v>
      </c>
      <c r="O202" s="134">
        <v>7027060</v>
      </c>
      <c r="P202" s="137"/>
      <c r="Q202" s="81"/>
      <c r="R202" s="81" t="str">
        <f>_xlfn.CONCAT(表格1[[#This Row],[Model]]," ",表格1[[#This Row],[inv no]])</f>
        <v>DWS-34AHK 7027060</v>
      </c>
      <c r="S202" s="135">
        <f>_xlfn.XLOOKUP(表格1[[#This Row],[Model]],表格3[Model-Input-Ref2],表格3[SRP PRICE])</f>
        <v>3999</v>
      </c>
      <c r="T202" s="43">
        <f>表格1[[#This Row],[Unit Price]]/表格1[[#This Row],[SRP]]</f>
        <v>0.37509377344336087</v>
      </c>
      <c r="U202" s="86" t="str">
        <f>_xlfn.XLOOKUP(表格1[[#This Row],[Model]],表格3[Model-Input-Ref2],表格3[TOSHIBA/HIGHEST])</f>
        <v>Web SRP</v>
      </c>
      <c r="V202" s="86">
        <v>110</v>
      </c>
      <c r="W202" s="86" t="str">
        <f>_xlfn.CONCAT(表格1[[#This Row],[欄4]],表格1[[#This Row],[inv no]])</f>
        <v>1107027060</v>
      </c>
    </row>
    <row r="203" spans="1:23" ht="16.5" hidden="1">
      <c r="A203" s="81">
        <v>201</v>
      </c>
      <c r="B203" s="81" t="s">
        <v>1203</v>
      </c>
      <c r="C203" s="81" t="s">
        <v>1255</v>
      </c>
      <c r="D203" s="82" t="str">
        <f ca="1">OFFSET(Roster!$A$3,MATCH(表格1[[#This Row],[Location]]&amp;" "&amp;表格1[[#This Row],[Shop]]&amp;"*",Roster!$A$4:$A$72,0),DAY(表格1[[#This Row],[date]]),1,1)</f>
        <v>Me</v>
      </c>
      <c r="E203" s="81">
        <f>MONTH(表格1[[#This Row],[date]])</f>
        <v>3</v>
      </c>
      <c r="F203" s="101">
        <v>46082</v>
      </c>
      <c r="G203" s="81" t="str">
        <f>VLOOKUP("*"&amp;表格1[[#This Row],[Input]]&amp;"*",'Ref-List'!$B:$D,2,)</f>
        <v>DWS-34AHK</v>
      </c>
      <c r="H203" s="81" t="str">
        <f>_xlfn.XLOOKUP(表格1[[#This Row],[Model]],表格3[Model-Input-Ref2],表格3[Product Line])</f>
        <v>獨立式免安裝洗碗碟機</v>
      </c>
      <c r="I203" s="81" t="str">
        <f>_xlfn.XLOOKUP(表格1[[#This Row],[Model]],表格3[Model-Input-Ref2],表格3[大小電])</f>
        <v>細電</v>
      </c>
      <c r="J203" s="81" t="str">
        <f>_xlfn.XLOOKUP(表格1[[#This Row],[Model]],表格3[Model-Input-Ref2],表格3[Code])</f>
        <v>DM</v>
      </c>
      <c r="K203" s="82" t="s">
        <v>1240</v>
      </c>
      <c r="L203" s="81">
        <v>1</v>
      </c>
      <c r="M203" s="85">
        <v>1500</v>
      </c>
      <c r="N203" s="85">
        <f>IFERROR(表格1[[#This Row],[QTY]]*表格1[[#This Row],[Unit Price]],"-")</f>
        <v>1500</v>
      </c>
      <c r="O203" s="134">
        <v>7017071</v>
      </c>
      <c r="P203" s="137"/>
      <c r="Q203" s="81"/>
      <c r="R203" s="81" t="str">
        <f>_xlfn.CONCAT(表格1[[#This Row],[Model]]," ",表格1[[#This Row],[inv no]])</f>
        <v>DWS-34AHK 7017071</v>
      </c>
      <c r="S203" s="135">
        <f>_xlfn.XLOOKUP(表格1[[#This Row],[Model]],表格3[Model-Input-Ref2],表格3[SRP PRICE])</f>
        <v>3999</v>
      </c>
      <c r="T203" s="43">
        <f>表格1[[#This Row],[Unit Price]]/表格1[[#This Row],[SRP]]</f>
        <v>0.37509377344336087</v>
      </c>
      <c r="U203" s="86" t="str">
        <f>_xlfn.XLOOKUP(表格1[[#This Row],[Model]],表格3[Model-Input-Ref2],表格3[TOSHIBA/HIGHEST])</f>
        <v>Web SRP</v>
      </c>
      <c r="V203" s="86">
        <v>110</v>
      </c>
      <c r="W203" s="86" t="str">
        <f>_xlfn.CONCAT(表格1[[#This Row],[欄4]],表格1[[#This Row],[inv no]])</f>
        <v>1107017071</v>
      </c>
    </row>
    <row r="204" spans="1:23" ht="16.5" hidden="1">
      <c r="A204" s="81">
        <v>202</v>
      </c>
      <c r="B204" s="81" t="s">
        <v>1203</v>
      </c>
      <c r="C204" s="81" t="s">
        <v>1255</v>
      </c>
      <c r="D204" s="82" t="str">
        <f ca="1">OFFSET(Roster!$A$3,MATCH(表格1[[#This Row],[Location]]&amp;" "&amp;表格1[[#This Row],[Shop]]&amp;"*",Roster!$A$4:$A$72,0),DAY(表格1[[#This Row],[date]]),1,1)</f>
        <v>Me</v>
      </c>
      <c r="E204" s="81">
        <f>MONTH(表格1[[#This Row],[date]])</f>
        <v>3</v>
      </c>
      <c r="F204" s="101">
        <v>46082</v>
      </c>
      <c r="G204" s="81" t="str">
        <f>VLOOKUP("*"&amp;表格1[[#This Row],[Input]]&amp;"*",'Ref-List'!$B:$D,2,)</f>
        <v>DWS-34AHK</v>
      </c>
      <c r="H204" s="81" t="str">
        <f>_xlfn.XLOOKUP(表格1[[#This Row],[Model]],表格3[Model-Input-Ref2],表格3[Product Line])</f>
        <v>獨立式免安裝洗碗碟機</v>
      </c>
      <c r="I204" s="81" t="str">
        <f>_xlfn.XLOOKUP(表格1[[#This Row],[Model]],表格3[Model-Input-Ref2],表格3[大小電])</f>
        <v>細電</v>
      </c>
      <c r="J204" s="81" t="str">
        <f>_xlfn.XLOOKUP(表格1[[#This Row],[Model]],表格3[Model-Input-Ref2],表格3[Code])</f>
        <v>DM</v>
      </c>
      <c r="K204" s="82" t="s">
        <v>1239</v>
      </c>
      <c r="L204" s="81">
        <v>1</v>
      </c>
      <c r="M204" s="85">
        <v>1500</v>
      </c>
      <c r="N204" s="85">
        <f>IFERROR(表格1[[#This Row],[QTY]]*表格1[[#This Row],[Unit Price]],"-")</f>
        <v>1500</v>
      </c>
      <c r="O204" s="134">
        <v>7026996</v>
      </c>
      <c r="P204" s="137"/>
      <c r="Q204" s="81"/>
      <c r="R204" s="81" t="str">
        <f>_xlfn.CONCAT(表格1[[#This Row],[Model]]," ",表格1[[#This Row],[inv no]])</f>
        <v>DWS-34AHK 7026996</v>
      </c>
      <c r="S204" s="135">
        <f>_xlfn.XLOOKUP(表格1[[#This Row],[Model]],表格3[Model-Input-Ref2],表格3[SRP PRICE])</f>
        <v>3999</v>
      </c>
      <c r="T204" s="43">
        <f>表格1[[#This Row],[Unit Price]]/表格1[[#This Row],[SRP]]</f>
        <v>0.37509377344336087</v>
      </c>
      <c r="U204" s="86" t="str">
        <f>_xlfn.XLOOKUP(表格1[[#This Row],[Model]],表格3[Model-Input-Ref2],表格3[TOSHIBA/HIGHEST])</f>
        <v>Web SRP</v>
      </c>
      <c r="V204" s="86">
        <v>110</v>
      </c>
      <c r="W204" s="86" t="str">
        <f>_xlfn.CONCAT(表格1[[#This Row],[欄4]],表格1[[#This Row],[inv no]])</f>
        <v>1107026996</v>
      </c>
    </row>
    <row r="205" spans="1:23" hidden="1">
      <c r="A205" s="81">
        <v>203</v>
      </c>
      <c r="B205" s="81" t="s">
        <v>1203</v>
      </c>
      <c r="C205" s="81" t="s">
        <v>1255</v>
      </c>
      <c r="D205" s="82" t="str">
        <f ca="1">OFFSET(Roster!$A$3,MATCH(表格1[[#This Row],[Location]]&amp;" "&amp;表格1[[#This Row],[Shop]]&amp;"*",Roster!$A$4:$A$72,0),DAY(表格1[[#This Row],[date]]),1,1)</f>
        <v>Me</v>
      </c>
      <c r="E205" s="81">
        <f>MONTH(表格1[[#This Row],[date]])</f>
        <v>3</v>
      </c>
      <c r="F205" s="101">
        <v>46082</v>
      </c>
      <c r="G205" s="81" t="str">
        <f>VLOOKUP("*"&amp;表格1[[#This Row],[Input]]&amp;"*",'Ref-List'!$B:$D,2,)</f>
        <v>DWS-34AHK</v>
      </c>
      <c r="H205" s="81" t="str">
        <f>_xlfn.XLOOKUP(表格1[[#This Row],[Model]],表格3[Model-Input-Ref2],表格3[Product Line])</f>
        <v>獨立式免安裝洗碗碟機</v>
      </c>
      <c r="I205" s="81" t="str">
        <f>_xlfn.XLOOKUP(表格1[[#This Row],[Model]],表格3[Model-Input-Ref2],表格3[大小電])</f>
        <v>細電</v>
      </c>
      <c r="J205" s="81" t="str">
        <f>_xlfn.XLOOKUP(表格1[[#This Row],[Model]],表格3[Model-Input-Ref2],表格3[Code])</f>
        <v>DM</v>
      </c>
      <c r="K205" s="82" t="s">
        <v>1239</v>
      </c>
      <c r="L205" s="81">
        <v>1</v>
      </c>
      <c r="M205" s="85">
        <v>1500</v>
      </c>
      <c r="N205" s="85">
        <f>IFERROR(表格1[[#This Row],[QTY]]*表格1[[#This Row],[Unit Price]],"-")</f>
        <v>1500</v>
      </c>
      <c r="O205" s="134">
        <v>7017101</v>
      </c>
      <c r="P205" s="81"/>
      <c r="Q205" s="81"/>
      <c r="R205" s="81" t="str">
        <f>_xlfn.CONCAT(表格1[[#This Row],[Model]]," ",表格1[[#This Row],[inv no]])</f>
        <v>DWS-34AHK 7017101</v>
      </c>
      <c r="S205" s="135">
        <f>_xlfn.XLOOKUP(表格1[[#This Row],[Model]],表格3[Model-Input-Ref2],表格3[SRP PRICE])</f>
        <v>3999</v>
      </c>
      <c r="T205" s="43">
        <f>表格1[[#This Row],[Unit Price]]/表格1[[#This Row],[SRP]]</f>
        <v>0.37509377344336087</v>
      </c>
      <c r="U205" s="86" t="str">
        <f>_xlfn.XLOOKUP(表格1[[#This Row],[Model]],表格3[Model-Input-Ref2],表格3[TOSHIBA/HIGHEST])</f>
        <v>Web SRP</v>
      </c>
      <c r="V205" s="86">
        <v>110</v>
      </c>
      <c r="W205" s="86" t="str">
        <f>_xlfn.CONCAT(表格1[[#This Row],[欄4]],表格1[[#This Row],[inv no]])</f>
        <v>1107017101</v>
      </c>
    </row>
    <row r="206" spans="1:23" hidden="1">
      <c r="A206" s="81">
        <v>204</v>
      </c>
      <c r="B206" s="81" t="s">
        <v>1203</v>
      </c>
      <c r="C206" s="81" t="s">
        <v>1255</v>
      </c>
      <c r="D206" s="82" t="str">
        <f ca="1">OFFSET(Roster!$A$3,MATCH(表格1[[#This Row],[Location]]&amp;" "&amp;表格1[[#This Row],[Shop]]&amp;"*",Roster!$A$4:$A$72,0),DAY(表格1[[#This Row],[date]]),1,1)</f>
        <v>Me</v>
      </c>
      <c r="E206" s="81">
        <f>MONTH(表格1[[#This Row],[date]])</f>
        <v>3</v>
      </c>
      <c r="F206" s="101">
        <v>46082</v>
      </c>
      <c r="G206" s="81" t="str">
        <f>VLOOKUP("*"&amp;表格1[[#This Row],[Input]]&amp;"*",'Ref-List'!$B:$D,2,)</f>
        <v>GR-A26HSZ(DS)</v>
      </c>
      <c r="H206" s="81" t="str">
        <f>_xlfn.XLOOKUP(表格1[[#This Row],[Model]],表格3[Model-Input-Ref2],表格3[Product Line])</f>
        <v>雙門變頻式環保雪櫃</v>
      </c>
      <c r="I206" s="81" t="str">
        <f>_xlfn.XLOOKUP(表格1[[#This Row],[Model]],表格3[Model-Input-Ref2],表格3[大小電])</f>
        <v>大電</v>
      </c>
      <c r="J206" s="81" t="str">
        <f>_xlfn.XLOOKUP(表格1[[#This Row],[Model]],表格3[Model-Input-Ref2],表格3[Code])</f>
        <v>AC</v>
      </c>
      <c r="K206" s="82" t="s">
        <v>1207</v>
      </c>
      <c r="L206" s="81">
        <v>1</v>
      </c>
      <c r="M206" s="85">
        <v>1500</v>
      </c>
      <c r="N206" s="85">
        <f>IFERROR(表格1[[#This Row],[QTY]]*表格1[[#This Row],[Unit Price]],"-")</f>
        <v>1500</v>
      </c>
      <c r="O206" s="134">
        <v>7026870</v>
      </c>
      <c r="P206" s="81"/>
      <c r="Q206" s="81"/>
      <c r="R206" s="81" t="str">
        <f>_xlfn.CONCAT(表格1[[#This Row],[Model]]," ",表格1[[#This Row],[inv no]])</f>
        <v>GR-A26HSZ(DS) 7026870</v>
      </c>
      <c r="S206" s="135">
        <f>_xlfn.XLOOKUP(表格1[[#This Row],[Model]],表格3[Model-Input-Ref2],表格3[SRP PRICE])</f>
        <v>3780</v>
      </c>
      <c r="T206" s="43">
        <f>表格1[[#This Row],[Unit Price]]/表格1[[#This Row],[SRP]]</f>
        <v>0.3968253968253968</v>
      </c>
      <c r="U206" s="86" t="str">
        <f>_xlfn.XLOOKUP(表格1[[#This Row],[Model]],表格3[Model-Input-Ref2],表格3[TOSHIBA/HIGHEST])</f>
        <v>Toshiba SRP</v>
      </c>
      <c r="V206" s="86">
        <v>110</v>
      </c>
      <c r="W206" s="86" t="str">
        <f>_xlfn.CONCAT(表格1[[#This Row],[欄4]],表格1[[#This Row],[inv no]])</f>
        <v>1107026870</v>
      </c>
    </row>
    <row r="207" spans="1:23" hidden="1">
      <c r="A207" s="81">
        <v>205</v>
      </c>
      <c r="B207" s="81" t="s">
        <v>1203</v>
      </c>
      <c r="C207" s="81" t="s">
        <v>1255</v>
      </c>
      <c r="D207" s="82" t="str">
        <f ca="1">OFFSET(Roster!$A$3,MATCH(表格1[[#This Row],[Location]]&amp;" "&amp;表格1[[#This Row],[Shop]]&amp;"*",Roster!$A$4:$A$72,0),DAY(表格1[[#This Row],[date]]),1,1)</f>
        <v>Me</v>
      </c>
      <c r="E207" s="81">
        <f>MONTH(表格1[[#This Row],[date]])</f>
        <v>3</v>
      </c>
      <c r="F207" s="101">
        <v>46082</v>
      </c>
      <c r="G207" s="81" t="str">
        <f>VLOOKUP("*"&amp;表格1[[#This Row],[Input]]&amp;"*",'Ref-List'!$B:$D,2,)</f>
        <v>GR-A26HSZ(DS)</v>
      </c>
      <c r="H207" s="81" t="str">
        <f>_xlfn.XLOOKUP(表格1[[#This Row],[Model]],表格3[Model-Input-Ref2],表格3[Product Line])</f>
        <v>雙門變頻式環保雪櫃</v>
      </c>
      <c r="I207" s="81" t="str">
        <f>_xlfn.XLOOKUP(表格1[[#This Row],[Model]],表格3[Model-Input-Ref2],表格3[大小電])</f>
        <v>大電</v>
      </c>
      <c r="J207" s="81" t="str">
        <f>_xlfn.XLOOKUP(表格1[[#This Row],[Model]],表格3[Model-Input-Ref2],表格3[Code])</f>
        <v>AC</v>
      </c>
      <c r="K207" s="82" t="s">
        <v>1207</v>
      </c>
      <c r="L207" s="81">
        <v>1</v>
      </c>
      <c r="M207" s="85">
        <v>1500</v>
      </c>
      <c r="N207" s="85">
        <f>IFERROR(表格1[[#This Row],[QTY]]*表格1[[#This Row],[Unit Price]],"-")</f>
        <v>1500</v>
      </c>
      <c r="O207" s="134">
        <v>7026915</v>
      </c>
      <c r="P207" s="81"/>
      <c r="Q207" s="81"/>
      <c r="R207" s="81" t="str">
        <f>_xlfn.CONCAT(表格1[[#This Row],[Model]]," ",表格1[[#This Row],[inv no]])</f>
        <v>GR-A26HSZ(DS) 7026915</v>
      </c>
      <c r="S207" s="135">
        <f>_xlfn.XLOOKUP(表格1[[#This Row],[Model]],表格3[Model-Input-Ref2],表格3[SRP PRICE])</f>
        <v>3780</v>
      </c>
      <c r="T207" s="43">
        <f>表格1[[#This Row],[Unit Price]]/表格1[[#This Row],[SRP]]</f>
        <v>0.3968253968253968</v>
      </c>
      <c r="U207" s="86" t="str">
        <f>_xlfn.XLOOKUP(表格1[[#This Row],[Model]],表格3[Model-Input-Ref2],表格3[TOSHIBA/HIGHEST])</f>
        <v>Toshiba SRP</v>
      </c>
      <c r="V207" s="86">
        <v>110</v>
      </c>
      <c r="W207" s="86" t="str">
        <f>_xlfn.CONCAT(表格1[[#This Row],[欄4]],表格1[[#This Row],[inv no]])</f>
        <v>1107026915</v>
      </c>
    </row>
    <row r="208" spans="1:23" ht="16.5" hidden="1">
      <c r="A208" s="81">
        <v>206</v>
      </c>
      <c r="B208" s="81" t="s">
        <v>1203</v>
      </c>
      <c r="C208" s="81" t="s">
        <v>1255</v>
      </c>
      <c r="D208" s="82" t="str">
        <f ca="1">OFFSET(Roster!$A$3,MATCH(表格1[[#This Row],[Location]]&amp;" "&amp;表格1[[#This Row],[Shop]]&amp;"*",Roster!$A$4:$A$72,0),DAY(表格1[[#This Row],[date]]),1,1)</f>
        <v>Me</v>
      </c>
      <c r="E208" s="81">
        <f>MONTH(表格1[[#This Row],[date]])</f>
        <v>3</v>
      </c>
      <c r="F208" s="101">
        <v>46082</v>
      </c>
      <c r="G208" s="81" t="str">
        <f>VLOOKUP("*"&amp;表格1[[#This Row],[Input]]&amp;"*",'Ref-List'!$B:$D,2,)</f>
        <v>GR-A26HSZ(DS)</v>
      </c>
      <c r="H208" s="81" t="str">
        <f>_xlfn.XLOOKUP(表格1[[#This Row],[Model]],表格3[Model-Input-Ref2],表格3[Product Line])</f>
        <v>雙門變頻式環保雪櫃</v>
      </c>
      <c r="I208" s="81" t="str">
        <f>_xlfn.XLOOKUP(表格1[[#This Row],[Model]],表格3[Model-Input-Ref2],表格3[大小電])</f>
        <v>大電</v>
      </c>
      <c r="J208" s="81" t="str">
        <f>_xlfn.XLOOKUP(表格1[[#This Row],[Model]],表格3[Model-Input-Ref2],表格3[Code])</f>
        <v>AC</v>
      </c>
      <c r="K208" s="82" t="s">
        <v>1207</v>
      </c>
      <c r="L208" s="81">
        <v>1</v>
      </c>
      <c r="M208" s="85">
        <v>1500</v>
      </c>
      <c r="N208" s="85">
        <f>IFERROR(表格1[[#This Row],[QTY]]*表格1[[#This Row],[Unit Price]],"-")</f>
        <v>1500</v>
      </c>
      <c r="O208" s="134">
        <v>7017262</v>
      </c>
      <c r="P208" s="137"/>
      <c r="Q208" s="81"/>
      <c r="R208" s="81" t="str">
        <f>_xlfn.CONCAT(表格1[[#This Row],[Model]]," ",表格1[[#This Row],[inv no]])</f>
        <v>GR-A26HSZ(DS) 7017262</v>
      </c>
      <c r="S208" s="135">
        <f>_xlfn.XLOOKUP(表格1[[#This Row],[Model]],表格3[Model-Input-Ref2],表格3[SRP PRICE])</f>
        <v>3780</v>
      </c>
      <c r="T208" s="43">
        <f>表格1[[#This Row],[Unit Price]]/表格1[[#This Row],[SRP]]</f>
        <v>0.3968253968253968</v>
      </c>
      <c r="U208" s="86" t="str">
        <f>_xlfn.XLOOKUP(表格1[[#This Row],[Model]],表格3[Model-Input-Ref2],表格3[TOSHIBA/HIGHEST])</f>
        <v>Toshiba SRP</v>
      </c>
      <c r="V208" s="86">
        <v>110</v>
      </c>
      <c r="W208" s="86" t="str">
        <f>_xlfn.CONCAT(表格1[[#This Row],[欄4]],表格1[[#This Row],[inv no]])</f>
        <v>1107017262</v>
      </c>
    </row>
    <row r="209" spans="1:23" ht="16.5" hidden="1">
      <c r="A209" s="81">
        <v>207</v>
      </c>
      <c r="B209" s="81" t="s">
        <v>1203</v>
      </c>
      <c r="C209" s="81" t="s">
        <v>1255</v>
      </c>
      <c r="D209" s="82" t="str">
        <f ca="1">OFFSET(Roster!$A$3,MATCH(表格1[[#This Row],[Location]]&amp;" "&amp;表格1[[#This Row],[Shop]]&amp;"*",Roster!$A$4:$A$72,0),DAY(表格1[[#This Row],[date]]),1,1)</f>
        <v>Me</v>
      </c>
      <c r="E209" s="81">
        <f>MONTH(表格1[[#This Row],[date]])</f>
        <v>3</v>
      </c>
      <c r="F209" s="101">
        <v>46082</v>
      </c>
      <c r="G209" s="81" t="str">
        <f>VLOOKUP("*"&amp;表格1[[#This Row],[Input]]&amp;"*",'Ref-List'!$B:$D,2,)</f>
        <v>RAD-Y200H</v>
      </c>
      <c r="H209" s="81" t="str">
        <f>_xlfn.XLOOKUP(表格1[[#This Row],[Model]],表格3[Model-Input-Ref2],表格3[Product Line])</f>
        <v>21L壓縮式抽濕機</v>
      </c>
      <c r="I209" s="81" t="str">
        <f>_xlfn.XLOOKUP(表格1[[#This Row],[Model]],表格3[Model-Input-Ref2],表格3[大小電])</f>
        <v>大電</v>
      </c>
      <c r="J209" s="81" t="str">
        <f>_xlfn.XLOOKUP(表格1[[#This Row],[Model]],表格3[Model-Input-Ref2],表格3[Code])</f>
        <v>RAC</v>
      </c>
      <c r="K209" s="82" t="s">
        <v>1241</v>
      </c>
      <c r="L209" s="81">
        <v>1</v>
      </c>
      <c r="M209" s="85">
        <v>1500</v>
      </c>
      <c r="N209" s="85">
        <f>IFERROR(表格1[[#This Row],[QTY]]*表格1[[#This Row],[Unit Price]],"-")</f>
        <v>1500</v>
      </c>
      <c r="O209" s="134">
        <v>7026894</v>
      </c>
      <c r="P209" s="137"/>
      <c r="Q209" s="81"/>
      <c r="R209" s="81" t="str">
        <f>_xlfn.CONCAT(表格1[[#This Row],[Model]]," ",表格1[[#This Row],[inv no]])</f>
        <v>RAD-Y200H 7026894</v>
      </c>
      <c r="S209" s="135">
        <f>_xlfn.XLOOKUP(表格1[[#This Row],[Model]],表格3[Model-Input-Ref2],表格3[SRP PRICE])</f>
        <v>3280</v>
      </c>
      <c r="T209" s="43">
        <f>表格1[[#This Row],[Unit Price]]/表格1[[#This Row],[SRP]]</f>
        <v>0.45731707317073172</v>
      </c>
      <c r="U209" s="86" t="str">
        <f>_xlfn.XLOOKUP(表格1[[#This Row],[Model]],表格3[Model-Input-Ref2],表格3[TOSHIBA/HIGHEST])</f>
        <v>Toshiba SRP</v>
      </c>
      <c r="V209" s="86">
        <v>110</v>
      </c>
      <c r="W209" s="86" t="str">
        <f>_xlfn.CONCAT(表格1[[#This Row],[欄4]],表格1[[#This Row],[inv no]])</f>
        <v>1107026894</v>
      </c>
    </row>
    <row r="210" spans="1:23" hidden="1">
      <c r="A210" s="81">
        <v>208</v>
      </c>
      <c r="B210" s="81" t="s">
        <v>1203</v>
      </c>
      <c r="C210" s="81" t="s">
        <v>1255</v>
      </c>
      <c r="D210" s="82" t="str">
        <f ca="1">OFFSET(Roster!$A$3,MATCH(表格1[[#This Row],[Location]]&amp;" "&amp;表格1[[#This Row],[Shop]]&amp;"*",Roster!$A$4:$A$72,0),DAY(表格1[[#This Row],[date]]),1,1)</f>
        <v>Me</v>
      </c>
      <c r="E210" s="81">
        <f>MONTH(表格1[[#This Row],[date]])</f>
        <v>3</v>
      </c>
      <c r="F210" s="101">
        <v>46082</v>
      </c>
      <c r="G210" s="81" t="str">
        <f>VLOOKUP("*"&amp;表格1[[#This Row],[Input]]&amp;"*",'Ref-List'!$B:$D,2,)</f>
        <v>RAD-Y200H</v>
      </c>
      <c r="H210" s="81" t="str">
        <f>_xlfn.XLOOKUP(表格1[[#This Row],[Model]],表格3[Model-Input-Ref2],表格3[Product Line])</f>
        <v>21L壓縮式抽濕機</v>
      </c>
      <c r="I210" s="81" t="str">
        <f>_xlfn.XLOOKUP(表格1[[#This Row],[Model]],表格3[Model-Input-Ref2],表格3[大小電])</f>
        <v>大電</v>
      </c>
      <c r="J210" s="81" t="str">
        <f>_xlfn.XLOOKUP(表格1[[#This Row],[Model]],表格3[Model-Input-Ref2],表格3[Code])</f>
        <v>RAC</v>
      </c>
      <c r="K210" s="82" t="s">
        <v>1241</v>
      </c>
      <c r="L210" s="81">
        <v>1</v>
      </c>
      <c r="M210" s="85">
        <v>1500</v>
      </c>
      <c r="N210" s="85">
        <f>IFERROR(表格1[[#This Row],[QTY]]*表格1[[#This Row],[Unit Price]],"-")</f>
        <v>1500</v>
      </c>
      <c r="O210" s="134">
        <v>7027038</v>
      </c>
      <c r="P210" s="81"/>
      <c r="Q210" s="81"/>
      <c r="R210" s="81" t="str">
        <f>_xlfn.CONCAT(表格1[[#This Row],[Model]]," ",表格1[[#This Row],[inv no]])</f>
        <v>RAD-Y200H 7027038</v>
      </c>
      <c r="S210" s="135">
        <f>_xlfn.XLOOKUP(表格1[[#This Row],[Model]],表格3[Model-Input-Ref2],表格3[SRP PRICE])</f>
        <v>3280</v>
      </c>
      <c r="T210" s="43">
        <f>表格1[[#This Row],[Unit Price]]/表格1[[#This Row],[SRP]]</f>
        <v>0.45731707317073172</v>
      </c>
      <c r="U210" s="86" t="str">
        <f>_xlfn.XLOOKUP(表格1[[#This Row],[Model]],表格3[Model-Input-Ref2],表格3[TOSHIBA/HIGHEST])</f>
        <v>Toshiba SRP</v>
      </c>
      <c r="V210" s="86">
        <v>110</v>
      </c>
      <c r="W210" s="86" t="str">
        <f>_xlfn.CONCAT(表格1[[#This Row],[欄4]],表格1[[#This Row],[inv no]])</f>
        <v>1107027038</v>
      </c>
    </row>
    <row r="211" spans="1:23" hidden="1">
      <c r="A211" s="81">
        <v>209</v>
      </c>
      <c r="B211" s="81" t="s">
        <v>1203</v>
      </c>
      <c r="C211" s="81" t="s">
        <v>1255</v>
      </c>
      <c r="D211" s="82" t="str">
        <f ca="1">OFFSET(Roster!$A$3,MATCH(表格1[[#This Row],[Location]]&amp;" "&amp;表格1[[#This Row],[Shop]]&amp;"*",Roster!$A$4:$A$72,0),DAY(表格1[[#This Row],[date]]),1,1)</f>
        <v>Me</v>
      </c>
      <c r="E211" s="81">
        <f>MONTH(表格1[[#This Row],[date]])</f>
        <v>3</v>
      </c>
      <c r="F211" s="101">
        <v>46082</v>
      </c>
      <c r="G211" s="81" t="str">
        <f>VLOOKUP("*"&amp;表格1[[#This Row],[Input]]&amp;"*",'Ref-List'!$B:$D,2,)</f>
        <v>RAD-Y200H</v>
      </c>
      <c r="H211" s="81" t="str">
        <f>_xlfn.XLOOKUP(表格1[[#This Row],[Model]],表格3[Model-Input-Ref2],表格3[Product Line])</f>
        <v>21L壓縮式抽濕機</v>
      </c>
      <c r="I211" s="81" t="str">
        <f>_xlfn.XLOOKUP(表格1[[#This Row],[Model]],表格3[Model-Input-Ref2],表格3[大小電])</f>
        <v>大電</v>
      </c>
      <c r="J211" s="81" t="str">
        <f>_xlfn.XLOOKUP(表格1[[#This Row],[Model]],表格3[Model-Input-Ref2],表格3[Code])</f>
        <v>RAC</v>
      </c>
      <c r="K211" s="82" t="s">
        <v>1241</v>
      </c>
      <c r="L211" s="81">
        <v>1</v>
      </c>
      <c r="M211" s="85">
        <v>1500</v>
      </c>
      <c r="N211" s="85">
        <f>IFERROR(表格1[[#This Row],[QTY]]*表格1[[#This Row],[Unit Price]],"-")</f>
        <v>1500</v>
      </c>
      <c r="O211" s="134">
        <v>7017114</v>
      </c>
      <c r="P211" s="81"/>
      <c r="Q211" s="81"/>
      <c r="R211" s="81" t="str">
        <f>_xlfn.CONCAT(表格1[[#This Row],[Model]]," ",表格1[[#This Row],[inv no]])</f>
        <v>RAD-Y200H 7017114</v>
      </c>
      <c r="S211" s="135">
        <f>_xlfn.XLOOKUP(表格1[[#This Row],[Model]],表格3[Model-Input-Ref2],表格3[SRP PRICE])</f>
        <v>3280</v>
      </c>
      <c r="T211" s="43">
        <f>表格1[[#This Row],[Unit Price]]/表格1[[#This Row],[SRP]]</f>
        <v>0.45731707317073172</v>
      </c>
      <c r="U211" s="86" t="str">
        <f>_xlfn.XLOOKUP(表格1[[#This Row],[Model]],表格3[Model-Input-Ref2],表格3[TOSHIBA/HIGHEST])</f>
        <v>Toshiba SRP</v>
      </c>
      <c r="V211" s="86">
        <v>110</v>
      </c>
      <c r="W211" s="86" t="str">
        <f>_xlfn.CONCAT(表格1[[#This Row],[欄4]],表格1[[#This Row],[inv no]])</f>
        <v>1107017114</v>
      </c>
    </row>
    <row r="212" spans="1:23" hidden="1">
      <c r="A212" s="81">
        <v>210</v>
      </c>
      <c r="B212" s="81" t="s">
        <v>1203</v>
      </c>
      <c r="C212" s="81" t="s">
        <v>1255</v>
      </c>
      <c r="D212" s="82" t="str">
        <f ca="1">OFFSET(Roster!$A$3,MATCH(表格1[[#This Row],[Location]]&amp;" "&amp;表格1[[#This Row],[Shop]]&amp;"*",Roster!$A$4:$A$72,0),DAY(表格1[[#This Row],[date]]),1,1)</f>
        <v>Me</v>
      </c>
      <c r="E212" s="81">
        <f>MONTH(表格1[[#This Row],[date]])</f>
        <v>3</v>
      </c>
      <c r="F212" s="101">
        <v>46082</v>
      </c>
      <c r="G212" s="81" t="str">
        <f>VLOOKUP("*"&amp;表格1[[#This Row],[Input]]&amp;"*",'Ref-List'!$B:$D,2,)</f>
        <v>RAD-Y200H</v>
      </c>
      <c r="H212" s="81" t="str">
        <f>_xlfn.XLOOKUP(表格1[[#This Row],[Model]],表格3[Model-Input-Ref2],表格3[Product Line])</f>
        <v>21L壓縮式抽濕機</v>
      </c>
      <c r="I212" s="81" t="str">
        <f>_xlfn.XLOOKUP(表格1[[#This Row],[Model]],表格3[Model-Input-Ref2],表格3[大小電])</f>
        <v>大電</v>
      </c>
      <c r="J212" s="81" t="str">
        <f>_xlfn.XLOOKUP(表格1[[#This Row],[Model]],表格3[Model-Input-Ref2],表格3[Code])</f>
        <v>RAC</v>
      </c>
      <c r="K212" s="82" t="s">
        <v>1241</v>
      </c>
      <c r="L212" s="81">
        <v>1</v>
      </c>
      <c r="M212" s="85">
        <v>1500</v>
      </c>
      <c r="N212" s="85">
        <f>IFERROR(表格1[[#This Row],[QTY]]*表格1[[#This Row],[Unit Price]],"-")</f>
        <v>1500</v>
      </c>
      <c r="O212" s="134">
        <v>7065366</v>
      </c>
      <c r="P212" s="81"/>
      <c r="Q212" s="81"/>
      <c r="R212" s="81" t="str">
        <f>_xlfn.CONCAT(表格1[[#This Row],[Model]]," ",表格1[[#This Row],[inv no]])</f>
        <v>RAD-Y200H 7065366</v>
      </c>
      <c r="S212" s="135">
        <f>_xlfn.XLOOKUP(表格1[[#This Row],[Model]],表格3[Model-Input-Ref2],表格3[SRP PRICE])</f>
        <v>3280</v>
      </c>
      <c r="T212" s="43">
        <f>表格1[[#This Row],[Unit Price]]/表格1[[#This Row],[SRP]]</f>
        <v>0.45731707317073172</v>
      </c>
      <c r="U212" s="86" t="str">
        <f>_xlfn.XLOOKUP(表格1[[#This Row],[Model]],表格3[Model-Input-Ref2],表格3[TOSHIBA/HIGHEST])</f>
        <v>Toshiba SRP</v>
      </c>
      <c r="V212" s="86">
        <v>110</v>
      </c>
      <c r="W212" s="86" t="str">
        <f>_xlfn.CONCAT(表格1[[#This Row],[欄4]],表格1[[#This Row],[inv no]])</f>
        <v>1107065366</v>
      </c>
    </row>
    <row r="213" spans="1:23" hidden="1">
      <c r="A213" s="81">
        <v>211</v>
      </c>
      <c r="B213" s="81" t="s">
        <v>1203</v>
      </c>
      <c r="C213" s="81" t="s">
        <v>1255</v>
      </c>
      <c r="D213" s="82" t="str">
        <f ca="1">OFFSET(Roster!$A$3,MATCH(表格1[[#This Row],[Location]]&amp;" "&amp;表格1[[#This Row],[Shop]]&amp;"*",Roster!$A$4:$A$72,0),DAY(表格1[[#This Row],[date]]),1,1)</f>
        <v>Me</v>
      </c>
      <c r="E213" s="81">
        <f>MONTH(表格1[[#This Row],[date]])</f>
        <v>3</v>
      </c>
      <c r="F213" s="101">
        <v>46082</v>
      </c>
      <c r="G213" s="81" t="str">
        <f>VLOOKUP("*"&amp;表格1[[#This Row],[Input]]&amp;"*",'Ref-List'!$B:$D,2,)</f>
        <v>RAD-Y200H</v>
      </c>
      <c r="H213" s="81" t="str">
        <f>_xlfn.XLOOKUP(表格1[[#This Row],[Model]],表格3[Model-Input-Ref2],表格3[Product Line])</f>
        <v>21L壓縮式抽濕機</v>
      </c>
      <c r="I213" s="81" t="str">
        <f>_xlfn.XLOOKUP(表格1[[#This Row],[Model]],表格3[Model-Input-Ref2],表格3[大小電])</f>
        <v>大電</v>
      </c>
      <c r="J213" s="81" t="str">
        <f>_xlfn.XLOOKUP(表格1[[#This Row],[Model]],表格3[Model-Input-Ref2],表格3[Code])</f>
        <v>RAC</v>
      </c>
      <c r="K213" s="82" t="s">
        <v>1241</v>
      </c>
      <c r="L213" s="81">
        <v>1</v>
      </c>
      <c r="M213" s="85">
        <v>1500</v>
      </c>
      <c r="N213" s="85">
        <f>IFERROR(表格1[[#This Row],[QTY]]*表格1[[#This Row],[Unit Price]],"-")</f>
        <v>1500</v>
      </c>
      <c r="O213" s="134">
        <v>7027054</v>
      </c>
      <c r="P213" s="81"/>
      <c r="Q213" s="81"/>
      <c r="R213" s="81" t="str">
        <f>_xlfn.CONCAT(表格1[[#This Row],[Model]]," ",表格1[[#This Row],[inv no]])</f>
        <v>RAD-Y200H 7027054</v>
      </c>
      <c r="S213" s="135">
        <f>_xlfn.XLOOKUP(表格1[[#This Row],[Model]],表格3[Model-Input-Ref2],表格3[SRP PRICE])</f>
        <v>3280</v>
      </c>
      <c r="T213" s="43">
        <f>表格1[[#This Row],[Unit Price]]/表格1[[#This Row],[SRP]]</f>
        <v>0.45731707317073172</v>
      </c>
      <c r="U213" s="86" t="str">
        <f>_xlfn.XLOOKUP(表格1[[#This Row],[Model]],表格3[Model-Input-Ref2],表格3[TOSHIBA/HIGHEST])</f>
        <v>Toshiba SRP</v>
      </c>
      <c r="V213" s="86">
        <v>110</v>
      </c>
      <c r="W213" s="86" t="str">
        <f>_xlfn.CONCAT(表格1[[#This Row],[欄4]],表格1[[#This Row],[inv no]])</f>
        <v>1107027054</v>
      </c>
    </row>
    <row r="214" spans="1:23" hidden="1">
      <c r="A214" s="81">
        <v>212</v>
      </c>
      <c r="B214" s="81" t="s">
        <v>1203</v>
      </c>
      <c r="C214" s="81" t="s">
        <v>1255</v>
      </c>
      <c r="D214" s="82" t="str">
        <f ca="1">OFFSET(Roster!$A$3,MATCH(表格1[[#This Row],[Location]]&amp;" "&amp;表格1[[#This Row],[Shop]]&amp;"*",Roster!$A$4:$A$72,0),DAY(表格1[[#This Row],[date]]),1,1)</f>
        <v>Me</v>
      </c>
      <c r="E214" s="81">
        <f>MONTH(表格1[[#This Row],[date]])</f>
        <v>3</v>
      </c>
      <c r="F214" s="101">
        <v>46082</v>
      </c>
      <c r="G214" s="81" t="str">
        <f>VLOOKUP("*"&amp;表格1[[#This Row],[Input]]&amp;"*",'Ref-List'!$B:$D,2,)</f>
        <v>RAD-Y200H</v>
      </c>
      <c r="H214" s="81" t="str">
        <f>_xlfn.XLOOKUP(表格1[[#This Row],[Model]],表格3[Model-Input-Ref2],表格3[Product Line])</f>
        <v>21L壓縮式抽濕機</v>
      </c>
      <c r="I214" s="81" t="str">
        <f>_xlfn.XLOOKUP(表格1[[#This Row],[Model]],表格3[Model-Input-Ref2],表格3[大小電])</f>
        <v>大電</v>
      </c>
      <c r="J214" s="81" t="str">
        <f>_xlfn.XLOOKUP(表格1[[#This Row],[Model]],表格3[Model-Input-Ref2],表格3[Code])</f>
        <v>RAC</v>
      </c>
      <c r="K214" s="82" t="s">
        <v>1241</v>
      </c>
      <c r="L214" s="81">
        <v>1</v>
      </c>
      <c r="M214" s="85">
        <v>1500</v>
      </c>
      <c r="N214" s="85">
        <f>IFERROR(表格1[[#This Row],[QTY]]*表格1[[#This Row],[Unit Price]],"-")</f>
        <v>1500</v>
      </c>
      <c r="O214" s="134">
        <v>7017064</v>
      </c>
      <c r="P214" s="81"/>
      <c r="Q214" s="81"/>
      <c r="R214" s="81" t="str">
        <f>_xlfn.CONCAT(表格1[[#This Row],[Model]]," ",表格1[[#This Row],[inv no]])</f>
        <v>RAD-Y200H 7017064</v>
      </c>
      <c r="S214" s="135">
        <f>_xlfn.XLOOKUP(表格1[[#This Row],[Model]],表格3[Model-Input-Ref2],表格3[SRP PRICE])</f>
        <v>3280</v>
      </c>
      <c r="T214" s="43">
        <f>表格1[[#This Row],[Unit Price]]/表格1[[#This Row],[SRP]]</f>
        <v>0.45731707317073172</v>
      </c>
      <c r="U214" s="86" t="str">
        <f>_xlfn.XLOOKUP(表格1[[#This Row],[Model]],表格3[Model-Input-Ref2],表格3[TOSHIBA/HIGHEST])</f>
        <v>Toshiba SRP</v>
      </c>
      <c r="V214" s="86">
        <v>110</v>
      </c>
      <c r="W214" s="86" t="str">
        <f>_xlfn.CONCAT(表格1[[#This Row],[欄4]],表格1[[#This Row],[inv no]])</f>
        <v>1107017064</v>
      </c>
    </row>
    <row r="215" spans="1:23" hidden="1">
      <c r="A215" s="81">
        <v>213</v>
      </c>
      <c r="B215" s="81" t="s">
        <v>1203</v>
      </c>
      <c r="C215" s="81" t="s">
        <v>1255</v>
      </c>
      <c r="D215" s="82" t="str">
        <f ca="1">OFFSET(Roster!$A$3,MATCH(表格1[[#This Row],[Location]]&amp;" "&amp;表格1[[#This Row],[Shop]]&amp;"*",Roster!$A$4:$A$72,0),DAY(表格1[[#This Row],[date]]),1,1)</f>
        <v>Me</v>
      </c>
      <c r="E215" s="81">
        <f>MONTH(表格1[[#This Row],[date]])</f>
        <v>3</v>
      </c>
      <c r="F215" s="101">
        <v>46082</v>
      </c>
      <c r="G215" s="81" t="str">
        <f>VLOOKUP("*"&amp;表格1[[#This Row],[Input]]&amp;"*",'Ref-List'!$B:$D,2,)</f>
        <v>RAD-Y200H</v>
      </c>
      <c r="H215" s="81" t="str">
        <f>_xlfn.XLOOKUP(表格1[[#This Row],[Model]],表格3[Model-Input-Ref2],表格3[Product Line])</f>
        <v>21L壓縮式抽濕機</v>
      </c>
      <c r="I215" s="81" t="str">
        <f>_xlfn.XLOOKUP(表格1[[#This Row],[Model]],表格3[Model-Input-Ref2],表格3[大小電])</f>
        <v>大電</v>
      </c>
      <c r="J215" s="81" t="str">
        <f>_xlfn.XLOOKUP(表格1[[#This Row],[Model]],表格3[Model-Input-Ref2],表格3[Code])</f>
        <v>RAC</v>
      </c>
      <c r="K215" s="82" t="s">
        <v>1241</v>
      </c>
      <c r="L215" s="81">
        <v>1</v>
      </c>
      <c r="M215" s="85">
        <v>1500</v>
      </c>
      <c r="N215" s="85">
        <f>IFERROR(表格1[[#This Row],[QTY]]*表格1[[#This Row],[Unit Price]],"-")</f>
        <v>1500</v>
      </c>
      <c r="O215" s="134">
        <v>7017086</v>
      </c>
      <c r="P215" s="81"/>
      <c r="Q215" s="81"/>
      <c r="R215" s="81" t="str">
        <f>_xlfn.CONCAT(表格1[[#This Row],[Model]]," ",表格1[[#This Row],[inv no]])</f>
        <v>RAD-Y200H 7017086</v>
      </c>
      <c r="S215" s="135">
        <f>_xlfn.XLOOKUP(表格1[[#This Row],[Model]],表格3[Model-Input-Ref2],表格3[SRP PRICE])</f>
        <v>3280</v>
      </c>
      <c r="T215" s="43">
        <f>表格1[[#This Row],[Unit Price]]/表格1[[#This Row],[SRP]]</f>
        <v>0.45731707317073172</v>
      </c>
      <c r="U215" s="86" t="str">
        <f>_xlfn.XLOOKUP(表格1[[#This Row],[Model]],表格3[Model-Input-Ref2],表格3[TOSHIBA/HIGHEST])</f>
        <v>Toshiba SRP</v>
      </c>
      <c r="V215" s="86">
        <v>110</v>
      </c>
      <c r="W215" s="86" t="str">
        <f>_xlfn.CONCAT(表格1[[#This Row],[欄4]],表格1[[#This Row],[inv no]])</f>
        <v>1107017086</v>
      </c>
    </row>
    <row r="216" spans="1:23" hidden="1">
      <c r="A216" s="81">
        <v>214</v>
      </c>
      <c r="B216" s="81" t="s">
        <v>1203</v>
      </c>
      <c r="C216" s="81" t="s">
        <v>1255</v>
      </c>
      <c r="D216" s="82" t="str">
        <f ca="1">OFFSET(Roster!$A$3,MATCH(表格1[[#This Row],[Location]]&amp;" "&amp;表格1[[#This Row],[Shop]]&amp;"*",Roster!$A$4:$A$72,0),DAY(表格1[[#This Row],[date]]),1,1)</f>
        <v>Me</v>
      </c>
      <c r="E216" s="81">
        <f>MONTH(表格1[[#This Row],[date]])</f>
        <v>3</v>
      </c>
      <c r="F216" s="101">
        <v>46082</v>
      </c>
      <c r="G216" s="81" t="str">
        <f>VLOOKUP("*"&amp;表格1[[#This Row],[Input]]&amp;"*",'Ref-List'!$B:$D,2,)</f>
        <v>RAD-Y200H</v>
      </c>
      <c r="H216" s="81" t="str">
        <f>_xlfn.XLOOKUP(表格1[[#This Row],[Model]],表格3[Model-Input-Ref2],表格3[Product Line])</f>
        <v>21L壓縮式抽濕機</v>
      </c>
      <c r="I216" s="81" t="str">
        <f>_xlfn.XLOOKUP(表格1[[#This Row],[Model]],表格3[Model-Input-Ref2],表格3[大小電])</f>
        <v>大電</v>
      </c>
      <c r="J216" s="81" t="str">
        <f>_xlfn.XLOOKUP(表格1[[#This Row],[Model]],表格3[Model-Input-Ref2],表格3[Code])</f>
        <v>RAC</v>
      </c>
      <c r="K216" s="82" t="s">
        <v>1241</v>
      </c>
      <c r="L216" s="81">
        <v>1</v>
      </c>
      <c r="M216" s="85">
        <v>1500</v>
      </c>
      <c r="N216" s="85">
        <f>IFERROR(表格1[[#This Row],[QTY]]*表格1[[#This Row],[Unit Price]],"-")</f>
        <v>1500</v>
      </c>
      <c r="O216" s="134">
        <v>7027101</v>
      </c>
      <c r="P216" s="81"/>
      <c r="Q216" s="81"/>
      <c r="R216" s="81" t="str">
        <f>_xlfn.CONCAT(表格1[[#This Row],[Model]]," ",表格1[[#This Row],[inv no]])</f>
        <v>RAD-Y200H 7027101</v>
      </c>
      <c r="S216" s="135">
        <f>_xlfn.XLOOKUP(表格1[[#This Row],[Model]],表格3[Model-Input-Ref2],表格3[SRP PRICE])</f>
        <v>3280</v>
      </c>
      <c r="T216" s="43">
        <f>表格1[[#This Row],[Unit Price]]/表格1[[#This Row],[SRP]]</f>
        <v>0.45731707317073172</v>
      </c>
      <c r="U216" s="86" t="str">
        <f>_xlfn.XLOOKUP(表格1[[#This Row],[Model]],表格3[Model-Input-Ref2],表格3[TOSHIBA/HIGHEST])</f>
        <v>Toshiba SRP</v>
      </c>
      <c r="V216" s="86">
        <v>110</v>
      </c>
      <c r="W216" s="86" t="str">
        <f>_xlfn.CONCAT(表格1[[#This Row],[欄4]],表格1[[#This Row],[inv no]])</f>
        <v>1107027101</v>
      </c>
    </row>
    <row r="217" spans="1:23" hidden="1">
      <c r="A217" s="81">
        <v>215</v>
      </c>
      <c r="B217" s="81" t="s">
        <v>1203</v>
      </c>
      <c r="C217" s="81" t="s">
        <v>1255</v>
      </c>
      <c r="D217" s="82" t="str">
        <f ca="1">OFFSET(Roster!$A$3,MATCH(表格1[[#This Row],[Location]]&amp;" "&amp;表格1[[#This Row],[Shop]]&amp;"*",Roster!$A$4:$A$72,0),DAY(表格1[[#This Row],[date]]),1,1)</f>
        <v>Me</v>
      </c>
      <c r="E217" s="81">
        <f>MONTH(表格1[[#This Row],[date]])</f>
        <v>3</v>
      </c>
      <c r="F217" s="101">
        <v>46082</v>
      </c>
      <c r="G217" s="81" t="str">
        <f>VLOOKUP("*"&amp;表格1[[#This Row],[Input]]&amp;"*",'Ref-List'!$B:$D,2,)</f>
        <v>RAD-Y200H</v>
      </c>
      <c r="H217" s="81" t="str">
        <f>_xlfn.XLOOKUP(表格1[[#This Row],[Model]],表格3[Model-Input-Ref2],表格3[Product Line])</f>
        <v>21L壓縮式抽濕機</v>
      </c>
      <c r="I217" s="81" t="str">
        <f>_xlfn.XLOOKUP(表格1[[#This Row],[Model]],表格3[Model-Input-Ref2],表格3[大小電])</f>
        <v>大電</v>
      </c>
      <c r="J217" s="81" t="str">
        <f>_xlfn.XLOOKUP(表格1[[#This Row],[Model]],表格3[Model-Input-Ref2],表格3[Code])</f>
        <v>RAC</v>
      </c>
      <c r="K217" s="82" t="s">
        <v>1241</v>
      </c>
      <c r="L217" s="81">
        <v>1</v>
      </c>
      <c r="M217" s="85">
        <v>1500</v>
      </c>
      <c r="N217" s="85">
        <f>IFERROR(表格1[[#This Row],[QTY]]*表格1[[#This Row],[Unit Price]],"-")</f>
        <v>1500</v>
      </c>
      <c r="O217" s="134">
        <v>7027106</v>
      </c>
      <c r="P217" s="81"/>
      <c r="Q217" s="81"/>
      <c r="R217" s="81" t="str">
        <f>_xlfn.CONCAT(表格1[[#This Row],[Model]]," ",表格1[[#This Row],[inv no]])</f>
        <v>RAD-Y200H 7027106</v>
      </c>
      <c r="S217" s="135">
        <f>_xlfn.XLOOKUP(表格1[[#This Row],[Model]],表格3[Model-Input-Ref2],表格3[SRP PRICE])</f>
        <v>3280</v>
      </c>
      <c r="T217" s="43">
        <f>表格1[[#This Row],[Unit Price]]/表格1[[#This Row],[SRP]]</f>
        <v>0.45731707317073172</v>
      </c>
      <c r="U217" s="86" t="str">
        <f>_xlfn.XLOOKUP(表格1[[#This Row],[Model]],表格3[Model-Input-Ref2],表格3[TOSHIBA/HIGHEST])</f>
        <v>Toshiba SRP</v>
      </c>
      <c r="V217" s="86">
        <v>110</v>
      </c>
      <c r="W217" s="86" t="str">
        <f>_xlfn.CONCAT(表格1[[#This Row],[欄4]],表格1[[#This Row],[inv no]])</f>
        <v>1107027106</v>
      </c>
    </row>
    <row r="218" spans="1:23" hidden="1">
      <c r="A218" s="81">
        <v>216</v>
      </c>
      <c r="B218" s="81" t="s">
        <v>1203</v>
      </c>
      <c r="C218" s="81" t="s">
        <v>1255</v>
      </c>
      <c r="D218" s="82" t="str">
        <f ca="1">OFFSET(Roster!$A$3,MATCH(表格1[[#This Row],[Location]]&amp;" "&amp;表格1[[#This Row],[Shop]]&amp;"*",Roster!$A$4:$A$72,0),DAY(表格1[[#This Row],[date]]),1,1)</f>
        <v>Me</v>
      </c>
      <c r="E218" s="81">
        <f>MONTH(表格1[[#This Row],[date]])</f>
        <v>3</v>
      </c>
      <c r="F218" s="101">
        <v>46082</v>
      </c>
      <c r="G218" s="81" t="str">
        <f>VLOOKUP("*"&amp;表格1[[#This Row],[Input]]&amp;"*",'Ref-List'!$B:$D,2,)</f>
        <v>TWP-TSR76THK(W)</v>
      </c>
      <c r="H218" s="81" t="str">
        <f>_xlfn.XLOOKUP(表格1[[#This Row],[Model]],表格3[Model-Input-Ref2],表格3[Product Line])</f>
        <v>RO座檯式飲水機</v>
      </c>
      <c r="I218" s="81" t="str">
        <f>_xlfn.XLOOKUP(表格1[[#This Row],[Model]],表格3[Model-Input-Ref2],表格3[大小電])</f>
        <v>細電</v>
      </c>
      <c r="J218" s="81" t="str">
        <f>_xlfn.XLOOKUP(表格1[[#This Row],[Model]],表格3[Model-Input-Ref2],表格3[Code])</f>
        <v>KWH</v>
      </c>
      <c r="K218" s="82" t="s">
        <v>1197</v>
      </c>
      <c r="L218" s="81">
        <v>1</v>
      </c>
      <c r="M218" s="85">
        <v>1500</v>
      </c>
      <c r="N218" s="85">
        <f>IFERROR(表格1[[#This Row],[QTY]]*表格1[[#This Row],[Unit Price]],"-")</f>
        <v>1500</v>
      </c>
      <c r="O218" s="134">
        <v>7016891</v>
      </c>
      <c r="P218" s="81"/>
      <c r="Q218" s="81"/>
      <c r="R218" s="81" t="str">
        <f>_xlfn.CONCAT(表格1[[#This Row],[Model]]," ",表格1[[#This Row],[inv no]])</f>
        <v>TWP-TSR76THK(W) 7016891</v>
      </c>
      <c r="S218" s="135">
        <f>_xlfn.XLOOKUP(表格1[[#This Row],[Model]],表格3[Model-Input-Ref2],表格3[SRP PRICE])</f>
        <v>2680</v>
      </c>
      <c r="T218" s="43">
        <f>表格1[[#This Row],[Unit Price]]/表格1[[#This Row],[SRP]]</f>
        <v>0.55970149253731338</v>
      </c>
      <c r="U218" s="86" t="str">
        <f>_xlfn.XLOOKUP(表格1[[#This Row],[Model]],表格3[Model-Input-Ref2],表格3[TOSHIBA/HIGHEST])</f>
        <v>Toshiba SRP</v>
      </c>
      <c r="V218" s="86">
        <v>110</v>
      </c>
      <c r="W218" s="86" t="str">
        <f>_xlfn.CONCAT(表格1[[#This Row],[欄4]],表格1[[#This Row],[inv no]])</f>
        <v>1107016891</v>
      </c>
    </row>
    <row r="219" spans="1:23" hidden="1">
      <c r="A219" s="81">
        <v>217</v>
      </c>
      <c r="B219" s="81" t="s">
        <v>1203</v>
      </c>
      <c r="C219" s="81" t="s">
        <v>1255</v>
      </c>
      <c r="D219" s="82" t="str">
        <f ca="1">OFFSET(Roster!$A$3,MATCH(表格1[[#This Row],[Location]]&amp;" "&amp;表格1[[#This Row],[Shop]]&amp;"*",Roster!$A$4:$A$72,0),DAY(表格1[[#This Row],[date]]),1,1)</f>
        <v>Me</v>
      </c>
      <c r="E219" s="81">
        <f>MONTH(表格1[[#This Row],[date]])</f>
        <v>3</v>
      </c>
      <c r="F219" s="101">
        <v>46082</v>
      </c>
      <c r="G219" s="81" t="str">
        <f>VLOOKUP("*"&amp;表格1[[#This Row],[Input]]&amp;"*",'Ref-List'!$B:$D,2,)</f>
        <v>TWP-TSR76THK(W)</v>
      </c>
      <c r="H219" s="81" t="str">
        <f>_xlfn.XLOOKUP(表格1[[#This Row],[Model]],表格3[Model-Input-Ref2],表格3[Product Line])</f>
        <v>RO座檯式飲水機</v>
      </c>
      <c r="I219" s="81" t="str">
        <f>_xlfn.XLOOKUP(表格1[[#This Row],[Model]],表格3[Model-Input-Ref2],表格3[大小電])</f>
        <v>細電</v>
      </c>
      <c r="J219" s="81" t="str">
        <f>_xlfn.XLOOKUP(表格1[[#This Row],[Model]],表格3[Model-Input-Ref2],表格3[Code])</f>
        <v>KWH</v>
      </c>
      <c r="K219" s="82" t="s">
        <v>1197</v>
      </c>
      <c r="L219" s="81">
        <v>1</v>
      </c>
      <c r="M219" s="85">
        <v>1500</v>
      </c>
      <c r="N219" s="85">
        <f>IFERROR(表格1[[#This Row],[QTY]]*表格1[[#This Row],[Unit Price]],"-")</f>
        <v>1500</v>
      </c>
      <c r="O219" s="134">
        <v>7026964</v>
      </c>
      <c r="P219" s="81"/>
      <c r="Q219" s="81"/>
      <c r="R219" s="81" t="str">
        <f>_xlfn.CONCAT(表格1[[#This Row],[Model]]," ",表格1[[#This Row],[inv no]])</f>
        <v>TWP-TSR76THK(W) 7026964</v>
      </c>
      <c r="S219" s="135">
        <f>_xlfn.XLOOKUP(表格1[[#This Row],[Model]],表格3[Model-Input-Ref2],表格3[SRP PRICE])</f>
        <v>2680</v>
      </c>
      <c r="T219" s="43">
        <f>表格1[[#This Row],[Unit Price]]/表格1[[#This Row],[SRP]]</f>
        <v>0.55970149253731338</v>
      </c>
      <c r="U219" s="86" t="str">
        <f>_xlfn.XLOOKUP(表格1[[#This Row],[Model]],表格3[Model-Input-Ref2],表格3[TOSHIBA/HIGHEST])</f>
        <v>Toshiba SRP</v>
      </c>
      <c r="V219" s="86">
        <v>110</v>
      </c>
      <c r="W219" s="86" t="str">
        <f>_xlfn.CONCAT(表格1[[#This Row],[欄4]],表格1[[#This Row],[inv no]])</f>
        <v>1107026964</v>
      </c>
    </row>
    <row r="220" spans="1:23" hidden="1">
      <c r="A220" s="81">
        <v>218</v>
      </c>
      <c r="B220" s="81" t="s">
        <v>1203</v>
      </c>
      <c r="C220" s="81" t="s">
        <v>1255</v>
      </c>
      <c r="D220" s="82" t="str">
        <f ca="1">OFFSET(Roster!$A$3,MATCH(表格1[[#This Row],[Location]]&amp;" "&amp;表格1[[#This Row],[Shop]]&amp;"*",Roster!$A$4:$A$72,0),DAY(表格1[[#This Row],[date]]),1,1)</f>
        <v>Me</v>
      </c>
      <c r="E220" s="81">
        <f>MONTH(表格1[[#This Row],[date]])</f>
        <v>3</v>
      </c>
      <c r="F220" s="101">
        <v>46082</v>
      </c>
      <c r="G220" s="81" t="str">
        <f>VLOOKUP("*"&amp;表格1[[#This Row],[Input]]&amp;"*",'Ref-List'!$B:$D,2,)</f>
        <v>TWP-TSR76THK(W)</v>
      </c>
      <c r="H220" s="81" t="str">
        <f>_xlfn.XLOOKUP(表格1[[#This Row],[Model]],表格3[Model-Input-Ref2],表格3[Product Line])</f>
        <v>RO座檯式飲水機</v>
      </c>
      <c r="I220" s="81" t="str">
        <f>_xlfn.XLOOKUP(表格1[[#This Row],[Model]],表格3[Model-Input-Ref2],表格3[大小電])</f>
        <v>細電</v>
      </c>
      <c r="J220" s="81" t="str">
        <f>_xlfn.XLOOKUP(表格1[[#This Row],[Model]],表格3[Model-Input-Ref2],表格3[Code])</f>
        <v>KWH</v>
      </c>
      <c r="K220" s="82" t="s">
        <v>1197</v>
      </c>
      <c r="L220" s="81">
        <v>1</v>
      </c>
      <c r="M220" s="85">
        <v>1500</v>
      </c>
      <c r="N220" s="85">
        <f>IFERROR(表格1[[#This Row],[QTY]]*表格1[[#This Row],[Unit Price]],"-")</f>
        <v>1500</v>
      </c>
      <c r="O220" s="134">
        <v>7017019</v>
      </c>
      <c r="P220" s="81"/>
      <c r="Q220" s="81"/>
      <c r="R220" s="81" t="str">
        <f>_xlfn.CONCAT(表格1[[#This Row],[Model]]," ",表格1[[#This Row],[inv no]])</f>
        <v>TWP-TSR76THK(W) 7017019</v>
      </c>
      <c r="S220" s="135">
        <f>_xlfn.XLOOKUP(表格1[[#This Row],[Model]],表格3[Model-Input-Ref2],表格3[SRP PRICE])</f>
        <v>2680</v>
      </c>
      <c r="T220" s="43">
        <f>表格1[[#This Row],[Unit Price]]/表格1[[#This Row],[SRP]]</f>
        <v>0.55970149253731338</v>
      </c>
      <c r="U220" s="86" t="str">
        <f>_xlfn.XLOOKUP(表格1[[#This Row],[Model]],表格3[Model-Input-Ref2],表格3[TOSHIBA/HIGHEST])</f>
        <v>Toshiba SRP</v>
      </c>
      <c r="V220" s="86">
        <v>110</v>
      </c>
      <c r="W220" s="86" t="str">
        <f>_xlfn.CONCAT(表格1[[#This Row],[欄4]],表格1[[#This Row],[inv no]])</f>
        <v>1107017019</v>
      </c>
    </row>
    <row r="221" spans="1:23" hidden="1">
      <c r="A221" s="81">
        <v>219</v>
      </c>
      <c r="B221" s="81" t="s">
        <v>1203</v>
      </c>
      <c r="C221" s="81" t="s">
        <v>1255</v>
      </c>
      <c r="D221" s="82" t="str">
        <f ca="1">OFFSET(Roster!$A$3,MATCH(表格1[[#This Row],[Location]]&amp;" "&amp;表格1[[#This Row],[Shop]]&amp;"*",Roster!$A$4:$A$72,0),DAY(表格1[[#This Row],[date]]),1,1)</f>
        <v>Me</v>
      </c>
      <c r="E221" s="81">
        <f>MONTH(表格1[[#This Row],[date]])</f>
        <v>3</v>
      </c>
      <c r="F221" s="101">
        <v>46082</v>
      </c>
      <c r="G221" s="81" t="str">
        <f>VLOOKUP("*"&amp;表格1[[#This Row],[Input]]&amp;"*",'Ref-List'!$B:$D,2,)</f>
        <v>TW-BL85A2H(WW)</v>
      </c>
      <c r="H221" s="81" t="str">
        <f>_xlfn.XLOOKUP(表格1[[#This Row],[Model]],表格3[Model-Input-Ref2],表格3[Product Line])</f>
        <v>7.5KG超薄身前置式變頻洗衣機</v>
      </c>
      <c r="I221" s="81" t="str">
        <f>_xlfn.XLOOKUP(表格1[[#This Row],[Model]],表格3[Model-Input-Ref2],表格3[大小電])</f>
        <v>大電</v>
      </c>
      <c r="J221" s="81" t="str">
        <f>_xlfn.XLOOKUP(表格1[[#This Row],[Model]],表格3[Model-Input-Ref2],表格3[Code])</f>
        <v>WM</v>
      </c>
      <c r="K221" s="82" t="s">
        <v>1206</v>
      </c>
      <c r="L221" s="81">
        <v>1</v>
      </c>
      <c r="M221" s="85">
        <v>2588</v>
      </c>
      <c r="N221" s="85">
        <f>IFERROR(表格1[[#This Row],[QTY]]*表格1[[#This Row],[Unit Price]],"-")</f>
        <v>2588</v>
      </c>
      <c r="O221" s="134">
        <v>7016906</v>
      </c>
      <c r="P221" s="81"/>
      <c r="Q221" s="81"/>
      <c r="R221" s="81" t="str">
        <f>_xlfn.CONCAT(表格1[[#This Row],[Model]]," ",表格1[[#This Row],[inv no]])</f>
        <v>TW-BL85A2H(WW) 7016906</v>
      </c>
      <c r="S221" s="135">
        <f>_xlfn.XLOOKUP(表格1[[#This Row],[Model]],表格3[Model-Input-Ref2],表格3[SRP PRICE])</f>
        <v>5080</v>
      </c>
      <c r="T221" s="43">
        <f>表格1[[#This Row],[Unit Price]]/表格1[[#This Row],[SRP]]</f>
        <v>0.50944881889763782</v>
      </c>
      <c r="U221" s="86" t="str">
        <f>_xlfn.XLOOKUP(表格1[[#This Row],[Model]],表格3[Model-Input-Ref2],表格3[TOSHIBA/HIGHEST])</f>
        <v>Toshiba SRP</v>
      </c>
      <c r="V221" s="86">
        <v>110</v>
      </c>
      <c r="W221" s="86" t="str">
        <f>_xlfn.CONCAT(表格1[[#This Row],[欄4]],表格1[[#This Row],[inv no]])</f>
        <v>1107016906</v>
      </c>
    </row>
    <row r="222" spans="1:23" hidden="1">
      <c r="A222" s="81">
        <v>220</v>
      </c>
      <c r="B222" s="81" t="s">
        <v>1203</v>
      </c>
      <c r="C222" s="81" t="s">
        <v>1255</v>
      </c>
      <c r="D222" s="82" t="str">
        <f ca="1">OFFSET(Roster!$A$3,MATCH(表格1[[#This Row],[Location]]&amp;" "&amp;表格1[[#This Row],[Shop]]&amp;"*",Roster!$A$4:$A$72,0),DAY(表格1[[#This Row],[date]]),1,1)</f>
        <v>Me</v>
      </c>
      <c r="E222" s="81">
        <f>MONTH(表格1[[#This Row],[date]])</f>
        <v>3</v>
      </c>
      <c r="F222" s="101">
        <v>46082</v>
      </c>
      <c r="G222" s="81" t="str">
        <f>VLOOKUP("*"&amp;表格1[[#This Row],[Input]]&amp;"*",'Ref-List'!$B:$D,2,)</f>
        <v>TW-BL85A2H(WW)</v>
      </c>
      <c r="H222" s="81" t="str">
        <f>_xlfn.XLOOKUP(表格1[[#This Row],[Model]],表格3[Model-Input-Ref2],表格3[Product Line])</f>
        <v>7.5KG超薄身前置式變頻洗衣機</v>
      </c>
      <c r="I222" s="81" t="str">
        <f>_xlfn.XLOOKUP(表格1[[#This Row],[Model]],表格3[Model-Input-Ref2],表格3[大小電])</f>
        <v>大電</v>
      </c>
      <c r="J222" s="81" t="str">
        <f>_xlfn.XLOOKUP(表格1[[#This Row],[Model]],表格3[Model-Input-Ref2],表格3[Code])</f>
        <v>WM</v>
      </c>
      <c r="K222" s="82" t="s">
        <v>1206</v>
      </c>
      <c r="L222" s="81">
        <v>1</v>
      </c>
      <c r="M222" s="85">
        <v>2588</v>
      </c>
      <c r="N222" s="85">
        <f>IFERROR(表格1[[#This Row],[QTY]]*表格1[[#This Row],[Unit Price]],"-")</f>
        <v>2588</v>
      </c>
      <c r="O222" s="134">
        <v>7026867</v>
      </c>
      <c r="P222" s="81"/>
      <c r="Q222" s="81"/>
      <c r="R222" s="81" t="str">
        <f>_xlfn.CONCAT(表格1[[#This Row],[Model]]," ",表格1[[#This Row],[inv no]])</f>
        <v>TW-BL85A2H(WW) 7026867</v>
      </c>
      <c r="S222" s="135">
        <f>_xlfn.XLOOKUP(表格1[[#This Row],[Model]],表格3[Model-Input-Ref2],表格3[SRP PRICE])</f>
        <v>5080</v>
      </c>
      <c r="T222" s="43">
        <f>表格1[[#This Row],[Unit Price]]/表格1[[#This Row],[SRP]]</f>
        <v>0.50944881889763782</v>
      </c>
      <c r="U222" s="86" t="str">
        <f>_xlfn.XLOOKUP(表格1[[#This Row],[Model]],表格3[Model-Input-Ref2],表格3[TOSHIBA/HIGHEST])</f>
        <v>Toshiba SRP</v>
      </c>
      <c r="V222" s="86">
        <v>110</v>
      </c>
      <c r="W222" s="86" t="str">
        <f>_xlfn.CONCAT(表格1[[#This Row],[欄4]],表格1[[#This Row],[inv no]])</f>
        <v>1107026867</v>
      </c>
    </row>
    <row r="223" spans="1:23" hidden="1">
      <c r="A223" s="81">
        <v>221</v>
      </c>
      <c r="B223" s="81" t="s">
        <v>1203</v>
      </c>
      <c r="C223" s="81" t="s">
        <v>1255</v>
      </c>
      <c r="D223" s="82" t="str">
        <f ca="1">OFFSET(Roster!$A$3,MATCH(表格1[[#This Row],[Location]]&amp;" "&amp;表格1[[#This Row],[Shop]]&amp;"*",Roster!$A$4:$A$72,0),DAY(表格1[[#This Row],[date]]),1,1)</f>
        <v>Me</v>
      </c>
      <c r="E223" s="81">
        <f>MONTH(表格1[[#This Row],[date]])</f>
        <v>3</v>
      </c>
      <c r="F223" s="101">
        <v>46082</v>
      </c>
      <c r="G223" s="81" t="str">
        <f>VLOOKUP("*"&amp;表格1[[#This Row],[Input]]&amp;"*",'Ref-List'!$B:$D,2,)</f>
        <v>GR-RT416WE-PMA(06)</v>
      </c>
      <c r="H223" s="81" t="str">
        <f>_xlfn.XLOOKUP(表格1[[#This Row],[Model]],表格3[Model-Input-Ref2],表格3[Product Line])</f>
        <v xml:space="preserve">變頻上置式雙門雪櫃313L </v>
      </c>
      <c r="I223" s="81" t="str">
        <f>_xlfn.XLOOKUP(表格1[[#This Row],[Model]],表格3[Model-Input-Ref2],表格3[大小電])</f>
        <v>大電</v>
      </c>
      <c r="J223" s="81" t="str">
        <f>_xlfn.XLOOKUP(表格1[[#This Row],[Model]],表格3[Model-Input-Ref2],表格3[Code])</f>
        <v>REF</v>
      </c>
      <c r="K223" s="82" t="s">
        <v>1208</v>
      </c>
      <c r="L223" s="81">
        <v>1</v>
      </c>
      <c r="M223" s="85">
        <v>2888</v>
      </c>
      <c r="N223" s="85">
        <f>IFERROR(表格1[[#This Row],[QTY]]*表格1[[#This Row],[Unit Price]],"-")</f>
        <v>2888</v>
      </c>
      <c r="O223" s="134">
        <v>7017102</v>
      </c>
      <c r="P223" s="81"/>
      <c r="Q223" s="81"/>
      <c r="R223" s="81" t="str">
        <f>_xlfn.CONCAT(表格1[[#This Row],[Model]]," ",表格1[[#This Row],[inv no]])</f>
        <v>GR-RT416WE-PMA(06) 7017102</v>
      </c>
      <c r="S223" s="135">
        <f>_xlfn.XLOOKUP(表格1[[#This Row],[Model]],表格3[Model-Input-Ref2],表格3[SRP PRICE])</f>
        <v>5380</v>
      </c>
      <c r="T223" s="43">
        <f>表格1[[#This Row],[Unit Price]]/表格1[[#This Row],[SRP]]</f>
        <v>0.53680297397769516</v>
      </c>
      <c r="U223" s="86" t="str">
        <f>_xlfn.XLOOKUP(表格1[[#This Row],[Model]],表格3[Model-Input-Ref2],表格3[TOSHIBA/HIGHEST])</f>
        <v>Toshiba SRP</v>
      </c>
      <c r="V223" s="86">
        <v>110</v>
      </c>
      <c r="W223" s="86" t="str">
        <f>_xlfn.CONCAT(表格1[[#This Row],[欄4]],表格1[[#This Row],[inv no]])</f>
        <v>1107017102</v>
      </c>
    </row>
    <row r="224" spans="1:23" hidden="1">
      <c r="A224" s="81">
        <v>222</v>
      </c>
      <c r="B224" s="81" t="s">
        <v>1203</v>
      </c>
      <c r="C224" s="81" t="s">
        <v>1255</v>
      </c>
      <c r="D224" s="82" t="str">
        <f ca="1">OFFSET(Roster!$A$3,MATCH(表格1[[#This Row],[Location]]&amp;" "&amp;表格1[[#This Row],[Shop]]&amp;"*",Roster!$A$4:$A$72,0),DAY(表格1[[#This Row],[date]]),1,1)</f>
        <v>Me</v>
      </c>
      <c r="E224" s="81">
        <f>MONTH(表格1[[#This Row],[date]])</f>
        <v>3</v>
      </c>
      <c r="F224" s="101">
        <v>46082</v>
      </c>
      <c r="G224" s="81" t="str">
        <f>VLOOKUP("*"&amp;表格1[[#This Row],[Input]]&amp;"*",'Ref-List'!$B:$D,2,)</f>
        <v>CWF-09CRFN8-AD5</v>
      </c>
      <c r="H224" s="81" t="str">
        <f>_xlfn.XLOOKUP(表格1[[#This Row],[Model]],表格3[Model-Input-Ref2],表格3[Product Line])</f>
        <v>Comfee 1匹變頻窗口式冷氣機</v>
      </c>
      <c r="I224" s="81" t="str">
        <f>_xlfn.XLOOKUP(表格1[[#This Row],[Model]],表格3[Model-Input-Ref2],表格3[大小電])</f>
        <v>大電</v>
      </c>
      <c r="J224" s="81" t="str">
        <f>_xlfn.XLOOKUP(表格1[[#This Row],[Model]],表格3[Model-Input-Ref2],表格3[Code])</f>
        <v>RAC</v>
      </c>
      <c r="K224" s="82" t="s">
        <v>1248</v>
      </c>
      <c r="L224" s="81">
        <v>1</v>
      </c>
      <c r="M224" s="85">
        <v>3588</v>
      </c>
      <c r="N224" s="85">
        <f>IFERROR(表格1[[#This Row],[QTY]]*表格1[[#This Row],[Unit Price]],"-")</f>
        <v>3588</v>
      </c>
      <c r="O224" s="134">
        <v>7026972</v>
      </c>
      <c r="P224" s="81" t="s">
        <v>1258</v>
      </c>
      <c r="Q224" s="81"/>
      <c r="R224" s="81" t="str">
        <f>_xlfn.CONCAT(表格1[[#This Row],[Model]]," ",表格1[[#This Row],[inv no]])</f>
        <v>CWF-09CRFN8-AD5 7026972</v>
      </c>
      <c r="S224" s="135">
        <f>_xlfn.XLOOKUP(表格1[[#This Row],[Model]],表格3[Model-Input-Ref2],表格3[SRP PRICE])</f>
        <v>4600</v>
      </c>
      <c r="T224" s="43">
        <f>表格1[[#This Row],[Unit Price]]/表格1[[#This Row],[SRP]]</f>
        <v>0.78</v>
      </c>
      <c r="U224" s="86" t="str">
        <f>_xlfn.XLOOKUP(表格1[[#This Row],[Model]],表格3[Model-Input-Ref2],表格3[TOSHIBA/HIGHEST])</f>
        <v>Shops Highest Price</v>
      </c>
      <c r="V224" s="86">
        <v>110</v>
      </c>
      <c r="W224" s="86" t="str">
        <f>_xlfn.CONCAT(表格1[[#This Row],[欄4]],表格1[[#This Row],[inv no]])</f>
        <v>1107026972</v>
      </c>
    </row>
    <row r="225" spans="1:23" hidden="1">
      <c r="A225" s="81">
        <v>223</v>
      </c>
      <c r="B225" s="81" t="s">
        <v>1203</v>
      </c>
      <c r="C225" s="81" t="s">
        <v>1255</v>
      </c>
      <c r="D225" s="82" t="str">
        <f ca="1">OFFSET(Roster!$A$3,MATCH(表格1[[#This Row],[Location]]&amp;" "&amp;表格1[[#This Row],[Shop]]&amp;"*",Roster!$A$4:$A$72,0),DAY(表格1[[#This Row],[date]]),1,1)</f>
        <v>Me</v>
      </c>
      <c r="E225" s="81">
        <f>MONTH(表格1[[#This Row],[date]])</f>
        <v>3</v>
      </c>
      <c r="F225" s="101">
        <v>46082</v>
      </c>
      <c r="G225" s="81" t="str">
        <f>VLOOKUP("*"&amp;表格1[[#This Row],[Input]]&amp;"*",'Ref-List'!$B:$D,2,)</f>
        <v>CWF-09CRFN8-AD5</v>
      </c>
      <c r="H225" s="81" t="str">
        <f>_xlfn.XLOOKUP(表格1[[#This Row],[Model]],表格3[Model-Input-Ref2],表格3[Product Line])</f>
        <v>Comfee 1匹變頻窗口式冷氣機</v>
      </c>
      <c r="I225" s="81" t="str">
        <f>_xlfn.XLOOKUP(表格1[[#This Row],[Model]],表格3[Model-Input-Ref2],表格3[大小電])</f>
        <v>大電</v>
      </c>
      <c r="J225" s="81" t="str">
        <f>_xlfn.XLOOKUP(表格1[[#This Row],[Model]],表格3[Model-Input-Ref2],表格3[Code])</f>
        <v>RAC</v>
      </c>
      <c r="K225" s="82" t="s">
        <v>1248</v>
      </c>
      <c r="L225" s="81">
        <v>1</v>
      </c>
      <c r="M225" s="85">
        <v>3588</v>
      </c>
      <c r="N225" s="85">
        <f>IFERROR(表格1[[#This Row],[QTY]]*表格1[[#This Row],[Unit Price]],"-")</f>
        <v>3588</v>
      </c>
      <c r="O225" s="134">
        <v>7026975</v>
      </c>
      <c r="P225" s="81" t="s">
        <v>1258</v>
      </c>
      <c r="Q225" s="81"/>
      <c r="R225" s="81" t="str">
        <f>_xlfn.CONCAT(表格1[[#This Row],[Model]]," ",表格1[[#This Row],[inv no]])</f>
        <v>CWF-09CRFN8-AD5 7026975</v>
      </c>
      <c r="S225" s="135">
        <f>_xlfn.XLOOKUP(表格1[[#This Row],[Model]],表格3[Model-Input-Ref2],表格3[SRP PRICE])</f>
        <v>4600</v>
      </c>
      <c r="T225" s="43">
        <f>表格1[[#This Row],[Unit Price]]/表格1[[#This Row],[SRP]]</f>
        <v>0.78</v>
      </c>
      <c r="U225" s="86" t="str">
        <f>_xlfn.XLOOKUP(表格1[[#This Row],[Model]],表格3[Model-Input-Ref2],表格3[TOSHIBA/HIGHEST])</f>
        <v>Shops Highest Price</v>
      </c>
      <c r="V225" s="86">
        <v>110</v>
      </c>
      <c r="W225" s="86" t="str">
        <f>_xlfn.CONCAT(表格1[[#This Row],[欄4]],表格1[[#This Row],[inv no]])</f>
        <v>1107026975</v>
      </c>
    </row>
    <row r="226" spans="1:23" hidden="1">
      <c r="A226" s="81">
        <v>224</v>
      </c>
      <c r="B226" s="81" t="s">
        <v>1203</v>
      </c>
      <c r="C226" s="81" t="s">
        <v>1255</v>
      </c>
      <c r="D226" s="82" t="str">
        <f ca="1">OFFSET(Roster!$A$3,MATCH(表格1[[#This Row],[Location]]&amp;" "&amp;表格1[[#This Row],[Shop]]&amp;"*",Roster!$A$4:$A$72,0),DAY(表格1[[#This Row],[date]]),1,1)</f>
        <v>Me</v>
      </c>
      <c r="E226" s="81">
        <f>MONTH(表格1[[#This Row],[date]])</f>
        <v>3</v>
      </c>
      <c r="F226" s="101">
        <v>46082</v>
      </c>
      <c r="G226" s="81" t="str">
        <f>VLOOKUP("*"&amp;表格1[[#This Row],[Input]]&amp;"*",'Ref-List'!$B:$D,2,)</f>
        <v>ER-TD5000HK(XK)</v>
      </c>
      <c r="H226" s="81" t="str">
        <f>_xlfn.XLOOKUP(表格1[[#This Row],[Model]],表格3[Model-Input-Ref2],表格3[Product Line])</f>
        <v>座檯式純蒸氣烤焗水波爐30L</v>
      </c>
      <c r="I226" s="81" t="str">
        <f>_xlfn.XLOOKUP(表格1[[#This Row],[Model]],表格3[Model-Input-Ref2],表格3[大小電])</f>
        <v>細電</v>
      </c>
      <c r="J226" s="81" t="str">
        <f>_xlfn.XLOOKUP(表格1[[#This Row],[Model]],表格3[Model-Input-Ref2],表格3[Code])</f>
        <v>SDA</v>
      </c>
      <c r="K226" s="82" t="s">
        <v>1205</v>
      </c>
      <c r="L226" s="81">
        <v>1</v>
      </c>
      <c r="M226" s="85">
        <v>3588</v>
      </c>
      <c r="N226" s="85">
        <f>IFERROR(表格1[[#This Row],[QTY]]*表格1[[#This Row],[Unit Price]],"-")</f>
        <v>3588</v>
      </c>
      <c r="O226" s="134">
        <v>7026866</v>
      </c>
      <c r="P226" s="81"/>
      <c r="Q226" s="81"/>
      <c r="R226" s="81" t="str">
        <f>_xlfn.CONCAT(表格1[[#This Row],[Model]]," ",表格1[[#This Row],[inv no]])</f>
        <v>ER-TD5000HK(XK) 7026866</v>
      </c>
      <c r="S226" s="135">
        <f>_xlfn.XLOOKUP(表格1[[#This Row],[Model]],表格3[Model-Input-Ref2],表格3[SRP PRICE])</f>
        <v>7998</v>
      </c>
      <c r="T226" s="43">
        <f>表格1[[#This Row],[Unit Price]]/表格1[[#This Row],[SRP]]</f>
        <v>0.44861215303825958</v>
      </c>
      <c r="U226" s="86" t="str">
        <f>_xlfn.XLOOKUP(表格1[[#This Row],[Model]],表格3[Model-Input-Ref2],表格3[TOSHIBA/HIGHEST])</f>
        <v>Toshiba SRP</v>
      </c>
      <c r="V226" s="86">
        <v>110</v>
      </c>
      <c r="W226" s="86" t="str">
        <f>_xlfn.CONCAT(表格1[[#This Row],[欄4]],表格1[[#This Row],[inv no]])</f>
        <v>1107026866</v>
      </c>
    </row>
    <row r="227" spans="1:23" hidden="1">
      <c r="A227" s="81">
        <v>225</v>
      </c>
      <c r="B227" s="81" t="s">
        <v>1203</v>
      </c>
      <c r="C227" s="81" t="s">
        <v>1255</v>
      </c>
      <c r="D227" s="82" t="str">
        <f ca="1">OFFSET(Roster!$A$3,MATCH(表格1[[#This Row],[Location]]&amp;" "&amp;表格1[[#This Row],[Shop]]&amp;"*",Roster!$A$4:$A$72,0),DAY(表格1[[#This Row],[date]]),1,1)</f>
        <v>Me</v>
      </c>
      <c r="E227" s="81">
        <f>MONTH(表格1[[#This Row],[date]])</f>
        <v>3</v>
      </c>
      <c r="F227" s="101">
        <v>46082</v>
      </c>
      <c r="G227" s="81" t="str">
        <f>VLOOKUP("*"&amp;表格1[[#This Row],[Input]]&amp;"*",'Ref-List'!$B:$D,2,)</f>
        <v>TWD-BN90GF4H(WK)</v>
      </c>
      <c r="H227" s="81" t="str">
        <f>_xlfn.XLOOKUP(表格1[[#This Row],[Model]],表格3[Model-Input-Ref2],表格3[Product Line])</f>
        <v>超薄身前置式洗衣乾衣機 (洗8公斤 乾5公斤)</v>
      </c>
      <c r="I227" s="81" t="str">
        <f>_xlfn.XLOOKUP(表格1[[#This Row],[Model]],表格3[Model-Input-Ref2],表格3[大小電])</f>
        <v>大電</v>
      </c>
      <c r="J227" s="81" t="str">
        <f>_xlfn.XLOOKUP(表格1[[#This Row],[Model]],表格3[Model-Input-Ref2],表格3[Code])</f>
        <v>WM</v>
      </c>
      <c r="K227" s="82" t="s">
        <v>1199</v>
      </c>
      <c r="L227" s="81">
        <v>1</v>
      </c>
      <c r="M227" s="85">
        <v>3588</v>
      </c>
      <c r="N227" s="85">
        <f>IFERROR(表格1[[#This Row],[QTY]]*表格1[[#This Row],[Unit Price]],"-")</f>
        <v>3588</v>
      </c>
      <c r="O227" s="134">
        <v>7065365</v>
      </c>
      <c r="P227" s="81"/>
      <c r="Q227" s="81"/>
      <c r="R227" s="81" t="str">
        <f>_xlfn.CONCAT(表格1[[#This Row],[Model]]," ",表格1[[#This Row],[inv no]])</f>
        <v>TWD-BN90GF4H(WK) 7065365</v>
      </c>
      <c r="S227" s="135">
        <f>_xlfn.XLOOKUP(表格1[[#This Row],[Model]],表格3[Model-Input-Ref2],表格3[SRP PRICE])</f>
        <v>5980</v>
      </c>
      <c r="T227" s="43">
        <f>表格1[[#This Row],[Unit Price]]/表格1[[#This Row],[SRP]]</f>
        <v>0.6</v>
      </c>
      <c r="U227" s="86" t="str">
        <f>_xlfn.XLOOKUP(表格1[[#This Row],[Model]],表格3[Model-Input-Ref2],表格3[TOSHIBA/HIGHEST])</f>
        <v>Toshiba SRP</v>
      </c>
      <c r="V227" s="86">
        <v>110</v>
      </c>
      <c r="W227" s="86" t="str">
        <f>_xlfn.CONCAT(表格1[[#This Row],[欄4]],表格1[[#This Row],[inv no]])</f>
        <v>1107065365</v>
      </c>
    </row>
    <row r="228" spans="1:23" hidden="1">
      <c r="A228" s="81">
        <v>226</v>
      </c>
      <c r="B228" s="81" t="s">
        <v>1203</v>
      </c>
      <c r="C228" s="81" t="s">
        <v>1255</v>
      </c>
      <c r="D228" s="82" t="str">
        <f ca="1">OFFSET(Roster!$A$3,MATCH(表格1[[#This Row],[Location]]&amp;" "&amp;表格1[[#This Row],[Shop]]&amp;"*",Roster!$A$4:$A$72,0),DAY(表格1[[#This Row],[date]]),1,1)</f>
        <v>Me</v>
      </c>
      <c r="E228" s="81">
        <f>MONTH(表格1[[#This Row],[date]])</f>
        <v>3</v>
      </c>
      <c r="F228" s="101">
        <v>46082</v>
      </c>
      <c r="G228" s="81" t="str">
        <f>VLOOKUP("*"&amp;表格1[[#This Row],[Input]]&amp;"*",'Ref-List'!$B:$D,2,)</f>
        <v>CWF-12CRFN8-AD5</v>
      </c>
      <c r="H228" s="81" t="str">
        <f>_xlfn.XLOOKUP(表格1[[#This Row],[Model]],表格3[Model-Input-Ref2],表格3[Product Line])</f>
        <v>Comfee 1.5匹變頻窗口式冷氣機</v>
      </c>
      <c r="I228" s="81" t="str">
        <f>_xlfn.XLOOKUP(表格1[[#This Row],[Model]],表格3[Model-Input-Ref2],表格3[大小電])</f>
        <v>大電</v>
      </c>
      <c r="J228" s="81" t="str">
        <f>_xlfn.XLOOKUP(表格1[[#This Row],[Model]],表格3[Model-Input-Ref2],表格3[Code])</f>
        <v>RAC</v>
      </c>
      <c r="K228" s="82" t="s">
        <v>1256</v>
      </c>
      <c r="L228" s="81">
        <v>1</v>
      </c>
      <c r="M228" s="85">
        <v>4088</v>
      </c>
      <c r="N228" s="85">
        <f>IFERROR(表格1[[#This Row],[QTY]]*表格1[[#This Row],[Unit Price]],"-")</f>
        <v>4088</v>
      </c>
      <c r="O228" s="134">
        <v>7016932</v>
      </c>
      <c r="P228" s="81"/>
      <c r="Q228" s="81"/>
      <c r="R228" s="81" t="str">
        <f>_xlfn.CONCAT(表格1[[#This Row],[Model]]," ",表格1[[#This Row],[inv no]])</f>
        <v>CWF-12CRFN8-AD5 7016932</v>
      </c>
      <c r="S228" s="135">
        <f>_xlfn.XLOOKUP(表格1[[#This Row],[Model]],表格3[Model-Input-Ref2],表格3[SRP PRICE])</f>
        <v>5200</v>
      </c>
      <c r="T228" s="43">
        <f>表格1[[#This Row],[Unit Price]]/表格1[[#This Row],[SRP]]</f>
        <v>0.7861538461538462</v>
      </c>
      <c r="U228" s="86" t="str">
        <f>_xlfn.XLOOKUP(表格1[[#This Row],[Model]],表格3[Model-Input-Ref2],表格3[TOSHIBA/HIGHEST])</f>
        <v>Shops Highest Price</v>
      </c>
      <c r="V228" s="86">
        <v>110</v>
      </c>
      <c r="W228" s="86" t="str">
        <f>_xlfn.CONCAT(表格1[[#This Row],[欄4]],表格1[[#This Row],[inv no]])</f>
        <v>1107016932</v>
      </c>
    </row>
    <row r="229" spans="1:23" hidden="1">
      <c r="A229" s="81">
        <v>227</v>
      </c>
      <c r="B229" s="81" t="s">
        <v>1203</v>
      </c>
      <c r="C229" s="81" t="s">
        <v>1255</v>
      </c>
      <c r="D229" s="82" t="str">
        <f ca="1">OFFSET(Roster!$A$3,MATCH(表格1[[#This Row],[Location]]&amp;" "&amp;表格1[[#This Row],[Shop]]&amp;"*",Roster!$A$4:$A$72,0),DAY(表格1[[#This Row],[date]]),1,1)</f>
        <v>Me</v>
      </c>
      <c r="E229" s="81">
        <f>MONTH(表格1[[#This Row],[date]])</f>
        <v>3</v>
      </c>
      <c r="F229" s="101">
        <v>46083</v>
      </c>
      <c r="G229" s="81" t="str">
        <f>VLOOKUP("*"&amp;表格1[[#This Row],[Input]]&amp;"*",'Ref-List'!$B:$D,2,)</f>
        <v>TW-BL85A2H(WW)</v>
      </c>
      <c r="H229" s="81" t="str">
        <f>_xlfn.XLOOKUP(表格1[[#This Row],[Model]],表格3[Model-Input-Ref2],表格3[Product Line])</f>
        <v>7.5KG超薄身前置式變頻洗衣機</v>
      </c>
      <c r="I229" s="81" t="str">
        <f>_xlfn.XLOOKUP(表格1[[#This Row],[Model]],表格3[Model-Input-Ref2],表格3[大小電])</f>
        <v>大電</v>
      </c>
      <c r="J229" s="81" t="str">
        <f>_xlfn.XLOOKUP(表格1[[#This Row],[Model]],表格3[Model-Input-Ref2],表格3[Code])</f>
        <v>WM</v>
      </c>
      <c r="K229" s="82" t="s">
        <v>1206</v>
      </c>
      <c r="L229" s="81">
        <v>1</v>
      </c>
      <c r="M229" s="85">
        <v>2588</v>
      </c>
      <c r="N229" s="85">
        <f>IFERROR(表格1[[#This Row],[QTY]]*表格1[[#This Row],[Unit Price]],"-")</f>
        <v>2588</v>
      </c>
      <c r="O229" s="134">
        <v>7017113</v>
      </c>
      <c r="P229" s="81"/>
      <c r="Q229" s="81"/>
      <c r="R229" s="81" t="str">
        <f>_xlfn.CONCAT(表格1[[#This Row],[Model]]," ",表格1[[#This Row],[inv no]])</f>
        <v>TW-BL85A2H(WW) 7017113</v>
      </c>
      <c r="S229" s="135">
        <f>_xlfn.XLOOKUP(表格1[[#This Row],[Model]],表格3[Model-Input-Ref2],表格3[SRP PRICE])</f>
        <v>5080</v>
      </c>
      <c r="T229" s="43">
        <f>表格1[[#This Row],[Unit Price]]/表格1[[#This Row],[SRP]]</f>
        <v>0.50944881889763782</v>
      </c>
      <c r="U229" s="86" t="str">
        <f>_xlfn.XLOOKUP(表格1[[#This Row],[Model]],表格3[Model-Input-Ref2],表格3[TOSHIBA/HIGHEST])</f>
        <v>Toshiba SRP</v>
      </c>
      <c r="V229" s="86">
        <v>110</v>
      </c>
      <c r="W229" s="86" t="str">
        <f>_xlfn.CONCAT(表格1[[#This Row],[欄4]],表格1[[#This Row],[inv no]])</f>
        <v>1107017113</v>
      </c>
    </row>
    <row r="230" spans="1:23" hidden="1">
      <c r="A230" s="81">
        <v>228</v>
      </c>
      <c r="B230" s="81" t="s">
        <v>1203</v>
      </c>
      <c r="C230" s="81" t="s">
        <v>1255</v>
      </c>
      <c r="D230" s="82" t="str">
        <f ca="1">OFFSET(Roster!$A$3,MATCH(表格1[[#This Row],[Location]]&amp;" "&amp;表格1[[#This Row],[Shop]]&amp;"*",Roster!$A$4:$A$72,0),DAY(表格1[[#This Row],[date]]),1,1)</f>
        <v>Me</v>
      </c>
      <c r="E230" s="81">
        <f>MONTH(表格1[[#This Row],[date]])</f>
        <v>3</v>
      </c>
      <c r="F230" s="101">
        <v>46083</v>
      </c>
      <c r="G230" s="81" t="str">
        <f>VLOOKUP("*"&amp;表格1[[#This Row],[Input]]&amp;"*",'Ref-List'!$B:$D,2,)</f>
        <v>RC-15ISTHK(W)</v>
      </c>
      <c r="H230" s="81" t="str">
        <f>_xlfn.XLOOKUP(表格1[[#This Row],[Model]],表格3[Model-Input-Ref2],表格3[Product Line])</f>
        <v>磁應電飯煲(1.5公升)</v>
      </c>
      <c r="I230" s="81" t="str">
        <f>_xlfn.XLOOKUP(表格1[[#This Row],[Model]],表格3[Model-Input-Ref2],表格3[大小電])</f>
        <v>細電</v>
      </c>
      <c r="J230" s="81" t="str">
        <f>_xlfn.XLOOKUP(表格1[[#This Row],[Model]],表格3[Model-Input-Ref2],表格3[Code])</f>
        <v>SDA</v>
      </c>
      <c r="K230" s="82" t="s">
        <v>1204</v>
      </c>
      <c r="L230" s="81">
        <v>1</v>
      </c>
      <c r="M230" s="85">
        <v>500</v>
      </c>
      <c r="N230" s="85">
        <f>IFERROR(表格1[[#This Row],[QTY]]*表格1[[#This Row],[Unit Price]],"-")</f>
        <v>500</v>
      </c>
      <c r="O230" s="134">
        <v>7017057</v>
      </c>
      <c r="P230" s="81"/>
      <c r="Q230" s="81"/>
      <c r="R230" s="81" t="str">
        <f>_xlfn.CONCAT(表格1[[#This Row],[Model]]," ",表格1[[#This Row],[inv no]])</f>
        <v>RC-15ISTHK(W) 7017057</v>
      </c>
      <c r="S230" s="135">
        <f>_xlfn.XLOOKUP(表格1[[#This Row],[Model]],表格3[Model-Input-Ref2],表格3[SRP PRICE])</f>
        <v>1688</v>
      </c>
      <c r="T230" s="43">
        <f>表格1[[#This Row],[Unit Price]]/表格1[[#This Row],[SRP]]</f>
        <v>0.29620853080568721</v>
      </c>
      <c r="U230" s="86" t="str">
        <f>_xlfn.XLOOKUP(表格1[[#This Row],[Model]],表格3[Model-Input-Ref2],表格3[TOSHIBA/HIGHEST])</f>
        <v>Toshiba SRP</v>
      </c>
      <c r="V230" s="86">
        <v>110</v>
      </c>
      <c r="W230" s="86" t="str">
        <f>_xlfn.CONCAT(表格1[[#This Row],[欄4]],表格1[[#This Row],[inv no]])</f>
        <v>1107017057</v>
      </c>
    </row>
    <row r="231" spans="1:23" hidden="1">
      <c r="A231" s="81">
        <v>229</v>
      </c>
      <c r="B231" s="81" t="s">
        <v>1203</v>
      </c>
      <c r="C231" s="81" t="s">
        <v>1255</v>
      </c>
      <c r="D231" s="82" t="str">
        <f ca="1">OFFSET(Roster!$A$3,MATCH(表格1[[#This Row],[Location]]&amp;" "&amp;表格1[[#This Row],[Shop]]&amp;"*",Roster!$A$4:$A$72,0),DAY(表格1[[#This Row],[date]]),1,1)</f>
        <v>Me</v>
      </c>
      <c r="E231" s="81">
        <f>MONTH(表格1[[#This Row],[date]])</f>
        <v>3</v>
      </c>
      <c r="F231" s="101">
        <v>46083</v>
      </c>
      <c r="G231" s="81" t="str">
        <f>VLOOKUP("*"&amp;表格1[[#This Row],[Input]]&amp;"*",'Ref-List'!$B:$D,2,)</f>
        <v>RC-15ISTHK(W)</v>
      </c>
      <c r="H231" s="81" t="str">
        <f>_xlfn.XLOOKUP(表格1[[#This Row],[Model]],表格3[Model-Input-Ref2],表格3[Product Line])</f>
        <v>磁應電飯煲(1.5公升)</v>
      </c>
      <c r="I231" s="81" t="str">
        <f>_xlfn.XLOOKUP(表格1[[#This Row],[Model]],表格3[Model-Input-Ref2],表格3[大小電])</f>
        <v>細電</v>
      </c>
      <c r="J231" s="81" t="str">
        <f>_xlfn.XLOOKUP(表格1[[#This Row],[Model]],表格3[Model-Input-Ref2],表格3[Code])</f>
        <v>SDA</v>
      </c>
      <c r="K231" s="82" t="s">
        <v>1204</v>
      </c>
      <c r="L231" s="81">
        <v>1</v>
      </c>
      <c r="M231" s="85">
        <v>500</v>
      </c>
      <c r="N231" s="85">
        <f>IFERROR(表格1[[#This Row],[QTY]]*表格1[[#This Row],[Unit Price]],"-")</f>
        <v>500</v>
      </c>
      <c r="O231" s="134">
        <v>7017066</v>
      </c>
      <c r="P231" s="81"/>
      <c r="Q231" s="81"/>
      <c r="R231" s="81" t="str">
        <f>_xlfn.CONCAT(表格1[[#This Row],[Model]]," ",表格1[[#This Row],[inv no]])</f>
        <v>RC-15ISTHK(W) 7017066</v>
      </c>
      <c r="S231" s="135">
        <f>_xlfn.XLOOKUP(表格1[[#This Row],[Model]],表格3[Model-Input-Ref2],表格3[SRP PRICE])</f>
        <v>1688</v>
      </c>
      <c r="T231" s="43">
        <f>表格1[[#This Row],[Unit Price]]/表格1[[#This Row],[SRP]]</f>
        <v>0.29620853080568721</v>
      </c>
      <c r="U231" s="86" t="str">
        <f>_xlfn.XLOOKUP(表格1[[#This Row],[Model]],表格3[Model-Input-Ref2],表格3[TOSHIBA/HIGHEST])</f>
        <v>Toshiba SRP</v>
      </c>
      <c r="V231" s="86">
        <v>110</v>
      </c>
      <c r="W231" s="86" t="str">
        <f>_xlfn.CONCAT(表格1[[#This Row],[欄4]],表格1[[#This Row],[inv no]])</f>
        <v>1107017066</v>
      </c>
    </row>
    <row r="232" spans="1:23" hidden="1">
      <c r="A232" s="81">
        <v>230</v>
      </c>
      <c r="B232" s="81" t="s">
        <v>1203</v>
      </c>
      <c r="C232" s="81" t="s">
        <v>1255</v>
      </c>
      <c r="D232" s="82" t="str">
        <f ca="1">OFFSET(Roster!$A$3,MATCH(表格1[[#This Row],[Location]]&amp;" "&amp;表格1[[#This Row],[Shop]]&amp;"*",Roster!$A$4:$A$72,0),DAY(表格1[[#This Row],[date]]),1,1)</f>
        <v>Me</v>
      </c>
      <c r="E232" s="81">
        <f>MONTH(表格1[[#This Row],[date]])</f>
        <v>3</v>
      </c>
      <c r="F232" s="101">
        <v>46083</v>
      </c>
      <c r="G232" s="81" t="str">
        <f>VLOOKUP("*"&amp;表格1[[#This Row],[Input]]&amp;"*",'Ref-List'!$B:$D,2,)</f>
        <v>RC-15ISTHK(W)</v>
      </c>
      <c r="H232" s="81" t="str">
        <f>_xlfn.XLOOKUP(表格1[[#This Row],[Model]],表格3[Model-Input-Ref2],表格3[Product Line])</f>
        <v>磁應電飯煲(1.5公升)</v>
      </c>
      <c r="I232" s="81" t="str">
        <f>_xlfn.XLOOKUP(表格1[[#This Row],[Model]],表格3[Model-Input-Ref2],表格3[大小電])</f>
        <v>細電</v>
      </c>
      <c r="J232" s="81" t="str">
        <f>_xlfn.XLOOKUP(表格1[[#This Row],[Model]],表格3[Model-Input-Ref2],表格3[Code])</f>
        <v>SDA</v>
      </c>
      <c r="K232" s="82" t="s">
        <v>1238</v>
      </c>
      <c r="L232" s="81">
        <v>1</v>
      </c>
      <c r="M232" s="85">
        <v>500</v>
      </c>
      <c r="N232" s="85">
        <f>IFERROR(表格1[[#This Row],[QTY]]*表格1[[#This Row],[Unit Price]],"-")</f>
        <v>500</v>
      </c>
      <c r="O232" s="134">
        <v>7017071</v>
      </c>
      <c r="P232" s="81"/>
      <c r="Q232" s="81"/>
      <c r="R232" s="81" t="str">
        <f>_xlfn.CONCAT(表格1[[#This Row],[Model]]," ",表格1[[#This Row],[inv no]])</f>
        <v>RC-15ISTHK(W) 7017071</v>
      </c>
      <c r="S232" s="135">
        <f>_xlfn.XLOOKUP(表格1[[#This Row],[Model]],表格3[Model-Input-Ref2],表格3[SRP PRICE])</f>
        <v>1688</v>
      </c>
      <c r="T232" s="43">
        <f>表格1[[#This Row],[Unit Price]]/表格1[[#This Row],[SRP]]</f>
        <v>0.29620853080568721</v>
      </c>
      <c r="U232" s="86" t="str">
        <f>_xlfn.XLOOKUP(表格1[[#This Row],[Model]],表格3[Model-Input-Ref2],表格3[TOSHIBA/HIGHEST])</f>
        <v>Toshiba SRP</v>
      </c>
      <c r="V232" s="86">
        <v>110</v>
      </c>
      <c r="W232" s="86" t="str">
        <f>_xlfn.CONCAT(表格1[[#This Row],[欄4]],表格1[[#This Row],[inv no]])</f>
        <v>1107017071</v>
      </c>
    </row>
    <row r="233" spans="1:23" hidden="1">
      <c r="A233" s="81">
        <v>231</v>
      </c>
      <c r="B233" s="81" t="s">
        <v>1203</v>
      </c>
      <c r="C233" s="81" t="s">
        <v>1255</v>
      </c>
      <c r="D233" s="82" t="str">
        <f ca="1">OFFSET(Roster!$A$3,MATCH(表格1[[#This Row],[Location]]&amp;" "&amp;表格1[[#This Row],[Shop]]&amp;"*",Roster!$A$4:$A$72,0),DAY(表格1[[#This Row],[date]]),1,1)</f>
        <v>Me</v>
      </c>
      <c r="E233" s="81">
        <f>MONTH(表格1[[#This Row],[date]])</f>
        <v>3</v>
      </c>
      <c r="F233" s="101">
        <v>46083</v>
      </c>
      <c r="G233" s="81" t="str">
        <f>VLOOKUP("*"&amp;表格1[[#This Row],[Input]]&amp;"*",'Ref-List'!$B:$D,2,)</f>
        <v>RC-15ISTHK(W)</v>
      </c>
      <c r="H233" s="81" t="str">
        <f>_xlfn.XLOOKUP(表格1[[#This Row],[Model]],表格3[Model-Input-Ref2],表格3[Product Line])</f>
        <v>磁應電飯煲(1.5公升)</v>
      </c>
      <c r="I233" s="81" t="str">
        <f>_xlfn.XLOOKUP(表格1[[#This Row],[Model]],表格3[Model-Input-Ref2],表格3[大小電])</f>
        <v>細電</v>
      </c>
      <c r="J233" s="81" t="str">
        <f>_xlfn.XLOOKUP(表格1[[#This Row],[Model]],表格3[Model-Input-Ref2],表格3[Code])</f>
        <v>SDA</v>
      </c>
      <c r="K233" s="82" t="s">
        <v>1238</v>
      </c>
      <c r="L233" s="81">
        <v>1</v>
      </c>
      <c r="M233" s="85">
        <v>500</v>
      </c>
      <c r="N233" s="85">
        <f>IFERROR(表格1[[#This Row],[QTY]]*表格1[[#This Row],[Unit Price]],"-")</f>
        <v>500</v>
      </c>
      <c r="O233" s="134">
        <v>7017097</v>
      </c>
      <c r="P233" s="81"/>
      <c r="Q233" s="81"/>
      <c r="R233" s="81" t="str">
        <f>_xlfn.CONCAT(表格1[[#This Row],[Model]]," ",表格1[[#This Row],[inv no]])</f>
        <v>RC-15ISTHK(W) 7017097</v>
      </c>
      <c r="S233" s="135">
        <f>_xlfn.XLOOKUP(表格1[[#This Row],[Model]],表格3[Model-Input-Ref2],表格3[SRP PRICE])</f>
        <v>1688</v>
      </c>
      <c r="T233" s="43">
        <f>表格1[[#This Row],[Unit Price]]/表格1[[#This Row],[SRP]]</f>
        <v>0.29620853080568721</v>
      </c>
      <c r="U233" s="86" t="str">
        <f>_xlfn.XLOOKUP(表格1[[#This Row],[Model]],表格3[Model-Input-Ref2],表格3[TOSHIBA/HIGHEST])</f>
        <v>Toshiba SRP</v>
      </c>
      <c r="V233" s="86">
        <v>110</v>
      </c>
      <c r="W233" s="86" t="str">
        <f>_xlfn.CONCAT(表格1[[#This Row],[欄4]],表格1[[#This Row],[inv no]])</f>
        <v>1107017097</v>
      </c>
    </row>
    <row r="234" spans="1:23" hidden="1">
      <c r="A234" s="81">
        <v>232</v>
      </c>
      <c r="B234" s="81" t="s">
        <v>1203</v>
      </c>
      <c r="C234" s="81" t="s">
        <v>1255</v>
      </c>
      <c r="D234" s="82" t="str">
        <f ca="1">OFFSET(Roster!$A$3,MATCH(表格1[[#This Row],[Location]]&amp;" "&amp;表格1[[#This Row],[Shop]]&amp;"*",Roster!$A$4:$A$72,0),DAY(表格1[[#This Row],[date]]),1,1)</f>
        <v>Me</v>
      </c>
      <c r="E234" s="81">
        <f>MONTH(表格1[[#This Row],[date]])</f>
        <v>3</v>
      </c>
      <c r="F234" s="101">
        <v>46083</v>
      </c>
      <c r="G234" s="81" t="str">
        <f>VLOOKUP("*"&amp;表格1[[#This Row],[Input]]&amp;"*",'Ref-List'!$B:$D,2,)</f>
        <v>RC-15ISTHK(W)</v>
      </c>
      <c r="H234" s="81" t="str">
        <f>_xlfn.XLOOKUP(表格1[[#This Row],[Model]],表格3[Model-Input-Ref2],表格3[Product Line])</f>
        <v>磁應電飯煲(1.5公升)</v>
      </c>
      <c r="I234" s="81" t="str">
        <f>_xlfn.XLOOKUP(表格1[[#This Row],[Model]],表格3[Model-Input-Ref2],表格3[大小電])</f>
        <v>細電</v>
      </c>
      <c r="J234" s="81" t="str">
        <f>_xlfn.XLOOKUP(表格1[[#This Row],[Model]],表格3[Model-Input-Ref2],表格3[Code])</f>
        <v>SDA</v>
      </c>
      <c r="K234" s="82" t="s">
        <v>1238</v>
      </c>
      <c r="L234" s="81">
        <v>1</v>
      </c>
      <c r="M234" s="85">
        <v>500</v>
      </c>
      <c r="N234" s="85">
        <f>IFERROR(表格1[[#This Row],[QTY]]*表格1[[#This Row],[Unit Price]],"-")</f>
        <v>500</v>
      </c>
      <c r="O234" s="134">
        <v>7017153</v>
      </c>
      <c r="P234" s="81"/>
      <c r="Q234" s="81"/>
      <c r="R234" s="81" t="str">
        <f>_xlfn.CONCAT(表格1[[#This Row],[Model]]," ",表格1[[#This Row],[inv no]])</f>
        <v>RC-15ISTHK(W) 7017153</v>
      </c>
      <c r="S234" s="135">
        <f>_xlfn.XLOOKUP(表格1[[#This Row],[Model]],表格3[Model-Input-Ref2],表格3[SRP PRICE])</f>
        <v>1688</v>
      </c>
      <c r="T234" s="43">
        <f>表格1[[#This Row],[Unit Price]]/表格1[[#This Row],[SRP]]</f>
        <v>0.29620853080568721</v>
      </c>
      <c r="U234" s="86" t="str">
        <f>_xlfn.XLOOKUP(表格1[[#This Row],[Model]],表格3[Model-Input-Ref2],表格3[TOSHIBA/HIGHEST])</f>
        <v>Toshiba SRP</v>
      </c>
      <c r="V234" s="86">
        <v>110</v>
      </c>
      <c r="W234" s="86" t="str">
        <f>_xlfn.CONCAT(表格1[[#This Row],[欄4]],表格1[[#This Row],[inv no]])</f>
        <v>1107017153</v>
      </c>
    </row>
    <row r="235" spans="1:23" hidden="1">
      <c r="A235" s="81">
        <v>233</v>
      </c>
      <c r="B235" s="81" t="s">
        <v>1203</v>
      </c>
      <c r="C235" s="81" t="s">
        <v>1255</v>
      </c>
      <c r="D235" s="82" t="str">
        <f ca="1">OFFSET(Roster!$A$3,MATCH(表格1[[#This Row],[Location]]&amp;" "&amp;表格1[[#This Row],[Shop]]&amp;"*",Roster!$A$4:$A$72,0),DAY(表格1[[#This Row],[date]]),1,1)</f>
        <v>Me</v>
      </c>
      <c r="E235" s="81">
        <f>MONTH(表格1[[#This Row],[date]])</f>
        <v>3</v>
      </c>
      <c r="F235" s="101">
        <v>46083</v>
      </c>
      <c r="G235" s="81" t="str">
        <f>VLOOKUP("*"&amp;表格1[[#This Row],[Input]]&amp;"*",'Ref-List'!$B:$D,2,)</f>
        <v>MW2-MM24PC(BK)</v>
      </c>
      <c r="H235" s="81" t="str">
        <f>_xlfn.XLOOKUP(表格1[[#This Row],[Model]],表格3[Model-Input-Ref2],表格3[Product Line])</f>
        <v>旋鈕式微波爐24L</v>
      </c>
      <c r="I235" s="81" t="str">
        <f>_xlfn.XLOOKUP(表格1[[#This Row],[Model]],表格3[Model-Input-Ref2],表格3[大小電])</f>
        <v>細電</v>
      </c>
      <c r="J235" s="81" t="str">
        <f>_xlfn.XLOOKUP(表格1[[#This Row],[Model]],表格3[Model-Input-Ref2],表格3[Code])</f>
        <v>SDA</v>
      </c>
      <c r="K235" s="139" t="s">
        <v>1196</v>
      </c>
      <c r="L235" s="81">
        <v>1</v>
      </c>
      <c r="M235" s="85">
        <v>500</v>
      </c>
      <c r="N235" s="85">
        <f>IFERROR(表格1[[#This Row],[QTY]]*表格1[[#This Row],[Unit Price]],"-")</f>
        <v>500</v>
      </c>
      <c r="O235" s="134">
        <v>7027230</v>
      </c>
      <c r="P235" s="81"/>
      <c r="Q235" s="81"/>
      <c r="R235" s="81" t="str">
        <f>_xlfn.CONCAT(表格1[[#This Row],[Model]]," ",表格1[[#This Row],[inv no]])</f>
        <v>MW2-MM24PC(BK) 7027230</v>
      </c>
      <c r="S235" s="135">
        <f>_xlfn.XLOOKUP(表格1[[#This Row],[Model]],表格3[Model-Input-Ref2],表格3[SRP PRICE])</f>
        <v>848</v>
      </c>
      <c r="T235" s="43">
        <f>表格1[[#This Row],[Unit Price]]/表格1[[#This Row],[SRP]]</f>
        <v>0.589622641509434</v>
      </c>
      <c r="U235" s="86" t="str">
        <f>_xlfn.XLOOKUP(表格1[[#This Row],[Model]],表格3[Model-Input-Ref2],表格3[TOSHIBA/HIGHEST])</f>
        <v>Toshiba SRP</v>
      </c>
      <c r="V235" s="86">
        <v>110</v>
      </c>
      <c r="W235" s="86" t="str">
        <f>_xlfn.CONCAT(表格1[[#This Row],[欄4]],表格1[[#This Row],[inv no]])</f>
        <v>1107027230</v>
      </c>
    </row>
    <row r="236" spans="1:23" hidden="1">
      <c r="A236" s="81">
        <v>234</v>
      </c>
      <c r="B236" s="81" t="s">
        <v>1203</v>
      </c>
      <c r="C236" s="81" t="s">
        <v>1255</v>
      </c>
      <c r="D236" s="82" t="str">
        <f ca="1">OFFSET(Roster!$A$3,MATCH(表格1[[#This Row],[Location]]&amp;" "&amp;表格1[[#This Row],[Shop]]&amp;"*",Roster!$A$4:$A$72,0),DAY(表格1[[#This Row],[date]]),1,1)</f>
        <v>Me</v>
      </c>
      <c r="E236" s="81">
        <f>MONTH(表格1[[#This Row],[date]])</f>
        <v>3</v>
      </c>
      <c r="F236" s="101">
        <v>46083</v>
      </c>
      <c r="G236" s="81" t="str">
        <f>VLOOKUP("*"&amp;表格1[[#This Row],[Input]]&amp;"*",'Ref-List'!$B:$D,2,)</f>
        <v>PLK-45SFIH(WT)</v>
      </c>
      <c r="H236" s="81" t="str">
        <f>_xlfn.XLOOKUP(表格1[[#This Row],[Model]],表格3[Model-Input-Ref2],表格3[Product Line])</f>
        <v>電熱水瓶4.5L</v>
      </c>
      <c r="I236" s="81" t="str">
        <f>_xlfn.XLOOKUP(表格1[[#This Row],[Model]],表格3[Model-Input-Ref2],表格3[大小電])</f>
        <v>細電</v>
      </c>
      <c r="J236" s="81" t="str">
        <f>_xlfn.XLOOKUP(表格1[[#This Row],[Model]],表格3[Model-Input-Ref2],表格3[Code])</f>
        <v>SDA</v>
      </c>
      <c r="K236" s="82" t="s">
        <v>1117</v>
      </c>
      <c r="L236" s="81">
        <v>1</v>
      </c>
      <c r="M236" s="85">
        <v>500</v>
      </c>
      <c r="N236" s="85">
        <f>IFERROR(表格1[[#This Row],[QTY]]*表格1[[#This Row],[Unit Price]],"-")</f>
        <v>500</v>
      </c>
      <c r="O236" s="134">
        <v>7017293</v>
      </c>
      <c r="P236" s="81"/>
      <c r="Q236" s="81"/>
      <c r="R236" s="81" t="str">
        <f>_xlfn.CONCAT(表格1[[#This Row],[Model]]," ",表格1[[#This Row],[inv no]])</f>
        <v>PLK-45SFIH(WT) 7017293</v>
      </c>
      <c r="S236" s="135">
        <f>_xlfn.XLOOKUP(表格1[[#This Row],[Model]],表格3[Model-Input-Ref2],表格3[SRP PRICE])</f>
        <v>788</v>
      </c>
      <c r="T236" s="43">
        <f>表格1[[#This Row],[Unit Price]]/表格1[[#This Row],[SRP]]</f>
        <v>0.63451776649746194</v>
      </c>
      <c r="U236" s="86" t="str">
        <f>_xlfn.XLOOKUP(表格1[[#This Row],[Model]],表格3[Model-Input-Ref2],表格3[TOSHIBA/HIGHEST])</f>
        <v>Toshiba SRP</v>
      </c>
      <c r="V236" s="86">
        <v>110</v>
      </c>
      <c r="W236" s="86" t="str">
        <f>_xlfn.CONCAT(表格1[[#This Row],[欄4]],表格1[[#This Row],[inv no]])</f>
        <v>1107017293</v>
      </c>
    </row>
    <row r="237" spans="1:23" hidden="1">
      <c r="A237" s="81">
        <v>235</v>
      </c>
      <c r="B237" s="81" t="s">
        <v>1203</v>
      </c>
      <c r="C237" s="81" t="s">
        <v>1255</v>
      </c>
      <c r="D237" s="82" t="str">
        <f ca="1">OFFSET(Roster!$A$3,MATCH(表格1[[#This Row],[Location]]&amp;" "&amp;表格1[[#This Row],[Shop]]&amp;"*",Roster!$A$4:$A$72,0),DAY(表格1[[#This Row],[date]]),1,1)</f>
        <v>Me</v>
      </c>
      <c r="E237" s="81">
        <f>MONTH(表格1[[#This Row],[date]])</f>
        <v>3</v>
      </c>
      <c r="F237" s="101">
        <v>46083</v>
      </c>
      <c r="G237" s="81" t="str">
        <f>VLOOKUP("*"&amp;表格1[[#This Row],[Input]]&amp;"*",'Ref-List'!$B:$D,2,)</f>
        <v>DWS-34AHK</v>
      </c>
      <c r="H237" s="81" t="str">
        <f>_xlfn.XLOOKUP(表格1[[#This Row],[Model]],表格3[Model-Input-Ref2],表格3[Product Line])</f>
        <v>獨立式免安裝洗碗碟機</v>
      </c>
      <c r="I237" s="81" t="str">
        <f>_xlfn.XLOOKUP(表格1[[#This Row],[Model]],表格3[Model-Input-Ref2],表格3[大小電])</f>
        <v>細電</v>
      </c>
      <c r="J237" s="81" t="str">
        <f>_xlfn.XLOOKUP(表格1[[#This Row],[Model]],表格3[Model-Input-Ref2],表格3[Code])</f>
        <v>DM</v>
      </c>
      <c r="K237" s="82" t="s">
        <v>1240</v>
      </c>
      <c r="L237" s="81">
        <v>1</v>
      </c>
      <c r="M237" s="85">
        <v>1500</v>
      </c>
      <c r="N237" s="85">
        <f>IFERROR(表格1[[#This Row],[QTY]]*表格1[[#This Row],[Unit Price]],"-")</f>
        <v>1500</v>
      </c>
      <c r="O237" s="134">
        <v>7017338</v>
      </c>
      <c r="P237" s="81"/>
      <c r="Q237" s="81"/>
      <c r="R237" s="81" t="str">
        <f>_xlfn.CONCAT(表格1[[#This Row],[Model]]," ",表格1[[#This Row],[inv no]])</f>
        <v>DWS-34AHK 7017338</v>
      </c>
      <c r="S237" s="135">
        <f>_xlfn.XLOOKUP(表格1[[#This Row],[Model]],表格3[Model-Input-Ref2],表格3[SRP PRICE])</f>
        <v>3999</v>
      </c>
      <c r="T237" s="43">
        <f>表格1[[#This Row],[Unit Price]]/表格1[[#This Row],[SRP]]</f>
        <v>0.37509377344336087</v>
      </c>
      <c r="U237" s="86" t="str">
        <f>_xlfn.XLOOKUP(表格1[[#This Row],[Model]],表格3[Model-Input-Ref2],表格3[TOSHIBA/HIGHEST])</f>
        <v>Web SRP</v>
      </c>
      <c r="V237" s="86">
        <v>110</v>
      </c>
      <c r="W237" s="86" t="str">
        <f>_xlfn.CONCAT(表格1[[#This Row],[欄4]],表格1[[#This Row],[inv no]])</f>
        <v>1107017338</v>
      </c>
    </row>
    <row r="238" spans="1:23" hidden="1">
      <c r="A238" s="81">
        <v>236</v>
      </c>
      <c r="B238" s="81" t="s">
        <v>1203</v>
      </c>
      <c r="C238" s="81" t="s">
        <v>1255</v>
      </c>
      <c r="D238" s="82" t="str">
        <f ca="1">OFFSET(Roster!$A$3,MATCH(表格1[[#This Row],[Location]]&amp;" "&amp;表格1[[#This Row],[Shop]]&amp;"*",Roster!$A$4:$A$72,0),DAY(表格1[[#This Row],[date]]),1,1)</f>
        <v>Me</v>
      </c>
      <c r="E238" s="81">
        <f>MONTH(表格1[[#This Row],[date]])</f>
        <v>3</v>
      </c>
      <c r="F238" s="101">
        <v>46083</v>
      </c>
      <c r="G238" s="81" t="str">
        <f>VLOOKUP("*"&amp;表格1[[#This Row],[Input]]&amp;"*",'Ref-List'!$B:$D,2,)</f>
        <v>DWS-34AHK</v>
      </c>
      <c r="H238" s="81" t="str">
        <f>_xlfn.XLOOKUP(表格1[[#This Row],[Model]],表格3[Model-Input-Ref2],表格3[Product Line])</f>
        <v>獨立式免安裝洗碗碟機</v>
      </c>
      <c r="I238" s="81" t="str">
        <f>_xlfn.XLOOKUP(表格1[[#This Row],[Model]],表格3[Model-Input-Ref2],表格3[大小電])</f>
        <v>細電</v>
      </c>
      <c r="J238" s="81" t="str">
        <f>_xlfn.XLOOKUP(表格1[[#This Row],[Model]],表格3[Model-Input-Ref2],表格3[Code])</f>
        <v>DM</v>
      </c>
      <c r="K238" s="82" t="s">
        <v>1240</v>
      </c>
      <c r="L238" s="81">
        <v>1</v>
      </c>
      <c r="M238" s="85">
        <v>1500</v>
      </c>
      <c r="N238" s="85">
        <f>IFERROR(表格1[[#This Row],[QTY]]*表格1[[#This Row],[Unit Price]],"-")</f>
        <v>1500</v>
      </c>
      <c r="O238" s="134">
        <v>7027232</v>
      </c>
      <c r="P238" s="81"/>
      <c r="Q238" s="81"/>
      <c r="R238" s="81" t="str">
        <f>_xlfn.CONCAT(表格1[[#This Row],[Model]]," ",表格1[[#This Row],[inv no]])</f>
        <v>DWS-34AHK 7027232</v>
      </c>
      <c r="S238" s="135">
        <f>_xlfn.XLOOKUP(表格1[[#This Row],[Model]],表格3[Model-Input-Ref2],表格3[SRP PRICE])</f>
        <v>3999</v>
      </c>
      <c r="T238" s="43">
        <f>表格1[[#This Row],[Unit Price]]/表格1[[#This Row],[SRP]]</f>
        <v>0.37509377344336087</v>
      </c>
      <c r="U238" s="86" t="str">
        <f>_xlfn.XLOOKUP(表格1[[#This Row],[Model]],表格3[Model-Input-Ref2],表格3[TOSHIBA/HIGHEST])</f>
        <v>Web SRP</v>
      </c>
      <c r="V238" s="86">
        <v>110</v>
      </c>
      <c r="W238" s="86" t="str">
        <f>_xlfn.CONCAT(表格1[[#This Row],[欄4]],表格1[[#This Row],[inv no]])</f>
        <v>1107027232</v>
      </c>
    </row>
    <row r="239" spans="1:23" hidden="1">
      <c r="A239" s="81">
        <v>237</v>
      </c>
      <c r="B239" s="81" t="s">
        <v>1203</v>
      </c>
      <c r="C239" s="81" t="s">
        <v>1255</v>
      </c>
      <c r="D239" s="82" t="str">
        <f ca="1">OFFSET(Roster!$A$3,MATCH(表格1[[#This Row],[Location]]&amp;" "&amp;表格1[[#This Row],[Shop]]&amp;"*",Roster!$A$4:$A$72,0),DAY(表格1[[#This Row],[date]]),1,1)</f>
        <v>Me</v>
      </c>
      <c r="E239" s="81">
        <f>MONTH(表格1[[#This Row],[date]])</f>
        <v>3</v>
      </c>
      <c r="F239" s="101">
        <v>46083</v>
      </c>
      <c r="G239" s="81" t="str">
        <f>VLOOKUP("*"&amp;表格1[[#This Row],[Input]]&amp;"*",'Ref-List'!$B:$D,2,)</f>
        <v>TWP-TSR76THK(W)</v>
      </c>
      <c r="H239" s="81" t="str">
        <f>_xlfn.XLOOKUP(表格1[[#This Row],[Model]],表格3[Model-Input-Ref2],表格3[Product Line])</f>
        <v>RO座檯式飲水機</v>
      </c>
      <c r="I239" s="81" t="str">
        <f>_xlfn.XLOOKUP(表格1[[#This Row],[Model]],表格3[Model-Input-Ref2],表格3[大小電])</f>
        <v>細電</v>
      </c>
      <c r="J239" s="81" t="str">
        <f>_xlfn.XLOOKUP(表格1[[#This Row],[Model]],表格3[Model-Input-Ref2],表格3[Code])</f>
        <v>KWH</v>
      </c>
      <c r="K239" s="82" t="s">
        <v>1197</v>
      </c>
      <c r="L239" s="81">
        <v>1</v>
      </c>
      <c r="M239" s="85">
        <v>1500</v>
      </c>
      <c r="N239" s="85">
        <f>IFERROR(表格1[[#This Row],[QTY]]*表格1[[#This Row],[Unit Price]],"-")</f>
        <v>1500</v>
      </c>
      <c r="O239" s="134">
        <v>7017325</v>
      </c>
      <c r="P239" s="81"/>
      <c r="Q239" s="81"/>
      <c r="R239" s="81" t="str">
        <f>_xlfn.CONCAT(表格1[[#This Row],[Model]]," ",表格1[[#This Row],[inv no]])</f>
        <v>TWP-TSR76THK(W) 7017325</v>
      </c>
      <c r="S239" s="135">
        <f>_xlfn.XLOOKUP(表格1[[#This Row],[Model]],表格3[Model-Input-Ref2],表格3[SRP PRICE])</f>
        <v>2680</v>
      </c>
      <c r="T239" s="43">
        <f>表格1[[#This Row],[Unit Price]]/表格1[[#This Row],[SRP]]</f>
        <v>0.55970149253731338</v>
      </c>
      <c r="U239" s="86" t="str">
        <f>_xlfn.XLOOKUP(表格1[[#This Row],[Model]],表格3[Model-Input-Ref2],表格3[TOSHIBA/HIGHEST])</f>
        <v>Toshiba SRP</v>
      </c>
      <c r="V239" s="86">
        <v>110</v>
      </c>
      <c r="W239" s="86" t="str">
        <f>_xlfn.CONCAT(表格1[[#This Row],[欄4]],表格1[[#This Row],[inv no]])</f>
        <v>1107017325</v>
      </c>
    </row>
    <row r="240" spans="1:23" hidden="1">
      <c r="A240" s="81">
        <v>238</v>
      </c>
      <c r="B240" s="81" t="s">
        <v>1203</v>
      </c>
      <c r="C240" s="81" t="s">
        <v>1255</v>
      </c>
      <c r="D240" s="82" t="str">
        <f ca="1">OFFSET(Roster!$A$3,MATCH(表格1[[#This Row],[Location]]&amp;" "&amp;表格1[[#This Row],[Shop]]&amp;"*",Roster!$A$4:$A$72,0),DAY(表格1[[#This Row],[date]]),1,1)</f>
        <v>Me</v>
      </c>
      <c r="E240" s="81">
        <f>MONTH(表格1[[#This Row],[date]])</f>
        <v>3</v>
      </c>
      <c r="F240" s="101">
        <v>46083</v>
      </c>
      <c r="G240" s="81" t="str">
        <f>VLOOKUP("*"&amp;表格1[[#This Row],[Input]]&amp;"*",'Ref-List'!$B:$D,2,)</f>
        <v>TWP-TSR76THK(W)</v>
      </c>
      <c r="H240" s="81" t="str">
        <f>_xlfn.XLOOKUP(表格1[[#This Row],[Model]],表格3[Model-Input-Ref2],表格3[Product Line])</f>
        <v>RO座檯式飲水機</v>
      </c>
      <c r="I240" s="81" t="str">
        <f>_xlfn.XLOOKUP(表格1[[#This Row],[Model]],表格3[Model-Input-Ref2],表格3[大小電])</f>
        <v>細電</v>
      </c>
      <c r="J240" s="81" t="str">
        <f>_xlfn.XLOOKUP(表格1[[#This Row],[Model]],表格3[Model-Input-Ref2],表格3[Code])</f>
        <v>KWH</v>
      </c>
      <c r="K240" s="82" t="s">
        <v>1197</v>
      </c>
      <c r="L240" s="81">
        <v>1</v>
      </c>
      <c r="M240" s="85">
        <v>1500</v>
      </c>
      <c r="N240" s="85">
        <f>IFERROR(表格1[[#This Row],[QTY]]*表格1[[#This Row],[Unit Price]],"-")</f>
        <v>1500</v>
      </c>
      <c r="O240" s="134">
        <v>7027167</v>
      </c>
      <c r="P240" s="81"/>
      <c r="Q240" s="81"/>
      <c r="R240" s="81" t="str">
        <f>_xlfn.CONCAT(表格1[[#This Row],[Model]]," ",表格1[[#This Row],[inv no]])</f>
        <v>TWP-TSR76THK(W) 7027167</v>
      </c>
      <c r="S240" s="135">
        <f>_xlfn.XLOOKUP(表格1[[#This Row],[Model]],表格3[Model-Input-Ref2],表格3[SRP PRICE])</f>
        <v>2680</v>
      </c>
      <c r="T240" s="43">
        <f>表格1[[#This Row],[Unit Price]]/表格1[[#This Row],[SRP]]</f>
        <v>0.55970149253731338</v>
      </c>
      <c r="U240" s="86" t="str">
        <f>_xlfn.XLOOKUP(表格1[[#This Row],[Model]],表格3[Model-Input-Ref2],表格3[TOSHIBA/HIGHEST])</f>
        <v>Toshiba SRP</v>
      </c>
      <c r="V240" s="86">
        <v>110</v>
      </c>
      <c r="W240" s="86" t="str">
        <f>_xlfn.CONCAT(表格1[[#This Row],[欄4]],表格1[[#This Row],[inv no]])</f>
        <v>1107027167</v>
      </c>
    </row>
    <row r="241" spans="1:23" hidden="1">
      <c r="A241" s="81">
        <v>239</v>
      </c>
      <c r="B241" s="81" t="s">
        <v>1203</v>
      </c>
      <c r="C241" s="81" t="s">
        <v>1255</v>
      </c>
      <c r="D241" s="82" t="str">
        <f ca="1">OFFSET(Roster!$A$3,MATCH(表格1[[#This Row],[Location]]&amp;" "&amp;表格1[[#This Row],[Shop]]&amp;"*",Roster!$A$4:$A$72,0),DAY(表格1[[#This Row],[date]]),1,1)</f>
        <v>Me</v>
      </c>
      <c r="E241" s="81">
        <f>MONTH(表格1[[#This Row],[date]])</f>
        <v>3</v>
      </c>
      <c r="F241" s="101">
        <v>46083</v>
      </c>
      <c r="G241" s="81" t="str">
        <f>VLOOKUP("*"&amp;表格1[[#This Row],[Input]]&amp;"*",'Ref-List'!$B:$D,2,)</f>
        <v>TWD-BN90GF4H(WK)</v>
      </c>
      <c r="H241" s="81" t="str">
        <f>_xlfn.XLOOKUP(表格1[[#This Row],[Model]],表格3[Model-Input-Ref2],表格3[Product Line])</f>
        <v>超薄身前置式洗衣乾衣機 (洗8公斤 乾5公斤)</v>
      </c>
      <c r="I241" s="81" t="str">
        <f>_xlfn.XLOOKUP(表格1[[#This Row],[Model]],表格3[Model-Input-Ref2],表格3[大小電])</f>
        <v>大電</v>
      </c>
      <c r="J241" s="81" t="str">
        <f>_xlfn.XLOOKUP(表格1[[#This Row],[Model]],表格3[Model-Input-Ref2],表格3[Code])</f>
        <v>WM</v>
      </c>
      <c r="K241" s="82" t="s">
        <v>1199</v>
      </c>
      <c r="L241" s="81">
        <v>1</v>
      </c>
      <c r="M241" s="85">
        <v>3588</v>
      </c>
      <c r="N241" s="85">
        <f>IFERROR(表格1[[#This Row],[QTY]]*表格1[[#This Row],[Unit Price]],"-")</f>
        <v>3588</v>
      </c>
      <c r="O241" s="134">
        <v>7027237</v>
      </c>
      <c r="P241" s="81"/>
      <c r="Q241" s="81"/>
      <c r="R241" s="81" t="str">
        <f>_xlfn.CONCAT(表格1[[#This Row],[Model]]," ",表格1[[#This Row],[inv no]])</f>
        <v>TWD-BN90GF4H(WK) 7027237</v>
      </c>
      <c r="S241" s="135">
        <f>_xlfn.XLOOKUP(表格1[[#This Row],[Model]],表格3[Model-Input-Ref2],表格3[SRP PRICE])</f>
        <v>5980</v>
      </c>
      <c r="T241" s="43">
        <f>表格1[[#This Row],[Unit Price]]/表格1[[#This Row],[SRP]]</f>
        <v>0.6</v>
      </c>
      <c r="U241" s="86" t="str">
        <f>_xlfn.XLOOKUP(表格1[[#This Row],[Model]],表格3[Model-Input-Ref2],表格3[TOSHIBA/HIGHEST])</f>
        <v>Toshiba SRP</v>
      </c>
      <c r="V241" s="86">
        <v>110</v>
      </c>
      <c r="W241" s="86" t="str">
        <f>_xlfn.CONCAT(表格1[[#This Row],[欄4]],表格1[[#This Row],[inv no]])</f>
        <v>1107027237</v>
      </c>
    </row>
    <row r="242" spans="1:23" hidden="1">
      <c r="A242" s="81">
        <v>240</v>
      </c>
      <c r="B242" s="81" t="s">
        <v>1203</v>
      </c>
      <c r="C242" s="81" t="s">
        <v>1255</v>
      </c>
      <c r="D242" s="82" t="str">
        <f ca="1">OFFSET(Roster!$A$3,MATCH(表格1[[#This Row],[Location]]&amp;" "&amp;表格1[[#This Row],[Shop]]&amp;"*",Roster!$A$4:$A$72,0),DAY(表格1[[#This Row],[date]]),1,1)</f>
        <v>Me</v>
      </c>
      <c r="E242" s="81">
        <f>MONTH(表格1[[#This Row],[date]])</f>
        <v>3</v>
      </c>
      <c r="F242" s="101">
        <v>46083</v>
      </c>
      <c r="G242" s="81" t="str">
        <f>VLOOKUP("*"&amp;表格1[[#This Row],[Input]]&amp;"*",'Ref-List'!$B:$D,2,)</f>
        <v>TWD-BN90GF4H(WK)</v>
      </c>
      <c r="H242" s="81" t="str">
        <f>_xlfn.XLOOKUP(表格1[[#This Row],[Model]],表格3[Model-Input-Ref2],表格3[Product Line])</f>
        <v>超薄身前置式洗衣乾衣機 (洗8公斤 乾5公斤)</v>
      </c>
      <c r="I242" s="81" t="str">
        <f>_xlfn.XLOOKUP(表格1[[#This Row],[Model]],表格3[Model-Input-Ref2],表格3[大小電])</f>
        <v>大電</v>
      </c>
      <c r="J242" s="81" t="str">
        <f>_xlfn.XLOOKUP(表格1[[#This Row],[Model]],表格3[Model-Input-Ref2],表格3[Code])</f>
        <v>WM</v>
      </c>
      <c r="K242" s="82" t="s">
        <v>1199</v>
      </c>
      <c r="L242" s="81">
        <v>1</v>
      </c>
      <c r="M242" s="85">
        <v>3588</v>
      </c>
      <c r="N242" s="85">
        <f>IFERROR(表格1[[#This Row],[QTY]]*表格1[[#This Row],[Unit Price]],"-")</f>
        <v>3588</v>
      </c>
      <c r="O242" s="134">
        <v>7027167</v>
      </c>
      <c r="P242" s="81"/>
      <c r="Q242" s="81"/>
      <c r="R242" s="81" t="str">
        <f>_xlfn.CONCAT(表格1[[#This Row],[Model]]," ",表格1[[#This Row],[inv no]])</f>
        <v>TWD-BN90GF4H(WK) 7027167</v>
      </c>
      <c r="S242" s="135">
        <f>_xlfn.XLOOKUP(表格1[[#This Row],[Model]],表格3[Model-Input-Ref2],表格3[SRP PRICE])</f>
        <v>5980</v>
      </c>
      <c r="T242" s="43">
        <f>表格1[[#This Row],[Unit Price]]/表格1[[#This Row],[SRP]]</f>
        <v>0.6</v>
      </c>
      <c r="U242" s="86" t="str">
        <f>_xlfn.XLOOKUP(表格1[[#This Row],[Model]],表格3[Model-Input-Ref2],表格3[TOSHIBA/HIGHEST])</f>
        <v>Toshiba SRP</v>
      </c>
      <c r="V242" s="86">
        <v>110</v>
      </c>
      <c r="W242" s="86" t="str">
        <f>_xlfn.CONCAT(表格1[[#This Row],[欄4]],表格1[[#This Row],[inv no]])</f>
        <v>1107027167</v>
      </c>
    </row>
    <row r="243" spans="1:23" hidden="1">
      <c r="A243" s="81">
        <v>241</v>
      </c>
      <c r="B243" s="81" t="s">
        <v>1203</v>
      </c>
      <c r="C243" s="81" t="s">
        <v>1255</v>
      </c>
      <c r="D243" s="82" t="str">
        <f ca="1">OFFSET(Roster!$A$3,MATCH(表格1[[#This Row],[Location]]&amp;" "&amp;表格1[[#This Row],[Shop]]&amp;"*",Roster!$A$4:$A$72,0),DAY(表格1[[#This Row],[date]]),1,1)</f>
        <v>Me</v>
      </c>
      <c r="E243" s="81">
        <f>MONTH(表格1[[#This Row],[date]])</f>
        <v>3</v>
      </c>
      <c r="F243" s="101">
        <v>46084</v>
      </c>
      <c r="G243" s="81" t="str">
        <f>VLOOKUP("*"&amp;表格1[[#This Row],[Input]]&amp;"*",'Ref-List'!$B:$D,2,)</f>
        <v>RC-15ISTHK(W)</v>
      </c>
      <c r="H243" s="81" t="str">
        <f>_xlfn.XLOOKUP(表格1[[#This Row],[Model]],表格3[Model-Input-Ref2],表格3[Product Line])</f>
        <v>磁應電飯煲(1.5公升)</v>
      </c>
      <c r="I243" s="81" t="str">
        <f>_xlfn.XLOOKUP(表格1[[#This Row],[Model]],表格3[Model-Input-Ref2],表格3[大小電])</f>
        <v>細電</v>
      </c>
      <c r="J243" s="81" t="str">
        <f>_xlfn.XLOOKUP(表格1[[#This Row],[Model]],表格3[Model-Input-Ref2],表格3[Code])</f>
        <v>SDA</v>
      </c>
      <c r="K243" s="82" t="s">
        <v>1204</v>
      </c>
      <c r="L243" s="81">
        <v>1</v>
      </c>
      <c r="M243" s="85">
        <v>500</v>
      </c>
      <c r="N243" s="85">
        <f>IFERROR(表格1[[#This Row],[QTY]]*表格1[[#This Row],[Unit Price]],"-")</f>
        <v>500</v>
      </c>
      <c r="O243" s="134">
        <v>7027235</v>
      </c>
      <c r="P243" s="81"/>
      <c r="Q243" s="81"/>
      <c r="R243" s="81" t="str">
        <f>_xlfn.CONCAT(表格1[[#This Row],[Model]]," ",表格1[[#This Row],[inv no]])</f>
        <v>RC-15ISTHK(W) 7027235</v>
      </c>
      <c r="S243" s="135">
        <f>_xlfn.XLOOKUP(表格1[[#This Row],[Model]],表格3[Model-Input-Ref2],表格3[SRP PRICE])</f>
        <v>1688</v>
      </c>
      <c r="T243" s="43">
        <f>表格1[[#This Row],[Unit Price]]/表格1[[#This Row],[SRP]]</f>
        <v>0.29620853080568721</v>
      </c>
      <c r="U243" s="86" t="str">
        <f>_xlfn.XLOOKUP(表格1[[#This Row],[Model]],表格3[Model-Input-Ref2],表格3[TOSHIBA/HIGHEST])</f>
        <v>Toshiba SRP</v>
      </c>
      <c r="V243" s="86">
        <v>110</v>
      </c>
      <c r="W243" s="86" t="str">
        <f>_xlfn.CONCAT(表格1[[#This Row],[欄4]],表格1[[#This Row],[inv no]])</f>
        <v>1107027235</v>
      </c>
    </row>
    <row r="244" spans="1:23" hidden="1">
      <c r="A244" s="81">
        <v>242</v>
      </c>
      <c r="B244" s="81" t="s">
        <v>1203</v>
      </c>
      <c r="C244" s="81" t="s">
        <v>1255</v>
      </c>
      <c r="D244" s="82" t="str">
        <f ca="1">OFFSET(Roster!$A$3,MATCH(表格1[[#This Row],[Location]]&amp;" "&amp;表格1[[#This Row],[Shop]]&amp;"*",Roster!$A$4:$A$72,0),DAY(表格1[[#This Row],[date]]),1,1)</f>
        <v>Me</v>
      </c>
      <c r="E244" s="81">
        <f>MONTH(表格1[[#This Row],[date]])</f>
        <v>3</v>
      </c>
      <c r="F244" s="101">
        <v>46084</v>
      </c>
      <c r="G244" s="81" t="str">
        <f>VLOOKUP("*"&amp;表格1[[#This Row],[Input]]&amp;"*",'Ref-List'!$B:$D,2,)</f>
        <v>RC-15ISTHK(W)</v>
      </c>
      <c r="H244" s="81" t="str">
        <f>_xlfn.XLOOKUP(表格1[[#This Row],[Model]],表格3[Model-Input-Ref2],表格3[Product Line])</f>
        <v>磁應電飯煲(1.5公升)</v>
      </c>
      <c r="I244" s="81" t="str">
        <f>_xlfn.XLOOKUP(表格1[[#This Row],[Model]],表格3[Model-Input-Ref2],表格3[大小電])</f>
        <v>細電</v>
      </c>
      <c r="J244" s="81" t="str">
        <f>_xlfn.XLOOKUP(表格1[[#This Row],[Model]],表格3[Model-Input-Ref2],表格3[Code])</f>
        <v>SDA</v>
      </c>
      <c r="K244" s="82" t="s">
        <v>1204</v>
      </c>
      <c r="L244" s="81">
        <v>1</v>
      </c>
      <c r="M244" s="85">
        <v>500</v>
      </c>
      <c r="N244" s="85">
        <f>IFERROR(表格1[[#This Row],[QTY]]*表格1[[#This Row],[Unit Price]],"-")</f>
        <v>500</v>
      </c>
      <c r="O244" s="134">
        <v>7017338</v>
      </c>
      <c r="P244" s="81"/>
      <c r="Q244" s="81"/>
      <c r="R244" s="81" t="str">
        <f>_xlfn.CONCAT(表格1[[#This Row],[Model]]," ",表格1[[#This Row],[inv no]])</f>
        <v>RC-15ISTHK(W) 7017338</v>
      </c>
      <c r="S244" s="135">
        <f>_xlfn.XLOOKUP(表格1[[#This Row],[Model]],表格3[Model-Input-Ref2],表格3[SRP PRICE])</f>
        <v>1688</v>
      </c>
      <c r="T244" s="43">
        <f>表格1[[#This Row],[Unit Price]]/表格1[[#This Row],[SRP]]</f>
        <v>0.29620853080568721</v>
      </c>
      <c r="U244" s="86" t="str">
        <f>_xlfn.XLOOKUP(表格1[[#This Row],[Model]],表格3[Model-Input-Ref2],表格3[TOSHIBA/HIGHEST])</f>
        <v>Toshiba SRP</v>
      </c>
      <c r="V244" s="86">
        <v>110</v>
      </c>
      <c r="W244" s="86" t="str">
        <f>_xlfn.CONCAT(表格1[[#This Row],[欄4]],表格1[[#This Row],[inv no]])</f>
        <v>1107017338</v>
      </c>
    </row>
    <row r="245" spans="1:23" hidden="1">
      <c r="A245" s="81">
        <v>243</v>
      </c>
      <c r="B245" s="81" t="s">
        <v>1203</v>
      </c>
      <c r="C245" s="81" t="s">
        <v>1255</v>
      </c>
      <c r="D245" s="82" t="str">
        <f ca="1">OFFSET(Roster!$A$3,MATCH(表格1[[#This Row],[Location]]&amp;" "&amp;表格1[[#This Row],[Shop]]&amp;"*",Roster!$A$4:$A$72,0),DAY(表格1[[#This Row],[date]]),1,1)</f>
        <v>Me</v>
      </c>
      <c r="E245" s="81">
        <f>MONTH(表格1[[#This Row],[date]])</f>
        <v>3</v>
      </c>
      <c r="F245" s="101">
        <v>46084</v>
      </c>
      <c r="G245" s="81" t="str">
        <f>VLOOKUP("*"&amp;表格1[[#This Row],[Input]]&amp;"*",'Ref-List'!$B:$D,2,)</f>
        <v>RC-15ISTHK(W)</v>
      </c>
      <c r="H245" s="81" t="str">
        <f>_xlfn.XLOOKUP(表格1[[#This Row],[Model]],表格3[Model-Input-Ref2],表格3[Product Line])</f>
        <v>磁應電飯煲(1.5公升)</v>
      </c>
      <c r="I245" s="81" t="str">
        <f>_xlfn.XLOOKUP(表格1[[#This Row],[Model]],表格3[Model-Input-Ref2],表格3[大小電])</f>
        <v>細電</v>
      </c>
      <c r="J245" s="81" t="str">
        <f>_xlfn.XLOOKUP(表格1[[#This Row],[Model]],表格3[Model-Input-Ref2],表格3[Code])</f>
        <v>SDA</v>
      </c>
      <c r="K245" s="82" t="s">
        <v>1238</v>
      </c>
      <c r="L245" s="81">
        <v>1</v>
      </c>
      <c r="M245" s="85">
        <v>500</v>
      </c>
      <c r="N245" s="85">
        <f>IFERROR(表格1[[#This Row],[QTY]]*表格1[[#This Row],[Unit Price]],"-")</f>
        <v>500</v>
      </c>
      <c r="O245" s="134">
        <v>7027227</v>
      </c>
      <c r="P245" s="81"/>
      <c r="Q245" s="81"/>
      <c r="R245" s="81" t="str">
        <f>_xlfn.CONCAT(表格1[[#This Row],[Model]]," ",表格1[[#This Row],[inv no]])</f>
        <v>RC-15ISTHK(W) 7027227</v>
      </c>
      <c r="S245" s="135">
        <f>_xlfn.XLOOKUP(表格1[[#This Row],[Model]],表格3[Model-Input-Ref2],表格3[SRP PRICE])</f>
        <v>1688</v>
      </c>
      <c r="T245" s="43">
        <f>表格1[[#This Row],[Unit Price]]/表格1[[#This Row],[SRP]]</f>
        <v>0.29620853080568721</v>
      </c>
      <c r="U245" s="86" t="str">
        <f>_xlfn.XLOOKUP(表格1[[#This Row],[Model]],表格3[Model-Input-Ref2],表格3[TOSHIBA/HIGHEST])</f>
        <v>Toshiba SRP</v>
      </c>
      <c r="V245" s="86">
        <v>110</v>
      </c>
      <c r="W245" s="86" t="str">
        <f>_xlfn.CONCAT(表格1[[#This Row],[欄4]],表格1[[#This Row],[inv no]])</f>
        <v>1107027227</v>
      </c>
    </row>
    <row r="246" spans="1:23" hidden="1">
      <c r="A246" s="81">
        <v>244</v>
      </c>
      <c r="B246" s="81" t="s">
        <v>1203</v>
      </c>
      <c r="C246" s="81" t="s">
        <v>1255</v>
      </c>
      <c r="D246" s="82" t="str">
        <f ca="1">OFFSET(Roster!$A$3,MATCH(表格1[[#This Row],[Location]]&amp;" "&amp;表格1[[#This Row],[Shop]]&amp;"*",Roster!$A$4:$A$72,0),DAY(表格1[[#This Row],[date]]),1,1)</f>
        <v>Me</v>
      </c>
      <c r="E246" s="81">
        <f>MONTH(表格1[[#This Row],[date]])</f>
        <v>3</v>
      </c>
      <c r="F246" s="101">
        <v>46084</v>
      </c>
      <c r="G246" s="81" t="str">
        <f>VLOOKUP("*"&amp;表格1[[#This Row],[Input]]&amp;"*",'Ref-List'!$B:$D,2,)</f>
        <v>RC-15ISTHK(W)</v>
      </c>
      <c r="H246" s="81" t="str">
        <f>_xlfn.XLOOKUP(表格1[[#This Row],[Model]],表格3[Model-Input-Ref2],表格3[Product Line])</f>
        <v>磁應電飯煲(1.5公升)</v>
      </c>
      <c r="I246" s="81" t="str">
        <f>_xlfn.XLOOKUP(表格1[[#This Row],[Model]],表格3[Model-Input-Ref2],表格3[大小電])</f>
        <v>細電</v>
      </c>
      <c r="J246" s="81" t="str">
        <f>_xlfn.XLOOKUP(表格1[[#This Row],[Model]],表格3[Model-Input-Ref2],表格3[Code])</f>
        <v>SDA</v>
      </c>
      <c r="K246" s="82" t="s">
        <v>1238</v>
      </c>
      <c r="L246" s="81">
        <v>1</v>
      </c>
      <c r="M246" s="85">
        <v>500</v>
      </c>
      <c r="N246" s="85">
        <f>IFERROR(表格1[[#This Row],[QTY]]*表格1[[#This Row],[Unit Price]],"-")</f>
        <v>500</v>
      </c>
      <c r="O246" s="134">
        <v>7017337</v>
      </c>
      <c r="P246" s="81"/>
      <c r="Q246" s="81"/>
      <c r="R246" s="81" t="str">
        <f>_xlfn.CONCAT(表格1[[#This Row],[Model]]," ",表格1[[#This Row],[inv no]])</f>
        <v>RC-15ISTHK(W) 7017337</v>
      </c>
      <c r="S246" s="135">
        <f>_xlfn.XLOOKUP(表格1[[#This Row],[Model]],表格3[Model-Input-Ref2],表格3[SRP PRICE])</f>
        <v>1688</v>
      </c>
      <c r="T246" s="43">
        <f>表格1[[#This Row],[Unit Price]]/表格1[[#This Row],[SRP]]</f>
        <v>0.29620853080568721</v>
      </c>
      <c r="U246" s="86" t="str">
        <f>_xlfn.XLOOKUP(表格1[[#This Row],[Model]],表格3[Model-Input-Ref2],表格3[TOSHIBA/HIGHEST])</f>
        <v>Toshiba SRP</v>
      </c>
      <c r="V246" s="86">
        <v>110</v>
      </c>
      <c r="W246" s="86" t="str">
        <f>_xlfn.CONCAT(表格1[[#This Row],[欄4]],表格1[[#This Row],[inv no]])</f>
        <v>1107017337</v>
      </c>
    </row>
    <row r="247" spans="1:23" hidden="1">
      <c r="A247" s="81">
        <v>245</v>
      </c>
      <c r="B247" s="81" t="s">
        <v>1203</v>
      </c>
      <c r="C247" s="81" t="s">
        <v>1255</v>
      </c>
      <c r="D247" s="82" t="str">
        <f ca="1">OFFSET(Roster!$A$3,MATCH(表格1[[#This Row],[Location]]&amp;" "&amp;表格1[[#This Row],[Shop]]&amp;"*",Roster!$A$4:$A$72,0),DAY(表格1[[#This Row],[date]]),1,1)</f>
        <v>Me</v>
      </c>
      <c r="E247" s="81">
        <f>MONTH(表格1[[#This Row],[date]])</f>
        <v>3</v>
      </c>
      <c r="F247" s="101">
        <v>46084</v>
      </c>
      <c r="G247" s="81" t="str">
        <f>VLOOKUP("*"&amp;表格1[[#This Row],[Input]]&amp;"*",'Ref-List'!$B:$D,2,)</f>
        <v>RC-15ISTHK(W)</v>
      </c>
      <c r="H247" s="81" t="str">
        <f>_xlfn.XLOOKUP(表格1[[#This Row],[Model]],表格3[Model-Input-Ref2],表格3[Product Line])</f>
        <v>磁應電飯煲(1.5公升)</v>
      </c>
      <c r="I247" s="81" t="str">
        <f>_xlfn.XLOOKUP(表格1[[#This Row],[Model]],表格3[Model-Input-Ref2],表格3[大小電])</f>
        <v>細電</v>
      </c>
      <c r="J247" s="81" t="str">
        <f>_xlfn.XLOOKUP(表格1[[#This Row],[Model]],表格3[Model-Input-Ref2],表格3[Code])</f>
        <v>SDA</v>
      </c>
      <c r="K247" s="82" t="s">
        <v>1238</v>
      </c>
      <c r="L247" s="81">
        <v>1</v>
      </c>
      <c r="M247" s="85">
        <v>500</v>
      </c>
      <c r="N247" s="85">
        <f>IFERROR(表格1[[#This Row],[QTY]]*表格1[[#This Row],[Unit Price]],"-")</f>
        <v>500</v>
      </c>
      <c r="O247" s="134">
        <v>7017332</v>
      </c>
      <c r="P247" s="81"/>
      <c r="Q247" s="81"/>
      <c r="R247" s="81" t="str">
        <f>_xlfn.CONCAT(表格1[[#This Row],[Model]]," ",表格1[[#This Row],[inv no]])</f>
        <v>RC-15ISTHK(W) 7017332</v>
      </c>
      <c r="S247" s="135">
        <f>_xlfn.XLOOKUP(表格1[[#This Row],[Model]],表格3[Model-Input-Ref2],表格3[SRP PRICE])</f>
        <v>1688</v>
      </c>
      <c r="T247" s="43">
        <f>表格1[[#This Row],[Unit Price]]/表格1[[#This Row],[SRP]]</f>
        <v>0.29620853080568721</v>
      </c>
      <c r="U247" s="86" t="str">
        <f>_xlfn.XLOOKUP(表格1[[#This Row],[Model]],表格3[Model-Input-Ref2],表格3[TOSHIBA/HIGHEST])</f>
        <v>Toshiba SRP</v>
      </c>
      <c r="V247" s="86">
        <v>110</v>
      </c>
      <c r="W247" s="86" t="str">
        <f>_xlfn.CONCAT(表格1[[#This Row],[欄4]],表格1[[#This Row],[inv no]])</f>
        <v>1107017332</v>
      </c>
    </row>
    <row r="248" spans="1:23" hidden="1">
      <c r="A248" s="81">
        <v>246</v>
      </c>
      <c r="B248" s="81" t="s">
        <v>1203</v>
      </c>
      <c r="C248" s="81" t="s">
        <v>1255</v>
      </c>
      <c r="D248" s="82" t="str">
        <f ca="1">OFFSET(Roster!$A$3,MATCH(表格1[[#This Row],[Location]]&amp;" "&amp;表格1[[#This Row],[Shop]]&amp;"*",Roster!$A$4:$A$72,0),DAY(表格1[[#This Row],[date]]),1,1)</f>
        <v>Me</v>
      </c>
      <c r="E248" s="81">
        <f>MONTH(表格1[[#This Row],[date]])</f>
        <v>3</v>
      </c>
      <c r="F248" s="101">
        <v>46084</v>
      </c>
      <c r="G248" s="81" t="str">
        <f>VLOOKUP("*"&amp;表格1[[#This Row],[Input]]&amp;"*",'Ref-List'!$B:$D,2,)</f>
        <v>TW-BL85A2H(WW)</v>
      </c>
      <c r="H248" s="81" t="str">
        <f>_xlfn.XLOOKUP(表格1[[#This Row],[Model]],表格3[Model-Input-Ref2],表格3[Product Line])</f>
        <v>7.5KG超薄身前置式變頻洗衣機</v>
      </c>
      <c r="I248" s="81" t="str">
        <f>_xlfn.XLOOKUP(表格1[[#This Row],[Model]],表格3[Model-Input-Ref2],表格3[大小電])</f>
        <v>大電</v>
      </c>
      <c r="J248" s="81" t="str">
        <f>_xlfn.XLOOKUP(表格1[[#This Row],[Model]],表格3[Model-Input-Ref2],表格3[Code])</f>
        <v>WM</v>
      </c>
      <c r="K248" s="82" t="s">
        <v>1206</v>
      </c>
      <c r="L248" s="81">
        <v>1</v>
      </c>
      <c r="M248" s="85">
        <v>2588</v>
      </c>
      <c r="N248" s="85">
        <f>IFERROR(表格1[[#This Row],[QTY]]*表格1[[#This Row],[Unit Price]],"-")</f>
        <v>2588</v>
      </c>
      <c r="O248" s="134">
        <v>7017336</v>
      </c>
      <c r="P248" s="81"/>
      <c r="Q248" s="81"/>
      <c r="R248" s="81" t="str">
        <f>_xlfn.CONCAT(表格1[[#This Row],[Model]]," ",表格1[[#This Row],[inv no]])</f>
        <v>TW-BL85A2H(WW) 7017336</v>
      </c>
      <c r="S248" s="135">
        <f>_xlfn.XLOOKUP(表格1[[#This Row],[Model]],表格3[Model-Input-Ref2],表格3[SRP PRICE])</f>
        <v>5080</v>
      </c>
      <c r="T248" s="43">
        <f>表格1[[#This Row],[Unit Price]]/表格1[[#This Row],[SRP]]</f>
        <v>0.50944881889763782</v>
      </c>
      <c r="U248" s="86" t="str">
        <f>_xlfn.XLOOKUP(表格1[[#This Row],[Model]],表格3[Model-Input-Ref2],表格3[TOSHIBA/HIGHEST])</f>
        <v>Toshiba SRP</v>
      </c>
      <c r="V248" s="86">
        <v>110</v>
      </c>
      <c r="W248" s="86" t="str">
        <f>_xlfn.CONCAT(表格1[[#This Row],[欄4]],表格1[[#This Row],[inv no]])</f>
        <v>1107017336</v>
      </c>
    </row>
    <row r="249" spans="1:23" hidden="1">
      <c r="A249" s="81">
        <v>247</v>
      </c>
      <c r="B249" s="81" t="s">
        <v>1203</v>
      </c>
      <c r="C249" s="81" t="s">
        <v>1255</v>
      </c>
      <c r="D249" s="82" t="str">
        <f ca="1">OFFSET(Roster!$A$3,MATCH(表格1[[#This Row],[Location]]&amp;" "&amp;表格1[[#This Row],[Shop]]&amp;"*",Roster!$A$4:$A$72,0),DAY(表格1[[#This Row],[date]]),1,1)</f>
        <v>Me</v>
      </c>
      <c r="E249" s="81">
        <f>MONTH(表格1[[#This Row],[date]])</f>
        <v>3</v>
      </c>
      <c r="F249" s="101">
        <v>46084</v>
      </c>
      <c r="G249" s="81" t="str">
        <f>VLOOKUP("*"&amp;表格1[[#This Row],[Input]]&amp;"*",'Ref-List'!$B:$D,2,)</f>
        <v>RC-15ISTHK(W)</v>
      </c>
      <c r="H249" s="81" t="str">
        <f>_xlfn.XLOOKUP(表格1[[#This Row],[Model]],表格3[Model-Input-Ref2],表格3[Product Line])</f>
        <v>磁應電飯煲(1.5公升)</v>
      </c>
      <c r="I249" s="81" t="str">
        <f>_xlfn.XLOOKUP(表格1[[#This Row],[Model]],表格3[Model-Input-Ref2],表格3[大小電])</f>
        <v>細電</v>
      </c>
      <c r="J249" s="81" t="str">
        <f>_xlfn.XLOOKUP(表格1[[#This Row],[Model]],表格3[Model-Input-Ref2],表格3[Code])</f>
        <v>SDA</v>
      </c>
      <c r="K249" s="82" t="s">
        <v>1204</v>
      </c>
      <c r="L249" s="81">
        <v>1</v>
      </c>
      <c r="M249" s="85">
        <v>500</v>
      </c>
      <c r="N249" s="85">
        <f>IFERROR(表格1[[#This Row],[QTY]]*表格1[[#This Row],[Unit Price]],"-")</f>
        <v>500</v>
      </c>
      <c r="O249" s="134">
        <v>7017325</v>
      </c>
      <c r="P249" s="81"/>
      <c r="Q249" s="81"/>
      <c r="R249" s="81" t="str">
        <f>_xlfn.CONCAT(表格1[[#This Row],[Model]]," ",表格1[[#This Row],[inv no]])</f>
        <v>RC-15ISTHK(W) 7017325</v>
      </c>
      <c r="S249" s="135">
        <f>_xlfn.XLOOKUP(表格1[[#This Row],[Model]],表格3[Model-Input-Ref2],表格3[SRP PRICE])</f>
        <v>1688</v>
      </c>
      <c r="T249" s="43">
        <f>表格1[[#This Row],[Unit Price]]/表格1[[#This Row],[SRP]]</f>
        <v>0.29620853080568721</v>
      </c>
      <c r="U249" s="86" t="str">
        <f>_xlfn.XLOOKUP(表格1[[#This Row],[Model]],表格3[Model-Input-Ref2],表格3[TOSHIBA/HIGHEST])</f>
        <v>Toshiba SRP</v>
      </c>
      <c r="V249" s="86">
        <v>110</v>
      </c>
      <c r="W249" s="86" t="str">
        <f>_xlfn.CONCAT(表格1[[#This Row],[欄4]],表格1[[#This Row],[inv no]])</f>
        <v>1107017325</v>
      </c>
    </row>
    <row r="250" spans="1:23" hidden="1">
      <c r="A250" s="81">
        <v>248</v>
      </c>
      <c r="B250" s="81" t="s">
        <v>1203</v>
      </c>
      <c r="C250" s="81" t="s">
        <v>1255</v>
      </c>
      <c r="D250" s="82" t="str">
        <f ca="1">OFFSET(Roster!$A$3,MATCH(表格1[[#This Row],[Location]]&amp;" "&amp;表格1[[#This Row],[Shop]]&amp;"*",Roster!$A$4:$A$72,0),DAY(表格1[[#This Row],[date]]),1,1)</f>
        <v>Me</v>
      </c>
      <c r="E250" s="81">
        <f>MONTH(表格1[[#This Row],[date]])</f>
        <v>3</v>
      </c>
      <c r="F250" s="101">
        <v>46084</v>
      </c>
      <c r="G250" s="81" t="str">
        <f>VLOOKUP("*"&amp;表格1[[#This Row],[Input]]&amp;"*",'Ref-List'!$B:$D,2,)</f>
        <v>AW-M901BPH(WW)</v>
      </c>
      <c r="H250" s="81" t="str">
        <f>_xlfn.XLOOKUP(表格1[[#This Row],[Model]],表格3[Model-Input-Ref2],表格3[Product Line])</f>
        <v>全自動洗衣機 (8公斤 結合高低水位)</v>
      </c>
      <c r="I250" s="81" t="str">
        <f>_xlfn.XLOOKUP(表格1[[#This Row],[Model]],表格3[Model-Input-Ref2],表格3[大小電])</f>
        <v>大電</v>
      </c>
      <c r="J250" s="81" t="str">
        <f>_xlfn.XLOOKUP(表格1[[#This Row],[Model]],表格3[Model-Input-Ref2],表格3[Code])</f>
        <v>WM</v>
      </c>
      <c r="K250" s="82" t="s">
        <v>1202</v>
      </c>
      <c r="L250" s="81">
        <v>1</v>
      </c>
      <c r="M250" s="85">
        <v>1500</v>
      </c>
      <c r="N250" s="85">
        <f>IFERROR(表格1[[#This Row],[QTY]]*表格1[[#This Row],[Unit Price]],"-")</f>
        <v>1500</v>
      </c>
      <c r="O250" s="134">
        <v>7017209</v>
      </c>
      <c r="P250" s="81"/>
      <c r="Q250" s="81"/>
      <c r="R250" s="81" t="str">
        <f>_xlfn.CONCAT(表格1[[#This Row],[Model]]," ",表格1[[#This Row],[inv no]])</f>
        <v>AW-M901BPH(WW) 7017209</v>
      </c>
      <c r="S250" s="135">
        <f>_xlfn.XLOOKUP(表格1[[#This Row],[Model]],表格3[Model-Input-Ref2],表格3[SRP PRICE])</f>
        <v>3580</v>
      </c>
      <c r="T250" s="43">
        <f>表格1[[#This Row],[Unit Price]]/表格1[[#This Row],[SRP]]</f>
        <v>0.41899441340782123</v>
      </c>
      <c r="U250" s="86" t="str">
        <f>_xlfn.XLOOKUP(表格1[[#This Row],[Model]],表格3[Model-Input-Ref2],表格3[TOSHIBA/HIGHEST])</f>
        <v>Toshiba SRP</v>
      </c>
      <c r="V250" s="86">
        <v>110</v>
      </c>
      <c r="W250" s="86" t="str">
        <f>_xlfn.CONCAT(表格1[[#This Row],[欄4]],表格1[[#This Row],[inv no]])</f>
        <v>1107017209</v>
      </c>
    </row>
    <row r="251" spans="1:23" hidden="1">
      <c r="A251" s="81">
        <v>249</v>
      </c>
      <c r="B251" s="81" t="s">
        <v>1203</v>
      </c>
      <c r="C251" s="81" t="s">
        <v>1255</v>
      </c>
      <c r="D251" s="82" t="str">
        <f ca="1">OFFSET(Roster!$A$3,MATCH(表格1[[#This Row],[Location]]&amp;" "&amp;表格1[[#This Row],[Shop]]&amp;"*",Roster!$A$4:$A$72,0),DAY(表格1[[#This Row],[date]]),1,1)</f>
        <v>Me</v>
      </c>
      <c r="E251" s="81">
        <f>MONTH(表格1[[#This Row],[date]])</f>
        <v>3</v>
      </c>
      <c r="F251" s="101">
        <v>46084</v>
      </c>
      <c r="G251" s="81" t="str">
        <f>VLOOKUP("*"&amp;表格1[[#This Row],[Input]]&amp;"*",'Ref-List'!$B:$D,2,)</f>
        <v>TWD-BN90GF4H(WK)</v>
      </c>
      <c r="H251" s="81" t="str">
        <f>_xlfn.XLOOKUP(表格1[[#This Row],[Model]],表格3[Model-Input-Ref2],表格3[Product Line])</f>
        <v>超薄身前置式洗衣乾衣機 (洗8公斤 乾5公斤)</v>
      </c>
      <c r="I251" s="81" t="str">
        <f>_xlfn.XLOOKUP(表格1[[#This Row],[Model]],表格3[Model-Input-Ref2],表格3[大小電])</f>
        <v>大電</v>
      </c>
      <c r="J251" s="81" t="str">
        <f>_xlfn.XLOOKUP(表格1[[#This Row],[Model]],表格3[Model-Input-Ref2],表格3[Code])</f>
        <v>WM</v>
      </c>
      <c r="K251" s="82" t="s">
        <v>1199</v>
      </c>
      <c r="L251" s="81">
        <v>1</v>
      </c>
      <c r="M251" s="85">
        <v>3588</v>
      </c>
      <c r="N251" s="85">
        <f>IFERROR(表格1[[#This Row],[QTY]]*表格1[[#This Row],[Unit Price]],"-")</f>
        <v>3588</v>
      </c>
      <c r="O251" s="134">
        <v>7027101</v>
      </c>
      <c r="P251" s="81"/>
      <c r="Q251" s="81"/>
      <c r="R251" s="81" t="str">
        <f>_xlfn.CONCAT(表格1[[#This Row],[Model]]," ",表格1[[#This Row],[inv no]])</f>
        <v>TWD-BN90GF4H(WK) 7027101</v>
      </c>
      <c r="S251" s="135">
        <f>_xlfn.XLOOKUP(表格1[[#This Row],[Model]],表格3[Model-Input-Ref2],表格3[SRP PRICE])</f>
        <v>5980</v>
      </c>
      <c r="T251" s="43">
        <f>表格1[[#This Row],[Unit Price]]/表格1[[#This Row],[SRP]]</f>
        <v>0.6</v>
      </c>
      <c r="U251" s="86" t="str">
        <f>_xlfn.XLOOKUP(表格1[[#This Row],[Model]],表格3[Model-Input-Ref2],表格3[TOSHIBA/HIGHEST])</f>
        <v>Toshiba SRP</v>
      </c>
      <c r="V251" s="86">
        <v>110</v>
      </c>
      <c r="W251" s="86" t="str">
        <f>_xlfn.CONCAT(表格1[[#This Row],[欄4]],表格1[[#This Row],[inv no]])</f>
        <v>1107027101</v>
      </c>
    </row>
    <row r="252" spans="1:23" hidden="1">
      <c r="A252" s="81">
        <v>250</v>
      </c>
      <c r="B252" s="81" t="s">
        <v>1203</v>
      </c>
      <c r="C252" s="81" t="s">
        <v>1255</v>
      </c>
      <c r="D252" s="82" t="str">
        <f ca="1">OFFSET(Roster!$A$3,MATCH(表格1[[#This Row],[Location]]&amp;" "&amp;表格1[[#This Row],[Shop]]&amp;"*",Roster!$A$4:$A$72,0),DAY(表格1[[#This Row],[date]]),1,1)</f>
        <v>Me</v>
      </c>
      <c r="E252" s="81">
        <f>MONTH(表格1[[#This Row],[date]])</f>
        <v>3</v>
      </c>
      <c r="F252" s="101">
        <v>46085</v>
      </c>
      <c r="G252" s="81" t="str">
        <f>VLOOKUP("*"&amp;表格1[[#This Row],[Input]]&amp;"*",'Ref-List'!$B:$D,2,)</f>
        <v>TWD-BN90GF4H(WK)</v>
      </c>
      <c r="H252" s="81" t="str">
        <f>_xlfn.XLOOKUP(表格1[[#This Row],[Model]],表格3[Model-Input-Ref2],表格3[Product Line])</f>
        <v>超薄身前置式洗衣乾衣機 (洗8公斤 乾5公斤)</v>
      </c>
      <c r="I252" s="81" t="str">
        <f>_xlfn.XLOOKUP(表格1[[#This Row],[Model]],表格3[Model-Input-Ref2],表格3[大小電])</f>
        <v>大電</v>
      </c>
      <c r="J252" s="81" t="str">
        <f>_xlfn.XLOOKUP(表格1[[#This Row],[Model]],表格3[Model-Input-Ref2],表格3[Code])</f>
        <v>WM</v>
      </c>
      <c r="K252" s="82" t="s">
        <v>1199</v>
      </c>
      <c r="L252" s="81">
        <v>1</v>
      </c>
      <c r="M252" s="85">
        <v>3588</v>
      </c>
      <c r="N252" s="85">
        <f>IFERROR(表格1[[#This Row],[QTY]]*表格1[[#This Row],[Unit Price]],"-")</f>
        <v>3588</v>
      </c>
      <c r="O252" s="134">
        <v>7017261</v>
      </c>
      <c r="P252" s="81"/>
      <c r="Q252" s="81"/>
      <c r="R252" s="81" t="str">
        <f>_xlfn.CONCAT(表格1[[#This Row],[Model]]," ",表格1[[#This Row],[inv no]])</f>
        <v>TWD-BN90GF4H(WK) 7017261</v>
      </c>
      <c r="S252" s="135">
        <f>_xlfn.XLOOKUP(表格1[[#This Row],[Model]],表格3[Model-Input-Ref2],表格3[SRP PRICE])</f>
        <v>5980</v>
      </c>
      <c r="T252" s="43">
        <f>表格1[[#This Row],[Unit Price]]/表格1[[#This Row],[SRP]]</f>
        <v>0.6</v>
      </c>
      <c r="U252" s="86" t="str">
        <f>_xlfn.XLOOKUP(表格1[[#This Row],[Model]],表格3[Model-Input-Ref2],表格3[TOSHIBA/HIGHEST])</f>
        <v>Toshiba SRP</v>
      </c>
      <c r="V252" s="86">
        <v>110</v>
      </c>
      <c r="W252" s="86" t="str">
        <f>_xlfn.CONCAT(表格1[[#This Row],[欄4]],表格1[[#This Row],[inv no]])</f>
        <v>1107017261</v>
      </c>
    </row>
    <row r="253" spans="1:23" hidden="1">
      <c r="A253" s="81">
        <v>251</v>
      </c>
      <c r="B253" s="81" t="s">
        <v>1203</v>
      </c>
      <c r="C253" s="81" t="s">
        <v>1255</v>
      </c>
      <c r="D253" s="82" t="str">
        <f ca="1">OFFSET(Roster!$A$3,MATCH(表格1[[#This Row],[Location]]&amp;" "&amp;表格1[[#This Row],[Shop]]&amp;"*",Roster!$A$4:$A$72,0),DAY(表格1[[#This Row],[date]]),1,1)</f>
        <v>Me</v>
      </c>
      <c r="E253" s="81">
        <f>MONTH(表格1[[#This Row],[date]])</f>
        <v>3</v>
      </c>
      <c r="F253" s="101">
        <v>46085</v>
      </c>
      <c r="G253" s="81" t="str">
        <f>VLOOKUP("*"&amp;表格1[[#This Row],[Input]]&amp;"*",'Ref-List'!$B:$D,2,)</f>
        <v>TWD-BN90GF4H(WK)</v>
      </c>
      <c r="H253" s="81" t="str">
        <f>_xlfn.XLOOKUP(表格1[[#This Row],[Model]],表格3[Model-Input-Ref2],表格3[Product Line])</f>
        <v>超薄身前置式洗衣乾衣機 (洗8公斤 乾5公斤)</v>
      </c>
      <c r="I253" s="81" t="str">
        <f>_xlfn.XLOOKUP(表格1[[#This Row],[Model]],表格3[Model-Input-Ref2],表格3[大小電])</f>
        <v>大電</v>
      </c>
      <c r="J253" s="81" t="str">
        <f>_xlfn.XLOOKUP(表格1[[#This Row],[Model]],表格3[Model-Input-Ref2],表格3[Code])</f>
        <v>WM</v>
      </c>
      <c r="K253" s="82" t="s">
        <v>1199</v>
      </c>
      <c r="L253" s="81">
        <v>1</v>
      </c>
      <c r="M253" s="85">
        <v>3588</v>
      </c>
      <c r="N253" s="85">
        <f>IFERROR(表格1[[#This Row],[QTY]]*表格1[[#This Row],[Unit Price]],"-")</f>
        <v>3588</v>
      </c>
      <c r="O253" s="134">
        <v>7027113</v>
      </c>
      <c r="P253" s="81"/>
      <c r="Q253" s="81"/>
      <c r="R253" s="81" t="str">
        <f>_xlfn.CONCAT(表格1[[#This Row],[Model]]," ",表格1[[#This Row],[inv no]])</f>
        <v>TWD-BN90GF4H(WK) 7027113</v>
      </c>
      <c r="S253" s="135">
        <f>_xlfn.XLOOKUP(表格1[[#This Row],[Model]],表格3[Model-Input-Ref2],表格3[SRP PRICE])</f>
        <v>5980</v>
      </c>
      <c r="T253" s="43">
        <f>表格1[[#This Row],[Unit Price]]/表格1[[#This Row],[SRP]]</f>
        <v>0.6</v>
      </c>
      <c r="U253" s="86" t="str">
        <f>_xlfn.XLOOKUP(表格1[[#This Row],[Model]],表格3[Model-Input-Ref2],表格3[TOSHIBA/HIGHEST])</f>
        <v>Toshiba SRP</v>
      </c>
      <c r="V253" s="86">
        <v>110</v>
      </c>
      <c r="W253" s="86" t="str">
        <f>_xlfn.CONCAT(表格1[[#This Row],[欄4]],表格1[[#This Row],[inv no]])</f>
        <v>1107027113</v>
      </c>
    </row>
    <row r="254" spans="1:23" hidden="1">
      <c r="A254" s="81">
        <v>252</v>
      </c>
      <c r="B254" s="81" t="s">
        <v>1203</v>
      </c>
      <c r="C254" s="81" t="s">
        <v>1255</v>
      </c>
      <c r="D254" s="82" t="str">
        <f ca="1">OFFSET(Roster!$A$3,MATCH(表格1[[#This Row],[Location]]&amp;" "&amp;表格1[[#This Row],[Shop]]&amp;"*",Roster!$A$4:$A$72,0),DAY(表格1[[#This Row],[date]]),1,1)</f>
        <v>Me</v>
      </c>
      <c r="E254" s="81">
        <f>MONTH(表格1[[#This Row],[date]])</f>
        <v>3</v>
      </c>
      <c r="F254" s="101">
        <v>46085</v>
      </c>
      <c r="G254" s="81" t="str">
        <f>VLOOKUP("*"&amp;表格1[[#This Row],[Input]]&amp;"*",'Ref-List'!$B:$D,2,)</f>
        <v>RC-15ISTHK(W)</v>
      </c>
      <c r="H254" s="81" t="str">
        <f>_xlfn.XLOOKUP(表格1[[#This Row],[Model]],表格3[Model-Input-Ref2],表格3[Product Line])</f>
        <v>磁應電飯煲(1.5公升)</v>
      </c>
      <c r="I254" s="81" t="str">
        <f>_xlfn.XLOOKUP(表格1[[#This Row],[Model]],表格3[Model-Input-Ref2],表格3[大小電])</f>
        <v>細電</v>
      </c>
      <c r="J254" s="81" t="str">
        <f>_xlfn.XLOOKUP(表格1[[#This Row],[Model]],表格3[Model-Input-Ref2],表格3[Code])</f>
        <v>SDA</v>
      </c>
      <c r="K254" s="82" t="s">
        <v>1204</v>
      </c>
      <c r="L254" s="81">
        <v>1</v>
      </c>
      <c r="M254" s="85">
        <v>500</v>
      </c>
      <c r="N254" s="85">
        <f>IFERROR(表格1[[#This Row],[QTY]]*表格1[[#This Row],[Unit Price]],"-")</f>
        <v>500</v>
      </c>
      <c r="O254" s="134">
        <v>7027194</v>
      </c>
      <c r="P254" s="81"/>
      <c r="Q254" s="81"/>
      <c r="R254" s="81" t="str">
        <f>_xlfn.CONCAT(表格1[[#This Row],[Model]]," ",表格1[[#This Row],[inv no]])</f>
        <v>RC-15ISTHK(W) 7027194</v>
      </c>
      <c r="S254" s="135">
        <f>_xlfn.XLOOKUP(表格1[[#This Row],[Model]],表格3[Model-Input-Ref2],表格3[SRP PRICE])</f>
        <v>1688</v>
      </c>
      <c r="T254" s="43">
        <f>表格1[[#This Row],[Unit Price]]/表格1[[#This Row],[SRP]]</f>
        <v>0.29620853080568721</v>
      </c>
      <c r="U254" s="86" t="str">
        <f>_xlfn.XLOOKUP(表格1[[#This Row],[Model]],表格3[Model-Input-Ref2],表格3[TOSHIBA/HIGHEST])</f>
        <v>Toshiba SRP</v>
      </c>
      <c r="V254" s="86">
        <v>110</v>
      </c>
      <c r="W254" s="86" t="str">
        <f>_xlfn.CONCAT(表格1[[#This Row],[欄4]],表格1[[#This Row],[inv no]])</f>
        <v>1107027194</v>
      </c>
    </row>
    <row r="255" spans="1:23" hidden="1">
      <c r="A255" s="81">
        <v>253</v>
      </c>
      <c r="B255" s="81" t="s">
        <v>1203</v>
      </c>
      <c r="C255" s="81" t="s">
        <v>1255</v>
      </c>
      <c r="D255" s="82" t="str">
        <f ca="1">OFFSET(Roster!$A$3,MATCH(表格1[[#This Row],[Location]]&amp;" "&amp;表格1[[#This Row],[Shop]]&amp;"*",Roster!$A$4:$A$72,0),DAY(表格1[[#This Row],[date]]),1,1)</f>
        <v>Me</v>
      </c>
      <c r="E255" s="81">
        <f>MONTH(表格1[[#This Row],[date]])</f>
        <v>3</v>
      </c>
      <c r="F255" s="101">
        <v>46085</v>
      </c>
      <c r="G255" s="81" t="str">
        <f>VLOOKUP("*"&amp;表格1[[#This Row],[Input]]&amp;"*",'Ref-List'!$B:$D,2,)</f>
        <v>RC-15ISTHK(W)</v>
      </c>
      <c r="H255" s="81" t="str">
        <f>_xlfn.XLOOKUP(表格1[[#This Row],[Model]],表格3[Model-Input-Ref2],表格3[Product Line])</f>
        <v>磁應電飯煲(1.5公升)</v>
      </c>
      <c r="I255" s="81" t="str">
        <f>_xlfn.XLOOKUP(表格1[[#This Row],[Model]],表格3[Model-Input-Ref2],表格3[大小電])</f>
        <v>細電</v>
      </c>
      <c r="J255" s="81" t="str">
        <f>_xlfn.XLOOKUP(表格1[[#This Row],[Model]],表格3[Model-Input-Ref2],表格3[Code])</f>
        <v>SDA</v>
      </c>
      <c r="K255" s="82" t="s">
        <v>1204</v>
      </c>
      <c r="L255" s="81">
        <v>1</v>
      </c>
      <c r="M255" s="85">
        <v>500</v>
      </c>
      <c r="N255" s="85">
        <f>IFERROR(表格1[[#This Row],[QTY]]*表格1[[#This Row],[Unit Price]],"-")</f>
        <v>500</v>
      </c>
      <c r="O255" s="134">
        <v>7065485</v>
      </c>
      <c r="P255" s="81"/>
      <c r="Q255" s="81"/>
      <c r="R255" s="81" t="str">
        <f>_xlfn.CONCAT(表格1[[#This Row],[Model]]," ",表格1[[#This Row],[inv no]])</f>
        <v>RC-15ISTHK(W) 7065485</v>
      </c>
      <c r="S255" s="135">
        <f>_xlfn.XLOOKUP(表格1[[#This Row],[Model]],表格3[Model-Input-Ref2],表格3[SRP PRICE])</f>
        <v>1688</v>
      </c>
      <c r="T255" s="43">
        <f>表格1[[#This Row],[Unit Price]]/表格1[[#This Row],[SRP]]</f>
        <v>0.29620853080568721</v>
      </c>
      <c r="U255" s="86" t="str">
        <f>_xlfn.XLOOKUP(表格1[[#This Row],[Model]],表格3[Model-Input-Ref2],表格3[TOSHIBA/HIGHEST])</f>
        <v>Toshiba SRP</v>
      </c>
      <c r="V255" s="86">
        <v>110</v>
      </c>
      <c r="W255" s="86" t="str">
        <f>_xlfn.CONCAT(表格1[[#This Row],[欄4]],表格1[[#This Row],[inv no]])</f>
        <v>1107065485</v>
      </c>
    </row>
    <row r="256" spans="1:23" hidden="1">
      <c r="A256" s="81">
        <v>254</v>
      </c>
      <c r="B256" s="81" t="s">
        <v>1203</v>
      </c>
      <c r="C256" s="81" t="s">
        <v>1255</v>
      </c>
      <c r="D256" s="82" t="str">
        <f ca="1">OFFSET(Roster!$A$3,MATCH(表格1[[#This Row],[Location]]&amp;" "&amp;表格1[[#This Row],[Shop]]&amp;"*",Roster!$A$4:$A$72,0),DAY(表格1[[#This Row],[date]]),1,1)</f>
        <v>Me</v>
      </c>
      <c r="E256" s="81">
        <f>MONTH(表格1[[#This Row],[date]])</f>
        <v>3</v>
      </c>
      <c r="F256" s="101">
        <v>46085</v>
      </c>
      <c r="G256" s="81" t="str">
        <f>VLOOKUP("*"&amp;表格1[[#This Row],[Input]]&amp;"*",'Ref-List'!$B:$D,2,)</f>
        <v>RC-15ISTHK(W)</v>
      </c>
      <c r="H256" s="81" t="str">
        <f>_xlfn.XLOOKUP(表格1[[#This Row],[Model]],表格3[Model-Input-Ref2],表格3[Product Line])</f>
        <v>磁應電飯煲(1.5公升)</v>
      </c>
      <c r="I256" s="81" t="str">
        <f>_xlfn.XLOOKUP(表格1[[#This Row],[Model]],表格3[Model-Input-Ref2],表格3[大小電])</f>
        <v>細電</v>
      </c>
      <c r="J256" s="81" t="str">
        <f>_xlfn.XLOOKUP(表格1[[#This Row],[Model]],表格3[Model-Input-Ref2],表格3[Code])</f>
        <v>SDA</v>
      </c>
      <c r="K256" s="82" t="s">
        <v>1238</v>
      </c>
      <c r="L256" s="81">
        <v>1</v>
      </c>
      <c r="M256" s="85">
        <v>500</v>
      </c>
      <c r="N256" s="85">
        <f>IFERROR(表格1[[#This Row],[QTY]]*表格1[[#This Row],[Unit Price]],"-")</f>
        <v>500</v>
      </c>
      <c r="O256" s="134">
        <v>7017262</v>
      </c>
      <c r="P256" s="81"/>
      <c r="Q256" s="81"/>
      <c r="R256" s="81" t="str">
        <f>_xlfn.CONCAT(表格1[[#This Row],[Model]]," ",表格1[[#This Row],[inv no]])</f>
        <v>RC-15ISTHK(W) 7017262</v>
      </c>
      <c r="S256" s="135">
        <f>_xlfn.XLOOKUP(表格1[[#This Row],[Model]],表格3[Model-Input-Ref2],表格3[SRP PRICE])</f>
        <v>1688</v>
      </c>
      <c r="T256" s="43">
        <f>表格1[[#This Row],[Unit Price]]/表格1[[#This Row],[SRP]]</f>
        <v>0.29620853080568721</v>
      </c>
      <c r="U256" s="86" t="str">
        <f>_xlfn.XLOOKUP(表格1[[#This Row],[Model]],表格3[Model-Input-Ref2],表格3[TOSHIBA/HIGHEST])</f>
        <v>Toshiba SRP</v>
      </c>
      <c r="V256" s="86">
        <v>110</v>
      </c>
      <c r="W256" s="86" t="str">
        <f>_xlfn.CONCAT(表格1[[#This Row],[欄4]],表格1[[#This Row],[inv no]])</f>
        <v>1107017262</v>
      </c>
    </row>
    <row r="257" spans="1:23" hidden="1">
      <c r="A257" s="81">
        <v>255</v>
      </c>
      <c r="B257" s="81" t="s">
        <v>1203</v>
      </c>
      <c r="C257" s="81" t="s">
        <v>1255</v>
      </c>
      <c r="D257" s="82" t="str">
        <f ca="1">OFFSET(Roster!$A$3,MATCH(表格1[[#This Row],[Location]]&amp;" "&amp;表格1[[#This Row],[Shop]]&amp;"*",Roster!$A$4:$A$72,0),DAY(表格1[[#This Row],[date]]),1,1)</f>
        <v>Me</v>
      </c>
      <c r="E257" s="81">
        <f>MONTH(表格1[[#This Row],[date]])</f>
        <v>3</v>
      </c>
      <c r="F257" s="101">
        <v>46085</v>
      </c>
      <c r="G257" s="81" t="str">
        <f>VLOOKUP("*"&amp;表格1[[#This Row],[Input]]&amp;"*",'Ref-List'!$B:$D,2,)</f>
        <v>RC-15ISTHK(W)</v>
      </c>
      <c r="H257" s="81" t="str">
        <f>_xlfn.XLOOKUP(表格1[[#This Row],[Model]],表格3[Model-Input-Ref2],表格3[Product Line])</f>
        <v>磁應電飯煲(1.5公升)</v>
      </c>
      <c r="I257" s="81" t="str">
        <f>_xlfn.XLOOKUP(表格1[[#This Row],[Model]],表格3[Model-Input-Ref2],表格3[大小電])</f>
        <v>細電</v>
      </c>
      <c r="J257" s="81" t="str">
        <f>_xlfn.XLOOKUP(表格1[[#This Row],[Model]],表格3[Model-Input-Ref2],表格3[Code])</f>
        <v>SDA</v>
      </c>
      <c r="K257" s="82" t="s">
        <v>1238</v>
      </c>
      <c r="L257" s="81">
        <v>1</v>
      </c>
      <c r="M257" s="85">
        <v>500</v>
      </c>
      <c r="N257" s="85">
        <f>IFERROR(表格1[[#This Row],[QTY]]*表格1[[#This Row],[Unit Price]],"-")</f>
        <v>500</v>
      </c>
      <c r="O257" s="134">
        <v>7027162</v>
      </c>
      <c r="P257" s="81"/>
      <c r="Q257" s="81"/>
      <c r="R257" s="81" t="str">
        <f>_xlfn.CONCAT(表格1[[#This Row],[Model]]," ",表格1[[#This Row],[inv no]])</f>
        <v>RC-15ISTHK(W) 7027162</v>
      </c>
      <c r="S257" s="135">
        <f>_xlfn.XLOOKUP(表格1[[#This Row],[Model]],表格3[Model-Input-Ref2],表格3[SRP PRICE])</f>
        <v>1688</v>
      </c>
      <c r="T257" s="43">
        <f>表格1[[#This Row],[Unit Price]]/表格1[[#This Row],[SRP]]</f>
        <v>0.29620853080568721</v>
      </c>
      <c r="U257" s="86" t="str">
        <f>_xlfn.XLOOKUP(表格1[[#This Row],[Model]],表格3[Model-Input-Ref2],表格3[TOSHIBA/HIGHEST])</f>
        <v>Toshiba SRP</v>
      </c>
      <c r="V257" s="86">
        <v>110</v>
      </c>
      <c r="W257" s="86" t="str">
        <f>_xlfn.CONCAT(表格1[[#This Row],[欄4]],表格1[[#This Row],[inv no]])</f>
        <v>1107027162</v>
      </c>
    </row>
    <row r="258" spans="1:23" hidden="1">
      <c r="A258" s="81">
        <v>256</v>
      </c>
      <c r="B258" s="81" t="s">
        <v>1203</v>
      </c>
      <c r="C258" s="81" t="s">
        <v>1255</v>
      </c>
      <c r="D258" s="82" t="str">
        <f ca="1">OFFSET(Roster!$A$3,MATCH(表格1[[#This Row],[Location]]&amp;" "&amp;表格1[[#This Row],[Shop]]&amp;"*",Roster!$A$4:$A$72,0),DAY(表格1[[#This Row],[date]]),1,1)</f>
        <v>Me</v>
      </c>
      <c r="E258" s="81">
        <f>MONTH(表格1[[#This Row],[date]])</f>
        <v>3</v>
      </c>
      <c r="F258" s="101">
        <v>46085</v>
      </c>
      <c r="G258" s="81" t="str">
        <f>VLOOKUP("*"&amp;表格1[[#This Row],[Input]]&amp;"*",'Ref-List'!$B:$D,2,)</f>
        <v>RC-15ISTHK(W)</v>
      </c>
      <c r="H258" s="81" t="str">
        <f>_xlfn.XLOOKUP(表格1[[#This Row],[Model]],表格3[Model-Input-Ref2],表格3[Product Line])</f>
        <v>磁應電飯煲(1.5公升)</v>
      </c>
      <c r="I258" s="81" t="str">
        <f>_xlfn.XLOOKUP(表格1[[#This Row],[Model]],表格3[Model-Input-Ref2],表格3[大小電])</f>
        <v>細電</v>
      </c>
      <c r="J258" s="81" t="str">
        <f>_xlfn.XLOOKUP(表格1[[#This Row],[Model]],表格3[Model-Input-Ref2],表格3[Code])</f>
        <v>SDA</v>
      </c>
      <c r="K258" s="82" t="s">
        <v>1238</v>
      </c>
      <c r="L258" s="81">
        <v>1</v>
      </c>
      <c r="M258" s="85">
        <v>500</v>
      </c>
      <c r="N258" s="85">
        <f>IFERROR(表格1[[#This Row],[QTY]]*表格1[[#This Row],[Unit Price]],"-")</f>
        <v>500</v>
      </c>
      <c r="O258" s="134">
        <v>7027089</v>
      </c>
      <c r="P258" s="81"/>
      <c r="Q258" s="81"/>
      <c r="R258" s="81" t="str">
        <f>_xlfn.CONCAT(表格1[[#This Row],[Model]]," ",表格1[[#This Row],[inv no]])</f>
        <v>RC-15ISTHK(W) 7027089</v>
      </c>
      <c r="S258" s="135">
        <f>_xlfn.XLOOKUP(表格1[[#This Row],[Model]],表格3[Model-Input-Ref2],表格3[SRP PRICE])</f>
        <v>1688</v>
      </c>
      <c r="T258" s="43">
        <f>表格1[[#This Row],[Unit Price]]/表格1[[#This Row],[SRP]]</f>
        <v>0.29620853080568721</v>
      </c>
      <c r="U258" s="86" t="str">
        <f>_xlfn.XLOOKUP(表格1[[#This Row],[Model]],表格3[Model-Input-Ref2],表格3[TOSHIBA/HIGHEST])</f>
        <v>Toshiba SRP</v>
      </c>
      <c r="V258" s="86">
        <v>110</v>
      </c>
      <c r="W258" s="86" t="str">
        <f>_xlfn.CONCAT(表格1[[#This Row],[欄4]],表格1[[#This Row],[inv no]])</f>
        <v>1107027089</v>
      </c>
    </row>
    <row r="259" spans="1:23" hidden="1">
      <c r="A259" s="81">
        <v>257</v>
      </c>
      <c r="B259" s="81" t="s">
        <v>1203</v>
      </c>
      <c r="C259" s="81" t="s">
        <v>1255</v>
      </c>
      <c r="D259" s="82" t="str">
        <f ca="1">OFFSET(Roster!$A$3,MATCH(表格1[[#This Row],[Location]]&amp;" "&amp;表格1[[#This Row],[Shop]]&amp;"*",Roster!$A$4:$A$72,0),DAY(表格1[[#This Row],[date]]),1,1)</f>
        <v>Me</v>
      </c>
      <c r="E259" s="81">
        <f>MONTH(表格1[[#This Row],[date]])</f>
        <v>3</v>
      </c>
      <c r="F259" s="101">
        <v>46085</v>
      </c>
      <c r="G259" s="81" t="str">
        <f>VLOOKUP("*"&amp;表格1[[#This Row],[Input]]&amp;"*",'Ref-List'!$B:$D,2,)</f>
        <v>AW-M901BPH(WW)</v>
      </c>
      <c r="H259" s="81" t="str">
        <f>_xlfn.XLOOKUP(表格1[[#This Row],[Model]],表格3[Model-Input-Ref2],表格3[Product Line])</f>
        <v>全自動洗衣機 (8公斤 結合高低水位)</v>
      </c>
      <c r="I259" s="81" t="str">
        <f>_xlfn.XLOOKUP(表格1[[#This Row],[Model]],表格3[Model-Input-Ref2],表格3[大小電])</f>
        <v>大電</v>
      </c>
      <c r="J259" s="81" t="str">
        <f>_xlfn.XLOOKUP(表格1[[#This Row],[Model]],表格3[Model-Input-Ref2],表格3[Code])</f>
        <v>WM</v>
      </c>
      <c r="K259" s="82" t="s">
        <v>1202</v>
      </c>
      <c r="L259" s="81">
        <v>1</v>
      </c>
      <c r="M259" s="85">
        <v>1500</v>
      </c>
      <c r="N259" s="85">
        <f>IFERROR(表格1[[#This Row],[QTY]]*表格1[[#This Row],[Unit Price]],"-")</f>
        <v>1500</v>
      </c>
      <c r="O259" s="134">
        <v>7065650</v>
      </c>
      <c r="P259" s="81"/>
      <c r="Q259" s="81"/>
      <c r="R259" s="81" t="str">
        <f>_xlfn.CONCAT(表格1[[#This Row],[Model]]," ",表格1[[#This Row],[inv no]])</f>
        <v>AW-M901BPH(WW) 7065650</v>
      </c>
      <c r="S259" s="135">
        <f>_xlfn.XLOOKUP(表格1[[#This Row],[Model]],表格3[Model-Input-Ref2],表格3[SRP PRICE])</f>
        <v>3580</v>
      </c>
      <c r="T259" s="43">
        <f>表格1[[#This Row],[Unit Price]]/表格1[[#This Row],[SRP]]</f>
        <v>0.41899441340782123</v>
      </c>
      <c r="U259" s="86" t="str">
        <f>_xlfn.XLOOKUP(表格1[[#This Row],[Model]],表格3[Model-Input-Ref2],表格3[TOSHIBA/HIGHEST])</f>
        <v>Toshiba SRP</v>
      </c>
      <c r="V259" s="86">
        <v>110</v>
      </c>
      <c r="W259" s="86" t="str">
        <f>_xlfn.CONCAT(表格1[[#This Row],[欄4]],表格1[[#This Row],[inv no]])</f>
        <v>1107065650</v>
      </c>
    </row>
    <row r="260" spans="1:23" ht="16.5" hidden="1">
      <c r="A260" s="81">
        <v>258</v>
      </c>
      <c r="B260" s="81" t="s">
        <v>1203</v>
      </c>
      <c r="C260" s="81" t="s">
        <v>1255</v>
      </c>
      <c r="D260" s="82" t="str">
        <f ca="1">OFFSET(Roster!$A$3,MATCH(表格1[[#This Row],[Location]]&amp;" "&amp;表格1[[#This Row],[Shop]]&amp;"*",Roster!$A$4:$A$72,0),DAY(表格1[[#This Row],[date]]),1,1)</f>
        <v>Me</v>
      </c>
      <c r="E260" s="81">
        <f>MONTH(表格1[[#This Row],[date]])</f>
        <v>3</v>
      </c>
      <c r="F260" s="101">
        <v>46087</v>
      </c>
      <c r="G260" s="81" t="str">
        <f>VLOOKUP("*"&amp;表格1[[#This Row],[Input]]&amp;"*",'Ref-List'!$B:$D,2,)</f>
        <v>PLK-45SFIH(WT)</v>
      </c>
      <c r="H260" s="81" t="str">
        <f>_xlfn.XLOOKUP(表格1[[#This Row],[Model]],表格3[Model-Input-Ref2],表格3[Product Line])</f>
        <v>電熱水瓶4.5L</v>
      </c>
      <c r="I260" s="81" t="str">
        <f>_xlfn.XLOOKUP(表格1[[#This Row],[Model]],表格3[Model-Input-Ref2],表格3[大小電])</f>
        <v>細電</v>
      </c>
      <c r="J260" s="81" t="str">
        <f>_xlfn.XLOOKUP(表格1[[#This Row],[Model]],表格3[Model-Input-Ref2],表格3[Code])</f>
        <v>SDA</v>
      </c>
      <c r="K260" s="82" t="s">
        <v>1117</v>
      </c>
      <c r="L260" s="81">
        <v>1</v>
      </c>
      <c r="M260" s="85">
        <v>500</v>
      </c>
      <c r="N260" s="85">
        <f>IFERROR(表格1[[#This Row],[QTY]]*表格1[[#This Row],[Unit Price]],"-")</f>
        <v>500</v>
      </c>
      <c r="O260" s="134">
        <v>7065646</v>
      </c>
      <c r="P260" s="137"/>
      <c r="Q260" s="81"/>
      <c r="R260" s="81" t="str">
        <f>_xlfn.CONCAT(表格1[[#This Row],[Model]]," ",表格1[[#This Row],[inv no]])</f>
        <v>PLK-45SFIH(WT) 7065646</v>
      </c>
      <c r="S260" s="135">
        <f>_xlfn.XLOOKUP(表格1[[#This Row],[Model]],表格3[Model-Input-Ref2],表格3[SRP PRICE])</f>
        <v>788</v>
      </c>
      <c r="T260" s="43">
        <f>表格1[[#This Row],[Unit Price]]/表格1[[#This Row],[SRP]]</f>
        <v>0.63451776649746194</v>
      </c>
      <c r="U260" s="86" t="str">
        <f>_xlfn.XLOOKUP(表格1[[#This Row],[Model]],表格3[Model-Input-Ref2],表格3[TOSHIBA/HIGHEST])</f>
        <v>Toshiba SRP</v>
      </c>
      <c r="V260" s="86">
        <v>110</v>
      </c>
      <c r="W260" s="86" t="str">
        <f>_xlfn.CONCAT(表格1[[#This Row],[欄4]],表格1[[#This Row],[inv no]])</f>
        <v>1107065646</v>
      </c>
    </row>
    <row r="261" spans="1:23" hidden="1">
      <c r="A261" s="81">
        <v>259</v>
      </c>
      <c r="B261" s="81" t="s">
        <v>1203</v>
      </c>
      <c r="C261" s="81" t="s">
        <v>1255</v>
      </c>
      <c r="D261" s="82" t="str">
        <f ca="1">OFFSET(Roster!$A$3,MATCH(表格1[[#This Row],[Location]]&amp;" "&amp;表格1[[#This Row],[Shop]]&amp;"*",Roster!$A$4:$A$72,0),DAY(表格1[[#This Row],[date]]),1,1)</f>
        <v>Me</v>
      </c>
      <c r="E261" s="81">
        <f>MONTH(表格1[[#This Row],[date]])</f>
        <v>3</v>
      </c>
      <c r="F261" s="101">
        <v>46087</v>
      </c>
      <c r="G261" s="81" t="str">
        <f>VLOOKUP("*"&amp;表格1[[#This Row],[Input]]&amp;"*",'Ref-List'!$B:$D,2,)</f>
        <v>RC-15ISTHK(W)</v>
      </c>
      <c r="H261" s="81" t="str">
        <f>_xlfn.XLOOKUP(表格1[[#This Row],[Model]],表格3[Model-Input-Ref2],表格3[Product Line])</f>
        <v>磁應電飯煲(1.5公升)</v>
      </c>
      <c r="I261" s="81" t="str">
        <f>_xlfn.XLOOKUP(表格1[[#This Row],[Model]],表格3[Model-Input-Ref2],表格3[大小電])</f>
        <v>細電</v>
      </c>
      <c r="J261" s="81" t="str">
        <f>_xlfn.XLOOKUP(表格1[[#This Row],[Model]],表格3[Model-Input-Ref2],表格3[Code])</f>
        <v>SDA</v>
      </c>
      <c r="K261" s="82" t="s">
        <v>1204</v>
      </c>
      <c r="L261" s="81">
        <v>1</v>
      </c>
      <c r="M261" s="85">
        <v>500</v>
      </c>
      <c r="N261" s="85">
        <f>IFERROR(表格1[[#This Row],[QTY]]*表格1[[#This Row],[Unit Price]],"-")</f>
        <v>500</v>
      </c>
      <c r="O261" s="134">
        <v>7065650</v>
      </c>
      <c r="P261" s="81"/>
      <c r="Q261" s="81"/>
      <c r="R261" s="81" t="str">
        <f>_xlfn.CONCAT(表格1[[#This Row],[Model]]," ",表格1[[#This Row],[inv no]])</f>
        <v>RC-15ISTHK(W) 7065650</v>
      </c>
      <c r="S261" s="135">
        <f>_xlfn.XLOOKUP(表格1[[#This Row],[Model]],表格3[Model-Input-Ref2],表格3[SRP PRICE])</f>
        <v>1688</v>
      </c>
      <c r="T261" s="43">
        <f>表格1[[#This Row],[Unit Price]]/表格1[[#This Row],[SRP]]</f>
        <v>0.29620853080568721</v>
      </c>
      <c r="U261" s="86" t="str">
        <f>_xlfn.XLOOKUP(表格1[[#This Row],[Model]],表格3[Model-Input-Ref2],表格3[TOSHIBA/HIGHEST])</f>
        <v>Toshiba SRP</v>
      </c>
      <c r="V261" s="86">
        <v>110</v>
      </c>
      <c r="W261" s="86" t="str">
        <f>_xlfn.CONCAT(表格1[[#This Row],[欄4]],表格1[[#This Row],[inv no]])</f>
        <v>1107065650</v>
      </c>
    </row>
    <row r="262" spans="1:23" hidden="1">
      <c r="A262" s="81">
        <v>260</v>
      </c>
      <c r="B262" s="81" t="s">
        <v>1203</v>
      </c>
      <c r="C262" s="81" t="s">
        <v>1255</v>
      </c>
      <c r="D262" s="82" t="str">
        <f ca="1">OFFSET(Roster!$A$3,MATCH(表格1[[#This Row],[Location]]&amp;" "&amp;表格1[[#This Row],[Shop]]&amp;"*",Roster!$A$4:$A$72,0),DAY(表格1[[#This Row],[date]]),1,1)</f>
        <v>Me</v>
      </c>
      <c r="E262" s="81">
        <f>MONTH(表格1[[#This Row],[date]])</f>
        <v>3</v>
      </c>
      <c r="F262" s="101">
        <v>46087</v>
      </c>
      <c r="G262" s="81" t="str">
        <f>VLOOKUP("*"&amp;表格1[[#This Row],[Input]]&amp;"*",'Ref-List'!$B:$D,2,)</f>
        <v>RC-15ISTHK(W)</v>
      </c>
      <c r="H262" s="81" t="str">
        <f>_xlfn.XLOOKUP(表格1[[#This Row],[Model]],表格3[Model-Input-Ref2],表格3[Product Line])</f>
        <v>磁應電飯煲(1.5公升)</v>
      </c>
      <c r="I262" s="81" t="str">
        <f>_xlfn.XLOOKUP(表格1[[#This Row],[Model]],表格3[Model-Input-Ref2],表格3[大小電])</f>
        <v>細電</v>
      </c>
      <c r="J262" s="81" t="str">
        <f>_xlfn.XLOOKUP(表格1[[#This Row],[Model]],表格3[Model-Input-Ref2],表格3[Code])</f>
        <v>SDA</v>
      </c>
      <c r="K262" s="82" t="s">
        <v>1204</v>
      </c>
      <c r="L262" s="81">
        <v>1</v>
      </c>
      <c r="M262" s="85">
        <v>500</v>
      </c>
      <c r="N262" s="85">
        <f>IFERROR(表格1[[#This Row],[QTY]]*表格1[[#This Row],[Unit Price]],"-")</f>
        <v>500</v>
      </c>
      <c r="O262" s="134">
        <v>7027376</v>
      </c>
      <c r="P262" s="81"/>
      <c r="Q262" s="81"/>
      <c r="R262" s="81" t="str">
        <f>_xlfn.CONCAT(表格1[[#This Row],[Model]]," ",表格1[[#This Row],[inv no]])</f>
        <v>RC-15ISTHK(W) 7027376</v>
      </c>
      <c r="S262" s="135">
        <f>_xlfn.XLOOKUP(表格1[[#This Row],[Model]],表格3[Model-Input-Ref2],表格3[SRP PRICE])</f>
        <v>1688</v>
      </c>
      <c r="T262" s="43">
        <f>表格1[[#This Row],[Unit Price]]/表格1[[#This Row],[SRP]]</f>
        <v>0.29620853080568721</v>
      </c>
      <c r="U262" s="86" t="str">
        <f>_xlfn.XLOOKUP(表格1[[#This Row],[Model]],表格3[Model-Input-Ref2],表格3[TOSHIBA/HIGHEST])</f>
        <v>Toshiba SRP</v>
      </c>
      <c r="V262" s="86">
        <v>110</v>
      </c>
      <c r="W262" s="86" t="str">
        <f>_xlfn.CONCAT(表格1[[#This Row],[欄4]],表格1[[#This Row],[inv no]])</f>
        <v>1107027376</v>
      </c>
    </row>
    <row r="263" spans="1:23" hidden="1">
      <c r="A263" s="81">
        <v>261</v>
      </c>
      <c r="B263" s="81" t="s">
        <v>1203</v>
      </c>
      <c r="C263" s="81" t="s">
        <v>1255</v>
      </c>
      <c r="D263" s="82" t="str">
        <f ca="1">OFFSET(Roster!$A$3,MATCH(表格1[[#This Row],[Location]]&amp;" "&amp;表格1[[#This Row],[Shop]]&amp;"*",Roster!$A$4:$A$72,0),DAY(表格1[[#This Row],[date]]),1,1)</f>
        <v>Me</v>
      </c>
      <c r="E263" s="81">
        <f>MONTH(表格1[[#This Row],[date]])</f>
        <v>3</v>
      </c>
      <c r="F263" s="101">
        <v>46087</v>
      </c>
      <c r="G263" s="81" t="str">
        <f>VLOOKUP("*"&amp;表格1[[#This Row],[Input]]&amp;"*",'Ref-List'!$B:$D,2,)</f>
        <v>TWP-TSR76THK(W)</v>
      </c>
      <c r="H263" s="81" t="str">
        <f>_xlfn.XLOOKUP(表格1[[#This Row],[Model]],表格3[Model-Input-Ref2],表格3[Product Line])</f>
        <v>RO座檯式飲水機</v>
      </c>
      <c r="I263" s="81" t="str">
        <f>_xlfn.XLOOKUP(表格1[[#This Row],[Model]],表格3[Model-Input-Ref2],表格3[大小電])</f>
        <v>細電</v>
      </c>
      <c r="J263" s="81" t="str">
        <f>_xlfn.XLOOKUP(表格1[[#This Row],[Model]],表格3[Model-Input-Ref2],表格3[Code])</f>
        <v>KWH</v>
      </c>
      <c r="K263" s="82" t="s">
        <v>1197</v>
      </c>
      <c r="L263" s="81">
        <v>1</v>
      </c>
      <c r="M263" s="85">
        <v>1500</v>
      </c>
      <c r="N263" s="85">
        <f>IFERROR(表格1[[#This Row],[QTY]]*表格1[[#This Row],[Unit Price]],"-")</f>
        <v>1500</v>
      </c>
      <c r="O263" s="134">
        <v>7027395</v>
      </c>
      <c r="P263" s="81"/>
      <c r="Q263" s="81"/>
      <c r="R263" s="81" t="str">
        <f>_xlfn.CONCAT(表格1[[#This Row],[Model]]," ",表格1[[#This Row],[inv no]])</f>
        <v>TWP-TSR76THK(W) 7027395</v>
      </c>
      <c r="S263" s="135">
        <f>_xlfn.XLOOKUP(表格1[[#This Row],[Model]],表格3[Model-Input-Ref2],表格3[SRP PRICE])</f>
        <v>2680</v>
      </c>
      <c r="T263" s="43">
        <f>表格1[[#This Row],[Unit Price]]/表格1[[#This Row],[SRP]]</f>
        <v>0.55970149253731338</v>
      </c>
      <c r="U263" s="86" t="str">
        <f>_xlfn.XLOOKUP(表格1[[#This Row],[Model]],表格3[Model-Input-Ref2],表格3[TOSHIBA/HIGHEST])</f>
        <v>Toshiba SRP</v>
      </c>
      <c r="V263" s="86">
        <v>110</v>
      </c>
      <c r="W263" s="86" t="str">
        <f>_xlfn.CONCAT(表格1[[#This Row],[欄4]],表格1[[#This Row],[inv no]])</f>
        <v>1107027395</v>
      </c>
    </row>
    <row r="264" spans="1:23" hidden="1">
      <c r="A264" s="81">
        <v>262</v>
      </c>
      <c r="B264" s="81" t="s">
        <v>1203</v>
      </c>
      <c r="C264" s="81" t="s">
        <v>1255</v>
      </c>
      <c r="D264" s="82" t="str">
        <f ca="1">OFFSET(Roster!$A$3,MATCH(表格1[[#This Row],[Location]]&amp;" "&amp;表格1[[#This Row],[Shop]]&amp;"*",Roster!$A$4:$A$72,0),DAY(表格1[[#This Row],[date]]),1,1)</f>
        <v>Me</v>
      </c>
      <c r="E264" s="81">
        <f>MONTH(表格1[[#This Row],[date]])</f>
        <v>3</v>
      </c>
      <c r="F264" s="101">
        <v>46087</v>
      </c>
      <c r="G264" s="81" t="str">
        <f>VLOOKUP("*"&amp;表格1[[#This Row],[Input]]&amp;"*",'Ref-List'!$B:$D,2,)</f>
        <v>TWD-BN90GF4H(WK)</v>
      </c>
      <c r="H264" s="81" t="str">
        <f>_xlfn.XLOOKUP(表格1[[#This Row],[Model]],表格3[Model-Input-Ref2],表格3[Product Line])</f>
        <v>超薄身前置式洗衣乾衣機 (洗8公斤 乾5公斤)</v>
      </c>
      <c r="I264" s="81" t="str">
        <f>_xlfn.XLOOKUP(表格1[[#This Row],[Model]],表格3[Model-Input-Ref2],表格3[大小電])</f>
        <v>大電</v>
      </c>
      <c r="J264" s="81" t="str">
        <f>_xlfn.XLOOKUP(表格1[[#This Row],[Model]],表格3[Model-Input-Ref2],表格3[Code])</f>
        <v>WM</v>
      </c>
      <c r="K264" s="82" t="s">
        <v>1199</v>
      </c>
      <c r="L264" s="81">
        <v>1</v>
      </c>
      <c r="M264" s="85">
        <v>3588</v>
      </c>
      <c r="N264" s="85">
        <f>IFERROR(表格1[[#This Row],[QTY]]*表格1[[#This Row],[Unit Price]],"-")</f>
        <v>3588</v>
      </c>
      <c r="O264" s="134">
        <v>7027352</v>
      </c>
      <c r="P264" s="81"/>
      <c r="Q264" s="81"/>
      <c r="R264" s="81" t="str">
        <f>_xlfn.CONCAT(表格1[[#This Row],[Model]]," ",表格1[[#This Row],[inv no]])</f>
        <v>TWD-BN90GF4H(WK) 7027352</v>
      </c>
      <c r="S264" s="135">
        <f>_xlfn.XLOOKUP(表格1[[#This Row],[Model]],表格3[Model-Input-Ref2],表格3[SRP PRICE])</f>
        <v>5980</v>
      </c>
      <c r="T264" s="43">
        <f>表格1[[#This Row],[Unit Price]]/表格1[[#This Row],[SRP]]</f>
        <v>0.6</v>
      </c>
      <c r="U264" s="86" t="str">
        <f>_xlfn.XLOOKUP(表格1[[#This Row],[Model]],表格3[Model-Input-Ref2],表格3[TOSHIBA/HIGHEST])</f>
        <v>Toshiba SRP</v>
      </c>
      <c r="V264" s="86">
        <v>110</v>
      </c>
      <c r="W264" s="86" t="str">
        <f>_xlfn.CONCAT(表格1[[#This Row],[欄4]],表格1[[#This Row],[inv no]])</f>
        <v>1107027352</v>
      </c>
    </row>
    <row r="265" spans="1:23" hidden="1">
      <c r="A265" s="81">
        <v>263</v>
      </c>
      <c r="B265" s="81" t="s">
        <v>1203</v>
      </c>
      <c r="C265" s="81" t="s">
        <v>1255</v>
      </c>
      <c r="D265" s="82" t="str">
        <f ca="1">OFFSET(Roster!$A$3,MATCH(表格1[[#This Row],[Location]]&amp;" "&amp;表格1[[#This Row],[Shop]]&amp;"*",Roster!$A$4:$A$72,0),DAY(表格1[[#This Row],[date]]),1,1)</f>
        <v>Me</v>
      </c>
      <c r="E265" s="81">
        <f>MONTH(表格1[[#This Row],[date]])</f>
        <v>3</v>
      </c>
      <c r="F265" s="101">
        <v>46088</v>
      </c>
      <c r="G265" s="81" t="str">
        <f>VLOOKUP("*"&amp;表格1[[#This Row],[Input]]&amp;"*",'Ref-List'!$B:$D,2,)</f>
        <v>PLK-45SFIH(WT)</v>
      </c>
      <c r="H265" s="81" t="str">
        <f>_xlfn.XLOOKUP(表格1[[#This Row],[Model]],表格3[Model-Input-Ref2],表格3[Product Line])</f>
        <v>電熱水瓶4.5L</v>
      </c>
      <c r="I265" s="81" t="str">
        <f>_xlfn.XLOOKUP(表格1[[#This Row],[Model]],表格3[Model-Input-Ref2],表格3[大小電])</f>
        <v>細電</v>
      </c>
      <c r="J265" s="81" t="str">
        <f>_xlfn.XLOOKUP(表格1[[#This Row],[Model]],表格3[Model-Input-Ref2],表格3[Code])</f>
        <v>SDA</v>
      </c>
      <c r="K265" s="82" t="s">
        <v>1117</v>
      </c>
      <c r="L265" s="81">
        <v>1</v>
      </c>
      <c r="M265" s="85">
        <v>500</v>
      </c>
      <c r="N265" s="85">
        <f>IFERROR(表格1[[#This Row],[QTY]]*表格1[[#This Row],[Unit Price]],"-")</f>
        <v>500</v>
      </c>
      <c r="O265" s="134">
        <v>7027354</v>
      </c>
      <c r="P265" s="81"/>
      <c r="Q265" s="81"/>
      <c r="R265" s="81" t="str">
        <f>_xlfn.CONCAT(表格1[[#This Row],[Model]]," ",表格1[[#This Row],[inv no]])</f>
        <v>PLK-45SFIH(WT) 7027354</v>
      </c>
      <c r="S265" s="135">
        <f>_xlfn.XLOOKUP(表格1[[#This Row],[Model]],表格3[Model-Input-Ref2],表格3[SRP PRICE])</f>
        <v>788</v>
      </c>
      <c r="T265" s="43">
        <f>表格1[[#This Row],[Unit Price]]/表格1[[#This Row],[SRP]]</f>
        <v>0.63451776649746194</v>
      </c>
      <c r="U265" s="86" t="str">
        <f>_xlfn.XLOOKUP(表格1[[#This Row],[Model]],表格3[Model-Input-Ref2],表格3[TOSHIBA/HIGHEST])</f>
        <v>Toshiba SRP</v>
      </c>
      <c r="V265" s="86">
        <v>110</v>
      </c>
      <c r="W265" s="86" t="str">
        <f>_xlfn.CONCAT(表格1[[#This Row],[欄4]],表格1[[#This Row],[inv no]])</f>
        <v>1107027354</v>
      </c>
    </row>
    <row r="266" spans="1:23" hidden="1">
      <c r="A266" s="81">
        <v>264</v>
      </c>
      <c r="B266" s="81" t="s">
        <v>1203</v>
      </c>
      <c r="C266" s="81" t="s">
        <v>1255</v>
      </c>
      <c r="D266" s="82" t="str">
        <f ca="1">OFFSET(Roster!$A$3,MATCH(表格1[[#This Row],[Location]]&amp;" "&amp;表格1[[#This Row],[Shop]]&amp;"*",Roster!$A$4:$A$72,0),DAY(表格1[[#This Row],[date]]),1,1)</f>
        <v>Me</v>
      </c>
      <c r="E266" s="81">
        <f>MONTH(表格1[[#This Row],[date]])</f>
        <v>3</v>
      </c>
      <c r="F266" s="101">
        <v>46088</v>
      </c>
      <c r="G266" s="81" t="str">
        <f>VLOOKUP("*"&amp;表格1[[#This Row],[Input]]&amp;"*",'Ref-List'!$B:$D,2,)</f>
        <v>TWP-TSR76THK(W)</v>
      </c>
      <c r="H266" s="81" t="str">
        <f>_xlfn.XLOOKUP(表格1[[#This Row],[Model]],表格3[Model-Input-Ref2],表格3[Product Line])</f>
        <v>RO座檯式飲水機</v>
      </c>
      <c r="I266" s="81" t="str">
        <f>_xlfn.XLOOKUP(表格1[[#This Row],[Model]],表格3[Model-Input-Ref2],表格3[大小電])</f>
        <v>細電</v>
      </c>
      <c r="J266" s="81" t="str">
        <f>_xlfn.XLOOKUP(表格1[[#This Row],[Model]],表格3[Model-Input-Ref2],表格3[Code])</f>
        <v>KWH</v>
      </c>
      <c r="K266" s="82" t="s">
        <v>1197</v>
      </c>
      <c r="L266" s="81">
        <v>1</v>
      </c>
      <c r="M266" s="85">
        <v>1500</v>
      </c>
      <c r="N266" s="85">
        <f>IFERROR(表格1[[#This Row],[QTY]]*表格1[[#This Row],[Unit Price]],"-")</f>
        <v>1500</v>
      </c>
      <c r="O266" s="134">
        <v>7065665</v>
      </c>
      <c r="P266" s="81"/>
      <c r="Q266" s="81"/>
      <c r="R266" s="81" t="str">
        <f>_xlfn.CONCAT(表格1[[#This Row],[Model]]," ",表格1[[#This Row],[inv no]])</f>
        <v>TWP-TSR76THK(W) 7065665</v>
      </c>
      <c r="S266" s="135">
        <f>_xlfn.XLOOKUP(表格1[[#This Row],[Model]],表格3[Model-Input-Ref2],表格3[SRP PRICE])</f>
        <v>2680</v>
      </c>
      <c r="T266" s="43">
        <f>表格1[[#This Row],[Unit Price]]/表格1[[#This Row],[SRP]]</f>
        <v>0.55970149253731338</v>
      </c>
      <c r="U266" s="86" t="str">
        <f>_xlfn.XLOOKUP(表格1[[#This Row],[Model]],表格3[Model-Input-Ref2],表格3[TOSHIBA/HIGHEST])</f>
        <v>Toshiba SRP</v>
      </c>
      <c r="V266" s="86">
        <v>110</v>
      </c>
      <c r="W266" s="86" t="str">
        <f>_xlfn.CONCAT(表格1[[#This Row],[欄4]],表格1[[#This Row],[inv no]])</f>
        <v>1107065665</v>
      </c>
    </row>
    <row r="267" spans="1:23" ht="16.5" hidden="1">
      <c r="A267" s="81">
        <v>265</v>
      </c>
      <c r="B267" s="81" t="s">
        <v>1203</v>
      </c>
      <c r="C267" s="81" t="s">
        <v>1255</v>
      </c>
      <c r="D267" s="82" t="str">
        <f ca="1">OFFSET(Roster!$A$3,MATCH(表格1[[#This Row],[Location]]&amp;" "&amp;表格1[[#This Row],[Shop]]&amp;"*",Roster!$A$4:$A$72,0),DAY(表格1[[#This Row],[date]]),1,1)</f>
        <v>Me</v>
      </c>
      <c r="E267" s="81">
        <f>MONTH(表格1[[#This Row],[date]])</f>
        <v>3</v>
      </c>
      <c r="F267" s="101">
        <v>46088</v>
      </c>
      <c r="G267" s="81" t="str">
        <f>VLOOKUP("*"&amp;表格1[[#This Row],[Input]]&amp;"*",'Ref-List'!$B:$D,2,)</f>
        <v>MW2-MM24PC(BK)</v>
      </c>
      <c r="H267" s="81" t="str">
        <f>_xlfn.XLOOKUP(表格1[[#This Row],[Model]],表格3[Model-Input-Ref2],表格3[Product Line])</f>
        <v>旋鈕式微波爐24L</v>
      </c>
      <c r="I267" s="81" t="str">
        <f>_xlfn.XLOOKUP(表格1[[#This Row],[Model]],表格3[Model-Input-Ref2],表格3[大小電])</f>
        <v>細電</v>
      </c>
      <c r="J267" s="81" t="str">
        <f>_xlfn.XLOOKUP(表格1[[#This Row],[Model]],表格3[Model-Input-Ref2],表格3[Code])</f>
        <v>SDA</v>
      </c>
      <c r="K267" s="82" t="s">
        <v>1196</v>
      </c>
      <c r="L267" s="81">
        <v>1</v>
      </c>
      <c r="M267" s="85">
        <v>500</v>
      </c>
      <c r="N267" s="85">
        <f>IFERROR(表格1[[#This Row],[QTY]]*表格1[[#This Row],[Unit Price]],"-")</f>
        <v>500</v>
      </c>
      <c r="O267" s="134">
        <v>7065583</v>
      </c>
      <c r="P267" s="137"/>
      <c r="Q267" s="81"/>
      <c r="R267" s="81" t="str">
        <f>_xlfn.CONCAT(表格1[[#This Row],[Model]]," ",表格1[[#This Row],[inv no]])</f>
        <v>MW2-MM24PC(BK) 7065583</v>
      </c>
      <c r="S267" s="135">
        <f>_xlfn.XLOOKUP(表格1[[#This Row],[Model]],表格3[Model-Input-Ref2],表格3[SRP PRICE])</f>
        <v>848</v>
      </c>
      <c r="T267" s="43">
        <f>表格1[[#This Row],[Unit Price]]/表格1[[#This Row],[SRP]]</f>
        <v>0.589622641509434</v>
      </c>
      <c r="U267" s="86" t="str">
        <f>_xlfn.XLOOKUP(表格1[[#This Row],[Model]],表格3[Model-Input-Ref2],表格3[TOSHIBA/HIGHEST])</f>
        <v>Toshiba SRP</v>
      </c>
      <c r="V267" s="86">
        <v>110</v>
      </c>
      <c r="W267" s="86" t="str">
        <f>_xlfn.CONCAT(表格1[[#This Row],[欄4]],表格1[[#This Row],[inv no]])</f>
        <v>1107065583</v>
      </c>
    </row>
    <row r="268" spans="1:23" hidden="1">
      <c r="A268" s="81">
        <v>266</v>
      </c>
      <c r="B268" s="81" t="s">
        <v>1203</v>
      </c>
      <c r="C268" s="81" t="s">
        <v>1255</v>
      </c>
      <c r="D268" s="82" t="str">
        <f ca="1">OFFSET(Roster!$A$3,MATCH(表格1[[#This Row],[Location]]&amp;" "&amp;表格1[[#This Row],[Shop]]&amp;"*",Roster!$A$4:$A$72,0),DAY(表格1[[#This Row],[date]]),1,1)</f>
        <v>Me</v>
      </c>
      <c r="E268" s="81">
        <f>MONTH(表格1[[#This Row],[date]])</f>
        <v>3</v>
      </c>
      <c r="F268" s="101">
        <v>46088</v>
      </c>
      <c r="G268" s="81" t="str">
        <f>VLOOKUP("*"&amp;表格1[[#This Row],[Input]]&amp;"*",'Ref-List'!$B:$D,2,)</f>
        <v>GR-RT416WE-PMA(06)</v>
      </c>
      <c r="H268" s="81" t="str">
        <f>_xlfn.XLOOKUP(表格1[[#This Row],[Model]],表格3[Model-Input-Ref2],表格3[Product Line])</f>
        <v xml:space="preserve">變頻上置式雙門雪櫃313L </v>
      </c>
      <c r="I268" s="81" t="str">
        <f>_xlfn.XLOOKUP(表格1[[#This Row],[Model]],表格3[Model-Input-Ref2],表格3[大小電])</f>
        <v>大電</v>
      </c>
      <c r="J268" s="81" t="str">
        <f>_xlfn.XLOOKUP(表格1[[#This Row],[Model]],表格3[Model-Input-Ref2],表格3[Code])</f>
        <v>REF</v>
      </c>
      <c r="K268" s="82" t="s">
        <v>1208</v>
      </c>
      <c r="L268" s="81">
        <v>1</v>
      </c>
      <c r="M268" s="85">
        <v>2888</v>
      </c>
      <c r="N268" s="85">
        <f>IFERROR(表格1[[#This Row],[QTY]]*表格1[[#This Row],[Unit Price]],"-")</f>
        <v>2888</v>
      </c>
      <c r="O268" s="134">
        <v>7065582</v>
      </c>
      <c r="P268" s="81"/>
      <c r="Q268" s="81"/>
      <c r="R268" s="81" t="str">
        <f>_xlfn.CONCAT(表格1[[#This Row],[Model]]," ",表格1[[#This Row],[inv no]])</f>
        <v>GR-RT416WE-PMA(06) 7065582</v>
      </c>
      <c r="S268" s="135">
        <f>_xlfn.XLOOKUP(表格1[[#This Row],[Model]],表格3[Model-Input-Ref2],表格3[SRP PRICE])</f>
        <v>5380</v>
      </c>
      <c r="T268" s="43">
        <f>表格1[[#This Row],[Unit Price]]/表格1[[#This Row],[SRP]]</f>
        <v>0.53680297397769516</v>
      </c>
      <c r="U268" s="86" t="str">
        <f>_xlfn.XLOOKUP(表格1[[#This Row],[Model]],表格3[Model-Input-Ref2],表格3[TOSHIBA/HIGHEST])</f>
        <v>Toshiba SRP</v>
      </c>
      <c r="V268" s="86">
        <v>110</v>
      </c>
      <c r="W268" s="86" t="str">
        <f>_xlfn.CONCAT(表格1[[#This Row],[欄4]],表格1[[#This Row],[inv no]])</f>
        <v>1107065582</v>
      </c>
    </row>
    <row r="269" spans="1:23" hidden="1">
      <c r="A269" s="81">
        <v>267</v>
      </c>
      <c r="B269" s="81" t="s">
        <v>1203</v>
      </c>
      <c r="C269" s="81" t="s">
        <v>1255</v>
      </c>
      <c r="D269" s="82" t="str">
        <f ca="1">OFFSET(Roster!$A$3,MATCH(表格1[[#This Row],[Location]]&amp;" "&amp;表格1[[#This Row],[Shop]]&amp;"*",Roster!$A$4:$A$72,0),DAY(表格1[[#This Row],[date]]),1,1)</f>
        <v>Me</v>
      </c>
      <c r="E269" s="81">
        <f>MONTH(表格1[[#This Row],[date]])</f>
        <v>3</v>
      </c>
      <c r="F269" s="101">
        <v>46088</v>
      </c>
      <c r="G269" s="81" t="str">
        <f>VLOOKUP("*"&amp;表格1[[#This Row],[Input]]&amp;"*",'Ref-List'!$B:$D,2,)</f>
        <v>RC-15ISTHK(W)</v>
      </c>
      <c r="H269" s="81" t="str">
        <f>_xlfn.XLOOKUP(表格1[[#This Row],[Model]],表格3[Model-Input-Ref2],表格3[Product Line])</f>
        <v>磁應電飯煲(1.5公升)</v>
      </c>
      <c r="I269" s="81" t="str">
        <f>_xlfn.XLOOKUP(表格1[[#This Row],[Model]],表格3[Model-Input-Ref2],表格3[大小電])</f>
        <v>細電</v>
      </c>
      <c r="J269" s="81" t="str">
        <f>_xlfn.XLOOKUP(表格1[[#This Row],[Model]],表格3[Model-Input-Ref2],表格3[Code])</f>
        <v>SDA</v>
      </c>
      <c r="K269" s="82" t="s">
        <v>1204</v>
      </c>
      <c r="L269" s="81">
        <v>1</v>
      </c>
      <c r="M269" s="85">
        <v>500</v>
      </c>
      <c r="N269" s="85">
        <f>IFERROR(表格1[[#This Row],[QTY]]*表格1[[#This Row],[Unit Price]],"-")</f>
        <v>500</v>
      </c>
      <c r="O269" s="134">
        <v>7017465</v>
      </c>
      <c r="P269" s="81"/>
      <c r="Q269" s="81"/>
      <c r="R269" s="81" t="str">
        <f>_xlfn.CONCAT(表格1[[#This Row],[Model]]," ",表格1[[#This Row],[inv no]])</f>
        <v>RC-15ISTHK(W) 7017465</v>
      </c>
      <c r="S269" s="135">
        <f>_xlfn.XLOOKUP(表格1[[#This Row],[Model]],表格3[Model-Input-Ref2],表格3[SRP PRICE])</f>
        <v>1688</v>
      </c>
      <c r="T269" s="43">
        <f>表格1[[#This Row],[Unit Price]]/表格1[[#This Row],[SRP]]</f>
        <v>0.29620853080568721</v>
      </c>
      <c r="U269" s="86" t="str">
        <f>_xlfn.XLOOKUP(表格1[[#This Row],[Model]],表格3[Model-Input-Ref2],表格3[TOSHIBA/HIGHEST])</f>
        <v>Toshiba SRP</v>
      </c>
      <c r="V269" s="86">
        <v>110</v>
      </c>
      <c r="W269" s="86" t="str">
        <f>_xlfn.CONCAT(表格1[[#This Row],[欄4]],表格1[[#This Row],[inv no]])</f>
        <v>1107017465</v>
      </c>
    </row>
    <row r="270" spans="1:23" hidden="1">
      <c r="A270" s="81">
        <v>268</v>
      </c>
      <c r="B270" s="81" t="s">
        <v>1203</v>
      </c>
      <c r="C270" s="81" t="s">
        <v>1255</v>
      </c>
      <c r="D270" s="82" t="str">
        <f ca="1">OFFSET(Roster!$A$3,MATCH(表格1[[#This Row],[Location]]&amp;" "&amp;表格1[[#This Row],[Shop]]&amp;"*",Roster!$A$4:$A$72,0),DAY(表格1[[#This Row],[date]]),1,1)</f>
        <v>Me</v>
      </c>
      <c r="E270" s="81">
        <f>MONTH(表格1[[#This Row],[date]])</f>
        <v>3</v>
      </c>
      <c r="F270" s="101">
        <v>46088</v>
      </c>
      <c r="G270" s="81" t="str">
        <f>VLOOKUP("*"&amp;表格1[[#This Row],[Input]]&amp;"*",'Ref-List'!$B:$D,2,)</f>
        <v>RC-15ISTHK(W)</v>
      </c>
      <c r="H270" s="81" t="str">
        <f>_xlfn.XLOOKUP(表格1[[#This Row],[Model]],表格3[Model-Input-Ref2],表格3[Product Line])</f>
        <v>磁應電飯煲(1.5公升)</v>
      </c>
      <c r="I270" s="81" t="str">
        <f>_xlfn.XLOOKUP(表格1[[#This Row],[Model]],表格3[Model-Input-Ref2],表格3[大小電])</f>
        <v>細電</v>
      </c>
      <c r="J270" s="81" t="str">
        <f>_xlfn.XLOOKUP(表格1[[#This Row],[Model]],表格3[Model-Input-Ref2],表格3[Code])</f>
        <v>SDA</v>
      </c>
      <c r="K270" s="82" t="s">
        <v>1204</v>
      </c>
      <c r="L270" s="81">
        <v>1</v>
      </c>
      <c r="M270" s="85">
        <v>500</v>
      </c>
      <c r="N270" s="85">
        <f>IFERROR(表格1[[#This Row],[QTY]]*表格1[[#This Row],[Unit Price]],"-")</f>
        <v>500</v>
      </c>
      <c r="O270" s="134">
        <v>7017410</v>
      </c>
      <c r="P270" s="81"/>
      <c r="Q270" s="81"/>
      <c r="R270" s="81" t="str">
        <f>_xlfn.CONCAT(表格1[[#This Row],[Model]]," ",表格1[[#This Row],[inv no]])</f>
        <v>RC-15ISTHK(W) 7017410</v>
      </c>
      <c r="S270" s="135">
        <f>_xlfn.XLOOKUP(表格1[[#This Row],[Model]],表格3[Model-Input-Ref2],表格3[SRP PRICE])</f>
        <v>1688</v>
      </c>
      <c r="T270" s="43">
        <f>表格1[[#This Row],[Unit Price]]/表格1[[#This Row],[SRP]]</f>
        <v>0.29620853080568721</v>
      </c>
      <c r="U270" s="86" t="str">
        <f>_xlfn.XLOOKUP(表格1[[#This Row],[Model]],表格3[Model-Input-Ref2],表格3[TOSHIBA/HIGHEST])</f>
        <v>Toshiba SRP</v>
      </c>
      <c r="V270" s="86">
        <v>110</v>
      </c>
      <c r="W270" s="86" t="str">
        <f>_xlfn.CONCAT(表格1[[#This Row],[欄4]],表格1[[#This Row],[inv no]])</f>
        <v>1107017410</v>
      </c>
    </row>
    <row r="271" spans="1:23" hidden="1">
      <c r="A271" s="81">
        <v>269</v>
      </c>
      <c r="B271" s="81" t="s">
        <v>1203</v>
      </c>
      <c r="C271" s="81" t="s">
        <v>1255</v>
      </c>
      <c r="D271" s="82" t="str">
        <f ca="1">OFFSET(Roster!$A$3,MATCH(表格1[[#This Row],[Location]]&amp;" "&amp;表格1[[#This Row],[Shop]]&amp;"*",Roster!$A$4:$A$72,0),DAY(表格1[[#This Row],[date]]),1,1)</f>
        <v>Me</v>
      </c>
      <c r="E271" s="81">
        <f>MONTH(表格1[[#This Row],[date]])</f>
        <v>3</v>
      </c>
      <c r="F271" s="101">
        <v>46088</v>
      </c>
      <c r="G271" s="81" t="str">
        <f>VLOOKUP("*"&amp;表格1[[#This Row],[Input]]&amp;"*",'Ref-List'!$B:$D,2,)</f>
        <v>RC-15ISTHK(W)</v>
      </c>
      <c r="H271" s="81" t="str">
        <f>_xlfn.XLOOKUP(表格1[[#This Row],[Model]],表格3[Model-Input-Ref2],表格3[Product Line])</f>
        <v>磁應電飯煲(1.5公升)</v>
      </c>
      <c r="I271" s="81" t="str">
        <f>_xlfn.XLOOKUP(表格1[[#This Row],[Model]],表格3[Model-Input-Ref2],表格3[大小電])</f>
        <v>細電</v>
      </c>
      <c r="J271" s="81" t="str">
        <f>_xlfn.XLOOKUP(表格1[[#This Row],[Model]],表格3[Model-Input-Ref2],表格3[Code])</f>
        <v>SDA</v>
      </c>
      <c r="K271" s="82" t="s">
        <v>1204</v>
      </c>
      <c r="L271" s="81">
        <v>1</v>
      </c>
      <c r="M271" s="85">
        <v>500</v>
      </c>
      <c r="N271" s="85">
        <f>IFERROR(表格1[[#This Row],[QTY]]*表格1[[#This Row],[Unit Price]],"-")</f>
        <v>500</v>
      </c>
      <c r="O271" s="134">
        <v>7017401</v>
      </c>
      <c r="P271" s="81"/>
      <c r="Q271" s="81"/>
      <c r="R271" s="81" t="str">
        <f>_xlfn.CONCAT(表格1[[#This Row],[Model]]," ",表格1[[#This Row],[inv no]])</f>
        <v>RC-15ISTHK(W) 7017401</v>
      </c>
      <c r="S271" s="135">
        <f>_xlfn.XLOOKUP(表格1[[#This Row],[Model]],表格3[Model-Input-Ref2],表格3[SRP PRICE])</f>
        <v>1688</v>
      </c>
      <c r="T271" s="43">
        <f>表格1[[#This Row],[Unit Price]]/表格1[[#This Row],[SRP]]</f>
        <v>0.29620853080568721</v>
      </c>
      <c r="U271" s="86" t="str">
        <f>_xlfn.XLOOKUP(表格1[[#This Row],[Model]],表格3[Model-Input-Ref2],表格3[TOSHIBA/HIGHEST])</f>
        <v>Toshiba SRP</v>
      </c>
      <c r="V271" s="86">
        <v>110</v>
      </c>
      <c r="W271" s="86" t="str">
        <f>_xlfn.CONCAT(表格1[[#This Row],[欄4]],表格1[[#This Row],[inv no]])</f>
        <v>1107017401</v>
      </c>
    </row>
    <row r="272" spans="1:23" hidden="1">
      <c r="A272" s="81">
        <v>270</v>
      </c>
      <c r="B272" s="81" t="s">
        <v>1203</v>
      </c>
      <c r="C272" s="81" t="s">
        <v>1255</v>
      </c>
      <c r="D272" s="82" t="str">
        <f ca="1">OFFSET(Roster!$A$3,MATCH(表格1[[#This Row],[Location]]&amp;" "&amp;表格1[[#This Row],[Shop]]&amp;"*",Roster!$A$4:$A$72,0),DAY(表格1[[#This Row],[date]]),1,1)</f>
        <v>Me</v>
      </c>
      <c r="E272" s="81">
        <f>MONTH(表格1[[#This Row],[date]])</f>
        <v>3</v>
      </c>
      <c r="F272" s="101">
        <v>46088</v>
      </c>
      <c r="G272" s="81" t="str">
        <f>VLOOKUP("*"&amp;表格1[[#This Row],[Input]]&amp;"*",'Ref-List'!$B:$D,2,)</f>
        <v>MW2-MM24PC(BK)</v>
      </c>
      <c r="H272" s="81" t="str">
        <f>_xlfn.XLOOKUP(表格1[[#This Row],[Model]],表格3[Model-Input-Ref2],表格3[Product Line])</f>
        <v>旋鈕式微波爐24L</v>
      </c>
      <c r="I272" s="81" t="str">
        <f>_xlfn.XLOOKUP(表格1[[#This Row],[Model]],表格3[Model-Input-Ref2],表格3[大小電])</f>
        <v>細電</v>
      </c>
      <c r="J272" s="81" t="str">
        <f>_xlfn.XLOOKUP(表格1[[#This Row],[Model]],表格3[Model-Input-Ref2],表格3[Code])</f>
        <v>SDA</v>
      </c>
      <c r="K272" s="82" t="s">
        <v>1196</v>
      </c>
      <c r="L272" s="81">
        <v>1</v>
      </c>
      <c r="M272" s="85">
        <v>500</v>
      </c>
      <c r="N272" s="85">
        <f>IFERROR(表格1[[#This Row],[QTY]]*表格1[[#This Row],[Unit Price]],"-")</f>
        <v>500</v>
      </c>
      <c r="O272" s="134">
        <v>7065644</v>
      </c>
      <c r="P272" s="81"/>
      <c r="Q272" s="81"/>
      <c r="R272" s="81" t="str">
        <f>_xlfn.CONCAT(表格1[[#This Row],[Model]]," ",表格1[[#This Row],[inv no]])</f>
        <v>MW2-MM24PC(BK) 7065644</v>
      </c>
      <c r="S272" s="135">
        <f>_xlfn.XLOOKUP(表格1[[#This Row],[Model]],表格3[Model-Input-Ref2],表格3[SRP PRICE])</f>
        <v>848</v>
      </c>
      <c r="T272" s="43">
        <f>表格1[[#This Row],[Unit Price]]/表格1[[#This Row],[SRP]]</f>
        <v>0.589622641509434</v>
      </c>
      <c r="U272" s="86" t="str">
        <f>_xlfn.XLOOKUP(表格1[[#This Row],[Model]],表格3[Model-Input-Ref2],表格3[TOSHIBA/HIGHEST])</f>
        <v>Toshiba SRP</v>
      </c>
      <c r="V272" s="86">
        <v>110</v>
      </c>
      <c r="W272" s="86" t="str">
        <f>_xlfn.CONCAT(表格1[[#This Row],[欄4]],表格1[[#This Row],[inv no]])</f>
        <v>1107065644</v>
      </c>
    </row>
    <row r="273" spans="1:23" hidden="1">
      <c r="A273" s="81">
        <v>271</v>
      </c>
      <c r="B273" s="81" t="s">
        <v>1203</v>
      </c>
      <c r="C273" s="81" t="s">
        <v>1255</v>
      </c>
      <c r="D273" s="82" t="str">
        <f ca="1">OFFSET(Roster!$A$3,MATCH(表格1[[#This Row],[Location]]&amp;" "&amp;表格1[[#This Row],[Shop]]&amp;"*",Roster!$A$4:$A$72,0),DAY(表格1[[#This Row],[date]]),1,1)</f>
        <v>Me</v>
      </c>
      <c r="E273" s="81">
        <f>MONTH(表格1[[#This Row],[date]])</f>
        <v>3</v>
      </c>
      <c r="F273" s="101">
        <v>46089</v>
      </c>
      <c r="G273" s="81" t="str">
        <f>VLOOKUP("*"&amp;表格1[[#This Row],[Input]]&amp;"*",'Ref-List'!$B:$D,2,)</f>
        <v>DWS-34AHK</v>
      </c>
      <c r="H273" s="81" t="str">
        <f>_xlfn.XLOOKUP(表格1[[#This Row],[Model]],表格3[Model-Input-Ref2],表格3[Product Line])</f>
        <v>獨立式免安裝洗碗碟機</v>
      </c>
      <c r="I273" s="81" t="str">
        <f>_xlfn.XLOOKUP(表格1[[#This Row],[Model]],表格3[Model-Input-Ref2],表格3[大小電])</f>
        <v>細電</v>
      </c>
      <c r="J273" s="81" t="str">
        <f>_xlfn.XLOOKUP(表格1[[#This Row],[Model]],表格3[Model-Input-Ref2],表格3[Code])</f>
        <v>DM</v>
      </c>
      <c r="K273" s="82" t="s">
        <v>1240</v>
      </c>
      <c r="L273" s="81">
        <v>1</v>
      </c>
      <c r="M273" s="85">
        <v>1500</v>
      </c>
      <c r="N273" s="85">
        <f>IFERROR(表格1[[#This Row],[QTY]]*表格1[[#This Row],[Unit Price]],"-")</f>
        <v>1500</v>
      </c>
      <c r="O273" s="134">
        <v>7017402</v>
      </c>
      <c r="P273" s="81"/>
      <c r="Q273" s="81"/>
      <c r="R273" s="81" t="str">
        <f>_xlfn.CONCAT(表格1[[#This Row],[Model]]," ",表格1[[#This Row],[inv no]])</f>
        <v>DWS-34AHK 7017402</v>
      </c>
      <c r="S273" s="135">
        <f>_xlfn.XLOOKUP(表格1[[#This Row],[Model]],表格3[Model-Input-Ref2],表格3[SRP PRICE])</f>
        <v>3999</v>
      </c>
      <c r="T273" s="43">
        <f>表格1[[#This Row],[Unit Price]]/表格1[[#This Row],[SRP]]</f>
        <v>0.37509377344336087</v>
      </c>
      <c r="U273" s="86" t="str">
        <f>_xlfn.XLOOKUP(表格1[[#This Row],[Model]],表格3[Model-Input-Ref2],表格3[TOSHIBA/HIGHEST])</f>
        <v>Web SRP</v>
      </c>
      <c r="V273" s="86">
        <v>110</v>
      </c>
      <c r="W273" s="86" t="str">
        <f>_xlfn.CONCAT(表格1[[#This Row],[欄4]],表格1[[#This Row],[inv no]])</f>
        <v>1107017402</v>
      </c>
    </row>
    <row r="274" spans="1:23" hidden="1">
      <c r="A274" s="81">
        <v>272</v>
      </c>
      <c r="B274" s="81" t="s">
        <v>1203</v>
      </c>
      <c r="C274" s="81" t="s">
        <v>1255</v>
      </c>
      <c r="D274" s="82" t="str">
        <f ca="1">OFFSET(Roster!$A$3,MATCH(表格1[[#This Row],[Location]]&amp;" "&amp;表格1[[#This Row],[Shop]]&amp;"*",Roster!$A$4:$A$72,0),DAY(表格1[[#This Row],[date]]),1,1)</f>
        <v>Me</v>
      </c>
      <c r="E274" s="81">
        <f>MONTH(表格1[[#This Row],[date]])</f>
        <v>3</v>
      </c>
      <c r="F274" s="101">
        <v>46089</v>
      </c>
      <c r="G274" s="81" t="str">
        <f>VLOOKUP("*"&amp;表格1[[#This Row],[Input]]&amp;"*",'Ref-List'!$B:$D,2,)</f>
        <v>DWS-34AHK</v>
      </c>
      <c r="H274" s="81" t="str">
        <f>_xlfn.XLOOKUP(表格1[[#This Row],[Model]],表格3[Model-Input-Ref2],表格3[Product Line])</f>
        <v>獨立式免安裝洗碗碟機</v>
      </c>
      <c r="I274" s="81" t="str">
        <f>_xlfn.XLOOKUP(表格1[[#This Row],[Model]],表格3[Model-Input-Ref2],表格3[大小電])</f>
        <v>細電</v>
      </c>
      <c r="J274" s="81" t="str">
        <f>_xlfn.XLOOKUP(表格1[[#This Row],[Model]],表格3[Model-Input-Ref2],表格3[Code])</f>
        <v>DM</v>
      </c>
      <c r="K274" s="82" t="s">
        <v>1240</v>
      </c>
      <c r="L274" s="81">
        <v>1</v>
      </c>
      <c r="M274" s="85">
        <v>1500</v>
      </c>
      <c r="N274" s="85">
        <f>IFERROR(表格1[[#This Row],[QTY]]*表格1[[#This Row],[Unit Price]],"-")</f>
        <v>1500</v>
      </c>
      <c r="O274" s="134">
        <v>7027462</v>
      </c>
      <c r="P274" s="81"/>
      <c r="Q274" s="81"/>
      <c r="R274" s="81" t="str">
        <f>_xlfn.CONCAT(表格1[[#This Row],[Model]]," ",表格1[[#This Row],[inv no]])</f>
        <v>DWS-34AHK 7027462</v>
      </c>
      <c r="S274" s="135">
        <f>_xlfn.XLOOKUP(表格1[[#This Row],[Model]],表格3[Model-Input-Ref2],表格3[SRP PRICE])</f>
        <v>3999</v>
      </c>
      <c r="T274" s="43">
        <f>表格1[[#This Row],[Unit Price]]/表格1[[#This Row],[SRP]]</f>
        <v>0.37509377344336087</v>
      </c>
      <c r="U274" s="86" t="str">
        <f>_xlfn.XLOOKUP(表格1[[#This Row],[Model]],表格3[Model-Input-Ref2],表格3[TOSHIBA/HIGHEST])</f>
        <v>Web SRP</v>
      </c>
      <c r="V274" s="86">
        <v>110</v>
      </c>
      <c r="W274" s="86" t="str">
        <f>_xlfn.CONCAT(表格1[[#This Row],[欄4]],表格1[[#This Row],[inv no]])</f>
        <v>1107027462</v>
      </c>
    </row>
    <row r="275" spans="1:23" hidden="1">
      <c r="A275" s="81">
        <v>273</v>
      </c>
      <c r="B275" s="81" t="s">
        <v>1203</v>
      </c>
      <c r="C275" s="81" t="s">
        <v>1255</v>
      </c>
      <c r="D275" s="82" t="str">
        <f ca="1">OFFSET(Roster!$A$3,MATCH(表格1[[#This Row],[Location]]&amp;" "&amp;表格1[[#This Row],[Shop]]&amp;"*",Roster!$A$4:$A$72,0),DAY(表格1[[#This Row],[date]]),1,1)</f>
        <v>Me</v>
      </c>
      <c r="E275" s="81">
        <f>MONTH(表格1[[#This Row],[date]])</f>
        <v>3</v>
      </c>
      <c r="F275" s="101">
        <v>46089</v>
      </c>
      <c r="G275" s="81" t="str">
        <f>VLOOKUP("*"&amp;表格1[[#This Row],[Input]]&amp;"*",'Ref-List'!$B:$D,2,)</f>
        <v>TWP-TSR76THK(W)</v>
      </c>
      <c r="H275" s="81" t="str">
        <f>_xlfn.XLOOKUP(表格1[[#This Row],[Model]],表格3[Model-Input-Ref2],表格3[Product Line])</f>
        <v>RO座檯式飲水機</v>
      </c>
      <c r="I275" s="81" t="str">
        <f>_xlfn.XLOOKUP(表格1[[#This Row],[Model]],表格3[Model-Input-Ref2],表格3[大小電])</f>
        <v>細電</v>
      </c>
      <c r="J275" s="81" t="str">
        <f>_xlfn.XLOOKUP(表格1[[#This Row],[Model]],表格3[Model-Input-Ref2],表格3[Code])</f>
        <v>KWH</v>
      </c>
      <c r="K275" s="82" t="s">
        <v>1197</v>
      </c>
      <c r="L275" s="81">
        <v>1</v>
      </c>
      <c r="M275" s="85">
        <v>1500</v>
      </c>
      <c r="N275" s="85">
        <f>IFERROR(表格1[[#This Row],[QTY]]*表格1[[#This Row],[Unit Price]],"-")</f>
        <v>1500</v>
      </c>
      <c r="O275" s="134">
        <v>7027464</v>
      </c>
      <c r="P275" s="81"/>
      <c r="Q275" s="81"/>
      <c r="R275" s="81" t="str">
        <f>_xlfn.CONCAT(表格1[[#This Row],[Model]]," ",表格1[[#This Row],[inv no]])</f>
        <v>TWP-TSR76THK(W) 7027464</v>
      </c>
      <c r="S275" s="135">
        <f>_xlfn.XLOOKUP(表格1[[#This Row],[Model]],表格3[Model-Input-Ref2],表格3[SRP PRICE])</f>
        <v>2680</v>
      </c>
      <c r="T275" s="43">
        <f>表格1[[#This Row],[Unit Price]]/表格1[[#This Row],[SRP]]</f>
        <v>0.55970149253731338</v>
      </c>
      <c r="U275" s="86" t="str">
        <f>_xlfn.XLOOKUP(表格1[[#This Row],[Model]],表格3[Model-Input-Ref2],表格3[TOSHIBA/HIGHEST])</f>
        <v>Toshiba SRP</v>
      </c>
      <c r="V275" s="86">
        <v>110</v>
      </c>
      <c r="W275" s="86" t="str">
        <f>_xlfn.CONCAT(表格1[[#This Row],[欄4]],表格1[[#This Row],[inv no]])</f>
        <v>1107027464</v>
      </c>
    </row>
    <row r="276" spans="1:23" hidden="1">
      <c r="A276" s="81">
        <v>274</v>
      </c>
      <c r="B276" s="81" t="s">
        <v>1203</v>
      </c>
      <c r="C276" s="81" t="s">
        <v>1255</v>
      </c>
      <c r="D276" s="82" t="str">
        <f ca="1">OFFSET(Roster!$A$3,MATCH(表格1[[#This Row],[Location]]&amp;" "&amp;表格1[[#This Row],[Shop]]&amp;"*",Roster!$A$4:$A$72,0),DAY(表格1[[#This Row],[date]]),1,1)</f>
        <v>Me</v>
      </c>
      <c r="E276" s="81">
        <f>MONTH(表格1[[#This Row],[date]])</f>
        <v>3</v>
      </c>
      <c r="F276" s="101">
        <v>46089</v>
      </c>
      <c r="G276" s="81" t="str">
        <f>VLOOKUP("*"&amp;表格1[[#This Row],[Input]]&amp;"*",'Ref-List'!$B:$D,2,)</f>
        <v>IC-21TSHK</v>
      </c>
      <c r="H276" s="81" t="str">
        <f>_xlfn.XLOOKUP(表格1[[#This Row],[Model]],表格3[Model-Input-Ref2],表格3[Product Line])</f>
        <v>Induction Cooker</v>
      </c>
      <c r="I276" s="81" t="str">
        <f>_xlfn.XLOOKUP(表格1[[#This Row],[Model]],表格3[Model-Input-Ref2],表格3[大小電])</f>
        <v>細電</v>
      </c>
      <c r="J276" s="81" t="str">
        <f>_xlfn.XLOOKUP(表格1[[#This Row],[Model]],表格3[Model-Input-Ref2],表格3[Code])</f>
        <v>SDA</v>
      </c>
      <c r="K276" s="82" t="s">
        <v>1242</v>
      </c>
      <c r="L276" s="81">
        <v>1</v>
      </c>
      <c r="M276" s="85">
        <v>500</v>
      </c>
      <c r="N276" s="85">
        <f>IFERROR(表格1[[#This Row],[QTY]]*表格1[[#This Row],[Unit Price]],"-")</f>
        <v>500</v>
      </c>
      <c r="O276" s="134">
        <v>7027445</v>
      </c>
      <c r="P276" s="81"/>
      <c r="Q276" s="81"/>
      <c r="R276" s="81" t="str">
        <f>_xlfn.CONCAT(表格1[[#This Row],[Model]]," ",表格1[[#This Row],[inv no]])</f>
        <v>IC-21TSHK 7027445</v>
      </c>
      <c r="S276" s="135">
        <f>_xlfn.XLOOKUP(表格1[[#This Row],[Model]],表格3[Model-Input-Ref2],表格3[SRP PRICE])</f>
        <v>998</v>
      </c>
      <c r="T276" s="43">
        <f>表格1[[#This Row],[Unit Price]]/表格1[[#This Row],[SRP]]</f>
        <v>0.50100200400801598</v>
      </c>
      <c r="U276" s="86" t="str">
        <f>_xlfn.XLOOKUP(表格1[[#This Row],[Model]],表格3[Model-Input-Ref2],表格3[TOSHIBA/HIGHEST])</f>
        <v>web SRP</v>
      </c>
      <c r="V276" s="86">
        <v>110</v>
      </c>
      <c r="W276" s="86" t="str">
        <f>_xlfn.CONCAT(表格1[[#This Row],[欄4]],表格1[[#This Row],[inv no]])</f>
        <v>1107027445</v>
      </c>
    </row>
    <row r="277" spans="1:23" hidden="1">
      <c r="A277" s="81">
        <v>275</v>
      </c>
      <c r="B277" s="81" t="s">
        <v>1203</v>
      </c>
      <c r="C277" s="81" t="s">
        <v>1255</v>
      </c>
      <c r="D277" s="82" t="str">
        <f ca="1">OFFSET(Roster!$A$3,MATCH(表格1[[#This Row],[Location]]&amp;" "&amp;表格1[[#This Row],[Shop]]&amp;"*",Roster!$A$4:$A$72,0),DAY(表格1[[#This Row],[date]]),1,1)</f>
        <v>Me</v>
      </c>
      <c r="E277" s="81">
        <f>MONTH(表格1[[#This Row],[date]])</f>
        <v>3</v>
      </c>
      <c r="F277" s="101">
        <v>46089</v>
      </c>
      <c r="G277" s="81" t="str">
        <f>VLOOKUP("*"&amp;表格1[[#This Row],[Input]]&amp;"*",'Ref-List'!$B:$D,2,)</f>
        <v>GR-RT416WE-PMA(06)</v>
      </c>
      <c r="H277" s="81" t="str">
        <f>_xlfn.XLOOKUP(表格1[[#This Row],[Model]],表格3[Model-Input-Ref2],表格3[Product Line])</f>
        <v xml:space="preserve">變頻上置式雙門雪櫃313L </v>
      </c>
      <c r="I277" s="81" t="str">
        <f>_xlfn.XLOOKUP(表格1[[#This Row],[Model]],表格3[Model-Input-Ref2],表格3[大小電])</f>
        <v>大電</v>
      </c>
      <c r="J277" s="81" t="str">
        <f>_xlfn.XLOOKUP(表格1[[#This Row],[Model]],表格3[Model-Input-Ref2],表格3[Code])</f>
        <v>REF</v>
      </c>
      <c r="K277" s="82" t="s">
        <v>1208</v>
      </c>
      <c r="L277" s="81">
        <v>1</v>
      </c>
      <c r="M277" s="85">
        <v>2888</v>
      </c>
      <c r="N277" s="85">
        <f>IFERROR(表格1[[#This Row],[QTY]]*表格1[[#This Row],[Unit Price]],"-")</f>
        <v>2888</v>
      </c>
      <c r="O277" s="134">
        <v>7017737</v>
      </c>
      <c r="P277" s="81"/>
      <c r="Q277" s="81"/>
      <c r="R277" s="81" t="str">
        <f>_xlfn.CONCAT(表格1[[#This Row],[Model]]," ",表格1[[#This Row],[inv no]])</f>
        <v>GR-RT416WE-PMA(06) 7017737</v>
      </c>
      <c r="S277" s="135">
        <f>_xlfn.XLOOKUP(表格1[[#This Row],[Model]],表格3[Model-Input-Ref2],表格3[SRP PRICE])</f>
        <v>5380</v>
      </c>
      <c r="T277" s="43">
        <f>表格1[[#This Row],[Unit Price]]/表格1[[#This Row],[SRP]]</f>
        <v>0.53680297397769516</v>
      </c>
      <c r="U277" s="86" t="str">
        <f>_xlfn.XLOOKUP(表格1[[#This Row],[Model]],表格3[Model-Input-Ref2],表格3[TOSHIBA/HIGHEST])</f>
        <v>Toshiba SRP</v>
      </c>
      <c r="V277" s="86">
        <v>110</v>
      </c>
      <c r="W277" s="86" t="str">
        <f>_xlfn.CONCAT(表格1[[#This Row],[欄4]],表格1[[#This Row],[inv no]])</f>
        <v>1107017737</v>
      </c>
    </row>
    <row r="278" spans="1:23" hidden="1">
      <c r="A278" s="81">
        <v>276</v>
      </c>
      <c r="B278" s="81" t="s">
        <v>1203</v>
      </c>
      <c r="C278" s="81" t="s">
        <v>1255</v>
      </c>
      <c r="D278" s="82" t="str">
        <f ca="1">OFFSET(Roster!$A$3,MATCH(表格1[[#This Row],[Location]]&amp;" "&amp;表格1[[#This Row],[Shop]]&amp;"*",Roster!$A$4:$A$72,0),DAY(表格1[[#This Row],[date]]),1,1)</f>
        <v>Me</v>
      </c>
      <c r="E278" s="81">
        <f>MONTH(表格1[[#This Row],[date]])</f>
        <v>3</v>
      </c>
      <c r="F278" s="101">
        <v>46089</v>
      </c>
      <c r="G278" s="81" t="str">
        <f>VLOOKUP("*"&amp;表格1[[#This Row],[Input]]&amp;"*",'Ref-List'!$B:$D,2,)</f>
        <v>IC-21TSHK</v>
      </c>
      <c r="H278" s="81" t="str">
        <f>_xlfn.XLOOKUP(表格1[[#This Row],[Model]],表格3[Model-Input-Ref2],表格3[Product Line])</f>
        <v>Induction Cooker</v>
      </c>
      <c r="I278" s="81" t="str">
        <f>_xlfn.XLOOKUP(表格1[[#This Row],[Model]],表格3[Model-Input-Ref2],表格3[大小電])</f>
        <v>細電</v>
      </c>
      <c r="J278" s="81" t="str">
        <f>_xlfn.XLOOKUP(表格1[[#This Row],[Model]],表格3[Model-Input-Ref2],表格3[Code])</f>
        <v>SDA</v>
      </c>
      <c r="K278" s="82" t="s">
        <v>1242</v>
      </c>
      <c r="L278" s="81">
        <v>1</v>
      </c>
      <c r="M278" s="85">
        <v>500</v>
      </c>
      <c r="N278" s="85">
        <f>IFERROR(表格1[[#This Row],[QTY]]*表格1[[#This Row],[Unit Price]],"-")</f>
        <v>500</v>
      </c>
      <c r="O278" s="134">
        <v>7027417</v>
      </c>
      <c r="P278" s="81"/>
      <c r="Q278" s="81"/>
      <c r="R278" s="81" t="str">
        <f>_xlfn.CONCAT(表格1[[#This Row],[Model]]," ",表格1[[#This Row],[inv no]])</f>
        <v>IC-21TSHK 7027417</v>
      </c>
      <c r="S278" s="135">
        <f>_xlfn.XLOOKUP(表格1[[#This Row],[Model]],表格3[Model-Input-Ref2],表格3[SRP PRICE])</f>
        <v>998</v>
      </c>
      <c r="T278" s="43">
        <f>表格1[[#This Row],[Unit Price]]/表格1[[#This Row],[SRP]]</f>
        <v>0.50100200400801598</v>
      </c>
      <c r="U278" s="86" t="str">
        <f>_xlfn.XLOOKUP(表格1[[#This Row],[Model]],表格3[Model-Input-Ref2],表格3[TOSHIBA/HIGHEST])</f>
        <v>web SRP</v>
      </c>
      <c r="V278" s="86">
        <v>110</v>
      </c>
      <c r="W278" s="86" t="str">
        <f>_xlfn.CONCAT(表格1[[#This Row],[欄4]],表格1[[#This Row],[inv no]])</f>
        <v>1107027417</v>
      </c>
    </row>
    <row r="279" spans="1:23" hidden="1">
      <c r="A279" s="81">
        <v>277</v>
      </c>
      <c r="B279" s="81" t="s">
        <v>1203</v>
      </c>
      <c r="C279" s="81" t="s">
        <v>1255</v>
      </c>
      <c r="D279" s="82" t="str">
        <f ca="1">OFFSET(Roster!$A$3,MATCH(表格1[[#This Row],[Location]]&amp;" "&amp;表格1[[#This Row],[Shop]]&amp;"*",Roster!$A$4:$A$72,0),DAY(表格1[[#This Row],[date]]),1,1)</f>
        <v>Me</v>
      </c>
      <c r="E279" s="81">
        <f>MONTH(表格1[[#This Row],[date]])</f>
        <v>3</v>
      </c>
      <c r="F279" s="101">
        <v>46089</v>
      </c>
      <c r="G279" s="81" t="str">
        <f>VLOOKUP("*"&amp;表格1[[#This Row],[Input]]&amp;"*",'Ref-List'!$B:$D,2,)</f>
        <v>RC-15ISTHK(W)</v>
      </c>
      <c r="H279" s="81" t="str">
        <f>_xlfn.XLOOKUP(表格1[[#This Row],[Model]],表格3[Model-Input-Ref2],表格3[Product Line])</f>
        <v>磁應電飯煲(1.5公升)</v>
      </c>
      <c r="I279" s="81" t="str">
        <f>_xlfn.XLOOKUP(表格1[[#This Row],[Model]],表格3[Model-Input-Ref2],表格3[大小電])</f>
        <v>細電</v>
      </c>
      <c r="J279" s="81" t="str">
        <f>_xlfn.XLOOKUP(表格1[[#This Row],[Model]],表格3[Model-Input-Ref2],表格3[Code])</f>
        <v>SDA</v>
      </c>
      <c r="K279" s="82" t="s">
        <v>1204</v>
      </c>
      <c r="L279" s="81">
        <v>1</v>
      </c>
      <c r="M279" s="85">
        <v>500</v>
      </c>
      <c r="N279" s="85">
        <f>IFERROR(表格1[[#This Row],[QTY]]*表格1[[#This Row],[Unit Price]],"-")</f>
        <v>500</v>
      </c>
      <c r="O279" s="134">
        <v>7017732</v>
      </c>
      <c r="P279" s="81"/>
      <c r="Q279" s="81"/>
      <c r="R279" s="81" t="str">
        <f>_xlfn.CONCAT(表格1[[#This Row],[Model]]," ",表格1[[#This Row],[inv no]])</f>
        <v>RC-15ISTHK(W) 7017732</v>
      </c>
      <c r="S279" s="135">
        <f>_xlfn.XLOOKUP(表格1[[#This Row],[Model]],表格3[Model-Input-Ref2],表格3[SRP PRICE])</f>
        <v>1688</v>
      </c>
      <c r="T279" s="43">
        <f>表格1[[#This Row],[Unit Price]]/表格1[[#This Row],[SRP]]</f>
        <v>0.29620853080568721</v>
      </c>
      <c r="U279" s="86" t="str">
        <f>_xlfn.XLOOKUP(表格1[[#This Row],[Model]],表格3[Model-Input-Ref2],表格3[TOSHIBA/HIGHEST])</f>
        <v>Toshiba SRP</v>
      </c>
      <c r="V279" s="86">
        <v>110</v>
      </c>
      <c r="W279" s="86" t="str">
        <f>_xlfn.CONCAT(表格1[[#This Row],[欄4]],表格1[[#This Row],[inv no]])</f>
        <v>1107017732</v>
      </c>
    </row>
    <row r="280" spans="1:23" hidden="1">
      <c r="A280" s="81">
        <v>278</v>
      </c>
      <c r="B280" s="81" t="s">
        <v>1203</v>
      </c>
      <c r="C280" s="81" t="s">
        <v>1255</v>
      </c>
      <c r="D280" s="82" t="str">
        <f ca="1">OFFSET(Roster!$A$3,MATCH(表格1[[#This Row],[Location]]&amp;" "&amp;表格1[[#This Row],[Shop]]&amp;"*",Roster!$A$4:$A$72,0),DAY(表格1[[#This Row],[date]]),1,1)</f>
        <v>Me</v>
      </c>
      <c r="E280" s="81">
        <f>MONTH(表格1[[#This Row],[date]])</f>
        <v>3</v>
      </c>
      <c r="F280" s="101">
        <v>46089</v>
      </c>
      <c r="G280" s="81" t="str">
        <f>VLOOKUP("*"&amp;表格1[[#This Row],[Input]]&amp;"*",'Ref-List'!$B:$D,2,)</f>
        <v>RC-15ISTHK(W)</v>
      </c>
      <c r="H280" s="81" t="str">
        <f>_xlfn.XLOOKUP(表格1[[#This Row],[Model]],表格3[Model-Input-Ref2],表格3[Product Line])</f>
        <v>磁應電飯煲(1.5公升)</v>
      </c>
      <c r="I280" s="81" t="str">
        <f>_xlfn.XLOOKUP(表格1[[#This Row],[Model]],表格3[Model-Input-Ref2],表格3[大小電])</f>
        <v>細電</v>
      </c>
      <c r="J280" s="81" t="str">
        <f>_xlfn.XLOOKUP(表格1[[#This Row],[Model]],表格3[Model-Input-Ref2],表格3[Code])</f>
        <v>SDA</v>
      </c>
      <c r="K280" s="82" t="s">
        <v>1204</v>
      </c>
      <c r="L280" s="81">
        <v>1</v>
      </c>
      <c r="M280" s="85">
        <v>500</v>
      </c>
      <c r="N280" s="85">
        <f>IFERROR(表格1[[#This Row],[QTY]]*表格1[[#This Row],[Unit Price]],"-")</f>
        <v>500</v>
      </c>
      <c r="O280" s="134">
        <v>7017944</v>
      </c>
      <c r="P280" s="81"/>
      <c r="Q280" s="81"/>
      <c r="R280" s="81" t="str">
        <f>_xlfn.CONCAT(表格1[[#This Row],[Model]]," ",表格1[[#This Row],[inv no]])</f>
        <v>RC-15ISTHK(W) 7017944</v>
      </c>
      <c r="S280" s="135">
        <f>_xlfn.XLOOKUP(表格1[[#This Row],[Model]],表格3[Model-Input-Ref2],表格3[SRP PRICE])</f>
        <v>1688</v>
      </c>
      <c r="T280" s="43">
        <f>表格1[[#This Row],[Unit Price]]/表格1[[#This Row],[SRP]]</f>
        <v>0.29620853080568721</v>
      </c>
      <c r="U280" s="86" t="str">
        <f>_xlfn.XLOOKUP(表格1[[#This Row],[Model]],表格3[Model-Input-Ref2],表格3[TOSHIBA/HIGHEST])</f>
        <v>Toshiba SRP</v>
      </c>
      <c r="V280" s="86">
        <v>110</v>
      </c>
      <c r="W280" s="86" t="str">
        <f>_xlfn.CONCAT(表格1[[#This Row],[欄4]],表格1[[#This Row],[inv no]])</f>
        <v>1107017944</v>
      </c>
    </row>
    <row r="281" spans="1:23" hidden="1">
      <c r="A281" s="81">
        <v>279</v>
      </c>
      <c r="B281" s="81" t="s">
        <v>1203</v>
      </c>
      <c r="C281" s="81" t="s">
        <v>1255</v>
      </c>
      <c r="D281" s="82" t="str">
        <f ca="1">OFFSET(Roster!$A$3,MATCH(表格1[[#This Row],[Location]]&amp;" "&amp;表格1[[#This Row],[Shop]]&amp;"*",Roster!$A$4:$A$72,0),DAY(表格1[[#This Row],[date]]),1,1)</f>
        <v>Me</v>
      </c>
      <c r="E281" s="81">
        <f>MONTH(表格1[[#This Row],[date]])</f>
        <v>3</v>
      </c>
      <c r="F281" s="101">
        <v>46089</v>
      </c>
      <c r="G281" s="81" t="str">
        <f>VLOOKUP("*"&amp;表格1[[#This Row],[Input]]&amp;"*",'Ref-List'!$B:$D,2,)</f>
        <v>RC-15ISTHK(W)</v>
      </c>
      <c r="H281" s="81" t="str">
        <f>_xlfn.XLOOKUP(表格1[[#This Row],[Model]],表格3[Model-Input-Ref2],表格3[Product Line])</f>
        <v>磁應電飯煲(1.5公升)</v>
      </c>
      <c r="I281" s="81" t="str">
        <f>_xlfn.XLOOKUP(表格1[[#This Row],[Model]],表格3[Model-Input-Ref2],表格3[大小電])</f>
        <v>細電</v>
      </c>
      <c r="J281" s="81" t="str">
        <f>_xlfn.XLOOKUP(表格1[[#This Row],[Model]],表格3[Model-Input-Ref2],表格3[Code])</f>
        <v>SDA</v>
      </c>
      <c r="K281" s="82" t="s">
        <v>1238</v>
      </c>
      <c r="L281" s="81">
        <v>1</v>
      </c>
      <c r="M281" s="85">
        <v>500</v>
      </c>
      <c r="N281" s="85">
        <f>IFERROR(表格1[[#This Row],[QTY]]*表格1[[#This Row],[Unit Price]],"-")</f>
        <v>500</v>
      </c>
      <c r="O281" s="134">
        <v>7017863</v>
      </c>
      <c r="P281" s="81"/>
      <c r="Q281" s="81"/>
      <c r="R281" s="81" t="str">
        <f>_xlfn.CONCAT(表格1[[#This Row],[Model]]," ",表格1[[#This Row],[inv no]])</f>
        <v>RC-15ISTHK(W) 7017863</v>
      </c>
      <c r="S281" s="135">
        <f>_xlfn.XLOOKUP(表格1[[#This Row],[Model]],表格3[Model-Input-Ref2],表格3[SRP PRICE])</f>
        <v>1688</v>
      </c>
      <c r="T281" s="43">
        <f>表格1[[#This Row],[Unit Price]]/表格1[[#This Row],[SRP]]</f>
        <v>0.29620853080568721</v>
      </c>
      <c r="U281" s="86" t="str">
        <f>_xlfn.XLOOKUP(表格1[[#This Row],[Model]],表格3[Model-Input-Ref2],表格3[TOSHIBA/HIGHEST])</f>
        <v>Toshiba SRP</v>
      </c>
      <c r="V281" s="86">
        <v>110</v>
      </c>
      <c r="W281" s="86" t="str">
        <f>_xlfn.CONCAT(表格1[[#This Row],[欄4]],表格1[[#This Row],[inv no]])</f>
        <v>1107017863</v>
      </c>
    </row>
    <row r="282" spans="1:23" hidden="1">
      <c r="A282" s="81">
        <v>280</v>
      </c>
      <c r="B282" s="81" t="s">
        <v>1203</v>
      </c>
      <c r="C282" s="81" t="s">
        <v>1255</v>
      </c>
      <c r="D282" s="82" t="str">
        <f ca="1">OFFSET(Roster!$A$3,MATCH(表格1[[#This Row],[Location]]&amp;" "&amp;表格1[[#This Row],[Shop]]&amp;"*",Roster!$A$4:$A$72,0),DAY(表格1[[#This Row],[date]]),1,1)</f>
        <v>Me</v>
      </c>
      <c r="E282" s="81">
        <f>MONTH(表格1[[#This Row],[date]])</f>
        <v>3</v>
      </c>
      <c r="F282" s="101">
        <v>46089</v>
      </c>
      <c r="G282" s="81" t="str">
        <f>VLOOKUP("*"&amp;表格1[[#This Row],[Input]]&amp;"*",'Ref-List'!$B:$D,2,)</f>
        <v>RC-15ISTHK(W)</v>
      </c>
      <c r="H282" s="81" t="str">
        <f>_xlfn.XLOOKUP(表格1[[#This Row],[Model]],表格3[Model-Input-Ref2],表格3[Product Line])</f>
        <v>磁應電飯煲(1.5公升)</v>
      </c>
      <c r="I282" s="81" t="str">
        <f>_xlfn.XLOOKUP(表格1[[#This Row],[Model]],表格3[Model-Input-Ref2],表格3[大小電])</f>
        <v>細電</v>
      </c>
      <c r="J282" s="81" t="str">
        <f>_xlfn.XLOOKUP(表格1[[#This Row],[Model]],表格3[Model-Input-Ref2],表格3[Code])</f>
        <v>SDA</v>
      </c>
      <c r="K282" s="82" t="s">
        <v>1238</v>
      </c>
      <c r="L282" s="81">
        <v>1</v>
      </c>
      <c r="M282" s="85">
        <v>500</v>
      </c>
      <c r="N282" s="85">
        <f>IFERROR(表格1[[#This Row],[QTY]]*表格1[[#This Row],[Unit Price]],"-")</f>
        <v>500</v>
      </c>
      <c r="O282" s="134">
        <v>7017861</v>
      </c>
      <c r="P282" s="81"/>
      <c r="Q282" s="81"/>
      <c r="R282" s="81" t="str">
        <f>_xlfn.CONCAT(表格1[[#This Row],[Model]]," ",表格1[[#This Row],[inv no]])</f>
        <v>RC-15ISTHK(W) 7017861</v>
      </c>
      <c r="S282" s="135">
        <f>_xlfn.XLOOKUP(表格1[[#This Row],[Model]],表格3[Model-Input-Ref2],表格3[SRP PRICE])</f>
        <v>1688</v>
      </c>
      <c r="T282" s="43">
        <f>表格1[[#This Row],[Unit Price]]/表格1[[#This Row],[SRP]]</f>
        <v>0.29620853080568721</v>
      </c>
      <c r="U282" s="86" t="str">
        <f>_xlfn.XLOOKUP(表格1[[#This Row],[Model]],表格3[Model-Input-Ref2],表格3[TOSHIBA/HIGHEST])</f>
        <v>Toshiba SRP</v>
      </c>
      <c r="V282" s="86">
        <v>110</v>
      </c>
      <c r="W282" s="86" t="str">
        <f>_xlfn.CONCAT(表格1[[#This Row],[欄4]],表格1[[#This Row],[inv no]])</f>
        <v>1107017861</v>
      </c>
    </row>
    <row r="283" spans="1:23" hidden="1">
      <c r="A283" s="81">
        <v>281</v>
      </c>
      <c r="B283" s="81" t="s">
        <v>1203</v>
      </c>
      <c r="C283" s="81" t="s">
        <v>1255</v>
      </c>
      <c r="D283" s="82" t="str">
        <f ca="1">OFFSET(Roster!$A$3,MATCH(表格1[[#This Row],[Location]]&amp;" "&amp;表格1[[#This Row],[Shop]]&amp;"*",Roster!$A$4:$A$72,0),DAY(表格1[[#This Row],[date]]),1,1)</f>
        <v>Me</v>
      </c>
      <c r="E283" s="81">
        <f>MONTH(表格1[[#This Row],[date]])</f>
        <v>3</v>
      </c>
      <c r="F283" s="101">
        <v>46089</v>
      </c>
      <c r="G283" s="81" t="str">
        <f>VLOOKUP("*"&amp;表格1[[#This Row],[Input]]&amp;"*",'Ref-List'!$B:$D,2,)</f>
        <v>RC-15ISTHK(W)</v>
      </c>
      <c r="H283" s="81" t="str">
        <f>_xlfn.XLOOKUP(表格1[[#This Row],[Model]],表格3[Model-Input-Ref2],表格3[Product Line])</f>
        <v>磁應電飯煲(1.5公升)</v>
      </c>
      <c r="I283" s="81" t="str">
        <f>_xlfn.XLOOKUP(表格1[[#This Row],[Model]],表格3[Model-Input-Ref2],表格3[大小電])</f>
        <v>細電</v>
      </c>
      <c r="J283" s="81" t="str">
        <f>_xlfn.XLOOKUP(表格1[[#This Row],[Model]],表格3[Model-Input-Ref2],表格3[Code])</f>
        <v>SDA</v>
      </c>
      <c r="K283" s="82" t="s">
        <v>1238</v>
      </c>
      <c r="L283" s="81">
        <v>1</v>
      </c>
      <c r="M283" s="85">
        <v>500</v>
      </c>
      <c r="N283" s="85">
        <f>IFERROR(表格1[[#This Row],[QTY]]*表格1[[#This Row],[Unit Price]],"-")</f>
        <v>500</v>
      </c>
      <c r="O283" s="134">
        <v>7017821</v>
      </c>
      <c r="P283" s="81"/>
      <c r="Q283" s="81"/>
      <c r="R283" s="81" t="str">
        <f>_xlfn.CONCAT(表格1[[#This Row],[Model]]," ",表格1[[#This Row],[inv no]])</f>
        <v>RC-15ISTHK(W) 7017821</v>
      </c>
      <c r="S283" s="135">
        <f>_xlfn.XLOOKUP(表格1[[#This Row],[Model]],表格3[Model-Input-Ref2],表格3[SRP PRICE])</f>
        <v>1688</v>
      </c>
      <c r="T283" s="43">
        <f>表格1[[#This Row],[Unit Price]]/表格1[[#This Row],[SRP]]</f>
        <v>0.29620853080568721</v>
      </c>
      <c r="U283" s="86" t="str">
        <f>_xlfn.XLOOKUP(表格1[[#This Row],[Model]],表格3[Model-Input-Ref2],表格3[TOSHIBA/HIGHEST])</f>
        <v>Toshiba SRP</v>
      </c>
      <c r="V283" s="86">
        <v>110</v>
      </c>
      <c r="W283" s="86" t="str">
        <f>_xlfn.CONCAT(表格1[[#This Row],[欄4]],表格1[[#This Row],[inv no]])</f>
        <v>1107017821</v>
      </c>
    </row>
    <row r="284" spans="1:23" hidden="1">
      <c r="A284" s="81">
        <v>282</v>
      </c>
      <c r="B284" s="81" t="s">
        <v>1203</v>
      </c>
      <c r="C284" s="81" t="s">
        <v>1255</v>
      </c>
      <c r="D284" s="82" t="str">
        <f ca="1">OFFSET(Roster!$A$3,MATCH(表格1[[#This Row],[Location]]&amp;" "&amp;表格1[[#This Row],[Shop]]&amp;"*",Roster!$A$4:$A$72,0),DAY(表格1[[#This Row],[date]]),1,1)</f>
        <v>Me</v>
      </c>
      <c r="E284" s="81">
        <f>MONTH(表格1[[#This Row],[date]])</f>
        <v>3</v>
      </c>
      <c r="F284" s="101">
        <v>46089</v>
      </c>
      <c r="G284" s="81" t="str">
        <f>VLOOKUP("*"&amp;表格1[[#This Row],[Input]]&amp;"*",'Ref-List'!$B:$D,2,)</f>
        <v>AW-M901BPH(WW)</v>
      </c>
      <c r="H284" s="81" t="str">
        <f>_xlfn.XLOOKUP(表格1[[#This Row],[Model]],表格3[Model-Input-Ref2],表格3[Product Line])</f>
        <v>全自動洗衣機 (8公斤 結合高低水位)</v>
      </c>
      <c r="I284" s="81" t="str">
        <f>_xlfn.XLOOKUP(表格1[[#This Row],[Model]],表格3[Model-Input-Ref2],表格3[大小電])</f>
        <v>大電</v>
      </c>
      <c r="J284" s="81" t="str">
        <f>_xlfn.XLOOKUP(表格1[[#This Row],[Model]],表格3[Model-Input-Ref2],表格3[Code])</f>
        <v>WM</v>
      </c>
      <c r="K284" s="82" t="s">
        <v>1202</v>
      </c>
      <c r="L284" s="81">
        <v>1</v>
      </c>
      <c r="M284" s="85">
        <v>1500</v>
      </c>
      <c r="N284" s="85">
        <f>IFERROR(表格1[[#This Row],[QTY]]*表格1[[#This Row],[Unit Price]],"-")</f>
        <v>1500</v>
      </c>
      <c r="O284" s="134">
        <v>7027609</v>
      </c>
      <c r="P284" s="81"/>
      <c r="Q284" s="81"/>
      <c r="R284" s="81" t="str">
        <f>_xlfn.CONCAT(表格1[[#This Row],[Model]]," ",表格1[[#This Row],[inv no]])</f>
        <v>AW-M901BPH(WW) 7027609</v>
      </c>
      <c r="S284" s="135">
        <f>_xlfn.XLOOKUP(表格1[[#This Row],[Model]],表格3[Model-Input-Ref2],表格3[SRP PRICE])</f>
        <v>3580</v>
      </c>
      <c r="T284" s="43">
        <f>表格1[[#This Row],[Unit Price]]/表格1[[#This Row],[SRP]]</f>
        <v>0.41899441340782123</v>
      </c>
      <c r="U284" s="86" t="str">
        <f>_xlfn.XLOOKUP(表格1[[#This Row],[Model]],表格3[Model-Input-Ref2],表格3[TOSHIBA/HIGHEST])</f>
        <v>Toshiba SRP</v>
      </c>
      <c r="V284" s="86">
        <v>110</v>
      </c>
      <c r="W284" s="86" t="str">
        <f>_xlfn.CONCAT(表格1[[#This Row],[欄4]],表格1[[#This Row],[inv no]])</f>
        <v>1107027609</v>
      </c>
    </row>
    <row r="285" spans="1:23" ht="16.5" hidden="1">
      <c r="A285" s="81">
        <v>283</v>
      </c>
      <c r="B285" s="81" t="s">
        <v>1203</v>
      </c>
      <c r="C285" s="81" t="s">
        <v>1255</v>
      </c>
      <c r="D285" s="82" t="str">
        <f ca="1">OFFSET(Roster!$A$3,MATCH(表格1[[#This Row],[Location]]&amp;" "&amp;表格1[[#This Row],[Shop]]&amp;"*",Roster!$A$4:$A$72,0),DAY(表格1[[#This Row],[date]]),1,1)</f>
        <v>Me</v>
      </c>
      <c r="E285" s="81">
        <f>MONTH(表格1[[#This Row],[date]])</f>
        <v>3</v>
      </c>
      <c r="F285" s="101">
        <v>46089</v>
      </c>
      <c r="G285" s="81" t="str">
        <f>VLOOKUP("*"&amp;表格1[[#This Row],[Input]]&amp;"*",'Ref-List'!$B:$D,2,)</f>
        <v>TW-BL85A2H(WW)</v>
      </c>
      <c r="H285" s="81" t="str">
        <f>_xlfn.XLOOKUP(表格1[[#This Row],[Model]],表格3[Model-Input-Ref2],表格3[Product Line])</f>
        <v>7.5KG超薄身前置式變頻洗衣機</v>
      </c>
      <c r="I285" s="81" t="str">
        <f>_xlfn.XLOOKUP(表格1[[#This Row],[Model]],表格3[Model-Input-Ref2],表格3[大小電])</f>
        <v>大電</v>
      </c>
      <c r="J285" s="81" t="str">
        <f>_xlfn.XLOOKUP(表格1[[#This Row],[Model]],表格3[Model-Input-Ref2],表格3[Code])</f>
        <v>WM</v>
      </c>
      <c r="K285" s="82" t="s">
        <v>1206</v>
      </c>
      <c r="L285" s="81">
        <v>1</v>
      </c>
      <c r="M285" s="85">
        <v>2588</v>
      </c>
      <c r="N285" s="85">
        <f>IFERROR(表格1[[#This Row],[QTY]]*表格1[[#This Row],[Unit Price]],"-")</f>
        <v>2588</v>
      </c>
      <c r="O285" s="134">
        <v>7017927</v>
      </c>
      <c r="P285" s="137"/>
      <c r="Q285" s="81"/>
      <c r="R285" s="81" t="str">
        <f>_xlfn.CONCAT(表格1[[#This Row],[Model]]," ",表格1[[#This Row],[inv no]])</f>
        <v>TW-BL85A2H(WW) 7017927</v>
      </c>
      <c r="S285" s="135">
        <f>_xlfn.XLOOKUP(表格1[[#This Row],[Model]],表格3[Model-Input-Ref2],表格3[SRP PRICE])</f>
        <v>5080</v>
      </c>
      <c r="T285" s="43">
        <f>表格1[[#This Row],[Unit Price]]/表格1[[#This Row],[SRP]]</f>
        <v>0.50944881889763782</v>
      </c>
      <c r="U285" s="86" t="str">
        <f>_xlfn.XLOOKUP(表格1[[#This Row],[Model]],表格3[Model-Input-Ref2],表格3[TOSHIBA/HIGHEST])</f>
        <v>Toshiba SRP</v>
      </c>
      <c r="V285" s="86">
        <v>110</v>
      </c>
      <c r="W285" s="86" t="str">
        <f>_xlfn.CONCAT(表格1[[#This Row],[欄4]],表格1[[#This Row],[inv no]])</f>
        <v>1107017927</v>
      </c>
    </row>
    <row r="286" spans="1:23" hidden="1">
      <c r="A286" s="81">
        <v>284</v>
      </c>
      <c r="B286" s="81" t="s">
        <v>1203</v>
      </c>
      <c r="C286" s="81" t="s">
        <v>1255</v>
      </c>
      <c r="D286" s="82" t="str">
        <f ca="1">OFFSET(Roster!$A$3,MATCH(表格1[[#This Row],[Location]]&amp;" "&amp;表格1[[#This Row],[Shop]]&amp;"*",Roster!$A$4:$A$72,0),DAY(表格1[[#This Row],[date]]),1,1)</f>
        <v>Me</v>
      </c>
      <c r="E286" s="81">
        <f>MONTH(表格1[[#This Row],[date]])</f>
        <v>3</v>
      </c>
      <c r="F286" s="101">
        <v>46089</v>
      </c>
      <c r="G286" s="81" t="str">
        <f>VLOOKUP("*"&amp;表格1[[#This Row],[Input]]&amp;"*",'Ref-List'!$B:$D,2,)</f>
        <v>RAD-Y200H</v>
      </c>
      <c r="H286" s="81" t="str">
        <f>_xlfn.XLOOKUP(表格1[[#This Row],[Model]],表格3[Model-Input-Ref2],表格3[Product Line])</f>
        <v>21L壓縮式抽濕機</v>
      </c>
      <c r="I286" s="81" t="str">
        <f>_xlfn.XLOOKUP(表格1[[#This Row],[Model]],表格3[Model-Input-Ref2],表格3[大小電])</f>
        <v>大電</v>
      </c>
      <c r="J286" s="81" t="str">
        <f>_xlfn.XLOOKUP(表格1[[#This Row],[Model]],表格3[Model-Input-Ref2],表格3[Code])</f>
        <v>RAC</v>
      </c>
      <c r="K286" s="82" t="s">
        <v>1241</v>
      </c>
      <c r="L286" s="81">
        <v>1</v>
      </c>
      <c r="M286" s="85">
        <v>1500</v>
      </c>
      <c r="N286" s="85">
        <f>IFERROR(表格1[[#This Row],[QTY]]*表格1[[#This Row],[Unit Price]],"-")</f>
        <v>1500</v>
      </c>
      <c r="O286" s="134">
        <v>7027529</v>
      </c>
      <c r="P286" s="81"/>
      <c r="Q286" s="81"/>
      <c r="R286" s="81" t="str">
        <f>_xlfn.CONCAT(表格1[[#This Row],[Model]]," ",表格1[[#This Row],[inv no]])</f>
        <v>RAD-Y200H 7027529</v>
      </c>
      <c r="S286" s="135">
        <f>_xlfn.XLOOKUP(表格1[[#This Row],[Model]],表格3[Model-Input-Ref2],表格3[SRP PRICE])</f>
        <v>3280</v>
      </c>
      <c r="T286" s="43">
        <f>表格1[[#This Row],[Unit Price]]/表格1[[#This Row],[SRP]]</f>
        <v>0.45731707317073172</v>
      </c>
      <c r="U286" s="86" t="str">
        <f>_xlfn.XLOOKUP(表格1[[#This Row],[Model]],表格3[Model-Input-Ref2],表格3[TOSHIBA/HIGHEST])</f>
        <v>Toshiba SRP</v>
      </c>
      <c r="V286" s="86">
        <v>110</v>
      </c>
      <c r="W286" s="86" t="str">
        <f>_xlfn.CONCAT(表格1[[#This Row],[欄4]],表格1[[#This Row],[inv no]])</f>
        <v>1107027529</v>
      </c>
    </row>
    <row r="287" spans="1:23" hidden="1">
      <c r="A287" s="81">
        <v>285</v>
      </c>
      <c r="B287" s="81" t="s">
        <v>1203</v>
      </c>
      <c r="C287" s="81" t="s">
        <v>1255</v>
      </c>
      <c r="D287" s="82" t="str">
        <f ca="1">OFFSET(Roster!$A$3,MATCH(表格1[[#This Row],[Location]]&amp;" "&amp;表格1[[#This Row],[Shop]]&amp;"*",Roster!$A$4:$A$72,0),DAY(表格1[[#This Row],[date]]),1,1)</f>
        <v>Me</v>
      </c>
      <c r="E287" s="81">
        <f>MONTH(表格1[[#This Row],[date]])</f>
        <v>3</v>
      </c>
      <c r="F287" s="101">
        <v>46090</v>
      </c>
      <c r="G287" s="81" t="str">
        <f>VLOOKUP("*"&amp;表格1[[#This Row],[Input]]&amp;"*",'Ref-List'!$B:$D,2,)</f>
        <v>DWS-34AHK</v>
      </c>
      <c r="H287" s="81" t="str">
        <f>_xlfn.XLOOKUP(表格1[[#This Row],[Model]],表格3[Model-Input-Ref2],表格3[Product Line])</f>
        <v>獨立式免安裝洗碗碟機</v>
      </c>
      <c r="I287" s="81" t="str">
        <f>_xlfn.XLOOKUP(表格1[[#This Row],[Model]],表格3[Model-Input-Ref2],表格3[大小電])</f>
        <v>細電</v>
      </c>
      <c r="J287" s="81" t="str">
        <f>_xlfn.XLOOKUP(表格1[[#This Row],[Model]],表格3[Model-Input-Ref2],表格3[Code])</f>
        <v>DM</v>
      </c>
      <c r="K287" s="82" t="s">
        <v>1240</v>
      </c>
      <c r="L287" s="81">
        <v>7</v>
      </c>
      <c r="M287" s="85">
        <v>1500</v>
      </c>
      <c r="N287" s="85">
        <f>IFERROR(表格1[[#This Row],[QTY]]*表格1[[#This Row],[Unit Price]],"-")</f>
        <v>10500</v>
      </c>
      <c r="O287" s="134">
        <v>6048171</v>
      </c>
      <c r="P287" s="81"/>
      <c r="Q287" s="81"/>
      <c r="R287" s="81" t="str">
        <f>_xlfn.CONCAT(表格1[[#This Row],[Model]]," ",表格1[[#This Row],[inv no]])</f>
        <v>DWS-34AHK 6048171</v>
      </c>
      <c r="S287" s="135">
        <f>_xlfn.XLOOKUP(表格1[[#This Row],[Model]],表格3[Model-Input-Ref2],表格3[SRP PRICE])</f>
        <v>3999</v>
      </c>
      <c r="T287" s="43">
        <f>表格1[[#This Row],[Unit Price]]/表格1[[#This Row],[SRP]]</f>
        <v>0.37509377344336087</v>
      </c>
      <c r="U287" s="86" t="str">
        <f>_xlfn.XLOOKUP(表格1[[#This Row],[Model]],表格3[Model-Input-Ref2],表格3[TOSHIBA/HIGHEST])</f>
        <v>Web SRP</v>
      </c>
      <c r="V287" s="86">
        <v>110</v>
      </c>
      <c r="W287" s="86" t="str">
        <f>_xlfn.CONCAT(表格1[[#This Row],[欄4]],表格1[[#This Row],[inv no]])</f>
        <v>1106048171</v>
      </c>
    </row>
    <row r="288" spans="1:23" hidden="1">
      <c r="A288" s="81">
        <v>286</v>
      </c>
      <c r="B288" s="81" t="s">
        <v>1203</v>
      </c>
      <c r="C288" s="81" t="s">
        <v>1255</v>
      </c>
      <c r="D288" s="82" t="str">
        <f ca="1">OFFSET(Roster!$A$3,MATCH(表格1[[#This Row],[Location]]&amp;" "&amp;表格1[[#This Row],[Shop]]&amp;"*",Roster!$A$4:$A$72,0),DAY(表格1[[#This Row],[date]]),1,1)</f>
        <v>Me</v>
      </c>
      <c r="E288" s="81">
        <f>MONTH(表格1[[#This Row],[date]])</f>
        <v>3</v>
      </c>
      <c r="F288" s="101">
        <v>46090</v>
      </c>
      <c r="G288" s="81" t="str">
        <f>VLOOKUP("*"&amp;表格1[[#This Row],[Input]]&amp;"*",'Ref-List'!$B:$D,2,)</f>
        <v>IC-21TSHK</v>
      </c>
      <c r="H288" s="81" t="str">
        <f>_xlfn.XLOOKUP(表格1[[#This Row],[Model]],表格3[Model-Input-Ref2],表格3[Product Line])</f>
        <v>Induction Cooker</v>
      </c>
      <c r="I288" s="81" t="str">
        <f>_xlfn.XLOOKUP(表格1[[#This Row],[Model]],表格3[Model-Input-Ref2],表格3[大小電])</f>
        <v>細電</v>
      </c>
      <c r="J288" s="81" t="str">
        <f>_xlfn.XLOOKUP(表格1[[#This Row],[Model]],表格3[Model-Input-Ref2],表格3[Code])</f>
        <v>SDA</v>
      </c>
      <c r="K288" s="82" t="s">
        <v>1242</v>
      </c>
      <c r="L288" s="81">
        <v>1</v>
      </c>
      <c r="M288" s="85">
        <v>500</v>
      </c>
      <c r="N288" s="85">
        <f>IFERROR(表格1[[#This Row],[QTY]]*表格1[[#This Row],[Unit Price]],"-")</f>
        <v>500</v>
      </c>
      <c r="O288" s="134">
        <v>7018097</v>
      </c>
      <c r="P288" s="81"/>
      <c r="Q288" s="81"/>
      <c r="R288" s="81" t="str">
        <f>_xlfn.CONCAT(表格1[[#This Row],[Model]]," ",表格1[[#This Row],[inv no]])</f>
        <v>IC-21TSHK 7018097</v>
      </c>
      <c r="S288" s="135">
        <f>_xlfn.XLOOKUP(表格1[[#This Row],[Model]],表格3[Model-Input-Ref2],表格3[SRP PRICE])</f>
        <v>998</v>
      </c>
      <c r="T288" s="43">
        <f>表格1[[#This Row],[Unit Price]]/表格1[[#This Row],[SRP]]</f>
        <v>0.50100200400801598</v>
      </c>
      <c r="U288" s="86" t="str">
        <f>_xlfn.XLOOKUP(表格1[[#This Row],[Model]],表格3[Model-Input-Ref2],表格3[TOSHIBA/HIGHEST])</f>
        <v>web SRP</v>
      </c>
      <c r="V288" s="86">
        <v>110</v>
      </c>
      <c r="W288" s="86" t="str">
        <f>_xlfn.CONCAT(表格1[[#This Row],[欄4]],表格1[[#This Row],[inv no]])</f>
        <v>1107018097</v>
      </c>
    </row>
    <row r="289" spans="1:23" hidden="1">
      <c r="A289" s="81">
        <v>287</v>
      </c>
      <c r="B289" s="81" t="s">
        <v>1203</v>
      </c>
      <c r="C289" s="81" t="s">
        <v>1255</v>
      </c>
      <c r="D289" s="82" t="str">
        <f ca="1">OFFSET(Roster!$A$3,MATCH(表格1[[#This Row],[Location]]&amp;" "&amp;表格1[[#This Row],[Shop]]&amp;"*",Roster!$A$4:$A$72,0),DAY(表格1[[#This Row],[date]]),1,1)</f>
        <v>Me</v>
      </c>
      <c r="E289" s="81">
        <f>MONTH(表格1[[#This Row],[date]])</f>
        <v>3</v>
      </c>
      <c r="F289" s="101">
        <v>46090</v>
      </c>
      <c r="G289" s="81" t="str">
        <f>VLOOKUP("*"&amp;表格1[[#This Row],[Input]]&amp;"*",'Ref-List'!$B:$D,2,)</f>
        <v>MW2-MM24PC(BK)</v>
      </c>
      <c r="H289" s="81" t="str">
        <f>_xlfn.XLOOKUP(表格1[[#This Row],[Model]],表格3[Model-Input-Ref2],表格3[Product Line])</f>
        <v>旋鈕式微波爐24L</v>
      </c>
      <c r="I289" s="81" t="str">
        <f>_xlfn.XLOOKUP(表格1[[#This Row],[Model]],表格3[Model-Input-Ref2],表格3[大小電])</f>
        <v>細電</v>
      </c>
      <c r="J289" s="81" t="str">
        <f>_xlfn.XLOOKUP(表格1[[#This Row],[Model]],表格3[Model-Input-Ref2],表格3[Code])</f>
        <v>SDA</v>
      </c>
      <c r="K289" s="82" t="s">
        <v>1196</v>
      </c>
      <c r="L289" s="81">
        <v>1</v>
      </c>
      <c r="M289" s="85">
        <v>500</v>
      </c>
      <c r="N289" s="85">
        <f>IFERROR(表格1[[#This Row],[QTY]]*表格1[[#This Row],[Unit Price]],"-")</f>
        <v>500</v>
      </c>
      <c r="O289" s="134">
        <v>7027550</v>
      </c>
      <c r="P289" s="81"/>
      <c r="Q289" s="81"/>
      <c r="R289" s="81" t="str">
        <f>_xlfn.CONCAT(表格1[[#This Row],[Model]]," ",表格1[[#This Row],[inv no]])</f>
        <v>MW2-MM24PC(BK) 7027550</v>
      </c>
      <c r="S289" s="135">
        <f>_xlfn.XLOOKUP(表格1[[#This Row],[Model]],表格3[Model-Input-Ref2],表格3[SRP PRICE])</f>
        <v>848</v>
      </c>
      <c r="T289" s="43">
        <f>表格1[[#This Row],[Unit Price]]/表格1[[#This Row],[SRP]]</f>
        <v>0.589622641509434</v>
      </c>
      <c r="U289" s="86" t="str">
        <f>_xlfn.XLOOKUP(表格1[[#This Row],[Model]],表格3[Model-Input-Ref2],表格3[TOSHIBA/HIGHEST])</f>
        <v>Toshiba SRP</v>
      </c>
      <c r="V289" s="86">
        <v>110</v>
      </c>
      <c r="W289" s="86" t="str">
        <f>_xlfn.CONCAT(表格1[[#This Row],[欄4]],表格1[[#This Row],[inv no]])</f>
        <v>1107027550</v>
      </c>
    </row>
    <row r="290" spans="1:23" hidden="1">
      <c r="A290" s="81">
        <v>288</v>
      </c>
      <c r="B290" s="81" t="s">
        <v>1203</v>
      </c>
      <c r="C290" s="81" t="s">
        <v>1255</v>
      </c>
      <c r="D290" s="82" t="str">
        <f ca="1">OFFSET(Roster!$A$3,MATCH(表格1[[#This Row],[Location]]&amp;" "&amp;表格1[[#This Row],[Shop]]&amp;"*",Roster!$A$4:$A$72,0),DAY(表格1[[#This Row],[date]]),1,1)</f>
        <v>Me</v>
      </c>
      <c r="E290" s="81">
        <f>MONTH(表格1[[#This Row],[date]])</f>
        <v>3</v>
      </c>
      <c r="F290" s="101">
        <v>46090</v>
      </c>
      <c r="G290" s="81" t="str">
        <f>VLOOKUP("*"&amp;表格1[[#This Row],[Input]]&amp;"*",'Ref-List'!$B:$D,2,)</f>
        <v>RC-15ISTHK(W)</v>
      </c>
      <c r="H290" s="81" t="str">
        <f>_xlfn.XLOOKUP(表格1[[#This Row],[Model]],表格3[Model-Input-Ref2],表格3[Product Line])</f>
        <v>磁應電飯煲(1.5公升)</v>
      </c>
      <c r="I290" s="81" t="str">
        <f>_xlfn.XLOOKUP(表格1[[#This Row],[Model]],表格3[Model-Input-Ref2],表格3[大小電])</f>
        <v>細電</v>
      </c>
      <c r="J290" s="81" t="str">
        <f>_xlfn.XLOOKUP(表格1[[#This Row],[Model]],表格3[Model-Input-Ref2],表格3[Code])</f>
        <v>SDA</v>
      </c>
      <c r="K290" s="82" t="s">
        <v>1204</v>
      </c>
      <c r="L290" s="81">
        <v>1</v>
      </c>
      <c r="M290" s="85">
        <v>500</v>
      </c>
      <c r="N290" s="85">
        <f>IFERROR(表格1[[#This Row],[QTY]]*表格1[[#This Row],[Unit Price]],"-")</f>
        <v>500</v>
      </c>
      <c r="O290" s="134">
        <v>7018083</v>
      </c>
      <c r="P290" s="81"/>
      <c r="Q290" s="81"/>
      <c r="R290" s="81" t="str">
        <f>_xlfn.CONCAT(表格1[[#This Row],[Model]]," ",表格1[[#This Row],[inv no]])</f>
        <v>RC-15ISTHK(W) 7018083</v>
      </c>
      <c r="S290" s="135">
        <f>_xlfn.XLOOKUP(表格1[[#This Row],[Model]],表格3[Model-Input-Ref2],表格3[SRP PRICE])</f>
        <v>1688</v>
      </c>
      <c r="T290" s="43">
        <f>表格1[[#This Row],[Unit Price]]/表格1[[#This Row],[SRP]]</f>
        <v>0.29620853080568721</v>
      </c>
      <c r="U290" s="86" t="str">
        <f>_xlfn.XLOOKUP(表格1[[#This Row],[Model]],表格3[Model-Input-Ref2],表格3[TOSHIBA/HIGHEST])</f>
        <v>Toshiba SRP</v>
      </c>
      <c r="V290" s="86">
        <v>110</v>
      </c>
      <c r="W290" s="86" t="str">
        <f>_xlfn.CONCAT(表格1[[#This Row],[欄4]],表格1[[#This Row],[inv no]])</f>
        <v>1107018083</v>
      </c>
    </row>
    <row r="291" spans="1:23" hidden="1">
      <c r="A291" s="81">
        <v>289</v>
      </c>
      <c r="B291" s="81" t="s">
        <v>1203</v>
      </c>
      <c r="C291" s="81" t="s">
        <v>1255</v>
      </c>
      <c r="D291" s="82" t="str">
        <f ca="1">OFFSET(Roster!$A$3,MATCH(表格1[[#This Row],[Location]]&amp;" "&amp;表格1[[#This Row],[Shop]]&amp;"*",Roster!$A$4:$A$72,0),DAY(表格1[[#This Row],[date]]),1,1)</f>
        <v>Me</v>
      </c>
      <c r="E291" s="81">
        <f>MONTH(表格1[[#This Row],[date]])</f>
        <v>3</v>
      </c>
      <c r="F291" s="101">
        <v>46090</v>
      </c>
      <c r="G291" s="81" t="str">
        <f>VLOOKUP("*"&amp;表格1[[#This Row],[Input]]&amp;"*",'Ref-List'!$B:$D,2,)</f>
        <v>RC-15ISTHK(W)</v>
      </c>
      <c r="H291" s="81" t="str">
        <f>_xlfn.XLOOKUP(表格1[[#This Row],[Model]],表格3[Model-Input-Ref2],表格3[Product Line])</f>
        <v>磁應電飯煲(1.5公升)</v>
      </c>
      <c r="I291" s="81" t="str">
        <f>_xlfn.XLOOKUP(表格1[[#This Row],[Model]],表格3[Model-Input-Ref2],表格3[大小電])</f>
        <v>細電</v>
      </c>
      <c r="J291" s="81" t="str">
        <f>_xlfn.XLOOKUP(表格1[[#This Row],[Model]],表格3[Model-Input-Ref2],表格3[Code])</f>
        <v>SDA</v>
      </c>
      <c r="K291" s="82" t="s">
        <v>1204</v>
      </c>
      <c r="L291" s="81">
        <v>1</v>
      </c>
      <c r="M291" s="85">
        <v>500</v>
      </c>
      <c r="N291" s="85">
        <f>IFERROR(表格1[[#This Row],[QTY]]*表格1[[#This Row],[Unit Price]],"-")</f>
        <v>500</v>
      </c>
      <c r="O291" s="134">
        <v>7027660</v>
      </c>
      <c r="P291" s="81"/>
      <c r="Q291" s="81"/>
      <c r="R291" s="81" t="str">
        <f>_xlfn.CONCAT(表格1[[#This Row],[Model]]," ",表格1[[#This Row],[inv no]])</f>
        <v>RC-15ISTHK(W) 7027660</v>
      </c>
      <c r="S291" s="135">
        <f>_xlfn.XLOOKUP(表格1[[#This Row],[Model]],表格3[Model-Input-Ref2],表格3[SRP PRICE])</f>
        <v>1688</v>
      </c>
      <c r="T291" s="43">
        <f>表格1[[#This Row],[Unit Price]]/表格1[[#This Row],[SRP]]</f>
        <v>0.29620853080568721</v>
      </c>
      <c r="U291" s="86" t="str">
        <f>_xlfn.XLOOKUP(表格1[[#This Row],[Model]],表格3[Model-Input-Ref2],表格3[TOSHIBA/HIGHEST])</f>
        <v>Toshiba SRP</v>
      </c>
      <c r="V291" s="86">
        <v>110</v>
      </c>
      <c r="W291" s="86" t="str">
        <f>_xlfn.CONCAT(表格1[[#This Row],[欄4]],表格1[[#This Row],[inv no]])</f>
        <v>1107027660</v>
      </c>
    </row>
    <row r="292" spans="1:23" hidden="1">
      <c r="A292" s="81">
        <v>290</v>
      </c>
      <c r="B292" s="81" t="s">
        <v>1203</v>
      </c>
      <c r="C292" s="81" t="s">
        <v>1255</v>
      </c>
      <c r="D292" s="82" t="str">
        <f ca="1">OFFSET(Roster!$A$3,MATCH(表格1[[#This Row],[Location]]&amp;" "&amp;表格1[[#This Row],[Shop]]&amp;"*",Roster!$A$4:$A$72,0),DAY(表格1[[#This Row],[date]]),1,1)</f>
        <v>Me</v>
      </c>
      <c r="E292" s="81">
        <f>MONTH(表格1[[#This Row],[date]])</f>
        <v>3</v>
      </c>
      <c r="F292" s="101">
        <v>46090</v>
      </c>
      <c r="G292" s="81" t="str">
        <f>VLOOKUP("*"&amp;表格1[[#This Row],[Input]]&amp;"*",'Ref-List'!$B:$D,2,)</f>
        <v>RC-15ISTHK(W)</v>
      </c>
      <c r="H292" s="81" t="str">
        <f>_xlfn.XLOOKUP(表格1[[#This Row],[Model]],表格3[Model-Input-Ref2],表格3[Product Line])</f>
        <v>磁應電飯煲(1.5公升)</v>
      </c>
      <c r="I292" s="81" t="str">
        <f>_xlfn.XLOOKUP(表格1[[#This Row],[Model]],表格3[Model-Input-Ref2],表格3[大小電])</f>
        <v>細電</v>
      </c>
      <c r="J292" s="81" t="str">
        <f>_xlfn.XLOOKUP(表格1[[#This Row],[Model]],表格3[Model-Input-Ref2],表格3[Code])</f>
        <v>SDA</v>
      </c>
      <c r="K292" s="82" t="s">
        <v>1204</v>
      </c>
      <c r="L292" s="81">
        <v>1</v>
      </c>
      <c r="M292" s="85">
        <v>500</v>
      </c>
      <c r="N292" s="85">
        <f>IFERROR(表格1[[#This Row],[QTY]]*表格1[[#This Row],[Unit Price]],"-")</f>
        <v>500</v>
      </c>
      <c r="O292" s="134">
        <v>7027574</v>
      </c>
      <c r="P292" s="81"/>
      <c r="Q292" s="81"/>
      <c r="R292" s="81" t="str">
        <f>_xlfn.CONCAT(表格1[[#This Row],[Model]]," ",表格1[[#This Row],[inv no]])</f>
        <v>RC-15ISTHK(W) 7027574</v>
      </c>
      <c r="S292" s="135">
        <f>_xlfn.XLOOKUP(表格1[[#This Row],[Model]],表格3[Model-Input-Ref2],表格3[SRP PRICE])</f>
        <v>1688</v>
      </c>
      <c r="T292" s="43">
        <f>表格1[[#This Row],[Unit Price]]/表格1[[#This Row],[SRP]]</f>
        <v>0.29620853080568721</v>
      </c>
      <c r="U292" s="86" t="str">
        <f>_xlfn.XLOOKUP(表格1[[#This Row],[Model]],表格3[Model-Input-Ref2],表格3[TOSHIBA/HIGHEST])</f>
        <v>Toshiba SRP</v>
      </c>
      <c r="V292" s="86">
        <v>110</v>
      </c>
      <c r="W292" s="86" t="str">
        <f>_xlfn.CONCAT(表格1[[#This Row],[欄4]],表格1[[#This Row],[inv no]])</f>
        <v>1107027574</v>
      </c>
    </row>
    <row r="293" spans="1:23" hidden="1">
      <c r="A293" s="81">
        <v>291</v>
      </c>
      <c r="B293" s="81" t="s">
        <v>1203</v>
      </c>
      <c r="C293" s="81" t="s">
        <v>1255</v>
      </c>
      <c r="D293" s="82" t="str">
        <f ca="1">OFFSET(Roster!$A$3,MATCH(表格1[[#This Row],[Location]]&amp;" "&amp;表格1[[#This Row],[Shop]]&amp;"*",Roster!$A$4:$A$72,0),DAY(表格1[[#This Row],[date]]),1,1)</f>
        <v>Me</v>
      </c>
      <c r="E293" s="81">
        <f>MONTH(表格1[[#This Row],[date]])</f>
        <v>3</v>
      </c>
      <c r="F293" s="101">
        <v>46090</v>
      </c>
      <c r="G293" s="81" t="str">
        <f>VLOOKUP("*"&amp;表格1[[#This Row],[Input]]&amp;"*",'Ref-List'!$B:$D,2,)</f>
        <v>RC-15ISTHK(W)</v>
      </c>
      <c r="H293" s="81" t="str">
        <f>_xlfn.XLOOKUP(表格1[[#This Row],[Model]],表格3[Model-Input-Ref2],表格3[Product Line])</f>
        <v>磁應電飯煲(1.5公升)</v>
      </c>
      <c r="I293" s="81" t="str">
        <f>_xlfn.XLOOKUP(表格1[[#This Row],[Model]],表格3[Model-Input-Ref2],表格3[大小電])</f>
        <v>細電</v>
      </c>
      <c r="J293" s="81" t="str">
        <f>_xlfn.XLOOKUP(表格1[[#This Row],[Model]],表格3[Model-Input-Ref2],表格3[Code])</f>
        <v>SDA</v>
      </c>
      <c r="K293" s="82" t="s">
        <v>1204</v>
      </c>
      <c r="L293" s="81">
        <v>1</v>
      </c>
      <c r="M293" s="85">
        <v>500</v>
      </c>
      <c r="N293" s="85">
        <f>IFERROR(表格1[[#This Row],[QTY]]*表格1[[#This Row],[Unit Price]],"-")</f>
        <v>500</v>
      </c>
      <c r="O293" s="134">
        <v>7017987</v>
      </c>
      <c r="P293" s="81"/>
      <c r="Q293" s="81"/>
      <c r="R293" s="81" t="str">
        <f>_xlfn.CONCAT(表格1[[#This Row],[Model]]," ",表格1[[#This Row],[inv no]])</f>
        <v>RC-15ISTHK(W) 7017987</v>
      </c>
      <c r="S293" s="135">
        <f>_xlfn.XLOOKUP(表格1[[#This Row],[Model]],表格3[Model-Input-Ref2],表格3[SRP PRICE])</f>
        <v>1688</v>
      </c>
      <c r="T293" s="43">
        <f>表格1[[#This Row],[Unit Price]]/表格1[[#This Row],[SRP]]</f>
        <v>0.29620853080568721</v>
      </c>
      <c r="U293" s="86" t="str">
        <f>_xlfn.XLOOKUP(表格1[[#This Row],[Model]],表格3[Model-Input-Ref2],表格3[TOSHIBA/HIGHEST])</f>
        <v>Toshiba SRP</v>
      </c>
      <c r="V293" s="86">
        <v>110</v>
      </c>
      <c r="W293" s="86" t="str">
        <f>_xlfn.CONCAT(表格1[[#This Row],[欄4]],表格1[[#This Row],[inv no]])</f>
        <v>1107017987</v>
      </c>
    </row>
    <row r="294" spans="1:23" hidden="1">
      <c r="A294" s="81">
        <v>292</v>
      </c>
      <c r="B294" s="81" t="s">
        <v>1203</v>
      </c>
      <c r="C294" s="81" t="s">
        <v>1255</v>
      </c>
      <c r="D294" s="82" t="str">
        <f ca="1">OFFSET(Roster!$A$3,MATCH(表格1[[#This Row],[Location]]&amp;" "&amp;表格1[[#This Row],[Shop]]&amp;"*",Roster!$A$4:$A$72,0),DAY(表格1[[#This Row],[date]]),1,1)</f>
        <v>Me</v>
      </c>
      <c r="E294" s="81">
        <f>MONTH(表格1[[#This Row],[date]])</f>
        <v>3</v>
      </c>
      <c r="F294" s="101">
        <v>46090</v>
      </c>
      <c r="G294" s="81" t="str">
        <f>VLOOKUP("*"&amp;表格1[[#This Row],[Input]]&amp;"*",'Ref-List'!$B:$D,2,)</f>
        <v>RC-15ISTHK(W)</v>
      </c>
      <c r="H294" s="81" t="str">
        <f>_xlfn.XLOOKUP(表格1[[#This Row],[Model]],表格3[Model-Input-Ref2],表格3[Product Line])</f>
        <v>磁應電飯煲(1.5公升)</v>
      </c>
      <c r="I294" s="81" t="str">
        <f>_xlfn.XLOOKUP(表格1[[#This Row],[Model]],表格3[Model-Input-Ref2],表格3[大小電])</f>
        <v>細電</v>
      </c>
      <c r="J294" s="81" t="str">
        <f>_xlfn.XLOOKUP(表格1[[#This Row],[Model]],表格3[Model-Input-Ref2],表格3[Code])</f>
        <v>SDA</v>
      </c>
      <c r="K294" s="82" t="s">
        <v>1204</v>
      </c>
      <c r="L294" s="81">
        <v>1</v>
      </c>
      <c r="M294" s="85">
        <v>500</v>
      </c>
      <c r="N294" s="85">
        <f>IFERROR(表格1[[#This Row],[QTY]]*表格1[[#This Row],[Unit Price]],"-")</f>
        <v>500</v>
      </c>
      <c r="O294" s="134">
        <v>7027536</v>
      </c>
      <c r="P294" s="81"/>
      <c r="Q294" s="81"/>
      <c r="R294" s="81" t="str">
        <f>_xlfn.CONCAT(表格1[[#This Row],[Model]]," ",表格1[[#This Row],[inv no]])</f>
        <v>RC-15ISTHK(W) 7027536</v>
      </c>
      <c r="S294" s="135">
        <f>_xlfn.XLOOKUP(表格1[[#This Row],[Model]],表格3[Model-Input-Ref2],表格3[SRP PRICE])</f>
        <v>1688</v>
      </c>
      <c r="T294" s="43">
        <f>表格1[[#This Row],[Unit Price]]/表格1[[#This Row],[SRP]]</f>
        <v>0.29620853080568721</v>
      </c>
      <c r="U294" s="86" t="str">
        <f>_xlfn.XLOOKUP(表格1[[#This Row],[Model]],表格3[Model-Input-Ref2],表格3[TOSHIBA/HIGHEST])</f>
        <v>Toshiba SRP</v>
      </c>
      <c r="V294" s="86">
        <v>110</v>
      </c>
      <c r="W294" s="86" t="str">
        <f>_xlfn.CONCAT(表格1[[#This Row],[欄4]],表格1[[#This Row],[inv no]])</f>
        <v>1107027536</v>
      </c>
    </row>
    <row r="295" spans="1:23" hidden="1">
      <c r="A295" s="81">
        <v>293</v>
      </c>
      <c r="B295" s="81" t="s">
        <v>1203</v>
      </c>
      <c r="C295" s="81" t="s">
        <v>1255</v>
      </c>
      <c r="D295" s="82" t="str">
        <f ca="1">OFFSET(Roster!$A$3,MATCH(表格1[[#This Row],[Location]]&amp;" "&amp;表格1[[#This Row],[Shop]]&amp;"*",Roster!$A$4:$A$72,0),DAY(表格1[[#This Row],[date]]),1,1)</f>
        <v>Me</v>
      </c>
      <c r="E295" s="81">
        <f>MONTH(表格1[[#This Row],[date]])</f>
        <v>3</v>
      </c>
      <c r="F295" s="101">
        <v>46090</v>
      </c>
      <c r="G295" s="81" t="str">
        <f>VLOOKUP("*"&amp;表格1[[#This Row],[Input]]&amp;"*",'Ref-List'!$B:$D,2,)</f>
        <v>RC-15ISTHK(W)</v>
      </c>
      <c r="H295" s="81" t="str">
        <f>_xlfn.XLOOKUP(表格1[[#This Row],[Model]],表格3[Model-Input-Ref2],表格3[Product Line])</f>
        <v>磁應電飯煲(1.5公升)</v>
      </c>
      <c r="I295" s="81" t="str">
        <f>_xlfn.XLOOKUP(表格1[[#This Row],[Model]],表格3[Model-Input-Ref2],表格3[大小電])</f>
        <v>細電</v>
      </c>
      <c r="J295" s="81" t="str">
        <f>_xlfn.XLOOKUP(表格1[[#This Row],[Model]],表格3[Model-Input-Ref2],表格3[Code])</f>
        <v>SDA</v>
      </c>
      <c r="K295" s="82" t="s">
        <v>1204</v>
      </c>
      <c r="L295" s="81">
        <v>1</v>
      </c>
      <c r="M295" s="85">
        <v>500</v>
      </c>
      <c r="N295" s="85">
        <f>IFERROR(表格1[[#This Row],[QTY]]*表格1[[#This Row],[Unit Price]],"-")</f>
        <v>500</v>
      </c>
      <c r="O295" s="134">
        <v>7017996</v>
      </c>
      <c r="P295" s="81"/>
      <c r="Q295" s="81"/>
      <c r="R295" s="81" t="str">
        <f>_xlfn.CONCAT(表格1[[#This Row],[Model]]," ",表格1[[#This Row],[inv no]])</f>
        <v>RC-15ISTHK(W) 7017996</v>
      </c>
      <c r="S295" s="135">
        <f>_xlfn.XLOOKUP(表格1[[#This Row],[Model]],表格3[Model-Input-Ref2],表格3[SRP PRICE])</f>
        <v>1688</v>
      </c>
      <c r="T295" s="43">
        <f>表格1[[#This Row],[Unit Price]]/表格1[[#This Row],[SRP]]</f>
        <v>0.29620853080568721</v>
      </c>
      <c r="U295" s="86" t="str">
        <f>_xlfn.XLOOKUP(表格1[[#This Row],[Model]],表格3[Model-Input-Ref2],表格3[TOSHIBA/HIGHEST])</f>
        <v>Toshiba SRP</v>
      </c>
      <c r="V295" s="86">
        <v>110</v>
      </c>
      <c r="W295" s="86" t="str">
        <f>_xlfn.CONCAT(表格1[[#This Row],[欄4]],表格1[[#This Row],[inv no]])</f>
        <v>1107017996</v>
      </c>
    </row>
    <row r="296" spans="1:23" hidden="1">
      <c r="A296" s="81">
        <v>294</v>
      </c>
      <c r="B296" s="81" t="s">
        <v>1203</v>
      </c>
      <c r="C296" s="81" t="s">
        <v>1255</v>
      </c>
      <c r="D296" s="82" t="str">
        <f ca="1">OFFSET(Roster!$A$3,MATCH(表格1[[#This Row],[Location]]&amp;" "&amp;表格1[[#This Row],[Shop]]&amp;"*",Roster!$A$4:$A$72,0),DAY(表格1[[#This Row],[date]]),1,1)</f>
        <v>Me</v>
      </c>
      <c r="E296" s="81">
        <f>MONTH(表格1[[#This Row],[date]])</f>
        <v>3</v>
      </c>
      <c r="F296" s="101">
        <v>46090</v>
      </c>
      <c r="G296" s="81" t="str">
        <f>VLOOKUP("*"&amp;表格1[[#This Row],[Input]]&amp;"*",'Ref-List'!$B:$D,2,)</f>
        <v>RC-15ISTHK(W)</v>
      </c>
      <c r="H296" s="81" t="str">
        <f>_xlfn.XLOOKUP(表格1[[#This Row],[Model]],表格3[Model-Input-Ref2],表格3[Product Line])</f>
        <v>磁應電飯煲(1.5公升)</v>
      </c>
      <c r="I296" s="81" t="str">
        <f>_xlfn.XLOOKUP(表格1[[#This Row],[Model]],表格3[Model-Input-Ref2],表格3[大小電])</f>
        <v>細電</v>
      </c>
      <c r="J296" s="81" t="str">
        <f>_xlfn.XLOOKUP(表格1[[#This Row],[Model]],表格3[Model-Input-Ref2],表格3[Code])</f>
        <v>SDA</v>
      </c>
      <c r="K296" s="82" t="s">
        <v>1204</v>
      </c>
      <c r="L296" s="81">
        <v>1</v>
      </c>
      <c r="M296" s="85">
        <v>500</v>
      </c>
      <c r="N296" s="85">
        <f>IFERROR(表格1[[#This Row],[QTY]]*表格1[[#This Row],[Unit Price]],"-")</f>
        <v>500</v>
      </c>
      <c r="O296" s="134">
        <v>7065848</v>
      </c>
      <c r="P296" s="81"/>
      <c r="Q296" s="81"/>
      <c r="R296" s="81" t="str">
        <f>_xlfn.CONCAT(表格1[[#This Row],[Model]]," ",表格1[[#This Row],[inv no]])</f>
        <v>RC-15ISTHK(W) 7065848</v>
      </c>
      <c r="S296" s="135">
        <f>_xlfn.XLOOKUP(表格1[[#This Row],[Model]],表格3[Model-Input-Ref2],表格3[SRP PRICE])</f>
        <v>1688</v>
      </c>
      <c r="T296" s="43">
        <f>表格1[[#This Row],[Unit Price]]/表格1[[#This Row],[SRP]]</f>
        <v>0.29620853080568721</v>
      </c>
      <c r="U296" s="86" t="str">
        <f>_xlfn.XLOOKUP(表格1[[#This Row],[Model]],表格3[Model-Input-Ref2],表格3[TOSHIBA/HIGHEST])</f>
        <v>Toshiba SRP</v>
      </c>
      <c r="V296" s="86">
        <v>110</v>
      </c>
      <c r="W296" s="86" t="str">
        <f>_xlfn.CONCAT(表格1[[#This Row],[欄4]],表格1[[#This Row],[inv no]])</f>
        <v>1107065848</v>
      </c>
    </row>
    <row r="297" spans="1:23" hidden="1">
      <c r="A297" s="81">
        <v>295</v>
      </c>
      <c r="B297" s="81" t="s">
        <v>1203</v>
      </c>
      <c r="C297" s="81" t="s">
        <v>1255</v>
      </c>
      <c r="D297" s="82" t="str">
        <f ca="1">OFFSET(Roster!$A$3,MATCH(表格1[[#This Row],[Location]]&amp;" "&amp;表格1[[#This Row],[Shop]]&amp;"*",Roster!$A$4:$A$72,0),DAY(表格1[[#This Row],[date]]),1,1)</f>
        <v>Me</v>
      </c>
      <c r="E297" s="81">
        <f>MONTH(表格1[[#This Row],[date]])</f>
        <v>3</v>
      </c>
      <c r="F297" s="101">
        <v>46090</v>
      </c>
      <c r="G297" s="81" t="str">
        <f>VLOOKUP("*"&amp;表格1[[#This Row],[Input]]&amp;"*",'Ref-List'!$B:$D,2,)</f>
        <v>RC-15ISTHK(W)</v>
      </c>
      <c r="H297" s="81" t="str">
        <f>_xlfn.XLOOKUP(表格1[[#This Row],[Model]],表格3[Model-Input-Ref2],表格3[Product Line])</f>
        <v>磁應電飯煲(1.5公升)</v>
      </c>
      <c r="I297" s="81" t="str">
        <f>_xlfn.XLOOKUP(表格1[[#This Row],[Model]],表格3[Model-Input-Ref2],表格3[大小電])</f>
        <v>細電</v>
      </c>
      <c r="J297" s="81" t="str">
        <f>_xlfn.XLOOKUP(表格1[[#This Row],[Model]],表格3[Model-Input-Ref2],表格3[Code])</f>
        <v>SDA</v>
      </c>
      <c r="K297" s="82" t="s">
        <v>1238</v>
      </c>
      <c r="L297" s="81">
        <v>1</v>
      </c>
      <c r="M297" s="85">
        <v>500</v>
      </c>
      <c r="N297" s="85">
        <f>IFERROR(表格1[[#This Row],[QTY]]*表格1[[#This Row],[Unit Price]],"-")</f>
        <v>500</v>
      </c>
      <c r="O297" s="134">
        <v>7027585</v>
      </c>
      <c r="P297" s="81"/>
      <c r="Q297" s="81"/>
      <c r="R297" s="81" t="str">
        <f>_xlfn.CONCAT(表格1[[#This Row],[Model]]," ",表格1[[#This Row],[inv no]])</f>
        <v>RC-15ISTHK(W) 7027585</v>
      </c>
      <c r="S297" s="135">
        <f>_xlfn.XLOOKUP(表格1[[#This Row],[Model]],表格3[Model-Input-Ref2],表格3[SRP PRICE])</f>
        <v>1688</v>
      </c>
      <c r="T297" s="43">
        <f>表格1[[#This Row],[Unit Price]]/表格1[[#This Row],[SRP]]</f>
        <v>0.29620853080568721</v>
      </c>
      <c r="U297" s="86" t="str">
        <f>_xlfn.XLOOKUP(表格1[[#This Row],[Model]],表格3[Model-Input-Ref2],表格3[TOSHIBA/HIGHEST])</f>
        <v>Toshiba SRP</v>
      </c>
      <c r="V297" s="86">
        <v>110</v>
      </c>
      <c r="W297" s="86" t="str">
        <f>_xlfn.CONCAT(表格1[[#This Row],[欄4]],表格1[[#This Row],[inv no]])</f>
        <v>1107027585</v>
      </c>
    </row>
    <row r="298" spans="1:23" hidden="1">
      <c r="A298" s="81">
        <v>296</v>
      </c>
      <c r="B298" s="81" t="s">
        <v>1203</v>
      </c>
      <c r="C298" s="81" t="s">
        <v>1255</v>
      </c>
      <c r="D298" s="82" t="str">
        <f ca="1">OFFSET(Roster!$A$3,MATCH(表格1[[#This Row],[Location]]&amp;" "&amp;表格1[[#This Row],[Shop]]&amp;"*",Roster!$A$4:$A$72,0),DAY(表格1[[#This Row],[date]]),1,1)</f>
        <v>Me</v>
      </c>
      <c r="E298" s="81">
        <f>MONTH(表格1[[#This Row],[date]])</f>
        <v>3</v>
      </c>
      <c r="F298" s="101">
        <v>46090</v>
      </c>
      <c r="G298" s="81" t="str">
        <f>VLOOKUP("*"&amp;表格1[[#This Row],[Input]]&amp;"*",'Ref-List'!$B:$D,2,)</f>
        <v>RC-15ISTHK(W)</v>
      </c>
      <c r="H298" s="81" t="str">
        <f>_xlfn.XLOOKUP(表格1[[#This Row],[Model]],表格3[Model-Input-Ref2],表格3[Product Line])</f>
        <v>磁應電飯煲(1.5公升)</v>
      </c>
      <c r="I298" s="81" t="str">
        <f>_xlfn.XLOOKUP(表格1[[#This Row],[Model]],表格3[Model-Input-Ref2],表格3[大小電])</f>
        <v>細電</v>
      </c>
      <c r="J298" s="81" t="str">
        <f>_xlfn.XLOOKUP(表格1[[#This Row],[Model]],表格3[Model-Input-Ref2],表格3[Code])</f>
        <v>SDA</v>
      </c>
      <c r="K298" s="82" t="s">
        <v>1238</v>
      </c>
      <c r="L298" s="81">
        <v>1</v>
      </c>
      <c r="M298" s="85">
        <v>500</v>
      </c>
      <c r="N298" s="85">
        <f>IFERROR(表格1[[#This Row],[QTY]]*表格1[[#This Row],[Unit Price]],"-")</f>
        <v>500</v>
      </c>
      <c r="O298" s="134">
        <v>7018030</v>
      </c>
      <c r="P298" s="81"/>
      <c r="Q298" s="81"/>
      <c r="R298" s="81" t="str">
        <f>_xlfn.CONCAT(表格1[[#This Row],[Model]]," ",表格1[[#This Row],[inv no]])</f>
        <v>RC-15ISTHK(W) 7018030</v>
      </c>
      <c r="S298" s="135">
        <f>_xlfn.XLOOKUP(表格1[[#This Row],[Model]],表格3[Model-Input-Ref2],表格3[SRP PRICE])</f>
        <v>1688</v>
      </c>
      <c r="T298" s="43">
        <f>表格1[[#This Row],[Unit Price]]/表格1[[#This Row],[SRP]]</f>
        <v>0.29620853080568721</v>
      </c>
      <c r="U298" s="86" t="str">
        <f>_xlfn.XLOOKUP(表格1[[#This Row],[Model]],表格3[Model-Input-Ref2],表格3[TOSHIBA/HIGHEST])</f>
        <v>Toshiba SRP</v>
      </c>
      <c r="V298" s="86">
        <v>110</v>
      </c>
      <c r="W298" s="86" t="str">
        <f>_xlfn.CONCAT(表格1[[#This Row],[欄4]],表格1[[#This Row],[inv no]])</f>
        <v>1107018030</v>
      </c>
    </row>
    <row r="299" spans="1:23" hidden="1">
      <c r="A299" s="81">
        <v>297</v>
      </c>
      <c r="B299" s="81" t="s">
        <v>1203</v>
      </c>
      <c r="C299" s="81" t="s">
        <v>1255</v>
      </c>
      <c r="D299" s="82" t="str">
        <f ca="1">OFFSET(Roster!$A$3,MATCH(表格1[[#This Row],[Location]]&amp;" "&amp;表格1[[#This Row],[Shop]]&amp;"*",Roster!$A$4:$A$72,0),DAY(表格1[[#This Row],[date]]),1,1)</f>
        <v>Me</v>
      </c>
      <c r="E299" s="81">
        <f>MONTH(表格1[[#This Row],[date]])</f>
        <v>3</v>
      </c>
      <c r="F299" s="101">
        <v>46090</v>
      </c>
      <c r="G299" s="81" t="str">
        <f>VLOOKUP("*"&amp;表格1[[#This Row],[Input]]&amp;"*",'Ref-List'!$B:$D,2,)</f>
        <v>RC-15ISTHK(W)</v>
      </c>
      <c r="H299" s="81" t="str">
        <f>_xlfn.XLOOKUP(表格1[[#This Row],[Model]],表格3[Model-Input-Ref2],表格3[Product Line])</f>
        <v>磁應電飯煲(1.5公升)</v>
      </c>
      <c r="I299" s="81" t="str">
        <f>_xlfn.XLOOKUP(表格1[[#This Row],[Model]],表格3[Model-Input-Ref2],表格3[大小電])</f>
        <v>細電</v>
      </c>
      <c r="J299" s="81" t="str">
        <f>_xlfn.XLOOKUP(表格1[[#This Row],[Model]],表格3[Model-Input-Ref2],表格3[Code])</f>
        <v>SDA</v>
      </c>
      <c r="K299" s="82" t="s">
        <v>1238</v>
      </c>
      <c r="L299" s="81">
        <v>1</v>
      </c>
      <c r="M299" s="85">
        <v>500</v>
      </c>
      <c r="N299" s="85">
        <f>IFERROR(表格1[[#This Row],[QTY]]*表格1[[#This Row],[Unit Price]],"-")</f>
        <v>500</v>
      </c>
      <c r="O299" s="134">
        <v>7018033</v>
      </c>
      <c r="P299" s="81"/>
      <c r="Q299" s="81"/>
      <c r="R299" s="81" t="str">
        <f>_xlfn.CONCAT(表格1[[#This Row],[Model]]," ",表格1[[#This Row],[inv no]])</f>
        <v>RC-15ISTHK(W) 7018033</v>
      </c>
      <c r="S299" s="135">
        <f>_xlfn.XLOOKUP(表格1[[#This Row],[Model]],表格3[Model-Input-Ref2],表格3[SRP PRICE])</f>
        <v>1688</v>
      </c>
      <c r="T299" s="43">
        <f>表格1[[#This Row],[Unit Price]]/表格1[[#This Row],[SRP]]</f>
        <v>0.29620853080568721</v>
      </c>
      <c r="U299" s="86" t="str">
        <f>_xlfn.XLOOKUP(表格1[[#This Row],[Model]],表格3[Model-Input-Ref2],表格3[TOSHIBA/HIGHEST])</f>
        <v>Toshiba SRP</v>
      </c>
      <c r="V299" s="86">
        <v>110</v>
      </c>
      <c r="W299" s="86" t="str">
        <f>_xlfn.CONCAT(表格1[[#This Row],[欄4]],表格1[[#This Row],[inv no]])</f>
        <v>1107018033</v>
      </c>
    </row>
    <row r="300" spans="1:23" hidden="1">
      <c r="A300" s="81">
        <v>298</v>
      </c>
      <c r="B300" s="81" t="s">
        <v>1203</v>
      </c>
      <c r="C300" s="81" t="s">
        <v>1255</v>
      </c>
      <c r="D300" s="82" t="str">
        <f ca="1">OFFSET(Roster!$A$3,MATCH(表格1[[#This Row],[Location]]&amp;" "&amp;表格1[[#This Row],[Shop]]&amp;"*",Roster!$A$4:$A$72,0),DAY(表格1[[#This Row],[date]]),1,1)</f>
        <v>Me</v>
      </c>
      <c r="E300" s="81">
        <f>MONTH(表格1[[#This Row],[date]])</f>
        <v>3</v>
      </c>
      <c r="F300" s="101">
        <v>46090</v>
      </c>
      <c r="G300" s="81" t="str">
        <f>VLOOKUP("*"&amp;表格1[[#This Row],[Input]]&amp;"*",'Ref-List'!$B:$D,2,)</f>
        <v>AW-M901BPH(WW)</v>
      </c>
      <c r="H300" s="81" t="str">
        <f>_xlfn.XLOOKUP(表格1[[#This Row],[Model]],表格3[Model-Input-Ref2],表格3[Product Line])</f>
        <v>全自動洗衣機 (8公斤 結合高低水位)</v>
      </c>
      <c r="I300" s="81" t="str">
        <f>_xlfn.XLOOKUP(表格1[[#This Row],[Model]],表格3[Model-Input-Ref2],表格3[大小電])</f>
        <v>大電</v>
      </c>
      <c r="J300" s="81" t="str">
        <f>_xlfn.XLOOKUP(表格1[[#This Row],[Model]],表格3[Model-Input-Ref2],表格3[Code])</f>
        <v>WM</v>
      </c>
      <c r="K300" s="82" t="s">
        <v>1202</v>
      </c>
      <c r="L300" s="81">
        <v>1</v>
      </c>
      <c r="M300" s="85">
        <v>1500</v>
      </c>
      <c r="N300" s="85">
        <f>IFERROR(表格1[[#This Row],[QTY]]*表格1[[#This Row],[Unit Price]],"-")</f>
        <v>1500</v>
      </c>
      <c r="O300" s="134">
        <v>7027550</v>
      </c>
      <c r="P300" s="81"/>
      <c r="Q300" s="81"/>
      <c r="R300" s="81" t="str">
        <f>_xlfn.CONCAT(表格1[[#This Row],[Model]]," ",表格1[[#This Row],[inv no]])</f>
        <v>AW-M901BPH(WW) 7027550</v>
      </c>
      <c r="S300" s="135">
        <f>_xlfn.XLOOKUP(表格1[[#This Row],[Model]],表格3[Model-Input-Ref2],表格3[SRP PRICE])</f>
        <v>3580</v>
      </c>
      <c r="T300" s="43">
        <f>表格1[[#This Row],[Unit Price]]/表格1[[#This Row],[SRP]]</f>
        <v>0.41899441340782123</v>
      </c>
      <c r="U300" s="86" t="str">
        <f>_xlfn.XLOOKUP(表格1[[#This Row],[Model]],表格3[Model-Input-Ref2],表格3[TOSHIBA/HIGHEST])</f>
        <v>Toshiba SRP</v>
      </c>
      <c r="V300" s="86">
        <v>110</v>
      </c>
      <c r="W300" s="86" t="str">
        <f>_xlfn.CONCAT(表格1[[#This Row],[欄4]],表格1[[#This Row],[inv no]])</f>
        <v>1107027550</v>
      </c>
    </row>
    <row r="301" spans="1:23" hidden="1">
      <c r="A301" s="81">
        <v>299</v>
      </c>
      <c r="B301" s="81" t="s">
        <v>1203</v>
      </c>
      <c r="C301" s="81" t="s">
        <v>1255</v>
      </c>
      <c r="D301" s="82" t="str">
        <f ca="1">OFFSET(Roster!$A$3,MATCH(表格1[[#This Row],[Location]]&amp;" "&amp;表格1[[#This Row],[Shop]]&amp;"*",Roster!$A$4:$A$72,0),DAY(表格1[[#This Row],[date]]),1,1)</f>
        <v>Me</v>
      </c>
      <c r="E301" s="81">
        <f>MONTH(表格1[[#This Row],[date]])</f>
        <v>3</v>
      </c>
      <c r="F301" s="101">
        <v>46090</v>
      </c>
      <c r="G301" s="81" t="str">
        <f>VLOOKUP("*"&amp;表格1[[#This Row],[Input]]&amp;"*",'Ref-List'!$B:$D,2,)</f>
        <v>AW-M901BPH(WW)</v>
      </c>
      <c r="H301" s="81" t="str">
        <f>_xlfn.XLOOKUP(表格1[[#This Row],[Model]],表格3[Model-Input-Ref2],表格3[Product Line])</f>
        <v>全自動洗衣機 (8公斤 結合高低水位)</v>
      </c>
      <c r="I301" s="81" t="str">
        <f>_xlfn.XLOOKUP(表格1[[#This Row],[Model]],表格3[Model-Input-Ref2],表格3[大小電])</f>
        <v>大電</v>
      </c>
      <c r="J301" s="81" t="str">
        <f>_xlfn.XLOOKUP(表格1[[#This Row],[Model]],表格3[Model-Input-Ref2],表格3[Code])</f>
        <v>WM</v>
      </c>
      <c r="K301" s="82" t="s">
        <v>1202</v>
      </c>
      <c r="L301" s="81">
        <v>1</v>
      </c>
      <c r="M301" s="85">
        <v>1500</v>
      </c>
      <c r="N301" s="85">
        <f>IFERROR(表格1[[#This Row],[QTY]]*表格1[[#This Row],[Unit Price]],"-")</f>
        <v>1500</v>
      </c>
      <c r="O301" s="134">
        <v>7018033</v>
      </c>
      <c r="P301" s="81"/>
      <c r="Q301" s="81"/>
      <c r="R301" s="81" t="str">
        <f>_xlfn.CONCAT(表格1[[#This Row],[Model]]," ",表格1[[#This Row],[inv no]])</f>
        <v>AW-M901BPH(WW) 7018033</v>
      </c>
      <c r="S301" s="135">
        <f>_xlfn.XLOOKUP(表格1[[#This Row],[Model]],表格3[Model-Input-Ref2],表格3[SRP PRICE])</f>
        <v>3580</v>
      </c>
      <c r="T301" s="43">
        <f>表格1[[#This Row],[Unit Price]]/表格1[[#This Row],[SRP]]</f>
        <v>0.41899441340782123</v>
      </c>
      <c r="U301" s="86" t="str">
        <f>_xlfn.XLOOKUP(表格1[[#This Row],[Model]],表格3[Model-Input-Ref2],表格3[TOSHIBA/HIGHEST])</f>
        <v>Toshiba SRP</v>
      </c>
      <c r="V301" s="86">
        <v>110</v>
      </c>
      <c r="W301" s="86" t="str">
        <f>_xlfn.CONCAT(表格1[[#This Row],[欄4]],表格1[[#This Row],[inv no]])</f>
        <v>1107018033</v>
      </c>
    </row>
    <row r="302" spans="1:23" hidden="1">
      <c r="A302" s="81">
        <v>300</v>
      </c>
      <c r="B302" s="81" t="s">
        <v>1203</v>
      </c>
      <c r="C302" s="81" t="s">
        <v>1255</v>
      </c>
      <c r="D302" s="82" t="str">
        <f ca="1">OFFSET(Roster!$A$3,MATCH(表格1[[#This Row],[Location]]&amp;" "&amp;表格1[[#This Row],[Shop]]&amp;"*",Roster!$A$4:$A$72,0),DAY(表格1[[#This Row],[date]]),1,1)</f>
        <v>Me</v>
      </c>
      <c r="E302" s="81">
        <f>MONTH(表格1[[#This Row],[date]])</f>
        <v>3</v>
      </c>
      <c r="F302" s="101">
        <v>46090</v>
      </c>
      <c r="G302" s="81" t="str">
        <f>VLOOKUP("*"&amp;表格1[[#This Row],[Input]]&amp;"*",'Ref-List'!$B:$D,2,)</f>
        <v>GR-A26HSZ(DS)</v>
      </c>
      <c r="H302" s="81" t="str">
        <f>_xlfn.XLOOKUP(表格1[[#This Row],[Model]],表格3[Model-Input-Ref2],表格3[Product Line])</f>
        <v>雙門變頻式環保雪櫃</v>
      </c>
      <c r="I302" s="81" t="str">
        <f>_xlfn.XLOOKUP(表格1[[#This Row],[Model]],表格3[Model-Input-Ref2],表格3[大小電])</f>
        <v>大電</v>
      </c>
      <c r="J302" s="81" t="str">
        <f>_xlfn.XLOOKUP(表格1[[#This Row],[Model]],表格3[Model-Input-Ref2],表格3[Code])</f>
        <v>AC</v>
      </c>
      <c r="K302" s="82" t="s">
        <v>1207</v>
      </c>
      <c r="L302" s="81">
        <v>1</v>
      </c>
      <c r="M302" s="85">
        <v>1500</v>
      </c>
      <c r="N302" s="85">
        <f>IFERROR(表格1[[#This Row],[QTY]]*表格1[[#This Row],[Unit Price]],"-")</f>
        <v>1500</v>
      </c>
      <c r="O302" s="134">
        <v>7065848</v>
      </c>
      <c r="P302" s="81"/>
      <c r="Q302" s="81"/>
      <c r="R302" s="81" t="str">
        <f>_xlfn.CONCAT(表格1[[#This Row],[Model]]," ",表格1[[#This Row],[inv no]])</f>
        <v>GR-A26HSZ(DS) 7065848</v>
      </c>
      <c r="S302" s="135">
        <f>_xlfn.XLOOKUP(表格1[[#This Row],[Model]],表格3[Model-Input-Ref2],表格3[SRP PRICE])</f>
        <v>3780</v>
      </c>
      <c r="T302" s="43">
        <f>表格1[[#This Row],[Unit Price]]/表格1[[#This Row],[SRP]]</f>
        <v>0.3968253968253968</v>
      </c>
      <c r="U302" s="86" t="str">
        <f>_xlfn.XLOOKUP(表格1[[#This Row],[Model]],表格3[Model-Input-Ref2],表格3[TOSHIBA/HIGHEST])</f>
        <v>Toshiba SRP</v>
      </c>
      <c r="V302" s="86">
        <v>110</v>
      </c>
      <c r="W302" s="86" t="str">
        <f>_xlfn.CONCAT(表格1[[#This Row],[欄4]],表格1[[#This Row],[inv no]])</f>
        <v>1107065848</v>
      </c>
    </row>
    <row r="303" spans="1:23" hidden="1">
      <c r="A303" s="81">
        <v>301</v>
      </c>
      <c r="B303" s="81" t="s">
        <v>1203</v>
      </c>
      <c r="C303" s="81" t="s">
        <v>1255</v>
      </c>
      <c r="D303" s="82" t="str">
        <f ca="1">OFFSET(Roster!$A$3,MATCH(表格1[[#This Row],[Location]]&amp;" "&amp;表格1[[#This Row],[Shop]]&amp;"*",Roster!$A$4:$A$72,0),DAY(表格1[[#This Row],[date]]),1,1)</f>
        <v>Me</v>
      </c>
      <c r="E303" s="81">
        <f>MONTH(表格1[[#This Row],[date]])</f>
        <v>3</v>
      </c>
      <c r="F303" s="101">
        <v>46090</v>
      </c>
      <c r="G303" s="81" t="str">
        <f>VLOOKUP("*"&amp;表格1[[#This Row],[Input]]&amp;"*",'Ref-List'!$B:$D,2,)</f>
        <v>TW-BL85A2H(WW)</v>
      </c>
      <c r="H303" s="81" t="str">
        <f>_xlfn.XLOOKUP(表格1[[#This Row],[Model]],表格3[Model-Input-Ref2],表格3[Product Line])</f>
        <v>7.5KG超薄身前置式變頻洗衣機</v>
      </c>
      <c r="I303" s="81" t="str">
        <f>_xlfn.XLOOKUP(表格1[[#This Row],[Model]],表格3[Model-Input-Ref2],表格3[大小電])</f>
        <v>大電</v>
      </c>
      <c r="J303" s="81" t="str">
        <f>_xlfn.XLOOKUP(表格1[[#This Row],[Model]],表格3[Model-Input-Ref2],表格3[Code])</f>
        <v>WM</v>
      </c>
      <c r="K303" s="82" t="s">
        <v>1206</v>
      </c>
      <c r="L303" s="81">
        <v>1</v>
      </c>
      <c r="M303" s="85">
        <v>2588</v>
      </c>
      <c r="N303" s="85">
        <f>IFERROR(表格1[[#This Row],[QTY]]*表格1[[#This Row],[Unit Price]],"-")</f>
        <v>2588</v>
      </c>
      <c r="O303" s="134">
        <v>7018092</v>
      </c>
      <c r="P303" s="81"/>
      <c r="Q303" s="81"/>
      <c r="R303" s="81" t="str">
        <f>_xlfn.CONCAT(表格1[[#This Row],[Model]]," ",表格1[[#This Row],[inv no]])</f>
        <v>TW-BL85A2H(WW) 7018092</v>
      </c>
      <c r="S303" s="135">
        <f>_xlfn.XLOOKUP(表格1[[#This Row],[Model]],表格3[Model-Input-Ref2],表格3[SRP PRICE])</f>
        <v>5080</v>
      </c>
      <c r="T303" s="43">
        <f>表格1[[#This Row],[Unit Price]]/表格1[[#This Row],[SRP]]</f>
        <v>0.50944881889763782</v>
      </c>
      <c r="U303" s="86" t="str">
        <f>_xlfn.XLOOKUP(表格1[[#This Row],[Model]],表格3[Model-Input-Ref2],表格3[TOSHIBA/HIGHEST])</f>
        <v>Toshiba SRP</v>
      </c>
      <c r="V303" s="86">
        <v>110</v>
      </c>
      <c r="W303" s="86" t="str">
        <f>_xlfn.CONCAT(表格1[[#This Row],[欄4]],表格1[[#This Row],[inv no]])</f>
        <v>1107018092</v>
      </c>
    </row>
    <row r="304" spans="1:23" hidden="1">
      <c r="A304" s="81">
        <v>302</v>
      </c>
      <c r="B304" s="81" t="s">
        <v>1203</v>
      </c>
      <c r="C304" s="81" t="s">
        <v>1255</v>
      </c>
      <c r="D304" s="82" t="str">
        <f ca="1">OFFSET(Roster!$A$3,MATCH(表格1[[#This Row],[Location]]&amp;" "&amp;表格1[[#This Row],[Shop]]&amp;"*",Roster!$A$4:$A$72,0),DAY(表格1[[#This Row],[date]]),1,1)</f>
        <v>Me</v>
      </c>
      <c r="E304" s="81">
        <f>MONTH(表格1[[#This Row],[date]])</f>
        <v>3</v>
      </c>
      <c r="F304" s="101">
        <v>46090</v>
      </c>
      <c r="G304" s="81" t="str">
        <f>VLOOKUP("*"&amp;表格1[[#This Row],[Input]]&amp;"*",'Ref-List'!$B:$D,2,)</f>
        <v>GR-RT416WE-PMA(06)</v>
      </c>
      <c r="H304" s="81" t="str">
        <f>_xlfn.XLOOKUP(表格1[[#This Row],[Model]],表格3[Model-Input-Ref2],表格3[Product Line])</f>
        <v xml:space="preserve">變頻上置式雙門雪櫃313L </v>
      </c>
      <c r="I304" s="81" t="str">
        <f>_xlfn.XLOOKUP(表格1[[#This Row],[Model]],表格3[Model-Input-Ref2],表格3[大小電])</f>
        <v>大電</v>
      </c>
      <c r="J304" s="81" t="str">
        <f>_xlfn.XLOOKUP(表格1[[#This Row],[Model]],表格3[Model-Input-Ref2],表格3[Code])</f>
        <v>REF</v>
      </c>
      <c r="K304" s="82" t="s">
        <v>1208</v>
      </c>
      <c r="L304" s="81">
        <v>1</v>
      </c>
      <c r="M304" s="85">
        <v>2888</v>
      </c>
      <c r="N304" s="85">
        <f>IFERROR(表格1[[#This Row],[QTY]]*表格1[[#This Row],[Unit Price]],"-")</f>
        <v>2888</v>
      </c>
      <c r="O304" s="134">
        <v>7017987</v>
      </c>
      <c r="P304" s="81"/>
      <c r="Q304" s="81"/>
      <c r="R304" s="81" t="str">
        <f>_xlfn.CONCAT(表格1[[#This Row],[Model]]," ",表格1[[#This Row],[inv no]])</f>
        <v>GR-RT416WE-PMA(06) 7017987</v>
      </c>
      <c r="S304" s="135">
        <f>_xlfn.XLOOKUP(表格1[[#This Row],[Model]],表格3[Model-Input-Ref2],表格3[SRP PRICE])</f>
        <v>5380</v>
      </c>
      <c r="T304" s="43">
        <f>表格1[[#This Row],[Unit Price]]/表格1[[#This Row],[SRP]]</f>
        <v>0.53680297397769516</v>
      </c>
      <c r="U304" s="86" t="str">
        <f>_xlfn.XLOOKUP(表格1[[#This Row],[Model]],表格3[Model-Input-Ref2],表格3[TOSHIBA/HIGHEST])</f>
        <v>Toshiba SRP</v>
      </c>
      <c r="V304" s="86">
        <v>110</v>
      </c>
      <c r="W304" s="86" t="str">
        <f>_xlfn.CONCAT(表格1[[#This Row],[欄4]],表格1[[#This Row],[inv no]])</f>
        <v>1107017987</v>
      </c>
    </row>
    <row r="305" spans="1:23" hidden="1">
      <c r="A305" s="81">
        <v>303</v>
      </c>
      <c r="B305" s="81" t="s">
        <v>1203</v>
      </c>
      <c r="C305" s="81" t="s">
        <v>1255</v>
      </c>
      <c r="D305" s="82" t="str">
        <f ca="1">OFFSET(Roster!$A$3,MATCH(表格1[[#This Row],[Location]]&amp;" "&amp;表格1[[#This Row],[Shop]]&amp;"*",Roster!$A$4:$A$72,0),DAY(表格1[[#This Row],[date]]),1,1)</f>
        <v>Me</v>
      </c>
      <c r="E305" s="81">
        <f>MONTH(表格1[[#This Row],[date]])</f>
        <v>3</v>
      </c>
      <c r="F305" s="101">
        <v>46091</v>
      </c>
      <c r="G305" s="81" t="str">
        <f>VLOOKUP("*"&amp;表格1[[#This Row],[Input]]&amp;"*",'Ref-List'!$B:$D,2,)</f>
        <v>DWS-34AHK</v>
      </c>
      <c r="H305" s="81" t="str">
        <f>_xlfn.XLOOKUP(表格1[[#This Row],[Model]],表格3[Model-Input-Ref2],表格3[Product Line])</f>
        <v>獨立式免安裝洗碗碟機</v>
      </c>
      <c r="I305" s="81" t="str">
        <f>_xlfn.XLOOKUP(表格1[[#This Row],[Model]],表格3[Model-Input-Ref2],表格3[大小電])</f>
        <v>細電</v>
      </c>
      <c r="J305" s="81" t="str">
        <f>_xlfn.XLOOKUP(表格1[[#This Row],[Model]],表格3[Model-Input-Ref2],表格3[Code])</f>
        <v>DM</v>
      </c>
      <c r="K305" s="82" t="s">
        <v>1240</v>
      </c>
      <c r="L305" s="81">
        <v>1</v>
      </c>
      <c r="M305" s="85">
        <v>1500</v>
      </c>
      <c r="N305" s="85">
        <f>IFERROR(表格1[[#This Row],[QTY]]*表格1[[#This Row],[Unit Price]],"-")</f>
        <v>1500</v>
      </c>
      <c r="O305" s="134">
        <v>7018029</v>
      </c>
      <c r="P305" s="81"/>
      <c r="Q305" s="81"/>
      <c r="R305" s="81" t="str">
        <f>_xlfn.CONCAT(表格1[[#This Row],[Model]]," ",表格1[[#This Row],[inv no]])</f>
        <v>DWS-34AHK 7018029</v>
      </c>
      <c r="S305" s="135">
        <f>_xlfn.XLOOKUP(表格1[[#This Row],[Model]],表格3[Model-Input-Ref2],表格3[SRP PRICE])</f>
        <v>3999</v>
      </c>
      <c r="T305" s="43">
        <f>表格1[[#This Row],[Unit Price]]/表格1[[#This Row],[SRP]]</f>
        <v>0.37509377344336087</v>
      </c>
      <c r="U305" s="86" t="str">
        <f>_xlfn.XLOOKUP(表格1[[#This Row],[Model]],表格3[Model-Input-Ref2],表格3[TOSHIBA/HIGHEST])</f>
        <v>Web SRP</v>
      </c>
      <c r="V305" s="86">
        <v>110</v>
      </c>
      <c r="W305" s="86" t="str">
        <f>_xlfn.CONCAT(表格1[[#This Row],[欄4]],表格1[[#This Row],[inv no]])</f>
        <v>1107018029</v>
      </c>
    </row>
    <row r="306" spans="1:23" hidden="1">
      <c r="A306" s="81">
        <v>304</v>
      </c>
      <c r="B306" s="81" t="s">
        <v>1203</v>
      </c>
      <c r="C306" s="81" t="s">
        <v>1255</v>
      </c>
      <c r="D306" s="82" t="str">
        <f ca="1">OFFSET(Roster!$A$3,MATCH(表格1[[#This Row],[Location]]&amp;" "&amp;表格1[[#This Row],[Shop]]&amp;"*",Roster!$A$4:$A$72,0),DAY(表格1[[#This Row],[date]]),1,1)</f>
        <v>Me</v>
      </c>
      <c r="E306" s="81">
        <f>MONTH(表格1[[#This Row],[date]])</f>
        <v>3</v>
      </c>
      <c r="F306" s="101">
        <v>46091</v>
      </c>
      <c r="G306" s="81" t="str">
        <f>VLOOKUP("*"&amp;表格1[[#This Row],[Input]]&amp;"*",'Ref-List'!$B:$D,2,)</f>
        <v>RC-15ISTHK(W)</v>
      </c>
      <c r="H306" s="81" t="str">
        <f>_xlfn.XLOOKUP(表格1[[#This Row],[Model]],表格3[Model-Input-Ref2],表格3[Product Line])</f>
        <v>磁應電飯煲(1.5公升)</v>
      </c>
      <c r="I306" s="81" t="str">
        <f>_xlfn.XLOOKUP(表格1[[#This Row],[Model]],表格3[Model-Input-Ref2],表格3[大小電])</f>
        <v>細電</v>
      </c>
      <c r="J306" s="81" t="str">
        <f>_xlfn.XLOOKUP(表格1[[#This Row],[Model]],表格3[Model-Input-Ref2],表格3[Code])</f>
        <v>SDA</v>
      </c>
      <c r="K306" s="82" t="s">
        <v>1204</v>
      </c>
      <c r="L306" s="81">
        <v>1</v>
      </c>
      <c r="M306" s="85">
        <v>500</v>
      </c>
      <c r="N306" s="85">
        <f>IFERROR(表格1[[#This Row],[QTY]]*表格1[[#This Row],[Unit Price]],"-")</f>
        <v>500</v>
      </c>
      <c r="O306" s="134">
        <v>7018038</v>
      </c>
      <c r="P306" s="81"/>
      <c r="Q306" s="81"/>
      <c r="R306" s="81" t="str">
        <f>_xlfn.CONCAT(表格1[[#This Row],[Model]]," ",表格1[[#This Row],[inv no]])</f>
        <v>RC-15ISTHK(W) 7018038</v>
      </c>
      <c r="S306" s="135">
        <f>_xlfn.XLOOKUP(表格1[[#This Row],[Model]],表格3[Model-Input-Ref2],表格3[SRP PRICE])</f>
        <v>1688</v>
      </c>
      <c r="T306" s="43">
        <f>表格1[[#This Row],[Unit Price]]/表格1[[#This Row],[SRP]]</f>
        <v>0.29620853080568721</v>
      </c>
      <c r="U306" s="86" t="str">
        <f>_xlfn.XLOOKUP(表格1[[#This Row],[Model]],表格3[Model-Input-Ref2],表格3[TOSHIBA/HIGHEST])</f>
        <v>Toshiba SRP</v>
      </c>
      <c r="V306" s="86">
        <v>110</v>
      </c>
      <c r="W306" s="86" t="str">
        <f>_xlfn.CONCAT(表格1[[#This Row],[欄4]],表格1[[#This Row],[inv no]])</f>
        <v>1107018038</v>
      </c>
    </row>
    <row r="307" spans="1:23" hidden="1">
      <c r="A307" s="81">
        <v>305</v>
      </c>
      <c r="B307" s="81" t="s">
        <v>1203</v>
      </c>
      <c r="C307" s="81" t="s">
        <v>1255</v>
      </c>
      <c r="D307" s="82" t="str">
        <f ca="1">OFFSET(Roster!$A$3,MATCH(表格1[[#This Row],[Location]]&amp;" "&amp;表格1[[#This Row],[Shop]]&amp;"*",Roster!$A$4:$A$72,0),DAY(表格1[[#This Row],[date]]),1,1)</f>
        <v>Me</v>
      </c>
      <c r="E307" s="81">
        <f>MONTH(表格1[[#This Row],[date]])</f>
        <v>3</v>
      </c>
      <c r="F307" s="101">
        <v>46091</v>
      </c>
      <c r="G307" s="81" t="str">
        <f>VLOOKUP("*"&amp;表格1[[#This Row],[Input]]&amp;"*",'Ref-List'!$B:$D,2,)</f>
        <v>RC-15ISTHK(W)</v>
      </c>
      <c r="H307" s="81" t="str">
        <f>_xlfn.XLOOKUP(表格1[[#This Row],[Model]],表格3[Model-Input-Ref2],表格3[Product Line])</f>
        <v>磁應電飯煲(1.5公升)</v>
      </c>
      <c r="I307" s="81" t="str">
        <f>_xlfn.XLOOKUP(表格1[[#This Row],[Model]],表格3[Model-Input-Ref2],表格3[大小電])</f>
        <v>細電</v>
      </c>
      <c r="J307" s="81" t="str">
        <f>_xlfn.XLOOKUP(表格1[[#This Row],[Model]],表格3[Model-Input-Ref2],表格3[Code])</f>
        <v>SDA</v>
      </c>
      <c r="K307" s="82" t="s">
        <v>1204</v>
      </c>
      <c r="L307" s="81">
        <v>1</v>
      </c>
      <c r="M307" s="85">
        <v>500</v>
      </c>
      <c r="N307" s="85">
        <f>IFERROR(表格1[[#This Row],[QTY]]*表格1[[#This Row],[Unit Price]],"-")</f>
        <v>500</v>
      </c>
      <c r="O307" s="134">
        <v>7018057</v>
      </c>
      <c r="P307" s="81"/>
      <c r="Q307" s="81"/>
      <c r="R307" s="81" t="str">
        <f>_xlfn.CONCAT(表格1[[#This Row],[Model]]," ",表格1[[#This Row],[inv no]])</f>
        <v>RC-15ISTHK(W) 7018057</v>
      </c>
      <c r="S307" s="135">
        <f>_xlfn.XLOOKUP(表格1[[#This Row],[Model]],表格3[Model-Input-Ref2],表格3[SRP PRICE])</f>
        <v>1688</v>
      </c>
      <c r="T307" s="43">
        <f>表格1[[#This Row],[Unit Price]]/表格1[[#This Row],[SRP]]</f>
        <v>0.29620853080568721</v>
      </c>
      <c r="U307" s="86" t="str">
        <f>_xlfn.XLOOKUP(表格1[[#This Row],[Model]],表格3[Model-Input-Ref2],表格3[TOSHIBA/HIGHEST])</f>
        <v>Toshiba SRP</v>
      </c>
      <c r="V307" s="86">
        <v>110</v>
      </c>
      <c r="W307" s="86" t="str">
        <f>_xlfn.CONCAT(表格1[[#This Row],[欄4]],表格1[[#This Row],[inv no]])</f>
        <v>1107018057</v>
      </c>
    </row>
    <row r="308" spans="1:23" hidden="1">
      <c r="A308" s="81">
        <v>306</v>
      </c>
      <c r="B308" s="81" t="s">
        <v>1203</v>
      </c>
      <c r="C308" s="81" t="s">
        <v>1255</v>
      </c>
      <c r="D308" s="82" t="str">
        <f ca="1">OFFSET(Roster!$A$3,MATCH(表格1[[#This Row],[Location]]&amp;" "&amp;表格1[[#This Row],[Shop]]&amp;"*",Roster!$A$4:$A$72,0),DAY(表格1[[#This Row],[date]]),1,1)</f>
        <v>Me</v>
      </c>
      <c r="E308" s="81">
        <f>MONTH(表格1[[#This Row],[date]])</f>
        <v>3</v>
      </c>
      <c r="F308" s="101">
        <v>46091</v>
      </c>
      <c r="G308" s="81" t="str">
        <f>VLOOKUP("*"&amp;表格1[[#This Row],[Input]]&amp;"*",'Ref-List'!$B:$D,2,)</f>
        <v>RC-15ISTHK(W)</v>
      </c>
      <c r="H308" s="81" t="str">
        <f>_xlfn.XLOOKUP(表格1[[#This Row],[Model]],表格3[Model-Input-Ref2],表格3[Product Line])</f>
        <v>磁應電飯煲(1.5公升)</v>
      </c>
      <c r="I308" s="81" t="str">
        <f>_xlfn.XLOOKUP(表格1[[#This Row],[Model]],表格3[Model-Input-Ref2],表格3[大小電])</f>
        <v>細電</v>
      </c>
      <c r="J308" s="81" t="str">
        <f>_xlfn.XLOOKUP(表格1[[#This Row],[Model]],表格3[Model-Input-Ref2],表格3[Code])</f>
        <v>SDA</v>
      </c>
      <c r="K308" s="82" t="s">
        <v>1204</v>
      </c>
      <c r="L308" s="81">
        <v>1</v>
      </c>
      <c r="M308" s="85">
        <v>500</v>
      </c>
      <c r="N308" s="85">
        <f>IFERROR(表格1[[#This Row],[QTY]]*表格1[[#This Row],[Unit Price]],"-")</f>
        <v>500</v>
      </c>
      <c r="O308" s="134">
        <v>7027628</v>
      </c>
      <c r="P308" s="81"/>
      <c r="Q308" s="81"/>
      <c r="R308" s="81" t="str">
        <f>_xlfn.CONCAT(表格1[[#This Row],[Model]]," ",表格1[[#This Row],[inv no]])</f>
        <v>RC-15ISTHK(W) 7027628</v>
      </c>
      <c r="S308" s="135">
        <f>_xlfn.XLOOKUP(表格1[[#This Row],[Model]],表格3[Model-Input-Ref2],表格3[SRP PRICE])</f>
        <v>1688</v>
      </c>
      <c r="T308" s="43">
        <f>表格1[[#This Row],[Unit Price]]/表格1[[#This Row],[SRP]]</f>
        <v>0.29620853080568721</v>
      </c>
      <c r="U308" s="86" t="str">
        <f>_xlfn.XLOOKUP(表格1[[#This Row],[Model]],表格3[Model-Input-Ref2],表格3[TOSHIBA/HIGHEST])</f>
        <v>Toshiba SRP</v>
      </c>
      <c r="V308" s="86">
        <v>110</v>
      </c>
      <c r="W308" s="86" t="str">
        <f>_xlfn.CONCAT(表格1[[#This Row],[欄4]],表格1[[#This Row],[inv no]])</f>
        <v>1107027628</v>
      </c>
    </row>
    <row r="309" spans="1:23" hidden="1">
      <c r="A309" s="81">
        <v>307</v>
      </c>
      <c r="B309" s="81" t="s">
        <v>1203</v>
      </c>
      <c r="C309" s="81" t="s">
        <v>1255</v>
      </c>
      <c r="D309" s="82" t="str">
        <f ca="1">OFFSET(Roster!$A$3,MATCH(表格1[[#This Row],[Location]]&amp;" "&amp;表格1[[#This Row],[Shop]]&amp;"*",Roster!$A$4:$A$72,0),DAY(表格1[[#This Row],[date]]),1,1)</f>
        <v>Me</v>
      </c>
      <c r="E309" s="81">
        <f>MONTH(表格1[[#This Row],[date]])</f>
        <v>3</v>
      </c>
      <c r="F309" s="101">
        <v>46091</v>
      </c>
      <c r="G309" s="81" t="str">
        <f>VLOOKUP("*"&amp;表格1[[#This Row],[Input]]&amp;"*",'Ref-List'!$B:$D,2,)</f>
        <v>RC-15ISTHK(W)</v>
      </c>
      <c r="H309" s="81" t="str">
        <f>_xlfn.XLOOKUP(表格1[[#This Row],[Model]],表格3[Model-Input-Ref2],表格3[Product Line])</f>
        <v>磁應電飯煲(1.5公升)</v>
      </c>
      <c r="I309" s="81" t="str">
        <f>_xlfn.XLOOKUP(表格1[[#This Row],[Model]],表格3[Model-Input-Ref2],表格3[大小電])</f>
        <v>細電</v>
      </c>
      <c r="J309" s="81" t="str">
        <f>_xlfn.XLOOKUP(表格1[[#This Row],[Model]],表格3[Model-Input-Ref2],表格3[Code])</f>
        <v>SDA</v>
      </c>
      <c r="K309" s="82" t="s">
        <v>1204</v>
      </c>
      <c r="L309" s="81">
        <v>1</v>
      </c>
      <c r="M309" s="85">
        <v>500</v>
      </c>
      <c r="N309" s="85">
        <f>IFERROR(表格1[[#This Row],[QTY]]*表格1[[#This Row],[Unit Price]],"-")</f>
        <v>500</v>
      </c>
      <c r="O309" s="134">
        <v>7018065</v>
      </c>
      <c r="P309" s="81"/>
      <c r="Q309" s="81"/>
      <c r="R309" s="81" t="str">
        <f>_xlfn.CONCAT(表格1[[#This Row],[Model]]," ",表格1[[#This Row],[inv no]])</f>
        <v>RC-15ISTHK(W) 7018065</v>
      </c>
      <c r="S309" s="135">
        <f>_xlfn.XLOOKUP(表格1[[#This Row],[Model]],表格3[Model-Input-Ref2],表格3[SRP PRICE])</f>
        <v>1688</v>
      </c>
      <c r="T309" s="43">
        <f>表格1[[#This Row],[Unit Price]]/表格1[[#This Row],[SRP]]</f>
        <v>0.29620853080568721</v>
      </c>
      <c r="U309" s="86" t="str">
        <f>_xlfn.XLOOKUP(表格1[[#This Row],[Model]],表格3[Model-Input-Ref2],表格3[TOSHIBA/HIGHEST])</f>
        <v>Toshiba SRP</v>
      </c>
      <c r="V309" s="86">
        <v>110</v>
      </c>
      <c r="W309" s="86" t="str">
        <f>_xlfn.CONCAT(表格1[[#This Row],[欄4]],表格1[[#This Row],[inv no]])</f>
        <v>1107018065</v>
      </c>
    </row>
    <row r="310" spans="1:23" hidden="1">
      <c r="A310" s="81">
        <v>308</v>
      </c>
      <c r="B310" s="81" t="s">
        <v>1203</v>
      </c>
      <c r="C310" s="81" t="s">
        <v>1255</v>
      </c>
      <c r="D310" s="82" t="str">
        <f ca="1">OFFSET(Roster!$A$3,MATCH(表格1[[#This Row],[Location]]&amp;" "&amp;表格1[[#This Row],[Shop]]&amp;"*",Roster!$A$4:$A$72,0),DAY(表格1[[#This Row],[date]]),1,1)</f>
        <v>Me</v>
      </c>
      <c r="E310" s="81">
        <f>MONTH(表格1[[#This Row],[date]])</f>
        <v>3</v>
      </c>
      <c r="F310" s="101">
        <v>46091</v>
      </c>
      <c r="G310" s="81" t="str">
        <f>VLOOKUP("*"&amp;表格1[[#This Row],[Input]]&amp;"*",'Ref-List'!$B:$D,2,)</f>
        <v>AW-M901BPH(WW)</v>
      </c>
      <c r="H310" s="81" t="str">
        <f>_xlfn.XLOOKUP(表格1[[#This Row],[Model]],表格3[Model-Input-Ref2],表格3[Product Line])</f>
        <v>全自動洗衣機 (8公斤 結合高低水位)</v>
      </c>
      <c r="I310" s="81" t="str">
        <f>_xlfn.XLOOKUP(表格1[[#This Row],[Model]],表格3[Model-Input-Ref2],表格3[大小電])</f>
        <v>大電</v>
      </c>
      <c r="J310" s="81" t="str">
        <f>_xlfn.XLOOKUP(表格1[[#This Row],[Model]],表格3[Model-Input-Ref2],表格3[Code])</f>
        <v>WM</v>
      </c>
      <c r="K310" s="82" t="s">
        <v>1202</v>
      </c>
      <c r="L310" s="81">
        <v>1</v>
      </c>
      <c r="M310" s="85">
        <v>1500</v>
      </c>
      <c r="N310" s="85">
        <f>IFERROR(表格1[[#This Row],[QTY]]*表格1[[#This Row],[Unit Price]],"-")</f>
        <v>1500</v>
      </c>
      <c r="O310" s="134">
        <v>7018065</v>
      </c>
      <c r="P310" s="81"/>
      <c r="Q310" s="81"/>
      <c r="R310" s="81" t="str">
        <f>_xlfn.CONCAT(表格1[[#This Row],[Model]]," ",表格1[[#This Row],[inv no]])</f>
        <v>AW-M901BPH(WW) 7018065</v>
      </c>
      <c r="S310" s="135">
        <f>_xlfn.XLOOKUP(表格1[[#This Row],[Model]],表格3[Model-Input-Ref2],表格3[SRP PRICE])</f>
        <v>3580</v>
      </c>
      <c r="T310" s="43">
        <f>表格1[[#This Row],[Unit Price]]/表格1[[#This Row],[SRP]]</f>
        <v>0.41899441340782123</v>
      </c>
      <c r="U310" s="86" t="str">
        <f>_xlfn.XLOOKUP(表格1[[#This Row],[Model]],表格3[Model-Input-Ref2],表格3[TOSHIBA/HIGHEST])</f>
        <v>Toshiba SRP</v>
      </c>
      <c r="V310" s="86">
        <v>110</v>
      </c>
      <c r="W310" s="86" t="str">
        <f>_xlfn.CONCAT(表格1[[#This Row],[欄4]],表格1[[#This Row],[inv no]])</f>
        <v>1107018065</v>
      </c>
    </row>
    <row r="311" spans="1:23" hidden="1">
      <c r="A311" s="81">
        <v>309</v>
      </c>
      <c r="B311" s="81" t="s">
        <v>1203</v>
      </c>
      <c r="C311" s="81" t="s">
        <v>1255</v>
      </c>
      <c r="D311" s="82" t="str">
        <f ca="1">OFFSET(Roster!$A$3,MATCH(表格1[[#This Row],[Location]]&amp;" "&amp;表格1[[#This Row],[Shop]]&amp;"*",Roster!$A$4:$A$72,0),DAY(表格1[[#This Row],[date]]),1,1)</f>
        <v>Me</v>
      </c>
      <c r="E311" s="81">
        <f>MONTH(表格1[[#This Row],[date]])</f>
        <v>3</v>
      </c>
      <c r="F311" s="101">
        <v>46091</v>
      </c>
      <c r="G311" s="81" t="str">
        <f>VLOOKUP("*"&amp;表格1[[#This Row],[Input]]&amp;"*",'Ref-List'!$B:$D,2,)</f>
        <v>DWS-34AHK</v>
      </c>
      <c r="H311" s="81" t="str">
        <f>_xlfn.XLOOKUP(表格1[[#This Row],[Model]],表格3[Model-Input-Ref2],表格3[Product Line])</f>
        <v>獨立式免安裝洗碗碟機</v>
      </c>
      <c r="I311" s="81" t="str">
        <f>_xlfn.XLOOKUP(表格1[[#This Row],[Model]],表格3[Model-Input-Ref2],表格3[大小電])</f>
        <v>細電</v>
      </c>
      <c r="J311" s="81" t="str">
        <f>_xlfn.XLOOKUP(表格1[[#This Row],[Model]],表格3[Model-Input-Ref2],表格3[Code])</f>
        <v>DM</v>
      </c>
      <c r="K311" s="82" t="s">
        <v>1240</v>
      </c>
      <c r="L311" s="81">
        <v>1</v>
      </c>
      <c r="M311" s="85">
        <v>1500</v>
      </c>
      <c r="N311" s="85">
        <f>IFERROR(表格1[[#This Row],[QTY]]*表格1[[#This Row],[Unit Price]],"-")</f>
        <v>1500</v>
      </c>
      <c r="O311" s="134">
        <v>7018055</v>
      </c>
      <c r="P311" s="81"/>
      <c r="Q311" s="81"/>
      <c r="R311" s="81" t="str">
        <f>_xlfn.CONCAT(表格1[[#This Row],[Model]]," ",表格1[[#This Row],[inv no]])</f>
        <v>DWS-34AHK 7018055</v>
      </c>
      <c r="S311" s="135">
        <f>_xlfn.XLOOKUP(表格1[[#This Row],[Model]],表格3[Model-Input-Ref2],表格3[SRP PRICE])</f>
        <v>3999</v>
      </c>
      <c r="T311" s="43">
        <f>表格1[[#This Row],[Unit Price]]/表格1[[#This Row],[SRP]]</f>
        <v>0.37509377344336087</v>
      </c>
      <c r="U311" s="86" t="str">
        <f>_xlfn.XLOOKUP(表格1[[#This Row],[Model]],表格3[Model-Input-Ref2],表格3[TOSHIBA/HIGHEST])</f>
        <v>Web SRP</v>
      </c>
      <c r="V311" s="86">
        <v>110</v>
      </c>
      <c r="W311" s="86" t="str">
        <f>_xlfn.CONCAT(表格1[[#This Row],[欄4]],表格1[[#This Row],[inv no]])</f>
        <v>1107018055</v>
      </c>
    </row>
    <row r="312" spans="1:23" hidden="1">
      <c r="A312" s="81">
        <v>310</v>
      </c>
      <c r="B312" s="81" t="s">
        <v>1203</v>
      </c>
      <c r="C312" s="81" t="s">
        <v>1255</v>
      </c>
      <c r="D312" s="82" t="str">
        <f ca="1">OFFSET(Roster!$A$3,MATCH(表格1[[#This Row],[Location]]&amp;" "&amp;表格1[[#This Row],[Shop]]&amp;"*",Roster!$A$4:$A$72,0),DAY(表格1[[#This Row],[date]]),1,1)</f>
        <v>Me</v>
      </c>
      <c r="E312" s="81">
        <f>MONTH(表格1[[#This Row],[date]])</f>
        <v>3</v>
      </c>
      <c r="F312" s="101">
        <v>46091</v>
      </c>
      <c r="G312" s="81" t="str">
        <f>VLOOKUP("*"&amp;表格1[[#This Row],[Input]]&amp;"*",'Ref-List'!$B:$D,2,)</f>
        <v>MW2-MM24PC(BK)</v>
      </c>
      <c r="H312" s="81" t="str">
        <f>_xlfn.XLOOKUP(表格1[[#This Row],[Model]],表格3[Model-Input-Ref2],表格3[Product Line])</f>
        <v>旋鈕式微波爐24L</v>
      </c>
      <c r="I312" s="81" t="str">
        <f>_xlfn.XLOOKUP(表格1[[#This Row],[Model]],表格3[Model-Input-Ref2],表格3[大小電])</f>
        <v>細電</v>
      </c>
      <c r="J312" s="81" t="str">
        <f>_xlfn.XLOOKUP(表格1[[#This Row],[Model]],表格3[Model-Input-Ref2],表格3[Code])</f>
        <v>SDA</v>
      </c>
      <c r="K312" s="82" t="s">
        <v>1196</v>
      </c>
      <c r="L312" s="81">
        <v>1</v>
      </c>
      <c r="M312" s="85">
        <v>500</v>
      </c>
      <c r="N312" s="85">
        <f>IFERROR(表格1[[#This Row],[QTY]]*表格1[[#This Row],[Unit Price]],"-")</f>
        <v>500</v>
      </c>
      <c r="O312" s="134">
        <v>7027706</v>
      </c>
      <c r="P312" s="81"/>
      <c r="Q312" s="81"/>
      <c r="R312" s="81" t="str">
        <f>_xlfn.CONCAT(表格1[[#This Row],[Model]]," ",表格1[[#This Row],[inv no]])</f>
        <v>MW2-MM24PC(BK) 7027706</v>
      </c>
      <c r="S312" s="135">
        <f>_xlfn.XLOOKUP(表格1[[#This Row],[Model]],表格3[Model-Input-Ref2],表格3[SRP PRICE])</f>
        <v>848</v>
      </c>
      <c r="T312" s="43">
        <f>表格1[[#This Row],[Unit Price]]/表格1[[#This Row],[SRP]]</f>
        <v>0.589622641509434</v>
      </c>
      <c r="U312" s="86" t="str">
        <f>_xlfn.XLOOKUP(表格1[[#This Row],[Model]],表格3[Model-Input-Ref2],表格3[TOSHIBA/HIGHEST])</f>
        <v>Toshiba SRP</v>
      </c>
      <c r="V312" s="86">
        <v>110</v>
      </c>
      <c r="W312" s="86" t="str">
        <f>_xlfn.CONCAT(表格1[[#This Row],[欄4]],表格1[[#This Row],[inv no]])</f>
        <v>1107027706</v>
      </c>
    </row>
    <row r="313" spans="1:23" ht="16.5" hidden="1">
      <c r="A313" s="81">
        <v>311</v>
      </c>
      <c r="B313" s="81" t="s">
        <v>1203</v>
      </c>
      <c r="C313" s="81" t="s">
        <v>1255</v>
      </c>
      <c r="D313" s="82" t="str">
        <f ca="1">OFFSET(Roster!$A$3,MATCH(表格1[[#This Row],[Location]]&amp;" "&amp;表格1[[#This Row],[Shop]]&amp;"*",Roster!$A$4:$A$72,0),DAY(表格1[[#This Row],[date]]),1,1)</f>
        <v>Me</v>
      </c>
      <c r="E313" s="81">
        <f>MONTH(表格1[[#This Row],[date]])</f>
        <v>3</v>
      </c>
      <c r="F313" s="101">
        <v>46091</v>
      </c>
      <c r="G313" s="81" t="str">
        <f>VLOOKUP("*"&amp;表格1[[#This Row],[Input]]&amp;"*",'Ref-List'!$B:$D,2,)</f>
        <v>TWP-TSR76THK(W)</v>
      </c>
      <c r="H313" s="81" t="str">
        <f>_xlfn.XLOOKUP(表格1[[#This Row],[Model]],表格3[Model-Input-Ref2],表格3[Product Line])</f>
        <v>RO座檯式飲水機</v>
      </c>
      <c r="I313" s="81" t="str">
        <f>_xlfn.XLOOKUP(表格1[[#This Row],[Model]],表格3[Model-Input-Ref2],表格3[大小電])</f>
        <v>細電</v>
      </c>
      <c r="J313" s="81" t="str">
        <f>_xlfn.XLOOKUP(表格1[[#This Row],[Model]],表格3[Model-Input-Ref2],表格3[Code])</f>
        <v>KWH</v>
      </c>
      <c r="K313" s="82" t="s">
        <v>1197</v>
      </c>
      <c r="L313" s="81">
        <v>1</v>
      </c>
      <c r="M313" s="85">
        <v>1500</v>
      </c>
      <c r="N313" s="85">
        <f>IFERROR(表格1[[#This Row],[QTY]]*表格1[[#This Row],[Unit Price]],"-")</f>
        <v>1500</v>
      </c>
      <c r="O313" s="134">
        <v>7018136</v>
      </c>
      <c r="P313" s="137"/>
      <c r="Q313" s="81"/>
      <c r="R313" s="81" t="str">
        <f>_xlfn.CONCAT(表格1[[#This Row],[Model]]," ",表格1[[#This Row],[inv no]])</f>
        <v>TWP-TSR76THK(W) 7018136</v>
      </c>
      <c r="S313" s="135">
        <f>_xlfn.XLOOKUP(表格1[[#This Row],[Model]],表格3[Model-Input-Ref2],表格3[SRP PRICE])</f>
        <v>2680</v>
      </c>
      <c r="T313" s="43">
        <f>表格1[[#This Row],[Unit Price]]/表格1[[#This Row],[SRP]]</f>
        <v>0.55970149253731338</v>
      </c>
      <c r="U313" s="86" t="str">
        <f>_xlfn.XLOOKUP(表格1[[#This Row],[Model]],表格3[Model-Input-Ref2],表格3[TOSHIBA/HIGHEST])</f>
        <v>Toshiba SRP</v>
      </c>
      <c r="V313" s="86">
        <v>110</v>
      </c>
      <c r="W313" s="86" t="str">
        <f>_xlfn.CONCAT(表格1[[#This Row],[欄4]],表格1[[#This Row],[inv no]])</f>
        <v>1107018136</v>
      </c>
    </row>
    <row r="314" spans="1:23" hidden="1">
      <c r="A314" s="81">
        <v>312</v>
      </c>
      <c r="B314" s="81" t="s">
        <v>1203</v>
      </c>
      <c r="C314" s="81" t="s">
        <v>1255</v>
      </c>
      <c r="D314" s="82" t="str">
        <f ca="1">OFFSET(Roster!$A$3,MATCH(表格1[[#This Row],[Location]]&amp;" "&amp;表格1[[#This Row],[Shop]]&amp;"*",Roster!$A$4:$A$72,0),DAY(表格1[[#This Row],[date]]),1,1)</f>
        <v>Me</v>
      </c>
      <c r="E314" s="81">
        <f>MONTH(表格1[[#This Row],[date]])</f>
        <v>3</v>
      </c>
      <c r="F314" s="101">
        <v>46091</v>
      </c>
      <c r="G314" s="81" t="str">
        <f>VLOOKUP("*"&amp;表格1[[#This Row],[Input]]&amp;"*",'Ref-List'!$B:$D,2,)</f>
        <v>CWF-12CRFN8-AD5</v>
      </c>
      <c r="H314" s="81" t="str">
        <f>_xlfn.XLOOKUP(表格1[[#This Row],[Model]],表格3[Model-Input-Ref2],表格3[Product Line])</f>
        <v>Comfee 1.5匹變頻窗口式冷氣機</v>
      </c>
      <c r="I314" s="81" t="str">
        <f>_xlfn.XLOOKUP(表格1[[#This Row],[Model]],表格3[Model-Input-Ref2],表格3[大小電])</f>
        <v>大電</v>
      </c>
      <c r="J314" s="81" t="str">
        <f>_xlfn.XLOOKUP(表格1[[#This Row],[Model]],表格3[Model-Input-Ref2],表格3[Code])</f>
        <v>RAC</v>
      </c>
      <c r="K314" s="82" t="s">
        <v>1256</v>
      </c>
      <c r="L314" s="81">
        <v>1</v>
      </c>
      <c r="M314" s="85">
        <v>4088</v>
      </c>
      <c r="N314" s="85">
        <f>IFERROR(表格1[[#This Row],[QTY]]*表格1[[#This Row],[Unit Price]],"-")</f>
        <v>4088</v>
      </c>
      <c r="O314" s="134">
        <v>7018143</v>
      </c>
      <c r="P314" s="81"/>
      <c r="Q314" s="81"/>
      <c r="R314" s="81" t="str">
        <f>_xlfn.CONCAT(表格1[[#This Row],[Model]]," ",表格1[[#This Row],[inv no]])</f>
        <v>CWF-12CRFN8-AD5 7018143</v>
      </c>
      <c r="S314" s="135">
        <f>_xlfn.XLOOKUP(表格1[[#This Row],[Model]],表格3[Model-Input-Ref2],表格3[SRP PRICE])</f>
        <v>5200</v>
      </c>
      <c r="T314" s="43">
        <f>表格1[[#This Row],[Unit Price]]/表格1[[#This Row],[SRP]]</f>
        <v>0.7861538461538462</v>
      </c>
      <c r="U314" s="86" t="str">
        <f>_xlfn.XLOOKUP(表格1[[#This Row],[Model]],表格3[Model-Input-Ref2],表格3[TOSHIBA/HIGHEST])</f>
        <v>Shops Highest Price</v>
      </c>
      <c r="V314" s="86">
        <v>110</v>
      </c>
      <c r="W314" s="86" t="str">
        <f>_xlfn.CONCAT(表格1[[#This Row],[欄4]],表格1[[#This Row],[inv no]])</f>
        <v>1107018143</v>
      </c>
    </row>
    <row r="315" spans="1:23" ht="16.5" hidden="1">
      <c r="A315" s="81">
        <v>313</v>
      </c>
      <c r="B315" s="81" t="s">
        <v>1203</v>
      </c>
      <c r="C315" s="81" t="s">
        <v>1255</v>
      </c>
      <c r="D315" s="82" t="str">
        <f ca="1">OFFSET(Roster!$A$3,MATCH(表格1[[#This Row],[Location]]&amp;" "&amp;表格1[[#This Row],[Shop]]&amp;"*",Roster!$A$4:$A$72,0),DAY(表格1[[#This Row],[date]]),1,1)</f>
        <v>Me</v>
      </c>
      <c r="E315" s="81">
        <f>MONTH(表格1[[#This Row],[date]])</f>
        <v>3</v>
      </c>
      <c r="F315" s="101">
        <v>46093</v>
      </c>
      <c r="G315" s="81" t="str">
        <f>VLOOKUP("*"&amp;表格1[[#This Row],[Input]]&amp;"*",'Ref-List'!$B:$D,2,)</f>
        <v>RC-15ISTHK(W)</v>
      </c>
      <c r="H315" s="81" t="str">
        <f>_xlfn.XLOOKUP(表格1[[#This Row],[Model]],表格3[Model-Input-Ref2],表格3[Product Line])</f>
        <v>磁應電飯煲(1.5公升)</v>
      </c>
      <c r="I315" s="81" t="str">
        <f>_xlfn.XLOOKUP(表格1[[#This Row],[Model]],表格3[Model-Input-Ref2],表格3[大小電])</f>
        <v>細電</v>
      </c>
      <c r="J315" s="81" t="str">
        <f>_xlfn.XLOOKUP(表格1[[#This Row],[Model]],表格3[Model-Input-Ref2],表格3[Code])</f>
        <v>SDA</v>
      </c>
      <c r="K315" s="82" t="s">
        <v>1204</v>
      </c>
      <c r="L315" s="81">
        <v>1</v>
      </c>
      <c r="M315" s="85">
        <v>500</v>
      </c>
      <c r="N315" s="85">
        <f>IFERROR(表格1[[#This Row],[QTY]]*表格1[[#This Row],[Unit Price]],"-")</f>
        <v>500</v>
      </c>
      <c r="O315" s="134">
        <v>7027669</v>
      </c>
      <c r="P315" s="137"/>
      <c r="Q315" s="81"/>
      <c r="R315" s="81" t="str">
        <f>_xlfn.CONCAT(表格1[[#This Row],[Model]]," ",表格1[[#This Row],[inv no]])</f>
        <v>RC-15ISTHK(W) 7027669</v>
      </c>
      <c r="S315" s="135">
        <f>_xlfn.XLOOKUP(表格1[[#This Row],[Model]],表格3[Model-Input-Ref2],表格3[SRP PRICE])</f>
        <v>1688</v>
      </c>
      <c r="T315" s="43">
        <f>表格1[[#This Row],[Unit Price]]/表格1[[#This Row],[SRP]]</f>
        <v>0.29620853080568721</v>
      </c>
      <c r="U315" s="86" t="str">
        <f>_xlfn.XLOOKUP(表格1[[#This Row],[Model]],表格3[Model-Input-Ref2],表格3[TOSHIBA/HIGHEST])</f>
        <v>Toshiba SRP</v>
      </c>
      <c r="V315" s="86">
        <v>110</v>
      </c>
      <c r="W315" s="86" t="str">
        <f>_xlfn.CONCAT(表格1[[#This Row],[欄4]],表格1[[#This Row],[inv no]])</f>
        <v>1107027669</v>
      </c>
    </row>
    <row r="316" spans="1:23" hidden="1">
      <c r="A316" s="81">
        <v>314</v>
      </c>
      <c r="B316" s="81" t="s">
        <v>1203</v>
      </c>
      <c r="C316" s="81" t="s">
        <v>1255</v>
      </c>
      <c r="D316" s="82" t="str">
        <f ca="1">OFFSET(Roster!$A$3,MATCH(表格1[[#This Row],[Location]]&amp;" "&amp;表格1[[#This Row],[Shop]]&amp;"*",Roster!$A$4:$A$72,0),DAY(表格1[[#This Row],[date]]),1,1)</f>
        <v>Me</v>
      </c>
      <c r="E316" s="81">
        <f>MONTH(表格1[[#This Row],[date]])</f>
        <v>3</v>
      </c>
      <c r="F316" s="101">
        <v>46093</v>
      </c>
      <c r="G316" s="81" t="str">
        <f>VLOOKUP("*"&amp;表格1[[#This Row],[Input]]&amp;"*",'Ref-List'!$B:$D,2,)</f>
        <v>IC-21TSHK</v>
      </c>
      <c r="H316" s="81" t="str">
        <f>_xlfn.XLOOKUP(表格1[[#This Row],[Model]],表格3[Model-Input-Ref2],表格3[Product Line])</f>
        <v>Induction Cooker</v>
      </c>
      <c r="I316" s="81" t="str">
        <f>_xlfn.XLOOKUP(表格1[[#This Row],[Model]],表格3[Model-Input-Ref2],表格3[大小電])</f>
        <v>細電</v>
      </c>
      <c r="J316" s="81" t="str">
        <f>_xlfn.XLOOKUP(表格1[[#This Row],[Model]],表格3[Model-Input-Ref2],表格3[Code])</f>
        <v>SDA</v>
      </c>
      <c r="K316" s="82" t="s">
        <v>1242</v>
      </c>
      <c r="L316" s="81">
        <v>1</v>
      </c>
      <c r="M316" s="85">
        <v>500</v>
      </c>
      <c r="N316" s="85">
        <f>IFERROR(表格1[[#This Row],[QTY]]*表格1[[#This Row],[Unit Price]],"-")</f>
        <v>500</v>
      </c>
      <c r="O316" s="134">
        <v>7018332</v>
      </c>
      <c r="P316" s="81"/>
      <c r="Q316" s="81"/>
      <c r="R316" s="81" t="str">
        <f>_xlfn.CONCAT(表格1[[#This Row],[Model]]," ",表格1[[#This Row],[inv no]])</f>
        <v>IC-21TSHK 7018332</v>
      </c>
      <c r="S316" s="135">
        <f>_xlfn.XLOOKUP(表格1[[#This Row],[Model]],表格3[Model-Input-Ref2],表格3[SRP PRICE])</f>
        <v>998</v>
      </c>
      <c r="T316" s="43">
        <f>表格1[[#This Row],[Unit Price]]/表格1[[#This Row],[SRP]]</f>
        <v>0.50100200400801598</v>
      </c>
      <c r="U316" s="86" t="str">
        <f>_xlfn.XLOOKUP(表格1[[#This Row],[Model]],表格3[Model-Input-Ref2],表格3[TOSHIBA/HIGHEST])</f>
        <v>web SRP</v>
      </c>
      <c r="V316" s="86">
        <v>110</v>
      </c>
      <c r="W316" s="86" t="str">
        <f>_xlfn.CONCAT(表格1[[#This Row],[欄4]],表格1[[#This Row],[inv no]])</f>
        <v>1107018332</v>
      </c>
    </row>
    <row r="317" spans="1:23" hidden="1">
      <c r="A317" s="81">
        <v>315</v>
      </c>
      <c r="B317" s="81" t="s">
        <v>1203</v>
      </c>
      <c r="C317" s="81" t="s">
        <v>1255</v>
      </c>
      <c r="D317" s="82" t="str">
        <f ca="1">OFFSET(Roster!$A$3,MATCH(表格1[[#This Row],[Location]]&amp;" "&amp;表格1[[#This Row],[Shop]]&amp;"*",Roster!$A$4:$A$72,0),DAY(表格1[[#This Row],[date]]),1,1)</f>
        <v>Me</v>
      </c>
      <c r="E317" s="81">
        <f>MONTH(表格1[[#This Row],[date]])</f>
        <v>3</v>
      </c>
      <c r="F317" s="101">
        <v>46093</v>
      </c>
      <c r="G317" s="81" t="str">
        <f>VLOOKUP("*"&amp;表格1[[#This Row],[Input]]&amp;"*",'Ref-List'!$B:$D,2,)</f>
        <v>RC-15ISTHK(W)</v>
      </c>
      <c r="H317" s="81" t="str">
        <f>_xlfn.XLOOKUP(表格1[[#This Row],[Model]],表格3[Model-Input-Ref2],表格3[Product Line])</f>
        <v>磁應電飯煲(1.5公升)</v>
      </c>
      <c r="I317" s="81" t="str">
        <f>_xlfn.XLOOKUP(表格1[[#This Row],[Model]],表格3[Model-Input-Ref2],表格3[大小電])</f>
        <v>細電</v>
      </c>
      <c r="J317" s="81" t="str">
        <f>_xlfn.XLOOKUP(表格1[[#This Row],[Model]],表格3[Model-Input-Ref2],表格3[Code])</f>
        <v>SDA</v>
      </c>
      <c r="K317" s="82" t="s">
        <v>1204</v>
      </c>
      <c r="L317" s="81">
        <v>1</v>
      </c>
      <c r="M317" s="85">
        <v>500</v>
      </c>
      <c r="N317" s="85">
        <f>IFERROR(表格1[[#This Row],[QTY]]*表格1[[#This Row],[Unit Price]],"-")</f>
        <v>500</v>
      </c>
      <c r="O317" s="134">
        <v>7027762</v>
      </c>
      <c r="P317" s="81"/>
      <c r="Q317" s="81"/>
      <c r="R317" s="81" t="str">
        <f>_xlfn.CONCAT(表格1[[#This Row],[Model]]," ",表格1[[#This Row],[inv no]])</f>
        <v>RC-15ISTHK(W) 7027762</v>
      </c>
      <c r="S317" s="135">
        <f>_xlfn.XLOOKUP(表格1[[#This Row],[Model]],表格3[Model-Input-Ref2],表格3[SRP PRICE])</f>
        <v>1688</v>
      </c>
      <c r="T317" s="43">
        <f>表格1[[#This Row],[Unit Price]]/表格1[[#This Row],[SRP]]</f>
        <v>0.29620853080568721</v>
      </c>
      <c r="U317" s="86" t="str">
        <f>_xlfn.XLOOKUP(表格1[[#This Row],[Model]],表格3[Model-Input-Ref2],表格3[TOSHIBA/HIGHEST])</f>
        <v>Toshiba SRP</v>
      </c>
      <c r="V317" s="86">
        <v>110</v>
      </c>
      <c r="W317" s="86" t="str">
        <f>_xlfn.CONCAT(表格1[[#This Row],[欄4]],表格1[[#This Row],[inv no]])</f>
        <v>1107027762</v>
      </c>
    </row>
    <row r="318" spans="1:23" hidden="1">
      <c r="A318" s="81">
        <v>316</v>
      </c>
      <c r="B318" s="81" t="s">
        <v>1203</v>
      </c>
      <c r="C318" s="81" t="s">
        <v>1255</v>
      </c>
      <c r="D318" s="82" t="str">
        <f ca="1">OFFSET(Roster!$A$3,MATCH(表格1[[#This Row],[Location]]&amp;" "&amp;表格1[[#This Row],[Shop]]&amp;"*",Roster!$A$4:$A$72,0),DAY(表格1[[#This Row],[date]]),1,1)</f>
        <v>Me</v>
      </c>
      <c r="E318" s="81">
        <f>MONTH(表格1[[#This Row],[date]])</f>
        <v>3</v>
      </c>
      <c r="F318" s="101">
        <v>46093</v>
      </c>
      <c r="G318" s="81" t="str">
        <f>VLOOKUP("*"&amp;表格1[[#This Row],[Input]]&amp;"*",'Ref-List'!$B:$D,2,)</f>
        <v>RC-15ISTHK(W)</v>
      </c>
      <c r="H318" s="81" t="str">
        <f>_xlfn.XLOOKUP(表格1[[#This Row],[Model]],表格3[Model-Input-Ref2],表格3[Product Line])</f>
        <v>磁應電飯煲(1.5公升)</v>
      </c>
      <c r="I318" s="81" t="str">
        <f>_xlfn.XLOOKUP(表格1[[#This Row],[Model]],表格3[Model-Input-Ref2],表格3[大小電])</f>
        <v>細電</v>
      </c>
      <c r="J318" s="81" t="str">
        <f>_xlfn.XLOOKUP(表格1[[#This Row],[Model]],表格3[Model-Input-Ref2],表格3[Code])</f>
        <v>SDA</v>
      </c>
      <c r="K318" s="82" t="s">
        <v>1204</v>
      </c>
      <c r="L318" s="81">
        <v>1</v>
      </c>
      <c r="M318" s="85">
        <v>500</v>
      </c>
      <c r="N318" s="85">
        <f>IFERROR(表格1[[#This Row],[QTY]]*表格1[[#This Row],[Unit Price]],"-")</f>
        <v>500</v>
      </c>
      <c r="O318" s="134">
        <v>7018222</v>
      </c>
      <c r="P318" s="81"/>
      <c r="Q318" s="81"/>
      <c r="R318" s="81" t="str">
        <f>_xlfn.CONCAT(表格1[[#This Row],[Model]]," ",表格1[[#This Row],[inv no]])</f>
        <v>RC-15ISTHK(W) 7018222</v>
      </c>
      <c r="S318" s="135">
        <f>_xlfn.XLOOKUP(表格1[[#This Row],[Model]],表格3[Model-Input-Ref2],表格3[SRP PRICE])</f>
        <v>1688</v>
      </c>
      <c r="T318" s="43">
        <f>表格1[[#This Row],[Unit Price]]/表格1[[#This Row],[SRP]]</f>
        <v>0.29620853080568721</v>
      </c>
      <c r="U318" s="86" t="str">
        <f>_xlfn.XLOOKUP(表格1[[#This Row],[Model]],表格3[Model-Input-Ref2],表格3[TOSHIBA/HIGHEST])</f>
        <v>Toshiba SRP</v>
      </c>
      <c r="V318" s="86">
        <v>110</v>
      </c>
      <c r="W318" s="86" t="str">
        <f>_xlfn.CONCAT(表格1[[#This Row],[欄4]],表格1[[#This Row],[inv no]])</f>
        <v>1107018222</v>
      </c>
    </row>
    <row r="319" spans="1:23" hidden="1">
      <c r="A319" s="81">
        <v>317</v>
      </c>
      <c r="B319" s="81" t="s">
        <v>1203</v>
      </c>
      <c r="C319" s="81" t="s">
        <v>1255</v>
      </c>
      <c r="D319" s="82" t="str">
        <f ca="1">OFFSET(Roster!$A$3,MATCH(表格1[[#This Row],[Location]]&amp;" "&amp;表格1[[#This Row],[Shop]]&amp;"*",Roster!$A$4:$A$72,0),DAY(表格1[[#This Row],[date]]),1,1)</f>
        <v>Me</v>
      </c>
      <c r="E319" s="81">
        <f>MONTH(表格1[[#This Row],[date]])</f>
        <v>3</v>
      </c>
      <c r="F319" s="101">
        <v>46093</v>
      </c>
      <c r="G319" s="81" t="str">
        <f>VLOOKUP("*"&amp;表格1[[#This Row],[Input]]&amp;"*",'Ref-List'!$B:$D,2,)</f>
        <v>AW-M901BPH(WW)</v>
      </c>
      <c r="H319" s="81" t="str">
        <f>_xlfn.XLOOKUP(表格1[[#This Row],[Model]],表格3[Model-Input-Ref2],表格3[Product Line])</f>
        <v>全自動洗衣機 (8公斤 結合高低水位)</v>
      </c>
      <c r="I319" s="81" t="str">
        <f>_xlfn.XLOOKUP(表格1[[#This Row],[Model]],表格3[Model-Input-Ref2],表格3[大小電])</f>
        <v>大電</v>
      </c>
      <c r="J319" s="81" t="str">
        <f>_xlfn.XLOOKUP(表格1[[#This Row],[Model]],表格3[Model-Input-Ref2],表格3[Code])</f>
        <v>WM</v>
      </c>
      <c r="K319" s="82" t="s">
        <v>1202</v>
      </c>
      <c r="L319" s="81">
        <v>1</v>
      </c>
      <c r="M319" s="85">
        <v>1500</v>
      </c>
      <c r="N319" s="85">
        <f>IFERROR(表格1[[#This Row],[QTY]]*表格1[[#This Row],[Unit Price]],"-")</f>
        <v>1500</v>
      </c>
      <c r="O319" s="134">
        <v>7018199</v>
      </c>
      <c r="P319" s="81"/>
      <c r="Q319" s="81"/>
      <c r="R319" s="81" t="str">
        <f>_xlfn.CONCAT(表格1[[#This Row],[Model]]," ",表格1[[#This Row],[inv no]])</f>
        <v>AW-M901BPH(WW) 7018199</v>
      </c>
      <c r="S319" s="135">
        <f>_xlfn.XLOOKUP(表格1[[#This Row],[Model]],表格3[Model-Input-Ref2],表格3[SRP PRICE])</f>
        <v>3580</v>
      </c>
      <c r="T319" s="43">
        <f>表格1[[#This Row],[Unit Price]]/表格1[[#This Row],[SRP]]</f>
        <v>0.41899441340782123</v>
      </c>
      <c r="U319" s="86" t="str">
        <f>_xlfn.XLOOKUP(表格1[[#This Row],[Model]],表格3[Model-Input-Ref2],表格3[TOSHIBA/HIGHEST])</f>
        <v>Toshiba SRP</v>
      </c>
      <c r="V319" s="86">
        <v>110</v>
      </c>
      <c r="W319" s="86" t="str">
        <f>_xlfn.CONCAT(表格1[[#This Row],[欄4]],表格1[[#This Row],[inv no]])</f>
        <v>1107018199</v>
      </c>
    </row>
    <row r="320" spans="1:23" hidden="1">
      <c r="A320" s="81">
        <v>318</v>
      </c>
      <c r="B320" s="81" t="s">
        <v>1203</v>
      </c>
      <c r="C320" s="81" t="s">
        <v>1255</v>
      </c>
      <c r="D320" s="82" t="str">
        <f ca="1">OFFSET(Roster!$A$3,MATCH(表格1[[#This Row],[Location]]&amp;" "&amp;表格1[[#This Row],[Shop]]&amp;"*",Roster!$A$4:$A$72,0),DAY(表格1[[#This Row],[date]]),1,1)</f>
        <v>Me</v>
      </c>
      <c r="E320" s="81">
        <f>MONTH(表格1[[#This Row],[date]])</f>
        <v>3</v>
      </c>
      <c r="F320" s="101">
        <v>46093</v>
      </c>
      <c r="G320" s="81" t="str">
        <f>VLOOKUP("*"&amp;表格1[[#This Row],[Input]]&amp;"*",'Ref-List'!$B:$D,2,)</f>
        <v>AW-M901BPH(WW)</v>
      </c>
      <c r="H320" s="81" t="str">
        <f>_xlfn.XLOOKUP(表格1[[#This Row],[Model]],表格3[Model-Input-Ref2],表格3[Product Line])</f>
        <v>全自動洗衣機 (8公斤 結合高低水位)</v>
      </c>
      <c r="I320" s="81" t="str">
        <f>_xlfn.XLOOKUP(表格1[[#This Row],[Model]],表格3[Model-Input-Ref2],表格3[大小電])</f>
        <v>大電</v>
      </c>
      <c r="J320" s="81" t="str">
        <f>_xlfn.XLOOKUP(表格1[[#This Row],[Model]],表格3[Model-Input-Ref2],表格3[Code])</f>
        <v>WM</v>
      </c>
      <c r="K320" s="82" t="s">
        <v>1202</v>
      </c>
      <c r="L320" s="81">
        <v>1</v>
      </c>
      <c r="M320" s="85">
        <v>1500</v>
      </c>
      <c r="N320" s="85">
        <f>IFERROR(表格1[[#This Row],[QTY]]*表格1[[#This Row],[Unit Price]],"-")</f>
        <v>1500</v>
      </c>
      <c r="O320" s="134">
        <v>7018273</v>
      </c>
      <c r="P320" s="81"/>
      <c r="Q320" s="81"/>
      <c r="R320" s="81" t="str">
        <f>_xlfn.CONCAT(表格1[[#This Row],[Model]]," ",表格1[[#This Row],[inv no]])</f>
        <v>AW-M901BPH(WW) 7018273</v>
      </c>
      <c r="S320" s="135">
        <f>_xlfn.XLOOKUP(表格1[[#This Row],[Model]],表格3[Model-Input-Ref2],表格3[SRP PRICE])</f>
        <v>3580</v>
      </c>
      <c r="T320" s="43">
        <f>表格1[[#This Row],[Unit Price]]/表格1[[#This Row],[SRP]]</f>
        <v>0.41899441340782123</v>
      </c>
      <c r="U320" s="86" t="str">
        <f>_xlfn.XLOOKUP(表格1[[#This Row],[Model]],表格3[Model-Input-Ref2],表格3[TOSHIBA/HIGHEST])</f>
        <v>Toshiba SRP</v>
      </c>
      <c r="V320" s="86">
        <v>110</v>
      </c>
      <c r="W320" s="86" t="str">
        <f>_xlfn.CONCAT(表格1[[#This Row],[欄4]],表格1[[#This Row],[inv no]])</f>
        <v>1107018273</v>
      </c>
    </row>
    <row r="321" spans="1:23" hidden="1">
      <c r="A321" s="81">
        <v>319</v>
      </c>
      <c r="B321" s="81" t="s">
        <v>1203</v>
      </c>
      <c r="C321" s="81" t="s">
        <v>1255</v>
      </c>
      <c r="D321" s="82" t="str">
        <f ca="1">OFFSET(Roster!$A$3,MATCH(表格1[[#This Row],[Location]]&amp;" "&amp;表格1[[#This Row],[Shop]]&amp;"*",Roster!$A$4:$A$72,0),DAY(表格1[[#This Row],[date]]),1,1)</f>
        <v>Me</v>
      </c>
      <c r="E321" s="81">
        <f>MONTH(表格1[[#This Row],[date]])</f>
        <v>3</v>
      </c>
      <c r="F321" s="101">
        <v>46093</v>
      </c>
      <c r="G321" s="81" t="str">
        <f>VLOOKUP("*"&amp;表格1[[#This Row],[Input]]&amp;"*",'Ref-List'!$B:$D,2,)</f>
        <v>GR-RT416WE-PMA(06)</v>
      </c>
      <c r="H321" s="81" t="str">
        <f>_xlfn.XLOOKUP(表格1[[#This Row],[Model]],表格3[Model-Input-Ref2],表格3[Product Line])</f>
        <v xml:space="preserve">變頻上置式雙門雪櫃313L </v>
      </c>
      <c r="I321" s="81" t="str">
        <f>_xlfn.XLOOKUP(表格1[[#This Row],[Model]],表格3[Model-Input-Ref2],表格3[大小電])</f>
        <v>大電</v>
      </c>
      <c r="J321" s="81" t="str">
        <f>_xlfn.XLOOKUP(表格1[[#This Row],[Model]],表格3[Model-Input-Ref2],表格3[Code])</f>
        <v>REF</v>
      </c>
      <c r="K321" s="82" t="s">
        <v>1208</v>
      </c>
      <c r="L321" s="81">
        <v>1</v>
      </c>
      <c r="M321" s="85">
        <v>2888</v>
      </c>
      <c r="N321" s="85">
        <f>IFERROR(表格1[[#This Row],[QTY]]*表格1[[#This Row],[Unit Price]],"-")</f>
        <v>2888</v>
      </c>
      <c r="O321" s="134">
        <v>7018263</v>
      </c>
      <c r="P321" s="81"/>
      <c r="Q321" s="81"/>
      <c r="R321" s="81" t="str">
        <f>_xlfn.CONCAT(表格1[[#This Row],[Model]]," ",表格1[[#This Row],[inv no]])</f>
        <v>GR-RT416WE-PMA(06) 7018263</v>
      </c>
      <c r="S321" s="135">
        <f>_xlfn.XLOOKUP(表格1[[#This Row],[Model]],表格3[Model-Input-Ref2],表格3[SRP PRICE])</f>
        <v>5380</v>
      </c>
      <c r="T321" s="43">
        <f>表格1[[#This Row],[Unit Price]]/表格1[[#This Row],[SRP]]</f>
        <v>0.53680297397769516</v>
      </c>
      <c r="U321" s="86" t="str">
        <f>_xlfn.XLOOKUP(表格1[[#This Row],[Model]],表格3[Model-Input-Ref2],表格3[TOSHIBA/HIGHEST])</f>
        <v>Toshiba SRP</v>
      </c>
      <c r="V321" s="86">
        <v>110</v>
      </c>
      <c r="W321" s="86" t="str">
        <f>_xlfn.CONCAT(表格1[[#This Row],[欄4]],表格1[[#This Row],[inv no]])</f>
        <v>1107018263</v>
      </c>
    </row>
    <row r="322" spans="1:23" hidden="1">
      <c r="A322" s="81">
        <v>320</v>
      </c>
      <c r="B322" s="81" t="s">
        <v>1203</v>
      </c>
      <c r="C322" s="81" t="s">
        <v>1255</v>
      </c>
      <c r="D322" s="82" t="str">
        <f ca="1">OFFSET(Roster!$A$3,MATCH(表格1[[#This Row],[Location]]&amp;" "&amp;表格1[[#This Row],[Shop]]&amp;"*",Roster!$A$4:$A$72,0),DAY(表格1[[#This Row],[date]]),1,1)</f>
        <v>Me</v>
      </c>
      <c r="E322" s="81">
        <f>MONTH(表格1[[#This Row],[date]])</f>
        <v>3</v>
      </c>
      <c r="F322" s="101">
        <v>46093</v>
      </c>
      <c r="G322" s="81" t="str">
        <f>VLOOKUP("*"&amp;表格1[[#This Row],[Input]]&amp;"*",'Ref-List'!$B:$D,2,)</f>
        <v>GR-RM612WE-PGA(B5)</v>
      </c>
      <c r="H322" s="81" t="str">
        <f>_xlfn.XLOOKUP(表格1[[#This Row],[Model]],表格3[Model-Input-Ref2],表格3[Product Line])</f>
        <v>變頻五門雪櫃(375L)</v>
      </c>
      <c r="I322" s="81" t="str">
        <f>_xlfn.XLOOKUP(表格1[[#This Row],[Model]],表格3[Model-Input-Ref2],表格3[大小電])</f>
        <v>大電</v>
      </c>
      <c r="J322" s="81" t="str">
        <f>_xlfn.XLOOKUP(表格1[[#This Row],[Model]],表格3[Model-Input-Ref2],表格3[Code])</f>
        <v>REF</v>
      </c>
      <c r="K322" s="82" t="s">
        <v>1257</v>
      </c>
      <c r="L322" s="81">
        <v>1</v>
      </c>
      <c r="M322" s="85">
        <v>9980</v>
      </c>
      <c r="N322" s="85">
        <f>IFERROR(表格1[[#This Row],[QTY]]*表格1[[#This Row],[Unit Price]],"-")</f>
        <v>9980</v>
      </c>
      <c r="O322" s="134">
        <v>7065940</v>
      </c>
      <c r="P322" s="81"/>
      <c r="Q322" s="81"/>
      <c r="R322" s="81" t="str">
        <f>_xlfn.CONCAT(表格1[[#This Row],[Model]]," ",表格1[[#This Row],[inv no]])</f>
        <v>GR-RM612WE-PGA(B5) 7065940</v>
      </c>
      <c r="S322" s="135">
        <f>_xlfn.XLOOKUP(表格1[[#This Row],[Model]],表格3[Model-Input-Ref2],表格3[SRP PRICE])</f>
        <v>11000</v>
      </c>
      <c r="T322" s="43">
        <f>表格1[[#This Row],[Unit Price]]/表格1[[#This Row],[SRP]]</f>
        <v>0.90727272727272723</v>
      </c>
      <c r="U322" s="86" t="str">
        <f>_xlfn.XLOOKUP(表格1[[#This Row],[Model]],表格3[Model-Input-Ref2],表格3[TOSHIBA/HIGHEST])</f>
        <v>Shops Highest Price</v>
      </c>
      <c r="V322" s="86">
        <v>110</v>
      </c>
      <c r="W322" s="86" t="str">
        <f>_xlfn.CONCAT(表格1[[#This Row],[欄4]],表格1[[#This Row],[inv no]])</f>
        <v>1107065940</v>
      </c>
    </row>
    <row r="323" spans="1:23" hidden="1">
      <c r="A323" s="81">
        <v>321</v>
      </c>
      <c r="B323" s="81" t="s">
        <v>1203</v>
      </c>
      <c r="C323" s="81" t="s">
        <v>1255</v>
      </c>
      <c r="D323" s="82" t="str">
        <f ca="1">OFFSET(Roster!$A$3,MATCH(表格1[[#This Row],[Location]]&amp;" "&amp;表格1[[#This Row],[Shop]]&amp;"*",Roster!$A$4:$A$72,0),DAY(表格1[[#This Row],[date]]),1,1)</f>
        <v>Me</v>
      </c>
      <c r="E323" s="81">
        <f>MONTH(表格1[[#This Row],[date]])</f>
        <v>3</v>
      </c>
      <c r="F323" s="101">
        <v>46094</v>
      </c>
      <c r="G323" s="81" t="str">
        <f>VLOOKUP("*"&amp;表格1[[#This Row],[Input]]&amp;"*",'Ref-List'!$B:$D,2,)</f>
        <v>GR-A26HSZ(DS)</v>
      </c>
      <c r="H323" s="81" t="str">
        <f>_xlfn.XLOOKUP(表格1[[#This Row],[Model]],表格3[Model-Input-Ref2],表格3[Product Line])</f>
        <v>雙門變頻式環保雪櫃</v>
      </c>
      <c r="I323" s="81" t="str">
        <f>_xlfn.XLOOKUP(表格1[[#This Row],[Model]],表格3[Model-Input-Ref2],表格3[大小電])</f>
        <v>大電</v>
      </c>
      <c r="J323" s="81" t="str">
        <f>_xlfn.XLOOKUP(表格1[[#This Row],[Model]],表格3[Model-Input-Ref2],表格3[Code])</f>
        <v>AC</v>
      </c>
      <c r="K323" s="82" t="s">
        <v>1207</v>
      </c>
      <c r="L323" s="81">
        <v>1</v>
      </c>
      <c r="M323" s="85">
        <v>1500</v>
      </c>
      <c r="N323" s="85">
        <f>IFERROR(表格1[[#This Row],[QTY]]*表格1[[#This Row],[Unit Price]],"-")</f>
        <v>1500</v>
      </c>
      <c r="O323" s="134">
        <v>7027727</v>
      </c>
      <c r="P323" s="136"/>
      <c r="Q323" s="81"/>
      <c r="R323" s="81" t="str">
        <f>_xlfn.CONCAT(表格1[[#This Row],[Model]]," ",表格1[[#This Row],[inv no]])</f>
        <v>GR-A26HSZ(DS) 7027727</v>
      </c>
      <c r="S323" s="135">
        <f>_xlfn.XLOOKUP(表格1[[#This Row],[Model]],表格3[Model-Input-Ref2],表格3[SRP PRICE])</f>
        <v>3780</v>
      </c>
      <c r="T323" s="43">
        <f>表格1[[#This Row],[Unit Price]]/表格1[[#This Row],[SRP]]</f>
        <v>0.3968253968253968</v>
      </c>
      <c r="U323" s="86" t="str">
        <f>_xlfn.XLOOKUP(表格1[[#This Row],[Model]],表格3[Model-Input-Ref2],表格3[TOSHIBA/HIGHEST])</f>
        <v>Toshiba SRP</v>
      </c>
      <c r="V323" s="86">
        <v>110</v>
      </c>
      <c r="W323" s="86" t="str">
        <f>_xlfn.CONCAT(表格1[[#This Row],[欄4]],表格1[[#This Row],[inv no]])</f>
        <v>1107027727</v>
      </c>
    </row>
    <row r="324" spans="1:23" ht="16.5" hidden="1">
      <c r="A324" s="81">
        <v>322</v>
      </c>
      <c r="B324" s="81" t="s">
        <v>1203</v>
      </c>
      <c r="C324" s="81" t="s">
        <v>1255</v>
      </c>
      <c r="D324" s="82" t="str">
        <f ca="1">OFFSET(Roster!$A$3,MATCH(表格1[[#This Row],[Location]]&amp;" "&amp;表格1[[#This Row],[Shop]]&amp;"*",Roster!$A$4:$A$72,0),DAY(表格1[[#This Row],[date]]),1,1)</f>
        <v>Me</v>
      </c>
      <c r="E324" s="81">
        <f>MONTH(表格1[[#This Row],[date]])</f>
        <v>3</v>
      </c>
      <c r="F324" s="101">
        <v>46094</v>
      </c>
      <c r="G324" s="81" t="str">
        <f>VLOOKUP("*"&amp;表格1[[#This Row],[Input]]&amp;"*",'Ref-List'!$B:$D,2,)</f>
        <v>RC-15ISTHK(W)</v>
      </c>
      <c r="H324" s="81" t="str">
        <f>_xlfn.XLOOKUP(表格1[[#This Row],[Model]],表格3[Model-Input-Ref2],表格3[Product Line])</f>
        <v>磁應電飯煲(1.5公升)</v>
      </c>
      <c r="I324" s="81" t="str">
        <f>_xlfn.XLOOKUP(表格1[[#This Row],[Model]],表格3[Model-Input-Ref2],表格3[大小電])</f>
        <v>細電</v>
      </c>
      <c r="J324" s="81" t="str">
        <f>_xlfn.XLOOKUP(表格1[[#This Row],[Model]],表格3[Model-Input-Ref2],表格3[Code])</f>
        <v>SDA</v>
      </c>
      <c r="K324" s="82" t="s">
        <v>1204</v>
      </c>
      <c r="L324" s="81">
        <v>1</v>
      </c>
      <c r="M324" s="85">
        <v>500</v>
      </c>
      <c r="N324" s="85">
        <f>IFERROR(表格1[[#This Row],[QTY]]*表格1[[#This Row],[Unit Price]],"-")</f>
        <v>500</v>
      </c>
      <c r="O324" s="134">
        <v>7018341</v>
      </c>
      <c r="P324" s="137"/>
      <c r="Q324" s="81"/>
      <c r="R324" s="81" t="str">
        <f>_xlfn.CONCAT(表格1[[#This Row],[Model]]," ",表格1[[#This Row],[inv no]])</f>
        <v>RC-15ISTHK(W) 7018341</v>
      </c>
      <c r="S324" s="135">
        <f>_xlfn.XLOOKUP(表格1[[#This Row],[Model]],表格3[Model-Input-Ref2],表格3[SRP PRICE])</f>
        <v>1688</v>
      </c>
      <c r="T324" s="43">
        <f>表格1[[#This Row],[Unit Price]]/表格1[[#This Row],[SRP]]</f>
        <v>0.29620853080568721</v>
      </c>
      <c r="U324" s="86" t="str">
        <f>_xlfn.XLOOKUP(表格1[[#This Row],[Model]],表格3[Model-Input-Ref2],表格3[TOSHIBA/HIGHEST])</f>
        <v>Toshiba SRP</v>
      </c>
      <c r="V324" s="86">
        <v>110</v>
      </c>
      <c r="W324" s="86" t="str">
        <f>_xlfn.CONCAT(表格1[[#This Row],[欄4]],表格1[[#This Row],[inv no]])</f>
        <v>1107018341</v>
      </c>
    </row>
    <row r="325" spans="1:23" hidden="1">
      <c r="A325" s="81">
        <v>323</v>
      </c>
      <c r="B325" s="81" t="s">
        <v>1203</v>
      </c>
      <c r="C325" s="81" t="s">
        <v>1255</v>
      </c>
      <c r="D325" s="82" t="str">
        <f ca="1">OFFSET(Roster!$A$3,MATCH(表格1[[#This Row],[Location]]&amp;" "&amp;表格1[[#This Row],[Shop]]&amp;"*",Roster!$A$4:$A$72,0),DAY(表格1[[#This Row],[date]]),1,1)</f>
        <v>Me</v>
      </c>
      <c r="E325" s="81">
        <f>MONTH(表格1[[#This Row],[date]])</f>
        <v>3</v>
      </c>
      <c r="F325" s="101">
        <v>46094</v>
      </c>
      <c r="G325" s="81" t="str">
        <f>VLOOKUP("*"&amp;表格1[[#This Row],[Input]]&amp;"*",'Ref-List'!$B:$D,2,)</f>
        <v>RC-15ISTHK(W)</v>
      </c>
      <c r="H325" s="81" t="str">
        <f>_xlfn.XLOOKUP(表格1[[#This Row],[Model]],表格3[Model-Input-Ref2],表格3[Product Line])</f>
        <v>磁應電飯煲(1.5公升)</v>
      </c>
      <c r="I325" s="81" t="str">
        <f>_xlfn.XLOOKUP(表格1[[#This Row],[Model]],表格3[Model-Input-Ref2],表格3[大小電])</f>
        <v>細電</v>
      </c>
      <c r="J325" s="81" t="str">
        <f>_xlfn.XLOOKUP(表格1[[#This Row],[Model]],表格3[Model-Input-Ref2],表格3[Code])</f>
        <v>SDA</v>
      </c>
      <c r="K325" s="82" t="s">
        <v>1204</v>
      </c>
      <c r="L325" s="81">
        <v>1</v>
      </c>
      <c r="M325" s="85">
        <v>500</v>
      </c>
      <c r="N325" s="85">
        <f>IFERROR(表格1[[#This Row],[QTY]]*表格1[[#This Row],[Unit Price]],"-")</f>
        <v>500</v>
      </c>
      <c r="O325" s="134">
        <v>7018270</v>
      </c>
      <c r="P325" s="81"/>
      <c r="Q325" s="81"/>
      <c r="R325" s="81" t="str">
        <f>_xlfn.CONCAT(表格1[[#This Row],[Model]]," ",表格1[[#This Row],[inv no]])</f>
        <v>RC-15ISTHK(W) 7018270</v>
      </c>
      <c r="S325" s="135">
        <f>_xlfn.XLOOKUP(表格1[[#This Row],[Model]],表格3[Model-Input-Ref2],表格3[SRP PRICE])</f>
        <v>1688</v>
      </c>
      <c r="T325" s="43">
        <f>表格1[[#This Row],[Unit Price]]/表格1[[#This Row],[SRP]]</f>
        <v>0.29620853080568721</v>
      </c>
      <c r="U325" s="86" t="str">
        <f>_xlfn.XLOOKUP(表格1[[#This Row],[Model]],表格3[Model-Input-Ref2],表格3[TOSHIBA/HIGHEST])</f>
        <v>Toshiba SRP</v>
      </c>
      <c r="V325" s="86">
        <v>110</v>
      </c>
      <c r="W325" s="86" t="str">
        <f>_xlfn.CONCAT(表格1[[#This Row],[欄4]],表格1[[#This Row],[inv no]])</f>
        <v>1107018270</v>
      </c>
    </row>
    <row r="326" spans="1:23" hidden="1">
      <c r="A326" s="81">
        <v>324</v>
      </c>
      <c r="B326" s="81" t="s">
        <v>1203</v>
      </c>
      <c r="C326" s="81" t="s">
        <v>1255</v>
      </c>
      <c r="D326" s="82" t="str">
        <f ca="1">OFFSET(Roster!$A$3,MATCH(表格1[[#This Row],[Location]]&amp;" "&amp;表格1[[#This Row],[Shop]]&amp;"*",Roster!$A$4:$A$72,0),DAY(表格1[[#This Row],[date]]),1,1)</f>
        <v>Me</v>
      </c>
      <c r="E326" s="81">
        <f>MONTH(表格1[[#This Row],[date]])</f>
        <v>3</v>
      </c>
      <c r="F326" s="101">
        <v>46094</v>
      </c>
      <c r="G326" s="81" t="str">
        <f>VLOOKUP("*"&amp;表格1[[#This Row],[Input]]&amp;"*",'Ref-List'!$B:$D,2,)</f>
        <v>AW-M901BPH(WW)</v>
      </c>
      <c r="H326" s="81" t="str">
        <f>_xlfn.XLOOKUP(表格1[[#This Row],[Model]],表格3[Model-Input-Ref2],表格3[Product Line])</f>
        <v>全自動洗衣機 (8公斤 結合高低水位)</v>
      </c>
      <c r="I326" s="81" t="str">
        <f>_xlfn.XLOOKUP(表格1[[#This Row],[Model]],表格3[Model-Input-Ref2],表格3[大小電])</f>
        <v>大電</v>
      </c>
      <c r="J326" s="81" t="str">
        <f>_xlfn.XLOOKUP(表格1[[#This Row],[Model]],表格3[Model-Input-Ref2],表格3[Code])</f>
        <v>WM</v>
      </c>
      <c r="K326" s="82" t="s">
        <v>1202</v>
      </c>
      <c r="L326" s="81">
        <v>1</v>
      </c>
      <c r="M326" s="85">
        <v>1500</v>
      </c>
      <c r="N326" s="85">
        <f>IFERROR(表格1[[#This Row],[QTY]]*表格1[[#This Row],[Unit Price]],"-")</f>
        <v>1500</v>
      </c>
      <c r="O326" s="134">
        <v>7018390</v>
      </c>
      <c r="P326" s="81"/>
      <c r="Q326" s="81"/>
      <c r="R326" s="81" t="str">
        <f>_xlfn.CONCAT(表格1[[#This Row],[Model]]," ",表格1[[#This Row],[inv no]])</f>
        <v>AW-M901BPH(WW) 7018390</v>
      </c>
      <c r="S326" s="135">
        <f>_xlfn.XLOOKUP(表格1[[#This Row],[Model]],表格3[Model-Input-Ref2],表格3[SRP PRICE])</f>
        <v>3580</v>
      </c>
      <c r="T326" s="43">
        <f>表格1[[#This Row],[Unit Price]]/表格1[[#This Row],[SRP]]</f>
        <v>0.41899441340782123</v>
      </c>
      <c r="U326" s="86" t="str">
        <f>_xlfn.XLOOKUP(表格1[[#This Row],[Model]],表格3[Model-Input-Ref2],表格3[TOSHIBA/HIGHEST])</f>
        <v>Toshiba SRP</v>
      </c>
      <c r="V326" s="86">
        <v>110</v>
      </c>
      <c r="W326" s="86" t="str">
        <f>_xlfn.CONCAT(表格1[[#This Row],[欄4]],表格1[[#This Row],[inv no]])</f>
        <v>1107018390</v>
      </c>
    </row>
    <row r="327" spans="1:23" hidden="1">
      <c r="A327" s="81">
        <v>325</v>
      </c>
      <c r="B327" s="81" t="s">
        <v>1203</v>
      </c>
      <c r="C327" s="81" t="s">
        <v>1255</v>
      </c>
      <c r="D327" s="82" t="str">
        <f ca="1">OFFSET(Roster!$A$3,MATCH(表格1[[#This Row],[Location]]&amp;" "&amp;表格1[[#This Row],[Shop]]&amp;"*",Roster!$A$4:$A$72,0),DAY(表格1[[#This Row],[date]]),1,1)</f>
        <v>Me</v>
      </c>
      <c r="E327" s="81">
        <f>MONTH(表格1[[#This Row],[date]])</f>
        <v>3</v>
      </c>
      <c r="F327" s="101">
        <v>46094</v>
      </c>
      <c r="G327" s="81" t="str">
        <f>VLOOKUP("*"&amp;表格1[[#This Row],[Input]]&amp;"*",'Ref-List'!$B:$D,2,)</f>
        <v>DWS-34AHK</v>
      </c>
      <c r="H327" s="81" t="str">
        <f>_xlfn.XLOOKUP(表格1[[#This Row],[Model]],表格3[Model-Input-Ref2],表格3[Product Line])</f>
        <v>獨立式免安裝洗碗碟機</v>
      </c>
      <c r="I327" s="81" t="str">
        <f>_xlfn.XLOOKUP(表格1[[#This Row],[Model]],表格3[Model-Input-Ref2],表格3[大小電])</f>
        <v>細電</v>
      </c>
      <c r="J327" s="81" t="str">
        <f>_xlfn.XLOOKUP(表格1[[#This Row],[Model]],表格3[Model-Input-Ref2],表格3[Code])</f>
        <v>DM</v>
      </c>
      <c r="K327" s="82" t="s">
        <v>1240</v>
      </c>
      <c r="L327" s="81">
        <v>1</v>
      </c>
      <c r="M327" s="85">
        <v>1500</v>
      </c>
      <c r="N327" s="85">
        <f>IFERROR(表格1[[#This Row],[QTY]]*表格1[[#This Row],[Unit Price]],"-")</f>
        <v>1500</v>
      </c>
      <c r="O327" s="134">
        <v>7027821</v>
      </c>
      <c r="P327" s="81"/>
      <c r="Q327" s="81"/>
      <c r="R327" s="81" t="str">
        <f>_xlfn.CONCAT(表格1[[#This Row],[Model]]," ",表格1[[#This Row],[inv no]])</f>
        <v>DWS-34AHK 7027821</v>
      </c>
      <c r="S327" s="135">
        <f>_xlfn.XLOOKUP(表格1[[#This Row],[Model]],表格3[Model-Input-Ref2],表格3[SRP PRICE])</f>
        <v>3999</v>
      </c>
      <c r="T327" s="43">
        <f>表格1[[#This Row],[Unit Price]]/表格1[[#This Row],[SRP]]</f>
        <v>0.37509377344336087</v>
      </c>
      <c r="U327" s="86" t="str">
        <f>_xlfn.XLOOKUP(表格1[[#This Row],[Model]],表格3[Model-Input-Ref2],表格3[TOSHIBA/HIGHEST])</f>
        <v>Web SRP</v>
      </c>
      <c r="V327" s="86">
        <v>110</v>
      </c>
      <c r="W327" s="86" t="str">
        <f>_xlfn.CONCAT(表格1[[#This Row],[欄4]],表格1[[#This Row],[inv no]])</f>
        <v>1107027821</v>
      </c>
    </row>
    <row r="328" spans="1:23" ht="16.5" hidden="1">
      <c r="A328" s="81">
        <v>326</v>
      </c>
      <c r="B328" s="81" t="s">
        <v>1203</v>
      </c>
      <c r="C328" s="81" t="s">
        <v>1255</v>
      </c>
      <c r="D328" s="82" t="str">
        <f ca="1">OFFSET(Roster!$A$3,MATCH(表格1[[#This Row],[Location]]&amp;" "&amp;表格1[[#This Row],[Shop]]&amp;"*",Roster!$A$4:$A$72,0),DAY(表格1[[#This Row],[date]]),1,1)</f>
        <v>Me</v>
      </c>
      <c r="E328" s="81">
        <f>MONTH(表格1[[#This Row],[date]])</f>
        <v>3</v>
      </c>
      <c r="F328" s="101">
        <v>46094</v>
      </c>
      <c r="G328" s="81" t="str">
        <f>VLOOKUP("*"&amp;表格1[[#This Row],[Input]]&amp;"*",'Ref-List'!$B:$D,2,)</f>
        <v>GR-A26HSZ(DS)</v>
      </c>
      <c r="H328" s="81" t="str">
        <f>_xlfn.XLOOKUP(表格1[[#This Row],[Model]],表格3[Model-Input-Ref2],表格3[Product Line])</f>
        <v>雙門變頻式環保雪櫃</v>
      </c>
      <c r="I328" s="81" t="str">
        <f>_xlfn.XLOOKUP(表格1[[#This Row],[Model]],表格3[Model-Input-Ref2],表格3[大小電])</f>
        <v>大電</v>
      </c>
      <c r="J328" s="81" t="str">
        <f>_xlfn.XLOOKUP(表格1[[#This Row],[Model]],表格3[Model-Input-Ref2],表格3[Code])</f>
        <v>AC</v>
      </c>
      <c r="K328" s="82" t="s">
        <v>1207</v>
      </c>
      <c r="L328" s="81">
        <v>1</v>
      </c>
      <c r="M328" s="85">
        <v>1500</v>
      </c>
      <c r="N328" s="85">
        <f>IFERROR(表格1[[#This Row],[QTY]]*表格1[[#This Row],[Unit Price]],"-")</f>
        <v>1500</v>
      </c>
      <c r="O328" s="134">
        <v>7018406</v>
      </c>
      <c r="P328" s="137"/>
      <c r="Q328" s="81"/>
      <c r="R328" s="81" t="str">
        <f>_xlfn.CONCAT(表格1[[#This Row],[Model]]," ",表格1[[#This Row],[inv no]])</f>
        <v>GR-A26HSZ(DS) 7018406</v>
      </c>
      <c r="S328" s="135">
        <f>_xlfn.XLOOKUP(表格1[[#This Row],[Model]],表格3[Model-Input-Ref2],表格3[SRP PRICE])</f>
        <v>3780</v>
      </c>
      <c r="T328" s="43">
        <f>表格1[[#This Row],[Unit Price]]/表格1[[#This Row],[SRP]]</f>
        <v>0.3968253968253968</v>
      </c>
      <c r="U328" s="86" t="str">
        <f>_xlfn.XLOOKUP(表格1[[#This Row],[Model]],表格3[Model-Input-Ref2],表格3[TOSHIBA/HIGHEST])</f>
        <v>Toshiba SRP</v>
      </c>
      <c r="V328" s="86">
        <v>110</v>
      </c>
      <c r="W328" s="86" t="str">
        <f>_xlfn.CONCAT(表格1[[#This Row],[欄4]],表格1[[#This Row],[inv no]])</f>
        <v>1107018406</v>
      </c>
    </row>
    <row r="329" spans="1:23" hidden="1">
      <c r="A329" s="81">
        <v>327</v>
      </c>
      <c r="B329" s="81" t="s">
        <v>1203</v>
      </c>
      <c r="C329" s="81" t="s">
        <v>1255</v>
      </c>
      <c r="D329" s="82" t="str">
        <f ca="1">OFFSET(Roster!$A$3,MATCH(表格1[[#This Row],[Location]]&amp;" "&amp;表格1[[#This Row],[Shop]]&amp;"*",Roster!$A$4:$A$72,0),DAY(表格1[[#This Row],[date]]),1,1)</f>
        <v>Me</v>
      </c>
      <c r="E329" s="81">
        <f>MONTH(表格1[[#This Row],[date]])</f>
        <v>3</v>
      </c>
      <c r="F329" s="101">
        <v>46094</v>
      </c>
      <c r="G329" s="81" t="str">
        <f>VLOOKUP("*"&amp;表格1[[#This Row],[Input]]&amp;"*",'Ref-List'!$B:$D,2,)</f>
        <v>GR-RT416WE-PMA(06)</v>
      </c>
      <c r="H329" s="81" t="str">
        <f>_xlfn.XLOOKUP(表格1[[#This Row],[Model]],表格3[Model-Input-Ref2],表格3[Product Line])</f>
        <v xml:space="preserve">變頻上置式雙門雪櫃313L </v>
      </c>
      <c r="I329" s="81" t="str">
        <f>_xlfn.XLOOKUP(表格1[[#This Row],[Model]],表格3[Model-Input-Ref2],表格3[大小電])</f>
        <v>大電</v>
      </c>
      <c r="J329" s="81" t="str">
        <f>_xlfn.XLOOKUP(表格1[[#This Row],[Model]],表格3[Model-Input-Ref2],表格3[Code])</f>
        <v>REF</v>
      </c>
      <c r="K329" s="82" t="s">
        <v>1208</v>
      </c>
      <c r="L329" s="81">
        <v>1</v>
      </c>
      <c r="M329" s="85">
        <v>2888</v>
      </c>
      <c r="N329" s="85">
        <f>IFERROR(表格1[[#This Row],[QTY]]*表格1[[#This Row],[Unit Price]],"-")</f>
        <v>2888</v>
      </c>
      <c r="O329" s="134">
        <v>7018396</v>
      </c>
      <c r="P329" s="81"/>
      <c r="Q329" s="81"/>
      <c r="R329" s="81" t="str">
        <f>_xlfn.CONCAT(表格1[[#This Row],[Model]]," ",表格1[[#This Row],[inv no]])</f>
        <v>GR-RT416WE-PMA(06) 7018396</v>
      </c>
      <c r="S329" s="135">
        <f>_xlfn.XLOOKUP(表格1[[#This Row],[Model]],表格3[Model-Input-Ref2],表格3[SRP PRICE])</f>
        <v>5380</v>
      </c>
      <c r="T329" s="43">
        <f>表格1[[#This Row],[Unit Price]]/表格1[[#This Row],[SRP]]</f>
        <v>0.53680297397769516</v>
      </c>
      <c r="U329" s="86" t="str">
        <f>_xlfn.XLOOKUP(表格1[[#This Row],[Model]],表格3[Model-Input-Ref2],表格3[TOSHIBA/HIGHEST])</f>
        <v>Toshiba SRP</v>
      </c>
      <c r="V329" s="86">
        <v>110</v>
      </c>
      <c r="W329" s="86" t="str">
        <f>_xlfn.CONCAT(表格1[[#This Row],[欄4]],表格1[[#This Row],[inv no]])</f>
        <v>1107018396</v>
      </c>
    </row>
    <row r="330" spans="1:23" hidden="1">
      <c r="A330" s="81">
        <v>328</v>
      </c>
      <c r="B330" s="81" t="s">
        <v>1203</v>
      </c>
      <c r="C330" s="81" t="s">
        <v>1255</v>
      </c>
      <c r="D330" s="82" t="str">
        <f ca="1">OFFSET(Roster!$A$3,MATCH(表格1[[#This Row],[Location]]&amp;" "&amp;表格1[[#This Row],[Shop]]&amp;"*",Roster!$A$4:$A$72,0),DAY(表格1[[#This Row],[date]]),1,1)</f>
        <v>Me</v>
      </c>
      <c r="E330" s="81">
        <f>MONTH(表格1[[#This Row],[date]])</f>
        <v>3</v>
      </c>
      <c r="F330" s="101">
        <v>46095</v>
      </c>
      <c r="G330" s="81" t="str">
        <f>VLOOKUP("*"&amp;表格1[[#This Row],[Input]]&amp;"*",'Ref-List'!$B:$D,2,)</f>
        <v>DWS-34AHK</v>
      </c>
      <c r="H330" s="81" t="str">
        <f>_xlfn.XLOOKUP(表格1[[#This Row],[Model]],表格3[Model-Input-Ref2],表格3[Product Line])</f>
        <v>獨立式免安裝洗碗碟機</v>
      </c>
      <c r="I330" s="81" t="str">
        <f>_xlfn.XLOOKUP(表格1[[#This Row],[Model]],表格3[Model-Input-Ref2],表格3[大小電])</f>
        <v>細電</v>
      </c>
      <c r="J330" s="81" t="str">
        <f>_xlfn.XLOOKUP(表格1[[#This Row],[Model]],表格3[Model-Input-Ref2],表格3[Code])</f>
        <v>DM</v>
      </c>
      <c r="K330" s="82" t="s">
        <v>1240</v>
      </c>
      <c r="L330" s="81">
        <v>1</v>
      </c>
      <c r="M330" s="85">
        <v>1500</v>
      </c>
      <c r="N330" s="85">
        <f>IFERROR(表格1[[#This Row],[QTY]]*表格1[[#This Row],[Unit Price]],"-")</f>
        <v>1500</v>
      </c>
      <c r="O330" s="134">
        <v>7027899</v>
      </c>
      <c r="P330" s="81"/>
      <c r="Q330" s="81"/>
      <c r="R330" s="81" t="str">
        <f>_xlfn.CONCAT(表格1[[#This Row],[Model]]," ",表格1[[#This Row],[inv no]])</f>
        <v>DWS-34AHK 7027899</v>
      </c>
      <c r="S330" s="135">
        <f>_xlfn.XLOOKUP(表格1[[#This Row],[Model]],表格3[Model-Input-Ref2],表格3[SRP PRICE])</f>
        <v>3999</v>
      </c>
      <c r="T330" s="43">
        <f>表格1[[#This Row],[Unit Price]]/表格1[[#This Row],[SRP]]</f>
        <v>0.37509377344336087</v>
      </c>
      <c r="U330" s="86" t="str">
        <f>_xlfn.XLOOKUP(表格1[[#This Row],[Model]],表格3[Model-Input-Ref2],表格3[TOSHIBA/HIGHEST])</f>
        <v>Web SRP</v>
      </c>
      <c r="V330" s="86">
        <v>110</v>
      </c>
      <c r="W330" s="86" t="str">
        <f>_xlfn.CONCAT(表格1[[#This Row],[欄4]],表格1[[#This Row],[inv no]])</f>
        <v>1107027899</v>
      </c>
    </row>
    <row r="331" spans="1:23" hidden="1">
      <c r="A331" s="81">
        <v>329</v>
      </c>
      <c r="B331" s="81" t="s">
        <v>1203</v>
      </c>
      <c r="C331" s="81" t="s">
        <v>1255</v>
      </c>
      <c r="D331" s="82" t="str">
        <f ca="1">OFFSET(Roster!$A$3,MATCH(表格1[[#This Row],[Location]]&amp;" "&amp;表格1[[#This Row],[Shop]]&amp;"*",Roster!$A$4:$A$72,0),DAY(表格1[[#This Row],[date]]),1,1)</f>
        <v>Me</v>
      </c>
      <c r="E331" s="81">
        <f>MONTH(表格1[[#This Row],[date]])</f>
        <v>3</v>
      </c>
      <c r="F331" s="101">
        <v>46095</v>
      </c>
      <c r="G331" s="81" t="str">
        <f>VLOOKUP("*"&amp;表格1[[#This Row],[Input]]&amp;"*",'Ref-List'!$B:$D,2,)</f>
        <v>RC-15ISTHK(W)</v>
      </c>
      <c r="H331" s="81" t="str">
        <f>_xlfn.XLOOKUP(表格1[[#This Row],[Model]],表格3[Model-Input-Ref2],表格3[Product Line])</f>
        <v>磁應電飯煲(1.5公升)</v>
      </c>
      <c r="I331" s="81" t="str">
        <f>_xlfn.XLOOKUP(表格1[[#This Row],[Model]],表格3[Model-Input-Ref2],表格3[大小電])</f>
        <v>細電</v>
      </c>
      <c r="J331" s="81" t="str">
        <f>_xlfn.XLOOKUP(表格1[[#This Row],[Model]],表格3[Model-Input-Ref2],表格3[Code])</f>
        <v>SDA</v>
      </c>
      <c r="K331" s="82" t="s">
        <v>1204</v>
      </c>
      <c r="L331" s="81">
        <v>1</v>
      </c>
      <c r="M331" s="85">
        <v>500</v>
      </c>
      <c r="N331" s="85">
        <f>IFERROR(表格1[[#This Row],[QTY]]*表格1[[#This Row],[Unit Price]],"-")</f>
        <v>500</v>
      </c>
      <c r="O331" s="134">
        <v>7018512</v>
      </c>
      <c r="P331" s="81"/>
      <c r="Q331" s="81"/>
      <c r="R331" s="81" t="str">
        <f>_xlfn.CONCAT(表格1[[#This Row],[Model]]," ",表格1[[#This Row],[inv no]])</f>
        <v>RC-15ISTHK(W) 7018512</v>
      </c>
      <c r="S331" s="135">
        <f>_xlfn.XLOOKUP(表格1[[#This Row],[Model]],表格3[Model-Input-Ref2],表格3[SRP PRICE])</f>
        <v>1688</v>
      </c>
      <c r="T331" s="43">
        <f>表格1[[#This Row],[Unit Price]]/表格1[[#This Row],[SRP]]</f>
        <v>0.29620853080568721</v>
      </c>
      <c r="U331" s="86" t="str">
        <f>_xlfn.XLOOKUP(表格1[[#This Row],[Model]],表格3[Model-Input-Ref2],表格3[TOSHIBA/HIGHEST])</f>
        <v>Toshiba SRP</v>
      </c>
      <c r="V331" s="86">
        <v>110</v>
      </c>
      <c r="W331" s="86" t="str">
        <f>_xlfn.CONCAT(表格1[[#This Row],[欄4]],表格1[[#This Row],[inv no]])</f>
        <v>1107018512</v>
      </c>
    </row>
    <row r="332" spans="1:23" hidden="1">
      <c r="A332" s="81">
        <v>330</v>
      </c>
      <c r="B332" s="81" t="s">
        <v>1203</v>
      </c>
      <c r="C332" s="81" t="s">
        <v>1255</v>
      </c>
      <c r="D332" s="82" t="str">
        <f ca="1">OFFSET(Roster!$A$3,MATCH(表格1[[#This Row],[Location]]&amp;" "&amp;表格1[[#This Row],[Shop]]&amp;"*",Roster!$A$4:$A$72,0),DAY(表格1[[#This Row],[date]]),1,1)</f>
        <v>Me</v>
      </c>
      <c r="E332" s="81">
        <f>MONTH(表格1[[#This Row],[date]])</f>
        <v>3</v>
      </c>
      <c r="F332" s="101">
        <v>46095</v>
      </c>
      <c r="G332" s="81" t="str">
        <f>VLOOKUP("*"&amp;表格1[[#This Row],[Input]]&amp;"*",'Ref-List'!$B:$D,2,)</f>
        <v>RC-15ISTHK(W)</v>
      </c>
      <c r="H332" s="81" t="str">
        <f>_xlfn.XLOOKUP(表格1[[#This Row],[Model]],表格3[Model-Input-Ref2],表格3[Product Line])</f>
        <v>磁應電飯煲(1.5公升)</v>
      </c>
      <c r="I332" s="81" t="str">
        <f>_xlfn.XLOOKUP(表格1[[#This Row],[Model]],表格3[Model-Input-Ref2],表格3[大小電])</f>
        <v>細電</v>
      </c>
      <c r="J332" s="81" t="str">
        <f>_xlfn.XLOOKUP(表格1[[#This Row],[Model]],表格3[Model-Input-Ref2],表格3[Code])</f>
        <v>SDA</v>
      </c>
      <c r="K332" s="82" t="s">
        <v>1204</v>
      </c>
      <c r="L332" s="81">
        <v>1</v>
      </c>
      <c r="M332" s="85">
        <v>500</v>
      </c>
      <c r="N332" s="85">
        <f>IFERROR(表格1[[#This Row],[QTY]]*表格1[[#This Row],[Unit Price]],"-")</f>
        <v>500</v>
      </c>
      <c r="O332" s="134">
        <v>7018453</v>
      </c>
      <c r="P332" s="81"/>
      <c r="Q332" s="81"/>
      <c r="R332" s="81" t="str">
        <f>_xlfn.CONCAT(表格1[[#This Row],[Model]]," ",表格1[[#This Row],[inv no]])</f>
        <v>RC-15ISTHK(W) 7018453</v>
      </c>
      <c r="S332" s="135">
        <f>_xlfn.XLOOKUP(表格1[[#This Row],[Model]],表格3[Model-Input-Ref2],表格3[SRP PRICE])</f>
        <v>1688</v>
      </c>
      <c r="T332" s="43">
        <f>表格1[[#This Row],[Unit Price]]/表格1[[#This Row],[SRP]]</f>
        <v>0.29620853080568721</v>
      </c>
      <c r="U332" s="86" t="str">
        <f>_xlfn.XLOOKUP(表格1[[#This Row],[Model]],表格3[Model-Input-Ref2],表格3[TOSHIBA/HIGHEST])</f>
        <v>Toshiba SRP</v>
      </c>
      <c r="V332" s="86">
        <v>110</v>
      </c>
      <c r="W332" s="86" t="str">
        <f>_xlfn.CONCAT(表格1[[#This Row],[欄4]],表格1[[#This Row],[inv no]])</f>
        <v>1107018453</v>
      </c>
    </row>
    <row r="333" spans="1:23" hidden="1">
      <c r="A333" s="81">
        <v>331</v>
      </c>
      <c r="B333" s="81" t="s">
        <v>1203</v>
      </c>
      <c r="C333" s="81" t="s">
        <v>1255</v>
      </c>
      <c r="D333" s="82" t="str">
        <f ca="1">OFFSET(Roster!$A$3,MATCH(表格1[[#This Row],[Location]]&amp;" "&amp;表格1[[#This Row],[Shop]]&amp;"*",Roster!$A$4:$A$72,0),DAY(表格1[[#This Row],[date]]),1,1)</f>
        <v>Me</v>
      </c>
      <c r="E333" s="81">
        <f>MONTH(表格1[[#This Row],[date]])</f>
        <v>3</v>
      </c>
      <c r="F333" s="101">
        <v>46095</v>
      </c>
      <c r="G333" s="81" t="str">
        <f>VLOOKUP("*"&amp;表格1[[#This Row],[Input]]&amp;"*",'Ref-List'!$B:$D,2,)</f>
        <v>GR-A26HSZ(DS)</v>
      </c>
      <c r="H333" s="81" t="str">
        <f>_xlfn.XLOOKUP(表格1[[#This Row],[Model]],表格3[Model-Input-Ref2],表格3[Product Line])</f>
        <v>雙門變頻式環保雪櫃</v>
      </c>
      <c r="I333" s="81" t="str">
        <f>_xlfn.XLOOKUP(表格1[[#This Row],[Model]],表格3[Model-Input-Ref2],表格3[大小電])</f>
        <v>大電</v>
      </c>
      <c r="J333" s="81" t="str">
        <f>_xlfn.XLOOKUP(表格1[[#This Row],[Model]],表格3[Model-Input-Ref2],表格3[Code])</f>
        <v>AC</v>
      </c>
      <c r="K333" s="82" t="s">
        <v>1207</v>
      </c>
      <c r="L333" s="81">
        <v>1</v>
      </c>
      <c r="M333" s="85">
        <v>1500</v>
      </c>
      <c r="N333" s="85">
        <f>IFERROR(表格1[[#This Row],[QTY]]*表格1[[#This Row],[Unit Price]],"-")</f>
        <v>1500</v>
      </c>
      <c r="O333" s="134">
        <v>7018441</v>
      </c>
      <c r="P333" s="81"/>
      <c r="Q333" s="81"/>
      <c r="R333" s="81" t="str">
        <f>_xlfn.CONCAT(表格1[[#This Row],[Model]]," ",表格1[[#This Row],[inv no]])</f>
        <v>GR-A26HSZ(DS) 7018441</v>
      </c>
      <c r="S333" s="135">
        <f>_xlfn.XLOOKUP(表格1[[#This Row],[Model]],表格3[Model-Input-Ref2],表格3[SRP PRICE])</f>
        <v>3780</v>
      </c>
      <c r="T333" s="43">
        <f>表格1[[#This Row],[Unit Price]]/表格1[[#This Row],[SRP]]</f>
        <v>0.3968253968253968</v>
      </c>
      <c r="U333" s="86" t="str">
        <f>_xlfn.XLOOKUP(表格1[[#This Row],[Model]],表格3[Model-Input-Ref2],表格3[TOSHIBA/HIGHEST])</f>
        <v>Toshiba SRP</v>
      </c>
      <c r="V333" s="86">
        <v>110</v>
      </c>
      <c r="W333" s="86" t="str">
        <f>_xlfn.CONCAT(表格1[[#This Row],[欄4]],表格1[[#This Row],[inv no]])</f>
        <v>1107018441</v>
      </c>
    </row>
    <row r="334" spans="1:23" hidden="1">
      <c r="A334" s="81">
        <v>332</v>
      </c>
      <c r="B334" s="81" t="s">
        <v>1203</v>
      </c>
      <c r="C334" s="81" t="s">
        <v>1255</v>
      </c>
      <c r="D334" s="82" t="str">
        <f ca="1">OFFSET(Roster!$A$3,MATCH(表格1[[#This Row],[Location]]&amp;" "&amp;表格1[[#This Row],[Shop]]&amp;"*",Roster!$A$4:$A$72,0),DAY(表格1[[#This Row],[date]]),1,1)</f>
        <v>Me</v>
      </c>
      <c r="E334" s="81">
        <f>MONTH(表格1[[#This Row],[date]])</f>
        <v>3</v>
      </c>
      <c r="F334" s="101">
        <v>46095</v>
      </c>
      <c r="G334" s="81" t="str">
        <f>VLOOKUP("*"&amp;表格1[[#This Row],[Input]]&amp;"*",'Ref-List'!$B:$D,2,)</f>
        <v>GR-A26HSZ(DS)</v>
      </c>
      <c r="H334" s="81" t="str">
        <f>_xlfn.XLOOKUP(表格1[[#This Row],[Model]],表格3[Model-Input-Ref2],表格3[Product Line])</f>
        <v>雙門變頻式環保雪櫃</v>
      </c>
      <c r="I334" s="81" t="str">
        <f>_xlfn.XLOOKUP(表格1[[#This Row],[Model]],表格3[Model-Input-Ref2],表格3[大小電])</f>
        <v>大電</v>
      </c>
      <c r="J334" s="81" t="str">
        <f>_xlfn.XLOOKUP(表格1[[#This Row],[Model]],表格3[Model-Input-Ref2],表格3[Code])</f>
        <v>AC</v>
      </c>
      <c r="K334" s="82" t="s">
        <v>1207</v>
      </c>
      <c r="L334" s="81">
        <v>1</v>
      </c>
      <c r="M334" s="85">
        <v>1500</v>
      </c>
      <c r="N334" s="85">
        <f>IFERROR(表格1[[#This Row],[QTY]]*表格1[[#This Row],[Unit Price]],"-")</f>
        <v>1500</v>
      </c>
      <c r="O334" s="134">
        <v>7018454</v>
      </c>
      <c r="P334" s="81"/>
      <c r="Q334" s="81"/>
      <c r="R334" s="81" t="str">
        <f>_xlfn.CONCAT(表格1[[#This Row],[Model]]," ",表格1[[#This Row],[inv no]])</f>
        <v>GR-A26HSZ(DS) 7018454</v>
      </c>
      <c r="S334" s="135">
        <f>_xlfn.XLOOKUP(表格1[[#This Row],[Model]],表格3[Model-Input-Ref2],表格3[SRP PRICE])</f>
        <v>3780</v>
      </c>
      <c r="T334" s="43">
        <f>表格1[[#This Row],[Unit Price]]/表格1[[#This Row],[SRP]]</f>
        <v>0.3968253968253968</v>
      </c>
      <c r="U334" s="86" t="str">
        <f>_xlfn.XLOOKUP(表格1[[#This Row],[Model]],表格3[Model-Input-Ref2],表格3[TOSHIBA/HIGHEST])</f>
        <v>Toshiba SRP</v>
      </c>
      <c r="V334" s="86">
        <v>110</v>
      </c>
      <c r="W334" s="86" t="str">
        <f>_xlfn.CONCAT(表格1[[#This Row],[欄4]],表格1[[#This Row],[inv no]])</f>
        <v>1107018454</v>
      </c>
    </row>
    <row r="335" spans="1:23" hidden="1">
      <c r="A335" s="81">
        <v>333</v>
      </c>
      <c r="B335" s="81" t="s">
        <v>1203</v>
      </c>
      <c r="C335" s="81" t="s">
        <v>1255</v>
      </c>
      <c r="D335" s="82" t="str">
        <f ca="1">OFFSET(Roster!$A$3,MATCH(表格1[[#This Row],[Location]]&amp;" "&amp;表格1[[#This Row],[Shop]]&amp;"*",Roster!$A$4:$A$72,0),DAY(表格1[[#This Row],[date]]),1,1)</f>
        <v>Me</v>
      </c>
      <c r="E335" s="81">
        <f>MONTH(表格1[[#This Row],[date]])</f>
        <v>3</v>
      </c>
      <c r="F335" s="101">
        <v>46095</v>
      </c>
      <c r="G335" s="81" t="str">
        <f>VLOOKUP("*"&amp;表格1[[#This Row],[Input]]&amp;"*",'Ref-List'!$B:$D,2,)</f>
        <v>GR-RT416WE-PMA(06)</v>
      </c>
      <c r="H335" s="81" t="str">
        <f>_xlfn.XLOOKUP(表格1[[#This Row],[Model]],表格3[Model-Input-Ref2],表格3[Product Line])</f>
        <v xml:space="preserve">變頻上置式雙門雪櫃313L </v>
      </c>
      <c r="I335" s="81" t="str">
        <f>_xlfn.XLOOKUP(表格1[[#This Row],[Model]],表格3[Model-Input-Ref2],表格3[大小電])</f>
        <v>大電</v>
      </c>
      <c r="J335" s="81" t="str">
        <f>_xlfn.XLOOKUP(表格1[[#This Row],[Model]],表格3[Model-Input-Ref2],表格3[Code])</f>
        <v>REF</v>
      </c>
      <c r="K335" s="82" t="s">
        <v>1208</v>
      </c>
      <c r="L335" s="81">
        <v>1</v>
      </c>
      <c r="M335" s="85">
        <v>2888</v>
      </c>
      <c r="N335" s="85">
        <f>IFERROR(表格1[[#This Row],[QTY]]*表格1[[#This Row],[Unit Price]],"-")</f>
        <v>2888</v>
      </c>
      <c r="O335" s="134">
        <v>7018629</v>
      </c>
      <c r="P335" s="81"/>
      <c r="Q335" s="81"/>
      <c r="R335" s="81" t="str">
        <f>_xlfn.CONCAT(表格1[[#This Row],[Model]]," ",表格1[[#This Row],[inv no]])</f>
        <v>GR-RT416WE-PMA(06) 7018629</v>
      </c>
      <c r="S335" s="135">
        <f>_xlfn.XLOOKUP(表格1[[#This Row],[Model]],表格3[Model-Input-Ref2],表格3[SRP PRICE])</f>
        <v>5380</v>
      </c>
      <c r="T335" s="43">
        <f>表格1[[#This Row],[Unit Price]]/表格1[[#This Row],[SRP]]</f>
        <v>0.53680297397769516</v>
      </c>
      <c r="U335" s="86" t="str">
        <f>_xlfn.XLOOKUP(表格1[[#This Row],[Model]],表格3[Model-Input-Ref2],表格3[TOSHIBA/HIGHEST])</f>
        <v>Toshiba SRP</v>
      </c>
      <c r="V335" s="86">
        <v>110</v>
      </c>
      <c r="W335" s="86" t="str">
        <f>_xlfn.CONCAT(表格1[[#This Row],[欄4]],表格1[[#This Row],[inv no]])</f>
        <v>1107018629</v>
      </c>
    </row>
    <row r="336" spans="1:23" ht="16.5" hidden="1">
      <c r="A336" s="81">
        <v>334</v>
      </c>
      <c r="B336" s="81" t="s">
        <v>1203</v>
      </c>
      <c r="C336" s="81" t="s">
        <v>1255</v>
      </c>
      <c r="D336" s="82" t="str">
        <f ca="1">OFFSET(Roster!$A$3,MATCH(表格1[[#This Row],[Location]]&amp;" "&amp;表格1[[#This Row],[Shop]]&amp;"*",Roster!$A$4:$A$72,0),DAY(表格1[[#This Row],[date]]),1,1)</f>
        <v>Me</v>
      </c>
      <c r="E336" s="81">
        <f>MONTH(表格1[[#This Row],[date]])</f>
        <v>3</v>
      </c>
      <c r="F336" s="101">
        <v>46095</v>
      </c>
      <c r="G336" s="81" t="str">
        <f>VLOOKUP("*"&amp;表格1[[#This Row],[Input]]&amp;"*",'Ref-List'!$B:$D,2,)</f>
        <v>GR-RT416WE-PMA(06)</v>
      </c>
      <c r="H336" s="81" t="str">
        <f>_xlfn.XLOOKUP(表格1[[#This Row],[Model]],表格3[Model-Input-Ref2],表格3[Product Line])</f>
        <v xml:space="preserve">變頻上置式雙門雪櫃313L </v>
      </c>
      <c r="I336" s="81" t="str">
        <f>_xlfn.XLOOKUP(表格1[[#This Row],[Model]],表格3[Model-Input-Ref2],表格3[大小電])</f>
        <v>大電</v>
      </c>
      <c r="J336" s="81" t="str">
        <f>_xlfn.XLOOKUP(表格1[[#This Row],[Model]],表格3[Model-Input-Ref2],表格3[Code])</f>
        <v>REF</v>
      </c>
      <c r="K336" s="82" t="s">
        <v>1208</v>
      </c>
      <c r="L336" s="81">
        <v>1</v>
      </c>
      <c r="M336" s="85">
        <v>2888</v>
      </c>
      <c r="N336" s="85">
        <f>IFERROR(表格1[[#This Row],[QTY]]*表格1[[#This Row],[Unit Price]],"-")</f>
        <v>2888</v>
      </c>
      <c r="O336" s="134">
        <v>7027911</v>
      </c>
      <c r="P336" s="137"/>
      <c r="Q336" s="81"/>
      <c r="R336" s="81" t="str">
        <f>_xlfn.CONCAT(表格1[[#This Row],[Model]]," ",表格1[[#This Row],[inv no]])</f>
        <v>GR-RT416WE-PMA(06) 7027911</v>
      </c>
      <c r="S336" s="135">
        <f>_xlfn.XLOOKUP(表格1[[#This Row],[Model]],表格3[Model-Input-Ref2],表格3[SRP PRICE])</f>
        <v>5380</v>
      </c>
      <c r="T336" s="43">
        <f>表格1[[#This Row],[Unit Price]]/表格1[[#This Row],[SRP]]</f>
        <v>0.53680297397769516</v>
      </c>
      <c r="U336" s="86" t="str">
        <f>_xlfn.XLOOKUP(表格1[[#This Row],[Model]],表格3[Model-Input-Ref2],表格3[TOSHIBA/HIGHEST])</f>
        <v>Toshiba SRP</v>
      </c>
      <c r="V336" s="86">
        <v>110</v>
      </c>
      <c r="W336" s="86" t="str">
        <f>_xlfn.CONCAT(表格1[[#This Row],[欄4]],表格1[[#This Row],[inv no]])</f>
        <v>1107027911</v>
      </c>
    </row>
    <row r="337" spans="1:23" hidden="1">
      <c r="A337" s="81">
        <v>335</v>
      </c>
      <c r="B337" s="81" t="s">
        <v>1203</v>
      </c>
      <c r="C337" s="81" t="s">
        <v>1255</v>
      </c>
      <c r="D337" s="82" t="str">
        <f ca="1">OFFSET(Roster!$A$3,MATCH(表格1[[#This Row],[Location]]&amp;" "&amp;表格1[[#This Row],[Shop]]&amp;"*",Roster!$A$4:$A$72,0),DAY(表格1[[#This Row],[date]]),1,1)</f>
        <v>Me</v>
      </c>
      <c r="E337" s="81">
        <f>MONTH(表格1[[#This Row],[date]])</f>
        <v>3</v>
      </c>
      <c r="F337" s="101">
        <v>46095</v>
      </c>
      <c r="G337" s="81" t="str">
        <f>VLOOKUP("*"&amp;表格1[[#This Row],[Input]]&amp;"*",'Ref-List'!$B:$D,2,)</f>
        <v>TWD-BN90GF4H(WK)</v>
      </c>
      <c r="H337" s="81" t="str">
        <f>_xlfn.XLOOKUP(表格1[[#This Row],[Model]],表格3[Model-Input-Ref2],表格3[Product Line])</f>
        <v>超薄身前置式洗衣乾衣機 (洗8公斤 乾5公斤)</v>
      </c>
      <c r="I337" s="81" t="str">
        <f>_xlfn.XLOOKUP(表格1[[#This Row],[Model]],表格3[Model-Input-Ref2],表格3[大小電])</f>
        <v>大電</v>
      </c>
      <c r="J337" s="81" t="str">
        <f>_xlfn.XLOOKUP(表格1[[#This Row],[Model]],表格3[Model-Input-Ref2],表格3[Code])</f>
        <v>WM</v>
      </c>
      <c r="K337" s="82" t="s">
        <v>1199</v>
      </c>
      <c r="L337" s="81">
        <v>1</v>
      </c>
      <c r="M337" s="85">
        <v>3588</v>
      </c>
      <c r="N337" s="85">
        <f>IFERROR(表格1[[#This Row],[QTY]]*表格1[[#This Row],[Unit Price]],"-")</f>
        <v>3588</v>
      </c>
      <c r="O337" s="134">
        <v>7018453</v>
      </c>
      <c r="P337" s="81"/>
      <c r="Q337" s="81"/>
      <c r="R337" s="81" t="str">
        <f>_xlfn.CONCAT(表格1[[#This Row],[Model]]," ",表格1[[#This Row],[inv no]])</f>
        <v>TWD-BN90GF4H(WK) 7018453</v>
      </c>
      <c r="S337" s="135">
        <f>_xlfn.XLOOKUP(表格1[[#This Row],[Model]],表格3[Model-Input-Ref2],表格3[SRP PRICE])</f>
        <v>5980</v>
      </c>
      <c r="T337" s="43">
        <f>表格1[[#This Row],[Unit Price]]/表格1[[#This Row],[SRP]]</f>
        <v>0.6</v>
      </c>
      <c r="U337" s="86" t="str">
        <f>_xlfn.XLOOKUP(表格1[[#This Row],[Model]],表格3[Model-Input-Ref2],表格3[TOSHIBA/HIGHEST])</f>
        <v>Toshiba SRP</v>
      </c>
      <c r="V337" s="86">
        <v>110</v>
      </c>
      <c r="W337" s="86" t="str">
        <f>_xlfn.CONCAT(表格1[[#This Row],[欄4]],表格1[[#This Row],[inv no]])</f>
        <v>1107018453</v>
      </c>
    </row>
    <row r="338" spans="1:23" hidden="1">
      <c r="A338" s="81">
        <v>336</v>
      </c>
      <c r="B338" s="81" t="s">
        <v>1203</v>
      </c>
      <c r="C338" s="81" t="s">
        <v>1255</v>
      </c>
      <c r="D338" s="82" t="str">
        <f ca="1">OFFSET(Roster!$A$3,MATCH(表格1[[#This Row],[Location]]&amp;" "&amp;表格1[[#This Row],[Shop]]&amp;"*",Roster!$A$4:$A$72,0),DAY(表格1[[#This Row],[date]]),1,1)</f>
        <v>Me</v>
      </c>
      <c r="E338" s="81">
        <f>MONTH(表格1[[#This Row],[date]])</f>
        <v>3</v>
      </c>
      <c r="F338" s="101">
        <v>46096</v>
      </c>
      <c r="G338" s="81" t="str">
        <f>VLOOKUP("*"&amp;表格1[[#This Row],[Input]]&amp;"*",'Ref-List'!$B:$D,2,)</f>
        <v>TWP-TSR76THK(W)</v>
      </c>
      <c r="H338" s="81" t="str">
        <f>_xlfn.XLOOKUP(表格1[[#This Row],[Model]],表格3[Model-Input-Ref2],表格3[Product Line])</f>
        <v>RO座檯式飲水機</v>
      </c>
      <c r="I338" s="81" t="str">
        <f>_xlfn.XLOOKUP(表格1[[#This Row],[Model]],表格3[Model-Input-Ref2],表格3[大小電])</f>
        <v>細電</v>
      </c>
      <c r="J338" s="81" t="str">
        <f>_xlfn.XLOOKUP(表格1[[#This Row],[Model]],表格3[Model-Input-Ref2],表格3[Code])</f>
        <v>KWH</v>
      </c>
      <c r="K338" s="82" t="s">
        <v>1197</v>
      </c>
      <c r="L338" s="81">
        <v>1</v>
      </c>
      <c r="M338" s="85">
        <v>1500</v>
      </c>
      <c r="N338" s="85">
        <f>IFERROR(表格1[[#This Row],[QTY]]*表格1[[#This Row],[Unit Price]],"-")</f>
        <v>1500</v>
      </c>
      <c r="O338" s="134">
        <v>7018463</v>
      </c>
      <c r="P338" s="81"/>
      <c r="Q338" s="81"/>
      <c r="R338" s="81" t="str">
        <f>_xlfn.CONCAT(表格1[[#This Row],[Model]]," ",表格1[[#This Row],[inv no]])</f>
        <v>TWP-TSR76THK(W) 7018463</v>
      </c>
      <c r="S338" s="135">
        <f>_xlfn.XLOOKUP(表格1[[#This Row],[Model]],表格3[Model-Input-Ref2],表格3[SRP PRICE])</f>
        <v>2680</v>
      </c>
      <c r="T338" s="43">
        <f>表格1[[#This Row],[Unit Price]]/表格1[[#This Row],[SRP]]</f>
        <v>0.55970149253731338</v>
      </c>
      <c r="U338" s="86" t="str">
        <f>_xlfn.XLOOKUP(表格1[[#This Row],[Model]],表格3[Model-Input-Ref2],表格3[TOSHIBA/HIGHEST])</f>
        <v>Toshiba SRP</v>
      </c>
      <c r="V338" s="86">
        <v>110</v>
      </c>
      <c r="W338" s="86" t="str">
        <f>_xlfn.CONCAT(表格1[[#This Row],[欄4]],表格1[[#This Row],[inv no]])</f>
        <v>1107018463</v>
      </c>
    </row>
    <row r="339" spans="1:23" hidden="1">
      <c r="A339" s="81">
        <v>337</v>
      </c>
      <c r="B339" s="81" t="s">
        <v>1203</v>
      </c>
      <c r="C339" s="81" t="s">
        <v>1255</v>
      </c>
      <c r="D339" s="82" t="str">
        <f ca="1">OFFSET(Roster!$A$3,MATCH(表格1[[#This Row],[Location]]&amp;" "&amp;表格1[[#This Row],[Shop]]&amp;"*",Roster!$A$4:$A$72,0),DAY(表格1[[#This Row],[date]]),1,1)</f>
        <v>Me</v>
      </c>
      <c r="E339" s="81">
        <f>MONTH(表格1[[#This Row],[date]])</f>
        <v>3</v>
      </c>
      <c r="F339" s="101">
        <v>46096</v>
      </c>
      <c r="G339" s="81" t="str">
        <f>VLOOKUP("*"&amp;表格1[[#This Row],[Input]]&amp;"*",'Ref-List'!$B:$D,2,)</f>
        <v>MW2-MM24PC(BK)</v>
      </c>
      <c r="H339" s="81" t="str">
        <f>_xlfn.XLOOKUP(表格1[[#This Row],[Model]],表格3[Model-Input-Ref2],表格3[Product Line])</f>
        <v>旋鈕式微波爐24L</v>
      </c>
      <c r="I339" s="81" t="str">
        <f>_xlfn.XLOOKUP(表格1[[#This Row],[Model]],表格3[Model-Input-Ref2],表格3[大小電])</f>
        <v>細電</v>
      </c>
      <c r="J339" s="81" t="str">
        <f>_xlfn.XLOOKUP(表格1[[#This Row],[Model]],表格3[Model-Input-Ref2],表格3[Code])</f>
        <v>SDA</v>
      </c>
      <c r="K339" s="82" t="s">
        <v>1196</v>
      </c>
      <c r="L339" s="81">
        <v>1</v>
      </c>
      <c r="M339" s="85">
        <v>500</v>
      </c>
      <c r="N339" s="85">
        <f>IFERROR(表格1[[#This Row],[QTY]]*表格1[[#This Row],[Unit Price]],"-")</f>
        <v>500</v>
      </c>
      <c r="O339" s="134">
        <v>7018450</v>
      </c>
      <c r="P339" s="81"/>
      <c r="Q339" s="81"/>
      <c r="R339" s="81" t="str">
        <f>_xlfn.CONCAT(表格1[[#This Row],[Model]]," ",表格1[[#This Row],[inv no]])</f>
        <v>MW2-MM24PC(BK) 7018450</v>
      </c>
      <c r="S339" s="135">
        <f>_xlfn.XLOOKUP(表格1[[#This Row],[Model]],表格3[Model-Input-Ref2],表格3[SRP PRICE])</f>
        <v>848</v>
      </c>
      <c r="T339" s="43">
        <f>表格1[[#This Row],[Unit Price]]/表格1[[#This Row],[SRP]]</f>
        <v>0.589622641509434</v>
      </c>
      <c r="U339" s="86" t="str">
        <f>_xlfn.XLOOKUP(表格1[[#This Row],[Model]],表格3[Model-Input-Ref2],表格3[TOSHIBA/HIGHEST])</f>
        <v>Toshiba SRP</v>
      </c>
      <c r="V339" s="86">
        <v>110</v>
      </c>
      <c r="W339" s="86" t="str">
        <f>_xlfn.CONCAT(表格1[[#This Row],[欄4]],表格1[[#This Row],[inv no]])</f>
        <v>1107018450</v>
      </c>
    </row>
    <row r="340" spans="1:23" hidden="1">
      <c r="A340" s="81">
        <v>338</v>
      </c>
      <c r="B340" s="81" t="s">
        <v>1203</v>
      </c>
      <c r="C340" s="81" t="s">
        <v>1255</v>
      </c>
      <c r="D340" s="82" t="str">
        <f ca="1">OFFSET(Roster!$A$3,MATCH(表格1[[#This Row],[Location]]&amp;" "&amp;表格1[[#This Row],[Shop]]&amp;"*",Roster!$A$4:$A$72,0),DAY(表格1[[#This Row],[date]]),1,1)</f>
        <v>Me</v>
      </c>
      <c r="E340" s="81">
        <f>MONTH(表格1[[#This Row],[date]])</f>
        <v>3</v>
      </c>
      <c r="F340" s="101">
        <v>46096</v>
      </c>
      <c r="G340" s="81" t="str">
        <f>VLOOKUP("*"&amp;表格1[[#This Row],[Input]]&amp;"*",'Ref-List'!$B:$D,2,)</f>
        <v>AW-M901BPH(WW)</v>
      </c>
      <c r="H340" s="81" t="str">
        <f>_xlfn.XLOOKUP(表格1[[#This Row],[Model]],表格3[Model-Input-Ref2],表格3[Product Line])</f>
        <v>全自動洗衣機 (8公斤 結合高低水位)</v>
      </c>
      <c r="I340" s="81" t="str">
        <f>_xlfn.XLOOKUP(表格1[[#This Row],[Model]],表格3[Model-Input-Ref2],表格3[大小電])</f>
        <v>大電</v>
      </c>
      <c r="J340" s="81" t="str">
        <f>_xlfn.XLOOKUP(表格1[[#This Row],[Model]],表格3[Model-Input-Ref2],表格3[Code])</f>
        <v>WM</v>
      </c>
      <c r="K340" s="82" t="s">
        <v>1202</v>
      </c>
      <c r="L340" s="81">
        <v>1</v>
      </c>
      <c r="M340" s="85">
        <v>1500</v>
      </c>
      <c r="N340" s="85">
        <f>IFERROR(表格1[[#This Row],[QTY]]*表格1[[#This Row],[Unit Price]],"-")</f>
        <v>1500</v>
      </c>
      <c r="O340" s="134">
        <v>7018485</v>
      </c>
      <c r="P340" s="81"/>
      <c r="Q340" s="81"/>
      <c r="R340" s="81" t="str">
        <f>_xlfn.CONCAT(表格1[[#This Row],[Model]]," ",表格1[[#This Row],[inv no]])</f>
        <v>AW-M901BPH(WW) 7018485</v>
      </c>
      <c r="S340" s="135">
        <f>_xlfn.XLOOKUP(表格1[[#This Row],[Model]],表格3[Model-Input-Ref2],表格3[SRP PRICE])</f>
        <v>3580</v>
      </c>
      <c r="T340" s="43">
        <f>表格1[[#This Row],[Unit Price]]/表格1[[#This Row],[SRP]]</f>
        <v>0.41899441340782123</v>
      </c>
      <c r="U340" s="86" t="str">
        <f>_xlfn.XLOOKUP(表格1[[#This Row],[Model]],表格3[Model-Input-Ref2],表格3[TOSHIBA/HIGHEST])</f>
        <v>Toshiba SRP</v>
      </c>
      <c r="V340" s="86">
        <v>110</v>
      </c>
      <c r="W340" s="86" t="str">
        <f>_xlfn.CONCAT(表格1[[#This Row],[欄4]],表格1[[#This Row],[inv no]])</f>
        <v>1107018485</v>
      </c>
    </row>
    <row r="341" spans="1:23" hidden="1">
      <c r="A341" s="81">
        <v>339</v>
      </c>
      <c r="B341" s="81" t="s">
        <v>1203</v>
      </c>
      <c r="C341" s="81" t="s">
        <v>1255</v>
      </c>
      <c r="D341" s="82" t="str">
        <f ca="1">OFFSET(Roster!$A$3,MATCH(表格1[[#This Row],[Location]]&amp;" "&amp;表格1[[#This Row],[Shop]]&amp;"*",Roster!$A$4:$A$72,0),DAY(表格1[[#This Row],[date]]),1,1)</f>
        <v>Me</v>
      </c>
      <c r="E341" s="81">
        <f>MONTH(表格1[[#This Row],[date]])</f>
        <v>3</v>
      </c>
      <c r="F341" s="101">
        <v>46096</v>
      </c>
      <c r="G341" s="81" t="str">
        <f>VLOOKUP("*"&amp;表格1[[#This Row],[Input]]&amp;"*",'Ref-List'!$B:$D,2,)</f>
        <v>AW-M901BPH(WW)</v>
      </c>
      <c r="H341" s="81" t="str">
        <f>_xlfn.XLOOKUP(表格1[[#This Row],[Model]],表格3[Model-Input-Ref2],表格3[Product Line])</f>
        <v>全自動洗衣機 (8公斤 結合高低水位)</v>
      </c>
      <c r="I341" s="81" t="str">
        <f>_xlfn.XLOOKUP(表格1[[#This Row],[Model]],表格3[Model-Input-Ref2],表格3[大小電])</f>
        <v>大電</v>
      </c>
      <c r="J341" s="81" t="str">
        <f>_xlfn.XLOOKUP(表格1[[#This Row],[Model]],表格3[Model-Input-Ref2],表格3[Code])</f>
        <v>WM</v>
      </c>
      <c r="K341" s="82" t="s">
        <v>1202</v>
      </c>
      <c r="L341" s="81">
        <v>1</v>
      </c>
      <c r="M341" s="85">
        <v>1500</v>
      </c>
      <c r="N341" s="85">
        <f>IFERROR(表格1[[#This Row],[QTY]]*表格1[[#This Row],[Unit Price]],"-")</f>
        <v>1500</v>
      </c>
      <c r="O341" s="134">
        <v>7018491</v>
      </c>
      <c r="P341" s="81"/>
      <c r="Q341" s="81"/>
      <c r="R341" s="81" t="str">
        <f>_xlfn.CONCAT(表格1[[#This Row],[Model]]," ",表格1[[#This Row],[inv no]])</f>
        <v>AW-M901BPH(WW) 7018491</v>
      </c>
      <c r="S341" s="135">
        <f>_xlfn.XLOOKUP(表格1[[#This Row],[Model]],表格3[Model-Input-Ref2],表格3[SRP PRICE])</f>
        <v>3580</v>
      </c>
      <c r="T341" s="43">
        <f>表格1[[#This Row],[Unit Price]]/表格1[[#This Row],[SRP]]</f>
        <v>0.41899441340782123</v>
      </c>
      <c r="U341" s="86" t="str">
        <f>_xlfn.XLOOKUP(表格1[[#This Row],[Model]],表格3[Model-Input-Ref2],表格3[TOSHIBA/HIGHEST])</f>
        <v>Toshiba SRP</v>
      </c>
      <c r="V341" s="86">
        <v>110</v>
      </c>
      <c r="W341" s="86" t="str">
        <f>_xlfn.CONCAT(表格1[[#This Row],[欄4]],表格1[[#This Row],[inv no]])</f>
        <v>1107018491</v>
      </c>
    </row>
    <row r="342" spans="1:23" hidden="1">
      <c r="A342" s="81">
        <v>340</v>
      </c>
      <c r="B342" s="81" t="s">
        <v>1203</v>
      </c>
      <c r="C342" s="81" t="s">
        <v>1255</v>
      </c>
      <c r="D342" s="82" t="str">
        <f ca="1">OFFSET(Roster!$A$3,MATCH(表格1[[#This Row],[Location]]&amp;" "&amp;表格1[[#This Row],[Shop]]&amp;"*",Roster!$A$4:$A$72,0),DAY(表格1[[#This Row],[date]]),1,1)</f>
        <v>Me</v>
      </c>
      <c r="E342" s="81">
        <f>MONTH(表格1[[#This Row],[date]])</f>
        <v>3</v>
      </c>
      <c r="F342" s="101">
        <v>46096</v>
      </c>
      <c r="G342" s="81" t="str">
        <f>VLOOKUP("*"&amp;表格1[[#This Row],[Input]]&amp;"*",'Ref-List'!$B:$D,2,)</f>
        <v>RC-15ISTHK(W)</v>
      </c>
      <c r="H342" s="81" t="str">
        <f>_xlfn.XLOOKUP(表格1[[#This Row],[Model]],表格3[Model-Input-Ref2],表格3[Product Line])</f>
        <v>磁應電飯煲(1.5公升)</v>
      </c>
      <c r="I342" s="81" t="str">
        <f>_xlfn.XLOOKUP(表格1[[#This Row],[Model]],表格3[Model-Input-Ref2],表格3[大小電])</f>
        <v>細電</v>
      </c>
      <c r="J342" s="81" t="str">
        <f>_xlfn.XLOOKUP(表格1[[#This Row],[Model]],表格3[Model-Input-Ref2],表格3[Code])</f>
        <v>SDA</v>
      </c>
      <c r="K342" s="82" t="s">
        <v>1204</v>
      </c>
      <c r="L342" s="81">
        <v>1</v>
      </c>
      <c r="M342" s="85">
        <v>500</v>
      </c>
      <c r="N342" s="85">
        <f>IFERROR(表格1[[#This Row],[QTY]]*表格1[[#This Row],[Unit Price]],"-")</f>
        <v>500</v>
      </c>
      <c r="O342" s="134">
        <v>7027864</v>
      </c>
      <c r="P342" s="81"/>
      <c r="Q342" s="81"/>
      <c r="R342" s="81" t="str">
        <f>_xlfn.CONCAT(表格1[[#This Row],[Model]]," ",表格1[[#This Row],[inv no]])</f>
        <v>RC-15ISTHK(W) 7027864</v>
      </c>
      <c r="S342" s="135">
        <f>_xlfn.XLOOKUP(表格1[[#This Row],[Model]],表格3[Model-Input-Ref2],表格3[SRP PRICE])</f>
        <v>1688</v>
      </c>
      <c r="T342" s="43">
        <f>表格1[[#This Row],[Unit Price]]/表格1[[#This Row],[SRP]]</f>
        <v>0.29620853080568721</v>
      </c>
      <c r="U342" s="86" t="str">
        <f>_xlfn.XLOOKUP(表格1[[#This Row],[Model]],表格3[Model-Input-Ref2],表格3[TOSHIBA/HIGHEST])</f>
        <v>Toshiba SRP</v>
      </c>
      <c r="V342" s="86">
        <v>110</v>
      </c>
      <c r="W342" s="86" t="str">
        <f>_xlfn.CONCAT(表格1[[#This Row],[欄4]],表格1[[#This Row],[inv no]])</f>
        <v>1107027864</v>
      </c>
    </row>
    <row r="343" spans="1:23" hidden="1">
      <c r="A343" s="81">
        <v>341</v>
      </c>
      <c r="B343" s="81" t="s">
        <v>1203</v>
      </c>
      <c r="C343" s="81" t="s">
        <v>1255</v>
      </c>
      <c r="D343" s="82" t="str">
        <f ca="1">OFFSET(Roster!$A$3,MATCH(表格1[[#This Row],[Location]]&amp;" "&amp;表格1[[#This Row],[Shop]]&amp;"*",Roster!$A$4:$A$72,0),DAY(表格1[[#This Row],[date]]),1,1)</f>
        <v>Me</v>
      </c>
      <c r="E343" s="81">
        <f>MONTH(表格1[[#This Row],[date]])</f>
        <v>3</v>
      </c>
      <c r="F343" s="101">
        <v>46096</v>
      </c>
      <c r="G343" s="81" t="str">
        <f>VLOOKUP("*"&amp;表格1[[#This Row],[Input]]&amp;"*",'Ref-List'!$B:$D,2,)</f>
        <v>RC-15ISTHK(W)</v>
      </c>
      <c r="H343" s="81" t="str">
        <f>_xlfn.XLOOKUP(表格1[[#This Row],[Model]],表格3[Model-Input-Ref2],表格3[Product Line])</f>
        <v>磁應電飯煲(1.5公升)</v>
      </c>
      <c r="I343" s="81" t="str">
        <f>_xlfn.XLOOKUP(表格1[[#This Row],[Model]],表格3[Model-Input-Ref2],表格3[大小電])</f>
        <v>細電</v>
      </c>
      <c r="J343" s="81" t="str">
        <f>_xlfn.XLOOKUP(表格1[[#This Row],[Model]],表格3[Model-Input-Ref2],表格3[Code])</f>
        <v>SDA</v>
      </c>
      <c r="K343" s="82" t="s">
        <v>1204</v>
      </c>
      <c r="L343" s="81">
        <v>1</v>
      </c>
      <c r="M343" s="85">
        <v>500</v>
      </c>
      <c r="N343" s="85">
        <f>IFERROR(表格1[[#This Row],[QTY]]*表格1[[#This Row],[Unit Price]],"-")</f>
        <v>500</v>
      </c>
      <c r="O343" s="134">
        <v>7018524</v>
      </c>
      <c r="P343" s="81"/>
      <c r="Q343" s="81"/>
      <c r="R343" s="81" t="str">
        <f>_xlfn.CONCAT(表格1[[#This Row],[Model]]," ",表格1[[#This Row],[inv no]])</f>
        <v>RC-15ISTHK(W) 7018524</v>
      </c>
      <c r="S343" s="135">
        <f>_xlfn.XLOOKUP(表格1[[#This Row],[Model]],表格3[Model-Input-Ref2],表格3[SRP PRICE])</f>
        <v>1688</v>
      </c>
      <c r="T343" s="43">
        <f>表格1[[#This Row],[Unit Price]]/表格1[[#This Row],[SRP]]</f>
        <v>0.29620853080568721</v>
      </c>
      <c r="U343" s="86" t="str">
        <f>_xlfn.XLOOKUP(表格1[[#This Row],[Model]],表格3[Model-Input-Ref2],表格3[TOSHIBA/HIGHEST])</f>
        <v>Toshiba SRP</v>
      </c>
      <c r="V343" s="86">
        <v>110</v>
      </c>
      <c r="W343" s="86" t="str">
        <f>_xlfn.CONCAT(表格1[[#This Row],[欄4]],表格1[[#This Row],[inv no]])</f>
        <v>1107018524</v>
      </c>
    </row>
    <row r="344" spans="1:23" hidden="1">
      <c r="A344" s="81">
        <v>342</v>
      </c>
      <c r="B344" s="81" t="s">
        <v>1203</v>
      </c>
      <c r="C344" s="81" t="s">
        <v>1255</v>
      </c>
      <c r="D344" s="82" t="str">
        <f ca="1">OFFSET(Roster!$A$3,MATCH(表格1[[#This Row],[Location]]&amp;" "&amp;表格1[[#This Row],[Shop]]&amp;"*",Roster!$A$4:$A$72,0),DAY(表格1[[#This Row],[date]]),1,1)</f>
        <v>Me</v>
      </c>
      <c r="E344" s="81">
        <f>MONTH(表格1[[#This Row],[date]])</f>
        <v>3</v>
      </c>
      <c r="F344" s="101">
        <v>46096</v>
      </c>
      <c r="G344" s="81" t="str">
        <f>VLOOKUP("*"&amp;表格1[[#This Row],[Input]]&amp;"*",'Ref-List'!$B:$D,2,)</f>
        <v>TW-BL85A2H(WW)</v>
      </c>
      <c r="H344" s="81" t="str">
        <f>_xlfn.XLOOKUP(表格1[[#This Row],[Model]],表格3[Model-Input-Ref2],表格3[Product Line])</f>
        <v>7.5KG超薄身前置式變頻洗衣機</v>
      </c>
      <c r="I344" s="81" t="str">
        <f>_xlfn.XLOOKUP(表格1[[#This Row],[Model]],表格3[Model-Input-Ref2],表格3[大小電])</f>
        <v>大電</v>
      </c>
      <c r="J344" s="81" t="str">
        <f>_xlfn.XLOOKUP(表格1[[#This Row],[Model]],表格3[Model-Input-Ref2],表格3[Code])</f>
        <v>WM</v>
      </c>
      <c r="K344" s="82" t="s">
        <v>1206</v>
      </c>
      <c r="L344" s="81">
        <v>1</v>
      </c>
      <c r="M344" s="85">
        <v>2588</v>
      </c>
      <c r="N344" s="85">
        <f>IFERROR(表格1[[#This Row],[QTY]]*表格1[[#This Row],[Unit Price]],"-")</f>
        <v>2588</v>
      </c>
      <c r="O344" s="134">
        <v>7018538</v>
      </c>
      <c r="P344" s="81"/>
      <c r="Q344" s="81"/>
      <c r="R344" s="81" t="str">
        <f>_xlfn.CONCAT(表格1[[#This Row],[Model]]," ",表格1[[#This Row],[inv no]])</f>
        <v>TW-BL85A2H(WW) 7018538</v>
      </c>
      <c r="S344" s="135">
        <f>_xlfn.XLOOKUP(表格1[[#This Row],[Model]],表格3[Model-Input-Ref2],表格3[SRP PRICE])</f>
        <v>5080</v>
      </c>
      <c r="T344" s="43">
        <f>表格1[[#This Row],[Unit Price]]/表格1[[#This Row],[SRP]]</f>
        <v>0.50944881889763782</v>
      </c>
      <c r="U344" s="86" t="str">
        <f>_xlfn.XLOOKUP(表格1[[#This Row],[Model]],表格3[Model-Input-Ref2],表格3[TOSHIBA/HIGHEST])</f>
        <v>Toshiba SRP</v>
      </c>
      <c r="V344" s="86">
        <v>110</v>
      </c>
      <c r="W344" s="86" t="str">
        <f>_xlfn.CONCAT(表格1[[#This Row],[欄4]],表格1[[#This Row],[inv no]])</f>
        <v>1107018538</v>
      </c>
    </row>
    <row r="345" spans="1:23" hidden="1">
      <c r="A345" s="81">
        <v>343</v>
      </c>
      <c r="B345" s="81" t="s">
        <v>1203</v>
      </c>
      <c r="C345" s="81" t="s">
        <v>1255</v>
      </c>
      <c r="D345" s="82" t="str">
        <f ca="1">OFFSET(Roster!$A$3,MATCH(表格1[[#This Row],[Location]]&amp;" "&amp;表格1[[#This Row],[Shop]]&amp;"*",Roster!$A$4:$A$72,0),DAY(表格1[[#This Row],[date]]),1,1)</f>
        <v>Me</v>
      </c>
      <c r="E345" s="81">
        <f>MONTH(表格1[[#This Row],[date]])</f>
        <v>3</v>
      </c>
      <c r="F345" s="101">
        <v>46096</v>
      </c>
      <c r="G345" s="81" t="str">
        <f>VLOOKUP("*"&amp;表格1[[#This Row],[Input]]&amp;"*",'Ref-List'!$B:$D,2,)</f>
        <v>TW-BL85A2H(WW)</v>
      </c>
      <c r="H345" s="81" t="str">
        <f>_xlfn.XLOOKUP(表格1[[#This Row],[Model]],表格3[Model-Input-Ref2],表格3[Product Line])</f>
        <v>7.5KG超薄身前置式變頻洗衣機</v>
      </c>
      <c r="I345" s="81" t="str">
        <f>_xlfn.XLOOKUP(表格1[[#This Row],[Model]],表格3[Model-Input-Ref2],表格3[大小電])</f>
        <v>大電</v>
      </c>
      <c r="J345" s="81" t="str">
        <f>_xlfn.XLOOKUP(表格1[[#This Row],[Model]],表格3[Model-Input-Ref2],表格3[Code])</f>
        <v>WM</v>
      </c>
      <c r="K345" s="82" t="s">
        <v>1206</v>
      </c>
      <c r="L345" s="81">
        <v>1</v>
      </c>
      <c r="M345" s="85">
        <v>2588</v>
      </c>
      <c r="N345" s="85">
        <f>IFERROR(表格1[[#This Row],[QTY]]*表格1[[#This Row],[Unit Price]],"-")</f>
        <v>2588</v>
      </c>
      <c r="O345" s="134">
        <v>7027896</v>
      </c>
      <c r="P345" s="81"/>
      <c r="Q345" s="81"/>
      <c r="R345" s="81" t="str">
        <f>_xlfn.CONCAT(表格1[[#This Row],[Model]]," ",表格1[[#This Row],[inv no]])</f>
        <v>TW-BL85A2H(WW) 7027896</v>
      </c>
      <c r="S345" s="135">
        <f>_xlfn.XLOOKUP(表格1[[#This Row],[Model]],表格3[Model-Input-Ref2],表格3[SRP PRICE])</f>
        <v>5080</v>
      </c>
      <c r="T345" s="43">
        <f>表格1[[#This Row],[Unit Price]]/表格1[[#This Row],[SRP]]</f>
        <v>0.50944881889763782</v>
      </c>
      <c r="U345" s="86" t="str">
        <f>_xlfn.XLOOKUP(表格1[[#This Row],[Model]],表格3[Model-Input-Ref2],表格3[TOSHIBA/HIGHEST])</f>
        <v>Toshiba SRP</v>
      </c>
      <c r="V345" s="86">
        <v>110</v>
      </c>
      <c r="W345" s="86" t="str">
        <f>_xlfn.CONCAT(表格1[[#This Row],[欄4]],表格1[[#This Row],[inv no]])</f>
        <v>1107027896</v>
      </c>
    </row>
    <row r="346" spans="1:23" ht="16.5" hidden="1">
      <c r="A346" s="81">
        <v>344</v>
      </c>
      <c r="B346" s="81" t="s">
        <v>1203</v>
      </c>
      <c r="C346" s="81" t="s">
        <v>1255</v>
      </c>
      <c r="D346" s="82" t="str">
        <f ca="1">OFFSET(Roster!$A$3,MATCH(表格1[[#This Row],[Location]]&amp;" "&amp;表格1[[#This Row],[Shop]]&amp;"*",Roster!$A$4:$A$72,0),DAY(表格1[[#This Row],[date]]),1,1)</f>
        <v>Me</v>
      </c>
      <c r="E346" s="81">
        <f>MONTH(表格1[[#This Row],[date]])</f>
        <v>3</v>
      </c>
      <c r="F346" s="101">
        <v>46096</v>
      </c>
      <c r="G346" s="81" t="str">
        <f>VLOOKUP("*"&amp;表格1[[#This Row],[Input]]&amp;"*",'Ref-List'!$B:$D,2,)</f>
        <v>RC-15ISTHK(W)</v>
      </c>
      <c r="H346" s="81" t="str">
        <f>_xlfn.XLOOKUP(表格1[[#This Row],[Model]],表格3[Model-Input-Ref2],表格3[Product Line])</f>
        <v>磁應電飯煲(1.5公升)</v>
      </c>
      <c r="I346" s="81" t="str">
        <f>_xlfn.XLOOKUP(表格1[[#This Row],[Model]],表格3[Model-Input-Ref2],表格3[大小電])</f>
        <v>細電</v>
      </c>
      <c r="J346" s="81" t="str">
        <f>_xlfn.XLOOKUP(表格1[[#This Row],[Model]],表格3[Model-Input-Ref2],表格3[Code])</f>
        <v>SDA</v>
      </c>
      <c r="K346" s="82" t="s">
        <v>1204</v>
      </c>
      <c r="L346" s="81">
        <v>1</v>
      </c>
      <c r="M346" s="85">
        <v>500</v>
      </c>
      <c r="N346" s="85">
        <f>IFERROR(表格1[[#This Row],[QTY]]*表格1[[#This Row],[Unit Price]],"-")</f>
        <v>500</v>
      </c>
      <c r="O346" s="134">
        <v>7018571</v>
      </c>
      <c r="P346" s="137"/>
      <c r="Q346" s="81"/>
      <c r="R346" s="81" t="str">
        <f>_xlfn.CONCAT(表格1[[#This Row],[Model]]," ",表格1[[#This Row],[inv no]])</f>
        <v>RC-15ISTHK(W) 7018571</v>
      </c>
      <c r="S346" s="135">
        <f>_xlfn.XLOOKUP(表格1[[#This Row],[Model]],表格3[Model-Input-Ref2],表格3[SRP PRICE])</f>
        <v>1688</v>
      </c>
      <c r="T346" s="43">
        <f>表格1[[#This Row],[Unit Price]]/表格1[[#This Row],[SRP]]</f>
        <v>0.29620853080568721</v>
      </c>
      <c r="U346" s="86" t="str">
        <f>_xlfn.XLOOKUP(表格1[[#This Row],[Model]],表格3[Model-Input-Ref2],表格3[TOSHIBA/HIGHEST])</f>
        <v>Toshiba SRP</v>
      </c>
      <c r="V346" s="86">
        <v>110</v>
      </c>
      <c r="W346" s="86" t="str">
        <f>_xlfn.CONCAT(表格1[[#This Row],[欄4]],表格1[[#This Row],[inv no]])</f>
        <v>1107018571</v>
      </c>
    </row>
    <row r="347" spans="1:23" hidden="1">
      <c r="A347" s="81">
        <v>345</v>
      </c>
      <c r="B347" s="81" t="s">
        <v>1203</v>
      </c>
      <c r="C347" s="81" t="s">
        <v>1255</v>
      </c>
      <c r="D347" s="82" t="str">
        <f ca="1">OFFSET(Roster!$A$3,MATCH(表格1[[#This Row],[Location]]&amp;" "&amp;表格1[[#This Row],[Shop]]&amp;"*",Roster!$A$4:$A$72,0),DAY(表格1[[#This Row],[date]]),1,1)</f>
        <v>Me</v>
      </c>
      <c r="E347" s="81">
        <f>MONTH(表格1[[#This Row],[date]])</f>
        <v>3</v>
      </c>
      <c r="F347" s="101">
        <v>46096</v>
      </c>
      <c r="G347" s="81" t="str">
        <f>VLOOKUP("*"&amp;表格1[[#This Row],[Input]]&amp;"*",'Ref-List'!$B:$D,2,)</f>
        <v>RC-15ISTHK(W)</v>
      </c>
      <c r="H347" s="81" t="str">
        <f>_xlfn.XLOOKUP(表格1[[#This Row],[Model]],表格3[Model-Input-Ref2],表格3[Product Line])</f>
        <v>磁應電飯煲(1.5公升)</v>
      </c>
      <c r="I347" s="81" t="str">
        <f>_xlfn.XLOOKUP(表格1[[#This Row],[Model]],表格3[Model-Input-Ref2],表格3[大小電])</f>
        <v>細電</v>
      </c>
      <c r="J347" s="81" t="str">
        <f>_xlfn.XLOOKUP(表格1[[#This Row],[Model]],表格3[Model-Input-Ref2],表格3[Code])</f>
        <v>SDA</v>
      </c>
      <c r="K347" s="82" t="s">
        <v>1204</v>
      </c>
      <c r="L347" s="81">
        <v>1</v>
      </c>
      <c r="M347" s="85">
        <v>500</v>
      </c>
      <c r="N347" s="85">
        <f>IFERROR(表格1[[#This Row],[QTY]]*表格1[[#This Row],[Unit Price]],"-")</f>
        <v>500</v>
      </c>
      <c r="O347" s="134">
        <v>7066099</v>
      </c>
      <c r="P347" s="81"/>
      <c r="Q347" s="81"/>
      <c r="R347" s="81" t="str">
        <f>_xlfn.CONCAT(表格1[[#This Row],[Model]]," ",表格1[[#This Row],[inv no]])</f>
        <v>RC-15ISTHK(W) 7066099</v>
      </c>
      <c r="S347" s="135">
        <f>_xlfn.XLOOKUP(表格1[[#This Row],[Model]],表格3[Model-Input-Ref2],表格3[SRP PRICE])</f>
        <v>1688</v>
      </c>
      <c r="T347" s="43">
        <f>表格1[[#This Row],[Unit Price]]/表格1[[#This Row],[SRP]]</f>
        <v>0.29620853080568721</v>
      </c>
      <c r="U347" s="86" t="str">
        <f>_xlfn.XLOOKUP(表格1[[#This Row],[Model]],表格3[Model-Input-Ref2],表格3[TOSHIBA/HIGHEST])</f>
        <v>Toshiba SRP</v>
      </c>
      <c r="V347" s="86">
        <v>110</v>
      </c>
      <c r="W347" s="86" t="str">
        <f>_xlfn.CONCAT(表格1[[#This Row],[欄4]],表格1[[#This Row],[inv no]])</f>
        <v>1107066099</v>
      </c>
    </row>
    <row r="348" spans="1:23" hidden="1">
      <c r="A348" s="81">
        <v>346</v>
      </c>
      <c r="B348" s="81" t="s">
        <v>1203</v>
      </c>
      <c r="C348" s="81" t="s">
        <v>1255</v>
      </c>
      <c r="D348" s="82" t="str">
        <f ca="1">OFFSET(Roster!$A$3,MATCH(表格1[[#This Row],[Location]]&amp;" "&amp;表格1[[#This Row],[Shop]]&amp;"*",Roster!$A$4:$A$72,0),DAY(表格1[[#This Row],[date]]),1,1)</f>
        <v>Me</v>
      </c>
      <c r="E348" s="81">
        <f>MONTH(表格1[[#This Row],[date]])</f>
        <v>3</v>
      </c>
      <c r="F348" s="101">
        <v>46096</v>
      </c>
      <c r="G348" s="81" t="str">
        <f>VLOOKUP("*"&amp;表格1[[#This Row],[Input]]&amp;"*",'Ref-List'!$B:$D,2,)</f>
        <v>RC-15ISTHK(W)</v>
      </c>
      <c r="H348" s="81" t="str">
        <f>_xlfn.XLOOKUP(表格1[[#This Row],[Model]],表格3[Model-Input-Ref2],表格3[Product Line])</f>
        <v>磁應電飯煲(1.5公升)</v>
      </c>
      <c r="I348" s="81" t="str">
        <f>_xlfn.XLOOKUP(表格1[[#This Row],[Model]],表格3[Model-Input-Ref2],表格3[大小電])</f>
        <v>細電</v>
      </c>
      <c r="J348" s="81" t="str">
        <f>_xlfn.XLOOKUP(表格1[[#This Row],[Model]],表格3[Model-Input-Ref2],表格3[Code])</f>
        <v>SDA</v>
      </c>
      <c r="K348" s="82" t="s">
        <v>1204</v>
      </c>
      <c r="L348" s="81">
        <v>1</v>
      </c>
      <c r="M348" s="85">
        <v>500</v>
      </c>
      <c r="N348" s="85">
        <f>IFERROR(表格1[[#This Row],[QTY]]*表格1[[#This Row],[Unit Price]],"-")</f>
        <v>500</v>
      </c>
      <c r="O348" s="134">
        <v>7027947</v>
      </c>
      <c r="P348" s="81"/>
      <c r="Q348" s="81"/>
      <c r="R348" s="81" t="str">
        <f>_xlfn.CONCAT(表格1[[#This Row],[Model]]," ",表格1[[#This Row],[inv no]])</f>
        <v>RC-15ISTHK(W) 7027947</v>
      </c>
      <c r="S348" s="135">
        <f>_xlfn.XLOOKUP(表格1[[#This Row],[Model]],表格3[Model-Input-Ref2],表格3[SRP PRICE])</f>
        <v>1688</v>
      </c>
      <c r="T348" s="43">
        <f>表格1[[#This Row],[Unit Price]]/表格1[[#This Row],[SRP]]</f>
        <v>0.29620853080568721</v>
      </c>
      <c r="U348" s="86" t="str">
        <f>_xlfn.XLOOKUP(表格1[[#This Row],[Model]],表格3[Model-Input-Ref2],表格3[TOSHIBA/HIGHEST])</f>
        <v>Toshiba SRP</v>
      </c>
      <c r="V348" s="86">
        <v>110</v>
      </c>
      <c r="W348" s="86" t="str">
        <f>_xlfn.CONCAT(表格1[[#This Row],[欄4]],表格1[[#This Row],[inv no]])</f>
        <v>1107027947</v>
      </c>
    </row>
    <row r="349" spans="1:23" hidden="1">
      <c r="A349" s="81">
        <v>347</v>
      </c>
      <c r="B349" s="81" t="s">
        <v>1203</v>
      </c>
      <c r="C349" s="81" t="s">
        <v>1255</v>
      </c>
      <c r="D349" s="82" t="str">
        <f ca="1">OFFSET(Roster!$A$3,MATCH(表格1[[#This Row],[Location]]&amp;" "&amp;表格1[[#This Row],[Shop]]&amp;"*",Roster!$A$4:$A$72,0),DAY(表格1[[#This Row],[date]]),1,1)</f>
        <v>Me</v>
      </c>
      <c r="E349" s="81">
        <f>MONTH(表格1[[#This Row],[date]])</f>
        <v>3</v>
      </c>
      <c r="F349" s="101">
        <v>46096</v>
      </c>
      <c r="G349" s="81" t="str">
        <f>VLOOKUP("*"&amp;表格1[[#This Row],[Input]]&amp;"*",'Ref-List'!$B:$D,2,)</f>
        <v>CWF-09CRFN8-AD5</v>
      </c>
      <c r="H349" s="81" t="str">
        <f>_xlfn.XLOOKUP(表格1[[#This Row],[Model]],表格3[Model-Input-Ref2],表格3[Product Line])</f>
        <v>Comfee 1匹變頻窗口式冷氣機</v>
      </c>
      <c r="I349" s="81" t="str">
        <f>_xlfn.XLOOKUP(表格1[[#This Row],[Model]],表格3[Model-Input-Ref2],表格3[大小電])</f>
        <v>大電</v>
      </c>
      <c r="J349" s="81" t="str">
        <f>_xlfn.XLOOKUP(表格1[[#This Row],[Model]],表格3[Model-Input-Ref2],表格3[Code])</f>
        <v>RAC</v>
      </c>
      <c r="K349" s="82" t="s">
        <v>1248</v>
      </c>
      <c r="L349" s="81">
        <v>1</v>
      </c>
      <c r="M349" s="85">
        <v>3588</v>
      </c>
      <c r="N349" s="85">
        <f>IFERROR(表格1[[#This Row],[QTY]]*表格1[[#This Row],[Unit Price]],"-")</f>
        <v>3588</v>
      </c>
      <c r="O349" s="134">
        <v>7027899</v>
      </c>
      <c r="P349" s="81" t="s">
        <v>1258</v>
      </c>
      <c r="Q349" s="81"/>
      <c r="R349" s="81" t="str">
        <f>_xlfn.CONCAT(表格1[[#This Row],[Model]]," ",表格1[[#This Row],[inv no]])</f>
        <v>CWF-09CRFN8-AD5 7027899</v>
      </c>
      <c r="S349" s="135">
        <f>_xlfn.XLOOKUP(表格1[[#This Row],[Model]],表格3[Model-Input-Ref2],表格3[SRP PRICE])</f>
        <v>4600</v>
      </c>
      <c r="T349" s="43">
        <f>表格1[[#This Row],[Unit Price]]/表格1[[#This Row],[SRP]]</f>
        <v>0.78</v>
      </c>
      <c r="U349" s="86" t="str">
        <f>_xlfn.XLOOKUP(表格1[[#This Row],[Model]],表格3[Model-Input-Ref2],表格3[TOSHIBA/HIGHEST])</f>
        <v>Shops Highest Price</v>
      </c>
      <c r="V349" s="86">
        <v>110</v>
      </c>
      <c r="W349" s="86" t="str">
        <f>_xlfn.CONCAT(表格1[[#This Row],[欄4]],表格1[[#This Row],[inv no]])</f>
        <v>1107027899</v>
      </c>
    </row>
    <row r="350" spans="1:23" hidden="1">
      <c r="A350" s="81">
        <v>348</v>
      </c>
      <c r="B350" s="81" t="s">
        <v>1203</v>
      </c>
      <c r="C350" s="81" t="s">
        <v>1255</v>
      </c>
      <c r="D350" s="82" t="str">
        <f ca="1">OFFSET(Roster!$A$3,MATCH(表格1[[#This Row],[Location]]&amp;" "&amp;表格1[[#This Row],[Shop]]&amp;"*",Roster!$A$4:$A$72,0),DAY(表格1[[#This Row],[date]]),1,1)</f>
        <v>Me</v>
      </c>
      <c r="E350" s="81">
        <f>MONTH(表格1[[#This Row],[date]])</f>
        <v>3</v>
      </c>
      <c r="F350" s="101">
        <v>46096</v>
      </c>
      <c r="G350" s="81" t="str">
        <f>VLOOKUP("*"&amp;表格1[[#This Row],[Input]]&amp;"*",'Ref-List'!$B:$D,2,)</f>
        <v>ER-TD5000HK(XK)</v>
      </c>
      <c r="H350" s="81" t="str">
        <f>_xlfn.XLOOKUP(表格1[[#This Row],[Model]],表格3[Model-Input-Ref2],表格3[Product Line])</f>
        <v>座檯式純蒸氣烤焗水波爐30L</v>
      </c>
      <c r="I350" s="81" t="str">
        <f>_xlfn.XLOOKUP(表格1[[#This Row],[Model]],表格3[Model-Input-Ref2],表格3[大小電])</f>
        <v>細電</v>
      </c>
      <c r="J350" s="81" t="str">
        <f>_xlfn.XLOOKUP(表格1[[#This Row],[Model]],表格3[Model-Input-Ref2],表格3[Code])</f>
        <v>SDA</v>
      </c>
      <c r="K350" s="82" t="s">
        <v>1205</v>
      </c>
      <c r="L350" s="81">
        <v>1</v>
      </c>
      <c r="M350" s="85">
        <v>3588</v>
      </c>
      <c r="N350" s="85">
        <f>IFERROR(表格1[[#This Row],[QTY]]*表格1[[#This Row],[Unit Price]],"-")</f>
        <v>3588</v>
      </c>
      <c r="O350" s="134">
        <v>7018572</v>
      </c>
      <c r="P350" s="81"/>
      <c r="Q350" s="81"/>
      <c r="R350" s="81" t="str">
        <f>_xlfn.CONCAT(表格1[[#This Row],[Model]]," ",表格1[[#This Row],[inv no]])</f>
        <v>ER-TD5000HK(XK) 7018572</v>
      </c>
      <c r="S350" s="135">
        <f>_xlfn.XLOOKUP(表格1[[#This Row],[Model]],表格3[Model-Input-Ref2],表格3[SRP PRICE])</f>
        <v>7998</v>
      </c>
      <c r="T350" s="43">
        <f>表格1[[#This Row],[Unit Price]]/表格1[[#This Row],[SRP]]</f>
        <v>0.44861215303825958</v>
      </c>
      <c r="U350" s="86" t="str">
        <f>_xlfn.XLOOKUP(表格1[[#This Row],[Model]],表格3[Model-Input-Ref2],表格3[TOSHIBA/HIGHEST])</f>
        <v>Toshiba SRP</v>
      </c>
      <c r="V350" s="86">
        <v>110</v>
      </c>
      <c r="W350" s="86" t="str">
        <f>_xlfn.CONCAT(表格1[[#This Row],[欄4]],表格1[[#This Row],[inv no]])</f>
        <v>1107018572</v>
      </c>
    </row>
    <row r="351" spans="1:23" hidden="1">
      <c r="A351" s="81">
        <v>349</v>
      </c>
      <c r="B351" s="81" t="s">
        <v>1203</v>
      </c>
      <c r="C351" s="81" t="s">
        <v>1255</v>
      </c>
      <c r="D351" s="82" t="str">
        <f ca="1">OFFSET(Roster!$A$3,MATCH(表格1[[#This Row],[Location]]&amp;" "&amp;表格1[[#This Row],[Shop]]&amp;"*",Roster!$A$4:$A$72,0),DAY(表格1[[#This Row],[date]]),1,1)</f>
        <v>Me</v>
      </c>
      <c r="E351" s="81">
        <f>MONTH(表格1[[#This Row],[date]])</f>
        <v>3</v>
      </c>
      <c r="F351" s="101">
        <v>46096</v>
      </c>
      <c r="G351" s="81" t="str">
        <f>VLOOKUP("*"&amp;表格1[[#This Row],[Input]]&amp;"*",'Ref-List'!$B:$D,2,)</f>
        <v>MW2-MM24PC(BK)</v>
      </c>
      <c r="H351" s="81" t="str">
        <f>_xlfn.XLOOKUP(表格1[[#This Row],[Model]],表格3[Model-Input-Ref2],表格3[Product Line])</f>
        <v>旋鈕式微波爐24L</v>
      </c>
      <c r="I351" s="81" t="str">
        <f>_xlfn.XLOOKUP(表格1[[#This Row],[Model]],表格3[Model-Input-Ref2],表格3[大小電])</f>
        <v>細電</v>
      </c>
      <c r="J351" s="81" t="str">
        <f>_xlfn.XLOOKUP(表格1[[#This Row],[Model]],表格3[Model-Input-Ref2],表格3[Code])</f>
        <v>SDA</v>
      </c>
      <c r="K351" s="82" t="s">
        <v>1196</v>
      </c>
      <c r="L351" s="81">
        <v>1</v>
      </c>
      <c r="M351" s="85">
        <v>500</v>
      </c>
      <c r="N351" s="85">
        <f>IFERROR(表格1[[#This Row],[QTY]]*表格1[[#This Row],[Unit Price]],"-")</f>
        <v>500</v>
      </c>
      <c r="O351" s="134">
        <v>7018572</v>
      </c>
      <c r="P351" s="81"/>
      <c r="Q351" s="81"/>
      <c r="R351" s="81" t="str">
        <f>_xlfn.CONCAT(表格1[[#This Row],[Model]]," ",表格1[[#This Row],[inv no]])</f>
        <v>MW2-MM24PC(BK) 7018572</v>
      </c>
      <c r="S351" s="135">
        <f>_xlfn.XLOOKUP(表格1[[#This Row],[Model]],表格3[Model-Input-Ref2],表格3[SRP PRICE])</f>
        <v>848</v>
      </c>
      <c r="T351" s="43">
        <f>表格1[[#This Row],[Unit Price]]/表格1[[#This Row],[SRP]]</f>
        <v>0.589622641509434</v>
      </c>
      <c r="U351" s="86" t="str">
        <f>_xlfn.XLOOKUP(表格1[[#This Row],[Model]],表格3[Model-Input-Ref2],表格3[TOSHIBA/HIGHEST])</f>
        <v>Toshiba SRP</v>
      </c>
      <c r="V351" s="86">
        <v>110</v>
      </c>
      <c r="W351" s="86" t="str">
        <f>_xlfn.CONCAT(表格1[[#This Row],[欄4]],表格1[[#This Row],[inv no]])</f>
        <v>1107018572</v>
      </c>
    </row>
    <row r="352" spans="1:23" ht="16.5" hidden="1">
      <c r="A352" s="81">
        <v>350</v>
      </c>
      <c r="B352" s="81" t="s">
        <v>1203</v>
      </c>
      <c r="C352" s="81" t="s">
        <v>1255</v>
      </c>
      <c r="D352" s="82" t="str">
        <f ca="1">OFFSET(Roster!$A$3,MATCH(表格1[[#This Row],[Location]]&amp;" "&amp;表格1[[#This Row],[Shop]]&amp;"*",Roster!$A$4:$A$72,0),DAY(表格1[[#This Row],[date]]),1,1)</f>
        <v>Me</v>
      </c>
      <c r="E352" s="81">
        <f>MONTH(表格1[[#This Row],[date]])</f>
        <v>3</v>
      </c>
      <c r="F352" s="101">
        <v>46096</v>
      </c>
      <c r="G352" s="81" t="str">
        <f>VLOOKUP("*"&amp;表格1[[#This Row],[Input]]&amp;"*",'Ref-List'!$B:$D,2,)</f>
        <v>RC-15ISTHK(W)</v>
      </c>
      <c r="H352" s="81" t="str">
        <f>_xlfn.XLOOKUP(表格1[[#This Row],[Model]],表格3[Model-Input-Ref2],表格3[Product Line])</f>
        <v>磁應電飯煲(1.5公升)</v>
      </c>
      <c r="I352" s="81" t="str">
        <f>_xlfn.XLOOKUP(表格1[[#This Row],[Model]],表格3[Model-Input-Ref2],表格3[大小電])</f>
        <v>細電</v>
      </c>
      <c r="J352" s="81" t="str">
        <f>_xlfn.XLOOKUP(表格1[[#This Row],[Model]],表格3[Model-Input-Ref2],表格3[Code])</f>
        <v>SDA</v>
      </c>
      <c r="K352" s="82" t="s">
        <v>1204</v>
      </c>
      <c r="L352" s="81">
        <v>1</v>
      </c>
      <c r="M352" s="85">
        <v>500</v>
      </c>
      <c r="N352" s="85">
        <f>IFERROR(表格1[[#This Row],[QTY]]*表格1[[#This Row],[Unit Price]],"-")</f>
        <v>500</v>
      </c>
      <c r="O352" s="134">
        <v>7027884</v>
      </c>
      <c r="P352" s="137"/>
      <c r="Q352" s="81"/>
      <c r="R352" s="81" t="str">
        <f>_xlfn.CONCAT(表格1[[#This Row],[Model]]," ",表格1[[#This Row],[inv no]])</f>
        <v>RC-15ISTHK(W) 7027884</v>
      </c>
      <c r="S352" s="135">
        <f>_xlfn.XLOOKUP(表格1[[#This Row],[Model]],表格3[Model-Input-Ref2],表格3[SRP PRICE])</f>
        <v>1688</v>
      </c>
      <c r="T352" s="43">
        <f>表格1[[#This Row],[Unit Price]]/表格1[[#This Row],[SRP]]</f>
        <v>0.29620853080568721</v>
      </c>
      <c r="U352" s="86" t="str">
        <f>_xlfn.XLOOKUP(表格1[[#This Row],[Model]],表格3[Model-Input-Ref2],表格3[TOSHIBA/HIGHEST])</f>
        <v>Toshiba SRP</v>
      </c>
      <c r="V352" s="86">
        <v>110</v>
      </c>
      <c r="W352" s="86" t="str">
        <f>_xlfn.CONCAT(表格1[[#This Row],[欄4]],表格1[[#This Row],[inv no]])</f>
        <v>1107027884</v>
      </c>
    </row>
    <row r="353" spans="1:23" hidden="1">
      <c r="A353" s="81">
        <v>351</v>
      </c>
      <c r="B353" s="81" t="s">
        <v>1203</v>
      </c>
      <c r="C353" s="81" t="s">
        <v>1255</v>
      </c>
      <c r="D353" s="82" t="str">
        <f ca="1">OFFSET(Roster!$A$3,MATCH(表格1[[#This Row],[Location]]&amp;" "&amp;表格1[[#This Row],[Shop]]&amp;"*",Roster!$A$4:$A$72,0),DAY(表格1[[#This Row],[date]]),1,1)</f>
        <v>Me</v>
      </c>
      <c r="E353" s="81">
        <f>MONTH(表格1[[#This Row],[date]])</f>
        <v>3</v>
      </c>
      <c r="F353" s="101">
        <v>46096</v>
      </c>
      <c r="G353" s="81" t="str">
        <f>VLOOKUP("*"&amp;表格1[[#This Row],[Input]]&amp;"*",'Ref-List'!$B:$D,2,)</f>
        <v>GR-A26HSZ(DS)</v>
      </c>
      <c r="H353" s="81" t="str">
        <f>_xlfn.XLOOKUP(表格1[[#This Row],[Model]],表格3[Model-Input-Ref2],表格3[Product Line])</f>
        <v>雙門變頻式環保雪櫃</v>
      </c>
      <c r="I353" s="81" t="str">
        <f>_xlfn.XLOOKUP(表格1[[#This Row],[Model]],表格3[Model-Input-Ref2],表格3[大小電])</f>
        <v>大電</v>
      </c>
      <c r="J353" s="81" t="str">
        <f>_xlfn.XLOOKUP(表格1[[#This Row],[Model]],表格3[Model-Input-Ref2],表格3[Code])</f>
        <v>AC</v>
      </c>
      <c r="K353" s="82" t="s">
        <v>1207</v>
      </c>
      <c r="L353" s="81">
        <v>1</v>
      </c>
      <c r="M353" s="85">
        <v>1500</v>
      </c>
      <c r="N353" s="85">
        <f>IFERROR(表格1[[#This Row],[QTY]]*表格1[[#This Row],[Unit Price]],"-")</f>
        <v>1500</v>
      </c>
      <c r="O353" s="134">
        <v>7018609</v>
      </c>
      <c r="P353" s="81"/>
      <c r="Q353" s="81"/>
      <c r="R353" s="81" t="str">
        <f>_xlfn.CONCAT(表格1[[#This Row],[Model]]," ",表格1[[#This Row],[inv no]])</f>
        <v>GR-A26HSZ(DS) 7018609</v>
      </c>
      <c r="S353" s="135">
        <f>_xlfn.XLOOKUP(表格1[[#This Row],[Model]],表格3[Model-Input-Ref2],表格3[SRP PRICE])</f>
        <v>3780</v>
      </c>
      <c r="T353" s="43">
        <f>表格1[[#This Row],[Unit Price]]/表格1[[#This Row],[SRP]]</f>
        <v>0.3968253968253968</v>
      </c>
      <c r="U353" s="86" t="str">
        <f>_xlfn.XLOOKUP(表格1[[#This Row],[Model]],表格3[Model-Input-Ref2],表格3[TOSHIBA/HIGHEST])</f>
        <v>Toshiba SRP</v>
      </c>
      <c r="V353" s="86">
        <v>110</v>
      </c>
      <c r="W353" s="86" t="str">
        <f>_xlfn.CONCAT(表格1[[#This Row],[欄4]],表格1[[#This Row],[inv no]])</f>
        <v>1107018609</v>
      </c>
    </row>
    <row r="354" spans="1:23" hidden="1">
      <c r="A354" s="81">
        <v>352</v>
      </c>
      <c r="B354" s="81" t="s">
        <v>1203</v>
      </c>
      <c r="C354" s="81" t="s">
        <v>1255</v>
      </c>
      <c r="D354" s="82" t="str">
        <f ca="1">OFFSET(Roster!$A$3,MATCH(表格1[[#This Row],[Location]]&amp;" "&amp;表格1[[#This Row],[Shop]]&amp;"*",Roster!$A$4:$A$72,0),DAY(表格1[[#This Row],[date]]),1,1)</f>
        <v>Me</v>
      </c>
      <c r="E354" s="81">
        <f>MONTH(表格1[[#This Row],[date]])</f>
        <v>3</v>
      </c>
      <c r="F354" s="101">
        <v>46096</v>
      </c>
      <c r="G354" s="81" t="str">
        <f>VLOOKUP("*"&amp;表格1[[#This Row],[Input]]&amp;"*",'Ref-List'!$B:$D,2,)</f>
        <v>RC-15ISTHK(W)</v>
      </c>
      <c r="H354" s="81" t="str">
        <f>_xlfn.XLOOKUP(表格1[[#This Row],[Model]],表格3[Model-Input-Ref2],表格3[Product Line])</f>
        <v>磁應電飯煲(1.5公升)</v>
      </c>
      <c r="I354" s="81" t="str">
        <f>_xlfn.XLOOKUP(表格1[[#This Row],[Model]],表格3[Model-Input-Ref2],表格3[大小電])</f>
        <v>細電</v>
      </c>
      <c r="J354" s="81" t="str">
        <f>_xlfn.XLOOKUP(表格1[[#This Row],[Model]],表格3[Model-Input-Ref2],表格3[Code])</f>
        <v>SDA</v>
      </c>
      <c r="K354" s="82" t="s">
        <v>1204</v>
      </c>
      <c r="L354" s="81">
        <v>1</v>
      </c>
      <c r="M354" s="85">
        <v>500</v>
      </c>
      <c r="N354" s="85">
        <f>IFERROR(表格1[[#This Row],[QTY]]*表格1[[#This Row],[Unit Price]],"-")</f>
        <v>500</v>
      </c>
      <c r="O354" s="134">
        <v>7027943</v>
      </c>
      <c r="P354" s="81"/>
      <c r="Q354" s="81"/>
      <c r="R354" s="81" t="str">
        <f>_xlfn.CONCAT(表格1[[#This Row],[Model]]," ",表格1[[#This Row],[inv no]])</f>
        <v>RC-15ISTHK(W) 7027943</v>
      </c>
      <c r="S354" s="135">
        <f>_xlfn.XLOOKUP(表格1[[#This Row],[Model]],表格3[Model-Input-Ref2],表格3[SRP PRICE])</f>
        <v>1688</v>
      </c>
      <c r="T354" s="43">
        <f>表格1[[#This Row],[Unit Price]]/表格1[[#This Row],[SRP]]</f>
        <v>0.29620853080568721</v>
      </c>
      <c r="U354" s="86" t="str">
        <f>_xlfn.XLOOKUP(表格1[[#This Row],[Model]],表格3[Model-Input-Ref2],表格3[TOSHIBA/HIGHEST])</f>
        <v>Toshiba SRP</v>
      </c>
      <c r="V354" s="86">
        <v>110</v>
      </c>
      <c r="W354" s="86" t="str">
        <f>_xlfn.CONCAT(表格1[[#This Row],[欄4]],表格1[[#This Row],[inv no]])</f>
        <v>1107027943</v>
      </c>
    </row>
    <row r="355" spans="1:23" hidden="1">
      <c r="A355" s="81">
        <v>353</v>
      </c>
      <c r="B355" s="81" t="s">
        <v>1203</v>
      </c>
      <c r="C355" s="81" t="s">
        <v>1255</v>
      </c>
      <c r="D355" s="82" t="str">
        <f ca="1">OFFSET(Roster!$A$3,MATCH(表格1[[#This Row],[Location]]&amp;" "&amp;表格1[[#This Row],[Shop]]&amp;"*",Roster!$A$4:$A$72,0),DAY(表格1[[#This Row],[date]]),1,1)</f>
        <v>Me</v>
      </c>
      <c r="E355" s="81">
        <f>MONTH(表格1[[#This Row],[date]])</f>
        <v>3</v>
      </c>
      <c r="F355" s="101">
        <v>46096</v>
      </c>
      <c r="G355" s="81" t="str">
        <f>VLOOKUP("*"&amp;表格1[[#This Row],[Input]]&amp;"*",'Ref-List'!$B:$D,2,)</f>
        <v>IC-21TSHK</v>
      </c>
      <c r="H355" s="81" t="str">
        <f>_xlfn.XLOOKUP(表格1[[#This Row],[Model]],表格3[Model-Input-Ref2],表格3[Product Line])</f>
        <v>Induction Cooker</v>
      </c>
      <c r="I355" s="81" t="str">
        <f>_xlfn.XLOOKUP(表格1[[#This Row],[Model]],表格3[Model-Input-Ref2],表格3[大小電])</f>
        <v>細電</v>
      </c>
      <c r="J355" s="81" t="str">
        <f>_xlfn.XLOOKUP(表格1[[#This Row],[Model]],表格3[Model-Input-Ref2],表格3[Code])</f>
        <v>SDA</v>
      </c>
      <c r="K355" s="82" t="s">
        <v>1242</v>
      </c>
      <c r="L355" s="81">
        <v>1</v>
      </c>
      <c r="M355" s="85">
        <v>500</v>
      </c>
      <c r="N355" s="85">
        <f>IFERROR(表格1[[#This Row],[QTY]]*表格1[[#This Row],[Unit Price]],"-")</f>
        <v>500</v>
      </c>
      <c r="O355" s="134">
        <v>7027928</v>
      </c>
      <c r="P355" s="81"/>
      <c r="Q355" s="81"/>
      <c r="R355" s="81" t="str">
        <f>_xlfn.CONCAT(表格1[[#This Row],[Model]]," ",表格1[[#This Row],[inv no]])</f>
        <v>IC-21TSHK 7027928</v>
      </c>
      <c r="S355" s="135">
        <f>_xlfn.XLOOKUP(表格1[[#This Row],[Model]],表格3[Model-Input-Ref2],表格3[SRP PRICE])</f>
        <v>998</v>
      </c>
      <c r="T355" s="43">
        <f>表格1[[#This Row],[Unit Price]]/表格1[[#This Row],[SRP]]</f>
        <v>0.50100200400801598</v>
      </c>
      <c r="U355" s="86" t="str">
        <f>_xlfn.XLOOKUP(表格1[[#This Row],[Model]],表格3[Model-Input-Ref2],表格3[TOSHIBA/HIGHEST])</f>
        <v>web SRP</v>
      </c>
      <c r="V355" s="86">
        <v>110</v>
      </c>
      <c r="W355" s="86" t="str">
        <f>_xlfn.CONCAT(表格1[[#This Row],[欄4]],表格1[[#This Row],[inv no]])</f>
        <v>1107027928</v>
      </c>
    </row>
    <row r="356" spans="1:23" hidden="1">
      <c r="A356" s="81">
        <v>354</v>
      </c>
      <c r="B356" s="81" t="s">
        <v>1203</v>
      </c>
      <c r="C356" s="81" t="s">
        <v>1255</v>
      </c>
      <c r="D356" s="82" t="str">
        <f ca="1">OFFSET(Roster!$A$3,MATCH(表格1[[#This Row],[Location]]&amp;" "&amp;表格1[[#This Row],[Shop]]&amp;"*",Roster!$A$4:$A$72,0),DAY(表格1[[#This Row],[date]]),1,1)</f>
        <v>Me</v>
      </c>
      <c r="E356" s="81">
        <f>MONTH(表格1[[#This Row],[date]])</f>
        <v>3</v>
      </c>
      <c r="F356" s="101">
        <v>46096</v>
      </c>
      <c r="G356" s="81" t="str">
        <f>VLOOKUP("*"&amp;表格1[[#This Row],[Input]]&amp;"*",'Ref-List'!$B:$D,2,)</f>
        <v>ER-TD5000HK(XK)</v>
      </c>
      <c r="H356" s="81" t="str">
        <f>_xlfn.XLOOKUP(表格1[[#This Row],[Model]],表格3[Model-Input-Ref2],表格3[Product Line])</f>
        <v>座檯式純蒸氣烤焗水波爐30L</v>
      </c>
      <c r="I356" s="81" t="str">
        <f>_xlfn.XLOOKUP(表格1[[#This Row],[Model]],表格3[Model-Input-Ref2],表格3[大小電])</f>
        <v>細電</v>
      </c>
      <c r="J356" s="81" t="str">
        <f>_xlfn.XLOOKUP(表格1[[#This Row],[Model]],表格3[Model-Input-Ref2],表格3[Code])</f>
        <v>SDA</v>
      </c>
      <c r="K356" s="82" t="s">
        <v>1205</v>
      </c>
      <c r="L356" s="81">
        <v>1</v>
      </c>
      <c r="M356" s="85">
        <v>3588</v>
      </c>
      <c r="N356" s="85">
        <f>IFERROR(表格1[[#This Row],[QTY]]*表格1[[#This Row],[Unit Price]],"-")</f>
        <v>3588</v>
      </c>
      <c r="O356" s="134">
        <v>7018819</v>
      </c>
      <c r="P356" s="81"/>
      <c r="Q356" s="81"/>
      <c r="R356" s="81" t="str">
        <f>_xlfn.CONCAT(表格1[[#This Row],[Model]]," ",表格1[[#This Row],[inv no]])</f>
        <v>ER-TD5000HK(XK) 7018819</v>
      </c>
      <c r="S356" s="135">
        <f>_xlfn.XLOOKUP(表格1[[#This Row],[Model]],表格3[Model-Input-Ref2],表格3[SRP PRICE])</f>
        <v>7998</v>
      </c>
      <c r="T356" s="43">
        <f>表格1[[#This Row],[Unit Price]]/表格1[[#This Row],[SRP]]</f>
        <v>0.44861215303825958</v>
      </c>
      <c r="U356" s="86" t="str">
        <f>_xlfn.XLOOKUP(表格1[[#This Row],[Model]],表格3[Model-Input-Ref2],表格3[TOSHIBA/HIGHEST])</f>
        <v>Toshiba SRP</v>
      </c>
      <c r="V356" s="86">
        <v>110</v>
      </c>
      <c r="W356" s="86" t="str">
        <f>_xlfn.CONCAT(表格1[[#This Row],[欄4]],表格1[[#This Row],[inv no]])</f>
        <v>1107018819</v>
      </c>
    </row>
    <row r="357" spans="1:23" hidden="1">
      <c r="A357" s="81">
        <v>355</v>
      </c>
      <c r="B357" s="81" t="s">
        <v>1203</v>
      </c>
      <c r="C357" s="81" t="s">
        <v>1255</v>
      </c>
      <c r="D357" s="82" t="str">
        <f ca="1">OFFSET(Roster!$A$3,MATCH(表格1[[#This Row],[Location]]&amp;" "&amp;表格1[[#This Row],[Shop]]&amp;"*",Roster!$A$4:$A$72,0),DAY(表格1[[#This Row],[date]]),1,1)</f>
        <v>Me</v>
      </c>
      <c r="E357" s="81">
        <f>MONTH(表格1[[#This Row],[date]])</f>
        <v>3</v>
      </c>
      <c r="F357" s="101">
        <v>46096</v>
      </c>
      <c r="G357" s="81" t="str">
        <f>VLOOKUP("*"&amp;表格1[[#This Row],[Input]]&amp;"*",'Ref-List'!$B:$D,2,)</f>
        <v>TWD-BN90GF4H(WK)</v>
      </c>
      <c r="H357" s="81" t="str">
        <f>_xlfn.XLOOKUP(表格1[[#This Row],[Model]],表格3[Model-Input-Ref2],表格3[Product Line])</f>
        <v>超薄身前置式洗衣乾衣機 (洗8公斤 乾5公斤)</v>
      </c>
      <c r="I357" s="81" t="str">
        <f>_xlfn.XLOOKUP(表格1[[#This Row],[Model]],表格3[Model-Input-Ref2],表格3[大小電])</f>
        <v>大電</v>
      </c>
      <c r="J357" s="81" t="str">
        <f>_xlfn.XLOOKUP(表格1[[#This Row],[Model]],表格3[Model-Input-Ref2],表格3[Code])</f>
        <v>WM</v>
      </c>
      <c r="K357" s="82" t="s">
        <v>1199</v>
      </c>
      <c r="L357" s="81">
        <v>1</v>
      </c>
      <c r="M357" s="85">
        <v>3588</v>
      </c>
      <c r="N357" s="85">
        <f>IFERROR(表格1[[#This Row],[QTY]]*表格1[[#This Row],[Unit Price]],"-")</f>
        <v>3588</v>
      </c>
      <c r="O357" s="134">
        <v>7018736</v>
      </c>
      <c r="P357" s="81"/>
      <c r="Q357" s="81"/>
      <c r="R357" s="81" t="str">
        <f>_xlfn.CONCAT(表格1[[#This Row],[Model]]," ",表格1[[#This Row],[inv no]])</f>
        <v>TWD-BN90GF4H(WK) 7018736</v>
      </c>
      <c r="S357" s="135">
        <f>_xlfn.XLOOKUP(表格1[[#This Row],[Model]],表格3[Model-Input-Ref2],表格3[SRP PRICE])</f>
        <v>5980</v>
      </c>
      <c r="T357" s="43">
        <f>表格1[[#This Row],[Unit Price]]/表格1[[#This Row],[SRP]]</f>
        <v>0.6</v>
      </c>
      <c r="U357" s="86" t="str">
        <f>_xlfn.XLOOKUP(表格1[[#This Row],[Model]],表格3[Model-Input-Ref2],表格3[TOSHIBA/HIGHEST])</f>
        <v>Toshiba SRP</v>
      </c>
      <c r="V357" s="86">
        <v>110</v>
      </c>
      <c r="W357" s="86" t="str">
        <f>_xlfn.CONCAT(表格1[[#This Row],[欄4]],表格1[[#This Row],[inv no]])</f>
        <v>1107018736</v>
      </c>
    </row>
    <row r="358" spans="1:23" hidden="1">
      <c r="A358" s="81">
        <v>356</v>
      </c>
      <c r="B358" s="81" t="s">
        <v>1203</v>
      </c>
      <c r="C358" s="81" t="s">
        <v>1255</v>
      </c>
      <c r="D358" s="82" t="str">
        <f ca="1">OFFSET(Roster!$A$3,MATCH(表格1[[#This Row],[Location]]&amp;" "&amp;表格1[[#This Row],[Shop]]&amp;"*",Roster!$A$4:$A$72,0),DAY(表格1[[#This Row],[date]]),1,1)</f>
        <v>Me</v>
      </c>
      <c r="E358" s="81">
        <f>MONTH(表格1[[#This Row],[date]])</f>
        <v>3</v>
      </c>
      <c r="F358" s="101">
        <v>46096</v>
      </c>
      <c r="G358" s="81" t="str">
        <f>VLOOKUP("*"&amp;表格1[[#This Row],[Input]]&amp;"*",'Ref-List'!$B:$D,2,)</f>
        <v>GR-A26HSZ(DS)</v>
      </c>
      <c r="H358" s="81" t="str">
        <f>_xlfn.XLOOKUP(表格1[[#This Row],[Model]],表格3[Model-Input-Ref2],表格3[Product Line])</f>
        <v>雙門變頻式環保雪櫃</v>
      </c>
      <c r="I358" s="81" t="str">
        <f>_xlfn.XLOOKUP(表格1[[#This Row],[Model]],表格3[Model-Input-Ref2],表格3[大小電])</f>
        <v>大電</v>
      </c>
      <c r="J358" s="81" t="str">
        <f>_xlfn.XLOOKUP(表格1[[#This Row],[Model]],表格3[Model-Input-Ref2],表格3[Code])</f>
        <v>AC</v>
      </c>
      <c r="K358" s="82" t="s">
        <v>1207</v>
      </c>
      <c r="L358" s="81">
        <v>1</v>
      </c>
      <c r="M358" s="85">
        <v>1500</v>
      </c>
      <c r="N358" s="85">
        <f>IFERROR(表格1[[#This Row],[QTY]]*表格1[[#This Row],[Unit Price]],"-")</f>
        <v>1500</v>
      </c>
      <c r="O358" s="134">
        <v>7027961</v>
      </c>
      <c r="P358" s="81"/>
      <c r="Q358" s="81"/>
      <c r="R358" s="81" t="str">
        <f>_xlfn.CONCAT(表格1[[#This Row],[Model]]," ",表格1[[#This Row],[inv no]])</f>
        <v>GR-A26HSZ(DS) 7027961</v>
      </c>
      <c r="S358" s="135">
        <f>_xlfn.XLOOKUP(表格1[[#This Row],[Model]],表格3[Model-Input-Ref2],表格3[SRP PRICE])</f>
        <v>3780</v>
      </c>
      <c r="T358" s="43">
        <f>表格1[[#This Row],[Unit Price]]/表格1[[#This Row],[SRP]]</f>
        <v>0.3968253968253968</v>
      </c>
      <c r="U358" s="86" t="str">
        <f>_xlfn.XLOOKUP(表格1[[#This Row],[Model]],表格3[Model-Input-Ref2],表格3[TOSHIBA/HIGHEST])</f>
        <v>Toshiba SRP</v>
      </c>
      <c r="V358" s="86">
        <v>110</v>
      </c>
      <c r="W358" s="86" t="str">
        <f>_xlfn.CONCAT(表格1[[#This Row],[欄4]],表格1[[#This Row],[inv no]])</f>
        <v>1107027961</v>
      </c>
    </row>
    <row r="359" spans="1:23" hidden="1">
      <c r="A359" s="81">
        <v>357</v>
      </c>
      <c r="B359" s="81" t="s">
        <v>1203</v>
      </c>
      <c r="C359" s="81" t="s">
        <v>1255</v>
      </c>
      <c r="D359" s="82" t="str">
        <f ca="1">OFFSET(Roster!$A$3,MATCH(表格1[[#This Row],[Location]]&amp;" "&amp;表格1[[#This Row],[Shop]]&amp;"*",Roster!$A$4:$A$72,0),DAY(表格1[[#This Row],[date]]),1,1)</f>
        <v>Me</v>
      </c>
      <c r="E359" s="81">
        <f>MONTH(表格1[[#This Row],[date]])</f>
        <v>3</v>
      </c>
      <c r="F359" s="101">
        <v>46096</v>
      </c>
      <c r="G359" s="81" t="str">
        <f>VLOOKUP("*"&amp;表格1[[#This Row],[Input]]&amp;"*",'Ref-List'!$B:$D,2,)</f>
        <v>RC-15ISTHK(W)</v>
      </c>
      <c r="H359" s="81" t="str">
        <f>_xlfn.XLOOKUP(表格1[[#This Row],[Model]],表格3[Model-Input-Ref2],表格3[Product Line])</f>
        <v>磁應電飯煲(1.5公升)</v>
      </c>
      <c r="I359" s="81" t="str">
        <f>_xlfn.XLOOKUP(表格1[[#This Row],[Model]],表格3[Model-Input-Ref2],表格3[大小電])</f>
        <v>細電</v>
      </c>
      <c r="J359" s="81" t="str">
        <f>_xlfn.XLOOKUP(表格1[[#This Row],[Model]],表格3[Model-Input-Ref2],表格3[Code])</f>
        <v>SDA</v>
      </c>
      <c r="K359" s="82" t="s">
        <v>1204</v>
      </c>
      <c r="L359" s="81">
        <v>1</v>
      </c>
      <c r="M359" s="85">
        <v>500</v>
      </c>
      <c r="N359" s="85">
        <f>IFERROR(表格1[[#This Row],[QTY]]*表格1[[#This Row],[Unit Price]],"-")</f>
        <v>500</v>
      </c>
      <c r="O359" s="134">
        <v>7027967</v>
      </c>
      <c r="P359" s="81"/>
      <c r="Q359" s="81"/>
      <c r="R359" s="81" t="str">
        <f>_xlfn.CONCAT(表格1[[#This Row],[Model]]," ",表格1[[#This Row],[inv no]])</f>
        <v>RC-15ISTHK(W) 7027967</v>
      </c>
      <c r="S359" s="135">
        <f>_xlfn.XLOOKUP(表格1[[#This Row],[Model]],表格3[Model-Input-Ref2],表格3[SRP PRICE])</f>
        <v>1688</v>
      </c>
      <c r="T359" s="43">
        <f>表格1[[#This Row],[Unit Price]]/表格1[[#This Row],[SRP]]</f>
        <v>0.29620853080568721</v>
      </c>
      <c r="U359" s="86" t="str">
        <f>_xlfn.XLOOKUP(表格1[[#This Row],[Model]],表格3[Model-Input-Ref2],表格3[TOSHIBA/HIGHEST])</f>
        <v>Toshiba SRP</v>
      </c>
      <c r="V359" s="86">
        <v>110</v>
      </c>
      <c r="W359" s="86" t="str">
        <f>_xlfn.CONCAT(表格1[[#This Row],[欄4]],表格1[[#This Row],[inv no]])</f>
        <v>1107027967</v>
      </c>
    </row>
    <row r="360" spans="1:23" hidden="1">
      <c r="A360" s="81">
        <v>358</v>
      </c>
      <c r="B360" s="81" t="s">
        <v>1203</v>
      </c>
      <c r="C360" s="81" t="s">
        <v>1255</v>
      </c>
      <c r="D360" s="82" t="str">
        <f ca="1">OFFSET(Roster!$A$3,MATCH(表格1[[#This Row],[Location]]&amp;" "&amp;表格1[[#This Row],[Shop]]&amp;"*",Roster!$A$4:$A$72,0),DAY(表格1[[#This Row],[date]]),1,1)</f>
        <v>Me</v>
      </c>
      <c r="E360" s="81">
        <f>MONTH(表格1[[#This Row],[date]])</f>
        <v>3</v>
      </c>
      <c r="F360" s="101">
        <v>46096</v>
      </c>
      <c r="G360" s="81" t="str">
        <f>VLOOKUP("*"&amp;表格1[[#This Row],[Input]]&amp;"*",'Ref-List'!$B:$D,2,)</f>
        <v>TW-BL85A2H(WW)</v>
      </c>
      <c r="H360" s="81" t="str">
        <f>_xlfn.XLOOKUP(表格1[[#This Row],[Model]],表格3[Model-Input-Ref2],表格3[Product Line])</f>
        <v>7.5KG超薄身前置式變頻洗衣機</v>
      </c>
      <c r="I360" s="81" t="str">
        <f>_xlfn.XLOOKUP(表格1[[#This Row],[Model]],表格3[Model-Input-Ref2],表格3[大小電])</f>
        <v>大電</v>
      </c>
      <c r="J360" s="81" t="str">
        <f>_xlfn.XLOOKUP(表格1[[#This Row],[Model]],表格3[Model-Input-Ref2],表格3[Code])</f>
        <v>WM</v>
      </c>
      <c r="K360" s="82" t="s">
        <v>1206</v>
      </c>
      <c r="L360" s="81">
        <v>1</v>
      </c>
      <c r="M360" s="85">
        <v>2588</v>
      </c>
      <c r="N360" s="85">
        <f>IFERROR(表格1[[#This Row],[QTY]]*表格1[[#This Row],[Unit Price]],"-")</f>
        <v>2588</v>
      </c>
      <c r="O360" s="134">
        <v>7027959</v>
      </c>
      <c r="P360" s="81"/>
      <c r="Q360" s="81"/>
      <c r="R360" s="81" t="str">
        <f>_xlfn.CONCAT(表格1[[#This Row],[Model]]," ",表格1[[#This Row],[inv no]])</f>
        <v>TW-BL85A2H(WW) 7027959</v>
      </c>
      <c r="S360" s="135">
        <f>_xlfn.XLOOKUP(表格1[[#This Row],[Model]],表格3[Model-Input-Ref2],表格3[SRP PRICE])</f>
        <v>5080</v>
      </c>
      <c r="T360" s="43">
        <f>表格1[[#This Row],[Unit Price]]/表格1[[#This Row],[SRP]]</f>
        <v>0.50944881889763782</v>
      </c>
      <c r="U360" s="86" t="str">
        <f>_xlfn.XLOOKUP(表格1[[#This Row],[Model]],表格3[Model-Input-Ref2],表格3[TOSHIBA/HIGHEST])</f>
        <v>Toshiba SRP</v>
      </c>
      <c r="V360" s="86">
        <v>110</v>
      </c>
      <c r="W360" s="86" t="str">
        <f>_xlfn.CONCAT(表格1[[#This Row],[欄4]],表格1[[#This Row],[inv no]])</f>
        <v>1107027959</v>
      </c>
    </row>
    <row r="361" spans="1:23" hidden="1">
      <c r="A361" s="81">
        <v>359</v>
      </c>
      <c r="B361" s="81" t="s">
        <v>1203</v>
      </c>
      <c r="C361" s="81" t="s">
        <v>1255</v>
      </c>
      <c r="D361" s="82" t="str">
        <f ca="1">OFFSET(Roster!$A$3,MATCH(表格1[[#This Row],[Location]]&amp;" "&amp;表格1[[#This Row],[Shop]]&amp;"*",Roster!$A$4:$A$72,0),DAY(表格1[[#This Row],[date]]),1,1)</f>
        <v>Me</v>
      </c>
      <c r="E361" s="81">
        <f>MONTH(表格1[[#This Row],[date]])</f>
        <v>3</v>
      </c>
      <c r="F361" s="101">
        <v>46096</v>
      </c>
      <c r="G361" s="81" t="str">
        <f>VLOOKUP("*"&amp;表格1[[#This Row],[Input]]&amp;"*",'Ref-List'!$B:$D,2,)</f>
        <v>TWD-BN90GF4H(WK)</v>
      </c>
      <c r="H361" s="81" t="str">
        <f>_xlfn.XLOOKUP(表格1[[#This Row],[Model]],表格3[Model-Input-Ref2],表格3[Product Line])</f>
        <v>超薄身前置式洗衣乾衣機 (洗8公斤 乾5公斤)</v>
      </c>
      <c r="I361" s="81" t="str">
        <f>_xlfn.XLOOKUP(表格1[[#This Row],[Model]],表格3[Model-Input-Ref2],表格3[大小電])</f>
        <v>大電</v>
      </c>
      <c r="J361" s="81" t="str">
        <f>_xlfn.XLOOKUP(表格1[[#This Row],[Model]],表格3[Model-Input-Ref2],表格3[Code])</f>
        <v>WM</v>
      </c>
      <c r="K361" s="82" t="s">
        <v>1199</v>
      </c>
      <c r="L361" s="81">
        <v>1</v>
      </c>
      <c r="M361" s="85">
        <v>3588</v>
      </c>
      <c r="N361" s="85">
        <f>IFERROR(表格1[[#This Row],[QTY]]*表格1[[#This Row],[Unit Price]],"-")</f>
        <v>3588</v>
      </c>
      <c r="O361" s="134">
        <v>7028075</v>
      </c>
      <c r="P361" s="81"/>
      <c r="Q361" s="81"/>
      <c r="R361" s="81" t="str">
        <f>_xlfn.CONCAT(表格1[[#This Row],[Model]]," ",表格1[[#This Row],[inv no]])</f>
        <v>TWD-BN90GF4H(WK) 7028075</v>
      </c>
      <c r="S361" s="135">
        <f>_xlfn.XLOOKUP(表格1[[#This Row],[Model]],表格3[Model-Input-Ref2],表格3[SRP PRICE])</f>
        <v>5980</v>
      </c>
      <c r="T361" s="43">
        <f>表格1[[#This Row],[Unit Price]]/表格1[[#This Row],[SRP]]</f>
        <v>0.6</v>
      </c>
      <c r="U361" s="86" t="str">
        <f>_xlfn.XLOOKUP(表格1[[#This Row],[Model]],表格3[Model-Input-Ref2],表格3[TOSHIBA/HIGHEST])</f>
        <v>Toshiba SRP</v>
      </c>
      <c r="V361" s="86">
        <v>110</v>
      </c>
      <c r="W361" s="86" t="str">
        <f>_xlfn.CONCAT(表格1[[#This Row],[欄4]],表格1[[#This Row],[inv no]])</f>
        <v>1107028075</v>
      </c>
    </row>
    <row r="362" spans="1:23" hidden="1">
      <c r="A362" s="81">
        <v>360</v>
      </c>
      <c r="B362" s="81" t="s">
        <v>1203</v>
      </c>
      <c r="C362" s="81" t="s">
        <v>1255</v>
      </c>
      <c r="D362" s="82" t="str">
        <f ca="1">OFFSET(Roster!$A$3,MATCH(表格1[[#This Row],[Location]]&amp;" "&amp;表格1[[#This Row],[Shop]]&amp;"*",Roster!$A$4:$A$72,0),DAY(表格1[[#This Row],[date]]),1,1)</f>
        <v>Me</v>
      </c>
      <c r="E362" s="81">
        <f>MONTH(表格1[[#This Row],[date]])</f>
        <v>3</v>
      </c>
      <c r="F362" s="101">
        <v>46096</v>
      </c>
      <c r="G362" s="81" t="str">
        <f>VLOOKUP("*"&amp;表格1[[#This Row],[Input]]&amp;"*",'Ref-List'!$B:$D,2,)</f>
        <v>TWD-BN90GF4H(WK)</v>
      </c>
      <c r="H362" s="81" t="str">
        <f>_xlfn.XLOOKUP(表格1[[#This Row],[Model]],表格3[Model-Input-Ref2],表格3[Product Line])</f>
        <v>超薄身前置式洗衣乾衣機 (洗8公斤 乾5公斤)</v>
      </c>
      <c r="I362" s="81" t="str">
        <f>_xlfn.XLOOKUP(表格1[[#This Row],[Model]],表格3[Model-Input-Ref2],表格3[大小電])</f>
        <v>大電</v>
      </c>
      <c r="J362" s="81" t="str">
        <f>_xlfn.XLOOKUP(表格1[[#This Row],[Model]],表格3[Model-Input-Ref2],表格3[Code])</f>
        <v>WM</v>
      </c>
      <c r="K362" s="82" t="s">
        <v>1199</v>
      </c>
      <c r="L362" s="81">
        <v>1</v>
      </c>
      <c r="M362" s="85">
        <v>3588</v>
      </c>
      <c r="N362" s="85">
        <f>IFERROR(表格1[[#This Row],[QTY]]*表格1[[#This Row],[Unit Price]],"-")</f>
        <v>3588</v>
      </c>
      <c r="O362" s="134">
        <v>7028021</v>
      </c>
      <c r="P362" s="81"/>
      <c r="Q362" s="81"/>
      <c r="R362" s="81" t="str">
        <f>_xlfn.CONCAT(表格1[[#This Row],[Model]]," ",表格1[[#This Row],[inv no]])</f>
        <v>TWD-BN90GF4H(WK) 7028021</v>
      </c>
      <c r="S362" s="135">
        <f>_xlfn.XLOOKUP(表格1[[#This Row],[Model]],表格3[Model-Input-Ref2],表格3[SRP PRICE])</f>
        <v>5980</v>
      </c>
      <c r="T362" s="43">
        <f>表格1[[#This Row],[Unit Price]]/表格1[[#This Row],[SRP]]</f>
        <v>0.6</v>
      </c>
      <c r="U362" s="86" t="str">
        <f>_xlfn.XLOOKUP(表格1[[#This Row],[Model]],表格3[Model-Input-Ref2],表格3[TOSHIBA/HIGHEST])</f>
        <v>Toshiba SRP</v>
      </c>
      <c r="V362" s="86">
        <v>110</v>
      </c>
      <c r="W362" s="86" t="str">
        <f>_xlfn.CONCAT(表格1[[#This Row],[欄4]],表格1[[#This Row],[inv no]])</f>
        <v>1107028021</v>
      </c>
    </row>
    <row r="363" spans="1:23" hidden="1">
      <c r="A363" s="81">
        <v>361</v>
      </c>
      <c r="B363" s="81" t="s">
        <v>1203</v>
      </c>
      <c r="C363" s="81" t="s">
        <v>1255</v>
      </c>
      <c r="D363" s="82" t="str">
        <f ca="1">OFFSET(Roster!$A$3,MATCH(表格1[[#This Row],[Location]]&amp;" "&amp;表格1[[#This Row],[Shop]]&amp;"*",Roster!$A$4:$A$72,0),DAY(表格1[[#This Row],[date]]),1,1)</f>
        <v>Me</v>
      </c>
      <c r="E363" s="81">
        <f>MONTH(表格1[[#This Row],[date]])</f>
        <v>3</v>
      </c>
      <c r="F363" s="101">
        <v>46096</v>
      </c>
      <c r="G363" s="81" t="str">
        <f>VLOOKUP("*"&amp;表格1[[#This Row],[Input]]&amp;"*",'Ref-List'!$B:$D,2,)</f>
        <v>IC-21TSHK</v>
      </c>
      <c r="H363" s="81" t="str">
        <f>_xlfn.XLOOKUP(表格1[[#This Row],[Model]],表格3[Model-Input-Ref2],表格3[Product Line])</f>
        <v>Induction Cooker</v>
      </c>
      <c r="I363" s="81" t="str">
        <f>_xlfn.XLOOKUP(表格1[[#This Row],[Model]],表格3[Model-Input-Ref2],表格3[大小電])</f>
        <v>細電</v>
      </c>
      <c r="J363" s="81" t="str">
        <f>_xlfn.XLOOKUP(表格1[[#This Row],[Model]],表格3[Model-Input-Ref2],表格3[Code])</f>
        <v>SDA</v>
      </c>
      <c r="K363" s="82" t="s">
        <v>1242</v>
      </c>
      <c r="L363" s="81">
        <v>1</v>
      </c>
      <c r="M363" s="85">
        <v>500</v>
      </c>
      <c r="N363" s="85">
        <f>IFERROR(表格1[[#This Row],[QTY]]*表格1[[#This Row],[Unit Price]],"-")</f>
        <v>500</v>
      </c>
      <c r="O363" s="134">
        <v>7018735</v>
      </c>
      <c r="P363" s="81"/>
      <c r="Q363" s="81"/>
      <c r="R363" s="81" t="str">
        <f>_xlfn.CONCAT(表格1[[#This Row],[Model]]," ",表格1[[#This Row],[inv no]])</f>
        <v>IC-21TSHK 7018735</v>
      </c>
      <c r="S363" s="135">
        <f>_xlfn.XLOOKUP(表格1[[#This Row],[Model]],表格3[Model-Input-Ref2],表格3[SRP PRICE])</f>
        <v>998</v>
      </c>
      <c r="T363" s="43">
        <f>表格1[[#This Row],[Unit Price]]/表格1[[#This Row],[SRP]]</f>
        <v>0.50100200400801598</v>
      </c>
      <c r="U363" s="86" t="str">
        <f>_xlfn.XLOOKUP(表格1[[#This Row],[Model]],表格3[Model-Input-Ref2],表格3[TOSHIBA/HIGHEST])</f>
        <v>web SRP</v>
      </c>
      <c r="V363" s="86">
        <v>110</v>
      </c>
      <c r="W363" s="86" t="str">
        <f>_xlfn.CONCAT(表格1[[#This Row],[欄4]],表格1[[#This Row],[inv no]])</f>
        <v>1107018735</v>
      </c>
    </row>
    <row r="364" spans="1:23" hidden="1">
      <c r="A364" s="81">
        <v>362</v>
      </c>
      <c r="B364" s="81" t="s">
        <v>1203</v>
      </c>
      <c r="C364" s="81" t="s">
        <v>1255</v>
      </c>
      <c r="D364" s="82" t="str">
        <f ca="1">OFFSET(Roster!$A$3,MATCH(表格1[[#This Row],[Location]]&amp;" "&amp;表格1[[#This Row],[Shop]]&amp;"*",Roster!$A$4:$A$72,0),DAY(表格1[[#This Row],[date]]),1,1)</f>
        <v>Me</v>
      </c>
      <c r="E364" s="81">
        <f>MONTH(表格1[[#This Row],[date]])</f>
        <v>3</v>
      </c>
      <c r="F364" s="101">
        <v>46096</v>
      </c>
      <c r="G364" s="81" t="str">
        <f>VLOOKUP("*"&amp;表格1[[#This Row],[Input]]&amp;"*",'Ref-List'!$B:$D,2,)</f>
        <v>GR-RT416WE-PMA(06)</v>
      </c>
      <c r="H364" s="81" t="str">
        <f>_xlfn.XLOOKUP(表格1[[#This Row],[Model]],表格3[Model-Input-Ref2],表格3[Product Line])</f>
        <v xml:space="preserve">變頻上置式雙門雪櫃313L </v>
      </c>
      <c r="I364" s="81" t="str">
        <f>_xlfn.XLOOKUP(表格1[[#This Row],[Model]],表格3[Model-Input-Ref2],表格3[大小電])</f>
        <v>大電</v>
      </c>
      <c r="J364" s="81" t="str">
        <f>_xlfn.XLOOKUP(表格1[[#This Row],[Model]],表格3[Model-Input-Ref2],表格3[Code])</f>
        <v>REF</v>
      </c>
      <c r="K364" s="82" t="s">
        <v>1208</v>
      </c>
      <c r="L364" s="81">
        <v>1</v>
      </c>
      <c r="M364" s="85">
        <v>2888</v>
      </c>
      <c r="N364" s="85">
        <f>IFERROR(表格1[[#This Row],[QTY]]*表格1[[#This Row],[Unit Price]],"-")</f>
        <v>2888</v>
      </c>
      <c r="O364" s="134">
        <v>7028084</v>
      </c>
      <c r="P364" s="81"/>
      <c r="Q364" s="81"/>
      <c r="R364" s="81" t="str">
        <f>_xlfn.CONCAT(表格1[[#This Row],[Model]]," ",表格1[[#This Row],[inv no]])</f>
        <v>GR-RT416WE-PMA(06) 7028084</v>
      </c>
      <c r="S364" s="135">
        <f>_xlfn.XLOOKUP(表格1[[#This Row],[Model]],表格3[Model-Input-Ref2],表格3[SRP PRICE])</f>
        <v>5380</v>
      </c>
      <c r="T364" s="43">
        <f>表格1[[#This Row],[Unit Price]]/表格1[[#This Row],[SRP]]</f>
        <v>0.53680297397769516</v>
      </c>
      <c r="U364" s="86" t="str">
        <f>_xlfn.XLOOKUP(表格1[[#This Row],[Model]],表格3[Model-Input-Ref2],表格3[TOSHIBA/HIGHEST])</f>
        <v>Toshiba SRP</v>
      </c>
      <c r="V364" s="86">
        <v>110</v>
      </c>
      <c r="W364" s="86" t="str">
        <f>_xlfn.CONCAT(表格1[[#This Row],[欄4]],表格1[[#This Row],[inv no]])</f>
        <v>1107028084</v>
      </c>
    </row>
    <row r="365" spans="1:23" hidden="1">
      <c r="A365" s="81">
        <v>363</v>
      </c>
      <c r="B365" s="81" t="s">
        <v>1203</v>
      </c>
      <c r="C365" s="81" t="s">
        <v>1255</v>
      </c>
      <c r="D365" s="82" t="str">
        <f ca="1">OFFSET(Roster!$A$3,MATCH(表格1[[#This Row],[Location]]&amp;" "&amp;表格1[[#This Row],[Shop]]&amp;"*",Roster!$A$4:$A$72,0),DAY(表格1[[#This Row],[date]]),1,1)</f>
        <v>Me</v>
      </c>
      <c r="E365" s="81">
        <f>MONTH(表格1[[#This Row],[date]])</f>
        <v>3</v>
      </c>
      <c r="F365" s="101">
        <v>46096</v>
      </c>
      <c r="G365" s="81" t="str">
        <f>VLOOKUP("*"&amp;表格1[[#This Row],[Input]]&amp;"*",'Ref-List'!$B:$D,2,)</f>
        <v>PLK-45SFIH(WT)</v>
      </c>
      <c r="H365" s="81" t="str">
        <f>_xlfn.XLOOKUP(表格1[[#This Row],[Model]],表格3[Model-Input-Ref2],表格3[Product Line])</f>
        <v>電熱水瓶4.5L</v>
      </c>
      <c r="I365" s="81" t="str">
        <f>_xlfn.XLOOKUP(表格1[[#This Row],[Model]],表格3[Model-Input-Ref2],表格3[大小電])</f>
        <v>細電</v>
      </c>
      <c r="J365" s="81" t="str">
        <f>_xlfn.XLOOKUP(表格1[[#This Row],[Model]],表格3[Model-Input-Ref2],表格3[Code])</f>
        <v>SDA</v>
      </c>
      <c r="K365" s="82" t="s">
        <v>1117</v>
      </c>
      <c r="L365" s="81">
        <v>1</v>
      </c>
      <c r="M365" s="85">
        <v>500</v>
      </c>
      <c r="N365" s="85">
        <f>IFERROR(表格1[[#This Row],[QTY]]*表格1[[#This Row],[Unit Price]],"-")</f>
        <v>500</v>
      </c>
      <c r="O365" s="134">
        <v>7028080</v>
      </c>
      <c r="P365" s="81"/>
      <c r="Q365" s="81"/>
      <c r="R365" s="81" t="str">
        <f>_xlfn.CONCAT(表格1[[#This Row],[Model]]," ",表格1[[#This Row],[inv no]])</f>
        <v>PLK-45SFIH(WT) 7028080</v>
      </c>
      <c r="S365" s="135">
        <f>_xlfn.XLOOKUP(表格1[[#This Row],[Model]],表格3[Model-Input-Ref2],表格3[SRP PRICE])</f>
        <v>788</v>
      </c>
      <c r="T365" s="43">
        <f>表格1[[#This Row],[Unit Price]]/表格1[[#This Row],[SRP]]</f>
        <v>0.63451776649746194</v>
      </c>
      <c r="U365" s="86" t="str">
        <f>_xlfn.XLOOKUP(表格1[[#This Row],[Model]],表格3[Model-Input-Ref2],表格3[TOSHIBA/HIGHEST])</f>
        <v>Toshiba SRP</v>
      </c>
      <c r="V365" s="86">
        <v>110</v>
      </c>
      <c r="W365" s="86" t="str">
        <f>_xlfn.CONCAT(表格1[[#This Row],[欄4]],表格1[[#This Row],[inv no]])</f>
        <v>1107028080</v>
      </c>
    </row>
    <row r="366" spans="1:23" hidden="1">
      <c r="A366" s="81">
        <v>364</v>
      </c>
      <c r="B366" s="81" t="s">
        <v>1203</v>
      </c>
      <c r="C366" s="81" t="s">
        <v>1255</v>
      </c>
      <c r="D366" s="82" t="str">
        <f ca="1">OFFSET(Roster!$A$3,MATCH(表格1[[#This Row],[Location]]&amp;" "&amp;表格1[[#This Row],[Shop]]&amp;"*",Roster!$A$4:$A$72,0),DAY(表格1[[#This Row],[date]]),1,1)</f>
        <v>Me</v>
      </c>
      <c r="E366" s="81">
        <f>MONTH(表格1[[#This Row],[date]])</f>
        <v>3</v>
      </c>
      <c r="F366" s="101">
        <v>46096</v>
      </c>
      <c r="G366" s="81" t="str">
        <f>VLOOKUP("*"&amp;表格1[[#This Row],[Input]]&amp;"*",'Ref-List'!$B:$D,2,)</f>
        <v>GR-A26HSZ(DS)</v>
      </c>
      <c r="H366" s="81" t="str">
        <f>_xlfn.XLOOKUP(表格1[[#This Row],[Model]],表格3[Model-Input-Ref2],表格3[Product Line])</f>
        <v>雙門變頻式環保雪櫃</v>
      </c>
      <c r="I366" s="81" t="str">
        <f>_xlfn.XLOOKUP(表格1[[#This Row],[Model]],表格3[Model-Input-Ref2],表格3[大小電])</f>
        <v>大電</v>
      </c>
      <c r="J366" s="81" t="str">
        <f>_xlfn.XLOOKUP(表格1[[#This Row],[Model]],表格3[Model-Input-Ref2],表格3[Code])</f>
        <v>AC</v>
      </c>
      <c r="K366" s="82" t="s">
        <v>1207</v>
      </c>
      <c r="L366" s="81">
        <v>1</v>
      </c>
      <c r="M366" s="85">
        <v>1500</v>
      </c>
      <c r="N366" s="85">
        <f>IFERROR(表格1[[#This Row],[QTY]]*表格1[[#This Row],[Unit Price]],"-")</f>
        <v>1500</v>
      </c>
      <c r="O366" s="134">
        <v>7028076</v>
      </c>
      <c r="P366" s="81"/>
      <c r="Q366" s="81"/>
      <c r="R366" s="81" t="str">
        <f>_xlfn.CONCAT(表格1[[#This Row],[Model]]," ",表格1[[#This Row],[inv no]])</f>
        <v>GR-A26HSZ(DS) 7028076</v>
      </c>
      <c r="S366" s="135">
        <f>_xlfn.XLOOKUP(表格1[[#This Row],[Model]],表格3[Model-Input-Ref2],表格3[SRP PRICE])</f>
        <v>3780</v>
      </c>
      <c r="T366" s="43">
        <f>表格1[[#This Row],[Unit Price]]/表格1[[#This Row],[SRP]]</f>
        <v>0.3968253968253968</v>
      </c>
      <c r="U366" s="86" t="str">
        <f>_xlfn.XLOOKUP(表格1[[#This Row],[Model]],表格3[Model-Input-Ref2],表格3[TOSHIBA/HIGHEST])</f>
        <v>Toshiba SRP</v>
      </c>
      <c r="V366" s="86">
        <v>110</v>
      </c>
      <c r="W366" s="86" t="str">
        <f>_xlfn.CONCAT(表格1[[#This Row],[欄4]],表格1[[#This Row],[inv no]])</f>
        <v>1107028076</v>
      </c>
    </row>
    <row r="367" spans="1:23" hidden="1">
      <c r="A367" s="81">
        <v>365</v>
      </c>
      <c r="B367" s="81" t="s">
        <v>1203</v>
      </c>
      <c r="C367" s="81" t="s">
        <v>1255</v>
      </c>
      <c r="D367" s="82" t="str">
        <f ca="1">OFFSET(Roster!$A$3,MATCH(表格1[[#This Row],[Location]]&amp;" "&amp;表格1[[#This Row],[Shop]]&amp;"*",Roster!$A$4:$A$72,0),DAY(表格1[[#This Row],[date]]),1,1)</f>
        <v>Me</v>
      </c>
      <c r="E367" s="81">
        <f>MONTH(表格1[[#This Row],[date]])</f>
        <v>3</v>
      </c>
      <c r="F367" s="101">
        <v>46096</v>
      </c>
      <c r="G367" s="81" t="str">
        <f>VLOOKUP("*"&amp;表格1[[#This Row],[Input]]&amp;"*",'Ref-List'!$B:$D,2,)</f>
        <v>RC-15ISTHK(W)</v>
      </c>
      <c r="H367" s="81" t="str">
        <f>_xlfn.XLOOKUP(表格1[[#This Row],[Model]],表格3[Model-Input-Ref2],表格3[Product Line])</f>
        <v>磁應電飯煲(1.5公升)</v>
      </c>
      <c r="I367" s="81" t="str">
        <f>_xlfn.XLOOKUP(表格1[[#This Row],[Model]],表格3[Model-Input-Ref2],表格3[大小電])</f>
        <v>細電</v>
      </c>
      <c r="J367" s="81" t="str">
        <f>_xlfn.XLOOKUP(表格1[[#This Row],[Model]],表格3[Model-Input-Ref2],表格3[Code])</f>
        <v>SDA</v>
      </c>
      <c r="K367" s="82" t="s">
        <v>1204</v>
      </c>
      <c r="L367" s="81">
        <v>1</v>
      </c>
      <c r="M367" s="85">
        <v>500</v>
      </c>
      <c r="N367" s="85">
        <f>IFERROR(表格1[[#This Row],[QTY]]*表格1[[#This Row],[Unit Price]],"-")</f>
        <v>500</v>
      </c>
      <c r="O367" s="134">
        <v>7028076</v>
      </c>
      <c r="P367" s="81"/>
      <c r="Q367" s="81"/>
      <c r="R367" s="81" t="str">
        <f>_xlfn.CONCAT(表格1[[#This Row],[Model]]," ",表格1[[#This Row],[inv no]])</f>
        <v>RC-15ISTHK(W) 7028076</v>
      </c>
      <c r="S367" s="135">
        <f>_xlfn.XLOOKUP(表格1[[#This Row],[Model]],表格3[Model-Input-Ref2],表格3[SRP PRICE])</f>
        <v>1688</v>
      </c>
      <c r="T367" s="43">
        <f>表格1[[#This Row],[Unit Price]]/表格1[[#This Row],[SRP]]</f>
        <v>0.29620853080568721</v>
      </c>
      <c r="U367" s="86" t="str">
        <f>_xlfn.XLOOKUP(表格1[[#This Row],[Model]],表格3[Model-Input-Ref2],表格3[TOSHIBA/HIGHEST])</f>
        <v>Toshiba SRP</v>
      </c>
      <c r="V367" s="86">
        <v>110</v>
      </c>
      <c r="W367" s="86" t="str">
        <f>_xlfn.CONCAT(表格1[[#This Row],[欄4]],表格1[[#This Row],[inv no]])</f>
        <v>1107028076</v>
      </c>
    </row>
    <row r="368" spans="1:23" hidden="1">
      <c r="A368" s="81">
        <v>366</v>
      </c>
      <c r="B368" s="81" t="s">
        <v>1203</v>
      </c>
      <c r="C368" s="81" t="s">
        <v>1255</v>
      </c>
      <c r="D368" s="82" t="str">
        <f ca="1">OFFSET(Roster!$A$3,MATCH(表格1[[#This Row],[Location]]&amp;" "&amp;表格1[[#This Row],[Shop]]&amp;"*",Roster!$A$4:$A$72,0),DAY(表格1[[#This Row],[date]]),1,1)</f>
        <v>Me</v>
      </c>
      <c r="E368" s="81">
        <f>MONTH(表格1[[#This Row],[date]])</f>
        <v>3</v>
      </c>
      <c r="F368" s="101">
        <v>46096</v>
      </c>
      <c r="G368" s="81" t="str">
        <f>VLOOKUP("*"&amp;表格1[[#This Row],[Input]]&amp;"*",'Ref-List'!$B:$D,2,)</f>
        <v>CWF-09CRFN8-AD5</v>
      </c>
      <c r="H368" s="81" t="str">
        <f>_xlfn.XLOOKUP(表格1[[#This Row],[Model]],表格3[Model-Input-Ref2],表格3[Product Line])</f>
        <v>Comfee 1匹變頻窗口式冷氣機</v>
      </c>
      <c r="I368" s="81" t="str">
        <f>_xlfn.XLOOKUP(表格1[[#This Row],[Model]],表格3[Model-Input-Ref2],表格3[大小電])</f>
        <v>大電</v>
      </c>
      <c r="J368" s="81" t="str">
        <f>_xlfn.XLOOKUP(表格1[[#This Row],[Model]],表格3[Model-Input-Ref2],表格3[Code])</f>
        <v>RAC</v>
      </c>
      <c r="K368" s="82" t="s">
        <v>1248</v>
      </c>
      <c r="L368" s="81">
        <v>1</v>
      </c>
      <c r="M368" s="85">
        <v>3588</v>
      </c>
      <c r="N368" s="85">
        <f>IFERROR(表格1[[#This Row],[QTY]]*表格1[[#This Row],[Unit Price]],"-")</f>
        <v>3588</v>
      </c>
      <c r="O368" s="134">
        <v>7028059</v>
      </c>
      <c r="P368" s="81" t="s">
        <v>1258</v>
      </c>
      <c r="Q368" s="81"/>
      <c r="R368" s="81" t="str">
        <f>_xlfn.CONCAT(表格1[[#This Row],[Model]]," ",表格1[[#This Row],[inv no]])</f>
        <v>CWF-09CRFN8-AD5 7028059</v>
      </c>
      <c r="S368" s="135">
        <f>_xlfn.XLOOKUP(表格1[[#This Row],[Model]],表格3[Model-Input-Ref2],表格3[SRP PRICE])</f>
        <v>4600</v>
      </c>
      <c r="T368" s="43">
        <f>表格1[[#This Row],[Unit Price]]/表格1[[#This Row],[SRP]]</f>
        <v>0.78</v>
      </c>
      <c r="U368" s="86" t="str">
        <f>_xlfn.XLOOKUP(表格1[[#This Row],[Model]],表格3[Model-Input-Ref2],表格3[TOSHIBA/HIGHEST])</f>
        <v>Shops Highest Price</v>
      </c>
      <c r="V368" s="86">
        <v>110</v>
      </c>
      <c r="W368" s="86" t="str">
        <f>_xlfn.CONCAT(表格1[[#This Row],[欄4]],表格1[[#This Row],[inv no]])</f>
        <v>1107028059</v>
      </c>
    </row>
    <row r="369" spans="1:23" hidden="1">
      <c r="A369" s="81">
        <v>367</v>
      </c>
      <c r="B369" s="81" t="s">
        <v>1203</v>
      </c>
      <c r="C369" s="81" t="s">
        <v>1255</v>
      </c>
      <c r="D369" s="82" t="str">
        <f ca="1">OFFSET(Roster!$A$3,MATCH(表格1[[#This Row],[Location]]&amp;" "&amp;表格1[[#This Row],[Shop]]&amp;"*",Roster!$A$4:$A$72,0),DAY(表格1[[#This Row],[date]]),1,1)</f>
        <v>Me</v>
      </c>
      <c r="E369" s="81">
        <f>MONTH(表格1[[#This Row],[date]])</f>
        <v>3</v>
      </c>
      <c r="F369" s="101">
        <v>46096</v>
      </c>
      <c r="G369" s="81" t="str">
        <f>VLOOKUP("*"&amp;表格1[[#This Row],[Input]]&amp;"*",'Ref-List'!$B:$D,2,)</f>
        <v>DWS-34AHK</v>
      </c>
      <c r="H369" s="81" t="str">
        <f>_xlfn.XLOOKUP(表格1[[#This Row],[Model]],表格3[Model-Input-Ref2],表格3[Product Line])</f>
        <v>獨立式免安裝洗碗碟機</v>
      </c>
      <c r="I369" s="81" t="str">
        <f>_xlfn.XLOOKUP(表格1[[#This Row],[Model]],表格3[Model-Input-Ref2],表格3[大小電])</f>
        <v>細電</v>
      </c>
      <c r="J369" s="81" t="str">
        <f>_xlfn.XLOOKUP(表格1[[#This Row],[Model]],表格3[Model-Input-Ref2],表格3[Code])</f>
        <v>DM</v>
      </c>
      <c r="K369" s="82" t="s">
        <v>1240</v>
      </c>
      <c r="L369" s="81">
        <v>1</v>
      </c>
      <c r="M369" s="85">
        <v>1500</v>
      </c>
      <c r="N369" s="85">
        <f>IFERROR(表格1[[#This Row],[QTY]]*表格1[[#This Row],[Unit Price]],"-")</f>
        <v>1500</v>
      </c>
      <c r="O369" s="134">
        <v>7018805</v>
      </c>
      <c r="P369" s="81"/>
      <c r="Q369" s="81"/>
      <c r="R369" s="81" t="str">
        <f>_xlfn.CONCAT(表格1[[#This Row],[Model]]," ",表格1[[#This Row],[inv no]])</f>
        <v>DWS-34AHK 7018805</v>
      </c>
      <c r="S369" s="135">
        <f>_xlfn.XLOOKUP(表格1[[#This Row],[Model]],表格3[Model-Input-Ref2],表格3[SRP PRICE])</f>
        <v>3999</v>
      </c>
      <c r="T369" s="43">
        <f>表格1[[#This Row],[Unit Price]]/表格1[[#This Row],[SRP]]</f>
        <v>0.37509377344336087</v>
      </c>
      <c r="U369" s="86" t="str">
        <f>_xlfn.XLOOKUP(表格1[[#This Row],[Model]],表格3[Model-Input-Ref2],表格3[TOSHIBA/HIGHEST])</f>
        <v>Web SRP</v>
      </c>
      <c r="V369" s="86">
        <v>110</v>
      </c>
      <c r="W369" s="86" t="str">
        <f>_xlfn.CONCAT(表格1[[#This Row],[欄4]],表格1[[#This Row],[inv no]])</f>
        <v>1107018805</v>
      </c>
    </row>
    <row r="370" spans="1:23" ht="16.5" hidden="1">
      <c r="A370" s="81">
        <v>368</v>
      </c>
      <c r="B370" s="81" t="s">
        <v>1203</v>
      </c>
      <c r="C370" s="81" t="s">
        <v>1255</v>
      </c>
      <c r="D370" s="82" t="str">
        <f ca="1">OFFSET(Roster!$A$3,MATCH(表格1[[#This Row],[Location]]&amp;" "&amp;表格1[[#This Row],[Shop]]&amp;"*",Roster!$A$4:$A$72,0),DAY(表格1[[#This Row],[date]]),1,1)</f>
        <v>Me</v>
      </c>
      <c r="E370" s="81">
        <f>MONTH(表格1[[#This Row],[date]])</f>
        <v>3</v>
      </c>
      <c r="F370" s="101">
        <v>46096</v>
      </c>
      <c r="G370" s="81" t="str">
        <f>VLOOKUP("*"&amp;表格1[[#This Row],[Input]]&amp;"*",'Ref-List'!$B:$D,2,)</f>
        <v>IC-21TSHK</v>
      </c>
      <c r="H370" s="81" t="str">
        <f>_xlfn.XLOOKUP(表格1[[#This Row],[Model]],表格3[Model-Input-Ref2],表格3[Product Line])</f>
        <v>Induction Cooker</v>
      </c>
      <c r="I370" s="81" t="str">
        <f>_xlfn.XLOOKUP(表格1[[#This Row],[Model]],表格3[Model-Input-Ref2],表格3[大小電])</f>
        <v>細電</v>
      </c>
      <c r="J370" s="81" t="str">
        <f>_xlfn.XLOOKUP(表格1[[#This Row],[Model]],表格3[Model-Input-Ref2],表格3[Code])</f>
        <v>SDA</v>
      </c>
      <c r="K370" s="82" t="s">
        <v>1242</v>
      </c>
      <c r="L370" s="81">
        <v>1</v>
      </c>
      <c r="M370" s="85">
        <v>500</v>
      </c>
      <c r="N370" s="85">
        <f>IFERROR(表格1[[#This Row],[QTY]]*表格1[[#This Row],[Unit Price]],"-")</f>
        <v>500</v>
      </c>
      <c r="O370" s="134">
        <v>7028054</v>
      </c>
      <c r="P370" s="137"/>
      <c r="Q370" s="81"/>
      <c r="R370" s="81" t="str">
        <f>_xlfn.CONCAT(表格1[[#This Row],[Model]]," ",表格1[[#This Row],[inv no]])</f>
        <v>IC-21TSHK 7028054</v>
      </c>
      <c r="S370" s="135">
        <f>_xlfn.XLOOKUP(表格1[[#This Row],[Model]],表格3[Model-Input-Ref2],表格3[SRP PRICE])</f>
        <v>998</v>
      </c>
      <c r="T370" s="43">
        <f>表格1[[#This Row],[Unit Price]]/表格1[[#This Row],[SRP]]</f>
        <v>0.50100200400801598</v>
      </c>
      <c r="U370" s="86" t="str">
        <f>_xlfn.XLOOKUP(表格1[[#This Row],[Model]],表格3[Model-Input-Ref2],表格3[TOSHIBA/HIGHEST])</f>
        <v>web SRP</v>
      </c>
      <c r="V370" s="86">
        <v>110</v>
      </c>
      <c r="W370" s="86" t="str">
        <f>_xlfn.CONCAT(表格1[[#This Row],[欄4]],表格1[[#This Row],[inv no]])</f>
        <v>1107028054</v>
      </c>
    </row>
    <row r="371" spans="1:23" hidden="1">
      <c r="A371" s="81">
        <v>369</v>
      </c>
      <c r="B371" s="81" t="s">
        <v>1203</v>
      </c>
      <c r="C371" s="81" t="s">
        <v>1255</v>
      </c>
      <c r="D371" s="82" t="str">
        <f ca="1">OFFSET(Roster!$A$3,MATCH(表格1[[#This Row],[Location]]&amp;" "&amp;表格1[[#This Row],[Shop]]&amp;"*",Roster!$A$4:$A$72,0),DAY(表格1[[#This Row],[date]]),1,1)</f>
        <v>Me</v>
      </c>
      <c r="E371" s="81">
        <f>MONTH(表格1[[#This Row],[date]])</f>
        <v>3</v>
      </c>
      <c r="F371" s="101">
        <v>46096</v>
      </c>
      <c r="G371" s="81" t="str">
        <f>VLOOKUP("*"&amp;表格1[[#This Row],[Input]]&amp;"*",'Ref-List'!$B:$D,2,)</f>
        <v>DWS-34AHK</v>
      </c>
      <c r="H371" s="81" t="str">
        <f>_xlfn.XLOOKUP(表格1[[#This Row],[Model]],表格3[Model-Input-Ref2],表格3[Product Line])</f>
        <v>獨立式免安裝洗碗碟機</v>
      </c>
      <c r="I371" s="81" t="str">
        <f>_xlfn.XLOOKUP(表格1[[#This Row],[Model]],表格3[Model-Input-Ref2],表格3[大小電])</f>
        <v>細電</v>
      </c>
      <c r="J371" s="81" t="str">
        <f>_xlfn.XLOOKUP(表格1[[#This Row],[Model]],表格3[Model-Input-Ref2],表格3[Code])</f>
        <v>DM</v>
      </c>
      <c r="K371" s="82" t="s">
        <v>1240</v>
      </c>
      <c r="L371" s="81">
        <v>1</v>
      </c>
      <c r="M371" s="85">
        <v>1500</v>
      </c>
      <c r="N371" s="85">
        <f>IFERROR(表格1[[#This Row],[QTY]]*表格1[[#This Row],[Unit Price]],"-")</f>
        <v>1500</v>
      </c>
      <c r="O371" s="134">
        <v>7028046</v>
      </c>
      <c r="P371" s="81"/>
      <c r="Q371" s="81"/>
      <c r="R371" s="81" t="str">
        <f>_xlfn.CONCAT(表格1[[#This Row],[Model]]," ",表格1[[#This Row],[inv no]])</f>
        <v>DWS-34AHK 7028046</v>
      </c>
      <c r="S371" s="135">
        <f>_xlfn.XLOOKUP(表格1[[#This Row],[Model]],表格3[Model-Input-Ref2],表格3[SRP PRICE])</f>
        <v>3999</v>
      </c>
      <c r="T371" s="43">
        <f>表格1[[#This Row],[Unit Price]]/表格1[[#This Row],[SRP]]</f>
        <v>0.37509377344336087</v>
      </c>
      <c r="U371" s="86" t="str">
        <f>_xlfn.XLOOKUP(表格1[[#This Row],[Model]],表格3[Model-Input-Ref2],表格3[TOSHIBA/HIGHEST])</f>
        <v>Web SRP</v>
      </c>
      <c r="V371" s="86">
        <v>110</v>
      </c>
      <c r="W371" s="86" t="str">
        <f>_xlfn.CONCAT(表格1[[#This Row],[欄4]],表格1[[#This Row],[inv no]])</f>
        <v>1107028046</v>
      </c>
    </row>
    <row r="372" spans="1:23" hidden="1">
      <c r="A372" s="81">
        <v>370</v>
      </c>
      <c r="B372" s="81" t="s">
        <v>1203</v>
      </c>
      <c r="C372" s="81" t="s">
        <v>1255</v>
      </c>
      <c r="D372" s="82" t="str">
        <f ca="1">OFFSET(Roster!$A$3,MATCH(表格1[[#This Row],[Location]]&amp;" "&amp;表格1[[#This Row],[Shop]]&amp;"*",Roster!$A$4:$A$72,0),DAY(表格1[[#This Row],[date]]),1,1)</f>
        <v>Me</v>
      </c>
      <c r="E372" s="81">
        <f>MONTH(表格1[[#This Row],[date]])</f>
        <v>3</v>
      </c>
      <c r="F372" s="101">
        <v>46096</v>
      </c>
      <c r="G372" s="81" t="str">
        <f>VLOOKUP("*"&amp;表格1[[#This Row],[Input]]&amp;"*",'Ref-List'!$B:$D,2,)</f>
        <v>IC-21TSHK</v>
      </c>
      <c r="H372" s="81" t="str">
        <f>_xlfn.XLOOKUP(表格1[[#This Row],[Model]],表格3[Model-Input-Ref2],表格3[Product Line])</f>
        <v>Induction Cooker</v>
      </c>
      <c r="I372" s="81" t="str">
        <f>_xlfn.XLOOKUP(表格1[[#This Row],[Model]],表格3[Model-Input-Ref2],表格3[大小電])</f>
        <v>細電</v>
      </c>
      <c r="J372" s="81" t="str">
        <f>_xlfn.XLOOKUP(表格1[[#This Row],[Model]],表格3[Model-Input-Ref2],表格3[Code])</f>
        <v>SDA</v>
      </c>
      <c r="K372" s="82" t="s">
        <v>1242</v>
      </c>
      <c r="L372" s="81">
        <v>1</v>
      </c>
      <c r="M372" s="85">
        <v>500</v>
      </c>
      <c r="N372" s="85">
        <f>IFERROR(表格1[[#This Row],[QTY]]*表格1[[#This Row],[Unit Price]],"-")</f>
        <v>500</v>
      </c>
      <c r="O372" s="134">
        <v>7018685</v>
      </c>
      <c r="P372" s="81"/>
      <c r="Q372" s="81"/>
      <c r="R372" s="81" t="str">
        <f>_xlfn.CONCAT(表格1[[#This Row],[Model]]," ",表格1[[#This Row],[inv no]])</f>
        <v>IC-21TSHK 7018685</v>
      </c>
      <c r="S372" s="135">
        <f>_xlfn.XLOOKUP(表格1[[#This Row],[Model]],表格3[Model-Input-Ref2],表格3[SRP PRICE])</f>
        <v>998</v>
      </c>
      <c r="T372" s="43">
        <f>表格1[[#This Row],[Unit Price]]/表格1[[#This Row],[SRP]]</f>
        <v>0.50100200400801598</v>
      </c>
      <c r="U372" s="86" t="str">
        <f>_xlfn.XLOOKUP(表格1[[#This Row],[Model]],表格3[Model-Input-Ref2],表格3[TOSHIBA/HIGHEST])</f>
        <v>web SRP</v>
      </c>
      <c r="V372" s="86">
        <v>110</v>
      </c>
      <c r="W372" s="86" t="str">
        <f>_xlfn.CONCAT(表格1[[#This Row],[欄4]],表格1[[#This Row],[inv no]])</f>
        <v>1107018685</v>
      </c>
    </row>
    <row r="373" spans="1:23" hidden="1">
      <c r="A373" s="81">
        <v>371</v>
      </c>
      <c r="B373" s="81" t="s">
        <v>1203</v>
      </c>
      <c r="C373" s="81" t="s">
        <v>1255</v>
      </c>
      <c r="D373" s="82" t="str">
        <f ca="1">OFFSET(Roster!$A$3,MATCH(表格1[[#This Row],[Location]]&amp;" "&amp;表格1[[#This Row],[Shop]]&amp;"*",Roster!$A$4:$A$72,0),DAY(表格1[[#This Row],[date]]),1,1)</f>
        <v>Me</v>
      </c>
      <c r="E373" s="81">
        <f>MONTH(表格1[[#This Row],[date]])</f>
        <v>3</v>
      </c>
      <c r="F373" s="101">
        <v>46096</v>
      </c>
      <c r="G373" s="81" t="str">
        <f>VLOOKUP("*"&amp;表格1[[#This Row],[Input]]&amp;"*",'Ref-List'!$B:$D,2,)</f>
        <v>TWD-BN90GF4H(WK)</v>
      </c>
      <c r="H373" s="81" t="str">
        <f>_xlfn.XLOOKUP(表格1[[#This Row],[Model]],表格3[Model-Input-Ref2],表格3[Product Line])</f>
        <v>超薄身前置式洗衣乾衣機 (洗8公斤 乾5公斤)</v>
      </c>
      <c r="I373" s="81" t="str">
        <f>_xlfn.XLOOKUP(表格1[[#This Row],[Model]],表格3[Model-Input-Ref2],表格3[大小電])</f>
        <v>大電</v>
      </c>
      <c r="J373" s="81" t="str">
        <f>_xlfn.XLOOKUP(表格1[[#This Row],[Model]],表格3[Model-Input-Ref2],表格3[Code])</f>
        <v>WM</v>
      </c>
      <c r="K373" s="82" t="s">
        <v>1199</v>
      </c>
      <c r="L373" s="81">
        <v>1</v>
      </c>
      <c r="M373" s="85">
        <v>3588</v>
      </c>
      <c r="N373" s="85">
        <f>IFERROR(表格1[[#This Row],[QTY]]*表格1[[#This Row],[Unit Price]],"-")</f>
        <v>3588</v>
      </c>
      <c r="O373" s="134">
        <v>7018789</v>
      </c>
      <c r="P373" s="81"/>
      <c r="Q373" s="81"/>
      <c r="R373" s="81" t="str">
        <f>_xlfn.CONCAT(表格1[[#This Row],[Model]]," ",表格1[[#This Row],[inv no]])</f>
        <v>TWD-BN90GF4H(WK) 7018789</v>
      </c>
      <c r="S373" s="135">
        <f>_xlfn.XLOOKUP(表格1[[#This Row],[Model]],表格3[Model-Input-Ref2],表格3[SRP PRICE])</f>
        <v>5980</v>
      </c>
      <c r="T373" s="43">
        <f>表格1[[#This Row],[Unit Price]]/表格1[[#This Row],[SRP]]</f>
        <v>0.6</v>
      </c>
      <c r="U373" s="86" t="str">
        <f>_xlfn.XLOOKUP(表格1[[#This Row],[Model]],表格3[Model-Input-Ref2],表格3[TOSHIBA/HIGHEST])</f>
        <v>Toshiba SRP</v>
      </c>
      <c r="V373" s="86">
        <v>110</v>
      </c>
      <c r="W373" s="86" t="str">
        <f>_xlfn.CONCAT(表格1[[#This Row],[欄4]],表格1[[#This Row],[inv no]])</f>
        <v>1107018789</v>
      </c>
    </row>
    <row r="374" spans="1:23" hidden="1">
      <c r="A374" s="81">
        <v>372</v>
      </c>
      <c r="B374" s="81" t="s">
        <v>1203</v>
      </c>
      <c r="C374" s="81" t="s">
        <v>1255</v>
      </c>
      <c r="D374" s="82" t="str">
        <f ca="1">OFFSET(Roster!$A$3,MATCH(表格1[[#This Row],[Location]]&amp;" "&amp;表格1[[#This Row],[Shop]]&amp;"*",Roster!$A$4:$A$72,0),DAY(表格1[[#This Row],[date]]),1,1)</f>
        <v>Me</v>
      </c>
      <c r="E374" s="81">
        <f>MONTH(表格1[[#This Row],[date]])</f>
        <v>3</v>
      </c>
      <c r="F374" s="101">
        <v>46096</v>
      </c>
      <c r="G374" s="81" t="str">
        <f>VLOOKUP("*"&amp;表格1[[#This Row],[Input]]&amp;"*",'Ref-List'!$B:$D,2,)</f>
        <v>RC-15ISTHK(W)</v>
      </c>
      <c r="H374" s="81" t="str">
        <f>_xlfn.XLOOKUP(表格1[[#This Row],[Model]],表格3[Model-Input-Ref2],表格3[Product Line])</f>
        <v>磁應電飯煲(1.5公升)</v>
      </c>
      <c r="I374" s="81" t="str">
        <f>_xlfn.XLOOKUP(表格1[[#This Row],[Model]],表格3[Model-Input-Ref2],表格3[大小電])</f>
        <v>細電</v>
      </c>
      <c r="J374" s="81" t="str">
        <f>_xlfn.XLOOKUP(表格1[[#This Row],[Model]],表格3[Model-Input-Ref2],表格3[Code])</f>
        <v>SDA</v>
      </c>
      <c r="K374" s="82" t="s">
        <v>1204</v>
      </c>
      <c r="L374" s="81">
        <v>1</v>
      </c>
      <c r="M374" s="85">
        <v>500</v>
      </c>
      <c r="N374" s="85">
        <f>IFERROR(表格1[[#This Row],[QTY]]*表格1[[#This Row],[Unit Price]],"-")</f>
        <v>500</v>
      </c>
      <c r="O374" s="134">
        <v>7018788</v>
      </c>
      <c r="P374" s="81"/>
      <c r="Q374" s="81"/>
      <c r="R374" s="81" t="str">
        <f>_xlfn.CONCAT(表格1[[#This Row],[Model]]," ",表格1[[#This Row],[inv no]])</f>
        <v>RC-15ISTHK(W) 7018788</v>
      </c>
      <c r="S374" s="135">
        <f>_xlfn.XLOOKUP(表格1[[#This Row],[Model]],表格3[Model-Input-Ref2],表格3[SRP PRICE])</f>
        <v>1688</v>
      </c>
      <c r="T374" s="43">
        <f>表格1[[#This Row],[Unit Price]]/表格1[[#This Row],[SRP]]</f>
        <v>0.29620853080568721</v>
      </c>
      <c r="U374" s="86" t="str">
        <f>_xlfn.XLOOKUP(表格1[[#This Row],[Model]],表格3[Model-Input-Ref2],表格3[TOSHIBA/HIGHEST])</f>
        <v>Toshiba SRP</v>
      </c>
      <c r="V374" s="86">
        <v>110</v>
      </c>
      <c r="W374" s="86" t="str">
        <f>_xlfn.CONCAT(表格1[[#This Row],[欄4]],表格1[[#This Row],[inv no]])</f>
        <v>1107018788</v>
      </c>
    </row>
    <row r="375" spans="1:23" hidden="1">
      <c r="A375" s="81">
        <v>373</v>
      </c>
      <c r="B375" s="81" t="s">
        <v>1203</v>
      </c>
      <c r="C375" s="81" t="s">
        <v>1255</v>
      </c>
      <c r="D375" s="82" t="str">
        <f ca="1">OFFSET(Roster!$A$3,MATCH(表格1[[#This Row],[Location]]&amp;" "&amp;表格1[[#This Row],[Shop]]&amp;"*",Roster!$A$4:$A$72,0),DAY(表格1[[#This Row],[date]]),1,1)</f>
        <v>Me</v>
      </c>
      <c r="E375" s="81">
        <f>MONTH(表格1[[#This Row],[date]])</f>
        <v>3</v>
      </c>
      <c r="F375" s="101">
        <v>46096</v>
      </c>
      <c r="G375" s="81" t="str">
        <f>VLOOKUP("*"&amp;表格1[[#This Row],[Input]]&amp;"*",'Ref-List'!$B:$D,2,)</f>
        <v>IC-21TSHK</v>
      </c>
      <c r="H375" s="81" t="str">
        <f>_xlfn.XLOOKUP(表格1[[#This Row],[Model]],表格3[Model-Input-Ref2],表格3[Product Line])</f>
        <v>Induction Cooker</v>
      </c>
      <c r="I375" s="81" t="str">
        <f>_xlfn.XLOOKUP(表格1[[#This Row],[Model]],表格3[Model-Input-Ref2],表格3[大小電])</f>
        <v>細電</v>
      </c>
      <c r="J375" s="81" t="str">
        <f>_xlfn.XLOOKUP(表格1[[#This Row],[Model]],表格3[Model-Input-Ref2],表格3[Code])</f>
        <v>SDA</v>
      </c>
      <c r="K375" s="82" t="s">
        <v>1242</v>
      </c>
      <c r="L375" s="81">
        <v>1</v>
      </c>
      <c r="M375" s="85">
        <v>500</v>
      </c>
      <c r="N375" s="85">
        <f>IFERROR(表格1[[#This Row],[QTY]]*表格1[[#This Row],[Unit Price]],"-")</f>
        <v>500</v>
      </c>
      <c r="O375" s="134">
        <v>7028033</v>
      </c>
      <c r="P375" s="81"/>
      <c r="Q375" s="81"/>
      <c r="R375" s="81" t="str">
        <f>_xlfn.CONCAT(表格1[[#This Row],[Model]]," ",表格1[[#This Row],[inv no]])</f>
        <v>IC-21TSHK 7028033</v>
      </c>
      <c r="S375" s="135">
        <f>_xlfn.XLOOKUP(表格1[[#This Row],[Model]],表格3[Model-Input-Ref2],表格3[SRP PRICE])</f>
        <v>998</v>
      </c>
      <c r="T375" s="43">
        <f>表格1[[#This Row],[Unit Price]]/表格1[[#This Row],[SRP]]</f>
        <v>0.50100200400801598</v>
      </c>
      <c r="U375" s="86" t="str">
        <f>_xlfn.XLOOKUP(表格1[[#This Row],[Model]],表格3[Model-Input-Ref2],表格3[TOSHIBA/HIGHEST])</f>
        <v>web SRP</v>
      </c>
      <c r="V375" s="86">
        <v>110</v>
      </c>
      <c r="W375" s="86" t="str">
        <f>_xlfn.CONCAT(表格1[[#This Row],[欄4]],表格1[[#This Row],[inv no]])</f>
        <v>1107028033</v>
      </c>
    </row>
    <row r="376" spans="1:23" hidden="1">
      <c r="A376" s="81">
        <v>374</v>
      </c>
      <c r="B376" s="81" t="s">
        <v>1203</v>
      </c>
      <c r="C376" s="81" t="s">
        <v>1255</v>
      </c>
      <c r="D376" s="82" t="str">
        <f ca="1">OFFSET(Roster!$A$3,MATCH(表格1[[#This Row],[Location]]&amp;" "&amp;表格1[[#This Row],[Shop]]&amp;"*",Roster!$A$4:$A$72,0),DAY(表格1[[#This Row],[date]]),1,1)</f>
        <v>Me</v>
      </c>
      <c r="E376" s="81">
        <f>MONTH(表格1[[#This Row],[date]])</f>
        <v>3</v>
      </c>
      <c r="F376" s="101">
        <v>46096</v>
      </c>
      <c r="G376" s="81" t="str">
        <f>VLOOKUP("*"&amp;表格1[[#This Row],[Input]]&amp;"*",'Ref-List'!$B:$D,2,)</f>
        <v>PLK-45SFIH(WT)</v>
      </c>
      <c r="H376" s="81" t="str">
        <f>_xlfn.XLOOKUP(表格1[[#This Row],[Model]],表格3[Model-Input-Ref2],表格3[Product Line])</f>
        <v>電熱水瓶4.5L</v>
      </c>
      <c r="I376" s="81" t="str">
        <f>_xlfn.XLOOKUP(表格1[[#This Row],[Model]],表格3[Model-Input-Ref2],表格3[大小電])</f>
        <v>細電</v>
      </c>
      <c r="J376" s="81" t="str">
        <f>_xlfn.XLOOKUP(表格1[[#This Row],[Model]],表格3[Model-Input-Ref2],表格3[Code])</f>
        <v>SDA</v>
      </c>
      <c r="K376" s="82" t="s">
        <v>1117</v>
      </c>
      <c r="L376" s="81">
        <v>1</v>
      </c>
      <c r="M376" s="85">
        <v>500</v>
      </c>
      <c r="N376" s="85">
        <f>IFERROR(表格1[[#This Row],[QTY]]*表格1[[#This Row],[Unit Price]],"-")</f>
        <v>500</v>
      </c>
      <c r="O376" s="134">
        <v>7028021</v>
      </c>
      <c r="P376" s="81"/>
      <c r="Q376" s="81"/>
      <c r="R376" s="81" t="str">
        <f>_xlfn.CONCAT(表格1[[#This Row],[Model]]," ",表格1[[#This Row],[inv no]])</f>
        <v>PLK-45SFIH(WT) 7028021</v>
      </c>
      <c r="S376" s="135">
        <f>_xlfn.XLOOKUP(表格1[[#This Row],[Model]],表格3[Model-Input-Ref2],表格3[SRP PRICE])</f>
        <v>788</v>
      </c>
      <c r="T376" s="43">
        <f>表格1[[#This Row],[Unit Price]]/表格1[[#This Row],[SRP]]</f>
        <v>0.63451776649746194</v>
      </c>
      <c r="U376" s="86" t="str">
        <f>_xlfn.XLOOKUP(表格1[[#This Row],[Model]],表格3[Model-Input-Ref2],表格3[TOSHIBA/HIGHEST])</f>
        <v>Toshiba SRP</v>
      </c>
      <c r="V376" s="86">
        <v>110</v>
      </c>
      <c r="W376" s="86" t="str">
        <f>_xlfn.CONCAT(表格1[[#This Row],[欄4]],表格1[[#This Row],[inv no]])</f>
        <v>1107028021</v>
      </c>
    </row>
    <row r="377" spans="1:23" hidden="1">
      <c r="A377" s="81">
        <v>375</v>
      </c>
      <c r="B377" s="81" t="s">
        <v>1203</v>
      </c>
      <c r="C377" s="81" t="s">
        <v>1255</v>
      </c>
      <c r="D377" s="82" t="str">
        <f ca="1">OFFSET(Roster!$A$3,MATCH(表格1[[#This Row],[Location]]&amp;" "&amp;表格1[[#This Row],[Shop]]&amp;"*",Roster!$A$4:$A$72,0),DAY(表格1[[#This Row],[date]]),1,1)</f>
        <v>Me</v>
      </c>
      <c r="E377" s="81">
        <f>MONTH(表格1[[#This Row],[date]])</f>
        <v>3</v>
      </c>
      <c r="F377" s="101">
        <v>46096</v>
      </c>
      <c r="G377" s="81" t="str">
        <f>VLOOKUP("*"&amp;表格1[[#This Row],[Input]]&amp;"*",'Ref-List'!$B:$D,2,)</f>
        <v>MW2-MM24PC(BK)</v>
      </c>
      <c r="H377" s="81" t="str">
        <f>_xlfn.XLOOKUP(表格1[[#This Row],[Model]],表格3[Model-Input-Ref2],表格3[Product Line])</f>
        <v>旋鈕式微波爐24L</v>
      </c>
      <c r="I377" s="81" t="str">
        <f>_xlfn.XLOOKUP(表格1[[#This Row],[Model]],表格3[Model-Input-Ref2],表格3[大小電])</f>
        <v>細電</v>
      </c>
      <c r="J377" s="81" t="str">
        <f>_xlfn.XLOOKUP(表格1[[#This Row],[Model]],表格3[Model-Input-Ref2],表格3[Code])</f>
        <v>SDA</v>
      </c>
      <c r="K377" s="82" t="s">
        <v>1196</v>
      </c>
      <c r="L377" s="81">
        <v>1</v>
      </c>
      <c r="M377" s="85">
        <v>500</v>
      </c>
      <c r="N377" s="85">
        <f>IFERROR(表格1[[#This Row],[QTY]]*表格1[[#This Row],[Unit Price]],"-")</f>
        <v>500</v>
      </c>
      <c r="O377" s="134">
        <v>7028022</v>
      </c>
      <c r="P377" s="81"/>
      <c r="Q377" s="81"/>
      <c r="R377" s="81" t="str">
        <f>_xlfn.CONCAT(表格1[[#This Row],[Model]]," ",表格1[[#This Row],[inv no]])</f>
        <v>MW2-MM24PC(BK) 7028022</v>
      </c>
      <c r="S377" s="135">
        <f>_xlfn.XLOOKUP(表格1[[#This Row],[Model]],表格3[Model-Input-Ref2],表格3[SRP PRICE])</f>
        <v>848</v>
      </c>
      <c r="T377" s="43">
        <f>表格1[[#This Row],[Unit Price]]/表格1[[#This Row],[SRP]]</f>
        <v>0.589622641509434</v>
      </c>
      <c r="U377" s="86" t="str">
        <f>_xlfn.XLOOKUP(表格1[[#This Row],[Model]],表格3[Model-Input-Ref2],表格3[TOSHIBA/HIGHEST])</f>
        <v>Toshiba SRP</v>
      </c>
      <c r="V377" s="86">
        <v>110</v>
      </c>
      <c r="W377" s="86" t="str">
        <f>_xlfn.CONCAT(表格1[[#This Row],[欄4]],表格1[[#This Row],[inv no]])</f>
        <v>1107028022</v>
      </c>
    </row>
    <row r="378" spans="1:23" hidden="1">
      <c r="A378" s="81">
        <v>376</v>
      </c>
      <c r="B378" s="81" t="s">
        <v>1203</v>
      </c>
      <c r="C378" s="81" t="s">
        <v>1255</v>
      </c>
      <c r="D378" s="82" t="str">
        <f ca="1">OFFSET(Roster!$A$3,MATCH(表格1[[#This Row],[Location]]&amp;" "&amp;表格1[[#This Row],[Shop]]&amp;"*",Roster!$A$4:$A$72,0),DAY(表格1[[#This Row],[date]]),1,1)</f>
        <v>Me</v>
      </c>
      <c r="E378" s="81">
        <f>MONTH(表格1[[#This Row],[date]])</f>
        <v>3</v>
      </c>
      <c r="F378" s="101">
        <v>46096</v>
      </c>
      <c r="G378" s="81" t="str">
        <f>VLOOKUP("*"&amp;表格1[[#This Row],[Input]]&amp;"*",'Ref-List'!$B:$D,2,)</f>
        <v>MW2-MM24PC(BK)</v>
      </c>
      <c r="H378" s="81" t="str">
        <f>_xlfn.XLOOKUP(表格1[[#This Row],[Model]],表格3[Model-Input-Ref2],表格3[Product Line])</f>
        <v>旋鈕式微波爐24L</v>
      </c>
      <c r="I378" s="81" t="str">
        <f>_xlfn.XLOOKUP(表格1[[#This Row],[Model]],表格3[Model-Input-Ref2],表格3[大小電])</f>
        <v>細電</v>
      </c>
      <c r="J378" s="81" t="str">
        <f>_xlfn.XLOOKUP(表格1[[#This Row],[Model]],表格3[Model-Input-Ref2],表格3[Code])</f>
        <v>SDA</v>
      </c>
      <c r="K378" s="82" t="s">
        <v>1196</v>
      </c>
      <c r="L378" s="81">
        <v>1</v>
      </c>
      <c r="M378" s="85">
        <v>500</v>
      </c>
      <c r="N378" s="85">
        <f>IFERROR(表格1[[#This Row],[QTY]]*表格1[[#This Row],[Unit Price]],"-")</f>
        <v>500</v>
      </c>
      <c r="O378" s="134">
        <v>7018766</v>
      </c>
      <c r="P378" s="81"/>
      <c r="Q378" s="81"/>
      <c r="R378" s="81" t="str">
        <f>_xlfn.CONCAT(表格1[[#This Row],[Model]]," ",表格1[[#This Row],[inv no]])</f>
        <v>MW2-MM24PC(BK) 7018766</v>
      </c>
      <c r="S378" s="135">
        <f>_xlfn.XLOOKUP(表格1[[#This Row],[Model]],表格3[Model-Input-Ref2],表格3[SRP PRICE])</f>
        <v>848</v>
      </c>
      <c r="T378" s="43">
        <f>表格1[[#This Row],[Unit Price]]/表格1[[#This Row],[SRP]]</f>
        <v>0.589622641509434</v>
      </c>
      <c r="U378" s="86" t="str">
        <f>_xlfn.XLOOKUP(表格1[[#This Row],[Model]],表格3[Model-Input-Ref2],表格3[TOSHIBA/HIGHEST])</f>
        <v>Toshiba SRP</v>
      </c>
      <c r="V378" s="86">
        <v>110</v>
      </c>
      <c r="W378" s="86" t="str">
        <f>_xlfn.CONCAT(表格1[[#This Row],[欄4]],表格1[[#This Row],[inv no]])</f>
        <v>1107018766</v>
      </c>
    </row>
    <row r="379" spans="1:23" hidden="1">
      <c r="A379" s="81">
        <v>377</v>
      </c>
      <c r="B379" s="81" t="s">
        <v>1203</v>
      </c>
      <c r="C379" s="81" t="s">
        <v>1255</v>
      </c>
      <c r="D379" s="82" t="str">
        <f ca="1">OFFSET(Roster!$A$3,MATCH(表格1[[#This Row],[Location]]&amp;" "&amp;表格1[[#This Row],[Shop]]&amp;"*",Roster!$A$4:$A$72,0),DAY(表格1[[#This Row],[date]]),1,1)</f>
        <v>Me</v>
      </c>
      <c r="E379" s="81">
        <f>MONTH(表格1[[#This Row],[date]])</f>
        <v>3</v>
      </c>
      <c r="F379" s="101">
        <v>46096</v>
      </c>
      <c r="G379" s="81" t="str">
        <f>VLOOKUP("*"&amp;表格1[[#This Row],[Input]]&amp;"*",'Ref-List'!$B:$D,2,)</f>
        <v>RC-15ISTHK(W)</v>
      </c>
      <c r="H379" s="81" t="str">
        <f>_xlfn.XLOOKUP(表格1[[#This Row],[Model]],表格3[Model-Input-Ref2],表格3[Product Line])</f>
        <v>磁應電飯煲(1.5公升)</v>
      </c>
      <c r="I379" s="81" t="str">
        <f>_xlfn.XLOOKUP(表格1[[#This Row],[Model]],表格3[Model-Input-Ref2],表格3[大小電])</f>
        <v>細電</v>
      </c>
      <c r="J379" s="81" t="str">
        <f>_xlfn.XLOOKUP(表格1[[#This Row],[Model]],表格3[Model-Input-Ref2],表格3[Code])</f>
        <v>SDA</v>
      </c>
      <c r="K379" s="82" t="s">
        <v>1204</v>
      </c>
      <c r="L379" s="81">
        <v>1</v>
      </c>
      <c r="M379" s="85">
        <v>500</v>
      </c>
      <c r="N379" s="85">
        <f>IFERROR(表格1[[#This Row],[QTY]]*表格1[[#This Row],[Unit Price]],"-")</f>
        <v>500</v>
      </c>
      <c r="O379" s="134">
        <v>7028064</v>
      </c>
      <c r="P379" s="81"/>
      <c r="Q379" s="81"/>
      <c r="R379" s="81" t="str">
        <f>_xlfn.CONCAT(表格1[[#This Row],[Model]]," ",表格1[[#This Row],[inv no]])</f>
        <v>RC-15ISTHK(W) 7028064</v>
      </c>
      <c r="S379" s="135">
        <f>_xlfn.XLOOKUP(表格1[[#This Row],[Model]],表格3[Model-Input-Ref2],表格3[SRP PRICE])</f>
        <v>1688</v>
      </c>
      <c r="T379" s="43">
        <f>表格1[[#This Row],[Unit Price]]/表格1[[#This Row],[SRP]]</f>
        <v>0.29620853080568721</v>
      </c>
      <c r="U379" s="86" t="str">
        <f>_xlfn.XLOOKUP(表格1[[#This Row],[Model]],表格3[Model-Input-Ref2],表格3[TOSHIBA/HIGHEST])</f>
        <v>Toshiba SRP</v>
      </c>
      <c r="V379" s="86">
        <v>110</v>
      </c>
      <c r="W379" s="86" t="str">
        <f>_xlfn.CONCAT(表格1[[#This Row],[欄4]],表格1[[#This Row],[inv no]])</f>
        <v>1107028064</v>
      </c>
    </row>
    <row r="380" spans="1:23" hidden="1">
      <c r="A380" s="81">
        <v>378</v>
      </c>
      <c r="B380" s="81" t="s">
        <v>1203</v>
      </c>
      <c r="C380" s="81" t="s">
        <v>1255</v>
      </c>
      <c r="D380" s="82" t="str">
        <f ca="1">OFFSET(Roster!$A$3,MATCH(表格1[[#This Row],[Location]]&amp;" "&amp;表格1[[#This Row],[Shop]]&amp;"*",Roster!$A$4:$A$72,0),DAY(表格1[[#This Row],[date]]),1,1)</f>
        <v>Me</v>
      </c>
      <c r="E380" s="81">
        <f>MONTH(表格1[[#This Row],[date]])</f>
        <v>3</v>
      </c>
      <c r="F380" s="101">
        <v>46096</v>
      </c>
      <c r="G380" s="81" t="str">
        <f>VLOOKUP("*"&amp;表格1[[#This Row],[Input]]&amp;"*",'Ref-List'!$B:$D,2,)</f>
        <v>RC-15ISTHK(W)</v>
      </c>
      <c r="H380" s="81" t="str">
        <f>_xlfn.XLOOKUP(表格1[[#This Row],[Model]],表格3[Model-Input-Ref2],表格3[Product Line])</f>
        <v>磁應電飯煲(1.5公升)</v>
      </c>
      <c r="I380" s="81" t="str">
        <f>_xlfn.XLOOKUP(表格1[[#This Row],[Model]],表格3[Model-Input-Ref2],表格3[大小電])</f>
        <v>細電</v>
      </c>
      <c r="J380" s="81" t="str">
        <f>_xlfn.XLOOKUP(表格1[[#This Row],[Model]],表格3[Model-Input-Ref2],表格3[Code])</f>
        <v>SDA</v>
      </c>
      <c r="K380" s="82" t="s">
        <v>1204</v>
      </c>
      <c r="L380" s="81">
        <v>1</v>
      </c>
      <c r="M380" s="85">
        <v>500</v>
      </c>
      <c r="N380" s="85">
        <f>IFERROR(表格1[[#This Row],[QTY]]*表格1[[#This Row],[Unit Price]],"-")</f>
        <v>500</v>
      </c>
      <c r="O380" s="134">
        <v>7018783</v>
      </c>
      <c r="P380" s="81"/>
      <c r="Q380" s="81"/>
      <c r="R380" s="81" t="str">
        <f>_xlfn.CONCAT(表格1[[#This Row],[Model]]," ",表格1[[#This Row],[inv no]])</f>
        <v>RC-15ISTHK(W) 7018783</v>
      </c>
      <c r="S380" s="135">
        <f>_xlfn.XLOOKUP(表格1[[#This Row],[Model]],表格3[Model-Input-Ref2],表格3[SRP PRICE])</f>
        <v>1688</v>
      </c>
      <c r="T380" s="43">
        <f>表格1[[#This Row],[Unit Price]]/表格1[[#This Row],[SRP]]</f>
        <v>0.29620853080568721</v>
      </c>
      <c r="U380" s="86" t="str">
        <f>_xlfn.XLOOKUP(表格1[[#This Row],[Model]],表格3[Model-Input-Ref2],表格3[TOSHIBA/HIGHEST])</f>
        <v>Toshiba SRP</v>
      </c>
      <c r="V380" s="86">
        <v>110</v>
      </c>
      <c r="W380" s="86" t="str">
        <f>_xlfn.CONCAT(表格1[[#This Row],[欄4]],表格1[[#This Row],[inv no]])</f>
        <v>1107018783</v>
      </c>
    </row>
    <row r="381" spans="1:23" hidden="1">
      <c r="A381" s="81">
        <v>379</v>
      </c>
      <c r="B381" s="81" t="s">
        <v>1203</v>
      </c>
      <c r="C381" s="81" t="s">
        <v>1255</v>
      </c>
      <c r="D381" s="82" t="str">
        <f ca="1">OFFSET(Roster!$A$3,MATCH(表格1[[#This Row],[Location]]&amp;" "&amp;表格1[[#This Row],[Shop]]&amp;"*",Roster!$A$4:$A$72,0),DAY(表格1[[#This Row],[date]]),1,1)</f>
        <v>Me</v>
      </c>
      <c r="E381" s="81">
        <f>MONTH(表格1[[#This Row],[date]])</f>
        <v>3</v>
      </c>
      <c r="F381" s="101">
        <v>46096</v>
      </c>
      <c r="G381" s="81" t="str">
        <f>VLOOKUP("*"&amp;表格1[[#This Row],[Input]]&amp;"*",'Ref-List'!$B:$D,2,)</f>
        <v>RC-15ISTHK(W)</v>
      </c>
      <c r="H381" s="81" t="str">
        <f>_xlfn.XLOOKUP(表格1[[#This Row],[Model]],表格3[Model-Input-Ref2],表格3[Product Line])</f>
        <v>磁應電飯煲(1.5公升)</v>
      </c>
      <c r="I381" s="81" t="str">
        <f>_xlfn.XLOOKUP(表格1[[#This Row],[Model]],表格3[Model-Input-Ref2],表格3[大小電])</f>
        <v>細電</v>
      </c>
      <c r="J381" s="81" t="str">
        <f>_xlfn.XLOOKUP(表格1[[#This Row],[Model]],表格3[Model-Input-Ref2],表格3[Code])</f>
        <v>SDA</v>
      </c>
      <c r="K381" s="82" t="s">
        <v>1204</v>
      </c>
      <c r="L381" s="81">
        <v>1</v>
      </c>
      <c r="M381" s="85">
        <v>500</v>
      </c>
      <c r="N381" s="85">
        <f>IFERROR(表格1[[#This Row],[QTY]]*表格1[[#This Row],[Unit Price]],"-")</f>
        <v>500</v>
      </c>
      <c r="O381" s="134">
        <v>7028058</v>
      </c>
      <c r="P381" s="81"/>
      <c r="Q381" s="81"/>
      <c r="R381" s="81" t="str">
        <f>_xlfn.CONCAT(表格1[[#This Row],[Model]]," ",表格1[[#This Row],[inv no]])</f>
        <v>RC-15ISTHK(W) 7028058</v>
      </c>
      <c r="S381" s="135">
        <f>_xlfn.XLOOKUP(表格1[[#This Row],[Model]],表格3[Model-Input-Ref2],表格3[SRP PRICE])</f>
        <v>1688</v>
      </c>
      <c r="T381" s="43">
        <f>表格1[[#This Row],[Unit Price]]/表格1[[#This Row],[SRP]]</f>
        <v>0.29620853080568721</v>
      </c>
      <c r="U381" s="86" t="str">
        <f>_xlfn.XLOOKUP(表格1[[#This Row],[Model]],表格3[Model-Input-Ref2],表格3[TOSHIBA/HIGHEST])</f>
        <v>Toshiba SRP</v>
      </c>
      <c r="V381" s="86">
        <v>110</v>
      </c>
      <c r="W381" s="86" t="str">
        <f>_xlfn.CONCAT(表格1[[#This Row],[欄4]],表格1[[#This Row],[inv no]])</f>
        <v>1107028058</v>
      </c>
    </row>
    <row r="382" spans="1:23" hidden="1">
      <c r="A382" s="81">
        <v>380</v>
      </c>
      <c r="B382" s="81" t="s">
        <v>1203</v>
      </c>
      <c r="C382" s="81" t="s">
        <v>1255</v>
      </c>
      <c r="D382" s="82" t="str">
        <f ca="1">OFFSET(Roster!$A$3,MATCH(表格1[[#This Row],[Location]]&amp;" "&amp;表格1[[#This Row],[Shop]]&amp;"*",Roster!$A$4:$A$72,0),DAY(表格1[[#This Row],[date]]),1,1)</f>
        <v>Me</v>
      </c>
      <c r="E382" s="81">
        <f>MONTH(表格1[[#This Row],[date]])</f>
        <v>3</v>
      </c>
      <c r="F382" s="101">
        <v>46096</v>
      </c>
      <c r="G382" s="81" t="str">
        <f>VLOOKUP("*"&amp;表格1[[#This Row],[Input]]&amp;"*",'Ref-List'!$B:$D,2,)</f>
        <v>RC-15ISTHK(W)</v>
      </c>
      <c r="H382" s="81" t="str">
        <f>_xlfn.XLOOKUP(表格1[[#This Row],[Model]],表格3[Model-Input-Ref2],表格3[Product Line])</f>
        <v>磁應電飯煲(1.5公升)</v>
      </c>
      <c r="I382" s="81" t="str">
        <f>_xlfn.XLOOKUP(表格1[[#This Row],[Model]],表格3[Model-Input-Ref2],表格3[大小電])</f>
        <v>細電</v>
      </c>
      <c r="J382" s="81" t="str">
        <f>_xlfn.XLOOKUP(表格1[[#This Row],[Model]],表格3[Model-Input-Ref2],表格3[Code])</f>
        <v>SDA</v>
      </c>
      <c r="K382" s="82" t="s">
        <v>1204</v>
      </c>
      <c r="L382" s="81">
        <v>1</v>
      </c>
      <c r="M382" s="85">
        <v>500</v>
      </c>
      <c r="N382" s="85">
        <f>IFERROR(表格1[[#This Row],[QTY]]*表格1[[#This Row],[Unit Price]],"-")</f>
        <v>500</v>
      </c>
      <c r="O382" s="134">
        <v>7018729</v>
      </c>
      <c r="P382" s="81"/>
      <c r="Q382" s="81"/>
      <c r="R382" s="81" t="str">
        <f>_xlfn.CONCAT(表格1[[#This Row],[Model]]," ",表格1[[#This Row],[inv no]])</f>
        <v>RC-15ISTHK(W) 7018729</v>
      </c>
      <c r="S382" s="135">
        <f>_xlfn.XLOOKUP(表格1[[#This Row],[Model]],表格3[Model-Input-Ref2],表格3[SRP PRICE])</f>
        <v>1688</v>
      </c>
      <c r="T382" s="43">
        <f>表格1[[#This Row],[Unit Price]]/表格1[[#This Row],[SRP]]</f>
        <v>0.29620853080568721</v>
      </c>
      <c r="U382" s="86" t="str">
        <f>_xlfn.XLOOKUP(表格1[[#This Row],[Model]],表格3[Model-Input-Ref2],表格3[TOSHIBA/HIGHEST])</f>
        <v>Toshiba SRP</v>
      </c>
      <c r="V382" s="86">
        <v>110</v>
      </c>
      <c r="W382" s="86" t="str">
        <f>_xlfn.CONCAT(表格1[[#This Row],[欄4]],表格1[[#This Row],[inv no]])</f>
        <v>1107018729</v>
      </c>
    </row>
    <row r="383" spans="1:23" hidden="1">
      <c r="A383" s="81">
        <v>381</v>
      </c>
      <c r="B383" s="81" t="s">
        <v>1203</v>
      </c>
      <c r="C383" s="81" t="s">
        <v>1255</v>
      </c>
      <c r="D383" s="82" t="str">
        <f ca="1">OFFSET(Roster!$A$3,MATCH(表格1[[#This Row],[Location]]&amp;" "&amp;表格1[[#This Row],[Shop]]&amp;"*",Roster!$A$4:$A$72,0),DAY(表格1[[#This Row],[date]]),1,1)</f>
        <v>Me</v>
      </c>
      <c r="E383" s="81">
        <f>MONTH(表格1[[#This Row],[date]])</f>
        <v>3</v>
      </c>
      <c r="F383" s="101">
        <v>46096</v>
      </c>
      <c r="G383" s="81" t="str">
        <f>VLOOKUP("*"&amp;表格1[[#This Row],[Input]]&amp;"*",'Ref-List'!$B:$D,2,)</f>
        <v>PLK-45SFIH(WT)</v>
      </c>
      <c r="H383" s="81" t="str">
        <f>_xlfn.XLOOKUP(表格1[[#This Row],[Model]],表格3[Model-Input-Ref2],表格3[Product Line])</f>
        <v>電熱水瓶4.5L</v>
      </c>
      <c r="I383" s="81" t="str">
        <f>_xlfn.XLOOKUP(表格1[[#This Row],[Model]],表格3[Model-Input-Ref2],表格3[大小電])</f>
        <v>細電</v>
      </c>
      <c r="J383" s="81" t="str">
        <f>_xlfn.XLOOKUP(表格1[[#This Row],[Model]],表格3[Model-Input-Ref2],表格3[Code])</f>
        <v>SDA</v>
      </c>
      <c r="K383" s="82" t="s">
        <v>1117</v>
      </c>
      <c r="L383" s="81">
        <v>1</v>
      </c>
      <c r="M383" s="85">
        <v>500</v>
      </c>
      <c r="N383" s="85">
        <f>IFERROR(表格1[[#This Row],[QTY]]*表格1[[#This Row],[Unit Price]],"-")</f>
        <v>500</v>
      </c>
      <c r="O383" s="134">
        <v>7028003</v>
      </c>
      <c r="P383" s="81"/>
      <c r="Q383" s="81"/>
      <c r="R383" s="81" t="str">
        <f>_xlfn.CONCAT(表格1[[#This Row],[Model]]," ",表格1[[#This Row],[inv no]])</f>
        <v>PLK-45SFIH(WT) 7028003</v>
      </c>
      <c r="S383" s="135">
        <f>_xlfn.XLOOKUP(表格1[[#This Row],[Model]],表格3[Model-Input-Ref2],表格3[SRP PRICE])</f>
        <v>788</v>
      </c>
      <c r="T383" s="43">
        <f>表格1[[#This Row],[Unit Price]]/表格1[[#This Row],[SRP]]</f>
        <v>0.63451776649746194</v>
      </c>
      <c r="U383" s="86" t="str">
        <f>_xlfn.XLOOKUP(表格1[[#This Row],[Model]],表格3[Model-Input-Ref2],表格3[TOSHIBA/HIGHEST])</f>
        <v>Toshiba SRP</v>
      </c>
      <c r="V383" s="86">
        <v>110</v>
      </c>
      <c r="W383" s="86" t="str">
        <f>_xlfn.CONCAT(表格1[[#This Row],[欄4]],表格1[[#This Row],[inv no]])</f>
        <v>1107028003</v>
      </c>
    </row>
    <row r="384" spans="1:23" hidden="1">
      <c r="A384" s="81">
        <v>382</v>
      </c>
      <c r="B384" s="81" t="s">
        <v>1260</v>
      </c>
      <c r="C384" s="81" t="s">
        <v>1262</v>
      </c>
      <c r="D384" s="82" t="str">
        <f ca="1">OFFSET(Roster!$A$3,MATCH(表格1[[#This Row],[Location]]&amp;" "&amp;表格1[[#This Row],[Shop]]&amp;"*",Roster!$A$4:$A$72,0),DAY(表格1[[#This Row],[date]]),1,1)</f>
        <v>Shan_1</v>
      </c>
      <c r="E384" s="81">
        <f>MONTH(表格1[[#This Row],[date]])</f>
        <v>3</v>
      </c>
      <c r="F384" s="101">
        <v>46082</v>
      </c>
      <c r="G384" s="81" t="str">
        <f>VLOOKUP("*"&amp;表格1[[#This Row],[Input]]&amp;"*",'Ref-List'!$B:$D,2,)</f>
        <v>RAD-D300H</v>
      </c>
      <c r="H384" s="81" t="str">
        <f>_xlfn.XLOOKUP(表格1[[#This Row],[Model]],表格3[Model-Input-Ref2],表格3[Product Line])</f>
        <v>壓縮式抽濕機 (30公升)</v>
      </c>
      <c r="I384" s="81" t="str">
        <f>_xlfn.XLOOKUP(表格1[[#This Row],[Model]],表格3[Model-Input-Ref2],表格3[大小電])</f>
        <v>細電</v>
      </c>
      <c r="J384" s="81" t="str">
        <f>_xlfn.XLOOKUP(表格1[[#This Row],[Model]],表格3[Model-Input-Ref2],表格3[Code])</f>
        <v>RAC</v>
      </c>
      <c r="K384" s="82" t="s">
        <v>1252</v>
      </c>
      <c r="L384" s="81">
        <v>1</v>
      </c>
      <c r="M384" s="85">
        <v>2280</v>
      </c>
      <c r="N384" s="85">
        <f>IFERROR(表格1[[#This Row],[QTY]]*表格1[[#This Row],[Unit Price]],"-")</f>
        <v>2280</v>
      </c>
      <c r="O384" s="134">
        <v>155547</v>
      </c>
      <c r="P384" s="81"/>
      <c r="Q384" s="81"/>
      <c r="R384" s="81" t="str">
        <f>_xlfn.CONCAT(表格1[[#This Row],[Model]]," ",表格1[[#This Row],[inv no]])</f>
        <v>RAD-D300H 155547</v>
      </c>
      <c r="S384" s="135">
        <f>_xlfn.XLOOKUP(表格1[[#This Row],[Model]],表格3[Model-Input-Ref2],表格3[SRP PRICE])</f>
        <v>3380</v>
      </c>
      <c r="T384" s="43">
        <f>表格1[[#This Row],[Unit Price]]/表格1[[#This Row],[SRP]]</f>
        <v>0.67455621301775148</v>
      </c>
      <c r="U384" s="86" t="str">
        <f>_xlfn.XLOOKUP(表格1[[#This Row],[Model]],表格3[Model-Input-Ref2],表格3[TOSHIBA/HIGHEST])</f>
        <v>Shops Highest Price</v>
      </c>
      <c r="V384" s="86">
        <v>110</v>
      </c>
      <c r="W384" s="86" t="str">
        <f>_xlfn.CONCAT(表格1[[#This Row],[欄4]],表格1[[#This Row],[inv no]])</f>
        <v>110155547</v>
      </c>
    </row>
    <row r="385" spans="1:23" hidden="1">
      <c r="A385" s="81">
        <v>383</v>
      </c>
      <c r="B385" s="81" t="s">
        <v>1260</v>
      </c>
      <c r="C385" s="81" t="s">
        <v>1262</v>
      </c>
      <c r="D385" s="82" t="str">
        <f ca="1">OFFSET(Roster!$A$3,MATCH(表格1[[#This Row],[Location]]&amp;" "&amp;表格1[[#This Row],[Shop]]&amp;"*",Roster!$A$4:$A$72,0),DAY(表格1[[#This Row],[date]]),1,1)</f>
        <v>Shan_1</v>
      </c>
      <c r="E385" s="81">
        <f>MONTH(表格1[[#This Row],[date]])</f>
        <v>3</v>
      </c>
      <c r="F385" s="101">
        <v>46082</v>
      </c>
      <c r="G385" s="81" t="str">
        <f>VLOOKUP("*"&amp;表格1[[#This Row],[Input]]&amp;"*",'Ref-List'!$B:$D,2,)</f>
        <v>RC-10JRUH(N)</v>
      </c>
      <c r="H385" s="81" t="str">
        <f>_xlfn.XLOOKUP(表格1[[#This Row],[Model]],表格3[Model-Input-Ref2],表格3[Product Line])</f>
        <v>電飯煲</v>
      </c>
      <c r="I385" s="81" t="str">
        <f>_xlfn.XLOOKUP(表格1[[#This Row],[Model]],表格3[Model-Input-Ref2],表格3[大小電])</f>
        <v>細電</v>
      </c>
      <c r="J385" s="81" t="str">
        <f>_xlfn.XLOOKUP(表格1[[#This Row],[Model]],表格3[Model-Input-Ref2],表格3[Code])</f>
        <v>SDA</v>
      </c>
      <c r="K385" s="82" t="s">
        <v>1263</v>
      </c>
      <c r="L385" s="81">
        <v>1</v>
      </c>
      <c r="M385" s="85">
        <v>250</v>
      </c>
      <c r="N385" s="85">
        <f>IFERROR(表格1[[#This Row],[QTY]]*表格1[[#This Row],[Unit Price]],"-")</f>
        <v>250</v>
      </c>
      <c r="O385" s="134">
        <v>438367</v>
      </c>
      <c r="P385" s="81"/>
      <c r="Q385" s="81"/>
      <c r="R385" s="81" t="str">
        <f>_xlfn.CONCAT(表格1[[#This Row],[Model]]," ",表格1[[#This Row],[inv no]])</f>
        <v>RC-10JRUH(N) 438367</v>
      </c>
      <c r="S385" s="135">
        <f>_xlfn.XLOOKUP(表格1[[#This Row],[Model]],表格3[Model-Input-Ref2],表格3[SRP PRICE])</f>
        <v>398</v>
      </c>
      <c r="T385" s="43">
        <f>表格1[[#This Row],[Unit Price]]/表格1[[#This Row],[SRP]]</f>
        <v>0.62814070351758799</v>
      </c>
      <c r="U385" s="86" t="str">
        <f>_xlfn.XLOOKUP(表格1[[#This Row],[Model]],表格3[Model-Input-Ref2],表格3[TOSHIBA/HIGHEST])</f>
        <v>Shops Highest Price</v>
      </c>
      <c r="V385" s="86">
        <v>110</v>
      </c>
      <c r="W385" s="86" t="str">
        <f>_xlfn.CONCAT(表格1[[#This Row],[欄4]],表格1[[#This Row],[inv no]])</f>
        <v>110438367</v>
      </c>
    </row>
    <row r="386" spans="1:23" hidden="1">
      <c r="A386" s="81">
        <v>384</v>
      </c>
      <c r="B386" s="81" t="s">
        <v>1260</v>
      </c>
      <c r="C386" s="81" t="s">
        <v>1262</v>
      </c>
      <c r="D386" s="82" t="str">
        <f ca="1">OFFSET(Roster!$A$3,MATCH(表格1[[#This Row],[Location]]&amp;" "&amp;表格1[[#This Row],[Shop]]&amp;"*",Roster!$A$4:$A$72,0),DAY(表格1[[#This Row],[date]]),1,1)</f>
        <v>Shan_1</v>
      </c>
      <c r="E386" s="81">
        <f>MONTH(表格1[[#This Row],[date]])</f>
        <v>3</v>
      </c>
      <c r="F386" s="101">
        <v>46082</v>
      </c>
      <c r="G386" s="81" t="str">
        <f>VLOOKUP("*"&amp;表格1[[#This Row],[Input]]&amp;"*",'Ref-List'!$B:$D,2,)</f>
        <v>RAD-D300H</v>
      </c>
      <c r="H386" s="81" t="str">
        <f>_xlfn.XLOOKUP(表格1[[#This Row],[Model]],表格3[Model-Input-Ref2],表格3[Product Line])</f>
        <v>壓縮式抽濕機 (30公升)</v>
      </c>
      <c r="I386" s="81" t="str">
        <f>_xlfn.XLOOKUP(表格1[[#This Row],[Model]],表格3[Model-Input-Ref2],表格3[大小電])</f>
        <v>細電</v>
      </c>
      <c r="J386" s="81" t="str">
        <f>_xlfn.XLOOKUP(表格1[[#This Row],[Model]],表格3[Model-Input-Ref2],表格3[Code])</f>
        <v>RAC</v>
      </c>
      <c r="K386" s="82" t="s">
        <v>1252</v>
      </c>
      <c r="L386" s="81">
        <v>1</v>
      </c>
      <c r="M386" s="85">
        <v>2280</v>
      </c>
      <c r="N386" s="85">
        <f>IFERROR(表格1[[#This Row],[QTY]]*表格1[[#This Row],[Unit Price]],"-")</f>
        <v>2280</v>
      </c>
      <c r="O386" s="134">
        <v>438376</v>
      </c>
      <c r="P386" s="81"/>
      <c r="Q386" s="81"/>
      <c r="R386" s="81" t="str">
        <f>_xlfn.CONCAT(表格1[[#This Row],[Model]]," ",表格1[[#This Row],[inv no]])</f>
        <v>RAD-D300H 438376</v>
      </c>
      <c r="S386" s="135">
        <f>_xlfn.XLOOKUP(表格1[[#This Row],[Model]],表格3[Model-Input-Ref2],表格3[SRP PRICE])</f>
        <v>3380</v>
      </c>
      <c r="T386" s="43">
        <f>表格1[[#This Row],[Unit Price]]/表格1[[#This Row],[SRP]]</f>
        <v>0.67455621301775148</v>
      </c>
      <c r="U386" s="86" t="str">
        <f>_xlfn.XLOOKUP(表格1[[#This Row],[Model]],表格3[Model-Input-Ref2],表格3[TOSHIBA/HIGHEST])</f>
        <v>Shops Highest Price</v>
      </c>
      <c r="V386" s="86">
        <v>110</v>
      </c>
      <c r="W386" s="86" t="str">
        <f>_xlfn.CONCAT(表格1[[#This Row],[欄4]],表格1[[#This Row],[inv no]])</f>
        <v>110438376</v>
      </c>
    </row>
    <row r="387" spans="1:23" hidden="1">
      <c r="A387" s="81">
        <v>385</v>
      </c>
      <c r="B387" s="81" t="s">
        <v>1260</v>
      </c>
      <c r="C387" s="81" t="s">
        <v>1262</v>
      </c>
      <c r="D387" s="82" t="str">
        <f ca="1">OFFSET(Roster!$A$3,MATCH(表格1[[#This Row],[Location]]&amp;" "&amp;表格1[[#This Row],[Shop]]&amp;"*",Roster!$A$4:$A$72,0),DAY(表格1[[#This Row],[date]]),1,1)</f>
        <v>Shan_1</v>
      </c>
      <c r="E387" s="81">
        <f>MONTH(表格1[[#This Row],[date]])</f>
        <v>3</v>
      </c>
      <c r="F387" s="101">
        <v>46082</v>
      </c>
      <c r="G387" s="81" t="str">
        <f>VLOOKUP("*"&amp;表格1[[#This Row],[Input]]&amp;"*",'Ref-List'!$B:$D,2,)</f>
        <v>RC-5MMIH(WT)</v>
      </c>
      <c r="H387" s="81" t="str">
        <f>_xlfn.XLOOKUP(表格1[[#This Row],[Model]],表格3[Model-Input-Ref2],表格3[Product Line])</f>
        <v>4毫米厚釜電飯煲0.54L</v>
      </c>
      <c r="I387" s="81" t="str">
        <f>_xlfn.XLOOKUP(表格1[[#This Row],[Model]],表格3[Model-Input-Ref2],表格3[大小電])</f>
        <v>細電</v>
      </c>
      <c r="J387" s="81" t="str">
        <f>_xlfn.XLOOKUP(表格1[[#This Row],[Model]],表格3[Model-Input-Ref2],表格3[Code])</f>
        <v>SDA</v>
      </c>
      <c r="K387" s="82" t="s">
        <v>1195</v>
      </c>
      <c r="L387" s="81">
        <v>1</v>
      </c>
      <c r="M387" s="85">
        <v>556</v>
      </c>
      <c r="N387" s="85">
        <f>IFERROR(表格1[[#This Row],[QTY]]*表格1[[#This Row],[Unit Price]],"-")</f>
        <v>556</v>
      </c>
      <c r="O387" s="134">
        <v>444847</v>
      </c>
      <c r="P387" s="81"/>
      <c r="Q387" s="81"/>
      <c r="R387" s="81" t="str">
        <f>_xlfn.CONCAT(表格1[[#This Row],[Model]]," ",表格1[[#This Row],[inv no]])</f>
        <v>RC-5MMIH(WT) 444847</v>
      </c>
      <c r="S387" s="135">
        <f>_xlfn.XLOOKUP(表格1[[#This Row],[Model]],表格3[Model-Input-Ref2],表格3[SRP PRICE])</f>
        <v>618</v>
      </c>
      <c r="T387" s="43">
        <f>表格1[[#This Row],[Unit Price]]/表格1[[#This Row],[SRP]]</f>
        <v>0.89967637540453071</v>
      </c>
      <c r="U387" s="86" t="str">
        <f>_xlfn.XLOOKUP(表格1[[#This Row],[Model]],表格3[Model-Input-Ref2],表格3[TOSHIBA/HIGHEST])</f>
        <v>Toshiba SRP</v>
      </c>
      <c r="V387" s="86">
        <v>110</v>
      </c>
      <c r="W387" s="86" t="str">
        <f>_xlfn.CONCAT(表格1[[#This Row],[欄4]],表格1[[#This Row],[inv no]])</f>
        <v>110444847</v>
      </c>
    </row>
    <row r="388" spans="1:23" hidden="1">
      <c r="A388" s="81">
        <v>386</v>
      </c>
      <c r="B388" s="81" t="s">
        <v>1260</v>
      </c>
      <c r="C388" s="81" t="s">
        <v>1262</v>
      </c>
      <c r="D388" s="82" t="str">
        <f ca="1">OFFSET(Roster!$A$3,MATCH(表格1[[#This Row],[Location]]&amp;" "&amp;表格1[[#This Row],[Shop]]&amp;"*",Roster!$A$4:$A$72,0),DAY(表格1[[#This Row],[date]]),1,1)</f>
        <v>Shan_1</v>
      </c>
      <c r="E388" s="81">
        <f>MONTH(表格1[[#This Row],[date]])</f>
        <v>3</v>
      </c>
      <c r="F388" s="101">
        <v>46082</v>
      </c>
      <c r="G388" s="81" t="str">
        <f>VLOOKUP("*"&amp;表格1[[#This Row],[Input]]&amp;"*",'Ref-List'!$B:$D,2,)</f>
        <v>RC-5SLIH(W)</v>
      </c>
      <c r="H388" s="81" t="str">
        <f>_xlfn.XLOOKUP(表格1[[#This Row],[Model]],表格3[Model-Input-Ref2],表格3[Product Line])</f>
        <v>微型電腦珍珠飯煲</v>
      </c>
      <c r="I388" s="81" t="str">
        <f>_xlfn.XLOOKUP(表格1[[#This Row],[Model]],表格3[Model-Input-Ref2],表格3[大小電])</f>
        <v>細電</v>
      </c>
      <c r="J388" s="81" t="str">
        <f>_xlfn.XLOOKUP(表格1[[#This Row],[Model]],表格3[Model-Input-Ref2],表格3[Code])</f>
        <v>SDA</v>
      </c>
      <c r="K388" s="82" t="s">
        <v>1264</v>
      </c>
      <c r="L388" s="81">
        <v>1</v>
      </c>
      <c r="M388" s="85">
        <v>592</v>
      </c>
      <c r="N388" s="85">
        <f>IFERROR(表格1[[#This Row],[QTY]]*表格1[[#This Row],[Unit Price]],"-")</f>
        <v>592</v>
      </c>
      <c r="O388" s="134">
        <v>155566</v>
      </c>
      <c r="P388" s="81"/>
      <c r="Q388" s="81"/>
      <c r="R388" s="81" t="str">
        <f>_xlfn.CONCAT(表格1[[#This Row],[Model]]," ",表格1[[#This Row],[inv no]])</f>
        <v>RC-5SLIH(W) 155566</v>
      </c>
      <c r="S388" s="135">
        <f>_xlfn.XLOOKUP(表格1[[#This Row],[Model]],表格3[Model-Input-Ref2],表格3[SRP PRICE])</f>
        <v>658</v>
      </c>
      <c r="T388" s="43">
        <f>表格1[[#This Row],[Unit Price]]/表格1[[#This Row],[SRP]]</f>
        <v>0.89969604863221886</v>
      </c>
      <c r="U388" s="86" t="str">
        <f>_xlfn.XLOOKUP(表格1[[#This Row],[Model]],表格3[Model-Input-Ref2],表格3[TOSHIBA/HIGHEST])</f>
        <v>Toshiba SRP</v>
      </c>
      <c r="V388" s="86">
        <v>110</v>
      </c>
      <c r="W388" s="86" t="str">
        <f>_xlfn.CONCAT(表格1[[#This Row],[欄4]],表格1[[#This Row],[inv no]])</f>
        <v>110155566</v>
      </c>
    </row>
    <row r="389" spans="1:23" hidden="1">
      <c r="A389" s="81">
        <v>387</v>
      </c>
      <c r="B389" s="81" t="s">
        <v>1260</v>
      </c>
      <c r="C389" s="81" t="s">
        <v>1262</v>
      </c>
      <c r="D389" s="82" t="str">
        <f ca="1">OFFSET(Roster!$A$3,MATCH(表格1[[#This Row],[Location]]&amp;" "&amp;表格1[[#This Row],[Shop]]&amp;"*",Roster!$A$4:$A$72,0),DAY(表格1[[#This Row],[date]]),1,1)</f>
        <v>Shan_1</v>
      </c>
      <c r="E389" s="81">
        <f>MONTH(表格1[[#This Row],[date]])</f>
        <v>3</v>
      </c>
      <c r="F389" s="101">
        <v>46082</v>
      </c>
      <c r="G389" s="81" t="str">
        <f>VLOOKUP("*"&amp;表格1[[#This Row],[Input]]&amp;"*",'Ref-List'!$B:$D,2,)</f>
        <v>VC-CLS1BF(R)</v>
      </c>
      <c r="H389" s="81" t="str">
        <f>_xlfn.XLOOKUP(表格1[[#This Row],[Model]],表格3[Model-Input-Ref2],表格3[Product Line])</f>
        <v>超輕巧2合1無線吸塵機</v>
      </c>
      <c r="I389" s="81" t="str">
        <f>_xlfn.XLOOKUP(表格1[[#This Row],[Model]],表格3[Model-Input-Ref2],表格3[大小電])</f>
        <v>細電</v>
      </c>
      <c r="J389" s="81" t="str">
        <f>_xlfn.XLOOKUP(表格1[[#This Row],[Model]],表格3[Model-Input-Ref2],表格3[Code])</f>
        <v>MCA</v>
      </c>
      <c r="K389" s="82" t="s">
        <v>1265</v>
      </c>
      <c r="L389" s="81">
        <v>1</v>
      </c>
      <c r="M389" s="85">
        <v>1510</v>
      </c>
      <c r="N389" s="85">
        <f>IFERROR(表格1[[#This Row],[QTY]]*表格1[[#This Row],[Unit Price]],"-")</f>
        <v>1510</v>
      </c>
      <c r="O389" s="134">
        <v>155602</v>
      </c>
      <c r="P389" s="81"/>
      <c r="Q389" s="81"/>
      <c r="R389" s="81" t="str">
        <f>_xlfn.CONCAT(表格1[[#This Row],[Model]]," ",表格1[[#This Row],[inv no]])</f>
        <v>VC-CLS1BF(R) 155602</v>
      </c>
      <c r="S389" s="135">
        <f>_xlfn.XLOOKUP(表格1[[#This Row],[Model]],表格3[Model-Input-Ref2],表格3[SRP PRICE])</f>
        <v>1888</v>
      </c>
      <c r="T389" s="43">
        <f>表格1[[#This Row],[Unit Price]]/表格1[[#This Row],[SRP]]</f>
        <v>0.79978813559322037</v>
      </c>
      <c r="U389" s="86" t="str">
        <f>_xlfn.XLOOKUP(表格1[[#This Row],[Model]],表格3[Model-Input-Ref2],表格3[TOSHIBA/HIGHEST])</f>
        <v>Toshiba SRP</v>
      </c>
      <c r="V389" s="86">
        <v>110</v>
      </c>
      <c r="W389" s="86" t="str">
        <f>_xlfn.CONCAT(表格1[[#This Row],[欄4]],表格1[[#This Row],[inv no]])</f>
        <v>110155602</v>
      </c>
    </row>
    <row r="390" spans="1:23" hidden="1">
      <c r="A390" s="81">
        <v>388</v>
      </c>
      <c r="B390" s="81" t="s">
        <v>1260</v>
      </c>
      <c r="C390" s="81" t="s">
        <v>1262</v>
      </c>
      <c r="D390" s="82" t="str">
        <f ca="1">OFFSET(Roster!$A$3,MATCH(表格1[[#This Row],[Location]]&amp;" "&amp;表格1[[#This Row],[Shop]]&amp;"*",Roster!$A$4:$A$72,0),DAY(表格1[[#This Row],[date]]),1,1)</f>
        <v>Shan_1</v>
      </c>
      <c r="E390" s="81">
        <f>MONTH(表格1[[#This Row],[date]])</f>
        <v>3</v>
      </c>
      <c r="F390" s="101">
        <v>46083</v>
      </c>
      <c r="G390" s="81" t="str">
        <f>VLOOKUP("*"&amp;表格1[[#This Row],[Input]]&amp;"*",'Ref-List'!$B:$D,2,)</f>
        <v>RC-5MMIH(WT)</v>
      </c>
      <c r="H390" s="81" t="str">
        <f>_xlfn.XLOOKUP(表格1[[#This Row],[Model]],表格3[Model-Input-Ref2],表格3[Product Line])</f>
        <v>4毫米厚釜電飯煲0.54L</v>
      </c>
      <c r="I390" s="81" t="str">
        <f>_xlfn.XLOOKUP(表格1[[#This Row],[Model]],表格3[Model-Input-Ref2],表格3[大小電])</f>
        <v>細電</v>
      </c>
      <c r="J390" s="81" t="str">
        <f>_xlfn.XLOOKUP(表格1[[#This Row],[Model]],表格3[Model-Input-Ref2],表格3[Code])</f>
        <v>SDA</v>
      </c>
      <c r="K390" s="82" t="s">
        <v>1195</v>
      </c>
      <c r="L390" s="81">
        <v>1</v>
      </c>
      <c r="M390" s="85">
        <v>556</v>
      </c>
      <c r="N390" s="85">
        <f>IFERROR(表格1[[#This Row],[QTY]]*表格1[[#This Row],[Unit Price]],"-")</f>
        <v>556</v>
      </c>
      <c r="O390" s="134">
        <v>438715</v>
      </c>
      <c r="P390" s="81"/>
      <c r="Q390" s="81"/>
      <c r="R390" s="81" t="str">
        <f>_xlfn.CONCAT(表格1[[#This Row],[Model]]," ",表格1[[#This Row],[inv no]])</f>
        <v>RC-5MMIH(WT) 438715</v>
      </c>
      <c r="S390" s="135">
        <f>_xlfn.XLOOKUP(表格1[[#This Row],[Model]],表格3[Model-Input-Ref2],表格3[SRP PRICE])</f>
        <v>618</v>
      </c>
      <c r="T390" s="43">
        <f>表格1[[#This Row],[Unit Price]]/表格1[[#This Row],[SRP]]</f>
        <v>0.89967637540453071</v>
      </c>
      <c r="U390" s="86" t="str">
        <f>_xlfn.XLOOKUP(表格1[[#This Row],[Model]],表格3[Model-Input-Ref2],表格3[TOSHIBA/HIGHEST])</f>
        <v>Toshiba SRP</v>
      </c>
      <c r="V390" s="86">
        <v>110</v>
      </c>
      <c r="W390" s="86" t="str">
        <f>_xlfn.CONCAT(表格1[[#This Row],[欄4]],表格1[[#This Row],[inv no]])</f>
        <v>110438715</v>
      </c>
    </row>
    <row r="391" spans="1:23" ht="16.5" hidden="1">
      <c r="A391" s="81">
        <v>389</v>
      </c>
      <c r="B391" s="81" t="s">
        <v>1260</v>
      </c>
      <c r="C391" s="81" t="s">
        <v>1262</v>
      </c>
      <c r="D391" s="82" t="str">
        <f ca="1">OFFSET(Roster!$A$3,MATCH(表格1[[#This Row],[Location]]&amp;" "&amp;表格1[[#This Row],[Shop]]&amp;"*",Roster!$A$4:$A$72,0),DAY(表格1[[#This Row],[date]]),1,1)</f>
        <v>Shan_1</v>
      </c>
      <c r="E391" s="81">
        <f>MONTH(表格1[[#This Row],[date]])</f>
        <v>3</v>
      </c>
      <c r="F391" s="101">
        <v>46083</v>
      </c>
      <c r="G391" s="81" t="str">
        <f>VLOOKUP("*"&amp;表格1[[#This Row],[Input]]&amp;"*",'Ref-List'!$B:$D,2,)</f>
        <v>CFK01W75</v>
      </c>
      <c r="H391" s="81" t="str">
        <f>_xlfn.XLOOKUP(表格1[[#This Row],[Model]],表格3[Model-Input-Ref2],表格3[Product Line])</f>
        <v>變頻頂揭式洗衣機 (7.5公斤)</v>
      </c>
      <c r="I391" s="81" t="str">
        <f>_xlfn.XLOOKUP(表格1[[#This Row],[Model]],表格3[Model-Input-Ref2],表格3[大小電])</f>
        <v>大電</v>
      </c>
      <c r="J391" s="81" t="str">
        <f>_xlfn.XLOOKUP(表格1[[#This Row],[Model]],表格3[Model-Input-Ref2],表格3[Code])</f>
        <v>LAD</v>
      </c>
      <c r="K391" s="82" t="s">
        <v>1266</v>
      </c>
      <c r="L391" s="81">
        <v>1</v>
      </c>
      <c r="M391" s="85">
        <v>3580</v>
      </c>
      <c r="N391" s="85">
        <f>IFERROR(表格1[[#This Row],[QTY]]*表格1[[#This Row],[Unit Price]],"-")</f>
        <v>3580</v>
      </c>
      <c r="O391" s="134">
        <v>155616</v>
      </c>
      <c r="P391" s="137"/>
      <c r="Q391" s="81"/>
      <c r="R391" s="81" t="str">
        <f>_xlfn.CONCAT(表格1[[#This Row],[Model]]," ",表格1[[#This Row],[inv no]])</f>
        <v>CFK01W75 155616</v>
      </c>
      <c r="S391" s="135">
        <f>_xlfn.XLOOKUP(表格1[[#This Row],[Model]],表格3[Model-Input-Ref2],表格3[SRP PRICE])</f>
        <v>3888</v>
      </c>
      <c r="T391" s="43">
        <f>表格1[[#This Row],[Unit Price]]/表格1[[#This Row],[SRP]]</f>
        <v>0.92078189300411528</v>
      </c>
      <c r="U391" s="86" t="str">
        <f>_xlfn.XLOOKUP(表格1[[#This Row],[Model]],表格3[Model-Input-Ref2],表格3[TOSHIBA/HIGHEST])</f>
        <v>Shops Highest Price</v>
      </c>
      <c r="V391" s="86">
        <v>110</v>
      </c>
      <c r="W391" s="86" t="str">
        <f>_xlfn.CONCAT(表格1[[#This Row],[欄4]],表格1[[#This Row],[inv no]])</f>
        <v>110155616</v>
      </c>
    </row>
    <row r="392" spans="1:23" hidden="1">
      <c r="A392" s="81">
        <v>390</v>
      </c>
      <c r="B392" s="81" t="s">
        <v>1260</v>
      </c>
      <c r="C392" s="81" t="s">
        <v>1262</v>
      </c>
      <c r="D392" s="82" t="str">
        <f ca="1">OFFSET(Roster!$A$3,MATCH(表格1[[#This Row],[Location]]&amp;" "&amp;表格1[[#This Row],[Shop]]&amp;"*",Roster!$A$4:$A$72,0),DAY(表格1[[#This Row],[date]]),1,1)</f>
        <v>Shan_1</v>
      </c>
      <c r="E392" s="81">
        <f>MONTH(表格1[[#This Row],[date]])</f>
        <v>3</v>
      </c>
      <c r="F392" s="101">
        <v>46083</v>
      </c>
      <c r="G392" s="81" t="str">
        <f>VLOOKUP("*"&amp;表格1[[#This Row],[Input]]&amp;"*",'Ref-List'!$B:$D,2,)</f>
        <v>RC-18NMFIH(WT)</v>
      </c>
      <c r="H392" s="81" t="str">
        <f>_xlfn.XLOOKUP(表格1[[#This Row],[Model]],表格3[Model-Input-Ref2],表格3[Product Line])</f>
        <v>4毫米厚釜電飯煲1.8L</v>
      </c>
      <c r="I392" s="81" t="str">
        <f>_xlfn.XLOOKUP(表格1[[#This Row],[Model]],表格3[Model-Input-Ref2],表格3[大小電])</f>
        <v>細電</v>
      </c>
      <c r="J392" s="81" t="str">
        <f>_xlfn.XLOOKUP(表格1[[#This Row],[Model]],表格3[Model-Input-Ref2],表格3[Code])</f>
        <v>SDA</v>
      </c>
      <c r="K392" s="82" t="s">
        <v>1267</v>
      </c>
      <c r="L392" s="81">
        <v>1</v>
      </c>
      <c r="M392" s="85">
        <v>799</v>
      </c>
      <c r="N392" s="85">
        <f>IFERROR(表格1[[#This Row],[QTY]]*表格1[[#This Row],[Unit Price]],"-")</f>
        <v>799</v>
      </c>
      <c r="O392" s="134">
        <v>438751</v>
      </c>
      <c r="P392" s="81"/>
      <c r="Q392" s="81"/>
      <c r="R392" s="81" t="str">
        <f>_xlfn.CONCAT(表格1[[#This Row],[Model]]," ",表格1[[#This Row],[inv no]])</f>
        <v>RC-18NMFIH(WT) 438751</v>
      </c>
      <c r="S392" s="135">
        <f>_xlfn.XLOOKUP(表格1[[#This Row],[Model]],表格3[Model-Input-Ref2],表格3[SRP PRICE])</f>
        <v>998</v>
      </c>
      <c r="T392" s="43">
        <f>表格1[[#This Row],[Unit Price]]/表格1[[#This Row],[SRP]]</f>
        <v>0.80060120240480959</v>
      </c>
      <c r="U392" s="86" t="str">
        <f>_xlfn.XLOOKUP(表格1[[#This Row],[Model]],表格3[Model-Input-Ref2],表格3[TOSHIBA/HIGHEST])</f>
        <v>Toshiba SRP</v>
      </c>
      <c r="V392" s="86">
        <v>110</v>
      </c>
      <c r="W392" s="86" t="str">
        <f>_xlfn.CONCAT(表格1[[#This Row],[欄4]],表格1[[#This Row],[inv no]])</f>
        <v>110438751</v>
      </c>
    </row>
    <row r="393" spans="1:23" ht="16.5" hidden="1">
      <c r="A393" s="81">
        <v>391</v>
      </c>
      <c r="B393" s="81" t="s">
        <v>1260</v>
      </c>
      <c r="C393" s="81" t="s">
        <v>1262</v>
      </c>
      <c r="D393" s="82" t="str">
        <f ca="1">OFFSET(Roster!$A$3,MATCH(表格1[[#This Row],[Location]]&amp;" "&amp;表格1[[#This Row],[Shop]]&amp;"*",Roster!$A$4:$A$72,0),DAY(表格1[[#This Row],[date]]),1,1)</f>
        <v>Shan_1</v>
      </c>
      <c r="E393" s="81">
        <f>MONTH(表格1[[#This Row],[date]])</f>
        <v>3</v>
      </c>
      <c r="F393" s="101">
        <v>46083</v>
      </c>
      <c r="G393" s="81" t="str">
        <f>VLOOKUP("*"&amp;表格1[[#This Row],[Input]]&amp;"*",'Ref-List'!$B:$D,2,)</f>
        <v>RAD-D300H</v>
      </c>
      <c r="H393" s="81" t="str">
        <f>_xlfn.XLOOKUP(表格1[[#This Row],[Model]],表格3[Model-Input-Ref2],表格3[Product Line])</f>
        <v>壓縮式抽濕機 (30公升)</v>
      </c>
      <c r="I393" s="81" t="str">
        <f>_xlfn.XLOOKUP(表格1[[#This Row],[Model]],表格3[Model-Input-Ref2],表格3[大小電])</f>
        <v>細電</v>
      </c>
      <c r="J393" s="81" t="str">
        <f>_xlfn.XLOOKUP(表格1[[#This Row],[Model]],表格3[Model-Input-Ref2],表格3[Code])</f>
        <v>RAC</v>
      </c>
      <c r="K393" s="82" t="s">
        <v>1252</v>
      </c>
      <c r="L393" s="81">
        <v>1</v>
      </c>
      <c r="M393" s="85">
        <v>2280</v>
      </c>
      <c r="N393" s="85">
        <f>IFERROR(表格1[[#This Row],[QTY]]*表格1[[#This Row],[Unit Price]],"-")</f>
        <v>2280</v>
      </c>
      <c r="O393" s="134">
        <v>438816</v>
      </c>
      <c r="P393" s="137"/>
      <c r="Q393" s="81"/>
      <c r="R393" s="81" t="str">
        <f>_xlfn.CONCAT(表格1[[#This Row],[Model]]," ",表格1[[#This Row],[inv no]])</f>
        <v>RAD-D300H 438816</v>
      </c>
      <c r="S393" s="135">
        <f>_xlfn.XLOOKUP(表格1[[#This Row],[Model]],表格3[Model-Input-Ref2],表格3[SRP PRICE])</f>
        <v>3380</v>
      </c>
      <c r="T393" s="43">
        <f>表格1[[#This Row],[Unit Price]]/表格1[[#This Row],[SRP]]</f>
        <v>0.67455621301775148</v>
      </c>
      <c r="U393" s="86" t="str">
        <f>_xlfn.XLOOKUP(表格1[[#This Row],[Model]],表格3[Model-Input-Ref2],表格3[TOSHIBA/HIGHEST])</f>
        <v>Shops Highest Price</v>
      </c>
      <c r="V393" s="86">
        <v>110</v>
      </c>
      <c r="W393" s="86" t="str">
        <f>_xlfn.CONCAT(表格1[[#This Row],[欄4]],表格1[[#This Row],[inv no]])</f>
        <v>110438816</v>
      </c>
    </row>
    <row r="394" spans="1:23" hidden="1">
      <c r="A394" s="81">
        <v>392</v>
      </c>
      <c r="B394" s="81" t="s">
        <v>1260</v>
      </c>
      <c r="C394" s="81" t="s">
        <v>1262</v>
      </c>
      <c r="D394" s="82" t="str">
        <f ca="1">OFFSET(Roster!$A$3,MATCH(表格1[[#This Row],[Location]]&amp;" "&amp;表格1[[#This Row],[Shop]]&amp;"*",Roster!$A$4:$A$72,0),DAY(表格1[[#This Row],[date]]),1,1)</f>
        <v>Shan_1</v>
      </c>
      <c r="E394" s="81">
        <f>MONTH(表格1[[#This Row],[date]])</f>
        <v>3</v>
      </c>
      <c r="F394" s="101">
        <v>46083</v>
      </c>
      <c r="G394" s="81" t="str">
        <f>VLOOKUP("*"&amp;表格1[[#This Row],[Input]]&amp;"*",'Ref-List'!$B:$D,2,)</f>
        <v>KT-08DH1VHK(W)</v>
      </c>
      <c r="H394" s="81" t="str">
        <f>_xlfn.XLOOKUP(表格1[[#This Row],[Model]],表格3[Model-Input-Ref2],表格3[Product Line])</f>
        <v>無線雙層電熱水壺-附可鎖壺蓋(0.8公升)</v>
      </c>
      <c r="I394" s="81" t="str">
        <f>_xlfn.XLOOKUP(表格1[[#This Row],[Model]],表格3[Model-Input-Ref2],表格3[大小電])</f>
        <v>細電</v>
      </c>
      <c r="J394" s="81" t="str">
        <f>_xlfn.XLOOKUP(表格1[[#This Row],[Model]],表格3[Model-Input-Ref2],表格3[Code])</f>
        <v>SDA</v>
      </c>
      <c r="K394" s="82" t="s">
        <v>1268</v>
      </c>
      <c r="L394" s="81">
        <v>1</v>
      </c>
      <c r="M394" s="85">
        <v>268</v>
      </c>
      <c r="N394" s="85">
        <f>IFERROR(表格1[[#This Row],[QTY]]*表格1[[#This Row],[Unit Price]],"-")</f>
        <v>268</v>
      </c>
      <c r="O394" s="134">
        <v>155624</v>
      </c>
      <c r="P394" s="81"/>
      <c r="Q394" s="81"/>
      <c r="R394" s="81" t="str">
        <f>_xlfn.CONCAT(表格1[[#This Row],[Model]]," ",表格1[[#This Row],[inv no]])</f>
        <v>KT-08DH1VHK(W) 155624</v>
      </c>
      <c r="S394" s="135">
        <f>_xlfn.XLOOKUP(表格1[[#This Row],[Model]],表格3[Model-Input-Ref2],表格3[SRP PRICE])</f>
        <v>428</v>
      </c>
      <c r="T394" s="43">
        <f>表格1[[#This Row],[Unit Price]]/表格1[[#This Row],[SRP]]</f>
        <v>0.62616822429906538</v>
      </c>
      <c r="U394" s="86" t="str">
        <f>_xlfn.XLOOKUP(表格1[[#This Row],[Model]],表格3[Model-Input-Ref2],表格3[TOSHIBA/HIGHEST])</f>
        <v>Toshiba SRP</v>
      </c>
      <c r="V394" s="86">
        <v>110</v>
      </c>
      <c r="W394" s="86" t="str">
        <f>_xlfn.CONCAT(表格1[[#This Row],[欄4]],表格1[[#This Row],[inv no]])</f>
        <v>110155624</v>
      </c>
    </row>
    <row r="395" spans="1:23" ht="16.5" hidden="1">
      <c r="A395" s="81">
        <v>393</v>
      </c>
      <c r="B395" s="81" t="s">
        <v>1260</v>
      </c>
      <c r="C395" s="81" t="s">
        <v>1262</v>
      </c>
      <c r="D395" s="82" t="str">
        <f ca="1">OFFSET(Roster!$A$3,MATCH(表格1[[#This Row],[Location]]&amp;" "&amp;表格1[[#This Row],[Shop]]&amp;"*",Roster!$A$4:$A$72,0),DAY(表格1[[#This Row],[date]]),1,1)</f>
        <v>Shan_1</v>
      </c>
      <c r="E395" s="81">
        <f>MONTH(表格1[[#This Row],[date]])</f>
        <v>3</v>
      </c>
      <c r="F395" s="101">
        <v>46083</v>
      </c>
      <c r="G395" s="81" t="str">
        <f>VLOOKUP("*"&amp;表格1[[#This Row],[Input]]&amp;"*",'Ref-List'!$B:$D,2,)</f>
        <v>RAD-D200H</v>
      </c>
      <c r="H395" s="81" t="str">
        <f>_xlfn.XLOOKUP(表格1[[#This Row],[Model]],表格3[Model-Input-Ref2],表格3[Product Line])</f>
        <v>壓縮式抽濕機 (22公升)</v>
      </c>
      <c r="I395" s="81" t="str">
        <f>_xlfn.XLOOKUP(表格1[[#This Row],[Model]],表格3[Model-Input-Ref2],表格3[大小電])</f>
        <v>細電</v>
      </c>
      <c r="J395" s="81" t="str">
        <f>_xlfn.XLOOKUP(表格1[[#This Row],[Model]],表格3[Model-Input-Ref2],表格3[Code])</f>
        <v>RAC</v>
      </c>
      <c r="K395" s="82" t="s">
        <v>1250</v>
      </c>
      <c r="L395" s="81">
        <v>1</v>
      </c>
      <c r="M395" s="85">
        <v>1980</v>
      </c>
      <c r="N395" s="85">
        <f>IFERROR(表格1[[#This Row],[QTY]]*表格1[[#This Row],[Unit Price]],"-")</f>
        <v>1980</v>
      </c>
      <c r="O395" s="134">
        <v>445278</v>
      </c>
      <c r="P395" s="137"/>
      <c r="Q395" s="81"/>
      <c r="R395" s="81" t="str">
        <f>_xlfn.CONCAT(表格1[[#This Row],[Model]]," ",表格1[[#This Row],[inv no]])</f>
        <v>RAD-D200H 445278</v>
      </c>
      <c r="S395" s="135">
        <f>_xlfn.XLOOKUP(表格1[[#This Row],[Model]],表格3[Model-Input-Ref2],表格3[SRP PRICE])</f>
        <v>2880</v>
      </c>
      <c r="T395" s="43">
        <f>表格1[[#This Row],[Unit Price]]/表格1[[#This Row],[SRP]]</f>
        <v>0.6875</v>
      </c>
      <c r="U395" s="86" t="str">
        <f>_xlfn.XLOOKUP(表格1[[#This Row],[Model]],表格3[Model-Input-Ref2],表格3[TOSHIBA/HIGHEST])</f>
        <v>Shops Highest Price</v>
      </c>
      <c r="V395" s="86">
        <v>110</v>
      </c>
      <c r="W395" s="86" t="str">
        <f>_xlfn.CONCAT(表格1[[#This Row],[欄4]],表格1[[#This Row],[inv no]])</f>
        <v>110445278</v>
      </c>
    </row>
    <row r="396" spans="1:23" hidden="1">
      <c r="A396" s="81">
        <v>394</v>
      </c>
      <c r="B396" s="81" t="s">
        <v>1260</v>
      </c>
      <c r="C396" s="81" t="s">
        <v>1262</v>
      </c>
      <c r="D396" s="82" t="str">
        <f ca="1">OFFSET(Roster!$A$3,MATCH(表格1[[#This Row],[Location]]&amp;" "&amp;表格1[[#This Row],[Shop]]&amp;"*",Roster!$A$4:$A$72,0),DAY(表格1[[#This Row],[date]]),1,1)</f>
        <v>Shan_1</v>
      </c>
      <c r="E396" s="81">
        <f>MONTH(表格1[[#This Row],[date]])</f>
        <v>3</v>
      </c>
      <c r="F396" s="101">
        <v>46086</v>
      </c>
      <c r="G396" s="81" t="str">
        <f>VLOOKUP("*"&amp;表格1[[#This Row],[Input]]&amp;"*",'Ref-List'!$B:$D,2,)</f>
        <v>RAD-D300H</v>
      </c>
      <c r="H396" s="81" t="str">
        <f>_xlfn.XLOOKUP(表格1[[#This Row],[Model]],表格3[Model-Input-Ref2],表格3[Product Line])</f>
        <v>壓縮式抽濕機 (30公升)</v>
      </c>
      <c r="I396" s="81" t="str">
        <f>_xlfn.XLOOKUP(表格1[[#This Row],[Model]],表格3[Model-Input-Ref2],表格3[大小電])</f>
        <v>細電</v>
      </c>
      <c r="J396" s="81" t="str">
        <f>_xlfn.XLOOKUP(表格1[[#This Row],[Model]],表格3[Model-Input-Ref2],表格3[Code])</f>
        <v>RAC</v>
      </c>
      <c r="K396" s="82" t="s">
        <v>1252</v>
      </c>
      <c r="L396" s="81">
        <v>1</v>
      </c>
      <c r="M396" s="85">
        <v>2280</v>
      </c>
      <c r="N396" s="85">
        <f>IFERROR(表格1[[#This Row],[QTY]]*表格1[[#This Row],[Unit Price]],"-")</f>
        <v>2280</v>
      </c>
      <c r="O396" s="134">
        <v>155674</v>
      </c>
      <c r="P396" s="81"/>
      <c r="Q396" s="81"/>
      <c r="R396" s="81" t="str">
        <f>_xlfn.CONCAT(表格1[[#This Row],[Model]]," ",表格1[[#This Row],[inv no]])</f>
        <v>RAD-D300H 155674</v>
      </c>
      <c r="S396" s="135">
        <f>_xlfn.XLOOKUP(表格1[[#This Row],[Model]],表格3[Model-Input-Ref2],表格3[SRP PRICE])</f>
        <v>3380</v>
      </c>
      <c r="T396" s="43">
        <f>表格1[[#This Row],[Unit Price]]/表格1[[#This Row],[SRP]]</f>
        <v>0.67455621301775148</v>
      </c>
      <c r="U396" s="86" t="str">
        <f>_xlfn.XLOOKUP(表格1[[#This Row],[Model]],表格3[Model-Input-Ref2],表格3[TOSHIBA/HIGHEST])</f>
        <v>Shops Highest Price</v>
      </c>
      <c r="V396" s="86">
        <v>110</v>
      </c>
      <c r="W396" s="86" t="str">
        <f>_xlfn.CONCAT(表格1[[#This Row],[欄4]],表格1[[#This Row],[inv no]])</f>
        <v>110155674</v>
      </c>
    </row>
    <row r="397" spans="1:23" hidden="1">
      <c r="A397" s="81">
        <v>395</v>
      </c>
      <c r="B397" s="81" t="s">
        <v>1260</v>
      </c>
      <c r="C397" s="81" t="s">
        <v>1262</v>
      </c>
      <c r="D397" s="82" t="str">
        <f ca="1">OFFSET(Roster!$A$3,MATCH(表格1[[#This Row],[Location]]&amp;" "&amp;表格1[[#This Row],[Shop]]&amp;"*",Roster!$A$4:$A$72,0),DAY(表格1[[#This Row],[date]]),1,1)</f>
        <v>Shan_1</v>
      </c>
      <c r="E397" s="81">
        <f>MONTH(表格1[[#This Row],[date]])</f>
        <v>3</v>
      </c>
      <c r="F397" s="101">
        <v>46086</v>
      </c>
      <c r="G397" s="81" t="str">
        <f>VLOOKUP("*"&amp;表格1[[#This Row],[Input]]&amp;"*",'Ref-List'!$B:$D,2,)</f>
        <v>RAD-D300H</v>
      </c>
      <c r="H397" s="81" t="str">
        <f>_xlfn.XLOOKUP(表格1[[#This Row],[Model]],表格3[Model-Input-Ref2],表格3[Product Line])</f>
        <v>壓縮式抽濕機 (30公升)</v>
      </c>
      <c r="I397" s="81" t="str">
        <f>_xlfn.XLOOKUP(表格1[[#This Row],[Model]],表格3[Model-Input-Ref2],表格3[大小電])</f>
        <v>細電</v>
      </c>
      <c r="J397" s="81" t="str">
        <f>_xlfn.XLOOKUP(表格1[[#This Row],[Model]],表格3[Model-Input-Ref2],表格3[Code])</f>
        <v>RAC</v>
      </c>
      <c r="K397" s="82" t="s">
        <v>1252</v>
      </c>
      <c r="L397" s="81">
        <v>1</v>
      </c>
      <c r="M397" s="85">
        <v>2280</v>
      </c>
      <c r="N397" s="85">
        <f>IFERROR(表格1[[#This Row],[QTY]]*表格1[[#This Row],[Unit Price]],"-")</f>
        <v>2280</v>
      </c>
      <c r="O397" s="134">
        <v>439661</v>
      </c>
      <c r="P397" s="81"/>
      <c r="Q397" s="81"/>
      <c r="R397" s="81" t="str">
        <f>_xlfn.CONCAT(表格1[[#This Row],[Model]]," ",表格1[[#This Row],[inv no]])</f>
        <v>RAD-D300H 439661</v>
      </c>
      <c r="S397" s="135">
        <f>_xlfn.XLOOKUP(表格1[[#This Row],[Model]],表格3[Model-Input-Ref2],表格3[SRP PRICE])</f>
        <v>3380</v>
      </c>
      <c r="T397" s="43">
        <f>表格1[[#This Row],[Unit Price]]/表格1[[#This Row],[SRP]]</f>
        <v>0.67455621301775148</v>
      </c>
      <c r="U397" s="86" t="str">
        <f>_xlfn.XLOOKUP(表格1[[#This Row],[Model]],表格3[Model-Input-Ref2],表格3[TOSHIBA/HIGHEST])</f>
        <v>Shops Highest Price</v>
      </c>
      <c r="V397" s="86">
        <v>110</v>
      </c>
      <c r="W397" s="86" t="str">
        <f>_xlfn.CONCAT(表格1[[#This Row],[欄4]],表格1[[#This Row],[inv no]])</f>
        <v>110439661</v>
      </c>
    </row>
    <row r="398" spans="1:23" hidden="1">
      <c r="A398" s="81">
        <v>396</v>
      </c>
      <c r="B398" s="81" t="s">
        <v>1260</v>
      </c>
      <c r="C398" s="81" t="s">
        <v>1262</v>
      </c>
      <c r="D398" s="82" t="str">
        <f ca="1">OFFSET(Roster!$A$3,MATCH(表格1[[#This Row],[Location]]&amp;" "&amp;表格1[[#This Row],[Shop]]&amp;"*",Roster!$A$4:$A$72,0),DAY(表格1[[#This Row],[date]]),1,1)</f>
        <v>Shan_1</v>
      </c>
      <c r="E398" s="81">
        <f>MONTH(表格1[[#This Row],[date]])</f>
        <v>3</v>
      </c>
      <c r="F398" s="101">
        <v>46086</v>
      </c>
      <c r="G398" s="81" t="str">
        <f>VLOOKUP("*"&amp;表格1[[#This Row],[Input]]&amp;"*",'Ref-List'!$B:$D,2,)</f>
        <v>RAD-D300H</v>
      </c>
      <c r="H398" s="81" t="str">
        <f>_xlfn.XLOOKUP(表格1[[#This Row],[Model]],表格3[Model-Input-Ref2],表格3[Product Line])</f>
        <v>壓縮式抽濕機 (30公升)</v>
      </c>
      <c r="I398" s="81" t="str">
        <f>_xlfn.XLOOKUP(表格1[[#This Row],[Model]],表格3[Model-Input-Ref2],表格3[大小電])</f>
        <v>細電</v>
      </c>
      <c r="J398" s="81" t="str">
        <f>_xlfn.XLOOKUP(表格1[[#This Row],[Model]],表格3[Model-Input-Ref2],表格3[Code])</f>
        <v>RAC</v>
      </c>
      <c r="K398" s="82" t="s">
        <v>1252</v>
      </c>
      <c r="L398" s="81">
        <v>1</v>
      </c>
      <c r="M398" s="85">
        <v>2280</v>
      </c>
      <c r="N398" s="85">
        <f>IFERROR(表格1[[#This Row],[QTY]]*表格1[[#This Row],[Unit Price]],"-")</f>
        <v>2280</v>
      </c>
      <c r="O398" s="134">
        <v>439660</v>
      </c>
      <c r="P398" s="81"/>
      <c r="Q398" s="81"/>
      <c r="R398" s="81" t="str">
        <f>_xlfn.CONCAT(表格1[[#This Row],[Model]]," ",表格1[[#This Row],[inv no]])</f>
        <v>RAD-D300H 439660</v>
      </c>
      <c r="S398" s="135">
        <f>_xlfn.XLOOKUP(表格1[[#This Row],[Model]],表格3[Model-Input-Ref2],表格3[SRP PRICE])</f>
        <v>3380</v>
      </c>
      <c r="T398" s="43">
        <f>表格1[[#This Row],[Unit Price]]/表格1[[#This Row],[SRP]]</f>
        <v>0.67455621301775148</v>
      </c>
      <c r="U398" s="86" t="str">
        <f>_xlfn.XLOOKUP(表格1[[#This Row],[Model]],表格3[Model-Input-Ref2],表格3[TOSHIBA/HIGHEST])</f>
        <v>Shops Highest Price</v>
      </c>
      <c r="V398" s="86">
        <v>110</v>
      </c>
      <c r="W398" s="86" t="str">
        <f>_xlfn.CONCAT(表格1[[#This Row],[欄4]],表格1[[#This Row],[inv no]])</f>
        <v>110439660</v>
      </c>
    </row>
    <row r="399" spans="1:23" hidden="1">
      <c r="A399" s="81">
        <v>397</v>
      </c>
      <c r="B399" s="81" t="s">
        <v>1260</v>
      </c>
      <c r="C399" s="81" t="s">
        <v>1262</v>
      </c>
      <c r="D399" s="82" t="str">
        <f ca="1">OFFSET(Roster!$A$3,MATCH(表格1[[#This Row],[Location]]&amp;" "&amp;表格1[[#This Row],[Shop]]&amp;"*",Roster!$A$4:$A$72,0),DAY(表格1[[#This Row],[date]]),1,1)</f>
        <v>Shan_1</v>
      </c>
      <c r="E399" s="81">
        <f>MONTH(表格1[[#This Row],[date]])</f>
        <v>3</v>
      </c>
      <c r="F399" s="101">
        <v>46086</v>
      </c>
      <c r="G399" s="81" t="str">
        <f>VLOOKUP("*"&amp;表格1[[#This Row],[Input]]&amp;"*",'Ref-List'!$B:$D,2,)</f>
        <v>RC-18NMFIH(WT)</v>
      </c>
      <c r="H399" s="81" t="str">
        <f>_xlfn.XLOOKUP(表格1[[#This Row],[Model]],表格3[Model-Input-Ref2],表格3[Product Line])</f>
        <v>4毫米厚釜電飯煲1.8L</v>
      </c>
      <c r="I399" s="81" t="str">
        <f>_xlfn.XLOOKUP(表格1[[#This Row],[Model]],表格3[Model-Input-Ref2],表格3[大小電])</f>
        <v>細電</v>
      </c>
      <c r="J399" s="81" t="str">
        <f>_xlfn.XLOOKUP(表格1[[#This Row],[Model]],表格3[Model-Input-Ref2],表格3[Code])</f>
        <v>SDA</v>
      </c>
      <c r="K399" s="82" t="s">
        <v>1267</v>
      </c>
      <c r="L399" s="81">
        <v>1</v>
      </c>
      <c r="M399" s="85">
        <v>799</v>
      </c>
      <c r="N399" s="85">
        <f>IFERROR(表格1[[#This Row],[QTY]]*表格1[[#This Row],[Unit Price]],"-")</f>
        <v>799</v>
      </c>
      <c r="O399" s="134">
        <v>439640</v>
      </c>
      <c r="P399" s="81"/>
      <c r="Q399" s="81"/>
      <c r="R399" s="81" t="str">
        <f>_xlfn.CONCAT(表格1[[#This Row],[Model]]," ",表格1[[#This Row],[inv no]])</f>
        <v>RC-18NMFIH(WT) 439640</v>
      </c>
      <c r="S399" s="135">
        <f>_xlfn.XLOOKUP(表格1[[#This Row],[Model]],表格3[Model-Input-Ref2],表格3[SRP PRICE])</f>
        <v>998</v>
      </c>
      <c r="T399" s="43">
        <f>表格1[[#This Row],[Unit Price]]/表格1[[#This Row],[SRP]]</f>
        <v>0.80060120240480959</v>
      </c>
      <c r="U399" s="86" t="str">
        <f>_xlfn.XLOOKUP(表格1[[#This Row],[Model]],表格3[Model-Input-Ref2],表格3[TOSHIBA/HIGHEST])</f>
        <v>Toshiba SRP</v>
      </c>
      <c r="V399" s="86">
        <v>110</v>
      </c>
      <c r="W399" s="86" t="str">
        <f>_xlfn.CONCAT(表格1[[#This Row],[欄4]],表格1[[#This Row],[inv no]])</f>
        <v>110439640</v>
      </c>
    </row>
    <row r="400" spans="1:23" hidden="1">
      <c r="A400" s="81">
        <v>398</v>
      </c>
      <c r="B400" s="81" t="s">
        <v>1260</v>
      </c>
      <c r="C400" s="81" t="s">
        <v>1262</v>
      </c>
      <c r="D400" s="82" t="str">
        <f ca="1">OFFSET(Roster!$A$3,MATCH(表格1[[#This Row],[Location]]&amp;" "&amp;表格1[[#This Row],[Shop]]&amp;"*",Roster!$A$4:$A$72,0),DAY(表格1[[#This Row],[date]]),1,1)</f>
        <v>Shan_1</v>
      </c>
      <c r="E400" s="81">
        <f>MONTH(表格1[[#This Row],[date]])</f>
        <v>3</v>
      </c>
      <c r="F400" s="101">
        <v>46086</v>
      </c>
      <c r="G400" s="81" t="str">
        <f>VLOOKUP("*"&amp;表格1[[#This Row],[Input]]&amp;"*",'Ref-List'!$B:$D,2,)</f>
        <v>RC-10BHH(W)</v>
      </c>
      <c r="H400" s="81" t="str">
        <f>_xlfn.XLOOKUP(表格1[[#This Row],[Model]],表格3[Model-Input-Ref2],表格3[Product Line])</f>
        <v>酵活炊磁應電飯煲</v>
      </c>
      <c r="I400" s="81" t="str">
        <f>_xlfn.XLOOKUP(表格1[[#This Row],[Model]],表格3[Model-Input-Ref2],表格3[大小電])</f>
        <v>細電</v>
      </c>
      <c r="J400" s="81" t="str">
        <f>_xlfn.XLOOKUP(表格1[[#This Row],[Model]],表格3[Model-Input-Ref2],表格3[Code])</f>
        <v>SDA</v>
      </c>
      <c r="K400" s="82" t="s">
        <v>1269</v>
      </c>
      <c r="L400" s="81">
        <v>1</v>
      </c>
      <c r="M400" s="85">
        <v>1688</v>
      </c>
      <c r="N400" s="85">
        <f>IFERROR(表格1[[#This Row],[QTY]]*表格1[[#This Row],[Unit Price]],"-")</f>
        <v>1688</v>
      </c>
      <c r="O400" s="134">
        <v>439619</v>
      </c>
      <c r="P400" s="81"/>
      <c r="Q400" s="81"/>
      <c r="R400" s="81" t="str">
        <f>_xlfn.CONCAT(表格1[[#This Row],[Model]]," ",表格1[[#This Row],[inv no]])</f>
        <v>RC-10BHH(W) 439619</v>
      </c>
      <c r="S400" s="135">
        <f>_xlfn.XLOOKUP(表格1[[#This Row],[Model]],表格3[Model-Input-Ref2],表格3[SRP PRICE])</f>
        <v>2088</v>
      </c>
      <c r="T400" s="43">
        <f>表格1[[#This Row],[Unit Price]]/表格1[[#This Row],[SRP]]</f>
        <v>0.80842911877394641</v>
      </c>
      <c r="U400" s="86" t="str">
        <f>_xlfn.XLOOKUP(表格1[[#This Row],[Model]],表格3[Model-Input-Ref2],表格3[TOSHIBA/HIGHEST])</f>
        <v>Shops Highest Price</v>
      </c>
      <c r="V400" s="86">
        <v>110</v>
      </c>
      <c r="W400" s="86" t="str">
        <f>_xlfn.CONCAT(表格1[[#This Row],[欄4]],表格1[[#This Row],[inv no]])</f>
        <v>110439619</v>
      </c>
    </row>
    <row r="401" spans="1:23" hidden="1">
      <c r="A401" s="81">
        <v>399</v>
      </c>
      <c r="B401" s="81" t="s">
        <v>1260</v>
      </c>
      <c r="C401" s="81" t="s">
        <v>1262</v>
      </c>
      <c r="D401" s="82" t="str">
        <f ca="1">OFFSET(Roster!$A$3,MATCH(表格1[[#This Row],[Location]]&amp;" "&amp;表格1[[#This Row],[Shop]]&amp;"*",Roster!$A$4:$A$72,0),DAY(表格1[[#This Row],[date]]),1,1)</f>
        <v>Shan_1</v>
      </c>
      <c r="E401" s="81">
        <f>MONTH(表格1[[#This Row],[date]])</f>
        <v>3</v>
      </c>
      <c r="F401" s="101">
        <v>46086</v>
      </c>
      <c r="G401" s="81" t="str">
        <f>VLOOKUP("*"&amp;表格1[[#This Row],[Input]]&amp;"*",'Ref-List'!$B:$D,2,)</f>
        <v>RAD-D300H</v>
      </c>
      <c r="H401" s="81" t="str">
        <f>_xlfn.XLOOKUP(表格1[[#This Row],[Model]],表格3[Model-Input-Ref2],表格3[Product Line])</f>
        <v>壓縮式抽濕機 (30公升)</v>
      </c>
      <c r="I401" s="81" t="str">
        <f>_xlfn.XLOOKUP(表格1[[#This Row],[Model]],表格3[Model-Input-Ref2],表格3[大小電])</f>
        <v>細電</v>
      </c>
      <c r="J401" s="81" t="str">
        <f>_xlfn.XLOOKUP(表格1[[#This Row],[Model]],表格3[Model-Input-Ref2],表格3[Code])</f>
        <v>RAC</v>
      </c>
      <c r="K401" s="82" t="s">
        <v>1252</v>
      </c>
      <c r="L401" s="81">
        <v>1</v>
      </c>
      <c r="M401" s="85">
        <v>2280</v>
      </c>
      <c r="N401" s="85">
        <f>IFERROR(表格1[[#This Row],[QTY]]*表格1[[#This Row],[Unit Price]],"-")</f>
        <v>2280</v>
      </c>
      <c r="O401" s="134">
        <v>439749</v>
      </c>
      <c r="P401" s="81"/>
      <c r="Q401" s="81"/>
      <c r="R401" s="81" t="str">
        <f>_xlfn.CONCAT(表格1[[#This Row],[Model]]," ",表格1[[#This Row],[inv no]])</f>
        <v>RAD-D300H 439749</v>
      </c>
      <c r="S401" s="135">
        <f>_xlfn.XLOOKUP(表格1[[#This Row],[Model]],表格3[Model-Input-Ref2],表格3[SRP PRICE])</f>
        <v>3380</v>
      </c>
      <c r="T401" s="43">
        <f>表格1[[#This Row],[Unit Price]]/表格1[[#This Row],[SRP]]</f>
        <v>0.67455621301775148</v>
      </c>
      <c r="U401" s="86" t="str">
        <f>_xlfn.XLOOKUP(表格1[[#This Row],[Model]],表格3[Model-Input-Ref2],表格3[TOSHIBA/HIGHEST])</f>
        <v>Shops Highest Price</v>
      </c>
      <c r="V401" s="86">
        <v>110</v>
      </c>
      <c r="W401" s="86" t="str">
        <f>_xlfn.CONCAT(表格1[[#This Row],[欄4]],表格1[[#This Row],[inv no]])</f>
        <v>110439749</v>
      </c>
    </row>
    <row r="402" spans="1:23" hidden="1">
      <c r="A402" s="81">
        <v>400</v>
      </c>
      <c r="B402" s="81" t="s">
        <v>1260</v>
      </c>
      <c r="C402" s="81" t="s">
        <v>1262</v>
      </c>
      <c r="D402" s="82" t="str">
        <f ca="1">OFFSET(Roster!$A$3,MATCH(表格1[[#This Row],[Location]]&amp;" "&amp;表格1[[#This Row],[Shop]]&amp;"*",Roster!$A$4:$A$72,0),DAY(表格1[[#This Row],[date]]),1,1)</f>
        <v>Shan_1</v>
      </c>
      <c r="E402" s="81">
        <f>MONTH(表格1[[#This Row],[date]])</f>
        <v>3</v>
      </c>
      <c r="F402" s="101">
        <v>46087</v>
      </c>
      <c r="G402" s="81" t="str">
        <f>VLOOKUP("*"&amp;表格1[[#This Row],[Input]]&amp;"*",'Ref-List'!$B:$D,2,)</f>
        <v>MWP-MM20P(WH)</v>
      </c>
      <c r="H402" s="81" t="str">
        <f>_xlfn.XLOOKUP(表格1[[#This Row],[Model]],表格3[Model-Input-Ref2],表格3[Product Line])</f>
        <v>旋鈕式燒烤微波爐20L</v>
      </c>
      <c r="I402" s="81" t="str">
        <f>_xlfn.XLOOKUP(表格1[[#This Row],[Model]],表格3[Model-Input-Ref2],表格3[大小電])</f>
        <v>細電</v>
      </c>
      <c r="J402" s="81" t="str">
        <f>_xlfn.XLOOKUP(表格1[[#This Row],[Model]],表格3[Model-Input-Ref2],表格3[Code])</f>
        <v>SDA</v>
      </c>
      <c r="K402" s="82" t="s">
        <v>1270</v>
      </c>
      <c r="L402" s="81">
        <v>1</v>
      </c>
      <c r="M402" s="85">
        <v>518</v>
      </c>
      <c r="N402" s="85">
        <f>IFERROR(表格1[[#This Row],[QTY]]*表格1[[#This Row],[Unit Price]],"-")</f>
        <v>518</v>
      </c>
      <c r="O402" s="134">
        <v>155691</v>
      </c>
      <c r="P402" s="81"/>
      <c r="Q402" s="81"/>
      <c r="R402" s="81" t="str">
        <f>_xlfn.CONCAT(表格1[[#This Row],[Model]]," ",表格1[[#This Row],[inv no]])</f>
        <v>MWP-MM20P(WH) 155691</v>
      </c>
      <c r="S402" s="135">
        <f>_xlfn.XLOOKUP(表格1[[#This Row],[Model]],表格3[Model-Input-Ref2],表格3[SRP PRICE])</f>
        <v>648</v>
      </c>
      <c r="T402" s="43">
        <f>表格1[[#This Row],[Unit Price]]/表格1[[#This Row],[SRP]]</f>
        <v>0.79938271604938271</v>
      </c>
      <c r="U402" s="86" t="str">
        <f>_xlfn.XLOOKUP(表格1[[#This Row],[Model]],表格3[Model-Input-Ref2],表格3[TOSHIBA/HIGHEST])</f>
        <v>Toshiba SRP</v>
      </c>
      <c r="V402" s="86">
        <v>110</v>
      </c>
      <c r="W402" s="86" t="str">
        <f>_xlfn.CONCAT(表格1[[#This Row],[欄4]],表格1[[#This Row],[inv no]])</f>
        <v>110155691</v>
      </c>
    </row>
    <row r="403" spans="1:23" ht="16.5" hidden="1">
      <c r="A403" s="81">
        <v>401</v>
      </c>
      <c r="B403" s="81" t="s">
        <v>1260</v>
      </c>
      <c r="C403" s="81" t="s">
        <v>1262</v>
      </c>
      <c r="D403" s="82" t="str">
        <f ca="1">OFFSET(Roster!$A$3,MATCH(表格1[[#This Row],[Location]]&amp;" "&amp;表格1[[#This Row],[Shop]]&amp;"*",Roster!$A$4:$A$72,0),DAY(表格1[[#This Row],[date]]),1,1)</f>
        <v>Shan_1</v>
      </c>
      <c r="E403" s="81">
        <f>MONTH(表格1[[#This Row],[date]])</f>
        <v>3</v>
      </c>
      <c r="F403" s="101">
        <v>46087</v>
      </c>
      <c r="G403" s="81" t="str">
        <f>VLOOKUP("*"&amp;表格1[[#This Row],[Input]]&amp;"*",'Ref-List'!$B:$D,2,)</f>
        <v>RAD-D300H</v>
      </c>
      <c r="H403" s="81" t="str">
        <f>_xlfn.XLOOKUP(表格1[[#This Row],[Model]],表格3[Model-Input-Ref2],表格3[Product Line])</f>
        <v>壓縮式抽濕機 (30公升)</v>
      </c>
      <c r="I403" s="81" t="str">
        <f>_xlfn.XLOOKUP(表格1[[#This Row],[Model]],表格3[Model-Input-Ref2],表格3[大小電])</f>
        <v>細電</v>
      </c>
      <c r="J403" s="81" t="str">
        <f>_xlfn.XLOOKUP(表格1[[#This Row],[Model]],表格3[Model-Input-Ref2],表格3[Code])</f>
        <v>RAC</v>
      </c>
      <c r="K403" s="82" t="s">
        <v>1252</v>
      </c>
      <c r="L403" s="81">
        <v>1</v>
      </c>
      <c r="M403" s="85">
        <v>2280</v>
      </c>
      <c r="N403" s="85">
        <f>IFERROR(表格1[[#This Row],[QTY]]*表格1[[#This Row],[Unit Price]],"-")</f>
        <v>2280</v>
      </c>
      <c r="O403" s="134">
        <v>155692</v>
      </c>
      <c r="P403" s="137"/>
      <c r="Q403" s="81"/>
      <c r="R403" s="81" t="str">
        <f>_xlfn.CONCAT(表格1[[#This Row],[Model]]," ",表格1[[#This Row],[inv no]])</f>
        <v>RAD-D300H 155692</v>
      </c>
      <c r="S403" s="135">
        <f>_xlfn.XLOOKUP(表格1[[#This Row],[Model]],表格3[Model-Input-Ref2],表格3[SRP PRICE])</f>
        <v>3380</v>
      </c>
      <c r="T403" s="43">
        <f>表格1[[#This Row],[Unit Price]]/表格1[[#This Row],[SRP]]</f>
        <v>0.67455621301775148</v>
      </c>
      <c r="U403" s="86" t="str">
        <f>_xlfn.XLOOKUP(表格1[[#This Row],[Model]],表格3[Model-Input-Ref2],表格3[TOSHIBA/HIGHEST])</f>
        <v>Shops Highest Price</v>
      </c>
      <c r="V403" s="86">
        <v>110</v>
      </c>
      <c r="W403" s="86" t="str">
        <f>_xlfn.CONCAT(表格1[[#This Row],[欄4]],表格1[[#This Row],[inv no]])</f>
        <v>110155692</v>
      </c>
    </row>
    <row r="404" spans="1:23" ht="16.5" hidden="1">
      <c r="A404" s="81">
        <v>402</v>
      </c>
      <c r="B404" s="81" t="s">
        <v>1260</v>
      </c>
      <c r="C404" s="81" t="s">
        <v>1262</v>
      </c>
      <c r="D404" s="82" t="str">
        <f ca="1">OFFSET(Roster!$A$3,MATCH(表格1[[#This Row],[Location]]&amp;" "&amp;表格1[[#This Row],[Shop]]&amp;"*",Roster!$A$4:$A$72,0),DAY(表格1[[#This Row],[date]]),1,1)</f>
        <v>Shan_1</v>
      </c>
      <c r="E404" s="81">
        <f>MONTH(表格1[[#This Row],[date]])</f>
        <v>3</v>
      </c>
      <c r="F404" s="101">
        <v>46087</v>
      </c>
      <c r="G404" s="81" t="str">
        <f>VLOOKUP("*"&amp;表格1[[#This Row],[Input]]&amp;"*",'Ref-List'!$B:$D,2,)</f>
        <v>IC-20R1THK</v>
      </c>
      <c r="H404" s="81" t="str">
        <f>_xlfn.XLOOKUP(表格1[[#This Row],[Model]],表格3[Model-Input-Ref2],表格3[Product Line])</f>
        <v>輕便式電磁爐</v>
      </c>
      <c r="I404" s="81" t="str">
        <f>_xlfn.XLOOKUP(表格1[[#This Row],[Model]],表格3[Model-Input-Ref2],表格3[大小電])</f>
        <v>細電</v>
      </c>
      <c r="J404" s="81" t="str">
        <f>_xlfn.XLOOKUP(表格1[[#This Row],[Model]],表格3[Model-Input-Ref2],表格3[Code])</f>
        <v>SDA</v>
      </c>
      <c r="K404" s="82" t="s">
        <v>1243</v>
      </c>
      <c r="L404" s="81">
        <v>1</v>
      </c>
      <c r="M404" s="85">
        <v>298</v>
      </c>
      <c r="N404" s="85">
        <f>IFERROR(表格1[[#This Row],[QTY]]*表格1[[#This Row],[Unit Price]],"-")</f>
        <v>298</v>
      </c>
      <c r="O404" s="134">
        <v>440084</v>
      </c>
      <c r="P404" s="137"/>
      <c r="Q404" s="81"/>
      <c r="R404" s="81" t="str">
        <f>_xlfn.CONCAT(表格1[[#This Row],[Model]]," ",表格1[[#This Row],[inv no]])</f>
        <v>IC-20R1THK 440084</v>
      </c>
      <c r="S404" s="135">
        <f>_xlfn.XLOOKUP(表格1[[#This Row],[Model]],表格3[Model-Input-Ref2],表格3[SRP PRICE])</f>
        <v>438</v>
      </c>
      <c r="T404" s="43">
        <f>表格1[[#This Row],[Unit Price]]/表格1[[#This Row],[SRP]]</f>
        <v>0.68036529680365299</v>
      </c>
      <c r="U404" s="86" t="str">
        <f>_xlfn.XLOOKUP(表格1[[#This Row],[Model]],表格3[Model-Input-Ref2],表格3[TOSHIBA/HIGHEST])</f>
        <v>Shops Highest Price</v>
      </c>
      <c r="V404" s="86">
        <v>110</v>
      </c>
      <c r="W404" s="86" t="str">
        <f>_xlfn.CONCAT(表格1[[#This Row],[欄4]],表格1[[#This Row],[inv no]])</f>
        <v>110440084</v>
      </c>
    </row>
    <row r="405" spans="1:23" hidden="1">
      <c r="A405" s="81">
        <v>403</v>
      </c>
      <c r="B405" s="81" t="s">
        <v>1260</v>
      </c>
      <c r="C405" s="81" t="s">
        <v>1262</v>
      </c>
      <c r="D405" s="82" t="str">
        <f ca="1">OFFSET(Roster!$A$3,MATCH(表格1[[#This Row],[Location]]&amp;" "&amp;表格1[[#This Row],[Shop]]&amp;"*",Roster!$A$4:$A$72,0),DAY(表格1[[#This Row],[date]]),1,1)</f>
        <v>Shan_1</v>
      </c>
      <c r="E405" s="81">
        <f>MONTH(表格1[[#This Row],[date]])</f>
        <v>3</v>
      </c>
      <c r="F405" s="101">
        <v>46087</v>
      </c>
      <c r="G405" s="81" t="str">
        <f>VLOOKUP("*"&amp;表格1[[#This Row],[Input]]&amp;"*",'Ref-List'!$B:$D,2,)</f>
        <v>IC-20R1THK</v>
      </c>
      <c r="H405" s="81" t="str">
        <f>_xlfn.XLOOKUP(表格1[[#This Row],[Model]],表格3[Model-Input-Ref2],表格3[Product Line])</f>
        <v>輕便式電磁爐</v>
      </c>
      <c r="I405" s="81" t="str">
        <f>_xlfn.XLOOKUP(表格1[[#This Row],[Model]],表格3[Model-Input-Ref2],表格3[大小電])</f>
        <v>細電</v>
      </c>
      <c r="J405" s="81" t="str">
        <f>_xlfn.XLOOKUP(表格1[[#This Row],[Model]],表格3[Model-Input-Ref2],表格3[Code])</f>
        <v>SDA</v>
      </c>
      <c r="K405" s="82" t="s">
        <v>1243</v>
      </c>
      <c r="L405" s="81">
        <v>1</v>
      </c>
      <c r="M405" s="85">
        <v>298</v>
      </c>
      <c r="N405" s="85">
        <f>IFERROR(表格1[[#This Row],[QTY]]*表格1[[#This Row],[Unit Price]],"-")</f>
        <v>298</v>
      </c>
      <c r="O405" s="134">
        <v>155695</v>
      </c>
      <c r="P405" s="81"/>
      <c r="Q405" s="81"/>
      <c r="R405" s="81" t="str">
        <f>_xlfn.CONCAT(表格1[[#This Row],[Model]]," ",表格1[[#This Row],[inv no]])</f>
        <v>IC-20R1THK 155695</v>
      </c>
      <c r="S405" s="135">
        <f>_xlfn.XLOOKUP(表格1[[#This Row],[Model]],表格3[Model-Input-Ref2],表格3[SRP PRICE])</f>
        <v>438</v>
      </c>
      <c r="T405" s="43">
        <f>表格1[[#This Row],[Unit Price]]/表格1[[#This Row],[SRP]]</f>
        <v>0.68036529680365299</v>
      </c>
      <c r="U405" s="86" t="str">
        <f>_xlfn.XLOOKUP(表格1[[#This Row],[Model]],表格3[Model-Input-Ref2],表格3[TOSHIBA/HIGHEST])</f>
        <v>Shops Highest Price</v>
      </c>
      <c r="V405" s="86">
        <v>110</v>
      </c>
      <c r="W405" s="86" t="str">
        <f>_xlfn.CONCAT(表格1[[#This Row],[欄4]],表格1[[#This Row],[inv no]])</f>
        <v>110155695</v>
      </c>
    </row>
    <row r="406" spans="1:23" hidden="1">
      <c r="A406" s="81">
        <v>404</v>
      </c>
      <c r="B406" s="81" t="s">
        <v>1260</v>
      </c>
      <c r="C406" s="81" t="s">
        <v>1262</v>
      </c>
      <c r="D406" s="82" t="str">
        <f ca="1">OFFSET(Roster!$A$3,MATCH(表格1[[#This Row],[Location]]&amp;" "&amp;表格1[[#This Row],[Shop]]&amp;"*",Roster!$A$4:$A$72,0),DAY(表格1[[#This Row],[date]]),1,1)</f>
        <v>Shan_1</v>
      </c>
      <c r="E406" s="81">
        <f>MONTH(表格1[[#This Row],[date]])</f>
        <v>3</v>
      </c>
      <c r="F406" s="101">
        <v>46087</v>
      </c>
      <c r="G406" s="81" t="str">
        <f>VLOOKUP("*"&amp;表格1[[#This Row],[Input]]&amp;"*",'Ref-List'!$B:$D,2,)</f>
        <v>RAD-D300H</v>
      </c>
      <c r="H406" s="81" t="str">
        <f>_xlfn.XLOOKUP(表格1[[#This Row],[Model]],表格3[Model-Input-Ref2],表格3[Product Line])</f>
        <v>壓縮式抽濕機 (30公升)</v>
      </c>
      <c r="I406" s="81" t="str">
        <f>_xlfn.XLOOKUP(表格1[[#This Row],[Model]],表格3[Model-Input-Ref2],表格3[大小電])</f>
        <v>細電</v>
      </c>
      <c r="J406" s="81" t="str">
        <f>_xlfn.XLOOKUP(表格1[[#This Row],[Model]],表格3[Model-Input-Ref2],表格3[Code])</f>
        <v>RAC</v>
      </c>
      <c r="K406" s="82" t="s">
        <v>1252</v>
      </c>
      <c r="L406" s="81">
        <v>1</v>
      </c>
      <c r="M406" s="85">
        <v>2280</v>
      </c>
      <c r="N406" s="85">
        <f>IFERROR(表格1[[#This Row],[QTY]]*表格1[[#This Row],[Unit Price]],"-")</f>
        <v>2280</v>
      </c>
      <c r="O406" s="134">
        <v>440123</v>
      </c>
      <c r="P406" s="81"/>
      <c r="Q406" s="81"/>
      <c r="R406" s="81" t="str">
        <f>_xlfn.CONCAT(表格1[[#This Row],[Model]]," ",表格1[[#This Row],[inv no]])</f>
        <v>RAD-D300H 440123</v>
      </c>
      <c r="S406" s="135">
        <f>_xlfn.XLOOKUP(表格1[[#This Row],[Model]],表格3[Model-Input-Ref2],表格3[SRP PRICE])</f>
        <v>3380</v>
      </c>
      <c r="T406" s="43">
        <f>表格1[[#This Row],[Unit Price]]/表格1[[#This Row],[SRP]]</f>
        <v>0.67455621301775148</v>
      </c>
      <c r="U406" s="86" t="str">
        <f>_xlfn.XLOOKUP(表格1[[#This Row],[Model]],表格3[Model-Input-Ref2],表格3[TOSHIBA/HIGHEST])</f>
        <v>Shops Highest Price</v>
      </c>
      <c r="V406" s="86">
        <v>110</v>
      </c>
      <c r="W406" s="86" t="str">
        <f>_xlfn.CONCAT(表格1[[#This Row],[欄4]],表格1[[#This Row],[inv no]])</f>
        <v>110440123</v>
      </c>
    </row>
    <row r="407" spans="1:23" ht="16.5" hidden="1">
      <c r="A407" s="81">
        <v>405</v>
      </c>
      <c r="B407" s="81" t="s">
        <v>1260</v>
      </c>
      <c r="C407" s="81" t="s">
        <v>1261</v>
      </c>
      <c r="D407" s="82" t="str">
        <f ca="1">OFFSET(Roster!$A$3,MATCH(表格1[[#This Row],[Location]]&amp;" "&amp;表格1[[#This Row],[Shop]]&amp;"*",Roster!$A$4:$A$72,0),DAY(表格1[[#This Row],[date]]),1,1)</f>
        <v>Shan_1</v>
      </c>
      <c r="E407" s="81">
        <f>MONTH(表格1[[#This Row],[date]])</f>
        <v>3</v>
      </c>
      <c r="F407" s="101">
        <v>46088</v>
      </c>
      <c r="G407" s="81" t="str">
        <f>VLOOKUP("*"&amp;表格1[[#This Row],[Input]]&amp;"*",'Ref-List'!$B:$D,2,)</f>
        <v>IC-20R1THK</v>
      </c>
      <c r="H407" s="81" t="str">
        <f>_xlfn.XLOOKUP(表格1[[#This Row],[Model]],表格3[Model-Input-Ref2],表格3[Product Line])</f>
        <v>輕便式電磁爐</v>
      </c>
      <c r="I407" s="81" t="str">
        <f>_xlfn.XLOOKUP(表格1[[#This Row],[Model]],表格3[Model-Input-Ref2],表格3[大小電])</f>
        <v>細電</v>
      </c>
      <c r="J407" s="81" t="str">
        <f>_xlfn.XLOOKUP(表格1[[#This Row],[Model]],表格3[Model-Input-Ref2],表格3[Code])</f>
        <v>SDA</v>
      </c>
      <c r="K407" s="82" t="s">
        <v>1243</v>
      </c>
      <c r="L407" s="81">
        <v>1</v>
      </c>
      <c r="M407" s="85">
        <v>298</v>
      </c>
      <c r="N407" s="85">
        <f>IFERROR(表格1[[#This Row],[QTY]]*表格1[[#This Row],[Unit Price]],"-")</f>
        <v>298</v>
      </c>
      <c r="O407" s="134">
        <v>155706</v>
      </c>
      <c r="P407" s="137"/>
      <c r="Q407" s="81"/>
      <c r="R407" s="81" t="str">
        <f>_xlfn.CONCAT(表格1[[#This Row],[Model]]," ",表格1[[#This Row],[inv no]])</f>
        <v>IC-20R1THK 155706</v>
      </c>
      <c r="S407" s="135">
        <f>_xlfn.XLOOKUP(表格1[[#This Row],[Model]],表格3[Model-Input-Ref2],表格3[SRP PRICE])</f>
        <v>438</v>
      </c>
      <c r="T407" s="43">
        <f>表格1[[#This Row],[Unit Price]]/表格1[[#This Row],[SRP]]</f>
        <v>0.68036529680365299</v>
      </c>
      <c r="U407" s="86" t="str">
        <f>_xlfn.XLOOKUP(表格1[[#This Row],[Model]],表格3[Model-Input-Ref2],表格3[TOSHIBA/HIGHEST])</f>
        <v>Shops Highest Price</v>
      </c>
      <c r="V407" s="86">
        <v>110</v>
      </c>
      <c r="W407" s="86" t="str">
        <f>_xlfn.CONCAT(表格1[[#This Row],[欄4]],表格1[[#This Row],[inv no]])</f>
        <v>110155706</v>
      </c>
    </row>
    <row r="408" spans="1:23" hidden="1">
      <c r="A408" s="81">
        <v>406</v>
      </c>
      <c r="B408" s="81" t="s">
        <v>1260</v>
      </c>
      <c r="C408" s="81" t="s">
        <v>1261</v>
      </c>
      <c r="D408" s="82" t="str">
        <f ca="1">OFFSET(Roster!$A$3,MATCH(表格1[[#This Row],[Location]]&amp;" "&amp;表格1[[#This Row],[Shop]]&amp;"*",Roster!$A$4:$A$72,0),DAY(表格1[[#This Row],[date]]),1,1)</f>
        <v>Shan_1</v>
      </c>
      <c r="E408" s="81">
        <f>MONTH(表格1[[#This Row],[date]])</f>
        <v>3</v>
      </c>
      <c r="F408" s="101">
        <v>46088</v>
      </c>
      <c r="G408" s="81" t="str">
        <f>VLOOKUP("*"&amp;表格1[[#This Row],[Input]]&amp;"*",'Ref-List'!$B:$D,2,)</f>
        <v>KT-17DRTHK(H)</v>
      </c>
      <c r="H408" s="81" t="str">
        <f>_xlfn.XLOOKUP(表格1[[#This Row],[Model]],表格3[Model-Input-Ref2],表格3[Product Line])</f>
        <v>無線雙層電熱水壺(1.7公升)</v>
      </c>
      <c r="I408" s="81" t="str">
        <f>_xlfn.XLOOKUP(表格1[[#This Row],[Model]],表格3[Model-Input-Ref2],表格3[大小電])</f>
        <v>細電</v>
      </c>
      <c r="J408" s="81" t="str">
        <f>_xlfn.XLOOKUP(表格1[[#This Row],[Model]],表格3[Model-Input-Ref2],表格3[Code])</f>
        <v>SDA</v>
      </c>
      <c r="K408" s="82" t="s">
        <v>1271</v>
      </c>
      <c r="L408" s="81">
        <v>1</v>
      </c>
      <c r="M408" s="85">
        <v>398</v>
      </c>
      <c r="N408" s="85">
        <f>IFERROR(表格1[[#This Row],[QTY]]*表格1[[#This Row],[Unit Price]],"-")</f>
        <v>398</v>
      </c>
      <c r="O408" s="134">
        <v>440318</v>
      </c>
      <c r="P408" s="81"/>
      <c r="Q408" s="81"/>
      <c r="R408" s="81" t="str">
        <f>_xlfn.CONCAT(表格1[[#This Row],[Model]]," ",表格1[[#This Row],[inv no]])</f>
        <v>KT-17DRTHK(H) 440318</v>
      </c>
      <c r="S408" s="135">
        <f>_xlfn.XLOOKUP(表格1[[#This Row],[Model]],表格3[Model-Input-Ref2],表格3[SRP PRICE])</f>
        <v>498</v>
      </c>
      <c r="T408" s="43">
        <f>表格1[[#This Row],[Unit Price]]/表格1[[#This Row],[SRP]]</f>
        <v>0.79919678714859432</v>
      </c>
      <c r="U408" s="86" t="str">
        <f>_xlfn.XLOOKUP(表格1[[#This Row],[Model]],表格3[Model-Input-Ref2],表格3[TOSHIBA/HIGHEST])</f>
        <v>Toshiba SRP</v>
      </c>
      <c r="V408" s="86">
        <v>110</v>
      </c>
      <c r="W408" s="86" t="str">
        <f>_xlfn.CONCAT(表格1[[#This Row],[欄4]],表格1[[#This Row],[inv no]])</f>
        <v>110440318</v>
      </c>
    </row>
    <row r="409" spans="1:23" hidden="1">
      <c r="A409" s="81">
        <v>407</v>
      </c>
      <c r="B409" s="81" t="s">
        <v>1260</v>
      </c>
      <c r="C409" s="81" t="s">
        <v>1261</v>
      </c>
      <c r="D409" s="82" t="str">
        <f ca="1">OFFSET(Roster!$A$3,MATCH(表格1[[#This Row],[Location]]&amp;" "&amp;表格1[[#This Row],[Shop]]&amp;"*",Roster!$A$4:$A$72,0),DAY(表格1[[#This Row],[date]]),1,1)</f>
        <v>Shan_1</v>
      </c>
      <c r="E409" s="81">
        <f>MONTH(表格1[[#This Row],[date]])</f>
        <v>3</v>
      </c>
      <c r="F409" s="101">
        <v>46088</v>
      </c>
      <c r="G409" s="81" t="str">
        <f>VLOOKUP("*"&amp;表格1[[#This Row],[Input]]&amp;"*",'Ref-List'!$B:$D,2,)</f>
        <v>RC-10JRUH(N)</v>
      </c>
      <c r="H409" s="81" t="str">
        <f>_xlfn.XLOOKUP(表格1[[#This Row],[Model]],表格3[Model-Input-Ref2],表格3[Product Line])</f>
        <v>電飯煲</v>
      </c>
      <c r="I409" s="81" t="str">
        <f>_xlfn.XLOOKUP(表格1[[#This Row],[Model]],表格3[Model-Input-Ref2],表格3[大小電])</f>
        <v>細電</v>
      </c>
      <c r="J409" s="81" t="str">
        <f>_xlfn.XLOOKUP(表格1[[#This Row],[Model]],表格3[Model-Input-Ref2],表格3[Code])</f>
        <v>SDA</v>
      </c>
      <c r="K409" s="82" t="s">
        <v>1263</v>
      </c>
      <c r="L409" s="81">
        <v>1</v>
      </c>
      <c r="M409" s="85">
        <v>250</v>
      </c>
      <c r="N409" s="85">
        <f>IFERROR(表格1[[#This Row],[QTY]]*表格1[[#This Row],[Unit Price]],"-")</f>
        <v>250</v>
      </c>
      <c r="O409" s="134">
        <v>155708</v>
      </c>
      <c r="P409" s="81"/>
      <c r="Q409" s="81"/>
      <c r="R409" s="81" t="str">
        <f>_xlfn.CONCAT(表格1[[#This Row],[Model]]," ",表格1[[#This Row],[inv no]])</f>
        <v>RC-10JRUH(N) 155708</v>
      </c>
      <c r="S409" s="135">
        <f>_xlfn.XLOOKUP(表格1[[#This Row],[Model]],表格3[Model-Input-Ref2],表格3[SRP PRICE])</f>
        <v>398</v>
      </c>
      <c r="T409" s="43">
        <f>表格1[[#This Row],[Unit Price]]/表格1[[#This Row],[SRP]]</f>
        <v>0.62814070351758799</v>
      </c>
      <c r="U409" s="86" t="str">
        <f>_xlfn.XLOOKUP(表格1[[#This Row],[Model]],表格3[Model-Input-Ref2],表格3[TOSHIBA/HIGHEST])</f>
        <v>Shops Highest Price</v>
      </c>
      <c r="V409" s="86">
        <v>110</v>
      </c>
      <c r="W409" s="86" t="str">
        <f>_xlfn.CONCAT(表格1[[#This Row],[欄4]],表格1[[#This Row],[inv no]])</f>
        <v>110155708</v>
      </c>
    </row>
    <row r="410" spans="1:23" hidden="1">
      <c r="A410" s="81">
        <v>408</v>
      </c>
      <c r="B410" s="81" t="s">
        <v>1260</v>
      </c>
      <c r="C410" s="81" t="s">
        <v>1261</v>
      </c>
      <c r="D410" s="82" t="str">
        <f ca="1">OFFSET(Roster!$A$3,MATCH(表格1[[#This Row],[Location]]&amp;" "&amp;表格1[[#This Row],[Shop]]&amp;"*",Roster!$A$4:$A$72,0),DAY(表格1[[#This Row],[date]]),1,1)</f>
        <v>Shan_1</v>
      </c>
      <c r="E410" s="81">
        <f>MONTH(表格1[[#This Row],[date]])</f>
        <v>3</v>
      </c>
      <c r="F410" s="101">
        <v>46088</v>
      </c>
      <c r="G410" s="81" t="str">
        <f>VLOOKUP("*"&amp;表格1[[#This Row],[Input]]&amp;"*",'Ref-List'!$B:$D,2,)</f>
        <v>PLK-30FLIH(WT)</v>
      </c>
      <c r="H410" s="81" t="str">
        <f>_xlfn.XLOOKUP(表格1[[#This Row],[Model]],表格3[Model-Input-Ref2],表格3[Product Line])</f>
        <v>電熱水瓶3L</v>
      </c>
      <c r="I410" s="81" t="str">
        <f>_xlfn.XLOOKUP(表格1[[#This Row],[Model]],表格3[Model-Input-Ref2],表格3[大小電])</f>
        <v>細電</v>
      </c>
      <c r="J410" s="81" t="str">
        <f>_xlfn.XLOOKUP(表格1[[#This Row],[Model]],表格3[Model-Input-Ref2],表格3[Code])</f>
        <v>SDA</v>
      </c>
      <c r="K410" s="82" t="s">
        <v>1272</v>
      </c>
      <c r="L410" s="81">
        <v>1</v>
      </c>
      <c r="M410" s="85">
        <v>489</v>
      </c>
      <c r="N410" s="85">
        <f>IFERROR(表格1[[#This Row],[QTY]]*表格1[[#This Row],[Unit Price]],"-")</f>
        <v>489</v>
      </c>
      <c r="O410" s="134">
        <v>155737</v>
      </c>
      <c r="P410" s="81"/>
      <c r="Q410" s="81"/>
      <c r="R410" s="81" t="str">
        <f>_xlfn.CONCAT(表格1[[#This Row],[Model]]," ",表格1[[#This Row],[inv no]])</f>
        <v>PLK-30FLIH(WT) 155737</v>
      </c>
      <c r="S410" s="135">
        <f>_xlfn.XLOOKUP(表格1[[#This Row],[Model]],表格3[Model-Input-Ref2],表格3[SRP PRICE])</f>
        <v>658</v>
      </c>
      <c r="T410" s="43">
        <f>表格1[[#This Row],[Unit Price]]/表格1[[#This Row],[SRP]]</f>
        <v>0.74316109422492405</v>
      </c>
      <c r="U410" s="86" t="str">
        <f>_xlfn.XLOOKUP(表格1[[#This Row],[Model]],表格3[Model-Input-Ref2],表格3[TOSHIBA/HIGHEST])</f>
        <v>Toshiba SRP</v>
      </c>
      <c r="V410" s="86">
        <v>110</v>
      </c>
      <c r="W410" s="86" t="str">
        <f>_xlfn.CONCAT(表格1[[#This Row],[欄4]],表格1[[#This Row],[inv no]])</f>
        <v>110155737</v>
      </c>
    </row>
    <row r="411" spans="1:23" ht="16.5" hidden="1">
      <c r="A411" s="81">
        <v>409</v>
      </c>
      <c r="B411" s="81" t="s">
        <v>1260</v>
      </c>
      <c r="C411" s="81" t="s">
        <v>1261</v>
      </c>
      <c r="D411" s="82" t="str">
        <f ca="1">OFFSET(Roster!$A$3,MATCH(表格1[[#This Row],[Location]]&amp;" "&amp;表格1[[#This Row],[Shop]]&amp;"*",Roster!$A$4:$A$72,0),DAY(表格1[[#This Row],[date]]),1,1)</f>
        <v>Shan_1</v>
      </c>
      <c r="E411" s="81">
        <f>MONTH(表格1[[#This Row],[date]])</f>
        <v>3</v>
      </c>
      <c r="F411" s="101">
        <v>46088</v>
      </c>
      <c r="G411" s="81" t="str">
        <f>VLOOKUP("*"&amp;表格1[[#This Row],[Input]]&amp;"*",'Ref-List'!$B:$D,2,)</f>
        <v>MM2-EG20PC(WH)</v>
      </c>
      <c r="H411" s="81" t="str">
        <f>_xlfn.XLOOKUP(表格1[[#This Row],[Model]],表格3[Model-Input-Ref2],表格3[Product Line])</f>
        <v>輕觸式燒烤微波爐</v>
      </c>
      <c r="I411" s="81" t="str">
        <f>_xlfn.XLOOKUP(表格1[[#This Row],[Model]],表格3[Model-Input-Ref2],表格3[大小電])</f>
        <v>細電</v>
      </c>
      <c r="J411" s="81" t="str">
        <f>_xlfn.XLOOKUP(表格1[[#This Row],[Model]],表格3[Model-Input-Ref2],表格3[Code])</f>
        <v>MCA</v>
      </c>
      <c r="K411" s="82" t="s">
        <v>1273</v>
      </c>
      <c r="L411" s="81">
        <v>1</v>
      </c>
      <c r="M411" s="85">
        <v>698</v>
      </c>
      <c r="N411" s="85">
        <f>IFERROR(表格1[[#This Row],[QTY]]*表格1[[#This Row],[Unit Price]],"-")</f>
        <v>698</v>
      </c>
      <c r="O411" s="134">
        <v>155737</v>
      </c>
      <c r="P411" s="137"/>
      <c r="Q411" s="81"/>
      <c r="R411" s="81" t="str">
        <f>_xlfn.CONCAT(表格1[[#This Row],[Model]]," ",表格1[[#This Row],[inv no]])</f>
        <v>MM2-EG20PC(WH) 155737</v>
      </c>
      <c r="S411" s="135">
        <f>_xlfn.XLOOKUP(表格1[[#This Row],[Model]],表格3[Model-Input-Ref2],表格3[SRP PRICE])</f>
        <v>918</v>
      </c>
      <c r="T411" s="43">
        <f>表格1[[#This Row],[Unit Price]]/表格1[[#This Row],[SRP]]</f>
        <v>0.76034858387799564</v>
      </c>
      <c r="U411" s="86" t="str">
        <f>_xlfn.XLOOKUP(表格1[[#This Row],[Model]],表格3[Model-Input-Ref2],表格3[TOSHIBA/HIGHEST])</f>
        <v>Shops Highest Price</v>
      </c>
      <c r="V411" s="86">
        <v>110</v>
      </c>
      <c r="W411" s="86" t="str">
        <f>_xlfn.CONCAT(表格1[[#This Row],[欄4]],表格1[[#This Row],[inv no]])</f>
        <v>110155737</v>
      </c>
    </row>
    <row r="412" spans="1:23" hidden="1">
      <c r="A412" s="81">
        <v>410</v>
      </c>
      <c r="B412" s="81" t="s">
        <v>1260</v>
      </c>
      <c r="C412" s="81" t="s">
        <v>1261</v>
      </c>
      <c r="D412" s="82" t="str">
        <f ca="1">OFFSET(Roster!$A$3,MATCH(表格1[[#This Row],[Location]]&amp;" "&amp;表格1[[#This Row],[Shop]]&amp;"*",Roster!$A$4:$A$72,0),DAY(表格1[[#This Row],[date]]),1,1)</f>
        <v>Shan_1</v>
      </c>
      <c r="E412" s="81">
        <f>MONTH(表格1[[#This Row],[date]])</f>
        <v>3</v>
      </c>
      <c r="F412" s="101">
        <v>46088</v>
      </c>
      <c r="G412" s="81" t="str">
        <f>VLOOKUP("*"&amp;表格1[[#This Row],[Input]]&amp;"*",'Ref-List'!$B:$D,2,)</f>
        <v>KT-08DH1VHK(W)</v>
      </c>
      <c r="H412" s="81" t="str">
        <f>_xlfn.XLOOKUP(表格1[[#This Row],[Model]],表格3[Model-Input-Ref2],表格3[Product Line])</f>
        <v>無線雙層電熱水壺-附可鎖壺蓋(0.8公升)</v>
      </c>
      <c r="I412" s="81" t="str">
        <f>_xlfn.XLOOKUP(表格1[[#This Row],[Model]],表格3[Model-Input-Ref2],表格3[大小電])</f>
        <v>細電</v>
      </c>
      <c r="J412" s="81" t="str">
        <f>_xlfn.XLOOKUP(表格1[[#This Row],[Model]],表格3[Model-Input-Ref2],表格3[Code])</f>
        <v>SDA</v>
      </c>
      <c r="K412" s="82" t="s">
        <v>1268</v>
      </c>
      <c r="L412" s="81">
        <v>1</v>
      </c>
      <c r="M412" s="85">
        <v>268</v>
      </c>
      <c r="N412" s="85">
        <f>IFERROR(表格1[[#This Row],[QTY]]*表格1[[#This Row],[Unit Price]],"-")</f>
        <v>268</v>
      </c>
      <c r="O412" s="134">
        <v>440468</v>
      </c>
      <c r="P412" s="81"/>
      <c r="Q412" s="81"/>
      <c r="R412" s="81" t="str">
        <f>_xlfn.CONCAT(表格1[[#This Row],[Model]]," ",表格1[[#This Row],[inv no]])</f>
        <v>KT-08DH1VHK(W) 440468</v>
      </c>
      <c r="S412" s="135">
        <f>_xlfn.XLOOKUP(表格1[[#This Row],[Model]],表格3[Model-Input-Ref2],表格3[SRP PRICE])</f>
        <v>428</v>
      </c>
      <c r="T412" s="43">
        <f>表格1[[#This Row],[Unit Price]]/表格1[[#This Row],[SRP]]</f>
        <v>0.62616822429906538</v>
      </c>
      <c r="U412" s="86" t="str">
        <f>_xlfn.XLOOKUP(表格1[[#This Row],[Model]],表格3[Model-Input-Ref2],表格3[TOSHIBA/HIGHEST])</f>
        <v>Toshiba SRP</v>
      </c>
      <c r="V412" s="86">
        <v>110</v>
      </c>
      <c r="W412" s="86" t="str">
        <f>_xlfn.CONCAT(表格1[[#This Row],[欄4]],表格1[[#This Row],[inv no]])</f>
        <v>110440468</v>
      </c>
    </row>
    <row r="413" spans="1:23" hidden="1">
      <c r="A413" s="81">
        <v>411</v>
      </c>
      <c r="B413" s="81" t="s">
        <v>1260</v>
      </c>
      <c r="C413" s="81" t="s">
        <v>1261</v>
      </c>
      <c r="D413" s="82" t="str">
        <f ca="1">OFFSET(Roster!$A$3,MATCH(表格1[[#This Row],[Location]]&amp;" "&amp;表格1[[#This Row],[Shop]]&amp;"*",Roster!$A$4:$A$72,0),DAY(表格1[[#This Row],[date]]),1,1)</f>
        <v>Shan_1</v>
      </c>
      <c r="E413" s="81">
        <f>MONTH(表格1[[#This Row],[date]])</f>
        <v>3</v>
      </c>
      <c r="F413" s="101">
        <v>46088</v>
      </c>
      <c r="G413" s="81" t="str">
        <f>VLOOKUP("*"&amp;表格1[[#This Row],[Input]]&amp;"*",'Ref-List'!$B:$D,2,)</f>
        <v>KT-08DH1VHK(W)</v>
      </c>
      <c r="H413" s="81" t="str">
        <f>_xlfn.XLOOKUP(表格1[[#This Row],[Model]],表格3[Model-Input-Ref2],表格3[Product Line])</f>
        <v>無線雙層電熱水壺-附可鎖壺蓋(0.8公升)</v>
      </c>
      <c r="I413" s="81" t="str">
        <f>_xlfn.XLOOKUP(表格1[[#This Row],[Model]],表格3[Model-Input-Ref2],表格3[大小電])</f>
        <v>細電</v>
      </c>
      <c r="J413" s="81" t="str">
        <f>_xlfn.XLOOKUP(表格1[[#This Row],[Model]],表格3[Model-Input-Ref2],表格3[Code])</f>
        <v>SDA</v>
      </c>
      <c r="K413" s="82" t="s">
        <v>1268</v>
      </c>
      <c r="L413" s="81">
        <v>1</v>
      </c>
      <c r="M413" s="85">
        <v>268</v>
      </c>
      <c r="N413" s="85">
        <f>IFERROR(表格1[[#This Row],[QTY]]*表格1[[#This Row],[Unit Price]],"-")</f>
        <v>268</v>
      </c>
      <c r="O413" s="134">
        <v>440553</v>
      </c>
      <c r="P413" s="81"/>
      <c r="Q413" s="81"/>
      <c r="R413" s="81" t="str">
        <f>_xlfn.CONCAT(表格1[[#This Row],[Model]]," ",表格1[[#This Row],[inv no]])</f>
        <v>KT-08DH1VHK(W) 440553</v>
      </c>
      <c r="S413" s="135">
        <f>_xlfn.XLOOKUP(表格1[[#This Row],[Model]],表格3[Model-Input-Ref2],表格3[SRP PRICE])</f>
        <v>428</v>
      </c>
      <c r="T413" s="43">
        <f>表格1[[#This Row],[Unit Price]]/表格1[[#This Row],[SRP]]</f>
        <v>0.62616822429906538</v>
      </c>
      <c r="U413" s="86" t="str">
        <f>_xlfn.XLOOKUP(表格1[[#This Row],[Model]],表格3[Model-Input-Ref2],表格3[TOSHIBA/HIGHEST])</f>
        <v>Toshiba SRP</v>
      </c>
      <c r="V413" s="86">
        <v>110</v>
      </c>
      <c r="W413" s="86" t="str">
        <f>_xlfn.CONCAT(表格1[[#This Row],[欄4]],表格1[[#This Row],[inv no]])</f>
        <v>110440553</v>
      </c>
    </row>
    <row r="414" spans="1:23" hidden="1">
      <c r="A414" s="81">
        <v>412</v>
      </c>
      <c r="B414" s="81" t="s">
        <v>1260</v>
      </c>
      <c r="C414" s="81" t="s">
        <v>1261</v>
      </c>
      <c r="D414" s="82" t="str">
        <f ca="1">OFFSET(Roster!$A$3,MATCH(表格1[[#This Row],[Location]]&amp;" "&amp;表格1[[#This Row],[Shop]]&amp;"*",Roster!$A$4:$A$72,0),DAY(表格1[[#This Row],[date]]),1,1)</f>
        <v>Shan_1</v>
      </c>
      <c r="E414" s="81">
        <f>MONTH(表格1[[#This Row],[date]])</f>
        <v>3</v>
      </c>
      <c r="F414" s="101">
        <v>46088</v>
      </c>
      <c r="G414" s="81" t="str">
        <f>VLOOKUP("*"&amp;表格1[[#This Row],[Input]]&amp;"*",'Ref-List'!$B:$D,2,)</f>
        <v>RC-10JRUH(N)</v>
      </c>
      <c r="H414" s="81" t="str">
        <f>_xlfn.XLOOKUP(表格1[[#This Row],[Model]],表格3[Model-Input-Ref2],表格3[Product Line])</f>
        <v>電飯煲</v>
      </c>
      <c r="I414" s="81" t="str">
        <f>_xlfn.XLOOKUP(表格1[[#This Row],[Model]],表格3[Model-Input-Ref2],表格3[大小電])</f>
        <v>細電</v>
      </c>
      <c r="J414" s="81" t="str">
        <f>_xlfn.XLOOKUP(表格1[[#This Row],[Model]],表格3[Model-Input-Ref2],表格3[Code])</f>
        <v>SDA</v>
      </c>
      <c r="K414" s="82" t="s">
        <v>1263</v>
      </c>
      <c r="L414" s="81">
        <v>1</v>
      </c>
      <c r="M414" s="85">
        <v>250</v>
      </c>
      <c r="N414" s="85">
        <f>IFERROR(表格1[[#This Row],[QTY]]*表格1[[#This Row],[Unit Price]],"-")</f>
        <v>250</v>
      </c>
      <c r="O414" s="134">
        <v>440552</v>
      </c>
      <c r="P414" s="81"/>
      <c r="Q414" s="81"/>
      <c r="R414" s="81" t="str">
        <f>_xlfn.CONCAT(表格1[[#This Row],[Model]]," ",表格1[[#This Row],[inv no]])</f>
        <v>RC-10JRUH(N) 440552</v>
      </c>
      <c r="S414" s="135">
        <f>_xlfn.XLOOKUP(表格1[[#This Row],[Model]],表格3[Model-Input-Ref2],表格3[SRP PRICE])</f>
        <v>398</v>
      </c>
      <c r="T414" s="43">
        <f>表格1[[#This Row],[Unit Price]]/表格1[[#This Row],[SRP]]</f>
        <v>0.62814070351758799</v>
      </c>
      <c r="U414" s="86" t="str">
        <f>_xlfn.XLOOKUP(表格1[[#This Row],[Model]],表格3[Model-Input-Ref2],表格3[TOSHIBA/HIGHEST])</f>
        <v>Shops Highest Price</v>
      </c>
      <c r="V414" s="86">
        <v>110</v>
      </c>
      <c r="W414" s="86" t="str">
        <f>_xlfn.CONCAT(表格1[[#This Row],[欄4]],表格1[[#This Row],[inv no]])</f>
        <v>110440552</v>
      </c>
    </row>
    <row r="415" spans="1:23" hidden="1">
      <c r="A415" s="81">
        <v>413</v>
      </c>
      <c r="B415" s="81" t="s">
        <v>1260</v>
      </c>
      <c r="C415" s="81" t="s">
        <v>1261</v>
      </c>
      <c r="D415" s="82" t="str">
        <f ca="1">OFFSET(Roster!$A$3,MATCH(表格1[[#This Row],[Location]]&amp;" "&amp;表格1[[#This Row],[Shop]]&amp;"*",Roster!$A$4:$A$72,0),DAY(表格1[[#This Row],[date]]),1,1)</f>
        <v>Shan_1</v>
      </c>
      <c r="E415" s="81">
        <f>MONTH(表格1[[#This Row],[date]])</f>
        <v>3</v>
      </c>
      <c r="F415" s="101">
        <v>46088</v>
      </c>
      <c r="G415" s="81" t="str">
        <f>VLOOKUP("*"&amp;表格1[[#This Row],[Input]]&amp;"*",'Ref-List'!$B:$D,2,)</f>
        <v>MW3-SAC24SE(BK)</v>
      </c>
      <c r="H415" s="81" t="str">
        <f>_xlfn.XLOOKUP(表格1[[#This Row],[Model]],表格3[Model-Input-Ref2],表格3[Product Line])</f>
        <v>智能氣炸烤焗爐(24公升)</v>
      </c>
      <c r="I415" s="81" t="str">
        <f>_xlfn.XLOOKUP(表格1[[#This Row],[Model]],表格3[Model-Input-Ref2],表格3[大小電])</f>
        <v>細電</v>
      </c>
      <c r="J415" s="81" t="str">
        <f>_xlfn.XLOOKUP(表格1[[#This Row],[Model]],表格3[Model-Input-Ref2],表格3[Code])</f>
        <v>MCA</v>
      </c>
      <c r="K415" s="82" t="s">
        <v>1274</v>
      </c>
      <c r="L415" s="81">
        <v>1</v>
      </c>
      <c r="M415" s="85">
        <v>1398</v>
      </c>
      <c r="N415" s="85">
        <f>IFERROR(表格1[[#This Row],[QTY]]*表格1[[#This Row],[Unit Price]],"-")</f>
        <v>1398</v>
      </c>
      <c r="O415" s="134">
        <v>155770</v>
      </c>
      <c r="P415" s="81"/>
      <c r="Q415" s="81"/>
      <c r="R415" s="81" t="str">
        <f>_xlfn.CONCAT(表格1[[#This Row],[Model]]," ",表格1[[#This Row],[inv no]])</f>
        <v>MW3-SAC24SE(BK) 155770</v>
      </c>
      <c r="S415" s="135">
        <f>_xlfn.XLOOKUP(表格1[[#This Row],[Model]],表格3[Model-Input-Ref2],表格3[SRP PRICE])</f>
        <v>1680</v>
      </c>
      <c r="T415" s="43">
        <f>表格1[[#This Row],[Unit Price]]/表格1[[#This Row],[SRP]]</f>
        <v>0.83214285714285718</v>
      </c>
      <c r="U415" s="86" t="str">
        <f>_xlfn.XLOOKUP(表格1[[#This Row],[Model]],表格3[Model-Input-Ref2],表格3[TOSHIBA/HIGHEST])</f>
        <v>Toshiba SRP</v>
      </c>
      <c r="V415" s="86">
        <v>110</v>
      </c>
      <c r="W415" s="86" t="str">
        <f>_xlfn.CONCAT(表格1[[#This Row],[欄4]],表格1[[#This Row],[inv no]])</f>
        <v>110155770</v>
      </c>
    </row>
    <row r="416" spans="1:23" hidden="1">
      <c r="A416" s="81">
        <v>414</v>
      </c>
      <c r="B416" s="81" t="s">
        <v>1260</v>
      </c>
      <c r="C416" s="81" t="s">
        <v>1261</v>
      </c>
      <c r="D416" s="82" t="str">
        <f ca="1">OFFSET(Roster!$A$3,MATCH(表格1[[#This Row],[Location]]&amp;" "&amp;表格1[[#This Row],[Shop]]&amp;"*",Roster!$A$4:$A$72,0),DAY(表格1[[#This Row],[date]]),1,1)</f>
        <v>Shan_1</v>
      </c>
      <c r="E416" s="81">
        <f>MONTH(表格1[[#This Row],[date]])</f>
        <v>3</v>
      </c>
      <c r="F416" s="101">
        <v>46088</v>
      </c>
      <c r="G416" s="81" t="str">
        <f>VLOOKUP("*"&amp;表格1[[#This Row],[Input]]&amp;"*",'Ref-List'!$B:$D,2,)</f>
        <v>RAD-D300H</v>
      </c>
      <c r="H416" s="81" t="str">
        <f>_xlfn.XLOOKUP(表格1[[#This Row],[Model]],表格3[Model-Input-Ref2],表格3[Product Line])</f>
        <v>壓縮式抽濕機 (30公升)</v>
      </c>
      <c r="I416" s="81" t="str">
        <f>_xlfn.XLOOKUP(表格1[[#This Row],[Model]],表格3[Model-Input-Ref2],表格3[大小電])</f>
        <v>細電</v>
      </c>
      <c r="J416" s="81" t="str">
        <f>_xlfn.XLOOKUP(表格1[[#This Row],[Model]],表格3[Model-Input-Ref2],表格3[Code])</f>
        <v>RAC</v>
      </c>
      <c r="K416" s="82" t="s">
        <v>1252</v>
      </c>
      <c r="L416" s="81">
        <v>1</v>
      </c>
      <c r="M416" s="85">
        <v>2280</v>
      </c>
      <c r="N416" s="85">
        <f>IFERROR(表格1[[#This Row],[QTY]]*表格1[[#This Row],[Unit Price]],"-")</f>
        <v>2280</v>
      </c>
      <c r="O416" s="134">
        <v>440588</v>
      </c>
      <c r="P416" s="81"/>
      <c r="Q416" s="81"/>
      <c r="R416" s="81" t="str">
        <f>_xlfn.CONCAT(表格1[[#This Row],[Model]]," ",表格1[[#This Row],[inv no]])</f>
        <v>RAD-D300H 440588</v>
      </c>
      <c r="S416" s="135">
        <f>_xlfn.XLOOKUP(表格1[[#This Row],[Model]],表格3[Model-Input-Ref2],表格3[SRP PRICE])</f>
        <v>3380</v>
      </c>
      <c r="T416" s="43">
        <f>表格1[[#This Row],[Unit Price]]/表格1[[#This Row],[SRP]]</f>
        <v>0.67455621301775148</v>
      </c>
      <c r="U416" s="86" t="str">
        <f>_xlfn.XLOOKUP(表格1[[#This Row],[Model]],表格3[Model-Input-Ref2],表格3[TOSHIBA/HIGHEST])</f>
        <v>Shops Highest Price</v>
      </c>
      <c r="V416" s="86">
        <v>110</v>
      </c>
      <c r="W416" s="86" t="str">
        <f>_xlfn.CONCAT(表格1[[#This Row],[欄4]],表格1[[#This Row],[inv no]])</f>
        <v>110440588</v>
      </c>
    </row>
    <row r="417" spans="1:23" hidden="1">
      <c r="A417" s="81">
        <v>415</v>
      </c>
      <c r="B417" s="81" t="s">
        <v>1260</v>
      </c>
      <c r="C417" s="81" t="s">
        <v>1261</v>
      </c>
      <c r="D417" s="82" t="str">
        <f ca="1">OFFSET(Roster!$A$3,MATCH(表格1[[#This Row],[Location]]&amp;" "&amp;表格1[[#This Row],[Shop]]&amp;"*",Roster!$A$4:$A$72,0),DAY(表格1[[#This Row],[date]]),1,1)</f>
        <v>Shan_1</v>
      </c>
      <c r="E417" s="81">
        <f>MONTH(表格1[[#This Row],[date]])</f>
        <v>3</v>
      </c>
      <c r="F417" s="101">
        <v>46089</v>
      </c>
      <c r="G417" s="81" t="str">
        <f>VLOOKUP("*"&amp;表格1[[#This Row],[Input]]&amp;"*",'Ref-List'!$B:$D,2,)</f>
        <v>RC-18JRUH(N)</v>
      </c>
      <c r="H417" s="81" t="str">
        <f>_xlfn.XLOOKUP(表格1[[#This Row],[Model]],表格3[Model-Input-Ref2],表格3[Product Line])</f>
        <v>1.8公升電飯煲</v>
      </c>
      <c r="I417" s="81" t="str">
        <f>_xlfn.XLOOKUP(表格1[[#This Row],[Model]],表格3[Model-Input-Ref2],表格3[大小電])</f>
        <v>細電</v>
      </c>
      <c r="J417" s="81" t="str">
        <f>_xlfn.XLOOKUP(表格1[[#This Row],[Model]],表格3[Model-Input-Ref2],表格3[Code])</f>
        <v>SDA</v>
      </c>
      <c r="K417" s="82" t="s">
        <v>1275</v>
      </c>
      <c r="L417" s="81">
        <v>1</v>
      </c>
      <c r="M417" s="85">
        <v>300</v>
      </c>
      <c r="N417" s="85">
        <f>IFERROR(表格1[[#This Row],[QTY]]*表格1[[#This Row],[Unit Price]],"-")</f>
        <v>300</v>
      </c>
      <c r="O417" s="134">
        <v>440649</v>
      </c>
      <c r="P417" s="81"/>
      <c r="Q417" s="81"/>
      <c r="R417" s="81" t="str">
        <f>_xlfn.CONCAT(表格1[[#This Row],[Model]]," ",表格1[[#This Row],[inv no]])</f>
        <v>RC-18JRUH(N) 440649</v>
      </c>
      <c r="S417" s="135">
        <f>_xlfn.XLOOKUP(表格1[[#This Row],[Model]],表格3[Model-Input-Ref2],表格3[SRP PRICE])</f>
        <v>458</v>
      </c>
      <c r="T417" s="43">
        <f>表格1[[#This Row],[Unit Price]]/表格1[[#This Row],[SRP]]</f>
        <v>0.65502183406113534</v>
      </c>
      <c r="U417" s="86" t="str">
        <f>_xlfn.XLOOKUP(表格1[[#This Row],[Model]],表格3[Model-Input-Ref2],表格3[TOSHIBA/HIGHEST])</f>
        <v>Shops Highest Price</v>
      </c>
      <c r="V417" s="86">
        <v>110</v>
      </c>
      <c r="W417" s="86" t="str">
        <f>_xlfn.CONCAT(表格1[[#This Row],[欄4]],表格1[[#This Row],[inv no]])</f>
        <v>110440649</v>
      </c>
    </row>
    <row r="418" spans="1:23" hidden="1">
      <c r="A418" s="81">
        <v>416</v>
      </c>
      <c r="B418" s="81" t="s">
        <v>1260</v>
      </c>
      <c r="C418" s="81" t="s">
        <v>1261</v>
      </c>
      <c r="D418" s="82" t="str">
        <f ca="1">OFFSET(Roster!$A$3,MATCH(表格1[[#This Row],[Location]]&amp;" "&amp;表格1[[#This Row],[Shop]]&amp;"*",Roster!$A$4:$A$72,0),DAY(表格1[[#This Row],[date]]),1,1)</f>
        <v>Shan_1</v>
      </c>
      <c r="E418" s="81">
        <f>MONTH(表格1[[#This Row],[date]])</f>
        <v>3</v>
      </c>
      <c r="F418" s="101">
        <v>46089</v>
      </c>
      <c r="G418" s="81" t="str">
        <f>VLOOKUP("*"&amp;表格1[[#This Row],[Input]]&amp;"*",'Ref-List'!$B:$D,2,)</f>
        <v>MWP-MM20P(WH)</v>
      </c>
      <c r="H418" s="81" t="str">
        <f>_xlfn.XLOOKUP(表格1[[#This Row],[Model]],表格3[Model-Input-Ref2],表格3[Product Line])</f>
        <v>旋鈕式燒烤微波爐20L</v>
      </c>
      <c r="I418" s="81" t="str">
        <f>_xlfn.XLOOKUP(表格1[[#This Row],[Model]],表格3[Model-Input-Ref2],表格3[大小電])</f>
        <v>細電</v>
      </c>
      <c r="J418" s="81" t="str">
        <f>_xlfn.XLOOKUP(表格1[[#This Row],[Model]],表格3[Model-Input-Ref2],表格3[Code])</f>
        <v>SDA</v>
      </c>
      <c r="K418" s="82" t="s">
        <v>1270</v>
      </c>
      <c r="L418" s="81">
        <v>1</v>
      </c>
      <c r="M418" s="85">
        <v>518</v>
      </c>
      <c r="N418" s="85">
        <f>IFERROR(表格1[[#This Row],[QTY]]*表格1[[#This Row],[Unit Price]],"-")</f>
        <v>518</v>
      </c>
      <c r="O418" s="134">
        <v>440742</v>
      </c>
      <c r="P418" s="81"/>
      <c r="Q418" s="81"/>
      <c r="R418" s="81" t="str">
        <f>_xlfn.CONCAT(表格1[[#This Row],[Model]]," ",表格1[[#This Row],[inv no]])</f>
        <v>MWP-MM20P(WH) 440742</v>
      </c>
      <c r="S418" s="135">
        <f>_xlfn.XLOOKUP(表格1[[#This Row],[Model]],表格3[Model-Input-Ref2],表格3[SRP PRICE])</f>
        <v>648</v>
      </c>
      <c r="T418" s="43">
        <f>表格1[[#This Row],[Unit Price]]/表格1[[#This Row],[SRP]]</f>
        <v>0.79938271604938271</v>
      </c>
      <c r="U418" s="86" t="str">
        <f>_xlfn.XLOOKUP(表格1[[#This Row],[Model]],表格3[Model-Input-Ref2],表格3[TOSHIBA/HIGHEST])</f>
        <v>Toshiba SRP</v>
      </c>
      <c r="V418" s="86">
        <v>110</v>
      </c>
      <c r="W418" s="86" t="str">
        <f>_xlfn.CONCAT(表格1[[#This Row],[欄4]],表格1[[#This Row],[inv no]])</f>
        <v>110440742</v>
      </c>
    </row>
    <row r="419" spans="1:23" ht="16.5" hidden="1">
      <c r="A419" s="81">
        <v>417</v>
      </c>
      <c r="B419" s="81" t="s">
        <v>1260</v>
      </c>
      <c r="C419" s="81" t="s">
        <v>1261</v>
      </c>
      <c r="D419" s="82" t="str">
        <f ca="1">OFFSET(Roster!$A$3,MATCH(表格1[[#This Row],[Location]]&amp;" "&amp;表格1[[#This Row],[Shop]]&amp;"*",Roster!$A$4:$A$72,0),DAY(表格1[[#This Row],[date]]),1,1)</f>
        <v>Shan_1</v>
      </c>
      <c r="E419" s="81">
        <f>MONTH(表格1[[#This Row],[date]])</f>
        <v>3</v>
      </c>
      <c r="F419" s="101">
        <v>46089</v>
      </c>
      <c r="G419" s="81" t="str">
        <f>VLOOKUP("*"&amp;表格1[[#This Row],[Input]]&amp;"*",'Ref-List'!$B:$D,2,)</f>
        <v>RC-10NMFIH(WT)</v>
      </c>
      <c r="H419" s="81" t="str">
        <f>_xlfn.XLOOKUP(表格1[[#This Row],[Model]],表格3[Model-Input-Ref2],表格3[Product Line])</f>
        <v>4毫米厚釜電飯煲1L</v>
      </c>
      <c r="I419" s="81" t="str">
        <f>_xlfn.XLOOKUP(表格1[[#This Row],[Model]],表格3[Model-Input-Ref2],表格3[大小電])</f>
        <v>細電</v>
      </c>
      <c r="J419" s="81" t="str">
        <f>_xlfn.XLOOKUP(表格1[[#This Row],[Model]],表格3[Model-Input-Ref2],表格3[Code])</f>
        <v>SDA</v>
      </c>
      <c r="K419" s="82" t="s">
        <v>1244</v>
      </c>
      <c r="L419" s="81">
        <v>1</v>
      </c>
      <c r="M419" s="85">
        <v>718</v>
      </c>
      <c r="N419" s="85">
        <f>IFERROR(表格1[[#This Row],[QTY]]*表格1[[#This Row],[Unit Price]],"-")</f>
        <v>718</v>
      </c>
      <c r="O419" s="134">
        <v>440783</v>
      </c>
      <c r="P419" s="137"/>
      <c r="Q419" s="81"/>
      <c r="R419" s="81" t="str">
        <f>_xlfn.CONCAT(表格1[[#This Row],[Model]]," ",表格1[[#This Row],[inv no]])</f>
        <v>RC-10NMFIH(WT) 440783</v>
      </c>
      <c r="S419" s="135">
        <f>_xlfn.XLOOKUP(表格1[[#This Row],[Model]],表格3[Model-Input-Ref2],表格3[SRP PRICE])</f>
        <v>898</v>
      </c>
      <c r="T419" s="43">
        <f>表格1[[#This Row],[Unit Price]]/表格1[[#This Row],[SRP]]</f>
        <v>0.79955456570155903</v>
      </c>
      <c r="U419" s="86" t="str">
        <f>_xlfn.XLOOKUP(表格1[[#This Row],[Model]],表格3[Model-Input-Ref2],表格3[TOSHIBA/HIGHEST])</f>
        <v>Toshiba SRP</v>
      </c>
      <c r="V419" s="86">
        <v>110</v>
      </c>
      <c r="W419" s="86" t="str">
        <f>_xlfn.CONCAT(表格1[[#This Row],[欄4]],表格1[[#This Row],[inv no]])</f>
        <v>110440783</v>
      </c>
    </row>
    <row r="420" spans="1:23" hidden="1">
      <c r="A420" s="81">
        <v>418</v>
      </c>
      <c r="B420" s="81" t="s">
        <v>1260</v>
      </c>
      <c r="C420" s="81" t="s">
        <v>1261</v>
      </c>
      <c r="D420" s="82" t="str">
        <f ca="1">OFFSET(Roster!$A$3,MATCH(表格1[[#This Row],[Location]]&amp;" "&amp;表格1[[#This Row],[Shop]]&amp;"*",Roster!$A$4:$A$72,0),DAY(表格1[[#This Row],[date]]),1,1)</f>
        <v>Shan_1</v>
      </c>
      <c r="E420" s="81">
        <f>MONTH(表格1[[#This Row],[date]])</f>
        <v>3</v>
      </c>
      <c r="F420" s="101">
        <v>46089</v>
      </c>
      <c r="G420" s="81" t="str">
        <f>VLOOKUP("*"&amp;表格1[[#This Row],[Input]]&amp;"*",'Ref-List'!$B:$D,2,)</f>
        <v>RC-5SLIH(W)</v>
      </c>
      <c r="H420" s="81" t="str">
        <f>_xlfn.XLOOKUP(表格1[[#This Row],[Model]],表格3[Model-Input-Ref2],表格3[Product Line])</f>
        <v>微型電腦珍珠飯煲</v>
      </c>
      <c r="I420" s="81" t="str">
        <f>_xlfn.XLOOKUP(表格1[[#This Row],[Model]],表格3[Model-Input-Ref2],表格3[大小電])</f>
        <v>細電</v>
      </c>
      <c r="J420" s="81" t="str">
        <f>_xlfn.XLOOKUP(表格1[[#This Row],[Model]],表格3[Model-Input-Ref2],表格3[Code])</f>
        <v>SDA</v>
      </c>
      <c r="K420" s="82" t="s">
        <v>1264</v>
      </c>
      <c r="L420" s="81">
        <v>1</v>
      </c>
      <c r="M420" s="85">
        <v>592</v>
      </c>
      <c r="N420" s="85">
        <f>IFERROR(表格1[[#This Row],[QTY]]*表格1[[#This Row],[Unit Price]],"-")</f>
        <v>592</v>
      </c>
      <c r="O420" s="134">
        <v>440831</v>
      </c>
      <c r="P420" s="81"/>
      <c r="Q420" s="81"/>
      <c r="R420" s="81" t="str">
        <f>_xlfn.CONCAT(表格1[[#This Row],[Model]]," ",表格1[[#This Row],[inv no]])</f>
        <v>RC-5SLIH(W) 440831</v>
      </c>
      <c r="S420" s="135">
        <f>_xlfn.XLOOKUP(表格1[[#This Row],[Model]],表格3[Model-Input-Ref2],表格3[SRP PRICE])</f>
        <v>658</v>
      </c>
      <c r="T420" s="43">
        <f>表格1[[#This Row],[Unit Price]]/表格1[[#This Row],[SRP]]</f>
        <v>0.89969604863221886</v>
      </c>
      <c r="U420" s="86" t="str">
        <f>_xlfn.XLOOKUP(表格1[[#This Row],[Model]],表格3[Model-Input-Ref2],表格3[TOSHIBA/HIGHEST])</f>
        <v>Toshiba SRP</v>
      </c>
      <c r="V420" s="86">
        <v>110</v>
      </c>
      <c r="W420" s="86" t="str">
        <f>_xlfn.CONCAT(表格1[[#This Row],[欄4]],表格1[[#This Row],[inv no]])</f>
        <v>110440831</v>
      </c>
    </row>
    <row r="421" spans="1:23" hidden="1">
      <c r="A421" s="81">
        <v>419</v>
      </c>
      <c r="B421" s="81" t="s">
        <v>1260</v>
      </c>
      <c r="C421" s="81" t="s">
        <v>1261</v>
      </c>
      <c r="D421" s="82" t="str">
        <f ca="1">OFFSET(Roster!$A$3,MATCH(表格1[[#This Row],[Location]]&amp;" "&amp;表格1[[#This Row],[Shop]]&amp;"*",Roster!$A$4:$A$72,0),DAY(表格1[[#This Row],[date]]),1,1)</f>
        <v>Shan_1</v>
      </c>
      <c r="E421" s="81">
        <f>MONTH(表格1[[#This Row],[date]])</f>
        <v>3</v>
      </c>
      <c r="F421" s="101">
        <v>46089</v>
      </c>
      <c r="G421" s="81" t="str">
        <f>VLOOKUP("*"&amp;表格1[[#This Row],[Input]]&amp;"*",'Ref-List'!$B:$D,2,)</f>
        <v>RC-5SLIH(W)</v>
      </c>
      <c r="H421" s="81" t="str">
        <f>_xlfn.XLOOKUP(表格1[[#This Row],[Model]],表格3[Model-Input-Ref2],表格3[Product Line])</f>
        <v>微型電腦珍珠飯煲</v>
      </c>
      <c r="I421" s="81" t="str">
        <f>_xlfn.XLOOKUP(表格1[[#This Row],[Model]],表格3[Model-Input-Ref2],表格3[大小電])</f>
        <v>細電</v>
      </c>
      <c r="J421" s="81" t="str">
        <f>_xlfn.XLOOKUP(表格1[[#This Row],[Model]],表格3[Model-Input-Ref2],表格3[Code])</f>
        <v>SDA</v>
      </c>
      <c r="K421" s="82" t="s">
        <v>1264</v>
      </c>
      <c r="L421" s="81">
        <v>1</v>
      </c>
      <c r="M421" s="85">
        <v>592</v>
      </c>
      <c r="N421" s="85">
        <f>IFERROR(表格1[[#This Row],[QTY]]*表格1[[#This Row],[Unit Price]],"-")</f>
        <v>592</v>
      </c>
      <c r="O421" s="134">
        <v>440827</v>
      </c>
      <c r="P421" s="81"/>
      <c r="Q421" s="81"/>
      <c r="R421" s="81" t="str">
        <f>_xlfn.CONCAT(表格1[[#This Row],[Model]]," ",表格1[[#This Row],[inv no]])</f>
        <v>RC-5SLIH(W) 440827</v>
      </c>
      <c r="S421" s="135">
        <f>_xlfn.XLOOKUP(表格1[[#This Row],[Model]],表格3[Model-Input-Ref2],表格3[SRP PRICE])</f>
        <v>658</v>
      </c>
      <c r="T421" s="43">
        <f>表格1[[#This Row],[Unit Price]]/表格1[[#This Row],[SRP]]</f>
        <v>0.89969604863221886</v>
      </c>
      <c r="U421" s="86" t="str">
        <f>_xlfn.XLOOKUP(表格1[[#This Row],[Model]],表格3[Model-Input-Ref2],表格3[TOSHIBA/HIGHEST])</f>
        <v>Toshiba SRP</v>
      </c>
      <c r="V421" s="86">
        <v>110</v>
      </c>
      <c r="W421" s="86" t="str">
        <f>_xlfn.CONCAT(表格1[[#This Row],[欄4]],表格1[[#This Row],[inv no]])</f>
        <v>110440827</v>
      </c>
    </row>
    <row r="422" spans="1:23" hidden="1">
      <c r="A422" s="81">
        <v>420</v>
      </c>
      <c r="B422" s="81" t="s">
        <v>1260</v>
      </c>
      <c r="C422" s="81" t="s">
        <v>1261</v>
      </c>
      <c r="D422" s="82" t="str">
        <f ca="1">OFFSET(Roster!$A$3,MATCH(表格1[[#This Row],[Location]]&amp;" "&amp;表格1[[#This Row],[Shop]]&amp;"*",Roster!$A$4:$A$72,0),DAY(表格1[[#This Row],[date]]),1,1)</f>
        <v>Shan_1</v>
      </c>
      <c r="E422" s="81">
        <f>MONTH(表格1[[#This Row],[date]])</f>
        <v>3</v>
      </c>
      <c r="F422" s="101">
        <v>46089</v>
      </c>
      <c r="G422" s="81" t="str">
        <f>VLOOKUP("*"&amp;表格1[[#This Row],[Input]]&amp;"*",'Ref-List'!$B:$D,2,)</f>
        <v>RC-10JRUH(N)</v>
      </c>
      <c r="H422" s="81" t="str">
        <f>_xlfn.XLOOKUP(表格1[[#This Row],[Model]],表格3[Model-Input-Ref2],表格3[Product Line])</f>
        <v>電飯煲</v>
      </c>
      <c r="I422" s="81" t="str">
        <f>_xlfn.XLOOKUP(表格1[[#This Row],[Model]],表格3[Model-Input-Ref2],表格3[大小電])</f>
        <v>細電</v>
      </c>
      <c r="J422" s="81" t="str">
        <f>_xlfn.XLOOKUP(表格1[[#This Row],[Model]],表格3[Model-Input-Ref2],表格3[Code])</f>
        <v>SDA</v>
      </c>
      <c r="K422" s="82" t="s">
        <v>1263</v>
      </c>
      <c r="L422" s="81">
        <v>1</v>
      </c>
      <c r="M422" s="85">
        <v>250</v>
      </c>
      <c r="N422" s="85">
        <f>IFERROR(表格1[[#This Row],[QTY]]*表格1[[#This Row],[Unit Price]],"-")</f>
        <v>250</v>
      </c>
      <c r="O422" s="134">
        <v>440926</v>
      </c>
      <c r="P422" s="81"/>
      <c r="Q422" s="81"/>
      <c r="R422" s="81" t="str">
        <f>_xlfn.CONCAT(表格1[[#This Row],[Model]]," ",表格1[[#This Row],[inv no]])</f>
        <v>RC-10JRUH(N) 440926</v>
      </c>
      <c r="S422" s="135">
        <f>_xlfn.XLOOKUP(表格1[[#This Row],[Model]],表格3[Model-Input-Ref2],表格3[SRP PRICE])</f>
        <v>398</v>
      </c>
      <c r="T422" s="43">
        <f>表格1[[#This Row],[Unit Price]]/表格1[[#This Row],[SRP]]</f>
        <v>0.62814070351758799</v>
      </c>
      <c r="U422" s="86" t="str">
        <f>_xlfn.XLOOKUP(表格1[[#This Row],[Model]],表格3[Model-Input-Ref2],表格3[TOSHIBA/HIGHEST])</f>
        <v>Shops Highest Price</v>
      </c>
      <c r="V422" s="86">
        <v>110</v>
      </c>
      <c r="W422" s="86" t="str">
        <f>_xlfn.CONCAT(表格1[[#This Row],[欄4]],表格1[[#This Row],[inv no]])</f>
        <v>110440926</v>
      </c>
    </row>
    <row r="423" spans="1:23" hidden="1">
      <c r="A423" s="81">
        <v>421</v>
      </c>
      <c r="B423" s="81" t="s">
        <v>1260</v>
      </c>
      <c r="C423" s="81" t="s">
        <v>1261</v>
      </c>
      <c r="D423" s="82" t="str">
        <f ca="1">OFFSET(Roster!$A$3,MATCH(表格1[[#This Row],[Location]]&amp;" "&amp;表格1[[#This Row],[Shop]]&amp;"*",Roster!$A$4:$A$72,0),DAY(表格1[[#This Row],[date]]),1,1)</f>
        <v>Shan_1</v>
      </c>
      <c r="E423" s="81">
        <f>MONTH(表格1[[#This Row],[date]])</f>
        <v>3</v>
      </c>
      <c r="F423" s="101">
        <v>46089</v>
      </c>
      <c r="G423" s="81" t="str">
        <f>VLOOKUP("*"&amp;表格1[[#This Row],[Input]]&amp;"*",'Ref-List'!$B:$D,2,)</f>
        <v>MM2-EM20PC(WH)</v>
      </c>
      <c r="H423" s="81" t="str">
        <f>_xlfn.XLOOKUP(表格1[[#This Row],[Model]],表格3[Model-Input-Ref2],表格3[Product Line])</f>
        <v>輕觸式微波爐 (20公升)</v>
      </c>
      <c r="I423" s="81" t="str">
        <f>_xlfn.XLOOKUP(表格1[[#This Row],[Model]],表格3[Model-Input-Ref2],表格3[大小電])</f>
        <v>細電</v>
      </c>
      <c r="J423" s="81" t="str">
        <f>_xlfn.XLOOKUP(表格1[[#This Row],[Model]],表格3[Model-Input-Ref2],表格3[Code])</f>
        <v>MCA</v>
      </c>
      <c r="K423" s="82" t="s">
        <v>1276</v>
      </c>
      <c r="L423" s="81">
        <v>1</v>
      </c>
      <c r="M423" s="85">
        <v>598</v>
      </c>
      <c r="N423" s="85">
        <f>IFERROR(表格1[[#This Row],[QTY]]*表格1[[#This Row],[Unit Price]],"-")</f>
        <v>598</v>
      </c>
      <c r="O423" s="134">
        <v>440901</v>
      </c>
      <c r="P423" s="81"/>
      <c r="Q423" s="81"/>
      <c r="R423" s="81" t="str">
        <f>_xlfn.CONCAT(表格1[[#This Row],[Model]]," ",表格1[[#This Row],[inv no]])</f>
        <v>MM2-EM20PC(WH) 440901</v>
      </c>
      <c r="S423" s="135">
        <f>_xlfn.XLOOKUP(表格1[[#This Row],[Model]],表格3[Model-Input-Ref2],表格3[SRP PRICE])</f>
        <v>788</v>
      </c>
      <c r="T423" s="43">
        <f>表格1[[#This Row],[Unit Price]]/表格1[[#This Row],[SRP]]</f>
        <v>0.75888324873096447</v>
      </c>
      <c r="U423" s="86" t="str">
        <f>_xlfn.XLOOKUP(表格1[[#This Row],[Model]],表格3[Model-Input-Ref2],表格3[TOSHIBA/HIGHEST])</f>
        <v>Toshiba SRP</v>
      </c>
      <c r="V423" s="86">
        <v>110</v>
      </c>
      <c r="W423" s="86" t="str">
        <f>_xlfn.CONCAT(表格1[[#This Row],[欄4]],表格1[[#This Row],[inv no]])</f>
        <v>110440901</v>
      </c>
    </row>
    <row r="424" spans="1:23" hidden="1">
      <c r="A424" s="81">
        <v>422</v>
      </c>
      <c r="B424" s="81" t="s">
        <v>1260</v>
      </c>
      <c r="C424" s="81" t="s">
        <v>1261</v>
      </c>
      <c r="D424" s="82" t="str">
        <f ca="1">OFFSET(Roster!$A$3,MATCH(表格1[[#This Row],[Location]]&amp;" "&amp;表格1[[#This Row],[Shop]]&amp;"*",Roster!$A$4:$A$72,0),DAY(表格1[[#This Row],[date]]),1,1)</f>
        <v>Shan_1</v>
      </c>
      <c r="E424" s="81">
        <f>MONTH(表格1[[#This Row],[date]])</f>
        <v>3</v>
      </c>
      <c r="F424" s="101">
        <v>46089</v>
      </c>
      <c r="G424" s="81" t="str">
        <f>VLOOKUP("*"&amp;表格1[[#This Row],[Input]]&amp;"*",'Ref-List'!$B:$D,2,)</f>
        <v>TP-50DRUHK(W)</v>
      </c>
      <c r="H424" s="81" t="str">
        <f>_xlfn.XLOOKUP(表格1[[#This Row],[Model]],表格3[Model-Input-Ref2],表格3[Product Line])</f>
        <v>電熱水瓶 (5公升)</v>
      </c>
      <c r="I424" s="81" t="str">
        <f>_xlfn.XLOOKUP(表格1[[#This Row],[Model]],表格3[Model-Input-Ref2],表格3[大小電])</f>
        <v>細電</v>
      </c>
      <c r="J424" s="81" t="str">
        <f>_xlfn.XLOOKUP(表格1[[#This Row],[Model]],表格3[Model-Input-Ref2],表格3[Code])</f>
        <v>SDA</v>
      </c>
      <c r="K424" s="82" t="s">
        <v>1277</v>
      </c>
      <c r="L424" s="81">
        <v>1</v>
      </c>
      <c r="M424" s="85">
        <v>628</v>
      </c>
      <c r="N424" s="85">
        <f>IFERROR(表格1[[#This Row],[QTY]]*表格1[[#This Row],[Unit Price]],"-")</f>
        <v>628</v>
      </c>
      <c r="O424" s="134">
        <v>447055</v>
      </c>
      <c r="P424" s="81"/>
      <c r="Q424" s="81"/>
      <c r="R424" s="81" t="str">
        <f>_xlfn.CONCAT(表格1[[#This Row],[Model]]," ",表格1[[#This Row],[inv no]])</f>
        <v>TP-50DRUHK(W) 447055</v>
      </c>
      <c r="S424" s="135">
        <f>_xlfn.XLOOKUP(表格1[[#This Row],[Model]],表格3[Model-Input-Ref2],表格3[SRP PRICE])</f>
        <v>718</v>
      </c>
      <c r="T424" s="43">
        <f>表格1[[#This Row],[Unit Price]]/表格1[[#This Row],[SRP]]</f>
        <v>0.87465181058495822</v>
      </c>
      <c r="U424" s="86" t="str">
        <f>_xlfn.XLOOKUP(表格1[[#This Row],[Model]],表格3[Model-Input-Ref2],表格3[TOSHIBA/HIGHEST])</f>
        <v>Toshiba SRP</v>
      </c>
      <c r="V424" s="86">
        <v>110</v>
      </c>
      <c r="W424" s="86" t="str">
        <f>_xlfn.CONCAT(表格1[[#This Row],[欄4]],表格1[[#This Row],[inv no]])</f>
        <v>110447055</v>
      </c>
    </row>
    <row r="425" spans="1:23" hidden="1">
      <c r="A425" s="81">
        <v>423</v>
      </c>
      <c r="B425" s="81" t="s">
        <v>1260</v>
      </c>
      <c r="C425" s="81" t="s">
        <v>1261</v>
      </c>
      <c r="D425" s="82" t="str">
        <f ca="1">OFFSET(Roster!$A$3,MATCH(表格1[[#This Row],[Location]]&amp;" "&amp;表格1[[#This Row],[Shop]]&amp;"*",Roster!$A$4:$A$72,0),DAY(表格1[[#This Row],[date]]),1,1)</f>
        <v>Shan_1</v>
      </c>
      <c r="E425" s="81">
        <f>MONTH(表格1[[#This Row],[date]])</f>
        <v>3</v>
      </c>
      <c r="F425" s="101">
        <v>46089</v>
      </c>
      <c r="G425" s="81" t="str">
        <f>VLOOKUP("*"&amp;表格1[[#This Row],[Input]]&amp;"*",'Ref-List'!$B:$D,2,)</f>
        <v>KT-15DRTHK(W)</v>
      </c>
      <c r="H425" s="81" t="str">
        <f>_xlfn.XLOOKUP(表格1[[#This Row],[Model]],表格3[Model-Input-Ref2],表格3[Product Line])</f>
        <v>無線雙層電熱水壺-附可鎖壺蓋</v>
      </c>
      <c r="I425" s="81" t="str">
        <f>_xlfn.XLOOKUP(表格1[[#This Row],[Model]],表格3[Model-Input-Ref2],表格3[大小電])</f>
        <v>細電</v>
      </c>
      <c r="J425" s="81" t="str">
        <f>_xlfn.XLOOKUP(表格1[[#This Row],[Model]],表格3[Model-Input-Ref2],表格3[Code])</f>
        <v>SDA</v>
      </c>
      <c r="K425" s="82" t="s">
        <v>1278</v>
      </c>
      <c r="L425" s="81">
        <v>1</v>
      </c>
      <c r="M425" s="85">
        <v>498</v>
      </c>
      <c r="N425" s="85">
        <f>IFERROR(表格1[[#This Row],[QTY]]*表格1[[#This Row],[Unit Price]],"-")</f>
        <v>498</v>
      </c>
      <c r="O425" s="134">
        <v>441004</v>
      </c>
      <c r="P425" s="81"/>
      <c r="Q425" s="81"/>
      <c r="R425" s="81" t="str">
        <f>_xlfn.CONCAT(表格1[[#This Row],[Model]]," ",表格1[[#This Row],[inv no]])</f>
        <v>KT-15DRTHK(W) 441004</v>
      </c>
      <c r="S425" s="135">
        <f>_xlfn.XLOOKUP(表格1[[#This Row],[Model]],表格3[Model-Input-Ref2],表格3[SRP PRICE])</f>
        <v>598</v>
      </c>
      <c r="T425" s="43">
        <f>表格1[[#This Row],[Unit Price]]/表格1[[#This Row],[SRP]]</f>
        <v>0.83277591973244147</v>
      </c>
      <c r="U425" s="86" t="str">
        <f>_xlfn.XLOOKUP(表格1[[#This Row],[Model]],表格3[Model-Input-Ref2],表格3[TOSHIBA/HIGHEST])</f>
        <v>Toshiba SRP</v>
      </c>
      <c r="V425" s="86">
        <v>110</v>
      </c>
      <c r="W425" s="86" t="str">
        <f>_xlfn.CONCAT(表格1[[#This Row],[欄4]],表格1[[#This Row],[inv no]])</f>
        <v>110441004</v>
      </c>
    </row>
    <row r="426" spans="1:23" hidden="1">
      <c r="A426" s="81">
        <v>424</v>
      </c>
      <c r="B426" s="81" t="s">
        <v>1260</v>
      </c>
      <c r="C426" s="81" t="s">
        <v>1261</v>
      </c>
      <c r="D426" s="82" t="str">
        <f ca="1">OFFSET(Roster!$A$3,MATCH(表格1[[#This Row],[Location]]&amp;" "&amp;表格1[[#This Row],[Shop]]&amp;"*",Roster!$A$4:$A$72,0),DAY(表格1[[#This Row],[date]]),1,1)</f>
        <v>Shan_1</v>
      </c>
      <c r="E426" s="81">
        <f>MONTH(表格1[[#This Row],[date]])</f>
        <v>3</v>
      </c>
      <c r="F426" s="101">
        <v>46089</v>
      </c>
      <c r="G426" s="81" t="str">
        <f>VLOOKUP("*"&amp;表格1[[#This Row],[Input]]&amp;"*",'Ref-List'!$B:$D,2,)</f>
        <v>RC-10NMFIH(WT)</v>
      </c>
      <c r="H426" s="81" t="str">
        <f>_xlfn.XLOOKUP(表格1[[#This Row],[Model]],表格3[Model-Input-Ref2],表格3[Product Line])</f>
        <v>4毫米厚釜電飯煲1L</v>
      </c>
      <c r="I426" s="81" t="str">
        <f>_xlfn.XLOOKUP(表格1[[#This Row],[Model]],表格3[Model-Input-Ref2],表格3[大小電])</f>
        <v>細電</v>
      </c>
      <c r="J426" s="81" t="str">
        <f>_xlfn.XLOOKUP(表格1[[#This Row],[Model]],表格3[Model-Input-Ref2],表格3[Code])</f>
        <v>SDA</v>
      </c>
      <c r="K426" s="82" t="s">
        <v>1244</v>
      </c>
      <c r="L426" s="81">
        <v>1</v>
      </c>
      <c r="M426" s="85">
        <v>719</v>
      </c>
      <c r="N426" s="85">
        <f>IFERROR(表格1[[#This Row],[QTY]]*表格1[[#This Row],[Unit Price]],"-")</f>
        <v>719</v>
      </c>
      <c r="O426" s="134">
        <v>441029</v>
      </c>
      <c r="P426" s="81"/>
      <c r="Q426" s="81"/>
      <c r="R426" s="81" t="str">
        <f>_xlfn.CONCAT(表格1[[#This Row],[Model]]," ",表格1[[#This Row],[inv no]])</f>
        <v>RC-10NMFIH(WT) 441029</v>
      </c>
      <c r="S426" s="135">
        <f>_xlfn.XLOOKUP(表格1[[#This Row],[Model]],表格3[Model-Input-Ref2],表格3[SRP PRICE])</f>
        <v>898</v>
      </c>
      <c r="T426" s="43">
        <f>表格1[[#This Row],[Unit Price]]/表格1[[#This Row],[SRP]]</f>
        <v>0.80066815144766146</v>
      </c>
      <c r="U426" s="86" t="str">
        <f>_xlfn.XLOOKUP(表格1[[#This Row],[Model]],表格3[Model-Input-Ref2],表格3[TOSHIBA/HIGHEST])</f>
        <v>Toshiba SRP</v>
      </c>
      <c r="V426" s="86">
        <v>110</v>
      </c>
      <c r="W426" s="86" t="str">
        <f>_xlfn.CONCAT(表格1[[#This Row],[欄4]],表格1[[#This Row],[inv no]])</f>
        <v>110441029</v>
      </c>
    </row>
    <row r="427" spans="1:23" ht="16.5" hidden="1">
      <c r="A427" s="81">
        <v>425</v>
      </c>
      <c r="B427" s="81" t="s">
        <v>1260</v>
      </c>
      <c r="C427" s="81" t="s">
        <v>1261</v>
      </c>
      <c r="D427" s="82" t="str">
        <f ca="1">OFFSET(Roster!$A$3,MATCH(表格1[[#This Row],[Location]]&amp;" "&amp;表格1[[#This Row],[Shop]]&amp;"*",Roster!$A$4:$A$72,0),DAY(表格1[[#This Row],[date]]),1,1)</f>
        <v>Shan_1</v>
      </c>
      <c r="E427" s="81">
        <f>MONTH(表格1[[#This Row],[date]])</f>
        <v>3</v>
      </c>
      <c r="F427" s="101">
        <v>46089</v>
      </c>
      <c r="G427" s="81" t="str">
        <f>VLOOKUP("*"&amp;表格1[[#This Row],[Input]]&amp;"*",'Ref-List'!$B:$D,2,)</f>
        <v>VC-CLS1BF(R)</v>
      </c>
      <c r="H427" s="81" t="str">
        <f>_xlfn.XLOOKUP(表格1[[#This Row],[Model]],表格3[Model-Input-Ref2],表格3[Product Line])</f>
        <v>超輕巧2合1無線吸塵機</v>
      </c>
      <c r="I427" s="81" t="str">
        <f>_xlfn.XLOOKUP(表格1[[#This Row],[Model]],表格3[Model-Input-Ref2],表格3[大小電])</f>
        <v>細電</v>
      </c>
      <c r="J427" s="81" t="str">
        <f>_xlfn.XLOOKUP(表格1[[#This Row],[Model]],表格3[Model-Input-Ref2],表格3[Code])</f>
        <v>MCA</v>
      </c>
      <c r="K427" s="82" t="s">
        <v>1265</v>
      </c>
      <c r="L427" s="81">
        <v>1</v>
      </c>
      <c r="M427" s="85">
        <v>1510</v>
      </c>
      <c r="N427" s="85">
        <f>IFERROR(表格1[[#This Row],[QTY]]*表格1[[#This Row],[Unit Price]],"-")</f>
        <v>1510</v>
      </c>
      <c r="O427" s="134">
        <v>441036</v>
      </c>
      <c r="P427" s="137"/>
      <c r="Q427" s="81"/>
      <c r="R427" s="81" t="str">
        <f>_xlfn.CONCAT(表格1[[#This Row],[Model]]," ",表格1[[#This Row],[inv no]])</f>
        <v>VC-CLS1BF(R) 441036</v>
      </c>
      <c r="S427" s="135">
        <f>_xlfn.XLOOKUP(表格1[[#This Row],[Model]],表格3[Model-Input-Ref2],表格3[SRP PRICE])</f>
        <v>1888</v>
      </c>
      <c r="T427" s="43">
        <f>表格1[[#This Row],[Unit Price]]/表格1[[#This Row],[SRP]]</f>
        <v>0.79978813559322037</v>
      </c>
      <c r="U427" s="86" t="str">
        <f>_xlfn.XLOOKUP(表格1[[#This Row],[Model]],表格3[Model-Input-Ref2],表格3[TOSHIBA/HIGHEST])</f>
        <v>Toshiba SRP</v>
      </c>
      <c r="V427" s="86">
        <v>110</v>
      </c>
      <c r="W427" s="86" t="str">
        <f>_xlfn.CONCAT(表格1[[#This Row],[欄4]],表格1[[#This Row],[inv no]])</f>
        <v>110441036</v>
      </c>
    </row>
    <row r="428" spans="1:23" ht="16.5" hidden="1">
      <c r="A428" s="81">
        <v>426</v>
      </c>
      <c r="B428" s="81" t="s">
        <v>1260</v>
      </c>
      <c r="C428" s="81" t="s">
        <v>1261</v>
      </c>
      <c r="D428" s="82" t="str">
        <f ca="1">OFFSET(Roster!$A$3,MATCH(表格1[[#This Row],[Location]]&amp;" "&amp;表格1[[#This Row],[Shop]]&amp;"*",Roster!$A$4:$A$72,0),DAY(表格1[[#This Row],[date]]),1,1)</f>
        <v>Shan_1</v>
      </c>
      <c r="E428" s="81">
        <f>MONTH(表格1[[#This Row],[date]])</f>
        <v>3</v>
      </c>
      <c r="F428" s="101">
        <v>46089</v>
      </c>
      <c r="G428" s="81" t="str">
        <f>VLOOKUP("*"&amp;表格1[[#This Row],[Input]]&amp;"*",'Ref-List'!$B:$D,2,)</f>
        <v>RC-10AMXH(W)</v>
      </c>
      <c r="H428" s="81" t="str">
        <f>_xlfn.XLOOKUP(表格1[[#This Row],[Model]],表格3[Model-Input-Ref2],表格3[Product Line])</f>
        <v>酵活炊電飯煲(1.0公升)</v>
      </c>
      <c r="I428" s="81" t="str">
        <f>_xlfn.XLOOKUP(表格1[[#This Row],[Model]],表格3[Model-Input-Ref2],表格3[大小電])</f>
        <v>細電</v>
      </c>
      <c r="J428" s="81" t="str">
        <f>_xlfn.XLOOKUP(表格1[[#This Row],[Model]],表格3[Model-Input-Ref2],表格3[Code])</f>
        <v>SDA</v>
      </c>
      <c r="K428" s="82" t="s">
        <v>1279</v>
      </c>
      <c r="L428" s="81">
        <v>1</v>
      </c>
      <c r="M428" s="85">
        <v>990</v>
      </c>
      <c r="N428" s="85">
        <f>IFERROR(表格1[[#This Row],[QTY]]*表格1[[#This Row],[Unit Price]],"-")</f>
        <v>990</v>
      </c>
      <c r="O428" s="134">
        <v>447079</v>
      </c>
      <c r="P428" s="137"/>
      <c r="Q428" s="81"/>
      <c r="R428" s="81" t="str">
        <f>_xlfn.CONCAT(表格1[[#This Row],[Model]]," ",表格1[[#This Row],[inv no]])</f>
        <v>RC-10AMXH(W) 447079</v>
      </c>
      <c r="S428" s="135">
        <f>_xlfn.XLOOKUP(表格1[[#This Row],[Model]],表格3[Model-Input-Ref2],表格3[SRP PRICE])</f>
        <v>1288</v>
      </c>
      <c r="T428" s="43">
        <f>表格1[[#This Row],[Unit Price]]/表格1[[#This Row],[SRP]]</f>
        <v>0.76863354037267084</v>
      </c>
      <c r="U428" s="86" t="str">
        <f>_xlfn.XLOOKUP(表格1[[#This Row],[Model]],表格3[Model-Input-Ref2],表格3[TOSHIBA/HIGHEST])</f>
        <v>Toshiba SRP</v>
      </c>
      <c r="V428" s="86">
        <v>110</v>
      </c>
      <c r="W428" s="86" t="str">
        <f>_xlfn.CONCAT(表格1[[#This Row],[欄4]],表格1[[#This Row],[inv no]])</f>
        <v>110447079</v>
      </c>
    </row>
    <row r="429" spans="1:23" hidden="1">
      <c r="A429" s="81">
        <v>427</v>
      </c>
      <c r="B429" s="81" t="s">
        <v>1260</v>
      </c>
      <c r="C429" s="81" t="s">
        <v>1261</v>
      </c>
      <c r="D429" s="82" t="str">
        <f ca="1">OFFSET(Roster!$A$3,MATCH(表格1[[#This Row],[Location]]&amp;" "&amp;表格1[[#This Row],[Shop]]&amp;"*",Roster!$A$4:$A$72,0),DAY(表格1[[#This Row],[date]]),1,1)</f>
        <v>Shan_1</v>
      </c>
      <c r="E429" s="81">
        <f>MONTH(表格1[[#This Row],[date]])</f>
        <v>3</v>
      </c>
      <c r="F429" s="101">
        <v>46090</v>
      </c>
      <c r="G429" s="81" t="str">
        <f>VLOOKUP("*"&amp;表格1[[#This Row],[Input]]&amp;"*",'Ref-List'!$B:$D,2,)</f>
        <v>TW-T21BU80UWH(MG)</v>
      </c>
      <c r="H429" s="81" t="str">
        <f>_xlfn.XLOOKUP(表格1[[#This Row],[Model]],表格3[Model-Input-Ref2],表格3[Product Line])</f>
        <v>400MM超薄身前置式變頻洗衣機(7公斤)</v>
      </c>
      <c r="I429" s="81" t="str">
        <f>_xlfn.XLOOKUP(表格1[[#This Row],[Model]],表格3[Model-Input-Ref2],表格3[大小電])</f>
        <v>大電</v>
      </c>
      <c r="J429" s="81" t="str">
        <f>_xlfn.XLOOKUP(表格1[[#This Row],[Model]],表格3[Model-Input-Ref2],表格3[Code])</f>
        <v>LAD</v>
      </c>
      <c r="K429" s="82" t="s">
        <v>1280</v>
      </c>
      <c r="L429" s="81">
        <v>1</v>
      </c>
      <c r="M429" s="85">
        <v>3180</v>
      </c>
      <c r="N429" s="85">
        <f>IFERROR(表格1[[#This Row],[QTY]]*表格1[[#This Row],[Unit Price]],"-")</f>
        <v>3180</v>
      </c>
      <c r="O429" s="134">
        <v>441083</v>
      </c>
      <c r="P429" s="81"/>
      <c r="Q429" s="81"/>
      <c r="R429" s="81" t="str">
        <f>_xlfn.CONCAT(表格1[[#This Row],[Model]]," ",表格1[[#This Row],[inv no]])</f>
        <v>TW-T21BU80UWH(MG) 441083</v>
      </c>
      <c r="S429" s="135">
        <f>_xlfn.XLOOKUP(表格1[[#This Row],[Model]],表格3[Model-Input-Ref2],表格3[SRP PRICE])</f>
        <v>5180</v>
      </c>
      <c r="T429" s="43">
        <f>表格1[[#This Row],[Unit Price]]/表格1[[#This Row],[SRP]]</f>
        <v>0.61389961389961389</v>
      </c>
      <c r="U429" s="86" t="str">
        <f>_xlfn.XLOOKUP(表格1[[#This Row],[Model]],表格3[Model-Input-Ref2],表格3[TOSHIBA/HIGHEST])</f>
        <v>Toshiba SRP</v>
      </c>
      <c r="V429" s="86">
        <v>110</v>
      </c>
      <c r="W429" s="86" t="str">
        <f>_xlfn.CONCAT(表格1[[#This Row],[欄4]],表格1[[#This Row],[inv no]])</f>
        <v>110441083</v>
      </c>
    </row>
    <row r="430" spans="1:23" hidden="1">
      <c r="A430" s="81">
        <v>428</v>
      </c>
      <c r="B430" s="81" t="s">
        <v>1260</v>
      </c>
      <c r="C430" s="81" t="s">
        <v>1261</v>
      </c>
      <c r="D430" s="82" t="str">
        <f ca="1">OFFSET(Roster!$A$3,MATCH(表格1[[#This Row],[Location]]&amp;" "&amp;表格1[[#This Row],[Shop]]&amp;"*",Roster!$A$4:$A$72,0),DAY(表格1[[#This Row],[date]]),1,1)</f>
        <v>Shan_1</v>
      </c>
      <c r="E430" s="81">
        <f>MONTH(表格1[[#This Row],[date]])</f>
        <v>3</v>
      </c>
      <c r="F430" s="101">
        <v>46090</v>
      </c>
      <c r="G430" s="81" t="str">
        <f>VLOOKUP("*"&amp;表格1[[#This Row],[Input]]&amp;"*",'Ref-List'!$B:$D,2,)</f>
        <v>RC-5MMIH(WT)</v>
      </c>
      <c r="H430" s="81" t="str">
        <f>_xlfn.XLOOKUP(表格1[[#This Row],[Model]],表格3[Model-Input-Ref2],表格3[Product Line])</f>
        <v>4毫米厚釜電飯煲0.54L</v>
      </c>
      <c r="I430" s="81" t="str">
        <f>_xlfn.XLOOKUP(表格1[[#This Row],[Model]],表格3[Model-Input-Ref2],表格3[大小電])</f>
        <v>細電</v>
      </c>
      <c r="J430" s="81" t="str">
        <f>_xlfn.XLOOKUP(表格1[[#This Row],[Model]],表格3[Model-Input-Ref2],表格3[Code])</f>
        <v>SDA</v>
      </c>
      <c r="K430" s="82" t="s">
        <v>1195</v>
      </c>
      <c r="L430" s="81">
        <v>1</v>
      </c>
      <c r="M430" s="85">
        <v>556</v>
      </c>
      <c r="N430" s="85">
        <f>IFERROR(表格1[[#This Row],[QTY]]*表格1[[#This Row],[Unit Price]],"-")</f>
        <v>556</v>
      </c>
      <c r="O430" s="134">
        <v>441146</v>
      </c>
      <c r="P430" s="81"/>
      <c r="Q430" s="81"/>
      <c r="R430" s="81" t="str">
        <f>_xlfn.CONCAT(表格1[[#This Row],[Model]]," ",表格1[[#This Row],[inv no]])</f>
        <v>RC-5MMIH(WT) 441146</v>
      </c>
      <c r="S430" s="135">
        <f>_xlfn.XLOOKUP(表格1[[#This Row],[Model]],表格3[Model-Input-Ref2],表格3[SRP PRICE])</f>
        <v>618</v>
      </c>
      <c r="T430" s="43">
        <f>表格1[[#This Row],[Unit Price]]/表格1[[#This Row],[SRP]]</f>
        <v>0.89967637540453071</v>
      </c>
      <c r="U430" s="86" t="str">
        <f>_xlfn.XLOOKUP(表格1[[#This Row],[Model]],表格3[Model-Input-Ref2],表格3[TOSHIBA/HIGHEST])</f>
        <v>Toshiba SRP</v>
      </c>
      <c r="V430" s="86">
        <v>110</v>
      </c>
      <c r="W430" s="86" t="str">
        <f>_xlfn.CONCAT(表格1[[#This Row],[欄4]],表格1[[#This Row],[inv no]])</f>
        <v>110441146</v>
      </c>
    </row>
    <row r="431" spans="1:23" hidden="1">
      <c r="A431" s="81">
        <v>429</v>
      </c>
      <c r="B431" s="81" t="s">
        <v>1260</v>
      </c>
      <c r="C431" s="81" t="s">
        <v>1261</v>
      </c>
      <c r="D431" s="82" t="str">
        <f ca="1">OFFSET(Roster!$A$3,MATCH(表格1[[#This Row],[Location]]&amp;" "&amp;表格1[[#This Row],[Shop]]&amp;"*",Roster!$A$4:$A$72,0),DAY(表格1[[#This Row],[date]]),1,1)</f>
        <v>Shan_1</v>
      </c>
      <c r="E431" s="81">
        <f>MONTH(表格1[[#This Row],[date]])</f>
        <v>3</v>
      </c>
      <c r="F431" s="101">
        <v>46090</v>
      </c>
      <c r="G431" s="81" t="str">
        <f>VLOOKUP("*"&amp;表格1[[#This Row],[Input]]&amp;"*",'Ref-List'!$B:$D,2,)</f>
        <v>RC-18ISPH</v>
      </c>
      <c r="H431" s="81" t="str">
        <f>_xlfn.XLOOKUP(表格1[[#This Row],[Model]],表格3[Model-Input-Ref2],表格3[Product Line])</f>
        <v>低醣磁應電飯煲1.8L</v>
      </c>
      <c r="I431" s="81" t="str">
        <f>_xlfn.XLOOKUP(表格1[[#This Row],[Model]],表格3[Model-Input-Ref2],表格3[大小電])</f>
        <v>細電</v>
      </c>
      <c r="J431" s="81" t="str">
        <f>_xlfn.XLOOKUP(表格1[[#This Row],[Model]],表格3[Model-Input-Ref2],表格3[Code])</f>
        <v>SDA</v>
      </c>
      <c r="K431" s="82" t="s">
        <v>1281</v>
      </c>
      <c r="L431" s="81">
        <v>1</v>
      </c>
      <c r="M431" s="85">
        <v>999</v>
      </c>
      <c r="N431" s="85">
        <f>IFERROR(表格1[[#This Row],[QTY]]*表格1[[#This Row],[Unit Price]],"-")</f>
        <v>999</v>
      </c>
      <c r="O431" s="134">
        <v>441173</v>
      </c>
      <c r="P431" s="81"/>
      <c r="Q431" s="81"/>
      <c r="R431" s="81" t="str">
        <f>_xlfn.CONCAT(表格1[[#This Row],[Model]]," ",表格1[[#This Row],[inv no]])</f>
        <v>RC-18ISPH 441173</v>
      </c>
      <c r="S431" s="135">
        <f>_xlfn.XLOOKUP(表格1[[#This Row],[Model]],表格3[Model-Input-Ref2],表格3[SRP PRICE])</f>
        <v>1436</v>
      </c>
      <c r="T431" s="43">
        <f>表格1[[#This Row],[Unit Price]]/表格1[[#This Row],[SRP]]</f>
        <v>0.69568245125348194</v>
      </c>
      <c r="U431" s="86" t="str">
        <f>_xlfn.XLOOKUP(表格1[[#This Row],[Model]],表格3[Model-Input-Ref2],表格3[TOSHIBA/HIGHEST])</f>
        <v>Shops Highest Price</v>
      </c>
      <c r="V431" s="86">
        <v>110</v>
      </c>
      <c r="W431" s="86" t="str">
        <f>_xlfn.CONCAT(表格1[[#This Row],[欄4]],表格1[[#This Row],[inv no]])</f>
        <v>110441173</v>
      </c>
    </row>
    <row r="432" spans="1:23" hidden="1">
      <c r="A432" s="81">
        <v>430</v>
      </c>
      <c r="B432" s="81" t="s">
        <v>1260</v>
      </c>
      <c r="C432" s="81" t="s">
        <v>1261</v>
      </c>
      <c r="D432" s="82" t="str">
        <f ca="1">OFFSET(Roster!$A$3,MATCH(表格1[[#This Row],[Location]]&amp;" "&amp;表格1[[#This Row],[Shop]]&amp;"*",Roster!$A$4:$A$72,0),DAY(表格1[[#This Row],[date]]),1,1)</f>
        <v>Shan_1</v>
      </c>
      <c r="E432" s="81">
        <f>MONTH(表格1[[#This Row],[date]])</f>
        <v>3</v>
      </c>
      <c r="F432" s="101">
        <v>46090</v>
      </c>
      <c r="G432" s="81" t="str">
        <f>VLOOKUP("*"&amp;表格1[[#This Row],[Input]]&amp;"*",'Ref-List'!$B:$D,2,)</f>
        <v>GR-RB360WE-PMA(06)</v>
      </c>
      <c r="H432" s="81" t="str">
        <f>_xlfn.XLOOKUP(表格1[[#This Row],[Model]],表格3[Model-Input-Ref2],表格3[Product Line])</f>
        <v>變頻下置式雙門雪櫃系列270L</v>
      </c>
      <c r="I432" s="81" t="str">
        <f>_xlfn.XLOOKUP(表格1[[#This Row],[Model]],表格3[Model-Input-Ref2],表格3[大小電])</f>
        <v>大電</v>
      </c>
      <c r="J432" s="81" t="str">
        <f>_xlfn.XLOOKUP(表格1[[#This Row],[Model]],表格3[Model-Input-Ref2],表格3[Code])</f>
        <v>REF</v>
      </c>
      <c r="K432" s="82" t="s">
        <v>1282</v>
      </c>
      <c r="L432" s="81">
        <v>1</v>
      </c>
      <c r="M432" s="85">
        <v>3980</v>
      </c>
      <c r="N432" s="85">
        <f>IFERROR(表格1[[#This Row],[QTY]]*表格1[[#This Row],[Unit Price]],"-")</f>
        <v>3980</v>
      </c>
      <c r="O432" s="134">
        <v>441180</v>
      </c>
      <c r="P432" s="81"/>
      <c r="Q432" s="81"/>
      <c r="R432" s="81" t="str">
        <f>_xlfn.CONCAT(表格1[[#This Row],[Model]]," ",表格1[[#This Row],[inv no]])</f>
        <v>GR-RB360WE-PMA(06) 441180</v>
      </c>
      <c r="S432" s="135">
        <f>_xlfn.XLOOKUP(表格1[[#This Row],[Model]],表格3[Model-Input-Ref2],表格3[SRP PRICE])</f>
        <v>5080</v>
      </c>
      <c r="T432" s="43">
        <f>表格1[[#This Row],[Unit Price]]/表格1[[#This Row],[SRP]]</f>
        <v>0.78346456692913391</v>
      </c>
      <c r="U432" s="86" t="str">
        <f>_xlfn.XLOOKUP(表格1[[#This Row],[Model]],表格3[Model-Input-Ref2],表格3[TOSHIBA/HIGHEST])</f>
        <v>Toshiba SRP</v>
      </c>
      <c r="V432" s="86">
        <v>110</v>
      </c>
      <c r="W432" s="86" t="str">
        <f>_xlfn.CONCAT(表格1[[#This Row],[欄4]],表格1[[#This Row],[inv no]])</f>
        <v>110441180</v>
      </c>
    </row>
    <row r="433" spans="1:23" hidden="1">
      <c r="A433" s="81">
        <v>431</v>
      </c>
      <c r="B433" s="81" t="s">
        <v>1260</v>
      </c>
      <c r="C433" s="81" t="s">
        <v>1261</v>
      </c>
      <c r="D433" s="82" t="str">
        <f ca="1">OFFSET(Roster!$A$3,MATCH(表格1[[#This Row],[Location]]&amp;" "&amp;表格1[[#This Row],[Shop]]&amp;"*",Roster!$A$4:$A$72,0),DAY(表格1[[#This Row],[date]]),1,1)</f>
        <v>Shan_1</v>
      </c>
      <c r="E433" s="81">
        <f>MONTH(表格1[[#This Row],[date]])</f>
        <v>3</v>
      </c>
      <c r="F433" s="101">
        <v>46090</v>
      </c>
      <c r="G433" s="81" t="str">
        <f>VLOOKUP("*"&amp;表格1[[#This Row],[Input]]&amp;"*",'Ref-List'!$B:$D,2,)</f>
        <v>TW-T22BU95UWH(WK)-B</v>
      </c>
      <c r="H433" s="81" t="str">
        <f>_xlfn.XLOOKUP(表格1[[#This Row],[Model]],表格3[Model-Input-Ref2],表格3[Product Line])</f>
        <v>470MM超薄身前置式變頻洗衣機(8.5公斤, 可飛頂)</v>
      </c>
      <c r="I433" s="81" t="str">
        <f>_xlfn.XLOOKUP(表格1[[#This Row],[Model]],表格3[Model-Input-Ref2],表格3[大小電])</f>
        <v>大電</v>
      </c>
      <c r="J433" s="81" t="str">
        <f>_xlfn.XLOOKUP(表格1[[#This Row],[Model]],表格3[Model-Input-Ref2],表格3[Code])</f>
        <v>LAD</v>
      </c>
      <c r="K433" s="82" t="s">
        <v>969</v>
      </c>
      <c r="L433" s="81">
        <v>1</v>
      </c>
      <c r="M433" s="85">
        <v>3680</v>
      </c>
      <c r="N433" s="85">
        <f>IFERROR(表格1[[#This Row],[QTY]]*表格1[[#This Row],[Unit Price]],"-")</f>
        <v>3680</v>
      </c>
      <c r="O433" s="134">
        <v>441179</v>
      </c>
      <c r="P433" s="81"/>
      <c r="Q433" s="81"/>
      <c r="R433" s="81" t="str">
        <f>_xlfn.CONCAT(表格1[[#This Row],[Model]]," ",表格1[[#This Row],[inv no]])</f>
        <v>TW-T22BU95UWH(WK)-B 441179</v>
      </c>
      <c r="S433" s="135">
        <f>_xlfn.XLOOKUP(表格1[[#This Row],[Model]],表格3[Model-Input-Ref2],表格3[SRP PRICE])</f>
        <v>5880</v>
      </c>
      <c r="T433" s="43">
        <f>表格1[[#This Row],[Unit Price]]/表格1[[#This Row],[SRP]]</f>
        <v>0.62585034013605445</v>
      </c>
      <c r="U433" s="86" t="str">
        <f>_xlfn.XLOOKUP(表格1[[#This Row],[Model]],表格3[Model-Input-Ref2],表格3[TOSHIBA/HIGHEST])</f>
        <v>Toshiba SRP</v>
      </c>
      <c r="V433" s="86">
        <v>110</v>
      </c>
      <c r="W433" s="86" t="str">
        <f>_xlfn.CONCAT(表格1[[#This Row],[欄4]],表格1[[#This Row],[inv no]])</f>
        <v>110441179</v>
      </c>
    </row>
    <row r="434" spans="1:23" hidden="1">
      <c r="A434" s="81">
        <v>432</v>
      </c>
      <c r="B434" s="81" t="s">
        <v>1260</v>
      </c>
      <c r="C434" s="81" t="s">
        <v>1261</v>
      </c>
      <c r="D434" s="82" t="str">
        <f ca="1">OFFSET(Roster!$A$3,MATCH(表格1[[#This Row],[Location]]&amp;" "&amp;表格1[[#This Row],[Shop]]&amp;"*",Roster!$A$4:$A$72,0),DAY(表格1[[#This Row],[date]]),1,1)</f>
        <v>Shan_1</v>
      </c>
      <c r="E434" s="81">
        <f>MONTH(表格1[[#This Row],[date]])</f>
        <v>3</v>
      </c>
      <c r="F434" s="101">
        <v>46090</v>
      </c>
      <c r="G434" s="81" t="str">
        <f>VLOOKUP("*"&amp;表格1[[#This Row],[Input]]&amp;"*",'Ref-List'!$B:$D,2,)</f>
        <v>RAD-D300H</v>
      </c>
      <c r="H434" s="81" t="str">
        <f>_xlfn.XLOOKUP(表格1[[#This Row],[Model]],表格3[Model-Input-Ref2],表格3[Product Line])</f>
        <v>壓縮式抽濕機 (30公升)</v>
      </c>
      <c r="I434" s="81" t="str">
        <f>_xlfn.XLOOKUP(表格1[[#This Row],[Model]],表格3[Model-Input-Ref2],表格3[大小電])</f>
        <v>細電</v>
      </c>
      <c r="J434" s="81" t="str">
        <f>_xlfn.XLOOKUP(表格1[[#This Row],[Model]],表格3[Model-Input-Ref2],表格3[Code])</f>
        <v>RAC</v>
      </c>
      <c r="K434" s="82" t="s">
        <v>1252</v>
      </c>
      <c r="L434" s="81">
        <v>1</v>
      </c>
      <c r="M434" s="85">
        <v>2280</v>
      </c>
      <c r="N434" s="85">
        <f>IFERROR(表格1[[#This Row],[QTY]]*表格1[[#This Row],[Unit Price]],"-")</f>
        <v>2280</v>
      </c>
      <c r="O434" s="134">
        <v>441284</v>
      </c>
      <c r="P434" s="81"/>
      <c r="Q434" s="81"/>
      <c r="R434" s="81" t="str">
        <f>_xlfn.CONCAT(表格1[[#This Row],[Model]]," ",表格1[[#This Row],[inv no]])</f>
        <v>RAD-D300H 441284</v>
      </c>
      <c r="S434" s="135">
        <f>_xlfn.XLOOKUP(表格1[[#This Row],[Model]],表格3[Model-Input-Ref2],表格3[SRP PRICE])</f>
        <v>3380</v>
      </c>
      <c r="T434" s="43">
        <f>表格1[[#This Row],[Unit Price]]/表格1[[#This Row],[SRP]]</f>
        <v>0.67455621301775148</v>
      </c>
      <c r="U434" s="86" t="str">
        <f>_xlfn.XLOOKUP(表格1[[#This Row],[Model]],表格3[Model-Input-Ref2],表格3[TOSHIBA/HIGHEST])</f>
        <v>Shops Highest Price</v>
      </c>
      <c r="V434" s="86">
        <v>110</v>
      </c>
      <c r="W434" s="86" t="str">
        <f>_xlfn.CONCAT(表格1[[#This Row],[欄4]],表格1[[#This Row],[inv no]])</f>
        <v>110441284</v>
      </c>
    </row>
    <row r="435" spans="1:23" hidden="1">
      <c r="A435" s="81">
        <v>433</v>
      </c>
      <c r="B435" s="81" t="s">
        <v>1260</v>
      </c>
      <c r="C435" s="81" t="s">
        <v>1261</v>
      </c>
      <c r="D435" s="82" t="str">
        <f ca="1">OFFSET(Roster!$A$3,MATCH(表格1[[#This Row],[Location]]&amp;" "&amp;表格1[[#This Row],[Shop]]&amp;"*",Roster!$A$4:$A$72,0),DAY(表格1[[#This Row],[date]]),1,1)</f>
        <v>Shan_1</v>
      </c>
      <c r="E435" s="81">
        <f>MONTH(表格1[[#This Row],[date]])</f>
        <v>3</v>
      </c>
      <c r="F435" s="101">
        <v>46090</v>
      </c>
      <c r="G435" s="81" t="str">
        <f>VLOOKUP("*"&amp;表格1[[#This Row],[Input]]&amp;"*",'Ref-List'!$B:$D,2,)</f>
        <v>RAD-D300H</v>
      </c>
      <c r="H435" s="81" t="str">
        <f>_xlfn.XLOOKUP(表格1[[#This Row],[Model]],表格3[Model-Input-Ref2],表格3[Product Line])</f>
        <v>壓縮式抽濕機 (30公升)</v>
      </c>
      <c r="I435" s="81" t="str">
        <f>_xlfn.XLOOKUP(表格1[[#This Row],[Model]],表格3[Model-Input-Ref2],表格3[大小電])</f>
        <v>細電</v>
      </c>
      <c r="J435" s="81" t="str">
        <f>_xlfn.XLOOKUP(表格1[[#This Row],[Model]],表格3[Model-Input-Ref2],表格3[Code])</f>
        <v>RAC</v>
      </c>
      <c r="K435" s="82" t="s">
        <v>1252</v>
      </c>
      <c r="L435" s="81">
        <v>1</v>
      </c>
      <c r="M435" s="85">
        <v>2280</v>
      </c>
      <c r="N435" s="85">
        <f>IFERROR(表格1[[#This Row],[QTY]]*表格1[[#This Row],[Unit Price]],"-")</f>
        <v>2280</v>
      </c>
      <c r="O435" s="134">
        <v>447257</v>
      </c>
      <c r="P435" s="81"/>
      <c r="Q435" s="81"/>
      <c r="R435" s="81" t="str">
        <f>_xlfn.CONCAT(表格1[[#This Row],[Model]]," ",表格1[[#This Row],[inv no]])</f>
        <v>RAD-D300H 447257</v>
      </c>
      <c r="S435" s="135">
        <f>_xlfn.XLOOKUP(表格1[[#This Row],[Model]],表格3[Model-Input-Ref2],表格3[SRP PRICE])</f>
        <v>3380</v>
      </c>
      <c r="T435" s="43">
        <f>表格1[[#This Row],[Unit Price]]/表格1[[#This Row],[SRP]]</f>
        <v>0.67455621301775148</v>
      </c>
      <c r="U435" s="86" t="str">
        <f>_xlfn.XLOOKUP(表格1[[#This Row],[Model]],表格3[Model-Input-Ref2],表格3[TOSHIBA/HIGHEST])</f>
        <v>Shops Highest Price</v>
      </c>
      <c r="V435" s="86">
        <v>110</v>
      </c>
      <c r="W435" s="86" t="str">
        <f>_xlfn.CONCAT(表格1[[#This Row],[欄4]],表格1[[#This Row],[inv no]])</f>
        <v>110447257</v>
      </c>
    </row>
    <row r="436" spans="1:23" hidden="1">
      <c r="A436" s="81">
        <v>434</v>
      </c>
      <c r="B436" s="81" t="s">
        <v>1260</v>
      </c>
      <c r="C436" s="81" t="s">
        <v>1261</v>
      </c>
      <c r="D436" s="82" t="str">
        <f ca="1">OFFSET(Roster!$A$3,MATCH(表格1[[#This Row],[Location]]&amp;" "&amp;表格1[[#This Row],[Shop]]&amp;"*",Roster!$A$4:$A$72,0),DAY(表格1[[#This Row],[date]]),1,1)</f>
        <v>Shan_1</v>
      </c>
      <c r="E436" s="81">
        <f>MONTH(表格1[[#This Row],[date]])</f>
        <v>3</v>
      </c>
      <c r="F436" s="101">
        <v>46090</v>
      </c>
      <c r="G436" s="81" t="str">
        <f>VLOOKUP("*"&amp;表格1[[#This Row],[Input]]&amp;"*",'Ref-List'!$B:$D,2,)</f>
        <v>RAD-D200H</v>
      </c>
      <c r="H436" s="81" t="str">
        <f>_xlfn.XLOOKUP(表格1[[#This Row],[Model]],表格3[Model-Input-Ref2],表格3[Product Line])</f>
        <v>壓縮式抽濕機 (22公升)</v>
      </c>
      <c r="I436" s="81" t="str">
        <f>_xlfn.XLOOKUP(表格1[[#This Row],[Model]],表格3[Model-Input-Ref2],表格3[大小電])</f>
        <v>細電</v>
      </c>
      <c r="J436" s="81" t="str">
        <f>_xlfn.XLOOKUP(表格1[[#This Row],[Model]],表格3[Model-Input-Ref2],表格3[Code])</f>
        <v>RAC</v>
      </c>
      <c r="K436" s="82" t="s">
        <v>1250</v>
      </c>
      <c r="L436" s="81">
        <v>1</v>
      </c>
      <c r="M436" s="85">
        <v>1880</v>
      </c>
      <c r="N436" s="85">
        <f>IFERROR(表格1[[#This Row],[QTY]]*表格1[[#This Row],[Unit Price]],"-")</f>
        <v>1880</v>
      </c>
      <c r="O436" s="134">
        <v>447247</v>
      </c>
      <c r="P436" s="81"/>
      <c r="Q436" s="81"/>
      <c r="R436" s="81" t="str">
        <f>_xlfn.CONCAT(表格1[[#This Row],[Model]]," ",表格1[[#This Row],[inv no]])</f>
        <v>RAD-D200H 447247</v>
      </c>
      <c r="S436" s="135">
        <f>_xlfn.XLOOKUP(表格1[[#This Row],[Model]],表格3[Model-Input-Ref2],表格3[SRP PRICE])</f>
        <v>2880</v>
      </c>
      <c r="T436" s="43">
        <f>表格1[[#This Row],[Unit Price]]/表格1[[#This Row],[SRP]]</f>
        <v>0.65277777777777779</v>
      </c>
      <c r="U436" s="86" t="str">
        <f>_xlfn.XLOOKUP(表格1[[#This Row],[Model]],表格3[Model-Input-Ref2],表格3[TOSHIBA/HIGHEST])</f>
        <v>Shops Highest Price</v>
      </c>
      <c r="V436" s="86">
        <v>110</v>
      </c>
      <c r="W436" s="86" t="str">
        <f>_xlfn.CONCAT(表格1[[#This Row],[欄4]],表格1[[#This Row],[inv no]])</f>
        <v>110447247</v>
      </c>
    </row>
    <row r="437" spans="1:23" ht="16.5" hidden="1">
      <c r="A437" s="81">
        <v>435</v>
      </c>
      <c r="B437" s="81" t="s">
        <v>1260</v>
      </c>
      <c r="C437" s="81" t="s">
        <v>1261</v>
      </c>
      <c r="D437" s="82" t="str">
        <f ca="1">OFFSET(Roster!$A$3,MATCH(表格1[[#This Row],[Location]]&amp;" "&amp;表格1[[#This Row],[Shop]]&amp;"*",Roster!$A$4:$A$72,0),DAY(表格1[[#This Row],[date]]),1,1)</f>
        <v>Shan_1</v>
      </c>
      <c r="E437" s="81">
        <f>MONTH(表格1[[#This Row],[date]])</f>
        <v>3</v>
      </c>
      <c r="F437" s="101">
        <v>46090</v>
      </c>
      <c r="G437" s="81" t="str">
        <f>VLOOKUP("*"&amp;表格1[[#This Row],[Input]]&amp;"*",'Ref-List'!$B:$D,2,)</f>
        <v>RAD-D200H</v>
      </c>
      <c r="H437" s="81" t="str">
        <f>_xlfn.XLOOKUP(表格1[[#This Row],[Model]],表格3[Model-Input-Ref2],表格3[Product Line])</f>
        <v>壓縮式抽濕機 (22公升)</v>
      </c>
      <c r="I437" s="81" t="str">
        <f>_xlfn.XLOOKUP(表格1[[#This Row],[Model]],表格3[Model-Input-Ref2],表格3[大小電])</f>
        <v>細電</v>
      </c>
      <c r="J437" s="81" t="str">
        <f>_xlfn.XLOOKUP(表格1[[#This Row],[Model]],表格3[Model-Input-Ref2],表格3[Code])</f>
        <v>RAC</v>
      </c>
      <c r="K437" s="82" t="s">
        <v>1250</v>
      </c>
      <c r="L437" s="81">
        <v>1</v>
      </c>
      <c r="M437" s="85">
        <v>1880</v>
      </c>
      <c r="N437" s="85">
        <f>IFERROR(表格1[[#This Row],[QTY]]*表格1[[#This Row],[Unit Price]],"-")</f>
        <v>1880</v>
      </c>
      <c r="O437" s="134">
        <v>441291</v>
      </c>
      <c r="P437" s="137"/>
      <c r="Q437" s="81"/>
      <c r="R437" s="81" t="str">
        <f>_xlfn.CONCAT(表格1[[#This Row],[Model]]," ",表格1[[#This Row],[inv no]])</f>
        <v>RAD-D200H 441291</v>
      </c>
      <c r="S437" s="135">
        <f>_xlfn.XLOOKUP(表格1[[#This Row],[Model]],表格3[Model-Input-Ref2],表格3[SRP PRICE])</f>
        <v>2880</v>
      </c>
      <c r="T437" s="43">
        <f>表格1[[#This Row],[Unit Price]]/表格1[[#This Row],[SRP]]</f>
        <v>0.65277777777777779</v>
      </c>
      <c r="U437" s="86" t="str">
        <f>_xlfn.XLOOKUP(表格1[[#This Row],[Model]],表格3[Model-Input-Ref2],表格3[TOSHIBA/HIGHEST])</f>
        <v>Shops Highest Price</v>
      </c>
      <c r="V437" s="86">
        <v>110</v>
      </c>
      <c r="W437" s="86" t="str">
        <f>_xlfn.CONCAT(表格1[[#This Row],[欄4]],表格1[[#This Row],[inv no]])</f>
        <v>110441291</v>
      </c>
    </row>
    <row r="438" spans="1:23" hidden="1">
      <c r="A438" s="81">
        <v>436</v>
      </c>
      <c r="B438" s="81" t="s">
        <v>1260</v>
      </c>
      <c r="C438" s="81" t="s">
        <v>1261</v>
      </c>
      <c r="D438" s="82" t="str">
        <f ca="1">OFFSET(Roster!$A$3,MATCH(表格1[[#This Row],[Location]]&amp;" "&amp;表格1[[#This Row],[Shop]]&amp;"*",Roster!$A$4:$A$72,0),DAY(表格1[[#This Row],[date]]),1,1)</f>
        <v>Shan_1</v>
      </c>
      <c r="E438" s="81">
        <f>MONTH(表格1[[#This Row],[date]])</f>
        <v>3</v>
      </c>
      <c r="F438" s="101">
        <v>46090</v>
      </c>
      <c r="G438" s="81" t="str">
        <f>VLOOKUP("*"&amp;表格1[[#This Row],[Input]]&amp;"*",'Ref-List'!$B:$D,2,)</f>
        <v>PLK-45SFIH(WT)</v>
      </c>
      <c r="H438" s="81" t="str">
        <f>_xlfn.XLOOKUP(表格1[[#This Row],[Model]],表格3[Model-Input-Ref2],表格3[Product Line])</f>
        <v>電熱水瓶4.5L</v>
      </c>
      <c r="I438" s="81" t="str">
        <f>_xlfn.XLOOKUP(表格1[[#This Row],[Model]],表格3[Model-Input-Ref2],表格3[大小電])</f>
        <v>細電</v>
      </c>
      <c r="J438" s="81" t="str">
        <f>_xlfn.XLOOKUP(表格1[[#This Row],[Model]],表格3[Model-Input-Ref2],表格3[Code])</f>
        <v>SDA</v>
      </c>
      <c r="K438" s="82" t="s">
        <v>1117</v>
      </c>
      <c r="L438" s="81">
        <v>1</v>
      </c>
      <c r="M438" s="85">
        <v>602</v>
      </c>
      <c r="N438" s="85">
        <f>IFERROR(表格1[[#This Row],[QTY]]*表格1[[#This Row],[Unit Price]],"-")</f>
        <v>602</v>
      </c>
      <c r="O438" s="134">
        <v>441381</v>
      </c>
      <c r="P438" s="81"/>
      <c r="Q438" s="81"/>
      <c r="R438" s="81" t="str">
        <f>_xlfn.CONCAT(表格1[[#This Row],[Model]]," ",表格1[[#This Row],[inv no]])</f>
        <v>PLK-45SFIH(WT) 441381</v>
      </c>
      <c r="S438" s="135">
        <f>_xlfn.XLOOKUP(表格1[[#This Row],[Model]],表格3[Model-Input-Ref2],表格3[SRP PRICE])</f>
        <v>788</v>
      </c>
      <c r="T438" s="43">
        <f>表格1[[#This Row],[Unit Price]]/表格1[[#This Row],[SRP]]</f>
        <v>0.76395939086294418</v>
      </c>
      <c r="U438" s="86" t="str">
        <f>_xlfn.XLOOKUP(表格1[[#This Row],[Model]],表格3[Model-Input-Ref2],表格3[TOSHIBA/HIGHEST])</f>
        <v>Toshiba SRP</v>
      </c>
      <c r="V438" s="86">
        <v>110</v>
      </c>
      <c r="W438" s="86" t="str">
        <f>_xlfn.CONCAT(表格1[[#This Row],[欄4]],表格1[[#This Row],[inv no]])</f>
        <v>110441381</v>
      </c>
    </row>
    <row r="439" spans="1:23" hidden="1">
      <c r="A439" s="81">
        <v>437</v>
      </c>
      <c r="B439" s="81" t="s">
        <v>1260</v>
      </c>
      <c r="C439" s="81" t="s">
        <v>1261</v>
      </c>
      <c r="D439" s="82" t="str">
        <f ca="1">OFFSET(Roster!$A$3,MATCH(表格1[[#This Row],[Location]]&amp;" "&amp;表格1[[#This Row],[Shop]]&amp;"*",Roster!$A$4:$A$72,0),DAY(表格1[[#This Row],[date]]),1,1)</f>
        <v>Shan_1</v>
      </c>
      <c r="E439" s="81">
        <f>MONTH(表格1[[#This Row],[date]])</f>
        <v>3</v>
      </c>
      <c r="F439" s="101">
        <v>46090</v>
      </c>
      <c r="G439" s="81" t="str">
        <f>VLOOKUP("*"&amp;表格1[[#This Row],[Input]]&amp;"*",'Ref-List'!$B:$D,2,)</f>
        <v>MWP-MM20P(WH)</v>
      </c>
      <c r="H439" s="81" t="str">
        <f>_xlfn.XLOOKUP(表格1[[#This Row],[Model]],表格3[Model-Input-Ref2],表格3[Product Line])</f>
        <v>旋鈕式燒烤微波爐20L</v>
      </c>
      <c r="I439" s="81" t="str">
        <f>_xlfn.XLOOKUP(表格1[[#This Row],[Model]],表格3[Model-Input-Ref2],表格3[大小電])</f>
        <v>細電</v>
      </c>
      <c r="J439" s="81" t="str">
        <f>_xlfn.XLOOKUP(表格1[[#This Row],[Model]],表格3[Model-Input-Ref2],表格3[Code])</f>
        <v>SDA</v>
      </c>
      <c r="K439" s="82" t="s">
        <v>1270</v>
      </c>
      <c r="L439" s="81">
        <v>1</v>
      </c>
      <c r="M439" s="85">
        <v>518</v>
      </c>
      <c r="N439" s="85">
        <f>IFERROR(表格1[[#This Row],[QTY]]*表格1[[#This Row],[Unit Price]],"-")</f>
        <v>518</v>
      </c>
      <c r="O439" s="134">
        <v>441394</v>
      </c>
      <c r="P439" s="81"/>
      <c r="Q439" s="81"/>
      <c r="R439" s="81" t="str">
        <f>_xlfn.CONCAT(表格1[[#This Row],[Model]]," ",表格1[[#This Row],[inv no]])</f>
        <v>MWP-MM20P(WH) 441394</v>
      </c>
      <c r="S439" s="135">
        <f>_xlfn.XLOOKUP(表格1[[#This Row],[Model]],表格3[Model-Input-Ref2],表格3[SRP PRICE])</f>
        <v>648</v>
      </c>
      <c r="T439" s="43">
        <f>表格1[[#This Row],[Unit Price]]/表格1[[#This Row],[SRP]]</f>
        <v>0.79938271604938271</v>
      </c>
      <c r="U439" s="86" t="str">
        <f>_xlfn.XLOOKUP(表格1[[#This Row],[Model]],表格3[Model-Input-Ref2],表格3[TOSHIBA/HIGHEST])</f>
        <v>Toshiba SRP</v>
      </c>
      <c r="V439" s="86">
        <v>110</v>
      </c>
      <c r="W439" s="86" t="str">
        <f>_xlfn.CONCAT(表格1[[#This Row],[欄4]],表格1[[#This Row],[inv no]])</f>
        <v>110441394</v>
      </c>
    </row>
    <row r="440" spans="1:23" hidden="1">
      <c r="A440" s="81">
        <v>438</v>
      </c>
      <c r="B440" s="81" t="s">
        <v>1260</v>
      </c>
      <c r="C440" s="81" t="s">
        <v>1261</v>
      </c>
      <c r="D440" s="82" t="str">
        <f ca="1">OFFSET(Roster!$A$3,MATCH(表格1[[#This Row],[Location]]&amp;" "&amp;表格1[[#This Row],[Shop]]&amp;"*",Roster!$A$4:$A$72,0),DAY(表格1[[#This Row],[date]]),1,1)</f>
        <v>Shan_1</v>
      </c>
      <c r="E440" s="81">
        <f>MONTH(表格1[[#This Row],[date]])</f>
        <v>3</v>
      </c>
      <c r="F440" s="101">
        <v>46090</v>
      </c>
      <c r="G440" s="81" t="str">
        <f>VLOOKUP("*"&amp;表格1[[#This Row],[Input]]&amp;"*",'Ref-List'!$B:$D,2,)</f>
        <v>RC-18NMFIH(WT)</v>
      </c>
      <c r="H440" s="81" t="str">
        <f>_xlfn.XLOOKUP(表格1[[#This Row],[Model]],表格3[Model-Input-Ref2],表格3[Product Line])</f>
        <v>4毫米厚釜電飯煲1.8L</v>
      </c>
      <c r="I440" s="81" t="str">
        <f>_xlfn.XLOOKUP(表格1[[#This Row],[Model]],表格3[Model-Input-Ref2],表格3[大小電])</f>
        <v>細電</v>
      </c>
      <c r="J440" s="81" t="str">
        <f>_xlfn.XLOOKUP(表格1[[#This Row],[Model]],表格3[Model-Input-Ref2],表格3[Code])</f>
        <v>SDA</v>
      </c>
      <c r="K440" s="82" t="s">
        <v>1267</v>
      </c>
      <c r="L440" s="81">
        <v>1</v>
      </c>
      <c r="M440" s="85">
        <v>799</v>
      </c>
      <c r="N440" s="85">
        <f>IFERROR(表格1[[#This Row],[QTY]]*表格1[[#This Row],[Unit Price]],"-")</f>
        <v>799</v>
      </c>
      <c r="O440" s="134">
        <v>441409</v>
      </c>
      <c r="P440" s="81"/>
      <c r="Q440" s="81"/>
      <c r="R440" s="81" t="str">
        <f>_xlfn.CONCAT(表格1[[#This Row],[Model]]," ",表格1[[#This Row],[inv no]])</f>
        <v>RC-18NMFIH(WT) 441409</v>
      </c>
      <c r="S440" s="135">
        <f>_xlfn.XLOOKUP(表格1[[#This Row],[Model]],表格3[Model-Input-Ref2],表格3[SRP PRICE])</f>
        <v>998</v>
      </c>
      <c r="T440" s="43">
        <f>表格1[[#This Row],[Unit Price]]/表格1[[#This Row],[SRP]]</f>
        <v>0.80060120240480959</v>
      </c>
      <c r="U440" s="86" t="str">
        <f>_xlfn.XLOOKUP(表格1[[#This Row],[Model]],表格3[Model-Input-Ref2],表格3[TOSHIBA/HIGHEST])</f>
        <v>Toshiba SRP</v>
      </c>
      <c r="V440" s="86">
        <v>110</v>
      </c>
      <c r="W440" s="86" t="str">
        <f>_xlfn.CONCAT(表格1[[#This Row],[欄4]],表格1[[#This Row],[inv no]])</f>
        <v>110441409</v>
      </c>
    </row>
    <row r="441" spans="1:23" hidden="1">
      <c r="A441" s="81">
        <v>439</v>
      </c>
      <c r="B441" s="81" t="s">
        <v>1260</v>
      </c>
      <c r="C441" s="81" t="s">
        <v>1261</v>
      </c>
      <c r="D441" s="82" t="str">
        <f ca="1">OFFSET(Roster!$A$3,MATCH(表格1[[#This Row],[Location]]&amp;" "&amp;表格1[[#This Row],[Shop]]&amp;"*",Roster!$A$4:$A$72,0),DAY(表格1[[#This Row],[date]]),1,1)</f>
        <v>Shan_1</v>
      </c>
      <c r="E441" s="81">
        <f>MONTH(表格1[[#This Row],[date]])</f>
        <v>3</v>
      </c>
      <c r="F441" s="101">
        <v>46090</v>
      </c>
      <c r="G441" s="81" t="str">
        <f>VLOOKUP("*"&amp;表格1[[#This Row],[Input]]&amp;"*",'Ref-List'!$B:$D,2,)</f>
        <v>PLK-30FLIH(WT)</v>
      </c>
      <c r="H441" s="81" t="str">
        <f>_xlfn.XLOOKUP(表格1[[#This Row],[Model]],表格3[Model-Input-Ref2],表格3[Product Line])</f>
        <v>電熱水瓶3L</v>
      </c>
      <c r="I441" s="81" t="str">
        <f>_xlfn.XLOOKUP(表格1[[#This Row],[Model]],表格3[Model-Input-Ref2],表格3[大小電])</f>
        <v>細電</v>
      </c>
      <c r="J441" s="81" t="str">
        <f>_xlfn.XLOOKUP(表格1[[#This Row],[Model]],表格3[Model-Input-Ref2],表格3[Code])</f>
        <v>SDA</v>
      </c>
      <c r="K441" s="82" t="s">
        <v>1272</v>
      </c>
      <c r="L441" s="81">
        <v>1</v>
      </c>
      <c r="M441" s="85">
        <v>489</v>
      </c>
      <c r="N441" s="85">
        <f>IFERROR(表格1[[#This Row],[QTY]]*表格1[[#This Row],[Unit Price]],"-")</f>
        <v>489</v>
      </c>
      <c r="O441" s="134">
        <v>441401</v>
      </c>
      <c r="P441" s="81"/>
      <c r="Q441" s="81"/>
      <c r="R441" s="81" t="str">
        <f>_xlfn.CONCAT(表格1[[#This Row],[Model]]," ",表格1[[#This Row],[inv no]])</f>
        <v>PLK-30FLIH(WT) 441401</v>
      </c>
      <c r="S441" s="135">
        <f>_xlfn.XLOOKUP(表格1[[#This Row],[Model]],表格3[Model-Input-Ref2],表格3[SRP PRICE])</f>
        <v>658</v>
      </c>
      <c r="T441" s="43">
        <f>表格1[[#This Row],[Unit Price]]/表格1[[#This Row],[SRP]]</f>
        <v>0.74316109422492405</v>
      </c>
      <c r="U441" s="86" t="str">
        <f>_xlfn.XLOOKUP(表格1[[#This Row],[Model]],表格3[Model-Input-Ref2],表格3[TOSHIBA/HIGHEST])</f>
        <v>Toshiba SRP</v>
      </c>
      <c r="V441" s="86">
        <v>110</v>
      </c>
      <c r="W441" s="86" t="str">
        <f>_xlfn.CONCAT(表格1[[#This Row],[欄4]],表格1[[#This Row],[inv no]])</f>
        <v>110441401</v>
      </c>
    </row>
    <row r="442" spans="1:23" hidden="1">
      <c r="A442" s="81">
        <v>440</v>
      </c>
      <c r="B442" s="81" t="s">
        <v>1260</v>
      </c>
      <c r="C442" s="81" t="s">
        <v>1261</v>
      </c>
      <c r="D442" s="82" t="str">
        <f ca="1">OFFSET(Roster!$A$3,MATCH(表格1[[#This Row],[Location]]&amp;" "&amp;表格1[[#This Row],[Shop]]&amp;"*",Roster!$A$4:$A$72,0),DAY(表格1[[#This Row],[date]]),1,1)</f>
        <v>Shan_1</v>
      </c>
      <c r="E442" s="81">
        <f>MONTH(表格1[[#This Row],[date]])</f>
        <v>3</v>
      </c>
      <c r="F442" s="101">
        <v>46090</v>
      </c>
      <c r="G442" s="81" t="str">
        <f>VLOOKUP("*"&amp;表格1[[#This Row],[Input]]&amp;"*",'Ref-List'!$B:$D,2,)</f>
        <v>RAD-D300H</v>
      </c>
      <c r="H442" s="81" t="str">
        <f>_xlfn.XLOOKUP(表格1[[#This Row],[Model]],表格3[Model-Input-Ref2],表格3[Product Line])</f>
        <v>壓縮式抽濕機 (30公升)</v>
      </c>
      <c r="I442" s="81" t="str">
        <f>_xlfn.XLOOKUP(表格1[[#This Row],[Model]],表格3[Model-Input-Ref2],表格3[大小電])</f>
        <v>細電</v>
      </c>
      <c r="J442" s="81" t="str">
        <f>_xlfn.XLOOKUP(表格1[[#This Row],[Model]],表格3[Model-Input-Ref2],表格3[Code])</f>
        <v>RAC</v>
      </c>
      <c r="K442" s="82" t="s">
        <v>1252</v>
      </c>
      <c r="L442" s="81">
        <v>1</v>
      </c>
      <c r="M442" s="85">
        <v>2280</v>
      </c>
      <c r="N442" s="85">
        <f>IFERROR(表格1[[#This Row],[QTY]]*表格1[[#This Row],[Unit Price]],"-")</f>
        <v>2280</v>
      </c>
      <c r="O442" s="134">
        <v>447313</v>
      </c>
      <c r="P442" s="81"/>
      <c r="Q442" s="81"/>
      <c r="R442" s="81" t="str">
        <f>_xlfn.CONCAT(表格1[[#This Row],[Model]]," ",表格1[[#This Row],[inv no]])</f>
        <v>RAD-D300H 447313</v>
      </c>
      <c r="S442" s="135">
        <f>_xlfn.XLOOKUP(表格1[[#This Row],[Model]],表格3[Model-Input-Ref2],表格3[SRP PRICE])</f>
        <v>3380</v>
      </c>
      <c r="T442" s="43">
        <f>表格1[[#This Row],[Unit Price]]/表格1[[#This Row],[SRP]]</f>
        <v>0.67455621301775148</v>
      </c>
      <c r="U442" s="86" t="str">
        <f>_xlfn.XLOOKUP(表格1[[#This Row],[Model]],表格3[Model-Input-Ref2],表格3[TOSHIBA/HIGHEST])</f>
        <v>Shops Highest Price</v>
      </c>
      <c r="V442" s="86">
        <v>110</v>
      </c>
      <c r="W442" s="86" t="str">
        <f>_xlfn.CONCAT(表格1[[#This Row],[欄4]],表格1[[#This Row],[inv no]])</f>
        <v>110447313</v>
      </c>
    </row>
    <row r="443" spans="1:23" hidden="1">
      <c r="A443" s="81">
        <v>441</v>
      </c>
      <c r="B443" s="81" t="s">
        <v>1260</v>
      </c>
      <c r="C443" s="81" t="s">
        <v>1261</v>
      </c>
      <c r="D443" s="82" t="str">
        <f ca="1">OFFSET(Roster!$A$3,MATCH(表格1[[#This Row],[Location]]&amp;" "&amp;表格1[[#This Row],[Shop]]&amp;"*",Roster!$A$4:$A$72,0),DAY(表格1[[#This Row],[date]]),1,1)</f>
        <v>Shan_1</v>
      </c>
      <c r="E443" s="81">
        <f>MONTH(表格1[[#This Row],[date]])</f>
        <v>3</v>
      </c>
      <c r="F443" s="101">
        <v>46090</v>
      </c>
      <c r="G443" s="81" t="str">
        <f>VLOOKUP("*"&amp;表格1[[#This Row],[Input]]&amp;"*",'Ref-List'!$B:$D,2,)</f>
        <v>KT-17SHNH</v>
      </c>
      <c r="H443" s="81" t="str">
        <f>_xlfn.XLOOKUP(表格1[[#This Row],[Model]],表格3[Model-Input-Ref2],表格3[Product Line])</f>
        <v>1.7L無線雙層電熱水壺</v>
      </c>
      <c r="I443" s="81" t="str">
        <f>_xlfn.XLOOKUP(表格1[[#This Row],[Model]],表格3[Model-Input-Ref2],表格3[大小電])</f>
        <v>細電</v>
      </c>
      <c r="J443" s="81" t="str">
        <f>_xlfn.XLOOKUP(表格1[[#This Row],[Model]],表格3[Model-Input-Ref2],表格3[Code])</f>
        <v>SDA</v>
      </c>
      <c r="K443" s="82" t="s">
        <v>1283</v>
      </c>
      <c r="L443" s="81">
        <v>1</v>
      </c>
      <c r="M443" s="85">
        <v>228</v>
      </c>
      <c r="N443" s="85">
        <f>IFERROR(表格1[[#This Row],[QTY]]*表格1[[#This Row],[Unit Price]],"-")</f>
        <v>228</v>
      </c>
      <c r="O443" s="134">
        <v>441415</v>
      </c>
      <c r="P443" s="81"/>
      <c r="Q443" s="81"/>
      <c r="R443" s="81" t="str">
        <f>_xlfn.CONCAT(表格1[[#This Row],[Model]]," ",表格1[[#This Row],[inv no]])</f>
        <v>KT-17SHNH 441415</v>
      </c>
      <c r="S443" s="135">
        <f>_xlfn.XLOOKUP(表格1[[#This Row],[Model]],表格3[Model-Input-Ref2],表格3[SRP PRICE])</f>
        <v>299</v>
      </c>
      <c r="T443" s="43">
        <f>表格1[[#This Row],[Unit Price]]/表格1[[#This Row],[SRP]]</f>
        <v>0.76254180602006694</v>
      </c>
      <c r="U443" s="86" t="str">
        <f>_xlfn.XLOOKUP(表格1[[#This Row],[Model]],表格3[Model-Input-Ref2],表格3[TOSHIBA/HIGHEST])</f>
        <v>Shops Highest Price</v>
      </c>
      <c r="V443" s="86">
        <v>110</v>
      </c>
      <c r="W443" s="86" t="str">
        <f>_xlfn.CONCAT(表格1[[#This Row],[欄4]],表格1[[#This Row],[inv no]])</f>
        <v>110441415</v>
      </c>
    </row>
    <row r="444" spans="1:23" hidden="1">
      <c r="A444" s="81">
        <v>442</v>
      </c>
      <c r="B444" s="81" t="s">
        <v>1260</v>
      </c>
      <c r="C444" s="81" t="s">
        <v>1261</v>
      </c>
      <c r="D444" s="82" t="str">
        <f ca="1">OFFSET(Roster!$A$3,MATCH(表格1[[#This Row],[Location]]&amp;" "&amp;表格1[[#This Row],[Shop]]&amp;"*",Roster!$A$4:$A$72,0),DAY(表格1[[#This Row],[date]]),1,1)</f>
        <v>Shan_1</v>
      </c>
      <c r="E444" s="81">
        <f>MONTH(表格1[[#This Row],[date]])</f>
        <v>3</v>
      </c>
      <c r="F444" s="101">
        <v>46091</v>
      </c>
      <c r="G444" s="81" t="str">
        <f>VLOOKUP("*"&amp;表格1[[#This Row],[Input]]&amp;"*",'Ref-List'!$B:$D,2,)</f>
        <v>RC-5SLIH(W)</v>
      </c>
      <c r="H444" s="81" t="str">
        <f>_xlfn.XLOOKUP(表格1[[#This Row],[Model]],表格3[Model-Input-Ref2],表格3[Product Line])</f>
        <v>微型電腦珍珠飯煲</v>
      </c>
      <c r="I444" s="81" t="str">
        <f>_xlfn.XLOOKUP(表格1[[#This Row],[Model]],表格3[Model-Input-Ref2],表格3[大小電])</f>
        <v>細電</v>
      </c>
      <c r="J444" s="81" t="str">
        <f>_xlfn.XLOOKUP(表格1[[#This Row],[Model]],表格3[Model-Input-Ref2],表格3[Code])</f>
        <v>SDA</v>
      </c>
      <c r="K444" s="82" t="s">
        <v>1264</v>
      </c>
      <c r="L444" s="81">
        <v>1</v>
      </c>
      <c r="M444" s="85">
        <v>592</v>
      </c>
      <c r="N444" s="85">
        <f>IFERROR(表格1[[#This Row],[QTY]]*表格1[[#This Row],[Unit Price]],"-")</f>
        <v>592</v>
      </c>
      <c r="O444" s="134">
        <v>155794</v>
      </c>
      <c r="P444" s="81"/>
      <c r="Q444" s="81"/>
      <c r="R444" s="81" t="str">
        <f>_xlfn.CONCAT(表格1[[#This Row],[Model]]," ",表格1[[#This Row],[inv no]])</f>
        <v>RC-5SLIH(W) 155794</v>
      </c>
      <c r="S444" s="135">
        <f>_xlfn.XLOOKUP(表格1[[#This Row],[Model]],表格3[Model-Input-Ref2],表格3[SRP PRICE])</f>
        <v>658</v>
      </c>
      <c r="T444" s="43">
        <f>表格1[[#This Row],[Unit Price]]/表格1[[#This Row],[SRP]]</f>
        <v>0.89969604863221886</v>
      </c>
      <c r="U444" s="86" t="str">
        <f>_xlfn.XLOOKUP(表格1[[#This Row],[Model]],表格3[Model-Input-Ref2],表格3[TOSHIBA/HIGHEST])</f>
        <v>Toshiba SRP</v>
      </c>
      <c r="V444" s="86">
        <v>110</v>
      </c>
      <c r="W444" s="86" t="str">
        <f>_xlfn.CONCAT(表格1[[#This Row],[欄4]],表格1[[#This Row],[inv no]])</f>
        <v>110155794</v>
      </c>
    </row>
    <row r="445" spans="1:23" hidden="1">
      <c r="A445" s="81">
        <v>443</v>
      </c>
      <c r="B445" s="81" t="s">
        <v>1260</v>
      </c>
      <c r="C445" s="81" t="s">
        <v>1261</v>
      </c>
      <c r="D445" s="82" t="str">
        <f ca="1">OFFSET(Roster!$A$3,MATCH(表格1[[#This Row],[Location]]&amp;" "&amp;表格1[[#This Row],[Shop]]&amp;"*",Roster!$A$4:$A$72,0),DAY(表格1[[#This Row],[date]]),1,1)</f>
        <v>Shan_1</v>
      </c>
      <c r="E445" s="81">
        <f>MONTH(表格1[[#This Row],[date]])</f>
        <v>3</v>
      </c>
      <c r="F445" s="101">
        <v>46091</v>
      </c>
      <c r="G445" s="81" t="str">
        <f>VLOOKUP("*"&amp;表格1[[#This Row],[Input]]&amp;"*",'Ref-List'!$B:$D,2,)</f>
        <v>RC-10JRUH(N)</v>
      </c>
      <c r="H445" s="81" t="str">
        <f>_xlfn.XLOOKUP(表格1[[#This Row],[Model]],表格3[Model-Input-Ref2],表格3[Product Line])</f>
        <v>電飯煲</v>
      </c>
      <c r="I445" s="81" t="str">
        <f>_xlfn.XLOOKUP(表格1[[#This Row],[Model]],表格3[Model-Input-Ref2],表格3[大小電])</f>
        <v>細電</v>
      </c>
      <c r="J445" s="81" t="str">
        <f>_xlfn.XLOOKUP(表格1[[#This Row],[Model]],表格3[Model-Input-Ref2],表格3[Code])</f>
        <v>SDA</v>
      </c>
      <c r="K445" s="82" t="s">
        <v>1263</v>
      </c>
      <c r="L445" s="81">
        <v>1</v>
      </c>
      <c r="M445" s="85">
        <v>250</v>
      </c>
      <c r="N445" s="85">
        <f>IFERROR(表格1[[#This Row],[QTY]]*表格1[[#This Row],[Unit Price]],"-")</f>
        <v>250</v>
      </c>
      <c r="O445" s="134">
        <v>441537</v>
      </c>
      <c r="P445" s="81"/>
      <c r="Q445" s="81"/>
      <c r="R445" s="81" t="str">
        <f>_xlfn.CONCAT(表格1[[#This Row],[Model]]," ",表格1[[#This Row],[inv no]])</f>
        <v>RC-10JRUH(N) 441537</v>
      </c>
      <c r="S445" s="135">
        <f>_xlfn.XLOOKUP(表格1[[#This Row],[Model]],表格3[Model-Input-Ref2],表格3[SRP PRICE])</f>
        <v>398</v>
      </c>
      <c r="T445" s="43">
        <f>表格1[[#This Row],[Unit Price]]/表格1[[#This Row],[SRP]]</f>
        <v>0.62814070351758799</v>
      </c>
      <c r="U445" s="86" t="str">
        <f>_xlfn.XLOOKUP(表格1[[#This Row],[Model]],表格3[Model-Input-Ref2],表格3[TOSHIBA/HIGHEST])</f>
        <v>Shops Highest Price</v>
      </c>
      <c r="V445" s="86">
        <v>110</v>
      </c>
      <c r="W445" s="86" t="str">
        <f>_xlfn.CONCAT(表格1[[#This Row],[欄4]],表格1[[#This Row],[inv no]])</f>
        <v>110441537</v>
      </c>
    </row>
    <row r="446" spans="1:23" hidden="1">
      <c r="A446" s="81">
        <v>444</v>
      </c>
      <c r="B446" s="81" t="s">
        <v>1260</v>
      </c>
      <c r="C446" s="81" t="s">
        <v>1261</v>
      </c>
      <c r="D446" s="82" t="str">
        <f ca="1">OFFSET(Roster!$A$3,MATCH(表格1[[#This Row],[Location]]&amp;" "&amp;表格1[[#This Row],[Shop]]&amp;"*",Roster!$A$4:$A$72,0),DAY(表格1[[#This Row],[date]]),1,1)</f>
        <v>Shan_1</v>
      </c>
      <c r="E446" s="81">
        <f>MONTH(表格1[[#This Row],[date]])</f>
        <v>3</v>
      </c>
      <c r="F446" s="101">
        <v>46091</v>
      </c>
      <c r="G446" s="81" t="str">
        <f>VLOOKUP("*"&amp;表格1[[#This Row],[Input]]&amp;"*",'Ref-List'!$B:$D,2,)</f>
        <v>RC-10NMFIH(WT)</v>
      </c>
      <c r="H446" s="81" t="str">
        <f>_xlfn.XLOOKUP(表格1[[#This Row],[Model]],表格3[Model-Input-Ref2],表格3[Product Line])</f>
        <v>4毫米厚釜電飯煲1L</v>
      </c>
      <c r="I446" s="81" t="str">
        <f>_xlfn.XLOOKUP(表格1[[#This Row],[Model]],表格3[Model-Input-Ref2],表格3[大小電])</f>
        <v>細電</v>
      </c>
      <c r="J446" s="81" t="str">
        <f>_xlfn.XLOOKUP(表格1[[#This Row],[Model]],表格3[Model-Input-Ref2],表格3[Code])</f>
        <v>SDA</v>
      </c>
      <c r="K446" s="82" t="s">
        <v>1244</v>
      </c>
      <c r="L446" s="81">
        <v>1</v>
      </c>
      <c r="M446" s="85">
        <v>719</v>
      </c>
      <c r="N446" s="85">
        <f>IFERROR(表格1[[#This Row],[QTY]]*表格1[[#This Row],[Unit Price]],"-")</f>
        <v>719</v>
      </c>
      <c r="O446" s="134">
        <v>441650</v>
      </c>
      <c r="P446" s="81"/>
      <c r="Q446" s="81"/>
      <c r="R446" s="81" t="str">
        <f>_xlfn.CONCAT(表格1[[#This Row],[Model]]," ",表格1[[#This Row],[inv no]])</f>
        <v>RC-10NMFIH(WT) 441650</v>
      </c>
      <c r="S446" s="135">
        <f>_xlfn.XLOOKUP(表格1[[#This Row],[Model]],表格3[Model-Input-Ref2],表格3[SRP PRICE])</f>
        <v>898</v>
      </c>
      <c r="T446" s="43">
        <f>表格1[[#This Row],[Unit Price]]/表格1[[#This Row],[SRP]]</f>
        <v>0.80066815144766146</v>
      </c>
      <c r="U446" s="86" t="str">
        <f>_xlfn.XLOOKUP(表格1[[#This Row],[Model]],表格3[Model-Input-Ref2],表格3[TOSHIBA/HIGHEST])</f>
        <v>Toshiba SRP</v>
      </c>
      <c r="V446" s="86">
        <v>110</v>
      </c>
      <c r="W446" s="86" t="str">
        <f>_xlfn.CONCAT(表格1[[#This Row],[欄4]],表格1[[#This Row],[inv no]])</f>
        <v>110441650</v>
      </c>
    </row>
    <row r="447" spans="1:23" hidden="1">
      <c r="A447" s="81">
        <v>445</v>
      </c>
      <c r="B447" s="81" t="s">
        <v>1260</v>
      </c>
      <c r="C447" s="81" t="s">
        <v>1261</v>
      </c>
      <c r="D447" s="82" t="str">
        <f ca="1">OFFSET(Roster!$A$3,MATCH(表格1[[#This Row],[Location]]&amp;" "&amp;表格1[[#This Row],[Shop]]&amp;"*",Roster!$A$4:$A$72,0),DAY(表格1[[#This Row],[date]]),1,1)</f>
        <v>Shan_1</v>
      </c>
      <c r="E447" s="81">
        <f>MONTH(表格1[[#This Row],[date]])</f>
        <v>3</v>
      </c>
      <c r="F447" s="101">
        <v>46091</v>
      </c>
      <c r="G447" s="81" t="str">
        <f>VLOOKUP("*"&amp;表格1[[#This Row],[Input]]&amp;"*",'Ref-List'!$B:$D,2,)</f>
        <v>RC-10AMXH(W)</v>
      </c>
      <c r="H447" s="81" t="str">
        <f>_xlfn.XLOOKUP(表格1[[#This Row],[Model]],表格3[Model-Input-Ref2],表格3[Product Line])</f>
        <v>酵活炊電飯煲(1.0公升)</v>
      </c>
      <c r="I447" s="81" t="str">
        <f>_xlfn.XLOOKUP(表格1[[#This Row],[Model]],表格3[Model-Input-Ref2],表格3[大小電])</f>
        <v>細電</v>
      </c>
      <c r="J447" s="81" t="str">
        <f>_xlfn.XLOOKUP(表格1[[#This Row],[Model]],表格3[Model-Input-Ref2],表格3[Code])</f>
        <v>SDA</v>
      </c>
      <c r="K447" s="82" t="s">
        <v>1279</v>
      </c>
      <c r="L447" s="81">
        <v>1</v>
      </c>
      <c r="M447" s="85">
        <v>990</v>
      </c>
      <c r="N447" s="85">
        <f>IFERROR(表格1[[#This Row],[QTY]]*表格1[[#This Row],[Unit Price]],"-")</f>
        <v>990</v>
      </c>
      <c r="O447" s="134">
        <v>447569</v>
      </c>
      <c r="P447" s="81"/>
      <c r="Q447" s="81"/>
      <c r="R447" s="81" t="str">
        <f>_xlfn.CONCAT(表格1[[#This Row],[Model]]," ",表格1[[#This Row],[inv no]])</f>
        <v>RC-10AMXH(W) 447569</v>
      </c>
      <c r="S447" s="135">
        <f>_xlfn.XLOOKUP(表格1[[#This Row],[Model]],表格3[Model-Input-Ref2],表格3[SRP PRICE])</f>
        <v>1288</v>
      </c>
      <c r="T447" s="43">
        <f>表格1[[#This Row],[Unit Price]]/表格1[[#This Row],[SRP]]</f>
        <v>0.76863354037267084</v>
      </c>
      <c r="U447" s="86" t="str">
        <f>_xlfn.XLOOKUP(表格1[[#This Row],[Model]],表格3[Model-Input-Ref2],表格3[TOSHIBA/HIGHEST])</f>
        <v>Toshiba SRP</v>
      </c>
      <c r="V447" s="86">
        <v>110</v>
      </c>
      <c r="W447" s="86" t="str">
        <f>_xlfn.CONCAT(表格1[[#This Row],[欄4]],表格1[[#This Row],[inv no]])</f>
        <v>110447569</v>
      </c>
    </row>
    <row r="448" spans="1:23" hidden="1">
      <c r="A448" s="81">
        <v>446</v>
      </c>
      <c r="B448" s="81" t="s">
        <v>1260</v>
      </c>
      <c r="C448" s="81" t="s">
        <v>1261</v>
      </c>
      <c r="D448" s="82" t="str">
        <f ca="1">OFFSET(Roster!$A$3,MATCH(表格1[[#This Row],[Location]]&amp;" "&amp;表格1[[#This Row],[Shop]]&amp;"*",Roster!$A$4:$A$72,0),DAY(表格1[[#This Row],[date]]),1,1)</f>
        <v>Shan_1</v>
      </c>
      <c r="E448" s="81">
        <f>MONTH(表格1[[#This Row],[date]])</f>
        <v>3</v>
      </c>
      <c r="F448" s="101">
        <v>46095</v>
      </c>
      <c r="G448" s="81" t="str">
        <f>VLOOKUP("*"&amp;表格1[[#This Row],[Input]]&amp;"*",'Ref-List'!$B:$D,2,)</f>
        <v>RAD-D200H</v>
      </c>
      <c r="H448" s="81" t="str">
        <f>_xlfn.XLOOKUP(表格1[[#This Row],[Model]],表格3[Model-Input-Ref2],表格3[Product Line])</f>
        <v>壓縮式抽濕機 (22公升)</v>
      </c>
      <c r="I448" s="81" t="str">
        <f>_xlfn.XLOOKUP(表格1[[#This Row],[Model]],表格3[Model-Input-Ref2],表格3[大小電])</f>
        <v>細電</v>
      </c>
      <c r="J448" s="81" t="str">
        <f>_xlfn.XLOOKUP(表格1[[#This Row],[Model]],表格3[Model-Input-Ref2],表格3[Code])</f>
        <v>RAC</v>
      </c>
      <c r="K448" s="82" t="s">
        <v>1250</v>
      </c>
      <c r="L448" s="81">
        <v>1</v>
      </c>
      <c r="M448" s="85">
        <v>1980</v>
      </c>
      <c r="N448" s="85">
        <f>IFERROR(表格1[[#This Row],[QTY]]*表格1[[#This Row],[Unit Price]],"-")</f>
        <v>1980</v>
      </c>
      <c r="O448" s="134">
        <v>448421</v>
      </c>
      <c r="P448" s="81"/>
      <c r="Q448" s="81"/>
      <c r="R448" s="81" t="str">
        <f>_xlfn.CONCAT(表格1[[#This Row],[Model]]," ",表格1[[#This Row],[inv no]])</f>
        <v>RAD-D200H 448421</v>
      </c>
      <c r="S448" s="135">
        <f>_xlfn.XLOOKUP(表格1[[#This Row],[Model]],表格3[Model-Input-Ref2],表格3[SRP PRICE])</f>
        <v>2880</v>
      </c>
      <c r="T448" s="43">
        <f>表格1[[#This Row],[Unit Price]]/表格1[[#This Row],[SRP]]</f>
        <v>0.6875</v>
      </c>
      <c r="U448" s="86" t="str">
        <f>_xlfn.XLOOKUP(表格1[[#This Row],[Model]],表格3[Model-Input-Ref2],表格3[TOSHIBA/HIGHEST])</f>
        <v>Shops Highest Price</v>
      </c>
      <c r="V448" s="86">
        <v>110</v>
      </c>
      <c r="W448" s="86" t="str">
        <f>_xlfn.CONCAT(表格1[[#This Row],[欄4]],表格1[[#This Row],[inv no]])</f>
        <v>110448421</v>
      </c>
    </row>
    <row r="449" spans="1:23" hidden="1">
      <c r="A449" s="81">
        <v>447</v>
      </c>
      <c r="B449" s="81" t="s">
        <v>1260</v>
      </c>
      <c r="C449" s="81" t="s">
        <v>1261</v>
      </c>
      <c r="D449" s="82" t="str">
        <f ca="1">OFFSET(Roster!$A$3,MATCH(表格1[[#This Row],[Location]]&amp;" "&amp;表格1[[#This Row],[Shop]]&amp;"*",Roster!$A$4:$A$72,0),DAY(表格1[[#This Row],[date]]),1,1)</f>
        <v>Shan_1</v>
      </c>
      <c r="E449" s="81">
        <f>MONTH(表格1[[#This Row],[date]])</f>
        <v>3</v>
      </c>
      <c r="F449" s="101">
        <v>46095</v>
      </c>
      <c r="G449" s="81" t="str">
        <f>VLOOKUP("*"&amp;表格1[[#This Row],[Input]]&amp;"*",'Ref-List'!$B:$D,2,)</f>
        <v>MM2-EG20PC(WH)</v>
      </c>
      <c r="H449" s="81" t="str">
        <f>_xlfn.XLOOKUP(表格1[[#This Row],[Model]],表格3[Model-Input-Ref2],表格3[Product Line])</f>
        <v>輕觸式燒烤微波爐</v>
      </c>
      <c r="I449" s="81" t="str">
        <f>_xlfn.XLOOKUP(表格1[[#This Row],[Model]],表格3[Model-Input-Ref2],表格3[大小電])</f>
        <v>細電</v>
      </c>
      <c r="J449" s="81" t="str">
        <f>_xlfn.XLOOKUP(表格1[[#This Row],[Model]],表格3[Model-Input-Ref2],表格3[Code])</f>
        <v>MCA</v>
      </c>
      <c r="K449" s="82" t="s">
        <v>1273</v>
      </c>
      <c r="L449" s="81">
        <v>1</v>
      </c>
      <c r="M449" s="85">
        <v>698</v>
      </c>
      <c r="N449" s="85">
        <f>IFERROR(表格1[[#This Row],[QTY]]*表格1[[#This Row],[Unit Price]],"-")</f>
        <v>698</v>
      </c>
      <c r="O449" s="134">
        <v>442700</v>
      </c>
      <c r="P449" s="81"/>
      <c r="Q449" s="81"/>
      <c r="R449" s="81" t="str">
        <f>_xlfn.CONCAT(表格1[[#This Row],[Model]]," ",表格1[[#This Row],[inv no]])</f>
        <v>MM2-EG20PC(WH) 442700</v>
      </c>
      <c r="S449" s="135">
        <f>_xlfn.XLOOKUP(表格1[[#This Row],[Model]],表格3[Model-Input-Ref2],表格3[SRP PRICE])</f>
        <v>918</v>
      </c>
      <c r="T449" s="43">
        <f>表格1[[#This Row],[Unit Price]]/表格1[[#This Row],[SRP]]</f>
        <v>0.76034858387799564</v>
      </c>
      <c r="U449" s="86" t="str">
        <f>_xlfn.XLOOKUP(表格1[[#This Row],[Model]],表格3[Model-Input-Ref2],表格3[TOSHIBA/HIGHEST])</f>
        <v>Shops Highest Price</v>
      </c>
      <c r="V449" s="86">
        <v>110</v>
      </c>
      <c r="W449" s="86" t="str">
        <f>_xlfn.CONCAT(表格1[[#This Row],[欄4]],表格1[[#This Row],[inv no]])</f>
        <v>110442700</v>
      </c>
    </row>
    <row r="450" spans="1:23" hidden="1">
      <c r="A450" s="81">
        <v>448</v>
      </c>
      <c r="B450" s="81" t="s">
        <v>1260</v>
      </c>
      <c r="C450" s="81" t="s">
        <v>1261</v>
      </c>
      <c r="D450" s="82" t="str">
        <f ca="1">OFFSET(Roster!$A$3,MATCH(表格1[[#This Row],[Location]]&amp;" "&amp;表格1[[#This Row],[Shop]]&amp;"*",Roster!$A$4:$A$72,0),DAY(表格1[[#This Row],[date]]),1,1)</f>
        <v>Shan_1</v>
      </c>
      <c r="E450" s="81">
        <f>MONTH(表格1[[#This Row],[date]])</f>
        <v>3</v>
      </c>
      <c r="F450" s="101">
        <v>46095</v>
      </c>
      <c r="G450" s="81" t="str">
        <f>VLOOKUP("*"&amp;表格1[[#This Row],[Input]]&amp;"*",'Ref-List'!$B:$D,2,)</f>
        <v>RC-10BHH(W)</v>
      </c>
      <c r="H450" s="81" t="str">
        <f>_xlfn.XLOOKUP(表格1[[#This Row],[Model]],表格3[Model-Input-Ref2],表格3[Product Line])</f>
        <v>酵活炊磁應電飯煲</v>
      </c>
      <c r="I450" s="81" t="str">
        <f>_xlfn.XLOOKUP(表格1[[#This Row],[Model]],表格3[Model-Input-Ref2],表格3[大小電])</f>
        <v>細電</v>
      </c>
      <c r="J450" s="81" t="str">
        <f>_xlfn.XLOOKUP(表格1[[#This Row],[Model]],表格3[Model-Input-Ref2],表格3[Code])</f>
        <v>SDA</v>
      </c>
      <c r="K450" s="82" t="s">
        <v>1269</v>
      </c>
      <c r="L450" s="81">
        <v>1</v>
      </c>
      <c r="M450" s="85">
        <v>1688</v>
      </c>
      <c r="N450" s="85">
        <f>IFERROR(表格1[[#This Row],[QTY]]*表格1[[#This Row],[Unit Price]],"-")</f>
        <v>1688</v>
      </c>
      <c r="O450" s="134">
        <v>442813</v>
      </c>
      <c r="P450" s="81"/>
      <c r="Q450" s="81"/>
      <c r="R450" s="81" t="str">
        <f>_xlfn.CONCAT(表格1[[#This Row],[Model]]," ",表格1[[#This Row],[inv no]])</f>
        <v>RC-10BHH(W) 442813</v>
      </c>
      <c r="S450" s="135">
        <f>_xlfn.XLOOKUP(表格1[[#This Row],[Model]],表格3[Model-Input-Ref2],表格3[SRP PRICE])</f>
        <v>2088</v>
      </c>
      <c r="T450" s="43">
        <f>表格1[[#This Row],[Unit Price]]/表格1[[#This Row],[SRP]]</f>
        <v>0.80842911877394641</v>
      </c>
      <c r="U450" s="86" t="str">
        <f>_xlfn.XLOOKUP(表格1[[#This Row],[Model]],表格3[Model-Input-Ref2],表格3[TOSHIBA/HIGHEST])</f>
        <v>Shops Highest Price</v>
      </c>
      <c r="V450" s="86">
        <v>110</v>
      </c>
      <c r="W450" s="86" t="str">
        <f>_xlfn.CONCAT(表格1[[#This Row],[欄4]],表格1[[#This Row],[inv no]])</f>
        <v>110442813</v>
      </c>
    </row>
    <row r="451" spans="1:23" hidden="1">
      <c r="A451" s="81">
        <v>449</v>
      </c>
      <c r="B451" s="81" t="s">
        <v>1260</v>
      </c>
      <c r="C451" s="81" t="s">
        <v>1261</v>
      </c>
      <c r="D451" s="82" t="str">
        <f ca="1">OFFSET(Roster!$A$3,MATCH(表格1[[#This Row],[Location]]&amp;" "&amp;表格1[[#This Row],[Shop]]&amp;"*",Roster!$A$4:$A$72,0),DAY(表格1[[#This Row],[date]]),1,1)</f>
        <v>Shan_1</v>
      </c>
      <c r="E451" s="81">
        <f>MONTH(表格1[[#This Row],[date]])</f>
        <v>3</v>
      </c>
      <c r="F451" s="101">
        <v>46095</v>
      </c>
      <c r="G451" s="81" t="str">
        <f>VLOOKUP("*"&amp;表格1[[#This Row],[Input]]&amp;"*",'Ref-List'!$B:$D,2,)</f>
        <v>RC-5MMIH(WT)</v>
      </c>
      <c r="H451" s="81" t="str">
        <f>_xlfn.XLOOKUP(表格1[[#This Row],[Model]],表格3[Model-Input-Ref2],表格3[Product Line])</f>
        <v>4毫米厚釜電飯煲0.54L</v>
      </c>
      <c r="I451" s="81" t="str">
        <f>_xlfn.XLOOKUP(表格1[[#This Row],[Model]],表格3[Model-Input-Ref2],表格3[大小電])</f>
        <v>細電</v>
      </c>
      <c r="J451" s="81" t="str">
        <f>_xlfn.XLOOKUP(表格1[[#This Row],[Model]],表格3[Model-Input-Ref2],表格3[Code])</f>
        <v>SDA</v>
      </c>
      <c r="K451" s="82" t="s">
        <v>1195</v>
      </c>
      <c r="L451" s="81">
        <v>1</v>
      </c>
      <c r="M451" s="85">
        <v>556</v>
      </c>
      <c r="N451" s="85">
        <f>IFERROR(表格1[[#This Row],[QTY]]*表格1[[#This Row],[Unit Price]],"-")</f>
        <v>556</v>
      </c>
      <c r="O451" s="134">
        <v>442820</v>
      </c>
      <c r="P451" s="81"/>
      <c r="Q451" s="81"/>
      <c r="R451" s="81" t="str">
        <f>_xlfn.CONCAT(表格1[[#This Row],[Model]]," ",表格1[[#This Row],[inv no]])</f>
        <v>RC-5MMIH(WT) 442820</v>
      </c>
      <c r="S451" s="135">
        <f>_xlfn.XLOOKUP(表格1[[#This Row],[Model]],表格3[Model-Input-Ref2],表格3[SRP PRICE])</f>
        <v>618</v>
      </c>
      <c r="T451" s="43">
        <f>表格1[[#This Row],[Unit Price]]/表格1[[#This Row],[SRP]]</f>
        <v>0.89967637540453071</v>
      </c>
      <c r="U451" s="86" t="str">
        <f>_xlfn.XLOOKUP(表格1[[#This Row],[Model]],表格3[Model-Input-Ref2],表格3[TOSHIBA/HIGHEST])</f>
        <v>Toshiba SRP</v>
      </c>
      <c r="V451" s="86">
        <v>110</v>
      </c>
      <c r="W451" s="86" t="str">
        <f>_xlfn.CONCAT(表格1[[#This Row],[欄4]],表格1[[#This Row],[inv no]])</f>
        <v>110442820</v>
      </c>
    </row>
    <row r="452" spans="1:23" hidden="1">
      <c r="A452" s="81">
        <v>450</v>
      </c>
      <c r="B452" s="81" t="s">
        <v>1260</v>
      </c>
      <c r="C452" s="81" t="s">
        <v>1261</v>
      </c>
      <c r="D452" s="82" t="str">
        <f ca="1">OFFSET(Roster!$A$3,MATCH(表格1[[#This Row],[Location]]&amp;" "&amp;表格1[[#This Row],[Shop]]&amp;"*",Roster!$A$4:$A$72,0),DAY(表格1[[#This Row],[date]]),1,1)</f>
        <v>Shan_1</v>
      </c>
      <c r="E452" s="81">
        <f>MONTH(表格1[[#This Row],[date]])</f>
        <v>3</v>
      </c>
      <c r="F452" s="101">
        <v>46095</v>
      </c>
      <c r="G452" s="81" t="str">
        <f>VLOOKUP("*"&amp;表格1[[#This Row],[Input]]&amp;"*",'Ref-List'!$B:$D,2,)</f>
        <v>RC-7HMH</v>
      </c>
      <c r="H452" s="81" t="str">
        <f>_xlfn.XLOOKUP(表格1[[#This Row],[Model]],表格3[Model-Input-Ref2],表格3[Product Line])</f>
        <v>備長炭本厚釜電飯煲0.7L</v>
      </c>
      <c r="I452" s="81" t="str">
        <f>_xlfn.XLOOKUP(表格1[[#This Row],[Model]],表格3[Model-Input-Ref2],表格3[大小電])</f>
        <v>細電</v>
      </c>
      <c r="J452" s="81" t="str">
        <f>_xlfn.XLOOKUP(表格1[[#This Row],[Model]],表格3[Model-Input-Ref2],表格3[Code])</f>
        <v>SDA</v>
      </c>
      <c r="K452" s="82" t="s">
        <v>1284</v>
      </c>
      <c r="L452" s="81">
        <v>1</v>
      </c>
      <c r="M452" s="85">
        <v>938</v>
      </c>
      <c r="N452" s="85">
        <f>IFERROR(表格1[[#This Row],[QTY]]*表格1[[#This Row],[Unit Price]],"-")</f>
        <v>938</v>
      </c>
      <c r="O452" s="134">
        <v>442797</v>
      </c>
      <c r="P452" s="81"/>
      <c r="Q452" s="81"/>
      <c r="R452" s="81" t="str">
        <f>_xlfn.CONCAT(表格1[[#This Row],[Model]]," ",表格1[[#This Row],[inv no]])</f>
        <v>RC-7HMH 442797</v>
      </c>
      <c r="S452" s="135">
        <f>_xlfn.XLOOKUP(表格1[[#This Row],[Model]],表格3[Model-Input-Ref2],表格3[SRP PRICE])</f>
        <v>1288</v>
      </c>
      <c r="T452" s="43">
        <f>表格1[[#This Row],[Unit Price]]/表格1[[#This Row],[SRP]]</f>
        <v>0.72826086956521741</v>
      </c>
      <c r="U452" s="86" t="str">
        <f>_xlfn.XLOOKUP(表格1[[#This Row],[Model]],表格3[Model-Input-Ref2],表格3[TOSHIBA/HIGHEST])</f>
        <v>Toshiba SRP</v>
      </c>
      <c r="V452" s="86">
        <v>110</v>
      </c>
      <c r="W452" s="86" t="str">
        <f>_xlfn.CONCAT(表格1[[#This Row],[欄4]],表格1[[#This Row],[inv no]])</f>
        <v>110442797</v>
      </c>
    </row>
    <row r="453" spans="1:23" hidden="1">
      <c r="A453" s="81">
        <v>451</v>
      </c>
      <c r="B453" s="81" t="s">
        <v>1260</v>
      </c>
      <c r="C453" s="81" t="s">
        <v>1261</v>
      </c>
      <c r="D453" s="82" t="str">
        <f ca="1">OFFSET(Roster!$A$3,MATCH(表格1[[#This Row],[Location]]&amp;" "&amp;表格1[[#This Row],[Shop]]&amp;"*",Roster!$A$4:$A$72,0),DAY(表格1[[#This Row],[date]]),1,1)</f>
        <v>Shan_1</v>
      </c>
      <c r="E453" s="81">
        <f>MONTH(表格1[[#This Row],[date]])</f>
        <v>3</v>
      </c>
      <c r="F453" s="101">
        <v>46095</v>
      </c>
      <c r="G453" s="81" t="str">
        <f>VLOOKUP("*"&amp;表格1[[#This Row],[Input]]&amp;"*",'Ref-List'!$B:$D,2,)</f>
        <v>TP-25DR2UHK(W)</v>
      </c>
      <c r="H453" s="81" t="str">
        <f>_xlfn.XLOOKUP(表格1[[#This Row],[Model]],表格3[Model-Input-Ref2],表格3[Product Line])</f>
        <v>電熱水瓶 (2.5公升)</v>
      </c>
      <c r="I453" s="81" t="str">
        <f>_xlfn.XLOOKUP(表格1[[#This Row],[Model]],表格3[Model-Input-Ref2],表格3[大小電])</f>
        <v>細電</v>
      </c>
      <c r="J453" s="81" t="str">
        <f>_xlfn.XLOOKUP(表格1[[#This Row],[Model]],表格3[Model-Input-Ref2],表格3[Code])</f>
        <v>SDA</v>
      </c>
      <c r="K453" s="82" t="s">
        <v>1285</v>
      </c>
      <c r="L453" s="81">
        <v>1</v>
      </c>
      <c r="M453" s="85">
        <v>398</v>
      </c>
      <c r="N453" s="85">
        <f>IFERROR(表格1[[#This Row],[QTY]]*表格1[[#This Row],[Unit Price]],"-")</f>
        <v>398</v>
      </c>
      <c r="O453" s="134">
        <v>442942</v>
      </c>
      <c r="P453" s="81"/>
      <c r="Q453" s="81"/>
      <c r="R453" s="81" t="str">
        <f>_xlfn.CONCAT(表格1[[#This Row],[Model]]," ",表格1[[#This Row],[inv no]])</f>
        <v>TP-25DR2UHK(W) 442942</v>
      </c>
      <c r="S453" s="135">
        <f>_xlfn.XLOOKUP(表格1[[#This Row],[Model]],表格3[Model-Input-Ref2],表格3[SRP PRICE])</f>
        <v>538</v>
      </c>
      <c r="T453" s="43">
        <f>表格1[[#This Row],[Unit Price]]/表格1[[#This Row],[SRP]]</f>
        <v>0.7397769516728625</v>
      </c>
      <c r="U453" s="86" t="str">
        <f>_xlfn.XLOOKUP(表格1[[#This Row],[Model]],表格3[Model-Input-Ref2],表格3[TOSHIBA/HIGHEST])</f>
        <v>Toshiba SRP</v>
      </c>
      <c r="V453" s="86">
        <v>110</v>
      </c>
      <c r="W453" s="86" t="str">
        <f>_xlfn.CONCAT(表格1[[#This Row],[欄4]],表格1[[#This Row],[inv no]])</f>
        <v>110442942</v>
      </c>
    </row>
    <row r="454" spans="1:23" hidden="1">
      <c r="A454" s="81">
        <v>452</v>
      </c>
      <c r="B454" s="81" t="s">
        <v>1260</v>
      </c>
      <c r="C454" s="81" t="s">
        <v>1261</v>
      </c>
      <c r="D454" s="82" t="str">
        <f ca="1">OFFSET(Roster!$A$3,MATCH(表格1[[#This Row],[Location]]&amp;" "&amp;表格1[[#This Row],[Shop]]&amp;"*",Roster!$A$4:$A$72,0),DAY(表格1[[#This Row],[date]]),1,1)</f>
        <v>Shan_1</v>
      </c>
      <c r="E454" s="81">
        <f>MONTH(表格1[[#This Row],[date]])</f>
        <v>3</v>
      </c>
      <c r="F454" s="101">
        <v>46096</v>
      </c>
      <c r="G454" s="81" t="str">
        <f>VLOOKUP("*"&amp;表格1[[#This Row],[Input]]&amp;"*",'Ref-List'!$B:$D,2,)</f>
        <v>KT-17SHNH</v>
      </c>
      <c r="H454" s="81" t="str">
        <f>_xlfn.XLOOKUP(表格1[[#This Row],[Model]],表格3[Model-Input-Ref2],表格3[Product Line])</f>
        <v>1.7L無線雙層電熱水壺</v>
      </c>
      <c r="I454" s="81" t="str">
        <f>_xlfn.XLOOKUP(表格1[[#This Row],[Model]],表格3[Model-Input-Ref2],表格3[大小電])</f>
        <v>細電</v>
      </c>
      <c r="J454" s="81" t="str">
        <f>_xlfn.XLOOKUP(表格1[[#This Row],[Model]],表格3[Model-Input-Ref2],表格3[Code])</f>
        <v>SDA</v>
      </c>
      <c r="K454" s="82" t="s">
        <v>1283</v>
      </c>
      <c r="L454" s="81">
        <v>1</v>
      </c>
      <c r="M454" s="85">
        <v>228</v>
      </c>
      <c r="N454" s="85">
        <f>IFERROR(表格1[[#This Row],[QTY]]*表格1[[#This Row],[Unit Price]],"-")</f>
        <v>228</v>
      </c>
      <c r="O454" s="134">
        <v>443062</v>
      </c>
      <c r="P454" s="81"/>
      <c r="Q454" s="81"/>
      <c r="R454" s="81" t="str">
        <f>_xlfn.CONCAT(表格1[[#This Row],[Model]]," ",表格1[[#This Row],[inv no]])</f>
        <v>KT-17SHNH 443062</v>
      </c>
      <c r="S454" s="135">
        <f>_xlfn.XLOOKUP(表格1[[#This Row],[Model]],表格3[Model-Input-Ref2],表格3[SRP PRICE])</f>
        <v>299</v>
      </c>
      <c r="T454" s="43">
        <f>表格1[[#This Row],[Unit Price]]/表格1[[#This Row],[SRP]]</f>
        <v>0.76254180602006694</v>
      </c>
      <c r="U454" s="86" t="str">
        <f>_xlfn.XLOOKUP(表格1[[#This Row],[Model]],表格3[Model-Input-Ref2],表格3[TOSHIBA/HIGHEST])</f>
        <v>Shops Highest Price</v>
      </c>
      <c r="V454" s="86">
        <v>110</v>
      </c>
      <c r="W454" s="86" t="str">
        <f>_xlfn.CONCAT(表格1[[#This Row],[欄4]],表格1[[#This Row],[inv no]])</f>
        <v>110443062</v>
      </c>
    </row>
    <row r="455" spans="1:23" hidden="1">
      <c r="A455" s="81">
        <v>453</v>
      </c>
      <c r="B455" s="81" t="s">
        <v>1260</v>
      </c>
      <c r="C455" s="81" t="s">
        <v>1261</v>
      </c>
      <c r="D455" s="82" t="str">
        <f ca="1">OFFSET(Roster!$A$3,MATCH(表格1[[#This Row],[Location]]&amp;" "&amp;表格1[[#This Row],[Shop]]&amp;"*",Roster!$A$4:$A$72,0),DAY(表格1[[#This Row],[date]]),1,1)</f>
        <v>Shan_1</v>
      </c>
      <c r="E455" s="81">
        <f>MONTH(表格1[[#This Row],[date]])</f>
        <v>3</v>
      </c>
      <c r="F455" s="101">
        <v>46096</v>
      </c>
      <c r="G455" s="81" t="str">
        <f>VLOOKUP("*"&amp;表格1[[#This Row],[Input]]&amp;"*",'Ref-List'!$B:$D,2,)</f>
        <v>RC-10ISSHK(W)</v>
      </c>
      <c r="H455" s="81" t="str">
        <f>_xlfn.XLOOKUP(表格1[[#This Row],[Model]],表格3[Model-Input-Ref2],表格3[Product Line])</f>
        <v>磁應電飯煲(1公升)</v>
      </c>
      <c r="I455" s="81" t="str">
        <f>_xlfn.XLOOKUP(表格1[[#This Row],[Model]],表格3[Model-Input-Ref2],表格3[大小電])</f>
        <v>細電</v>
      </c>
      <c r="J455" s="81" t="str">
        <f>_xlfn.XLOOKUP(表格1[[#This Row],[Model]],表格3[Model-Input-Ref2],表格3[Code])</f>
        <v>SDA</v>
      </c>
      <c r="K455" s="82" t="s">
        <v>1286</v>
      </c>
      <c r="L455" s="81">
        <v>1</v>
      </c>
      <c r="M455" s="85">
        <v>898</v>
      </c>
      <c r="N455" s="85">
        <f>IFERROR(表格1[[#This Row],[QTY]]*表格1[[#This Row],[Unit Price]],"-")</f>
        <v>898</v>
      </c>
      <c r="O455" s="134">
        <v>443100</v>
      </c>
      <c r="P455" s="81"/>
      <c r="Q455" s="81"/>
      <c r="R455" s="81" t="str">
        <f>_xlfn.CONCAT(表格1[[#This Row],[Model]]," ",表格1[[#This Row],[inv no]])</f>
        <v>RC-10ISSHK(W) 443100</v>
      </c>
      <c r="S455" s="135">
        <f>_xlfn.XLOOKUP(表格1[[#This Row],[Model]],表格3[Model-Input-Ref2],表格3[SRP PRICE])</f>
        <v>1188</v>
      </c>
      <c r="T455" s="43">
        <f>表格1[[#This Row],[Unit Price]]/表格1[[#This Row],[SRP]]</f>
        <v>0.75589225589225584</v>
      </c>
      <c r="U455" s="86" t="str">
        <f>_xlfn.XLOOKUP(表格1[[#This Row],[Model]],表格3[Model-Input-Ref2],表格3[TOSHIBA/HIGHEST])</f>
        <v>Shops Highest Price</v>
      </c>
      <c r="V455" s="86">
        <v>110</v>
      </c>
      <c r="W455" s="86" t="str">
        <f>_xlfn.CONCAT(表格1[[#This Row],[欄4]],表格1[[#This Row],[inv no]])</f>
        <v>110443100</v>
      </c>
    </row>
    <row r="456" spans="1:23" hidden="1">
      <c r="A456" s="81">
        <v>454</v>
      </c>
      <c r="B456" s="81" t="s">
        <v>1260</v>
      </c>
      <c r="C456" s="81" t="s">
        <v>1261</v>
      </c>
      <c r="D456" s="82" t="str">
        <f ca="1">OFFSET(Roster!$A$3,MATCH(表格1[[#This Row],[Location]]&amp;" "&amp;表格1[[#This Row],[Shop]]&amp;"*",Roster!$A$4:$A$72,0),DAY(表格1[[#This Row],[date]]),1,1)</f>
        <v>Shan_1</v>
      </c>
      <c r="E456" s="81">
        <f>MONTH(表格1[[#This Row],[date]])</f>
        <v>3</v>
      </c>
      <c r="F456" s="101">
        <v>46096</v>
      </c>
      <c r="G456" s="81" t="str">
        <f>VLOOKUP("*"&amp;表格1[[#This Row],[Input]]&amp;"*",'Ref-List'!$B:$D,2,)</f>
        <v>KT-17SHNH</v>
      </c>
      <c r="H456" s="81" t="str">
        <f>_xlfn.XLOOKUP(表格1[[#This Row],[Model]],表格3[Model-Input-Ref2],表格3[Product Line])</f>
        <v>1.7L無線雙層電熱水壺</v>
      </c>
      <c r="I456" s="81" t="str">
        <f>_xlfn.XLOOKUP(表格1[[#This Row],[Model]],表格3[Model-Input-Ref2],表格3[大小電])</f>
        <v>細電</v>
      </c>
      <c r="J456" s="81" t="str">
        <f>_xlfn.XLOOKUP(表格1[[#This Row],[Model]],表格3[Model-Input-Ref2],表格3[Code])</f>
        <v>SDA</v>
      </c>
      <c r="K456" s="82" t="s">
        <v>1283</v>
      </c>
      <c r="L456" s="81">
        <v>1</v>
      </c>
      <c r="M456" s="85">
        <v>228</v>
      </c>
      <c r="N456" s="85">
        <f>IFERROR(表格1[[#This Row],[QTY]]*表格1[[#This Row],[Unit Price]],"-")</f>
        <v>228</v>
      </c>
      <c r="O456" s="134">
        <v>443180</v>
      </c>
      <c r="P456" s="81"/>
      <c r="Q456" s="81"/>
      <c r="R456" s="81" t="str">
        <f>_xlfn.CONCAT(表格1[[#This Row],[Model]]," ",表格1[[#This Row],[inv no]])</f>
        <v>KT-17SHNH 443180</v>
      </c>
      <c r="S456" s="135">
        <f>_xlfn.XLOOKUP(表格1[[#This Row],[Model]],表格3[Model-Input-Ref2],表格3[SRP PRICE])</f>
        <v>299</v>
      </c>
      <c r="T456" s="43">
        <f>表格1[[#This Row],[Unit Price]]/表格1[[#This Row],[SRP]]</f>
        <v>0.76254180602006694</v>
      </c>
      <c r="U456" s="86" t="str">
        <f>_xlfn.XLOOKUP(表格1[[#This Row],[Model]],表格3[Model-Input-Ref2],表格3[TOSHIBA/HIGHEST])</f>
        <v>Shops Highest Price</v>
      </c>
      <c r="V456" s="86">
        <v>110</v>
      </c>
      <c r="W456" s="86" t="str">
        <f>_xlfn.CONCAT(表格1[[#This Row],[欄4]],表格1[[#This Row],[inv no]])</f>
        <v>110443180</v>
      </c>
    </row>
    <row r="457" spans="1:23" hidden="1">
      <c r="A457" s="81">
        <v>455</v>
      </c>
      <c r="B457" s="81" t="s">
        <v>1260</v>
      </c>
      <c r="C457" s="81" t="s">
        <v>1261</v>
      </c>
      <c r="D457" s="82" t="str">
        <f ca="1">OFFSET(Roster!$A$3,MATCH(表格1[[#This Row],[Location]]&amp;" "&amp;表格1[[#This Row],[Shop]]&amp;"*",Roster!$A$4:$A$72,0),DAY(表格1[[#This Row],[date]]),1,1)</f>
        <v>Shan_1</v>
      </c>
      <c r="E457" s="81">
        <f>MONTH(表格1[[#This Row],[date]])</f>
        <v>3</v>
      </c>
      <c r="F457" s="101">
        <v>46096</v>
      </c>
      <c r="G457" s="81" t="str">
        <f>VLOOKUP("*"&amp;表格1[[#This Row],[Input]]&amp;"*",'Ref-List'!$B:$D,2,)</f>
        <v>RC-10ISSHK(W)</v>
      </c>
      <c r="H457" s="81" t="str">
        <f>_xlfn.XLOOKUP(表格1[[#This Row],[Model]],表格3[Model-Input-Ref2],表格3[Product Line])</f>
        <v>磁應電飯煲(1公升)</v>
      </c>
      <c r="I457" s="81" t="str">
        <f>_xlfn.XLOOKUP(表格1[[#This Row],[Model]],表格3[Model-Input-Ref2],表格3[大小電])</f>
        <v>細電</v>
      </c>
      <c r="J457" s="81" t="str">
        <f>_xlfn.XLOOKUP(表格1[[#This Row],[Model]],表格3[Model-Input-Ref2],表格3[Code])</f>
        <v>SDA</v>
      </c>
      <c r="K457" s="82" t="s">
        <v>1286</v>
      </c>
      <c r="L457" s="81">
        <v>1</v>
      </c>
      <c r="M457" s="85">
        <v>898</v>
      </c>
      <c r="N457" s="85">
        <f>IFERROR(表格1[[#This Row],[QTY]]*表格1[[#This Row],[Unit Price]],"-")</f>
        <v>898</v>
      </c>
      <c r="O457" s="134">
        <v>443199</v>
      </c>
      <c r="P457" s="81"/>
      <c r="Q457" s="81"/>
      <c r="R457" s="81" t="str">
        <f>_xlfn.CONCAT(表格1[[#This Row],[Model]]," ",表格1[[#This Row],[inv no]])</f>
        <v>RC-10ISSHK(W) 443199</v>
      </c>
      <c r="S457" s="135">
        <f>_xlfn.XLOOKUP(表格1[[#This Row],[Model]],表格3[Model-Input-Ref2],表格3[SRP PRICE])</f>
        <v>1188</v>
      </c>
      <c r="T457" s="43">
        <f>表格1[[#This Row],[Unit Price]]/表格1[[#This Row],[SRP]]</f>
        <v>0.75589225589225584</v>
      </c>
      <c r="U457" s="86" t="str">
        <f>_xlfn.XLOOKUP(表格1[[#This Row],[Model]],表格3[Model-Input-Ref2],表格3[TOSHIBA/HIGHEST])</f>
        <v>Shops Highest Price</v>
      </c>
      <c r="V457" s="86">
        <v>110</v>
      </c>
      <c r="W457" s="86" t="str">
        <f>_xlfn.CONCAT(表格1[[#This Row],[欄4]],表格1[[#This Row],[inv no]])</f>
        <v>110443199</v>
      </c>
    </row>
    <row r="458" spans="1:23" hidden="1">
      <c r="A458" s="81">
        <v>456</v>
      </c>
      <c r="B458" s="81" t="s">
        <v>1260</v>
      </c>
      <c r="C458" s="81" t="s">
        <v>1261</v>
      </c>
      <c r="D458" s="82" t="str">
        <f ca="1">OFFSET(Roster!$A$3,MATCH(表格1[[#This Row],[Location]]&amp;" "&amp;表格1[[#This Row],[Shop]]&amp;"*",Roster!$A$4:$A$72,0),DAY(表格1[[#This Row],[date]]),1,1)</f>
        <v>Shan_1</v>
      </c>
      <c r="E458" s="81">
        <f>MONTH(表格1[[#This Row],[date]])</f>
        <v>3</v>
      </c>
      <c r="F458" s="101">
        <v>46096</v>
      </c>
      <c r="G458" s="81" t="str">
        <f>VLOOKUP("*"&amp;表格1[[#This Row],[Input]]&amp;"*",'Ref-List'!$B:$D,2,)</f>
        <v>MWP-MM20P(WH)</v>
      </c>
      <c r="H458" s="81" t="str">
        <f>_xlfn.XLOOKUP(表格1[[#This Row],[Model]],表格3[Model-Input-Ref2],表格3[Product Line])</f>
        <v>旋鈕式燒烤微波爐20L</v>
      </c>
      <c r="I458" s="81" t="str">
        <f>_xlfn.XLOOKUP(表格1[[#This Row],[Model]],表格3[Model-Input-Ref2],表格3[大小電])</f>
        <v>細電</v>
      </c>
      <c r="J458" s="81" t="str">
        <f>_xlfn.XLOOKUP(表格1[[#This Row],[Model]],表格3[Model-Input-Ref2],表格3[Code])</f>
        <v>SDA</v>
      </c>
      <c r="K458" s="82" t="s">
        <v>1270</v>
      </c>
      <c r="L458" s="81">
        <v>1</v>
      </c>
      <c r="M458" s="85">
        <v>518</v>
      </c>
      <c r="N458" s="85">
        <f>IFERROR(表格1[[#This Row],[QTY]]*表格1[[#This Row],[Unit Price]],"-")</f>
        <v>518</v>
      </c>
      <c r="O458" s="134">
        <v>155933</v>
      </c>
      <c r="P458" s="81"/>
      <c r="Q458" s="81"/>
      <c r="R458" s="81" t="str">
        <f>_xlfn.CONCAT(表格1[[#This Row],[Model]]," ",表格1[[#This Row],[inv no]])</f>
        <v>MWP-MM20P(WH) 155933</v>
      </c>
      <c r="S458" s="135">
        <f>_xlfn.XLOOKUP(表格1[[#This Row],[Model]],表格3[Model-Input-Ref2],表格3[SRP PRICE])</f>
        <v>648</v>
      </c>
      <c r="T458" s="43">
        <f>表格1[[#This Row],[Unit Price]]/表格1[[#This Row],[SRP]]</f>
        <v>0.79938271604938271</v>
      </c>
      <c r="U458" s="86" t="str">
        <f>_xlfn.XLOOKUP(表格1[[#This Row],[Model]],表格3[Model-Input-Ref2],表格3[TOSHIBA/HIGHEST])</f>
        <v>Toshiba SRP</v>
      </c>
      <c r="V458" s="86">
        <v>110</v>
      </c>
      <c r="W458" s="86" t="str">
        <f>_xlfn.CONCAT(表格1[[#This Row],[欄4]],表格1[[#This Row],[inv no]])</f>
        <v>110155933</v>
      </c>
    </row>
    <row r="459" spans="1:23" hidden="1">
      <c r="A459" s="81">
        <v>457</v>
      </c>
      <c r="B459" s="81" t="s">
        <v>1260</v>
      </c>
      <c r="C459" s="81" t="s">
        <v>1261</v>
      </c>
      <c r="D459" s="82" t="str">
        <f ca="1">OFFSET(Roster!$A$3,MATCH(表格1[[#This Row],[Location]]&amp;" "&amp;表格1[[#This Row],[Shop]]&amp;"*",Roster!$A$4:$A$72,0),DAY(表格1[[#This Row],[date]]),1,1)</f>
        <v>Shan_1</v>
      </c>
      <c r="E459" s="81">
        <f>MONTH(表格1[[#This Row],[date]])</f>
        <v>3</v>
      </c>
      <c r="F459" s="101">
        <v>46096</v>
      </c>
      <c r="G459" s="81" t="str">
        <f>VLOOKUP("*"&amp;表格1[[#This Row],[Input]]&amp;"*",'Ref-List'!$B:$D,2,)</f>
        <v>RC-10ISSHK(W)</v>
      </c>
      <c r="H459" s="81" t="str">
        <f>_xlfn.XLOOKUP(表格1[[#This Row],[Model]],表格3[Model-Input-Ref2],表格3[Product Line])</f>
        <v>磁應電飯煲(1公升)</v>
      </c>
      <c r="I459" s="81" t="str">
        <f>_xlfn.XLOOKUP(表格1[[#This Row],[Model]],表格3[Model-Input-Ref2],表格3[大小電])</f>
        <v>細電</v>
      </c>
      <c r="J459" s="81" t="str">
        <f>_xlfn.XLOOKUP(表格1[[#This Row],[Model]],表格3[Model-Input-Ref2],表格3[Code])</f>
        <v>SDA</v>
      </c>
      <c r="K459" s="82" t="s">
        <v>1286</v>
      </c>
      <c r="L459" s="81">
        <v>1</v>
      </c>
      <c r="M459" s="85">
        <v>898</v>
      </c>
      <c r="N459" s="85">
        <f>IFERROR(表格1[[#This Row],[QTY]]*表格1[[#This Row],[Unit Price]],"-")</f>
        <v>898</v>
      </c>
      <c r="O459" s="134">
        <v>443410</v>
      </c>
      <c r="P459" s="81"/>
      <c r="Q459" s="81"/>
      <c r="R459" s="81" t="str">
        <f>_xlfn.CONCAT(表格1[[#This Row],[Model]]," ",表格1[[#This Row],[inv no]])</f>
        <v>RC-10ISSHK(W) 443410</v>
      </c>
      <c r="S459" s="135">
        <f>_xlfn.XLOOKUP(表格1[[#This Row],[Model]],表格3[Model-Input-Ref2],表格3[SRP PRICE])</f>
        <v>1188</v>
      </c>
      <c r="T459" s="43">
        <f>表格1[[#This Row],[Unit Price]]/表格1[[#This Row],[SRP]]</f>
        <v>0.75589225589225584</v>
      </c>
      <c r="U459" s="86" t="str">
        <f>_xlfn.XLOOKUP(表格1[[#This Row],[Model]],表格3[Model-Input-Ref2],表格3[TOSHIBA/HIGHEST])</f>
        <v>Shops Highest Price</v>
      </c>
      <c r="V459" s="86">
        <v>110</v>
      </c>
      <c r="W459" s="86" t="str">
        <f>_xlfn.CONCAT(表格1[[#This Row],[欄4]],表格1[[#This Row],[inv no]])</f>
        <v>110443410</v>
      </c>
    </row>
    <row r="460" spans="1:23" hidden="1">
      <c r="A460" s="81">
        <v>458</v>
      </c>
      <c r="B460" s="81" t="s">
        <v>1260</v>
      </c>
      <c r="C460" s="81" t="s">
        <v>1261</v>
      </c>
      <c r="D460" s="82" t="str">
        <f ca="1">OFFSET(Roster!$A$3,MATCH(表格1[[#This Row],[Location]]&amp;" "&amp;表格1[[#This Row],[Shop]]&amp;"*",Roster!$A$4:$A$72,0),DAY(表格1[[#This Row],[date]]),1,1)</f>
        <v>Shan_1</v>
      </c>
      <c r="E460" s="81">
        <f>MONTH(表格1[[#This Row],[date]])</f>
        <v>3</v>
      </c>
      <c r="F460" s="101">
        <v>46097</v>
      </c>
      <c r="G460" s="81" t="str">
        <f>VLOOKUP("*"&amp;表格1[[#This Row],[Input]]&amp;"*",'Ref-List'!$B:$D,2,)</f>
        <v>RC-10NMFIH(WT)</v>
      </c>
      <c r="H460" s="81" t="str">
        <f>_xlfn.XLOOKUP(表格1[[#This Row],[Model]],表格3[Model-Input-Ref2],表格3[Product Line])</f>
        <v>4毫米厚釜電飯煲1L</v>
      </c>
      <c r="I460" s="81" t="str">
        <f>_xlfn.XLOOKUP(表格1[[#This Row],[Model]],表格3[Model-Input-Ref2],表格3[大小電])</f>
        <v>細電</v>
      </c>
      <c r="J460" s="81" t="str">
        <f>_xlfn.XLOOKUP(表格1[[#This Row],[Model]],表格3[Model-Input-Ref2],表格3[Code])</f>
        <v>SDA</v>
      </c>
      <c r="K460" s="82" t="s">
        <v>1244</v>
      </c>
      <c r="L460" s="81">
        <v>1</v>
      </c>
      <c r="M460" s="85">
        <v>719</v>
      </c>
      <c r="N460" s="85">
        <f>IFERROR(表格1[[#This Row],[QTY]]*表格1[[#This Row],[Unit Price]],"-")</f>
        <v>719</v>
      </c>
      <c r="O460" s="134">
        <v>443434</v>
      </c>
      <c r="P460" s="81"/>
      <c r="Q460" s="81"/>
      <c r="R460" s="81" t="str">
        <f>_xlfn.CONCAT(表格1[[#This Row],[Model]]," ",表格1[[#This Row],[inv no]])</f>
        <v>RC-10NMFIH(WT) 443434</v>
      </c>
      <c r="S460" s="135">
        <f>_xlfn.XLOOKUP(表格1[[#This Row],[Model]],表格3[Model-Input-Ref2],表格3[SRP PRICE])</f>
        <v>898</v>
      </c>
      <c r="T460" s="43">
        <f>表格1[[#This Row],[Unit Price]]/表格1[[#This Row],[SRP]]</f>
        <v>0.80066815144766146</v>
      </c>
      <c r="U460" s="86" t="str">
        <f>_xlfn.XLOOKUP(表格1[[#This Row],[Model]],表格3[Model-Input-Ref2],表格3[TOSHIBA/HIGHEST])</f>
        <v>Toshiba SRP</v>
      </c>
      <c r="V460" s="86">
        <v>110</v>
      </c>
      <c r="W460" s="86" t="str">
        <f>_xlfn.CONCAT(表格1[[#This Row],[欄4]],表格1[[#This Row],[inv no]])</f>
        <v>110443434</v>
      </c>
    </row>
    <row r="461" spans="1:23" hidden="1">
      <c r="A461" s="81">
        <v>459</v>
      </c>
      <c r="B461" s="81" t="s">
        <v>1260</v>
      </c>
      <c r="C461" s="81" t="s">
        <v>1261</v>
      </c>
      <c r="D461" s="82" t="str">
        <f ca="1">OFFSET(Roster!$A$3,MATCH(表格1[[#This Row],[Location]]&amp;" "&amp;表格1[[#This Row],[Shop]]&amp;"*",Roster!$A$4:$A$72,0),DAY(表格1[[#This Row],[date]]),1,1)</f>
        <v>Shan_1</v>
      </c>
      <c r="E461" s="81">
        <f>MONTH(表格1[[#This Row],[date]])</f>
        <v>3</v>
      </c>
      <c r="F461" s="101">
        <v>46097</v>
      </c>
      <c r="G461" s="81" t="str">
        <f>VLOOKUP("*"&amp;表格1[[#This Row],[Input]]&amp;"*",'Ref-List'!$B:$D,2,)</f>
        <v>TP-25DR2UHK(W)</v>
      </c>
      <c r="H461" s="81" t="str">
        <f>_xlfn.XLOOKUP(表格1[[#This Row],[Model]],表格3[Model-Input-Ref2],表格3[Product Line])</f>
        <v>電熱水瓶 (2.5公升)</v>
      </c>
      <c r="I461" s="81" t="str">
        <f>_xlfn.XLOOKUP(表格1[[#This Row],[Model]],表格3[Model-Input-Ref2],表格3[大小電])</f>
        <v>細電</v>
      </c>
      <c r="J461" s="81" t="str">
        <f>_xlfn.XLOOKUP(表格1[[#This Row],[Model]],表格3[Model-Input-Ref2],表格3[Code])</f>
        <v>SDA</v>
      </c>
      <c r="K461" s="82" t="s">
        <v>1285</v>
      </c>
      <c r="L461" s="81">
        <v>1</v>
      </c>
      <c r="M461" s="85">
        <v>398</v>
      </c>
      <c r="N461" s="85">
        <f>IFERROR(表格1[[#This Row],[QTY]]*表格1[[#This Row],[Unit Price]],"-")</f>
        <v>398</v>
      </c>
      <c r="O461" s="134">
        <v>443475</v>
      </c>
      <c r="P461" s="81"/>
      <c r="Q461" s="81"/>
      <c r="R461" s="81" t="str">
        <f>_xlfn.CONCAT(表格1[[#This Row],[Model]]," ",表格1[[#This Row],[inv no]])</f>
        <v>TP-25DR2UHK(W) 443475</v>
      </c>
      <c r="S461" s="135">
        <f>_xlfn.XLOOKUP(表格1[[#This Row],[Model]],表格3[Model-Input-Ref2],表格3[SRP PRICE])</f>
        <v>538</v>
      </c>
      <c r="T461" s="43">
        <f>表格1[[#This Row],[Unit Price]]/表格1[[#This Row],[SRP]]</f>
        <v>0.7397769516728625</v>
      </c>
      <c r="U461" s="86" t="str">
        <f>_xlfn.XLOOKUP(表格1[[#This Row],[Model]],表格3[Model-Input-Ref2],表格3[TOSHIBA/HIGHEST])</f>
        <v>Toshiba SRP</v>
      </c>
      <c r="V461" s="86">
        <v>110</v>
      </c>
      <c r="W461" s="86" t="str">
        <f>_xlfn.CONCAT(表格1[[#This Row],[欄4]],表格1[[#This Row],[inv no]])</f>
        <v>110443475</v>
      </c>
    </row>
    <row r="462" spans="1:23" hidden="1">
      <c r="A462" s="81">
        <v>460</v>
      </c>
      <c r="B462" s="81" t="s">
        <v>1260</v>
      </c>
      <c r="C462" s="81" t="s">
        <v>1261</v>
      </c>
      <c r="D462" s="82" t="str">
        <f ca="1">OFFSET(Roster!$A$3,MATCH(表格1[[#This Row],[Location]]&amp;" "&amp;表格1[[#This Row],[Shop]]&amp;"*",Roster!$A$4:$A$72,0),DAY(表格1[[#This Row],[date]]),1,1)</f>
        <v>Shan_1</v>
      </c>
      <c r="E462" s="81">
        <f>MONTH(表格1[[#This Row],[date]])</f>
        <v>3</v>
      </c>
      <c r="F462" s="101">
        <v>46097</v>
      </c>
      <c r="G462" s="81" t="str">
        <f>VLOOKUP("*"&amp;表格1[[#This Row],[Input]]&amp;"*",'Ref-List'!$B:$D,2,)</f>
        <v>RAD-D300H</v>
      </c>
      <c r="H462" s="81" t="str">
        <f>_xlfn.XLOOKUP(表格1[[#This Row],[Model]],表格3[Model-Input-Ref2],表格3[Product Line])</f>
        <v>壓縮式抽濕機 (30公升)</v>
      </c>
      <c r="I462" s="81" t="str">
        <f>_xlfn.XLOOKUP(表格1[[#This Row],[Model]],表格3[Model-Input-Ref2],表格3[大小電])</f>
        <v>細電</v>
      </c>
      <c r="J462" s="81" t="str">
        <f>_xlfn.XLOOKUP(表格1[[#This Row],[Model]],表格3[Model-Input-Ref2],表格3[Code])</f>
        <v>RAC</v>
      </c>
      <c r="K462" s="82" t="s">
        <v>1252</v>
      </c>
      <c r="L462" s="81">
        <v>1</v>
      </c>
      <c r="M462" s="85">
        <v>2280</v>
      </c>
      <c r="N462" s="85">
        <f>IFERROR(表格1[[#This Row],[QTY]]*表格1[[#This Row],[Unit Price]],"-")</f>
        <v>2280</v>
      </c>
      <c r="O462" s="134">
        <v>155943</v>
      </c>
      <c r="P462" s="81"/>
      <c r="Q462" s="81"/>
      <c r="R462" s="81" t="str">
        <f>_xlfn.CONCAT(表格1[[#This Row],[Model]]," ",表格1[[#This Row],[inv no]])</f>
        <v>RAD-D300H 155943</v>
      </c>
      <c r="S462" s="135">
        <f>_xlfn.XLOOKUP(表格1[[#This Row],[Model]],表格3[Model-Input-Ref2],表格3[SRP PRICE])</f>
        <v>3380</v>
      </c>
      <c r="T462" s="43">
        <f>表格1[[#This Row],[Unit Price]]/表格1[[#This Row],[SRP]]</f>
        <v>0.67455621301775148</v>
      </c>
      <c r="U462" s="86" t="str">
        <f>_xlfn.XLOOKUP(表格1[[#This Row],[Model]],表格3[Model-Input-Ref2],表格3[TOSHIBA/HIGHEST])</f>
        <v>Shops Highest Price</v>
      </c>
      <c r="V462" s="86">
        <v>110</v>
      </c>
      <c r="W462" s="86" t="str">
        <f>_xlfn.CONCAT(表格1[[#This Row],[欄4]],表格1[[#This Row],[inv no]])</f>
        <v>110155943</v>
      </c>
    </row>
    <row r="463" spans="1:23" hidden="1">
      <c r="A463" s="81">
        <v>461</v>
      </c>
      <c r="B463" s="81" t="s">
        <v>1260</v>
      </c>
      <c r="C463" s="81" t="s">
        <v>1261</v>
      </c>
      <c r="D463" s="82" t="str">
        <f ca="1">OFFSET(Roster!$A$3,MATCH(表格1[[#This Row],[Location]]&amp;" "&amp;表格1[[#This Row],[Shop]]&amp;"*",Roster!$A$4:$A$72,0),DAY(表格1[[#This Row],[date]]),1,1)</f>
        <v>Shan_1</v>
      </c>
      <c r="E463" s="81">
        <f>MONTH(表格1[[#This Row],[date]])</f>
        <v>3</v>
      </c>
      <c r="F463" s="101">
        <v>46097</v>
      </c>
      <c r="G463" s="81" t="str">
        <f>VLOOKUP("*"&amp;表格1[[#This Row],[Input]]&amp;"*",'Ref-List'!$B:$D,2,)</f>
        <v>MWP-MM20P(WH)</v>
      </c>
      <c r="H463" s="81" t="str">
        <f>_xlfn.XLOOKUP(表格1[[#This Row],[Model]],表格3[Model-Input-Ref2],表格3[Product Line])</f>
        <v>旋鈕式燒烤微波爐20L</v>
      </c>
      <c r="I463" s="81" t="str">
        <f>_xlfn.XLOOKUP(表格1[[#This Row],[Model]],表格3[Model-Input-Ref2],表格3[大小電])</f>
        <v>細電</v>
      </c>
      <c r="J463" s="81" t="str">
        <f>_xlfn.XLOOKUP(表格1[[#This Row],[Model]],表格3[Model-Input-Ref2],表格3[Code])</f>
        <v>SDA</v>
      </c>
      <c r="K463" s="82" t="s">
        <v>1270</v>
      </c>
      <c r="L463" s="81">
        <v>1</v>
      </c>
      <c r="M463" s="85">
        <v>518</v>
      </c>
      <c r="N463" s="85">
        <f>IFERROR(表格1[[#This Row],[QTY]]*表格1[[#This Row],[Unit Price]],"-")</f>
        <v>518</v>
      </c>
      <c r="O463" s="134">
        <v>443540</v>
      </c>
      <c r="P463" s="81"/>
      <c r="Q463" s="81"/>
      <c r="R463" s="81" t="str">
        <f>_xlfn.CONCAT(表格1[[#This Row],[Model]]," ",表格1[[#This Row],[inv no]])</f>
        <v>MWP-MM20P(WH) 443540</v>
      </c>
      <c r="S463" s="135">
        <f>_xlfn.XLOOKUP(表格1[[#This Row],[Model]],表格3[Model-Input-Ref2],表格3[SRP PRICE])</f>
        <v>648</v>
      </c>
      <c r="T463" s="43">
        <f>表格1[[#This Row],[Unit Price]]/表格1[[#This Row],[SRP]]</f>
        <v>0.79938271604938271</v>
      </c>
      <c r="U463" s="86" t="str">
        <f>_xlfn.XLOOKUP(表格1[[#This Row],[Model]],表格3[Model-Input-Ref2],表格3[TOSHIBA/HIGHEST])</f>
        <v>Toshiba SRP</v>
      </c>
      <c r="V463" s="86">
        <v>110</v>
      </c>
      <c r="W463" s="86" t="str">
        <f>_xlfn.CONCAT(表格1[[#This Row],[欄4]],表格1[[#This Row],[inv no]])</f>
        <v>110443540</v>
      </c>
    </row>
    <row r="464" spans="1:23" hidden="1">
      <c r="A464" s="81">
        <v>462</v>
      </c>
      <c r="B464" s="81" t="s">
        <v>1260</v>
      </c>
      <c r="C464" s="81" t="s">
        <v>1261</v>
      </c>
      <c r="D464" s="82" t="str">
        <f ca="1">OFFSET(Roster!$A$3,MATCH(表格1[[#This Row],[Location]]&amp;" "&amp;表格1[[#This Row],[Shop]]&amp;"*",Roster!$A$4:$A$72,0),DAY(表格1[[#This Row],[date]]),1,1)</f>
        <v>Shan_1</v>
      </c>
      <c r="E464" s="81">
        <f>MONTH(表格1[[#This Row],[date]])</f>
        <v>3</v>
      </c>
      <c r="F464" s="101">
        <v>46097</v>
      </c>
      <c r="G464" s="81" t="str">
        <f>VLOOKUP("*"&amp;表格1[[#This Row],[Input]]&amp;"*",'Ref-List'!$B:$D,2,)</f>
        <v>KT-17SHNH</v>
      </c>
      <c r="H464" s="81" t="str">
        <f>_xlfn.XLOOKUP(表格1[[#This Row],[Model]],表格3[Model-Input-Ref2],表格3[Product Line])</f>
        <v>1.7L無線雙層電熱水壺</v>
      </c>
      <c r="I464" s="81" t="str">
        <f>_xlfn.XLOOKUP(表格1[[#This Row],[Model]],表格3[Model-Input-Ref2],表格3[大小電])</f>
        <v>細電</v>
      </c>
      <c r="J464" s="81" t="str">
        <f>_xlfn.XLOOKUP(表格1[[#This Row],[Model]],表格3[Model-Input-Ref2],表格3[Code])</f>
        <v>SDA</v>
      </c>
      <c r="K464" s="82" t="s">
        <v>1283</v>
      </c>
      <c r="L464" s="81">
        <v>1</v>
      </c>
      <c r="M464" s="85">
        <v>228</v>
      </c>
      <c r="N464" s="85">
        <f>IFERROR(表格1[[#This Row],[QTY]]*表格1[[#This Row],[Unit Price]],"-")</f>
        <v>228</v>
      </c>
      <c r="O464" s="134">
        <v>443535</v>
      </c>
      <c r="P464" s="81"/>
      <c r="Q464" s="81"/>
      <c r="R464" s="81" t="str">
        <f>_xlfn.CONCAT(表格1[[#This Row],[Model]]," ",表格1[[#This Row],[inv no]])</f>
        <v>KT-17SHNH 443535</v>
      </c>
      <c r="S464" s="135">
        <f>_xlfn.XLOOKUP(表格1[[#This Row],[Model]],表格3[Model-Input-Ref2],表格3[SRP PRICE])</f>
        <v>299</v>
      </c>
      <c r="T464" s="43">
        <f>表格1[[#This Row],[Unit Price]]/表格1[[#This Row],[SRP]]</f>
        <v>0.76254180602006694</v>
      </c>
      <c r="U464" s="86" t="str">
        <f>_xlfn.XLOOKUP(表格1[[#This Row],[Model]],表格3[Model-Input-Ref2],表格3[TOSHIBA/HIGHEST])</f>
        <v>Shops Highest Price</v>
      </c>
      <c r="V464" s="86">
        <v>110</v>
      </c>
      <c r="W464" s="86" t="str">
        <f>_xlfn.CONCAT(表格1[[#This Row],[欄4]],表格1[[#This Row],[inv no]])</f>
        <v>110443535</v>
      </c>
    </row>
    <row r="465" spans="1:23" hidden="1">
      <c r="A465" s="81">
        <v>463</v>
      </c>
      <c r="B465" s="81" t="s">
        <v>1260</v>
      </c>
      <c r="C465" s="81" t="s">
        <v>1261</v>
      </c>
      <c r="D465" s="82" t="str">
        <f ca="1">OFFSET(Roster!$A$3,MATCH(表格1[[#This Row],[Location]]&amp;" "&amp;表格1[[#This Row],[Shop]]&amp;"*",Roster!$A$4:$A$72,0),DAY(表格1[[#This Row],[date]]),1,1)</f>
        <v>Shan_1</v>
      </c>
      <c r="E465" s="81">
        <f>MONTH(表格1[[#This Row],[date]])</f>
        <v>3</v>
      </c>
      <c r="F465" s="101">
        <v>46097</v>
      </c>
      <c r="G465" s="81" t="str">
        <f>VLOOKUP("*"&amp;表格1[[#This Row],[Input]]&amp;"*",'Ref-List'!$B:$D,2,)</f>
        <v>MW3-SAC24SE(BK)</v>
      </c>
      <c r="H465" s="81" t="str">
        <f>_xlfn.XLOOKUP(表格1[[#This Row],[Model]],表格3[Model-Input-Ref2],表格3[Product Line])</f>
        <v>智能氣炸烤焗爐(24公升)</v>
      </c>
      <c r="I465" s="81" t="str">
        <f>_xlfn.XLOOKUP(表格1[[#This Row],[Model]],表格3[Model-Input-Ref2],表格3[大小電])</f>
        <v>細電</v>
      </c>
      <c r="J465" s="81" t="str">
        <f>_xlfn.XLOOKUP(表格1[[#This Row],[Model]],表格3[Model-Input-Ref2],表格3[Code])</f>
        <v>MCA</v>
      </c>
      <c r="K465" s="82" t="s">
        <v>1274</v>
      </c>
      <c r="L465" s="81">
        <v>1</v>
      </c>
      <c r="M465" s="85">
        <v>1398</v>
      </c>
      <c r="N465" s="85">
        <f>IFERROR(表格1[[#This Row],[QTY]]*表格1[[#This Row],[Unit Price]],"-")</f>
        <v>1398</v>
      </c>
      <c r="O465" s="134">
        <v>449130</v>
      </c>
      <c r="P465" s="81"/>
      <c r="Q465" s="81"/>
      <c r="R465" s="81" t="str">
        <f>_xlfn.CONCAT(表格1[[#This Row],[Model]]," ",表格1[[#This Row],[inv no]])</f>
        <v>MW3-SAC24SE(BK) 449130</v>
      </c>
      <c r="S465" s="135">
        <f>_xlfn.XLOOKUP(表格1[[#This Row],[Model]],表格3[Model-Input-Ref2],表格3[SRP PRICE])</f>
        <v>1680</v>
      </c>
      <c r="T465" s="43">
        <f>表格1[[#This Row],[Unit Price]]/表格1[[#This Row],[SRP]]</f>
        <v>0.83214285714285718</v>
      </c>
      <c r="U465" s="86" t="str">
        <f>_xlfn.XLOOKUP(表格1[[#This Row],[Model]],表格3[Model-Input-Ref2],表格3[TOSHIBA/HIGHEST])</f>
        <v>Toshiba SRP</v>
      </c>
      <c r="V465" s="86">
        <v>110</v>
      </c>
      <c r="W465" s="86" t="str">
        <f>_xlfn.CONCAT(表格1[[#This Row],[欄4]],表格1[[#This Row],[inv no]])</f>
        <v>110449130</v>
      </c>
    </row>
    <row r="466" spans="1:23" ht="16.5" hidden="1">
      <c r="A466" s="81">
        <v>464</v>
      </c>
      <c r="B466" s="81" t="s">
        <v>1260</v>
      </c>
      <c r="C466" s="81" t="s">
        <v>1261</v>
      </c>
      <c r="D466" s="82" t="str">
        <f ca="1">OFFSET(Roster!$A$3,MATCH(表格1[[#This Row],[Location]]&amp;" "&amp;表格1[[#This Row],[Shop]]&amp;"*",Roster!$A$4:$A$72,0),DAY(表格1[[#This Row],[date]]),1,1)</f>
        <v>Shan_1</v>
      </c>
      <c r="E466" s="81">
        <f>MONTH(表格1[[#This Row],[date]])</f>
        <v>3</v>
      </c>
      <c r="F466" s="101">
        <v>46097</v>
      </c>
      <c r="G466" s="81" t="str">
        <f>VLOOKUP("*"&amp;表格1[[#This Row],[Input]]&amp;"*",'Ref-List'!$B:$D,2,)</f>
        <v>MX2-TT20SC(WH)</v>
      </c>
      <c r="H466" s="81" t="str">
        <f>_xlfn.XLOOKUP(表格1[[#This Row],[Model]],表格3[Model-Input-Ref2],表格3[Product Line])</f>
        <v>3合1 微波蒸焗爐 (20公升)</v>
      </c>
      <c r="I466" s="81" t="str">
        <f>_xlfn.XLOOKUP(表格1[[#This Row],[Model]],表格3[Model-Input-Ref2],表格3[大小電])</f>
        <v>細電</v>
      </c>
      <c r="J466" s="81" t="str">
        <f>_xlfn.XLOOKUP(表格1[[#This Row],[Model]],表格3[Model-Input-Ref2],表格3[Code])</f>
        <v>MCA</v>
      </c>
      <c r="K466" s="82" t="s">
        <v>1287</v>
      </c>
      <c r="L466" s="81">
        <v>1</v>
      </c>
      <c r="M466" s="85">
        <v>2580</v>
      </c>
      <c r="N466" s="85">
        <f>IFERROR(表格1[[#This Row],[QTY]]*表格1[[#This Row],[Unit Price]],"-")</f>
        <v>2580</v>
      </c>
      <c r="O466" s="134">
        <v>443561</v>
      </c>
      <c r="P466" s="137"/>
      <c r="Q466" s="81"/>
      <c r="R466" s="81" t="str">
        <f>_xlfn.CONCAT(表格1[[#This Row],[Model]]," ",表格1[[#This Row],[inv no]])</f>
        <v>MX2-TT20SC(WH) 443561</v>
      </c>
      <c r="S466" s="135">
        <f>_xlfn.XLOOKUP(表格1[[#This Row],[Model]],表格3[Model-Input-Ref2],表格3[SRP PRICE])</f>
        <v>3580</v>
      </c>
      <c r="T466" s="43">
        <f>表格1[[#This Row],[Unit Price]]/表格1[[#This Row],[SRP]]</f>
        <v>0.72067039106145248</v>
      </c>
      <c r="U466" s="86" t="str">
        <f>_xlfn.XLOOKUP(表格1[[#This Row],[Model]],表格3[Model-Input-Ref2],表格3[TOSHIBA/HIGHEST])</f>
        <v>Toshiba SRP</v>
      </c>
      <c r="V466" s="86">
        <v>110</v>
      </c>
      <c r="W466" s="86" t="str">
        <f>_xlfn.CONCAT(表格1[[#This Row],[欄4]],表格1[[#This Row],[inv no]])</f>
        <v>110443561</v>
      </c>
    </row>
    <row r="467" spans="1:23" hidden="1">
      <c r="A467" s="81">
        <v>465</v>
      </c>
      <c r="B467" s="81" t="s">
        <v>1260</v>
      </c>
      <c r="C467" s="81" t="s">
        <v>1261</v>
      </c>
      <c r="D467" s="82" t="str">
        <f ca="1">OFFSET(Roster!$A$3,MATCH(表格1[[#This Row],[Location]]&amp;" "&amp;表格1[[#This Row],[Shop]]&amp;"*",Roster!$A$4:$A$72,0),DAY(表格1[[#This Row],[date]]),1,1)</f>
        <v>Shan_1</v>
      </c>
      <c r="E467" s="81">
        <f>MONTH(表格1[[#This Row],[date]])</f>
        <v>3</v>
      </c>
      <c r="F467" s="101">
        <v>46097</v>
      </c>
      <c r="G467" s="81" t="str">
        <f>VLOOKUP("*"&amp;表格1[[#This Row],[Input]]&amp;"*",'Ref-List'!$B:$D,2,)</f>
        <v>RC-10AMXH(W)</v>
      </c>
      <c r="H467" s="81" t="str">
        <f>_xlfn.XLOOKUP(表格1[[#This Row],[Model]],表格3[Model-Input-Ref2],表格3[Product Line])</f>
        <v>酵活炊電飯煲(1.0公升)</v>
      </c>
      <c r="I467" s="81" t="str">
        <f>_xlfn.XLOOKUP(表格1[[#This Row],[Model]],表格3[Model-Input-Ref2],表格3[大小電])</f>
        <v>細電</v>
      </c>
      <c r="J467" s="81" t="str">
        <f>_xlfn.XLOOKUP(表格1[[#This Row],[Model]],表格3[Model-Input-Ref2],表格3[Code])</f>
        <v>SDA</v>
      </c>
      <c r="K467" s="82" t="s">
        <v>1279</v>
      </c>
      <c r="L467" s="81">
        <v>1</v>
      </c>
      <c r="M467" s="85">
        <v>990</v>
      </c>
      <c r="N467" s="85">
        <f>IFERROR(表格1[[#This Row],[QTY]]*表格1[[#This Row],[Unit Price]],"-")</f>
        <v>990</v>
      </c>
      <c r="O467" s="134">
        <v>443575</v>
      </c>
      <c r="P467" s="81"/>
      <c r="Q467" s="81"/>
      <c r="R467" s="81" t="str">
        <f>_xlfn.CONCAT(表格1[[#This Row],[Model]]," ",表格1[[#This Row],[inv no]])</f>
        <v>RC-10AMXH(W) 443575</v>
      </c>
      <c r="S467" s="135">
        <f>_xlfn.XLOOKUP(表格1[[#This Row],[Model]],表格3[Model-Input-Ref2],表格3[SRP PRICE])</f>
        <v>1288</v>
      </c>
      <c r="T467" s="43">
        <f>表格1[[#This Row],[Unit Price]]/表格1[[#This Row],[SRP]]</f>
        <v>0.76863354037267084</v>
      </c>
      <c r="U467" s="86" t="str">
        <f>_xlfn.XLOOKUP(表格1[[#This Row],[Model]],表格3[Model-Input-Ref2],表格3[TOSHIBA/HIGHEST])</f>
        <v>Toshiba SRP</v>
      </c>
      <c r="V467" s="86">
        <v>110</v>
      </c>
      <c r="W467" s="86" t="str">
        <f>_xlfn.CONCAT(表格1[[#This Row],[欄4]],表格1[[#This Row],[inv no]])</f>
        <v>110443575</v>
      </c>
    </row>
    <row r="468" spans="1:23" hidden="1">
      <c r="A468" s="81">
        <v>466</v>
      </c>
      <c r="B468" s="81" t="s">
        <v>1260</v>
      </c>
      <c r="C468" s="81" t="s">
        <v>1261</v>
      </c>
      <c r="D468" s="82" t="str">
        <f ca="1">OFFSET(Roster!$A$3,MATCH(表格1[[#This Row],[Location]]&amp;" "&amp;表格1[[#This Row],[Shop]]&amp;"*",Roster!$A$4:$A$72,0),DAY(表格1[[#This Row],[date]]),1,1)</f>
        <v>Shan_1</v>
      </c>
      <c r="E468" s="81">
        <f>MONTH(表格1[[#This Row],[date]])</f>
        <v>3</v>
      </c>
      <c r="F468" s="101">
        <v>46097</v>
      </c>
      <c r="G468" s="81" t="str">
        <f>VLOOKUP("*"&amp;表格1[[#This Row],[Input]]&amp;"*",'Ref-List'!$B:$D,2,)</f>
        <v>IC-20R1THK</v>
      </c>
      <c r="H468" s="81" t="str">
        <f>_xlfn.XLOOKUP(表格1[[#This Row],[Model]],表格3[Model-Input-Ref2],表格3[Product Line])</f>
        <v>輕便式電磁爐</v>
      </c>
      <c r="I468" s="81" t="str">
        <f>_xlfn.XLOOKUP(表格1[[#This Row],[Model]],表格3[Model-Input-Ref2],表格3[大小電])</f>
        <v>細電</v>
      </c>
      <c r="J468" s="81" t="str">
        <f>_xlfn.XLOOKUP(表格1[[#This Row],[Model]],表格3[Model-Input-Ref2],表格3[Code])</f>
        <v>SDA</v>
      </c>
      <c r="K468" s="82" t="s">
        <v>1243</v>
      </c>
      <c r="L468" s="81">
        <v>1</v>
      </c>
      <c r="M468" s="85">
        <v>298</v>
      </c>
      <c r="N468" s="85">
        <f>IFERROR(表格1[[#This Row],[QTY]]*表格1[[#This Row],[Unit Price]],"-")</f>
        <v>298</v>
      </c>
      <c r="O468" s="134">
        <v>155952</v>
      </c>
      <c r="P468" s="81"/>
      <c r="Q468" s="81"/>
      <c r="R468" s="81" t="str">
        <f>_xlfn.CONCAT(表格1[[#This Row],[Model]]," ",表格1[[#This Row],[inv no]])</f>
        <v>IC-20R1THK 155952</v>
      </c>
      <c r="S468" s="135">
        <f>_xlfn.XLOOKUP(表格1[[#This Row],[Model]],表格3[Model-Input-Ref2],表格3[SRP PRICE])</f>
        <v>438</v>
      </c>
      <c r="T468" s="43">
        <f>表格1[[#This Row],[Unit Price]]/表格1[[#This Row],[SRP]]</f>
        <v>0.68036529680365299</v>
      </c>
      <c r="U468" s="86" t="str">
        <f>_xlfn.XLOOKUP(表格1[[#This Row],[Model]],表格3[Model-Input-Ref2],表格3[TOSHIBA/HIGHEST])</f>
        <v>Shops Highest Price</v>
      </c>
      <c r="V468" s="86">
        <v>110</v>
      </c>
      <c r="W468" s="86" t="str">
        <f>_xlfn.CONCAT(表格1[[#This Row],[欄4]],表格1[[#This Row],[inv no]])</f>
        <v>110155952</v>
      </c>
    </row>
    <row r="469" spans="1:23" ht="16.5" hidden="1">
      <c r="A469" s="81">
        <v>467</v>
      </c>
      <c r="B469" s="81" t="s">
        <v>1260</v>
      </c>
      <c r="C469" s="81" t="s">
        <v>1261</v>
      </c>
      <c r="D469" s="82" t="str">
        <f ca="1">OFFSET(Roster!$A$3,MATCH(表格1[[#This Row],[Location]]&amp;" "&amp;表格1[[#This Row],[Shop]]&amp;"*",Roster!$A$4:$A$72,0),DAY(表格1[[#This Row],[date]]),1,1)</f>
        <v>Shan_1</v>
      </c>
      <c r="E469" s="81">
        <f>MONTH(表格1[[#This Row],[date]])</f>
        <v>3</v>
      </c>
      <c r="F469" s="101">
        <v>46097</v>
      </c>
      <c r="G469" s="81" t="str">
        <f>VLOOKUP("*"&amp;表格1[[#This Row],[Input]]&amp;"*",'Ref-List'!$B:$D,2,)</f>
        <v>RC-10NMFIH(WT)</v>
      </c>
      <c r="H469" s="81" t="str">
        <f>_xlfn.XLOOKUP(表格1[[#This Row],[Model]],表格3[Model-Input-Ref2],表格3[Product Line])</f>
        <v>4毫米厚釜電飯煲1L</v>
      </c>
      <c r="I469" s="81" t="str">
        <f>_xlfn.XLOOKUP(表格1[[#This Row],[Model]],表格3[Model-Input-Ref2],表格3[大小電])</f>
        <v>細電</v>
      </c>
      <c r="J469" s="81" t="str">
        <f>_xlfn.XLOOKUP(表格1[[#This Row],[Model]],表格3[Model-Input-Ref2],表格3[Code])</f>
        <v>SDA</v>
      </c>
      <c r="K469" s="82" t="s">
        <v>1244</v>
      </c>
      <c r="L469" s="81">
        <v>1</v>
      </c>
      <c r="M469" s="85">
        <v>719</v>
      </c>
      <c r="N469" s="85">
        <f>IFERROR(表格1[[#This Row],[QTY]]*表格1[[#This Row],[Unit Price]],"-")</f>
        <v>719</v>
      </c>
      <c r="O469" s="134">
        <v>443688</v>
      </c>
      <c r="P469" s="137"/>
      <c r="Q469" s="81"/>
      <c r="R469" s="81" t="str">
        <f>_xlfn.CONCAT(表格1[[#This Row],[Model]]," ",表格1[[#This Row],[inv no]])</f>
        <v>RC-10NMFIH(WT) 443688</v>
      </c>
      <c r="S469" s="135">
        <f>_xlfn.XLOOKUP(表格1[[#This Row],[Model]],表格3[Model-Input-Ref2],表格3[SRP PRICE])</f>
        <v>898</v>
      </c>
      <c r="T469" s="43">
        <f>表格1[[#This Row],[Unit Price]]/表格1[[#This Row],[SRP]]</f>
        <v>0.80066815144766146</v>
      </c>
      <c r="U469" s="86" t="str">
        <f>_xlfn.XLOOKUP(表格1[[#This Row],[Model]],表格3[Model-Input-Ref2],表格3[TOSHIBA/HIGHEST])</f>
        <v>Toshiba SRP</v>
      </c>
      <c r="V469" s="86">
        <v>110</v>
      </c>
      <c r="W469" s="86" t="str">
        <f>_xlfn.CONCAT(表格1[[#This Row],[欄4]],表格1[[#This Row],[inv no]])</f>
        <v>110443688</v>
      </c>
    </row>
    <row r="470" spans="1:23" ht="16.5" hidden="1">
      <c r="A470" s="81">
        <v>468</v>
      </c>
      <c r="B470" s="81" t="s">
        <v>1260</v>
      </c>
      <c r="C470" s="81" t="s">
        <v>1261</v>
      </c>
      <c r="D470" s="82" t="str">
        <f ca="1">OFFSET(Roster!$A$3,MATCH(表格1[[#This Row],[Location]]&amp;" "&amp;表格1[[#This Row],[Shop]]&amp;"*",Roster!$A$4:$A$72,0),DAY(表格1[[#This Row],[date]]),1,1)</f>
        <v>Shan_1</v>
      </c>
      <c r="E470" s="81">
        <f>MONTH(表格1[[#This Row],[date]])</f>
        <v>3</v>
      </c>
      <c r="F470" s="101">
        <v>46097</v>
      </c>
      <c r="G470" s="81" t="str">
        <f>VLOOKUP("*"&amp;表格1[[#This Row],[Input]]&amp;"*",'Ref-List'!$B:$D,2,)</f>
        <v>CIC-20GGTLA0</v>
      </c>
      <c r="H470" s="81" t="str">
        <f>_xlfn.XLOOKUP(表格1[[#This Row],[Model]],表格3[Model-Input-Ref2],表格3[Product Line])</f>
        <v>Induction Cooker</v>
      </c>
      <c r="I470" s="81" t="str">
        <f>_xlfn.XLOOKUP(表格1[[#This Row],[Model]],表格3[Model-Input-Ref2],表格3[大小電])</f>
        <v>細電</v>
      </c>
      <c r="J470" s="81" t="str">
        <f>_xlfn.XLOOKUP(表格1[[#This Row],[Model]],表格3[Model-Input-Ref2],表格3[Code])</f>
        <v>SDA</v>
      </c>
      <c r="K470" s="82" t="s">
        <v>1288</v>
      </c>
      <c r="L470" s="81">
        <v>1</v>
      </c>
      <c r="M470" s="85">
        <v>270</v>
      </c>
      <c r="N470" s="85">
        <f>IFERROR(表格1[[#This Row],[QTY]]*表格1[[#This Row],[Unit Price]],"-")</f>
        <v>270</v>
      </c>
      <c r="O470" s="134">
        <v>443727</v>
      </c>
      <c r="P470" s="137"/>
      <c r="Q470" s="81"/>
      <c r="R470" s="81" t="str">
        <f>_xlfn.CONCAT(表格1[[#This Row],[Model]]," ",表格1[[#This Row],[inv no]])</f>
        <v>CIC-20GGTLA0 443727</v>
      </c>
      <c r="S470" s="135">
        <f>_xlfn.XLOOKUP(表格1[[#This Row],[Model]],表格3[Model-Input-Ref2],表格3[SRP PRICE])</f>
        <v>399</v>
      </c>
      <c r="T470" s="43">
        <f>表格1[[#This Row],[Unit Price]]/表格1[[#This Row],[SRP]]</f>
        <v>0.67669172932330823</v>
      </c>
      <c r="U470" s="86" t="str">
        <f>_xlfn.XLOOKUP(表格1[[#This Row],[Model]],表格3[Model-Input-Ref2],表格3[TOSHIBA/HIGHEST])</f>
        <v>Web SRP</v>
      </c>
      <c r="V470" s="86">
        <v>110</v>
      </c>
      <c r="W470" s="86" t="str">
        <f>_xlfn.CONCAT(表格1[[#This Row],[欄4]],表格1[[#This Row],[inv no]])</f>
        <v>110443727</v>
      </c>
    </row>
    <row r="471" spans="1:23" ht="16.5" hidden="1">
      <c r="A471" s="81">
        <v>469</v>
      </c>
      <c r="B471" s="81" t="s">
        <v>1260</v>
      </c>
      <c r="C471" s="81" t="s">
        <v>1261</v>
      </c>
      <c r="D471" s="82" t="str">
        <f ca="1">OFFSET(Roster!$A$3,MATCH(表格1[[#This Row],[Location]]&amp;" "&amp;表格1[[#This Row],[Shop]]&amp;"*",Roster!$A$4:$A$72,0),DAY(表格1[[#This Row],[date]]),1,1)</f>
        <v>Shan_1</v>
      </c>
      <c r="E471" s="81">
        <f>MONTH(表格1[[#This Row],[date]])</f>
        <v>3</v>
      </c>
      <c r="F471" s="101">
        <v>46098</v>
      </c>
      <c r="G471" s="81" t="str">
        <f>VLOOKUP("*"&amp;表格1[[#This Row],[Input]]&amp;"*",'Ref-List'!$B:$D,2,)</f>
        <v>IC-20R1THK</v>
      </c>
      <c r="H471" s="81" t="str">
        <f>_xlfn.XLOOKUP(表格1[[#This Row],[Model]],表格3[Model-Input-Ref2],表格3[Product Line])</f>
        <v>輕便式電磁爐</v>
      </c>
      <c r="I471" s="81" t="str">
        <f>_xlfn.XLOOKUP(表格1[[#This Row],[Model]],表格3[Model-Input-Ref2],表格3[大小電])</f>
        <v>細電</v>
      </c>
      <c r="J471" s="81" t="str">
        <f>_xlfn.XLOOKUP(表格1[[#This Row],[Model]],表格3[Model-Input-Ref2],表格3[Code])</f>
        <v>SDA</v>
      </c>
      <c r="K471" s="82" t="s">
        <v>1243</v>
      </c>
      <c r="L471" s="81">
        <v>1</v>
      </c>
      <c r="M471" s="85">
        <v>298</v>
      </c>
      <c r="N471" s="85">
        <f>IFERROR(表格1[[#This Row],[QTY]]*表格1[[#This Row],[Unit Price]],"-")</f>
        <v>298</v>
      </c>
      <c r="O471" s="134">
        <v>155958</v>
      </c>
      <c r="P471" s="137"/>
      <c r="Q471" s="81"/>
      <c r="R471" s="81" t="str">
        <f>_xlfn.CONCAT(表格1[[#This Row],[Model]]," ",表格1[[#This Row],[inv no]])</f>
        <v>IC-20R1THK 155958</v>
      </c>
      <c r="S471" s="135">
        <f>_xlfn.XLOOKUP(表格1[[#This Row],[Model]],表格3[Model-Input-Ref2],表格3[SRP PRICE])</f>
        <v>438</v>
      </c>
      <c r="T471" s="43">
        <f>表格1[[#This Row],[Unit Price]]/表格1[[#This Row],[SRP]]</f>
        <v>0.68036529680365299</v>
      </c>
      <c r="U471" s="86" t="str">
        <f>_xlfn.XLOOKUP(表格1[[#This Row],[Model]],表格3[Model-Input-Ref2],表格3[TOSHIBA/HIGHEST])</f>
        <v>Shops Highest Price</v>
      </c>
      <c r="V471" s="86">
        <v>110</v>
      </c>
      <c r="W471" s="86" t="str">
        <f>_xlfn.CONCAT(表格1[[#This Row],[欄4]],表格1[[#This Row],[inv no]])</f>
        <v>110155958</v>
      </c>
    </row>
    <row r="472" spans="1:23" hidden="1">
      <c r="A472" s="81">
        <v>470</v>
      </c>
      <c r="B472" s="81" t="s">
        <v>1260</v>
      </c>
      <c r="C472" s="81" t="s">
        <v>1261</v>
      </c>
      <c r="D472" s="82" t="str">
        <f ca="1">OFFSET(Roster!$A$3,MATCH(表格1[[#This Row],[Location]]&amp;" "&amp;表格1[[#This Row],[Shop]]&amp;"*",Roster!$A$4:$A$72,0),DAY(表格1[[#This Row],[date]]),1,1)</f>
        <v>Shan_1</v>
      </c>
      <c r="E472" s="81">
        <f>MONTH(表格1[[#This Row],[date]])</f>
        <v>3</v>
      </c>
      <c r="F472" s="101">
        <v>46098</v>
      </c>
      <c r="G472" s="81" t="str">
        <f>VLOOKUP("*"&amp;表格1[[#This Row],[Input]]&amp;"*",'Ref-List'!$B:$D,2,)</f>
        <v>RC-10JRUH(N)</v>
      </c>
      <c r="H472" s="81" t="str">
        <f>_xlfn.XLOOKUP(表格1[[#This Row],[Model]],表格3[Model-Input-Ref2],表格3[Product Line])</f>
        <v>電飯煲</v>
      </c>
      <c r="I472" s="81" t="str">
        <f>_xlfn.XLOOKUP(表格1[[#This Row],[Model]],表格3[Model-Input-Ref2],表格3[大小電])</f>
        <v>細電</v>
      </c>
      <c r="J472" s="81" t="str">
        <f>_xlfn.XLOOKUP(表格1[[#This Row],[Model]],表格3[Model-Input-Ref2],表格3[Code])</f>
        <v>SDA</v>
      </c>
      <c r="K472" s="82" t="s">
        <v>1263</v>
      </c>
      <c r="L472" s="81">
        <v>1</v>
      </c>
      <c r="M472" s="85">
        <v>250</v>
      </c>
      <c r="N472" s="85">
        <f>IFERROR(表格1[[#This Row],[QTY]]*表格1[[#This Row],[Unit Price]],"-")</f>
        <v>250</v>
      </c>
      <c r="O472" s="134">
        <v>443897</v>
      </c>
      <c r="P472" s="81"/>
      <c r="Q472" s="81"/>
      <c r="R472" s="81" t="str">
        <f>_xlfn.CONCAT(表格1[[#This Row],[Model]]," ",表格1[[#This Row],[inv no]])</f>
        <v>RC-10JRUH(N) 443897</v>
      </c>
      <c r="S472" s="135">
        <f>_xlfn.XLOOKUP(表格1[[#This Row],[Model]],表格3[Model-Input-Ref2],表格3[SRP PRICE])</f>
        <v>398</v>
      </c>
      <c r="T472" s="43">
        <f>表格1[[#This Row],[Unit Price]]/表格1[[#This Row],[SRP]]</f>
        <v>0.62814070351758799</v>
      </c>
      <c r="U472" s="86" t="str">
        <f>_xlfn.XLOOKUP(表格1[[#This Row],[Model]],表格3[Model-Input-Ref2],表格3[TOSHIBA/HIGHEST])</f>
        <v>Shops Highest Price</v>
      </c>
      <c r="V472" s="86">
        <v>110</v>
      </c>
      <c r="W472" s="86" t="str">
        <f>_xlfn.CONCAT(表格1[[#This Row],[欄4]],表格1[[#This Row],[inv no]])</f>
        <v>110443897</v>
      </c>
    </row>
    <row r="473" spans="1:23" hidden="1">
      <c r="A473" s="81">
        <v>471</v>
      </c>
      <c r="B473" s="81" t="s">
        <v>1260</v>
      </c>
      <c r="C473" s="81" t="s">
        <v>1261</v>
      </c>
      <c r="D473" s="82" t="str">
        <f ca="1">OFFSET(Roster!$A$3,MATCH(表格1[[#This Row],[Location]]&amp;" "&amp;表格1[[#This Row],[Shop]]&amp;"*",Roster!$A$4:$A$72,0),DAY(表格1[[#This Row],[date]]),1,1)</f>
        <v>Shan_1</v>
      </c>
      <c r="E473" s="81">
        <f>MONTH(表格1[[#This Row],[date]])</f>
        <v>3</v>
      </c>
      <c r="F473" s="101">
        <v>46098</v>
      </c>
      <c r="G473" s="81" t="str">
        <f>VLOOKUP("*"&amp;表格1[[#This Row],[Input]]&amp;"*",'Ref-List'!$B:$D,2,)</f>
        <v>CFK01W75</v>
      </c>
      <c r="H473" s="81" t="str">
        <f>_xlfn.XLOOKUP(表格1[[#This Row],[Model]],表格3[Model-Input-Ref2],表格3[Product Line])</f>
        <v>變頻頂揭式洗衣機 (7.5公斤)</v>
      </c>
      <c r="I473" s="81" t="str">
        <f>_xlfn.XLOOKUP(表格1[[#This Row],[Model]],表格3[Model-Input-Ref2],表格3[大小電])</f>
        <v>大電</v>
      </c>
      <c r="J473" s="81" t="str">
        <f>_xlfn.XLOOKUP(表格1[[#This Row],[Model]],表格3[Model-Input-Ref2],表格3[Code])</f>
        <v>LAD</v>
      </c>
      <c r="K473" s="82" t="s">
        <v>1266</v>
      </c>
      <c r="L473" s="81">
        <v>1</v>
      </c>
      <c r="M473" s="85">
        <v>3580</v>
      </c>
      <c r="N473" s="85">
        <f>IFERROR(表格1[[#This Row],[QTY]]*表格1[[#This Row],[Unit Price]],"-")</f>
        <v>3580</v>
      </c>
      <c r="O473" s="134">
        <v>443975</v>
      </c>
      <c r="P473" s="81"/>
      <c r="Q473" s="81"/>
      <c r="R473" s="81" t="str">
        <f>_xlfn.CONCAT(表格1[[#This Row],[Model]]," ",表格1[[#This Row],[inv no]])</f>
        <v>CFK01W75 443975</v>
      </c>
      <c r="S473" s="135">
        <f>_xlfn.XLOOKUP(表格1[[#This Row],[Model]],表格3[Model-Input-Ref2],表格3[SRP PRICE])</f>
        <v>3888</v>
      </c>
      <c r="T473" s="43">
        <f>表格1[[#This Row],[Unit Price]]/表格1[[#This Row],[SRP]]</f>
        <v>0.92078189300411528</v>
      </c>
      <c r="U473" s="86" t="str">
        <f>_xlfn.XLOOKUP(表格1[[#This Row],[Model]],表格3[Model-Input-Ref2],表格3[TOSHIBA/HIGHEST])</f>
        <v>Shops Highest Price</v>
      </c>
      <c r="V473" s="86">
        <v>110</v>
      </c>
      <c r="W473" s="86" t="str">
        <f>_xlfn.CONCAT(表格1[[#This Row],[欄4]],表格1[[#This Row],[inv no]])</f>
        <v>110443975</v>
      </c>
    </row>
    <row r="474" spans="1:23" ht="16.5" hidden="1">
      <c r="A474" s="81">
        <v>472</v>
      </c>
      <c r="B474" s="81" t="s">
        <v>1260</v>
      </c>
      <c r="C474" s="81" t="s">
        <v>1261</v>
      </c>
      <c r="D474" s="82" t="str">
        <f ca="1">OFFSET(Roster!$A$3,MATCH(表格1[[#This Row],[Location]]&amp;" "&amp;表格1[[#This Row],[Shop]]&amp;"*",Roster!$A$4:$A$72,0),DAY(表格1[[#This Row],[date]]),1,1)</f>
        <v>Shan_1</v>
      </c>
      <c r="E474" s="81">
        <f>MONTH(表格1[[#This Row],[date]])</f>
        <v>3</v>
      </c>
      <c r="F474" s="101">
        <v>46098</v>
      </c>
      <c r="G474" s="81" t="str">
        <f>VLOOKUP("*"&amp;表格1[[#This Row],[Input]]&amp;"*",'Ref-List'!$B:$D,2,)</f>
        <v>RC-10JRUH(N)</v>
      </c>
      <c r="H474" s="81" t="str">
        <f>_xlfn.XLOOKUP(表格1[[#This Row],[Model]],表格3[Model-Input-Ref2],表格3[Product Line])</f>
        <v>電飯煲</v>
      </c>
      <c r="I474" s="81" t="str">
        <f>_xlfn.XLOOKUP(表格1[[#This Row],[Model]],表格3[Model-Input-Ref2],表格3[大小電])</f>
        <v>細電</v>
      </c>
      <c r="J474" s="81" t="str">
        <f>_xlfn.XLOOKUP(表格1[[#This Row],[Model]],表格3[Model-Input-Ref2],表格3[Code])</f>
        <v>SDA</v>
      </c>
      <c r="K474" s="82" t="s">
        <v>1263</v>
      </c>
      <c r="L474" s="81">
        <v>1</v>
      </c>
      <c r="M474" s="85">
        <v>250</v>
      </c>
      <c r="N474" s="85">
        <f>IFERROR(表格1[[#This Row],[QTY]]*表格1[[#This Row],[Unit Price]],"-")</f>
        <v>250</v>
      </c>
      <c r="O474" s="134">
        <v>443982</v>
      </c>
      <c r="P474" s="137"/>
      <c r="Q474" s="81"/>
      <c r="R474" s="81" t="str">
        <f>_xlfn.CONCAT(表格1[[#This Row],[Model]]," ",表格1[[#This Row],[inv no]])</f>
        <v>RC-10JRUH(N) 443982</v>
      </c>
      <c r="S474" s="135">
        <f>_xlfn.XLOOKUP(表格1[[#This Row],[Model]],表格3[Model-Input-Ref2],表格3[SRP PRICE])</f>
        <v>398</v>
      </c>
      <c r="T474" s="43">
        <f>表格1[[#This Row],[Unit Price]]/表格1[[#This Row],[SRP]]</f>
        <v>0.62814070351758799</v>
      </c>
      <c r="U474" s="86" t="str">
        <f>_xlfn.XLOOKUP(表格1[[#This Row],[Model]],表格3[Model-Input-Ref2],表格3[TOSHIBA/HIGHEST])</f>
        <v>Shops Highest Price</v>
      </c>
      <c r="V474" s="86">
        <v>110</v>
      </c>
      <c r="W474" s="86" t="str">
        <f>_xlfn.CONCAT(表格1[[#This Row],[欄4]],表格1[[#This Row],[inv no]])</f>
        <v>110443982</v>
      </c>
    </row>
    <row r="475" spans="1:23" ht="16.5" hidden="1">
      <c r="A475" s="81">
        <v>473</v>
      </c>
      <c r="B475" s="81" t="s">
        <v>1260</v>
      </c>
      <c r="C475" s="81" t="s">
        <v>1261</v>
      </c>
      <c r="D475" s="82" t="str">
        <f ca="1">OFFSET(Roster!$A$3,MATCH(表格1[[#This Row],[Location]]&amp;" "&amp;表格1[[#This Row],[Shop]]&amp;"*",Roster!$A$4:$A$72,0),DAY(表格1[[#This Row],[date]]),1,1)</f>
        <v>Shan_1</v>
      </c>
      <c r="E475" s="81">
        <f>MONTH(表格1[[#This Row],[date]])</f>
        <v>3</v>
      </c>
      <c r="F475" s="101">
        <v>46098</v>
      </c>
      <c r="G475" s="81" t="str">
        <f>VLOOKUP("*"&amp;表格1[[#This Row],[Input]]&amp;"*",'Ref-List'!$B:$D,2,)</f>
        <v>IC-S19RH</v>
      </c>
      <c r="H475" s="81" t="str">
        <f>_xlfn.XLOOKUP(表格1[[#This Row],[Model]],表格3[Model-Input-Ref2],表格3[Product Line])</f>
        <v>輕便式電磁爐7個功能</v>
      </c>
      <c r="I475" s="81" t="str">
        <f>_xlfn.XLOOKUP(表格1[[#This Row],[Model]],表格3[Model-Input-Ref2],表格3[大小電])</f>
        <v>細電</v>
      </c>
      <c r="J475" s="81" t="str">
        <f>_xlfn.XLOOKUP(表格1[[#This Row],[Model]],表格3[Model-Input-Ref2],表格3[Code])</f>
        <v>SDA</v>
      </c>
      <c r="K475" s="82" t="s">
        <v>1289</v>
      </c>
      <c r="L475" s="81">
        <v>1</v>
      </c>
      <c r="M475" s="85">
        <v>418</v>
      </c>
      <c r="N475" s="85">
        <f>IFERROR(表格1[[#This Row],[QTY]]*表格1[[#This Row],[Unit Price]],"-")</f>
        <v>418</v>
      </c>
      <c r="O475" s="134">
        <v>444033</v>
      </c>
      <c r="P475" s="137"/>
      <c r="Q475" s="81"/>
      <c r="R475" s="81" t="str">
        <f>_xlfn.CONCAT(表格1[[#This Row],[Model]]," ",表格1[[#This Row],[inv no]])</f>
        <v>IC-S19RH 444033</v>
      </c>
      <c r="S475" s="135">
        <f>_xlfn.XLOOKUP(表格1[[#This Row],[Model]],表格3[Model-Input-Ref2],表格3[SRP PRICE])</f>
        <v>638</v>
      </c>
      <c r="T475" s="43">
        <f>表格1[[#This Row],[Unit Price]]/表格1[[#This Row],[SRP]]</f>
        <v>0.65517241379310343</v>
      </c>
      <c r="U475" s="86" t="str">
        <f>_xlfn.XLOOKUP(表格1[[#This Row],[Model]],表格3[Model-Input-Ref2],表格3[TOSHIBA/HIGHEST])</f>
        <v>Toshiba SRP</v>
      </c>
      <c r="V475" s="86">
        <v>110</v>
      </c>
      <c r="W475" s="86" t="str">
        <f>_xlfn.CONCAT(表格1[[#This Row],[欄4]],表格1[[#This Row],[inv no]])</f>
        <v>110444033</v>
      </c>
    </row>
    <row r="476" spans="1:23" hidden="1">
      <c r="A476" s="81">
        <v>474</v>
      </c>
      <c r="B476" s="81" t="s">
        <v>1260</v>
      </c>
      <c r="C476" s="81" t="s">
        <v>1293</v>
      </c>
      <c r="D476" s="82" t="str">
        <f ca="1">OFFSET(Roster!$A$3,MATCH(表格1[[#This Row],[Location]]&amp;" "&amp;表格1[[#This Row],[Shop]]&amp;"*",Roster!$A$4:$A$72,0),DAY(表格1[[#This Row],[date]]),1,1)</f>
        <v>Mandy</v>
      </c>
      <c r="E476" s="81">
        <f>MONTH(表格1[[#This Row],[date]])</f>
        <v>3</v>
      </c>
      <c r="F476" s="101">
        <v>46093</v>
      </c>
      <c r="G476" s="81" t="str">
        <f>VLOOKUP("*"&amp;表格1[[#This Row],[Input]]&amp;"*",'Ref-List'!$B:$D,2,)</f>
        <v>RC-DR10T(W)</v>
      </c>
      <c r="H476" s="81" t="str">
        <f>_xlfn.XLOOKUP(表格1[[#This Row],[Model]],表格3[Model-Input-Ref2],表格3[Product Line])</f>
        <v>IH磁應電飯煲</v>
      </c>
      <c r="I476" s="81" t="str">
        <f>_xlfn.XLOOKUP(表格1[[#This Row],[Model]],表格3[Model-Input-Ref2],表格3[大小電])</f>
        <v>細電</v>
      </c>
      <c r="J476" s="81" t="str">
        <f>_xlfn.XLOOKUP(表格1[[#This Row],[Model]],表格3[Model-Input-Ref2],表格3[Code])</f>
        <v>SDA</v>
      </c>
      <c r="K476" s="82" t="s">
        <v>1294</v>
      </c>
      <c r="L476" s="81">
        <v>1</v>
      </c>
      <c r="M476" s="85">
        <v>2290</v>
      </c>
      <c r="N476" s="85">
        <f>IFERROR(表格1[[#This Row],[QTY]]*表格1[[#This Row],[Unit Price]],"-")</f>
        <v>2290</v>
      </c>
      <c r="O476" s="169">
        <v>155927</v>
      </c>
      <c r="P476" s="81"/>
      <c r="Q476" s="81"/>
      <c r="R476" s="81" t="str">
        <f>_xlfn.CONCAT(表格1[[#This Row],[Model]]," ",表格1[[#This Row],[inv no]])</f>
        <v>RC-DR10T(W) 155927</v>
      </c>
      <c r="S476" s="135">
        <f>_xlfn.XLOOKUP(表格1[[#This Row],[Model]],表格3[Model-Input-Ref2],表格3[SRP PRICE])</f>
        <v>3188</v>
      </c>
      <c r="T476" s="43">
        <f>表格1[[#This Row],[Unit Price]]/表格1[[#This Row],[SRP]]</f>
        <v>0.71831869510664992</v>
      </c>
      <c r="U476" s="86" t="str">
        <f>_xlfn.XLOOKUP(表格1[[#This Row],[Model]],表格3[Model-Input-Ref2],表格3[TOSHIBA/HIGHEST])</f>
        <v>Toshiba SRP</v>
      </c>
      <c r="V476" s="86">
        <v>110</v>
      </c>
      <c r="W476" s="86" t="str">
        <f>_xlfn.CONCAT(表格1[[#This Row],[欄4]],表格1[[#This Row],[inv no]])</f>
        <v>110155927</v>
      </c>
    </row>
    <row r="477" spans="1:23" hidden="1">
      <c r="A477" s="81">
        <v>475</v>
      </c>
      <c r="B477" s="81" t="s">
        <v>1260</v>
      </c>
      <c r="C477" s="81" t="s">
        <v>1293</v>
      </c>
      <c r="D477" s="82" t="str">
        <f ca="1">OFFSET(Roster!$A$3,MATCH(表格1[[#This Row],[Location]]&amp;" "&amp;表格1[[#This Row],[Shop]]&amp;"*",Roster!$A$4:$A$72,0),DAY(表格1[[#This Row],[date]]),1,1)</f>
        <v>Mandy</v>
      </c>
      <c r="E477" s="81">
        <f>MONTH(表格1[[#This Row],[date]])</f>
        <v>3</v>
      </c>
      <c r="F477" s="101">
        <v>46093</v>
      </c>
      <c r="G477" s="81" t="str">
        <f>VLOOKUP("*"&amp;表格1[[#This Row],[Input]]&amp;"*",'Ref-List'!$B:$D,2,)</f>
        <v>RC-18NMFIH(WT)</v>
      </c>
      <c r="H477" s="81" t="str">
        <f>_xlfn.XLOOKUP(表格1[[#This Row],[Model]],表格3[Model-Input-Ref2],表格3[Product Line])</f>
        <v>4毫米厚釜電飯煲1.8L</v>
      </c>
      <c r="I477" s="81" t="str">
        <f>_xlfn.XLOOKUP(表格1[[#This Row],[Model]],表格3[Model-Input-Ref2],表格3[大小電])</f>
        <v>細電</v>
      </c>
      <c r="J477" s="81" t="str">
        <f>_xlfn.XLOOKUP(表格1[[#This Row],[Model]],表格3[Model-Input-Ref2],表格3[Code])</f>
        <v>SDA</v>
      </c>
      <c r="K477" s="82" t="s">
        <v>1267</v>
      </c>
      <c r="L477" s="81">
        <v>2</v>
      </c>
      <c r="M477" s="85">
        <v>799</v>
      </c>
      <c r="N477" s="85">
        <f>IFERROR(表格1[[#This Row],[QTY]]*表格1[[#This Row],[Unit Price]],"-")</f>
        <v>1598</v>
      </c>
      <c r="O477" s="169">
        <v>442438</v>
      </c>
      <c r="P477" s="81"/>
      <c r="Q477" s="81"/>
      <c r="R477" s="81" t="str">
        <f>_xlfn.CONCAT(表格1[[#This Row],[Model]]," ",表格1[[#This Row],[inv no]])</f>
        <v>RC-18NMFIH(WT) 442438</v>
      </c>
      <c r="S477" s="135">
        <f>_xlfn.XLOOKUP(表格1[[#This Row],[Model]],表格3[Model-Input-Ref2],表格3[SRP PRICE])</f>
        <v>998</v>
      </c>
      <c r="T477" s="43">
        <f>表格1[[#This Row],[Unit Price]]/表格1[[#This Row],[SRP]]</f>
        <v>0.80060120240480959</v>
      </c>
      <c r="U477" s="86" t="str">
        <f>_xlfn.XLOOKUP(表格1[[#This Row],[Model]],表格3[Model-Input-Ref2],表格3[TOSHIBA/HIGHEST])</f>
        <v>Toshiba SRP</v>
      </c>
      <c r="V477" s="86">
        <v>110</v>
      </c>
      <c r="W477" s="86" t="str">
        <f>_xlfn.CONCAT(表格1[[#This Row],[欄4]],表格1[[#This Row],[inv no]])</f>
        <v>110442438</v>
      </c>
    </row>
    <row r="478" spans="1:23" ht="16.5" hidden="1">
      <c r="A478" s="81">
        <v>476</v>
      </c>
      <c r="B478" s="81" t="s">
        <v>1260</v>
      </c>
      <c r="C478" s="81" t="s">
        <v>1293</v>
      </c>
      <c r="D478" s="82" t="str">
        <f ca="1">OFFSET(Roster!$A$3,MATCH(表格1[[#This Row],[Location]]&amp;" "&amp;表格1[[#This Row],[Shop]]&amp;"*",Roster!$A$4:$A$72,0),DAY(表格1[[#This Row],[date]]),1,1)</f>
        <v>Mandy</v>
      </c>
      <c r="E478" s="81">
        <f>MONTH(表格1[[#This Row],[date]])</f>
        <v>3</v>
      </c>
      <c r="F478" s="101">
        <v>46093</v>
      </c>
      <c r="G478" s="81" t="str">
        <f>VLOOKUP("*"&amp;表格1[[#This Row],[Input]]&amp;"*",'Ref-List'!$B:$D,2,)</f>
        <v>RC-10JRUH(N)</v>
      </c>
      <c r="H478" s="81" t="str">
        <f>_xlfn.XLOOKUP(表格1[[#This Row],[Model]],表格3[Model-Input-Ref2],表格3[Product Line])</f>
        <v>電飯煲</v>
      </c>
      <c r="I478" s="81" t="str">
        <f>_xlfn.XLOOKUP(表格1[[#This Row],[Model]],表格3[Model-Input-Ref2],表格3[大小電])</f>
        <v>細電</v>
      </c>
      <c r="J478" s="81" t="str">
        <f>_xlfn.XLOOKUP(表格1[[#This Row],[Model]],表格3[Model-Input-Ref2],表格3[Code])</f>
        <v>SDA</v>
      </c>
      <c r="K478" s="82" t="s">
        <v>1263</v>
      </c>
      <c r="L478" s="81">
        <v>1</v>
      </c>
      <c r="M478" s="85">
        <v>250</v>
      </c>
      <c r="N478" s="85">
        <f>IFERROR(表格1[[#This Row],[QTY]]*表格1[[#This Row],[Unit Price]],"-")</f>
        <v>250</v>
      </c>
      <c r="O478" s="169">
        <v>442448</v>
      </c>
      <c r="P478" s="137"/>
      <c r="Q478" s="81"/>
      <c r="R478" s="81" t="str">
        <f>_xlfn.CONCAT(表格1[[#This Row],[Model]]," ",表格1[[#This Row],[inv no]])</f>
        <v>RC-10JRUH(N) 442448</v>
      </c>
      <c r="S478" s="135">
        <f>_xlfn.XLOOKUP(表格1[[#This Row],[Model]],表格3[Model-Input-Ref2],表格3[SRP PRICE])</f>
        <v>398</v>
      </c>
      <c r="T478" s="43">
        <f>表格1[[#This Row],[Unit Price]]/表格1[[#This Row],[SRP]]</f>
        <v>0.62814070351758799</v>
      </c>
      <c r="U478" s="86" t="str">
        <f>_xlfn.XLOOKUP(表格1[[#This Row],[Model]],表格3[Model-Input-Ref2],表格3[TOSHIBA/HIGHEST])</f>
        <v>Shops Highest Price</v>
      </c>
      <c r="V478" s="86">
        <v>110</v>
      </c>
      <c r="W478" s="86" t="str">
        <f>_xlfn.CONCAT(表格1[[#This Row],[欄4]],表格1[[#This Row],[inv no]])</f>
        <v>110442448</v>
      </c>
    </row>
    <row r="479" spans="1:23" hidden="1">
      <c r="A479" s="81">
        <v>477</v>
      </c>
      <c r="B479" s="81" t="s">
        <v>1260</v>
      </c>
      <c r="C479" s="81" t="s">
        <v>1293</v>
      </c>
      <c r="D479" s="82" t="str">
        <f ca="1">OFFSET(Roster!$A$3,MATCH(表格1[[#This Row],[Location]]&amp;" "&amp;表格1[[#This Row],[Shop]]&amp;"*",Roster!$A$4:$A$72,0),DAY(表格1[[#This Row],[date]]),1,1)</f>
        <v>Mandy</v>
      </c>
      <c r="E479" s="81">
        <f>MONTH(表格1[[#This Row],[date]])</f>
        <v>3</v>
      </c>
      <c r="F479" s="101">
        <v>46093</v>
      </c>
      <c r="G479" s="81" t="str">
        <f>VLOOKUP("*"&amp;表格1[[#This Row],[Input]]&amp;"*",'Ref-List'!$B:$D,2,)</f>
        <v>KT-17SHNH</v>
      </c>
      <c r="H479" s="81" t="str">
        <f>_xlfn.XLOOKUP(表格1[[#This Row],[Model]],表格3[Model-Input-Ref2],表格3[Product Line])</f>
        <v>1.7L無線雙層電熱水壺</v>
      </c>
      <c r="I479" s="81" t="str">
        <f>_xlfn.XLOOKUP(表格1[[#This Row],[Model]],表格3[Model-Input-Ref2],表格3[大小電])</f>
        <v>細電</v>
      </c>
      <c r="J479" s="81" t="str">
        <f>_xlfn.XLOOKUP(表格1[[#This Row],[Model]],表格3[Model-Input-Ref2],表格3[Code])</f>
        <v>SDA</v>
      </c>
      <c r="K479" s="82" t="s">
        <v>1283</v>
      </c>
      <c r="L479" s="81">
        <v>1</v>
      </c>
      <c r="M479" s="85">
        <v>228</v>
      </c>
      <c r="N479" s="85">
        <f>IFERROR(表格1[[#This Row],[QTY]]*表格1[[#This Row],[Unit Price]],"-")</f>
        <v>228</v>
      </c>
      <c r="O479" s="169">
        <v>442441</v>
      </c>
      <c r="P479" s="81"/>
      <c r="Q479" s="81"/>
      <c r="R479" s="81" t="str">
        <f>_xlfn.CONCAT(表格1[[#This Row],[Model]]," ",表格1[[#This Row],[inv no]])</f>
        <v>KT-17SHNH 442441</v>
      </c>
      <c r="S479" s="135">
        <f>_xlfn.XLOOKUP(表格1[[#This Row],[Model]],表格3[Model-Input-Ref2],表格3[SRP PRICE])</f>
        <v>299</v>
      </c>
      <c r="T479" s="43">
        <f>表格1[[#This Row],[Unit Price]]/表格1[[#This Row],[SRP]]</f>
        <v>0.76254180602006694</v>
      </c>
      <c r="U479" s="86" t="str">
        <f>_xlfn.XLOOKUP(表格1[[#This Row],[Model]],表格3[Model-Input-Ref2],表格3[TOSHIBA/HIGHEST])</f>
        <v>Shops Highest Price</v>
      </c>
      <c r="V479" s="86">
        <v>110</v>
      </c>
      <c r="W479" s="86" t="str">
        <f>_xlfn.CONCAT(表格1[[#This Row],[欄4]],表格1[[#This Row],[inv no]])</f>
        <v>110442441</v>
      </c>
    </row>
    <row r="480" spans="1:23" hidden="1">
      <c r="A480" s="81">
        <v>478</v>
      </c>
      <c r="B480" s="81" t="s">
        <v>1260</v>
      </c>
      <c r="C480" s="81" t="s">
        <v>1293</v>
      </c>
      <c r="D480" s="82" t="str">
        <f ca="1">OFFSET(Roster!$A$3,MATCH(表格1[[#This Row],[Location]]&amp;" "&amp;表格1[[#This Row],[Shop]]&amp;"*",Roster!$A$4:$A$72,0),DAY(表格1[[#This Row],[date]]),1,1)</f>
        <v>Mandy</v>
      </c>
      <c r="E480" s="81">
        <f>MONTH(表格1[[#This Row],[date]])</f>
        <v>3</v>
      </c>
      <c r="F480" s="101">
        <v>46093</v>
      </c>
      <c r="G480" s="81" t="str">
        <f>VLOOKUP("*"&amp;表格1[[#This Row],[Input]]&amp;"*",'Ref-List'!$B:$D,2,)</f>
        <v>IC-20R1THK</v>
      </c>
      <c r="H480" s="81" t="str">
        <f>_xlfn.XLOOKUP(表格1[[#This Row],[Model]],表格3[Model-Input-Ref2],表格3[Product Line])</f>
        <v>輕便式電磁爐</v>
      </c>
      <c r="I480" s="81" t="str">
        <f>_xlfn.XLOOKUP(表格1[[#This Row],[Model]],表格3[Model-Input-Ref2],表格3[大小電])</f>
        <v>細電</v>
      </c>
      <c r="J480" s="81" t="str">
        <f>_xlfn.XLOOKUP(表格1[[#This Row],[Model]],表格3[Model-Input-Ref2],表格3[Code])</f>
        <v>SDA</v>
      </c>
      <c r="K480" s="82" t="s">
        <v>1243</v>
      </c>
      <c r="L480" s="81">
        <v>1</v>
      </c>
      <c r="M480" s="85">
        <v>298</v>
      </c>
      <c r="N480" s="85">
        <f>IFERROR(表格1[[#This Row],[QTY]]*表格1[[#This Row],[Unit Price]],"-")</f>
        <v>298</v>
      </c>
      <c r="O480" s="169">
        <v>442453</v>
      </c>
      <c r="P480" s="81"/>
      <c r="Q480" s="81"/>
      <c r="R480" s="81" t="str">
        <f>_xlfn.CONCAT(表格1[[#This Row],[Model]]," ",表格1[[#This Row],[inv no]])</f>
        <v>IC-20R1THK 442453</v>
      </c>
      <c r="S480" s="135">
        <f>_xlfn.XLOOKUP(表格1[[#This Row],[Model]],表格3[Model-Input-Ref2],表格3[SRP PRICE])</f>
        <v>438</v>
      </c>
      <c r="T480" s="43">
        <f>表格1[[#This Row],[Unit Price]]/表格1[[#This Row],[SRP]]</f>
        <v>0.68036529680365299</v>
      </c>
      <c r="U480" s="86" t="str">
        <f>_xlfn.XLOOKUP(表格1[[#This Row],[Model]],表格3[Model-Input-Ref2],表格3[TOSHIBA/HIGHEST])</f>
        <v>Shops Highest Price</v>
      </c>
      <c r="V480" s="86">
        <v>110</v>
      </c>
      <c r="W480" s="86" t="str">
        <f>_xlfn.CONCAT(表格1[[#This Row],[欄4]],表格1[[#This Row],[inv no]])</f>
        <v>110442453</v>
      </c>
    </row>
    <row r="481" spans="1:23" hidden="1">
      <c r="A481" s="81">
        <v>479</v>
      </c>
      <c r="B481" s="81" t="s">
        <v>1260</v>
      </c>
      <c r="C481" s="81" t="s">
        <v>1291</v>
      </c>
      <c r="D481" s="82" t="str">
        <f ca="1">OFFSET(Roster!$A$3,MATCH(表格1[[#This Row],[Location]]&amp;" "&amp;表格1[[#This Row],[Shop]]&amp;"*",Roster!$A$4:$A$72,0),DAY(表格1[[#This Row],[date]]),1,1)</f>
        <v>Wendy Wong_1</v>
      </c>
      <c r="E481" s="81">
        <f>MONTH(表格1[[#This Row],[date]])</f>
        <v>3</v>
      </c>
      <c r="F481" s="101">
        <v>46084</v>
      </c>
      <c r="G481" s="81" t="str">
        <f>VLOOKUP("*"&amp;表格1[[#This Row],[Input]]&amp;"*",'Ref-List'!$B:$D,2,)</f>
        <v>RC-5MMIH(WT)</v>
      </c>
      <c r="H481" s="81" t="str">
        <f>_xlfn.XLOOKUP(表格1[[#This Row],[Model]],表格3[Model-Input-Ref2],表格3[Product Line])</f>
        <v>4毫米厚釜電飯煲0.54L</v>
      </c>
      <c r="I481" s="81" t="str">
        <f>_xlfn.XLOOKUP(表格1[[#This Row],[Model]],表格3[Model-Input-Ref2],表格3[大小電])</f>
        <v>細電</v>
      </c>
      <c r="J481" s="81" t="str">
        <f>_xlfn.XLOOKUP(表格1[[#This Row],[Model]],表格3[Model-Input-Ref2],表格3[Code])</f>
        <v>SDA</v>
      </c>
      <c r="K481" s="82" t="s">
        <v>1195</v>
      </c>
      <c r="L481" s="81">
        <v>1</v>
      </c>
      <c r="M481" s="85">
        <v>556</v>
      </c>
      <c r="N481" s="85">
        <f>IFERROR(表格1[[#This Row],[QTY]]*表格1[[#This Row],[Unit Price]],"-")</f>
        <v>556</v>
      </c>
      <c r="O481" s="134">
        <v>438933</v>
      </c>
      <c r="P481" s="81"/>
      <c r="Q481" s="81"/>
      <c r="R481" s="81" t="str">
        <f>_xlfn.CONCAT(表格1[[#This Row],[Model]]," ",表格1[[#This Row],[inv no]])</f>
        <v>RC-5MMIH(WT) 438933</v>
      </c>
      <c r="S481" s="135">
        <f>_xlfn.XLOOKUP(表格1[[#This Row],[Model]],表格3[Model-Input-Ref2],表格3[SRP PRICE])</f>
        <v>618</v>
      </c>
      <c r="T481" s="43">
        <f>表格1[[#This Row],[Unit Price]]/表格1[[#This Row],[SRP]]</f>
        <v>0.89967637540453071</v>
      </c>
      <c r="U481" s="86" t="str">
        <f>_xlfn.XLOOKUP(表格1[[#This Row],[Model]],表格3[Model-Input-Ref2],表格3[TOSHIBA/HIGHEST])</f>
        <v>Toshiba SRP</v>
      </c>
      <c r="V481" s="86">
        <v>110</v>
      </c>
      <c r="W481" s="86" t="str">
        <f>_xlfn.CONCAT(表格1[[#This Row],[欄4]],表格1[[#This Row],[inv no]])</f>
        <v>110438933</v>
      </c>
    </row>
    <row r="482" spans="1:23" hidden="1">
      <c r="A482" s="81">
        <v>480</v>
      </c>
      <c r="B482" s="81" t="s">
        <v>1260</v>
      </c>
      <c r="C482" s="81" t="s">
        <v>1291</v>
      </c>
      <c r="D482" s="82" t="str">
        <f ca="1">OFFSET(Roster!$A$3,MATCH(表格1[[#This Row],[Location]]&amp;" "&amp;表格1[[#This Row],[Shop]]&amp;"*",Roster!$A$4:$A$72,0),DAY(表格1[[#This Row],[date]]),1,1)</f>
        <v>Wendy Wong_1</v>
      </c>
      <c r="E482" s="81">
        <f>MONTH(表格1[[#This Row],[date]])</f>
        <v>3</v>
      </c>
      <c r="F482" s="101">
        <v>46084</v>
      </c>
      <c r="G482" s="81" t="str">
        <f>VLOOKUP("*"&amp;表格1[[#This Row],[Input]]&amp;"*",'Ref-List'!$B:$D,2,)</f>
        <v>IC-S19RH</v>
      </c>
      <c r="H482" s="81" t="str">
        <f>_xlfn.XLOOKUP(表格1[[#This Row],[Model]],表格3[Model-Input-Ref2],表格3[Product Line])</f>
        <v>輕便式電磁爐7個功能</v>
      </c>
      <c r="I482" s="81" t="str">
        <f>_xlfn.XLOOKUP(表格1[[#This Row],[Model]],表格3[Model-Input-Ref2],表格3[大小電])</f>
        <v>細電</v>
      </c>
      <c r="J482" s="81" t="str">
        <f>_xlfn.XLOOKUP(表格1[[#This Row],[Model]],表格3[Model-Input-Ref2],表格3[Code])</f>
        <v>SDA</v>
      </c>
      <c r="K482" s="82" t="s">
        <v>1289</v>
      </c>
      <c r="L482" s="81">
        <v>1</v>
      </c>
      <c r="M482" s="85">
        <v>418</v>
      </c>
      <c r="N482" s="85">
        <f>IFERROR(表格1[[#This Row],[QTY]]*表格1[[#This Row],[Unit Price]],"-")</f>
        <v>418</v>
      </c>
      <c r="O482" s="134">
        <v>439022</v>
      </c>
      <c r="P482" s="81"/>
      <c r="Q482" s="81"/>
      <c r="R482" s="81" t="str">
        <f>_xlfn.CONCAT(表格1[[#This Row],[Model]]," ",表格1[[#This Row],[inv no]])</f>
        <v>IC-S19RH 439022</v>
      </c>
      <c r="S482" s="135">
        <f>_xlfn.XLOOKUP(表格1[[#This Row],[Model]],表格3[Model-Input-Ref2],表格3[SRP PRICE])</f>
        <v>638</v>
      </c>
      <c r="T482" s="43">
        <f>表格1[[#This Row],[Unit Price]]/表格1[[#This Row],[SRP]]</f>
        <v>0.65517241379310343</v>
      </c>
      <c r="U482" s="86" t="str">
        <f>_xlfn.XLOOKUP(表格1[[#This Row],[Model]],表格3[Model-Input-Ref2],表格3[TOSHIBA/HIGHEST])</f>
        <v>Toshiba SRP</v>
      </c>
      <c r="V482" s="86">
        <v>110</v>
      </c>
      <c r="W482" s="86" t="str">
        <f>_xlfn.CONCAT(表格1[[#This Row],[欄4]],表格1[[#This Row],[inv no]])</f>
        <v>110439022</v>
      </c>
    </row>
    <row r="483" spans="1:23" hidden="1">
      <c r="A483" s="81">
        <v>481</v>
      </c>
      <c r="B483" s="81" t="s">
        <v>1260</v>
      </c>
      <c r="C483" s="81" t="s">
        <v>1291</v>
      </c>
      <c r="D483" s="82" t="str">
        <f ca="1">OFFSET(Roster!$A$3,MATCH(表格1[[#This Row],[Location]]&amp;" "&amp;表格1[[#This Row],[Shop]]&amp;"*",Roster!$A$4:$A$72,0),DAY(表格1[[#This Row],[date]]),1,1)</f>
        <v>Wendy Wong_1</v>
      </c>
      <c r="E483" s="81">
        <f>MONTH(表格1[[#This Row],[date]])</f>
        <v>3</v>
      </c>
      <c r="F483" s="101">
        <v>46084</v>
      </c>
      <c r="G483" s="81" t="str">
        <f>VLOOKUP("*"&amp;表格1[[#This Row],[Input]]&amp;"*",'Ref-List'!$B:$D,2,)</f>
        <v>RC-10ISSHK(W)</v>
      </c>
      <c r="H483" s="81" t="str">
        <f>_xlfn.XLOOKUP(表格1[[#This Row],[Model]],表格3[Model-Input-Ref2],表格3[Product Line])</f>
        <v>磁應電飯煲(1公升)</v>
      </c>
      <c r="I483" s="81" t="str">
        <f>_xlfn.XLOOKUP(表格1[[#This Row],[Model]],表格3[Model-Input-Ref2],表格3[大小電])</f>
        <v>細電</v>
      </c>
      <c r="J483" s="81" t="str">
        <f>_xlfn.XLOOKUP(表格1[[#This Row],[Model]],表格3[Model-Input-Ref2],表格3[Code])</f>
        <v>SDA</v>
      </c>
      <c r="K483" s="82" t="s">
        <v>1286</v>
      </c>
      <c r="L483" s="81">
        <v>1</v>
      </c>
      <c r="M483" s="85">
        <v>898</v>
      </c>
      <c r="N483" s="85">
        <f>IFERROR(表格1[[#This Row],[QTY]]*表格1[[#This Row],[Unit Price]],"-")</f>
        <v>898</v>
      </c>
      <c r="O483" s="134">
        <v>438971</v>
      </c>
      <c r="P483" s="81"/>
      <c r="Q483" s="81"/>
      <c r="R483" s="81" t="str">
        <f>_xlfn.CONCAT(表格1[[#This Row],[Model]]," ",表格1[[#This Row],[inv no]])</f>
        <v>RC-10ISSHK(W) 438971</v>
      </c>
      <c r="S483" s="135">
        <f>_xlfn.XLOOKUP(表格1[[#This Row],[Model]],表格3[Model-Input-Ref2],表格3[SRP PRICE])</f>
        <v>1188</v>
      </c>
      <c r="T483" s="43">
        <f>表格1[[#This Row],[Unit Price]]/表格1[[#This Row],[SRP]]</f>
        <v>0.75589225589225584</v>
      </c>
      <c r="U483" s="86" t="str">
        <f>_xlfn.XLOOKUP(表格1[[#This Row],[Model]],表格3[Model-Input-Ref2],表格3[TOSHIBA/HIGHEST])</f>
        <v>Shops Highest Price</v>
      </c>
      <c r="V483" s="86">
        <v>110</v>
      </c>
      <c r="W483" s="86" t="str">
        <f>_xlfn.CONCAT(表格1[[#This Row],[欄4]],表格1[[#This Row],[inv no]])</f>
        <v>110438971</v>
      </c>
    </row>
    <row r="484" spans="1:23" hidden="1">
      <c r="A484" s="81">
        <v>482</v>
      </c>
      <c r="B484" s="81" t="s">
        <v>1260</v>
      </c>
      <c r="C484" s="81" t="s">
        <v>1291</v>
      </c>
      <c r="D484" s="82" t="str">
        <f ca="1">OFFSET(Roster!$A$3,MATCH(表格1[[#This Row],[Location]]&amp;" "&amp;表格1[[#This Row],[Shop]]&amp;"*",Roster!$A$4:$A$72,0),DAY(表格1[[#This Row],[date]]),1,1)</f>
        <v>Wendy Wong_1</v>
      </c>
      <c r="E484" s="81">
        <f>MONTH(表格1[[#This Row],[date]])</f>
        <v>3</v>
      </c>
      <c r="F484" s="101">
        <v>46084</v>
      </c>
      <c r="G484" s="81" t="str">
        <f>VLOOKUP("*"&amp;表格1[[#This Row],[Input]]&amp;"*",'Ref-List'!$B:$D,2,)</f>
        <v>RC-5SLIH(W)</v>
      </c>
      <c r="H484" s="81" t="str">
        <f>_xlfn.XLOOKUP(表格1[[#This Row],[Model]],表格3[Model-Input-Ref2],表格3[Product Line])</f>
        <v>微型電腦珍珠飯煲</v>
      </c>
      <c r="I484" s="81" t="str">
        <f>_xlfn.XLOOKUP(表格1[[#This Row],[Model]],表格3[Model-Input-Ref2],表格3[大小電])</f>
        <v>細電</v>
      </c>
      <c r="J484" s="81" t="str">
        <f>_xlfn.XLOOKUP(表格1[[#This Row],[Model]],表格3[Model-Input-Ref2],表格3[Code])</f>
        <v>SDA</v>
      </c>
      <c r="K484" s="82" t="s">
        <v>1264</v>
      </c>
      <c r="L484" s="81">
        <v>1</v>
      </c>
      <c r="M484" s="85">
        <v>592</v>
      </c>
      <c r="N484" s="85">
        <f>IFERROR(表格1[[#This Row],[QTY]]*表格1[[#This Row],[Unit Price]],"-")</f>
        <v>592</v>
      </c>
      <c r="O484" s="134">
        <v>439029</v>
      </c>
      <c r="P484" s="81"/>
      <c r="Q484" s="81"/>
      <c r="R484" s="81" t="str">
        <f>_xlfn.CONCAT(表格1[[#This Row],[Model]]," ",表格1[[#This Row],[inv no]])</f>
        <v>RC-5SLIH(W) 439029</v>
      </c>
      <c r="S484" s="135">
        <f>_xlfn.XLOOKUP(表格1[[#This Row],[Model]],表格3[Model-Input-Ref2],表格3[SRP PRICE])</f>
        <v>658</v>
      </c>
      <c r="T484" s="43">
        <f>表格1[[#This Row],[Unit Price]]/表格1[[#This Row],[SRP]]</f>
        <v>0.89969604863221886</v>
      </c>
      <c r="U484" s="86" t="str">
        <f>_xlfn.XLOOKUP(表格1[[#This Row],[Model]],表格3[Model-Input-Ref2],表格3[TOSHIBA/HIGHEST])</f>
        <v>Toshiba SRP</v>
      </c>
      <c r="V484" s="86">
        <v>110</v>
      </c>
      <c r="W484" s="86" t="str">
        <f>_xlfn.CONCAT(表格1[[#This Row],[欄4]],表格1[[#This Row],[inv no]])</f>
        <v>110439029</v>
      </c>
    </row>
    <row r="485" spans="1:23" hidden="1">
      <c r="A485" s="81">
        <v>483</v>
      </c>
      <c r="B485" s="81" t="s">
        <v>1260</v>
      </c>
      <c r="C485" s="81" t="s">
        <v>1291</v>
      </c>
      <c r="D485" s="82" t="str">
        <f ca="1">OFFSET(Roster!$A$3,MATCH(表格1[[#This Row],[Location]]&amp;" "&amp;表格1[[#This Row],[Shop]]&amp;"*",Roster!$A$4:$A$72,0),DAY(表格1[[#This Row],[date]]),1,1)</f>
        <v>Wendy Wong_1</v>
      </c>
      <c r="E485" s="81">
        <f>MONTH(表格1[[#This Row],[date]])</f>
        <v>3</v>
      </c>
      <c r="F485" s="101">
        <v>46084</v>
      </c>
      <c r="G485" s="81" t="str">
        <f>VLOOKUP("*"&amp;表格1[[#This Row],[Input]]&amp;"*",'Ref-List'!$B:$D,2,)</f>
        <v>RAD-D300H</v>
      </c>
      <c r="H485" s="81" t="str">
        <f>_xlfn.XLOOKUP(表格1[[#This Row],[Model]],表格3[Model-Input-Ref2],表格3[Product Line])</f>
        <v>壓縮式抽濕機 (30公升)</v>
      </c>
      <c r="I485" s="81" t="str">
        <f>_xlfn.XLOOKUP(表格1[[#This Row],[Model]],表格3[Model-Input-Ref2],表格3[大小電])</f>
        <v>細電</v>
      </c>
      <c r="J485" s="81" t="str">
        <f>_xlfn.XLOOKUP(表格1[[#This Row],[Model]],表格3[Model-Input-Ref2],表格3[Code])</f>
        <v>RAC</v>
      </c>
      <c r="K485" s="82" t="s">
        <v>1252</v>
      </c>
      <c r="L485" s="81">
        <v>1</v>
      </c>
      <c r="M485" s="85">
        <v>2280</v>
      </c>
      <c r="N485" s="85">
        <f>IFERROR(表格1[[#This Row],[QTY]]*表格1[[#This Row],[Unit Price]],"-")</f>
        <v>2280</v>
      </c>
      <c r="O485" s="134">
        <v>155635</v>
      </c>
      <c r="P485" s="81"/>
      <c r="Q485" s="81"/>
      <c r="R485" s="81" t="str">
        <f>_xlfn.CONCAT(表格1[[#This Row],[Model]]," ",表格1[[#This Row],[inv no]])</f>
        <v>RAD-D300H 155635</v>
      </c>
      <c r="S485" s="135">
        <f>_xlfn.XLOOKUP(表格1[[#This Row],[Model]],表格3[Model-Input-Ref2],表格3[SRP PRICE])</f>
        <v>3380</v>
      </c>
      <c r="T485" s="43">
        <f>表格1[[#This Row],[Unit Price]]/表格1[[#This Row],[SRP]]</f>
        <v>0.67455621301775148</v>
      </c>
      <c r="U485" s="86" t="str">
        <f>_xlfn.XLOOKUP(表格1[[#This Row],[Model]],表格3[Model-Input-Ref2],表格3[TOSHIBA/HIGHEST])</f>
        <v>Shops Highest Price</v>
      </c>
      <c r="V485" s="86">
        <v>110</v>
      </c>
      <c r="W485" s="86" t="str">
        <f>_xlfn.CONCAT(表格1[[#This Row],[欄4]],表格1[[#This Row],[inv no]])</f>
        <v>110155635</v>
      </c>
    </row>
    <row r="486" spans="1:23" hidden="1">
      <c r="A486" s="81">
        <v>484</v>
      </c>
      <c r="B486" s="81" t="s">
        <v>1260</v>
      </c>
      <c r="C486" s="81" t="s">
        <v>1291</v>
      </c>
      <c r="D486" s="82" t="str">
        <f ca="1">OFFSET(Roster!$A$3,MATCH(表格1[[#This Row],[Location]]&amp;" "&amp;表格1[[#This Row],[Shop]]&amp;"*",Roster!$A$4:$A$72,0),DAY(表格1[[#This Row],[date]]),1,1)</f>
        <v>Wendy Wong_1</v>
      </c>
      <c r="E486" s="81">
        <f>MONTH(表格1[[#This Row],[date]])</f>
        <v>3</v>
      </c>
      <c r="F486" s="101">
        <v>46084</v>
      </c>
      <c r="G486" s="81" t="str">
        <f>VLOOKUP("*"&amp;表格1[[#This Row],[Input]]&amp;"*",'Ref-List'!$B:$D,2,)</f>
        <v>RC-5MMIH(WT)</v>
      </c>
      <c r="H486" s="81" t="str">
        <f>_xlfn.XLOOKUP(表格1[[#This Row],[Model]],表格3[Model-Input-Ref2],表格3[Product Line])</f>
        <v>4毫米厚釜電飯煲0.54L</v>
      </c>
      <c r="I486" s="81" t="str">
        <f>_xlfn.XLOOKUP(表格1[[#This Row],[Model]],表格3[Model-Input-Ref2],表格3[大小電])</f>
        <v>細電</v>
      </c>
      <c r="J486" s="81" t="str">
        <f>_xlfn.XLOOKUP(表格1[[#This Row],[Model]],表格3[Model-Input-Ref2],表格3[Code])</f>
        <v>SDA</v>
      </c>
      <c r="K486" s="82" t="s">
        <v>1195</v>
      </c>
      <c r="L486" s="81">
        <v>1</v>
      </c>
      <c r="M486" s="85">
        <v>556</v>
      </c>
      <c r="N486" s="85">
        <f>IFERROR(表格1[[#This Row],[QTY]]*表格1[[#This Row],[Unit Price]],"-")</f>
        <v>556</v>
      </c>
      <c r="O486" s="134">
        <v>439053</v>
      </c>
      <c r="P486" s="81"/>
      <c r="Q486" s="81"/>
      <c r="R486" s="81" t="str">
        <f>_xlfn.CONCAT(表格1[[#This Row],[Model]]," ",表格1[[#This Row],[inv no]])</f>
        <v>RC-5MMIH(WT) 439053</v>
      </c>
      <c r="S486" s="135">
        <f>_xlfn.XLOOKUP(表格1[[#This Row],[Model]],表格3[Model-Input-Ref2],表格3[SRP PRICE])</f>
        <v>618</v>
      </c>
      <c r="T486" s="43">
        <f>表格1[[#This Row],[Unit Price]]/表格1[[#This Row],[SRP]]</f>
        <v>0.89967637540453071</v>
      </c>
      <c r="U486" s="86" t="str">
        <f>_xlfn.XLOOKUP(表格1[[#This Row],[Model]],表格3[Model-Input-Ref2],表格3[TOSHIBA/HIGHEST])</f>
        <v>Toshiba SRP</v>
      </c>
      <c r="V486" s="86">
        <v>110</v>
      </c>
      <c r="W486" s="86" t="str">
        <f>_xlfn.CONCAT(表格1[[#This Row],[欄4]],表格1[[#This Row],[inv no]])</f>
        <v>110439053</v>
      </c>
    </row>
    <row r="487" spans="1:23" ht="16.5" hidden="1">
      <c r="A487" s="81">
        <v>485</v>
      </c>
      <c r="B487" s="81" t="s">
        <v>1260</v>
      </c>
      <c r="C487" s="81" t="s">
        <v>1291</v>
      </c>
      <c r="D487" s="82" t="str">
        <f ca="1">OFFSET(Roster!$A$3,MATCH(表格1[[#This Row],[Location]]&amp;" "&amp;表格1[[#This Row],[Shop]]&amp;"*",Roster!$A$4:$A$72,0),DAY(表格1[[#This Row],[date]]),1,1)</f>
        <v>Wendy Wong_1</v>
      </c>
      <c r="E487" s="81">
        <f>MONTH(表格1[[#This Row],[date]])</f>
        <v>3</v>
      </c>
      <c r="F487" s="101">
        <v>46085</v>
      </c>
      <c r="G487" s="81" t="str">
        <f>VLOOKUP("*"&amp;表格1[[#This Row],[Input]]&amp;"*",'Ref-List'!$B:$D,2,)</f>
        <v>KT-17SHNH</v>
      </c>
      <c r="H487" s="81" t="str">
        <f>_xlfn.XLOOKUP(表格1[[#This Row],[Model]],表格3[Model-Input-Ref2],表格3[Product Line])</f>
        <v>1.7L無線雙層電熱水壺</v>
      </c>
      <c r="I487" s="81" t="str">
        <f>_xlfn.XLOOKUP(表格1[[#This Row],[Model]],表格3[Model-Input-Ref2],表格3[大小電])</f>
        <v>細電</v>
      </c>
      <c r="J487" s="81" t="str">
        <f>_xlfn.XLOOKUP(表格1[[#This Row],[Model]],表格3[Model-Input-Ref2],表格3[Code])</f>
        <v>SDA</v>
      </c>
      <c r="K487" s="82" t="s">
        <v>1283</v>
      </c>
      <c r="L487" s="81">
        <v>1</v>
      </c>
      <c r="M487" s="85">
        <v>228</v>
      </c>
      <c r="N487" s="85">
        <f>IFERROR(表格1[[#This Row],[QTY]]*表格1[[#This Row],[Unit Price]],"-")</f>
        <v>228</v>
      </c>
      <c r="O487" s="134">
        <v>439226</v>
      </c>
      <c r="P487" s="137"/>
      <c r="Q487" s="81"/>
      <c r="R487" s="81" t="str">
        <f>_xlfn.CONCAT(表格1[[#This Row],[Model]]," ",表格1[[#This Row],[inv no]])</f>
        <v>KT-17SHNH 439226</v>
      </c>
      <c r="S487" s="135">
        <f>_xlfn.XLOOKUP(表格1[[#This Row],[Model]],表格3[Model-Input-Ref2],表格3[SRP PRICE])</f>
        <v>299</v>
      </c>
      <c r="T487" s="43">
        <f>表格1[[#This Row],[Unit Price]]/表格1[[#This Row],[SRP]]</f>
        <v>0.76254180602006694</v>
      </c>
      <c r="U487" s="86" t="str">
        <f>_xlfn.XLOOKUP(表格1[[#This Row],[Model]],表格3[Model-Input-Ref2],表格3[TOSHIBA/HIGHEST])</f>
        <v>Shops Highest Price</v>
      </c>
      <c r="V487" s="86">
        <v>110</v>
      </c>
      <c r="W487" s="86" t="str">
        <f>_xlfn.CONCAT(表格1[[#This Row],[欄4]],表格1[[#This Row],[inv no]])</f>
        <v>110439226</v>
      </c>
    </row>
    <row r="488" spans="1:23" hidden="1">
      <c r="A488" s="81">
        <v>486</v>
      </c>
      <c r="B488" s="81" t="s">
        <v>1260</v>
      </c>
      <c r="C488" s="81" t="s">
        <v>1291</v>
      </c>
      <c r="D488" s="82" t="str">
        <f ca="1">OFFSET(Roster!$A$3,MATCH(表格1[[#This Row],[Location]]&amp;" "&amp;表格1[[#This Row],[Shop]]&amp;"*",Roster!$A$4:$A$72,0),DAY(表格1[[#This Row],[date]]),1,1)</f>
        <v>Wendy Wong_1</v>
      </c>
      <c r="E488" s="81">
        <f>MONTH(表格1[[#This Row],[date]])</f>
        <v>3</v>
      </c>
      <c r="F488" s="101">
        <v>46085</v>
      </c>
      <c r="G488" s="81" t="str">
        <f>VLOOKUP("*"&amp;表格1[[#This Row],[Input]]&amp;"*",'Ref-List'!$B:$D,2,)</f>
        <v>RAD-D300H</v>
      </c>
      <c r="H488" s="81" t="str">
        <f>_xlfn.XLOOKUP(表格1[[#This Row],[Model]],表格3[Model-Input-Ref2],表格3[Product Line])</f>
        <v>壓縮式抽濕機 (30公升)</v>
      </c>
      <c r="I488" s="81" t="str">
        <f>_xlfn.XLOOKUP(表格1[[#This Row],[Model]],表格3[Model-Input-Ref2],表格3[大小電])</f>
        <v>細電</v>
      </c>
      <c r="J488" s="81" t="str">
        <f>_xlfn.XLOOKUP(表格1[[#This Row],[Model]],表格3[Model-Input-Ref2],表格3[Code])</f>
        <v>RAC</v>
      </c>
      <c r="K488" s="82" t="s">
        <v>1252</v>
      </c>
      <c r="L488" s="81">
        <v>1</v>
      </c>
      <c r="M488" s="85">
        <v>2280</v>
      </c>
      <c r="N488" s="85">
        <f>IFERROR(表格1[[#This Row],[QTY]]*表格1[[#This Row],[Unit Price]],"-")</f>
        <v>2280</v>
      </c>
      <c r="O488" s="134">
        <v>155653</v>
      </c>
      <c r="P488" s="81"/>
      <c r="Q488" s="81"/>
      <c r="R488" s="81" t="str">
        <f>_xlfn.CONCAT(表格1[[#This Row],[Model]]," ",表格1[[#This Row],[inv no]])</f>
        <v>RAD-D300H 155653</v>
      </c>
      <c r="S488" s="135">
        <f>_xlfn.XLOOKUP(表格1[[#This Row],[Model]],表格3[Model-Input-Ref2],表格3[SRP PRICE])</f>
        <v>3380</v>
      </c>
      <c r="T488" s="43">
        <f>表格1[[#This Row],[Unit Price]]/表格1[[#This Row],[SRP]]</f>
        <v>0.67455621301775148</v>
      </c>
      <c r="U488" s="86" t="str">
        <f>_xlfn.XLOOKUP(表格1[[#This Row],[Model]],表格3[Model-Input-Ref2],表格3[TOSHIBA/HIGHEST])</f>
        <v>Shops Highest Price</v>
      </c>
      <c r="V488" s="86">
        <v>110</v>
      </c>
      <c r="W488" s="86" t="str">
        <f>_xlfn.CONCAT(表格1[[#This Row],[欄4]],表格1[[#This Row],[inv no]])</f>
        <v>110155653</v>
      </c>
    </row>
    <row r="489" spans="1:23" hidden="1">
      <c r="A489" s="81">
        <v>487</v>
      </c>
      <c r="B489" s="81" t="s">
        <v>1260</v>
      </c>
      <c r="C489" s="81" t="s">
        <v>1291</v>
      </c>
      <c r="D489" s="82" t="str">
        <f ca="1">OFFSET(Roster!$A$3,MATCH(表格1[[#This Row],[Location]]&amp;" "&amp;表格1[[#This Row],[Shop]]&amp;"*",Roster!$A$4:$A$72,0),DAY(表格1[[#This Row],[date]]),1,1)</f>
        <v>Wendy Wong_1</v>
      </c>
      <c r="E489" s="81">
        <f>MONTH(表格1[[#This Row],[date]])</f>
        <v>3</v>
      </c>
      <c r="F489" s="101">
        <v>46085</v>
      </c>
      <c r="G489" s="81" t="str">
        <f>VLOOKUP("*"&amp;表格1[[#This Row],[Input]]&amp;"*",'Ref-List'!$B:$D,2,)</f>
        <v>RC-10NMFIH(WT)</v>
      </c>
      <c r="H489" s="81" t="str">
        <f>_xlfn.XLOOKUP(表格1[[#This Row],[Model]],表格3[Model-Input-Ref2],表格3[Product Line])</f>
        <v>4毫米厚釜電飯煲1L</v>
      </c>
      <c r="I489" s="81" t="str">
        <f>_xlfn.XLOOKUP(表格1[[#This Row],[Model]],表格3[Model-Input-Ref2],表格3[大小電])</f>
        <v>細電</v>
      </c>
      <c r="J489" s="81" t="str">
        <f>_xlfn.XLOOKUP(表格1[[#This Row],[Model]],表格3[Model-Input-Ref2],表格3[Code])</f>
        <v>SDA</v>
      </c>
      <c r="K489" s="82" t="s">
        <v>1244</v>
      </c>
      <c r="L489" s="81">
        <v>1</v>
      </c>
      <c r="M489" s="85">
        <v>719</v>
      </c>
      <c r="N489" s="85">
        <f>IFERROR(表格1[[#This Row],[QTY]]*表格1[[#This Row],[Unit Price]],"-")</f>
        <v>719</v>
      </c>
      <c r="O489" s="134">
        <v>439312</v>
      </c>
      <c r="P489" s="81"/>
      <c r="Q489" s="81"/>
      <c r="R489" s="81" t="str">
        <f>_xlfn.CONCAT(表格1[[#This Row],[Model]]," ",表格1[[#This Row],[inv no]])</f>
        <v>RC-10NMFIH(WT) 439312</v>
      </c>
      <c r="S489" s="135">
        <f>_xlfn.XLOOKUP(表格1[[#This Row],[Model]],表格3[Model-Input-Ref2],表格3[SRP PRICE])</f>
        <v>898</v>
      </c>
      <c r="T489" s="43">
        <f>表格1[[#This Row],[Unit Price]]/表格1[[#This Row],[SRP]]</f>
        <v>0.80066815144766146</v>
      </c>
      <c r="U489" s="86" t="str">
        <f>_xlfn.XLOOKUP(表格1[[#This Row],[Model]],表格3[Model-Input-Ref2],表格3[TOSHIBA/HIGHEST])</f>
        <v>Toshiba SRP</v>
      </c>
      <c r="V489" s="86">
        <v>110</v>
      </c>
      <c r="W489" s="86" t="str">
        <f>_xlfn.CONCAT(表格1[[#This Row],[欄4]],表格1[[#This Row],[inv no]])</f>
        <v>110439312</v>
      </c>
    </row>
    <row r="490" spans="1:23" hidden="1">
      <c r="A490" s="81">
        <v>488</v>
      </c>
      <c r="B490" s="81" t="s">
        <v>1260</v>
      </c>
      <c r="C490" s="81" t="s">
        <v>1291</v>
      </c>
      <c r="D490" s="82" t="str">
        <f ca="1">OFFSET(Roster!$A$3,MATCH(表格1[[#This Row],[Location]]&amp;" "&amp;表格1[[#This Row],[Shop]]&amp;"*",Roster!$A$4:$A$72,0),DAY(表格1[[#This Row],[date]]),1,1)</f>
        <v>Wendy Wong_1</v>
      </c>
      <c r="E490" s="81">
        <f>MONTH(表格1[[#This Row],[date]])</f>
        <v>3</v>
      </c>
      <c r="F490" s="101">
        <v>46085</v>
      </c>
      <c r="G490" s="81" t="str">
        <f>VLOOKUP("*"&amp;表格1[[#This Row],[Input]]&amp;"*",'Ref-List'!$B:$D,2,)</f>
        <v>RAD-D300H</v>
      </c>
      <c r="H490" s="81" t="str">
        <f>_xlfn.XLOOKUP(表格1[[#This Row],[Model]],表格3[Model-Input-Ref2],表格3[Product Line])</f>
        <v>壓縮式抽濕機 (30公升)</v>
      </c>
      <c r="I490" s="81" t="str">
        <f>_xlfn.XLOOKUP(表格1[[#This Row],[Model]],表格3[Model-Input-Ref2],表格3[大小電])</f>
        <v>細電</v>
      </c>
      <c r="J490" s="81" t="str">
        <f>_xlfn.XLOOKUP(表格1[[#This Row],[Model]],表格3[Model-Input-Ref2],表格3[Code])</f>
        <v>RAC</v>
      </c>
      <c r="K490" s="82" t="s">
        <v>1252</v>
      </c>
      <c r="L490" s="81">
        <v>1</v>
      </c>
      <c r="M490" s="85">
        <v>2280</v>
      </c>
      <c r="N490" s="85">
        <f>IFERROR(表格1[[#This Row],[QTY]]*表格1[[#This Row],[Unit Price]],"-")</f>
        <v>2280</v>
      </c>
      <c r="O490" s="134">
        <v>439325</v>
      </c>
      <c r="P490" s="81"/>
      <c r="Q490" s="81"/>
      <c r="R490" s="81" t="str">
        <f>_xlfn.CONCAT(表格1[[#This Row],[Model]]," ",表格1[[#This Row],[inv no]])</f>
        <v>RAD-D300H 439325</v>
      </c>
      <c r="S490" s="135">
        <f>_xlfn.XLOOKUP(表格1[[#This Row],[Model]],表格3[Model-Input-Ref2],表格3[SRP PRICE])</f>
        <v>3380</v>
      </c>
      <c r="T490" s="43">
        <f>表格1[[#This Row],[Unit Price]]/表格1[[#This Row],[SRP]]</f>
        <v>0.67455621301775148</v>
      </c>
      <c r="U490" s="86" t="str">
        <f>_xlfn.XLOOKUP(表格1[[#This Row],[Model]],表格3[Model-Input-Ref2],表格3[TOSHIBA/HIGHEST])</f>
        <v>Shops Highest Price</v>
      </c>
      <c r="V490" s="86">
        <v>110</v>
      </c>
      <c r="W490" s="86" t="str">
        <f>_xlfn.CONCAT(表格1[[#This Row],[欄4]],表格1[[#This Row],[inv no]])</f>
        <v>110439325</v>
      </c>
    </row>
    <row r="491" spans="1:23" hidden="1">
      <c r="A491" s="81">
        <v>489</v>
      </c>
      <c r="B491" s="81" t="s">
        <v>1260</v>
      </c>
      <c r="C491" s="81" t="s">
        <v>1291</v>
      </c>
      <c r="D491" s="82" t="str">
        <f ca="1">OFFSET(Roster!$A$3,MATCH(表格1[[#This Row],[Location]]&amp;" "&amp;表格1[[#This Row],[Shop]]&amp;"*",Roster!$A$4:$A$72,0),DAY(表格1[[#This Row],[date]]),1,1)</f>
        <v>Wendy Wong_1</v>
      </c>
      <c r="E491" s="81">
        <f>MONTH(表格1[[#This Row],[date]])</f>
        <v>3</v>
      </c>
      <c r="F491" s="101">
        <v>46092</v>
      </c>
      <c r="G491" s="81" t="str">
        <f>VLOOKUP("*"&amp;表格1[[#This Row],[Input]]&amp;"*",'Ref-List'!$B:$D,2,)</f>
        <v>RC-10NMFIH(WT)</v>
      </c>
      <c r="H491" s="81" t="str">
        <f>_xlfn.XLOOKUP(表格1[[#This Row],[Model]],表格3[Model-Input-Ref2],表格3[Product Line])</f>
        <v>4毫米厚釜電飯煲1L</v>
      </c>
      <c r="I491" s="81" t="str">
        <f>_xlfn.XLOOKUP(表格1[[#This Row],[Model]],表格3[Model-Input-Ref2],表格3[大小電])</f>
        <v>細電</v>
      </c>
      <c r="J491" s="81" t="str">
        <f>_xlfn.XLOOKUP(表格1[[#This Row],[Model]],表格3[Model-Input-Ref2],表格3[Code])</f>
        <v>SDA</v>
      </c>
      <c r="K491" s="82" t="s">
        <v>1244</v>
      </c>
      <c r="L491" s="81">
        <v>1</v>
      </c>
      <c r="M491" s="85">
        <v>719</v>
      </c>
      <c r="N491" s="85">
        <f>IFERROR(表格1[[#This Row],[QTY]]*表格1[[#This Row],[Unit Price]],"-")</f>
        <v>719</v>
      </c>
      <c r="O491" s="134">
        <v>155824</v>
      </c>
      <c r="P491" s="81"/>
      <c r="Q491" s="81"/>
      <c r="R491" s="81" t="str">
        <f>_xlfn.CONCAT(表格1[[#This Row],[Model]]," ",表格1[[#This Row],[inv no]])</f>
        <v>RC-10NMFIH(WT) 155824</v>
      </c>
      <c r="S491" s="135">
        <f>_xlfn.XLOOKUP(表格1[[#This Row],[Model]],表格3[Model-Input-Ref2],表格3[SRP PRICE])</f>
        <v>898</v>
      </c>
      <c r="T491" s="43">
        <f>表格1[[#This Row],[Unit Price]]/表格1[[#This Row],[SRP]]</f>
        <v>0.80066815144766146</v>
      </c>
      <c r="U491" s="86" t="str">
        <f>_xlfn.XLOOKUP(表格1[[#This Row],[Model]],表格3[Model-Input-Ref2],表格3[TOSHIBA/HIGHEST])</f>
        <v>Toshiba SRP</v>
      </c>
      <c r="V491" s="86">
        <v>110</v>
      </c>
      <c r="W491" s="86" t="str">
        <f>_xlfn.CONCAT(表格1[[#This Row],[欄4]],表格1[[#This Row],[inv no]])</f>
        <v>110155824</v>
      </c>
    </row>
    <row r="492" spans="1:23" hidden="1">
      <c r="A492" s="81">
        <v>490</v>
      </c>
      <c r="B492" s="81" t="s">
        <v>1260</v>
      </c>
      <c r="C492" s="81" t="s">
        <v>1291</v>
      </c>
      <c r="D492" s="82" t="str">
        <f ca="1">OFFSET(Roster!$A$3,MATCH(表格1[[#This Row],[Location]]&amp;" "&amp;表格1[[#This Row],[Shop]]&amp;"*",Roster!$A$4:$A$72,0),DAY(表格1[[#This Row],[date]]),1,1)</f>
        <v>Wendy Wong_1</v>
      </c>
      <c r="E492" s="81">
        <f>MONTH(表格1[[#This Row],[date]])</f>
        <v>3</v>
      </c>
      <c r="F492" s="101">
        <v>46092</v>
      </c>
      <c r="G492" s="81" t="str">
        <f>VLOOKUP("*"&amp;表格1[[#This Row],[Input]]&amp;"*",'Ref-List'!$B:$D,2,)</f>
        <v>TL-MC35Z</v>
      </c>
      <c r="H492" s="81" t="str">
        <f>_xlfn.XLOOKUP(表格1[[#This Row],[Model]],表格3[Model-Input-Ref2],表格3[Product Line])</f>
        <v>35L多功能電焗爐</v>
      </c>
      <c r="I492" s="81" t="str">
        <f>_xlfn.XLOOKUP(表格1[[#This Row],[Model]],表格3[Model-Input-Ref2],表格3[大小電])</f>
        <v>細電</v>
      </c>
      <c r="J492" s="81" t="str">
        <f>_xlfn.XLOOKUP(表格1[[#This Row],[Model]],表格3[Model-Input-Ref2],表格3[Code])</f>
        <v>SDA</v>
      </c>
      <c r="K492" s="82" t="s">
        <v>1295</v>
      </c>
      <c r="L492" s="81">
        <v>1</v>
      </c>
      <c r="M492" s="85">
        <v>933</v>
      </c>
      <c r="N492" s="85">
        <f>IFERROR(表格1[[#This Row],[QTY]]*表格1[[#This Row],[Unit Price]],"-")</f>
        <v>933</v>
      </c>
      <c r="O492" s="134">
        <v>447748</v>
      </c>
      <c r="P492" s="81"/>
      <c r="Q492" s="81"/>
      <c r="R492" s="81" t="str">
        <f>_xlfn.CONCAT(表格1[[#This Row],[Model]]," ",表格1[[#This Row],[inv no]])</f>
        <v>TL-MC35Z 447748</v>
      </c>
      <c r="S492" s="135">
        <f>_xlfn.XLOOKUP(表格1[[#This Row],[Model]],表格3[Model-Input-Ref2],表格3[SRP PRICE])</f>
        <v>1098</v>
      </c>
      <c r="T492" s="43">
        <f>表格1[[#This Row],[Unit Price]]/表格1[[#This Row],[SRP]]</f>
        <v>0.84972677595628421</v>
      </c>
      <c r="U492" s="86" t="str">
        <f>_xlfn.XLOOKUP(表格1[[#This Row],[Model]],表格3[Model-Input-Ref2],表格3[TOSHIBA/HIGHEST])</f>
        <v>Toshiba SRP</v>
      </c>
      <c r="V492" s="86">
        <v>110</v>
      </c>
      <c r="W492" s="86" t="str">
        <f>_xlfn.CONCAT(表格1[[#This Row],[欄4]],表格1[[#This Row],[inv no]])</f>
        <v>110447748</v>
      </c>
    </row>
    <row r="493" spans="1:23" ht="16.5" hidden="1">
      <c r="A493" s="81">
        <v>491</v>
      </c>
      <c r="B493" s="81" t="s">
        <v>1260</v>
      </c>
      <c r="C493" s="81" t="s">
        <v>1291</v>
      </c>
      <c r="D493" s="82" t="str">
        <f ca="1">OFFSET(Roster!$A$3,MATCH(表格1[[#This Row],[Location]]&amp;" "&amp;表格1[[#This Row],[Shop]]&amp;"*",Roster!$A$4:$A$72,0),DAY(表格1[[#This Row],[date]]),1,1)</f>
        <v>Wendy Wong_1</v>
      </c>
      <c r="E493" s="81">
        <f>MONTH(表格1[[#This Row],[date]])</f>
        <v>3</v>
      </c>
      <c r="F493" s="101">
        <v>46094</v>
      </c>
      <c r="G493" s="81" t="str">
        <f>VLOOKUP("*"&amp;表格1[[#This Row],[Input]]&amp;"*",'Ref-List'!$B:$D,2,)</f>
        <v>RC-DR10T(R)</v>
      </c>
      <c r="H493" s="81" t="str">
        <f>_xlfn.XLOOKUP(表格1[[#This Row],[Model]],表格3[Model-Input-Ref2],表格3[Product Line])</f>
        <v>IH磁應電飯煲</v>
      </c>
      <c r="I493" s="81" t="str">
        <f>_xlfn.XLOOKUP(表格1[[#This Row],[Model]],表格3[Model-Input-Ref2],表格3[大小電])</f>
        <v>細電</v>
      </c>
      <c r="J493" s="81" t="str">
        <f>_xlfn.XLOOKUP(表格1[[#This Row],[Model]],表格3[Model-Input-Ref2],表格3[Code])</f>
        <v>SDA</v>
      </c>
      <c r="K493" s="82" t="s">
        <v>1296</v>
      </c>
      <c r="L493" s="81">
        <v>1</v>
      </c>
      <c r="M493" s="85">
        <v>2290</v>
      </c>
      <c r="N493" s="85">
        <f>IFERROR(表格1[[#This Row],[QTY]]*表格1[[#This Row],[Unit Price]],"-")</f>
        <v>2290</v>
      </c>
      <c r="O493" s="134">
        <v>155867</v>
      </c>
      <c r="P493" s="137"/>
      <c r="Q493" s="81"/>
      <c r="R493" s="81" t="str">
        <f>_xlfn.CONCAT(表格1[[#This Row],[Model]]," ",表格1[[#This Row],[inv no]])</f>
        <v>RC-DR10T(R) 155867</v>
      </c>
      <c r="S493" s="135">
        <f>_xlfn.XLOOKUP(表格1[[#This Row],[Model]],表格3[Model-Input-Ref2],表格3[SRP PRICE])</f>
        <v>3188</v>
      </c>
      <c r="T493" s="43">
        <f>表格1[[#This Row],[Unit Price]]/表格1[[#This Row],[SRP]]</f>
        <v>0.71831869510664992</v>
      </c>
      <c r="U493" s="86" t="str">
        <f>_xlfn.XLOOKUP(表格1[[#This Row],[Model]],表格3[Model-Input-Ref2],表格3[TOSHIBA/HIGHEST])</f>
        <v>Toshiba SRP</v>
      </c>
      <c r="V493" s="86">
        <v>110</v>
      </c>
      <c r="W493" s="86" t="str">
        <f>_xlfn.CONCAT(表格1[[#This Row],[欄4]],表格1[[#This Row],[inv no]])</f>
        <v>110155867</v>
      </c>
    </row>
    <row r="494" spans="1:23" hidden="1">
      <c r="A494" s="81">
        <v>492</v>
      </c>
      <c r="B494" s="81" t="s">
        <v>1260</v>
      </c>
      <c r="C494" s="81" t="s">
        <v>1291</v>
      </c>
      <c r="D494" s="82" t="str">
        <f ca="1">OFFSET(Roster!$A$3,MATCH(表格1[[#This Row],[Location]]&amp;" "&amp;表格1[[#This Row],[Shop]]&amp;"*",Roster!$A$4:$A$72,0),DAY(表格1[[#This Row],[date]]),1,1)</f>
        <v>Wendy Wong_1</v>
      </c>
      <c r="E494" s="81">
        <f>MONTH(表格1[[#This Row],[date]])</f>
        <v>3</v>
      </c>
      <c r="F494" s="101">
        <v>46094</v>
      </c>
      <c r="G494" s="81" t="str">
        <f>VLOOKUP("*"&amp;表格1[[#This Row],[Input]]&amp;"*",'Ref-List'!$B:$D,2,)</f>
        <v>MM2-EG20PC(WH)</v>
      </c>
      <c r="H494" s="81" t="str">
        <f>_xlfn.XLOOKUP(表格1[[#This Row],[Model]],表格3[Model-Input-Ref2],表格3[Product Line])</f>
        <v>輕觸式燒烤微波爐</v>
      </c>
      <c r="I494" s="81" t="str">
        <f>_xlfn.XLOOKUP(表格1[[#This Row],[Model]],表格3[Model-Input-Ref2],表格3[大小電])</f>
        <v>細電</v>
      </c>
      <c r="J494" s="81" t="str">
        <f>_xlfn.XLOOKUP(表格1[[#This Row],[Model]],表格3[Model-Input-Ref2],表格3[Code])</f>
        <v>MCA</v>
      </c>
      <c r="K494" s="82" t="s">
        <v>1273</v>
      </c>
      <c r="L494" s="81">
        <v>1</v>
      </c>
      <c r="M494" s="85">
        <v>698</v>
      </c>
      <c r="N494" s="85">
        <f>IFERROR(表格1[[#This Row],[QTY]]*表格1[[#This Row],[Unit Price]],"-")</f>
        <v>698</v>
      </c>
      <c r="O494" s="134">
        <v>442505</v>
      </c>
      <c r="P494" s="81"/>
      <c r="Q494" s="81"/>
      <c r="R494" s="81" t="str">
        <f>_xlfn.CONCAT(表格1[[#This Row],[Model]]," ",表格1[[#This Row],[inv no]])</f>
        <v>MM2-EG20PC(WH) 442505</v>
      </c>
      <c r="S494" s="135">
        <f>_xlfn.XLOOKUP(表格1[[#This Row],[Model]],表格3[Model-Input-Ref2],表格3[SRP PRICE])</f>
        <v>918</v>
      </c>
      <c r="T494" s="43">
        <f>表格1[[#This Row],[Unit Price]]/表格1[[#This Row],[SRP]]</f>
        <v>0.76034858387799564</v>
      </c>
      <c r="U494" s="86" t="str">
        <f>_xlfn.XLOOKUP(表格1[[#This Row],[Model]],表格3[Model-Input-Ref2],表格3[TOSHIBA/HIGHEST])</f>
        <v>Shops Highest Price</v>
      </c>
      <c r="V494" s="86">
        <v>110</v>
      </c>
      <c r="W494" s="86" t="str">
        <f>_xlfn.CONCAT(表格1[[#This Row],[欄4]],表格1[[#This Row],[inv no]])</f>
        <v>110442505</v>
      </c>
    </row>
    <row r="495" spans="1:23" hidden="1">
      <c r="A495" s="81">
        <v>493</v>
      </c>
      <c r="B495" s="81" t="s">
        <v>1260</v>
      </c>
      <c r="C495" s="81" t="s">
        <v>1291</v>
      </c>
      <c r="D495" s="82" t="str">
        <f ca="1">OFFSET(Roster!$A$3,MATCH(表格1[[#This Row],[Location]]&amp;" "&amp;表格1[[#This Row],[Shop]]&amp;"*",Roster!$A$4:$A$72,0),DAY(表格1[[#This Row],[date]]),1,1)</f>
        <v>Wendy Wong_1</v>
      </c>
      <c r="E495" s="81">
        <f>MONTH(表格1[[#This Row],[date]])</f>
        <v>3</v>
      </c>
      <c r="F495" s="101">
        <v>46094</v>
      </c>
      <c r="G495" s="81" t="str">
        <f>VLOOKUP("*"&amp;表格1[[#This Row],[Input]]&amp;"*",'Ref-List'!$B:$D,2,)</f>
        <v>MWP-MM20P(WH)</v>
      </c>
      <c r="H495" s="81" t="str">
        <f>_xlfn.XLOOKUP(表格1[[#This Row],[Model]],表格3[Model-Input-Ref2],表格3[Product Line])</f>
        <v>旋鈕式燒烤微波爐20L</v>
      </c>
      <c r="I495" s="81" t="str">
        <f>_xlfn.XLOOKUP(表格1[[#This Row],[Model]],表格3[Model-Input-Ref2],表格3[大小電])</f>
        <v>細電</v>
      </c>
      <c r="J495" s="81" t="str">
        <f>_xlfn.XLOOKUP(表格1[[#This Row],[Model]],表格3[Model-Input-Ref2],表格3[Code])</f>
        <v>SDA</v>
      </c>
      <c r="K495" s="82" t="s">
        <v>1270</v>
      </c>
      <c r="L495" s="81">
        <v>1</v>
      </c>
      <c r="M495" s="85">
        <v>518</v>
      </c>
      <c r="N495" s="85">
        <f>IFERROR(表格1[[#This Row],[QTY]]*表格1[[#This Row],[Unit Price]],"-")</f>
        <v>518</v>
      </c>
      <c r="O495" s="134">
        <v>442567</v>
      </c>
      <c r="P495" s="136"/>
      <c r="Q495" s="81"/>
      <c r="R495" s="81" t="str">
        <f>_xlfn.CONCAT(表格1[[#This Row],[Model]]," ",表格1[[#This Row],[inv no]])</f>
        <v>MWP-MM20P(WH) 442567</v>
      </c>
      <c r="S495" s="135">
        <f>_xlfn.XLOOKUP(表格1[[#This Row],[Model]],表格3[Model-Input-Ref2],表格3[SRP PRICE])</f>
        <v>648</v>
      </c>
      <c r="T495" s="43">
        <f>表格1[[#This Row],[Unit Price]]/表格1[[#This Row],[SRP]]</f>
        <v>0.79938271604938271</v>
      </c>
      <c r="U495" s="86" t="str">
        <f>_xlfn.XLOOKUP(表格1[[#This Row],[Model]],表格3[Model-Input-Ref2],表格3[TOSHIBA/HIGHEST])</f>
        <v>Toshiba SRP</v>
      </c>
      <c r="V495" s="86">
        <v>110</v>
      </c>
      <c r="W495" s="86" t="str">
        <f>_xlfn.CONCAT(表格1[[#This Row],[欄4]],表格1[[#This Row],[inv no]])</f>
        <v>110442567</v>
      </c>
    </row>
    <row r="496" spans="1:23" hidden="1">
      <c r="A496" s="81">
        <v>494</v>
      </c>
      <c r="B496" s="81" t="s">
        <v>1260</v>
      </c>
      <c r="C496" s="81" t="s">
        <v>1291</v>
      </c>
      <c r="D496" s="82" t="str">
        <f ca="1">OFFSET(Roster!$A$3,MATCH(表格1[[#This Row],[Location]]&amp;" "&amp;表格1[[#This Row],[Shop]]&amp;"*",Roster!$A$4:$A$72,0),DAY(表格1[[#This Row],[date]]),1,1)</f>
        <v>Wendy Wong_1</v>
      </c>
      <c r="E496" s="81">
        <f>MONTH(表格1[[#This Row],[date]])</f>
        <v>3</v>
      </c>
      <c r="F496" s="101">
        <v>46099</v>
      </c>
      <c r="G496" s="81" t="str">
        <f>VLOOKUP("*"&amp;表格1[[#This Row],[Input]]&amp;"*",'Ref-List'!$B:$D,2,)</f>
        <v>KT-17SHNH</v>
      </c>
      <c r="H496" s="81" t="str">
        <f>_xlfn.XLOOKUP(表格1[[#This Row],[Model]],表格3[Model-Input-Ref2],表格3[Product Line])</f>
        <v>1.7L無線雙層電熱水壺</v>
      </c>
      <c r="I496" s="81" t="str">
        <f>_xlfn.XLOOKUP(表格1[[#This Row],[Model]],表格3[Model-Input-Ref2],表格3[大小電])</f>
        <v>細電</v>
      </c>
      <c r="J496" s="81" t="str">
        <f>_xlfn.XLOOKUP(表格1[[#This Row],[Model]],表格3[Model-Input-Ref2],表格3[Code])</f>
        <v>SDA</v>
      </c>
      <c r="K496" s="82" t="s">
        <v>1283</v>
      </c>
      <c r="L496" s="81">
        <v>1</v>
      </c>
      <c r="M496" s="85">
        <v>228</v>
      </c>
      <c r="N496" s="85">
        <f>IFERROR(表格1[[#This Row],[QTY]]*表格1[[#This Row],[Unit Price]],"-")</f>
        <v>228</v>
      </c>
      <c r="O496" s="134">
        <v>449507</v>
      </c>
      <c r="P496" s="81"/>
      <c r="Q496" s="81"/>
      <c r="R496" s="81" t="str">
        <f>_xlfn.CONCAT(表格1[[#This Row],[Model]]," ",表格1[[#This Row],[inv no]])</f>
        <v>KT-17SHNH 449507</v>
      </c>
      <c r="S496" s="135">
        <f>_xlfn.XLOOKUP(表格1[[#This Row],[Model]],表格3[Model-Input-Ref2],表格3[SRP PRICE])</f>
        <v>299</v>
      </c>
      <c r="T496" s="43">
        <f>表格1[[#This Row],[Unit Price]]/表格1[[#This Row],[SRP]]</f>
        <v>0.76254180602006694</v>
      </c>
      <c r="U496" s="86" t="str">
        <f>_xlfn.XLOOKUP(表格1[[#This Row],[Model]],表格3[Model-Input-Ref2],表格3[TOSHIBA/HIGHEST])</f>
        <v>Shops Highest Price</v>
      </c>
      <c r="V496" s="86">
        <v>110</v>
      </c>
      <c r="W496" s="86" t="str">
        <f>_xlfn.CONCAT(表格1[[#This Row],[欄4]],表格1[[#This Row],[inv no]])</f>
        <v>110449507</v>
      </c>
    </row>
    <row r="497" spans="1:23" hidden="1">
      <c r="A497" s="81">
        <v>495</v>
      </c>
      <c r="B497" s="81" t="s">
        <v>1260</v>
      </c>
      <c r="C497" s="81" t="s">
        <v>1291</v>
      </c>
      <c r="D497" s="82" t="str">
        <f ca="1">OFFSET(Roster!$A$3,MATCH(表格1[[#This Row],[Location]]&amp;" "&amp;表格1[[#This Row],[Shop]]&amp;"*",Roster!$A$4:$A$72,0),DAY(表格1[[#This Row],[date]]),1,1)</f>
        <v>Wendy Wong_1</v>
      </c>
      <c r="E497" s="81">
        <f>MONTH(表格1[[#This Row],[date]])</f>
        <v>3</v>
      </c>
      <c r="F497" s="101">
        <v>46099</v>
      </c>
      <c r="G497" s="81" t="str">
        <f>VLOOKUP("*"&amp;表格1[[#This Row],[Input]]&amp;"*",'Ref-List'!$B:$D,2,)</f>
        <v>RC-10NMFIH(WT)</v>
      </c>
      <c r="H497" s="81" t="str">
        <f>_xlfn.XLOOKUP(表格1[[#This Row],[Model]],表格3[Model-Input-Ref2],表格3[Product Line])</f>
        <v>4毫米厚釜電飯煲1L</v>
      </c>
      <c r="I497" s="81" t="str">
        <f>_xlfn.XLOOKUP(表格1[[#This Row],[Model]],表格3[Model-Input-Ref2],表格3[大小電])</f>
        <v>細電</v>
      </c>
      <c r="J497" s="81" t="str">
        <f>_xlfn.XLOOKUP(表格1[[#This Row],[Model]],表格3[Model-Input-Ref2],表格3[Code])</f>
        <v>SDA</v>
      </c>
      <c r="K497" s="82" t="s">
        <v>1244</v>
      </c>
      <c r="L497" s="81">
        <v>1</v>
      </c>
      <c r="M497" s="85">
        <v>719</v>
      </c>
      <c r="N497" s="85">
        <f>IFERROR(表格1[[#This Row],[QTY]]*表格1[[#This Row],[Unit Price]],"-")</f>
        <v>719</v>
      </c>
      <c r="O497" s="134">
        <v>444064</v>
      </c>
      <c r="P497" s="81"/>
      <c r="Q497" s="81"/>
      <c r="R497" s="81" t="str">
        <f>_xlfn.CONCAT(表格1[[#This Row],[Model]]," ",表格1[[#This Row],[inv no]])</f>
        <v>RC-10NMFIH(WT) 444064</v>
      </c>
      <c r="S497" s="135">
        <f>_xlfn.XLOOKUP(表格1[[#This Row],[Model]],表格3[Model-Input-Ref2],表格3[SRP PRICE])</f>
        <v>898</v>
      </c>
      <c r="T497" s="43">
        <f>表格1[[#This Row],[Unit Price]]/表格1[[#This Row],[SRP]]</f>
        <v>0.80066815144766146</v>
      </c>
      <c r="U497" s="86" t="str">
        <f>_xlfn.XLOOKUP(表格1[[#This Row],[Model]],表格3[Model-Input-Ref2],表格3[TOSHIBA/HIGHEST])</f>
        <v>Toshiba SRP</v>
      </c>
      <c r="V497" s="86">
        <v>110</v>
      </c>
      <c r="W497" s="86" t="str">
        <f>_xlfn.CONCAT(表格1[[#This Row],[欄4]],表格1[[#This Row],[inv no]])</f>
        <v>110444064</v>
      </c>
    </row>
    <row r="498" spans="1:23" ht="16.5" hidden="1">
      <c r="A498" s="81">
        <v>496</v>
      </c>
      <c r="B498" s="81" t="s">
        <v>1260</v>
      </c>
      <c r="C498" s="81" t="s">
        <v>1291</v>
      </c>
      <c r="D498" s="82" t="str">
        <f ca="1">OFFSET(Roster!$A$3,MATCH(表格1[[#This Row],[Location]]&amp;" "&amp;表格1[[#This Row],[Shop]]&amp;"*",Roster!$A$4:$A$72,0),DAY(表格1[[#This Row],[date]]),1,1)</f>
        <v>Wendy Wong_1</v>
      </c>
      <c r="E498" s="81">
        <f>MONTH(表格1[[#This Row],[date]])</f>
        <v>3</v>
      </c>
      <c r="F498" s="101">
        <v>46099</v>
      </c>
      <c r="G498" s="81" t="str">
        <f>VLOOKUP("*"&amp;表格1[[#This Row],[Input]]&amp;"*",'Ref-List'!$B:$D,2,)</f>
        <v>RC-7HMH</v>
      </c>
      <c r="H498" s="81" t="str">
        <f>_xlfn.XLOOKUP(表格1[[#This Row],[Model]],表格3[Model-Input-Ref2],表格3[Product Line])</f>
        <v>備長炭本厚釜電飯煲0.7L</v>
      </c>
      <c r="I498" s="81" t="str">
        <f>_xlfn.XLOOKUP(表格1[[#This Row],[Model]],表格3[Model-Input-Ref2],表格3[大小電])</f>
        <v>細電</v>
      </c>
      <c r="J498" s="81" t="str">
        <f>_xlfn.XLOOKUP(表格1[[#This Row],[Model]],表格3[Model-Input-Ref2],表格3[Code])</f>
        <v>SDA</v>
      </c>
      <c r="K498" s="82" t="s">
        <v>1284</v>
      </c>
      <c r="L498" s="81">
        <v>1</v>
      </c>
      <c r="M498" s="85">
        <v>938</v>
      </c>
      <c r="N498" s="85">
        <f>IFERROR(表格1[[#This Row],[QTY]]*表格1[[#This Row],[Unit Price]],"-")</f>
        <v>938</v>
      </c>
      <c r="O498" s="134">
        <v>444071</v>
      </c>
      <c r="P498" s="137"/>
      <c r="Q498" s="81"/>
      <c r="R498" s="81" t="str">
        <f>_xlfn.CONCAT(表格1[[#This Row],[Model]]," ",表格1[[#This Row],[inv no]])</f>
        <v>RC-7HMH 444071</v>
      </c>
      <c r="S498" s="135">
        <f>_xlfn.XLOOKUP(表格1[[#This Row],[Model]],表格3[Model-Input-Ref2],表格3[SRP PRICE])</f>
        <v>1288</v>
      </c>
      <c r="T498" s="43">
        <f>表格1[[#This Row],[Unit Price]]/表格1[[#This Row],[SRP]]</f>
        <v>0.72826086956521741</v>
      </c>
      <c r="U498" s="86" t="str">
        <f>_xlfn.XLOOKUP(表格1[[#This Row],[Model]],表格3[Model-Input-Ref2],表格3[TOSHIBA/HIGHEST])</f>
        <v>Toshiba SRP</v>
      </c>
      <c r="V498" s="86">
        <v>110</v>
      </c>
      <c r="W498" s="86" t="str">
        <f>_xlfn.CONCAT(表格1[[#This Row],[欄4]],表格1[[#This Row],[inv no]])</f>
        <v>110444071</v>
      </c>
    </row>
    <row r="499" spans="1:23" hidden="1">
      <c r="A499" s="81">
        <v>497</v>
      </c>
      <c r="B499" s="81" t="s">
        <v>1260</v>
      </c>
      <c r="C499" s="81" t="s">
        <v>1291</v>
      </c>
      <c r="D499" s="82" t="str">
        <f ca="1">OFFSET(Roster!$A$3,MATCH(表格1[[#This Row],[Location]]&amp;" "&amp;表格1[[#This Row],[Shop]]&amp;"*",Roster!$A$4:$A$72,0),DAY(表格1[[#This Row],[date]]),1,1)</f>
        <v>Wendy Wong_1</v>
      </c>
      <c r="E499" s="81">
        <f>MONTH(表格1[[#This Row],[date]])</f>
        <v>3</v>
      </c>
      <c r="F499" s="101">
        <v>46099</v>
      </c>
      <c r="G499" s="81" t="str">
        <f>VLOOKUP("*"&amp;表格1[[#This Row],[Input]]&amp;"*",'Ref-List'!$B:$D,2,)</f>
        <v>RC-10IRPH</v>
      </c>
      <c r="H499" s="81" t="str">
        <f>_xlfn.XLOOKUP(表格1[[#This Row],[Model]],表格3[Model-Input-Ref2],表格3[Product Line])</f>
        <v>低醣磁應電飯煲1L</v>
      </c>
      <c r="I499" s="81" t="str">
        <f>_xlfn.XLOOKUP(表格1[[#This Row],[Model]],表格3[Model-Input-Ref2],表格3[大小電])</f>
        <v>細電</v>
      </c>
      <c r="J499" s="81" t="str">
        <f>_xlfn.XLOOKUP(表格1[[#This Row],[Model]],表格3[Model-Input-Ref2],表格3[Code])</f>
        <v>SDA</v>
      </c>
      <c r="K499" s="82" t="s">
        <v>1297</v>
      </c>
      <c r="L499" s="81">
        <v>1</v>
      </c>
      <c r="M499" s="85">
        <v>898</v>
      </c>
      <c r="N499" s="85">
        <f>IFERROR(表格1[[#This Row],[QTY]]*表格1[[#This Row],[Unit Price]],"-")</f>
        <v>898</v>
      </c>
      <c r="O499" s="134">
        <v>449539</v>
      </c>
      <c r="P499" s="81"/>
      <c r="Q499" s="81"/>
      <c r="R499" s="81" t="str">
        <f>_xlfn.CONCAT(表格1[[#This Row],[Model]]," ",表格1[[#This Row],[inv no]])</f>
        <v>RC-10IRPH 449539</v>
      </c>
      <c r="S499" s="135">
        <f>_xlfn.XLOOKUP(表格1[[#This Row],[Model]],表格3[Model-Input-Ref2],表格3[SRP PRICE])</f>
        <v>1388</v>
      </c>
      <c r="T499" s="43">
        <f>表格1[[#This Row],[Unit Price]]/表格1[[#This Row],[SRP]]</f>
        <v>0.64697406340057639</v>
      </c>
      <c r="U499" s="86" t="str">
        <f>_xlfn.XLOOKUP(表格1[[#This Row],[Model]],表格3[Model-Input-Ref2],表格3[TOSHIBA/HIGHEST])</f>
        <v>Toshiba SRP</v>
      </c>
      <c r="V499" s="86">
        <v>110</v>
      </c>
      <c r="W499" s="86" t="str">
        <f>_xlfn.CONCAT(表格1[[#This Row],[欄4]],表格1[[#This Row],[inv no]])</f>
        <v>110449539</v>
      </c>
    </row>
    <row r="500" spans="1:23" hidden="1">
      <c r="A500" s="81">
        <v>498</v>
      </c>
      <c r="B500" s="81" t="s">
        <v>1260</v>
      </c>
      <c r="C500" s="81" t="s">
        <v>1291</v>
      </c>
      <c r="D500" s="82" t="str">
        <f ca="1">OFFSET(Roster!$A$3,MATCH(表格1[[#This Row],[Location]]&amp;" "&amp;表格1[[#This Row],[Shop]]&amp;"*",Roster!$A$4:$A$72,0),DAY(表格1[[#This Row],[date]]),1,1)</f>
        <v>Wendy Wong_1</v>
      </c>
      <c r="E500" s="81">
        <f>MONTH(表格1[[#This Row],[date]])</f>
        <v>3</v>
      </c>
      <c r="F500" s="101">
        <v>46099</v>
      </c>
      <c r="G500" s="81" t="str">
        <f>VLOOKUP("*"&amp;表格1[[#This Row],[Input]]&amp;"*",'Ref-List'!$B:$D,2,)</f>
        <v>MWP-MM20P(WH)</v>
      </c>
      <c r="H500" s="81" t="str">
        <f>_xlfn.XLOOKUP(表格1[[#This Row],[Model]],表格3[Model-Input-Ref2],表格3[Product Line])</f>
        <v>旋鈕式燒烤微波爐20L</v>
      </c>
      <c r="I500" s="81" t="str">
        <f>_xlfn.XLOOKUP(表格1[[#This Row],[Model]],表格3[Model-Input-Ref2],表格3[大小電])</f>
        <v>細電</v>
      </c>
      <c r="J500" s="81" t="str">
        <f>_xlfn.XLOOKUP(表格1[[#This Row],[Model]],表格3[Model-Input-Ref2],表格3[Code])</f>
        <v>SDA</v>
      </c>
      <c r="K500" s="82" t="s">
        <v>1270</v>
      </c>
      <c r="L500" s="81">
        <v>1</v>
      </c>
      <c r="M500" s="85">
        <v>518</v>
      </c>
      <c r="N500" s="85">
        <f>IFERROR(表格1[[#This Row],[QTY]]*表格1[[#This Row],[Unit Price]],"-")</f>
        <v>518</v>
      </c>
      <c r="O500" s="134">
        <v>155966</v>
      </c>
      <c r="P500" s="81"/>
      <c r="Q500" s="81"/>
      <c r="R500" s="81" t="str">
        <f>_xlfn.CONCAT(表格1[[#This Row],[Model]]," ",表格1[[#This Row],[inv no]])</f>
        <v>MWP-MM20P(WH) 155966</v>
      </c>
      <c r="S500" s="135">
        <f>_xlfn.XLOOKUP(表格1[[#This Row],[Model]],表格3[Model-Input-Ref2],表格3[SRP PRICE])</f>
        <v>648</v>
      </c>
      <c r="T500" s="43">
        <f>表格1[[#This Row],[Unit Price]]/表格1[[#This Row],[SRP]]</f>
        <v>0.79938271604938271</v>
      </c>
      <c r="U500" s="86" t="str">
        <f>_xlfn.XLOOKUP(表格1[[#This Row],[Model]],表格3[Model-Input-Ref2],表格3[TOSHIBA/HIGHEST])</f>
        <v>Toshiba SRP</v>
      </c>
      <c r="V500" s="86">
        <v>110</v>
      </c>
      <c r="W500" s="86" t="str">
        <f>_xlfn.CONCAT(表格1[[#This Row],[欄4]],表格1[[#This Row],[inv no]])</f>
        <v>110155966</v>
      </c>
    </row>
    <row r="501" spans="1:23" hidden="1">
      <c r="A501" s="81">
        <v>499</v>
      </c>
      <c r="B501" s="81" t="s">
        <v>1260</v>
      </c>
      <c r="C501" s="81" t="s">
        <v>1291</v>
      </c>
      <c r="D501" s="82" t="str">
        <f ca="1">OFFSET(Roster!$A$3,MATCH(表格1[[#This Row],[Location]]&amp;" "&amp;表格1[[#This Row],[Shop]]&amp;"*",Roster!$A$4:$A$72,0),DAY(表格1[[#This Row],[date]]),1,1)</f>
        <v>Wendy Wong_1</v>
      </c>
      <c r="E501" s="81">
        <f>MONTH(表格1[[#This Row],[date]])</f>
        <v>3</v>
      </c>
      <c r="F501" s="101">
        <v>46099</v>
      </c>
      <c r="G501" s="81" t="str">
        <f>VLOOKUP("*"&amp;表格1[[#This Row],[Input]]&amp;"*",'Ref-List'!$B:$D,2,)</f>
        <v>RC-10JRUH(N)</v>
      </c>
      <c r="H501" s="81" t="str">
        <f>_xlfn.XLOOKUP(表格1[[#This Row],[Model]],表格3[Model-Input-Ref2],表格3[Product Line])</f>
        <v>電飯煲</v>
      </c>
      <c r="I501" s="81" t="str">
        <f>_xlfn.XLOOKUP(表格1[[#This Row],[Model]],表格3[Model-Input-Ref2],表格3[大小電])</f>
        <v>細電</v>
      </c>
      <c r="J501" s="81" t="str">
        <f>_xlfn.XLOOKUP(表格1[[#This Row],[Model]],表格3[Model-Input-Ref2],表格3[Code])</f>
        <v>SDA</v>
      </c>
      <c r="K501" s="82" t="s">
        <v>1263</v>
      </c>
      <c r="L501" s="81">
        <v>1</v>
      </c>
      <c r="M501" s="85">
        <v>250</v>
      </c>
      <c r="N501" s="85">
        <f>IFERROR(表格1[[#This Row],[QTY]]*表格1[[#This Row],[Unit Price]],"-")</f>
        <v>250</v>
      </c>
      <c r="O501" s="134">
        <v>155972</v>
      </c>
      <c r="P501" s="81"/>
      <c r="Q501" s="81"/>
      <c r="R501" s="81" t="str">
        <f>_xlfn.CONCAT(表格1[[#This Row],[Model]]," ",表格1[[#This Row],[inv no]])</f>
        <v>RC-10JRUH(N) 155972</v>
      </c>
      <c r="S501" s="135">
        <f>_xlfn.XLOOKUP(表格1[[#This Row],[Model]],表格3[Model-Input-Ref2],表格3[SRP PRICE])</f>
        <v>398</v>
      </c>
      <c r="T501" s="43">
        <f>表格1[[#This Row],[Unit Price]]/表格1[[#This Row],[SRP]]</f>
        <v>0.62814070351758799</v>
      </c>
      <c r="U501" s="86" t="str">
        <f>_xlfn.XLOOKUP(表格1[[#This Row],[Model]],表格3[Model-Input-Ref2],表格3[TOSHIBA/HIGHEST])</f>
        <v>Shops Highest Price</v>
      </c>
      <c r="V501" s="86">
        <v>110</v>
      </c>
      <c r="W501" s="86" t="str">
        <f>_xlfn.CONCAT(表格1[[#This Row],[欄4]],表格1[[#This Row],[inv no]])</f>
        <v>110155972</v>
      </c>
    </row>
    <row r="502" spans="1:23" hidden="1">
      <c r="A502" s="81">
        <v>500</v>
      </c>
      <c r="B502" s="81" t="s">
        <v>1260</v>
      </c>
      <c r="C502" s="81" t="s">
        <v>1291</v>
      </c>
      <c r="D502" s="82" t="str">
        <f ca="1">OFFSET(Roster!$A$3,MATCH(表格1[[#This Row],[Location]]&amp;" "&amp;表格1[[#This Row],[Shop]]&amp;"*",Roster!$A$4:$A$72,0),DAY(表格1[[#This Row],[date]]),1,1)</f>
        <v>Wendy Wong_1</v>
      </c>
      <c r="E502" s="81">
        <f>MONTH(表格1[[#This Row],[date]])</f>
        <v>3</v>
      </c>
      <c r="F502" s="101">
        <v>46099</v>
      </c>
      <c r="G502" s="81" t="str">
        <f>VLOOKUP("*"&amp;表格1[[#This Row],[Input]]&amp;"*",'Ref-List'!$B:$D,2,)</f>
        <v>RC-10NMFIH(WT)</v>
      </c>
      <c r="H502" s="81" t="str">
        <f>_xlfn.XLOOKUP(表格1[[#This Row],[Model]],表格3[Model-Input-Ref2],表格3[Product Line])</f>
        <v>4毫米厚釜電飯煲1L</v>
      </c>
      <c r="I502" s="81" t="str">
        <f>_xlfn.XLOOKUP(表格1[[#This Row],[Model]],表格3[Model-Input-Ref2],表格3[大小電])</f>
        <v>細電</v>
      </c>
      <c r="J502" s="81" t="str">
        <f>_xlfn.XLOOKUP(表格1[[#This Row],[Model]],表格3[Model-Input-Ref2],表格3[Code])</f>
        <v>SDA</v>
      </c>
      <c r="K502" s="82" t="s">
        <v>1244</v>
      </c>
      <c r="L502" s="81">
        <v>1</v>
      </c>
      <c r="M502" s="85">
        <v>719</v>
      </c>
      <c r="N502" s="85">
        <f>IFERROR(表格1[[#This Row],[QTY]]*表格1[[#This Row],[Unit Price]],"-")</f>
        <v>719</v>
      </c>
      <c r="O502" s="134">
        <v>444171</v>
      </c>
      <c r="P502" s="81"/>
      <c r="Q502" s="81"/>
      <c r="R502" s="81" t="str">
        <f>_xlfn.CONCAT(表格1[[#This Row],[Model]]," ",表格1[[#This Row],[inv no]])</f>
        <v>RC-10NMFIH(WT) 444171</v>
      </c>
      <c r="S502" s="135">
        <f>_xlfn.XLOOKUP(表格1[[#This Row],[Model]],表格3[Model-Input-Ref2],表格3[SRP PRICE])</f>
        <v>898</v>
      </c>
      <c r="T502" s="43">
        <f>表格1[[#This Row],[Unit Price]]/表格1[[#This Row],[SRP]]</f>
        <v>0.80066815144766146</v>
      </c>
      <c r="U502" s="86" t="str">
        <f>_xlfn.XLOOKUP(表格1[[#This Row],[Model]],表格3[Model-Input-Ref2],表格3[TOSHIBA/HIGHEST])</f>
        <v>Toshiba SRP</v>
      </c>
      <c r="V502" s="86">
        <v>110</v>
      </c>
      <c r="W502" s="86" t="str">
        <f>_xlfn.CONCAT(表格1[[#This Row],[欄4]],表格1[[#This Row],[inv no]])</f>
        <v>110444171</v>
      </c>
    </row>
    <row r="503" spans="1:23" hidden="1">
      <c r="A503" s="81">
        <v>501</v>
      </c>
      <c r="B503" s="81" t="s">
        <v>1260</v>
      </c>
      <c r="C503" s="81" t="s">
        <v>1291</v>
      </c>
      <c r="D503" s="82" t="str">
        <f ca="1">OFFSET(Roster!$A$3,MATCH(表格1[[#This Row],[Location]]&amp;" "&amp;表格1[[#This Row],[Shop]]&amp;"*",Roster!$A$4:$A$72,0),DAY(表格1[[#This Row],[date]]),1,1)</f>
        <v>Wendy Wong_1</v>
      </c>
      <c r="E503" s="81">
        <f>MONTH(表格1[[#This Row],[date]])</f>
        <v>3</v>
      </c>
      <c r="F503" s="101">
        <v>46099</v>
      </c>
      <c r="G503" s="81" t="str">
        <f>VLOOKUP("*"&amp;表格1[[#This Row],[Input]]&amp;"*",'Ref-List'!$B:$D,2,)</f>
        <v>MWP-MM20P(WH)</v>
      </c>
      <c r="H503" s="81" t="str">
        <f>_xlfn.XLOOKUP(表格1[[#This Row],[Model]],表格3[Model-Input-Ref2],表格3[Product Line])</f>
        <v>旋鈕式燒烤微波爐20L</v>
      </c>
      <c r="I503" s="81" t="str">
        <f>_xlfn.XLOOKUP(表格1[[#This Row],[Model]],表格3[Model-Input-Ref2],表格3[大小電])</f>
        <v>細電</v>
      </c>
      <c r="J503" s="81" t="str">
        <f>_xlfn.XLOOKUP(表格1[[#This Row],[Model]],表格3[Model-Input-Ref2],表格3[Code])</f>
        <v>SDA</v>
      </c>
      <c r="K503" s="82" t="s">
        <v>1270</v>
      </c>
      <c r="L503" s="81">
        <v>1</v>
      </c>
      <c r="M503" s="85">
        <v>518</v>
      </c>
      <c r="N503" s="85">
        <f>IFERROR(表格1[[#This Row],[QTY]]*表格1[[#This Row],[Unit Price]],"-")</f>
        <v>518</v>
      </c>
      <c r="O503" s="134">
        <v>155976</v>
      </c>
      <c r="P503" s="81"/>
      <c r="Q503" s="81"/>
      <c r="R503" s="81" t="str">
        <f>_xlfn.CONCAT(表格1[[#This Row],[Model]]," ",表格1[[#This Row],[inv no]])</f>
        <v>MWP-MM20P(WH) 155976</v>
      </c>
      <c r="S503" s="135">
        <f>_xlfn.XLOOKUP(表格1[[#This Row],[Model]],表格3[Model-Input-Ref2],表格3[SRP PRICE])</f>
        <v>648</v>
      </c>
      <c r="T503" s="43">
        <f>表格1[[#This Row],[Unit Price]]/表格1[[#This Row],[SRP]]</f>
        <v>0.79938271604938271</v>
      </c>
      <c r="U503" s="86" t="str">
        <f>_xlfn.XLOOKUP(表格1[[#This Row],[Model]],表格3[Model-Input-Ref2],表格3[TOSHIBA/HIGHEST])</f>
        <v>Toshiba SRP</v>
      </c>
      <c r="V503" s="86">
        <v>110</v>
      </c>
      <c r="W503" s="86" t="str">
        <f>_xlfn.CONCAT(表格1[[#This Row],[欄4]],表格1[[#This Row],[inv no]])</f>
        <v>110155976</v>
      </c>
    </row>
    <row r="504" spans="1:23" hidden="1">
      <c r="A504" s="81">
        <v>502</v>
      </c>
      <c r="B504" s="81" t="s">
        <v>1260</v>
      </c>
      <c r="C504" s="81" t="s">
        <v>1291</v>
      </c>
      <c r="D504" s="82" t="str">
        <f ca="1">OFFSET(Roster!$A$3,MATCH(表格1[[#This Row],[Location]]&amp;" "&amp;表格1[[#This Row],[Shop]]&amp;"*",Roster!$A$4:$A$72,0),DAY(表格1[[#This Row],[date]]),1,1)</f>
        <v>Wendy Wong_1</v>
      </c>
      <c r="E504" s="81">
        <f>MONTH(表格1[[#This Row],[date]])</f>
        <v>3</v>
      </c>
      <c r="F504" s="101">
        <v>46100</v>
      </c>
      <c r="G504" s="81" t="str">
        <f>VLOOKUP("*"&amp;表格1[[#This Row],[Input]]&amp;"*",'Ref-List'!$B:$D,2,)</f>
        <v>TP-50DRUHK(W)</v>
      </c>
      <c r="H504" s="81" t="str">
        <f>_xlfn.XLOOKUP(表格1[[#This Row],[Model]],表格3[Model-Input-Ref2],表格3[Product Line])</f>
        <v>電熱水瓶 (5公升)</v>
      </c>
      <c r="I504" s="81" t="str">
        <f>_xlfn.XLOOKUP(表格1[[#This Row],[Model]],表格3[Model-Input-Ref2],表格3[大小電])</f>
        <v>細電</v>
      </c>
      <c r="J504" s="81" t="str">
        <f>_xlfn.XLOOKUP(表格1[[#This Row],[Model]],表格3[Model-Input-Ref2],表格3[Code])</f>
        <v>SDA</v>
      </c>
      <c r="K504" s="82" t="s">
        <v>1277</v>
      </c>
      <c r="L504" s="81">
        <v>1</v>
      </c>
      <c r="M504" s="85">
        <v>628</v>
      </c>
      <c r="N504" s="85">
        <f>IFERROR(表格1[[#This Row],[QTY]]*表格1[[#This Row],[Unit Price]],"-")</f>
        <v>628</v>
      </c>
      <c r="O504" s="134">
        <v>444328</v>
      </c>
      <c r="P504" s="81"/>
      <c r="Q504" s="81"/>
      <c r="R504" s="81" t="str">
        <f>_xlfn.CONCAT(表格1[[#This Row],[Model]]," ",表格1[[#This Row],[inv no]])</f>
        <v>TP-50DRUHK(W) 444328</v>
      </c>
      <c r="S504" s="135">
        <f>_xlfn.XLOOKUP(表格1[[#This Row],[Model]],表格3[Model-Input-Ref2],表格3[SRP PRICE])</f>
        <v>718</v>
      </c>
      <c r="T504" s="43">
        <f>表格1[[#This Row],[Unit Price]]/表格1[[#This Row],[SRP]]</f>
        <v>0.87465181058495822</v>
      </c>
      <c r="U504" s="86" t="str">
        <f>_xlfn.XLOOKUP(表格1[[#This Row],[Model]],表格3[Model-Input-Ref2],表格3[TOSHIBA/HIGHEST])</f>
        <v>Toshiba SRP</v>
      </c>
      <c r="V504" s="86">
        <v>110</v>
      </c>
      <c r="W504" s="86" t="str">
        <f>_xlfn.CONCAT(表格1[[#This Row],[欄4]],表格1[[#This Row],[inv no]])</f>
        <v>110444328</v>
      </c>
    </row>
    <row r="505" spans="1:23" ht="16.5" hidden="1">
      <c r="A505" s="81">
        <v>503</v>
      </c>
      <c r="B505" s="81" t="s">
        <v>1260</v>
      </c>
      <c r="C505" s="81" t="s">
        <v>1291</v>
      </c>
      <c r="D505" s="82" t="str">
        <f ca="1">OFFSET(Roster!$A$3,MATCH(表格1[[#This Row],[Location]]&amp;" "&amp;表格1[[#This Row],[Shop]]&amp;"*",Roster!$A$4:$A$72,0),DAY(表格1[[#This Row],[date]]),1,1)</f>
        <v>Wendy Wong_1</v>
      </c>
      <c r="E505" s="81">
        <f>MONTH(表格1[[#This Row],[date]])</f>
        <v>3</v>
      </c>
      <c r="F505" s="101">
        <v>46100</v>
      </c>
      <c r="G505" s="81" t="str">
        <f>VLOOKUP("*"&amp;表格1[[#This Row],[Input]]&amp;"*",'Ref-List'!$B:$D,2,)</f>
        <v>TW-T21BU80UWH(MG)</v>
      </c>
      <c r="H505" s="81" t="str">
        <f>_xlfn.XLOOKUP(表格1[[#This Row],[Model]],表格3[Model-Input-Ref2],表格3[Product Line])</f>
        <v>400MM超薄身前置式變頻洗衣機(7公斤)</v>
      </c>
      <c r="I505" s="81" t="str">
        <f>_xlfn.XLOOKUP(表格1[[#This Row],[Model]],表格3[Model-Input-Ref2],表格3[大小電])</f>
        <v>大電</v>
      </c>
      <c r="J505" s="81" t="str">
        <f>_xlfn.XLOOKUP(表格1[[#This Row],[Model]],表格3[Model-Input-Ref2],表格3[Code])</f>
        <v>LAD</v>
      </c>
      <c r="K505" s="82" t="s">
        <v>1280</v>
      </c>
      <c r="L505" s="81">
        <v>1</v>
      </c>
      <c r="M505" s="85">
        <v>3180</v>
      </c>
      <c r="N505" s="85">
        <f>IFERROR(表格1[[#This Row],[QTY]]*表格1[[#This Row],[Unit Price]],"-")</f>
        <v>3180</v>
      </c>
      <c r="O505" s="134">
        <v>155983</v>
      </c>
      <c r="P505" s="137"/>
      <c r="Q505" s="81"/>
      <c r="R505" s="81" t="str">
        <f>_xlfn.CONCAT(表格1[[#This Row],[Model]]," ",表格1[[#This Row],[inv no]])</f>
        <v>TW-T21BU80UWH(MG) 155983</v>
      </c>
      <c r="S505" s="135">
        <f>_xlfn.XLOOKUP(表格1[[#This Row],[Model]],表格3[Model-Input-Ref2],表格3[SRP PRICE])</f>
        <v>5180</v>
      </c>
      <c r="T505" s="43">
        <f>表格1[[#This Row],[Unit Price]]/表格1[[#This Row],[SRP]]</f>
        <v>0.61389961389961389</v>
      </c>
      <c r="U505" s="86" t="str">
        <f>_xlfn.XLOOKUP(表格1[[#This Row],[Model]],表格3[Model-Input-Ref2],表格3[TOSHIBA/HIGHEST])</f>
        <v>Toshiba SRP</v>
      </c>
      <c r="V505" s="86">
        <v>110</v>
      </c>
      <c r="W505" s="86" t="str">
        <f>_xlfn.CONCAT(表格1[[#This Row],[欄4]],表格1[[#This Row],[inv no]])</f>
        <v>110155983</v>
      </c>
    </row>
    <row r="506" spans="1:23" hidden="1">
      <c r="A506" s="81">
        <v>504</v>
      </c>
      <c r="B506" s="81" t="s">
        <v>1260</v>
      </c>
      <c r="C506" s="81" t="s">
        <v>1290</v>
      </c>
      <c r="D506" s="82" t="str">
        <f ca="1">OFFSET(Roster!$A$3,MATCH(表格1[[#This Row],[Location]]&amp;" "&amp;表格1[[#This Row],[Shop]]&amp;"*",Roster!$A$4:$A$72,0),DAY(表格1[[#This Row],[date]]),1,1)</f>
        <v>Wendy Wong_1</v>
      </c>
      <c r="E506" s="81">
        <f>MONTH(表格1[[#This Row],[date]])</f>
        <v>3</v>
      </c>
      <c r="F506" s="101">
        <v>46100</v>
      </c>
      <c r="G506" s="81" t="str">
        <f>VLOOKUP("*"&amp;表格1[[#This Row],[Input]]&amp;"*",'Ref-List'!$B:$D,2,)</f>
        <v>RC-7HMH</v>
      </c>
      <c r="H506" s="81" t="str">
        <f>_xlfn.XLOOKUP(表格1[[#This Row],[Model]],表格3[Model-Input-Ref2],表格3[Product Line])</f>
        <v>備長炭本厚釜電飯煲0.7L</v>
      </c>
      <c r="I506" s="81" t="str">
        <f>_xlfn.XLOOKUP(表格1[[#This Row],[Model]],表格3[Model-Input-Ref2],表格3[大小電])</f>
        <v>細電</v>
      </c>
      <c r="J506" s="81" t="str">
        <f>_xlfn.XLOOKUP(表格1[[#This Row],[Model]],表格3[Model-Input-Ref2],表格3[Code])</f>
        <v>SDA</v>
      </c>
      <c r="K506" s="82" t="s">
        <v>1284</v>
      </c>
      <c r="L506" s="81">
        <v>1</v>
      </c>
      <c r="M506" s="85">
        <v>938</v>
      </c>
      <c r="N506" s="85">
        <f>IFERROR(表格1[[#This Row],[QTY]]*表格1[[#This Row],[Unit Price]],"-")</f>
        <v>938</v>
      </c>
      <c r="O506" s="134">
        <v>444427</v>
      </c>
      <c r="P506" s="81"/>
      <c r="Q506" s="81"/>
      <c r="R506" s="81" t="str">
        <f>_xlfn.CONCAT(表格1[[#This Row],[Model]]," ",表格1[[#This Row],[inv no]])</f>
        <v>RC-7HMH 444427</v>
      </c>
      <c r="S506" s="135">
        <f>_xlfn.XLOOKUP(表格1[[#This Row],[Model]],表格3[Model-Input-Ref2],表格3[SRP PRICE])</f>
        <v>1288</v>
      </c>
      <c r="T506" s="43">
        <f>表格1[[#This Row],[Unit Price]]/表格1[[#This Row],[SRP]]</f>
        <v>0.72826086956521741</v>
      </c>
      <c r="U506" s="86" t="str">
        <f>_xlfn.XLOOKUP(表格1[[#This Row],[Model]],表格3[Model-Input-Ref2],表格3[TOSHIBA/HIGHEST])</f>
        <v>Toshiba SRP</v>
      </c>
      <c r="V506" s="86">
        <v>110</v>
      </c>
      <c r="W506" s="86" t="str">
        <f>_xlfn.CONCAT(表格1[[#This Row],[欄4]],表格1[[#This Row],[inv no]])</f>
        <v>110444427</v>
      </c>
    </row>
    <row r="507" spans="1:23" hidden="1">
      <c r="A507" s="81">
        <v>505</v>
      </c>
      <c r="B507" s="81" t="s">
        <v>1260</v>
      </c>
      <c r="C507" s="81" t="s">
        <v>1290</v>
      </c>
      <c r="D507" s="82" t="str">
        <f ca="1">OFFSET(Roster!$A$3,MATCH(表格1[[#This Row],[Location]]&amp;" "&amp;表格1[[#This Row],[Shop]]&amp;"*",Roster!$A$4:$A$72,0),DAY(表格1[[#This Row],[date]]),1,1)</f>
        <v>Wendy Wong_1</v>
      </c>
      <c r="E507" s="81">
        <f>MONTH(表格1[[#This Row],[date]])</f>
        <v>3</v>
      </c>
      <c r="F507" s="101">
        <v>46100</v>
      </c>
      <c r="G507" s="81" t="str">
        <f>VLOOKUP("*"&amp;表格1[[#This Row],[Input]]&amp;"*",'Ref-List'!$B:$D,2,)</f>
        <v>MWP-MM20P(WH)</v>
      </c>
      <c r="H507" s="81" t="str">
        <f>_xlfn.XLOOKUP(表格1[[#This Row],[Model]],表格3[Model-Input-Ref2],表格3[Product Line])</f>
        <v>旋鈕式燒烤微波爐20L</v>
      </c>
      <c r="I507" s="81" t="str">
        <f>_xlfn.XLOOKUP(表格1[[#This Row],[Model]],表格3[Model-Input-Ref2],表格3[大小電])</f>
        <v>細電</v>
      </c>
      <c r="J507" s="81" t="str">
        <f>_xlfn.XLOOKUP(表格1[[#This Row],[Model]],表格3[Model-Input-Ref2],表格3[Code])</f>
        <v>SDA</v>
      </c>
      <c r="K507" s="82" t="s">
        <v>1270</v>
      </c>
      <c r="L507" s="81">
        <v>1</v>
      </c>
      <c r="M507" s="85">
        <v>518</v>
      </c>
      <c r="N507" s="85">
        <f>IFERROR(表格1[[#This Row],[QTY]]*表格1[[#This Row],[Unit Price]],"-")</f>
        <v>518</v>
      </c>
      <c r="O507" s="134">
        <v>444537</v>
      </c>
      <c r="P507" s="81"/>
      <c r="Q507" s="81"/>
      <c r="R507" s="81" t="str">
        <f>_xlfn.CONCAT(表格1[[#This Row],[Model]]," ",表格1[[#This Row],[inv no]])</f>
        <v>MWP-MM20P(WH) 444537</v>
      </c>
      <c r="S507" s="135">
        <f>_xlfn.XLOOKUP(表格1[[#This Row],[Model]],表格3[Model-Input-Ref2],表格3[SRP PRICE])</f>
        <v>648</v>
      </c>
      <c r="T507" s="43">
        <f>表格1[[#This Row],[Unit Price]]/表格1[[#This Row],[SRP]]</f>
        <v>0.79938271604938271</v>
      </c>
      <c r="U507" s="86" t="str">
        <f>_xlfn.XLOOKUP(表格1[[#This Row],[Model]],表格3[Model-Input-Ref2],表格3[TOSHIBA/HIGHEST])</f>
        <v>Toshiba SRP</v>
      </c>
      <c r="V507" s="86">
        <v>110</v>
      </c>
      <c r="W507" s="86" t="str">
        <f>_xlfn.CONCAT(表格1[[#This Row],[欄4]],表格1[[#This Row],[inv no]])</f>
        <v>110444537</v>
      </c>
    </row>
    <row r="508" spans="1:23" hidden="1">
      <c r="A508" s="81">
        <v>506</v>
      </c>
      <c r="B508" s="81" t="s">
        <v>1366</v>
      </c>
      <c r="C508" s="81" t="s">
        <v>1367</v>
      </c>
      <c r="D508" s="82" t="str">
        <f ca="1">OFFSET(Roster!$A$3,MATCH(表格1[[#This Row],[Location]]&amp;" "&amp;表格1[[#This Row],[Shop]]&amp;"*",Roster!$A$4:$A$72,0),DAY(表格1[[#This Row],[date]]),1,1)</f>
        <v>Emma</v>
      </c>
      <c r="E508" s="81">
        <f>MONTH(表格1[[#This Row],[date]])</f>
        <v>3</v>
      </c>
      <c r="F508" s="101">
        <v>46084</v>
      </c>
      <c r="G508" s="81" t="str">
        <f>VLOOKUP("*"&amp;表格1[[#This Row],[Input]]&amp;"*",'Ref-List'!$B:$D,2,)</f>
        <v>KT-08DH1VHK(W)</v>
      </c>
      <c r="H508" s="81" t="str">
        <f>_xlfn.XLOOKUP(表格1[[#This Row],[Model]],表格3[Model-Input-Ref2],表格3[Product Line])</f>
        <v>無線雙層電熱水壺-附可鎖壺蓋(0.8公升)</v>
      </c>
      <c r="I508" s="81" t="str">
        <f>_xlfn.XLOOKUP(表格1[[#This Row],[Model]],表格3[Model-Input-Ref2],表格3[大小電])</f>
        <v>細電</v>
      </c>
      <c r="J508" s="81" t="str">
        <f>_xlfn.XLOOKUP(表格1[[#This Row],[Model]],表格3[Model-Input-Ref2],表格3[Code])</f>
        <v>SDA</v>
      </c>
      <c r="K508" s="82" t="s">
        <v>1268</v>
      </c>
      <c r="L508" s="81">
        <v>1</v>
      </c>
      <c r="M508" s="85">
        <v>268</v>
      </c>
      <c r="N508" s="85">
        <f>IFERROR(表格1[[#This Row],[QTY]]*表格1[[#This Row],[Unit Price]],"-")</f>
        <v>268</v>
      </c>
      <c r="O508" s="134">
        <v>525042</v>
      </c>
      <c r="P508" s="81"/>
      <c r="Q508" s="81"/>
      <c r="R508" s="81" t="str">
        <f>_xlfn.CONCAT(表格1[[#This Row],[Model]]," ",表格1[[#This Row],[inv no]])</f>
        <v>KT-08DH1VHK(W) 525042</v>
      </c>
      <c r="S508" s="135">
        <f>_xlfn.XLOOKUP(表格1[[#This Row],[Model]],表格3[Model-Input-Ref2],表格3[SRP PRICE])</f>
        <v>428</v>
      </c>
      <c r="T508" s="43">
        <f>表格1[[#This Row],[Unit Price]]/表格1[[#This Row],[SRP]]</f>
        <v>0.62616822429906538</v>
      </c>
      <c r="U508" s="86" t="str">
        <f>_xlfn.XLOOKUP(表格1[[#This Row],[Model]],表格3[Model-Input-Ref2],表格3[TOSHIBA/HIGHEST])</f>
        <v>Toshiba SRP</v>
      </c>
      <c r="V508" s="86">
        <v>110</v>
      </c>
      <c r="W508" s="86" t="str">
        <f>_xlfn.CONCAT(表格1[[#This Row],[欄4]],表格1[[#This Row],[inv no]])</f>
        <v>110525042</v>
      </c>
    </row>
    <row r="509" spans="1:23" hidden="1">
      <c r="A509" s="81">
        <v>507</v>
      </c>
      <c r="B509" s="81" t="s">
        <v>1366</v>
      </c>
      <c r="C509" s="81" t="s">
        <v>1367</v>
      </c>
      <c r="D509" s="82" t="str">
        <f ca="1">OFFSET(Roster!$A$3,MATCH(表格1[[#This Row],[Location]]&amp;" "&amp;表格1[[#This Row],[Shop]]&amp;"*",Roster!$A$4:$A$72,0),DAY(表格1[[#This Row],[date]]),1,1)</f>
        <v>Emma</v>
      </c>
      <c r="E509" s="81">
        <f>MONTH(表格1[[#This Row],[date]])</f>
        <v>3</v>
      </c>
      <c r="F509" s="101">
        <v>46085</v>
      </c>
      <c r="G509" s="81" t="str">
        <f>VLOOKUP("*"&amp;表格1[[#This Row],[Input]]&amp;"*",'Ref-List'!$B:$D,2,)</f>
        <v>KT-17DRTHK(H)</v>
      </c>
      <c r="H509" s="81" t="str">
        <f>_xlfn.XLOOKUP(表格1[[#This Row],[Model]],表格3[Model-Input-Ref2],表格3[Product Line])</f>
        <v>無線雙層電熱水壺(1.7公升)</v>
      </c>
      <c r="I509" s="81" t="str">
        <f>_xlfn.XLOOKUP(表格1[[#This Row],[Model]],表格3[Model-Input-Ref2],表格3[大小電])</f>
        <v>細電</v>
      </c>
      <c r="J509" s="81" t="str">
        <f>_xlfn.XLOOKUP(表格1[[#This Row],[Model]],表格3[Model-Input-Ref2],表格3[Code])</f>
        <v>SDA</v>
      </c>
      <c r="K509" s="82" t="s">
        <v>1271</v>
      </c>
      <c r="L509" s="81">
        <v>1</v>
      </c>
      <c r="M509" s="85">
        <v>398</v>
      </c>
      <c r="N509" s="85">
        <f>IFERROR(表格1[[#This Row],[QTY]]*表格1[[#This Row],[Unit Price]],"-")</f>
        <v>398</v>
      </c>
      <c r="O509" s="134">
        <v>344639</v>
      </c>
      <c r="P509" s="81"/>
      <c r="Q509" s="81"/>
      <c r="R509" s="81" t="str">
        <f>_xlfn.CONCAT(表格1[[#This Row],[Model]]," ",表格1[[#This Row],[inv no]])</f>
        <v>KT-17DRTHK(H) 344639</v>
      </c>
      <c r="S509" s="135">
        <f>_xlfn.XLOOKUP(表格1[[#This Row],[Model]],表格3[Model-Input-Ref2],表格3[SRP PRICE])</f>
        <v>498</v>
      </c>
      <c r="T509" s="43">
        <f>表格1[[#This Row],[Unit Price]]/表格1[[#This Row],[SRP]]</f>
        <v>0.79919678714859432</v>
      </c>
      <c r="U509" s="86" t="str">
        <f>_xlfn.XLOOKUP(表格1[[#This Row],[Model]],表格3[Model-Input-Ref2],表格3[TOSHIBA/HIGHEST])</f>
        <v>Toshiba SRP</v>
      </c>
      <c r="V509" s="86">
        <v>110</v>
      </c>
      <c r="W509" s="86" t="str">
        <f>_xlfn.CONCAT(表格1[[#This Row],[欄4]],表格1[[#This Row],[inv no]])</f>
        <v>110344639</v>
      </c>
    </row>
    <row r="510" spans="1:23" ht="16.5" hidden="1" customHeight="1">
      <c r="A510" s="81">
        <v>508</v>
      </c>
      <c r="B510" s="81" t="s">
        <v>1366</v>
      </c>
      <c r="C510" s="81" t="s">
        <v>1367</v>
      </c>
      <c r="D510" s="82" t="str">
        <f ca="1">OFFSET(Roster!$A$3,MATCH(表格1[[#This Row],[Location]]&amp;" "&amp;表格1[[#This Row],[Shop]]&amp;"*",Roster!$A$4:$A$72,0),DAY(表格1[[#This Row],[date]]),1,1)</f>
        <v>Emma</v>
      </c>
      <c r="E510" s="81">
        <f>MONTH(表格1[[#This Row],[date]])</f>
        <v>3</v>
      </c>
      <c r="F510" s="101">
        <v>46085</v>
      </c>
      <c r="G510" s="81" t="str">
        <f>VLOOKUP("*"&amp;表格1[[#This Row],[Input]]&amp;"*",'Ref-List'!$B:$D,2,)</f>
        <v>RC-5SLIH(W)</v>
      </c>
      <c r="H510" s="81" t="str">
        <f>_xlfn.XLOOKUP(表格1[[#This Row],[Model]],表格3[Model-Input-Ref2],表格3[Product Line])</f>
        <v>微型電腦珍珠飯煲</v>
      </c>
      <c r="I510" s="81" t="str">
        <f>_xlfn.XLOOKUP(表格1[[#This Row],[Model]],表格3[Model-Input-Ref2],表格3[大小電])</f>
        <v>細電</v>
      </c>
      <c r="J510" s="81" t="str">
        <f>_xlfn.XLOOKUP(表格1[[#This Row],[Model]],表格3[Model-Input-Ref2],表格3[Code])</f>
        <v>SDA</v>
      </c>
      <c r="K510" s="82" t="s">
        <v>1264</v>
      </c>
      <c r="L510" s="81">
        <v>1</v>
      </c>
      <c r="M510" s="85">
        <v>593</v>
      </c>
      <c r="N510" s="85">
        <f>IFERROR(表格1[[#This Row],[QTY]]*表格1[[#This Row],[Unit Price]],"-")</f>
        <v>593</v>
      </c>
      <c r="O510" s="134">
        <v>344768</v>
      </c>
      <c r="P510" s="81"/>
      <c r="Q510" s="81"/>
      <c r="R510" s="81" t="str">
        <f>_xlfn.CONCAT(表格1[[#This Row],[Model]]," ",表格1[[#This Row],[inv no]])</f>
        <v>RC-5SLIH(W) 344768</v>
      </c>
      <c r="S510" s="135">
        <f>_xlfn.XLOOKUP(表格1[[#This Row],[Model]],表格3[Model-Input-Ref2],表格3[SRP PRICE])</f>
        <v>658</v>
      </c>
      <c r="T510" s="43">
        <f>表格1[[#This Row],[Unit Price]]/表格1[[#This Row],[SRP]]</f>
        <v>0.90121580547112456</v>
      </c>
      <c r="U510" s="86" t="str">
        <f>_xlfn.XLOOKUP(表格1[[#This Row],[Model]],表格3[Model-Input-Ref2],表格3[TOSHIBA/HIGHEST])</f>
        <v>Toshiba SRP</v>
      </c>
      <c r="V510" s="86">
        <v>110</v>
      </c>
      <c r="W510" s="86" t="str">
        <f>_xlfn.CONCAT(表格1[[#This Row],[欄4]],表格1[[#This Row],[inv no]])</f>
        <v>110344768</v>
      </c>
    </row>
    <row r="511" spans="1:23" hidden="1">
      <c r="A511" s="81">
        <v>509</v>
      </c>
      <c r="B511" s="81" t="s">
        <v>1366</v>
      </c>
      <c r="C511" s="81" t="s">
        <v>1367</v>
      </c>
      <c r="D511" s="82" t="str">
        <f ca="1">OFFSET(Roster!$A$3,MATCH(表格1[[#This Row],[Location]]&amp;" "&amp;表格1[[#This Row],[Shop]]&amp;"*",Roster!$A$4:$A$72,0),DAY(表格1[[#This Row],[date]]),1,1)</f>
        <v>Emma</v>
      </c>
      <c r="E511" s="81">
        <f>MONTH(表格1[[#This Row],[date]])</f>
        <v>3</v>
      </c>
      <c r="F511" s="101">
        <v>46099</v>
      </c>
      <c r="G511" s="81" t="str">
        <f>VLOOKUP("*"&amp;表格1[[#This Row],[Input]]&amp;"*",'Ref-List'!$B:$D,2,)</f>
        <v>MX2-TT20SC(WH)</v>
      </c>
      <c r="H511" s="81" t="str">
        <f>_xlfn.XLOOKUP(表格1[[#This Row],[Model]],表格3[Model-Input-Ref2],表格3[Product Line])</f>
        <v>3合1 微波蒸焗爐 (20公升)</v>
      </c>
      <c r="I511" s="81" t="str">
        <f>_xlfn.XLOOKUP(表格1[[#This Row],[Model]],表格3[Model-Input-Ref2],表格3[大小電])</f>
        <v>細電</v>
      </c>
      <c r="J511" s="81" t="str">
        <f>_xlfn.XLOOKUP(表格1[[#This Row],[Model]],表格3[Model-Input-Ref2],表格3[Code])</f>
        <v>MCA</v>
      </c>
      <c r="K511" s="82" t="s">
        <v>1287</v>
      </c>
      <c r="L511" s="81">
        <v>1</v>
      </c>
      <c r="M511" s="85">
        <v>2580</v>
      </c>
      <c r="N511" s="85">
        <f>IFERROR(表格1[[#This Row],[QTY]]*表格1[[#This Row],[Unit Price]],"-")</f>
        <v>2580</v>
      </c>
      <c r="O511" s="134">
        <v>348376</v>
      </c>
      <c r="P511" s="81"/>
      <c r="Q511" s="81"/>
      <c r="R511" s="81" t="str">
        <f>_xlfn.CONCAT(表格1[[#This Row],[Model]]," ",表格1[[#This Row],[inv no]])</f>
        <v>MX2-TT20SC(WH) 348376</v>
      </c>
      <c r="S511" s="135">
        <f>_xlfn.XLOOKUP(表格1[[#This Row],[Model]],表格3[Model-Input-Ref2],表格3[SRP PRICE])</f>
        <v>3580</v>
      </c>
      <c r="T511" s="43">
        <f>表格1[[#This Row],[Unit Price]]/表格1[[#This Row],[SRP]]</f>
        <v>0.72067039106145248</v>
      </c>
      <c r="U511" s="86" t="str">
        <f>_xlfn.XLOOKUP(表格1[[#This Row],[Model]],表格3[Model-Input-Ref2],表格3[TOSHIBA/HIGHEST])</f>
        <v>Toshiba SRP</v>
      </c>
      <c r="V511" s="86">
        <v>110</v>
      </c>
      <c r="W511" s="86" t="str">
        <f>_xlfn.CONCAT(表格1[[#This Row],[欄4]],表格1[[#This Row],[inv no]])</f>
        <v>110348376</v>
      </c>
    </row>
    <row r="512" spans="1:23" hidden="1">
      <c r="A512" s="81">
        <v>510</v>
      </c>
      <c r="B512" s="81" t="s">
        <v>1366</v>
      </c>
      <c r="C512" s="81" t="s">
        <v>1367</v>
      </c>
      <c r="D512" s="82" t="str">
        <f ca="1">OFFSET(Roster!$A$3,MATCH(表格1[[#This Row],[Location]]&amp;" "&amp;表格1[[#This Row],[Shop]]&amp;"*",Roster!$A$4:$A$72,0),DAY(表格1[[#This Row],[date]]),1,1)</f>
        <v>Emma</v>
      </c>
      <c r="E512" s="81">
        <f>MONTH(表格1[[#This Row],[date]])</f>
        <v>3</v>
      </c>
      <c r="F512" s="101">
        <v>46099</v>
      </c>
      <c r="G512" s="81" t="str">
        <f>VLOOKUP("*"&amp;表格1[[#This Row],[Input]]&amp;"*",'Ref-List'!$B:$D,2,)</f>
        <v>KT-17DRTHK(H)</v>
      </c>
      <c r="H512" s="81" t="str">
        <f>_xlfn.XLOOKUP(表格1[[#This Row],[Model]],表格3[Model-Input-Ref2],表格3[Product Line])</f>
        <v>無線雙層電熱水壺(1.7公升)</v>
      </c>
      <c r="I512" s="81" t="str">
        <f>_xlfn.XLOOKUP(表格1[[#This Row],[Model]],表格3[Model-Input-Ref2],表格3[大小電])</f>
        <v>細電</v>
      </c>
      <c r="J512" s="81" t="str">
        <f>_xlfn.XLOOKUP(表格1[[#This Row],[Model]],表格3[Model-Input-Ref2],表格3[Code])</f>
        <v>SDA</v>
      </c>
      <c r="K512" s="82" t="s">
        <v>1271</v>
      </c>
      <c r="L512" s="81">
        <v>1</v>
      </c>
      <c r="M512" s="85">
        <v>388</v>
      </c>
      <c r="N512" s="85">
        <f>IFERROR(表格1[[#This Row],[QTY]]*表格1[[#This Row],[Unit Price]],"-")</f>
        <v>388</v>
      </c>
      <c r="O512" s="134">
        <v>531214</v>
      </c>
      <c r="P512" s="81"/>
      <c r="Q512" s="81"/>
      <c r="R512" s="81" t="str">
        <f>_xlfn.CONCAT(表格1[[#This Row],[Model]]," ",表格1[[#This Row],[inv no]])</f>
        <v>KT-17DRTHK(H) 531214</v>
      </c>
      <c r="S512" s="135">
        <f>_xlfn.XLOOKUP(表格1[[#This Row],[Model]],表格3[Model-Input-Ref2],表格3[SRP PRICE])</f>
        <v>498</v>
      </c>
      <c r="T512" s="43">
        <f>表格1[[#This Row],[Unit Price]]/表格1[[#This Row],[SRP]]</f>
        <v>0.77911646586345384</v>
      </c>
      <c r="U512" s="86" t="str">
        <f>_xlfn.XLOOKUP(表格1[[#This Row],[Model]],表格3[Model-Input-Ref2],表格3[TOSHIBA/HIGHEST])</f>
        <v>Toshiba SRP</v>
      </c>
      <c r="V512" s="86">
        <v>110</v>
      </c>
      <c r="W512" s="86" t="str">
        <f>_xlfn.CONCAT(表格1[[#This Row],[欄4]],表格1[[#This Row],[inv no]])</f>
        <v>110531214</v>
      </c>
    </row>
    <row r="513" spans="1:23" hidden="1">
      <c r="A513" s="81">
        <v>511</v>
      </c>
      <c r="B513" s="81" t="s">
        <v>1366</v>
      </c>
      <c r="C513" s="81" t="s">
        <v>1367</v>
      </c>
      <c r="D513" s="82" t="str">
        <f ca="1">OFFSET(Roster!$A$3,MATCH(表格1[[#This Row],[Location]]&amp;" "&amp;表格1[[#This Row],[Shop]]&amp;"*",Roster!$A$4:$A$72,0),DAY(表格1[[#This Row],[date]]),1,1)</f>
        <v>Emma</v>
      </c>
      <c r="E513" s="81">
        <f>MONTH(表格1[[#This Row],[date]])</f>
        <v>3</v>
      </c>
      <c r="F513" s="101">
        <v>46099</v>
      </c>
      <c r="G513" s="81" t="str">
        <f>VLOOKUP("*"&amp;表格1[[#This Row],[Input]]&amp;"*",'Ref-List'!$B:$D,2,)</f>
        <v>RC-DX18T(W)</v>
      </c>
      <c r="H513" s="81" t="str">
        <f>_xlfn.XLOOKUP(表格1[[#This Row],[Model]],表格3[Model-Input-Ref2],表格3[Product Line])</f>
        <v>真空壓力磁應電飯煲(1.8公升)</v>
      </c>
      <c r="I513" s="81" t="str">
        <f>_xlfn.XLOOKUP(表格1[[#This Row],[Model]],表格3[Model-Input-Ref2],表格3[大小電])</f>
        <v>細電</v>
      </c>
      <c r="J513" s="81" t="str">
        <f>_xlfn.XLOOKUP(表格1[[#This Row],[Model]],表格3[Model-Input-Ref2],表格3[Code])</f>
        <v>SDA</v>
      </c>
      <c r="K513" s="82" t="s">
        <v>1368</v>
      </c>
      <c r="L513" s="81">
        <v>1</v>
      </c>
      <c r="M513" s="85">
        <v>4988</v>
      </c>
      <c r="N513" s="85">
        <f>IFERROR(表格1[[#This Row],[QTY]]*表格1[[#This Row],[Unit Price]],"-")</f>
        <v>4988</v>
      </c>
      <c r="O513" s="134">
        <v>531223</v>
      </c>
      <c r="P513" s="81"/>
      <c r="Q513" s="81"/>
      <c r="R513" s="81" t="str">
        <f>_xlfn.CONCAT(表格1[[#This Row],[Model]]," ",表格1[[#This Row],[inv no]])</f>
        <v>RC-DX18T(W) 531223</v>
      </c>
      <c r="S513" s="135">
        <f>_xlfn.XLOOKUP(表格1[[#This Row],[Model]],表格3[Model-Input-Ref2],表格3[SRP PRICE])</f>
        <v>6388</v>
      </c>
      <c r="T513" s="43">
        <f>表格1[[#This Row],[Unit Price]]/表格1[[#This Row],[SRP]]</f>
        <v>0.7808390732623669</v>
      </c>
      <c r="U513" s="86" t="str">
        <f>_xlfn.XLOOKUP(表格1[[#This Row],[Model]],表格3[Model-Input-Ref2],表格3[TOSHIBA/HIGHEST])</f>
        <v>Toshiba SRP</v>
      </c>
      <c r="V513" s="86">
        <v>110</v>
      </c>
      <c r="W513" s="86" t="str">
        <f>_xlfn.CONCAT(表格1[[#This Row],[欄4]],表格1[[#This Row],[inv no]])</f>
        <v>110531223</v>
      </c>
    </row>
    <row r="514" spans="1:23" hidden="1">
      <c r="A514" s="81">
        <v>512</v>
      </c>
      <c r="B514" s="81" t="s">
        <v>1366</v>
      </c>
      <c r="C514" s="81" t="s">
        <v>1367</v>
      </c>
      <c r="D514" s="82" t="str">
        <f ca="1">OFFSET(Roster!$A$3,MATCH(表格1[[#This Row],[Location]]&amp;" "&amp;表格1[[#This Row],[Shop]]&amp;"*",Roster!$A$4:$A$72,0),DAY(表格1[[#This Row],[date]]),1,1)</f>
        <v>Emma</v>
      </c>
      <c r="E514" s="81">
        <f>MONTH(表格1[[#This Row],[date]])</f>
        <v>3</v>
      </c>
      <c r="F514" s="101">
        <v>46099</v>
      </c>
      <c r="G514" s="81" t="str">
        <f>VLOOKUP("*"&amp;表格1[[#This Row],[Input]]&amp;"*",'Ref-List'!$B:$D,2,)</f>
        <v>ET-TD7080(PN)</v>
      </c>
      <c r="H514" s="81" t="str">
        <f>_xlfn.XLOOKUP(表格1[[#This Row],[Model]],表格3[Model-Input-Ref2],表格3[Product Line])</f>
        <v>多士焗爐8L</v>
      </c>
      <c r="I514" s="81" t="str">
        <f>_xlfn.XLOOKUP(表格1[[#This Row],[Model]],表格3[Model-Input-Ref2],表格3[大小電])</f>
        <v>細電</v>
      </c>
      <c r="J514" s="81" t="str">
        <f>_xlfn.XLOOKUP(表格1[[#This Row],[Model]],表格3[Model-Input-Ref2],表格3[Code])</f>
        <v>SDA</v>
      </c>
      <c r="K514" s="82">
        <v>7080</v>
      </c>
      <c r="L514" s="81">
        <v>1</v>
      </c>
      <c r="M514" s="85">
        <v>358</v>
      </c>
      <c r="N514" s="85">
        <f>IFERROR(表格1[[#This Row],[QTY]]*表格1[[#This Row],[Unit Price]],"-")</f>
        <v>358</v>
      </c>
      <c r="O514" s="134">
        <v>531226</v>
      </c>
      <c r="P514" s="81"/>
      <c r="Q514" s="81"/>
      <c r="R514" s="81" t="str">
        <f>_xlfn.CONCAT(表格1[[#This Row],[Model]]," ",表格1[[#This Row],[inv no]])</f>
        <v>ET-TD7080(PN) 531226</v>
      </c>
      <c r="S514" s="135">
        <f>_xlfn.XLOOKUP(表格1[[#This Row],[Model]],表格3[Model-Input-Ref2],表格3[SRP PRICE])</f>
        <v>498</v>
      </c>
      <c r="T514" s="43">
        <f>表格1[[#This Row],[Unit Price]]/表格1[[#This Row],[SRP]]</f>
        <v>0.71887550200803207</v>
      </c>
      <c r="U514" s="86" t="str">
        <f>_xlfn.XLOOKUP(表格1[[#This Row],[Model]],表格3[Model-Input-Ref2],表格3[TOSHIBA/HIGHEST])</f>
        <v>Toshiba SRP</v>
      </c>
      <c r="V514" s="86">
        <v>110</v>
      </c>
      <c r="W514" s="86" t="str">
        <f>_xlfn.CONCAT(表格1[[#This Row],[欄4]],表格1[[#This Row],[inv no]])</f>
        <v>110531226</v>
      </c>
    </row>
    <row r="515" spans="1:23" hidden="1">
      <c r="A515" s="81">
        <v>513</v>
      </c>
      <c r="B515" s="81" t="s">
        <v>1366</v>
      </c>
      <c r="C515" s="81" t="s">
        <v>1367</v>
      </c>
      <c r="D515" s="82" t="str">
        <f ca="1">OFFSET(Roster!$A$3,MATCH(表格1[[#This Row],[Location]]&amp;" "&amp;表格1[[#This Row],[Shop]]&amp;"*",Roster!$A$4:$A$72,0),DAY(表格1[[#This Row],[date]]),1,1)</f>
        <v>Emma</v>
      </c>
      <c r="E515" s="81">
        <f>MONTH(表格1[[#This Row],[date]])</f>
        <v>3</v>
      </c>
      <c r="F515" s="101">
        <v>46099</v>
      </c>
      <c r="G515" s="81" t="str">
        <f>VLOOKUP("*"&amp;表格1[[#This Row],[Input]]&amp;"*",'Ref-List'!$B:$D,2,)</f>
        <v>TP-25DR2UHK(W)</v>
      </c>
      <c r="H515" s="81" t="str">
        <f>_xlfn.XLOOKUP(表格1[[#This Row],[Model]],表格3[Model-Input-Ref2],表格3[Product Line])</f>
        <v>電熱水瓶 (2.5公升)</v>
      </c>
      <c r="I515" s="81" t="str">
        <f>_xlfn.XLOOKUP(表格1[[#This Row],[Model]],表格3[Model-Input-Ref2],表格3[大小電])</f>
        <v>細電</v>
      </c>
      <c r="J515" s="81" t="str">
        <f>_xlfn.XLOOKUP(表格1[[#This Row],[Model]],表格3[Model-Input-Ref2],表格3[Code])</f>
        <v>SDA</v>
      </c>
      <c r="K515" s="82" t="s">
        <v>1369</v>
      </c>
      <c r="L515" s="81">
        <v>1</v>
      </c>
      <c r="M515" s="85">
        <v>398</v>
      </c>
      <c r="N515" s="85">
        <f>IFERROR(表格1[[#This Row],[QTY]]*表格1[[#This Row],[Unit Price]],"-")</f>
        <v>398</v>
      </c>
      <c r="O515" s="134">
        <v>531316</v>
      </c>
      <c r="P515" s="81"/>
      <c r="Q515" s="81"/>
      <c r="R515" s="81" t="str">
        <f>_xlfn.CONCAT(表格1[[#This Row],[Model]]," ",表格1[[#This Row],[inv no]])</f>
        <v>TP-25DR2UHK(W) 531316</v>
      </c>
      <c r="S515" s="135">
        <f>_xlfn.XLOOKUP(表格1[[#This Row],[Model]],表格3[Model-Input-Ref2],表格3[SRP PRICE])</f>
        <v>538</v>
      </c>
      <c r="T515" s="43">
        <f>表格1[[#This Row],[Unit Price]]/表格1[[#This Row],[SRP]]</f>
        <v>0.7397769516728625</v>
      </c>
      <c r="U515" s="86" t="str">
        <f>_xlfn.XLOOKUP(表格1[[#This Row],[Model]],表格3[Model-Input-Ref2],表格3[TOSHIBA/HIGHEST])</f>
        <v>Toshiba SRP</v>
      </c>
      <c r="V515" s="86">
        <v>110</v>
      </c>
      <c r="W515" s="86" t="str">
        <f>_xlfn.CONCAT(表格1[[#This Row],[欄4]],表格1[[#This Row],[inv no]])</f>
        <v>110531316</v>
      </c>
    </row>
    <row r="516" spans="1:23" hidden="1">
      <c r="A516" s="81">
        <v>514</v>
      </c>
      <c r="B516" s="81" t="s">
        <v>1366</v>
      </c>
      <c r="C516" s="81" t="s">
        <v>1367</v>
      </c>
      <c r="D516" s="82" t="str">
        <f ca="1">OFFSET(Roster!$A$3,MATCH(表格1[[#This Row],[Location]]&amp;" "&amp;表格1[[#This Row],[Shop]]&amp;"*",Roster!$A$4:$A$72,0),DAY(表格1[[#This Row],[date]]),1,1)</f>
        <v>Emma</v>
      </c>
      <c r="E516" s="81">
        <f>MONTH(表格1[[#This Row],[date]])</f>
        <v>3</v>
      </c>
      <c r="F516" s="101">
        <v>46099</v>
      </c>
      <c r="G516" s="81" t="str">
        <f>VLOOKUP("*"&amp;表格1[[#This Row],[Input]]&amp;"*",'Ref-List'!$B:$D,2,)</f>
        <v>MWP-MM20P(WH)</v>
      </c>
      <c r="H516" s="81" t="str">
        <f>_xlfn.XLOOKUP(表格1[[#This Row],[Model]],表格3[Model-Input-Ref2],表格3[Product Line])</f>
        <v>旋鈕式燒烤微波爐20L</v>
      </c>
      <c r="I516" s="81" t="str">
        <f>_xlfn.XLOOKUP(表格1[[#This Row],[Model]],表格3[Model-Input-Ref2],表格3[大小電])</f>
        <v>細電</v>
      </c>
      <c r="J516" s="81" t="str">
        <f>_xlfn.XLOOKUP(表格1[[#This Row],[Model]],表格3[Model-Input-Ref2],表格3[Code])</f>
        <v>SDA</v>
      </c>
      <c r="K516" s="82" t="s">
        <v>1270</v>
      </c>
      <c r="L516" s="81">
        <v>1</v>
      </c>
      <c r="M516" s="85">
        <v>488</v>
      </c>
      <c r="N516" s="85">
        <f>IFERROR(表格1[[#This Row],[QTY]]*表格1[[#This Row],[Unit Price]],"-")</f>
        <v>488</v>
      </c>
      <c r="O516" s="134">
        <v>531361</v>
      </c>
      <c r="P516" s="81"/>
      <c r="Q516" s="81"/>
      <c r="R516" s="81" t="str">
        <f>_xlfn.CONCAT(表格1[[#This Row],[Model]]," ",表格1[[#This Row],[inv no]])</f>
        <v>MWP-MM20P(WH) 531361</v>
      </c>
      <c r="S516" s="135">
        <f>_xlfn.XLOOKUP(表格1[[#This Row],[Model]],表格3[Model-Input-Ref2],表格3[SRP PRICE])</f>
        <v>648</v>
      </c>
      <c r="T516" s="43">
        <f>表格1[[#This Row],[Unit Price]]/表格1[[#This Row],[SRP]]</f>
        <v>0.75308641975308643</v>
      </c>
      <c r="U516" s="86" t="str">
        <f>_xlfn.XLOOKUP(表格1[[#This Row],[Model]],表格3[Model-Input-Ref2],表格3[TOSHIBA/HIGHEST])</f>
        <v>Toshiba SRP</v>
      </c>
      <c r="V516" s="86">
        <v>110</v>
      </c>
      <c r="W516" s="86" t="str">
        <f>_xlfn.CONCAT(表格1[[#This Row],[欄4]],表格1[[#This Row],[inv no]])</f>
        <v>110531361</v>
      </c>
    </row>
    <row r="517" spans="1:23" hidden="1">
      <c r="A517" s="81">
        <v>515</v>
      </c>
      <c r="B517" s="81" t="s">
        <v>1366</v>
      </c>
      <c r="C517" s="81" t="s">
        <v>1367</v>
      </c>
      <c r="D517" s="82" t="str">
        <f ca="1">OFFSET(Roster!$A$3,MATCH(表格1[[#This Row],[Location]]&amp;" "&amp;表格1[[#This Row],[Shop]]&amp;"*",Roster!$A$4:$A$72,0),DAY(表格1[[#This Row],[date]]),1,1)</f>
        <v>Emma</v>
      </c>
      <c r="E517" s="81">
        <f>MONTH(表格1[[#This Row],[date]])</f>
        <v>3</v>
      </c>
      <c r="F517" s="101">
        <v>46100</v>
      </c>
      <c r="G517" s="81" t="str">
        <f>VLOOKUP("*"&amp;表格1[[#This Row],[Input]]&amp;"*",'Ref-List'!$B:$D,2,)</f>
        <v>RC-DR10T(W)</v>
      </c>
      <c r="H517" s="81" t="str">
        <f>_xlfn.XLOOKUP(表格1[[#This Row],[Model]],表格3[Model-Input-Ref2],表格3[Product Line])</f>
        <v>IH磁應電飯煲</v>
      </c>
      <c r="I517" s="81" t="str">
        <f>_xlfn.XLOOKUP(表格1[[#This Row],[Model]],表格3[Model-Input-Ref2],表格3[大小電])</f>
        <v>細電</v>
      </c>
      <c r="J517" s="81" t="str">
        <f>_xlfn.XLOOKUP(表格1[[#This Row],[Model]],表格3[Model-Input-Ref2],表格3[Code])</f>
        <v>SDA</v>
      </c>
      <c r="K517" s="82" t="s">
        <v>1294</v>
      </c>
      <c r="L517" s="81">
        <v>1</v>
      </c>
      <c r="M517" s="85">
        <v>2380</v>
      </c>
      <c r="N517" s="85">
        <f>IFERROR(表格1[[#This Row],[QTY]]*表格1[[#This Row],[Unit Price]],"-")</f>
        <v>2380</v>
      </c>
      <c r="O517" s="134">
        <v>531628</v>
      </c>
      <c r="P517" s="81"/>
      <c r="Q517" s="81"/>
      <c r="R517" s="81" t="str">
        <f>_xlfn.CONCAT(表格1[[#This Row],[Model]]," ",表格1[[#This Row],[inv no]])</f>
        <v>RC-DR10T(W) 531628</v>
      </c>
      <c r="S517" s="135">
        <f>_xlfn.XLOOKUP(表格1[[#This Row],[Model]],表格3[Model-Input-Ref2],表格3[SRP PRICE])</f>
        <v>3188</v>
      </c>
      <c r="T517" s="43">
        <f>表格1[[#This Row],[Unit Price]]/表格1[[#This Row],[SRP]]</f>
        <v>0.74654956085319946</v>
      </c>
      <c r="U517" s="86" t="str">
        <f>_xlfn.XLOOKUP(表格1[[#This Row],[Model]],表格3[Model-Input-Ref2],表格3[TOSHIBA/HIGHEST])</f>
        <v>Toshiba SRP</v>
      </c>
      <c r="V517" s="86">
        <v>110</v>
      </c>
      <c r="W517" s="86" t="str">
        <f>_xlfn.CONCAT(表格1[[#This Row],[欄4]],表格1[[#This Row],[inv no]])</f>
        <v>110531628</v>
      </c>
    </row>
    <row r="518" spans="1:23" hidden="1">
      <c r="A518" s="81">
        <v>516</v>
      </c>
      <c r="B518" s="81" t="s">
        <v>1366</v>
      </c>
      <c r="C518" s="81" t="s">
        <v>1367</v>
      </c>
      <c r="D518" s="82" t="str">
        <f ca="1">OFFSET(Roster!$A$3,MATCH(表格1[[#This Row],[Location]]&amp;" "&amp;表格1[[#This Row],[Shop]]&amp;"*",Roster!$A$4:$A$72,0),DAY(表格1[[#This Row],[date]]),1,1)</f>
        <v>Emma</v>
      </c>
      <c r="E518" s="81">
        <f>MONTH(表格1[[#This Row],[date]])</f>
        <v>3</v>
      </c>
      <c r="F518" s="101">
        <v>46100</v>
      </c>
      <c r="G518" s="81" t="str">
        <f>VLOOKUP("*"&amp;表格1[[#This Row],[Input]]&amp;"*",'Ref-List'!$B:$D,2,)</f>
        <v>MM2-EG20PC(WH)</v>
      </c>
      <c r="H518" s="81" t="str">
        <f>_xlfn.XLOOKUP(表格1[[#This Row],[Model]],表格3[Model-Input-Ref2],表格3[Product Line])</f>
        <v>輕觸式燒烤微波爐</v>
      </c>
      <c r="I518" s="81" t="str">
        <f>_xlfn.XLOOKUP(表格1[[#This Row],[Model]],表格3[Model-Input-Ref2],表格3[大小電])</f>
        <v>細電</v>
      </c>
      <c r="J518" s="81" t="str">
        <f>_xlfn.XLOOKUP(表格1[[#This Row],[Model]],表格3[Model-Input-Ref2],表格3[Code])</f>
        <v>MCA</v>
      </c>
      <c r="K518" s="82" t="s">
        <v>1273</v>
      </c>
      <c r="L518" s="81">
        <v>1</v>
      </c>
      <c r="M518" s="85">
        <v>698</v>
      </c>
      <c r="N518" s="85">
        <f>IFERROR(表格1[[#This Row],[QTY]]*表格1[[#This Row],[Unit Price]],"-")</f>
        <v>698</v>
      </c>
      <c r="O518" s="134">
        <v>320807</v>
      </c>
      <c r="P518" s="81"/>
      <c r="Q518" s="81"/>
      <c r="R518" s="81" t="str">
        <f>_xlfn.CONCAT(表格1[[#This Row],[Model]]," ",表格1[[#This Row],[inv no]])</f>
        <v>MM2-EG20PC(WH) 320807</v>
      </c>
      <c r="S518" s="135">
        <f>_xlfn.XLOOKUP(表格1[[#This Row],[Model]],表格3[Model-Input-Ref2],表格3[SRP PRICE])</f>
        <v>918</v>
      </c>
      <c r="T518" s="43">
        <f>表格1[[#This Row],[Unit Price]]/表格1[[#This Row],[SRP]]</f>
        <v>0.76034858387799564</v>
      </c>
      <c r="U518" s="86" t="str">
        <f>_xlfn.XLOOKUP(表格1[[#This Row],[Model]],表格3[Model-Input-Ref2],表格3[TOSHIBA/HIGHEST])</f>
        <v>Shops Highest Price</v>
      </c>
      <c r="V518" s="86">
        <v>110</v>
      </c>
      <c r="W518" s="86" t="str">
        <f>_xlfn.CONCAT(表格1[[#This Row],[欄4]],表格1[[#This Row],[inv no]])</f>
        <v>110320807</v>
      </c>
    </row>
    <row r="519" spans="1:23" ht="15" hidden="1" customHeight="1">
      <c r="A519" s="81">
        <v>517</v>
      </c>
      <c r="B519" s="81" t="s">
        <v>1366</v>
      </c>
      <c r="C519" s="81" t="s">
        <v>1367</v>
      </c>
      <c r="D519" s="82" t="str">
        <f ca="1">OFFSET(Roster!$A$3,MATCH(表格1[[#This Row],[Location]]&amp;" "&amp;表格1[[#This Row],[Shop]]&amp;"*",Roster!$A$4:$A$72,0),DAY(表格1[[#This Row],[date]]),1,1)</f>
        <v>Emma</v>
      </c>
      <c r="E519" s="81">
        <f>MONTH(表格1[[#This Row],[date]])</f>
        <v>3</v>
      </c>
      <c r="F519" s="101">
        <v>46100</v>
      </c>
      <c r="G519" s="81" t="str">
        <f>VLOOKUP("*"&amp;表格1[[#This Row],[Input]]&amp;"*",'Ref-List'!$B:$D,2,)</f>
        <v>RAD-D200H</v>
      </c>
      <c r="H519" s="81" t="str">
        <f>_xlfn.XLOOKUP(表格1[[#This Row],[Model]],表格3[Model-Input-Ref2],表格3[Product Line])</f>
        <v>壓縮式抽濕機 (22公升)</v>
      </c>
      <c r="I519" s="81" t="str">
        <f>_xlfn.XLOOKUP(表格1[[#This Row],[Model]],表格3[Model-Input-Ref2],表格3[大小電])</f>
        <v>細電</v>
      </c>
      <c r="J519" s="81" t="str">
        <f>_xlfn.XLOOKUP(表格1[[#This Row],[Model]],表格3[Model-Input-Ref2],表格3[Code])</f>
        <v>RAC</v>
      </c>
      <c r="K519" s="82" t="s">
        <v>1250</v>
      </c>
      <c r="L519" s="81">
        <v>1</v>
      </c>
      <c r="M519" s="85">
        <v>1980</v>
      </c>
      <c r="N519" s="85">
        <f>IFERROR(表格1[[#This Row],[QTY]]*表格1[[#This Row],[Unit Price]],"-")</f>
        <v>1980</v>
      </c>
      <c r="O519" s="134">
        <v>320807</v>
      </c>
      <c r="P519" s="81"/>
      <c r="Q519" s="81"/>
      <c r="R519" s="81" t="str">
        <f>_xlfn.CONCAT(表格1[[#This Row],[Model]]," ",表格1[[#This Row],[inv no]])</f>
        <v>RAD-D200H 320807</v>
      </c>
      <c r="S519" s="135">
        <f>_xlfn.XLOOKUP(表格1[[#This Row],[Model]],表格3[Model-Input-Ref2],表格3[SRP PRICE])</f>
        <v>2880</v>
      </c>
      <c r="T519" s="43">
        <f>表格1[[#This Row],[Unit Price]]/表格1[[#This Row],[SRP]]</f>
        <v>0.6875</v>
      </c>
      <c r="U519" s="86" t="str">
        <f>_xlfn.XLOOKUP(表格1[[#This Row],[Model]],表格3[Model-Input-Ref2],表格3[TOSHIBA/HIGHEST])</f>
        <v>Shops Highest Price</v>
      </c>
      <c r="V519" s="86">
        <v>110</v>
      </c>
      <c r="W519" s="86" t="str">
        <f>_xlfn.CONCAT(表格1[[#This Row],[欄4]],表格1[[#This Row],[inv no]])</f>
        <v>110320807</v>
      </c>
    </row>
    <row r="520" spans="1:23" hidden="1">
      <c r="A520" s="81">
        <v>518</v>
      </c>
      <c r="B520" s="81" t="s">
        <v>1366</v>
      </c>
      <c r="C520" s="81" t="s">
        <v>1367</v>
      </c>
      <c r="D520" s="82" t="str">
        <f ca="1">OFFSET(Roster!$A$3,MATCH(表格1[[#This Row],[Location]]&amp;" "&amp;表格1[[#This Row],[Shop]]&amp;"*",Roster!$A$4:$A$72,0),DAY(表格1[[#This Row],[date]]),1,1)</f>
        <v>Emma</v>
      </c>
      <c r="E520" s="81">
        <f>MONTH(表格1[[#This Row],[date]])</f>
        <v>3</v>
      </c>
      <c r="F520" s="101">
        <v>46100</v>
      </c>
      <c r="G520" s="81" t="str">
        <f>VLOOKUP("*"&amp;表格1[[#This Row],[Input]]&amp;"*",'Ref-List'!$B:$D,2,)</f>
        <v>KT-08DH1VHK(W)</v>
      </c>
      <c r="H520" s="81" t="str">
        <f>_xlfn.XLOOKUP(表格1[[#This Row],[Model]],表格3[Model-Input-Ref2],表格3[Product Line])</f>
        <v>無線雙層電熱水壺-附可鎖壺蓋(0.8公升)</v>
      </c>
      <c r="I520" s="81" t="str">
        <f>_xlfn.XLOOKUP(表格1[[#This Row],[Model]],表格3[Model-Input-Ref2],表格3[大小電])</f>
        <v>細電</v>
      </c>
      <c r="J520" s="81" t="str">
        <f>_xlfn.XLOOKUP(表格1[[#This Row],[Model]],表格3[Model-Input-Ref2],表格3[Code])</f>
        <v>SDA</v>
      </c>
      <c r="K520" s="82" t="s">
        <v>1268</v>
      </c>
      <c r="L520" s="81">
        <v>1</v>
      </c>
      <c r="M520" s="85">
        <v>268</v>
      </c>
      <c r="N520" s="85">
        <f>IFERROR(表格1[[#This Row],[QTY]]*表格1[[#This Row],[Unit Price]],"-")</f>
        <v>268</v>
      </c>
      <c r="O520" s="134">
        <v>531766</v>
      </c>
      <c r="P520" s="81"/>
      <c r="Q520" s="81"/>
      <c r="R520" s="81" t="str">
        <f>_xlfn.CONCAT(表格1[[#This Row],[Model]]," ",表格1[[#This Row],[inv no]])</f>
        <v>KT-08DH1VHK(W) 531766</v>
      </c>
      <c r="S520" s="135">
        <f>_xlfn.XLOOKUP(表格1[[#This Row],[Model]],表格3[Model-Input-Ref2],表格3[SRP PRICE])</f>
        <v>428</v>
      </c>
      <c r="T520" s="43">
        <f>表格1[[#This Row],[Unit Price]]/表格1[[#This Row],[SRP]]</f>
        <v>0.62616822429906538</v>
      </c>
      <c r="U520" s="86" t="str">
        <f>_xlfn.XLOOKUP(表格1[[#This Row],[Model]],表格3[Model-Input-Ref2],表格3[TOSHIBA/HIGHEST])</f>
        <v>Toshiba SRP</v>
      </c>
      <c r="V520" s="86">
        <v>110</v>
      </c>
      <c r="W520" s="86" t="str">
        <f>_xlfn.CONCAT(表格1[[#This Row],[欄4]],表格1[[#This Row],[inv no]])</f>
        <v>110531766</v>
      </c>
    </row>
    <row r="521" spans="1:23" hidden="1">
      <c r="A521" s="81">
        <v>519</v>
      </c>
      <c r="B521" s="81" t="s">
        <v>1260</v>
      </c>
      <c r="C521" s="81" t="s">
        <v>1374</v>
      </c>
      <c r="D521" s="82" t="str">
        <f ca="1">OFFSET(Roster!$A$3,MATCH(表格1[[#This Row],[Location]]&amp;" "&amp;表格1[[#This Row],[Shop]]&amp;"*",Roster!$A$4:$A$72,0),DAY(表格1[[#This Row],[date]]),1,1)</f>
        <v>Ling Ho</v>
      </c>
      <c r="E521" s="81">
        <f>MONTH(表格1[[#This Row],[date]])</f>
        <v>3</v>
      </c>
      <c r="F521" s="101">
        <v>46082</v>
      </c>
      <c r="G521" s="81" t="str">
        <f>VLOOKUP("*"&amp;表格1[[#This Row],[Input]]&amp;"*",'Ref-List'!$B:$D,2,)</f>
        <v>RC-5MMIH(WT)</v>
      </c>
      <c r="H521" s="81" t="str">
        <f>_xlfn.XLOOKUP(表格1[[#This Row],[Model]],表格3[Model-Input-Ref2],表格3[Product Line])</f>
        <v>4毫米厚釜電飯煲0.54L</v>
      </c>
      <c r="I521" s="81" t="str">
        <f>_xlfn.XLOOKUP(表格1[[#This Row],[Model]],表格3[Model-Input-Ref2],表格3[大小電])</f>
        <v>細電</v>
      </c>
      <c r="J521" s="81" t="str">
        <f>_xlfn.XLOOKUP(表格1[[#This Row],[Model]],表格3[Model-Input-Ref2],表格3[Code])</f>
        <v>SDA</v>
      </c>
      <c r="K521" s="82" t="s">
        <v>1195</v>
      </c>
      <c r="L521" s="81">
        <v>1</v>
      </c>
      <c r="M521" s="85">
        <v>548</v>
      </c>
      <c r="N521" s="85">
        <f>IFERROR(表格1[[#This Row],[QTY]]*表格1[[#This Row],[Unit Price]],"-")</f>
        <v>548</v>
      </c>
      <c r="O521" s="134">
        <v>382848</v>
      </c>
      <c r="P521" s="81"/>
      <c r="Q521" s="81"/>
      <c r="R521" s="81" t="str">
        <f>_xlfn.CONCAT(表格1[[#This Row],[Model]]," ",表格1[[#This Row],[inv no]])</f>
        <v>RC-5MMIH(WT) 382848</v>
      </c>
      <c r="S521" s="135">
        <f>_xlfn.XLOOKUP(表格1[[#This Row],[Model]],表格3[Model-Input-Ref2],表格3[SRP PRICE])</f>
        <v>618</v>
      </c>
      <c r="T521" s="43">
        <f>表格1[[#This Row],[Unit Price]]/表格1[[#This Row],[SRP]]</f>
        <v>0.88673139158576053</v>
      </c>
      <c r="U521" s="86" t="str">
        <f>_xlfn.XLOOKUP(表格1[[#This Row],[Model]],表格3[Model-Input-Ref2],表格3[TOSHIBA/HIGHEST])</f>
        <v>Toshiba SRP</v>
      </c>
      <c r="V521" s="86">
        <v>110</v>
      </c>
      <c r="W521" s="86" t="str">
        <f>_xlfn.CONCAT(表格1[[#This Row],[欄4]],表格1[[#This Row],[inv no]])</f>
        <v>110382848</v>
      </c>
    </row>
    <row r="522" spans="1:23" hidden="1">
      <c r="A522" s="81">
        <v>520</v>
      </c>
      <c r="B522" s="81" t="s">
        <v>1260</v>
      </c>
      <c r="C522" s="81" t="s">
        <v>1374</v>
      </c>
      <c r="D522" s="82" t="str">
        <f ca="1">OFFSET(Roster!$A$3,MATCH(表格1[[#This Row],[Location]]&amp;" "&amp;表格1[[#This Row],[Shop]]&amp;"*",Roster!$A$4:$A$72,0),DAY(表格1[[#This Row],[date]]),1,1)</f>
        <v>Ling Ho</v>
      </c>
      <c r="E522" s="81">
        <f>MONTH(表格1[[#This Row],[date]])</f>
        <v>3</v>
      </c>
      <c r="F522" s="101">
        <v>46082</v>
      </c>
      <c r="G522" s="81" t="str">
        <f>VLOOKUP("*"&amp;表格1[[#This Row],[Input]]&amp;"*",'Ref-List'!$B:$D,2,)</f>
        <v>MWP-MM20P(WH)</v>
      </c>
      <c r="H522" s="81" t="str">
        <f>_xlfn.XLOOKUP(表格1[[#This Row],[Model]],表格3[Model-Input-Ref2],表格3[Product Line])</f>
        <v>旋鈕式燒烤微波爐20L</v>
      </c>
      <c r="I522" s="81" t="str">
        <f>_xlfn.XLOOKUP(表格1[[#This Row],[Model]],表格3[Model-Input-Ref2],表格3[大小電])</f>
        <v>細電</v>
      </c>
      <c r="J522" s="81" t="str">
        <f>_xlfn.XLOOKUP(表格1[[#This Row],[Model]],表格3[Model-Input-Ref2],表格3[Code])</f>
        <v>SDA</v>
      </c>
      <c r="K522" s="82" t="s">
        <v>1270</v>
      </c>
      <c r="L522" s="81">
        <v>1</v>
      </c>
      <c r="M522" s="85">
        <v>488</v>
      </c>
      <c r="N522" s="85">
        <f>IFERROR(表格1[[#This Row],[QTY]]*表格1[[#This Row],[Unit Price]],"-")</f>
        <v>488</v>
      </c>
      <c r="O522" s="134">
        <v>439357</v>
      </c>
      <c r="P522" s="81"/>
      <c r="Q522" s="81"/>
      <c r="R522" s="81" t="str">
        <f>_xlfn.CONCAT(表格1[[#This Row],[Model]]," ",表格1[[#This Row],[inv no]])</f>
        <v>MWP-MM20P(WH) 439357</v>
      </c>
      <c r="S522" s="135">
        <f>_xlfn.XLOOKUP(表格1[[#This Row],[Model]],表格3[Model-Input-Ref2],表格3[SRP PRICE])</f>
        <v>648</v>
      </c>
      <c r="T522" s="43">
        <f>表格1[[#This Row],[Unit Price]]/表格1[[#This Row],[SRP]]</f>
        <v>0.75308641975308643</v>
      </c>
      <c r="U522" s="86" t="str">
        <f>_xlfn.XLOOKUP(表格1[[#This Row],[Model]],表格3[Model-Input-Ref2],表格3[TOSHIBA/HIGHEST])</f>
        <v>Toshiba SRP</v>
      </c>
      <c r="V522" s="86">
        <v>110</v>
      </c>
      <c r="W522" s="86" t="str">
        <f>_xlfn.CONCAT(表格1[[#This Row],[欄4]],表格1[[#This Row],[inv no]])</f>
        <v>110439357</v>
      </c>
    </row>
    <row r="523" spans="1:23" ht="16.5" hidden="1">
      <c r="A523" s="81">
        <v>521</v>
      </c>
      <c r="B523" s="81" t="s">
        <v>1260</v>
      </c>
      <c r="C523" s="81" t="s">
        <v>1374</v>
      </c>
      <c r="D523" s="82" t="str">
        <f ca="1">OFFSET(Roster!$A$3,MATCH(表格1[[#This Row],[Location]]&amp;" "&amp;表格1[[#This Row],[Shop]]&amp;"*",Roster!$A$4:$A$72,0),DAY(表格1[[#This Row],[date]]),1,1)</f>
        <v>Ling Ho</v>
      </c>
      <c r="E523" s="81">
        <f>MONTH(表格1[[#This Row],[date]])</f>
        <v>3</v>
      </c>
      <c r="F523" s="101">
        <v>46082</v>
      </c>
      <c r="G523" s="81" t="str">
        <f>VLOOKUP("*"&amp;表格1[[#This Row],[Input]]&amp;"*",'Ref-List'!$B:$D,2,)</f>
        <v>RC-5SLIH(W)</v>
      </c>
      <c r="H523" s="81" t="str">
        <f>_xlfn.XLOOKUP(表格1[[#This Row],[Model]],表格3[Model-Input-Ref2],表格3[Product Line])</f>
        <v>微型電腦珍珠飯煲</v>
      </c>
      <c r="I523" s="81" t="str">
        <f>_xlfn.XLOOKUP(表格1[[#This Row],[Model]],表格3[Model-Input-Ref2],表格3[大小電])</f>
        <v>細電</v>
      </c>
      <c r="J523" s="81" t="str">
        <f>_xlfn.XLOOKUP(表格1[[#This Row],[Model]],表格3[Model-Input-Ref2],表格3[Code])</f>
        <v>SDA</v>
      </c>
      <c r="K523" s="82" t="s">
        <v>1264</v>
      </c>
      <c r="L523" s="81">
        <v>1</v>
      </c>
      <c r="M523" s="85">
        <v>478</v>
      </c>
      <c r="N523" s="85">
        <f>IFERROR(表格1[[#This Row],[QTY]]*表格1[[#This Row],[Unit Price]],"-")</f>
        <v>478</v>
      </c>
      <c r="O523" s="134" t="s">
        <v>1380</v>
      </c>
      <c r="P523" s="137"/>
      <c r="Q523" s="81"/>
      <c r="R523" s="81" t="str">
        <f>_xlfn.CONCAT(表格1[[#This Row],[Model]]," ",表格1[[#This Row],[inv no]])</f>
        <v>RC-5SLIH(W) 060673</v>
      </c>
      <c r="S523" s="135">
        <f>_xlfn.XLOOKUP(表格1[[#This Row],[Model]],表格3[Model-Input-Ref2],表格3[SRP PRICE])</f>
        <v>658</v>
      </c>
      <c r="T523" s="43">
        <f>表格1[[#This Row],[Unit Price]]/表格1[[#This Row],[SRP]]</f>
        <v>0.7264437689969605</v>
      </c>
      <c r="U523" s="86" t="str">
        <f>_xlfn.XLOOKUP(表格1[[#This Row],[Model]],表格3[Model-Input-Ref2],表格3[TOSHIBA/HIGHEST])</f>
        <v>Toshiba SRP</v>
      </c>
      <c r="V523" s="86">
        <v>110</v>
      </c>
      <c r="W523" s="86" t="str">
        <f>_xlfn.CONCAT(表格1[[#This Row],[欄4]],表格1[[#This Row],[inv no]])</f>
        <v>110060673</v>
      </c>
    </row>
    <row r="524" spans="1:23" hidden="1">
      <c r="A524" s="81">
        <v>522</v>
      </c>
      <c r="B524" s="81" t="s">
        <v>1260</v>
      </c>
      <c r="C524" s="81" t="s">
        <v>1374</v>
      </c>
      <c r="D524" s="82" t="str">
        <f ca="1">OFFSET(Roster!$A$3,MATCH(表格1[[#This Row],[Location]]&amp;" "&amp;表格1[[#This Row],[Shop]]&amp;"*",Roster!$A$4:$A$72,0),DAY(表格1[[#This Row],[date]]),1,1)</f>
        <v>Ling Ho</v>
      </c>
      <c r="E524" s="81">
        <f>MONTH(表格1[[#This Row],[date]])</f>
        <v>3</v>
      </c>
      <c r="F524" s="101">
        <v>46082</v>
      </c>
      <c r="G524" s="81" t="str">
        <f>VLOOKUP("*"&amp;表格1[[#This Row],[Input]]&amp;"*",'Ref-List'!$B:$D,2,)</f>
        <v>RC-10DRNH</v>
      </c>
      <c r="H524" s="81" t="str">
        <f>_xlfn.XLOOKUP(表格1[[#This Row],[Model]],表格3[Model-Input-Ref2],表格3[Product Line])</f>
        <v>多功能備長炭本厚釜電飯煲1L</v>
      </c>
      <c r="I524" s="81" t="str">
        <f>_xlfn.XLOOKUP(表格1[[#This Row],[Model]],表格3[Model-Input-Ref2],表格3[大小電])</f>
        <v>細電</v>
      </c>
      <c r="J524" s="81" t="str">
        <f>_xlfn.XLOOKUP(表格1[[#This Row],[Model]],表格3[Model-Input-Ref2],表格3[Code])</f>
        <v>SDA</v>
      </c>
      <c r="K524" s="82" t="s">
        <v>1376</v>
      </c>
      <c r="L524" s="81">
        <v>1</v>
      </c>
      <c r="M524" s="85">
        <v>549</v>
      </c>
      <c r="N524" s="85">
        <f>IFERROR(表格1[[#This Row],[QTY]]*表格1[[#This Row],[Unit Price]],"-")</f>
        <v>549</v>
      </c>
      <c r="O524" s="134">
        <v>439397</v>
      </c>
      <c r="P524" s="81"/>
      <c r="Q524" s="81"/>
      <c r="R524" s="81" t="str">
        <f>_xlfn.CONCAT(表格1[[#This Row],[Model]]," ",表格1[[#This Row],[inv no]])</f>
        <v>RC-10DRNH 439397</v>
      </c>
      <c r="S524" s="135">
        <f>_xlfn.XLOOKUP(表格1[[#This Row],[Model]],表格3[Model-Input-Ref2],表格3[SRP PRICE])</f>
        <v>798</v>
      </c>
      <c r="T524" s="43">
        <f>表格1[[#This Row],[Unit Price]]/表格1[[#This Row],[SRP]]</f>
        <v>0.68796992481203012</v>
      </c>
      <c r="U524" s="86" t="str">
        <f>_xlfn.XLOOKUP(表格1[[#This Row],[Model]],表格3[Model-Input-Ref2],表格3[TOSHIBA/HIGHEST])</f>
        <v>Toshiba SRP</v>
      </c>
      <c r="V524" s="86">
        <v>110</v>
      </c>
      <c r="W524" s="86" t="str">
        <f>_xlfn.CONCAT(表格1[[#This Row],[欄4]],表格1[[#This Row],[inv no]])</f>
        <v>110439397</v>
      </c>
    </row>
    <row r="525" spans="1:23" hidden="1">
      <c r="A525" s="81">
        <v>523</v>
      </c>
      <c r="B525" s="81" t="s">
        <v>1260</v>
      </c>
      <c r="C525" s="81" t="s">
        <v>1374</v>
      </c>
      <c r="D525" s="82" t="str">
        <f ca="1">OFFSET(Roster!$A$3,MATCH(表格1[[#This Row],[Location]]&amp;" "&amp;表格1[[#This Row],[Shop]]&amp;"*",Roster!$A$4:$A$72,0),DAY(表格1[[#This Row],[date]]),1,1)</f>
        <v>Ling Ho</v>
      </c>
      <c r="E525" s="81">
        <f>MONTH(表格1[[#This Row],[date]])</f>
        <v>3</v>
      </c>
      <c r="F525" s="101">
        <v>46082</v>
      </c>
      <c r="G525" s="81" t="str">
        <f>VLOOKUP("*"&amp;表格1[[#This Row],[Input]]&amp;"*",'Ref-List'!$B:$D,2,)</f>
        <v>IC-20R1THK</v>
      </c>
      <c r="H525" s="81" t="str">
        <f>_xlfn.XLOOKUP(表格1[[#This Row],[Model]],表格3[Model-Input-Ref2],表格3[Product Line])</f>
        <v>輕便式電磁爐</v>
      </c>
      <c r="I525" s="81" t="str">
        <f>_xlfn.XLOOKUP(表格1[[#This Row],[Model]],表格3[Model-Input-Ref2],表格3[大小電])</f>
        <v>細電</v>
      </c>
      <c r="J525" s="81" t="str">
        <f>_xlfn.XLOOKUP(表格1[[#This Row],[Model]],表格3[Model-Input-Ref2],表格3[Code])</f>
        <v>SDA</v>
      </c>
      <c r="K525" s="82" t="s">
        <v>1243</v>
      </c>
      <c r="L525" s="81">
        <v>1</v>
      </c>
      <c r="M525" s="85">
        <v>298</v>
      </c>
      <c r="N525" s="85">
        <f>IFERROR(表格1[[#This Row],[QTY]]*表格1[[#This Row],[Unit Price]],"-")</f>
        <v>298</v>
      </c>
      <c r="O525" s="134">
        <v>215153</v>
      </c>
      <c r="P525" s="81"/>
      <c r="Q525" s="81"/>
      <c r="R525" s="81" t="str">
        <f>_xlfn.CONCAT(表格1[[#This Row],[Model]]," ",表格1[[#This Row],[inv no]])</f>
        <v>IC-20R1THK 215153</v>
      </c>
      <c r="S525" s="135">
        <f>_xlfn.XLOOKUP(表格1[[#This Row],[Model]],表格3[Model-Input-Ref2],表格3[SRP PRICE])</f>
        <v>438</v>
      </c>
      <c r="T525" s="43">
        <f>表格1[[#This Row],[Unit Price]]/表格1[[#This Row],[SRP]]</f>
        <v>0.68036529680365299</v>
      </c>
      <c r="U525" s="86" t="str">
        <f>_xlfn.XLOOKUP(表格1[[#This Row],[Model]],表格3[Model-Input-Ref2],表格3[TOSHIBA/HIGHEST])</f>
        <v>Shops Highest Price</v>
      </c>
      <c r="V525" s="86">
        <v>110</v>
      </c>
      <c r="W525" s="86" t="str">
        <f>_xlfn.CONCAT(表格1[[#This Row],[欄4]],表格1[[#This Row],[inv no]])</f>
        <v>110215153</v>
      </c>
    </row>
    <row r="526" spans="1:23" hidden="1">
      <c r="A526" s="81">
        <v>524</v>
      </c>
      <c r="B526" s="81" t="s">
        <v>1260</v>
      </c>
      <c r="C526" s="81" t="s">
        <v>1374</v>
      </c>
      <c r="D526" s="82" t="str">
        <f ca="1">OFFSET(Roster!$A$3,MATCH(表格1[[#This Row],[Location]]&amp;" "&amp;表格1[[#This Row],[Shop]]&amp;"*",Roster!$A$4:$A$72,0),DAY(表格1[[#This Row],[date]]),1,1)</f>
        <v>Ling Ho</v>
      </c>
      <c r="E526" s="81">
        <f>MONTH(表格1[[#This Row],[date]])</f>
        <v>3</v>
      </c>
      <c r="F526" s="101">
        <v>46082</v>
      </c>
      <c r="G526" s="81" t="str">
        <f>VLOOKUP("*"&amp;表格1[[#This Row],[Input]]&amp;"*",'Ref-List'!$B:$D,2,)</f>
        <v>RC-10NMFIH(WT)</v>
      </c>
      <c r="H526" s="81" t="str">
        <f>_xlfn.XLOOKUP(表格1[[#This Row],[Model]],表格3[Model-Input-Ref2],表格3[Product Line])</f>
        <v>4毫米厚釜電飯煲1L</v>
      </c>
      <c r="I526" s="81" t="str">
        <f>_xlfn.XLOOKUP(表格1[[#This Row],[Model]],表格3[Model-Input-Ref2],表格3[大小電])</f>
        <v>細電</v>
      </c>
      <c r="J526" s="81" t="str">
        <f>_xlfn.XLOOKUP(表格1[[#This Row],[Model]],表格3[Model-Input-Ref2],表格3[Code])</f>
        <v>SDA</v>
      </c>
      <c r="K526" s="82" t="s">
        <v>1244</v>
      </c>
      <c r="L526" s="81">
        <v>1</v>
      </c>
      <c r="M526" s="85">
        <v>719</v>
      </c>
      <c r="N526" s="85">
        <f>IFERROR(表格1[[#This Row],[QTY]]*表格1[[#This Row],[Unit Price]],"-")</f>
        <v>719</v>
      </c>
      <c r="O526" s="134">
        <v>382974</v>
      </c>
      <c r="P526" s="81"/>
      <c r="Q526" s="81"/>
      <c r="R526" s="81" t="str">
        <f>_xlfn.CONCAT(表格1[[#This Row],[Model]]," ",表格1[[#This Row],[inv no]])</f>
        <v>RC-10NMFIH(WT) 382974</v>
      </c>
      <c r="S526" s="135">
        <f>_xlfn.XLOOKUP(表格1[[#This Row],[Model]],表格3[Model-Input-Ref2],表格3[SRP PRICE])</f>
        <v>898</v>
      </c>
      <c r="T526" s="43">
        <f>表格1[[#This Row],[Unit Price]]/表格1[[#This Row],[SRP]]</f>
        <v>0.80066815144766146</v>
      </c>
      <c r="U526" s="86" t="str">
        <f>_xlfn.XLOOKUP(表格1[[#This Row],[Model]],表格3[Model-Input-Ref2],表格3[TOSHIBA/HIGHEST])</f>
        <v>Toshiba SRP</v>
      </c>
      <c r="V526" s="86">
        <v>110</v>
      </c>
      <c r="W526" s="86" t="str">
        <f>_xlfn.CONCAT(表格1[[#This Row],[欄4]],表格1[[#This Row],[inv no]])</f>
        <v>110382974</v>
      </c>
    </row>
    <row r="527" spans="1:23" hidden="1">
      <c r="A527" s="81">
        <v>525</v>
      </c>
      <c r="B527" s="81" t="s">
        <v>1260</v>
      </c>
      <c r="C527" s="81" t="s">
        <v>1374</v>
      </c>
      <c r="D527" s="82" t="str">
        <f ca="1">OFFSET(Roster!$A$3,MATCH(表格1[[#This Row],[Location]]&amp;" "&amp;表格1[[#This Row],[Shop]]&amp;"*",Roster!$A$4:$A$72,0),DAY(表格1[[#This Row],[date]]),1,1)</f>
        <v>Ling Ho</v>
      </c>
      <c r="E527" s="81">
        <f>MONTH(表格1[[#This Row],[date]])</f>
        <v>3</v>
      </c>
      <c r="F527" s="101">
        <v>46082</v>
      </c>
      <c r="G527" s="81" t="str">
        <f>VLOOKUP("*"&amp;表格1[[#This Row],[Input]]&amp;"*",'Ref-List'!$B:$D,2,)</f>
        <v>MWP-MM20P(WH)</v>
      </c>
      <c r="H527" s="81" t="str">
        <f>_xlfn.XLOOKUP(表格1[[#This Row],[Model]],表格3[Model-Input-Ref2],表格3[Product Line])</f>
        <v>旋鈕式燒烤微波爐20L</v>
      </c>
      <c r="I527" s="81" t="str">
        <f>_xlfn.XLOOKUP(表格1[[#This Row],[Model]],表格3[Model-Input-Ref2],表格3[大小電])</f>
        <v>細電</v>
      </c>
      <c r="J527" s="81" t="str">
        <f>_xlfn.XLOOKUP(表格1[[#This Row],[Model]],表格3[Model-Input-Ref2],表格3[Code])</f>
        <v>SDA</v>
      </c>
      <c r="K527" s="82" t="s">
        <v>1270</v>
      </c>
      <c r="L527" s="81">
        <v>1</v>
      </c>
      <c r="M527" s="85">
        <v>488</v>
      </c>
      <c r="N527" s="85">
        <f>IFERROR(表格1[[#This Row],[QTY]]*表格1[[#This Row],[Unit Price]],"-")</f>
        <v>488</v>
      </c>
      <c r="O527" s="134">
        <v>382985</v>
      </c>
      <c r="P527" s="81"/>
      <c r="Q527" s="81"/>
      <c r="R527" s="81" t="str">
        <f>_xlfn.CONCAT(表格1[[#This Row],[Model]]," ",表格1[[#This Row],[inv no]])</f>
        <v>MWP-MM20P(WH) 382985</v>
      </c>
      <c r="S527" s="135">
        <f>_xlfn.XLOOKUP(表格1[[#This Row],[Model]],表格3[Model-Input-Ref2],表格3[SRP PRICE])</f>
        <v>648</v>
      </c>
      <c r="T527" s="43">
        <f>表格1[[#This Row],[Unit Price]]/表格1[[#This Row],[SRP]]</f>
        <v>0.75308641975308643</v>
      </c>
      <c r="U527" s="86" t="str">
        <f>_xlfn.XLOOKUP(表格1[[#This Row],[Model]],表格3[Model-Input-Ref2],表格3[TOSHIBA/HIGHEST])</f>
        <v>Toshiba SRP</v>
      </c>
      <c r="V527" s="86">
        <v>110</v>
      </c>
      <c r="W527" s="86" t="str">
        <f>_xlfn.CONCAT(表格1[[#This Row],[欄4]],表格1[[#This Row],[inv no]])</f>
        <v>110382985</v>
      </c>
    </row>
    <row r="528" spans="1:23" hidden="1">
      <c r="A528" s="81">
        <v>526</v>
      </c>
      <c r="B528" s="81" t="s">
        <v>1260</v>
      </c>
      <c r="C528" s="81" t="s">
        <v>1374</v>
      </c>
      <c r="D528" s="82" t="str">
        <f ca="1">OFFSET(Roster!$A$3,MATCH(表格1[[#This Row],[Location]]&amp;" "&amp;表格1[[#This Row],[Shop]]&amp;"*",Roster!$A$4:$A$72,0),DAY(表格1[[#This Row],[date]]),1,1)</f>
        <v>Ling Ho</v>
      </c>
      <c r="E528" s="81">
        <f>MONTH(表格1[[#This Row],[date]])</f>
        <v>3</v>
      </c>
      <c r="F528" s="101">
        <v>46082</v>
      </c>
      <c r="G528" s="81" t="str">
        <f>VLOOKUP("*"&amp;表格1[[#This Row],[Input]]&amp;"*",'Ref-List'!$B:$D,2,)</f>
        <v>IC-20R1THK</v>
      </c>
      <c r="H528" s="81" t="str">
        <f>_xlfn.XLOOKUP(表格1[[#This Row],[Model]],表格3[Model-Input-Ref2],表格3[Product Line])</f>
        <v>輕便式電磁爐</v>
      </c>
      <c r="I528" s="81" t="str">
        <f>_xlfn.XLOOKUP(表格1[[#This Row],[Model]],表格3[Model-Input-Ref2],表格3[大小電])</f>
        <v>細電</v>
      </c>
      <c r="J528" s="81" t="str">
        <f>_xlfn.XLOOKUP(表格1[[#This Row],[Model]],表格3[Model-Input-Ref2],表格3[Code])</f>
        <v>SDA</v>
      </c>
      <c r="K528" s="82" t="s">
        <v>1243</v>
      </c>
      <c r="L528" s="81">
        <v>1</v>
      </c>
      <c r="M528" s="85">
        <v>298</v>
      </c>
      <c r="N528" s="85">
        <f>IFERROR(表格1[[#This Row],[QTY]]*表格1[[#This Row],[Unit Price]],"-")</f>
        <v>298</v>
      </c>
      <c r="O528" s="134">
        <v>439484</v>
      </c>
      <c r="P528" s="81"/>
      <c r="Q528" s="81"/>
      <c r="R528" s="81" t="str">
        <f>_xlfn.CONCAT(表格1[[#This Row],[Model]]," ",表格1[[#This Row],[inv no]])</f>
        <v>IC-20R1THK 439484</v>
      </c>
      <c r="S528" s="135">
        <f>_xlfn.XLOOKUP(表格1[[#This Row],[Model]],表格3[Model-Input-Ref2],表格3[SRP PRICE])</f>
        <v>438</v>
      </c>
      <c r="T528" s="43">
        <f>表格1[[#This Row],[Unit Price]]/表格1[[#This Row],[SRP]]</f>
        <v>0.68036529680365299</v>
      </c>
      <c r="U528" s="86" t="str">
        <f>_xlfn.XLOOKUP(表格1[[#This Row],[Model]],表格3[Model-Input-Ref2],表格3[TOSHIBA/HIGHEST])</f>
        <v>Shops Highest Price</v>
      </c>
      <c r="V528" s="86">
        <v>110</v>
      </c>
      <c r="W528" s="86" t="str">
        <f>_xlfn.CONCAT(表格1[[#This Row],[欄4]],表格1[[#This Row],[inv no]])</f>
        <v>110439484</v>
      </c>
    </row>
    <row r="529" spans="1:23" hidden="1">
      <c r="A529" s="81">
        <v>527</v>
      </c>
      <c r="B529" s="81" t="s">
        <v>1260</v>
      </c>
      <c r="C529" s="81" t="s">
        <v>1374</v>
      </c>
      <c r="D529" s="82" t="str">
        <f ca="1">OFFSET(Roster!$A$3,MATCH(表格1[[#This Row],[Location]]&amp;" "&amp;表格1[[#This Row],[Shop]]&amp;"*",Roster!$A$4:$A$72,0),DAY(表格1[[#This Row],[date]]),1,1)</f>
        <v>Ling Ho</v>
      </c>
      <c r="E529" s="81">
        <f>MONTH(表格1[[#This Row],[date]])</f>
        <v>3</v>
      </c>
      <c r="F529" s="101">
        <v>46082</v>
      </c>
      <c r="G529" s="81" t="str">
        <f>VLOOKUP("*"&amp;表格1[[#This Row],[Input]]&amp;"*",'Ref-List'!$B:$D,2,)</f>
        <v>MWP-MM20P(WH)</v>
      </c>
      <c r="H529" s="81" t="str">
        <f>_xlfn.XLOOKUP(表格1[[#This Row],[Model]],表格3[Model-Input-Ref2],表格3[Product Line])</f>
        <v>旋鈕式燒烤微波爐20L</v>
      </c>
      <c r="I529" s="81" t="str">
        <f>_xlfn.XLOOKUP(表格1[[#This Row],[Model]],表格3[Model-Input-Ref2],表格3[大小電])</f>
        <v>細電</v>
      </c>
      <c r="J529" s="81" t="str">
        <f>_xlfn.XLOOKUP(表格1[[#This Row],[Model]],表格3[Model-Input-Ref2],表格3[Code])</f>
        <v>SDA</v>
      </c>
      <c r="K529" s="82" t="s">
        <v>1270</v>
      </c>
      <c r="L529" s="81">
        <v>1</v>
      </c>
      <c r="M529" s="85">
        <v>488</v>
      </c>
      <c r="N529" s="85">
        <f>IFERROR(表格1[[#This Row],[QTY]]*表格1[[#This Row],[Unit Price]],"-")</f>
        <v>488</v>
      </c>
      <c r="O529" s="134">
        <v>385079</v>
      </c>
      <c r="P529" s="81"/>
      <c r="Q529" s="81"/>
      <c r="R529" s="81" t="str">
        <f>_xlfn.CONCAT(表格1[[#This Row],[Model]]," ",表格1[[#This Row],[inv no]])</f>
        <v>MWP-MM20P(WH) 385079</v>
      </c>
      <c r="S529" s="135">
        <f>_xlfn.XLOOKUP(表格1[[#This Row],[Model]],表格3[Model-Input-Ref2],表格3[SRP PRICE])</f>
        <v>648</v>
      </c>
      <c r="T529" s="43">
        <f>表格1[[#This Row],[Unit Price]]/表格1[[#This Row],[SRP]]</f>
        <v>0.75308641975308643</v>
      </c>
      <c r="U529" s="86" t="str">
        <f>_xlfn.XLOOKUP(表格1[[#This Row],[Model]],表格3[Model-Input-Ref2],表格3[TOSHIBA/HIGHEST])</f>
        <v>Toshiba SRP</v>
      </c>
      <c r="V529" s="86">
        <v>110</v>
      </c>
      <c r="W529" s="86" t="str">
        <f>_xlfn.CONCAT(表格1[[#This Row],[欄4]],表格1[[#This Row],[inv no]])</f>
        <v>110385079</v>
      </c>
    </row>
    <row r="530" spans="1:23" hidden="1">
      <c r="A530" s="81">
        <v>528</v>
      </c>
      <c r="B530" s="81" t="s">
        <v>1260</v>
      </c>
      <c r="C530" s="81" t="s">
        <v>1374</v>
      </c>
      <c r="D530" s="82" t="str">
        <f ca="1">OFFSET(Roster!$A$3,MATCH(表格1[[#This Row],[Location]]&amp;" "&amp;表格1[[#This Row],[Shop]]&amp;"*",Roster!$A$4:$A$72,0),DAY(表格1[[#This Row],[date]]),1,1)</f>
        <v>Ling Ho</v>
      </c>
      <c r="E530" s="81">
        <f>MONTH(表格1[[#This Row],[date]])</f>
        <v>3</v>
      </c>
      <c r="F530" s="101">
        <v>46082</v>
      </c>
      <c r="G530" s="81" t="str">
        <f>VLOOKUP("*"&amp;表格1[[#This Row],[Input]]&amp;"*",'Ref-List'!$B:$D,2,)</f>
        <v>KT-17DRTHK(H)</v>
      </c>
      <c r="H530" s="81" t="str">
        <f>_xlfn.XLOOKUP(表格1[[#This Row],[Model]],表格3[Model-Input-Ref2],表格3[Product Line])</f>
        <v>無線雙層電熱水壺(1.7公升)</v>
      </c>
      <c r="I530" s="81" t="str">
        <f>_xlfn.XLOOKUP(表格1[[#This Row],[Model]],表格3[Model-Input-Ref2],表格3[大小電])</f>
        <v>細電</v>
      </c>
      <c r="J530" s="81" t="str">
        <f>_xlfn.XLOOKUP(表格1[[#This Row],[Model]],表格3[Model-Input-Ref2],表格3[Code])</f>
        <v>SDA</v>
      </c>
      <c r="K530" s="82" t="s">
        <v>1271</v>
      </c>
      <c r="L530" s="81">
        <v>1</v>
      </c>
      <c r="M530" s="85">
        <v>388</v>
      </c>
      <c r="N530" s="85">
        <f>IFERROR(表格1[[#This Row],[QTY]]*表格1[[#This Row],[Unit Price]],"-")</f>
        <v>388</v>
      </c>
      <c r="O530" s="134">
        <v>439547</v>
      </c>
      <c r="P530" s="81"/>
      <c r="Q530" s="81"/>
      <c r="R530" s="81" t="str">
        <f>_xlfn.CONCAT(表格1[[#This Row],[Model]]," ",表格1[[#This Row],[inv no]])</f>
        <v>KT-17DRTHK(H) 439547</v>
      </c>
      <c r="S530" s="135">
        <f>_xlfn.XLOOKUP(表格1[[#This Row],[Model]],表格3[Model-Input-Ref2],表格3[SRP PRICE])</f>
        <v>498</v>
      </c>
      <c r="T530" s="43">
        <f>表格1[[#This Row],[Unit Price]]/表格1[[#This Row],[SRP]]</f>
        <v>0.77911646586345384</v>
      </c>
      <c r="U530" s="86" t="str">
        <f>_xlfn.XLOOKUP(表格1[[#This Row],[Model]],表格3[Model-Input-Ref2],表格3[TOSHIBA/HIGHEST])</f>
        <v>Toshiba SRP</v>
      </c>
      <c r="V530" s="86">
        <v>110</v>
      </c>
      <c r="W530" s="86" t="str">
        <f>_xlfn.CONCAT(表格1[[#This Row],[欄4]],表格1[[#This Row],[inv no]])</f>
        <v>110439547</v>
      </c>
    </row>
    <row r="531" spans="1:23" hidden="1">
      <c r="A531" s="81">
        <v>529</v>
      </c>
      <c r="B531" s="81" t="s">
        <v>1260</v>
      </c>
      <c r="C531" s="81" t="s">
        <v>1374</v>
      </c>
      <c r="D531" s="82" t="str">
        <f ca="1">OFFSET(Roster!$A$3,MATCH(表格1[[#This Row],[Location]]&amp;" "&amp;表格1[[#This Row],[Shop]]&amp;"*",Roster!$A$4:$A$72,0),DAY(表格1[[#This Row],[date]]),1,1)</f>
        <v>Ling Ho</v>
      </c>
      <c r="E531" s="81">
        <f>MONTH(表格1[[#This Row],[date]])</f>
        <v>3</v>
      </c>
      <c r="F531" s="101">
        <v>46084</v>
      </c>
      <c r="G531" s="81" t="str">
        <f>VLOOKUP("*"&amp;表格1[[#This Row],[Input]]&amp;"*",'Ref-List'!$B:$D,2,)</f>
        <v>RC-DR18T(W)</v>
      </c>
      <c r="H531" s="81" t="str">
        <f>_xlfn.XLOOKUP(表格1[[#This Row],[Model]],表格3[Model-Input-Ref2],表格3[Product Line])</f>
        <v>IH磁應電飯煲
鑽石銅鍋</v>
      </c>
      <c r="I531" s="81" t="str">
        <f>_xlfn.XLOOKUP(表格1[[#This Row],[Model]],表格3[Model-Input-Ref2],表格3[大小電])</f>
        <v>細電</v>
      </c>
      <c r="J531" s="81" t="str">
        <f>_xlfn.XLOOKUP(表格1[[#This Row],[Model]],表格3[Model-Input-Ref2],表格3[Code])</f>
        <v>SDA</v>
      </c>
      <c r="K531" s="82" t="s">
        <v>1378</v>
      </c>
      <c r="L531" s="81">
        <v>1</v>
      </c>
      <c r="M531" s="85">
        <v>2880</v>
      </c>
      <c r="N531" s="85">
        <f>IFERROR(表格1[[#This Row],[QTY]]*表格1[[#This Row],[Unit Price]],"-")</f>
        <v>2880</v>
      </c>
      <c r="O531" s="134">
        <v>234500</v>
      </c>
      <c r="P531" s="81"/>
      <c r="Q531" s="81"/>
      <c r="R531" s="81" t="str">
        <f>_xlfn.CONCAT(表格1[[#This Row],[Model]]," ",表格1[[#This Row],[inv no]])</f>
        <v>RC-DR18T(W) 234500</v>
      </c>
      <c r="S531" s="135">
        <f>_xlfn.XLOOKUP(表格1[[#This Row],[Model]],表格3[Model-Input-Ref2],表格3[SRP PRICE])</f>
        <v>3588</v>
      </c>
      <c r="T531" s="43">
        <f>表格1[[#This Row],[Unit Price]]/表格1[[#This Row],[SRP]]</f>
        <v>0.80267558528428096</v>
      </c>
      <c r="U531" s="86" t="str">
        <f>_xlfn.XLOOKUP(表格1[[#This Row],[Model]],表格3[Model-Input-Ref2],表格3[TOSHIBA/HIGHEST])</f>
        <v>Toshiba SRP</v>
      </c>
      <c r="V531" s="86">
        <v>110</v>
      </c>
      <c r="W531" s="86" t="str">
        <f>_xlfn.CONCAT(表格1[[#This Row],[欄4]],表格1[[#This Row],[inv no]])</f>
        <v>110234500</v>
      </c>
    </row>
    <row r="532" spans="1:23" hidden="1">
      <c r="A532" s="81">
        <v>530</v>
      </c>
      <c r="B532" s="81" t="s">
        <v>1260</v>
      </c>
      <c r="C532" s="81" t="s">
        <v>1374</v>
      </c>
      <c r="D532" s="82" t="str">
        <f ca="1">OFFSET(Roster!$A$3,MATCH(表格1[[#This Row],[Location]]&amp;" "&amp;表格1[[#This Row],[Shop]]&amp;"*",Roster!$A$4:$A$72,0),DAY(表格1[[#This Row],[date]]),1,1)</f>
        <v>Ling Ho</v>
      </c>
      <c r="E532" s="81">
        <f>MONTH(表格1[[#This Row],[date]])</f>
        <v>3</v>
      </c>
      <c r="F532" s="101">
        <v>46084</v>
      </c>
      <c r="G532" s="81" t="str">
        <f>VLOOKUP("*"&amp;表格1[[#This Row],[Input]]&amp;"*",'Ref-List'!$B:$D,2,)</f>
        <v>IC-20R1THK</v>
      </c>
      <c r="H532" s="81" t="str">
        <f>_xlfn.XLOOKUP(表格1[[#This Row],[Model]],表格3[Model-Input-Ref2],表格3[Product Line])</f>
        <v>輕便式電磁爐</v>
      </c>
      <c r="I532" s="81" t="str">
        <f>_xlfn.XLOOKUP(表格1[[#This Row],[Model]],表格3[Model-Input-Ref2],表格3[大小電])</f>
        <v>細電</v>
      </c>
      <c r="J532" s="81" t="str">
        <f>_xlfn.XLOOKUP(表格1[[#This Row],[Model]],表格3[Model-Input-Ref2],表格3[Code])</f>
        <v>SDA</v>
      </c>
      <c r="K532" s="82" t="s">
        <v>1243</v>
      </c>
      <c r="L532" s="81">
        <v>1</v>
      </c>
      <c r="M532" s="85">
        <v>298</v>
      </c>
      <c r="N532" s="85">
        <f>IFERROR(表格1[[#This Row],[QTY]]*表格1[[#This Row],[Unit Price]],"-")</f>
        <v>298</v>
      </c>
      <c r="O532" s="134">
        <v>383224</v>
      </c>
      <c r="P532" s="81"/>
      <c r="Q532" s="81"/>
      <c r="R532" s="81" t="str">
        <f>_xlfn.CONCAT(表格1[[#This Row],[Model]]," ",表格1[[#This Row],[inv no]])</f>
        <v>IC-20R1THK 383224</v>
      </c>
      <c r="S532" s="135">
        <f>_xlfn.XLOOKUP(表格1[[#This Row],[Model]],表格3[Model-Input-Ref2],表格3[SRP PRICE])</f>
        <v>438</v>
      </c>
      <c r="T532" s="43">
        <f>表格1[[#This Row],[Unit Price]]/表格1[[#This Row],[SRP]]</f>
        <v>0.68036529680365299</v>
      </c>
      <c r="U532" s="86" t="str">
        <f>_xlfn.XLOOKUP(表格1[[#This Row],[Model]],表格3[Model-Input-Ref2],表格3[TOSHIBA/HIGHEST])</f>
        <v>Shops Highest Price</v>
      </c>
      <c r="V532" s="86">
        <v>110</v>
      </c>
      <c r="W532" s="86" t="str">
        <f>_xlfn.CONCAT(表格1[[#This Row],[欄4]],表格1[[#This Row],[inv no]])</f>
        <v>110383224</v>
      </c>
    </row>
    <row r="533" spans="1:23" hidden="1">
      <c r="A533" s="81">
        <v>531</v>
      </c>
      <c r="B533" s="81" t="s">
        <v>1260</v>
      </c>
      <c r="C533" s="81" t="s">
        <v>1374</v>
      </c>
      <c r="D533" s="82" t="str">
        <f ca="1">OFFSET(Roster!$A$3,MATCH(表格1[[#This Row],[Location]]&amp;" "&amp;表格1[[#This Row],[Shop]]&amp;"*",Roster!$A$4:$A$72,0),DAY(表格1[[#This Row],[date]]),1,1)</f>
        <v>Ling Ho</v>
      </c>
      <c r="E533" s="81">
        <f>MONTH(表格1[[#This Row],[date]])</f>
        <v>3</v>
      </c>
      <c r="F533" s="101">
        <v>46084</v>
      </c>
      <c r="G533" s="81" t="str">
        <f>VLOOKUP("*"&amp;表格1[[#This Row],[Input]]&amp;"*",'Ref-List'!$B:$D,2,)</f>
        <v>TP-50DRUHK(W)</v>
      </c>
      <c r="H533" s="81" t="str">
        <f>_xlfn.XLOOKUP(表格1[[#This Row],[Model]],表格3[Model-Input-Ref2],表格3[Product Line])</f>
        <v>電熱水瓶 (5公升)</v>
      </c>
      <c r="I533" s="81" t="str">
        <f>_xlfn.XLOOKUP(表格1[[#This Row],[Model]],表格3[Model-Input-Ref2],表格3[大小電])</f>
        <v>細電</v>
      </c>
      <c r="J533" s="81" t="str">
        <f>_xlfn.XLOOKUP(表格1[[#This Row],[Model]],表格3[Model-Input-Ref2],表格3[Code])</f>
        <v>SDA</v>
      </c>
      <c r="K533" s="82" t="s">
        <v>1277</v>
      </c>
      <c r="L533" s="81">
        <v>1</v>
      </c>
      <c r="M533" s="85">
        <v>628</v>
      </c>
      <c r="N533" s="85">
        <f>IFERROR(表格1[[#This Row],[QTY]]*表格1[[#This Row],[Unit Price]],"-")</f>
        <v>628</v>
      </c>
      <c r="O533" s="134">
        <v>439870</v>
      </c>
      <c r="P533" s="81"/>
      <c r="Q533" s="81"/>
      <c r="R533" s="81" t="str">
        <f>_xlfn.CONCAT(表格1[[#This Row],[Model]]," ",表格1[[#This Row],[inv no]])</f>
        <v>TP-50DRUHK(W) 439870</v>
      </c>
      <c r="S533" s="135">
        <f>_xlfn.XLOOKUP(表格1[[#This Row],[Model]],表格3[Model-Input-Ref2],表格3[SRP PRICE])</f>
        <v>718</v>
      </c>
      <c r="T533" s="43">
        <f>表格1[[#This Row],[Unit Price]]/表格1[[#This Row],[SRP]]</f>
        <v>0.87465181058495822</v>
      </c>
      <c r="U533" s="86" t="str">
        <f>_xlfn.XLOOKUP(表格1[[#This Row],[Model]],表格3[Model-Input-Ref2],表格3[TOSHIBA/HIGHEST])</f>
        <v>Toshiba SRP</v>
      </c>
      <c r="V533" s="86">
        <v>110</v>
      </c>
      <c r="W533" s="86" t="str">
        <f>_xlfn.CONCAT(表格1[[#This Row],[欄4]],表格1[[#This Row],[inv no]])</f>
        <v>110439870</v>
      </c>
    </row>
    <row r="534" spans="1:23" hidden="1">
      <c r="A534" s="81">
        <v>532</v>
      </c>
      <c r="B534" s="81" t="s">
        <v>1260</v>
      </c>
      <c r="C534" s="81" t="s">
        <v>1374</v>
      </c>
      <c r="D534" s="82" t="str">
        <f ca="1">OFFSET(Roster!$A$3,MATCH(表格1[[#This Row],[Location]]&amp;" "&amp;表格1[[#This Row],[Shop]]&amp;"*",Roster!$A$4:$A$72,0),DAY(表格1[[#This Row],[date]]),1,1)</f>
        <v>Ling Ho</v>
      </c>
      <c r="E534" s="81">
        <f>MONTH(表格1[[#This Row],[date]])</f>
        <v>3</v>
      </c>
      <c r="F534" s="101">
        <v>46084</v>
      </c>
      <c r="G534" s="81" t="str">
        <f>VLOOKUP("*"&amp;表格1[[#This Row],[Input]]&amp;"*",'Ref-List'!$B:$D,2,)</f>
        <v>RC-10JRUH(N)</v>
      </c>
      <c r="H534" s="81" t="str">
        <f>_xlfn.XLOOKUP(表格1[[#This Row],[Model]],表格3[Model-Input-Ref2],表格3[Product Line])</f>
        <v>電飯煲</v>
      </c>
      <c r="I534" s="81" t="str">
        <f>_xlfn.XLOOKUP(表格1[[#This Row],[Model]],表格3[Model-Input-Ref2],表格3[大小電])</f>
        <v>細電</v>
      </c>
      <c r="J534" s="81" t="str">
        <f>_xlfn.XLOOKUP(表格1[[#This Row],[Model]],表格3[Model-Input-Ref2],表格3[Code])</f>
        <v>SDA</v>
      </c>
      <c r="K534" s="82" t="s">
        <v>1263</v>
      </c>
      <c r="L534" s="81">
        <v>1</v>
      </c>
      <c r="M534" s="85">
        <v>250</v>
      </c>
      <c r="N534" s="85">
        <f>IFERROR(表格1[[#This Row],[QTY]]*表格1[[#This Row],[Unit Price]],"-")</f>
        <v>250</v>
      </c>
      <c r="O534" s="134">
        <v>439872</v>
      </c>
      <c r="P534" s="81"/>
      <c r="Q534" s="81"/>
      <c r="R534" s="81" t="str">
        <f>_xlfn.CONCAT(表格1[[#This Row],[Model]]," ",表格1[[#This Row],[inv no]])</f>
        <v>RC-10JRUH(N) 439872</v>
      </c>
      <c r="S534" s="135">
        <f>_xlfn.XLOOKUP(表格1[[#This Row],[Model]],表格3[Model-Input-Ref2],表格3[SRP PRICE])</f>
        <v>398</v>
      </c>
      <c r="T534" s="43">
        <f>表格1[[#This Row],[Unit Price]]/表格1[[#This Row],[SRP]]</f>
        <v>0.62814070351758799</v>
      </c>
      <c r="U534" s="86" t="str">
        <f>_xlfn.XLOOKUP(表格1[[#This Row],[Model]],表格3[Model-Input-Ref2],表格3[TOSHIBA/HIGHEST])</f>
        <v>Shops Highest Price</v>
      </c>
      <c r="V534" s="86">
        <v>110</v>
      </c>
      <c r="W534" s="86" t="str">
        <f>_xlfn.CONCAT(表格1[[#This Row],[欄4]],表格1[[#This Row],[inv no]])</f>
        <v>110439872</v>
      </c>
    </row>
    <row r="535" spans="1:23" hidden="1">
      <c r="A535" s="81">
        <v>533</v>
      </c>
      <c r="B535" s="81" t="s">
        <v>1260</v>
      </c>
      <c r="C535" s="81" t="s">
        <v>1374</v>
      </c>
      <c r="D535" s="82" t="str">
        <f ca="1">OFFSET(Roster!$A$3,MATCH(表格1[[#This Row],[Location]]&amp;" "&amp;表格1[[#This Row],[Shop]]&amp;"*",Roster!$A$4:$A$72,0),DAY(表格1[[#This Row],[date]]),1,1)</f>
        <v>Ling Ho</v>
      </c>
      <c r="E535" s="81">
        <f>MONTH(表格1[[#This Row],[date]])</f>
        <v>3</v>
      </c>
      <c r="F535" s="101">
        <v>46084</v>
      </c>
      <c r="G535" s="81" t="str">
        <f>VLOOKUP("*"&amp;表格1[[#This Row],[Input]]&amp;"*",'Ref-List'!$B:$D,2,)</f>
        <v>RAD-D200H</v>
      </c>
      <c r="H535" s="81" t="str">
        <f>_xlfn.XLOOKUP(表格1[[#This Row],[Model]],表格3[Model-Input-Ref2],表格3[Product Line])</f>
        <v>壓縮式抽濕機 (22公升)</v>
      </c>
      <c r="I535" s="81" t="str">
        <f>_xlfn.XLOOKUP(表格1[[#This Row],[Model]],表格3[Model-Input-Ref2],表格3[大小電])</f>
        <v>細電</v>
      </c>
      <c r="J535" s="81" t="str">
        <f>_xlfn.XLOOKUP(表格1[[#This Row],[Model]],表格3[Model-Input-Ref2],表格3[Code])</f>
        <v>RAC</v>
      </c>
      <c r="K535" s="82" t="s">
        <v>1250</v>
      </c>
      <c r="L535" s="81">
        <v>1</v>
      </c>
      <c r="M535" s="85">
        <v>1980</v>
      </c>
      <c r="N535" s="85">
        <f>IFERROR(表格1[[#This Row],[QTY]]*表格1[[#This Row],[Unit Price]],"-")</f>
        <v>1980</v>
      </c>
      <c r="O535" s="134">
        <v>383455</v>
      </c>
      <c r="P535" s="81"/>
      <c r="Q535" s="81"/>
      <c r="R535" s="81" t="str">
        <f>_xlfn.CONCAT(表格1[[#This Row],[Model]]," ",表格1[[#This Row],[inv no]])</f>
        <v>RAD-D200H 383455</v>
      </c>
      <c r="S535" s="135">
        <f>_xlfn.XLOOKUP(表格1[[#This Row],[Model]],表格3[Model-Input-Ref2],表格3[SRP PRICE])</f>
        <v>2880</v>
      </c>
      <c r="T535" s="43">
        <f>表格1[[#This Row],[Unit Price]]/表格1[[#This Row],[SRP]]</f>
        <v>0.6875</v>
      </c>
      <c r="U535" s="86" t="str">
        <f>_xlfn.XLOOKUP(表格1[[#This Row],[Model]],表格3[Model-Input-Ref2],表格3[TOSHIBA/HIGHEST])</f>
        <v>Shops Highest Price</v>
      </c>
      <c r="V535" s="86">
        <v>110</v>
      </c>
      <c r="W535" s="86" t="str">
        <f>_xlfn.CONCAT(表格1[[#This Row],[欄4]],表格1[[#This Row],[inv no]])</f>
        <v>110383455</v>
      </c>
    </row>
    <row r="536" spans="1:23" hidden="1">
      <c r="A536" s="81">
        <v>534</v>
      </c>
      <c r="B536" s="81" t="s">
        <v>1260</v>
      </c>
      <c r="C536" s="81" t="s">
        <v>1374</v>
      </c>
      <c r="D536" s="82" t="str">
        <f ca="1">OFFSET(Roster!$A$3,MATCH(表格1[[#This Row],[Location]]&amp;" "&amp;表格1[[#This Row],[Shop]]&amp;"*",Roster!$A$4:$A$72,0),DAY(表格1[[#This Row],[date]]),1,1)</f>
        <v>Ling Ho</v>
      </c>
      <c r="E536" s="81">
        <f>MONTH(表格1[[#This Row],[date]])</f>
        <v>3</v>
      </c>
      <c r="F536" s="101">
        <v>46084</v>
      </c>
      <c r="G536" s="81" t="str">
        <f>VLOOKUP("*"&amp;表格1[[#This Row],[Input]]&amp;"*",'Ref-List'!$B:$D,2,)</f>
        <v>RAD-D300H</v>
      </c>
      <c r="H536" s="81" t="str">
        <f>_xlfn.XLOOKUP(表格1[[#This Row],[Model]],表格3[Model-Input-Ref2],表格3[Product Line])</f>
        <v>壓縮式抽濕機 (30公升)</v>
      </c>
      <c r="I536" s="81" t="str">
        <f>_xlfn.XLOOKUP(表格1[[#This Row],[Model]],表格3[Model-Input-Ref2],表格3[大小電])</f>
        <v>細電</v>
      </c>
      <c r="J536" s="81" t="str">
        <f>_xlfn.XLOOKUP(表格1[[#This Row],[Model]],表格3[Model-Input-Ref2],表格3[Code])</f>
        <v>RAC</v>
      </c>
      <c r="K536" s="82" t="s">
        <v>1252</v>
      </c>
      <c r="L536" s="81">
        <v>1</v>
      </c>
      <c r="M536" s="85">
        <v>2280</v>
      </c>
      <c r="N536" s="85">
        <f>IFERROR(表格1[[#This Row],[QTY]]*表格1[[#This Row],[Unit Price]],"-")</f>
        <v>2280</v>
      </c>
      <c r="O536" s="134">
        <v>439967</v>
      </c>
      <c r="P536" s="81"/>
      <c r="Q536" s="81"/>
      <c r="R536" s="81" t="str">
        <f>_xlfn.CONCAT(表格1[[#This Row],[Model]]," ",表格1[[#This Row],[inv no]])</f>
        <v>RAD-D300H 439967</v>
      </c>
      <c r="S536" s="135">
        <f>_xlfn.XLOOKUP(表格1[[#This Row],[Model]],表格3[Model-Input-Ref2],表格3[SRP PRICE])</f>
        <v>3380</v>
      </c>
      <c r="T536" s="43">
        <f>表格1[[#This Row],[Unit Price]]/表格1[[#This Row],[SRP]]</f>
        <v>0.67455621301775148</v>
      </c>
      <c r="U536" s="86" t="str">
        <f>_xlfn.XLOOKUP(表格1[[#This Row],[Model]],表格3[Model-Input-Ref2],表格3[TOSHIBA/HIGHEST])</f>
        <v>Shops Highest Price</v>
      </c>
      <c r="V536" s="86">
        <v>110</v>
      </c>
      <c r="W536" s="86" t="str">
        <f>_xlfn.CONCAT(表格1[[#This Row],[欄4]],表格1[[#This Row],[inv no]])</f>
        <v>110439967</v>
      </c>
    </row>
    <row r="537" spans="1:23" ht="16.5" hidden="1">
      <c r="A537" s="81">
        <v>535</v>
      </c>
      <c r="B537" s="81" t="s">
        <v>1260</v>
      </c>
      <c r="C537" s="81" t="s">
        <v>1374</v>
      </c>
      <c r="D537" s="82" t="str">
        <f ca="1">OFFSET(Roster!$A$3,MATCH(表格1[[#This Row],[Location]]&amp;" "&amp;表格1[[#This Row],[Shop]]&amp;"*",Roster!$A$4:$A$72,0),DAY(表格1[[#This Row],[date]]),1,1)</f>
        <v>Ling Ho</v>
      </c>
      <c r="E537" s="81">
        <f>MONTH(表格1[[#This Row],[date]])</f>
        <v>3</v>
      </c>
      <c r="F537" s="101">
        <v>46084</v>
      </c>
      <c r="G537" s="81" t="str">
        <f>VLOOKUP("*"&amp;表格1[[#This Row],[Input]]&amp;"*",'Ref-List'!$B:$D,2,)</f>
        <v>MM2-EM20PC(WH)</v>
      </c>
      <c r="H537" s="81" t="str">
        <f>_xlfn.XLOOKUP(表格1[[#This Row],[Model]],表格3[Model-Input-Ref2],表格3[Product Line])</f>
        <v>輕觸式微波爐 (20公升)</v>
      </c>
      <c r="I537" s="81" t="str">
        <f>_xlfn.XLOOKUP(表格1[[#This Row],[Model]],表格3[Model-Input-Ref2],表格3[大小電])</f>
        <v>細電</v>
      </c>
      <c r="J537" s="81" t="str">
        <f>_xlfn.XLOOKUP(表格1[[#This Row],[Model]],表格3[Model-Input-Ref2],表格3[Code])</f>
        <v>MCA</v>
      </c>
      <c r="K537" s="82" t="s">
        <v>1276</v>
      </c>
      <c r="L537" s="81">
        <v>1</v>
      </c>
      <c r="M537" s="85">
        <v>598</v>
      </c>
      <c r="N537" s="85">
        <f>IFERROR(表格1[[#This Row],[QTY]]*表格1[[#This Row],[Unit Price]],"-")</f>
        <v>598</v>
      </c>
      <c r="O537" s="134">
        <v>439989</v>
      </c>
      <c r="P537" s="137"/>
      <c r="Q537" s="81"/>
      <c r="R537" s="81" t="str">
        <f>_xlfn.CONCAT(表格1[[#This Row],[Model]]," ",表格1[[#This Row],[inv no]])</f>
        <v>MM2-EM20PC(WH) 439989</v>
      </c>
      <c r="S537" s="135">
        <f>_xlfn.XLOOKUP(表格1[[#This Row],[Model]],表格3[Model-Input-Ref2],表格3[SRP PRICE])</f>
        <v>788</v>
      </c>
      <c r="T537" s="43">
        <f>表格1[[#This Row],[Unit Price]]/表格1[[#This Row],[SRP]]</f>
        <v>0.75888324873096447</v>
      </c>
      <c r="U537" s="86" t="str">
        <f>_xlfn.XLOOKUP(表格1[[#This Row],[Model]],表格3[Model-Input-Ref2],表格3[TOSHIBA/HIGHEST])</f>
        <v>Toshiba SRP</v>
      </c>
      <c r="V537" s="86">
        <v>110</v>
      </c>
      <c r="W537" s="86" t="str">
        <f>_xlfn.CONCAT(表格1[[#This Row],[欄4]],表格1[[#This Row],[inv no]])</f>
        <v>110439989</v>
      </c>
    </row>
    <row r="538" spans="1:23" hidden="1">
      <c r="A538" s="81">
        <v>536</v>
      </c>
      <c r="B538" s="81" t="s">
        <v>1260</v>
      </c>
      <c r="C538" s="81" t="s">
        <v>1374</v>
      </c>
      <c r="D538" s="82" t="str">
        <f ca="1">OFFSET(Roster!$A$3,MATCH(表格1[[#This Row],[Location]]&amp;" "&amp;表格1[[#This Row],[Shop]]&amp;"*",Roster!$A$4:$A$72,0),DAY(表格1[[#This Row],[date]]),1,1)</f>
        <v>Ling Ho</v>
      </c>
      <c r="E538" s="81">
        <f>MONTH(表格1[[#This Row],[date]])</f>
        <v>3</v>
      </c>
      <c r="F538" s="101">
        <v>46084</v>
      </c>
      <c r="G538" s="81" t="str">
        <f>VLOOKUP("*"&amp;表格1[[#This Row],[Input]]&amp;"*",'Ref-List'!$B:$D,2,)</f>
        <v>IC-20R1THK</v>
      </c>
      <c r="H538" s="81" t="str">
        <f>_xlfn.XLOOKUP(表格1[[#This Row],[Model]],表格3[Model-Input-Ref2],表格3[Product Line])</f>
        <v>輕便式電磁爐</v>
      </c>
      <c r="I538" s="81" t="str">
        <f>_xlfn.XLOOKUP(表格1[[#This Row],[Model]],表格3[Model-Input-Ref2],表格3[大小電])</f>
        <v>細電</v>
      </c>
      <c r="J538" s="81" t="str">
        <f>_xlfn.XLOOKUP(表格1[[#This Row],[Model]],表格3[Model-Input-Ref2],表格3[Code])</f>
        <v>SDA</v>
      </c>
      <c r="K538" s="82" t="s">
        <v>1243</v>
      </c>
      <c r="L538" s="81">
        <v>1</v>
      </c>
      <c r="M538" s="85">
        <v>298</v>
      </c>
      <c r="N538" s="85">
        <f>IFERROR(表格1[[#This Row],[QTY]]*表格1[[#This Row],[Unit Price]],"-")</f>
        <v>298</v>
      </c>
      <c r="O538" s="134">
        <v>383502</v>
      </c>
      <c r="P538" s="81"/>
      <c r="Q538" s="81"/>
      <c r="R538" s="81" t="str">
        <f>_xlfn.CONCAT(表格1[[#This Row],[Model]]," ",表格1[[#This Row],[inv no]])</f>
        <v>IC-20R1THK 383502</v>
      </c>
      <c r="S538" s="135">
        <f>_xlfn.XLOOKUP(表格1[[#This Row],[Model]],表格3[Model-Input-Ref2],表格3[SRP PRICE])</f>
        <v>438</v>
      </c>
      <c r="T538" s="43">
        <f>表格1[[#This Row],[Unit Price]]/表格1[[#This Row],[SRP]]</f>
        <v>0.68036529680365299</v>
      </c>
      <c r="U538" s="86" t="str">
        <f>_xlfn.XLOOKUP(表格1[[#This Row],[Model]],表格3[Model-Input-Ref2],表格3[TOSHIBA/HIGHEST])</f>
        <v>Shops Highest Price</v>
      </c>
      <c r="V538" s="86">
        <v>110</v>
      </c>
      <c r="W538" s="86" t="str">
        <f>_xlfn.CONCAT(表格1[[#This Row],[欄4]],表格1[[#This Row],[inv no]])</f>
        <v>110383502</v>
      </c>
    </row>
    <row r="539" spans="1:23" hidden="1">
      <c r="A539" s="81">
        <v>537</v>
      </c>
      <c r="B539" s="81" t="s">
        <v>1260</v>
      </c>
      <c r="C539" s="81" t="s">
        <v>1374</v>
      </c>
      <c r="D539" s="82" t="str">
        <f ca="1">OFFSET(Roster!$A$3,MATCH(表格1[[#This Row],[Location]]&amp;" "&amp;表格1[[#This Row],[Shop]]&amp;"*",Roster!$A$4:$A$72,0),DAY(表格1[[#This Row],[date]]),1,1)</f>
        <v>Ling Ho</v>
      </c>
      <c r="E539" s="81">
        <f>MONTH(表格1[[#This Row],[date]])</f>
        <v>3</v>
      </c>
      <c r="F539" s="101">
        <v>46084</v>
      </c>
      <c r="G539" s="81" t="str">
        <f>VLOOKUP("*"&amp;表格1[[#This Row],[Input]]&amp;"*",'Ref-List'!$B:$D,2,)</f>
        <v>RC-10JRUH(N)</v>
      </c>
      <c r="H539" s="81" t="str">
        <f>_xlfn.XLOOKUP(表格1[[#This Row],[Model]],表格3[Model-Input-Ref2],表格3[Product Line])</f>
        <v>電飯煲</v>
      </c>
      <c r="I539" s="81" t="str">
        <f>_xlfn.XLOOKUP(表格1[[#This Row],[Model]],表格3[Model-Input-Ref2],表格3[大小電])</f>
        <v>細電</v>
      </c>
      <c r="J539" s="81" t="str">
        <f>_xlfn.XLOOKUP(表格1[[#This Row],[Model]],表格3[Model-Input-Ref2],表格3[Code])</f>
        <v>SDA</v>
      </c>
      <c r="K539" s="82" t="s">
        <v>1263</v>
      </c>
      <c r="L539" s="81">
        <v>1</v>
      </c>
      <c r="M539" s="85">
        <v>250</v>
      </c>
      <c r="N539" s="85">
        <f>IFERROR(表格1[[#This Row],[QTY]]*表格1[[#This Row],[Unit Price]],"-")</f>
        <v>250</v>
      </c>
      <c r="O539" s="134">
        <v>215537</v>
      </c>
      <c r="P539" s="81"/>
      <c r="Q539" s="81"/>
      <c r="R539" s="81" t="str">
        <f>_xlfn.CONCAT(表格1[[#This Row],[Model]]," ",表格1[[#This Row],[inv no]])</f>
        <v>RC-10JRUH(N) 215537</v>
      </c>
      <c r="S539" s="135">
        <f>_xlfn.XLOOKUP(表格1[[#This Row],[Model]],表格3[Model-Input-Ref2],表格3[SRP PRICE])</f>
        <v>398</v>
      </c>
      <c r="T539" s="43">
        <f>表格1[[#This Row],[Unit Price]]/表格1[[#This Row],[SRP]]</f>
        <v>0.62814070351758799</v>
      </c>
      <c r="U539" s="86" t="str">
        <f>_xlfn.XLOOKUP(表格1[[#This Row],[Model]],表格3[Model-Input-Ref2],表格3[TOSHIBA/HIGHEST])</f>
        <v>Shops Highest Price</v>
      </c>
      <c r="V539" s="86" t="s">
        <v>1127</v>
      </c>
      <c r="W539" s="86" t="str">
        <f>_xlfn.CONCAT(表格1[[#This Row],[欄4]],表格1[[#This Row],[inv no]])</f>
        <v>DA141215537</v>
      </c>
    </row>
    <row r="540" spans="1:23" hidden="1">
      <c r="A540" s="81">
        <v>538</v>
      </c>
      <c r="B540" s="81" t="s">
        <v>1260</v>
      </c>
      <c r="C540" s="81" t="s">
        <v>1374</v>
      </c>
      <c r="D540" s="82" t="str">
        <f ca="1">OFFSET(Roster!$A$3,MATCH(表格1[[#This Row],[Location]]&amp;" "&amp;表格1[[#This Row],[Shop]]&amp;"*",Roster!$A$4:$A$72,0),DAY(表格1[[#This Row],[date]]),1,1)</f>
        <v>Ling Ho</v>
      </c>
      <c r="E540" s="81">
        <f>MONTH(表格1[[#This Row],[date]])</f>
        <v>3</v>
      </c>
      <c r="F540" s="101">
        <v>46084</v>
      </c>
      <c r="G540" s="81" t="str">
        <f>VLOOKUP("*"&amp;表格1[[#This Row],[Input]]&amp;"*",'Ref-List'!$B:$D,2,)</f>
        <v>RC-10JRUH(N)</v>
      </c>
      <c r="H540" s="81" t="str">
        <f>_xlfn.XLOOKUP(表格1[[#This Row],[Model]],表格3[Model-Input-Ref2],表格3[Product Line])</f>
        <v>電飯煲</v>
      </c>
      <c r="I540" s="81" t="str">
        <f>_xlfn.XLOOKUP(表格1[[#This Row],[Model]],表格3[Model-Input-Ref2],表格3[大小電])</f>
        <v>細電</v>
      </c>
      <c r="J540" s="81" t="str">
        <f>_xlfn.XLOOKUP(表格1[[#This Row],[Model]],表格3[Model-Input-Ref2],表格3[Code])</f>
        <v>SDA</v>
      </c>
      <c r="K540" s="82" t="s">
        <v>1263</v>
      </c>
      <c r="L540" s="81">
        <v>1</v>
      </c>
      <c r="M540" s="85">
        <v>250</v>
      </c>
      <c r="N540" s="85">
        <f>IFERROR(表格1[[#This Row],[QTY]]*表格1[[#This Row],[Unit Price]],"-")</f>
        <v>250</v>
      </c>
      <c r="O540" s="134">
        <v>383549</v>
      </c>
      <c r="P540" s="81"/>
      <c r="Q540" s="81"/>
      <c r="R540" s="81" t="str">
        <f>_xlfn.CONCAT(表格1[[#This Row],[Model]]," ",表格1[[#This Row],[inv no]])</f>
        <v>RC-10JRUH(N) 383549</v>
      </c>
      <c r="S540" s="135">
        <f>_xlfn.XLOOKUP(表格1[[#This Row],[Model]],表格3[Model-Input-Ref2],表格3[SRP PRICE])</f>
        <v>398</v>
      </c>
      <c r="T540" s="43">
        <f>表格1[[#This Row],[Unit Price]]/表格1[[#This Row],[SRP]]</f>
        <v>0.62814070351758799</v>
      </c>
      <c r="U540" s="86" t="str">
        <f>_xlfn.XLOOKUP(表格1[[#This Row],[Model]],表格3[Model-Input-Ref2],表格3[TOSHIBA/HIGHEST])</f>
        <v>Shops Highest Price</v>
      </c>
      <c r="V540" s="86" t="s">
        <v>1127</v>
      </c>
      <c r="W540" s="86" t="str">
        <f>_xlfn.CONCAT(表格1[[#This Row],[欄4]],表格1[[#This Row],[inv no]])</f>
        <v>DA141383549</v>
      </c>
    </row>
    <row r="541" spans="1:23" hidden="1">
      <c r="A541" s="81">
        <v>539</v>
      </c>
      <c r="B541" s="81" t="s">
        <v>1260</v>
      </c>
      <c r="C541" s="81" t="s">
        <v>1374</v>
      </c>
      <c r="D541" s="82" t="str">
        <f ca="1">OFFSET(Roster!$A$3,MATCH(表格1[[#This Row],[Location]]&amp;" "&amp;表格1[[#This Row],[Shop]]&amp;"*",Roster!$A$4:$A$72,0),DAY(表格1[[#This Row],[date]]),1,1)</f>
        <v>Ling Ho</v>
      </c>
      <c r="E541" s="81">
        <f>MONTH(表格1[[#This Row],[date]])</f>
        <v>3</v>
      </c>
      <c r="F541" s="101">
        <v>46084</v>
      </c>
      <c r="G541" s="81" t="str">
        <f>VLOOKUP("*"&amp;表格1[[#This Row],[Input]]&amp;"*",'Ref-List'!$B:$D,2,)</f>
        <v>MW3-SAC24SE(BK)</v>
      </c>
      <c r="H541" s="81" t="str">
        <f>_xlfn.XLOOKUP(表格1[[#This Row],[Model]],表格3[Model-Input-Ref2],表格3[Product Line])</f>
        <v>智能氣炸烤焗爐(24公升)</v>
      </c>
      <c r="I541" s="81" t="str">
        <f>_xlfn.XLOOKUP(表格1[[#This Row],[Model]],表格3[Model-Input-Ref2],表格3[大小電])</f>
        <v>細電</v>
      </c>
      <c r="J541" s="81" t="str">
        <f>_xlfn.XLOOKUP(表格1[[#This Row],[Model]],表格3[Model-Input-Ref2],表格3[Code])</f>
        <v>MCA</v>
      </c>
      <c r="K541" s="82" t="s">
        <v>1274</v>
      </c>
      <c r="L541" s="81">
        <v>1</v>
      </c>
      <c r="M541" s="85">
        <v>1398</v>
      </c>
      <c r="N541" s="85">
        <f>IFERROR(表格1[[#This Row],[QTY]]*表格1[[#This Row],[Unit Price]],"-")</f>
        <v>1398</v>
      </c>
      <c r="O541" s="134">
        <v>440027</v>
      </c>
      <c r="P541" s="81"/>
      <c r="Q541" s="81"/>
      <c r="R541" s="81" t="str">
        <f>_xlfn.CONCAT(表格1[[#This Row],[Model]]," ",表格1[[#This Row],[inv no]])</f>
        <v>MW3-SAC24SE(BK) 440027</v>
      </c>
      <c r="S541" s="135">
        <f>_xlfn.XLOOKUP(表格1[[#This Row],[Model]],表格3[Model-Input-Ref2],表格3[SRP PRICE])</f>
        <v>1680</v>
      </c>
      <c r="T541" s="43">
        <f>表格1[[#This Row],[Unit Price]]/表格1[[#This Row],[SRP]]</f>
        <v>0.83214285714285718</v>
      </c>
      <c r="U541" s="86" t="str">
        <f>_xlfn.XLOOKUP(表格1[[#This Row],[Model]],表格3[Model-Input-Ref2],表格3[TOSHIBA/HIGHEST])</f>
        <v>Toshiba SRP</v>
      </c>
      <c r="V541" s="86" t="s">
        <v>1126</v>
      </c>
      <c r="W541" s="86" t="str">
        <f>_xlfn.CONCAT(表格1[[#This Row],[欄4]],表格1[[#This Row],[inv no]])</f>
        <v>DA141440027</v>
      </c>
    </row>
    <row r="542" spans="1:23" hidden="1">
      <c r="A542" s="81">
        <v>540</v>
      </c>
      <c r="B542" s="81" t="s">
        <v>1260</v>
      </c>
      <c r="C542" s="81" t="s">
        <v>1374</v>
      </c>
      <c r="D542" s="82" t="str">
        <f ca="1">OFFSET(Roster!$A$3,MATCH(表格1[[#This Row],[Location]]&amp;" "&amp;表格1[[#This Row],[Shop]]&amp;"*",Roster!$A$4:$A$72,0),DAY(表格1[[#This Row],[date]]),1,1)</f>
        <v>Ling Ho</v>
      </c>
      <c r="E542" s="81">
        <f>MONTH(表格1[[#This Row],[date]])</f>
        <v>3</v>
      </c>
      <c r="F542" s="101">
        <v>46085</v>
      </c>
      <c r="G542" s="81" t="str">
        <f>VLOOKUP("*"&amp;表格1[[#This Row],[Input]]&amp;"*",'Ref-List'!$B:$D,2,)</f>
        <v>MS5-STR30SC(BK)</v>
      </c>
      <c r="H542" s="81" t="str">
        <f>_xlfn.XLOOKUP(表格1[[#This Row],[Model]],表格3[Model-Input-Ref2],表格3[Product Line])</f>
        <v>30公升蒸氣焗爐</v>
      </c>
      <c r="I542" s="81" t="str">
        <f>_xlfn.XLOOKUP(表格1[[#This Row],[Model]],表格3[Model-Input-Ref2],表格3[大小電])</f>
        <v>細電</v>
      </c>
      <c r="J542" s="81" t="str">
        <f>_xlfn.XLOOKUP(表格1[[#This Row],[Model]],表格3[Model-Input-Ref2],表格3[Code])</f>
        <v>MCA</v>
      </c>
      <c r="K542" s="82" t="s">
        <v>1379</v>
      </c>
      <c r="L542" s="81">
        <v>1</v>
      </c>
      <c r="M542" s="85">
        <v>3980</v>
      </c>
      <c r="N542" s="85">
        <f>IFERROR(表格1[[#This Row],[QTY]]*表格1[[#This Row],[Unit Price]],"-")</f>
        <v>3980</v>
      </c>
      <c r="O542" s="134">
        <v>383584</v>
      </c>
      <c r="P542" s="81"/>
      <c r="Q542" s="81"/>
      <c r="R542" s="81" t="str">
        <f>_xlfn.CONCAT(表格1[[#This Row],[Model]]," ",表格1[[#This Row],[inv no]])</f>
        <v>MS5-STR30SC(BK) 383584</v>
      </c>
      <c r="S542" s="135">
        <f>_xlfn.XLOOKUP(表格1[[#This Row],[Model]],表格3[Model-Input-Ref2],表格3[SRP PRICE])</f>
        <v>5998</v>
      </c>
      <c r="T542" s="43">
        <f>表格1[[#This Row],[Unit Price]]/表格1[[#This Row],[SRP]]</f>
        <v>0.66355451817272426</v>
      </c>
      <c r="U542" s="86" t="str">
        <f>_xlfn.XLOOKUP(表格1[[#This Row],[Model]],表格3[Model-Input-Ref2],表格3[TOSHIBA/HIGHEST])</f>
        <v>Shops Highest Price</v>
      </c>
      <c r="V542" s="86" t="s">
        <v>1126</v>
      </c>
      <c r="W542" s="86" t="str">
        <f>_xlfn.CONCAT(表格1[[#This Row],[欄4]],表格1[[#This Row],[inv no]])</f>
        <v>DA141383584</v>
      </c>
    </row>
    <row r="543" spans="1:23" hidden="1">
      <c r="A543" s="81">
        <v>541</v>
      </c>
      <c r="B543" s="81" t="s">
        <v>1260</v>
      </c>
      <c r="C543" s="81" t="s">
        <v>1374</v>
      </c>
      <c r="D543" s="82" t="str">
        <f ca="1">OFFSET(Roster!$A$3,MATCH(表格1[[#This Row],[Location]]&amp;" "&amp;表格1[[#This Row],[Shop]]&amp;"*",Roster!$A$4:$A$72,0),DAY(表格1[[#This Row],[date]]),1,1)</f>
        <v>Ling Ho</v>
      </c>
      <c r="E543" s="81">
        <f>MONTH(表格1[[#This Row],[date]])</f>
        <v>3</v>
      </c>
      <c r="F543" s="101">
        <v>46085</v>
      </c>
      <c r="G543" s="81" t="str">
        <f>VLOOKUP("*"&amp;表格1[[#This Row],[Input]]&amp;"*",'Ref-List'!$B:$D,2,)</f>
        <v>MWP-MM20P(WH)</v>
      </c>
      <c r="H543" s="81" t="str">
        <f>_xlfn.XLOOKUP(表格1[[#This Row],[Model]],表格3[Model-Input-Ref2],表格3[Product Line])</f>
        <v>旋鈕式燒烤微波爐20L</v>
      </c>
      <c r="I543" s="81" t="str">
        <f>_xlfn.XLOOKUP(表格1[[#This Row],[Model]],表格3[Model-Input-Ref2],表格3[大小電])</f>
        <v>細電</v>
      </c>
      <c r="J543" s="81" t="str">
        <f>_xlfn.XLOOKUP(表格1[[#This Row],[Model]],表格3[Model-Input-Ref2],表格3[Code])</f>
        <v>SDA</v>
      </c>
      <c r="K543" s="82" t="s">
        <v>1270</v>
      </c>
      <c r="L543" s="81">
        <v>1</v>
      </c>
      <c r="M543" s="85">
        <v>488</v>
      </c>
      <c r="N543" s="85">
        <f>IFERROR(表格1[[#This Row],[QTY]]*表格1[[#This Row],[Unit Price]],"-")</f>
        <v>488</v>
      </c>
      <c r="O543" s="134">
        <v>440146</v>
      </c>
      <c r="P543" s="81"/>
      <c r="Q543" s="81"/>
      <c r="R543" s="81" t="str">
        <f>_xlfn.CONCAT(表格1[[#This Row],[Model]]," ",表格1[[#This Row],[inv no]])</f>
        <v>MWP-MM20P(WH) 440146</v>
      </c>
      <c r="S543" s="135">
        <f>_xlfn.XLOOKUP(表格1[[#This Row],[Model]],表格3[Model-Input-Ref2],表格3[SRP PRICE])</f>
        <v>648</v>
      </c>
      <c r="T543" s="43">
        <f>表格1[[#This Row],[Unit Price]]/表格1[[#This Row],[SRP]]</f>
        <v>0.75308641975308643</v>
      </c>
      <c r="U543" s="86" t="str">
        <f>_xlfn.XLOOKUP(表格1[[#This Row],[Model]],表格3[Model-Input-Ref2],表格3[TOSHIBA/HIGHEST])</f>
        <v>Toshiba SRP</v>
      </c>
      <c r="V543" s="86" t="s">
        <v>1126</v>
      </c>
      <c r="W543" s="86" t="str">
        <f>_xlfn.CONCAT(表格1[[#This Row],[欄4]],表格1[[#This Row],[inv no]])</f>
        <v>DA141440146</v>
      </c>
    </row>
    <row r="544" spans="1:23" hidden="1">
      <c r="A544" s="81">
        <v>542</v>
      </c>
      <c r="B544" s="81" t="s">
        <v>1260</v>
      </c>
      <c r="C544" s="81" t="s">
        <v>1374</v>
      </c>
      <c r="D544" s="82" t="str">
        <f ca="1">OFFSET(Roster!$A$3,MATCH(表格1[[#This Row],[Location]]&amp;" "&amp;表格1[[#This Row],[Shop]]&amp;"*",Roster!$A$4:$A$72,0),DAY(表格1[[#This Row],[date]]),1,1)</f>
        <v>Ling Ho</v>
      </c>
      <c r="E544" s="81">
        <f>MONTH(表格1[[#This Row],[date]])</f>
        <v>3</v>
      </c>
      <c r="F544" s="101">
        <v>46085</v>
      </c>
      <c r="G544" s="81" t="str">
        <f>VLOOKUP("*"&amp;表格1[[#This Row],[Input]]&amp;"*",'Ref-List'!$B:$D,2,)</f>
        <v>IC-20R1THK</v>
      </c>
      <c r="H544" s="81" t="str">
        <f>_xlfn.XLOOKUP(表格1[[#This Row],[Model]],表格3[Model-Input-Ref2],表格3[Product Line])</f>
        <v>輕便式電磁爐</v>
      </c>
      <c r="I544" s="81" t="str">
        <f>_xlfn.XLOOKUP(表格1[[#This Row],[Model]],表格3[Model-Input-Ref2],表格3[大小電])</f>
        <v>細電</v>
      </c>
      <c r="J544" s="81" t="str">
        <f>_xlfn.XLOOKUP(表格1[[#This Row],[Model]],表格3[Model-Input-Ref2],表格3[Code])</f>
        <v>SDA</v>
      </c>
      <c r="K544" s="82" t="s">
        <v>1243</v>
      </c>
      <c r="L544" s="81">
        <v>1</v>
      </c>
      <c r="M544" s="85">
        <v>298</v>
      </c>
      <c r="N544" s="85">
        <f>IFERROR(表格1[[#This Row],[QTY]]*表格1[[#This Row],[Unit Price]],"-")</f>
        <v>298</v>
      </c>
      <c r="O544" s="134">
        <v>440146</v>
      </c>
      <c r="P544" s="81"/>
      <c r="Q544" s="81"/>
      <c r="R544" s="81" t="str">
        <f>_xlfn.CONCAT(表格1[[#This Row],[Model]]," ",表格1[[#This Row],[inv no]])</f>
        <v>IC-20R1THK 440146</v>
      </c>
      <c r="S544" s="135">
        <f>_xlfn.XLOOKUP(表格1[[#This Row],[Model]],表格3[Model-Input-Ref2],表格3[SRP PRICE])</f>
        <v>438</v>
      </c>
      <c r="T544" s="43">
        <f>表格1[[#This Row],[Unit Price]]/表格1[[#This Row],[SRP]]</f>
        <v>0.68036529680365299</v>
      </c>
      <c r="U544" s="86" t="str">
        <f>_xlfn.XLOOKUP(表格1[[#This Row],[Model]],表格3[Model-Input-Ref2],表格3[TOSHIBA/HIGHEST])</f>
        <v>Shops Highest Price</v>
      </c>
      <c r="V544" s="86" t="s">
        <v>1126</v>
      </c>
      <c r="W544" s="86" t="str">
        <f>_xlfn.CONCAT(表格1[[#This Row],[欄4]],表格1[[#This Row],[inv no]])</f>
        <v>DA141440146</v>
      </c>
    </row>
    <row r="545" spans="1:23" hidden="1">
      <c r="A545" s="81">
        <v>543</v>
      </c>
      <c r="B545" s="81" t="s">
        <v>1260</v>
      </c>
      <c r="C545" s="81" t="s">
        <v>1374</v>
      </c>
      <c r="D545" s="82" t="str">
        <f ca="1">OFFSET(Roster!$A$3,MATCH(表格1[[#This Row],[Location]]&amp;" "&amp;表格1[[#This Row],[Shop]]&amp;"*",Roster!$A$4:$A$72,0),DAY(表格1[[#This Row],[date]]),1,1)</f>
        <v>Ling Ho</v>
      </c>
      <c r="E545" s="81">
        <f>MONTH(表格1[[#This Row],[date]])</f>
        <v>3</v>
      </c>
      <c r="F545" s="101">
        <v>46085</v>
      </c>
      <c r="G545" s="81" t="str">
        <f>VLOOKUP("*"&amp;表格1[[#This Row],[Input]]&amp;"*",'Ref-List'!$B:$D,2,)</f>
        <v>MW3-SAC24SE(BK)</v>
      </c>
      <c r="H545" s="81" t="str">
        <f>_xlfn.XLOOKUP(表格1[[#This Row],[Model]],表格3[Model-Input-Ref2],表格3[Product Line])</f>
        <v>智能氣炸烤焗爐(24公升)</v>
      </c>
      <c r="I545" s="81" t="str">
        <f>_xlfn.XLOOKUP(表格1[[#This Row],[Model]],表格3[Model-Input-Ref2],表格3[大小電])</f>
        <v>細電</v>
      </c>
      <c r="J545" s="81" t="str">
        <f>_xlfn.XLOOKUP(表格1[[#This Row],[Model]],表格3[Model-Input-Ref2],表格3[Code])</f>
        <v>MCA</v>
      </c>
      <c r="K545" s="82" t="s">
        <v>1274</v>
      </c>
      <c r="L545" s="81">
        <v>1</v>
      </c>
      <c r="M545" s="85">
        <v>1398</v>
      </c>
      <c r="N545" s="85">
        <f>IFERROR(表格1[[#This Row],[QTY]]*表格1[[#This Row],[Unit Price]],"-")</f>
        <v>1398</v>
      </c>
      <c r="O545" s="134">
        <v>440169</v>
      </c>
      <c r="P545" s="81"/>
      <c r="Q545" s="81"/>
      <c r="R545" s="81" t="str">
        <f>_xlfn.CONCAT(表格1[[#This Row],[Model]]," ",表格1[[#This Row],[inv no]])</f>
        <v>MW3-SAC24SE(BK) 440169</v>
      </c>
      <c r="S545" s="135">
        <f>_xlfn.XLOOKUP(表格1[[#This Row],[Model]],表格3[Model-Input-Ref2],表格3[SRP PRICE])</f>
        <v>1680</v>
      </c>
      <c r="T545" s="43">
        <f>表格1[[#This Row],[Unit Price]]/表格1[[#This Row],[SRP]]</f>
        <v>0.83214285714285718</v>
      </c>
      <c r="U545" s="86" t="str">
        <f>_xlfn.XLOOKUP(表格1[[#This Row],[Model]],表格3[Model-Input-Ref2],表格3[TOSHIBA/HIGHEST])</f>
        <v>Toshiba SRP</v>
      </c>
      <c r="V545" s="86" t="s">
        <v>1126</v>
      </c>
      <c r="W545" s="86" t="str">
        <f>_xlfn.CONCAT(表格1[[#This Row],[欄4]],表格1[[#This Row],[inv no]])</f>
        <v>DA141440169</v>
      </c>
    </row>
    <row r="546" spans="1:23" hidden="1">
      <c r="A546" s="81">
        <v>544</v>
      </c>
      <c r="B546" s="81" t="s">
        <v>1260</v>
      </c>
      <c r="C546" s="81" t="s">
        <v>1374</v>
      </c>
      <c r="D546" s="82" t="str">
        <f ca="1">OFFSET(Roster!$A$3,MATCH(表格1[[#This Row],[Location]]&amp;" "&amp;表格1[[#This Row],[Shop]]&amp;"*",Roster!$A$4:$A$72,0),DAY(表格1[[#This Row],[date]]),1,1)</f>
        <v>Ling Ho</v>
      </c>
      <c r="E546" s="81">
        <f>MONTH(表格1[[#This Row],[date]])</f>
        <v>3</v>
      </c>
      <c r="F546" s="101">
        <v>46085</v>
      </c>
      <c r="G546" s="81" t="str">
        <f>VLOOKUP("*"&amp;表格1[[#This Row],[Input]]&amp;"*",'Ref-List'!$B:$D,2,)</f>
        <v>RAD-D300H</v>
      </c>
      <c r="H546" s="81" t="str">
        <f>_xlfn.XLOOKUP(表格1[[#This Row],[Model]],表格3[Model-Input-Ref2],表格3[Product Line])</f>
        <v>壓縮式抽濕機 (30公升)</v>
      </c>
      <c r="I546" s="81" t="str">
        <f>_xlfn.XLOOKUP(表格1[[#This Row],[Model]],表格3[Model-Input-Ref2],表格3[大小電])</f>
        <v>細電</v>
      </c>
      <c r="J546" s="81" t="str">
        <f>_xlfn.XLOOKUP(表格1[[#This Row],[Model]],表格3[Model-Input-Ref2],表格3[Code])</f>
        <v>RAC</v>
      </c>
      <c r="K546" s="82" t="s">
        <v>1252</v>
      </c>
      <c r="L546" s="81">
        <v>1</v>
      </c>
      <c r="M546" s="85">
        <v>2280</v>
      </c>
      <c r="N546" s="85">
        <f>IFERROR(表格1[[#This Row],[QTY]]*表格1[[#This Row],[Unit Price]],"-")</f>
        <v>2280</v>
      </c>
      <c r="O546" s="134">
        <v>440179</v>
      </c>
      <c r="P546" s="81"/>
      <c r="Q546" s="81"/>
      <c r="R546" s="81" t="str">
        <f>_xlfn.CONCAT(表格1[[#This Row],[Model]]," ",表格1[[#This Row],[inv no]])</f>
        <v>RAD-D300H 440179</v>
      </c>
      <c r="S546" s="135">
        <f>_xlfn.XLOOKUP(表格1[[#This Row],[Model]],表格3[Model-Input-Ref2],表格3[SRP PRICE])</f>
        <v>3380</v>
      </c>
      <c r="T546" s="43">
        <f>表格1[[#This Row],[Unit Price]]/表格1[[#This Row],[SRP]]</f>
        <v>0.67455621301775148</v>
      </c>
      <c r="U546" s="86" t="str">
        <f>_xlfn.XLOOKUP(表格1[[#This Row],[Model]],表格3[Model-Input-Ref2],表格3[TOSHIBA/HIGHEST])</f>
        <v>Shops Highest Price</v>
      </c>
      <c r="V546" s="86" t="s">
        <v>1126</v>
      </c>
      <c r="W546" s="86" t="str">
        <f>_xlfn.CONCAT(表格1[[#This Row],[欄4]],表格1[[#This Row],[inv no]])</f>
        <v>DA141440179</v>
      </c>
    </row>
    <row r="547" spans="1:23" hidden="1">
      <c r="A547" s="81">
        <v>545</v>
      </c>
      <c r="B547" s="81" t="s">
        <v>1260</v>
      </c>
      <c r="C547" s="81" t="s">
        <v>1374</v>
      </c>
      <c r="D547" s="82" t="str">
        <f ca="1">OFFSET(Roster!$A$3,MATCH(表格1[[#This Row],[Location]]&amp;" "&amp;表格1[[#This Row],[Shop]]&amp;"*",Roster!$A$4:$A$72,0),DAY(表格1[[#This Row],[date]]),1,1)</f>
        <v>Ling Ho</v>
      </c>
      <c r="E547" s="81">
        <f>MONTH(表格1[[#This Row],[date]])</f>
        <v>3</v>
      </c>
      <c r="F547" s="101">
        <v>46085</v>
      </c>
      <c r="G547" s="81" t="str">
        <f>VLOOKUP("*"&amp;表格1[[#This Row],[Input]]&amp;"*",'Ref-List'!$B:$D,2,)</f>
        <v>RC-10JRUH(N)</v>
      </c>
      <c r="H547" s="81" t="str">
        <f>_xlfn.XLOOKUP(表格1[[#This Row],[Model]],表格3[Model-Input-Ref2],表格3[Product Line])</f>
        <v>電飯煲</v>
      </c>
      <c r="I547" s="81" t="str">
        <f>_xlfn.XLOOKUP(表格1[[#This Row],[Model]],表格3[Model-Input-Ref2],表格3[大小電])</f>
        <v>細電</v>
      </c>
      <c r="J547" s="81" t="str">
        <f>_xlfn.XLOOKUP(表格1[[#This Row],[Model]],表格3[Model-Input-Ref2],表格3[Code])</f>
        <v>SDA</v>
      </c>
      <c r="K547" s="82" t="s">
        <v>1263</v>
      </c>
      <c r="L547" s="81">
        <v>1</v>
      </c>
      <c r="M547" s="85">
        <v>250</v>
      </c>
      <c r="N547" s="85">
        <f>IFERROR(表格1[[#This Row],[QTY]]*表格1[[#This Row],[Unit Price]],"-")</f>
        <v>250</v>
      </c>
      <c r="O547" s="134">
        <v>440214</v>
      </c>
      <c r="P547" s="81"/>
      <c r="Q547" s="81"/>
      <c r="R547" s="81" t="str">
        <f>_xlfn.CONCAT(表格1[[#This Row],[Model]]," ",表格1[[#This Row],[inv no]])</f>
        <v>RC-10JRUH(N) 440214</v>
      </c>
      <c r="S547" s="135">
        <f>_xlfn.XLOOKUP(表格1[[#This Row],[Model]],表格3[Model-Input-Ref2],表格3[SRP PRICE])</f>
        <v>398</v>
      </c>
      <c r="T547" s="43">
        <f>表格1[[#This Row],[Unit Price]]/表格1[[#This Row],[SRP]]</f>
        <v>0.62814070351758799</v>
      </c>
      <c r="U547" s="86" t="str">
        <f>_xlfn.XLOOKUP(表格1[[#This Row],[Model]],表格3[Model-Input-Ref2],表格3[TOSHIBA/HIGHEST])</f>
        <v>Shops Highest Price</v>
      </c>
      <c r="V547" s="86" t="s">
        <v>1126</v>
      </c>
      <c r="W547" s="86" t="str">
        <f>_xlfn.CONCAT(表格1[[#This Row],[欄4]],表格1[[#This Row],[inv no]])</f>
        <v>DA141440214</v>
      </c>
    </row>
    <row r="548" spans="1:23" hidden="1">
      <c r="A548" s="81">
        <v>546</v>
      </c>
      <c r="B548" s="81" t="s">
        <v>1260</v>
      </c>
      <c r="C548" s="81" t="s">
        <v>1374</v>
      </c>
      <c r="D548" s="82" t="str">
        <f ca="1">OFFSET(Roster!$A$3,MATCH(表格1[[#This Row],[Location]]&amp;" "&amp;表格1[[#This Row],[Shop]]&amp;"*",Roster!$A$4:$A$72,0),DAY(表格1[[#This Row],[date]]),1,1)</f>
        <v>Ling Ho</v>
      </c>
      <c r="E548" s="81">
        <f>MONTH(表格1[[#This Row],[date]])</f>
        <v>3</v>
      </c>
      <c r="F548" s="101">
        <v>46085</v>
      </c>
      <c r="G548" s="81" t="str">
        <f>VLOOKUP("*"&amp;表格1[[#This Row],[Input]]&amp;"*",'Ref-List'!$B:$D,2,)</f>
        <v>RC-10NMFIH(WT)</v>
      </c>
      <c r="H548" s="81" t="str">
        <f>_xlfn.XLOOKUP(表格1[[#This Row],[Model]],表格3[Model-Input-Ref2],表格3[Product Line])</f>
        <v>4毫米厚釜電飯煲1L</v>
      </c>
      <c r="I548" s="81" t="str">
        <f>_xlfn.XLOOKUP(表格1[[#This Row],[Model]],表格3[Model-Input-Ref2],表格3[大小電])</f>
        <v>細電</v>
      </c>
      <c r="J548" s="81" t="str">
        <f>_xlfn.XLOOKUP(表格1[[#This Row],[Model]],表格3[Model-Input-Ref2],表格3[Code])</f>
        <v>SDA</v>
      </c>
      <c r="K548" s="82" t="s">
        <v>1244</v>
      </c>
      <c r="L548" s="81">
        <v>1</v>
      </c>
      <c r="M548" s="85">
        <v>719</v>
      </c>
      <c r="N548" s="85">
        <f>IFERROR(表格1[[#This Row],[QTY]]*表格1[[#This Row],[Unit Price]],"-")</f>
        <v>719</v>
      </c>
      <c r="O548" s="134">
        <v>440185</v>
      </c>
      <c r="P548" s="81"/>
      <c r="Q548" s="81"/>
      <c r="R548" s="81" t="str">
        <f>_xlfn.CONCAT(表格1[[#This Row],[Model]]," ",表格1[[#This Row],[inv no]])</f>
        <v>RC-10NMFIH(WT) 440185</v>
      </c>
      <c r="S548" s="135">
        <f>_xlfn.XLOOKUP(表格1[[#This Row],[Model]],表格3[Model-Input-Ref2],表格3[SRP PRICE])</f>
        <v>898</v>
      </c>
      <c r="T548" s="43">
        <f>表格1[[#This Row],[Unit Price]]/表格1[[#This Row],[SRP]]</f>
        <v>0.80066815144766146</v>
      </c>
      <c r="U548" s="86" t="str">
        <f>_xlfn.XLOOKUP(表格1[[#This Row],[Model]],表格3[Model-Input-Ref2],表格3[TOSHIBA/HIGHEST])</f>
        <v>Toshiba SRP</v>
      </c>
      <c r="V548" s="86" t="s">
        <v>1126</v>
      </c>
      <c r="W548" s="86" t="str">
        <f>_xlfn.CONCAT(表格1[[#This Row],[欄4]],表格1[[#This Row],[inv no]])</f>
        <v>DA141440185</v>
      </c>
    </row>
    <row r="549" spans="1:23" hidden="1">
      <c r="A549" s="81">
        <v>547</v>
      </c>
      <c r="B549" s="81" t="s">
        <v>1260</v>
      </c>
      <c r="C549" s="81" t="s">
        <v>1374</v>
      </c>
      <c r="D549" s="82" t="str">
        <f ca="1">OFFSET(Roster!$A$3,MATCH(表格1[[#This Row],[Location]]&amp;" "&amp;表格1[[#This Row],[Shop]]&amp;"*",Roster!$A$4:$A$72,0),DAY(表格1[[#This Row],[date]]),1,1)</f>
        <v>Ling Ho</v>
      </c>
      <c r="E549" s="81">
        <f>MONTH(表格1[[#This Row],[date]])</f>
        <v>3</v>
      </c>
      <c r="F549" s="101">
        <v>46085</v>
      </c>
      <c r="G549" s="81" t="str">
        <f>VLOOKUP("*"&amp;表格1[[#This Row],[Input]]&amp;"*",'Ref-List'!$B:$D,2,)</f>
        <v>RC-7HMH</v>
      </c>
      <c r="H549" s="81" t="str">
        <f>_xlfn.XLOOKUP(表格1[[#This Row],[Model]],表格3[Model-Input-Ref2],表格3[Product Line])</f>
        <v>備長炭本厚釜電飯煲0.7L</v>
      </c>
      <c r="I549" s="81" t="str">
        <f>_xlfn.XLOOKUP(表格1[[#This Row],[Model]],表格3[Model-Input-Ref2],表格3[大小電])</f>
        <v>細電</v>
      </c>
      <c r="J549" s="81" t="str">
        <f>_xlfn.XLOOKUP(表格1[[#This Row],[Model]],表格3[Model-Input-Ref2],表格3[Code])</f>
        <v>SDA</v>
      </c>
      <c r="K549" s="82" t="s">
        <v>1284</v>
      </c>
      <c r="L549" s="81">
        <v>1</v>
      </c>
      <c r="M549" s="85">
        <v>738</v>
      </c>
      <c r="N549" s="85">
        <f>IFERROR(表格1[[#This Row],[QTY]]*表格1[[#This Row],[Unit Price]],"-")</f>
        <v>738</v>
      </c>
      <c r="O549" s="134">
        <v>383783</v>
      </c>
      <c r="P549" s="81"/>
      <c r="Q549" s="81"/>
      <c r="R549" s="81" t="str">
        <f>_xlfn.CONCAT(表格1[[#This Row],[Model]]," ",表格1[[#This Row],[inv no]])</f>
        <v>RC-7HMH 383783</v>
      </c>
      <c r="S549" s="135">
        <f>_xlfn.XLOOKUP(表格1[[#This Row],[Model]],表格3[Model-Input-Ref2],表格3[SRP PRICE])</f>
        <v>1288</v>
      </c>
      <c r="T549" s="43">
        <f>表格1[[#This Row],[Unit Price]]/表格1[[#This Row],[SRP]]</f>
        <v>0.57298136645962738</v>
      </c>
      <c r="U549" s="86" t="str">
        <f>_xlfn.XLOOKUP(表格1[[#This Row],[Model]],表格3[Model-Input-Ref2],表格3[TOSHIBA/HIGHEST])</f>
        <v>Toshiba SRP</v>
      </c>
      <c r="V549" s="86" t="s">
        <v>1126</v>
      </c>
      <c r="W549" s="86" t="str">
        <f>_xlfn.CONCAT(表格1[[#This Row],[欄4]],表格1[[#This Row],[inv no]])</f>
        <v>DA141383783</v>
      </c>
    </row>
    <row r="550" spans="1:23" hidden="1">
      <c r="A550" s="81">
        <v>548</v>
      </c>
      <c r="B550" s="81" t="s">
        <v>1260</v>
      </c>
      <c r="C550" s="81" t="s">
        <v>1374</v>
      </c>
      <c r="D550" s="82" t="str">
        <f ca="1">OFFSET(Roster!$A$3,MATCH(表格1[[#This Row],[Location]]&amp;" "&amp;表格1[[#This Row],[Shop]]&amp;"*",Roster!$A$4:$A$72,0),DAY(表格1[[#This Row],[date]]),1,1)</f>
        <v>Ling Ho</v>
      </c>
      <c r="E550" s="81">
        <f>MONTH(表格1[[#This Row],[date]])</f>
        <v>3</v>
      </c>
      <c r="F550" s="101">
        <v>46085</v>
      </c>
      <c r="G550" s="81" t="str">
        <f>VLOOKUP("*"&amp;表格1[[#This Row],[Input]]&amp;"*",'Ref-List'!$B:$D,2,)</f>
        <v>RAD-D200H</v>
      </c>
      <c r="H550" s="81" t="str">
        <f>_xlfn.XLOOKUP(表格1[[#This Row],[Model]],表格3[Model-Input-Ref2],表格3[Product Line])</f>
        <v>壓縮式抽濕機 (22公升)</v>
      </c>
      <c r="I550" s="81" t="str">
        <f>_xlfn.XLOOKUP(表格1[[#This Row],[Model]],表格3[Model-Input-Ref2],表格3[大小電])</f>
        <v>細電</v>
      </c>
      <c r="J550" s="81" t="str">
        <f>_xlfn.XLOOKUP(表格1[[#This Row],[Model]],表格3[Model-Input-Ref2],表格3[Code])</f>
        <v>RAC</v>
      </c>
      <c r="K550" s="82" t="s">
        <v>1250</v>
      </c>
      <c r="L550" s="81">
        <v>1</v>
      </c>
      <c r="M550" s="85">
        <v>1880</v>
      </c>
      <c r="N550" s="85">
        <f>IFERROR(表格1[[#This Row],[QTY]]*表格1[[#This Row],[Unit Price]],"-")</f>
        <v>1880</v>
      </c>
      <c r="O550" s="134">
        <v>440291</v>
      </c>
      <c r="P550" s="81"/>
      <c r="Q550" s="81"/>
      <c r="R550" s="81" t="str">
        <f>_xlfn.CONCAT(表格1[[#This Row],[Model]]," ",表格1[[#This Row],[inv no]])</f>
        <v>RAD-D200H 440291</v>
      </c>
      <c r="S550" s="135">
        <f>_xlfn.XLOOKUP(表格1[[#This Row],[Model]],表格3[Model-Input-Ref2],表格3[SRP PRICE])</f>
        <v>2880</v>
      </c>
      <c r="T550" s="43">
        <f>表格1[[#This Row],[Unit Price]]/表格1[[#This Row],[SRP]]</f>
        <v>0.65277777777777779</v>
      </c>
      <c r="U550" s="86" t="str">
        <f>_xlfn.XLOOKUP(表格1[[#This Row],[Model]],表格3[Model-Input-Ref2],表格3[TOSHIBA/HIGHEST])</f>
        <v>Shops Highest Price</v>
      </c>
      <c r="V550" s="86" t="s">
        <v>1126</v>
      </c>
      <c r="W550" s="86" t="str">
        <f>_xlfn.CONCAT(表格1[[#This Row],[欄4]],表格1[[#This Row],[inv no]])</f>
        <v>DA141440291</v>
      </c>
    </row>
    <row r="551" spans="1:23" hidden="1">
      <c r="A551" s="81">
        <v>549</v>
      </c>
      <c r="B551" s="81" t="s">
        <v>1260</v>
      </c>
      <c r="C551" s="81" t="s">
        <v>1374</v>
      </c>
      <c r="D551" s="82" t="str">
        <f ca="1">OFFSET(Roster!$A$3,MATCH(表格1[[#This Row],[Location]]&amp;" "&amp;表格1[[#This Row],[Shop]]&amp;"*",Roster!$A$4:$A$72,0),DAY(表格1[[#This Row],[date]]),1,1)</f>
        <v>Ling Ho</v>
      </c>
      <c r="E551" s="81">
        <f>MONTH(表格1[[#This Row],[date]])</f>
        <v>3</v>
      </c>
      <c r="F551" s="101">
        <v>46085</v>
      </c>
      <c r="G551" s="81" t="str">
        <f>VLOOKUP("*"&amp;表格1[[#This Row],[Input]]&amp;"*",'Ref-List'!$B:$D,2,)</f>
        <v>RAD-D200H</v>
      </c>
      <c r="H551" s="81" t="str">
        <f>_xlfn.XLOOKUP(表格1[[#This Row],[Model]],表格3[Model-Input-Ref2],表格3[Product Line])</f>
        <v>壓縮式抽濕機 (22公升)</v>
      </c>
      <c r="I551" s="81" t="str">
        <f>_xlfn.XLOOKUP(表格1[[#This Row],[Model]],表格3[Model-Input-Ref2],表格3[大小電])</f>
        <v>細電</v>
      </c>
      <c r="J551" s="81" t="str">
        <f>_xlfn.XLOOKUP(表格1[[#This Row],[Model]],表格3[Model-Input-Ref2],表格3[Code])</f>
        <v>RAC</v>
      </c>
      <c r="K551" s="82" t="s">
        <v>1250</v>
      </c>
      <c r="L551" s="81">
        <v>1</v>
      </c>
      <c r="M551" s="85">
        <v>1880</v>
      </c>
      <c r="N551" s="85">
        <f>IFERROR(表格1[[#This Row],[QTY]]*表格1[[#This Row],[Unit Price]],"-")</f>
        <v>1880</v>
      </c>
      <c r="O551" s="134">
        <v>383822</v>
      </c>
      <c r="P551" s="81"/>
      <c r="Q551" s="81"/>
      <c r="R551" s="81" t="str">
        <f>_xlfn.CONCAT(表格1[[#This Row],[Model]]," ",表格1[[#This Row],[inv no]])</f>
        <v>RAD-D200H 383822</v>
      </c>
      <c r="S551" s="135">
        <f>_xlfn.XLOOKUP(表格1[[#This Row],[Model]],表格3[Model-Input-Ref2],表格3[SRP PRICE])</f>
        <v>2880</v>
      </c>
      <c r="T551" s="43">
        <f>表格1[[#This Row],[Unit Price]]/表格1[[#This Row],[SRP]]</f>
        <v>0.65277777777777779</v>
      </c>
      <c r="U551" s="86" t="str">
        <f>_xlfn.XLOOKUP(表格1[[#This Row],[Model]],表格3[Model-Input-Ref2],表格3[TOSHIBA/HIGHEST])</f>
        <v>Shops Highest Price</v>
      </c>
      <c r="V551" s="86" t="s">
        <v>1126</v>
      </c>
      <c r="W551" s="86" t="str">
        <f>_xlfn.CONCAT(表格1[[#This Row],[欄4]],表格1[[#This Row],[inv no]])</f>
        <v>DA141383822</v>
      </c>
    </row>
    <row r="552" spans="1:23" ht="16.5" hidden="1">
      <c r="A552" s="81">
        <v>550</v>
      </c>
      <c r="B552" s="81" t="s">
        <v>1260</v>
      </c>
      <c r="C552" s="81" t="s">
        <v>1374</v>
      </c>
      <c r="D552" s="82" t="str">
        <f ca="1">OFFSET(Roster!$A$3,MATCH(表格1[[#This Row],[Location]]&amp;" "&amp;表格1[[#This Row],[Shop]]&amp;"*",Roster!$A$4:$A$72,0),DAY(表格1[[#This Row],[date]]),1,1)</f>
        <v>Ling Ho</v>
      </c>
      <c r="E552" s="81">
        <f>MONTH(表格1[[#This Row],[date]])</f>
        <v>3</v>
      </c>
      <c r="F552" s="101">
        <v>46085</v>
      </c>
      <c r="G552" s="81" t="str">
        <f>VLOOKUP("*"&amp;表格1[[#This Row],[Input]]&amp;"*",'Ref-List'!$B:$D,2,)</f>
        <v>IC-20R1THK</v>
      </c>
      <c r="H552" s="81" t="str">
        <f>_xlfn.XLOOKUP(表格1[[#This Row],[Model]],表格3[Model-Input-Ref2],表格3[Product Line])</f>
        <v>輕便式電磁爐</v>
      </c>
      <c r="I552" s="81" t="str">
        <f>_xlfn.XLOOKUP(表格1[[#This Row],[Model]],表格3[Model-Input-Ref2],表格3[大小電])</f>
        <v>細電</v>
      </c>
      <c r="J552" s="81" t="str">
        <f>_xlfn.XLOOKUP(表格1[[#This Row],[Model]],表格3[Model-Input-Ref2],表格3[Code])</f>
        <v>SDA</v>
      </c>
      <c r="K552" s="82" t="s">
        <v>1243</v>
      </c>
      <c r="L552" s="81">
        <v>1</v>
      </c>
      <c r="M552" s="85">
        <v>298</v>
      </c>
      <c r="N552" s="85">
        <f>IFERROR(表格1[[#This Row],[QTY]]*表格1[[#This Row],[Unit Price]],"-")</f>
        <v>298</v>
      </c>
      <c r="O552" s="134">
        <v>440314</v>
      </c>
      <c r="P552" s="137"/>
      <c r="Q552" s="81"/>
      <c r="R552" s="81" t="str">
        <f>_xlfn.CONCAT(表格1[[#This Row],[Model]]," ",表格1[[#This Row],[inv no]])</f>
        <v>IC-20R1THK 440314</v>
      </c>
      <c r="S552" s="135">
        <f>_xlfn.XLOOKUP(表格1[[#This Row],[Model]],表格3[Model-Input-Ref2],表格3[SRP PRICE])</f>
        <v>438</v>
      </c>
      <c r="T552" s="43">
        <f>表格1[[#This Row],[Unit Price]]/表格1[[#This Row],[SRP]]</f>
        <v>0.68036529680365299</v>
      </c>
      <c r="U552" s="86" t="str">
        <f>_xlfn.XLOOKUP(表格1[[#This Row],[Model]],表格3[Model-Input-Ref2],表格3[TOSHIBA/HIGHEST])</f>
        <v>Shops Highest Price</v>
      </c>
      <c r="V552" s="86" t="s">
        <v>1126</v>
      </c>
      <c r="W552" s="86" t="str">
        <f>_xlfn.CONCAT(表格1[[#This Row],[欄4]],表格1[[#This Row],[inv no]])</f>
        <v>DA141440314</v>
      </c>
    </row>
    <row r="553" spans="1:23" hidden="1">
      <c r="A553" s="81">
        <v>551</v>
      </c>
      <c r="B553" s="81" t="s">
        <v>1260</v>
      </c>
      <c r="C553" s="81" t="s">
        <v>1374</v>
      </c>
      <c r="D553" s="82" t="str">
        <f ca="1">OFFSET(Roster!$A$3,MATCH(表格1[[#This Row],[Location]]&amp;" "&amp;表格1[[#This Row],[Shop]]&amp;"*",Roster!$A$4:$A$72,0),DAY(表格1[[#This Row],[date]]),1,1)</f>
        <v>Ling Ho</v>
      </c>
      <c r="E553" s="81">
        <f>MONTH(表格1[[#This Row],[date]])</f>
        <v>3</v>
      </c>
      <c r="F553" s="101">
        <v>46085</v>
      </c>
      <c r="G553" s="81" t="str">
        <f>VLOOKUP("*"&amp;表格1[[#This Row],[Input]]&amp;"*",'Ref-List'!$B:$D,2,)</f>
        <v>RAD-D200H</v>
      </c>
      <c r="H553" s="81" t="str">
        <f>_xlfn.XLOOKUP(表格1[[#This Row],[Model]],表格3[Model-Input-Ref2],表格3[Product Line])</f>
        <v>壓縮式抽濕機 (22公升)</v>
      </c>
      <c r="I553" s="81" t="str">
        <f>_xlfn.XLOOKUP(表格1[[#This Row],[Model]],表格3[Model-Input-Ref2],表格3[大小電])</f>
        <v>細電</v>
      </c>
      <c r="J553" s="81" t="str">
        <f>_xlfn.XLOOKUP(表格1[[#This Row],[Model]],表格3[Model-Input-Ref2],表格3[Code])</f>
        <v>RAC</v>
      </c>
      <c r="K553" s="82" t="s">
        <v>1250</v>
      </c>
      <c r="L553" s="81">
        <v>1</v>
      </c>
      <c r="M553" s="85">
        <v>1880</v>
      </c>
      <c r="N553" s="85">
        <f>IFERROR(表格1[[#This Row],[QTY]]*表格1[[#This Row],[Unit Price]],"-")</f>
        <v>1880</v>
      </c>
      <c r="O553" s="134">
        <v>383850</v>
      </c>
      <c r="P553" s="81"/>
      <c r="Q553" s="81"/>
      <c r="R553" s="81" t="str">
        <f>_xlfn.CONCAT(表格1[[#This Row],[Model]]," ",表格1[[#This Row],[inv no]])</f>
        <v>RAD-D200H 383850</v>
      </c>
      <c r="S553" s="135">
        <f>_xlfn.XLOOKUP(表格1[[#This Row],[Model]],表格3[Model-Input-Ref2],表格3[SRP PRICE])</f>
        <v>2880</v>
      </c>
      <c r="T553" s="43">
        <f>表格1[[#This Row],[Unit Price]]/表格1[[#This Row],[SRP]]</f>
        <v>0.65277777777777779</v>
      </c>
      <c r="U553" s="86" t="str">
        <f>_xlfn.XLOOKUP(表格1[[#This Row],[Model]],表格3[Model-Input-Ref2],表格3[TOSHIBA/HIGHEST])</f>
        <v>Shops Highest Price</v>
      </c>
      <c r="V553" s="86" t="s">
        <v>1126</v>
      </c>
      <c r="W553" s="86" t="str">
        <f>_xlfn.CONCAT(表格1[[#This Row],[欄4]],表格1[[#This Row],[inv no]])</f>
        <v>DA141383850</v>
      </c>
    </row>
    <row r="554" spans="1:23" hidden="1">
      <c r="A554" s="81">
        <v>552</v>
      </c>
      <c r="B554" s="81" t="s">
        <v>1260</v>
      </c>
      <c r="C554" s="81" t="s">
        <v>1374</v>
      </c>
      <c r="D554" s="82" t="str">
        <f ca="1">OFFSET(Roster!$A$3,MATCH(表格1[[#This Row],[Location]]&amp;" "&amp;表格1[[#This Row],[Shop]]&amp;"*",Roster!$A$4:$A$72,0),DAY(表格1[[#This Row],[date]]),1,1)</f>
        <v>Ling Ho off</v>
      </c>
      <c r="E554" s="81">
        <f>MONTH(表格1[[#This Row],[date]])</f>
        <v>3</v>
      </c>
      <c r="F554" s="101">
        <v>46086</v>
      </c>
      <c r="G554" s="81" t="str">
        <f>VLOOKUP("*"&amp;表格1[[#This Row],[Input]]&amp;"*",'Ref-List'!$B:$D,2,)</f>
        <v>RC-5SLIH(W)</v>
      </c>
      <c r="H554" s="81" t="str">
        <f>_xlfn.XLOOKUP(表格1[[#This Row],[Model]],表格3[Model-Input-Ref2],表格3[Product Line])</f>
        <v>微型電腦珍珠飯煲</v>
      </c>
      <c r="I554" s="81" t="str">
        <f>_xlfn.XLOOKUP(表格1[[#This Row],[Model]],表格3[Model-Input-Ref2],表格3[大小電])</f>
        <v>細電</v>
      </c>
      <c r="J554" s="81" t="str">
        <f>_xlfn.XLOOKUP(表格1[[#This Row],[Model]],表格3[Model-Input-Ref2],表格3[Code])</f>
        <v>SDA</v>
      </c>
      <c r="K554" s="82" t="s">
        <v>1264</v>
      </c>
      <c r="L554" s="81">
        <v>1</v>
      </c>
      <c r="M554" s="85">
        <v>593</v>
      </c>
      <c r="N554" s="85">
        <f>IFERROR(表格1[[#This Row],[QTY]]*表格1[[#This Row],[Unit Price]],"-")</f>
        <v>593</v>
      </c>
      <c r="O554" s="134">
        <v>383998</v>
      </c>
      <c r="P554" s="81"/>
      <c r="Q554" s="81"/>
      <c r="R554" s="81" t="str">
        <f>_xlfn.CONCAT(表格1[[#This Row],[Model]]," ",表格1[[#This Row],[inv no]])</f>
        <v>RC-5SLIH(W) 383998</v>
      </c>
      <c r="S554" s="135">
        <f>_xlfn.XLOOKUP(表格1[[#This Row],[Model]],表格3[Model-Input-Ref2],表格3[SRP PRICE])</f>
        <v>658</v>
      </c>
      <c r="T554" s="43">
        <f>表格1[[#This Row],[Unit Price]]/表格1[[#This Row],[SRP]]</f>
        <v>0.90121580547112456</v>
      </c>
      <c r="U554" s="86" t="str">
        <f>_xlfn.XLOOKUP(表格1[[#This Row],[Model]],表格3[Model-Input-Ref2],表格3[TOSHIBA/HIGHEST])</f>
        <v>Toshiba SRP</v>
      </c>
      <c r="V554" s="86" t="s">
        <v>1126</v>
      </c>
      <c r="W554" s="86" t="str">
        <f>_xlfn.CONCAT(表格1[[#This Row],[欄4]],表格1[[#This Row],[inv no]])</f>
        <v>DA141383998</v>
      </c>
    </row>
    <row r="555" spans="1:23" hidden="1">
      <c r="A555" s="81">
        <v>553</v>
      </c>
      <c r="B555" s="81" t="s">
        <v>1260</v>
      </c>
      <c r="C555" s="81" t="s">
        <v>1374</v>
      </c>
      <c r="D555" s="82" t="str">
        <f ca="1">OFFSET(Roster!$A$3,MATCH(表格1[[#This Row],[Location]]&amp;" "&amp;表格1[[#This Row],[Shop]]&amp;"*",Roster!$A$4:$A$72,0),DAY(表格1[[#This Row],[date]]),1,1)</f>
        <v>Ling Ho off</v>
      </c>
      <c r="E555" s="81">
        <f>MONTH(表格1[[#This Row],[date]])</f>
        <v>3</v>
      </c>
      <c r="F555" s="101">
        <v>46086</v>
      </c>
      <c r="G555" s="81" t="str">
        <f>VLOOKUP("*"&amp;表格1[[#This Row],[Input]]&amp;"*",'Ref-List'!$B:$D,2,)</f>
        <v>MWP-MM20P(WH)</v>
      </c>
      <c r="H555" s="81" t="str">
        <f>_xlfn.XLOOKUP(表格1[[#This Row],[Model]],表格3[Model-Input-Ref2],表格3[Product Line])</f>
        <v>旋鈕式燒烤微波爐20L</v>
      </c>
      <c r="I555" s="81" t="str">
        <f>_xlfn.XLOOKUP(表格1[[#This Row],[Model]],表格3[Model-Input-Ref2],表格3[大小電])</f>
        <v>細電</v>
      </c>
      <c r="J555" s="81" t="str">
        <f>_xlfn.XLOOKUP(表格1[[#This Row],[Model]],表格3[Model-Input-Ref2],表格3[Code])</f>
        <v>SDA</v>
      </c>
      <c r="K555" s="82" t="s">
        <v>1270</v>
      </c>
      <c r="L555" s="81">
        <v>1</v>
      </c>
      <c r="M555" s="85">
        <v>488</v>
      </c>
      <c r="N555" s="85">
        <f>IFERROR(表格1[[#This Row],[QTY]]*表格1[[#This Row],[Unit Price]],"-")</f>
        <v>488</v>
      </c>
      <c r="O555" s="134">
        <v>383969</v>
      </c>
      <c r="P555" s="134"/>
      <c r="Q555" s="81"/>
      <c r="R555" s="81" t="str">
        <f>_xlfn.CONCAT(表格1[[#This Row],[Model]]," ",表格1[[#This Row],[inv no]])</f>
        <v>MWP-MM20P(WH) 383969</v>
      </c>
      <c r="S555" s="135">
        <f>_xlfn.XLOOKUP(表格1[[#This Row],[Model]],表格3[Model-Input-Ref2],表格3[SRP PRICE])</f>
        <v>648</v>
      </c>
      <c r="T555" s="43">
        <f>表格1[[#This Row],[Unit Price]]/表格1[[#This Row],[SRP]]</f>
        <v>0.75308641975308643</v>
      </c>
      <c r="U555" s="86" t="str">
        <f>_xlfn.XLOOKUP(表格1[[#This Row],[Model]],表格3[Model-Input-Ref2],表格3[TOSHIBA/HIGHEST])</f>
        <v>Toshiba SRP</v>
      </c>
      <c r="V555" s="86" t="s">
        <v>1126</v>
      </c>
      <c r="W555" s="86" t="str">
        <f>_xlfn.CONCAT(表格1[[#This Row],[欄4]],表格1[[#This Row],[inv no]])</f>
        <v>DA141383969</v>
      </c>
    </row>
    <row r="556" spans="1:23" hidden="1">
      <c r="A556" s="81">
        <v>554</v>
      </c>
      <c r="B556" s="81" t="s">
        <v>1260</v>
      </c>
      <c r="C556" s="81" t="s">
        <v>1374</v>
      </c>
      <c r="D556" s="82" t="str">
        <f ca="1">OFFSET(Roster!$A$3,MATCH(表格1[[#This Row],[Location]]&amp;" "&amp;表格1[[#This Row],[Shop]]&amp;"*",Roster!$A$4:$A$72,0),DAY(表格1[[#This Row],[date]]),1,1)</f>
        <v>Ling Ho</v>
      </c>
      <c r="E556" s="81">
        <f>MONTH(表格1[[#This Row],[date]])</f>
        <v>3</v>
      </c>
      <c r="F556" s="101">
        <v>46087</v>
      </c>
      <c r="G556" s="81" t="str">
        <f>VLOOKUP("*"&amp;表格1[[#This Row],[Input]]&amp;"*",'Ref-List'!$B:$D,2,)</f>
        <v>RC-18JRUH(N)</v>
      </c>
      <c r="H556" s="81" t="str">
        <f>_xlfn.XLOOKUP(表格1[[#This Row],[Model]],表格3[Model-Input-Ref2],表格3[Product Line])</f>
        <v>1.8公升電飯煲</v>
      </c>
      <c r="I556" s="81" t="str">
        <f>_xlfn.XLOOKUP(表格1[[#This Row],[Model]],表格3[Model-Input-Ref2],表格3[大小電])</f>
        <v>細電</v>
      </c>
      <c r="J556" s="81" t="str">
        <f>_xlfn.XLOOKUP(表格1[[#This Row],[Model]],表格3[Model-Input-Ref2],表格3[Code])</f>
        <v>SDA</v>
      </c>
      <c r="K556" s="82" t="s">
        <v>1275</v>
      </c>
      <c r="L556" s="81">
        <v>1</v>
      </c>
      <c r="M556" s="85">
        <v>300</v>
      </c>
      <c r="N556" s="85">
        <f>IFERROR(表格1[[#This Row],[QTY]]*表格1[[#This Row],[Unit Price]],"-")</f>
        <v>300</v>
      </c>
      <c r="O556" s="134">
        <v>440636</v>
      </c>
      <c r="P556" s="81"/>
      <c r="Q556" s="81"/>
      <c r="R556" s="81" t="str">
        <f>_xlfn.CONCAT(表格1[[#This Row],[Model]]," ",表格1[[#This Row],[inv no]])</f>
        <v>RC-18JRUH(N) 440636</v>
      </c>
      <c r="S556" s="135">
        <f>_xlfn.XLOOKUP(表格1[[#This Row],[Model]],表格3[Model-Input-Ref2],表格3[SRP PRICE])</f>
        <v>458</v>
      </c>
      <c r="T556" s="43">
        <f>表格1[[#This Row],[Unit Price]]/表格1[[#This Row],[SRP]]</f>
        <v>0.65502183406113534</v>
      </c>
      <c r="U556" s="86" t="str">
        <f>_xlfn.XLOOKUP(表格1[[#This Row],[Model]],表格3[Model-Input-Ref2],表格3[TOSHIBA/HIGHEST])</f>
        <v>Shops Highest Price</v>
      </c>
      <c r="V556" s="86" t="s">
        <v>1126</v>
      </c>
      <c r="W556" s="86" t="str">
        <f>_xlfn.CONCAT(表格1[[#This Row],[欄4]],表格1[[#This Row],[inv no]])</f>
        <v>DA141440636</v>
      </c>
    </row>
    <row r="557" spans="1:23" hidden="1">
      <c r="A557" s="81">
        <v>555</v>
      </c>
      <c r="B557" s="81" t="s">
        <v>1260</v>
      </c>
      <c r="C557" s="81" t="s">
        <v>1374</v>
      </c>
      <c r="D557" s="82" t="str">
        <f ca="1">OFFSET(Roster!$A$3,MATCH(表格1[[#This Row],[Location]]&amp;" "&amp;表格1[[#This Row],[Shop]]&amp;"*",Roster!$A$4:$A$72,0),DAY(表格1[[#This Row],[date]]),1,1)</f>
        <v>Ling Ho</v>
      </c>
      <c r="E557" s="81">
        <f>MONTH(表格1[[#This Row],[date]])</f>
        <v>3</v>
      </c>
      <c r="F557" s="101">
        <v>46087</v>
      </c>
      <c r="G557" s="81" t="str">
        <f>VLOOKUP("*"&amp;表格1[[#This Row],[Input]]&amp;"*",'Ref-List'!$B:$D,2,)</f>
        <v>RC-15BHH(W)</v>
      </c>
      <c r="H557" s="81" t="str">
        <f>_xlfn.XLOOKUP(表格1[[#This Row],[Model]],表格3[Model-Input-Ref2],表格3[Product Line])</f>
        <v>酵活炊磁應電飯煲(1.5公升)</v>
      </c>
      <c r="I557" s="81" t="str">
        <f>_xlfn.XLOOKUP(表格1[[#This Row],[Model]],表格3[Model-Input-Ref2],表格3[大小電])</f>
        <v>細電</v>
      </c>
      <c r="J557" s="81" t="str">
        <f>_xlfn.XLOOKUP(表格1[[#This Row],[Model]],表格3[Model-Input-Ref2],表格3[Code])</f>
        <v>SDA</v>
      </c>
      <c r="K557" s="82" t="s">
        <v>1381</v>
      </c>
      <c r="L557" s="81">
        <v>1</v>
      </c>
      <c r="M557" s="85">
        <v>1888</v>
      </c>
      <c r="N557" s="85">
        <f>IFERROR(表格1[[#This Row],[QTY]]*表格1[[#This Row],[Unit Price]],"-")</f>
        <v>1888</v>
      </c>
      <c r="O557" s="134">
        <v>384202</v>
      </c>
      <c r="P557" s="81"/>
      <c r="Q557" s="81"/>
      <c r="R557" s="81" t="str">
        <f>_xlfn.CONCAT(表格1[[#This Row],[Model]]," ",表格1[[#This Row],[inv no]])</f>
        <v>RC-15BHH(W) 384202</v>
      </c>
      <c r="S557" s="135">
        <f>_xlfn.XLOOKUP(表格1[[#This Row],[Model]],表格3[Model-Input-Ref2],表格3[SRP PRICE])</f>
        <v>2388</v>
      </c>
      <c r="T557" s="43">
        <f>表格1[[#This Row],[Unit Price]]/表格1[[#This Row],[SRP]]</f>
        <v>0.79061976549413737</v>
      </c>
      <c r="U557" s="86" t="str">
        <f>_xlfn.XLOOKUP(表格1[[#This Row],[Model]],表格3[Model-Input-Ref2],表格3[TOSHIBA/HIGHEST])</f>
        <v>Toshiba SRP</v>
      </c>
      <c r="V557" s="86" t="s">
        <v>1126</v>
      </c>
      <c r="W557" s="86" t="str">
        <f>_xlfn.CONCAT(表格1[[#This Row],[欄4]],表格1[[#This Row],[inv no]])</f>
        <v>DA141384202</v>
      </c>
    </row>
    <row r="558" spans="1:23" hidden="1">
      <c r="A558" s="81">
        <v>556</v>
      </c>
      <c r="B558" s="81" t="s">
        <v>1260</v>
      </c>
      <c r="C558" s="81" t="s">
        <v>1374</v>
      </c>
      <c r="D558" s="82" t="str">
        <f ca="1">OFFSET(Roster!$A$3,MATCH(表格1[[#This Row],[Location]]&amp;" "&amp;表格1[[#This Row],[Shop]]&amp;"*",Roster!$A$4:$A$72,0),DAY(表格1[[#This Row],[date]]),1,1)</f>
        <v>Ling Ho</v>
      </c>
      <c r="E558" s="81">
        <f>MONTH(表格1[[#This Row],[date]])</f>
        <v>3</v>
      </c>
      <c r="F558" s="101">
        <v>46087</v>
      </c>
      <c r="G558" s="81" t="str">
        <f>VLOOKUP("*"&amp;表格1[[#This Row],[Input]]&amp;"*",'Ref-List'!$B:$D,2,)</f>
        <v>RAD-D300H</v>
      </c>
      <c r="H558" s="81" t="str">
        <f>_xlfn.XLOOKUP(表格1[[#This Row],[Model]],表格3[Model-Input-Ref2],表格3[Product Line])</f>
        <v>壓縮式抽濕機 (30公升)</v>
      </c>
      <c r="I558" s="81" t="str">
        <f>_xlfn.XLOOKUP(表格1[[#This Row],[Model]],表格3[Model-Input-Ref2],表格3[大小電])</f>
        <v>細電</v>
      </c>
      <c r="J558" s="81" t="str">
        <f>_xlfn.XLOOKUP(表格1[[#This Row],[Model]],表格3[Model-Input-Ref2],表格3[Code])</f>
        <v>RAC</v>
      </c>
      <c r="K558" s="82" t="s">
        <v>1252</v>
      </c>
      <c r="L558" s="81">
        <v>1</v>
      </c>
      <c r="M558" s="85">
        <v>2280</v>
      </c>
      <c r="N558" s="85">
        <f>IFERROR(表格1[[#This Row],[QTY]]*表格1[[#This Row],[Unit Price]],"-")</f>
        <v>2280</v>
      </c>
      <c r="O558" s="134">
        <v>384316</v>
      </c>
      <c r="P558" s="134"/>
      <c r="Q558" s="81"/>
      <c r="R558" s="81" t="str">
        <f>_xlfn.CONCAT(表格1[[#This Row],[Model]]," ",表格1[[#This Row],[inv no]])</f>
        <v>RAD-D300H 384316</v>
      </c>
      <c r="S558" s="135">
        <f>_xlfn.XLOOKUP(表格1[[#This Row],[Model]],表格3[Model-Input-Ref2],表格3[SRP PRICE])</f>
        <v>3380</v>
      </c>
      <c r="T558" s="43">
        <f>表格1[[#This Row],[Unit Price]]/表格1[[#This Row],[SRP]]</f>
        <v>0.67455621301775148</v>
      </c>
      <c r="U558" s="86" t="str">
        <f>_xlfn.XLOOKUP(表格1[[#This Row],[Model]],表格3[Model-Input-Ref2],表格3[TOSHIBA/HIGHEST])</f>
        <v>Shops Highest Price</v>
      </c>
      <c r="V558" s="86" t="s">
        <v>1126</v>
      </c>
      <c r="W558" s="86" t="str">
        <f>_xlfn.CONCAT(表格1[[#This Row],[欄4]],表格1[[#This Row],[inv no]])</f>
        <v>DA141384316</v>
      </c>
    </row>
    <row r="559" spans="1:23" hidden="1">
      <c r="A559" s="81">
        <v>557</v>
      </c>
      <c r="B559" s="81" t="s">
        <v>1260</v>
      </c>
      <c r="C559" s="81" t="s">
        <v>1374</v>
      </c>
      <c r="D559" s="82" t="str">
        <f ca="1">OFFSET(Roster!$A$3,MATCH(表格1[[#This Row],[Location]]&amp;" "&amp;表格1[[#This Row],[Shop]]&amp;"*",Roster!$A$4:$A$72,0),DAY(表格1[[#This Row],[date]]),1,1)</f>
        <v>Ling Ho</v>
      </c>
      <c r="E559" s="81">
        <f>MONTH(表格1[[#This Row],[date]])</f>
        <v>3</v>
      </c>
      <c r="F559" s="101">
        <v>46087</v>
      </c>
      <c r="G559" s="81" t="str">
        <f>VLOOKUP("*"&amp;表格1[[#This Row],[Input]]&amp;"*",'Ref-List'!$B:$D,2,)</f>
        <v>MWP-MM20P(WH)</v>
      </c>
      <c r="H559" s="81" t="str">
        <f>_xlfn.XLOOKUP(表格1[[#This Row],[Model]],表格3[Model-Input-Ref2],表格3[Product Line])</f>
        <v>旋鈕式燒烤微波爐20L</v>
      </c>
      <c r="I559" s="81" t="str">
        <f>_xlfn.XLOOKUP(表格1[[#This Row],[Model]],表格3[Model-Input-Ref2],表格3[大小電])</f>
        <v>細電</v>
      </c>
      <c r="J559" s="81" t="str">
        <f>_xlfn.XLOOKUP(表格1[[#This Row],[Model]],表格3[Model-Input-Ref2],表格3[Code])</f>
        <v>SDA</v>
      </c>
      <c r="K559" s="82" t="s">
        <v>1270</v>
      </c>
      <c r="L559" s="81">
        <v>1</v>
      </c>
      <c r="M559" s="85">
        <v>488</v>
      </c>
      <c r="N559" s="85">
        <f>IFERROR(表格1[[#This Row],[QTY]]*表格1[[#This Row],[Unit Price]],"-")</f>
        <v>488</v>
      </c>
      <c r="O559" s="134">
        <v>384333</v>
      </c>
      <c r="P559" s="81"/>
      <c r="Q559" s="81"/>
      <c r="R559" s="81" t="str">
        <f>_xlfn.CONCAT(表格1[[#This Row],[Model]]," ",表格1[[#This Row],[inv no]])</f>
        <v>MWP-MM20P(WH) 384333</v>
      </c>
      <c r="S559" s="135">
        <f>_xlfn.XLOOKUP(表格1[[#This Row],[Model]],表格3[Model-Input-Ref2],表格3[SRP PRICE])</f>
        <v>648</v>
      </c>
      <c r="T559" s="43">
        <f>表格1[[#This Row],[Unit Price]]/表格1[[#This Row],[SRP]]</f>
        <v>0.75308641975308643</v>
      </c>
      <c r="U559" s="86" t="str">
        <f>_xlfn.XLOOKUP(表格1[[#This Row],[Model]],表格3[Model-Input-Ref2],表格3[TOSHIBA/HIGHEST])</f>
        <v>Toshiba SRP</v>
      </c>
      <c r="V559" s="86" t="s">
        <v>1126</v>
      </c>
      <c r="W559" s="86" t="str">
        <f>_xlfn.CONCAT(表格1[[#This Row],[欄4]],表格1[[#This Row],[inv no]])</f>
        <v>DA141384333</v>
      </c>
    </row>
    <row r="560" spans="1:23" hidden="1">
      <c r="A560" s="81">
        <v>558</v>
      </c>
      <c r="B560" s="81" t="s">
        <v>1260</v>
      </c>
      <c r="C560" s="81" t="s">
        <v>1374</v>
      </c>
      <c r="D560" s="82" t="str">
        <f ca="1">OFFSET(Roster!$A$3,MATCH(表格1[[#This Row],[Location]]&amp;" "&amp;表格1[[#This Row],[Shop]]&amp;"*",Roster!$A$4:$A$72,0),DAY(表格1[[#This Row],[date]]),1,1)</f>
        <v>Ling Ho</v>
      </c>
      <c r="E560" s="81">
        <f>MONTH(表格1[[#This Row],[date]])</f>
        <v>3</v>
      </c>
      <c r="F560" s="101">
        <v>46087</v>
      </c>
      <c r="G560" s="81" t="str">
        <f>VLOOKUP("*"&amp;表格1[[#This Row],[Input]]&amp;"*",'Ref-List'!$B:$D,2,)</f>
        <v>RC-18AMXH(W)</v>
      </c>
      <c r="H560" s="81" t="str">
        <f>_xlfn.XLOOKUP(表格1[[#This Row],[Model]],表格3[Model-Input-Ref2],表格3[Product Line])</f>
        <v>酵活炊電飯煲(1.8公升)</v>
      </c>
      <c r="I560" s="81" t="str">
        <f>_xlfn.XLOOKUP(表格1[[#This Row],[Model]],表格3[Model-Input-Ref2],表格3[大小電])</f>
        <v>細電</v>
      </c>
      <c r="J560" s="81" t="str">
        <f>_xlfn.XLOOKUP(表格1[[#This Row],[Model]],表格3[Model-Input-Ref2],表格3[Code])</f>
        <v>SDA</v>
      </c>
      <c r="K560" s="82" t="s">
        <v>1362</v>
      </c>
      <c r="L560" s="81">
        <v>1</v>
      </c>
      <c r="M560" s="85">
        <v>990</v>
      </c>
      <c r="N560" s="85">
        <f>IFERROR(表格1[[#This Row],[QTY]]*表格1[[#This Row],[Unit Price]],"-")</f>
        <v>990</v>
      </c>
      <c r="O560" s="134">
        <v>384372</v>
      </c>
      <c r="P560" s="81"/>
      <c r="Q560" s="81"/>
      <c r="R560" s="81" t="str">
        <f>_xlfn.CONCAT(表格1[[#This Row],[Model]]," ",表格1[[#This Row],[inv no]])</f>
        <v>RC-18AMXH(W) 384372</v>
      </c>
      <c r="S560" s="135">
        <f>_xlfn.XLOOKUP(表格1[[#This Row],[Model]],表格3[Model-Input-Ref2],表格3[SRP PRICE])</f>
        <v>1588</v>
      </c>
      <c r="T560" s="43">
        <f>表格1[[#This Row],[Unit Price]]/表格1[[#This Row],[SRP]]</f>
        <v>0.62342569269521408</v>
      </c>
      <c r="U560" s="86" t="str">
        <f>_xlfn.XLOOKUP(表格1[[#This Row],[Model]],表格3[Model-Input-Ref2],表格3[TOSHIBA/HIGHEST])</f>
        <v>Toshiba SRP</v>
      </c>
      <c r="V560" s="86" t="s">
        <v>1126</v>
      </c>
      <c r="W560" s="86" t="str">
        <f>_xlfn.CONCAT(表格1[[#This Row],[欄4]],表格1[[#This Row],[inv no]])</f>
        <v>DA141384372</v>
      </c>
    </row>
    <row r="561" spans="1:23" hidden="1">
      <c r="A561" s="81">
        <v>559</v>
      </c>
      <c r="B561" s="81" t="s">
        <v>1260</v>
      </c>
      <c r="C561" s="81" t="s">
        <v>1374</v>
      </c>
      <c r="D561" s="82" t="str">
        <f ca="1">OFFSET(Roster!$A$3,MATCH(表格1[[#This Row],[Location]]&amp;" "&amp;表格1[[#This Row],[Shop]]&amp;"*",Roster!$A$4:$A$72,0),DAY(表格1[[#This Row],[date]]),1,1)</f>
        <v>Ling Ho</v>
      </c>
      <c r="E561" s="81">
        <f>MONTH(表格1[[#This Row],[date]])</f>
        <v>3</v>
      </c>
      <c r="F561" s="101">
        <v>46087</v>
      </c>
      <c r="G561" s="81" t="str">
        <f>VLOOKUP("*"&amp;表格1[[#This Row],[Input]]&amp;"*",'Ref-List'!$B:$D,2,)</f>
        <v>ER-SD99HKW</v>
      </c>
      <c r="H561" s="81" t="str">
        <f>_xlfn.XLOOKUP(表格1[[#This Row],[Model]],表格3[Model-Input-Ref2],表格3[Product Line])</f>
        <v>智能水波爐 (26公升)</v>
      </c>
      <c r="I561" s="81" t="str">
        <f>_xlfn.XLOOKUP(表格1[[#This Row],[Model]],表格3[Model-Input-Ref2],表格3[大小電])</f>
        <v>細電</v>
      </c>
      <c r="J561" s="81" t="str">
        <f>_xlfn.XLOOKUP(表格1[[#This Row],[Model]],表格3[Model-Input-Ref2],表格3[Code])</f>
        <v>MCA</v>
      </c>
      <c r="K561" s="82" t="s">
        <v>1382</v>
      </c>
      <c r="L561" s="81">
        <v>1</v>
      </c>
      <c r="M561" s="85">
        <v>3980</v>
      </c>
      <c r="N561" s="85">
        <f>IFERROR(表格1[[#This Row],[QTY]]*表格1[[#This Row],[Unit Price]],"-")</f>
        <v>3980</v>
      </c>
      <c r="O561" s="134">
        <v>384396</v>
      </c>
      <c r="P561" s="81"/>
      <c r="Q561" s="81"/>
      <c r="R561" s="81" t="str">
        <f>_xlfn.CONCAT(表格1[[#This Row],[Model]]," ",表格1[[#This Row],[inv no]])</f>
        <v>ER-SD99HKW 384396</v>
      </c>
      <c r="S561" s="135">
        <f>_xlfn.XLOOKUP(表格1[[#This Row],[Model]],表格3[Model-Input-Ref2],表格3[SRP PRICE])</f>
        <v>5888</v>
      </c>
      <c r="T561" s="43">
        <f>表格1[[#This Row],[Unit Price]]/表格1[[#This Row],[SRP]]</f>
        <v>0.67595108695652173</v>
      </c>
      <c r="U561" s="86" t="str">
        <f>_xlfn.XLOOKUP(表格1[[#This Row],[Model]],表格3[Model-Input-Ref2],表格3[TOSHIBA/HIGHEST])</f>
        <v>Toshiba SRP</v>
      </c>
      <c r="V561" s="86" t="s">
        <v>1126</v>
      </c>
      <c r="W561" s="86" t="str">
        <f>_xlfn.CONCAT(表格1[[#This Row],[欄4]],表格1[[#This Row],[inv no]])</f>
        <v>DA141384396</v>
      </c>
    </row>
    <row r="562" spans="1:23" hidden="1">
      <c r="A562" s="81">
        <v>560</v>
      </c>
      <c r="B562" s="81" t="s">
        <v>1260</v>
      </c>
      <c r="C562" s="81" t="s">
        <v>1374</v>
      </c>
      <c r="D562" s="82" t="str">
        <f ca="1">OFFSET(Roster!$A$3,MATCH(表格1[[#This Row],[Location]]&amp;" "&amp;表格1[[#This Row],[Shop]]&amp;"*",Roster!$A$4:$A$72,0),DAY(表格1[[#This Row],[date]]),1,1)</f>
        <v>Ling Ho</v>
      </c>
      <c r="E562" s="81">
        <f>MONTH(表格1[[#This Row],[date]])</f>
        <v>3</v>
      </c>
      <c r="F562" s="101">
        <v>46087</v>
      </c>
      <c r="G562" s="81" t="str">
        <f>VLOOKUP("*"&amp;表格1[[#This Row],[Input]]&amp;"*",'Ref-List'!$B:$D,2,)</f>
        <v>KT-17DRTHK(H)</v>
      </c>
      <c r="H562" s="81" t="str">
        <f>_xlfn.XLOOKUP(表格1[[#This Row],[Model]],表格3[Model-Input-Ref2],表格3[Product Line])</f>
        <v>無線雙層電熱水壺(1.7公升)</v>
      </c>
      <c r="I562" s="81" t="str">
        <f>_xlfn.XLOOKUP(表格1[[#This Row],[Model]],表格3[Model-Input-Ref2],表格3[大小電])</f>
        <v>細電</v>
      </c>
      <c r="J562" s="81" t="str">
        <f>_xlfn.XLOOKUP(表格1[[#This Row],[Model]],表格3[Model-Input-Ref2],表格3[Code])</f>
        <v>SDA</v>
      </c>
      <c r="K562" s="82" t="s">
        <v>1271</v>
      </c>
      <c r="L562" s="81">
        <v>1</v>
      </c>
      <c r="M562" s="85">
        <v>388</v>
      </c>
      <c r="N562" s="85">
        <f>IFERROR(表格1[[#This Row],[QTY]]*表格1[[#This Row],[Unit Price]],"-")</f>
        <v>388</v>
      </c>
      <c r="O562" s="134">
        <v>215738</v>
      </c>
      <c r="P562" s="81"/>
      <c r="Q562" s="81"/>
      <c r="R562" s="81" t="str">
        <f>_xlfn.CONCAT(表格1[[#This Row],[Model]]," ",表格1[[#This Row],[inv no]])</f>
        <v>KT-17DRTHK(H) 215738</v>
      </c>
      <c r="S562" s="135">
        <f>_xlfn.XLOOKUP(表格1[[#This Row],[Model]],表格3[Model-Input-Ref2],表格3[SRP PRICE])</f>
        <v>498</v>
      </c>
      <c r="T562" s="43">
        <f>表格1[[#This Row],[Unit Price]]/表格1[[#This Row],[SRP]]</f>
        <v>0.77911646586345384</v>
      </c>
      <c r="U562" s="86" t="str">
        <f>_xlfn.XLOOKUP(表格1[[#This Row],[Model]],表格3[Model-Input-Ref2],表格3[TOSHIBA/HIGHEST])</f>
        <v>Toshiba SRP</v>
      </c>
      <c r="V562" s="86" t="s">
        <v>1126</v>
      </c>
      <c r="W562" s="86" t="str">
        <f>_xlfn.CONCAT(表格1[[#This Row],[欄4]],表格1[[#This Row],[inv no]])</f>
        <v>DA141215738</v>
      </c>
    </row>
    <row r="563" spans="1:23" hidden="1">
      <c r="A563" s="81">
        <v>561</v>
      </c>
      <c r="B563" s="81" t="s">
        <v>1260</v>
      </c>
      <c r="C563" s="81" t="s">
        <v>1374</v>
      </c>
      <c r="D563" s="82" t="str">
        <f ca="1">OFFSET(Roster!$A$3,MATCH(表格1[[#This Row],[Location]]&amp;" "&amp;表格1[[#This Row],[Shop]]&amp;"*",Roster!$A$4:$A$72,0),DAY(表格1[[#This Row],[date]]),1,1)</f>
        <v>Ling Ho</v>
      </c>
      <c r="E563" s="81">
        <f>MONTH(表格1[[#This Row],[date]])</f>
        <v>3</v>
      </c>
      <c r="F563" s="101">
        <v>46087</v>
      </c>
      <c r="G563" s="81" t="str">
        <f>VLOOKUP("*"&amp;表格1[[#This Row],[Input]]&amp;"*",'Ref-List'!$B:$D,2,)</f>
        <v>RC-10JRUH(N)</v>
      </c>
      <c r="H563" s="81" t="str">
        <f>_xlfn.XLOOKUP(表格1[[#This Row],[Model]],表格3[Model-Input-Ref2],表格3[Product Line])</f>
        <v>電飯煲</v>
      </c>
      <c r="I563" s="81" t="str">
        <f>_xlfn.XLOOKUP(表格1[[#This Row],[Model]],表格3[Model-Input-Ref2],表格3[大小電])</f>
        <v>細電</v>
      </c>
      <c r="J563" s="81" t="str">
        <f>_xlfn.XLOOKUP(表格1[[#This Row],[Model]],表格3[Model-Input-Ref2],表格3[Code])</f>
        <v>SDA</v>
      </c>
      <c r="K563" s="82" t="s">
        <v>1263</v>
      </c>
      <c r="L563" s="81">
        <v>1</v>
      </c>
      <c r="M563" s="85">
        <v>250</v>
      </c>
      <c r="N563" s="85">
        <f>IFERROR(表格1[[#This Row],[QTY]]*表格1[[#This Row],[Unit Price]],"-")</f>
        <v>250</v>
      </c>
      <c r="O563" s="134">
        <v>384423</v>
      </c>
      <c r="P563" s="81"/>
      <c r="Q563" s="81"/>
      <c r="R563" s="81" t="str">
        <f>_xlfn.CONCAT(表格1[[#This Row],[Model]]," ",表格1[[#This Row],[inv no]])</f>
        <v>RC-10JRUH(N) 384423</v>
      </c>
      <c r="S563" s="135">
        <f>_xlfn.XLOOKUP(表格1[[#This Row],[Model]],表格3[Model-Input-Ref2],表格3[SRP PRICE])</f>
        <v>398</v>
      </c>
      <c r="T563" s="43">
        <f>表格1[[#This Row],[Unit Price]]/表格1[[#This Row],[SRP]]</f>
        <v>0.62814070351758799</v>
      </c>
      <c r="U563" s="86" t="str">
        <f>_xlfn.XLOOKUP(表格1[[#This Row],[Model]],表格3[Model-Input-Ref2],表格3[TOSHIBA/HIGHEST])</f>
        <v>Shops Highest Price</v>
      </c>
      <c r="V563" s="86" t="s">
        <v>1126</v>
      </c>
      <c r="W563" s="86" t="str">
        <f>_xlfn.CONCAT(表格1[[#This Row],[欄4]],表格1[[#This Row],[inv no]])</f>
        <v>DA141384423</v>
      </c>
    </row>
    <row r="564" spans="1:23" hidden="1">
      <c r="A564" s="81">
        <v>562</v>
      </c>
      <c r="B564" s="81" t="s">
        <v>1260</v>
      </c>
      <c r="C564" s="81" t="s">
        <v>1374</v>
      </c>
      <c r="D564" s="82" t="str">
        <f ca="1">OFFSET(Roster!$A$3,MATCH(表格1[[#This Row],[Location]]&amp;" "&amp;表格1[[#This Row],[Shop]]&amp;"*",Roster!$A$4:$A$72,0),DAY(表格1[[#This Row],[date]]),1,1)</f>
        <v>Ling Ho</v>
      </c>
      <c r="E564" s="81">
        <f>MONTH(表格1[[#This Row],[date]])</f>
        <v>3</v>
      </c>
      <c r="F564" s="101">
        <v>46088</v>
      </c>
      <c r="G564" s="81" t="str">
        <f>VLOOKUP("*"&amp;表格1[[#This Row],[Input]]&amp;"*",'Ref-List'!$B:$D,2,)</f>
        <v>PC-48DRSHK(K)</v>
      </c>
      <c r="H564" s="81" t="str">
        <f>_xlfn.XLOOKUP(表格1[[#This Row],[Model]],表格3[Model-Input-Ref2],表格3[Product Line])</f>
        <v>電壓力鍋</v>
      </c>
      <c r="I564" s="81" t="str">
        <f>_xlfn.XLOOKUP(表格1[[#This Row],[Model]],表格3[Model-Input-Ref2],表格3[大小電])</f>
        <v>細電</v>
      </c>
      <c r="J564" s="81" t="str">
        <f>_xlfn.XLOOKUP(表格1[[#This Row],[Model]],表格3[Model-Input-Ref2],表格3[Code])</f>
        <v>SDA</v>
      </c>
      <c r="K564" s="82" t="s">
        <v>1154</v>
      </c>
      <c r="L564" s="81">
        <v>1</v>
      </c>
      <c r="M564" s="85">
        <v>898</v>
      </c>
      <c r="N564" s="85">
        <f>IFERROR(表格1[[#This Row],[QTY]]*表格1[[#This Row],[Unit Price]],"-")</f>
        <v>898</v>
      </c>
      <c r="O564" s="134">
        <v>384571</v>
      </c>
      <c r="P564" s="81"/>
      <c r="Q564" s="81"/>
      <c r="R564" s="81" t="str">
        <f>_xlfn.CONCAT(表格1[[#This Row],[Model]]," ",表格1[[#This Row],[inv no]])</f>
        <v>PC-48DRSHK(K) 384571</v>
      </c>
      <c r="S564" s="135">
        <f>_xlfn.XLOOKUP(表格1[[#This Row],[Model]],表格3[Model-Input-Ref2],表格3[SRP PRICE])</f>
        <v>1188</v>
      </c>
      <c r="T564" s="43">
        <f>表格1[[#This Row],[Unit Price]]/表格1[[#This Row],[SRP]]</f>
        <v>0.75589225589225584</v>
      </c>
      <c r="U564" s="86" t="str">
        <f>_xlfn.XLOOKUP(表格1[[#This Row],[Model]],表格3[Model-Input-Ref2],表格3[TOSHIBA/HIGHEST])</f>
        <v>Shops Highest Price</v>
      </c>
      <c r="V564" s="86" t="s">
        <v>1126</v>
      </c>
      <c r="W564" s="86" t="str">
        <f>_xlfn.CONCAT(表格1[[#This Row],[欄4]],表格1[[#This Row],[inv no]])</f>
        <v>DA141384571</v>
      </c>
    </row>
    <row r="565" spans="1:23" hidden="1">
      <c r="A565" s="81">
        <v>563</v>
      </c>
      <c r="B565" s="81" t="s">
        <v>1260</v>
      </c>
      <c r="C565" s="81" t="s">
        <v>1374</v>
      </c>
      <c r="D565" s="82" t="str">
        <f ca="1">OFFSET(Roster!$A$3,MATCH(表格1[[#This Row],[Location]]&amp;" "&amp;表格1[[#This Row],[Shop]]&amp;"*",Roster!$A$4:$A$72,0),DAY(表格1[[#This Row],[date]]),1,1)</f>
        <v>Ling Ho</v>
      </c>
      <c r="E565" s="81">
        <f>MONTH(表格1[[#This Row],[date]])</f>
        <v>3</v>
      </c>
      <c r="F565" s="101">
        <v>46088</v>
      </c>
      <c r="G565" s="81" t="str">
        <f>VLOOKUP("*"&amp;表格1[[#This Row],[Input]]&amp;"*",'Ref-List'!$B:$D,2,)</f>
        <v>MS3-STQ20SC(WH)</v>
      </c>
      <c r="H565" s="81" t="str">
        <f>_xlfn.XLOOKUP(表格1[[#This Row],[Model]],表格3[Model-Input-Ref2],表格3[Product Line])</f>
        <v>20L 智能蒸氣焗爐</v>
      </c>
      <c r="I565" s="81" t="str">
        <f>_xlfn.XLOOKUP(表格1[[#This Row],[Model]],表格3[Model-Input-Ref2],表格3[大小電])</f>
        <v>細電</v>
      </c>
      <c r="J565" s="81" t="str">
        <f>_xlfn.XLOOKUP(表格1[[#This Row],[Model]],表格3[Model-Input-Ref2],表格3[Code])</f>
        <v>MCA</v>
      </c>
      <c r="K565" s="82" t="s">
        <v>1383</v>
      </c>
      <c r="L565" s="81">
        <v>1</v>
      </c>
      <c r="M565" s="85">
        <v>1980</v>
      </c>
      <c r="N565" s="85">
        <f>IFERROR(表格1[[#This Row],[QTY]]*表格1[[#This Row],[Unit Price]],"-")</f>
        <v>1980</v>
      </c>
      <c r="O565" s="134">
        <v>215759</v>
      </c>
      <c r="P565" s="81"/>
      <c r="Q565" s="81"/>
      <c r="R565" s="81" t="str">
        <f>_xlfn.CONCAT(表格1[[#This Row],[Model]]," ",表格1[[#This Row],[inv no]])</f>
        <v>MS3-STQ20SC(WH) 215759</v>
      </c>
      <c r="S565" s="135">
        <f>_xlfn.XLOOKUP(表格1[[#This Row],[Model]],表格3[Model-Input-Ref2],表格3[SRP PRICE])</f>
        <v>2880</v>
      </c>
      <c r="T565" s="43">
        <f>表格1[[#This Row],[Unit Price]]/表格1[[#This Row],[SRP]]</f>
        <v>0.6875</v>
      </c>
      <c r="U565" s="86" t="str">
        <f>_xlfn.XLOOKUP(表格1[[#This Row],[Model]],表格3[Model-Input-Ref2],表格3[TOSHIBA/HIGHEST])</f>
        <v>Toshiba SRP</v>
      </c>
      <c r="V565" s="86" t="s">
        <v>1126</v>
      </c>
      <c r="W565" s="86" t="str">
        <f>_xlfn.CONCAT(表格1[[#This Row],[欄4]],表格1[[#This Row],[inv no]])</f>
        <v>DA141215759</v>
      </c>
    </row>
    <row r="566" spans="1:23" hidden="1">
      <c r="A566" s="81">
        <v>564</v>
      </c>
      <c r="B566" s="81" t="s">
        <v>1260</v>
      </c>
      <c r="C566" s="81" t="s">
        <v>1374</v>
      </c>
      <c r="D566" s="82" t="str">
        <f ca="1">OFFSET(Roster!$A$3,MATCH(表格1[[#This Row],[Location]]&amp;" "&amp;表格1[[#This Row],[Shop]]&amp;"*",Roster!$A$4:$A$72,0),DAY(表格1[[#This Row],[date]]),1,1)</f>
        <v>Ling Ho</v>
      </c>
      <c r="E566" s="81">
        <f>MONTH(表格1[[#This Row],[date]])</f>
        <v>3</v>
      </c>
      <c r="F566" s="101">
        <v>46088</v>
      </c>
      <c r="G566" s="81" t="str">
        <f>VLOOKUP("*"&amp;表格1[[#This Row],[Input]]&amp;"*",'Ref-List'!$B:$D,2,)</f>
        <v>RC-10JRUH(N)</v>
      </c>
      <c r="H566" s="81" t="str">
        <f>_xlfn.XLOOKUP(表格1[[#This Row],[Model]],表格3[Model-Input-Ref2],表格3[Product Line])</f>
        <v>電飯煲</v>
      </c>
      <c r="I566" s="81" t="str">
        <f>_xlfn.XLOOKUP(表格1[[#This Row],[Model]],表格3[Model-Input-Ref2],表格3[大小電])</f>
        <v>細電</v>
      </c>
      <c r="J566" s="81" t="str">
        <f>_xlfn.XLOOKUP(表格1[[#This Row],[Model]],表格3[Model-Input-Ref2],表格3[Code])</f>
        <v>SDA</v>
      </c>
      <c r="K566" s="82" t="s">
        <v>1263</v>
      </c>
      <c r="L566" s="81">
        <v>1</v>
      </c>
      <c r="M566" s="85">
        <v>250</v>
      </c>
      <c r="N566" s="85">
        <f>IFERROR(表格1[[#This Row],[QTY]]*表格1[[#This Row],[Unit Price]],"-")</f>
        <v>250</v>
      </c>
      <c r="O566" s="134">
        <v>441095</v>
      </c>
      <c r="P566" s="81"/>
      <c r="Q566" s="81"/>
      <c r="R566" s="81" t="str">
        <f>_xlfn.CONCAT(表格1[[#This Row],[Model]]," ",表格1[[#This Row],[inv no]])</f>
        <v>RC-10JRUH(N) 441095</v>
      </c>
      <c r="S566" s="135">
        <f>_xlfn.XLOOKUP(表格1[[#This Row],[Model]],表格3[Model-Input-Ref2],表格3[SRP PRICE])</f>
        <v>398</v>
      </c>
      <c r="T566" s="43">
        <f>表格1[[#This Row],[Unit Price]]/表格1[[#This Row],[SRP]]</f>
        <v>0.62814070351758799</v>
      </c>
      <c r="U566" s="86" t="str">
        <f>_xlfn.XLOOKUP(表格1[[#This Row],[Model]],表格3[Model-Input-Ref2],表格3[TOSHIBA/HIGHEST])</f>
        <v>Shops Highest Price</v>
      </c>
      <c r="V566" s="86" t="s">
        <v>1126</v>
      </c>
      <c r="W566" s="86" t="str">
        <f>_xlfn.CONCAT(表格1[[#This Row],[欄4]],表格1[[#This Row],[inv no]])</f>
        <v>DA141441095</v>
      </c>
    </row>
    <row r="567" spans="1:23" hidden="1">
      <c r="A567" s="81">
        <v>565</v>
      </c>
      <c r="B567" s="81" t="s">
        <v>1260</v>
      </c>
      <c r="C567" s="81" t="s">
        <v>1374</v>
      </c>
      <c r="D567" s="82" t="str">
        <f ca="1">OFFSET(Roster!$A$3,MATCH(表格1[[#This Row],[Location]]&amp;" "&amp;表格1[[#This Row],[Shop]]&amp;"*",Roster!$A$4:$A$72,0),DAY(表格1[[#This Row],[date]]),1,1)</f>
        <v>Ling Ho</v>
      </c>
      <c r="E567" s="81">
        <f>MONTH(表格1[[#This Row],[date]])</f>
        <v>3</v>
      </c>
      <c r="F567" s="101">
        <v>46088</v>
      </c>
      <c r="G567" s="81" t="str">
        <f>VLOOKUP("*"&amp;表格1[[#This Row],[Input]]&amp;"*",'Ref-List'!$B:$D,2,)</f>
        <v>IC-20R1THK</v>
      </c>
      <c r="H567" s="81" t="str">
        <f>_xlfn.XLOOKUP(表格1[[#This Row],[Model]],表格3[Model-Input-Ref2],表格3[Product Line])</f>
        <v>輕便式電磁爐</v>
      </c>
      <c r="I567" s="81" t="str">
        <f>_xlfn.XLOOKUP(表格1[[#This Row],[Model]],表格3[Model-Input-Ref2],表格3[大小電])</f>
        <v>細電</v>
      </c>
      <c r="J567" s="81" t="str">
        <f>_xlfn.XLOOKUP(表格1[[#This Row],[Model]],表格3[Model-Input-Ref2],表格3[Code])</f>
        <v>SDA</v>
      </c>
      <c r="K567" s="82" t="s">
        <v>1243</v>
      </c>
      <c r="L567" s="81">
        <v>1</v>
      </c>
      <c r="M567" s="85">
        <v>298</v>
      </c>
      <c r="N567" s="85">
        <f>IFERROR(表格1[[#This Row],[QTY]]*表格1[[#This Row],[Unit Price]],"-")</f>
        <v>298</v>
      </c>
      <c r="O567" s="134">
        <v>384676</v>
      </c>
      <c r="P567" s="81"/>
      <c r="Q567" s="81"/>
      <c r="R567" s="81" t="str">
        <f>_xlfn.CONCAT(表格1[[#This Row],[Model]]," ",表格1[[#This Row],[inv no]])</f>
        <v>IC-20R1THK 384676</v>
      </c>
      <c r="S567" s="135">
        <f>_xlfn.XLOOKUP(表格1[[#This Row],[Model]],表格3[Model-Input-Ref2],表格3[SRP PRICE])</f>
        <v>438</v>
      </c>
      <c r="T567" s="43">
        <f>表格1[[#This Row],[Unit Price]]/表格1[[#This Row],[SRP]]</f>
        <v>0.68036529680365299</v>
      </c>
      <c r="U567" s="86" t="str">
        <f>_xlfn.XLOOKUP(表格1[[#This Row],[Model]],表格3[Model-Input-Ref2],表格3[TOSHIBA/HIGHEST])</f>
        <v>Shops Highest Price</v>
      </c>
      <c r="V567" s="86" t="s">
        <v>1126</v>
      </c>
      <c r="W567" s="86" t="str">
        <f>_xlfn.CONCAT(表格1[[#This Row],[欄4]],表格1[[#This Row],[inv no]])</f>
        <v>DA141384676</v>
      </c>
    </row>
    <row r="568" spans="1:23" hidden="1">
      <c r="A568" s="81">
        <v>566</v>
      </c>
      <c r="B568" s="81" t="s">
        <v>1260</v>
      </c>
      <c r="C568" s="81" t="s">
        <v>1374</v>
      </c>
      <c r="D568" s="82" t="str">
        <f ca="1">OFFSET(Roster!$A$3,MATCH(表格1[[#This Row],[Location]]&amp;" "&amp;表格1[[#This Row],[Shop]]&amp;"*",Roster!$A$4:$A$72,0),DAY(表格1[[#This Row],[date]]),1,1)</f>
        <v>Ling Ho</v>
      </c>
      <c r="E568" s="81">
        <f>MONTH(表格1[[#This Row],[date]])</f>
        <v>3</v>
      </c>
      <c r="F568" s="101">
        <v>46088</v>
      </c>
      <c r="G568" s="81" t="str">
        <f>VLOOKUP("*"&amp;表格1[[#This Row],[Input]]&amp;"*",'Ref-List'!$B:$D,2,)</f>
        <v>CMO-MMP012NDPF(GN)</v>
      </c>
      <c r="H568" s="81" t="str">
        <f>_xlfn.XLOOKUP(表格1[[#This Row],[Model]],表格3[Model-Input-Ref2],表格3[Product Line])</f>
        <v>20公升 微波爐</v>
      </c>
      <c r="I568" s="81" t="str">
        <f>_xlfn.XLOOKUP(表格1[[#This Row],[Model]],表格3[Model-Input-Ref2],表格3[大小電])</f>
        <v>細電</v>
      </c>
      <c r="J568" s="81" t="str">
        <f>_xlfn.XLOOKUP(表格1[[#This Row],[Model]],表格3[Model-Input-Ref2],表格3[Code])</f>
        <v>SDA</v>
      </c>
      <c r="K568" s="82" t="s">
        <v>1384</v>
      </c>
      <c r="L568" s="81">
        <v>1</v>
      </c>
      <c r="M568" s="85">
        <v>450</v>
      </c>
      <c r="N568" s="85">
        <f>IFERROR(表格1[[#This Row],[QTY]]*表格1[[#This Row],[Unit Price]],"-")</f>
        <v>450</v>
      </c>
      <c r="O568" s="134">
        <v>215822</v>
      </c>
      <c r="P568" s="81"/>
      <c r="Q568" s="81"/>
      <c r="R568" s="81" t="str">
        <f>_xlfn.CONCAT(表格1[[#This Row],[Model]]," ",表格1[[#This Row],[inv no]])</f>
        <v>CMO-MMP012NDPF(GN) 215822</v>
      </c>
      <c r="S568" s="135">
        <f>_xlfn.XLOOKUP(表格1[[#This Row],[Model]],表格3[Model-Input-Ref2],表格3[SRP PRICE])</f>
        <v>519</v>
      </c>
      <c r="T568" s="43">
        <f>表格1[[#This Row],[Unit Price]]/表格1[[#This Row],[SRP]]</f>
        <v>0.86705202312138729</v>
      </c>
      <c r="U568" s="86" t="str">
        <f>_xlfn.XLOOKUP(表格1[[#This Row],[Model]],表格3[Model-Input-Ref2],表格3[TOSHIBA/HIGHEST])</f>
        <v>Shops Highest Price</v>
      </c>
      <c r="V568" s="86" t="s">
        <v>1126</v>
      </c>
      <c r="W568" s="86" t="str">
        <f>_xlfn.CONCAT(表格1[[#This Row],[欄4]],表格1[[#This Row],[inv no]])</f>
        <v>DA141215822</v>
      </c>
    </row>
    <row r="569" spans="1:23" hidden="1">
      <c r="A569" s="81">
        <v>567</v>
      </c>
      <c r="B569" s="81" t="s">
        <v>1260</v>
      </c>
      <c r="C569" s="81" t="s">
        <v>1374</v>
      </c>
      <c r="D569" s="82" t="str">
        <f ca="1">OFFSET(Roster!$A$3,MATCH(表格1[[#This Row],[Location]]&amp;" "&amp;表格1[[#This Row],[Shop]]&amp;"*",Roster!$A$4:$A$72,0),DAY(表格1[[#This Row],[date]]),1,1)</f>
        <v>Ling Ho</v>
      </c>
      <c r="E569" s="81">
        <f>MONTH(表格1[[#This Row],[date]])</f>
        <v>3</v>
      </c>
      <c r="F569" s="101">
        <v>46088</v>
      </c>
      <c r="G569" s="81" t="str">
        <f>VLOOKUP("*"&amp;表格1[[#This Row],[Input]]&amp;"*",'Ref-List'!$B:$D,2,)</f>
        <v>IC-20R1THK</v>
      </c>
      <c r="H569" s="81" t="str">
        <f>_xlfn.XLOOKUP(表格1[[#This Row],[Model]],表格3[Model-Input-Ref2],表格3[Product Line])</f>
        <v>輕便式電磁爐</v>
      </c>
      <c r="I569" s="81" t="str">
        <f>_xlfn.XLOOKUP(表格1[[#This Row],[Model]],表格3[Model-Input-Ref2],表格3[大小電])</f>
        <v>細電</v>
      </c>
      <c r="J569" s="81" t="str">
        <f>_xlfn.XLOOKUP(表格1[[#This Row],[Model]],表格3[Model-Input-Ref2],表格3[Code])</f>
        <v>SDA</v>
      </c>
      <c r="K569" s="82" t="s">
        <v>1243</v>
      </c>
      <c r="L569" s="81">
        <v>1</v>
      </c>
      <c r="M569" s="85">
        <v>298</v>
      </c>
      <c r="N569" s="85">
        <f>IFERROR(表格1[[#This Row],[QTY]]*表格1[[#This Row],[Unit Price]],"-")</f>
        <v>298</v>
      </c>
      <c r="O569" s="134">
        <v>441187</v>
      </c>
      <c r="P569" s="81"/>
      <c r="Q569" s="81"/>
      <c r="R569" s="81" t="str">
        <f>_xlfn.CONCAT(表格1[[#This Row],[Model]]," ",表格1[[#This Row],[inv no]])</f>
        <v>IC-20R1THK 441187</v>
      </c>
      <c r="S569" s="135">
        <f>_xlfn.XLOOKUP(表格1[[#This Row],[Model]],表格3[Model-Input-Ref2],表格3[SRP PRICE])</f>
        <v>438</v>
      </c>
      <c r="T569" s="43">
        <f>表格1[[#This Row],[Unit Price]]/表格1[[#This Row],[SRP]]</f>
        <v>0.68036529680365299</v>
      </c>
      <c r="U569" s="86" t="str">
        <f>_xlfn.XLOOKUP(表格1[[#This Row],[Model]],表格3[Model-Input-Ref2],表格3[TOSHIBA/HIGHEST])</f>
        <v>Shops Highest Price</v>
      </c>
      <c r="V569" s="86" t="s">
        <v>1126</v>
      </c>
      <c r="W569" s="86" t="str">
        <f>_xlfn.CONCAT(表格1[[#This Row],[欄4]],表格1[[#This Row],[inv no]])</f>
        <v>DA141441187</v>
      </c>
    </row>
    <row r="570" spans="1:23" hidden="1">
      <c r="A570" s="81">
        <v>568</v>
      </c>
      <c r="B570" s="81" t="s">
        <v>1260</v>
      </c>
      <c r="C570" s="81" t="s">
        <v>1374</v>
      </c>
      <c r="D570" s="82" t="str">
        <f ca="1">OFFSET(Roster!$A$3,MATCH(表格1[[#This Row],[Location]]&amp;" "&amp;表格1[[#This Row],[Shop]]&amp;"*",Roster!$A$4:$A$72,0),DAY(表格1[[#This Row],[date]]),1,1)</f>
        <v>Ling Ho</v>
      </c>
      <c r="E570" s="81">
        <f>MONTH(表格1[[#This Row],[date]])</f>
        <v>3</v>
      </c>
      <c r="F570" s="101">
        <v>46088</v>
      </c>
      <c r="G570" s="81" t="str">
        <f>VLOOKUP("*"&amp;表格1[[#This Row],[Input]]&amp;"*",'Ref-List'!$B:$D,2,)</f>
        <v>RAD-D300H</v>
      </c>
      <c r="H570" s="81" t="str">
        <f>_xlfn.XLOOKUP(表格1[[#This Row],[Model]],表格3[Model-Input-Ref2],表格3[Product Line])</f>
        <v>壓縮式抽濕機 (30公升)</v>
      </c>
      <c r="I570" s="81" t="str">
        <f>_xlfn.XLOOKUP(表格1[[#This Row],[Model]],表格3[Model-Input-Ref2],表格3[大小電])</f>
        <v>細電</v>
      </c>
      <c r="J570" s="81" t="str">
        <f>_xlfn.XLOOKUP(表格1[[#This Row],[Model]],表格3[Model-Input-Ref2],表格3[Code])</f>
        <v>RAC</v>
      </c>
      <c r="K570" s="82" t="s">
        <v>1252</v>
      </c>
      <c r="L570" s="81">
        <v>1</v>
      </c>
      <c r="M570" s="85">
        <v>2280</v>
      </c>
      <c r="N570" s="85">
        <f>IFERROR(表格1[[#This Row],[QTY]]*表格1[[#This Row],[Unit Price]],"-")</f>
        <v>2280</v>
      </c>
      <c r="O570" s="134">
        <v>441194</v>
      </c>
      <c r="P570" s="81"/>
      <c r="Q570" s="81"/>
      <c r="R570" s="81" t="str">
        <f>_xlfn.CONCAT(表格1[[#This Row],[Model]]," ",表格1[[#This Row],[inv no]])</f>
        <v>RAD-D300H 441194</v>
      </c>
      <c r="S570" s="135">
        <f>_xlfn.XLOOKUP(表格1[[#This Row],[Model]],表格3[Model-Input-Ref2],表格3[SRP PRICE])</f>
        <v>3380</v>
      </c>
      <c r="T570" s="43">
        <f>表格1[[#This Row],[Unit Price]]/表格1[[#This Row],[SRP]]</f>
        <v>0.67455621301775148</v>
      </c>
      <c r="U570" s="86" t="str">
        <f>_xlfn.XLOOKUP(表格1[[#This Row],[Model]],表格3[Model-Input-Ref2],表格3[TOSHIBA/HIGHEST])</f>
        <v>Shops Highest Price</v>
      </c>
      <c r="V570" s="86" t="s">
        <v>1126</v>
      </c>
      <c r="W570" s="86" t="str">
        <f>_xlfn.CONCAT(表格1[[#This Row],[欄4]],表格1[[#This Row],[inv no]])</f>
        <v>DA141441194</v>
      </c>
    </row>
    <row r="571" spans="1:23" hidden="1">
      <c r="A571" s="81">
        <v>569</v>
      </c>
      <c r="B571" s="81" t="s">
        <v>1260</v>
      </c>
      <c r="C571" s="81" t="s">
        <v>1374</v>
      </c>
      <c r="D571" s="82" t="str">
        <f ca="1">OFFSET(Roster!$A$3,MATCH(表格1[[#This Row],[Location]]&amp;" "&amp;表格1[[#This Row],[Shop]]&amp;"*",Roster!$A$4:$A$72,0),DAY(表格1[[#This Row],[date]]),1,1)</f>
        <v>Ling Ho</v>
      </c>
      <c r="E571" s="81">
        <f>MONTH(表格1[[#This Row],[date]])</f>
        <v>3</v>
      </c>
      <c r="F571" s="101">
        <v>46088</v>
      </c>
      <c r="G571" s="81" t="str">
        <f>VLOOKUP("*"&amp;表格1[[#This Row],[Input]]&amp;"*",'Ref-List'!$B:$D,2,)</f>
        <v>KT-17DRTHK(H)</v>
      </c>
      <c r="H571" s="81" t="str">
        <f>_xlfn.XLOOKUP(表格1[[#This Row],[Model]],表格3[Model-Input-Ref2],表格3[Product Line])</f>
        <v>無線雙層電熱水壺(1.7公升)</v>
      </c>
      <c r="I571" s="81" t="str">
        <f>_xlfn.XLOOKUP(表格1[[#This Row],[Model]],表格3[Model-Input-Ref2],表格3[大小電])</f>
        <v>細電</v>
      </c>
      <c r="J571" s="81" t="str">
        <f>_xlfn.XLOOKUP(表格1[[#This Row],[Model]],表格3[Model-Input-Ref2],表格3[Code])</f>
        <v>SDA</v>
      </c>
      <c r="K571" s="82" t="s">
        <v>1271</v>
      </c>
      <c r="L571" s="81">
        <v>1</v>
      </c>
      <c r="M571" s="85">
        <v>388</v>
      </c>
      <c r="N571" s="85">
        <f>IFERROR(表格1[[#This Row],[QTY]]*表格1[[#This Row],[Unit Price]],"-")</f>
        <v>388</v>
      </c>
      <c r="O571" s="134">
        <v>215950</v>
      </c>
      <c r="P571" s="81"/>
      <c r="Q571" s="81"/>
      <c r="R571" s="81" t="str">
        <f>_xlfn.CONCAT(表格1[[#This Row],[Model]]," ",表格1[[#This Row],[inv no]])</f>
        <v>KT-17DRTHK(H) 215950</v>
      </c>
      <c r="S571" s="135">
        <f>_xlfn.XLOOKUP(表格1[[#This Row],[Model]],表格3[Model-Input-Ref2],表格3[SRP PRICE])</f>
        <v>498</v>
      </c>
      <c r="T571" s="43">
        <f>表格1[[#This Row],[Unit Price]]/表格1[[#This Row],[SRP]]</f>
        <v>0.77911646586345384</v>
      </c>
      <c r="U571" s="86" t="str">
        <f>_xlfn.XLOOKUP(表格1[[#This Row],[Model]],表格3[Model-Input-Ref2],表格3[TOSHIBA/HIGHEST])</f>
        <v>Toshiba SRP</v>
      </c>
      <c r="V571" s="86" t="s">
        <v>1126</v>
      </c>
      <c r="W571" s="86" t="str">
        <f>_xlfn.CONCAT(表格1[[#This Row],[欄4]],表格1[[#This Row],[inv no]])</f>
        <v>DA141215950</v>
      </c>
    </row>
    <row r="572" spans="1:23" hidden="1">
      <c r="A572" s="81">
        <v>570</v>
      </c>
      <c r="B572" s="81" t="s">
        <v>1260</v>
      </c>
      <c r="C572" s="81" t="s">
        <v>1374</v>
      </c>
      <c r="D572" s="82" t="str">
        <f ca="1">OFFSET(Roster!$A$3,MATCH(表格1[[#This Row],[Location]]&amp;" "&amp;表格1[[#This Row],[Shop]]&amp;"*",Roster!$A$4:$A$72,0),DAY(表格1[[#This Row],[date]]),1,1)</f>
        <v>Ling Ho</v>
      </c>
      <c r="E572" s="81">
        <f>MONTH(表格1[[#This Row],[date]])</f>
        <v>3</v>
      </c>
      <c r="F572" s="101">
        <v>46089</v>
      </c>
      <c r="G572" s="81" t="str">
        <f>VLOOKUP("*"&amp;表格1[[#This Row],[Input]]&amp;"*",'Ref-List'!$B:$D,2,)</f>
        <v>RAD-D300H</v>
      </c>
      <c r="H572" s="81" t="str">
        <f>_xlfn.XLOOKUP(表格1[[#This Row],[Model]],表格3[Model-Input-Ref2],表格3[Product Line])</f>
        <v>壓縮式抽濕機 (30公升)</v>
      </c>
      <c r="I572" s="81" t="str">
        <f>_xlfn.XLOOKUP(表格1[[#This Row],[Model]],表格3[Model-Input-Ref2],表格3[大小電])</f>
        <v>細電</v>
      </c>
      <c r="J572" s="81" t="str">
        <f>_xlfn.XLOOKUP(表格1[[#This Row],[Model]],表格3[Model-Input-Ref2],表格3[Code])</f>
        <v>RAC</v>
      </c>
      <c r="K572" s="82" t="s">
        <v>1252</v>
      </c>
      <c r="L572" s="81">
        <v>1</v>
      </c>
      <c r="M572" s="85">
        <v>2280</v>
      </c>
      <c r="N572" s="85">
        <f>IFERROR(表格1[[#This Row],[QTY]]*表格1[[#This Row],[Unit Price]],"-")</f>
        <v>2280</v>
      </c>
      <c r="O572" s="134">
        <v>384886</v>
      </c>
      <c r="P572" s="81"/>
      <c r="Q572" s="81"/>
      <c r="R572" s="81" t="str">
        <f>_xlfn.CONCAT(表格1[[#This Row],[Model]]," ",表格1[[#This Row],[inv no]])</f>
        <v>RAD-D300H 384886</v>
      </c>
      <c r="S572" s="135">
        <f>_xlfn.XLOOKUP(表格1[[#This Row],[Model]],表格3[Model-Input-Ref2],表格3[SRP PRICE])</f>
        <v>3380</v>
      </c>
      <c r="T572" s="43">
        <f>表格1[[#This Row],[Unit Price]]/表格1[[#This Row],[SRP]]</f>
        <v>0.67455621301775148</v>
      </c>
      <c r="U572" s="86" t="str">
        <f>_xlfn.XLOOKUP(表格1[[#This Row],[Model]],表格3[Model-Input-Ref2],表格3[TOSHIBA/HIGHEST])</f>
        <v>Shops Highest Price</v>
      </c>
      <c r="V572" s="86" t="s">
        <v>1126</v>
      </c>
      <c r="W572" s="86" t="str">
        <f>_xlfn.CONCAT(表格1[[#This Row],[欄4]],表格1[[#This Row],[inv no]])</f>
        <v>DA141384886</v>
      </c>
    </row>
    <row r="573" spans="1:23" hidden="1">
      <c r="A573" s="81">
        <v>571</v>
      </c>
      <c r="B573" s="81" t="s">
        <v>1260</v>
      </c>
      <c r="C573" s="81" t="s">
        <v>1374</v>
      </c>
      <c r="D573" s="82" t="str">
        <f ca="1">OFFSET(Roster!$A$3,MATCH(表格1[[#This Row],[Location]]&amp;" "&amp;表格1[[#This Row],[Shop]]&amp;"*",Roster!$A$4:$A$72,0),DAY(表格1[[#This Row],[date]]),1,1)</f>
        <v>Ling Ho</v>
      </c>
      <c r="E573" s="81">
        <f>MONTH(表格1[[#This Row],[date]])</f>
        <v>3</v>
      </c>
      <c r="F573" s="101">
        <v>46089</v>
      </c>
      <c r="G573" s="81" t="str">
        <f>VLOOKUP("*"&amp;表格1[[#This Row],[Input]]&amp;"*",'Ref-List'!$B:$D,2,)</f>
        <v>RC-18JRUH(N)</v>
      </c>
      <c r="H573" s="81" t="str">
        <f>_xlfn.XLOOKUP(表格1[[#This Row],[Model]],表格3[Model-Input-Ref2],表格3[Product Line])</f>
        <v>1.8公升電飯煲</v>
      </c>
      <c r="I573" s="81" t="str">
        <f>_xlfn.XLOOKUP(表格1[[#This Row],[Model]],表格3[Model-Input-Ref2],表格3[大小電])</f>
        <v>細電</v>
      </c>
      <c r="J573" s="81" t="str">
        <f>_xlfn.XLOOKUP(表格1[[#This Row],[Model]],表格3[Model-Input-Ref2],表格3[Code])</f>
        <v>SDA</v>
      </c>
      <c r="K573" s="82" t="s">
        <v>1275</v>
      </c>
      <c r="L573" s="81">
        <v>1</v>
      </c>
      <c r="M573" s="85">
        <v>300</v>
      </c>
      <c r="N573" s="85">
        <f>IFERROR(表格1[[#This Row],[QTY]]*表格1[[#This Row],[Unit Price]],"-")</f>
        <v>300</v>
      </c>
      <c r="O573" s="134">
        <v>216027</v>
      </c>
      <c r="P573" s="81"/>
      <c r="Q573" s="81"/>
      <c r="R573" s="81" t="str">
        <f>_xlfn.CONCAT(表格1[[#This Row],[Model]]," ",表格1[[#This Row],[inv no]])</f>
        <v>RC-18JRUH(N) 216027</v>
      </c>
      <c r="S573" s="135">
        <f>_xlfn.XLOOKUP(表格1[[#This Row],[Model]],表格3[Model-Input-Ref2],表格3[SRP PRICE])</f>
        <v>458</v>
      </c>
      <c r="T573" s="43">
        <f>表格1[[#This Row],[Unit Price]]/表格1[[#This Row],[SRP]]</f>
        <v>0.65502183406113534</v>
      </c>
      <c r="U573" s="86" t="str">
        <f>_xlfn.XLOOKUP(表格1[[#This Row],[Model]],表格3[Model-Input-Ref2],表格3[TOSHIBA/HIGHEST])</f>
        <v>Shops Highest Price</v>
      </c>
      <c r="V573" s="86" t="s">
        <v>1126</v>
      </c>
      <c r="W573" s="86" t="str">
        <f>_xlfn.CONCAT(表格1[[#This Row],[欄4]],表格1[[#This Row],[inv no]])</f>
        <v>DA141216027</v>
      </c>
    </row>
    <row r="574" spans="1:23" hidden="1">
      <c r="A574" s="81">
        <v>572</v>
      </c>
      <c r="B574" s="81" t="s">
        <v>1260</v>
      </c>
      <c r="C574" s="81" t="s">
        <v>1374</v>
      </c>
      <c r="D574" s="82" t="str">
        <f ca="1">OFFSET(Roster!$A$3,MATCH(表格1[[#This Row],[Location]]&amp;" "&amp;表格1[[#This Row],[Shop]]&amp;"*",Roster!$A$4:$A$72,0),DAY(表格1[[#This Row],[date]]),1,1)</f>
        <v>Ling Ho</v>
      </c>
      <c r="E574" s="81">
        <f>MONTH(表格1[[#This Row],[date]])</f>
        <v>3</v>
      </c>
      <c r="F574" s="101">
        <v>46089</v>
      </c>
      <c r="G574" s="81" t="str">
        <f>VLOOKUP("*"&amp;表格1[[#This Row],[Input]]&amp;"*",'Ref-List'!$B:$D,2,)</f>
        <v>RC-10AMXH(W)</v>
      </c>
      <c r="H574" s="81" t="str">
        <f>_xlfn.XLOOKUP(表格1[[#This Row],[Model]],表格3[Model-Input-Ref2],表格3[Product Line])</f>
        <v>酵活炊電飯煲(1.0公升)</v>
      </c>
      <c r="I574" s="81" t="str">
        <f>_xlfn.XLOOKUP(表格1[[#This Row],[Model]],表格3[Model-Input-Ref2],表格3[大小電])</f>
        <v>細電</v>
      </c>
      <c r="J574" s="81" t="str">
        <f>_xlfn.XLOOKUP(表格1[[#This Row],[Model]],表格3[Model-Input-Ref2],表格3[Code])</f>
        <v>SDA</v>
      </c>
      <c r="K574" s="82" t="s">
        <v>1279</v>
      </c>
      <c r="L574" s="81">
        <v>1</v>
      </c>
      <c r="M574" s="85">
        <v>990</v>
      </c>
      <c r="N574" s="85">
        <f>IFERROR(表格1[[#This Row],[QTY]]*表格1[[#This Row],[Unit Price]],"-")</f>
        <v>990</v>
      </c>
      <c r="O574" s="134">
        <v>441453</v>
      </c>
      <c r="P574" s="81"/>
      <c r="Q574" s="81"/>
      <c r="R574" s="81" t="str">
        <f>_xlfn.CONCAT(表格1[[#This Row],[Model]]," ",表格1[[#This Row],[inv no]])</f>
        <v>RC-10AMXH(W) 441453</v>
      </c>
      <c r="S574" s="135">
        <f>_xlfn.XLOOKUP(表格1[[#This Row],[Model]],表格3[Model-Input-Ref2],表格3[SRP PRICE])</f>
        <v>1288</v>
      </c>
      <c r="T574" s="43">
        <f>表格1[[#This Row],[Unit Price]]/表格1[[#This Row],[SRP]]</f>
        <v>0.76863354037267084</v>
      </c>
      <c r="U574" s="86" t="str">
        <f>_xlfn.XLOOKUP(表格1[[#This Row],[Model]],表格3[Model-Input-Ref2],表格3[TOSHIBA/HIGHEST])</f>
        <v>Toshiba SRP</v>
      </c>
      <c r="V574" s="86" t="s">
        <v>1126</v>
      </c>
      <c r="W574" s="86" t="str">
        <f>_xlfn.CONCAT(表格1[[#This Row],[欄4]],表格1[[#This Row],[inv no]])</f>
        <v>DA141441453</v>
      </c>
    </row>
    <row r="575" spans="1:23" ht="16.5" hidden="1">
      <c r="A575" s="81">
        <v>573</v>
      </c>
      <c r="B575" s="81" t="s">
        <v>1260</v>
      </c>
      <c r="C575" s="81" t="s">
        <v>1374</v>
      </c>
      <c r="D575" s="82" t="str">
        <f ca="1">OFFSET(Roster!$A$3,MATCH(表格1[[#This Row],[Location]]&amp;" "&amp;表格1[[#This Row],[Shop]]&amp;"*",Roster!$A$4:$A$72,0),DAY(表格1[[#This Row],[date]]),1,1)</f>
        <v>Ling Ho</v>
      </c>
      <c r="E575" s="81">
        <f>MONTH(表格1[[#This Row],[date]])</f>
        <v>3</v>
      </c>
      <c r="F575" s="101">
        <v>46089</v>
      </c>
      <c r="G575" s="81" t="str">
        <f>VLOOKUP("*"&amp;表格1[[#This Row],[Input]]&amp;"*",'Ref-List'!$B:$D,2,)</f>
        <v>TP-50DRUHK(W)</v>
      </c>
      <c r="H575" s="81" t="str">
        <f>_xlfn.XLOOKUP(表格1[[#This Row],[Model]],表格3[Model-Input-Ref2],表格3[Product Line])</f>
        <v>電熱水瓶 (5公升)</v>
      </c>
      <c r="I575" s="81" t="str">
        <f>_xlfn.XLOOKUP(表格1[[#This Row],[Model]],表格3[Model-Input-Ref2],表格3[大小電])</f>
        <v>細電</v>
      </c>
      <c r="J575" s="81" t="str">
        <f>_xlfn.XLOOKUP(表格1[[#This Row],[Model]],表格3[Model-Input-Ref2],表格3[Code])</f>
        <v>SDA</v>
      </c>
      <c r="K575" s="82" t="s">
        <v>1277</v>
      </c>
      <c r="L575" s="81">
        <v>1</v>
      </c>
      <c r="M575" s="85">
        <v>628</v>
      </c>
      <c r="N575" s="85">
        <f>IFERROR(表格1[[#This Row],[QTY]]*表格1[[#This Row],[Unit Price]],"-")</f>
        <v>628</v>
      </c>
      <c r="O575" s="134">
        <v>384968</v>
      </c>
      <c r="P575" s="137"/>
      <c r="Q575" s="81"/>
      <c r="R575" s="81" t="str">
        <f>_xlfn.CONCAT(表格1[[#This Row],[Model]]," ",表格1[[#This Row],[inv no]])</f>
        <v>TP-50DRUHK(W) 384968</v>
      </c>
      <c r="S575" s="135">
        <f>_xlfn.XLOOKUP(表格1[[#This Row],[Model]],表格3[Model-Input-Ref2],表格3[SRP PRICE])</f>
        <v>718</v>
      </c>
      <c r="T575" s="43">
        <f>表格1[[#This Row],[Unit Price]]/表格1[[#This Row],[SRP]]</f>
        <v>0.87465181058495822</v>
      </c>
      <c r="U575" s="86" t="str">
        <f>_xlfn.XLOOKUP(表格1[[#This Row],[Model]],表格3[Model-Input-Ref2],表格3[TOSHIBA/HIGHEST])</f>
        <v>Toshiba SRP</v>
      </c>
      <c r="V575" s="86" t="s">
        <v>1126</v>
      </c>
      <c r="W575" s="86" t="str">
        <f>_xlfn.CONCAT(表格1[[#This Row],[欄4]],表格1[[#This Row],[inv no]])</f>
        <v>DA141384968</v>
      </c>
    </row>
    <row r="576" spans="1:23" hidden="1">
      <c r="A576" s="81">
        <v>574</v>
      </c>
      <c r="B576" s="81" t="s">
        <v>1260</v>
      </c>
      <c r="C576" s="81" t="s">
        <v>1374</v>
      </c>
      <c r="D576" s="82" t="str">
        <f ca="1">OFFSET(Roster!$A$3,MATCH(表格1[[#This Row],[Location]]&amp;" "&amp;表格1[[#This Row],[Shop]]&amp;"*",Roster!$A$4:$A$72,0),DAY(表格1[[#This Row],[date]]),1,1)</f>
        <v>Ling Ho</v>
      </c>
      <c r="E576" s="81">
        <f>MONTH(表格1[[#This Row],[date]])</f>
        <v>3</v>
      </c>
      <c r="F576" s="101">
        <v>46089</v>
      </c>
      <c r="G576" s="81" t="str">
        <f>VLOOKUP("*"&amp;表格1[[#This Row],[Input]]&amp;"*",'Ref-List'!$B:$D,2,)</f>
        <v>RC-7HMH</v>
      </c>
      <c r="H576" s="81" t="str">
        <f>_xlfn.XLOOKUP(表格1[[#This Row],[Model]],表格3[Model-Input-Ref2],表格3[Product Line])</f>
        <v>備長炭本厚釜電飯煲0.7L</v>
      </c>
      <c r="I576" s="81" t="str">
        <f>_xlfn.XLOOKUP(表格1[[#This Row],[Model]],表格3[Model-Input-Ref2],表格3[大小電])</f>
        <v>細電</v>
      </c>
      <c r="J576" s="81" t="str">
        <f>_xlfn.XLOOKUP(表格1[[#This Row],[Model]],表格3[Model-Input-Ref2],表格3[Code])</f>
        <v>SDA</v>
      </c>
      <c r="K576" s="82" t="s">
        <v>1284</v>
      </c>
      <c r="L576" s="81">
        <v>1</v>
      </c>
      <c r="M576" s="85">
        <v>788</v>
      </c>
      <c r="N576" s="85">
        <f>IFERROR(表格1[[#This Row],[QTY]]*表格1[[#This Row],[Unit Price]],"-")</f>
        <v>788</v>
      </c>
      <c r="O576" s="134">
        <v>384993</v>
      </c>
      <c r="P576" s="81"/>
      <c r="Q576" s="81"/>
      <c r="R576" s="81" t="str">
        <f>_xlfn.CONCAT(表格1[[#This Row],[Model]]," ",表格1[[#This Row],[inv no]])</f>
        <v>RC-7HMH 384993</v>
      </c>
      <c r="S576" s="135">
        <f>_xlfn.XLOOKUP(表格1[[#This Row],[Model]],表格3[Model-Input-Ref2],表格3[SRP PRICE])</f>
        <v>1288</v>
      </c>
      <c r="T576" s="43">
        <f>表格1[[#This Row],[Unit Price]]/表格1[[#This Row],[SRP]]</f>
        <v>0.61180124223602483</v>
      </c>
      <c r="U576" s="86" t="str">
        <f>_xlfn.XLOOKUP(表格1[[#This Row],[Model]],表格3[Model-Input-Ref2],表格3[TOSHIBA/HIGHEST])</f>
        <v>Toshiba SRP</v>
      </c>
      <c r="V576" s="86" t="s">
        <v>1126</v>
      </c>
      <c r="W576" s="86" t="str">
        <f>_xlfn.CONCAT(表格1[[#This Row],[欄4]],表格1[[#This Row],[inv no]])</f>
        <v>DA141384993</v>
      </c>
    </row>
    <row r="577" spans="1:23" ht="16.5" hidden="1" customHeight="1">
      <c r="A577" s="81">
        <v>575</v>
      </c>
      <c r="B577" s="81" t="s">
        <v>1260</v>
      </c>
      <c r="C577" s="81" t="s">
        <v>1374</v>
      </c>
      <c r="D577" s="82" t="str">
        <f ca="1">OFFSET(Roster!$A$3,MATCH(表格1[[#This Row],[Location]]&amp;" "&amp;表格1[[#This Row],[Shop]]&amp;"*",Roster!$A$4:$A$72,0),DAY(表格1[[#This Row],[date]]),1,1)</f>
        <v>Ling Ho</v>
      </c>
      <c r="E577" s="81">
        <f>MONTH(表格1[[#This Row],[date]])</f>
        <v>3</v>
      </c>
      <c r="F577" s="101">
        <v>46089</v>
      </c>
      <c r="G577" s="81" t="str">
        <f>VLOOKUP("*"&amp;表格1[[#This Row],[Input]]&amp;"*",'Ref-List'!$B:$D,2,)</f>
        <v>RAD-D300H</v>
      </c>
      <c r="H577" s="81" t="str">
        <f>_xlfn.XLOOKUP(表格1[[#This Row],[Model]],表格3[Model-Input-Ref2],表格3[Product Line])</f>
        <v>壓縮式抽濕機 (30公升)</v>
      </c>
      <c r="I577" s="81" t="str">
        <f>_xlfn.XLOOKUP(表格1[[#This Row],[Model]],表格3[Model-Input-Ref2],表格3[大小電])</f>
        <v>細電</v>
      </c>
      <c r="J577" s="81" t="str">
        <f>_xlfn.XLOOKUP(表格1[[#This Row],[Model]],表格3[Model-Input-Ref2],表格3[Code])</f>
        <v>RAC</v>
      </c>
      <c r="K577" s="82" t="s">
        <v>1252</v>
      </c>
      <c r="L577" s="81">
        <v>1</v>
      </c>
      <c r="M577" s="85">
        <v>2280</v>
      </c>
      <c r="N577" s="85">
        <f>IFERROR(表格1[[#This Row],[QTY]]*表格1[[#This Row],[Unit Price]],"-")</f>
        <v>2280</v>
      </c>
      <c r="O577" s="134">
        <v>216204</v>
      </c>
      <c r="P577" s="81"/>
      <c r="Q577" s="81"/>
      <c r="R577" s="81" t="str">
        <f>_xlfn.CONCAT(表格1[[#This Row],[Model]]," ",表格1[[#This Row],[inv no]])</f>
        <v>RAD-D300H 216204</v>
      </c>
      <c r="S577" s="135">
        <f>_xlfn.XLOOKUP(表格1[[#This Row],[Model]],表格3[Model-Input-Ref2],表格3[SRP PRICE])</f>
        <v>3380</v>
      </c>
      <c r="T577" s="43">
        <f>表格1[[#This Row],[Unit Price]]/表格1[[#This Row],[SRP]]</f>
        <v>0.67455621301775148</v>
      </c>
      <c r="U577" s="86" t="str">
        <f>_xlfn.XLOOKUP(表格1[[#This Row],[Model]],表格3[Model-Input-Ref2],表格3[TOSHIBA/HIGHEST])</f>
        <v>Shops Highest Price</v>
      </c>
      <c r="V577" s="86" t="s">
        <v>1126</v>
      </c>
      <c r="W577" s="86" t="str">
        <f>_xlfn.CONCAT(表格1[[#This Row],[欄4]],表格1[[#This Row],[inv no]])</f>
        <v>DA141216204</v>
      </c>
    </row>
    <row r="578" spans="1:23" hidden="1">
      <c r="A578" s="81">
        <v>576</v>
      </c>
      <c r="B578" s="81" t="s">
        <v>1260</v>
      </c>
      <c r="C578" s="81" t="s">
        <v>1374</v>
      </c>
      <c r="D578" s="82" t="str">
        <f ca="1">OFFSET(Roster!$A$3,MATCH(表格1[[#This Row],[Location]]&amp;" "&amp;表格1[[#This Row],[Shop]]&amp;"*",Roster!$A$4:$A$72,0),DAY(表格1[[#This Row],[date]]),1,1)</f>
        <v>Ling Ho</v>
      </c>
      <c r="E578" s="81">
        <f>MONTH(表格1[[#This Row],[date]])</f>
        <v>3</v>
      </c>
      <c r="F578" s="101">
        <v>46089</v>
      </c>
      <c r="G578" s="81" t="str">
        <f>VLOOKUP("*"&amp;表格1[[#This Row],[Input]]&amp;"*",'Ref-List'!$B:$D,2,)</f>
        <v>RC-5SLIH(W)</v>
      </c>
      <c r="H578" s="81" t="str">
        <f>_xlfn.XLOOKUP(表格1[[#This Row],[Model]],表格3[Model-Input-Ref2],表格3[Product Line])</f>
        <v>微型電腦珍珠飯煲</v>
      </c>
      <c r="I578" s="81" t="str">
        <f>_xlfn.XLOOKUP(表格1[[#This Row],[Model]],表格3[Model-Input-Ref2],表格3[大小電])</f>
        <v>細電</v>
      </c>
      <c r="J578" s="81" t="str">
        <f>_xlfn.XLOOKUP(表格1[[#This Row],[Model]],表格3[Model-Input-Ref2],表格3[Code])</f>
        <v>SDA</v>
      </c>
      <c r="K578" s="82" t="s">
        <v>1264</v>
      </c>
      <c r="L578" s="81">
        <v>1</v>
      </c>
      <c r="M578" s="85">
        <v>593</v>
      </c>
      <c r="N578" s="85">
        <f>IFERROR(表格1[[#This Row],[QTY]]*表格1[[#This Row],[Unit Price]],"-")</f>
        <v>593</v>
      </c>
      <c r="O578" s="134">
        <v>441661</v>
      </c>
      <c r="P578" s="81"/>
      <c r="Q578" s="81"/>
      <c r="R578" s="81" t="str">
        <f>_xlfn.CONCAT(表格1[[#This Row],[Model]]," ",表格1[[#This Row],[inv no]])</f>
        <v>RC-5SLIH(W) 441661</v>
      </c>
      <c r="S578" s="135">
        <f>_xlfn.XLOOKUP(表格1[[#This Row],[Model]],表格3[Model-Input-Ref2],表格3[SRP PRICE])</f>
        <v>658</v>
      </c>
      <c r="T578" s="43">
        <f>表格1[[#This Row],[Unit Price]]/表格1[[#This Row],[SRP]]</f>
        <v>0.90121580547112456</v>
      </c>
      <c r="U578" s="86" t="str">
        <f>_xlfn.XLOOKUP(表格1[[#This Row],[Model]],表格3[Model-Input-Ref2],表格3[TOSHIBA/HIGHEST])</f>
        <v>Toshiba SRP</v>
      </c>
      <c r="V578" s="86" t="s">
        <v>1126</v>
      </c>
      <c r="W578" s="86" t="str">
        <f>_xlfn.CONCAT(表格1[[#This Row],[欄4]],表格1[[#This Row],[inv no]])</f>
        <v>DA141441661</v>
      </c>
    </row>
    <row r="579" spans="1:23" hidden="1">
      <c r="A579" s="81">
        <v>577</v>
      </c>
      <c r="B579" s="81" t="s">
        <v>1260</v>
      </c>
      <c r="C579" s="81" t="s">
        <v>1374</v>
      </c>
      <c r="D579" s="82" t="str">
        <f ca="1">OFFSET(Roster!$A$3,MATCH(表格1[[#This Row],[Location]]&amp;" "&amp;表格1[[#This Row],[Shop]]&amp;"*",Roster!$A$4:$A$72,0),DAY(表格1[[#This Row],[date]]),1,1)</f>
        <v>Ling Ho</v>
      </c>
      <c r="E579" s="81">
        <f>MONTH(表格1[[#This Row],[date]])</f>
        <v>3</v>
      </c>
      <c r="F579" s="101">
        <v>46089</v>
      </c>
      <c r="G579" s="81" t="str">
        <f>VLOOKUP("*"&amp;表格1[[#This Row],[Input]]&amp;"*",'Ref-List'!$B:$D,2,)</f>
        <v>PLK-30FLIH(WT)</v>
      </c>
      <c r="H579" s="81" t="str">
        <f>_xlfn.XLOOKUP(表格1[[#This Row],[Model]],表格3[Model-Input-Ref2],表格3[Product Line])</f>
        <v>電熱水瓶3L</v>
      </c>
      <c r="I579" s="81" t="str">
        <f>_xlfn.XLOOKUP(表格1[[#This Row],[Model]],表格3[Model-Input-Ref2],表格3[大小電])</f>
        <v>細電</v>
      </c>
      <c r="J579" s="81" t="str">
        <f>_xlfn.XLOOKUP(表格1[[#This Row],[Model]],表格3[Model-Input-Ref2],表格3[Code])</f>
        <v>SDA</v>
      </c>
      <c r="K579" s="82" t="s">
        <v>1272</v>
      </c>
      <c r="L579" s="81">
        <v>1</v>
      </c>
      <c r="M579" s="85">
        <v>489</v>
      </c>
      <c r="N579" s="85">
        <f>IFERROR(表格1[[#This Row],[QTY]]*表格1[[#This Row],[Unit Price]],"-")</f>
        <v>489</v>
      </c>
      <c r="O579" s="134">
        <v>441674</v>
      </c>
      <c r="P579" s="81"/>
      <c r="Q579" s="81"/>
      <c r="R579" s="81" t="str">
        <f>_xlfn.CONCAT(表格1[[#This Row],[Model]]," ",表格1[[#This Row],[inv no]])</f>
        <v>PLK-30FLIH(WT) 441674</v>
      </c>
      <c r="S579" s="135">
        <f>_xlfn.XLOOKUP(表格1[[#This Row],[Model]],表格3[Model-Input-Ref2],表格3[SRP PRICE])</f>
        <v>658</v>
      </c>
      <c r="T579" s="43">
        <f>表格1[[#This Row],[Unit Price]]/表格1[[#This Row],[SRP]]</f>
        <v>0.74316109422492405</v>
      </c>
      <c r="U579" s="86" t="str">
        <f>_xlfn.XLOOKUP(表格1[[#This Row],[Model]],表格3[Model-Input-Ref2],表格3[TOSHIBA/HIGHEST])</f>
        <v>Toshiba SRP</v>
      </c>
      <c r="V579" s="86" t="s">
        <v>1126</v>
      </c>
      <c r="W579" s="86" t="str">
        <f>_xlfn.CONCAT(表格1[[#This Row],[欄4]],表格1[[#This Row],[inv no]])</f>
        <v>DA141441674</v>
      </c>
    </row>
    <row r="580" spans="1:23" hidden="1">
      <c r="A580" s="81">
        <v>578</v>
      </c>
      <c r="B580" s="81" t="s">
        <v>1260</v>
      </c>
      <c r="C580" s="81" t="s">
        <v>1374</v>
      </c>
      <c r="D580" s="82" t="str">
        <f ca="1">OFFSET(Roster!$A$3,MATCH(表格1[[#This Row],[Location]]&amp;" "&amp;表格1[[#This Row],[Shop]]&amp;"*",Roster!$A$4:$A$72,0),DAY(表格1[[#This Row],[date]]),1,1)</f>
        <v>Ling Ho</v>
      </c>
      <c r="E580" s="81">
        <f>MONTH(表格1[[#This Row],[date]])</f>
        <v>3</v>
      </c>
      <c r="F580" s="101">
        <v>46089</v>
      </c>
      <c r="G580" s="81" t="str">
        <f>VLOOKUP("*"&amp;表格1[[#This Row],[Input]]&amp;"*",'Ref-List'!$B:$D,2,)</f>
        <v>CF-HM30AH(Y)</v>
      </c>
      <c r="H580" s="81" t="str">
        <f>_xlfn.XLOOKUP(表格1[[#This Row],[Model]],表格3[Model-Input-Ref2],表格3[Product Line])</f>
        <v>手提式打蛋器</v>
      </c>
      <c r="I580" s="81" t="str">
        <f>_xlfn.XLOOKUP(表格1[[#This Row],[Model]],表格3[Model-Input-Ref2],表格3[大小電])</f>
        <v>N/A</v>
      </c>
      <c r="J580" s="81" t="str">
        <f>_xlfn.XLOOKUP(表格1[[#This Row],[Model]],表格3[Model-Input-Ref2],表格3[Code])</f>
        <v>N/A</v>
      </c>
      <c r="K580" s="82" t="s">
        <v>1385</v>
      </c>
      <c r="L580" s="81">
        <v>1</v>
      </c>
      <c r="M580" s="85">
        <v>200</v>
      </c>
      <c r="N580" s="85">
        <f>IFERROR(表格1[[#This Row],[QTY]]*表格1[[#This Row],[Unit Price]],"-")</f>
        <v>200</v>
      </c>
      <c r="O580" s="134">
        <v>441689</v>
      </c>
      <c r="P580" s="81"/>
      <c r="Q580" s="81"/>
      <c r="R580" s="81" t="str">
        <f>_xlfn.CONCAT(表格1[[#This Row],[Model]]," ",表格1[[#This Row],[inv no]])</f>
        <v>CF-HM30AH(Y) 441689</v>
      </c>
      <c r="S580" s="135">
        <f>_xlfn.XLOOKUP(表格1[[#This Row],[Model]],表格3[Model-Input-Ref2],表格3[SRP PRICE])</f>
        <v>0</v>
      </c>
      <c r="T580" s="43" t="e">
        <f>表格1[[#This Row],[Unit Price]]/表格1[[#This Row],[SRP]]</f>
        <v>#DIV/0!</v>
      </c>
      <c r="U580" s="86" t="str">
        <f>_xlfn.XLOOKUP(表格1[[#This Row],[Model]],表格3[Model-Input-Ref2],表格3[TOSHIBA/HIGHEST])</f>
        <v>Toshiba SRP</v>
      </c>
      <c r="V580" s="86" t="s">
        <v>1126</v>
      </c>
      <c r="W580" s="86" t="str">
        <f>_xlfn.CONCAT(表格1[[#This Row],[欄4]],表格1[[#This Row],[inv no]])</f>
        <v>DA141441689</v>
      </c>
    </row>
    <row r="581" spans="1:23" hidden="1">
      <c r="A581" s="81">
        <v>579</v>
      </c>
      <c r="B581" s="81" t="s">
        <v>1260</v>
      </c>
      <c r="C581" s="81" t="s">
        <v>1374</v>
      </c>
      <c r="D581" s="82" t="str">
        <f ca="1">OFFSET(Roster!$A$3,MATCH(表格1[[#This Row],[Location]]&amp;" "&amp;表格1[[#This Row],[Shop]]&amp;"*",Roster!$A$4:$A$72,0),DAY(表格1[[#This Row],[date]]),1,1)</f>
        <v>Ling Ho</v>
      </c>
      <c r="E581" s="81">
        <f>MONTH(表格1[[#This Row],[date]])</f>
        <v>3</v>
      </c>
      <c r="F581" s="101">
        <v>46090</v>
      </c>
      <c r="G581" s="81" t="str">
        <f>VLOOKUP("*"&amp;表格1[[#This Row],[Input]]&amp;"*",'Ref-List'!$B:$D,2,)</f>
        <v>RC-10JRUH(N)</v>
      </c>
      <c r="H581" s="81" t="str">
        <f>_xlfn.XLOOKUP(表格1[[#This Row],[Model]],表格3[Model-Input-Ref2],表格3[Product Line])</f>
        <v>電飯煲</v>
      </c>
      <c r="I581" s="81" t="str">
        <f>_xlfn.XLOOKUP(表格1[[#This Row],[Model]],表格3[Model-Input-Ref2],表格3[大小電])</f>
        <v>細電</v>
      </c>
      <c r="J581" s="81" t="str">
        <f>_xlfn.XLOOKUP(表格1[[#This Row],[Model]],表格3[Model-Input-Ref2],表格3[Code])</f>
        <v>SDA</v>
      </c>
      <c r="K581" s="82" t="s">
        <v>1263</v>
      </c>
      <c r="L581" s="81">
        <v>1</v>
      </c>
      <c r="M581" s="85">
        <v>237.5</v>
      </c>
      <c r="N581" s="85">
        <f>IFERROR(表格1[[#This Row],[QTY]]*表格1[[#This Row],[Unit Price]],"-")</f>
        <v>237.5</v>
      </c>
      <c r="O581" s="134">
        <v>441766</v>
      </c>
      <c r="P581" s="81"/>
      <c r="Q581" s="81"/>
      <c r="R581" s="81" t="str">
        <f>_xlfn.CONCAT(表格1[[#This Row],[Model]]," ",表格1[[#This Row],[inv no]])</f>
        <v>RC-10JRUH(N) 441766</v>
      </c>
      <c r="S581" s="135">
        <f>_xlfn.XLOOKUP(表格1[[#This Row],[Model]],表格3[Model-Input-Ref2],表格3[SRP PRICE])</f>
        <v>398</v>
      </c>
      <c r="T581" s="43">
        <f>表格1[[#This Row],[Unit Price]]/表格1[[#This Row],[SRP]]</f>
        <v>0.59673366834170849</v>
      </c>
      <c r="U581" s="86" t="str">
        <f>_xlfn.XLOOKUP(表格1[[#This Row],[Model]],表格3[Model-Input-Ref2],表格3[TOSHIBA/HIGHEST])</f>
        <v>Shops Highest Price</v>
      </c>
      <c r="V581" s="86" t="s">
        <v>1126</v>
      </c>
      <c r="W581" s="86" t="str">
        <f>_xlfn.CONCAT(表格1[[#This Row],[欄4]],表格1[[#This Row],[inv no]])</f>
        <v>DA141441766</v>
      </c>
    </row>
    <row r="582" spans="1:23" hidden="1">
      <c r="A582" s="81">
        <v>580</v>
      </c>
      <c r="B582" s="81" t="s">
        <v>1260</v>
      </c>
      <c r="C582" s="81" t="s">
        <v>1374</v>
      </c>
      <c r="D582" s="82" t="str">
        <f ca="1">OFFSET(Roster!$A$3,MATCH(表格1[[#This Row],[Location]]&amp;" "&amp;表格1[[#This Row],[Shop]]&amp;"*",Roster!$A$4:$A$72,0),DAY(表格1[[#This Row],[date]]),1,1)</f>
        <v>Ling Ho</v>
      </c>
      <c r="E582" s="81">
        <f>MONTH(表格1[[#This Row],[date]])</f>
        <v>3</v>
      </c>
      <c r="F582" s="101">
        <v>46090</v>
      </c>
      <c r="G582" s="81" t="str">
        <f>VLOOKUP("*"&amp;表格1[[#This Row],[Input]]&amp;"*",'Ref-List'!$B:$D,2,)</f>
        <v>RC-7HMH</v>
      </c>
      <c r="H582" s="81" t="str">
        <f>_xlfn.XLOOKUP(表格1[[#This Row],[Model]],表格3[Model-Input-Ref2],表格3[Product Line])</f>
        <v>備長炭本厚釜電飯煲0.7L</v>
      </c>
      <c r="I582" s="81" t="str">
        <f>_xlfn.XLOOKUP(表格1[[#This Row],[Model]],表格3[Model-Input-Ref2],表格3[大小電])</f>
        <v>細電</v>
      </c>
      <c r="J582" s="81" t="str">
        <f>_xlfn.XLOOKUP(表格1[[#This Row],[Model]],表格3[Model-Input-Ref2],表格3[Code])</f>
        <v>SDA</v>
      </c>
      <c r="K582" s="82" t="s">
        <v>1284</v>
      </c>
      <c r="L582" s="81">
        <v>1</v>
      </c>
      <c r="M582" s="85">
        <v>748.6</v>
      </c>
      <c r="N582" s="85">
        <f>IFERROR(表格1[[#This Row],[QTY]]*表格1[[#This Row],[Unit Price]],"-")</f>
        <v>748.6</v>
      </c>
      <c r="O582" s="134">
        <v>385225</v>
      </c>
      <c r="P582" s="81"/>
      <c r="Q582" s="81"/>
      <c r="R582" s="81" t="str">
        <f>_xlfn.CONCAT(表格1[[#This Row],[Model]]," ",表格1[[#This Row],[inv no]])</f>
        <v>RC-7HMH 385225</v>
      </c>
      <c r="S582" s="135">
        <f>_xlfn.XLOOKUP(表格1[[#This Row],[Model]],表格3[Model-Input-Ref2],表格3[SRP PRICE])</f>
        <v>1288</v>
      </c>
      <c r="T582" s="43">
        <f>表格1[[#This Row],[Unit Price]]/表格1[[#This Row],[SRP]]</f>
        <v>0.58121118012422357</v>
      </c>
      <c r="U582" s="86" t="str">
        <f>_xlfn.XLOOKUP(表格1[[#This Row],[Model]],表格3[Model-Input-Ref2],表格3[TOSHIBA/HIGHEST])</f>
        <v>Toshiba SRP</v>
      </c>
      <c r="V582" s="86" t="s">
        <v>1126</v>
      </c>
      <c r="W582" s="86" t="str">
        <f>_xlfn.CONCAT(表格1[[#This Row],[欄4]],表格1[[#This Row],[inv no]])</f>
        <v>DA141385225</v>
      </c>
    </row>
    <row r="583" spans="1:23" hidden="1">
      <c r="A583" s="81">
        <v>581</v>
      </c>
      <c r="B583" s="81" t="s">
        <v>1260</v>
      </c>
      <c r="C583" s="81" t="s">
        <v>1374</v>
      </c>
      <c r="D583" s="82" t="str">
        <f ca="1">OFFSET(Roster!$A$3,MATCH(表格1[[#This Row],[Location]]&amp;" "&amp;表格1[[#This Row],[Shop]]&amp;"*",Roster!$A$4:$A$72,0),DAY(表格1[[#This Row],[date]]),1,1)</f>
        <v>Ling Ho</v>
      </c>
      <c r="E583" s="81">
        <f>MONTH(表格1[[#This Row],[date]])</f>
        <v>3</v>
      </c>
      <c r="F583" s="101">
        <v>46090</v>
      </c>
      <c r="G583" s="81" t="str">
        <f>VLOOKUP("*"&amp;表格1[[#This Row],[Input]]&amp;"*",'Ref-List'!$B:$D,2,)</f>
        <v>RAD-D200H</v>
      </c>
      <c r="H583" s="81" t="str">
        <f>_xlfn.XLOOKUP(表格1[[#This Row],[Model]],表格3[Model-Input-Ref2],表格3[Product Line])</f>
        <v>壓縮式抽濕機 (22公升)</v>
      </c>
      <c r="I583" s="81" t="str">
        <f>_xlfn.XLOOKUP(表格1[[#This Row],[Model]],表格3[Model-Input-Ref2],表格3[大小電])</f>
        <v>細電</v>
      </c>
      <c r="J583" s="81" t="str">
        <f>_xlfn.XLOOKUP(表格1[[#This Row],[Model]],表格3[Model-Input-Ref2],表格3[Code])</f>
        <v>RAC</v>
      </c>
      <c r="K583" s="82" t="s">
        <v>1250</v>
      </c>
      <c r="L583" s="81">
        <v>1</v>
      </c>
      <c r="M583" s="85">
        <v>1786</v>
      </c>
      <c r="N583" s="85">
        <f>IFERROR(表格1[[#This Row],[QTY]]*表格1[[#This Row],[Unit Price]],"-")</f>
        <v>1786</v>
      </c>
      <c r="O583" s="134">
        <v>441837</v>
      </c>
      <c r="P583" s="81"/>
      <c r="Q583" s="81"/>
      <c r="R583" s="81" t="str">
        <f>_xlfn.CONCAT(表格1[[#This Row],[Model]]," ",表格1[[#This Row],[inv no]])</f>
        <v>RAD-D200H 441837</v>
      </c>
      <c r="S583" s="135">
        <f>_xlfn.XLOOKUP(表格1[[#This Row],[Model]],表格3[Model-Input-Ref2],表格3[SRP PRICE])</f>
        <v>2880</v>
      </c>
      <c r="T583" s="43">
        <f>表格1[[#This Row],[Unit Price]]/表格1[[#This Row],[SRP]]</f>
        <v>0.62013888888888891</v>
      </c>
      <c r="U583" s="86" t="str">
        <f>_xlfn.XLOOKUP(表格1[[#This Row],[Model]],表格3[Model-Input-Ref2],表格3[TOSHIBA/HIGHEST])</f>
        <v>Shops Highest Price</v>
      </c>
      <c r="V583" s="86" t="s">
        <v>1126</v>
      </c>
      <c r="W583" s="86" t="str">
        <f>_xlfn.CONCAT(表格1[[#This Row],[欄4]],表格1[[#This Row],[inv no]])</f>
        <v>DA141441837</v>
      </c>
    </row>
    <row r="584" spans="1:23" hidden="1">
      <c r="A584" s="81">
        <v>582</v>
      </c>
      <c r="B584" s="81" t="s">
        <v>1260</v>
      </c>
      <c r="C584" s="81" t="s">
        <v>1374</v>
      </c>
      <c r="D584" s="82" t="str">
        <f ca="1">OFFSET(Roster!$A$3,MATCH(表格1[[#This Row],[Location]]&amp;" "&amp;表格1[[#This Row],[Shop]]&amp;"*",Roster!$A$4:$A$72,0),DAY(表格1[[#This Row],[date]]),1,1)</f>
        <v>Ling Ho</v>
      </c>
      <c r="E584" s="81">
        <f>MONTH(表格1[[#This Row],[date]])</f>
        <v>3</v>
      </c>
      <c r="F584" s="101">
        <v>46090</v>
      </c>
      <c r="G584" s="81" t="str">
        <f>VLOOKUP("*"&amp;表格1[[#This Row],[Input]]&amp;"*",'Ref-List'!$B:$D,2,)</f>
        <v>IC-20R1THK</v>
      </c>
      <c r="H584" s="81" t="str">
        <f>_xlfn.XLOOKUP(表格1[[#This Row],[Model]],表格3[Model-Input-Ref2],表格3[Product Line])</f>
        <v>輕便式電磁爐</v>
      </c>
      <c r="I584" s="81" t="str">
        <f>_xlfn.XLOOKUP(表格1[[#This Row],[Model]],表格3[Model-Input-Ref2],表格3[大小電])</f>
        <v>細電</v>
      </c>
      <c r="J584" s="81" t="str">
        <f>_xlfn.XLOOKUP(表格1[[#This Row],[Model]],表格3[Model-Input-Ref2],表格3[Code])</f>
        <v>SDA</v>
      </c>
      <c r="K584" s="82" t="s">
        <v>1243</v>
      </c>
      <c r="L584" s="81">
        <v>1</v>
      </c>
      <c r="M584" s="85">
        <v>283.10000000000002</v>
      </c>
      <c r="N584" s="85">
        <f>IFERROR(表格1[[#This Row],[QTY]]*表格1[[#This Row],[Unit Price]],"-")</f>
        <v>283.10000000000002</v>
      </c>
      <c r="O584" s="134">
        <v>216283</v>
      </c>
      <c r="P584" s="81"/>
      <c r="Q584" s="81"/>
      <c r="R584" s="81" t="str">
        <f>_xlfn.CONCAT(表格1[[#This Row],[Model]]," ",表格1[[#This Row],[inv no]])</f>
        <v>IC-20R1THK 216283</v>
      </c>
      <c r="S584" s="135">
        <f>_xlfn.XLOOKUP(表格1[[#This Row],[Model]],表格3[Model-Input-Ref2],表格3[SRP PRICE])</f>
        <v>438</v>
      </c>
      <c r="T584" s="43">
        <f>表格1[[#This Row],[Unit Price]]/表格1[[#This Row],[SRP]]</f>
        <v>0.64634703196347032</v>
      </c>
      <c r="U584" s="86" t="str">
        <f>_xlfn.XLOOKUP(表格1[[#This Row],[Model]],表格3[Model-Input-Ref2],表格3[TOSHIBA/HIGHEST])</f>
        <v>Shops Highest Price</v>
      </c>
      <c r="V584" s="86" t="s">
        <v>1126</v>
      </c>
      <c r="W584" s="86" t="str">
        <f>_xlfn.CONCAT(表格1[[#This Row],[欄4]],表格1[[#This Row],[inv no]])</f>
        <v>DA141216283</v>
      </c>
    </row>
    <row r="585" spans="1:23" hidden="1">
      <c r="A585" s="81">
        <v>583</v>
      </c>
      <c r="B585" s="81" t="s">
        <v>1260</v>
      </c>
      <c r="C585" s="81" t="s">
        <v>1374</v>
      </c>
      <c r="D585" s="82" t="str">
        <f ca="1">OFFSET(Roster!$A$3,MATCH(表格1[[#This Row],[Location]]&amp;" "&amp;表格1[[#This Row],[Shop]]&amp;"*",Roster!$A$4:$A$72,0),DAY(表格1[[#This Row],[date]]),1,1)</f>
        <v>Ling Ho</v>
      </c>
      <c r="E585" s="81">
        <f>MONTH(表格1[[#This Row],[date]])</f>
        <v>3</v>
      </c>
      <c r="F585" s="101">
        <v>46090</v>
      </c>
      <c r="G585" s="81" t="str">
        <f>VLOOKUP("*"&amp;表格1[[#This Row],[Input]]&amp;"*",'Ref-List'!$B:$D,2,)</f>
        <v>MS3-STQ20SC(WH)</v>
      </c>
      <c r="H585" s="81" t="str">
        <f>_xlfn.XLOOKUP(表格1[[#This Row],[Model]],表格3[Model-Input-Ref2],表格3[Product Line])</f>
        <v>20L 智能蒸氣焗爐</v>
      </c>
      <c r="I585" s="81" t="str">
        <f>_xlfn.XLOOKUP(表格1[[#This Row],[Model]],表格3[Model-Input-Ref2],表格3[大小電])</f>
        <v>細電</v>
      </c>
      <c r="J585" s="81" t="str">
        <f>_xlfn.XLOOKUP(表格1[[#This Row],[Model]],表格3[Model-Input-Ref2],表格3[Code])</f>
        <v>MCA</v>
      </c>
      <c r="K585" s="82" t="s">
        <v>1383</v>
      </c>
      <c r="L585" s="81">
        <v>1</v>
      </c>
      <c r="M585" s="85">
        <v>1881</v>
      </c>
      <c r="N585" s="85">
        <f>IFERROR(表格1[[#This Row],[QTY]]*表格1[[#This Row],[Unit Price]],"-")</f>
        <v>1881</v>
      </c>
      <c r="O585" s="134">
        <v>441869</v>
      </c>
      <c r="P585" s="136"/>
      <c r="Q585" s="81"/>
      <c r="R585" s="81" t="str">
        <f>_xlfn.CONCAT(表格1[[#This Row],[Model]]," ",表格1[[#This Row],[inv no]])</f>
        <v>MS3-STQ20SC(WH) 441869</v>
      </c>
      <c r="S585" s="135">
        <f>_xlfn.XLOOKUP(表格1[[#This Row],[Model]],表格3[Model-Input-Ref2],表格3[SRP PRICE])</f>
        <v>2880</v>
      </c>
      <c r="T585" s="43">
        <f>表格1[[#This Row],[Unit Price]]/表格1[[#This Row],[SRP]]</f>
        <v>0.65312499999999996</v>
      </c>
      <c r="U585" s="86" t="str">
        <f>_xlfn.XLOOKUP(表格1[[#This Row],[Model]],表格3[Model-Input-Ref2],表格3[TOSHIBA/HIGHEST])</f>
        <v>Toshiba SRP</v>
      </c>
      <c r="V585" s="86" t="s">
        <v>1126</v>
      </c>
      <c r="W585" s="86" t="str">
        <f>_xlfn.CONCAT(表格1[[#This Row],[欄4]],表格1[[#This Row],[inv no]])</f>
        <v>DA141441869</v>
      </c>
    </row>
    <row r="586" spans="1:23" hidden="1">
      <c r="A586" s="81">
        <v>584</v>
      </c>
      <c r="B586" s="81" t="s">
        <v>1260</v>
      </c>
      <c r="C586" s="81" t="s">
        <v>1374</v>
      </c>
      <c r="D586" s="82" t="str">
        <f ca="1">OFFSET(Roster!$A$3,MATCH(表格1[[#This Row],[Location]]&amp;" "&amp;表格1[[#This Row],[Shop]]&amp;"*",Roster!$A$4:$A$72,0),DAY(表格1[[#This Row],[date]]),1,1)</f>
        <v>Ling Ho</v>
      </c>
      <c r="E586" s="81">
        <f>MONTH(表格1[[#This Row],[date]])</f>
        <v>3</v>
      </c>
      <c r="F586" s="101">
        <v>46090</v>
      </c>
      <c r="G586" s="81" t="str">
        <f>VLOOKUP("*"&amp;表格1[[#This Row],[Input]]&amp;"*",'Ref-List'!$B:$D,2,)</f>
        <v>TP-50DRUHK(W)</v>
      </c>
      <c r="H586" s="81" t="str">
        <f>_xlfn.XLOOKUP(表格1[[#This Row],[Model]],表格3[Model-Input-Ref2],表格3[Product Line])</f>
        <v>電熱水瓶 (5公升)</v>
      </c>
      <c r="I586" s="81" t="str">
        <f>_xlfn.XLOOKUP(表格1[[#This Row],[Model]],表格3[Model-Input-Ref2],表格3[大小電])</f>
        <v>細電</v>
      </c>
      <c r="J586" s="81" t="str">
        <f>_xlfn.XLOOKUP(表格1[[#This Row],[Model]],表格3[Model-Input-Ref2],表格3[Code])</f>
        <v>SDA</v>
      </c>
      <c r="K586" s="82" t="s">
        <v>1277</v>
      </c>
      <c r="L586" s="81">
        <v>1</v>
      </c>
      <c r="M586" s="85">
        <v>596.6</v>
      </c>
      <c r="N586" s="85">
        <f>IFERROR(表格1[[#This Row],[QTY]]*表格1[[#This Row],[Unit Price]],"-")</f>
        <v>596.6</v>
      </c>
      <c r="O586" s="134">
        <v>385295</v>
      </c>
      <c r="P586" s="81"/>
      <c r="Q586" s="81"/>
      <c r="R586" s="81" t="str">
        <f>_xlfn.CONCAT(表格1[[#This Row],[Model]]," ",表格1[[#This Row],[inv no]])</f>
        <v>TP-50DRUHK(W) 385295</v>
      </c>
      <c r="S586" s="135">
        <f>_xlfn.XLOOKUP(表格1[[#This Row],[Model]],表格3[Model-Input-Ref2],表格3[SRP PRICE])</f>
        <v>718</v>
      </c>
      <c r="T586" s="43">
        <f>表格1[[#This Row],[Unit Price]]/表格1[[#This Row],[SRP]]</f>
        <v>0.83091922005571028</v>
      </c>
      <c r="U586" s="86" t="str">
        <f>_xlfn.XLOOKUP(表格1[[#This Row],[Model]],表格3[Model-Input-Ref2],表格3[TOSHIBA/HIGHEST])</f>
        <v>Toshiba SRP</v>
      </c>
      <c r="V586" s="86" t="s">
        <v>1126</v>
      </c>
      <c r="W586" s="86" t="str">
        <f>_xlfn.CONCAT(表格1[[#This Row],[欄4]],表格1[[#This Row],[inv no]])</f>
        <v>DA141385295</v>
      </c>
    </row>
    <row r="587" spans="1:23" hidden="1">
      <c r="A587" s="81">
        <v>585</v>
      </c>
      <c r="B587" s="81" t="s">
        <v>1260</v>
      </c>
      <c r="C587" s="81" t="s">
        <v>1374</v>
      </c>
      <c r="D587" s="82" t="str">
        <f ca="1">OFFSET(Roster!$A$3,MATCH(表格1[[#This Row],[Location]]&amp;" "&amp;表格1[[#This Row],[Shop]]&amp;"*",Roster!$A$4:$A$72,0),DAY(表格1[[#This Row],[date]]),1,1)</f>
        <v>Ling Ho</v>
      </c>
      <c r="E587" s="81">
        <f>MONTH(表格1[[#This Row],[date]])</f>
        <v>3</v>
      </c>
      <c r="F587" s="101">
        <v>46090</v>
      </c>
      <c r="G587" s="81" t="str">
        <f>VLOOKUP("*"&amp;表格1[[#This Row],[Input]]&amp;"*",'Ref-List'!$B:$D,2,)</f>
        <v>TP-50DRUHK(W)</v>
      </c>
      <c r="H587" s="81" t="str">
        <f>_xlfn.XLOOKUP(表格1[[#This Row],[Model]],表格3[Model-Input-Ref2],表格3[Product Line])</f>
        <v>電熱水瓶 (5公升)</v>
      </c>
      <c r="I587" s="81" t="str">
        <f>_xlfn.XLOOKUP(表格1[[#This Row],[Model]],表格3[Model-Input-Ref2],表格3[大小電])</f>
        <v>細電</v>
      </c>
      <c r="J587" s="81" t="str">
        <f>_xlfn.XLOOKUP(表格1[[#This Row],[Model]],表格3[Model-Input-Ref2],表格3[Code])</f>
        <v>SDA</v>
      </c>
      <c r="K587" s="82" t="s">
        <v>1277</v>
      </c>
      <c r="L587" s="81">
        <v>1</v>
      </c>
      <c r="M587" s="85">
        <v>628</v>
      </c>
      <c r="N587" s="85">
        <f>IFERROR(表格1[[#This Row],[QTY]]*表格1[[#This Row],[Unit Price]],"-")</f>
        <v>628</v>
      </c>
      <c r="O587" s="134">
        <v>216357</v>
      </c>
      <c r="P587" s="81"/>
      <c r="Q587" s="81"/>
      <c r="R587" s="81" t="str">
        <f>_xlfn.CONCAT(表格1[[#This Row],[Model]]," ",表格1[[#This Row],[inv no]])</f>
        <v>TP-50DRUHK(W) 216357</v>
      </c>
      <c r="S587" s="135">
        <f>_xlfn.XLOOKUP(表格1[[#This Row],[Model]],表格3[Model-Input-Ref2],表格3[SRP PRICE])</f>
        <v>718</v>
      </c>
      <c r="T587" s="43">
        <f>表格1[[#This Row],[Unit Price]]/表格1[[#This Row],[SRP]]</f>
        <v>0.87465181058495822</v>
      </c>
      <c r="U587" s="86" t="str">
        <f>_xlfn.XLOOKUP(表格1[[#This Row],[Model]],表格3[Model-Input-Ref2],表格3[TOSHIBA/HIGHEST])</f>
        <v>Toshiba SRP</v>
      </c>
      <c r="V587" s="86" t="s">
        <v>1126</v>
      </c>
      <c r="W587" s="86" t="str">
        <f>_xlfn.CONCAT(表格1[[#This Row],[欄4]],表格1[[#This Row],[inv no]])</f>
        <v>DA141216357</v>
      </c>
    </row>
    <row r="588" spans="1:23" ht="16.5" hidden="1">
      <c r="A588" s="81">
        <v>586</v>
      </c>
      <c r="B588" s="81" t="s">
        <v>1260</v>
      </c>
      <c r="C588" s="81" t="s">
        <v>1374</v>
      </c>
      <c r="D588" s="82" t="str">
        <f ca="1">OFFSET(Roster!$A$3,MATCH(表格1[[#This Row],[Location]]&amp;" "&amp;表格1[[#This Row],[Shop]]&amp;"*",Roster!$A$4:$A$72,0),DAY(表格1[[#This Row],[date]]),1,1)</f>
        <v>Ling Ho</v>
      </c>
      <c r="E588" s="81">
        <f>MONTH(表格1[[#This Row],[date]])</f>
        <v>3</v>
      </c>
      <c r="F588" s="101">
        <v>46090</v>
      </c>
      <c r="G588" s="81" t="str">
        <f>VLOOKUP("*"&amp;表格1[[#This Row],[Input]]&amp;"*",'Ref-List'!$B:$D,2,)</f>
        <v>RAD-D300H</v>
      </c>
      <c r="H588" s="81" t="str">
        <f>_xlfn.XLOOKUP(表格1[[#This Row],[Model]],表格3[Model-Input-Ref2],表格3[Product Line])</f>
        <v>壓縮式抽濕機 (30公升)</v>
      </c>
      <c r="I588" s="81" t="str">
        <f>_xlfn.XLOOKUP(表格1[[#This Row],[Model]],表格3[Model-Input-Ref2],表格3[大小電])</f>
        <v>細電</v>
      </c>
      <c r="J588" s="81" t="str">
        <f>_xlfn.XLOOKUP(表格1[[#This Row],[Model]],表格3[Model-Input-Ref2],表格3[Code])</f>
        <v>RAC</v>
      </c>
      <c r="K588" s="82" t="s">
        <v>1252</v>
      </c>
      <c r="L588" s="81">
        <v>1</v>
      </c>
      <c r="M588" s="85">
        <v>2166</v>
      </c>
      <c r="N588" s="85">
        <f>IFERROR(表格1[[#This Row],[QTY]]*表格1[[#This Row],[Unit Price]],"-")</f>
        <v>2166</v>
      </c>
      <c r="O588" s="134">
        <v>385334</v>
      </c>
      <c r="P588" s="137"/>
      <c r="Q588" s="81"/>
      <c r="R588" s="81" t="str">
        <f>_xlfn.CONCAT(表格1[[#This Row],[Model]]," ",表格1[[#This Row],[inv no]])</f>
        <v>RAD-D300H 385334</v>
      </c>
      <c r="S588" s="135">
        <f>_xlfn.XLOOKUP(表格1[[#This Row],[Model]],表格3[Model-Input-Ref2],表格3[SRP PRICE])</f>
        <v>3380</v>
      </c>
      <c r="T588" s="43">
        <f>表格1[[#This Row],[Unit Price]]/表格1[[#This Row],[SRP]]</f>
        <v>0.64082840236686389</v>
      </c>
      <c r="U588" s="86" t="str">
        <f>_xlfn.XLOOKUP(表格1[[#This Row],[Model]],表格3[Model-Input-Ref2],表格3[TOSHIBA/HIGHEST])</f>
        <v>Shops Highest Price</v>
      </c>
      <c r="V588" s="86" t="s">
        <v>1126</v>
      </c>
      <c r="W588" s="86" t="str">
        <f>_xlfn.CONCAT(表格1[[#This Row],[欄4]],表格1[[#This Row],[inv no]])</f>
        <v>DA141385334</v>
      </c>
    </row>
    <row r="589" spans="1:23" ht="16.5" hidden="1">
      <c r="A589" s="81">
        <v>587</v>
      </c>
      <c r="B589" s="81" t="s">
        <v>1260</v>
      </c>
      <c r="C589" s="81" t="s">
        <v>1374</v>
      </c>
      <c r="D589" s="82" t="str">
        <f ca="1">OFFSET(Roster!$A$3,MATCH(表格1[[#This Row],[Location]]&amp;" "&amp;表格1[[#This Row],[Shop]]&amp;"*",Roster!$A$4:$A$72,0),DAY(表格1[[#This Row],[date]]),1,1)</f>
        <v>Ling Ho</v>
      </c>
      <c r="E589" s="81">
        <f>MONTH(表格1[[#This Row],[date]])</f>
        <v>3</v>
      </c>
      <c r="F589" s="101">
        <v>46090</v>
      </c>
      <c r="G589" s="81" t="str">
        <f>VLOOKUP("*"&amp;表格1[[#This Row],[Input]]&amp;"*",'Ref-List'!$B:$D,2,)</f>
        <v>RAD-D200H</v>
      </c>
      <c r="H589" s="81" t="str">
        <f>_xlfn.XLOOKUP(表格1[[#This Row],[Model]],表格3[Model-Input-Ref2],表格3[Product Line])</f>
        <v>壓縮式抽濕機 (22公升)</v>
      </c>
      <c r="I589" s="81" t="str">
        <f>_xlfn.XLOOKUP(表格1[[#This Row],[Model]],表格3[Model-Input-Ref2],表格3[大小電])</f>
        <v>細電</v>
      </c>
      <c r="J589" s="81" t="str">
        <f>_xlfn.XLOOKUP(表格1[[#This Row],[Model]],表格3[Model-Input-Ref2],表格3[Code])</f>
        <v>RAC</v>
      </c>
      <c r="K589" s="82" t="s">
        <v>1250</v>
      </c>
      <c r="L589" s="81">
        <v>1</v>
      </c>
      <c r="M589" s="85">
        <v>1786</v>
      </c>
      <c r="N589" s="85">
        <f>IFERROR(表格1[[#This Row],[QTY]]*表格1[[#This Row],[Unit Price]],"-")</f>
        <v>1786</v>
      </c>
      <c r="O589" s="134">
        <v>385340</v>
      </c>
      <c r="P589" s="137"/>
      <c r="Q589" s="81"/>
      <c r="R589" s="81" t="str">
        <f>_xlfn.CONCAT(表格1[[#This Row],[Model]]," ",表格1[[#This Row],[inv no]])</f>
        <v>RAD-D200H 385340</v>
      </c>
      <c r="S589" s="135">
        <f>_xlfn.XLOOKUP(表格1[[#This Row],[Model]],表格3[Model-Input-Ref2],表格3[SRP PRICE])</f>
        <v>2880</v>
      </c>
      <c r="T589" s="43">
        <f>表格1[[#This Row],[Unit Price]]/表格1[[#This Row],[SRP]]</f>
        <v>0.62013888888888891</v>
      </c>
      <c r="U589" s="86" t="str">
        <f>_xlfn.XLOOKUP(表格1[[#This Row],[Model]],表格3[Model-Input-Ref2],表格3[TOSHIBA/HIGHEST])</f>
        <v>Shops Highest Price</v>
      </c>
      <c r="V589" s="86" t="s">
        <v>1126</v>
      </c>
      <c r="W589" s="86" t="str">
        <f>_xlfn.CONCAT(表格1[[#This Row],[欄4]],表格1[[#This Row],[inv no]])</f>
        <v>DA141385340</v>
      </c>
    </row>
    <row r="590" spans="1:23" ht="16.5" hidden="1">
      <c r="A590" s="81">
        <v>588</v>
      </c>
      <c r="B590" s="81" t="s">
        <v>1260</v>
      </c>
      <c r="C590" s="81" t="s">
        <v>1374</v>
      </c>
      <c r="D590" s="82" t="str">
        <f ca="1">OFFSET(Roster!$A$3,MATCH(表格1[[#This Row],[Location]]&amp;" "&amp;表格1[[#This Row],[Shop]]&amp;"*",Roster!$A$4:$A$72,0),DAY(表格1[[#This Row],[date]]),1,1)</f>
        <v>Ling Ho</v>
      </c>
      <c r="E590" s="81">
        <f>MONTH(表格1[[#This Row],[date]])</f>
        <v>3</v>
      </c>
      <c r="F590" s="101">
        <v>46090</v>
      </c>
      <c r="G590" s="81" t="str">
        <f>VLOOKUP("*"&amp;表格1[[#This Row],[Input]]&amp;"*",'Ref-List'!$B:$D,2,)</f>
        <v>MWP-MM20P(WH)</v>
      </c>
      <c r="H590" s="81" t="str">
        <f>_xlfn.XLOOKUP(表格1[[#This Row],[Model]],表格3[Model-Input-Ref2],表格3[Product Line])</f>
        <v>旋鈕式燒烤微波爐20L</v>
      </c>
      <c r="I590" s="81" t="str">
        <f>_xlfn.XLOOKUP(表格1[[#This Row],[Model]],表格3[Model-Input-Ref2],表格3[大小電])</f>
        <v>細電</v>
      </c>
      <c r="J590" s="81" t="str">
        <f>_xlfn.XLOOKUP(表格1[[#This Row],[Model]],表格3[Model-Input-Ref2],表格3[Code])</f>
        <v>SDA</v>
      </c>
      <c r="K590" s="82" t="s">
        <v>1270</v>
      </c>
      <c r="L590" s="81">
        <v>1</v>
      </c>
      <c r="M590" s="85">
        <v>463.6</v>
      </c>
      <c r="N590" s="85">
        <f>IFERROR(表格1[[#This Row],[QTY]]*表格1[[#This Row],[Unit Price]],"-")</f>
        <v>463.6</v>
      </c>
      <c r="O590" s="134">
        <v>441954</v>
      </c>
      <c r="P590" s="137"/>
      <c r="Q590" s="81"/>
      <c r="R590" s="81" t="str">
        <f>_xlfn.CONCAT(表格1[[#This Row],[Model]]," ",表格1[[#This Row],[inv no]])</f>
        <v>MWP-MM20P(WH) 441954</v>
      </c>
      <c r="S590" s="135">
        <f>_xlfn.XLOOKUP(表格1[[#This Row],[Model]],表格3[Model-Input-Ref2],表格3[SRP PRICE])</f>
        <v>648</v>
      </c>
      <c r="T590" s="43">
        <f>表格1[[#This Row],[Unit Price]]/表格1[[#This Row],[SRP]]</f>
        <v>0.71543209876543212</v>
      </c>
      <c r="U590" s="86" t="str">
        <f>_xlfn.XLOOKUP(表格1[[#This Row],[Model]],表格3[Model-Input-Ref2],表格3[TOSHIBA/HIGHEST])</f>
        <v>Toshiba SRP</v>
      </c>
      <c r="V590" s="86" t="s">
        <v>1126</v>
      </c>
      <c r="W590" s="86" t="str">
        <f>_xlfn.CONCAT(表格1[[#This Row],[欄4]],表格1[[#This Row],[inv no]])</f>
        <v>DA141441954</v>
      </c>
    </row>
    <row r="591" spans="1:23" ht="16.5" hidden="1">
      <c r="A591" s="81">
        <v>589</v>
      </c>
      <c r="B591" s="81" t="s">
        <v>1260</v>
      </c>
      <c r="C591" s="81" t="s">
        <v>1374</v>
      </c>
      <c r="D591" s="82" t="str">
        <f ca="1">OFFSET(Roster!$A$3,MATCH(表格1[[#This Row],[Location]]&amp;" "&amp;表格1[[#This Row],[Shop]]&amp;"*",Roster!$A$4:$A$72,0),DAY(表格1[[#This Row],[date]]),1,1)</f>
        <v>Ling Ho</v>
      </c>
      <c r="E591" s="81">
        <f>MONTH(表格1[[#This Row],[date]])</f>
        <v>3</v>
      </c>
      <c r="F591" s="101">
        <v>46090</v>
      </c>
      <c r="G591" s="81" t="str">
        <f>VLOOKUP("*"&amp;表格1[[#This Row],[Input]]&amp;"*",'Ref-List'!$B:$D,2,)</f>
        <v>KT-17SHNH</v>
      </c>
      <c r="H591" s="81" t="str">
        <f>_xlfn.XLOOKUP(表格1[[#This Row],[Model]],表格3[Model-Input-Ref2],表格3[Product Line])</f>
        <v>1.7L無線雙層電熱水壺</v>
      </c>
      <c r="I591" s="81" t="str">
        <f>_xlfn.XLOOKUP(表格1[[#This Row],[Model]],表格3[Model-Input-Ref2],表格3[大小電])</f>
        <v>細電</v>
      </c>
      <c r="J591" s="81" t="str">
        <f>_xlfn.XLOOKUP(表格1[[#This Row],[Model]],表格3[Model-Input-Ref2],表格3[Code])</f>
        <v>SDA</v>
      </c>
      <c r="K591" s="82" t="s">
        <v>1283</v>
      </c>
      <c r="L591" s="81">
        <v>1</v>
      </c>
      <c r="M591" s="85">
        <v>228</v>
      </c>
      <c r="N591" s="85">
        <f>IFERROR(表格1[[#This Row],[QTY]]*表格1[[#This Row],[Unit Price]],"-")</f>
        <v>228</v>
      </c>
      <c r="O591" s="134">
        <v>385341</v>
      </c>
      <c r="P591" s="137"/>
      <c r="Q591" s="81"/>
      <c r="R591" s="81" t="str">
        <f>_xlfn.CONCAT(表格1[[#This Row],[Model]]," ",表格1[[#This Row],[inv no]])</f>
        <v>KT-17SHNH 385341</v>
      </c>
      <c r="S591" s="135">
        <f>_xlfn.XLOOKUP(表格1[[#This Row],[Model]],表格3[Model-Input-Ref2],表格3[SRP PRICE])</f>
        <v>299</v>
      </c>
      <c r="T591" s="43">
        <f>表格1[[#This Row],[Unit Price]]/表格1[[#This Row],[SRP]]</f>
        <v>0.76254180602006694</v>
      </c>
      <c r="U591" s="86" t="str">
        <f>_xlfn.XLOOKUP(表格1[[#This Row],[Model]],表格3[Model-Input-Ref2],表格3[TOSHIBA/HIGHEST])</f>
        <v>Shops Highest Price</v>
      </c>
      <c r="V591" s="86" t="s">
        <v>1126</v>
      </c>
      <c r="W591" s="86" t="str">
        <f>_xlfn.CONCAT(表格1[[#This Row],[欄4]],表格1[[#This Row],[inv no]])</f>
        <v>DA141385341</v>
      </c>
    </row>
    <row r="592" spans="1:23" ht="16.5" hidden="1">
      <c r="A592" s="81">
        <v>590</v>
      </c>
      <c r="B592" s="81" t="s">
        <v>1260</v>
      </c>
      <c r="C592" s="81" t="s">
        <v>1374</v>
      </c>
      <c r="D592" s="82" t="str">
        <f ca="1">OFFSET(Roster!$A$3,MATCH(表格1[[#This Row],[Location]]&amp;" "&amp;表格1[[#This Row],[Shop]]&amp;"*",Roster!$A$4:$A$72,0),DAY(表格1[[#This Row],[date]]),1,1)</f>
        <v>Ling Ho</v>
      </c>
      <c r="E592" s="81">
        <f>MONTH(表格1[[#This Row],[date]])</f>
        <v>3</v>
      </c>
      <c r="F592" s="101">
        <v>46090</v>
      </c>
      <c r="G592" s="81" t="str">
        <f>VLOOKUP("*"&amp;表格1[[#This Row],[Input]]&amp;"*",'Ref-List'!$B:$D,2,)</f>
        <v>GR-RB221WE-PMA(57)</v>
      </c>
      <c r="H592" s="81" t="str">
        <f>_xlfn.XLOOKUP(表格1[[#This Row],[Model]],表格3[Model-Input-Ref2],表格3[Product Line])</f>
        <v>變頻下置式雙門雪櫃（163L）</v>
      </c>
      <c r="I592" s="81" t="str">
        <f>_xlfn.XLOOKUP(表格1[[#This Row],[Model]],表格3[Model-Input-Ref2],表格3[大小電])</f>
        <v>大電</v>
      </c>
      <c r="J592" s="81" t="str">
        <f>_xlfn.XLOOKUP(表格1[[#This Row],[Model]],表格3[Model-Input-Ref2],表格3[Code])</f>
        <v>REF</v>
      </c>
      <c r="K592" s="82" t="s">
        <v>1386</v>
      </c>
      <c r="L592" s="81">
        <v>1</v>
      </c>
      <c r="M592" s="85">
        <v>2261</v>
      </c>
      <c r="N592" s="85">
        <f>IFERROR(表格1[[#This Row],[QTY]]*表格1[[#This Row],[Unit Price]],"-")</f>
        <v>2261</v>
      </c>
      <c r="O592" s="134">
        <v>385359</v>
      </c>
      <c r="P592" s="137"/>
      <c r="Q592" s="81"/>
      <c r="R592" s="81" t="str">
        <f>_xlfn.CONCAT(表格1[[#This Row],[Model]]," ",表格1[[#This Row],[inv no]])</f>
        <v>GR-RB221WE-PMA(57) 385359</v>
      </c>
      <c r="S592" s="135">
        <f>_xlfn.XLOOKUP(表格1[[#This Row],[Model]],表格3[Model-Input-Ref2],表格3[SRP PRICE])</f>
        <v>3480</v>
      </c>
      <c r="T592" s="43">
        <f>表格1[[#This Row],[Unit Price]]/表格1[[#This Row],[SRP]]</f>
        <v>0.64971264367816095</v>
      </c>
      <c r="U592" s="86" t="str">
        <f>_xlfn.XLOOKUP(表格1[[#This Row],[Model]],表格3[Model-Input-Ref2],表格3[TOSHIBA/HIGHEST])</f>
        <v>Toshiba SRP</v>
      </c>
      <c r="V592" s="86" t="s">
        <v>1126</v>
      </c>
      <c r="W592" s="86" t="str">
        <f>_xlfn.CONCAT(表格1[[#This Row],[欄4]],表格1[[#This Row],[inv no]])</f>
        <v>DA141385359</v>
      </c>
    </row>
    <row r="593" spans="1:23" ht="16.5" hidden="1">
      <c r="A593" s="81">
        <v>591</v>
      </c>
      <c r="B593" s="81" t="s">
        <v>1260</v>
      </c>
      <c r="C593" s="81" t="s">
        <v>1374</v>
      </c>
      <c r="D593" s="82" t="str">
        <f ca="1">OFFSET(Roster!$A$3,MATCH(表格1[[#This Row],[Location]]&amp;" "&amp;表格1[[#This Row],[Shop]]&amp;"*",Roster!$A$4:$A$72,0),DAY(表格1[[#This Row],[date]]),1,1)</f>
        <v>Ling Ho off</v>
      </c>
      <c r="E593" s="81">
        <f>MONTH(表格1[[#This Row],[date]])</f>
        <v>3</v>
      </c>
      <c r="F593" s="101">
        <v>46091</v>
      </c>
      <c r="G593" s="81" t="str">
        <f>VLOOKUP("*"&amp;表格1[[#This Row],[Input]]&amp;"*",'Ref-List'!$B:$D,2,)</f>
        <v>RC-10NMFIH(WT)</v>
      </c>
      <c r="H593" s="81" t="str">
        <f>_xlfn.XLOOKUP(表格1[[#This Row],[Model]],表格3[Model-Input-Ref2],表格3[Product Line])</f>
        <v>4毫米厚釜電飯煲1L</v>
      </c>
      <c r="I593" s="81" t="str">
        <f>_xlfn.XLOOKUP(表格1[[#This Row],[Model]],表格3[Model-Input-Ref2],表格3[大小電])</f>
        <v>細電</v>
      </c>
      <c r="J593" s="81" t="str">
        <f>_xlfn.XLOOKUP(表格1[[#This Row],[Model]],表格3[Model-Input-Ref2],表格3[Code])</f>
        <v>SDA</v>
      </c>
      <c r="K593" s="82" t="s">
        <v>1244</v>
      </c>
      <c r="L593" s="81">
        <v>1</v>
      </c>
      <c r="M593" s="85">
        <v>719</v>
      </c>
      <c r="N593" s="85">
        <f>IFERROR(表格1[[#This Row],[QTY]]*表格1[[#This Row],[Unit Price]],"-")</f>
        <v>719</v>
      </c>
      <c r="O593" s="134">
        <v>442155</v>
      </c>
      <c r="P593" s="137"/>
      <c r="Q593" s="81"/>
      <c r="R593" s="81" t="str">
        <f>_xlfn.CONCAT(表格1[[#This Row],[Model]]," ",表格1[[#This Row],[inv no]])</f>
        <v>RC-10NMFIH(WT) 442155</v>
      </c>
      <c r="S593" s="135">
        <f>_xlfn.XLOOKUP(表格1[[#This Row],[Model]],表格3[Model-Input-Ref2],表格3[SRP PRICE])</f>
        <v>898</v>
      </c>
      <c r="T593" s="43">
        <f>表格1[[#This Row],[Unit Price]]/表格1[[#This Row],[SRP]]</f>
        <v>0.80066815144766146</v>
      </c>
      <c r="U593" s="86" t="str">
        <f>_xlfn.XLOOKUP(表格1[[#This Row],[Model]],表格3[Model-Input-Ref2],表格3[TOSHIBA/HIGHEST])</f>
        <v>Toshiba SRP</v>
      </c>
      <c r="V593" s="86" t="s">
        <v>1126</v>
      </c>
      <c r="W593" s="86" t="str">
        <f>_xlfn.CONCAT(表格1[[#This Row],[欄4]],表格1[[#This Row],[inv no]])</f>
        <v>DA141442155</v>
      </c>
    </row>
    <row r="594" spans="1:23" ht="16.5" hidden="1">
      <c r="A594" s="81">
        <v>592</v>
      </c>
      <c r="B594" s="81" t="s">
        <v>1260</v>
      </c>
      <c r="C594" s="81" t="s">
        <v>1374</v>
      </c>
      <c r="D594" s="82" t="str">
        <f ca="1">OFFSET(Roster!$A$3,MATCH(表格1[[#This Row],[Location]]&amp;" "&amp;表格1[[#This Row],[Shop]]&amp;"*",Roster!$A$4:$A$72,0),DAY(表格1[[#This Row],[date]]),1,1)</f>
        <v>Ling Ho</v>
      </c>
      <c r="E594" s="81">
        <f>MONTH(表格1[[#This Row],[date]])</f>
        <v>3</v>
      </c>
      <c r="F594" s="101">
        <v>46092</v>
      </c>
      <c r="G594" s="81" t="str">
        <f>VLOOKUP("*"&amp;表格1[[#This Row],[Input]]&amp;"*",'Ref-List'!$B:$D,2,)</f>
        <v>MM2-EM20PC(WH)</v>
      </c>
      <c r="H594" s="81" t="str">
        <f>_xlfn.XLOOKUP(表格1[[#This Row],[Model]],表格3[Model-Input-Ref2],表格3[Product Line])</f>
        <v>輕觸式微波爐 (20公升)</v>
      </c>
      <c r="I594" s="81" t="str">
        <f>_xlfn.XLOOKUP(表格1[[#This Row],[Model]],表格3[Model-Input-Ref2],表格3[大小電])</f>
        <v>細電</v>
      </c>
      <c r="J594" s="81" t="str">
        <f>_xlfn.XLOOKUP(表格1[[#This Row],[Model]],表格3[Model-Input-Ref2],表格3[Code])</f>
        <v>MCA</v>
      </c>
      <c r="K594" s="82" t="s">
        <v>1276</v>
      </c>
      <c r="L594" s="81">
        <v>1</v>
      </c>
      <c r="M594" s="85">
        <v>598</v>
      </c>
      <c r="N594" s="85">
        <f>IFERROR(表格1[[#This Row],[QTY]]*表格1[[#This Row],[Unit Price]],"-")</f>
        <v>598</v>
      </c>
      <c r="O594" s="134">
        <v>442347</v>
      </c>
      <c r="P594" s="137"/>
      <c r="Q594" s="81"/>
      <c r="R594" s="81" t="str">
        <f>_xlfn.CONCAT(表格1[[#This Row],[Model]]," ",表格1[[#This Row],[inv no]])</f>
        <v>MM2-EM20PC(WH) 442347</v>
      </c>
      <c r="S594" s="135">
        <f>_xlfn.XLOOKUP(表格1[[#This Row],[Model]],表格3[Model-Input-Ref2],表格3[SRP PRICE])</f>
        <v>788</v>
      </c>
      <c r="T594" s="43">
        <f>表格1[[#This Row],[Unit Price]]/表格1[[#This Row],[SRP]]</f>
        <v>0.75888324873096447</v>
      </c>
      <c r="U594" s="86" t="str">
        <f>_xlfn.XLOOKUP(表格1[[#This Row],[Model]],表格3[Model-Input-Ref2],表格3[TOSHIBA/HIGHEST])</f>
        <v>Toshiba SRP</v>
      </c>
      <c r="V594" s="86" t="s">
        <v>1126</v>
      </c>
      <c r="W594" s="86" t="str">
        <f>_xlfn.CONCAT(表格1[[#This Row],[欄4]],表格1[[#This Row],[inv no]])</f>
        <v>DA141442347</v>
      </c>
    </row>
    <row r="595" spans="1:23" ht="16.5" hidden="1">
      <c r="A595" s="81">
        <v>593</v>
      </c>
      <c r="B595" s="81" t="s">
        <v>1260</v>
      </c>
      <c r="C595" s="81" t="s">
        <v>1374</v>
      </c>
      <c r="D595" s="82" t="str">
        <f ca="1">OFFSET(Roster!$A$3,MATCH(表格1[[#This Row],[Location]]&amp;" "&amp;表格1[[#This Row],[Shop]]&amp;"*",Roster!$A$4:$A$72,0),DAY(表格1[[#This Row],[date]]),1,1)</f>
        <v>Ling Ho</v>
      </c>
      <c r="E595" s="81">
        <f>MONTH(表格1[[#This Row],[date]])</f>
        <v>3</v>
      </c>
      <c r="F595" s="101">
        <v>46092</v>
      </c>
      <c r="G595" s="81" t="str">
        <f>VLOOKUP("*"&amp;表格1[[#This Row],[Input]]&amp;"*",'Ref-List'!$B:$D,2,)</f>
        <v>RC-10JRUH(N)</v>
      </c>
      <c r="H595" s="81" t="str">
        <f>_xlfn.XLOOKUP(表格1[[#This Row],[Model]],表格3[Model-Input-Ref2],表格3[Product Line])</f>
        <v>電飯煲</v>
      </c>
      <c r="I595" s="81" t="str">
        <f>_xlfn.XLOOKUP(表格1[[#This Row],[Model]],表格3[Model-Input-Ref2],表格3[大小電])</f>
        <v>細電</v>
      </c>
      <c r="J595" s="81" t="str">
        <f>_xlfn.XLOOKUP(表格1[[#This Row],[Model]],表格3[Model-Input-Ref2],表格3[Code])</f>
        <v>SDA</v>
      </c>
      <c r="K595" s="82" t="s">
        <v>1263</v>
      </c>
      <c r="L595" s="81">
        <v>1</v>
      </c>
      <c r="M595" s="85">
        <v>250</v>
      </c>
      <c r="N595" s="85">
        <f>IFERROR(表格1[[#This Row],[QTY]]*表格1[[#This Row],[Unit Price]],"-")</f>
        <v>250</v>
      </c>
      <c r="O595" s="134">
        <v>442432</v>
      </c>
      <c r="P595" s="137"/>
      <c r="Q595" s="81"/>
      <c r="R595" s="81" t="str">
        <f>_xlfn.CONCAT(表格1[[#This Row],[Model]]," ",表格1[[#This Row],[inv no]])</f>
        <v>RC-10JRUH(N) 442432</v>
      </c>
      <c r="S595" s="135">
        <f>_xlfn.XLOOKUP(表格1[[#This Row],[Model]],表格3[Model-Input-Ref2],表格3[SRP PRICE])</f>
        <v>398</v>
      </c>
      <c r="T595" s="43">
        <f>表格1[[#This Row],[Unit Price]]/表格1[[#This Row],[SRP]]</f>
        <v>0.62814070351758799</v>
      </c>
      <c r="U595" s="86" t="str">
        <f>_xlfn.XLOOKUP(表格1[[#This Row],[Model]],表格3[Model-Input-Ref2],表格3[TOSHIBA/HIGHEST])</f>
        <v>Shops Highest Price</v>
      </c>
      <c r="V595" s="86" t="s">
        <v>1126</v>
      </c>
      <c r="W595" s="86" t="str">
        <f>_xlfn.CONCAT(表格1[[#This Row],[欄4]],表格1[[#This Row],[inv no]])</f>
        <v>DA141442432</v>
      </c>
    </row>
    <row r="596" spans="1:23" ht="16.5" hidden="1">
      <c r="A596" s="81">
        <v>594</v>
      </c>
      <c r="B596" s="81" t="s">
        <v>1260</v>
      </c>
      <c r="C596" s="81" t="s">
        <v>1374</v>
      </c>
      <c r="D596" s="82" t="str">
        <f ca="1">OFFSET(Roster!$A$3,MATCH(表格1[[#This Row],[Location]]&amp;" "&amp;表格1[[#This Row],[Shop]]&amp;"*",Roster!$A$4:$A$72,0),DAY(表格1[[#This Row],[date]]),1,1)</f>
        <v>Ling Ho</v>
      </c>
      <c r="E596" s="81">
        <f>MONTH(表格1[[#This Row],[date]])</f>
        <v>3</v>
      </c>
      <c r="F596" s="101">
        <v>46092</v>
      </c>
      <c r="G596" s="81" t="str">
        <f>VLOOKUP("*"&amp;表格1[[#This Row],[Input]]&amp;"*",'Ref-List'!$B:$D,2,)</f>
        <v>RC-5SLIH(W)</v>
      </c>
      <c r="H596" s="81" t="str">
        <f>_xlfn.XLOOKUP(表格1[[#This Row],[Model]],表格3[Model-Input-Ref2],表格3[Product Line])</f>
        <v>微型電腦珍珠飯煲</v>
      </c>
      <c r="I596" s="81" t="str">
        <f>_xlfn.XLOOKUP(表格1[[#This Row],[Model]],表格3[Model-Input-Ref2],表格3[大小電])</f>
        <v>細電</v>
      </c>
      <c r="J596" s="81" t="str">
        <f>_xlfn.XLOOKUP(表格1[[#This Row],[Model]],表格3[Model-Input-Ref2],表格3[Code])</f>
        <v>SDA</v>
      </c>
      <c r="K596" s="82" t="s">
        <v>1264</v>
      </c>
      <c r="L596" s="81">
        <v>1</v>
      </c>
      <c r="M596" s="85">
        <v>593</v>
      </c>
      <c r="N596" s="85">
        <f>IFERROR(表格1[[#This Row],[QTY]]*表格1[[#This Row],[Unit Price]],"-")</f>
        <v>593</v>
      </c>
      <c r="O596" s="134">
        <v>385902</v>
      </c>
      <c r="P596" s="137"/>
      <c r="Q596" s="81"/>
      <c r="R596" s="81" t="str">
        <f>_xlfn.CONCAT(表格1[[#This Row],[Model]]," ",表格1[[#This Row],[inv no]])</f>
        <v>RC-5SLIH(W) 385902</v>
      </c>
      <c r="S596" s="135">
        <f>_xlfn.XLOOKUP(表格1[[#This Row],[Model]],表格3[Model-Input-Ref2],表格3[SRP PRICE])</f>
        <v>658</v>
      </c>
      <c r="T596" s="43">
        <f>表格1[[#This Row],[Unit Price]]/表格1[[#This Row],[SRP]]</f>
        <v>0.90121580547112456</v>
      </c>
      <c r="U596" s="86" t="str">
        <f>_xlfn.XLOOKUP(表格1[[#This Row],[Model]],表格3[Model-Input-Ref2],表格3[TOSHIBA/HIGHEST])</f>
        <v>Toshiba SRP</v>
      </c>
      <c r="V596" s="86" t="s">
        <v>1126</v>
      </c>
      <c r="W596" s="86" t="str">
        <f>_xlfn.CONCAT(表格1[[#This Row],[欄4]],表格1[[#This Row],[inv no]])</f>
        <v>DA141385902</v>
      </c>
    </row>
    <row r="597" spans="1:23" ht="15" hidden="1" customHeight="1">
      <c r="A597" s="81">
        <v>595</v>
      </c>
      <c r="B597" s="81" t="s">
        <v>1260</v>
      </c>
      <c r="C597" s="81" t="s">
        <v>1374</v>
      </c>
      <c r="D597" s="82" t="str">
        <f ca="1">OFFSET(Roster!$A$3,MATCH(表格1[[#This Row],[Location]]&amp;" "&amp;表格1[[#This Row],[Shop]]&amp;"*",Roster!$A$4:$A$72,0),DAY(表格1[[#This Row],[date]]),1,1)</f>
        <v>Ling Ho</v>
      </c>
      <c r="E597" s="81">
        <f>MONTH(表格1[[#This Row],[date]])</f>
        <v>3</v>
      </c>
      <c r="F597" s="101">
        <v>46093</v>
      </c>
      <c r="G597" s="81" t="str">
        <f>VLOOKUP("*"&amp;表格1[[#This Row],[Input]]&amp;"*",'Ref-List'!$B:$D,2,)</f>
        <v>RC-10JRUH(N)</v>
      </c>
      <c r="H597" s="81" t="str">
        <f>_xlfn.XLOOKUP(表格1[[#This Row],[Model]],表格3[Model-Input-Ref2],表格3[Product Line])</f>
        <v>電飯煲</v>
      </c>
      <c r="I597" s="81" t="str">
        <f>_xlfn.XLOOKUP(表格1[[#This Row],[Model]],表格3[Model-Input-Ref2],表格3[大小電])</f>
        <v>細電</v>
      </c>
      <c r="J597" s="81" t="str">
        <f>_xlfn.XLOOKUP(表格1[[#This Row],[Model]],表格3[Model-Input-Ref2],表格3[Code])</f>
        <v>SDA</v>
      </c>
      <c r="K597" s="82" t="s">
        <v>1263</v>
      </c>
      <c r="L597" s="81">
        <v>1</v>
      </c>
      <c r="M597" s="85">
        <v>250</v>
      </c>
      <c r="N597" s="85">
        <f>IFERROR(表格1[[#This Row],[QTY]]*表格1[[#This Row],[Unit Price]],"-")</f>
        <v>250</v>
      </c>
      <c r="O597" s="134">
        <v>442658</v>
      </c>
      <c r="P597" s="137"/>
      <c r="Q597" s="81"/>
      <c r="R597" s="81" t="str">
        <f>_xlfn.CONCAT(表格1[[#This Row],[Model]]," ",表格1[[#This Row],[inv no]])</f>
        <v>RC-10JRUH(N) 442658</v>
      </c>
      <c r="S597" s="135">
        <f>_xlfn.XLOOKUP(表格1[[#This Row],[Model]],表格3[Model-Input-Ref2],表格3[SRP PRICE])</f>
        <v>398</v>
      </c>
      <c r="T597" s="43">
        <f>表格1[[#This Row],[Unit Price]]/表格1[[#This Row],[SRP]]</f>
        <v>0.62814070351758799</v>
      </c>
      <c r="U597" s="86" t="str">
        <f>_xlfn.XLOOKUP(表格1[[#This Row],[Model]],表格3[Model-Input-Ref2],表格3[TOSHIBA/HIGHEST])</f>
        <v>Shops Highest Price</v>
      </c>
      <c r="V597" s="86" t="s">
        <v>1126</v>
      </c>
      <c r="W597" s="86" t="str">
        <f>_xlfn.CONCAT(表格1[[#This Row],[欄4]],表格1[[#This Row],[inv no]])</f>
        <v>DA141442658</v>
      </c>
    </row>
    <row r="598" spans="1:23" ht="16.5" hidden="1">
      <c r="A598" s="81">
        <v>596</v>
      </c>
      <c r="B598" s="81" t="s">
        <v>1260</v>
      </c>
      <c r="C598" s="81" t="s">
        <v>1374</v>
      </c>
      <c r="D598" s="82" t="str">
        <f ca="1">OFFSET(Roster!$A$3,MATCH(表格1[[#This Row],[Location]]&amp;" "&amp;表格1[[#This Row],[Shop]]&amp;"*",Roster!$A$4:$A$72,0),DAY(表格1[[#This Row],[date]]),1,1)</f>
        <v>Ling Ho</v>
      </c>
      <c r="E598" s="81">
        <f>MONTH(表格1[[#This Row],[date]])</f>
        <v>3</v>
      </c>
      <c r="F598" s="101">
        <v>46093</v>
      </c>
      <c r="G598" s="81" t="str">
        <f>VLOOKUP("*"&amp;表格1[[#This Row],[Input]]&amp;"*",'Ref-List'!$B:$D,2,)</f>
        <v>RAD-D300H</v>
      </c>
      <c r="H598" s="81" t="str">
        <f>_xlfn.XLOOKUP(表格1[[#This Row],[Model]],表格3[Model-Input-Ref2],表格3[Product Line])</f>
        <v>壓縮式抽濕機 (30公升)</v>
      </c>
      <c r="I598" s="81" t="str">
        <f>_xlfn.XLOOKUP(表格1[[#This Row],[Model]],表格3[Model-Input-Ref2],表格3[大小電])</f>
        <v>細電</v>
      </c>
      <c r="J598" s="81" t="str">
        <f>_xlfn.XLOOKUP(表格1[[#This Row],[Model]],表格3[Model-Input-Ref2],表格3[Code])</f>
        <v>RAC</v>
      </c>
      <c r="K598" s="82" t="s">
        <v>1252</v>
      </c>
      <c r="L598" s="81">
        <v>1</v>
      </c>
      <c r="M598" s="85">
        <v>2280</v>
      </c>
      <c r="N598" s="85">
        <f>IFERROR(表格1[[#This Row],[QTY]]*表格1[[#This Row],[Unit Price]],"-")</f>
        <v>2280</v>
      </c>
      <c r="O598" s="134">
        <v>442575</v>
      </c>
      <c r="P598" s="137"/>
      <c r="Q598" s="81"/>
      <c r="R598" s="81" t="str">
        <f>_xlfn.CONCAT(表格1[[#This Row],[Model]]," ",表格1[[#This Row],[inv no]])</f>
        <v>RAD-D300H 442575</v>
      </c>
      <c r="S598" s="135">
        <f>_xlfn.XLOOKUP(表格1[[#This Row],[Model]],表格3[Model-Input-Ref2],表格3[SRP PRICE])</f>
        <v>3380</v>
      </c>
      <c r="T598" s="43">
        <f>表格1[[#This Row],[Unit Price]]/表格1[[#This Row],[SRP]]</f>
        <v>0.67455621301775148</v>
      </c>
      <c r="U598" s="86" t="str">
        <f>_xlfn.XLOOKUP(表格1[[#This Row],[Model]],表格3[Model-Input-Ref2],表格3[TOSHIBA/HIGHEST])</f>
        <v>Shops Highest Price</v>
      </c>
      <c r="V598" s="86" t="s">
        <v>1126</v>
      </c>
      <c r="W598" s="86" t="str">
        <f>_xlfn.CONCAT(表格1[[#This Row],[欄4]],表格1[[#This Row],[inv no]])</f>
        <v>DA141442575</v>
      </c>
    </row>
    <row r="599" spans="1:23" ht="16.5" hidden="1">
      <c r="A599" s="81">
        <v>597</v>
      </c>
      <c r="B599" s="81" t="s">
        <v>1260</v>
      </c>
      <c r="C599" s="81" t="s">
        <v>1374</v>
      </c>
      <c r="D599" s="82" t="str">
        <f ca="1">OFFSET(Roster!$A$3,MATCH(表格1[[#This Row],[Location]]&amp;" "&amp;表格1[[#This Row],[Shop]]&amp;"*",Roster!$A$4:$A$72,0),DAY(表格1[[#This Row],[date]]),1,1)</f>
        <v>Ling Ho</v>
      </c>
      <c r="E599" s="81">
        <f>MONTH(表格1[[#This Row],[date]])</f>
        <v>3</v>
      </c>
      <c r="F599" s="101">
        <v>46093</v>
      </c>
      <c r="G599" s="81" t="str">
        <f>VLOOKUP("*"&amp;表格1[[#This Row],[Input]]&amp;"*",'Ref-List'!$B:$D,2,)</f>
        <v>RAD-D200H</v>
      </c>
      <c r="H599" s="81" t="str">
        <f>_xlfn.XLOOKUP(表格1[[#This Row],[Model]],表格3[Model-Input-Ref2],表格3[Product Line])</f>
        <v>壓縮式抽濕機 (22公升)</v>
      </c>
      <c r="I599" s="81" t="str">
        <f>_xlfn.XLOOKUP(表格1[[#This Row],[Model]],表格3[Model-Input-Ref2],表格3[大小電])</f>
        <v>細電</v>
      </c>
      <c r="J599" s="81" t="str">
        <f>_xlfn.XLOOKUP(表格1[[#This Row],[Model]],表格3[Model-Input-Ref2],表格3[Code])</f>
        <v>RAC</v>
      </c>
      <c r="K599" s="82" t="s">
        <v>1250</v>
      </c>
      <c r="L599" s="81">
        <v>1</v>
      </c>
      <c r="M599" s="85">
        <v>1880</v>
      </c>
      <c r="N599" s="85">
        <f>IFERROR(表格1[[#This Row],[QTY]]*表格1[[#This Row],[Unit Price]],"-")</f>
        <v>1880</v>
      </c>
      <c r="O599" s="134">
        <v>386085</v>
      </c>
      <c r="P599" s="137"/>
      <c r="Q599" s="81"/>
      <c r="R599" s="81" t="str">
        <f>_xlfn.CONCAT(表格1[[#This Row],[Model]]," ",表格1[[#This Row],[inv no]])</f>
        <v>RAD-D200H 386085</v>
      </c>
      <c r="S599" s="135">
        <f>_xlfn.XLOOKUP(表格1[[#This Row],[Model]],表格3[Model-Input-Ref2],表格3[SRP PRICE])</f>
        <v>2880</v>
      </c>
      <c r="T599" s="43">
        <f>表格1[[#This Row],[Unit Price]]/表格1[[#This Row],[SRP]]</f>
        <v>0.65277777777777779</v>
      </c>
      <c r="U599" s="86" t="str">
        <f>_xlfn.XLOOKUP(表格1[[#This Row],[Model]],表格3[Model-Input-Ref2],表格3[TOSHIBA/HIGHEST])</f>
        <v>Shops Highest Price</v>
      </c>
      <c r="V599" s="86" t="s">
        <v>1126</v>
      </c>
      <c r="W599" s="86" t="str">
        <f>_xlfn.CONCAT(表格1[[#This Row],[欄4]],表格1[[#This Row],[inv no]])</f>
        <v>DA141386085</v>
      </c>
    </row>
    <row r="600" spans="1:23" hidden="1">
      <c r="A600" s="81">
        <v>598</v>
      </c>
      <c r="B600" s="81" t="s">
        <v>1260</v>
      </c>
      <c r="C600" s="81" t="s">
        <v>1374</v>
      </c>
      <c r="D600" s="82" t="str">
        <f ca="1">OFFSET(Roster!$A$3,MATCH(表格1[[#This Row],[Location]]&amp;" "&amp;表格1[[#This Row],[Shop]]&amp;"*",Roster!$A$4:$A$72,0),DAY(表格1[[#This Row],[date]]),1,1)</f>
        <v>Ling Ho</v>
      </c>
      <c r="E600" s="81">
        <f>MONTH(表格1[[#This Row],[date]])</f>
        <v>3</v>
      </c>
      <c r="F600" s="101">
        <v>46093</v>
      </c>
      <c r="G600" s="81" t="str">
        <f>VLOOKUP("*"&amp;表格1[[#This Row],[Input]]&amp;"*",'Ref-List'!$B:$D,2,)</f>
        <v>RAD-D200H</v>
      </c>
      <c r="H600" s="81" t="str">
        <f>_xlfn.XLOOKUP(表格1[[#This Row],[Model]],表格3[Model-Input-Ref2],表格3[Product Line])</f>
        <v>壓縮式抽濕機 (22公升)</v>
      </c>
      <c r="I600" s="81" t="str">
        <f>_xlfn.XLOOKUP(表格1[[#This Row],[Model]],表格3[Model-Input-Ref2],表格3[大小電])</f>
        <v>細電</v>
      </c>
      <c r="J600" s="81" t="str">
        <f>_xlfn.XLOOKUP(表格1[[#This Row],[Model]],表格3[Model-Input-Ref2],表格3[Code])</f>
        <v>RAC</v>
      </c>
      <c r="K600" s="82" t="s">
        <v>1250</v>
      </c>
      <c r="L600" s="81">
        <v>1</v>
      </c>
      <c r="M600" s="85">
        <v>1880</v>
      </c>
      <c r="N600" s="85">
        <f>IFERROR(表格1[[#This Row],[QTY]]*表格1[[#This Row],[Unit Price]],"-")</f>
        <v>1880</v>
      </c>
      <c r="O600" s="134">
        <v>442857</v>
      </c>
      <c r="P600" s="134"/>
      <c r="Q600" s="81"/>
      <c r="R600" s="81" t="str">
        <f>_xlfn.CONCAT(表格1[[#This Row],[Model]]," ",表格1[[#This Row],[inv no]])</f>
        <v>RAD-D200H 442857</v>
      </c>
      <c r="S600" s="135">
        <f>_xlfn.XLOOKUP(表格1[[#This Row],[Model]],表格3[Model-Input-Ref2],表格3[SRP PRICE])</f>
        <v>2880</v>
      </c>
      <c r="T600" s="43">
        <f>表格1[[#This Row],[Unit Price]]/表格1[[#This Row],[SRP]]</f>
        <v>0.65277777777777779</v>
      </c>
      <c r="U600" s="86" t="str">
        <f>_xlfn.XLOOKUP(表格1[[#This Row],[Model]],表格3[Model-Input-Ref2],表格3[TOSHIBA/HIGHEST])</f>
        <v>Shops Highest Price</v>
      </c>
      <c r="V600" s="86" t="s">
        <v>1126</v>
      </c>
      <c r="W600" s="86" t="str">
        <f>_xlfn.CONCAT(表格1[[#This Row],[欄4]],表格1[[#This Row],[inv no]])</f>
        <v>DA141442857</v>
      </c>
    </row>
    <row r="601" spans="1:23" ht="16.5" hidden="1">
      <c r="A601" s="81">
        <v>599</v>
      </c>
      <c r="B601" s="81" t="s">
        <v>1260</v>
      </c>
      <c r="C601" s="81" t="s">
        <v>1374</v>
      </c>
      <c r="D601" s="82" t="str">
        <f ca="1">OFFSET(Roster!$A$3,MATCH(表格1[[#This Row],[Location]]&amp;" "&amp;表格1[[#This Row],[Shop]]&amp;"*",Roster!$A$4:$A$72,0),DAY(表格1[[#This Row],[date]]),1,1)</f>
        <v>Ling Ho off</v>
      </c>
      <c r="E601" s="81">
        <f>MONTH(表格1[[#This Row],[date]])</f>
        <v>3</v>
      </c>
      <c r="F601" s="101">
        <v>46094</v>
      </c>
      <c r="G601" s="81" t="str">
        <f>VLOOKUP("*"&amp;表格1[[#This Row],[Input]]&amp;"*",'Ref-List'!$B:$D,2,)</f>
        <v>MWP-MM20P(WH)</v>
      </c>
      <c r="H601" s="81" t="str">
        <f>_xlfn.XLOOKUP(表格1[[#This Row],[Model]],表格3[Model-Input-Ref2],表格3[Product Line])</f>
        <v>旋鈕式燒烤微波爐20L</v>
      </c>
      <c r="I601" s="81" t="str">
        <f>_xlfn.XLOOKUP(表格1[[#This Row],[Model]],表格3[Model-Input-Ref2],表格3[大小電])</f>
        <v>細電</v>
      </c>
      <c r="J601" s="81" t="str">
        <f>_xlfn.XLOOKUP(表格1[[#This Row],[Model]],表格3[Model-Input-Ref2],表格3[Code])</f>
        <v>SDA</v>
      </c>
      <c r="K601" s="82" t="s">
        <v>1270</v>
      </c>
      <c r="L601" s="81">
        <v>1</v>
      </c>
      <c r="M601" s="85">
        <v>488</v>
      </c>
      <c r="N601" s="85">
        <f>IFERROR(表格1[[#This Row],[QTY]]*表格1[[#This Row],[Unit Price]],"-")</f>
        <v>488</v>
      </c>
      <c r="O601" s="134">
        <v>386371</v>
      </c>
      <c r="P601" s="137"/>
      <c r="Q601" s="81"/>
      <c r="R601" s="81" t="str">
        <f>_xlfn.CONCAT(表格1[[#This Row],[Model]]," ",表格1[[#This Row],[inv no]])</f>
        <v>MWP-MM20P(WH) 386371</v>
      </c>
      <c r="S601" s="135">
        <f>_xlfn.XLOOKUP(表格1[[#This Row],[Model]],表格3[Model-Input-Ref2],表格3[SRP PRICE])</f>
        <v>648</v>
      </c>
      <c r="T601" s="43">
        <f>表格1[[#This Row],[Unit Price]]/表格1[[#This Row],[SRP]]</f>
        <v>0.75308641975308643</v>
      </c>
      <c r="U601" s="86" t="str">
        <f>_xlfn.XLOOKUP(表格1[[#This Row],[Model]],表格3[Model-Input-Ref2],表格3[TOSHIBA/HIGHEST])</f>
        <v>Toshiba SRP</v>
      </c>
      <c r="V601" s="86" t="s">
        <v>1126</v>
      </c>
      <c r="W601" s="86" t="str">
        <f>_xlfn.CONCAT(表格1[[#This Row],[欄4]],表格1[[#This Row],[inv no]])</f>
        <v>DA141386371</v>
      </c>
    </row>
    <row r="602" spans="1:23" ht="16.5" hidden="1">
      <c r="A602" s="81">
        <v>600</v>
      </c>
      <c r="B602" s="81" t="s">
        <v>1260</v>
      </c>
      <c r="C602" s="81" t="s">
        <v>1374</v>
      </c>
      <c r="D602" s="82" t="str">
        <f ca="1">OFFSET(Roster!$A$3,MATCH(表格1[[#This Row],[Location]]&amp;" "&amp;表格1[[#This Row],[Shop]]&amp;"*",Roster!$A$4:$A$72,0),DAY(表格1[[#This Row],[date]]),1,1)</f>
        <v>Ling Ho off</v>
      </c>
      <c r="E602" s="81">
        <f>MONTH(表格1[[#This Row],[date]])</f>
        <v>3</v>
      </c>
      <c r="F602" s="101">
        <v>46094</v>
      </c>
      <c r="G602" s="81" t="str">
        <f>VLOOKUP("*"&amp;表格1[[#This Row],[Input]]&amp;"*",'Ref-List'!$B:$D,2,)</f>
        <v>MWP-MM20P(WH)</v>
      </c>
      <c r="H602" s="81" t="str">
        <f>_xlfn.XLOOKUP(表格1[[#This Row],[Model]],表格3[Model-Input-Ref2],表格3[Product Line])</f>
        <v>旋鈕式燒烤微波爐20L</v>
      </c>
      <c r="I602" s="81" t="str">
        <f>_xlfn.XLOOKUP(表格1[[#This Row],[Model]],表格3[Model-Input-Ref2],表格3[大小電])</f>
        <v>細電</v>
      </c>
      <c r="J602" s="81" t="str">
        <f>_xlfn.XLOOKUP(表格1[[#This Row],[Model]],表格3[Model-Input-Ref2],表格3[Code])</f>
        <v>SDA</v>
      </c>
      <c r="K602" s="82" t="s">
        <v>1270</v>
      </c>
      <c r="L602" s="81">
        <v>1</v>
      </c>
      <c r="M602" s="85">
        <v>488</v>
      </c>
      <c r="N602" s="85">
        <f>IFERROR(表格1[[#This Row],[QTY]]*表格1[[#This Row],[Unit Price]],"-")</f>
        <v>488</v>
      </c>
      <c r="O602" s="134">
        <v>386457</v>
      </c>
      <c r="P602" s="137"/>
      <c r="Q602" s="81"/>
      <c r="R602" s="81" t="str">
        <f>_xlfn.CONCAT(表格1[[#This Row],[Model]]," ",表格1[[#This Row],[inv no]])</f>
        <v>MWP-MM20P(WH) 386457</v>
      </c>
      <c r="S602" s="135">
        <f>_xlfn.XLOOKUP(表格1[[#This Row],[Model]],表格3[Model-Input-Ref2],表格3[SRP PRICE])</f>
        <v>648</v>
      </c>
      <c r="T602" s="43">
        <f>表格1[[#This Row],[Unit Price]]/表格1[[#This Row],[SRP]]</f>
        <v>0.75308641975308643</v>
      </c>
      <c r="U602" s="86" t="str">
        <f>_xlfn.XLOOKUP(表格1[[#This Row],[Model]],表格3[Model-Input-Ref2],表格3[TOSHIBA/HIGHEST])</f>
        <v>Toshiba SRP</v>
      </c>
      <c r="V602" s="86" t="s">
        <v>1126</v>
      </c>
      <c r="W602" s="86" t="str">
        <f>_xlfn.CONCAT(表格1[[#This Row],[欄4]],表格1[[#This Row],[inv no]])</f>
        <v>DA141386457</v>
      </c>
    </row>
    <row r="603" spans="1:23" ht="16.5" hidden="1">
      <c r="A603" s="81">
        <v>601</v>
      </c>
      <c r="B603" s="81" t="s">
        <v>1260</v>
      </c>
      <c r="C603" s="81" t="s">
        <v>1374</v>
      </c>
      <c r="D603" s="82" t="str">
        <f ca="1">OFFSET(Roster!$A$3,MATCH(表格1[[#This Row],[Location]]&amp;" "&amp;表格1[[#This Row],[Shop]]&amp;"*",Roster!$A$4:$A$72,0),DAY(表格1[[#This Row],[date]]),1,1)</f>
        <v>Ling Ho</v>
      </c>
      <c r="E603" s="81">
        <f>MONTH(表格1[[#This Row],[date]])</f>
        <v>3</v>
      </c>
      <c r="F603" s="101">
        <v>46095</v>
      </c>
      <c r="G603" s="81" t="str">
        <f>VLOOKUP("*"&amp;表格1[[#This Row],[Input]]&amp;"*",'Ref-List'!$B:$D,2,)</f>
        <v>RC-18AMXH(W)</v>
      </c>
      <c r="H603" s="81" t="str">
        <f>_xlfn.XLOOKUP(表格1[[#This Row],[Model]],表格3[Model-Input-Ref2],表格3[Product Line])</f>
        <v>酵活炊電飯煲(1.8公升)</v>
      </c>
      <c r="I603" s="81" t="str">
        <f>_xlfn.XLOOKUP(表格1[[#This Row],[Model]],表格3[Model-Input-Ref2],表格3[大小電])</f>
        <v>細電</v>
      </c>
      <c r="J603" s="81" t="str">
        <f>_xlfn.XLOOKUP(表格1[[#This Row],[Model]],表格3[Model-Input-Ref2],表格3[Code])</f>
        <v>SDA</v>
      </c>
      <c r="K603" s="82" t="s">
        <v>1362</v>
      </c>
      <c r="L603" s="81">
        <v>1</v>
      </c>
      <c r="M603" s="85">
        <v>990</v>
      </c>
      <c r="N603" s="85">
        <f>IFERROR(表格1[[#This Row],[QTY]]*表格1[[#This Row],[Unit Price]],"-")</f>
        <v>990</v>
      </c>
      <c r="O603" s="134">
        <v>386587</v>
      </c>
      <c r="P603" s="137"/>
      <c r="Q603" s="81"/>
      <c r="R603" s="81" t="str">
        <f>_xlfn.CONCAT(表格1[[#This Row],[Model]]," ",表格1[[#This Row],[inv no]])</f>
        <v>RC-18AMXH(W) 386587</v>
      </c>
      <c r="S603" s="135">
        <f>_xlfn.XLOOKUP(表格1[[#This Row],[Model]],表格3[Model-Input-Ref2],表格3[SRP PRICE])</f>
        <v>1588</v>
      </c>
      <c r="T603" s="43">
        <f>表格1[[#This Row],[Unit Price]]/表格1[[#This Row],[SRP]]</f>
        <v>0.62342569269521408</v>
      </c>
      <c r="U603" s="86" t="str">
        <f>_xlfn.XLOOKUP(表格1[[#This Row],[Model]],表格3[Model-Input-Ref2],表格3[TOSHIBA/HIGHEST])</f>
        <v>Toshiba SRP</v>
      </c>
      <c r="V603" s="86" t="s">
        <v>1126</v>
      </c>
      <c r="W603" s="86" t="str">
        <f>_xlfn.CONCAT(表格1[[#This Row],[欄4]],表格1[[#This Row],[inv no]])</f>
        <v>DA141386587</v>
      </c>
    </row>
    <row r="604" spans="1:23" ht="16.5" hidden="1">
      <c r="A604" s="81">
        <v>602</v>
      </c>
      <c r="B604" s="81" t="s">
        <v>1260</v>
      </c>
      <c r="C604" s="81" t="s">
        <v>1374</v>
      </c>
      <c r="D604" s="82" t="str">
        <f ca="1">OFFSET(Roster!$A$3,MATCH(表格1[[#This Row],[Location]]&amp;" "&amp;表格1[[#This Row],[Shop]]&amp;"*",Roster!$A$4:$A$72,0),DAY(表格1[[#This Row],[date]]),1,1)</f>
        <v>Ling Ho</v>
      </c>
      <c r="E604" s="81">
        <f>MONTH(表格1[[#This Row],[date]])</f>
        <v>3</v>
      </c>
      <c r="F604" s="101">
        <v>46095</v>
      </c>
      <c r="G604" s="81" t="str">
        <f>VLOOKUP("*"&amp;表格1[[#This Row],[Input]]&amp;"*",'Ref-List'!$B:$D,2,)</f>
        <v>RC-5MMIH(WT)</v>
      </c>
      <c r="H604" s="81" t="str">
        <f>_xlfn.XLOOKUP(表格1[[#This Row],[Model]],表格3[Model-Input-Ref2],表格3[Product Line])</f>
        <v>4毫米厚釜電飯煲0.54L</v>
      </c>
      <c r="I604" s="81" t="str">
        <f>_xlfn.XLOOKUP(表格1[[#This Row],[Model]],表格3[Model-Input-Ref2],表格3[大小電])</f>
        <v>細電</v>
      </c>
      <c r="J604" s="81" t="str">
        <f>_xlfn.XLOOKUP(表格1[[#This Row],[Model]],表格3[Model-Input-Ref2],表格3[Code])</f>
        <v>SDA</v>
      </c>
      <c r="K604" s="82" t="s">
        <v>1195</v>
      </c>
      <c r="L604" s="81">
        <v>1</v>
      </c>
      <c r="M604" s="85">
        <v>548</v>
      </c>
      <c r="N604" s="85">
        <f>IFERROR(表格1[[#This Row],[QTY]]*表格1[[#This Row],[Unit Price]],"-")</f>
        <v>548</v>
      </c>
      <c r="O604" s="134">
        <v>386588</v>
      </c>
      <c r="P604" s="137"/>
      <c r="Q604" s="81"/>
      <c r="R604" s="81" t="str">
        <f>_xlfn.CONCAT(表格1[[#This Row],[Model]]," ",表格1[[#This Row],[inv no]])</f>
        <v>RC-5MMIH(WT) 386588</v>
      </c>
      <c r="S604" s="135">
        <f>_xlfn.XLOOKUP(表格1[[#This Row],[Model]],表格3[Model-Input-Ref2],表格3[SRP PRICE])</f>
        <v>618</v>
      </c>
      <c r="T604" s="43">
        <f>表格1[[#This Row],[Unit Price]]/表格1[[#This Row],[SRP]]</f>
        <v>0.88673139158576053</v>
      </c>
      <c r="U604" s="86" t="str">
        <f>_xlfn.XLOOKUP(表格1[[#This Row],[Model]],表格3[Model-Input-Ref2],表格3[TOSHIBA/HIGHEST])</f>
        <v>Toshiba SRP</v>
      </c>
      <c r="V604" s="86" t="s">
        <v>1126</v>
      </c>
      <c r="W604" s="86" t="str">
        <f>_xlfn.CONCAT(表格1[[#This Row],[欄4]],表格1[[#This Row],[inv no]])</f>
        <v>DA141386588</v>
      </c>
    </row>
    <row r="605" spans="1:23" ht="16.5" hidden="1">
      <c r="A605" s="81">
        <v>603</v>
      </c>
      <c r="B605" s="81" t="s">
        <v>1260</v>
      </c>
      <c r="C605" s="81" t="s">
        <v>1374</v>
      </c>
      <c r="D605" s="82" t="str">
        <f ca="1">OFFSET(Roster!$A$3,MATCH(表格1[[#This Row],[Location]]&amp;" "&amp;表格1[[#This Row],[Shop]]&amp;"*",Roster!$A$4:$A$72,0),DAY(表格1[[#This Row],[date]]),1,1)</f>
        <v>Ling Ho</v>
      </c>
      <c r="E605" s="81">
        <f>MONTH(表格1[[#This Row],[date]])</f>
        <v>3</v>
      </c>
      <c r="F605" s="101">
        <v>46095</v>
      </c>
      <c r="G605" s="81" t="str">
        <f>VLOOKUP("*"&amp;表格1[[#This Row],[Input]]&amp;"*",'Ref-List'!$B:$D,2,)</f>
        <v>RC-10NMFIH(WT)</v>
      </c>
      <c r="H605" s="81" t="str">
        <f>_xlfn.XLOOKUP(表格1[[#This Row],[Model]],表格3[Model-Input-Ref2],表格3[Product Line])</f>
        <v>4毫米厚釜電飯煲1L</v>
      </c>
      <c r="I605" s="81" t="str">
        <f>_xlfn.XLOOKUP(表格1[[#This Row],[Model]],表格3[Model-Input-Ref2],表格3[大小電])</f>
        <v>細電</v>
      </c>
      <c r="J605" s="81" t="str">
        <f>_xlfn.XLOOKUP(表格1[[#This Row],[Model]],表格3[Model-Input-Ref2],表格3[Code])</f>
        <v>SDA</v>
      </c>
      <c r="K605" s="82" t="s">
        <v>1244</v>
      </c>
      <c r="L605" s="81">
        <v>1</v>
      </c>
      <c r="M605" s="85">
        <v>719</v>
      </c>
      <c r="N605" s="85">
        <f>IFERROR(表格1[[#This Row],[QTY]]*表格1[[#This Row],[Unit Price]],"-")</f>
        <v>719</v>
      </c>
      <c r="O605" s="134">
        <v>443192</v>
      </c>
      <c r="P605" s="137"/>
      <c r="Q605" s="81"/>
      <c r="R605" s="81" t="str">
        <f>_xlfn.CONCAT(表格1[[#This Row],[Model]]," ",表格1[[#This Row],[inv no]])</f>
        <v>RC-10NMFIH(WT) 443192</v>
      </c>
      <c r="S605" s="135">
        <f>_xlfn.XLOOKUP(表格1[[#This Row],[Model]],表格3[Model-Input-Ref2],表格3[SRP PRICE])</f>
        <v>898</v>
      </c>
      <c r="T605" s="43">
        <f>表格1[[#This Row],[Unit Price]]/表格1[[#This Row],[SRP]]</f>
        <v>0.80066815144766146</v>
      </c>
      <c r="U605" s="86" t="str">
        <f>_xlfn.XLOOKUP(表格1[[#This Row],[Model]],表格3[Model-Input-Ref2],表格3[TOSHIBA/HIGHEST])</f>
        <v>Toshiba SRP</v>
      </c>
      <c r="V605" s="86" t="s">
        <v>1126</v>
      </c>
      <c r="W605" s="86" t="str">
        <f>_xlfn.CONCAT(表格1[[#This Row],[欄4]],表格1[[#This Row],[inv no]])</f>
        <v>DA141443192</v>
      </c>
    </row>
    <row r="606" spans="1:23" ht="16.5" hidden="1">
      <c r="A606" s="81">
        <v>604</v>
      </c>
      <c r="B606" s="81" t="s">
        <v>1260</v>
      </c>
      <c r="C606" s="81" t="s">
        <v>1374</v>
      </c>
      <c r="D606" s="82" t="str">
        <f ca="1">OFFSET(Roster!$A$3,MATCH(表格1[[#This Row],[Location]]&amp;" "&amp;表格1[[#This Row],[Shop]]&amp;"*",Roster!$A$4:$A$72,0),DAY(表格1[[#This Row],[date]]),1,1)</f>
        <v>Ling Ho</v>
      </c>
      <c r="E606" s="81">
        <f>MONTH(表格1[[#This Row],[date]])</f>
        <v>3</v>
      </c>
      <c r="F606" s="101">
        <v>46095</v>
      </c>
      <c r="G606" s="81" t="str">
        <f>VLOOKUP("*"&amp;表格1[[#This Row],[Input]]&amp;"*",'Ref-List'!$B:$D,2,)</f>
        <v>KT-08DH1VHK(W)</v>
      </c>
      <c r="H606" s="81" t="str">
        <f>_xlfn.XLOOKUP(表格1[[#This Row],[Model]],表格3[Model-Input-Ref2],表格3[Product Line])</f>
        <v>無線雙層電熱水壺-附可鎖壺蓋(0.8公升)</v>
      </c>
      <c r="I606" s="81" t="str">
        <f>_xlfn.XLOOKUP(表格1[[#This Row],[Model]],表格3[Model-Input-Ref2],表格3[大小電])</f>
        <v>細電</v>
      </c>
      <c r="J606" s="81" t="str">
        <f>_xlfn.XLOOKUP(表格1[[#This Row],[Model]],表格3[Model-Input-Ref2],表格3[Code])</f>
        <v>SDA</v>
      </c>
      <c r="K606" s="82" t="s">
        <v>1268</v>
      </c>
      <c r="L606" s="81">
        <v>1</v>
      </c>
      <c r="M606" s="85">
        <v>268</v>
      </c>
      <c r="N606" s="85">
        <f>IFERROR(表格1[[#This Row],[QTY]]*表格1[[#This Row],[Unit Price]],"-")</f>
        <v>268</v>
      </c>
      <c r="O606" s="134">
        <v>386602</v>
      </c>
      <c r="P606" s="137"/>
      <c r="Q606" s="81"/>
      <c r="R606" s="81" t="str">
        <f>_xlfn.CONCAT(表格1[[#This Row],[Model]]," ",表格1[[#This Row],[inv no]])</f>
        <v>KT-08DH1VHK(W) 386602</v>
      </c>
      <c r="S606" s="135">
        <f>_xlfn.XLOOKUP(表格1[[#This Row],[Model]],表格3[Model-Input-Ref2],表格3[SRP PRICE])</f>
        <v>428</v>
      </c>
      <c r="T606" s="43">
        <f>表格1[[#This Row],[Unit Price]]/表格1[[#This Row],[SRP]]</f>
        <v>0.62616822429906538</v>
      </c>
      <c r="U606" s="86" t="str">
        <f>_xlfn.XLOOKUP(表格1[[#This Row],[Model]],表格3[Model-Input-Ref2],表格3[TOSHIBA/HIGHEST])</f>
        <v>Toshiba SRP</v>
      </c>
      <c r="V606" s="86" t="s">
        <v>1126</v>
      </c>
      <c r="W606" s="86" t="str">
        <f>_xlfn.CONCAT(表格1[[#This Row],[欄4]],表格1[[#This Row],[inv no]])</f>
        <v>DA141386602</v>
      </c>
    </row>
    <row r="607" spans="1:23" ht="16.5" hidden="1">
      <c r="A607" s="81">
        <v>605</v>
      </c>
      <c r="B607" s="81" t="s">
        <v>1260</v>
      </c>
      <c r="C607" s="81" t="s">
        <v>1374</v>
      </c>
      <c r="D607" s="82" t="str">
        <f ca="1">OFFSET(Roster!$A$3,MATCH(表格1[[#This Row],[Location]]&amp;" "&amp;表格1[[#This Row],[Shop]]&amp;"*",Roster!$A$4:$A$72,0),DAY(表格1[[#This Row],[date]]),1,1)</f>
        <v>Ling Ho</v>
      </c>
      <c r="E607" s="81">
        <f>MONTH(表格1[[#This Row],[date]])</f>
        <v>3</v>
      </c>
      <c r="F607" s="101">
        <v>46095</v>
      </c>
      <c r="G607" s="81" t="str">
        <f>VLOOKUP("*"&amp;表格1[[#This Row],[Input]]&amp;"*",'Ref-List'!$B:$D,2,)</f>
        <v>RC-10AMXH(W)</v>
      </c>
      <c r="H607" s="81" t="str">
        <f>_xlfn.XLOOKUP(表格1[[#This Row],[Model]],表格3[Model-Input-Ref2],表格3[Product Line])</f>
        <v>酵活炊電飯煲(1.0公升)</v>
      </c>
      <c r="I607" s="81" t="str">
        <f>_xlfn.XLOOKUP(表格1[[#This Row],[Model]],表格3[Model-Input-Ref2],表格3[大小電])</f>
        <v>細電</v>
      </c>
      <c r="J607" s="81" t="str">
        <f>_xlfn.XLOOKUP(表格1[[#This Row],[Model]],表格3[Model-Input-Ref2],表格3[Code])</f>
        <v>SDA</v>
      </c>
      <c r="K607" s="82" t="s">
        <v>1279</v>
      </c>
      <c r="L607" s="81">
        <v>1</v>
      </c>
      <c r="M607" s="85">
        <v>990</v>
      </c>
      <c r="N607" s="85">
        <f>IFERROR(表格1[[#This Row],[QTY]]*表格1[[#This Row],[Unit Price]],"-")</f>
        <v>990</v>
      </c>
      <c r="O607" s="134">
        <v>238034</v>
      </c>
      <c r="P607" s="137"/>
      <c r="Q607" s="81"/>
      <c r="R607" s="81" t="str">
        <f>_xlfn.CONCAT(表格1[[#This Row],[Model]]," ",表格1[[#This Row],[inv no]])</f>
        <v>RC-10AMXH(W) 238034</v>
      </c>
      <c r="S607" s="135">
        <f>_xlfn.XLOOKUP(表格1[[#This Row],[Model]],表格3[Model-Input-Ref2],表格3[SRP PRICE])</f>
        <v>1288</v>
      </c>
      <c r="T607" s="43">
        <f>表格1[[#This Row],[Unit Price]]/表格1[[#This Row],[SRP]]</f>
        <v>0.76863354037267084</v>
      </c>
      <c r="U607" s="86" t="str">
        <f>_xlfn.XLOOKUP(表格1[[#This Row],[Model]],表格3[Model-Input-Ref2],表格3[TOSHIBA/HIGHEST])</f>
        <v>Toshiba SRP</v>
      </c>
      <c r="V607" s="86" t="s">
        <v>1126</v>
      </c>
      <c r="W607" s="86" t="str">
        <f>_xlfn.CONCAT(表格1[[#This Row],[欄4]],表格1[[#This Row],[inv no]])</f>
        <v>DA141238034</v>
      </c>
    </row>
    <row r="608" spans="1:23" ht="16.5" hidden="1">
      <c r="A608" s="81">
        <v>606</v>
      </c>
      <c r="B608" s="81" t="s">
        <v>1260</v>
      </c>
      <c r="C608" s="81" t="s">
        <v>1374</v>
      </c>
      <c r="D608" s="82" t="str">
        <f ca="1">OFFSET(Roster!$A$3,MATCH(表格1[[#This Row],[Location]]&amp;" "&amp;表格1[[#This Row],[Shop]]&amp;"*",Roster!$A$4:$A$72,0),DAY(表格1[[#This Row],[date]]),1,1)</f>
        <v>Ling Ho</v>
      </c>
      <c r="E608" s="81">
        <f>MONTH(表格1[[#This Row],[date]])</f>
        <v>3</v>
      </c>
      <c r="F608" s="101">
        <v>46095</v>
      </c>
      <c r="G608" s="81" t="str">
        <f>VLOOKUP("*"&amp;表格1[[#This Row],[Input]]&amp;"*",'Ref-List'!$B:$D,2,)</f>
        <v>RC-10JRUH(N)</v>
      </c>
      <c r="H608" s="81" t="str">
        <f>_xlfn.XLOOKUP(表格1[[#This Row],[Model]],表格3[Model-Input-Ref2],表格3[Product Line])</f>
        <v>電飯煲</v>
      </c>
      <c r="I608" s="81" t="str">
        <f>_xlfn.XLOOKUP(表格1[[#This Row],[Model]],表格3[Model-Input-Ref2],表格3[大小電])</f>
        <v>細電</v>
      </c>
      <c r="J608" s="81" t="str">
        <f>_xlfn.XLOOKUP(表格1[[#This Row],[Model]],表格3[Model-Input-Ref2],表格3[Code])</f>
        <v>SDA</v>
      </c>
      <c r="K608" s="82" t="s">
        <v>1263</v>
      </c>
      <c r="L608" s="81">
        <v>1</v>
      </c>
      <c r="M608" s="85">
        <v>250</v>
      </c>
      <c r="N608" s="85">
        <f>IFERROR(表格1[[#This Row],[QTY]]*表格1[[#This Row],[Unit Price]],"-")</f>
        <v>250</v>
      </c>
      <c r="O608" s="134">
        <v>216721</v>
      </c>
      <c r="P608" s="137"/>
      <c r="Q608" s="81"/>
      <c r="R608" s="81" t="str">
        <f>_xlfn.CONCAT(表格1[[#This Row],[Model]]," ",表格1[[#This Row],[inv no]])</f>
        <v>RC-10JRUH(N) 216721</v>
      </c>
      <c r="S608" s="135">
        <f>_xlfn.XLOOKUP(表格1[[#This Row],[Model]],表格3[Model-Input-Ref2],表格3[SRP PRICE])</f>
        <v>398</v>
      </c>
      <c r="T608" s="43">
        <f>表格1[[#This Row],[Unit Price]]/表格1[[#This Row],[SRP]]</f>
        <v>0.62814070351758799</v>
      </c>
      <c r="U608" s="86" t="str">
        <f>_xlfn.XLOOKUP(表格1[[#This Row],[Model]],表格3[Model-Input-Ref2],表格3[TOSHIBA/HIGHEST])</f>
        <v>Shops Highest Price</v>
      </c>
      <c r="V608" s="86" t="s">
        <v>1126</v>
      </c>
      <c r="W608" s="86" t="str">
        <f>_xlfn.CONCAT(表格1[[#This Row],[欄4]],表格1[[#This Row],[inv no]])</f>
        <v>DA141216721</v>
      </c>
    </row>
    <row r="609" spans="1:23" ht="16.5" hidden="1">
      <c r="A609" s="81">
        <v>607</v>
      </c>
      <c r="B609" s="81" t="s">
        <v>1260</v>
      </c>
      <c r="C609" s="81" t="s">
        <v>1374</v>
      </c>
      <c r="D609" s="82" t="str">
        <f ca="1">OFFSET(Roster!$A$3,MATCH(表格1[[#This Row],[Location]]&amp;" "&amp;表格1[[#This Row],[Shop]]&amp;"*",Roster!$A$4:$A$72,0),DAY(表格1[[#This Row],[date]]),1,1)</f>
        <v>Ling Ho</v>
      </c>
      <c r="E609" s="81">
        <f>MONTH(表格1[[#This Row],[date]])</f>
        <v>3</v>
      </c>
      <c r="F609" s="101">
        <v>46095</v>
      </c>
      <c r="G609" s="81" t="str">
        <f>VLOOKUP("*"&amp;表格1[[#This Row],[Input]]&amp;"*",'Ref-List'!$B:$D,2,)</f>
        <v>RC-5MMIH(WT)</v>
      </c>
      <c r="H609" s="81" t="str">
        <f>_xlfn.XLOOKUP(表格1[[#This Row],[Model]],表格3[Model-Input-Ref2],表格3[Product Line])</f>
        <v>4毫米厚釜電飯煲0.54L</v>
      </c>
      <c r="I609" s="81" t="str">
        <f>_xlfn.XLOOKUP(表格1[[#This Row],[Model]],表格3[Model-Input-Ref2],表格3[大小電])</f>
        <v>細電</v>
      </c>
      <c r="J609" s="81" t="str">
        <f>_xlfn.XLOOKUP(表格1[[#This Row],[Model]],表格3[Model-Input-Ref2],表格3[Code])</f>
        <v>SDA</v>
      </c>
      <c r="K609" s="82" t="s">
        <v>1195</v>
      </c>
      <c r="L609" s="81">
        <v>1</v>
      </c>
      <c r="M609" s="85">
        <v>548</v>
      </c>
      <c r="N609" s="85">
        <f>IFERROR(表格1[[#This Row],[QTY]]*表格1[[#This Row],[Unit Price]],"-")</f>
        <v>548</v>
      </c>
      <c r="O609" s="134">
        <v>386711</v>
      </c>
      <c r="P609" s="137"/>
      <c r="Q609" s="81"/>
      <c r="R609" s="81" t="str">
        <f>_xlfn.CONCAT(表格1[[#This Row],[Model]]," ",表格1[[#This Row],[inv no]])</f>
        <v>RC-5MMIH(WT) 386711</v>
      </c>
      <c r="S609" s="135">
        <f>_xlfn.XLOOKUP(表格1[[#This Row],[Model]],表格3[Model-Input-Ref2],表格3[SRP PRICE])</f>
        <v>618</v>
      </c>
      <c r="T609" s="43">
        <f>表格1[[#This Row],[Unit Price]]/表格1[[#This Row],[SRP]]</f>
        <v>0.88673139158576053</v>
      </c>
      <c r="U609" s="86" t="str">
        <f>_xlfn.XLOOKUP(表格1[[#This Row],[Model]],表格3[Model-Input-Ref2],表格3[TOSHIBA/HIGHEST])</f>
        <v>Toshiba SRP</v>
      </c>
      <c r="V609" s="86" t="s">
        <v>1126</v>
      </c>
      <c r="W609" s="86" t="str">
        <f>_xlfn.CONCAT(表格1[[#This Row],[欄4]],表格1[[#This Row],[inv no]])</f>
        <v>DA141386711</v>
      </c>
    </row>
    <row r="610" spans="1:23" ht="16.5" hidden="1">
      <c r="A610" s="81">
        <v>608</v>
      </c>
      <c r="B610" s="81" t="s">
        <v>1260</v>
      </c>
      <c r="C610" s="81" t="s">
        <v>1374</v>
      </c>
      <c r="D610" s="82" t="str">
        <f ca="1">OFFSET(Roster!$A$3,MATCH(表格1[[#This Row],[Location]]&amp;" "&amp;表格1[[#This Row],[Shop]]&amp;"*",Roster!$A$4:$A$72,0),DAY(表格1[[#This Row],[date]]),1,1)</f>
        <v>Ling Ho</v>
      </c>
      <c r="E610" s="81">
        <f>MONTH(表格1[[#This Row],[date]])</f>
        <v>3</v>
      </c>
      <c r="F610" s="101">
        <v>46095</v>
      </c>
      <c r="G610" s="81" t="str">
        <f>VLOOKUP("*"&amp;表格1[[#This Row],[Input]]&amp;"*",'Ref-List'!$B:$D,2,)</f>
        <v>TP-50DRUHK(W)</v>
      </c>
      <c r="H610" s="81" t="str">
        <f>_xlfn.XLOOKUP(表格1[[#This Row],[Model]],表格3[Model-Input-Ref2],表格3[Product Line])</f>
        <v>電熱水瓶 (5公升)</v>
      </c>
      <c r="I610" s="81" t="str">
        <f>_xlfn.XLOOKUP(表格1[[#This Row],[Model]],表格3[Model-Input-Ref2],表格3[大小電])</f>
        <v>細電</v>
      </c>
      <c r="J610" s="81" t="str">
        <f>_xlfn.XLOOKUP(表格1[[#This Row],[Model]],表格3[Model-Input-Ref2],表格3[Code])</f>
        <v>SDA</v>
      </c>
      <c r="K610" s="82" t="s">
        <v>1277</v>
      </c>
      <c r="L610" s="81">
        <v>1</v>
      </c>
      <c r="M610" s="85">
        <v>628</v>
      </c>
      <c r="N610" s="85">
        <f>IFERROR(表格1[[#This Row],[QTY]]*表格1[[#This Row],[Unit Price]],"-")</f>
        <v>628</v>
      </c>
      <c r="O610" s="134">
        <v>443385</v>
      </c>
      <c r="P610" s="137"/>
      <c r="Q610" s="81"/>
      <c r="R610" s="81" t="str">
        <f>_xlfn.CONCAT(表格1[[#This Row],[Model]]," ",表格1[[#This Row],[inv no]])</f>
        <v>TP-50DRUHK(W) 443385</v>
      </c>
      <c r="S610" s="135">
        <f>_xlfn.XLOOKUP(表格1[[#This Row],[Model]],表格3[Model-Input-Ref2],表格3[SRP PRICE])</f>
        <v>718</v>
      </c>
      <c r="T610" s="43">
        <f>表格1[[#This Row],[Unit Price]]/表格1[[#This Row],[SRP]]</f>
        <v>0.87465181058495822</v>
      </c>
      <c r="U610" s="86" t="str">
        <f>_xlfn.XLOOKUP(表格1[[#This Row],[Model]],表格3[Model-Input-Ref2],表格3[TOSHIBA/HIGHEST])</f>
        <v>Toshiba SRP</v>
      </c>
      <c r="V610" s="86" t="s">
        <v>1126</v>
      </c>
      <c r="W610" s="86" t="str">
        <f>_xlfn.CONCAT(表格1[[#This Row],[欄4]],表格1[[#This Row],[inv no]])</f>
        <v>DA141443385</v>
      </c>
    </row>
    <row r="611" spans="1:23" ht="16.5" hidden="1">
      <c r="A611" s="81">
        <v>609</v>
      </c>
      <c r="B611" s="81" t="s">
        <v>1260</v>
      </c>
      <c r="C611" s="81" t="s">
        <v>1374</v>
      </c>
      <c r="D611" s="82" t="str">
        <f ca="1">OFFSET(Roster!$A$3,MATCH(表格1[[#This Row],[Location]]&amp;" "&amp;表格1[[#This Row],[Shop]]&amp;"*",Roster!$A$4:$A$72,0),DAY(表格1[[#This Row],[date]]),1,1)</f>
        <v>Ling Ho</v>
      </c>
      <c r="E611" s="81">
        <f>MONTH(表格1[[#This Row],[date]])</f>
        <v>3</v>
      </c>
      <c r="F611" s="101">
        <v>46095</v>
      </c>
      <c r="G611" s="81" t="str">
        <f>VLOOKUP("*"&amp;表格1[[#This Row],[Input]]&amp;"*",'Ref-List'!$B:$D,2,)</f>
        <v>ET-TD7080(PN)</v>
      </c>
      <c r="H611" s="81" t="str">
        <f>_xlfn.XLOOKUP(表格1[[#This Row],[Model]],表格3[Model-Input-Ref2],表格3[Product Line])</f>
        <v>多士焗爐8L</v>
      </c>
      <c r="I611" s="81" t="str">
        <f>_xlfn.XLOOKUP(表格1[[#This Row],[Model]],表格3[Model-Input-Ref2],表格3[大小電])</f>
        <v>細電</v>
      </c>
      <c r="J611" s="81" t="str">
        <f>_xlfn.XLOOKUP(表格1[[#This Row],[Model]],表格3[Model-Input-Ref2],表格3[Code])</f>
        <v>SDA</v>
      </c>
      <c r="K611" s="82">
        <v>7080</v>
      </c>
      <c r="L611" s="81">
        <v>1</v>
      </c>
      <c r="M611" s="85">
        <v>338</v>
      </c>
      <c r="N611" s="85">
        <f>IFERROR(表格1[[#This Row],[QTY]]*表格1[[#This Row],[Unit Price]],"-")</f>
        <v>338</v>
      </c>
      <c r="O611" s="134">
        <v>386730</v>
      </c>
      <c r="P611" s="137"/>
      <c r="Q611" s="81"/>
      <c r="R611" s="81" t="str">
        <f>_xlfn.CONCAT(表格1[[#This Row],[Model]]," ",表格1[[#This Row],[inv no]])</f>
        <v>ET-TD7080(PN) 386730</v>
      </c>
      <c r="S611" s="135">
        <f>_xlfn.XLOOKUP(表格1[[#This Row],[Model]],表格3[Model-Input-Ref2],表格3[SRP PRICE])</f>
        <v>498</v>
      </c>
      <c r="T611" s="43">
        <f>表格1[[#This Row],[Unit Price]]/表格1[[#This Row],[SRP]]</f>
        <v>0.67871485943775101</v>
      </c>
      <c r="U611" s="86" t="str">
        <f>_xlfn.XLOOKUP(表格1[[#This Row],[Model]],表格3[Model-Input-Ref2],表格3[TOSHIBA/HIGHEST])</f>
        <v>Toshiba SRP</v>
      </c>
      <c r="V611" s="86" t="s">
        <v>1126</v>
      </c>
      <c r="W611" s="86" t="str">
        <f>_xlfn.CONCAT(表格1[[#This Row],[欄4]],表格1[[#This Row],[inv no]])</f>
        <v>DA141386730</v>
      </c>
    </row>
    <row r="612" spans="1:23" ht="16.5" hidden="1">
      <c r="A612" s="81">
        <v>610</v>
      </c>
      <c r="B612" s="81" t="s">
        <v>1260</v>
      </c>
      <c r="C612" s="81" t="s">
        <v>1374</v>
      </c>
      <c r="D612" s="82" t="str">
        <f ca="1">OFFSET(Roster!$A$3,MATCH(表格1[[#This Row],[Location]]&amp;" "&amp;表格1[[#This Row],[Shop]]&amp;"*",Roster!$A$4:$A$72,0),DAY(表格1[[#This Row],[date]]),1,1)</f>
        <v>Ling Ho</v>
      </c>
      <c r="E612" s="81">
        <f>MONTH(表格1[[#This Row],[date]])</f>
        <v>3</v>
      </c>
      <c r="F612" s="101">
        <v>46095</v>
      </c>
      <c r="G612" s="81" t="str">
        <f>VLOOKUP("*"&amp;表格1[[#This Row],[Input]]&amp;"*",'Ref-List'!$B:$D,2,)</f>
        <v>MWP-MM20P(WH)</v>
      </c>
      <c r="H612" s="81" t="str">
        <f>_xlfn.XLOOKUP(表格1[[#This Row],[Model]],表格3[Model-Input-Ref2],表格3[Product Line])</f>
        <v>旋鈕式燒烤微波爐20L</v>
      </c>
      <c r="I612" s="81" t="str">
        <f>_xlfn.XLOOKUP(表格1[[#This Row],[Model]],表格3[Model-Input-Ref2],表格3[大小電])</f>
        <v>細電</v>
      </c>
      <c r="J612" s="81" t="str">
        <f>_xlfn.XLOOKUP(表格1[[#This Row],[Model]],表格3[Model-Input-Ref2],表格3[Code])</f>
        <v>SDA</v>
      </c>
      <c r="K612" s="82" t="s">
        <v>1270</v>
      </c>
      <c r="L612" s="81">
        <v>1</v>
      </c>
      <c r="M612" s="85">
        <v>488</v>
      </c>
      <c r="N612" s="85">
        <f>IFERROR(表格1[[#This Row],[QTY]]*表格1[[#This Row],[Unit Price]],"-")</f>
        <v>488</v>
      </c>
      <c r="O612" s="134">
        <v>386868</v>
      </c>
      <c r="P612" s="137"/>
      <c r="Q612" s="81"/>
      <c r="R612" s="81" t="str">
        <f>_xlfn.CONCAT(表格1[[#This Row],[Model]]," ",表格1[[#This Row],[inv no]])</f>
        <v>MWP-MM20P(WH) 386868</v>
      </c>
      <c r="S612" s="135">
        <f>_xlfn.XLOOKUP(表格1[[#This Row],[Model]],表格3[Model-Input-Ref2],表格3[SRP PRICE])</f>
        <v>648</v>
      </c>
      <c r="T612" s="43">
        <f>表格1[[#This Row],[Unit Price]]/表格1[[#This Row],[SRP]]</f>
        <v>0.75308641975308643</v>
      </c>
      <c r="U612" s="86" t="str">
        <f>_xlfn.XLOOKUP(表格1[[#This Row],[Model]],表格3[Model-Input-Ref2],表格3[TOSHIBA/HIGHEST])</f>
        <v>Toshiba SRP</v>
      </c>
      <c r="V612" s="86" t="s">
        <v>1126</v>
      </c>
      <c r="W612" s="86" t="str">
        <f>_xlfn.CONCAT(表格1[[#This Row],[欄4]],表格1[[#This Row],[inv no]])</f>
        <v>DA141386868</v>
      </c>
    </row>
    <row r="613" spans="1:23" ht="16.5" hidden="1">
      <c r="A613" s="81">
        <v>611</v>
      </c>
      <c r="B613" s="81" t="s">
        <v>1260</v>
      </c>
      <c r="C613" s="81" t="s">
        <v>1374</v>
      </c>
      <c r="D613" s="82" t="str">
        <f ca="1">OFFSET(Roster!$A$3,MATCH(表格1[[#This Row],[Location]]&amp;" "&amp;表格1[[#This Row],[Shop]]&amp;"*",Roster!$A$4:$A$72,0),DAY(表格1[[#This Row],[date]]),1,1)</f>
        <v>Ling Ho</v>
      </c>
      <c r="E613" s="81">
        <f>MONTH(表格1[[#This Row],[date]])</f>
        <v>3</v>
      </c>
      <c r="F613" s="101">
        <v>46095</v>
      </c>
      <c r="G613" s="81" t="str">
        <f>VLOOKUP("*"&amp;表格1[[#This Row],[Input]]&amp;"*",'Ref-List'!$B:$D,2,)</f>
        <v>IC-20R1THK</v>
      </c>
      <c r="H613" s="81" t="str">
        <f>_xlfn.XLOOKUP(表格1[[#This Row],[Model]],表格3[Model-Input-Ref2],表格3[Product Line])</f>
        <v>輕便式電磁爐</v>
      </c>
      <c r="I613" s="81" t="str">
        <f>_xlfn.XLOOKUP(表格1[[#This Row],[Model]],表格3[Model-Input-Ref2],表格3[大小電])</f>
        <v>細電</v>
      </c>
      <c r="J613" s="81" t="str">
        <f>_xlfn.XLOOKUP(表格1[[#This Row],[Model]],表格3[Model-Input-Ref2],表格3[Code])</f>
        <v>SDA</v>
      </c>
      <c r="K613" s="82" t="s">
        <v>1243</v>
      </c>
      <c r="L613" s="81">
        <v>1</v>
      </c>
      <c r="M613" s="85">
        <v>298</v>
      </c>
      <c r="N613" s="85">
        <f>IFERROR(表格1[[#This Row],[QTY]]*表格1[[#This Row],[Unit Price]],"-")</f>
        <v>298</v>
      </c>
      <c r="O613" s="134">
        <v>386869</v>
      </c>
      <c r="P613" s="137"/>
      <c r="Q613" s="81"/>
      <c r="R613" s="81" t="str">
        <f>_xlfn.CONCAT(表格1[[#This Row],[Model]]," ",表格1[[#This Row],[inv no]])</f>
        <v>IC-20R1THK 386869</v>
      </c>
      <c r="S613" s="135">
        <f>_xlfn.XLOOKUP(表格1[[#This Row],[Model]],表格3[Model-Input-Ref2],表格3[SRP PRICE])</f>
        <v>438</v>
      </c>
      <c r="T613" s="43">
        <f>表格1[[#This Row],[Unit Price]]/表格1[[#This Row],[SRP]]</f>
        <v>0.68036529680365299</v>
      </c>
      <c r="U613" s="86" t="str">
        <f>_xlfn.XLOOKUP(表格1[[#This Row],[Model]],表格3[Model-Input-Ref2],表格3[TOSHIBA/HIGHEST])</f>
        <v>Shops Highest Price</v>
      </c>
      <c r="V613" s="86" t="s">
        <v>1126</v>
      </c>
      <c r="W613" s="86" t="str">
        <f>_xlfn.CONCAT(表格1[[#This Row],[欄4]],表格1[[#This Row],[inv no]])</f>
        <v>DA141386869</v>
      </c>
    </row>
    <row r="614" spans="1:23" ht="16.5" hidden="1">
      <c r="A614" s="81">
        <v>612</v>
      </c>
      <c r="B614" s="81" t="s">
        <v>1260</v>
      </c>
      <c r="C614" s="81" t="s">
        <v>1374</v>
      </c>
      <c r="D614" s="82" t="str">
        <f ca="1">OFFSET(Roster!$A$3,MATCH(表格1[[#This Row],[Location]]&amp;" "&amp;表格1[[#This Row],[Shop]]&amp;"*",Roster!$A$4:$A$72,0),DAY(表格1[[#This Row],[date]]),1,1)</f>
        <v>Ling Ho</v>
      </c>
      <c r="E614" s="81">
        <f>MONTH(表格1[[#This Row],[date]])</f>
        <v>3</v>
      </c>
      <c r="F614" s="101">
        <v>46096</v>
      </c>
      <c r="G614" s="81" t="str">
        <f>VLOOKUP("*"&amp;表格1[[#This Row],[Input]]&amp;"*",'Ref-List'!$B:$D,2,)</f>
        <v>RC-10DRNH</v>
      </c>
      <c r="H614" s="81" t="str">
        <f>_xlfn.XLOOKUP(表格1[[#This Row],[Model]],表格3[Model-Input-Ref2],表格3[Product Line])</f>
        <v>多功能備長炭本厚釜電飯煲1L</v>
      </c>
      <c r="I614" s="81" t="str">
        <f>_xlfn.XLOOKUP(表格1[[#This Row],[Model]],表格3[Model-Input-Ref2],表格3[大小電])</f>
        <v>細電</v>
      </c>
      <c r="J614" s="81" t="str">
        <f>_xlfn.XLOOKUP(表格1[[#This Row],[Model]],表格3[Model-Input-Ref2],表格3[Code])</f>
        <v>SDA</v>
      </c>
      <c r="K614" s="82" t="s">
        <v>1376</v>
      </c>
      <c r="L614" s="81">
        <v>1</v>
      </c>
      <c r="M614" s="85">
        <v>549</v>
      </c>
      <c r="N614" s="85">
        <f>IFERROR(表格1[[#This Row],[QTY]]*表格1[[#This Row],[Unit Price]],"-")</f>
        <v>549</v>
      </c>
      <c r="O614" s="134">
        <v>386957</v>
      </c>
      <c r="P614" s="137"/>
      <c r="Q614" s="81"/>
      <c r="R614" s="81" t="str">
        <f>_xlfn.CONCAT(表格1[[#This Row],[Model]]," ",表格1[[#This Row],[inv no]])</f>
        <v>RC-10DRNH 386957</v>
      </c>
      <c r="S614" s="135">
        <f>_xlfn.XLOOKUP(表格1[[#This Row],[Model]],表格3[Model-Input-Ref2],表格3[SRP PRICE])</f>
        <v>798</v>
      </c>
      <c r="T614" s="43">
        <f>表格1[[#This Row],[Unit Price]]/表格1[[#This Row],[SRP]]</f>
        <v>0.68796992481203012</v>
      </c>
      <c r="U614" s="86" t="str">
        <f>_xlfn.XLOOKUP(表格1[[#This Row],[Model]],表格3[Model-Input-Ref2],表格3[TOSHIBA/HIGHEST])</f>
        <v>Toshiba SRP</v>
      </c>
      <c r="V614" s="86" t="s">
        <v>1126</v>
      </c>
      <c r="W614" s="86" t="str">
        <f>_xlfn.CONCAT(表格1[[#This Row],[欄4]],表格1[[#This Row],[inv no]])</f>
        <v>DA141386957</v>
      </c>
    </row>
    <row r="615" spans="1:23" ht="16.5" hidden="1">
      <c r="A615" s="81">
        <v>613</v>
      </c>
      <c r="B615" s="81" t="s">
        <v>1260</v>
      </c>
      <c r="C615" s="81" t="s">
        <v>1374</v>
      </c>
      <c r="D615" s="82" t="str">
        <f ca="1">OFFSET(Roster!$A$3,MATCH(表格1[[#This Row],[Location]]&amp;" "&amp;表格1[[#This Row],[Shop]]&amp;"*",Roster!$A$4:$A$72,0),DAY(表格1[[#This Row],[date]]),1,1)</f>
        <v>Ling Ho</v>
      </c>
      <c r="E615" s="81">
        <f>MONTH(表格1[[#This Row],[date]])</f>
        <v>3</v>
      </c>
      <c r="F615" s="101">
        <v>46096</v>
      </c>
      <c r="G615" s="81" t="str">
        <f>VLOOKUP("*"&amp;表格1[[#This Row],[Input]]&amp;"*",'Ref-List'!$B:$D,2,)</f>
        <v>MWP-MM20P(WH)</v>
      </c>
      <c r="H615" s="81" t="str">
        <f>_xlfn.XLOOKUP(表格1[[#This Row],[Model]],表格3[Model-Input-Ref2],表格3[Product Line])</f>
        <v>旋鈕式燒烤微波爐20L</v>
      </c>
      <c r="I615" s="81" t="str">
        <f>_xlfn.XLOOKUP(表格1[[#This Row],[Model]],表格3[Model-Input-Ref2],表格3[大小電])</f>
        <v>細電</v>
      </c>
      <c r="J615" s="81" t="str">
        <f>_xlfn.XLOOKUP(表格1[[#This Row],[Model]],表格3[Model-Input-Ref2],表格3[Code])</f>
        <v>SDA</v>
      </c>
      <c r="K615" s="82" t="s">
        <v>1270</v>
      </c>
      <c r="L615" s="81">
        <v>1</v>
      </c>
      <c r="M615" s="85">
        <v>488</v>
      </c>
      <c r="N615" s="85">
        <f>IFERROR(表格1[[#This Row],[QTY]]*表格1[[#This Row],[Unit Price]],"-")</f>
        <v>488</v>
      </c>
      <c r="O615" s="134">
        <v>443567</v>
      </c>
      <c r="P615" s="137"/>
      <c r="Q615" s="81"/>
      <c r="R615" s="81" t="str">
        <f>_xlfn.CONCAT(表格1[[#This Row],[Model]]," ",表格1[[#This Row],[inv no]])</f>
        <v>MWP-MM20P(WH) 443567</v>
      </c>
      <c r="S615" s="135">
        <f>_xlfn.XLOOKUP(表格1[[#This Row],[Model]],表格3[Model-Input-Ref2],表格3[SRP PRICE])</f>
        <v>648</v>
      </c>
      <c r="T615" s="43">
        <f>表格1[[#This Row],[Unit Price]]/表格1[[#This Row],[SRP]]</f>
        <v>0.75308641975308643</v>
      </c>
      <c r="U615" s="86" t="str">
        <f>_xlfn.XLOOKUP(表格1[[#This Row],[Model]],表格3[Model-Input-Ref2],表格3[TOSHIBA/HIGHEST])</f>
        <v>Toshiba SRP</v>
      </c>
      <c r="V615" s="86" t="s">
        <v>1126</v>
      </c>
      <c r="W615" s="86" t="str">
        <f>_xlfn.CONCAT(表格1[[#This Row],[欄4]],表格1[[#This Row],[inv no]])</f>
        <v>DA141443567</v>
      </c>
    </row>
    <row r="616" spans="1:23" ht="16.5" hidden="1">
      <c r="A616" s="81">
        <v>614</v>
      </c>
      <c r="B616" s="81" t="s">
        <v>1260</v>
      </c>
      <c r="C616" s="81" t="s">
        <v>1374</v>
      </c>
      <c r="D616" s="82" t="str">
        <f ca="1">OFFSET(Roster!$A$3,MATCH(表格1[[#This Row],[Location]]&amp;" "&amp;表格1[[#This Row],[Shop]]&amp;"*",Roster!$A$4:$A$72,0),DAY(表格1[[#This Row],[date]]),1,1)</f>
        <v>Ling Ho</v>
      </c>
      <c r="E616" s="81">
        <f>MONTH(表格1[[#This Row],[date]])</f>
        <v>3</v>
      </c>
      <c r="F616" s="101">
        <v>46096</v>
      </c>
      <c r="G616" s="81" t="str">
        <f>VLOOKUP("*"&amp;表格1[[#This Row],[Input]]&amp;"*",'Ref-List'!$B:$D,2,)</f>
        <v>RC-5MMIH(WT)</v>
      </c>
      <c r="H616" s="81" t="str">
        <f>_xlfn.XLOOKUP(表格1[[#This Row],[Model]],表格3[Model-Input-Ref2],表格3[Product Line])</f>
        <v>4毫米厚釜電飯煲0.54L</v>
      </c>
      <c r="I616" s="81" t="str">
        <f>_xlfn.XLOOKUP(表格1[[#This Row],[Model]],表格3[Model-Input-Ref2],表格3[大小電])</f>
        <v>細電</v>
      </c>
      <c r="J616" s="81" t="str">
        <f>_xlfn.XLOOKUP(表格1[[#This Row],[Model]],表格3[Model-Input-Ref2],表格3[Code])</f>
        <v>SDA</v>
      </c>
      <c r="K616" s="82" t="s">
        <v>1195</v>
      </c>
      <c r="L616" s="81">
        <v>1</v>
      </c>
      <c r="M616" s="85">
        <v>548</v>
      </c>
      <c r="N616" s="85">
        <f>IFERROR(表格1[[#This Row],[QTY]]*表格1[[#This Row],[Unit Price]],"-")</f>
        <v>548</v>
      </c>
      <c r="O616" s="134">
        <v>387012</v>
      </c>
      <c r="P616" s="137"/>
      <c r="Q616" s="81"/>
      <c r="R616" s="81" t="str">
        <f>_xlfn.CONCAT(表格1[[#This Row],[Model]]," ",表格1[[#This Row],[inv no]])</f>
        <v>RC-5MMIH(WT) 387012</v>
      </c>
      <c r="S616" s="135">
        <f>_xlfn.XLOOKUP(表格1[[#This Row],[Model]],表格3[Model-Input-Ref2],表格3[SRP PRICE])</f>
        <v>618</v>
      </c>
      <c r="T616" s="43">
        <f>表格1[[#This Row],[Unit Price]]/表格1[[#This Row],[SRP]]</f>
        <v>0.88673139158576053</v>
      </c>
      <c r="U616" s="86" t="str">
        <f>_xlfn.XLOOKUP(表格1[[#This Row],[Model]],表格3[Model-Input-Ref2],表格3[TOSHIBA/HIGHEST])</f>
        <v>Toshiba SRP</v>
      </c>
      <c r="V616" s="86" t="s">
        <v>1126</v>
      </c>
      <c r="W616" s="86" t="str">
        <f>_xlfn.CONCAT(表格1[[#This Row],[欄4]],表格1[[#This Row],[inv no]])</f>
        <v>DA141387012</v>
      </c>
    </row>
    <row r="617" spans="1:23" ht="16.5" hidden="1">
      <c r="A617" s="81">
        <v>615</v>
      </c>
      <c r="B617" s="81" t="s">
        <v>1260</v>
      </c>
      <c r="C617" s="81" t="s">
        <v>1374</v>
      </c>
      <c r="D617" s="82" t="str">
        <f ca="1">OFFSET(Roster!$A$3,MATCH(表格1[[#This Row],[Location]]&amp;" "&amp;表格1[[#This Row],[Shop]]&amp;"*",Roster!$A$4:$A$72,0),DAY(表格1[[#This Row],[date]]),1,1)</f>
        <v>Ling Ho</v>
      </c>
      <c r="E617" s="81">
        <f>MONTH(表格1[[#This Row],[date]])</f>
        <v>3</v>
      </c>
      <c r="F617" s="101">
        <v>46096</v>
      </c>
      <c r="G617" s="81" t="str">
        <f>VLOOKUP("*"&amp;表格1[[#This Row],[Input]]&amp;"*",'Ref-List'!$B:$D,2,)</f>
        <v>KT-17DRTHK(H)</v>
      </c>
      <c r="H617" s="81" t="str">
        <f>_xlfn.XLOOKUP(表格1[[#This Row],[Model]],表格3[Model-Input-Ref2],表格3[Product Line])</f>
        <v>無線雙層電熱水壺(1.7公升)</v>
      </c>
      <c r="I617" s="81" t="str">
        <f>_xlfn.XLOOKUP(表格1[[#This Row],[Model]],表格3[Model-Input-Ref2],表格3[大小電])</f>
        <v>細電</v>
      </c>
      <c r="J617" s="81" t="str">
        <f>_xlfn.XLOOKUP(表格1[[#This Row],[Model]],表格3[Model-Input-Ref2],表格3[Code])</f>
        <v>SDA</v>
      </c>
      <c r="K617" s="82" t="s">
        <v>1271</v>
      </c>
      <c r="L617" s="81">
        <v>1</v>
      </c>
      <c r="M617" s="85">
        <v>388</v>
      </c>
      <c r="N617" s="85">
        <f>IFERROR(表格1[[#This Row],[QTY]]*表格1[[#This Row],[Unit Price]],"-")</f>
        <v>388</v>
      </c>
      <c r="O617" s="134">
        <v>216859</v>
      </c>
      <c r="P617" s="137"/>
      <c r="Q617" s="81"/>
      <c r="R617" s="81" t="str">
        <f>_xlfn.CONCAT(表格1[[#This Row],[Model]]," ",表格1[[#This Row],[inv no]])</f>
        <v>KT-17DRTHK(H) 216859</v>
      </c>
      <c r="S617" s="135">
        <f>_xlfn.XLOOKUP(表格1[[#This Row],[Model]],表格3[Model-Input-Ref2],表格3[SRP PRICE])</f>
        <v>498</v>
      </c>
      <c r="T617" s="43">
        <f>表格1[[#This Row],[Unit Price]]/表格1[[#This Row],[SRP]]</f>
        <v>0.77911646586345384</v>
      </c>
      <c r="U617" s="86" t="str">
        <f>_xlfn.XLOOKUP(表格1[[#This Row],[Model]],表格3[Model-Input-Ref2],表格3[TOSHIBA/HIGHEST])</f>
        <v>Toshiba SRP</v>
      </c>
      <c r="V617" s="86" t="s">
        <v>1126</v>
      </c>
      <c r="W617" s="86" t="str">
        <f>_xlfn.CONCAT(表格1[[#This Row],[欄4]],表格1[[#This Row],[inv no]])</f>
        <v>DA141216859</v>
      </c>
    </row>
    <row r="618" spans="1:23" ht="16.5" hidden="1">
      <c r="A618" s="81">
        <v>616</v>
      </c>
      <c r="B618" s="81" t="s">
        <v>1260</v>
      </c>
      <c r="C618" s="81" t="s">
        <v>1374</v>
      </c>
      <c r="D618" s="82" t="str">
        <f ca="1">OFFSET(Roster!$A$3,MATCH(表格1[[#This Row],[Location]]&amp;" "&amp;表格1[[#This Row],[Shop]]&amp;"*",Roster!$A$4:$A$72,0),DAY(表格1[[#This Row],[date]]),1,1)</f>
        <v>Ling Ho</v>
      </c>
      <c r="E618" s="81">
        <f>MONTH(表格1[[#This Row],[date]])</f>
        <v>3</v>
      </c>
      <c r="F618" s="101">
        <v>46096</v>
      </c>
      <c r="G618" s="81" t="str">
        <f>VLOOKUP("*"&amp;表格1[[#This Row],[Input]]&amp;"*",'Ref-List'!$B:$D,2,)</f>
        <v>RC-5MMIH(WT)</v>
      </c>
      <c r="H618" s="81" t="str">
        <f>_xlfn.XLOOKUP(表格1[[#This Row],[Model]],表格3[Model-Input-Ref2],表格3[Product Line])</f>
        <v>4毫米厚釜電飯煲0.54L</v>
      </c>
      <c r="I618" s="81" t="str">
        <f>_xlfn.XLOOKUP(表格1[[#This Row],[Model]],表格3[Model-Input-Ref2],表格3[大小電])</f>
        <v>細電</v>
      </c>
      <c r="J618" s="81" t="str">
        <f>_xlfn.XLOOKUP(表格1[[#This Row],[Model]],表格3[Model-Input-Ref2],表格3[Code])</f>
        <v>SDA</v>
      </c>
      <c r="K618" s="82" t="s">
        <v>1195</v>
      </c>
      <c r="L618" s="81">
        <v>1</v>
      </c>
      <c r="M618" s="85">
        <v>548</v>
      </c>
      <c r="N618" s="85">
        <f>IFERROR(表格1[[#This Row],[QTY]]*表格1[[#This Row],[Unit Price]],"-")</f>
        <v>548</v>
      </c>
      <c r="O618" s="134">
        <v>443745</v>
      </c>
      <c r="P618" s="137"/>
      <c r="Q618" s="81"/>
      <c r="R618" s="81" t="str">
        <f>_xlfn.CONCAT(表格1[[#This Row],[Model]]," ",表格1[[#This Row],[inv no]])</f>
        <v>RC-5MMIH(WT) 443745</v>
      </c>
      <c r="S618" s="135">
        <f>_xlfn.XLOOKUP(表格1[[#This Row],[Model]],表格3[Model-Input-Ref2],表格3[SRP PRICE])</f>
        <v>618</v>
      </c>
      <c r="T618" s="43">
        <f>表格1[[#This Row],[Unit Price]]/表格1[[#This Row],[SRP]]</f>
        <v>0.88673139158576053</v>
      </c>
      <c r="U618" s="86" t="str">
        <f>_xlfn.XLOOKUP(表格1[[#This Row],[Model]],表格3[Model-Input-Ref2],表格3[TOSHIBA/HIGHEST])</f>
        <v>Toshiba SRP</v>
      </c>
      <c r="V618" s="86" t="s">
        <v>1126</v>
      </c>
      <c r="W618" s="86" t="str">
        <f>_xlfn.CONCAT(表格1[[#This Row],[欄4]],表格1[[#This Row],[inv no]])</f>
        <v>DA141443745</v>
      </c>
    </row>
    <row r="619" spans="1:23" ht="16.5" hidden="1">
      <c r="A619" s="81">
        <v>617</v>
      </c>
      <c r="B619" s="81" t="s">
        <v>1260</v>
      </c>
      <c r="C619" s="81" t="s">
        <v>1374</v>
      </c>
      <c r="D619" s="82" t="str">
        <f ca="1">OFFSET(Roster!$A$3,MATCH(表格1[[#This Row],[Location]]&amp;" "&amp;表格1[[#This Row],[Shop]]&amp;"*",Roster!$A$4:$A$72,0),DAY(表格1[[#This Row],[date]]),1,1)</f>
        <v>Ling Ho</v>
      </c>
      <c r="E619" s="81">
        <f>MONTH(表格1[[#This Row],[date]])</f>
        <v>3</v>
      </c>
      <c r="F619" s="101">
        <v>46096</v>
      </c>
      <c r="G619" s="81" t="str">
        <f>VLOOKUP("*"&amp;表格1[[#This Row],[Input]]&amp;"*",'Ref-List'!$B:$D,2,)</f>
        <v>IC-20R1THK</v>
      </c>
      <c r="H619" s="81" t="str">
        <f>_xlfn.XLOOKUP(表格1[[#This Row],[Model]],表格3[Model-Input-Ref2],表格3[Product Line])</f>
        <v>輕便式電磁爐</v>
      </c>
      <c r="I619" s="81" t="str">
        <f>_xlfn.XLOOKUP(表格1[[#This Row],[Model]],表格3[Model-Input-Ref2],表格3[大小電])</f>
        <v>細電</v>
      </c>
      <c r="J619" s="81" t="str">
        <f>_xlfn.XLOOKUP(表格1[[#This Row],[Model]],表格3[Model-Input-Ref2],表格3[Code])</f>
        <v>SDA</v>
      </c>
      <c r="K619" s="82" t="s">
        <v>1243</v>
      </c>
      <c r="L619" s="81">
        <v>1</v>
      </c>
      <c r="M619" s="85">
        <v>298</v>
      </c>
      <c r="N619" s="85">
        <f>IFERROR(表格1[[#This Row],[QTY]]*表格1[[#This Row],[Unit Price]],"-")</f>
        <v>298</v>
      </c>
      <c r="O619" s="134">
        <v>443767</v>
      </c>
      <c r="P619" s="137"/>
      <c r="Q619" s="81"/>
      <c r="R619" s="81" t="str">
        <f>_xlfn.CONCAT(表格1[[#This Row],[Model]]," ",表格1[[#This Row],[inv no]])</f>
        <v>IC-20R1THK 443767</v>
      </c>
      <c r="S619" s="135">
        <f>_xlfn.XLOOKUP(表格1[[#This Row],[Model]],表格3[Model-Input-Ref2],表格3[SRP PRICE])</f>
        <v>438</v>
      </c>
      <c r="T619" s="43">
        <f>表格1[[#This Row],[Unit Price]]/表格1[[#This Row],[SRP]]</f>
        <v>0.68036529680365299</v>
      </c>
      <c r="U619" s="86" t="str">
        <f>_xlfn.XLOOKUP(表格1[[#This Row],[Model]],表格3[Model-Input-Ref2],表格3[TOSHIBA/HIGHEST])</f>
        <v>Shops Highest Price</v>
      </c>
      <c r="V619" s="86" t="s">
        <v>1126</v>
      </c>
      <c r="W619" s="86" t="str">
        <f>_xlfn.CONCAT(表格1[[#This Row],[欄4]],表格1[[#This Row],[inv no]])</f>
        <v>DA141443767</v>
      </c>
    </row>
    <row r="620" spans="1:23" ht="16.5" hidden="1">
      <c r="A620" s="81">
        <v>618</v>
      </c>
      <c r="B620" s="81" t="s">
        <v>1260</v>
      </c>
      <c r="C620" s="81" t="s">
        <v>1374</v>
      </c>
      <c r="D620" s="82" t="str">
        <f ca="1">OFFSET(Roster!$A$3,MATCH(表格1[[#This Row],[Location]]&amp;" "&amp;表格1[[#This Row],[Shop]]&amp;"*",Roster!$A$4:$A$72,0),DAY(表格1[[#This Row],[date]]),1,1)</f>
        <v>Ling Ho</v>
      </c>
      <c r="E620" s="81">
        <f>MONTH(表格1[[#This Row],[date]])</f>
        <v>3</v>
      </c>
      <c r="F620" s="101">
        <v>46097</v>
      </c>
      <c r="G620" s="81" t="str">
        <f>VLOOKUP("*"&amp;表格1[[#This Row],[Input]]&amp;"*",'Ref-List'!$B:$D,2,)</f>
        <v>KT-17SH1NH</v>
      </c>
      <c r="H620" s="81" t="str">
        <f>_xlfn.XLOOKUP(表格1[[#This Row],[Model]],表格3[Model-Input-Ref2],表格3[Product Line])</f>
        <v>1.7L無線雙層電熱水壺(有窗)</v>
      </c>
      <c r="I620" s="81" t="str">
        <f>_xlfn.XLOOKUP(表格1[[#This Row],[Model]],表格3[Model-Input-Ref2],表格3[大小電])</f>
        <v>細電</v>
      </c>
      <c r="J620" s="81" t="str">
        <f>_xlfn.XLOOKUP(表格1[[#This Row],[Model]],表格3[Model-Input-Ref2],表格3[Code])</f>
        <v>SDA</v>
      </c>
      <c r="K620" s="82" t="s">
        <v>1387</v>
      </c>
      <c r="L620" s="81">
        <v>1</v>
      </c>
      <c r="M620" s="85">
        <v>278</v>
      </c>
      <c r="N620" s="85">
        <f>IFERROR(表格1[[#This Row],[QTY]]*表格1[[#This Row],[Unit Price]],"-")</f>
        <v>278</v>
      </c>
      <c r="O620" s="134">
        <v>387267</v>
      </c>
      <c r="P620" s="137"/>
      <c r="Q620" s="81"/>
      <c r="R620" s="81" t="str">
        <f>_xlfn.CONCAT(表格1[[#This Row],[Model]]," ",表格1[[#This Row],[inv no]])</f>
        <v>KT-17SH1NH 387267</v>
      </c>
      <c r="S620" s="135">
        <f>_xlfn.XLOOKUP(表格1[[#This Row],[Model]],表格3[Model-Input-Ref2],表格3[SRP PRICE])</f>
        <v>398</v>
      </c>
      <c r="T620" s="43">
        <f>表格1[[#This Row],[Unit Price]]/表格1[[#This Row],[SRP]]</f>
        <v>0.69849246231155782</v>
      </c>
      <c r="U620" s="86" t="str">
        <f>_xlfn.XLOOKUP(表格1[[#This Row],[Model]],表格3[Model-Input-Ref2],表格3[TOSHIBA/HIGHEST])</f>
        <v>Toshiba SRP</v>
      </c>
      <c r="V620" s="86" t="s">
        <v>1126</v>
      </c>
      <c r="W620" s="86" t="str">
        <f>_xlfn.CONCAT(表格1[[#This Row],[欄4]],表格1[[#This Row],[inv no]])</f>
        <v>DA141387267</v>
      </c>
    </row>
    <row r="621" spans="1:23" ht="16.5" hidden="1">
      <c r="A621" s="81">
        <v>619</v>
      </c>
      <c r="B621" s="81" t="s">
        <v>1260</v>
      </c>
      <c r="C621" s="81" t="s">
        <v>1374</v>
      </c>
      <c r="D621" s="82" t="str">
        <f ca="1">OFFSET(Roster!$A$3,MATCH(表格1[[#This Row],[Location]]&amp;" "&amp;表格1[[#This Row],[Shop]]&amp;"*",Roster!$A$4:$A$72,0),DAY(表格1[[#This Row],[date]]),1,1)</f>
        <v>Ling Ho</v>
      </c>
      <c r="E621" s="81">
        <f>MONTH(表格1[[#This Row],[date]])</f>
        <v>3</v>
      </c>
      <c r="F621" s="101">
        <v>46097</v>
      </c>
      <c r="G621" s="81" t="str">
        <f>VLOOKUP("*"&amp;表格1[[#This Row],[Input]]&amp;"*",'Ref-List'!$B:$D,2,)</f>
        <v>TP-25DR2UHK(W)</v>
      </c>
      <c r="H621" s="81" t="str">
        <f>_xlfn.XLOOKUP(表格1[[#This Row],[Model]],表格3[Model-Input-Ref2],表格3[Product Line])</f>
        <v>電熱水瓶 (2.5公升)</v>
      </c>
      <c r="I621" s="81" t="str">
        <f>_xlfn.XLOOKUP(表格1[[#This Row],[Model]],表格3[Model-Input-Ref2],表格3[大小電])</f>
        <v>細電</v>
      </c>
      <c r="J621" s="81" t="str">
        <f>_xlfn.XLOOKUP(表格1[[#This Row],[Model]],表格3[Model-Input-Ref2],表格3[Code])</f>
        <v>SDA</v>
      </c>
      <c r="K621" s="82" t="s">
        <v>1285</v>
      </c>
      <c r="L621" s="81">
        <v>1</v>
      </c>
      <c r="M621" s="85">
        <v>398</v>
      </c>
      <c r="N621" s="85">
        <f>IFERROR(表格1[[#This Row],[QTY]]*表格1[[#This Row],[Unit Price]],"-")</f>
        <v>398</v>
      </c>
      <c r="O621" s="134">
        <v>444037</v>
      </c>
      <c r="P621" s="137"/>
      <c r="Q621" s="81"/>
      <c r="R621" s="81" t="str">
        <f>_xlfn.CONCAT(表格1[[#This Row],[Model]]," ",表格1[[#This Row],[inv no]])</f>
        <v>TP-25DR2UHK(W) 444037</v>
      </c>
      <c r="S621" s="135">
        <f>_xlfn.XLOOKUP(表格1[[#This Row],[Model]],表格3[Model-Input-Ref2],表格3[SRP PRICE])</f>
        <v>538</v>
      </c>
      <c r="T621" s="43">
        <f>表格1[[#This Row],[Unit Price]]/表格1[[#This Row],[SRP]]</f>
        <v>0.7397769516728625</v>
      </c>
      <c r="U621" s="86" t="str">
        <f>_xlfn.XLOOKUP(表格1[[#This Row],[Model]],表格3[Model-Input-Ref2],表格3[TOSHIBA/HIGHEST])</f>
        <v>Toshiba SRP</v>
      </c>
      <c r="V621" s="86" t="s">
        <v>1126</v>
      </c>
      <c r="W621" s="86" t="str">
        <f>_xlfn.CONCAT(表格1[[#This Row],[欄4]],表格1[[#This Row],[inv no]])</f>
        <v>DA141444037</v>
      </c>
    </row>
    <row r="622" spans="1:23" ht="16.5" hidden="1">
      <c r="A622" s="81">
        <v>620</v>
      </c>
      <c r="B622" s="81" t="s">
        <v>1260</v>
      </c>
      <c r="C622" s="81" t="s">
        <v>1374</v>
      </c>
      <c r="D622" s="82" t="str">
        <f ca="1">OFFSET(Roster!$A$3,MATCH(表格1[[#This Row],[Location]]&amp;" "&amp;表格1[[#This Row],[Shop]]&amp;"*",Roster!$A$4:$A$72,0),DAY(表格1[[#This Row],[date]]),1,1)</f>
        <v>Ling Ho</v>
      </c>
      <c r="E622" s="81">
        <f>MONTH(表格1[[#This Row],[date]])</f>
        <v>3</v>
      </c>
      <c r="F622" s="101">
        <v>46097</v>
      </c>
      <c r="G622" s="81" t="str">
        <f>VLOOKUP("*"&amp;表格1[[#This Row],[Input]]&amp;"*",'Ref-List'!$B:$D,2,)</f>
        <v>MWP-MM20P(WH)</v>
      </c>
      <c r="H622" s="81" t="str">
        <f>_xlfn.XLOOKUP(表格1[[#This Row],[Model]],表格3[Model-Input-Ref2],表格3[Product Line])</f>
        <v>旋鈕式燒烤微波爐20L</v>
      </c>
      <c r="I622" s="81" t="str">
        <f>_xlfn.XLOOKUP(表格1[[#This Row],[Model]],表格3[Model-Input-Ref2],表格3[大小電])</f>
        <v>細電</v>
      </c>
      <c r="J622" s="81" t="str">
        <f>_xlfn.XLOOKUP(表格1[[#This Row],[Model]],表格3[Model-Input-Ref2],表格3[Code])</f>
        <v>SDA</v>
      </c>
      <c r="K622" s="82" t="s">
        <v>1270</v>
      </c>
      <c r="L622" s="81">
        <v>1</v>
      </c>
      <c r="M622" s="85">
        <v>488</v>
      </c>
      <c r="N622" s="85">
        <f>IFERROR(表格1[[#This Row],[QTY]]*表格1[[#This Row],[Unit Price]],"-")</f>
        <v>488</v>
      </c>
      <c r="O622" s="134">
        <v>444251</v>
      </c>
      <c r="P622" s="137"/>
      <c r="Q622" s="81"/>
      <c r="R622" s="81" t="str">
        <f>_xlfn.CONCAT(表格1[[#This Row],[Model]]," ",表格1[[#This Row],[inv no]])</f>
        <v>MWP-MM20P(WH) 444251</v>
      </c>
      <c r="S622" s="135">
        <f>_xlfn.XLOOKUP(表格1[[#This Row],[Model]],表格3[Model-Input-Ref2],表格3[SRP PRICE])</f>
        <v>648</v>
      </c>
      <c r="T622" s="43">
        <f>表格1[[#This Row],[Unit Price]]/表格1[[#This Row],[SRP]]</f>
        <v>0.75308641975308643</v>
      </c>
      <c r="U622" s="86" t="str">
        <f>_xlfn.XLOOKUP(表格1[[#This Row],[Model]],表格3[Model-Input-Ref2],表格3[TOSHIBA/HIGHEST])</f>
        <v>Toshiba SRP</v>
      </c>
      <c r="V622" s="86" t="s">
        <v>1126</v>
      </c>
      <c r="W622" s="86" t="str">
        <f>_xlfn.CONCAT(表格1[[#This Row],[欄4]],表格1[[#This Row],[inv no]])</f>
        <v>DA141444251</v>
      </c>
    </row>
    <row r="623" spans="1:23" ht="16.5" hidden="1">
      <c r="A623" s="81">
        <v>621</v>
      </c>
      <c r="B623" s="81" t="s">
        <v>1260</v>
      </c>
      <c r="C623" s="81" t="s">
        <v>1374</v>
      </c>
      <c r="D623" s="82" t="str">
        <f ca="1">OFFSET(Roster!$A$3,MATCH(表格1[[#This Row],[Location]]&amp;" "&amp;表格1[[#This Row],[Shop]]&amp;"*",Roster!$A$4:$A$72,0),DAY(表格1[[#This Row],[date]]),1,1)</f>
        <v>Ling Ho</v>
      </c>
      <c r="E623" s="81">
        <f>MONTH(表格1[[#This Row],[date]])</f>
        <v>3</v>
      </c>
      <c r="F623" s="101">
        <v>46098</v>
      </c>
      <c r="G623" s="81" t="str">
        <f>VLOOKUP("*"&amp;表格1[[#This Row],[Input]]&amp;"*",'Ref-List'!$B:$D,2,)</f>
        <v>IC-20R1THK</v>
      </c>
      <c r="H623" s="81" t="str">
        <f>_xlfn.XLOOKUP(表格1[[#This Row],[Model]],表格3[Model-Input-Ref2],表格3[Product Line])</f>
        <v>輕便式電磁爐</v>
      </c>
      <c r="I623" s="81" t="str">
        <f>_xlfn.XLOOKUP(表格1[[#This Row],[Model]],表格3[Model-Input-Ref2],表格3[大小電])</f>
        <v>細電</v>
      </c>
      <c r="J623" s="81" t="str">
        <f>_xlfn.XLOOKUP(表格1[[#This Row],[Model]],表格3[Model-Input-Ref2],表格3[Code])</f>
        <v>SDA</v>
      </c>
      <c r="K623" s="82" t="s">
        <v>1243</v>
      </c>
      <c r="L623" s="81">
        <v>1</v>
      </c>
      <c r="M623" s="85">
        <v>298</v>
      </c>
      <c r="N623" s="85">
        <f>IFERROR(表格1[[#This Row],[QTY]]*表格1[[#This Row],[Unit Price]],"-")</f>
        <v>298</v>
      </c>
      <c r="O623" s="134">
        <v>444325</v>
      </c>
      <c r="P623" s="137"/>
      <c r="Q623" s="81"/>
      <c r="R623" s="81" t="str">
        <f>_xlfn.CONCAT(表格1[[#This Row],[Model]]," ",表格1[[#This Row],[inv no]])</f>
        <v>IC-20R1THK 444325</v>
      </c>
      <c r="S623" s="135">
        <f>_xlfn.XLOOKUP(表格1[[#This Row],[Model]],表格3[Model-Input-Ref2],表格3[SRP PRICE])</f>
        <v>438</v>
      </c>
      <c r="T623" s="43">
        <f>表格1[[#This Row],[Unit Price]]/表格1[[#This Row],[SRP]]</f>
        <v>0.68036529680365299</v>
      </c>
      <c r="U623" s="86" t="str">
        <f>_xlfn.XLOOKUP(表格1[[#This Row],[Model]],表格3[Model-Input-Ref2],表格3[TOSHIBA/HIGHEST])</f>
        <v>Shops Highest Price</v>
      </c>
      <c r="V623" s="86" t="s">
        <v>1126</v>
      </c>
      <c r="W623" s="86" t="str">
        <f>_xlfn.CONCAT(表格1[[#This Row],[欄4]],表格1[[#This Row],[inv no]])</f>
        <v>DA141444325</v>
      </c>
    </row>
    <row r="624" spans="1:23" ht="16.5" hidden="1">
      <c r="A624" s="81">
        <v>622</v>
      </c>
      <c r="B624" s="81" t="s">
        <v>1260</v>
      </c>
      <c r="C624" s="81" t="s">
        <v>1374</v>
      </c>
      <c r="D624" s="82" t="str">
        <f ca="1">OFFSET(Roster!$A$3,MATCH(表格1[[#This Row],[Location]]&amp;" "&amp;表格1[[#This Row],[Shop]]&amp;"*",Roster!$A$4:$A$72,0),DAY(表格1[[#This Row],[date]]),1,1)</f>
        <v>Ling Ho</v>
      </c>
      <c r="E624" s="81">
        <f>MONTH(表格1[[#This Row],[date]])</f>
        <v>3</v>
      </c>
      <c r="F624" s="101">
        <v>46098</v>
      </c>
      <c r="G624" s="81" t="str">
        <f>VLOOKUP("*"&amp;表格1[[#This Row],[Input]]&amp;"*",'Ref-List'!$B:$D,2,)</f>
        <v>MM2-EM20PC(WH)</v>
      </c>
      <c r="H624" s="81" t="str">
        <f>_xlfn.XLOOKUP(表格1[[#This Row],[Model]],表格3[Model-Input-Ref2],表格3[Product Line])</f>
        <v>輕觸式微波爐 (20公升)</v>
      </c>
      <c r="I624" s="81" t="str">
        <f>_xlfn.XLOOKUP(表格1[[#This Row],[Model]],表格3[Model-Input-Ref2],表格3[大小電])</f>
        <v>細電</v>
      </c>
      <c r="J624" s="81" t="str">
        <f>_xlfn.XLOOKUP(表格1[[#This Row],[Model]],表格3[Model-Input-Ref2],表格3[Code])</f>
        <v>MCA</v>
      </c>
      <c r="K624" s="82" t="s">
        <v>1276</v>
      </c>
      <c r="L624" s="81">
        <v>1</v>
      </c>
      <c r="M624" s="85">
        <v>598</v>
      </c>
      <c r="N624" s="85">
        <f>IFERROR(表格1[[#This Row],[QTY]]*表格1[[#This Row],[Unit Price]],"-")</f>
        <v>598</v>
      </c>
      <c r="O624" s="134">
        <v>387731</v>
      </c>
      <c r="P624" s="137"/>
      <c r="Q624" s="81"/>
      <c r="R624" s="81" t="str">
        <f>_xlfn.CONCAT(表格1[[#This Row],[Model]]," ",表格1[[#This Row],[inv no]])</f>
        <v>MM2-EM20PC(WH) 387731</v>
      </c>
      <c r="S624" s="135">
        <f>_xlfn.XLOOKUP(表格1[[#This Row],[Model]],表格3[Model-Input-Ref2],表格3[SRP PRICE])</f>
        <v>788</v>
      </c>
      <c r="T624" s="43">
        <f>表格1[[#This Row],[Unit Price]]/表格1[[#This Row],[SRP]]</f>
        <v>0.75888324873096447</v>
      </c>
      <c r="U624" s="86" t="str">
        <f>_xlfn.XLOOKUP(表格1[[#This Row],[Model]],表格3[Model-Input-Ref2],表格3[TOSHIBA/HIGHEST])</f>
        <v>Toshiba SRP</v>
      </c>
      <c r="V624" s="86" t="s">
        <v>1126</v>
      </c>
      <c r="W624" s="86" t="str">
        <f>_xlfn.CONCAT(表格1[[#This Row],[欄4]],表格1[[#This Row],[inv no]])</f>
        <v>DA141387731</v>
      </c>
    </row>
    <row r="625" spans="1:23" ht="16.5" hidden="1">
      <c r="A625" s="81">
        <v>623</v>
      </c>
      <c r="B625" s="81" t="s">
        <v>1260</v>
      </c>
      <c r="C625" s="81" t="s">
        <v>1374</v>
      </c>
      <c r="D625" s="82" t="str">
        <f ca="1">OFFSET(Roster!$A$3,MATCH(表格1[[#This Row],[Location]]&amp;" "&amp;表格1[[#This Row],[Shop]]&amp;"*",Roster!$A$4:$A$72,0),DAY(表格1[[#This Row],[date]]),1,1)</f>
        <v>Ling Ho</v>
      </c>
      <c r="E625" s="81">
        <f>MONTH(表格1[[#This Row],[date]])</f>
        <v>3</v>
      </c>
      <c r="F625" s="101">
        <v>46098</v>
      </c>
      <c r="G625" s="81" t="str">
        <f>VLOOKUP("*"&amp;表格1[[#This Row],[Input]]&amp;"*",'Ref-List'!$B:$D,2,)</f>
        <v>KT-15DRTHK(W)</v>
      </c>
      <c r="H625" s="81" t="str">
        <f>_xlfn.XLOOKUP(表格1[[#This Row],[Model]],表格3[Model-Input-Ref2],表格3[Product Line])</f>
        <v>無線雙層電熱水壺-附可鎖壺蓋</v>
      </c>
      <c r="I625" s="81" t="str">
        <f>_xlfn.XLOOKUP(表格1[[#This Row],[Model]],表格3[Model-Input-Ref2],表格3[大小電])</f>
        <v>細電</v>
      </c>
      <c r="J625" s="81" t="str">
        <f>_xlfn.XLOOKUP(表格1[[#This Row],[Model]],表格3[Model-Input-Ref2],表格3[Code])</f>
        <v>SDA</v>
      </c>
      <c r="K625" s="82" t="s">
        <v>1278</v>
      </c>
      <c r="L625" s="81">
        <v>1</v>
      </c>
      <c r="M625" s="85">
        <v>358</v>
      </c>
      <c r="N625" s="85">
        <f>IFERROR(表格1[[#This Row],[QTY]]*表格1[[#This Row],[Unit Price]],"-")</f>
        <v>358</v>
      </c>
      <c r="O625" s="134">
        <v>217023</v>
      </c>
      <c r="P625" s="137"/>
      <c r="Q625" s="81"/>
      <c r="R625" s="81" t="str">
        <f>_xlfn.CONCAT(表格1[[#This Row],[Model]]," ",表格1[[#This Row],[inv no]])</f>
        <v>KT-15DRTHK(W) 217023</v>
      </c>
      <c r="S625" s="135">
        <f>_xlfn.XLOOKUP(表格1[[#This Row],[Model]],表格3[Model-Input-Ref2],表格3[SRP PRICE])</f>
        <v>598</v>
      </c>
      <c r="T625" s="43">
        <f>表格1[[#This Row],[Unit Price]]/表格1[[#This Row],[SRP]]</f>
        <v>0.59866220735785958</v>
      </c>
      <c r="U625" s="86" t="str">
        <f>_xlfn.XLOOKUP(表格1[[#This Row],[Model]],表格3[Model-Input-Ref2],表格3[TOSHIBA/HIGHEST])</f>
        <v>Toshiba SRP</v>
      </c>
      <c r="V625" s="86" t="s">
        <v>1126</v>
      </c>
      <c r="W625" s="86" t="str">
        <f>_xlfn.CONCAT(表格1[[#This Row],[欄4]],表格1[[#This Row],[inv no]])</f>
        <v>DA141217023</v>
      </c>
    </row>
    <row r="626" spans="1:23" ht="16.5" hidden="1">
      <c r="A626" s="81">
        <v>624</v>
      </c>
      <c r="B626" s="81" t="s">
        <v>1260</v>
      </c>
      <c r="C626" s="81" t="s">
        <v>1374</v>
      </c>
      <c r="D626" s="82" t="str">
        <f ca="1">OFFSET(Roster!$A$3,MATCH(表格1[[#This Row],[Location]]&amp;" "&amp;表格1[[#This Row],[Shop]]&amp;"*",Roster!$A$4:$A$72,0),DAY(表格1[[#This Row],[date]]),1,1)</f>
        <v>Ling Ho</v>
      </c>
      <c r="E626" s="81">
        <f>MONTH(表格1[[#This Row],[date]])</f>
        <v>3</v>
      </c>
      <c r="F626" s="101">
        <v>46098</v>
      </c>
      <c r="G626" s="81" t="str">
        <f>VLOOKUP("*"&amp;表格1[[#This Row],[Input]]&amp;"*",'Ref-List'!$B:$D,2,)</f>
        <v>KT-15DRTHK(W)</v>
      </c>
      <c r="H626" s="81" t="str">
        <f>_xlfn.XLOOKUP(表格1[[#This Row],[Model]],表格3[Model-Input-Ref2],表格3[Product Line])</f>
        <v>無線雙層電熱水壺-附可鎖壺蓋</v>
      </c>
      <c r="I626" s="81" t="str">
        <f>_xlfn.XLOOKUP(表格1[[#This Row],[Model]],表格3[Model-Input-Ref2],表格3[大小電])</f>
        <v>細電</v>
      </c>
      <c r="J626" s="81" t="str">
        <f>_xlfn.XLOOKUP(表格1[[#This Row],[Model]],表格3[Model-Input-Ref2],表格3[Code])</f>
        <v>SDA</v>
      </c>
      <c r="K626" s="82" t="s">
        <v>1278</v>
      </c>
      <c r="L626" s="81">
        <v>1</v>
      </c>
      <c r="M626" s="85">
        <v>358</v>
      </c>
      <c r="N626" s="85">
        <f>IFERROR(表格1[[#This Row],[QTY]]*表格1[[#This Row],[Unit Price]],"-")</f>
        <v>358</v>
      </c>
      <c r="O626" s="134">
        <v>217037</v>
      </c>
      <c r="P626" s="137"/>
      <c r="Q626" s="81"/>
      <c r="R626" s="81" t="str">
        <f>_xlfn.CONCAT(表格1[[#This Row],[Model]]," ",表格1[[#This Row],[inv no]])</f>
        <v>KT-15DRTHK(W) 217037</v>
      </c>
      <c r="S626" s="135">
        <f>_xlfn.XLOOKUP(表格1[[#This Row],[Model]],表格3[Model-Input-Ref2],表格3[SRP PRICE])</f>
        <v>598</v>
      </c>
      <c r="T626" s="43">
        <f>表格1[[#This Row],[Unit Price]]/表格1[[#This Row],[SRP]]</f>
        <v>0.59866220735785958</v>
      </c>
      <c r="U626" s="86" t="str">
        <f>_xlfn.XLOOKUP(表格1[[#This Row],[Model]],表格3[Model-Input-Ref2],表格3[TOSHIBA/HIGHEST])</f>
        <v>Toshiba SRP</v>
      </c>
      <c r="V626" s="86" t="s">
        <v>1126</v>
      </c>
      <c r="W626" s="86" t="str">
        <f>_xlfn.CONCAT(表格1[[#This Row],[欄4]],表格1[[#This Row],[inv no]])</f>
        <v>DA141217037</v>
      </c>
    </row>
    <row r="627" spans="1:23" ht="16.5" hidden="1">
      <c r="A627" s="81">
        <v>625</v>
      </c>
      <c r="B627" s="81" t="s">
        <v>1260</v>
      </c>
      <c r="C627" s="81" t="s">
        <v>1374</v>
      </c>
      <c r="D627" s="82" t="str">
        <f ca="1">OFFSET(Roster!$A$3,MATCH(表格1[[#This Row],[Location]]&amp;" "&amp;表格1[[#This Row],[Shop]]&amp;"*",Roster!$A$4:$A$72,0),DAY(表格1[[#This Row],[date]]),1,1)</f>
        <v>Ling Ho</v>
      </c>
      <c r="E627" s="81">
        <f>MONTH(表格1[[#This Row],[date]])</f>
        <v>3</v>
      </c>
      <c r="F627" s="101">
        <v>46098</v>
      </c>
      <c r="G627" s="81" t="str">
        <f>VLOOKUP("*"&amp;表格1[[#This Row],[Input]]&amp;"*",'Ref-List'!$B:$D,2,)</f>
        <v>RAD-D300H</v>
      </c>
      <c r="H627" s="81" t="str">
        <f>_xlfn.XLOOKUP(表格1[[#This Row],[Model]],表格3[Model-Input-Ref2],表格3[Product Line])</f>
        <v>壓縮式抽濕機 (30公升)</v>
      </c>
      <c r="I627" s="81" t="str">
        <f>_xlfn.XLOOKUP(表格1[[#This Row],[Model]],表格3[Model-Input-Ref2],表格3[大小電])</f>
        <v>細電</v>
      </c>
      <c r="J627" s="81" t="str">
        <f>_xlfn.XLOOKUP(表格1[[#This Row],[Model]],表格3[Model-Input-Ref2],表格3[Code])</f>
        <v>RAC</v>
      </c>
      <c r="K627" s="82" t="s">
        <v>1252</v>
      </c>
      <c r="L627" s="81">
        <v>1</v>
      </c>
      <c r="M627" s="85">
        <v>2280</v>
      </c>
      <c r="N627" s="85">
        <f>IFERROR(表格1[[#This Row],[QTY]]*表格1[[#This Row],[Unit Price]],"-")</f>
        <v>2280</v>
      </c>
      <c r="O627" s="134">
        <v>217061</v>
      </c>
      <c r="P627" s="137"/>
      <c r="Q627" s="81"/>
      <c r="R627" s="81" t="str">
        <f>_xlfn.CONCAT(表格1[[#This Row],[Model]]," ",表格1[[#This Row],[inv no]])</f>
        <v>RAD-D300H 217061</v>
      </c>
      <c r="S627" s="135">
        <f>_xlfn.XLOOKUP(表格1[[#This Row],[Model]],表格3[Model-Input-Ref2],表格3[SRP PRICE])</f>
        <v>3380</v>
      </c>
      <c r="T627" s="43">
        <f>表格1[[#This Row],[Unit Price]]/表格1[[#This Row],[SRP]]</f>
        <v>0.67455621301775148</v>
      </c>
      <c r="U627" s="86" t="str">
        <f>_xlfn.XLOOKUP(表格1[[#This Row],[Model]],表格3[Model-Input-Ref2],表格3[TOSHIBA/HIGHEST])</f>
        <v>Shops Highest Price</v>
      </c>
      <c r="V627" s="86" t="s">
        <v>1126</v>
      </c>
      <c r="W627" s="86" t="str">
        <f>_xlfn.CONCAT(表格1[[#This Row],[欄4]],表格1[[#This Row],[inv no]])</f>
        <v>DA141217061</v>
      </c>
    </row>
    <row r="628" spans="1:23" ht="16.5" hidden="1">
      <c r="A628" s="81">
        <v>626</v>
      </c>
      <c r="B628" s="81" t="s">
        <v>1260</v>
      </c>
      <c r="C628" s="81" t="s">
        <v>1374</v>
      </c>
      <c r="D628" s="82" t="str">
        <f ca="1">OFFSET(Roster!$A$3,MATCH(表格1[[#This Row],[Location]]&amp;" "&amp;表格1[[#This Row],[Shop]]&amp;"*",Roster!$A$4:$A$72,0),DAY(表格1[[#This Row],[date]]),1,1)</f>
        <v>Ling Ho</v>
      </c>
      <c r="E628" s="81">
        <f>MONTH(表格1[[#This Row],[date]])</f>
        <v>3</v>
      </c>
      <c r="F628" s="101">
        <v>46098</v>
      </c>
      <c r="G628" s="81" t="str">
        <f>VLOOKUP("*"&amp;表格1[[#This Row],[Input]]&amp;"*",'Ref-List'!$B:$D,2,)</f>
        <v>MM-2MM20PC(WH)</v>
      </c>
      <c r="H628" s="81" t="str">
        <f>_xlfn.XLOOKUP(表格1[[#This Row],[Model]],表格3[Model-Input-Ref2],表格3[Product Line])</f>
        <v>旋鈕式微波爐 (20公升)</v>
      </c>
      <c r="I628" s="81" t="str">
        <f>_xlfn.XLOOKUP(表格1[[#This Row],[Model]],表格3[Model-Input-Ref2],表格3[大小電])</f>
        <v>細電</v>
      </c>
      <c r="J628" s="81" t="str">
        <f>_xlfn.XLOOKUP(表格1[[#This Row],[Model]],表格3[Model-Input-Ref2],表格3[Code])</f>
        <v>MCA</v>
      </c>
      <c r="K628" s="82" t="s">
        <v>1388</v>
      </c>
      <c r="L628" s="81">
        <v>1</v>
      </c>
      <c r="M628" s="85">
        <v>628</v>
      </c>
      <c r="N628" s="85">
        <f>IFERROR(表格1[[#This Row],[QTY]]*表格1[[#This Row],[Unit Price]],"-")</f>
        <v>628</v>
      </c>
      <c r="O628" s="134">
        <v>387825</v>
      </c>
      <c r="P628" s="137"/>
      <c r="Q628" s="81"/>
      <c r="R628" s="81" t="str">
        <f>_xlfn.CONCAT(表格1[[#This Row],[Model]]," ",表格1[[#This Row],[inv no]])</f>
        <v>MM-2MM20PC(WH) 387825</v>
      </c>
      <c r="S628" s="135">
        <f>_xlfn.XLOOKUP(表格1[[#This Row],[Model]],表格3[Model-Input-Ref2],表格3[SRP PRICE])</f>
        <v>738</v>
      </c>
      <c r="T628" s="43">
        <f>表格1[[#This Row],[Unit Price]]/表格1[[#This Row],[SRP]]</f>
        <v>0.85094850948509482</v>
      </c>
      <c r="U628" s="86" t="str">
        <f>_xlfn.XLOOKUP(表格1[[#This Row],[Model]],表格3[Model-Input-Ref2],表格3[TOSHIBA/HIGHEST])</f>
        <v>Toshiba SRP</v>
      </c>
      <c r="V628" s="86" t="s">
        <v>1126</v>
      </c>
      <c r="W628" s="86" t="str">
        <f>_xlfn.CONCAT(表格1[[#This Row],[欄4]],表格1[[#This Row],[inv no]])</f>
        <v>DA141387825</v>
      </c>
    </row>
    <row r="629" spans="1:23" ht="16.5" hidden="1">
      <c r="A629" s="81">
        <v>627</v>
      </c>
      <c r="B629" s="81" t="s">
        <v>1260</v>
      </c>
      <c r="C629" s="81" t="s">
        <v>1374</v>
      </c>
      <c r="D629" s="82" t="str">
        <f ca="1">OFFSET(Roster!$A$3,MATCH(表格1[[#This Row],[Location]]&amp;" "&amp;表格1[[#This Row],[Shop]]&amp;"*",Roster!$A$4:$A$72,0),DAY(表格1[[#This Row],[date]]),1,1)</f>
        <v>Ling Ho</v>
      </c>
      <c r="E629" s="81">
        <f>MONTH(表格1[[#This Row],[date]])</f>
        <v>3</v>
      </c>
      <c r="F629" s="101">
        <v>46098</v>
      </c>
      <c r="G629" s="81" t="str">
        <f>VLOOKUP("*"&amp;表格1[[#This Row],[Input]]&amp;"*",'Ref-List'!$B:$D,2,)</f>
        <v>KT-15DRTHK(W)</v>
      </c>
      <c r="H629" s="81" t="str">
        <f>_xlfn.XLOOKUP(表格1[[#This Row],[Model]],表格3[Model-Input-Ref2],表格3[Product Line])</f>
        <v>無線雙層電熱水壺-附可鎖壺蓋</v>
      </c>
      <c r="I629" s="81" t="str">
        <f>_xlfn.XLOOKUP(表格1[[#This Row],[Model]],表格3[Model-Input-Ref2],表格3[大小電])</f>
        <v>細電</v>
      </c>
      <c r="J629" s="81" t="str">
        <f>_xlfn.XLOOKUP(表格1[[#This Row],[Model]],表格3[Model-Input-Ref2],表格3[Code])</f>
        <v>SDA</v>
      </c>
      <c r="K629" s="82" t="s">
        <v>1278</v>
      </c>
      <c r="L629" s="81">
        <v>1</v>
      </c>
      <c r="M629" s="85">
        <v>358</v>
      </c>
      <c r="N629" s="85">
        <f>IFERROR(表格1[[#This Row],[QTY]]*表格1[[#This Row],[Unit Price]],"-")</f>
        <v>358</v>
      </c>
      <c r="O629" s="134">
        <v>217088</v>
      </c>
      <c r="P629" s="137"/>
      <c r="Q629" s="81"/>
      <c r="R629" s="81" t="str">
        <f>_xlfn.CONCAT(表格1[[#This Row],[Model]]," ",表格1[[#This Row],[inv no]])</f>
        <v>KT-15DRTHK(W) 217088</v>
      </c>
      <c r="S629" s="135">
        <f>_xlfn.XLOOKUP(表格1[[#This Row],[Model]],表格3[Model-Input-Ref2],表格3[SRP PRICE])</f>
        <v>598</v>
      </c>
      <c r="T629" s="43">
        <f>表格1[[#This Row],[Unit Price]]/表格1[[#This Row],[SRP]]</f>
        <v>0.59866220735785958</v>
      </c>
      <c r="U629" s="86" t="str">
        <f>_xlfn.XLOOKUP(表格1[[#This Row],[Model]],表格3[Model-Input-Ref2],表格3[TOSHIBA/HIGHEST])</f>
        <v>Toshiba SRP</v>
      </c>
      <c r="V629" s="86" t="s">
        <v>1126</v>
      </c>
      <c r="W629" s="86" t="str">
        <f>_xlfn.CONCAT(表格1[[#This Row],[欄4]],表格1[[#This Row],[inv no]])</f>
        <v>DA141217088</v>
      </c>
    </row>
    <row r="630" spans="1:23" ht="16.5" hidden="1">
      <c r="A630" s="81">
        <v>628</v>
      </c>
      <c r="B630" s="81" t="s">
        <v>1260</v>
      </c>
      <c r="C630" s="81" t="s">
        <v>1374</v>
      </c>
      <c r="D630" s="82" t="str">
        <f ca="1">OFFSET(Roster!$A$3,MATCH(表格1[[#This Row],[Location]]&amp;" "&amp;表格1[[#This Row],[Shop]]&amp;"*",Roster!$A$4:$A$72,0),DAY(表格1[[#This Row],[date]]),1,1)</f>
        <v>Ling Ho</v>
      </c>
      <c r="E630" s="81">
        <f>MONTH(表格1[[#This Row],[date]])</f>
        <v>3</v>
      </c>
      <c r="F630" s="101">
        <v>46098</v>
      </c>
      <c r="G630" s="81" t="str">
        <f>VLOOKUP("*"&amp;表格1[[#This Row],[Input]]&amp;"*",'Ref-List'!$B:$D,2,)</f>
        <v>TP-50DRUHK(W)</v>
      </c>
      <c r="H630" s="81" t="str">
        <f>_xlfn.XLOOKUP(表格1[[#This Row],[Model]],表格3[Model-Input-Ref2],表格3[Product Line])</f>
        <v>電熱水瓶 (5公升)</v>
      </c>
      <c r="I630" s="81" t="str">
        <f>_xlfn.XLOOKUP(表格1[[#This Row],[Model]],表格3[Model-Input-Ref2],表格3[大小電])</f>
        <v>細電</v>
      </c>
      <c r="J630" s="81" t="str">
        <f>_xlfn.XLOOKUP(表格1[[#This Row],[Model]],表格3[Model-Input-Ref2],表格3[Code])</f>
        <v>SDA</v>
      </c>
      <c r="K630" s="82" t="s">
        <v>1277</v>
      </c>
      <c r="L630" s="81">
        <v>1</v>
      </c>
      <c r="M630" s="85">
        <v>628</v>
      </c>
      <c r="N630" s="85">
        <f>IFERROR(表格1[[#This Row],[QTY]]*表格1[[#This Row],[Unit Price]],"-")</f>
        <v>628</v>
      </c>
      <c r="O630" s="134">
        <v>444493</v>
      </c>
      <c r="P630" s="137"/>
      <c r="Q630" s="81"/>
      <c r="R630" s="81" t="str">
        <f>_xlfn.CONCAT(表格1[[#This Row],[Model]]," ",表格1[[#This Row],[inv no]])</f>
        <v>TP-50DRUHK(W) 444493</v>
      </c>
      <c r="S630" s="135">
        <f>_xlfn.XLOOKUP(表格1[[#This Row],[Model]],表格3[Model-Input-Ref2],表格3[SRP PRICE])</f>
        <v>718</v>
      </c>
      <c r="T630" s="43">
        <f>表格1[[#This Row],[Unit Price]]/表格1[[#This Row],[SRP]]</f>
        <v>0.87465181058495822</v>
      </c>
      <c r="U630" s="86" t="str">
        <f>_xlfn.XLOOKUP(表格1[[#This Row],[Model]],表格3[Model-Input-Ref2],表格3[TOSHIBA/HIGHEST])</f>
        <v>Toshiba SRP</v>
      </c>
      <c r="V630" s="86" t="s">
        <v>1126</v>
      </c>
      <c r="W630" s="86" t="str">
        <f>_xlfn.CONCAT(表格1[[#This Row],[欄4]],表格1[[#This Row],[inv no]])</f>
        <v>DA141444493</v>
      </c>
    </row>
    <row r="631" spans="1:23" ht="16.5" hidden="1">
      <c r="A631" s="81">
        <v>629</v>
      </c>
      <c r="B631" s="81" t="s">
        <v>1260</v>
      </c>
      <c r="C631" s="81" t="s">
        <v>1374</v>
      </c>
      <c r="D631" s="82" t="str">
        <f ca="1">OFFSET(Roster!$A$3,MATCH(表格1[[#This Row],[Location]]&amp;" "&amp;表格1[[#This Row],[Shop]]&amp;"*",Roster!$A$4:$A$72,0),DAY(表格1[[#This Row],[date]]),1,1)</f>
        <v>Ling Ho</v>
      </c>
      <c r="E631" s="81">
        <f>MONTH(表格1[[#This Row],[date]])</f>
        <v>3</v>
      </c>
      <c r="F631" s="101">
        <v>46098</v>
      </c>
      <c r="G631" s="81" t="str">
        <f>VLOOKUP("*"&amp;表格1[[#This Row],[Input]]&amp;"*",'Ref-List'!$B:$D,2,)</f>
        <v>TP-25DR2UHK(W)</v>
      </c>
      <c r="H631" s="81" t="str">
        <f>_xlfn.XLOOKUP(表格1[[#This Row],[Model]],表格3[Model-Input-Ref2],表格3[Product Line])</f>
        <v>電熱水瓶 (2.5公升)</v>
      </c>
      <c r="I631" s="81" t="str">
        <f>_xlfn.XLOOKUP(表格1[[#This Row],[Model]],表格3[Model-Input-Ref2],表格3[大小電])</f>
        <v>細電</v>
      </c>
      <c r="J631" s="81" t="str">
        <f>_xlfn.XLOOKUP(表格1[[#This Row],[Model]],表格3[Model-Input-Ref2],表格3[Code])</f>
        <v>SDA</v>
      </c>
      <c r="K631" s="82" t="s">
        <v>1285</v>
      </c>
      <c r="L631" s="81">
        <v>1</v>
      </c>
      <c r="M631" s="85">
        <v>398</v>
      </c>
      <c r="N631" s="85">
        <f>IFERROR(表格1[[#This Row],[QTY]]*表格1[[#This Row],[Unit Price]],"-")</f>
        <v>398</v>
      </c>
      <c r="O631" s="134">
        <v>444500</v>
      </c>
      <c r="P631" s="137"/>
      <c r="Q631" s="81"/>
      <c r="R631" s="81" t="str">
        <f>_xlfn.CONCAT(表格1[[#This Row],[Model]]," ",表格1[[#This Row],[inv no]])</f>
        <v>TP-25DR2UHK(W) 444500</v>
      </c>
      <c r="S631" s="135">
        <f>_xlfn.XLOOKUP(表格1[[#This Row],[Model]],表格3[Model-Input-Ref2],表格3[SRP PRICE])</f>
        <v>538</v>
      </c>
      <c r="T631" s="43">
        <f>表格1[[#This Row],[Unit Price]]/表格1[[#This Row],[SRP]]</f>
        <v>0.7397769516728625</v>
      </c>
      <c r="U631" s="86" t="str">
        <f>_xlfn.XLOOKUP(表格1[[#This Row],[Model]],表格3[Model-Input-Ref2],表格3[TOSHIBA/HIGHEST])</f>
        <v>Toshiba SRP</v>
      </c>
      <c r="V631" s="86" t="s">
        <v>1126</v>
      </c>
      <c r="W631" s="86" t="str">
        <f>_xlfn.CONCAT(表格1[[#This Row],[欄4]],表格1[[#This Row],[inv no]])</f>
        <v>DA141444500</v>
      </c>
    </row>
    <row r="632" spans="1:23" ht="16.5" hidden="1">
      <c r="A632" s="81">
        <v>630</v>
      </c>
      <c r="B632" s="81" t="s">
        <v>1260</v>
      </c>
      <c r="C632" s="81" t="s">
        <v>1374</v>
      </c>
      <c r="D632" s="82" t="str">
        <f ca="1">OFFSET(Roster!$A$3,MATCH(表格1[[#This Row],[Location]]&amp;" "&amp;表格1[[#This Row],[Shop]]&amp;"*",Roster!$A$4:$A$72,0),DAY(表格1[[#This Row],[date]]),1,1)</f>
        <v>Ling Ho off</v>
      </c>
      <c r="E632" s="81">
        <f>MONTH(表格1[[#This Row],[date]])</f>
        <v>3</v>
      </c>
      <c r="F632" s="101">
        <v>46099</v>
      </c>
      <c r="G632" s="81" t="str">
        <f>VLOOKUP("*"&amp;表格1[[#This Row],[Input]]&amp;"*",'Ref-List'!$B:$D,2,)</f>
        <v>RC-DR10T(W)</v>
      </c>
      <c r="H632" s="81" t="str">
        <f>_xlfn.XLOOKUP(表格1[[#This Row],[Model]],表格3[Model-Input-Ref2],表格3[Product Line])</f>
        <v>IH磁應電飯煲</v>
      </c>
      <c r="I632" s="81" t="str">
        <f>_xlfn.XLOOKUP(表格1[[#This Row],[Model]],表格3[Model-Input-Ref2],表格3[大小電])</f>
        <v>細電</v>
      </c>
      <c r="J632" s="81" t="str">
        <f>_xlfn.XLOOKUP(表格1[[#This Row],[Model]],表格3[Model-Input-Ref2],表格3[Code])</f>
        <v>SDA</v>
      </c>
      <c r="K632" s="82" t="s">
        <v>1294</v>
      </c>
      <c r="L632" s="81">
        <v>1</v>
      </c>
      <c r="M632" s="85">
        <v>2380</v>
      </c>
      <c r="N632" s="85">
        <f>IFERROR(表格1[[#This Row],[QTY]]*表格1[[#This Row],[Unit Price]],"-")</f>
        <v>2380</v>
      </c>
      <c r="O632" s="134">
        <v>387916</v>
      </c>
      <c r="P632" s="137"/>
      <c r="Q632" s="81"/>
      <c r="R632" s="81" t="str">
        <f>_xlfn.CONCAT(表格1[[#This Row],[Model]]," ",表格1[[#This Row],[inv no]])</f>
        <v>RC-DR10T(W) 387916</v>
      </c>
      <c r="S632" s="135">
        <f>_xlfn.XLOOKUP(表格1[[#This Row],[Model]],表格3[Model-Input-Ref2],表格3[SRP PRICE])</f>
        <v>3188</v>
      </c>
      <c r="T632" s="43">
        <f>表格1[[#This Row],[Unit Price]]/表格1[[#This Row],[SRP]]</f>
        <v>0.74654956085319946</v>
      </c>
      <c r="U632" s="86" t="str">
        <f>_xlfn.XLOOKUP(表格1[[#This Row],[Model]],表格3[Model-Input-Ref2],表格3[TOSHIBA/HIGHEST])</f>
        <v>Toshiba SRP</v>
      </c>
      <c r="V632" s="86" t="s">
        <v>1126</v>
      </c>
      <c r="W632" s="86" t="str">
        <f>_xlfn.CONCAT(表格1[[#This Row],[欄4]],表格1[[#This Row],[inv no]])</f>
        <v>DA141387916</v>
      </c>
    </row>
    <row r="633" spans="1:23" ht="16.5" hidden="1">
      <c r="A633" s="81">
        <v>631</v>
      </c>
      <c r="B633" s="81" t="s">
        <v>1260</v>
      </c>
      <c r="C633" s="81" t="s">
        <v>1374</v>
      </c>
      <c r="D633" s="82" t="str">
        <f ca="1">OFFSET(Roster!$A$3,MATCH(表格1[[#This Row],[Location]]&amp;" "&amp;表格1[[#This Row],[Shop]]&amp;"*",Roster!$A$4:$A$72,0),DAY(表格1[[#This Row],[date]]),1,1)</f>
        <v>Ling Ho off</v>
      </c>
      <c r="E633" s="81">
        <f>MONTH(表格1[[#This Row],[date]])</f>
        <v>3</v>
      </c>
      <c r="F633" s="101">
        <v>46099</v>
      </c>
      <c r="G633" s="81" t="str">
        <f>VLOOKUP("*"&amp;表格1[[#This Row],[Input]]&amp;"*",'Ref-List'!$B:$D,2,)</f>
        <v>RC-5MMIH(WT)</v>
      </c>
      <c r="H633" s="81" t="str">
        <f>_xlfn.XLOOKUP(表格1[[#This Row],[Model]],表格3[Model-Input-Ref2],表格3[Product Line])</f>
        <v>4毫米厚釜電飯煲0.54L</v>
      </c>
      <c r="I633" s="81" t="str">
        <f>_xlfn.XLOOKUP(表格1[[#This Row],[Model]],表格3[Model-Input-Ref2],表格3[大小電])</f>
        <v>細電</v>
      </c>
      <c r="J633" s="81" t="str">
        <f>_xlfn.XLOOKUP(表格1[[#This Row],[Model]],表格3[Model-Input-Ref2],表格3[Code])</f>
        <v>SDA</v>
      </c>
      <c r="K633" s="82" t="s">
        <v>1195</v>
      </c>
      <c r="L633" s="81">
        <v>1</v>
      </c>
      <c r="M633" s="85">
        <v>548</v>
      </c>
      <c r="N633" s="85">
        <f>IFERROR(表格1[[#This Row],[QTY]]*表格1[[#This Row],[Unit Price]],"-")</f>
        <v>548</v>
      </c>
      <c r="O633" s="134">
        <v>444555</v>
      </c>
      <c r="P633" s="137"/>
      <c r="Q633" s="81"/>
      <c r="R633" s="81" t="str">
        <f>_xlfn.CONCAT(表格1[[#This Row],[Model]]," ",表格1[[#This Row],[inv no]])</f>
        <v>RC-5MMIH(WT) 444555</v>
      </c>
      <c r="S633" s="135">
        <f>_xlfn.XLOOKUP(表格1[[#This Row],[Model]],表格3[Model-Input-Ref2],表格3[SRP PRICE])</f>
        <v>618</v>
      </c>
      <c r="T633" s="43">
        <f>表格1[[#This Row],[Unit Price]]/表格1[[#This Row],[SRP]]</f>
        <v>0.88673139158576053</v>
      </c>
      <c r="U633" s="86" t="str">
        <f>_xlfn.XLOOKUP(表格1[[#This Row],[Model]],表格3[Model-Input-Ref2],表格3[TOSHIBA/HIGHEST])</f>
        <v>Toshiba SRP</v>
      </c>
      <c r="V633" s="86" t="s">
        <v>1126</v>
      </c>
      <c r="W633" s="86" t="str">
        <f>_xlfn.CONCAT(表格1[[#This Row],[欄4]],表格1[[#This Row],[inv no]])</f>
        <v>DA141444555</v>
      </c>
    </row>
    <row r="634" spans="1:23" ht="16.5" hidden="1">
      <c r="A634" s="81">
        <v>632</v>
      </c>
      <c r="B634" s="81" t="s">
        <v>1260</v>
      </c>
      <c r="C634" s="81" t="s">
        <v>1374</v>
      </c>
      <c r="D634" s="82" t="str">
        <f ca="1">OFFSET(Roster!$A$3,MATCH(表格1[[#This Row],[Location]]&amp;" "&amp;表格1[[#This Row],[Shop]]&amp;"*",Roster!$A$4:$A$72,0),DAY(表格1[[#This Row],[date]]),1,1)</f>
        <v>Ling Ho</v>
      </c>
      <c r="E634" s="81">
        <f>MONTH(表格1[[#This Row],[date]])</f>
        <v>3</v>
      </c>
      <c r="F634" s="101">
        <v>46101</v>
      </c>
      <c r="G634" s="81" t="str">
        <f>VLOOKUP("*"&amp;表格1[[#This Row],[Input]]&amp;"*",'Ref-List'!$B:$D,2,)</f>
        <v>RAD-D300H</v>
      </c>
      <c r="H634" s="81" t="str">
        <f>_xlfn.XLOOKUP(表格1[[#This Row],[Model]],表格3[Model-Input-Ref2],表格3[Product Line])</f>
        <v>壓縮式抽濕機 (30公升)</v>
      </c>
      <c r="I634" s="81" t="str">
        <f>_xlfn.XLOOKUP(表格1[[#This Row],[Model]],表格3[Model-Input-Ref2],表格3[大小電])</f>
        <v>細電</v>
      </c>
      <c r="J634" s="81" t="str">
        <f>_xlfn.XLOOKUP(表格1[[#This Row],[Model]],表格3[Model-Input-Ref2],表格3[Code])</f>
        <v>RAC</v>
      </c>
      <c r="K634" s="82" t="s">
        <v>1252</v>
      </c>
      <c r="L634" s="81">
        <v>1</v>
      </c>
      <c r="M634" s="85">
        <v>2280</v>
      </c>
      <c r="N634" s="85">
        <f>IFERROR(表格1[[#This Row],[QTY]]*表格1[[#This Row],[Unit Price]],"-")</f>
        <v>2280</v>
      </c>
      <c r="O634" s="134">
        <v>388281</v>
      </c>
      <c r="P634" s="137"/>
      <c r="Q634" s="81"/>
      <c r="R634" s="81" t="str">
        <f>_xlfn.CONCAT(表格1[[#This Row],[Model]]," ",表格1[[#This Row],[inv no]])</f>
        <v>RAD-D300H 388281</v>
      </c>
      <c r="S634" s="135">
        <f>_xlfn.XLOOKUP(表格1[[#This Row],[Model]],表格3[Model-Input-Ref2],表格3[SRP PRICE])</f>
        <v>3380</v>
      </c>
      <c r="T634" s="43">
        <f>表格1[[#This Row],[Unit Price]]/表格1[[#This Row],[SRP]]</f>
        <v>0.67455621301775148</v>
      </c>
      <c r="U634" s="86" t="str">
        <f>_xlfn.XLOOKUP(表格1[[#This Row],[Model]],表格3[Model-Input-Ref2],表格3[TOSHIBA/HIGHEST])</f>
        <v>Shops Highest Price</v>
      </c>
      <c r="V634" s="86" t="s">
        <v>1126</v>
      </c>
      <c r="W634" s="86" t="str">
        <f>_xlfn.CONCAT(表格1[[#This Row],[欄4]],表格1[[#This Row],[inv no]])</f>
        <v>DA141388281</v>
      </c>
    </row>
    <row r="635" spans="1:23" ht="16.5" hidden="1">
      <c r="A635" s="81">
        <v>633</v>
      </c>
      <c r="B635" s="81" t="s">
        <v>1260</v>
      </c>
      <c r="C635" s="81" t="s">
        <v>1374</v>
      </c>
      <c r="D635" s="82" t="str">
        <f ca="1">OFFSET(Roster!$A$3,MATCH(表格1[[#This Row],[Location]]&amp;" "&amp;表格1[[#This Row],[Shop]]&amp;"*",Roster!$A$4:$A$72,0),DAY(表格1[[#This Row],[date]]),1,1)</f>
        <v>Ling Ho</v>
      </c>
      <c r="E635" s="81">
        <f>MONTH(表格1[[#This Row],[date]])</f>
        <v>3</v>
      </c>
      <c r="F635" s="101">
        <v>46101</v>
      </c>
      <c r="G635" s="81" t="str">
        <f>VLOOKUP("*"&amp;表格1[[#This Row],[Input]]&amp;"*",'Ref-List'!$B:$D,2,)</f>
        <v>RC-18NMFIH(WT)</v>
      </c>
      <c r="H635" s="81" t="str">
        <f>_xlfn.XLOOKUP(表格1[[#This Row],[Model]],表格3[Model-Input-Ref2],表格3[Product Line])</f>
        <v>4毫米厚釜電飯煲1.8L</v>
      </c>
      <c r="I635" s="81" t="str">
        <f>_xlfn.XLOOKUP(表格1[[#This Row],[Model]],表格3[Model-Input-Ref2],表格3[大小電])</f>
        <v>細電</v>
      </c>
      <c r="J635" s="81" t="str">
        <f>_xlfn.XLOOKUP(表格1[[#This Row],[Model]],表格3[Model-Input-Ref2],表格3[Code])</f>
        <v>SDA</v>
      </c>
      <c r="K635" s="82" t="s">
        <v>1267</v>
      </c>
      <c r="L635" s="81">
        <v>1</v>
      </c>
      <c r="M635" s="85">
        <v>799</v>
      </c>
      <c r="N635" s="85">
        <f>IFERROR(表格1[[#This Row],[QTY]]*表格1[[#This Row],[Unit Price]],"-")</f>
        <v>799</v>
      </c>
      <c r="O635" s="134">
        <v>388311</v>
      </c>
      <c r="P635" s="137"/>
      <c r="Q635" s="81"/>
      <c r="R635" s="81" t="str">
        <f>_xlfn.CONCAT(表格1[[#This Row],[Model]]," ",表格1[[#This Row],[inv no]])</f>
        <v>RC-18NMFIH(WT) 388311</v>
      </c>
      <c r="S635" s="135">
        <f>_xlfn.XLOOKUP(表格1[[#This Row],[Model]],表格3[Model-Input-Ref2],表格3[SRP PRICE])</f>
        <v>998</v>
      </c>
      <c r="T635" s="43">
        <f>表格1[[#This Row],[Unit Price]]/表格1[[#This Row],[SRP]]</f>
        <v>0.80060120240480959</v>
      </c>
      <c r="U635" s="86" t="str">
        <f>_xlfn.XLOOKUP(表格1[[#This Row],[Model]],表格3[Model-Input-Ref2],表格3[TOSHIBA/HIGHEST])</f>
        <v>Toshiba SRP</v>
      </c>
      <c r="V635" s="86" t="s">
        <v>1126</v>
      </c>
      <c r="W635" s="86" t="str">
        <f>_xlfn.CONCAT(表格1[[#This Row],[欄4]],表格1[[#This Row],[inv no]])</f>
        <v>DA141388311</v>
      </c>
    </row>
    <row r="636" spans="1:23" ht="16.5" hidden="1">
      <c r="A636" s="81">
        <v>634</v>
      </c>
      <c r="B636" s="81" t="s">
        <v>1260</v>
      </c>
      <c r="C636" s="81" t="s">
        <v>1374</v>
      </c>
      <c r="D636" s="82" t="str">
        <f ca="1">OFFSET(Roster!$A$3,MATCH(表格1[[#This Row],[Location]]&amp;" "&amp;表格1[[#This Row],[Shop]]&amp;"*",Roster!$A$4:$A$72,0),DAY(表格1[[#This Row],[date]]),1,1)</f>
        <v>Ling Ho</v>
      </c>
      <c r="E636" s="81">
        <f>MONTH(表格1[[#This Row],[date]])</f>
        <v>3</v>
      </c>
      <c r="F636" s="101">
        <v>46101</v>
      </c>
      <c r="G636" s="81" t="str">
        <f>VLOOKUP("*"&amp;表格1[[#This Row],[Input]]&amp;"*",'Ref-List'!$B:$D,2,)</f>
        <v>KT-08DH1VHK(W)</v>
      </c>
      <c r="H636" s="81" t="str">
        <f>_xlfn.XLOOKUP(表格1[[#This Row],[Model]],表格3[Model-Input-Ref2],表格3[Product Line])</f>
        <v>無線雙層電熱水壺-附可鎖壺蓋(0.8公升)</v>
      </c>
      <c r="I636" s="81" t="str">
        <f>_xlfn.XLOOKUP(表格1[[#This Row],[Model]],表格3[Model-Input-Ref2],表格3[大小電])</f>
        <v>細電</v>
      </c>
      <c r="J636" s="81" t="str">
        <f>_xlfn.XLOOKUP(表格1[[#This Row],[Model]],表格3[Model-Input-Ref2],表格3[Code])</f>
        <v>SDA</v>
      </c>
      <c r="K636" s="82" t="s">
        <v>1268</v>
      </c>
      <c r="L636" s="81">
        <v>1</v>
      </c>
      <c r="M636" s="85">
        <v>268</v>
      </c>
      <c r="N636" s="85">
        <f>IFERROR(表格1[[#This Row],[QTY]]*表格1[[#This Row],[Unit Price]],"-")</f>
        <v>268</v>
      </c>
      <c r="O636" s="134">
        <v>444970</v>
      </c>
      <c r="P636" s="137"/>
      <c r="Q636" s="81"/>
      <c r="R636" s="81" t="str">
        <f>_xlfn.CONCAT(表格1[[#This Row],[Model]]," ",表格1[[#This Row],[inv no]])</f>
        <v>KT-08DH1VHK(W) 444970</v>
      </c>
      <c r="S636" s="135">
        <f>_xlfn.XLOOKUP(表格1[[#This Row],[Model]],表格3[Model-Input-Ref2],表格3[SRP PRICE])</f>
        <v>428</v>
      </c>
      <c r="T636" s="43">
        <f>表格1[[#This Row],[Unit Price]]/表格1[[#This Row],[SRP]]</f>
        <v>0.62616822429906538</v>
      </c>
      <c r="U636" s="86" t="str">
        <f>_xlfn.XLOOKUP(表格1[[#This Row],[Model]],表格3[Model-Input-Ref2],表格3[TOSHIBA/HIGHEST])</f>
        <v>Toshiba SRP</v>
      </c>
      <c r="V636" s="86" t="s">
        <v>1126</v>
      </c>
      <c r="W636" s="86" t="str">
        <f>_xlfn.CONCAT(表格1[[#This Row],[欄4]],表格1[[#This Row],[inv no]])</f>
        <v>DA141444970</v>
      </c>
    </row>
    <row r="637" spans="1:23" ht="16.5" hidden="1">
      <c r="A637" s="81">
        <v>635</v>
      </c>
      <c r="B637" s="81" t="s">
        <v>1260</v>
      </c>
      <c r="C637" s="81" t="s">
        <v>1374</v>
      </c>
      <c r="D637" s="82" t="str">
        <f ca="1">OFFSET(Roster!$A$3,MATCH(表格1[[#This Row],[Location]]&amp;" "&amp;表格1[[#This Row],[Shop]]&amp;"*",Roster!$A$4:$A$72,0),DAY(表格1[[#This Row],[date]]),1,1)</f>
        <v>Ling Ho</v>
      </c>
      <c r="E637" s="81">
        <f>MONTH(表格1[[#This Row],[date]])</f>
        <v>3</v>
      </c>
      <c r="F637" s="101">
        <v>46101</v>
      </c>
      <c r="G637" s="81" t="str">
        <f>VLOOKUP("*"&amp;表格1[[#This Row],[Input]]&amp;"*",'Ref-List'!$B:$D,2,)</f>
        <v>RC-18DRNH</v>
      </c>
      <c r="H637" s="81" t="str">
        <f>_xlfn.XLOOKUP(表格1[[#This Row],[Model]],表格3[Model-Input-Ref2],表格3[Product Line])</f>
        <v>多功能備長炭本厚釜電飯煲1.8L</v>
      </c>
      <c r="I637" s="81" t="str">
        <f>_xlfn.XLOOKUP(表格1[[#This Row],[Model]],表格3[Model-Input-Ref2],表格3[大小電])</f>
        <v>細電</v>
      </c>
      <c r="J637" s="81" t="str">
        <f>_xlfn.XLOOKUP(表格1[[#This Row],[Model]],表格3[Model-Input-Ref2],表格3[Code])</f>
        <v>SDA</v>
      </c>
      <c r="K637" s="82" t="s">
        <v>1389</v>
      </c>
      <c r="L637" s="81">
        <v>1</v>
      </c>
      <c r="M637" s="85">
        <v>619</v>
      </c>
      <c r="N637" s="85">
        <f>IFERROR(表格1[[#This Row],[QTY]]*表格1[[#This Row],[Unit Price]],"-")</f>
        <v>619</v>
      </c>
      <c r="O637" s="134">
        <v>388401</v>
      </c>
      <c r="P637" s="137"/>
      <c r="Q637" s="81"/>
      <c r="R637" s="81" t="str">
        <f>_xlfn.CONCAT(表格1[[#This Row],[Model]]," ",表格1[[#This Row],[inv no]])</f>
        <v>RC-18DRNH 388401</v>
      </c>
      <c r="S637" s="135">
        <f>_xlfn.XLOOKUP(表格1[[#This Row],[Model]],表格3[Model-Input-Ref2],表格3[SRP PRICE])</f>
        <v>898</v>
      </c>
      <c r="T637" s="43">
        <f>表格1[[#This Row],[Unit Price]]/表格1[[#This Row],[SRP]]</f>
        <v>0.68930957683741645</v>
      </c>
      <c r="U637" s="86" t="str">
        <f>_xlfn.XLOOKUP(表格1[[#This Row],[Model]],表格3[Model-Input-Ref2],表格3[TOSHIBA/HIGHEST])</f>
        <v>Toshiba SRP</v>
      </c>
      <c r="V637" s="86" t="s">
        <v>1126</v>
      </c>
      <c r="W637" s="86" t="str">
        <f>_xlfn.CONCAT(表格1[[#This Row],[欄4]],表格1[[#This Row],[inv no]])</f>
        <v>DA141388401</v>
      </c>
    </row>
    <row r="638" spans="1:23" ht="16.5" hidden="1">
      <c r="A638" s="81">
        <v>636</v>
      </c>
      <c r="B638" s="81" t="s">
        <v>1260</v>
      </c>
      <c r="C638" s="81" t="s">
        <v>1374</v>
      </c>
      <c r="D638" s="82" t="str">
        <f ca="1">OFFSET(Roster!$A$3,MATCH(表格1[[#This Row],[Location]]&amp;" "&amp;表格1[[#This Row],[Shop]]&amp;"*",Roster!$A$4:$A$72,0),DAY(表格1[[#This Row],[date]]),1,1)</f>
        <v>Ling Ho</v>
      </c>
      <c r="E638" s="81">
        <f>MONTH(表格1[[#This Row],[date]])</f>
        <v>3</v>
      </c>
      <c r="F638" s="101">
        <v>46101</v>
      </c>
      <c r="G638" s="81" t="str">
        <f>VLOOKUP("*"&amp;表格1[[#This Row],[Input]]&amp;"*",'Ref-List'!$B:$D,2,)</f>
        <v>RC-5MMIH(WT)</v>
      </c>
      <c r="H638" s="81" t="str">
        <f>_xlfn.XLOOKUP(表格1[[#This Row],[Model]],表格3[Model-Input-Ref2],表格3[Product Line])</f>
        <v>4毫米厚釜電飯煲0.54L</v>
      </c>
      <c r="I638" s="81" t="str">
        <f>_xlfn.XLOOKUP(表格1[[#This Row],[Model]],表格3[Model-Input-Ref2],表格3[大小電])</f>
        <v>細電</v>
      </c>
      <c r="J638" s="81" t="str">
        <f>_xlfn.XLOOKUP(表格1[[#This Row],[Model]],表格3[Model-Input-Ref2],表格3[Code])</f>
        <v>SDA</v>
      </c>
      <c r="K638" s="82" t="s">
        <v>1195</v>
      </c>
      <c r="L638" s="81">
        <v>1</v>
      </c>
      <c r="M638" s="85">
        <v>548</v>
      </c>
      <c r="N638" s="85">
        <f>IFERROR(表格1[[#This Row],[QTY]]*表格1[[#This Row],[Unit Price]],"-")</f>
        <v>548</v>
      </c>
      <c r="O638" s="134">
        <v>217179</v>
      </c>
      <c r="P638" s="137"/>
      <c r="Q638" s="81"/>
      <c r="R638" s="81" t="str">
        <f>_xlfn.CONCAT(表格1[[#This Row],[Model]]," ",表格1[[#This Row],[inv no]])</f>
        <v>RC-5MMIH(WT) 217179</v>
      </c>
      <c r="S638" s="135">
        <f>_xlfn.XLOOKUP(表格1[[#This Row],[Model]],表格3[Model-Input-Ref2],表格3[SRP PRICE])</f>
        <v>618</v>
      </c>
      <c r="T638" s="43">
        <f>表格1[[#This Row],[Unit Price]]/表格1[[#This Row],[SRP]]</f>
        <v>0.88673139158576053</v>
      </c>
      <c r="U638" s="86" t="str">
        <f>_xlfn.XLOOKUP(表格1[[#This Row],[Model]],表格3[Model-Input-Ref2],表格3[TOSHIBA/HIGHEST])</f>
        <v>Toshiba SRP</v>
      </c>
      <c r="V638" s="86" t="s">
        <v>1126</v>
      </c>
      <c r="W638" s="86" t="str">
        <f>_xlfn.CONCAT(表格1[[#This Row],[欄4]],表格1[[#This Row],[inv no]])</f>
        <v>DA141217179</v>
      </c>
    </row>
    <row r="639" spans="1:23" hidden="1">
      <c r="A639" s="81">
        <v>637</v>
      </c>
      <c r="B639" s="81" t="s">
        <v>1260</v>
      </c>
      <c r="C639" s="81" t="s">
        <v>1374</v>
      </c>
      <c r="D639" s="82" t="str">
        <f ca="1">OFFSET(Roster!$A$3,MATCH(表格1[[#This Row],[Location]]&amp;" "&amp;表格1[[#This Row],[Shop]]&amp;"*",Roster!$A$4:$A$72,0),DAY(表格1[[#This Row],[date]]),1,1)</f>
        <v>Ling Ho</v>
      </c>
      <c r="E639" s="81">
        <f>MONTH(表格1[[#This Row],[date]])</f>
        <v>3</v>
      </c>
      <c r="F639" s="101">
        <v>46101</v>
      </c>
      <c r="G639" s="81" t="str">
        <f>VLOOKUP("*"&amp;表格1[[#This Row],[Input]]&amp;"*",'Ref-List'!$B:$D,2,)</f>
        <v>MM2-EM20PC(WH)</v>
      </c>
      <c r="H639" s="81" t="str">
        <f>_xlfn.XLOOKUP(表格1[[#This Row],[Model]],表格3[Model-Input-Ref2],表格3[Product Line])</f>
        <v>輕觸式微波爐 (20公升)</v>
      </c>
      <c r="I639" s="81" t="str">
        <f>_xlfn.XLOOKUP(表格1[[#This Row],[Model]],表格3[Model-Input-Ref2],表格3[大小電])</f>
        <v>細電</v>
      </c>
      <c r="J639" s="81" t="str">
        <f>_xlfn.XLOOKUP(表格1[[#This Row],[Model]],表格3[Model-Input-Ref2],表格3[Code])</f>
        <v>MCA</v>
      </c>
      <c r="K639" s="82" t="s">
        <v>1276</v>
      </c>
      <c r="L639" s="81">
        <v>1</v>
      </c>
      <c r="M639" s="85">
        <v>598</v>
      </c>
      <c r="N639" s="85">
        <f>IFERROR(表格1[[#This Row],[QTY]]*表格1[[#This Row],[Unit Price]],"-")</f>
        <v>598</v>
      </c>
      <c r="O639" s="134">
        <v>388513</v>
      </c>
      <c r="P639" s="81"/>
      <c r="Q639" s="81"/>
      <c r="R639" s="81" t="str">
        <f>_xlfn.CONCAT(表格1[[#This Row],[Model]]," ",表格1[[#This Row],[inv no]])</f>
        <v>MM2-EM20PC(WH) 388513</v>
      </c>
      <c r="S639" s="135">
        <f>_xlfn.XLOOKUP(表格1[[#This Row],[Model]],表格3[Model-Input-Ref2],表格3[SRP PRICE])</f>
        <v>788</v>
      </c>
      <c r="T639" s="43">
        <f>表格1[[#This Row],[Unit Price]]/表格1[[#This Row],[SRP]]</f>
        <v>0.75888324873096447</v>
      </c>
      <c r="U639" s="86" t="str">
        <f>_xlfn.XLOOKUP(表格1[[#This Row],[Model]],表格3[Model-Input-Ref2],表格3[TOSHIBA/HIGHEST])</f>
        <v>Toshiba SRP</v>
      </c>
      <c r="V639" s="86" t="s">
        <v>1126</v>
      </c>
      <c r="W639" s="86" t="str">
        <f>_xlfn.CONCAT(表格1[[#This Row],[欄4]],表格1[[#This Row],[inv no]])</f>
        <v>DA141388513</v>
      </c>
    </row>
    <row r="640" spans="1:23" hidden="1">
      <c r="A640" s="81">
        <v>638</v>
      </c>
      <c r="B640" s="81" t="s">
        <v>1260</v>
      </c>
      <c r="C640" s="81" t="s">
        <v>1374</v>
      </c>
      <c r="D640" s="82" t="str">
        <f ca="1">OFFSET(Roster!$A$3,MATCH(表格1[[#This Row],[Location]]&amp;" "&amp;表格1[[#This Row],[Shop]]&amp;"*",Roster!$A$4:$A$72,0),DAY(表格1[[#This Row],[date]]),1,1)</f>
        <v>Ling Ho</v>
      </c>
      <c r="E640" s="81">
        <f>MONTH(表格1[[#This Row],[date]])</f>
        <v>3</v>
      </c>
      <c r="F640" s="101">
        <v>46101</v>
      </c>
      <c r="G640" s="81" t="str">
        <f>VLOOKUP("*"&amp;表格1[[#This Row],[Input]]&amp;"*",'Ref-List'!$B:$D,2,)</f>
        <v>TP-25DR2UHK(W)</v>
      </c>
      <c r="H640" s="81" t="str">
        <f>_xlfn.XLOOKUP(表格1[[#This Row],[Model]],表格3[Model-Input-Ref2],表格3[Product Line])</f>
        <v>電熱水瓶 (2.5公升)</v>
      </c>
      <c r="I640" s="81" t="str">
        <f>_xlfn.XLOOKUP(表格1[[#This Row],[Model]],表格3[Model-Input-Ref2],表格3[大小電])</f>
        <v>細電</v>
      </c>
      <c r="J640" s="81" t="str">
        <f>_xlfn.XLOOKUP(表格1[[#This Row],[Model]],表格3[Model-Input-Ref2],表格3[Code])</f>
        <v>SDA</v>
      </c>
      <c r="K640" s="82" t="s">
        <v>1285</v>
      </c>
      <c r="L640" s="81">
        <v>1</v>
      </c>
      <c r="M640" s="85">
        <v>398</v>
      </c>
      <c r="N640" s="85">
        <f>IFERROR(表格1[[#This Row],[QTY]]*表格1[[#This Row],[Unit Price]],"-")</f>
        <v>398</v>
      </c>
      <c r="O640" s="134">
        <v>445134</v>
      </c>
      <c r="P640" s="81"/>
      <c r="Q640" s="81"/>
      <c r="R640" s="81" t="str">
        <f>_xlfn.CONCAT(表格1[[#This Row],[Model]]," ",表格1[[#This Row],[inv no]])</f>
        <v>TP-25DR2UHK(W) 445134</v>
      </c>
      <c r="S640" s="135">
        <f>_xlfn.XLOOKUP(表格1[[#This Row],[Model]],表格3[Model-Input-Ref2],表格3[SRP PRICE])</f>
        <v>538</v>
      </c>
      <c r="T640" s="43">
        <f>表格1[[#This Row],[Unit Price]]/表格1[[#This Row],[SRP]]</f>
        <v>0.7397769516728625</v>
      </c>
      <c r="U640" s="86" t="str">
        <f>_xlfn.XLOOKUP(表格1[[#This Row],[Model]],表格3[Model-Input-Ref2],表格3[TOSHIBA/HIGHEST])</f>
        <v>Toshiba SRP</v>
      </c>
      <c r="V640" s="86" t="s">
        <v>1126</v>
      </c>
      <c r="W640" s="86" t="str">
        <f>_xlfn.CONCAT(表格1[[#This Row],[欄4]],表格1[[#This Row],[inv no]])</f>
        <v>DA141445134</v>
      </c>
    </row>
    <row r="641" spans="1:23" hidden="1">
      <c r="A641" s="81">
        <v>639</v>
      </c>
      <c r="B641" s="81" t="s">
        <v>1260</v>
      </c>
      <c r="C641" s="81" t="s">
        <v>1374</v>
      </c>
      <c r="D641" s="82" t="str">
        <f ca="1">OFFSET(Roster!$A$3,MATCH(表格1[[#This Row],[Location]]&amp;" "&amp;表格1[[#This Row],[Shop]]&amp;"*",Roster!$A$4:$A$72,0),DAY(表格1[[#This Row],[date]]),1,1)</f>
        <v>Ling Ho</v>
      </c>
      <c r="E641" s="81">
        <f>MONTH(表格1[[#This Row],[date]])</f>
        <v>3</v>
      </c>
      <c r="F641" s="101">
        <v>46101</v>
      </c>
      <c r="G641" s="81" t="str">
        <f>VLOOKUP("*"&amp;表格1[[#This Row],[Input]]&amp;"*",'Ref-List'!$B:$D,2,)</f>
        <v>RAD-D300H</v>
      </c>
      <c r="H641" s="81" t="str">
        <f>_xlfn.XLOOKUP(表格1[[#This Row],[Model]],表格3[Model-Input-Ref2],表格3[Product Line])</f>
        <v>壓縮式抽濕機 (30公升)</v>
      </c>
      <c r="I641" s="81" t="str">
        <f>_xlfn.XLOOKUP(表格1[[#This Row],[Model]],表格3[Model-Input-Ref2],表格3[大小電])</f>
        <v>細電</v>
      </c>
      <c r="J641" s="81" t="str">
        <f>_xlfn.XLOOKUP(表格1[[#This Row],[Model]],表格3[Model-Input-Ref2],表格3[Code])</f>
        <v>RAC</v>
      </c>
      <c r="K641" s="82" t="s">
        <v>1252</v>
      </c>
      <c r="L641" s="81">
        <v>1</v>
      </c>
      <c r="M641" s="85">
        <v>2280</v>
      </c>
      <c r="N641" s="85">
        <f>IFERROR(表格1[[#This Row],[QTY]]*表格1[[#This Row],[Unit Price]],"-")</f>
        <v>2280</v>
      </c>
      <c r="O641" s="134">
        <v>445257</v>
      </c>
      <c r="P641" s="81"/>
      <c r="Q641" s="81"/>
      <c r="R641" s="81" t="str">
        <f>_xlfn.CONCAT(表格1[[#This Row],[Model]]," ",表格1[[#This Row],[inv no]])</f>
        <v>RAD-D300H 445257</v>
      </c>
      <c r="S641" s="135">
        <f>_xlfn.XLOOKUP(表格1[[#This Row],[Model]],表格3[Model-Input-Ref2],表格3[SRP PRICE])</f>
        <v>3380</v>
      </c>
      <c r="T641" s="43">
        <f>表格1[[#This Row],[Unit Price]]/表格1[[#This Row],[SRP]]</f>
        <v>0.67455621301775148</v>
      </c>
      <c r="U641" s="86" t="str">
        <f>_xlfn.XLOOKUP(表格1[[#This Row],[Model]],表格3[Model-Input-Ref2],表格3[TOSHIBA/HIGHEST])</f>
        <v>Shops Highest Price</v>
      </c>
      <c r="V641" s="86" t="s">
        <v>1126</v>
      </c>
      <c r="W641" s="86" t="str">
        <f>_xlfn.CONCAT(表格1[[#This Row],[欄4]],表格1[[#This Row],[inv no]])</f>
        <v>DA141445257</v>
      </c>
    </row>
    <row r="642" spans="1:23" hidden="1">
      <c r="A642" s="81">
        <v>640</v>
      </c>
      <c r="B642" s="81" t="s">
        <v>1260</v>
      </c>
      <c r="C642" s="81" t="s">
        <v>1374</v>
      </c>
      <c r="D642" s="82" t="str">
        <f ca="1">OFFSET(Roster!$A$3,MATCH(表格1[[#This Row],[Location]]&amp;" "&amp;表格1[[#This Row],[Shop]]&amp;"*",Roster!$A$4:$A$72,0),DAY(表格1[[#This Row],[date]]),1,1)</f>
        <v>Ling Ho</v>
      </c>
      <c r="E642" s="81">
        <f>MONTH(表格1[[#This Row],[date]])</f>
        <v>3</v>
      </c>
      <c r="F642" s="101">
        <v>46101</v>
      </c>
      <c r="G642" s="81" t="str">
        <f>VLOOKUP("*"&amp;表格1[[#This Row],[Input]]&amp;"*",'Ref-List'!$B:$D,2,)</f>
        <v>IC-20R1THK</v>
      </c>
      <c r="H642" s="81" t="str">
        <f>_xlfn.XLOOKUP(表格1[[#This Row],[Model]],表格3[Model-Input-Ref2],表格3[Product Line])</f>
        <v>輕便式電磁爐</v>
      </c>
      <c r="I642" s="81" t="str">
        <f>_xlfn.XLOOKUP(表格1[[#This Row],[Model]],表格3[Model-Input-Ref2],表格3[大小電])</f>
        <v>細電</v>
      </c>
      <c r="J642" s="81" t="str">
        <f>_xlfn.XLOOKUP(表格1[[#This Row],[Model]],表格3[Model-Input-Ref2],表格3[Code])</f>
        <v>SDA</v>
      </c>
      <c r="K642" s="82" t="s">
        <v>1243</v>
      </c>
      <c r="L642" s="81">
        <v>1</v>
      </c>
      <c r="M642" s="85">
        <v>298</v>
      </c>
      <c r="N642" s="85">
        <f>IFERROR(表格1[[#This Row],[QTY]]*表格1[[#This Row],[Unit Price]],"-")</f>
        <v>298</v>
      </c>
      <c r="O642" s="134">
        <v>217267</v>
      </c>
      <c r="P642" s="81"/>
      <c r="Q642" s="81"/>
      <c r="R642" s="81" t="str">
        <f>_xlfn.CONCAT(表格1[[#This Row],[Model]]," ",表格1[[#This Row],[inv no]])</f>
        <v>IC-20R1THK 217267</v>
      </c>
      <c r="S642" s="135">
        <f>_xlfn.XLOOKUP(表格1[[#This Row],[Model]],表格3[Model-Input-Ref2],表格3[SRP PRICE])</f>
        <v>438</v>
      </c>
      <c r="T642" s="43">
        <f>表格1[[#This Row],[Unit Price]]/表格1[[#This Row],[SRP]]</f>
        <v>0.68036529680365299</v>
      </c>
      <c r="U642" s="86" t="str">
        <f>_xlfn.XLOOKUP(表格1[[#This Row],[Model]],表格3[Model-Input-Ref2],表格3[TOSHIBA/HIGHEST])</f>
        <v>Shops Highest Price</v>
      </c>
      <c r="V642" s="86" t="s">
        <v>1126</v>
      </c>
      <c r="W642" s="86" t="str">
        <f>_xlfn.CONCAT(表格1[[#This Row],[欄4]],表格1[[#This Row],[inv no]])</f>
        <v>DA141217267</v>
      </c>
    </row>
    <row r="643" spans="1:23" ht="16.5" hidden="1">
      <c r="A643" s="81">
        <v>641</v>
      </c>
      <c r="B643" s="81" t="s">
        <v>1260</v>
      </c>
      <c r="C643" s="81" t="s">
        <v>1374</v>
      </c>
      <c r="D643" s="82" t="str">
        <f ca="1">OFFSET(Roster!$A$3,MATCH(表格1[[#This Row],[Location]]&amp;" "&amp;表格1[[#This Row],[Shop]]&amp;"*",Roster!$A$4:$A$72,0),DAY(表格1[[#This Row],[date]]),1,1)</f>
        <v>Ling Ho</v>
      </c>
      <c r="E643" s="81">
        <f>MONTH(表格1[[#This Row],[date]])</f>
        <v>3</v>
      </c>
      <c r="F643" s="101">
        <v>46101</v>
      </c>
      <c r="G643" s="81" t="str">
        <f>VLOOKUP("*"&amp;表格1[[#This Row],[Input]]&amp;"*",'Ref-List'!$B:$D,2,)</f>
        <v>IC-20R1THK</v>
      </c>
      <c r="H643" s="81" t="str">
        <f>_xlfn.XLOOKUP(表格1[[#This Row],[Model]],表格3[Model-Input-Ref2],表格3[Product Line])</f>
        <v>輕便式電磁爐</v>
      </c>
      <c r="I643" s="81" t="str">
        <f>_xlfn.XLOOKUP(表格1[[#This Row],[Model]],表格3[Model-Input-Ref2],表格3[大小電])</f>
        <v>細電</v>
      </c>
      <c r="J643" s="81" t="str">
        <f>_xlfn.XLOOKUP(表格1[[#This Row],[Model]],表格3[Model-Input-Ref2],表格3[Code])</f>
        <v>SDA</v>
      </c>
      <c r="K643" s="82" t="s">
        <v>1243</v>
      </c>
      <c r="L643" s="81">
        <v>1</v>
      </c>
      <c r="M643" s="85">
        <v>298</v>
      </c>
      <c r="N643" s="85">
        <f>IFERROR(表格1[[#This Row],[QTY]]*表格1[[#This Row],[Unit Price]],"-")</f>
        <v>298</v>
      </c>
      <c r="O643" s="134">
        <v>388720</v>
      </c>
      <c r="P643" s="137"/>
      <c r="Q643" s="81"/>
      <c r="R643" s="81" t="str">
        <f>_xlfn.CONCAT(表格1[[#This Row],[Model]]," ",表格1[[#This Row],[inv no]])</f>
        <v>IC-20R1THK 388720</v>
      </c>
      <c r="S643" s="135">
        <f>_xlfn.XLOOKUP(表格1[[#This Row],[Model]],表格3[Model-Input-Ref2],表格3[SRP PRICE])</f>
        <v>438</v>
      </c>
      <c r="T643" s="43">
        <f>表格1[[#This Row],[Unit Price]]/表格1[[#This Row],[SRP]]</f>
        <v>0.68036529680365299</v>
      </c>
      <c r="U643" s="86" t="str">
        <f>_xlfn.XLOOKUP(表格1[[#This Row],[Model]],表格3[Model-Input-Ref2],表格3[TOSHIBA/HIGHEST])</f>
        <v>Shops Highest Price</v>
      </c>
      <c r="V643" s="86" t="s">
        <v>1126</v>
      </c>
      <c r="W643" s="86" t="str">
        <f>_xlfn.CONCAT(表格1[[#This Row],[欄4]],表格1[[#This Row],[inv no]])</f>
        <v>DA141388720</v>
      </c>
    </row>
    <row r="644" spans="1:23" hidden="1">
      <c r="A644" s="81">
        <v>642</v>
      </c>
      <c r="B644" s="81" t="s">
        <v>1260</v>
      </c>
      <c r="C644" s="81" t="s">
        <v>1374</v>
      </c>
      <c r="D644" s="82" t="str">
        <f ca="1">OFFSET(Roster!$A$3,MATCH(表格1[[#This Row],[Location]]&amp;" "&amp;表格1[[#This Row],[Shop]]&amp;"*",Roster!$A$4:$A$72,0),DAY(表格1[[#This Row],[date]]),1,1)</f>
        <v>Ling Ho</v>
      </c>
      <c r="E644" s="81">
        <f>MONTH(表格1[[#This Row],[date]])</f>
        <v>3</v>
      </c>
      <c r="F644" s="101">
        <v>46101</v>
      </c>
      <c r="G644" s="81" t="str">
        <f>VLOOKUP("*"&amp;表格1[[#This Row],[Input]]&amp;"*",'Ref-List'!$B:$D,2,)</f>
        <v>MM2-EM20PC(WH)</v>
      </c>
      <c r="H644" s="81" t="str">
        <f>_xlfn.XLOOKUP(表格1[[#This Row],[Model]],表格3[Model-Input-Ref2],表格3[Product Line])</f>
        <v>輕觸式微波爐 (20公升)</v>
      </c>
      <c r="I644" s="81" t="str">
        <f>_xlfn.XLOOKUP(表格1[[#This Row],[Model]],表格3[Model-Input-Ref2],表格3[大小電])</f>
        <v>細電</v>
      </c>
      <c r="J644" s="81" t="str">
        <f>_xlfn.XLOOKUP(表格1[[#This Row],[Model]],表格3[Model-Input-Ref2],表格3[Code])</f>
        <v>MCA</v>
      </c>
      <c r="K644" s="82" t="s">
        <v>1276</v>
      </c>
      <c r="L644" s="81">
        <v>1</v>
      </c>
      <c r="M644" s="85">
        <v>598</v>
      </c>
      <c r="N644" s="85">
        <f>IFERROR(表格1[[#This Row],[QTY]]*表格1[[#This Row],[Unit Price]],"-")</f>
        <v>598</v>
      </c>
      <c r="O644" s="134">
        <v>388715</v>
      </c>
      <c r="P644" s="81"/>
      <c r="Q644" s="81"/>
      <c r="R644" s="81" t="str">
        <f>_xlfn.CONCAT(表格1[[#This Row],[Model]]," ",表格1[[#This Row],[inv no]])</f>
        <v>MM2-EM20PC(WH) 388715</v>
      </c>
      <c r="S644" s="135">
        <f>_xlfn.XLOOKUP(表格1[[#This Row],[Model]],表格3[Model-Input-Ref2],表格3[SRP PRICE])</f>
        <v>788</v>
      </c>
      <c r="T644" s="43">
        <f>表格1[[#This Row],[Unit Price]]/表格1[[#This Row],[SRP]]</f>
        <v>0.75888324873096447</v>
      </c>
      <c r="U644" s="86" t="str">
        <f>_xlfn.XLOOKUP(表格1[[#This Row],[Model]],表格3[Model-Input-Ref2],表格3[TOSHIBA/HIGHEST])</f>
        <v>Toshiba SRP</v>
      </c>
      <c r="V644" s="86" t="s">
        <v>1126</v>
      </c>
      <c r="W644" s="86" t="str">
        <f>_xlfn.CONCAT(表格1[[#This Row],[欄4]],表格1[[#This Row],[inv no]])</f>
        <v>DA141388715</v>
      </c>
    </row>
    <row r="645" spans="1:23" hidden="1">
      <c r="A645" s="81">
        <v>643</v>
      </c>
      <c r="B645" s="81" t="s">
        <v>1260</v>
      </c>
      <c r="C645" s="81" t="s">
        <v>1374</v>
      </c>
      <c r="D645" s="82" t="str">
        <f ca="1">OFFSET(Roster!$A$3,MATCH(表格1[[#This Row],[Location]]&amp;" "&amp;表格1[[#This Row],[Shop]]&amp;"*",Roster!$A$4:$A$72,0),DAY(表格1[[#This Row],[date]]),1,1)</f>
        <v>Ling Ho</v>
      </c>
      <c r="E645" s="81">
        <f>MONTH(表格1[[#This Row],[date]])</f>
        <v>3</v>
      </c>
      <c r="F645" s="101">
        <v>46102</v>
      </c>
      <c r="G645" s="81" t="str">
        <f>VLOOKUP("*"&amp;表格1[[#This Row],[Input]]&amp;"*",'Ref-List'!$B:$D,2,)</f>
        <v>PLK-30FLIH(WT)</v>
      </c>
      <c r="H645" s="81" t="str">
        <f>_xlfn.XLOOKUP(表格1[[#This Row],[Model]],表格3[Model-Input-Ref2],表格3[Product Line])</f>
        <v>電熱水瓶3L</v>
      </c>
      <c r="I645" s="81" t="str">
        <f>_xlfn.XLOOKUP(表格1[[#This Row],[Model]],表格3[Model-Input-Ref2],表格3[大小電])</f>
        <v>細電</v>
      </c>
      <c r="J645" s="81" t="str">
        <f>_xlfn.XLOOKUP(表格1[[#This Row],[Model]],表格3[Model-Input-Ref2],表格3[Code])</f>
        <v>SDA</v>
      </c>
      <c r="K645" s="82" t="s">
        <v>1272</v>
      </c>
      <c r="L645" s="81">
        <v>1</v>
      </c>
      <c r="M645" s="85">
        <v>489</v>
      </c>
      <c r="N645" s="85">
        <f>IFERROR(表格1[[#This Row],[QTY]]*表格1[[#This Row],[Unit Price]],"-")</f>
        <v>489</v>
      </c>
      <c r="O645" s="134">
        <v>217313</v>
      </c>
      <c r="P645" s="81"/>
      <c r="Q645" s="81"/>
      <c r="R645" s="81" t="str">
        <f>_xlfn.CONCAT(表格1[[#This Row],[Model]]," ",表格1[[#This Row],[inv no]])</f>
        <v>PLK-30FLIH(WT) 217313</v>
      </c>
      <c r="S645" s="135">
        <f>_xlfn.XLOOKUP(表格1[[#This Row],[Model]],表格3[Model-Input-Ref2],表格3[SRP PRICE])</f>
        <v>658</v>
      </c>
      <c r="T645" s="43">
        <f>表格1[[#This Row],[Unit Price]]/表格1[[#This Row],[SRP]]</f>
        <v>0.74316109422492405</v>
      </c>
      <c r="U645" s="86" t="str">
        <f>_xlfn.XLOOKUP(表格1[[#This Row],[Model]],表格3[Model-Input-Ref2],表格3[TOSHIBA/HIGHEST])</f>
        <v>Toshiba SRP</v>
      </c>
      <c r="V645" s="86" t="s">
        <v>1126</v>
      </c>
      <c r="W645" s="86" t="str">
        <f>_xlfn.CONCAT(表格1[[#This Row],[欄4]],表格1[[#This Row],[inv no]])</f>
        <v>DA141217313</v>
      </c>
    </row>
    <row r="646" spans="1:23" hidden="1">
      <c r="A646" s="81">
        <v>644</v>
      </c>
      <c r="B646" s="81" t="s">
        <v>1260</v>
      </c>
      <c r="C646" s="81" t="s">
        <v>1374</v>
      </c>
      <c r="D646" s="82" t="str">
        <f ca="1">OFFSET(Roster!$A$3,MATCH(表格1[[#This Row],[Location]]&amp;" "&amp;表格1[[#This Row],[Shop]]&amp;"*",Roster!$A$4:$A$72,0),DAY(表格1[[#This Row],[date]]),1,1)</f>
        <v>Ling Ho</v>
      </c>
      <c r="E646" s="81">
        <f>MONTH(表格1[[#This Row],[date]])</f>
        <v>3</v>
      </c>
      <c r="F646" s="101">
        <v>46102</v>
      </c>
      <c r="G646" s="81" t="str">
        <f>VLOOKUP("*"&amp;表格1[[#This Row],[Input]]&amp;"*",'Ref-List'!$B:$D,2,)</f>
        <v>RC-10JRUH(N)</v>
      </c>
      <c r="H646" s="81" t="str">
        <f>_xlfn.XLOOKUP(表格1[[#This Row],[Model]],表格3[Model-Input-Ref2],表格3[Product Line])</f>
        <v>電飯煲</v>
      </c>
      <c r="I646" s="81" t="str">
        <f>_xlfn.XLOOKUP(表格1[[#This Row],[Model]],表格3[Model-Input-Ref2],表格3[大小電])</f>
        <v>細電</v>
      </c>
      <c r="J646" s="81" t="str">
        <f>_xlfn.XLOOKUP(表格1[[#This Row],[Model]],表格3[Model-Input-Ref2],表格3[Code])</f>
        <v>SDA</v>
      </c>
      <c r="K646" s="82" t="s">
        <v>1263</v>
      </c>
      <c r="L646" s="81">
        <v>1</v>
      </c>
      <c r="M646" s="85">
        <v>250</v>
      </c>
      <c r="N646" s="85">
        <f>IFERROR(表格1[[#This Row],[QTY]]*表格1[[#This Row],[Unit Price]],"-")</f>
        <v>250</v>
      </c>
      <c r="O646" s="134">
        <v>217316</v>
      </c>
      <c r="P646" s="81"/>
      <c r="Q646" s="81"/>
      <c r="R646" s="81" t="str">
        <f>_xlfn.CONCAT(表格1[[#This Row],[Model]]," ",表格1[[#This Row],[inv no]])</f>
        <v>RC-10JRUH(N) 217316</v>
      </c>
      <c r="S646" s="135">
        <f>_xlfn.XLOOKUP(表格1[[#This Row],[Model]],表格3[Model-Input-Ref2],表格3[SRP PRICE])</f>
        <v>398</v>
      </c>
      <c r="T646" s="43">
        <f>表格1[[#This Row],[Unit Price]]/表格1[[#This Row],[SRP]]</f>
        <v>0.62814070351758799</v>
      </c>
      <c r="U646" s="86" t="str">
        <f>_xlfn.XLOOKUP(表格1[[#This Row],[Model]],表格3[Model-Input-Ref2],表格3[TOSHIBA/HIGHEST])</f>
        <v>Shops Highest Price</v>
      </c>
      <c r="V646" s="86" t="s">
        <v>1126</v>
      </c>
      <c r="W646" s="86" t="str">
        <f>_xlfn.CONCAT(表格1[[#This Row],[欄4]],表格1[[#This Row],[inv no]])</f>
        <v>DA141217316</v>
      </c>
    </row>
    <row r="647" spans="1:23" hidden="1">
      <c r="A647" s="81">
        <v>645</v>
      </c>
      <c r="B647" s="81" t="s">
        <v>1260</v>
      </c>
      <c r="C647" s="81" t="s">
        <v>1374</v>
      </c>
      <c r="D647" s="82" t="str">
        <f ca="1">OFFSET(Roster!$A$3,MATCH(表格1[[#This Row],[Location]]&amp;" "&amp;表格1[[#This Row],[Shop]]&amp;"*",Roster!$A$4:$A$72,0),DAY(表格1[[#This Row],[date]]),1,1)</f>
        <v>Ling Ho</v>
      </c>
      <c r="E647" s="81">
        <f>MONTH(表格1[[#This Row],[date]])</f>
        <v>3</v>
      </c>
      <c r="F647" s="101">
        <v>46102</v>
      </c>
      <c r="G647" s="81" t="str">
        <f>VLOOKUP("*"&amp;表格1[[#This Row],[Input]]&amp;"*",'Ref-List'!$B:$D,2,)</f>
        <v>RAD-D200H</v>
      </c>
      <c r="H647" s="81" t="str">
        <f>_xlfn.XLOOKUP(表格1[[#This Row],[Model]],表格3[Model-Input-Ref2],表格3[Product Line])</f>
        <v>壓縮式抽濕機 (22公升)</v>
      </c>
      <c r="I647" s="81" t="str">
        <f>_xlfn.XLOOKUP(表格1[[#This Row],[Model]],表格3[Model-Input-Ref2],表格3[大小電])</f>
        <v>細電</v>
      </c>
      <c r="J647" s="81" t="str">
        <f>_xlfn.XLOOKUP(表格1[[#This Row],[Model]],表格3[Model-Input-Ref2],表格3[Code])</f>
        <v>RAC</v>
      </c>
      <c r="K647" s="82" t="s">
        <v>1250</v>
      </c>
      <c r="L647" s="81">
        <v>1</v>
      </c>
      <c r="M647" s="85">
        <v>1880</v>
      </c>
      <c r="N647" s="85">
        <f>IFERROR(表格1[[#This Row],[QTY]]*表格1[[#This Row],[Unit Price]],"-")</f>
        <v>1880</v>
      </c>
      <c r="O647" s="134">
        <v>445457</v>
      </c>
      <c r="P647" s="81"/>
      <c r="Q647" s="81"/>
      <c r="R647" s="81" t="str">
        <f>_xlfn.CONCAT(表格1[[#This Row],[Model]]," ",表格1[[#This Row],[inv no]])</f>
        <v>RAD-D200H 445457</v>
      </c>
      <c r="S647" s="135">
        <f>_xlfn.XLOOKUP(表格1[[#This Row],[Model]],表格3[Model-Input-Ref2],表格3[SRP PRICE])</f>
        <v>2880</v>
      </c>
      <c r="T647" s="43">
        <f>表格1[[#This Row],[Unit Price]]/表格1[[#This Row],[SRP]]</f>
        <v>0.65277777777777779</v>
      </c>
      <c r="U647" s="86" t="str">
        <f>_xlfn.XLOOKUP(表格1[[#This Row],[Model]],表格3[Model-Input-Ref2],表格3[TOSHIBA/HIGHEST])</f>
        <v>Shops Highest Price</v>
      </c>
      <c r="V647" s="86" t="s">
        <v>1126</v>
      </c>
      <c r="W647" s="86" t="str">
        <f>_xlfn.CONCAT(表格1[[#This Row],[欄4]],表格1[[#This Row],[inv no]])</f>
        <v>DA141445457</v>
      </c>
    </row>
    <row r="648" spans="1:23" hidden="1">
      <c r="A648" s="81">
        <v>646</v>
      </c>
      <c r="B648" s="81" t="s">
        <v>1260</v>
      </c>
      <c r="C648" s="81" t="s">
        <v>1374</v>
      </c>
      <c r="D648" s="82" t="str">
        <f ca="1">OFFSET(Roster!$A$3,MATCH(表格1[[#This Row],[Location]]&amp;" "&amp;表格1[[#This Row],[Shop]]&amp;"*",Roster!$A$4:$A$72,0),DAY(表格1[[#This Row],[date]]),1,1)</f>
        <v>Ling Ho</v>
      </c>
      <c r="E648" s="81">
        <f>MONTH(表格1[[#This Row],[date]])</f>
        <v>3</v>
      </c>
      <c r="F648" s="101">
        <v>46102</v>
      </c>
      <c r="G648" s="81" t="str">
        <f>VLOOKUP("*"&amp;表格1[[#This Row],[Input]]&amp;"*",'Ref-List'!$B:$D,2,)</f>
        <v>RC-10AMXH(W)</v>
      </c>
      <c r="H648" s="81" t="str">
        <f>_xlfn.XLOOKUP(表格1[[#This Row],[Model]],表格3[Model-Input-Ref2],表格3[Product Line])</f>
        <v>酵活炊電飯煲(1.0公升)</v>
      </c>
      <c r="I648" s="81" t="str">
        <f>_xlfn.XLOOKUP(表格1[[#This Row],[Model]],表格3[Model-Input-Ref2],表格3[大小電])</f>
        <v>細電</v>
      </c>
      <c r="J648" s="81" t="str">
        <f>_xlfn.XLOOKUP(表格1[[#This Row],[Model]],表格3[Model-Input-Ref2],表格3[Code])</f>
        <v>SDA</v>
      </c>
      <c r="K648" s="82" t="s">
        <v>1279</v>
      </c>
      <c r="L648" s="81">
        <v>1</v>
      </c>
      <c r="M648" s="85">
        <v>990</v>
      </c>
      <c r="N648" s="85">
        <f>IFERROR(表格1[[#This Row],[QTY]]*表格1[[#This Row],[Unit Price]],"-")</f>
        <v>990</v>
      </c>
      <c r="O648" s="134" t="s">
        <v>1392</v>
      </c>
      <c r="P648" s="81"/>
      <c r="Q648" s="81"/>
      <c r="R648" s="81" t="str">
        <f>_xlfn.CONCAT(表格1[[#This Row],[Model]]," ",表格1[[#This Row],[inv no]])</f>
        <v>RC-10AMXH(W) 060931</v>
      </c>
      <c r="S648" s="135">
        <f>_xlfn.XLOOKUP(表格1[[#This Row],[Model]],表格3[Model-Input-Ref2],表格3[SRP PRICE])</f>
        <v>1288</v>
      </c>
      <c r="T648" s="43">
        <f>表格1[[#This Row],[Unit Price]]/表格1[[#This Row],[SRP]]</f>
        <v>0.76863354037267084</v>
      </c>
      <c r="U648" s="86" t="str">
        <f>_xlfn.XLOOKUP(表格1[[#This Row],[Model]],表格3[Model-Input-Ref2],表格3[TOSHIBA/HIGHEST])</f>
        <v>Toshiba SRP</v>
      </c>
      <c r="V648" s="86" t="s">
        <v>1126</v>
      </c>
      <c r="W648" s="86" t="str">
        <f>_xlfn.CONCAT(表格1[[#This Row],[欄4]],表格1[[#This Row],[inv no]])</f>
        <v>DA141060931</v>
      </c>
    </row>
    <row r="649" spans="1:23" hidden="1">
      <c r="A649" s="81">
        <v>647</v>
      </c>
      <c r="B649" s="81" t="s">
        <v>1260</v>
      </c>
      <c r="C649" s="81" t="s">
        <v>1374</v>
      </c>
      <c r="D649" s="82" t="str">
        <f ca="1">OFFSET(Roster!$A$3,MATCH(表格1[[#This Row],[Location]]&amp;" "&amp;表格1[[#This Row],[Shop]]&amp;"*",Roster!$A$4:$A$72,0),DAY(表格1[[#This Row],[date]]),1,1)</f>
        <v>Ling Ho</v>
      </c>
      <c r="E649" s="81">
        <f>MONTH(表格1[[#This Row],[date]])</f>
        <v>3</v>
      </c>
      <c r="F649" s="101">
        <v>46102</v>
      </c>
      <c r="G649" s="81" t="str">
        <f>VLOOKUP("*"&amp;表格1[[#This Row],[Input]]&amp;"*",'Ref-List'!$B:$D,2,)</f>
        <v>RC-7HMH</v>
      </c>
      <c r="H649" s="81" t="str">
        <f>_xlfn.XLOOKUP(表格1[[#This Row],[Model]],表格3[Model-Input-Ref2],表格3[Product Line])</f>
        <v>備長炭本厚釜電飯煲0.7L</v>
      </c>
      <c r="I649" s="81" t="str">
        <f>_xlfn.XLOOKUP(表格1[[#This Row],[Model]],表格3[Model-Input-Ref2],表格3[大小電])</f>
        <v>細電</v>
      </c>
      <c r="J649" s="81" t="str">
        <f>_xlfn.XLOOKUP(表格1[[#This Row],[Model]],表格3[Model-Input-Ref2],表格3[Code])</f>
        <v>SDA</v>
      </c>
      <c r="K649" s="82" t="s">
        <v>1284</v>
      </c>
      <c r="L649" s="81">
        <v>1</v>
      </c>
      <c r="M649" s="85">
        <v>738</v>
      </c>
      <c r="N649" s="85">
        <f>IFERROR(表格1[[#This Row],[QTY]]*表格1[[#This Row],[Unit Price]],"-")</f>
        <v>738</v>
      </c>
      <c r="O649" s="134">
        <v>445617</v>
      </c>
      <c r="P649" s="81"/>
      <c r="Q649" s="81"/>
      <c r="R649" s="81" t="str">
        <f>_xlfn.CONCAT(表格1[[#This Row],[Model]]," ",表格1[[#This Row],[inv no]])</f>
        <v>RC-7HMH 445617</v>
      </c>
      <c r="S649" s="135">
        <f>_xlfn.XLOOKUP(表格1[[#This Row],[Model]],表格3[Model-Input-Ref2],表格3[SRP PRICE])</f>
        <v>1288</v>
      </c>
      <c r="T649" s="43">
        <f>表格1[[#This Row],[Unit Price]]/表格1[[#This Row],[SRP]]</f>
        <v>0.57298136645962738</v>
      </c>
      <c r="U649" s="86" t="str">
        <f>_xlfn.XLOOKUP(表格1[[#This Row],[Model]],表格3[Model-Input-Ref2],表格3[TOSHIBA/HIGHEST])</f>
        <v>Toshiba SRP</v>
      </c>
      <c r="V649" s="86" t="s">
        <v>1126</v>
      </c>
      <c r="W649" s="86" t="str">
        <f>_xlfn.CONCAT(表格1[[#This Row],[欄4]],表格1[[#This Row],[inv no]])</f>
        <v>DA141445617</v>
      </c>
    </row>
    <row r="650" spans="1:23" hidden="1">
      <c r="A650" s="81">
        <v>648</v>
      </c>
      <c r="B650" s="81" t="s">
        <v>1260</v>
      </c>
      <c r="C650" s="81" t="s">
        <v>1374</v>
      </c>
      <c r="D650" s="82" t="str">
        <f ca="1">OFFSET(Roster!$A$3,MATCH(表格1[[#This Row],[Location]]&amp;" "&amp;表格1[[#This Row],[Shop]]&amp;"*",Roster!$A$4:$A$72,0),DAY(表格1[[#This Row],[date]]),1,1)</f>
        <v>Ling Ho</v>
      </c>
      <c r="E650" s="81">
        <f>MONTH(表格1[[#This Row],[date]])</f>
        <v>3</v>
      </c>
      <c r="F650" s="101">
        <v>46102</v>
      </c>
      <c r="G650" s="81" t="str">
        <f>VLOOKUP("*"&amp;表格1[[#This Row],[Input]]&amp;"*",'Ref-List'!$B:$D,2,)</f>
        <v>RC-7HMH</v>
      </c>
      <c r="H650" s="81" t="str">
        <f>_xlfn.XLOOKUP(表格1[[#This Row],[Model]],表格3[Model-Input-Ref2],表格3[Product Line])</f>
        <v>備長炭本厚釜電飯煲0.7L</v>
      </c>
      <c r="I650" s="81" t="str">
        <f>_xlfn.XLOOKUP(表格1[[#This Row],[Model]],表格3[Model-Input-Ref2],表格3[大小電])</f>
        <v>細電</v>
      </c>
      <c r="J650" s="81" t="str">
        <f>_xlfn.XLOOKUP(表格1[[#This Row],[Model]],表格3[Model-Input-Ref2],表格3[Code])</f>
        <v>SDA</v>
      </c>
      <c r="K650" s="82" t="s">
        <v>1284</v>
      </c>
      <c r="L650" s="81">
        <v>1</v>
      </c>
      <c r="M650" s="85">
        <v>788</v>
      </c>
      <c r="N650" s="85">
        <f>IFERROR(表格1[[#This Row],[QTY]]*表格1[[#This Row],[Unit Price]],"-")</f>
        <v>788</v>
      </c>
      <c r="O650" s="134">
        <v>389009</v>
      </c>
      <c r="P650" s="81"/>
      <c r="Q650" s="81"/>
      <c r="R650" s="81" t="str">
        <f>_xlfn.CONCAT(表格1[[#This Row],[Model]]," ",表格1[[#This Row],[inv no]])</f>
        <v>RC-7HMH 389009</v>
      </c>
      <c r="S650" s="135">
        <f>_xlfn.XLOOKUP(表格1[[#This Row],[Model]],表格3[Model-Input-Ref2],表格3[SRP PRICE])</f>
        <v>1288</v>
      </c>
      <c r="T650" s="43">
        <f>表格1[[#This Row],[Unit Price]]/表格1[[#This Row],[SRP]]</f>
        <v>0.61180124223602483</v>
      </c>
      <c r="U650" s="86" t="str">
        <f>_xlfn.XLOOKUP(表格1[[#This Row],[Model]],表格3[Model-Input-Ref2],表格3[TOSHIBA/HIGHEST])</f>
        <v>Toshiba SRP</v>
      </c>
      <c r="V650" s="86" t="s">
        <v>1126</v>
      </c>
      <c r="W650" s="86" t="str">
        <f>_xlfn.CONCAT(表格1[[#This Row],[欄4]],表格1[[#This Row],[inv no]])</f>
        <v>DA141389009</v>
      </c>
    </row>
    <row r="651" spans="1:23" hidden="1">
      <c r="A651" s="81">
        <v>649</v>
      </c>
      <c r="B651" s="81" t="s">
        <v>1260</v>
      </c>
      <c r="C651" s="81" t="s">
        <v>1374</v>
      </c>
      <c r="D651" s="82" t="str">
        <f ca="1">OFFSET(Roster!$A$3,MATCH(表格1[[#This Row],[Location]]&amp;" "&amp;表格1[[#This Row],[Shop]]&amp;"*",Roster!$A$4:$A$72,0),DAY(表格1[[#This Row],[date]]),1,1)</f>
        <v>Ling Ho</v>
      </c>
      <c r="E651" s="81">
        <f>MONTH(表格1[[#This Row],[date]])</f>
        <v>3</v>
      </c>
      <c r="F651" s="101">
        <v>46102</v>
      </c>
      <c r="G651" s="81" t="str">
        <f>VLOOKUP("*"&amp;表格1[[#This Row],[Input]]&amp;"*",'Ref-List'!$B:$D,2,)</f>
        <v>CIC-20GGTLA0</v>
      </c>
      <c r="H651" s="81" t="str">
        <f>_xlfn.XLOOKUP(表格1[[#This Row],[Model]],表格3[Model-Input-Ref2],表格3[Product Line])</f>
        <v>Induction Cooker</v>
      </c>
      <c r="I651" s="81" t="str">
        <f>_xlfn.XLOOKUP(表格1[[#This Row],[Model]],表格3[Model-Input-Ref2],表格3[大小電])</f>
        <v>細電</v>
      </c>
      <c r="J651" s="81" t="str">
        <f>_xlfn.XLOOKUP(表格1[[#This Row],[Model]],表格3[Model-Input-Ref2],表格3[Code])</f>
        <v>SDA</v>
      </c>
      <c r="K651" s="82" t="s">
        <v>1288</v>
      </c>
      <c r="L651" s="81">
        <v>1</v>
      </c>
      <c r="M651" s="85">
        <v>338</v>
      </c>
      <c r="N651" s="85">
        <f>IFERROR(表格1[[#This Row],[QTY]]*表格1[[#This Row],[Unit Price]],"-")</f>
        <v>338</v>
      </c>
      <c r="O651" s="134">
        <v>389040</v>
      </c>
      <c r="P651" s="81"/>
      <c r="Q651" s="81"/>
      <c r="R651" s="81" t="str">
        <f>_xlfn.CONCAT(表格1[[#This Row],[Model]]," ",表格1[[#This Row],[inv no]])</f>
        <v>CIC-20GGTLA0 389040</v>
      </c>
      <c r="S651" s="135">
        <f>_xlfn.XLOOKUP(表格1[[#This Row],[Model]],表格3[Model-Input-Ref2],表格3[SRP PRICE])</f>
        <v>399</v>
      </c>
      <c r="T651" s="43">
        <f>表格1[[#This Row],[Unit Price]]/表格1[[#This Row],[SRP]]</f>
        <v>0.84711779448621549</v>
      </c>
      <c r="U651" s="86" t="str">
        <f>_xlfn.XLOOKUP(表格1[[#This Row],[Model]],表格3[Model-Input-Ref2],表格3[TOSHIBA/HIGHEST])</f>
        <v>Web SRP</v>
      </c>
      <c r="V651" s="86" t="s">
        <v>1126</v>
      </c>
      <c r="W651" s="86" t="str">
        <f>_xlfn.CONCAT(表格1[[#This Row],[欄4]],表格1[[#This Row],[inv no]])</f>
        <v>DA141389040</v>
      </c>
    </row>
    <row r="652" spans="1:23" hidden="1">
      <c r="A652" s="81">
        <v>650</v>
      </c>
      <c r="B652" s="81" t="s">
        <v>1260</v>
      </c>
      <c r="C652" s="81" t="s">
        <v>1374</v>
      </c>
      <c r="D652" s="82" t="str">
        <f ca="1">OFFSET(Roster!$A$3,MATCH(表格1[[#This Row],[Location]]&amp;" "&amp;表格1[[#This Row],[Shop]]&amp;"*",Roster!$A$4:$A$72,0),DAY(表格1[[#This Row],[date]]),1,1)</f>
        <v>Ling Ho</v>
      </c>
      <c r="E652" s="81">
        <f>MONTH(表格1[[#This Row],[date]])</f>
        <v>3</v>
      </c>
      <c r="F652" s="101">
        <v>46103</v>
      </c>
      <c r="G652" s="81" t="str">
        <f>VLOOKUP("*"&amp;表格1[[#This Row],[Input]]&amp;"*",'Ref-List'!$B:$D,2,)</f>
        <v>IC-20R1THK</v>
      </c>
      <c r="H652" s="81" t="str">
        <f>_xlfn.XLOOKUP(表格1[[#This Row],[Model]],表格3[Model-Input-Ref2],表格3[Product Line])</f>
        <v>輕便式電磁爐</v>
      </c>
      <c r="I652" s="81" t="str">
        <f>_xlfn.XLOOKUP(表格1[[#This Row],[Model]],表格3[Model-Input-Ref2],表格3[大小電])</f>
        <v>細電</v>
      </c>
      <c r="J652" s="81" t="str">
        <f>_xlfn.XLOOKUP(表格1[[#This Row],[Model]],表格3[Model-Input-Ref2],表格3[Code])</f>
        <v>SDA</v>
      </c>
      <c r="K652" s="82" t="s">
        <v>1243</v>
      </c>
      <c r="L652" s="81">
        <v>1</v>
      </c>
      <c r="M652" s="85">
        <v>298</v>
      </c>
      <c r="N652" s="85">
        <f>IFERROR(表格1[[#This Row],[QTY]]*表格1[[#This Row],[Unit Price]],"-")</f>
        <v>298</v>
      </c>
      <c r="O652" s="134">
        <v>389102</v>
      </c>
      <c r="P652" s="81"/>
      <c r="Q652" s="81"/>
      <c r="R652" s="81" t="str">
        <f>_xlfn.CONCAT(表格1[[#This Row],[Model]]," ",表格1[[#This Row],[inv no]])</f>
        <v>IC-20R1THK 389102</v>
      </c>
      <c r="S652" s="135">
        <f>_xlfn.XLOOKUP(表格1[[#This Row],[Model]],表格3[Model-Input-Ref2],表格3[SRP PRICE])</f>
        <v>438</v>
      </c>
      <c r="T652" s="43">
        <f>表格1[[#This Row],[Unit Price]]/表格1[[#This Row],[SRP]]</f>
        <v>0.68036529680365299</v>
      </c>
      <c r="U652" s="86" t="str">
        <f>_xlfn.XLOOKUP(表格1[[#This Row],[Model]],表格3[Model-Input-Ref2],表格3[TOSHIBA/HIGHEST])</f>
        <v>Shops Highest Price</v>
      </c>
      <c r="V652" s="86" t="s">
        <v>1126</v>
      </c>
      <c r="W652" s="86" t="str">
        <f>_xlfn.CONCAT(表格1[[#This Row],[欄4]],表格1[[#This Row],[inv no]])</f>
        <v>DA141389102</v>
      </c>
    </row>
    <row r="653" spans="1:23" hidden="1">
      <c r="A653" s="81">
        <v>651</v>
      </c>
      <c r="B653" s="81" t="s">
        <v>1260</v>
      </c>
      <c r="C653" s="81" t="s">
        <v>1374</v>
      </c>
      <c r="D653" s="82" t="str">
        <f ca="1">OFFSET(Roster!$A$3,MATCH(表格1[[#This Row],[Location]]&amp;" "&amp;表格1[[#This Row],[Shop]]&amp;"*",Roster!$A$4:$A$72,0),DAY(表格1[[#This Row],[date]]),1,1)</f>
        <v>Ling Ho</v>
      </c>
      <c r="E653" s="81">
        <f>MONTH(表格1[[#This Row],[date]])</f>
        <v>3</v>
      </c>
      <c r="F653" s="101">
        <v>46103</v>
      </c>
      <c r="G653" s="81" t="str">
        <f>VLOOKUP("*"&amp;表格1[[#This Row],[Input]]&amp;"*",'Ref-List'!$B:$D,2,)</f>
        <v>PLK-45SFIH(WT)</v>
      </c>
      <c r="H653" s="81" t="str">
        <f>_xlfn.XLOOKUP(表格1[[#This Row],[Model]],表格3[Model-Input-Ref2],表格3[Product Line])</f>
        <v>電熱水瓶4.5L</v>
      </c>
      <c r="I653" s="81" t="str">
        <f>_xlfn.XLOOKUP(表格1[[#This Row],[Model]],表格3[Model-Input-Ref2],表格3[大小電])</f>
        <v>細電</v>
      </c>
      <c r="J653" s="81" t="str">
        <f>_xlfn.XLOOKUP(表格1[[#This Row],[Model]],表格3[Model-Input-Ref2],表格3[Code])</f>
        <v>SDA</v>
      </c>
      <c r="K653" s="82" t="s">
        <v>1117</v>
      </c>
      <c r="L653" s="81">
        <v>1</v>
      </c>
      <c r="M653" s="85">
        <v>578</v>
      </c>
      <c r="N653" s="85">
        <f>IFERROR(表格1[[#This Row],[QTY]]*表格1[[#This Row],[Unit Price]],"-")</f>
        <v>578</v>
      </c>
      <c r="O653" s="134">
        <v>389117</v>
      </c>
      <c r="P653" s="81"/>
      <c r="Q653" s="81"/>
      <c r="R653" s="81" t="str">
        <f>_xlfn.CONCAT(表格1[[#This Row],[Model]]," ",表格1[[#This Row],[inv no]])</f>
        <v>PLK-45SFIH(WT) 389117</v>
      </c>
      <c r="S653" s="135">
        <f>_xlfn.XLOOKUP(表格1[[#This Row],[Model]],表格3[Model-Input-Ref2],表格3[SRP PRICE])</f>
        <v>788</v>
      </c>
      <c r="T653" s="43">
        <f>表格1[[#This Row],[Unit Price]]/表格1[[#This Row],[SRP]]</f>
        <v>0.73350253807106602</v>
      </c>
      <c r="U653" s="86" t="str">
        <f>_xlfn.XLOOKUP(表格1[[#This Row],[Model]],表格3[Model-Input-Ref2],表格3[TOSHIBA/HIGHEST])</f>
        <v>Toshiba SRP</v>
      </c>
      <c r="V653" s="86" t="s">
        <v>1126</v>
      </c>
      <c r="W653" s="86" t="str">
        <f>_xlfn.CONCAT(表格1[[#This Row],[欄4]],表格1[[#This Row],[inv no]])</f>
        <v>DA141389117</v>
      </c>
    </row>
    <row r="654" spans="1:23" hidden="1">
      <c r="A654" s="81">
        <v>652</v>
      </c>
      <c r="B654" s="81" t="s">
        <v>1260</v>
      </c>
      <c r="C654" s="81" t="s">
        <v>1374</v>
      </c>
      <c r="D654" s="82" t="str">
        <f ca="1">OFFSET(Roster!$A$3,MATCH(表格1[[#This Row],[Location]]&amp;" "&amp;表格1[[#This Row],[Shop]]&amp;"*",Roster!$A$4:$A$72,0),DAY(表格1[[#This Row],[date]]),1,1)</f>
        <v>Ling Ho</v>
      </c>
      <c r="E654" s="81">
        <f>MONTH(表格1[[#This Row],[date]])</f>
        <v>3</v>
      </c>
      <c r="F654" s="101">
        <v>46103</v>
      </c>
      <c r="G654" s="81" t="str">
        <f>VLOOKUP("*"&amp;表格1[[#This Row],[Input]]&amp;"*",'Ref-List'!$B:$D,2,)</f>
        <v>RC-5MMIH(WT)</v>
      </c>
      <c r="H654" s="81" t="str">
        <f>_xlfn.XLOOKUP(表格1[[#This Row],[Model]],表格3[Model-Input-Ref2],表格3[Product Line])</f>
        <v>4毫米厚釜電飯煲0.54L</v>
      </c>
      <c r="I654" s="81" t="str">
        <f>_xlfn.XLOOKUP(表格1[[#This Row],[Model]],表格3[Model-Input-Ref2],表格3[大小電])</f>
        <v>細電</v>
      </c>
      <c r="J654" s="81" t="str">
        <f>_xlfn.XLOOKUP(表格1[[#This Row],[Model]],表格3[Model-Input-Ref2],表格3[Code])</f>
        <v>SDA</v>
      </c>
      <c r="K654" s="82" t="s">
        <v>1195</v>
      </c>
      <c r="L654" s="81">
        <v>1</v>
      </c>
      <c r="M654" s="85">
        <v>548</v>
      </c>
      <c r="N654" s="85">
        <f>IFERROR(表格1[[#This Row],[QTY]]*表格1[[#This Row],[Unit Price]],"-")</f>
        <v>548</v>
      </c>
      <c r="O654" s="134">
        <v>445805</v>
      </c>
      <c r="P654" s="81"/>
      <c r="Q654" s="81"/>
      <c r="R654" s="81" t="str">
        <f>_xlfn.CONCAT(表格1[[#This Row],[Model]]," ",表格1[[#This Row],[inv no]])</f>
        <v>RC-5MMIH(WT) 445805</v>
      </c>
      <c r="S654" s="135">
        <f>_xlfn.XLOOKUP(表格1[[#This Row],[Model]],表格3[Model-Input-Ref2],表格3[SRP PRICE])</f>
        <v>618</v>
      </c>
      <c r="T654" s="43">
        <f>表格1[[#This Row],[Unit Price]]/表格1[[#This Row],[SRP]]</f>
        <v>0.88673139158576053</v>
      </c>
      <c r="U654" s="86" t="str">
        <f>_xlfn.XLOOKUP(表格1[[#This Row],[Model]],表格3[Model-Input-Ref2],表格3[TOSHIBA/HIGHEST])</f>
        <v>Toshiba SRP</v>
      </c>
      <c r="V654" s="86" t="s">
        <v>1126</v>
      </c>
      <c r="W654" s="86" t="str">
        <f>_xlfn.CONCAT(表格1[[#This Row],[欄4]],表格1[[#This Row],[inv no]])</f>
        <v>DA141445805</v>
      </c>
    </row>
    <row r="655" spans="1:23" hidden="1">
      <c r="A655" s="81">
        <v>653</v>
      </c>
      <c r="B655" s="81" t="s">
        <v>1260</v>
      </c>
      <c r="C655" s="81" t="s">
        <v>1374</v>
      </c>
      <c r="D655" s="82" t="str">
        <f ca="1">OFFSET(Roster!$A$3,MATCH(表格1[[#This Row],[Location]]&amp;" "&amp;表格1[[#This Row],[Shop]]&amp;"*",Roster!$A$4:$A$72,0),DAY(表格1[[#This Row],[date]]),1,1)</f>
        <v>Ling Ho</v>
      </c>
      <c r="E655" s="81">
        <f>MONTH(表格1[[#This Row],[date]])</f>
        <v>3</v>
      </c>
      <c r="F655" s="101">
        <v>46103</v>
      </c>
      <c r="G655" s="81" t="str">
        <f>VLOOKUP("*"&amp;表格1[[#This Row],[Input]]&amp;"*",'Ref-List'!$B:$D,2,)</f>
        <v>RAD-D300H</v>
      </c>
      <c r="H655" s="81" t="str">
        <f>_xlfn.XLOOKUP(表格1[[#This Row],[Model]],表格3[Model-Input-Ref2],表格3[Product Line])</f>
        <v>壓縮式抽濕機 (30公升)</v>
      </c>
      <c r="I655" s="81" t="str">
        <f>_xlfn.XLOOKUP(表格1[[#This Row],[Model]],表格3[Model-Input-Ref2],表格3[大小電])</f>
        <v>細電</v>
      </c>
      <c r="J655" s="81" t="str">
        <f>_xlfn.XLOOKUP(表格1[[#This Row],[Model]],表格3[Model-Input-Ref2],表格3[Code])</f>
        <v>RAC</v>
      </c>
      <c r="K655" s="82" t="s">
        <v>1252</v>
      </c>
      <c r="L655" s="81">
        <v>1</v>
      </c>
      <c r="M655" s="85">
        <v>2280</v>
      </c>
      <c r="N655" s="85">
        <f>IFERROR(表格1[[#This Row],[QTY]]*表格1[[#This Row],[Unit Price]],"-")</f>
        <v>2280</v>
      </c>
      <c r="O655" s="134">
        <v>445857</v>
      </c>
      <c r="P655" s="81"/>
      <c r="Q655" s="81"/>
      <c r="R655" s="81" t="str">
        <f>_xlfn.CONCAT(表格1[[#This Row],[Model]]," ",表格1[[#This Row],[inv no]])</f>
        <v>RAD-D300H 445857</v>
      </c>
      <c r="S655" s="135">
        <f>_xlfn.XLOOKUP(表格1[[#This Row],[Model]],表格3[Model-Input-Ref2],表格3[SRP PRICE])</f>
        <v>3380</v>
      </c>
      <c r="T655" s="43">
        <f>表格1[[#This Row],[Unit Price]]/表格1[[#This Row],[SRP]]</f>
        <v>0.67455621301775148</v>
      </c>
      <c r="U655" s="86" t="str">
        <f>_xlfn.XLOOKUP(表格1[[#This Row],[Model]],表格3[Model-Input-Ref2],表格3[TOSHIBA/HIGHEST])</f>
        <v>Shops Highest Price</v>
      </c>
      <c r="V655" s="86" t="s">
        <v>1126</v>
      </c>
      <c r="W655" s="86" t="str">
        <f>_xlfn.CONCAT(表格1[[#This Row],[欄4]],表格1[[#This Row],[inv no]])</f>
        <v>DA141445857</v>
      </c>
    </row>
    <row r="656" spans="1:23" hidden="1">
      <c r="A656" s="81">
        <v>654</v>
      </c>
      <c r="B656" s="81" t="s">
        <v>1260</v>
      </c>
      <c r="C656" s="81" t="s">
        <v>1374</v>
      </c>
      <c r="D656" s="82" t="str">
        <f ca="1">OFFSET(Roster!$A$3,MATCH(表格1[[#This Row],[Location]]&amp;" "&amp;表格1[[#This Row],[Shop]]&amp;"*",Roster!$A$4:$A$72,0),DAY(表格1[[#This Row],[date]]),1,1)</f>
        <v>Ling Ho</v>
      </c>
      <c r="E656" s="81">
        <f>MONTH(表格1[[#This Row],[date]])</f>
        <v>3</v>
      </c>
      <c r="F656" s="101">
        <v>46103</v>
      </c>
      <c r="G656" s="81" t="str">
        <f>VLOOKUP("*"&amp;表格1[[#This Row],[Input]]&amp;"*",'Ref-List'!$B:$D,2,)</f>
        <v>RAD-D200H</v>
      </c>
      <c r="H656" s="81" t="str">
        <f>_xlfn.XLOOKUP(表格1[[#This Row],[Model]],表格3[Model-Input-Ref2],表格3[Product Line])</f>
        <v>壓縮式抽濕機 (22公升)</v>
      </c>
      <c r="I656" s="81" t="str">
        <f>_xlfn.XLOOKUP(表格1[[#This Row],[Model]],表格3[Model-Input-Ref2],表格3[大小電])</f>
        <v>細電</v>
      </c>
      <c r="J656" s="81" t="str">
        <f>_xlfn.XLOOKUP(表格1[[#This Row],[Model]],表格3[Model-Input-Ref2],表格3[Code])</f>
        <v>RAC</v>
      </c>
      <c r="K656" s="82" t="s">
        <v>1250</v>
      </c>
      <c r="L656" s="81">
        <v>1</v>
      </c>
      <c r="M656" s="85">
        <v>1880</v>
      </c>
      <c r="N656" s="85">
        <f>IFERROR(表格1[[#This Row],[QTY]]*表格1[[#This Row],[Unit Price]],"-")</f>
        <v>1880</v>
      </c>
      <c r="O656" s="134">
        <v>217597</v>
      </c>
      <c r="P656" s="81" t="s">
        <v>1390</v>
      </c>
      <c r="Q656" s="81"/>
      <c r="R656" s="81" t="str">
        <f>_xlfn.CONCAT(表格1[[#This Row],[Model]]," ",表格1[[#This Row],[inv no]])</f>
        <v>RAD-D200H 217597</v>
      </c>
      <c r="S656" s="135">
        <f>_xlfn.XLOOKUP(表格1[[#This Row],[Model]],表格3[Model-Input-Ref2],表格3[SRP PRICE])</f>
        <v>2880</v>
      </c>
      <c r="T656" s="43">
        <f>表格1[[#This Row],[Unit Price]]/表格1[[#This Row],[SRP]]</f>
        <v>0.65277777777777779</v>
      </c>
      <c r="U656" s="86" t="str">
        <f>_xlfn.XLOOKUP(表格1[[#This Row],[Model]],表格3[Model-Input-Ref2],表格3[TOSHIBA/HIGHEST])</f>
        <v>Shops Highest Price</v>
      </c>
      <c r="V656" s="86" t="s">
        <v>1126</v>
      </c>
      <c r="W656" s="86" t="str">
        <f>_xlfn.CONCAT(表格1[[#This Row],[欄4]],表格1[[#This Row],[inv no]])</f>
        <v>DA141217597</v>
      </c>
    </row>
    <row r="657" spans="1:23" hidden="1">
      <c r="A657" s="81">
        <v>655</v>
      </c>
      <c r="B657" s="81" t="s">
        <v>1260</v>
      </c>
      <c r="C657" s="81" t="s">
        <v>1374</v>
      </c>
      <c r="D657" s="82" t="str">
        <f ca="1">OFFSET(Roster!$A$3,MATCH(表格1[[#This Row],[Location]]&amp;" "&amp;表格1[[#This Row],[Shop]]&amp;"*",Roster!$A$4:$A$72,0),DAY(表格1[[#This Row],[date]]),1,1)</f>
        <v>Ling Ho</v>
      </c>
      <c r="E657" s="81">
        <f>MONTH(表格1[[#This Row],[date]])</f>
        <v>3</v>
      </c>
      <c r="F657" s="101">
        <v>46105</v>
      </c>
      <c r="G657" s="81" t="str">
        <f>VLOOKUP("*"&amp;表格1[[#This Row],[Input]]&amp;"*",'Ref-List'!$B:$D,2,)</f>
        <v>RC-18NMFIH(WT)</v>
      </c>
      <c r="H657" s="81" t="str">
        <f>_xlfn.XLOOKUP(表格1[[#This Row],[Model]],表格3[Model-Input-Ref2],表格3[Product Line])</f>
        <v>4毫米厚釜電飯煲1.8L</v>
      </c>
      <c r="I657" s="81" t="str">
        <f>_xlfn.XLOOKUP(表格1[[#This Row],[Model]],表格3[Model-Input-Ref2],表格3[大小電])</f>
        <v>細電</v>
      </c>
      <c r="J657" s="81" t="str">
        <f>_xlfn.XLOOKUP(表格1[[#This Row],[Model]],表格3[Model-Input-Ref2],表格3[Code])</f>
        <v>SDA</v>
      </c>
      <c r="K657" s="82" t="s">
        <v>1267</v>
      </c>
      <c r="L657" s="81">
        <v>1</v>
      </c>
      <c r="M657" s="85">
        <v>799</v>
      </c>
      <c r="N657" s="85">
        <f>IFERROR(表格1[[#This Row],[QTY]]*表格1[[#This Row],[Unit Price]],"-")</f>
        <v>799</v>
      </c>
      <c r="O657" s="134">
        <v>217712</v>
      </c>
      <c r="P657" s="81"/>
      <c r="Q657" s="81"/>
      <c r="R657" s="81" t="str">
        <f>_xlfn.CONCAT(表格1[[#This Row],[Model]]," ",表格1[[#This Row],[inv no]])</f>
        <v>RC-18NMFIH(WT) 217712</v>
      </c>
      <c r="S657" s="135">
        <f>_xlfn.XLOOKUP(表格1[[#This Row],[Model]],表格3[Model-Input-Ref2],表格3[SRP PRICE])</f>
        <v>998</v>
      </c>
      <c r="T657" s="43">
        <f>表格1[[#This Row],[Unit Price]]/表格1[[#This Row],[SRP]]</f>
        <v>0.80060120240480959</v>
      </c>
      <c r="U657" s="86" t="str">
        <f>_xlfn.XLOOKUP(表格1[[#This Row],[Model]],表格3[Model-Input-Ref2],表格3[TOSHIBA/HIGHEST])</f>
        <v>Toshiba SRP</v>
      </c>
      <c r="V657" s="86" t="s">
        <v>1126</v>
      </c>
      <c r="W657" s="86" t="str">
        <f>_xlfn.CONCAT(表格1[[#This Row],[欄4]],表格1[[#This Row],[inv no]])</f>
        <v>DA141217712</v>
      </c>
    </row>
    <row r="658" spans="1:23" hidden="1">
      <c r="A658" s="81">
        <v>656</v>
      </c>
      <c r="B658" s="81" t="s">
        <v>1260</v>
      </c>
      <c r="C658" s="81" t="s">
        <v>1374</v>
      </c>
      <c r="D658" s="82" t="str">
        <f ca="1">OFFSET(Roster!$A$3,MATCH(表格1[[#This Row],[Location]]&amp;" "&amp;表格1[[#This Row],[Shop]]&amp;"*",Roster!$A$4:$A$72,0),DAY(表格1[[#This Row],[date]]),1,1)</f>
        <v>Ling Ho</v>
      </c>
      <c r="E658" s="81">
        <f>MONTH(表格1[[#This Row],[date]])</f>
        <v>3</v>
      </c>
      <c r="F658" s="101">
        <v>46105</v>
      </c>
      <c r="G658" s="81" t="str">
        <f>VLOOKUP("*"&amp;表格1[[#This Row],[Input]]&amp;"*",'Ref-List'!$B:$D,2,)</f>
        <v>RAD-D200H</v>
      </c>
      <c r="H658" s="81" t="str">
        <f>_xlfn.XLOOKUP(表格1[[#This Row],[Model]],表格3[Model-Input-Ref2],表格3[Product Line])</f>
        <v>壓縮式抽濕機 (22公升)</v>
      </c>
      <c r="I658" s="81" t="str">
        <f>_xlfn.XLOOKUP(表格1[[#This Row],[Model]],表格3[Model-Input-Ref2],表格3[大小電])</f>
        <v>細電</v>
      </c>
      <c r="J658" s="81" t="str">
        <f>_xlfn.XLOOKUP(表格1[[#This Row],[Model]],表格3[Model-Input-Ref2],表格3[Code])</f>
        <v>RAC</v>
      </c>
      <c r="K658" s="82" t="s">
        <v>1250</v>
      </c>
      <c r="L658" s="81">
        <v>1</v>
      </c>
      <c r="M658" s="85">
        <v>1880</v>
      </c>
      <c r="N658" s="85">
        <f>IFERROR(表格1[[#This Row],[QTY]]*表格1[[#This Row],[Unit Price]],"-")</f>
        <v>1880</v>
      </c>
      <c r="O658" s="134">
        <v>446395</v>
      </c>
      <c r="P658" s="81"/>
      <c r="Q658" s="81"/>
      <c r="R658" s="81" t="str">
        <f>_xlfn.CONCAT(表格1[[#This Row],[Model]]," ",表格1[[#This Row],[inv no]])</f>
        <v>RAD-D200H 446395</v>
      </c>
      <c r="S658" s="135">
        <f>_xlfn.XLOOKUP(表格1[[#This Row],[Model]],表格3[Model-Input-Ref2],表格3[SRP PRICE])</f>
        <v>2880</v>
      </c>
      <c r="T658" s="43">
        <f>表格1[[#This Row],[Unit Price]]/表格1[[#This Row],[SRP]]</f>
        <v>0.65277777777777779</v>
      </c>
      <c r="U658" s="86" t="str">
        <f>_xlfn.XLOOKUP(表格1[[#This Row],[Model]],表格3[Model-Input-Ref2],表格3[TOSHIBA/HIGHEST])</f>
        <v>Shops Highest Price</v>
      </c>
      <c r="V658" s="86" t="s">
        <v>1126</v>
      </c>
      <c r="W658" s="86" t="str">
        <f>_xlfn.CONCAT(表格1[[#This Row],[欄4]],表格1[[#This Row],[inv no]])</f>
        <v>DA141446395</v>
      </c>
    </row>
    <row r="659" spans="1:23" hidden="1">
      <c r="A659" s="81">
        <v>657</v>
      </c>
      <c r="B659" s="81" t="s">
        <v>1260</v>
      </c>
      <c r="C659" s="81" t="s">
        <v>1374</v>
      </c>
      <c r="D659" s="82" t="str">
        <f ca="1">OFFSET(Roster!$A$3,MATCH(表格1[[#This Row],[Location]]&amp;" "&amp;表格1[[#This Row],[Shop]]&amp;"*",Roster!$A$4:$A$72,0),DAY(表格1[[#This Row],[date]]),1,1)</f>
        <v>Ling Ho</v>
      </c>
      <c r="E659" s="81">
        <f>MONTH(表格1[[#This Row],[date]])</f>
        <v>3</v>
      </c>
      <c r="F659" s="101">
        <v>46105</v>
      </c>
      <c r="G659" s="81" t="str">
        <f>VLOOKUP("*"&amp;表格1[[#This Row],[Input]]&amp;"*",'Ref-List'!$B:$D,2,)</f>
        <v>RAD-D300H</v>
      </c>
      <c r="H659" s="81" t="str">
        <f>_xlfn.XLOOKUP(表格1[[#This Row],[Model]],表格3[Model-Input-Ref2],表格3[Product Line])</f>
        <v>壓縮式抽濕機 (30公升)</v>
      </c>
      <c r="I659" s="81" t="str">
        <f>_xlfn.XLOOKUP(表格1[[#This Row],[Model]],表格3[Model-Input-Ref2],表格3[大小電])</f>
        <v>細電</v>
      </c>
      <c r="J659" s="81" t="str">
        <f>_xlfn.XLOOKUP(表格1[[#This Row],[Model]],表格3[Model-Input-Ref2],表格3[Code])</f>
        <v>RAC</v>
      </c>
      <c r="K659" s="82" t="s">
        <v>1252</v>
      </c>
      <c r="L659" s="81">
        <v>1</v>
      </c>
      <c r="M659" s="85">
        <v>2280</v>
      </c>
      <c r="N659" s="85">
        <f>IFERROR(表格1[[#This Row],[QTY]]*表格1[[#This Row],[Unit Price]],"-")</f>
        <v>2280</v>
      </c>
      <c r="O659" s="134">
        <v>389797</v>
      </c>
      <c r="P659" s="81"/>
      <c r="Q659" s="81"/>
      <c r="R659" s="81" t="str">
        <f>_xlfn.CONCAT(表格1[[#This Row],[Model]]," ",表格1[[#This Row],[inv no]])</f>
        <v>RAD-D300H 389797</v>
      </c>
      <c r="S659" s="135">
        <f>_xlfn.XLOOKUP(表格1[[#This Row],[Model]],表格3[Model-Input-Ref2],表格3[SRP PRICE])</f>
        <v>3380</v>
      </c>
      <c r="T659" s="43">
        <f>表格1[[#This Row],[Unit Price]]/表格1[[#This Row],[SRP]]</f>
        <v>0.67455621301775148</v>
      </c>
      <c r="U659" s="86" t="str">
        <f>_xlfn.XLOOKUP(表格1[[#This Row],[Model]],表格3[Model-Input-Ref2],表格3[TOSHIBA/HIGHEST])</f>
        <v>Shops Highest Price</v>
      </c>
      <c r="V659" s="86" t="s">
        <v>1126</v>
      </c>
      <c r="W659" s="86" t="str">
        <f>_xlfn.CONCAT(表格1[[#This Row],[欄4]],表格1[[#This Row],[inv no]])</f>
        <v>DA141389797</v>
      </c>
    </row>
    <row r="660" spans="1:23" hidden="1">
      <c r="A660" s="81">
        <v>658</v>
      </c>
      <c r="B660" s="81" t="s">
        <v>1260</v>
      </c>
      <c r="C660" s="81" t="s">
        <v>1374</v>
      </c>
      <c r="D660" s="82" t="str">
        <f ca="1">OFFSET(Roster!$A$3,MATCH(表格1[[#This Row],[Location]]&amp;" "&amp;表格1[[#This Row],[Shop]]&amp;"*",Roster!$A$4:$A$72,0),DAY(表格1[[#This Row],[date]]),1,1)</f>
        <v>Ling Ho</v>
      </c>
      <c r="E660" s="81">
        <f>MONTH(表格1[[#This Row],[date]])</f>
        <v>3</v>
      </c>
      <c r="F660" s="101">
        <v>46105</v>
      </c>
      <c r="G660" s="81" t="str">
        <f>VLOOKUP("*"&amp;表格1[[#This Row],[Input]]&amp;"*",'Ref-List'!$B:$D,2,)</f>
        <v>KT-17SHNH</v>
      </c>
      <c r="H660" s="81" t="str">
        <f>_xlfn.XLOOKUP(表格1[[#This Row],[Model]],表格3[Model-Input-Ref2],表格3[Product Line])</f>
        <v>1.7L無線雙層電熱水壺</v>
      </c>
      <c r="I660" s="81" t="str">
        <f>_xlfn.XLOOKUP(表格1[[#This Row],[Model]],表格3[Model-Input-Ref2],表格3[大小電])</f>
        <v>細電</v>
      </c>
      <c r="J660" s="81" t="str">
        <f>_xlfn.XLOOKUP(表格1[[#This Row],[Model]],表格3[Model-Input-Ref2],表格3[Code])</f>
        <v>SDA</v>
      </c>
      <c r="K660" s="82" t="s">
        <v>1283</v>
      </c>
      <c r="L660" s="81">
        <v>1</v>
      </c>
      <c r="M660" s="85">
        <v>228</v>
      </c>
      <c r="N660" s="85">
        <f>IFERROR(表格1[[#This Row],[QTY]]*表格1[[#This Row],[Unit Price]],"-")</f>
        <v>228</v>
      </c>
      <c r="O660" s="134">
        <v>217761</v>
      </c>
      <c r="P660" s="81"/>
      <c r="Q660" s="81"/>
      <c r="R660" s="81" t="str">
        <f>_xlfn.CONCAT(表格1[[#This Row],[Model]]," ",表格1[[#This Row],[inv no]])</f>
        <v>KT-17SHNH 217761</v>
      </c>
      <c r="S660" s="135">
        <f>_xlfn.XLOOKUP(表格1[[#This Row],[Model]],表格3[Model-Input-Ref2],表格3[SRP PRICE])</f>
        <v>299</v>
      </c>
      <c r="T660" s="43">
        <f>表格1[[#This Row],[Unit Price]]/表格1[[#This Row],[SRP]]</f>
        <v>0.76254180602006694</v>
      </c>
      <c r="U660" s="86" t="str">
        <f>_xlfn.XLOOKUP(表格1[[#This Row],[Model]],表格3[Model-Input-Ref2],表格3[TOSHIBA/HIGHEST])</f>
        <v>Shops Highest Price</v>
      </c>
      <c r="V660" s="86" t="s">
        <v>1126</v>
      </c>
      <c r="W660" s="86" t="str">
        <f>_xlfn.CONCAT(表格1[[#This Row],[欄4]],表格1[[#This Row],[inv no]])</f>
        <v>DA141217761</v>
      </c>
    </row>
    <row r="661" spans="1:23" hidden="1">
      <c r="A661" s="81">
        <v>659</v>
      </c>
      <c r="B661" s="81" t="s">
        <v>1260</v>
      </c>
      <c r="C661" s="81" t="s">
        <v>1374</v>
      </c>
      <c r="D661" s="82" t="str">
        <f ca="1">OFFSET(Roster!$A$3,MATCH(表格1[[#This Row],[Location]]&amp;" "&amp;表格1[[#This Row],[Shop]]&amp;"*",Roster!$A$4:$A$72,0),DAY(表格1[[#This Row],[date]]),1,1)</f>
        <v>Ling Ho off</v>
      </c>
      <c r="E661" s="81">
        <f>MONTH(表格1[[#This Row],[date]])</f>
        <v>3</v>
      </c>
      <c r="F661" s="101">
        <v>46106</v>
      </c>
      <c r="G661" s="81" t="str">
        <f>VLOOKUP("*"&amp;表格1[[#This Row],[Input]]&amp;"*",'Ref-List'!$B:$D,2,)</f>
        <v>IC-20R1THK</v>
      </c>
      <c r="H661" s="81" t="str">
        <f>_xlfn.XLOOKUP(表格1[[#This Row],[Model]],表格3[Model-Input-Ref2],表格3[Product Line])</f>
        <v>輕便式電磁爐</v>
      </c>
      <c r="I661" s="81" t="str">
        <f>_xlfn.XLOOKUP(表格1[[#This Row],[Model]],表格3[Model-Input-Ref2],表格3[大小電])</f>
        <v>細電</v>
      </c>
      <c r="J661" s="81" t="str">
        <f>_xlfn.XLOOKUP(表格1[[#This Row],[Model]],表格3[Model-Input-Ref2],表格3[Code])</f>
        <v>SDA</v>
      </c>
      <c r="K661" s="82" t="s">
        <v>1243</v>
      </c>
      <c r="L661" s="81">
        <v>1</v>
      </c>
      <c r="M661" s="85">
        <v>298</v>
      </c>
      <c r="N661" s="85">
        <f>IFERROR(表格1[[#This Row],[QTY]]*表格1[[#This Row],[Unit Price]],"-")</f>
        <v>298</v>
      </c>
      <c r="O661" s="134">
        <v>446689</v>
      </c>
      <c r="P661" s="81"/>
      <c r="Q661" s="81"/>
      <c r="R661" s="81" t="str">
        <f>_xlfn.CONCAT(表格1[[#This Row],[Model]]," ",表格1[[#This Row],[inv no]])</f>
        <v>IC-20R1THK 446689</v>
      </c>
      <c r="S661" s="135">
        <f>_xlfn.XLOOKUP(表格1[[#This Row],[Model]],表格3[Model-Input-Ref2],表格3[SRP PRICE])</f>
        <v>438</v>
      </c>
      <c r="T661" s="43">
        <f>表格1[[#This Row],[Unit Price]]/表格1[[#This Row],[SRP]]</f>
        <v>0.68036529680365299</v>
      </c>
      <c r="U661" s="86" t="str">
        <f>_xlfn.XLOOKUP(表格1[[#This Row],[Model]],表格3[Model-Input-Ref2],表格3[TOSHIBA/HIGHEST])</f>
        <v>Shops Highest Price</v>
      </c>
      <c r="V661" s="86" t="s">
        <v>1126</v>
      </c>
      <c r="W661" s="86" t="str">
        <f>_xlfn.CONCAT(表格1[[#This Row],[欄4]],表格1[[#This Row],[inv no]])</f>
        <v>DA141446689</v>
      </c>
    </row>
    <row r="662" spans="1:23" hidden="1">
      <c r="A662" s="81">
        <v>660</v>
      </c>
      <c r="B662" s="81" t="s">
        <v>1260</v>
      </c>
      <c r="C662" s="81" t="s">
        <v>1374</v>
      </c>
      <c r="D662" s="82" t="str">
        <f ca="1">OFFSET(Roster!$A$3,MATCH(表格1[[#This Row],[Location]]&amp;" "&amp;表格1[[#This Row],[Shop]]&amp;"*",Roster!$A$4:$A$72,0),DAY(表格1[[#This Row],[date]]),1,1)</f>
        <v>Ling Ho off</v>
      </c>
      <c r="E662" s="81">
        <f>MONTH(表格1[[#This Row],[date]])</f>
        <v>3</v>
      </c>
      <c r="F662" s="101">
        <v>46106</v>
      </c>
      <c r="G662" s="81" t="str">
        <f>VLOOKUP("*"&amp;表格1[[#This Row],[Input]]&amp;"*",'Ref-List'!$B:$D,2,)</f>
        <v>MWP-MM20P(WH)</v>
      </c>
      <c r="H662" s="81" t="str">
        <f>_xlfn.XLOOKUP(表格1[[#This Row],[Model]],表格3[Model-Input-Ref2],表格3[Product Line])</f>
        <v>旋鈕式燒烤微波爐20L</v>
      </c>
      <c r="I662" s="81" t="str">
        <f>_xlfn.XLOOKUP(表格1[[#This Row],[Model]],表格3[Model-Input-Ref2],表格3[大小電])</f>
        <v>細電</v>
      </c>
      <c r="J662" s="81" t="str">
        <f>_xlfn.XLOOKUP(表格1[[#This Row],[Model]],表格3[Model-Input-Ref2],表格3[Code])</f>
        <v>SDA</v>
      </c>
      <c r="K662" s="82" t="s">
        <v>1270</v>
      </c>
      <c r="L662" s="81">
        <v>1</v>
      </c>
      <c r="M662" s="85">
        <v>488</v>
      </c>
      <c r="N662" s="85">
        <f>IFERROR(表格1[[#This Row],[QTY]]*表格1[[#This Row],[Unit Price]],"-")</f>
        <v>488</v>
      </c>
      <c r="O662" s="134">
        <v>446632</v>
      </c>
      <c r="P662" s="81"/>
      <c r="Q662" s="81"/>
      <c r="R662" s="81" t="str">
        <f>_xlfn.CONCAT(表格1[[#This Row],[Model]]," ",表格1[[#This Row],[inv no]])</f>
        <v>MWP-MM20P(WH) 446632</v>
      </c>
      <c r="S662" s="135">
        <f>_xlfn.XLOOKUP(表格1[[#This Row],[Model]],表格3[Model-Input-Ref2],表格3[SRP PRICE])</f>
        <v>648</v>
      </c>
      <c r="T662" s="43">
        <f>表格1[[#This Row],[Unit Price]]/表格1[[#This Row],[SRP]]</f>
        <v>0.75308641975308643</v>
      </c>
      <c r="U662" s="86" t="str">
        <f>_xlfn.XLOOKUP(表格1[[#This Row],[Model]],表格3[Model-Input-Ref2],表格3[TOSHIBA/HIGHEST])</f>
        <v>Toshiba SRP</v>
      </c>
      <c r="V662" s="86" t="s">
        <v>1126</v>
      </c>
      <c r="W662" s="86" t="str">
        <f>_xlfn.CONCAT(表格1[[#This Row],[欄4]],表格1[[#This Row],[inv no]])</f>
        <v>DA141446632</v>
      </c>
    </row>
    <row r="663" spans="1:23" hidden="1">
      <c r="A663" s="81">
        <v>661</v>
      </c>
      <c r="B663" s="81" t="s">
        <v>1260</v>
      </c>
      <c r="C663" s="81" t="s">
        <v>1374</v>
      </c>
      <c r="D663" s="82" t="str">
        <f ca="1">OFFSET(Roster!$A$3,MATCH(表格1[[#This Row],[Location]]&amp;" "&amp;表格1[[#This Row],[Shop]]&amp;"*",Roster!$A$4:$A$72,0),DAY(表格1[[#This Row],[date]]),1,1)</f>
        <v>Ling Ho off</v>
      </c>
      <c r="E663" s="81">
        <f>MONTH(表格1[[#This Row],[date]])</f>
        <v>3</v>
      </c>
      <c r="F663" s="101">
        <v>46106</v>
      </c>
      <c r="G663" s="81" t="str">
        <f>VLOOKUP("*"&amp;表格1[[#This Row],[Input]]&amp;"*",'Ref-List'!$B:$D,2,)</f>
        <v>KT-17SHNH</v>
      </c>
      <c r="H663" s="81" t="str">
        <f>_xlfn.XLOOKUP(表格1[[#This Row],[Model]],表格3[Model-Input-Ref2],表格3[Product Line])</f>
        <v>1.7L無線雙層電熱水壺</v>
      </c>
      <c r="I663" s="81" t="str">
        <f>_xlfn.XLOOKUP(表格1[[#This Row],[Model]],表格3[Model-Input-Ref2],表格3[大小電])</f>
        <v>細電</v>
      </c>
      <c r="J663" s="81" t="str">
        <f>_xlfn.XLOOKUP(表格1[[#This Row],[Model]],表格3[Model-Input-Ref2],表格3[Code])</f>
        <v>SDA</v>
      </c>
      <c r="K663" s="82" t="s">
        <v>1283</v>
      </c>
      <c r="L663" s="81">
        <v>1</v>
      </c>
      <c r="M663" s="85">
        <v>228</v>
      </c>
      <c r="N663" s="85">
        <f>IFERROR(表格1[[#This Row],[QTY]]*表格1[[#This Row],[Unit Price]],"-")</f>
        <v>228</v>
      </c>
      <c r="O663" s="134" t="s">
        <v>1393</v>
      </c>
      <c r="P663" s="81"/>
      <c r="Q663" s="81"/>
      <c r="R663" s="81" t="str">
        <f>_xlfn.CONCAT(表格1[[#This Row],[Model]]," ",表格1[[#This Row],[inv no]])</f>
        <v>KT-17SHNH 060998</v>
      </c>
      <c r="S663" s="135">
        <f>_xlfn.XLOOKUP(表格1[[#This Row],[Model]],表格3[Model-Input-Ref2],表格3[SRP PRICE])</f>
        <v>299</v>
      </c>
      <c r="T663" s="43">
        <f>表格1[[#This Row],[Unit Price]]/表格1[[#This Row],[SRP]]</f>
        <v>0.76254180602006694</v>
      </c>
      <c r="U663" s="86" t="str">
        <f>_xlfn.XLOOKUP(表格1[[#This Row],[Model]],表格3[Model-Input-Ref2],表格3[TOSHIBA/HIGHEST])</f>
        <v>Shops Highest Price</v>
      </c>
      <c r="V663" s="86" t="s">
        <v>1126</v>
      </c>
      <c r="W663" s="86" t="str">
        <f>_xlfn.CONCAT(表格1[[#This Row],[欄4]],表格1[[#This Row],[inv no]])</f>
        <v>DA141060998</v>
      </c>
    </row>
    <row r="664" spans="1:23" hidden="1">
      <c r="A664" s="81">
        <v>662</v>
      </c>
      <c r="B664" s="81" t="s">
        <v>1260</v>
      </c>
      <c r="C664" s="81" t="s">
        <v>1374</v>
      </c>
      <c r="D664" s="82" t="str">
        <f ca="1">OFFSET(Roster!$A$3,MATCH(表格1[[#This Row],[Location]]&amp;" "&amp;表格1[[#This Row],[Shop]]&amp;"*",Roster!$A$4:$A$72,0),DAY(表格1[[#This Row],[date]]),1,1)</f>
        <v>Ling Ho</v>
      </c>
      <c r="E664" s="81">
        <f>MONTH(表格1[[#This Row],[date]])</f>
        <v>3</v>
      </c>
      <c r="F664" s="101">
        <v>46107</v>
      </c>
      <c r="G664" s="81" t="str">
        <f>VLOOKUP("*"&amp;表格1[[#This Row],[Input]]&amp;"*",'Ref-List'!$B:$D,2,)</f>
        <v>MM2-EM20PC(WH)</v>
      </c>
      <c r="H664" s="81" t="str">
        <f>_xlfn.XLOOKUP(表格1[[#This Row],[Model]],表格3[Model-Input-Ref2],表格3[Product Line])</f>
        <v>輕觸式微波爐 (20公升)</v>
      </c>
      <c r="I664" s="81" t="str">
        <f>_xlfn.XLOOKUP(表格1[[#This Row],[Model]],表格3[Model-Input-Ref2],表格3[大小電])</f>
        <v>細電</v>
      </c>
      <c r="J664" s="81" t="str">
        <f>_xlfn.XLOOKUP(表格1[[#This Row],[Model]],表格3[Model-Input-Ref2],表格3[Code])</f>
        <v>MCA</v>
      </c>
      <c r="K664" s="82" t="s">
        <v>1276</v>
      </c>
      <c r="L664" s="81">
        <v>1</v>
      </c>
      <c r="M664" s="85">
        <v>598</v>
      </c>
      <c r="N664" s="85">
        <f>IFERROR(表格1[[#This Row],[QTY]]*表格1[[#This Row],[Unit Price]],"-")</f>
        <v>598</v>
      </c>
      <c r="O664" s="134">
        <v>446946</v>
      </c>
      <c r="P664" s="81"/>
      <c r="Q664" s="81"/>
      <c r="R664" s="81" t="str">
        <f>_xlfn.CONCAT(表格1[[#This Row],[Model]]," ",表格1[[#This Row],[inv no]])</f>
        <v>MM2-EM20PC(WH) 446946</v>
      </c>
      <c r="S664" s="135">
        <f>_xlfn.XLOOKUP(表格1[[#This Row],[Model]],表格3[Model-Input-Ref2],表格3[SRP PRICE])</f>
        <v>788</v>
      </c>
      <c r="T664" s="43">
        <f>表格1[[#This Row],[Unit Price]]/表格1[[#This Row],[SRP]]</f>
        <v>0.75888324873096447</v>
      </c>
      <c r="U664" s="86" t="str">
        <f>_xlfn.XLOOKUP(表格1[[#This Row],[Model]],表格3[Model-Input-Ref2],表格3[TOSHIBA/HIGHEST])</f>
        <v>Toshiba SRP</v>
      </c>
      <c r="V664" s="86" t="s">
        <v>1126</v>
      </c>
      <c r="W664" s="86" t="str">
        <f>_xlfn.CONCAT(表格1[[#This Row],[欄4]],表格1[[#This Row],[inv no]])</f>
        <v>DA141446946</v>
      </c>
    </row>
    <row r="665" spans="1:23" ht="16.5" hidden="1">
      <c r="A665" s="81">
        <v>663</v>
      </c>
      <c r="B665" s="81" t="s">
        <v>1260</v>
      </c>
      <c r="C665" s="81" t="s">
        <v>1374</v>
      </c>
      <c r="D665" s="82" t="str">
        <f ca="1">OFFSET(Roster!$A$3,MATCH(表格1[[#This Row],[Location]]&amp;" "&amp;表格1[[#This Row],[Shop]]&amp;"*",Roster!$A$4:$A$72,0),DAY(表格1[[#This Row],[date]]),1,1)</f>
        <v>Ling Ho</v>
      </c>
      <c r="E665" s="81">
        <f>MONTH(表格1[[#This Row],[date]])</f>
        <v>3</v>
      </c>
      <c r="F665" s="101">
        <v>46107</v>
      </c>
      <c r="G665" s="81" t="str">
        <f>VLOOKUP("*"&amp;表格1[[#This Row],[Input]]&amp;"*",'Ref-List'!$B:$D,2,)</f>
        <v>F-LYA20(W)HKG</v>
      </c>
      <c r="H665" s="81" t="str">
        <f>_xlfn.XLOOKUP(表格1[[#This Row],[Model]],表格3[Model-Input-Ref2],表格3[Product Line])</f>
        <v>12吋2合1座地座檯電風扇連遙控</v>
      </c>
      <c r="I665" s="81" t="str">
        <f>_xlfn.XLOOKUP(表格1[[#This Row],[Model]],表格3[Model-Input-Ref2],表格3[大小電])</f>
        <v>細電</v>
      </c>
      <c r="J665" s="81" t="str">
        <f>_xlfn.XLOOKUP(表格1[[#This Row],[Model]],表格3[Model-Input-Ref2],表格3[Code])</f>
        <v>EAD</v>
      </c>
      <c r="K665" s="82" t="s">
        <v>1391</v>
      </c>
      <c r="L665" s="81">
        <v>1</v>
      </c>
      <c r="M665" s="85">
        <v>399</v>
      </c>
      <c r="N665" s="85">
        <f>IFERROR(表格1[[#This Row],[QTY]]*表格1[[#This Row],[Unit Price]],"-")</f>
        <v>399</v>
      </c>
      <c r="O665" s="134">
        <v>318040</v>
      </c>
      <c r="P665" s="137"/>
      <c r="Q665" s="81"/>
      <c r="R665" s="81" t="str">
        <f>_xlfn.CONCAT(表格1[[#This Row],[Model]]," ",表格1[[#This Row],[inv no]])</f>
        <v>F-LYA20(W)HKG 318040</v>
      </c>
      <c r="S665" s="135">
        <f>_xlfn.XLOOKUP(表格1[[#This Row],[Model]],表格3[Model-Input-Ref2],表格3[SRP PRICE])</f>
        <v>988</v>
      </c>
      <c r="T665" s="43">
        <f>表格1[[#This Row],[Unit Price]]/表格1[[#This Row],[SRP]]</f>
        <v>0.40384615384615385</v>
      </c>
      <c r="U665" s="86" t="str">
        <f>_xlfn.XLOOKUP(表格1[[#This Row],[Model]],表格3[Model-Input-Ref2],表格3[TOSHIBA/HIGHEST])</f>
        <v>Toshiba SRP</v>
      </c>
      <c r="V665" s="86" t="s">
        <v>1126</v>
      </c>
      <c r="W665" s="86" t="str">
        <f>_xlfn.CONCAT(表格1[[#This Row],[欄4]],表格1[[#This Row],[inv no]])</f>
        <v>DA141318040</v>
      </c>
    </row>
    <row r="666" spans="1:23" hidden="1">
      <c r="A666" s="81">
        <v>664</v>
      </c>
      <c r="B666" s="81" t="s">
        <v>1260</v>
      </c>
      <c r="C666" s="81" t="s">
        <v>1374</v>
      </c>
      <c r="D666" s="82" t="str">
        <f ca="1">OFFSET(Roster!$A$3,MATCH(表格1[[#This Row],[Location]]&amp;" "&amp;表格1[[#This Row],[Shop]]&amp;"*",Roster!$A$4:$A$72,0),DAY(表格1[[#This Row],[date]]),1,1)</f>
        <v>Ling Ho</v>
      </c>
      <c r="E666" s="81">
        <f>MONTH(表格1[[#This Row],[date]])</f>
        <v>3</v>
      </c>
      <c r="F666" s="101">
        <v>46107</v>
      </c>
      <c r="G666" s="81" t="str">
        <f>VLOOKUP("*"&amp;表格1[[#This Row],[Input]]&amp;"*",'Ref-List'!$B:$D,2,)</f>
        <v>KT-15DRTHK(W)</v>
      </c>
      <c r="H666" s="81" t="str">
        <f>_xlfn.XLOOKUP(表格1[[#This Row],[Model]],表格3[Model-Input-Ref2],表格3[Product Line])</f>
        <v>無線雙層電熱水壺-附可鎖壺蓋</v>
      </c>
      <c r="I666" s="81" t="str">
        <f>_xlfn.XLOOKUP(表格1[[#This Row],[Model]],表格3[Model-Input-Ref2],表格3[大小電])</f>
        <v>細電</v>
      </c>
      <c r="J666" s="81" t="str">
        <f>_xlfn.XLOOKUP(表格1[[#This Row],[Model]],表格3[Model-Input-Ref2],表格3[Code])</f>
        <v>SDA</v>
      </c>
      <c r="K666" s="82" t="s">
        <v>1278</v>
      </c>
      <c r="L666" s="81">
        <v>1</v>
      </c>
      <c r="M666" s="85">
        <v>358</v>
      </c>
      <c r="N666" s="85">
        <f>IFERROR(表格1[[#This Row],[QTY]]*表格1[[#This Row],[Unit Price]],"-")</f>
        <v>358</v>
      </c>
      <c r="O666" s="134">
        <v>446891</v>
      </c>
      <c r="P666" s="81"/>
      <c r="Q666" s="81"/>
      <c r="R666" s="81" t="str">
        <f>_xlfn.CONCAT(表格1[[#This Row],[Model]]," ",表格1[[#This Row],[inv no]])</f>
        <v>KT-15DRTHK(W) 446891</v>
      </c>
      <c r="S666" s="135">
        <f>_xlfn.XLOOKUP(表格1[[#This Row],[Model]],表格3[Model-Input-Ref2],表格3[SRP PRICE])</f>
        <v>598</v>
      </c>
      <c r="T666" s="43">
        <f>表格1[[#This Row],[Unit Price]]/表格1[[#This Row],[SRP]]</f>
        <v>0.59866220735785958</v>
      </c>
      <c r="U666" s="86" t="str">
        <f>_xlfn.XLOOKUP(表格1[[#This Row],[Model]],表格3[Model-Input-Ref2],表格3[TOSHIBA/HIGHEST])</f>
        <v>Toshiba SRP</v>
      </c>
      <c r="V666" s="86" t="s">
        <v>1126</v>
      </c>
      <c r="W666" s="86" t="str">
        <f>_xlfn.CONCAT(表格1[[#This Row],[欄4]],表格1[[#This Row],[inv no]])</f>
        <v>DA141446891</v>
      </c>
    </row>
    <row r="667" spans="1:23" hidden="1">
      <c r="A667" s="81">
        <v>665</v>
      </c>
      <c r="B667" s="81" t="s">
        <v>1260</v>
      </c>
      <c r="C667" s="81" t="s">
        <v>1374</v>
      </c>
      <c r="D667" s="82" t="str">
        <f ca="1">OFFSET(Roster!$A$3,MATCH(表格1[[#This Row],[Location]]&amp;" "&amp;表格1[[#This Row],[Shop]]&amp;"*",Roster!$A$4:$A$72,0),DAY(表格1[[#This Row],[date]]),1,1)</f>
        <v>Ling Ho</v>
      </c>
      <c r="E667" s="81">
        <f>MONTH(表格1[[#This Row],[date]])</f>
        <v>3</v>
      </c>
      <c r="F667" s="101">
        <v>46107</v>
      </c>
      <c r="G667" s="81" t="str">
        <f>VLOOKUP("*"&amp;表格1[[#This Row],[Input]]&amp;"*",'Ref-List'!$B:$D,2,)</f>
        <v>RC-10BHH(W)</v>
      </c>
      <c r="H667" s="81" t="str">
        <f>_xlfn.XLOOKUP(表格1[[#This Row],[Model]],表格3[Model-Input-Ref2],表格3[Product Line])</f>
        <v>酵活炊磁應電飯煲</v>
      </c>
      <c r="I667" s="81" t="str">
        <f>_xlfn.XLOOKUP(表格1[[#This Row],[Model]],表格3[Model-Input-Ref2],表格3[大小電])</f>
        <v>細電</v>
      </c>
      <c r="J667" s="81" t="str">
        <f>_xlfn.XLOOKUP(表格1[[#This Row],[Model]],表格3[Model-Input-Ref2],表格3[Code])</f>
        <v>SDA</v>
      </c>
      <c r="K667" s="139" t="s">
        <v>1269</v>
      </c>
      <c r="L667" s="81">
        <v>1</v>
      </c>
      <c r="M667" s="85">
        <v>1688</v>
      </c>
      <c r="N667" s="85">
        <f>IFERROR(表格1[[#This Row],[QTY]]*表格1[[#This Row],[Unit Price]],"-")</f>
        <v>1688</v>
      </c>
      <c r="O667" s="134">
        <v>390229</v>
      </c>
      <c r="P667" s="81"/>
      <c r="Q667" s="81"/>
      <c r="R667" s="81" t="str">
        <f>_xlfn.CONCAT(表格1[[#This Row],[Model]]," ",表格1[[#This Row],[inv no]])</f>
        <v>RC-10BHH(W) 390229</v>
      </c>
      <c r="S667" s="135">
        <f>_xlfn.XLOOKUP(表格1[[#This Row],[Model]],表格3[Model-Input-Ref2],表格3[SRP PRICE])</f>
        <v>2088</v>
      </c>
      <c r="T667" s="43">
        <f>表格1[[#This Row],[Unit Price]]/表格1[[#This Row],[SRP]]</f>
        <v>0.80842911877394641</v>
      </c>
      <c r="U667" s="86" t="str">
        <f>_xlfn.XLOOKUP(表格1[[#This Row],[Model]],表格3[Model-Input-Ref2],表格3[TOSHIBA/HIGHEST])</f>
        <v>Shops Highest Price</v>
      </c>
      <c r="V667" s="86" t="s">
        <v>1126</v>
      </c>
      <c r="W667" s="86" t="str">
        <f>_xlfn.CONCAT(表格1[[#This Row],[欄4]],表格1[[#This Row],[inv no]])</f>
        <v>DA141390229</v>
      </c>
    </row>
    <row r="668" spans="1:23" hidden="1">
      <c r="A668" s="81">
        <v>666</v>
      </c>
      <c r="B668" s="81" t="s">
        <v>1260</v>
      </c>
      <c r="C668" s="81" t="s">
        <v>1374</v>
      </c>
      <c r="D668" s="82" t="str">
        <f ca="1">OFFSET(Roster!$A$3,MATCH(表格1[[#This Row],[Location]]&amp;" "&amp;表格1[[#This Row],[Shop]]&amp;"*",Roster!$A$4:$A$72,0),DAY(表格1[[#This Row],[date]]),1,1)</f>
        <v>Ling Ho</v>
      </c>
      <c r="E668" s="81">
        <f>MONTH(表格1[[#This Row],[date]])</f>
        <v>3</v>
      </c>
      <c r="F668" s="101">
        <v>46107</v>
      </c>
      <c r="G668" s="81" t="str">
        <f>VLOOKUP("*"&amp;表格1[[#This Row],[Input]]&amp;"*",'Ref-List'!$B:$D,2,)</f>
        <v>F-LYA20(W)HKG</v>
      </c>
      <c r="H668" s="81" t="str">
        <f>_xlfn.XLOOKUP(表格1[[#This Row],[Model]],表格3[Model-Input-Ref2],表格3[Product Line])</f>
        <v>12吋2合1座地座檯電風扇連遙控</v>
      </c>
      <c r="I668" s="81" t="str">
        <f>_xlfn.XLOOKUP(表格1[[#This Row],[Model]],表格3[Model-Input-Ref2],表格3[大小電])</f>
        <v>細電</v>
      </c>
      <c r="J668" s="81" t="str">
        <f>_xlfn.XLOOKUP(表格1[[#This Row],[Model]],表格3[Model-Input-Ref2],表格3[Code])</f>
        <v>EAD</v>
      </c>
      <c r="K668" s="82" t="s">
        <v>1391</v>
      </c>
      <c r="L668" s="81">
        <v>1</v>
      </c>
      <c r="M668" s="85">
        <v>399</v>
      </c>
      <c r="N668" s="85">
        <f>IFERROR(表格1[[#This Row],[QTY]]*表格1[[#This Row],[Unit Price]],"-")</f>
        <v>399</v>
      </c>
      <c r="O668" s="134">
        <v>241693</v>
      </c>
      <c r="P668" s="81"/>
      <c r="Q668" s="81"/>
      <c r="R668" s="81" t="str">
        <f>_xlfn.CONCAT(表格1[[#This Row],[Model]]," ",表格1[[#This Row],[inv no]])</f>
        <v>F-LYA20(W)HKG 241693</v>
      </c>
      <c r="S668" s="135">
        <f>_xlfn.XLOOKUP(表格1[[#This Row],[Model]],表格3[Model-Input-Ref2],表格3[SRP PRICE])</f>
        <v>988</v>
      </c>
      <c r="T668" s="43">
        <f>表格1[[#This Row],[Unit Price]]/表格1[[#This Row],[SRP]]</f>
        <v>0.40384615384615385</v>
      </c>
      <c r="U668" s="86" t="str">
        <f>_xlfn.XLOOKUP(表格1[[#This Row],[Model]],表格3[Model-Input-Ref2],表格3[TOSHIBA/HIGHEST])</f>
        <v>Toshiba SRP</v>
      </c>
      <c r="V668" s="86" t="s">
        <v>1126</v>
      </c>
      <c r="W668" s="86" t="str">
        <f>_xlfn.CONCAT(表格1[[#This Row],[欄4]],表格1[[#This Row],[inv no]])</f>
        <v>DA141241693</v>
      </c>
    </row>
    <row r="669" spans="1:23" hidden="1">
      <c r="A669" s="81">
        <v>667</v>
      </c>
      <c r="B669" s="81" t="s">
        <v>1260</v>
      </c>
      <c r="C669" s="81" t="s">
        <v>1374</v>
      </c>
      <c r="D669" s="82" t="str">
        <f ca="1">OFFSET(Roster!$A$3,MATCH(表格1[[#This Row],[Location]]&amp;" "&amp;表格1[[#This Row],[Shop]]&amp;"*",Roster!$A$4:$A$72,0),DAY(表格1[[#This Row],[date]]),1,1)</f>
        <v>Ling Ho</v>
      </c>
      <c r="E669" s="81">
        <f>MONTH(表格1[[#This Row],[date]])</f>
        <v>3</v>
      </c>
      <c r="F669" s="101">
        <v>46108</v>
      </c>
      <c r="G669" s="81" t="str">
        <f>VLOOKUP("*"&amp;表格1[[#This Row],[Input]]&amp;"*",'Ref-List'!$B:$D,2,)</f>
        <v>F-LYA20(W)HKG</v>
      </c>
      <c r="H669" s="81" t="str">
        <f>_xlfn.XLOOKUP(表格1[[#This Row],[Model]],表格3[Model-Input-Ref2],表格3[Product Line])</f>
        <v>12吋2合1座地座檯電風扇連遙控</v>
      </c>
      <c r="I669" s="81" t="str">
        <f>_xlfn.XLOOKUP(表格1[[#This Row],[Model]],表格3[Model-Input-Ref2],表格3[大小電])</f>
        <v>細電</v>
      </c>
      <c r="J669" s="81" t="str">
        <f>_xlfn.XLOOKUP(表格1[[#This Row],[Model]],表格3[Model-Input-Ref2],表格3[Code])</f>
        <v>EAD</v>
      </c>
      <c r="K669" s="139" t="s">
        <v>1391</v>
      </c>
      <c r="L669" s="81">
        <v>1</v>
      </c>
      <c r="M669" s="85">
        <v>399</v>
      </c>
      <c r="N669" s="85">
        <f>IFERROR(表格1[[#This Row],[QTY]]*表格1[[#This Row],[Unit Price]],"-")</f>
        <v>399</v>
      </c>
      <c r="O669" s="134">
        <v>218371</v>
      </c>
      <c r="P669" s="81"/>
      <c r="Q669" s="81"/>
      <c r="R669" s="81" t="str">
        <f>_xlfn.CONCAT(表格1[[#This Row],[Model]]," ",表格1[[#This Row],[inv no]])</f>
        <v>F-LYA20(W)HKG 218371</v>
      </c>
      <c r="S669" s="135">
        <f>_xlfn.XLOOKUP(表格1[[#This Row],[Model]],表格3[Model-Input-Ref2],表格3[SRP PRICE])</f>
        <v>988</v>
      </c>
      <c r="T669" s="43">
        <f>表格1[[#This Row],[Unit Price]]/表格1[[#This Row],[SRP]]</f>
        <v>0.40384615384615385</v>
      </c>
      <c r="U669" s="86" t="str">
        <f>_xlfn.XLOOKUP(表格1[[#This Row],[Model]],表格3[Model-Input-Ref2],表格3[TOSHIBA/HIGHEST])</f>
        <v>Toshiba SRP</v>
      </c>
      <c r="V669" s="86" t="s">
        <v>1126</v>
      </c>
      <c r="W669" s="86" t="str">
        <f>_xlfn.CONCAT(表格1[[#This Row],[欄4]],表格1[[#This Row],[inv no]])</f>
        <v>DA141218371</v>
      </c>
    </row>
    <row r="670" spans="1:23" hidden="1">
      <c r="A670" s="81">
        <v>668</v>
      </c>
      <c r="B670" s="81" t="s">
        <v>1260</v>
      </c>
      <c r="C670" s="81" t="s">
        <v>1374</v>
      </c>
      <c r="D670" s="82" t="str">
        <f ca="1">OFFSET(Roster!$A$3,MATCH(表格1[[#This Row],[Location]]&amp;" "&amp;表格1[[#This Row],[Shop]]&amp;"*",Roster!$A$4:$A$72,0),DAY(表格1[[#This Row],[date]]),1,1)</f>
        <v>Ling Ho</v>
      </c>
      <c r="E670" s="81">
        <f>MONTH(表格1[[#This Row],[date]])</f>
        <v>3</v>
      </c>
      <c r="F670" s="101">
        <v>46108</v>
      </c>
      <c r="G670" s="81" t="str">
        <f>VLOOKUP("*"&amp;表格1[[#This Row],[Input]]&amp;"*",'Ref-List'!$B:$D,2,)</f>
        <v>MS3-STQ20SC(WH)</v>
      </c>
      <c r="H670" s="81" t="str">
        <f>_xlfn.XLOOKUP(表格1[[#This Row],[Model]],表格3[Model-Input-Ref2],表格3[Product Line])</f>
        <v>20L 智能蒸氣焗爐</v>
      </c>
      <c r="I670" s="81" t="str">
        <f>_xlfn.XLOOKUP(表格1[[#This Row],[Model]],表格3[Model-Input-Ref2],表格3[大小電])</f>
        <v>細電</v>
      </c>
      <c r="J670" s="81" t="str">
        <f>_xlfn.XLOOKUP(表格1[[#This Row],[Model]],表格3[Model-Input-Ref2],表格3[Code])</f>
        <v>MCA</v>
      </c>
      <c r="K670" s="82" t="s">
        <v>1383</v>
      </c>
      <c r="L670" s="81">
        <v>1</v>
      </c>
      <c r="M670" s="85">
        <v>1980</v>
      </c>
      <c r="N670" s="85">
        <f>IFERROR(表格1[[#This Row],[QTY]]*表格1[[#This Row],[Unit Price]],"-")</f>
        <v>1980</v>
      </c>
      <c r="O670" s="134">
        <v>242126</v>
      </c>
      <c r="P670" s="81"/>
      <c r="Q670" s="81"/>
      <c r="R670" s="81" t="str">
        <f>_xlfn.CONCAT(表格1[[#This Row],[Model]]," ",表格1[[#This Row],[inv no]])</f>
        <v>MS3-STQ20SC(WH) 242126</v>
      </c>
      <c r="S670" s="135">
        <f>_xlfn.XLOOKUP(表格1[[#This Row],[Model]],表格3[Model-Input-Ref2],表格3[SRP PRICE])</f>
        <v>2880</v>
      </c>
      <c r="T670" s="43">
        <f>表格1[[#This Row],[Unit Price]]/表格1[[#This Row],[SRP]]</f>
        <v>0.6875</v>
      </c>
      <c r="U670" s="86" t="str">
        <f>_xlfn.XLOOKUP(表格1[[#This Row],[Model]],表格3[Model-Input-Ref2],表格3[TOSHIBA/HIGHEST])</f>
        <v>Toshiba SRP</v>
      </c>
      <c r="V670" s="86" t="s">
        <v>1126</v>
      </c>
      <c r="W670" s="86" t="str">
        <f>_xlfn.CONCAT(表格1[[#This Row],[欄4]],表格1[[#This Row],[inv no]])</f>
        <v>DA141242126</v>
      </c>
    </row>
    <row r="671" spans="1:23" hidden="1">
      <c r="A671" s="81">
        <v>669</v>
      </c>
      <c r="B671" s="81" t="s">
        <v>1260</v>
      </c>
      <c r="C671" s="81" t="s">
        <v>1374</v>
      </c>
      <c r="D671" s="82" t="str">
        <f ca="1">OFFSET(Roster!$A$3,MATCH(表格1[[#This Row],[Location]]&amp;" "&amp;表格1[[#This Row],[Shop]]&amp;"*",Roster!$A$4:$A$72,0),DAY(表格1[[#This Row],[date]]),1,1)</f>
        <v>Ling Ho</v>
      </c>
      <c r="E671" s="81">
        <f>MONTH(表格1[[#This Row],[date]])</f>
        <v>3</v>
      </c>
      <c r="F671" s="101">
        <v>46108</v>
      </c>
      <c r="G671" s="81" t="str">
        <f>VLOOKUP("*"&amp;表格1[[#This Row],[Input]]&amp;"*",'Ref-List'!$B:$D,2,)</f>
        <v>F-LYA20(W)HKG</v>
      </c>
      <c r="H671" s="81" t="str">
        <f>_xlfn.XLOOKUP(表格1[[#This Row],[Model]],表格3[Model-Input-Ref2],表格3[Product Line])</f>
        <v>12吋2合1座地座檯電風扇連遙控</v>
      </c>
      <c r="I671" s="81" t="str">
        <f>_xlfn.XLOOKUP(表格1[[#This Row],[Model]],表格3[Model-Input-Ref2],表格3[大小電])</f>
        <v>細電</v>
      </c>
      <c r="J671" s="81" t="str">
        <f>_xlfn.XLOOKUP(表格1[[#This Row],[Model]],表格3[Model-Input-Ref2],表格3[Code])</f>
        <v>EAD</v>
      </c>
      <c r="K671" s="139" t="s">
        <v>1391</v>
      </c>
      <c r="L671" s="81">
        <v>1</v>
      </c>
      <c r="M671" s="85">
        <v>399</v>
      </c>
      <c r="N671" s="85">
        <f>IFERROR(表格1[[#This Row],[QTY]]*表格1[[#This Row],[Unit Price]],"-")</f>
        <v>399</v>
      </c>
      <c r="O671" s="134">
        <v>242000</v>
      </c>
      <c r="P671" s="81"/>
      <c r="Q671" s="81"/>
      <c r="R671" s="81" t="str">
        <f>_xlfn.CONCAT(表格1[[#This Row],[Model]]," ",表格1[[#This Row],[inv no]])</f>
        <v>F-LYA20(W)HKG 242000</v>
      </c>
      <c r="S671" s="135">
        <f>_xlfn.XLOOKUP(表格1[[#This Row],[Model]],表格3[Model-Input-Ref2],表格3[SRP PRICE])</f>
        <v>988</v>
      </c>
      <c r="T671" s="43">
        <f>表格1[[#This Row],[Unit Price]]/表格1[[#This Row],[SRP]]</f>
        <v>0.40384615384615385</v>
      </c>
      <c r="U671" s="86" t="str">
        <f>_xlfn.XLOOKUP(表格1[[#This Row],[Model]],表格3[Model-Input-Ref2],表格3[TOSHIBA/HIGHEST])</f>
        <v>Toshiba SRP</v>
      </c>
      <c r="V671" s="86" t="s">
        <v>1126</v>
      </c>
      <c r="W671" s="86" t="str">
        <f>_xlfn.CONCAT(表格1[[#This Row],[欄4]],表格1[[#This Row],[inv no]])</f>
        <v>DA141242000</v>
      </c>
    </row>
    <row r="672" spans="1:23" hidden="1">
      <c r="A672" s="81">
        <v>670</v>
      </c>
      <c r="B672" s="81" t="s">
        <v>1260</v>
      </c>
      <c r="C672" s="81" t="s">
        <v>1374</v>
      </c>
      <c r="D672" s="82" t="str">
        <f ca="1">OFFSET(Roster!$A$3,MATCH(表格1[[#This Row],[Location]]&amp;" "&amp;表格1[[#This Row],[Shop]]&amp;"*",Roster!$A$4:$A$72,0),DAY(表格1[[#This Row],[date]]),1,1)</f>
        <v>Ling Ho</v>
      </c>
      <c r="E672" s="81">
        <f>MONTH(表格1[[#This Row],[date]])</f>
        <v>3</v>
      </c>
      <c r="F672" s="101">
        <v>46108</v>
      </c>
      <c r="G672" s="81" t="str">
        <f>VLOOKUP("*"&amp;表格1[[#This Row],[Input]]&amp;"*",'Ref-List'!$B:$D,2,)</f>
        <v>F-LYA20(W)HKG</v>
      </c>
      <c r="H672" s="81" t="str">
        <f>_xlfn.XLOOKUP(表格1[[#This Row],[Model]],表格3[Model-Input-Ref2],表格3[Product Line])</f>
        <v>12吋2合1座地座檯電風扇連遙控</v>
      </c>
      <c r="I672" s="81" t="str">
        <f>_xlfn.XLOOKUP(表格1[[#This Row],[Model]],表格3[Model-Input-Ref2],表格3[大小電])</f>
        <v>細電</v>
      </c>
      <c r="J672" s="81" t="str">
        <f>_xlfn.XLOOKUP(表格1[[#This Row],[Model]],表格3[Model-Input-Ref2],表格3[Code])</f>
        <v>EAD</v>
      </c>
      <c r="K672" s="82" t="s">
        <v>1391</v>
      </c>
      <c r="L672" s="81">
        <v>1</v>
      </c>
      <c r="M672" s="85">
        <v>399</v>
      </c>
      <c r="N672" s="85">
        <f>IFERROR(表格1[[#This Row],[QTY]]*表格1[[#This Row],[Unit Price]],"-")</f>
        <v>399</v>
      </c>
      <c r="O672" s="134">
        <v>390485</v>
      </c>
      <c r="P672" s="81"/>
      <c r="Q672" s="81"/>
      <c r="R672" s="81" t="str">
        <f>_xlfn.CONCAT(表格1[[#This Row],[Model]]," ",表格1[[#This Row],[inv no]])</f>
        <v>F-LYA20(W)HKG 390485</v>
      </c>
      <c r="S672" s="135">
        <f>_xlfn.XLOOKUP(表格1[[#This Row],[Model]],表格3[Model-Input-Ref2],表格3[SRP PRICE])</f>
        <v>988</v>
      </c>
      <c r="T672" s="43">
        <f>表格1[[#This Row],[Unit Price]]/表格1[[#This Row],[SRP]]</f>
        <v>0.40384615384615385</v>
      </c>
      <c r="U672" s="86" t="str">
        <f>_xlfn.XLOOKUP(表格1[[#This Row],[Model]],表格3[Model-Input-Ref2],表格3[TOSHIBA/HIGHEST])</f>
        <v>Toshiba SRP</v>
      </c>
      <c r="V672" s="86" t="s">
        <v>1126</v>
      </c>
      <c r="W672" s="86" t="str">
        <f>_xlfn.CONCAT(表格1[[#This Row],[欄4]],表格1[[#This Row],[inv no]])</f>
        <v>DA141390485</v>
      </c>
    </row>
    <row r="673" spans="1:23" ht="16.5" hidden="1">
      <c r="A673" s="81">
        <v>671</v>
      </c>
      <c r="B673" s="81" t="s">
        <v>1260</v>
      </c>
      <c r="C673" s="81" t="s">
        <v>1374</v>
      </c>
      <c r="D673" s="82" t="str">
        <f ca="1">OFFSET(Roster!$A$3,MATCH(表格1[[#This Row],[Location]]&amp;" "&amp;表格1[[#This Row],[Shop]]&amp;"*",Roster!$A$4:$A$72,0),DAY(表格1[[#This Row],[date]]),1,1)</f>
        <v>Ling Ho</v>
      </c>
      <c r="E673" s="81">
        <f>MONTH(表格1[[#This Row],[date]])</f>
        <v>3</v>
      </c>
      <c r="F673" s="101">
        <v>46108</v>
      </c>
      <c r="G673" s="81" t="str">
        <f>VLOOKUP("*"&amp;表格1[[#This Row],[Input]]&amp;"*",'Ref-List'!$B:$D,2,)</f>
        <v>F-LYA20(W)HKG</v>
      </c>
      <c r="H673" s="81" t="str">
        <f>_xlfn.XLOOKUP(表格1[[#This Row],[Model]],表格3[Model-Input-Ref2],表格3[Product Line])</f>
        <v>12吋2合1座地座檯電風扇連遙控</v>
      </c>
      <c r="I673" s="81" t="str">
        <f>_xlfn.XLOOKUP(表格1[[#This Row],[Model]],表格3[Model-Input-Ref2],表格3[大小電])</f>
        <v>細電</v>
      </c>
      <c r="J673" s="81" t="str">
        <f>_xlfn.XLOOKUP(表格1[[#This Row],[Model]],表格3[Model-Input-Ref2],表格3[Code])</f>
        <v>EAD</v>
      </c>
      <c r="K673" s="82" t="s">
        <v>1391</v>
      </c>
      <c r="L673" s="81">
        <v>1</v>
      </c>
      <c r="M673" s="140">
        <v>399</v>
      </c>
      <c r="N673" s="85">
        <f>IFERROR(表格1[[#This Row],[QTY]]*表格1[[#This Row],[Unit Price]],"-")</f>
        <v>399</v>
      </c>
      <c r="O673" s="134">
        <v>447311</v>
      </c>
      <c r="P673" s="137"/>
      <c r="Q673" s="81"/>
      <c r="R673" s="81" t="str">
        <f>_xlfn.CONCAT(表格1[[#This Row],[Model]]," ",表格1[[#This Row],[inv no]])</f>
        <v>F-LYA20(W)HKG 447311</v>
      </c>
      <c r="S673" s="135">
        <f>_xlfn.XLOOKUP(表格1[[#This Row],[Model]],表格3[Model-Input-Ref2],表格3[SRP PRICE])</f>
        <v>988</v>
      </c>
      <c r="T673" s="43">
        <f>表格1[[#This Row],[Unit Price]]/表格1[[#This Row],[SRP]]</f>
        <v>0.40384615384615385</v>
      </c>
      <c r="U673" s="86" t="str">
        <f>_xlfn.XLOOKUP(表格1[[#This Row],[Model]],表格3[Model-Input-Ref2],表格3[TOSHIBA/HIGHEST])</f>
        <v>Toshiba SRP</v>
      </c>
      <c r="V673" s="86" t="s">
        <v>1126</v>
      </c>
      <c r="W673" s="86" t="str">
        <f>_xlfn.CONCAT(表格1[[#This Row],[欄4]],表格1[[#This Row],[inv no]])</f>
        <v>DA141447311</v>
      </c>
    </row>
    <row r="674" spans="1:23" hidden="1">
      <c r="A674" s="81">
        <v>672</v>
      </c>
      <c r="B674" s="81" t="s">
        <v>1260</v>
      </c>
      <c r="C674" s="81" t="s">
        <v>1374</v>
      </c>
      <c r="D674" s="82" t="str">
        <f ca="1">OFFSET(Roster!$A$3,MATCH(表格1[[#This Row],[Location]]&amp;" "&amp;表格1[[#This Row],[Shop]]&amp;"*",Roster!$A$4:$A$72,0),DAY(表格1[[#This Row],[date]]),1,1)</f>
        <v>Ling Ho</v>
      </c>
      <c r="E674" s="81">
        <f>MONTH(表格1[[#This Row],[date]])</f>
        <v>3</v>
      </c>
      <c r="F674" s="101">
        <v>46108</v>
      </c>
      <c r="G674" s="81" t="str">
        <f>VLOOKUP("*"&amp;表格1[[#This Row],[Input]]&amp;"*",'Ref-List'!$B:$D,2,)</f>
        <v>RC-10BHH(W)</v>
      </c>
      <c r="H674" s="81" t="str">
        <f>_xlfn.XLOOKUP(表格1[[#This Row],[Model]],表格3[Model-Input-Ref2],表格3[Product Line])</f>
        <v>酵活炊磁應電飯煲</v>
      </c>
      <c r="I674" s="81" t="str">
        <f>_xlfn.XLOOKUP(表格1[[#This Row],[Model]],表格3[Model-Input-Ref2],表格3[大小電])</f>
        <v>細電</v>
      </c>
      <c r="J674" s="81" t="str">
        <f>_xlfn.XLOOKUP(表格1[[#This Row],[Model]],表格3[Model-Input-Ref2],表格3[Code])</f>
        <v>SDA</v>
      </c>
      <c r="K674" s="82" t="s">
        <v>1269</v>
      </c>
      <c r="L674" s="81">
        <v>1</v>
      </c>
      <c r="M674" s="85">
        <v>1688</v>
      </c>
      <c r="N674" s="85">
        <f>IFERROR(表格1[[#This Row],[QTY]]*表格1[[#This Row],[Unit Price]],"-")</f>
        <v>1688</v>
      </c>
      <c r="O674" s="134" t="s">
        <v>1396</v>
      </c>
      <c r="P674" s="81"/>
      <c r="Q674" s="81"/>
      <c r="R674" s="81" t="str">
        <f>_xlfn.CONCAT(表格1[[#This Row],[Model]]," ",表格1[[#This Row],[inv no]])</f>
        <v>RC-10BHH(W) 061235</v>
      </c>
      <c r="S674" s="135">
        <f>_xlfn.XLOOKUP(表格1[[#This Row],[Model]],表格3[Model-Input-Ref2],表格3[SRP PRICE])</f>
        <v>2088</v>
      </c>
      <c r="T674" s="43">
        <f>表格1[[#This Row],[Unit Price]]/表格1[[#This Row],[SRP]]</f>
        <v>0.80842911877394641</v>
      </c>
      <c r="U674" s="86" t="str">
        <f>_xlfn.XLOOKUP(表格1[[#This Row],[Model]],表格3[Model-Input-Ref2],表格3[TOSHIBA/HIGHEST])</f>
        <v>Shops Highest Price</v>
      </c>
      <c r="V674" s="86" t="s">
        <v>1126</v>
      </c>
      <c r="W674" s="86" t="str">
        <f>_xlfn.CONCAT(表格1[[#This Row],[欄4]],表格1[[#This Row],[inv no]])</f>
        <v>DA141061235</v>
      </c>
    </row>
    <row r="675" spans="1:23" hidden="1">
      <c r="A675" s="81">
        <v>673</v>
      </c>
      <c r="B675" s="81" t="s">
        <v>1260</v>
      </c>
      <c r="C675" s="81" t="s">
        <v>1374</v>
      </c>
      <c r="D675" s="82" t="str">
        <f ca="1">OFFSET(Roster!$A$3,MATCH(表格1[[#This Row],[Location]]&amp;" "&amp;表格1[[#This Row],[Shop]]&amp;"*",Roster!$A$4:$A$72,0),DAY(表格1[[#This Row],[date]]),1,1)</f>
        <v>Ling Ho</v>
      </c>
      <c r="E675" s="81">
        <f>MONTH(表格1[[#This Row],[date]])</f>
        <v>3</v>
      </c>
      <c r="F675" s="101">
        <v>46108</v>
      </c>
      <c r="G675" s="81" t="str">
        <f>VLOOKUP("*"&amp;表格1[[#This Row],[Input]]&amp;"*",'Ref-List'!$B:$D,2,)</f>
        <v>RC-10BHH(W)</v>
      </c>
      <c r="H675" s="81" t="str">
        <f>_xlfn.XLOOKUP(表格1[[#This Row],[Model]],表格3[Model-Input-Ref2],表格3[Product Line])</f>
        <v>酵活炊磁應電飯煲</v>
      </c>
      <c r="I675" s="81" t="str">
        <f>_xlfn.XLOOKUP(表格1[[#This Row],[Model]],表格3[Model-Input-Ref2],表格3[大小電])</f>
        <v>細電</v>
      </c>
      <c r="J675" s="81" t="str">
        <f>_xlfn.XLOOKUP(表格1[[#This Row],[Model]],表格3[Model-Input-Ref2],表格3[Code])</f>
        <v>SDA</v>
      </c>
      <c r="K675" s="82" t="s">
        <v>1269</v>
      </c>
      <c r="L675" s="81">
        <v>1</v>
      </c>
      <c r="M675" s="85">
        <v>1688</v>
      </c>
      <c r="N675" s="85">
        <f>IFERROR(表格1[[#This Row],[QTY]]*表格1[[#This Row],[Unit Price]],"-")</f>
        <v>1688</v>
      </c>
      <c r="O675" s="134" t="s">
        <v>1397</v>
      </c>
      <c r="P675" s="81"/>
      <c r="Q675" s="81"/>
      <c r="R675" s="81" t="str">
        <f>_xlfn.CONCAT(表格1[[#This Row],[Model]]," ",表格1[[#This Row],[inv no]])</f>
        <v>RC-10BHH(W) 061252</v>
      </c>
      <c r="S675" s="135">
        <f>_xlfn.XLOOKUP(表格1[[#This Row],[Model]],表格3[Model-Input-Ref2],表格3[SRP PRICE])</f>
        <v>2088</v>
      </c>
      <c r="T675" s="43">
        <f>表格1[[#This Row],[Unit Price]]/表格1[[#This Row],[SRP]]</f>
        <v>0.80842911877394641</v>
      </c>
      <c r="U675" s="86" t="str">
        <f>_xlfn.XLOOKUP(表格1[[#This Row],[Model]],表格3[Model-Input-Ref2],表格3[TOSHIBA/HIGHEST])</f>
        <v>Shops Highest Price</v>
      </c>
      <c r="V675" s="86" t="s">
        <v>1126</v>
      </c>
      <c r="W675" s="86" t="str">
        <f>_xlfn.CONCAT(表格1[[#This Row],[欄4]],表格1[[#This Row],[inv no]])</f>
        <v>DA141061252</v>
      </c>
    </row>
    <row r="676" spans="1:23" hidden="1">
      <c r="A676" s="81">
        <v>674</v>
      </c>
      <c r="B676" s="81" t="s">
        <v>1260</v>
      </c>
      <c r="C676" s="81" t="s">
        <v>1374</v>
      </c>
      <c r="D676" s="82" t="str">
        <f ca="1">OFFSET(Roster!$A$3,MATCH(表格1[[#This Row],[Location]]&amp;" "&amp;表格1[[#This Row],[Shop]]&amp;"*",Roster!$A$4:$A$72,0),DAY(表格1[[#This Row],[date]]),1,1)</f>
        <v>Ling Ho</v>
      </c>
      <c r="E676" s="81">
        <f>MONTH(表格1[[#This Row],[date]])</f>
        <v>3</v>
      </c>
      <c r="F676" s="101">
        <v>46108</v>
      </c>
      <c r="G676" s="81" t="str">
        <f>VLOOKUP("*"&amp;表格1[[#This Row],[Input]]&amp;"*",'Ref-List'!$B:$D,2,)</f>
        <v>F-LYA20(W)HKG</v>
      </c>
      <c r="H676" s="81" t="str">
        <f>_xlfn.XLOOKUP(表格1[[#This Row],[Model]],表格3[Model-Input-Ref2],表格3[Product Line])</f>
        <v>12吋2合1座地座檯電風扇連遙控</v>
      </c>
      <c r="I676" s="81" t="str">
        <f>_xlfn.XLOOKUP(表格1[[#This Row],[Model]],表格3[Model-Input-Ref2],表格3[大小電])</f>
        <v>細電</v>
      </c>
      <c r="J676" s="81" t="str">
        <f>_xlfn.XLOOKUP(表格1[[#This Row],[Model]],表格3[Model-Input-Ref2],表格3[Code])</f>
        <v>EAD</v>
      </c>
      <c r="K676" s="82" t="s">
        <v>1391</v>
      </c>
      <c r="L676" s="81">
        <v>1</v>
      </c>
      <c r="M676" s="85">
        <v>399</v>
      </c>
      <c r="N676" s="85">
        <f>IFERROR(表格1[[#This Row],[QTY]]*表格1[[#This Row],[Unit Price]],"-")</f>
        <v>399</v>
      </c>
      <c r="O676" s="134">
        <v>390938</v>
      </c>
      <c r="P676" s="81"/>
      <c r="Q676" s="81"/>
      <c r="R676" s="81" t="str">
        <f>_xlfn.CONCAT(表格1[[#This Row],[Model]]," ",表格1[[#This Row],[inv no]])</f>
        <v>F-LYA20(W)HKG 390938</v>
      </c>
      <c r="S676" s="135">
        <f>_xlfn.XLOOKUP(表格1[[#This Row],[Model]],表格3[Model-Input-Ref2],表格3[SRP PRICE])</f>
        <v>988</v>
      </c>
      <c r="T676" s="43">
        <f>表格1[[#This Row],[Unit Price]]/表格1[[#This Row],[SRP]]</f>
        <v>0.40384615384615385</v>
      </c>
      <c r="U676" s="86" t="str">
        <f>_xlfn.XLOOKUP(表格1[[#This Row],[Model]],表格3[Model-Input-Ref2],表格3[TOSHIBA/HIGHEST])</f>
        <v>Toshiba SRP</v>
      </c>
      <c r="V676" s="86" t="s">
        <v>1126</v>
      </c>
      <c r="W676" s="86" t="str">
        <f>_xlfn.CONCAT(表格1[[#This Row],[欄4]],表格1[[#This Row],[inv no]])</f>
        <v>DA141390938</v>
      </c>
    </row>
    <row r="677" spans="1:23" hidden="1">
      <c r="A677" s="81">
        <v>675</v>
      </c>
      <c r="B677" s="81" t="s">
        <v>1260</v>
      </c>
      <c r="C677" s="81" t="s">
        <v>1374</v>
      </c>
      <c r="D677" s="82" t="str">
        <f ca="1">OFFSET(Roster!$A$3,MATCH(表格1[[#This Row],[Location]]&amp;" "&amp;表格1[[#This Row],[Shop]]&amp;"*",Roster!$A$4:$A$72,0),DAY(表格1[[#This Row],[date]]),1,1)</f>
        <v>Ling Ho</v>
      </c>
      <c r="E677" s="81">
        <f>MONTH(表格1[[#This Row],[date]])</f>
        <v>3</v>
      </c>
      <c r="F677" s="101">
        <v>46109</v>
      </c>
      <c r="G677" s="81" t="str">
        <f>VLOOKUP("*"&amp;表格1[[#This Row],[Input]]&amp;"*",'Ref-List'!$B:$D,2,)</f>
        <v>KT-17SHNH</v>
      </c>
      <c r="H677" s="81" t="str">
        <f>_xlfn.XLOOKUP(表格1[[#This Row],[Model]],表格3[Model-Input-Ref2],表格3[Product Line])</f>
        <v>1.7L無線雙層電熱水壺</v>
      </c>
      <c r="I677" s="81" t="str">
        <f>_xlfn.XLOOKUP(表格1[[#This Row],[Model]],表格3[Model-Input-Ref2],表格3[大小電])</f>
        <v>細電</v>
      </c>
      <c r="J677" s="81" t="str">
        <f>_xlfn.XLOOKUP(表格1[[#This Row],[Model]],表格3[Model-Input-Ref2],表格3[Code])</f>
        <v>SDA</v>
      </c>
      <c r="K677" s="82" t="s">
        <v>1283</v>
      </c>
      <c r="L677" s="81">
        <v>1</v>
      </c>
      <c r="M677" s="85">
        <v>228</v>
      </c>
      <c r="N677" s="85">
        <f>IFERROR(表格1[[#This Row],[QTY]]*表格1[[#This Row],[Unit Price]],"-")</f>
        <v>228</v>
      </c>
      <c r="O677" s="134">
        <v>390093</v>
      </c>
      <c r="P677" s="81"/>
      <c r="Q677" s="81"/>
      <c r="R677" s="81" t="str">
        <f>_xlfn.CONCAT(表格1[[#This Row],[Model]]," ",表格1[[#This Row],[inv no]])</f>
        <v>KT-17SHNH 390093</v>
      </c>
      <c r="S677" s="135">
        <f>_xlfn.XLOOKUP(表格1[[#This Row],[Model]],表格3[Model-Input-Ref2],表格3[SRP PRICE])</f>
        <v>299</v>
      </c>
      <c r="T677" s="43">
        <f>表格1[[#This Row],[Unit Price]]/表格1[[#This Row],[SRP]]</f>
        <v>0.76254180602006694</v>
      </c>
      <c r="U677" s="86" t="str">
        <f>_xlfn.XLOOKUP(表格1[[#This Row],[Model]],表格3[Model-Input-Ref2],表格3[TOSHIBA/HIGHEST])</f>
        <v>Shops Highest Price</v>
      </c>
      <c r="V677" s="86" t="s">
        <v>1126</v>
      </c>
      <c r="W677" s="86" t="str">
        <f>_xlfn.CONCAT(表格1[[#This Row],[欄4]],表格1[[#This Row],[inv no]])</f>
        <v>DA141390093</v>
      </c>
    </row>
    <row r="678" spans="1:23" hidden="1">
      <c r="A678" s="81">
        <v>676</v>
      </c>
      <c r="B678" s="81" t="s">
        <v>1260</v>
      </c>
      <c r="C678" s="81" t="s">
        <v>1374</v>
      </c>
      <c r="D678" s="82" t="str">
        <f ca="1">OFFSET(Roster!$A$3,MATCH(表格1[[#This Row],[Location]]&amp;" "&amp;表格1[[#This Row],[Shop]]&amp;"*",Roster!$A$4:$A$72,0),DAY(表格1[[#This Row],[date]]),1,1)</f>
        <v>Ling Ho</v>
      </c>
      <c r="E678" s="81">
        <f>MONTH(表格1[[#This Row],[date]])</f>
        <v>3</v>
      </c>
      <c r="F678" s="101">
        <v>46109</v>
      </c>
      <c r="G678" s="81" t="str">
        <f>VLOOKUP("*"&amp;表格1[[#This Row],[Input]]&amp;"*",'Ref-List'!$B:$D,2,)</f>
        <v>F-LYA20(W)HKG</v>
      </c>
      <c r="H678" s="81" t="str">
        <f>_xlfn.XLOOKUP(表格1[[#This Row],[Model]],表格3[Model-Input-Ref2],表格3[Product Line])</f>
        <v>12吋2合1座地座檯電風扇連遙控</v>
      </c>
      <c r="I678" s="81" t="str">
        <f>_xlfn.XLOOKUP(表格1[[#This Row],[Model]],表格3[Model-Input-Ref2],表格3[大小電])</f>
        <v>細電</v>
      </c>
      <c r="J678" s="81" t="str">
        <f>_xlfn.XLOOKUP(表格1[[#This Row],[Model]],表格3[Model-Input-Ref2],表格3[Code])</f>
        <v>EAD</v>
      </c>
      <c r="K678" s="82" t="s">
        <v>1391</v>
      </c>
      <c r="L678" s="81">
        <v>1</v>
      </c>
      <c r="M678" s="85">
        <v>399</v>
      </c>
      <c r="N678" s="85">
        <f>IFERROR(表格1[[#This Row],[QTY]]*表格1[[#This Row],[Unit Price]],"-")</f>
        <v>399</v>
      </c>
      <c r="O678" s="134">
        <v>242429</v>
      </c>
      <c r="P678" s="81"/>
      <c r="Q678" s="81"/>
      <c r="R678" s="81" t="str">
        <f>_xlfn.CONCAT(表格1[[#This Row],[Model]]," ",表格1[[#This Row],[inv no]])</f>
        <v>F-LYA20(W)HKG 242429</v>
      </c>
      <c r="S678" s="135">
        <f>_xlfn.XLOOKUP(表格1[[#This Row],[Model]],表格3[Model-Input-Ref2],表格3[SRP PRICE])</f>
        <v>988</v>
      </c>
      <c r="T678" s="43">
        <f>表格1[[#This Row],[Unit Price]]/表格1[[#This Row],[SRP]]</f>
        <v>0.40384615384615385</v>
      </c>
      <c r="U678" s="86" t="str">
        <f>_xlfn.XLOOKUP(表格1[[#This Row],[Model]],表格3[Model-Input-Ref2],表格3[TOSHIBA/HIGHEST])</f>
        <v>Toshiba SRP</v>
      </c>
      <c r="V678" s="86" t="s">
        <v>1126</v>
      </c>
      <c r="W678" s="86" t="str">
        <f>_xlfn.CONCAT(表格1[[#This Row],[欄4]],表格1[[#This Row],[inv no]])</f>
        <v>DA141242429</v>
      </c>
    </row>
    <row r="679" spans="1:23" hidden="1">
      <c r="A679" s="81">
        <v>677</v>
      </c>
      <c r="B679" s="81" t="s">
        <v>1260</v>
      </c>
      <c r="C679" s="81" t="s">
        <v>1374</v>
      </c>
      <c r="D679" s="82" t="str">
        <f ca="1">OFFSET(Roster!$A$3,MATCH(表格1[[#This Row],[Location]]&amp;" "&amp;表格1[[#This Row],[Shop]]&amp;"*",Roster!$A$4:$A$72,0),DAY(表格1[[#This Row],[date]]),1,1)</f>
        <v>Ling Ho</v>
      </c>
      <c r="E679" s="81">
        <f>MONTH(表格1[[#This Row],[date]])</f>
        <v>3</v>
      </c>
      <c r="F679" s="101">
        <v>46109</v>
      </c>
      <c r="G679" s="81" t="str">
        <f>VLOOKUP("*"&amp;表格1[[#This Row],[Input]]&amp;"*",'Ref-List'!$B:$D,2,)</f>
        <v>F-LYA20(W)HKG</v>
      </c>
      <c r="H679" s="81" t="str">
        <f>_xlfn.XLOOKUP(表格1[[#This Row],[Model]],表格3[Model-Input-Ref2],表格3[Product Line])</f>
        <v>12吋2合1座地座檯電風扇連遙控</v>
      </c>
      <c r="I679" s="81" t="str">
        <f>_xlfn.XLOOKUP(表格1[[#This Row],[Model]],表格3[Model-Input-Ref2],表格3[大小電])</f>
        <v>細電</v>
      </c>
      <c r="J679" s="81" t="str">
        <f>_xlfn.XLOOKUP(表格1[[#This Row],[Model]],表格3[Model-Input-Ref2],表格3[Code])</f>
        <v>EAD</v>
      </c>
      <c r="K679" s="82" t="s">
        <v>1391</v>
      </c>
      <c r="L679" s="81">
        <v>1</v>
      </c>
      <c r="M679" s="85">
        <v>399</v>
      </c>
      <c r="N679" s="85">
        <f>IFERROR(表格1[[#This Row],[QTY]]*表格1[[#This Row],[Unit Price]],"-")</f>
        <v>399</v>
      </c>
      <c r="O679" s="134">
        <v>218693</v>
      </c>
      <c r="P679" s="81"/>
      <c r="Q679" s="81"/>
      <c r="R679" s="81" t="str">
        <f>_xlfn.CONCAT(表格1[[#This Row],[Model]]," ",表格1[[#This Row],[inv no]])</f>
        <v>F-LYA20(W)HKG 218693</v>
      </c>
      <c r="S679" s="135">
        <f>_xlfn.XLOOKUP(表格1[[#This Row],[Model]],表格3[Model-Input-Ref2],表格3[SRP PRICE])</f>
        <v>988</v>
      </c>
      <c r="T679" s="43">
        <f>表格1[[#This Row],[Unit Price]]/表格1[[#This Row],[SRP]]</f>
        <v>0.40384615384615385</v>
      </c>
      <c r="U679" s="86" t="str">
        <f>_xlfn.XLOOKUP(表格1[[#This Row],[Model]],表格3[Model-Input-Ref2],表格3[TOSHIBA/HIGHEST])</f>
        <v>Toshiba SRP</v>
      </c>
      <c r="V679" s="86" t="s">
        <v>1126</v>
      </c>
      <c r="W679" s="86" t="str">
        <f>_xlfn.CONCAT(表格1[[#This Row],[欄4]],表格1[[#This Row],[inv no]])</f>
        <v>DA141218693</v>
      </c>
    </row>
    <row r="680" spans="1:23" hidden="1">
      <c r="A680" s="81">
        <v>678</v>
      </c>
      <c r="B680" s="81" t="s">
        <v>1260</v>
      </c>
      <c r="C680" s="81" t="s">
        <v>1374</v>
      </c>
      <c r="D680" s="82" t="str">
        <f ca="1">OFFSET(Roster!$A$3,MATCH(表格1[[#This Row],[Location]]&amp;" "&amp;表格1[[#This Row],[Shop]]&amp;"*",Roster!$A$4:$A$72,0),DAY(表格1[[#This Row],[date]]),1,1)</f>
        <v>Ling Ho</v>
      </c>
      <c r="E680" s="81">
        <f>MONTH(表格1[[#This Row],[date]])</f>
        <v>3</v>
      </c>
      <c r="F680" s="101">
        <v>46109</v>
      </c>
      <c r="G680" s="81" t="str">
        <f>VLOOKUP("*"&amp;表格1[[#This Row],[Input]]&amp;"*",'Ref-List'!$B:$D,2,)</f>
        <v>MM2-EM20PC(WH)</v>
      </c>
      <c r="H680" s="81" t="str">
        <f>_xlfn.XLOOKUP(表格1[[#This Row],[Model]],表格3[Model-Input-Ref2],表格3[Product Line])</f>
        <v>輕觸式微波爐 (20公升)</v>
      </c>
      <c r="I680" s="81" t="str">
        <f>_xlfn.XLOOKUP(表格1[[#This Row],[Model]],表格3[Model-Input-Ref2],表格3[大小電])</f>
        <v>細電</v>
      </c>
      <c r="J680" s="81" t="str">
        <f>_xlfn.XLOOKUP(表格1[[#This Row],[Model]],表格3[Model-Input-Ref2],表格3[Code])</f>
        <v>MCA</v>
      </c>
      <c r="K680" s="82" t="s">
        <v>1276</v>
      </c>
      <c r="L680" s="81">
        <v>1</v>
      </c>
      <c r="M680" s="85">
        <v>598</v>
      </c>
      <c r="N680" s="85">
        <f>IFERROR(表格1[[#This Row],[QTY]]*表格1[[#This Row],[Unit Price]],"-")</f>
        <v>598</v>
      </c>
      <c r="O680" s="134">
        <v>447951</v>
      </c>
      <c r="P680" s="81"/>
      <c r="Q680" s="81"/>
      <c r="R680" s="81" t="str">
        <f>_xlfn.CONCAT(表格1[[#This Row],[Model]]," ",表格1[[#This Row],[inv no]])</f>
        <v>MM2-EM20PC(WH) 447951</v>
      </c>
      <c r="S680" s="135">
        <f>_xlfn.XLOOKUP(表格1[[#This Row],[Model]],表格3[Model-Input-Ref2],表格3[SRP PRICE])</f>
        <v>788</v>
      </c>
      <c r="T680" s="43">
        <f>表格1[[#This Row],[Unit Price]]/表格1[[#This Row],[SRP]]</f>
        <v>0.75888324873096447</v>
      </c>
      <c r="U680" s="86" t="str">
        <f>_xlfn.XLOOKUP(表格1[[#This Row],[Model]],表格3[Model-Input-Ref2],表格3[TOSHIBA/HIGHEST])</f>
        <v>Toshiba SRP</v>
      </c>
      <c r="V680" s="86" t="s">
        <v>1126</v>
      </c>
      <c r="W680" s="86" t="str">
        <f>_xlfn.CONCAT(表格1[[#This Row],[欄4]],表格1[[#This Row],[inv no]])</f>
        <v>DA141447951</v>
      </c>
    </row>
    <row r="681" spans="1:23" hidden="1">
      <c r="A681" s="81">
        <v>679</v>
      </c>
      <c r="B681" s="81" t="s">
        <v>1260</v>
      </c>
      <c r="C681" s="81" t="s">
        <v>1374</v>
      </c>
      <c r="D681" s="82" t="str">
        <f ca="1">OFFSET(Roster!$A$3,MATCH(表格1[[#This Row],[Location]]&amp;" "&amp;表格1[[#This Row],[Shop]]&amp;"*",Roster!$A$4:$A$72,0),DAY(表格1[[#This Row],[date]]),1,1)</f>
        <v>Ling Ho</v>
      </c>
      <c r="E681" s="81">
        <f>MONTH(表格1[[#This Row],[date]])</f>
        <v>3</v>
      </c>
      <c r="F681" s="101">
        <v>46109</v>
      </c>
      <c r="G681" s="81" t="str">
        <f>VLOOKUP("*"&amp;表格1[[#This Row],[Input]]&amp;"*",'Ref-List'!$B:$D,2,)</f>
        <v>F-LYA20(W)HKG</v>
      </c>
      <c r="H681" s="81" t="str">
        <f>_xlfn.XLOOKUP(表格1[[#This Row],[Model]],表格3[Model-Input-Ref2],表格3[Product Line])</f>
        <v>12吋2合1座地座檯電風扇連遙控</v>
      </c>
      <c r="I681" s="81" t="str">
        <f>_xlfn.XLOOKUP(表格1[[#This Row],[Model]],表格3[Model-Input-Ref2],表格3[大小電])</f>
        <v>細電</v>
      </c>
      <c r="J681" s="81" t="str">
        <f>_xlfn.XLOOKUP(表格1[[#This Row],[Model]],表格3[Model-Input-Ref2],表格3[Code])</f>
        <v>EAD</v>
      </c>
      <c r="K681" s="82" t="s">
        <v>1391</v>
      </c>
      <c r="L681" s="81">
        <v>1</v>
      </c>
      <c r="M681" s="85">
        <v>399</v>
      </c>
      <c r="N681" s="85">
        <f>IFERROR(表格1[[#This Row],[QTY]]*表格1[[#This Row],[Unit Price]],"-")</f>
        <v>399</v>
      </c>
      <c r="O681" s="134">
        <v>391188</v>
      </c>
      <c r="P681" s="81"/>
      <c r="Q681" s="81"/>
      <c r="R681" s="81" t="str">
        <f>_xlfn.CONCAT(表格1[[#This Row],[Model]]," ",表格1[[#This Row],[inv no]])</f>
        <v>F-LYA20(W)HKG 391188</v>
      </c>
      <c r="S681" s="135">
        <f>_xlfn.XLOOKUP(表格1[[#This Row],[Model]],表格3[Model-Input-Ref2],表格3[SRP PRICE])</f>
        <v>988</v>
      </c>
      <c r="T681" s="43">
        <f>表格1[[#This Row],[Unit Price]]/表格1[[#This Row],[SRP]]</f>
        <v>0.40384615384615385</v>
      </c>
      <c r="U681" s="86" t="str">
        <f>_xlfn.XLOOKUP(表格1[[#This Row],[Model]],表格3[Model-Input-Ref2],表格3[TOSHIBA/HIGHEST])</f>
        <v>Toshiba SRP</v>
      </c>
      <c r="V681" s="86" t="s">
        <v>1126</v>
      </c>
      <c r="W681" s="86" t="str">
        <f>_xlfn.CONCAT(表格1[[#This Row],[欄4]],表格1[[#This Row],[inv no]])</f>
        <v>DA141391188</v>
      </c>
    </row>
    <row r="682" spans="1:23" hidden="1">
      <c r="A682" s="81">
        <v>680</v>
      </c>
      <c r="B682" s="81" t="s">
        <v>1260</v>
      </c>
      <c r="C682" s="81" t="s">
        <v>1374</v>
      </c>
      <c r="D682" s="82" t="str">
        <f ca="1">OFFSET(Roster!$A$3,MATCH(表格1[[#This Row],[Location]]&amp;" "&amp;表格1[[#This Row],[Shop]]&amp;"*",Roster!$A$4:$A$72,0),DAY(表格1[[#This Row],[date]]),1,1)</f>
        <v>Ling Ho</v>
      </c>
      <c r="E682" s="81">
        <f>MONTH(表格1[[#This Row],[date]])</f>
        <v>3</v>
      </c>
      <c r="F682" s="101">
        <v>46109</v>
      </c>
      <c r="G682" s="81" t="str">
        <f>VLOOKUP("*"&amp;表格1[[#This Row],[Input]]&amp;"*",'Ref-List'!$B:$D,2,)</f>
        <v>F-LYA20(W)HKG</v>
      </c>
      <c r="H682" s="81" t="str">
        <f>_xlfn.XLOOKUP(表格1[[#This Row],[Model]],表格3[Model-Input-Ref2],表格3[Product Line])</f>
        <v>12吋2合1座地座檯電風扇連遙控</v>
      </c>
      <c r="I682" s="81" t="str">
        <f>_xlfn.XLOOKUP(表格1[[#This Row],[Model]],表格3[Model-Input-Ref2],表格3[大小電])</f>
        <v>細電</v>
      </c>
      <c r="J682" s="81" t="str">
        <f>_xlfn.XLOOKUP(表格1[[#This Row],[Model]],表格3[Model-Input-Ref2],表格3[Code])</f>
        <v>EAD</v>
      </c>
      <c r="K682" s="82" t="s">
        <v>1391</v>
      </c>
      <c r="L682" s="81">
        <v>2</v>
      </c>
      <c r="M682" s="85">
        <v>399</v>
      </c>
      <c r="N682" s="85">
        <f>IFERROR(表格1[[#This Row],[QTY]]*表格1[[#This Row],[Unit Price]],"-")</f>
        <v>798</v>
      </c>
      <c r="O682" s="134">
        <v>391139</v>
      </c>
      <c r="P682" s="81"/>
      <c r="Q682" s="81"/>
      <c r="R682" s="81" t="str">
        <f>_xlfn.CONCAT(表格1[[#This Row],[Model]]," ",表格1[[#This Row],[inv no]])</f>
        <v>F-LYA20(W)HKG 391139</v>
      </c>
      <c r="S682" s="135">
        <f>_xlfn.XLOOKUP(表格1[[#This Row],[Model]],表格3[Model-Input-Ref2],表格3[SRP PRICE])</f>
        <v>988</v>
      </c>
      <c r="T682" s="43">
        <f>表格1[[#This Row],[Unit Price]]/表格1[[#This Row],[SRP]]</f>
        <v>0.40384615384615385</v>
      </c>
      <c r="U682" s="86" t="str">
        <f>_xlfn.XLOOKUP(表格1[[#This Row],[Model]],表格3[Model-Input-Ref2],表格3[TOSHIBA/HIGHEST])</f>
        <v>Toshiba SRP</v>
      </c>
      <c r="V682" s="86" t="s">
        <v>1126</v>
      </c>
      <c r="W682" s="86" t="str">
        <f>_xlfn.CONCAT(表格1[[#This Row],[欄4]],表格1[[#This Row],[inv no]])</f>
        <v>DA141391139</v>
      </c>
    </row>
    <row r="683" spans="1:23" ht="16.5" hidden="1">
      <c r="A683" s="81">
        <v>681</v>
      </c>
      <c r="B683" s="81" t="s">
        <v>1260</v>
      </c>
      <c r="C683" s="81" t="s">
        <v>1374</v>
      </c>
      <c r="D683" s="82" t="str">
        <f ca="1">OFFSET(Roster!$A$3,MATCH(表格1[[#This Row],[Location]]&amp;" "&amp;表格1[[#This Row],[Shop]]&amp;"*",Roster!$A$4:$A$72,0),DAY(表格1[[#This Row],[date]]),1,1)</f>
        <v>Ling Ho</v>
      </c>
      <c r="E683" s="81">
        <f>MONTH(表格1[[#This Row],[date]])</f>
        <v>3</v>
      </c>
      <c r="F683" s="101">
        <v>46109</v>
      </c>
      <c r="G683" s="81" t="str">
        <f>VLOOKUP("*"&amp;表格1[[#This Row],[Input]]&amp;"*",'Ref-List'!$B:$D,2,)</f>
        <v>F-LYA20(W)HKG</v>
      </c>
      <c r="H683" s="81" t="str">
        <f>_xlfn.XLOOKUP(表格1[[#This Row],[Model]],表格3[Model-Input-Ref2],表格3[Product Line])</f>
        <v>12吋2合1座地座檯電風扇連遙控</v>
      </c>
      <c r="I683" s="81" t="str">
        <f>_xlfn.XLOOKUP(表格1[[#This Row],[Model]],表格3[Model-Input-Ref2],表格3[大小電])</f>
        <v>細電</v>
      </c>
      <c r="J683" s="81" t="str">
        <f>_xlfn.XLOOKUP(表格1[[#This Row],[Model]],表格3[Model-Input-Ref2],表格3[Code])</f>
        <v>EAD</v>
      </c>
      <c r="K683" s="82" t="s">
        <v>1391</v>
      </c>
      <c r="L683" s="81">
        <v>1</v>
      </c>
      <c r="M683" s="85">
        <v>399</v>
      </c>
      <c r="N683" s="85">
        <f>IFERROR(表格1[[#This Row],[QTY]]*表格1[[#This Row],[Unit Price]],"-")</f>
        <v>399</v>
      </c>
      <c r="O683" s="134">
        <v>447985</v>
      </c>
      <c r="P683" s="137"/>
      <c r="Q683" s="81"/>
      <c r="R683" s="81" t="str">
        <f>_xlfn.CONCAT(表格1[[#This Row],[Model]]," ",表格1[[#This Row],[inv no]])</f>
        <v>F-LYA20(W)HKG 447985</v>
      </c>
      <c r="S683" s="135">
        <f>_xlfn.XLOOKUP(表格1[[#This Row],[Model]],表格3[Model-Input-Ref2],表格3[SRP PRICE])</f>
        <v>988</v>
      </c>
      <c r="T683" s="43">
        <f>表格1[[#This Row],[Unit Price]]/表格1[[#This Row],[SRP]]</f>
        <v>0.40384615384615385</v>
      </c>
      <c r="U683" s="86" t="str">
        <f>_xlfn.XLOOKUP(表格1[[#This Row],[Model]],表格3[Model-Input-Ref2],表格3[TOSHIBA/HIGHEST])</f>
        <v>Toshiba SRP</v>
      </c>
      <c r="V683" s="86" t="s">
        <v>1126</v>
      </c>
      <c r="W683" s="86" t="str">
        <f>_xlfn.CONCAT(表格1[[#This Row],[欄4]],表格1[[#This Row],[inv no]])</f>
        <v>DA141447985</v>
      </c>
    </row>
    <row r="684" spans="1:23" hidden="1">
      <c r="A684" s="81">
        <v>682</v>
      </c>
      <c r="B684" s="81" t="s">
        <v>1260</v>
      </c>
      <c r="C684" s="81" t="s">
        <v>1374</v>
      </c>
      <c r="D684" s="82" t="str">
        <f ca="1">OFFSET(Roster!$A$3,MATCH(表格1[[#This Row],[Location]]&amp;" "&amp;表格1[[#This Row],[Shop]]&amp;"*",Roster!$A$4:$A$72,0),DAY(表格1[[#This Row],[date]]),1,1)</f>
        <v>Ling Ho</v>
      </c>
      <c r="E684" s="81">
        <f>MONTH(表格1[[#This Row],[date]])</f>
        <v>3</v>
      </c>
      <c r="F684" s="101">
        <v>46110</v>
      </c>
      <c r="G684" s="81" t="str">
        <f>VLOOKUP("*"&amp;表格1[[#This Row],[Input]]&amp;"*",'Ref-List'!$B:$D,2,)</f>
        <v>F-LYA20(W)HKG</v>
      </c>
      <c r="H684" s="81" t="str">
        <f>_xlfn.XLOOKUP(表格1[[#This Row],[Model]],表格3[Model-Input-Ref2],表格3[Product Line])</f>
        <v>12吋2合1座地座檯電風扇連遙控</v>
      </c>
      <c r="I684" s="81" t="str">
        <f>_xlfn.XLOOKUP(表格1[[#This Row],[Model]],表格3[Model-Input-Ref2],表格3[大小電])</f>
        <v>細電</v>
      </c>
      <c r="J684" s="81" t="str">
        <f>_xlfn.XLOOKUP(表格1[[#This Row],[Model]],表格3[Model-Input-Ref2],表格3[Code])</f>
        <v>EAD</v>
      </c>
      <c r="K684" s="82" t="s">
        <v>1391</v>
      </c>
      <c r="L684" s="81">
        <v>1</v>
      </c>
      <c r="M684" s="85">
        <v>399</v>
      </c>
      <c r="N684" s="85">
        <f>IFERROR(表格1[[#This Row],[QTY]]*表格1[[#This Row],[Unit Price]],"-")</f>
        <v>399</v>
      </c>
      <c r="O684" s="134">
        <v>391236</v>
      </c>
      <c r="P684" s="81"/>
      <c r="Q684" s="81"/>
      <c r="R684" s="81" t="str">
        <f>_xlfn.CONCAT(表格1[[#This Row],[Model]]," ",表格1[[#This Row],[inv no]])</f>
        <v>F-LYA20(W)HKG 391236</v>
      </c>
      <c r="S684" s="135">
        <f>_xlfn.XLOOKUP(表格1[[#This Row],[Model]],表格3[Model-Input-Ref2],表格3[SRP PRICE])</f>
        <v>988</v>
      </c>
      <c r="T684" s="43">
        <f>表格1[[#This Row],[Unit Price]]/表格1[[#This Row],[SRP]]</f>
        <v>0.40384615384615385</v>
      </c>
      <c r="U684" s="86" t="str">
        <f>_xlfn.XLOOKUP(表格1[[#This Row],[Model]],表格3[Model-Input-Ref2],表格3[TOSHIBA/HIGHEST])</f>
        <v>Toshiba SRP</v>
      </c>
      <c r="V684" s="86" t="s">
        <v>1126</v>
      </c>
      <c r="W684" s="86" t="str">
        <f>_xlfn.CONCAT(表格1[[#This Row],[欄4]],表格1[[#This Row],[inv no]])</f>
        <v>DA141391236</v>
      </c>
    </row>
    <row r="685" spans="1:23" hidden="1">
      <c r="A685" s="81">
        <v>683</v>
      </c>
      <c r="B685" s="81" t="s">
        <v>1260</v>
      </c>
      <c r="C685" s="81" t="s">
        <v>1374</v>
      </c>
      <c r="D685" s="82" t="str">
        <f ca="1">OFFSET(Roster!$A$3,MATCH(表格1[[#This Row],[Location]]&amp;" "&amp;表格1[[#This Row],[Shop]]&amp;"*",Roster!$A$4:$A$72,0),DAY(表格1[[#This Row],[date]]),1,1)</f>
        <v>Ling Ho</v>
      </c>
      <c r="E685" s="81">
        <f>MONTH(表格1[[#This Row],[date]])</f>
        <v>3</v>
      </c>
      <c r="F685" s="101">
        <v>46110</v>
      </c>
      <c r="G685" s="81" t="str">
        <f>VLOOKUP("*"&amp;表格1[[#This Row],[Input]]&amp;"*",'Ref-List'!$B:$D,2,)</f>
        <v>F-LYA20(W)HKG</v>
      </c>
      <c r="H685" s="81" t="str">
        <f>_xlfn.XLOOKUP(表格1[[#This Row],[Model]],表格3[Model-Input-Ref2],表格3[Product Line])</f>
        <v>12吋2合1座地座檯電風扇連遙控</v>
      </c>
      <c r="I685" s="81" t="str">
        <f>_xlfn.XLOOKUP(表格1[[#This Row],[Model]],表格3[Model-Input-Ref2],表格3[大小電])</f>
        <v>細電</v>
      </c>
      <c r="J685" s="81" t="str">
        <f>_xlfn.XLOOKUP(表格1[[#This Row],[Model]],表格3[Model-Input-Ref2],表格3[Code])</f>
        <v>EAD</v>
      </c>
      <c r="K685" s="82" t="s">
        <v>1391</v>
      </c>
      <c r="L685" s="81">
        <v>1</v>
      </c>
      <c r="M685" s="85">
        <v>399</v>
      </c>
      <c r="N685" s="85">
        <f>IFERROR(表格1[[#This Row],[QTY]]*表格1[[#This Row],[Unit Price]],"-")</f>
        <v>399</v>
      </c>
      <c r="O685" s="134">
        <v>242784</v>
      </c>
      <c r="P685" s="81"/>
      <c r="Q685" s="81"/>
      <c r="R685" s="81" t="str">
        <f>_xlfn.CONCAT(表格1[[#This Row],[Model]]," ",表格1[[#This Row],[inv no]])</f>
        <v>F-LYA20(W)HKG 242784</v>
      </c>
      <c r="S685" s="135">
        <f>_xlfn.XLOOKUP(表格1[[#This Row],[Model]],表格3[Model-Input-Ref2],表格3[SRP PRICE])</f>
        <v>988</v>
      </c>
      <c r="T685" s="43">
        <f>表格1[[#This Row],[Unit Price]]/表格1[[#This Row],[SRP]]</f>
        <v>0.40384615384615385</v>
      </c>
      <c r="U685" s="86" t="str">
        <f>_xlfn.XLOOKUP(表格1[[#This Row],[Model]],表格3[Model-Input-Ref2],表格3[TOSHIBA/HIGHEST])</f>
        <v>Toshiba SRP</v>
      </c>
      <c r="V685" s="86" t="s">
        <v>1126</v>
      </c>
      <c r="W685" s="86" t="str">
        <f>_xlfn.CONCAT(表格1[[#This Row],[欄4]],表格1[[#This Row],[inv no]])</f>
        <v>DA141242784</v>
      </c>
    </row>
    <row r="686" spans="1:23" hidden="1">
      <c r="A686" s="81">
        <v>684</v>
      </c>
      <c r="B686" s="81" t="s">
        <v>1260</v>
      </c>
      <c r="C686" s="81" t="s">
        <v>1374</v>
      </c>
      <c r="D686" s="82" t="str">
        <f ca="1">OFFSET(Roster!$A$3,MATCH(表格1[[#This Row],[Location]]&amp;" "&amp;表格1[[#This Row],[Shop]]&amp;"*",Roster!$A$4:$A$72,0),DAY(表格1[[#This Row],[date]]),1,1)</f>
        <v>Ling Ho</v>
      </c>
      <c r="E686" s="81">
        <f>MONTH(表格1[[#This Row],[date]])</f>
        <v>3</v>
      </c>
      <c r="F686" s="101">
        <v>46110</v>
      </c>
      <c r="G686" s="81" t="str">
        <f>VLOOKUP("*"&amp;表格1[[#This Row],[Input]]&amp;"*",'Ref-List'!$B:$D,2,)</f>
        <v>F-LYA20(W)HKG</v>
      </c>
      <c r="H686" s="81" t="str">
        <f>_xlfn.XLOOKUP(表格1[[#This Row],[Model]],表格3[Model-Input-Ref2],表格3[Product Line])</f>
        <v>12吋2合1座地座檯電風扇連遙控</v>
      </c>
      <c r="I686" s="81" t="str">
        <f>_xlfn.XLOOKUP(表格1[[#This Row],[Model]],表格3[Model-Input-Ref2],表格3[大小電])</f>
        <v>細電</v>
      </c>
      <c r="J686" s="81" t="str">
        <f>_xlfn.XLOOKUP(表格1[[#This Row],[Model]],表格3[Model-Input-Ref2],表格3[Code])</f>
        <v>EAD</v>
      </c>
      <c r="K686" s="82" t="s">
        <v>1391</v>
      </c>
      <c r="L686" s="81">
        <v>1</v>
      </c>
      <c r="M686" s="85">
        <v>399</v>
      </c>
      <c r="N686" s="85">
        <f>IFERROR(表格1[[#This Row],[QTY]]*表格1[[#This Row],[Unit Price]],"-")</f>
        <v>399</v>
      </c>
      <c r="O686" s="134">
        <v>448178</v>
      </c>
      <c r="P686" s="81"/>
      <c r="Q686" s="81"/>
      <c r="R686" s="81" t="str">
        <f>_xlfn.CONCAT(表格1[[#This Row],[Model]]," ",表格1[[#This Row],[inv no]])</f>
        <v>F-LYA20(W)HKG 448178</v>
      </c>
      <c r="S686" s="135">
        <f>_xlfn.XLOOKUP(表格1[[#This Row],[Model]],表格3[Model-Input-Ref2],表格3[SRP PRICE])</f>
        <v>988</v>
      </c>
      <c r="T686" s="43">
        <f>表格1[[#This Row],[Unit Price]]/表格1[[#This Row],[SRP]]</f>
        <v>0.40384615384615385</v>
      </c>
      <c r="U686" s="86" t="str">
        <f>_xlfn.XLOOKUP(表格1[[#This Row],[Model]],表格3[Model-Input-Ref2],表格3[TOSHIBA/HIGHEST])</f>
        <v>Toshiba SRP</v>
      </c>
      <c r="V686" s="86" t="s">
        <v>1126</v>
      </c>
      <c r="W686" s="86" t="str">
        <f>_xlfn.CONCAT(表格1[[#This Row],[欄4]],表格1[[#This Row],[inv no]])</f>
        <v>DA141448178</v>
      </c>
    </row>
    <row r="687" spans="1:23" hidden="1">
      <c r="A687" s="81">
        <v>685</v>
      </c>
      <c r="B687" s="81" t="s">
        <v>1260</v>
      </c>
      <c r="C687" s="81" t="s">
        <v>1374</v>
      </c>
      <c r="D687" s="82" t="str">
        <f ca="1">OFFSET(Roster!$A$3,MATCH(表格1[[#This Row],[Location]]&amp;" "&amp;表格1[[#This Row],[Shop]]&amp;"*",Roster!$A$4:$A$72,0),DAY(表格1[[#This Row],[date]]),1,1)</f>
        <v>Ling Ho</v>
      </c>
      <c r="E687" s="81">
        <f>MONTH(表格1[[#This Row],[date]])</f>
        <v>3</v>
      </c>
      <c r="F687" s="101">
        <v>46110</v>
      </c>
      <c r="G687" s="81" t="str">
        <f>VLOOKUP("*"&amp;表格1[[#This Row],[Input]]&amp;"*",'Ref-List'!$B:$D,2,)</f>
        <v>RC-10DRNH</v>
      </c>
      <c r="H687" s="81" t="str">
        <f>_xlfn.XLOOKUP(表格1[[#This Row],[Model]],表格3[Model-Input-Ref2],表格3[Product Line])</f>
        <v>多功能備長炭本厚釜電飯煲1L</v>
      </c>
      <c r="I687" s="81" t="str">
        <f>_xlfn.XLOOKUP(表格1[[#This Row],[Model]],表格3[Model-Input-Ref2],表格3[大小電])</f>
        <v>細電</v>
      </c>
      <c r="J687" s="81" t="str">
        <f>_xlfn.XLOOKUP(表格1[[#This Row],[Model]],表格3[Model-Input-Ref2],表格3[Code])</f>
        <v>SDA</v>
      </c>
      <c r="K687" s="82" t="s">
        <v>1376</v>
      </c>
      <c r="L687" s="81">
        <v>1</v>
      </c>
      <c r="M687" s="85">
        <v>549</v>
      </c>
      <c r="N687" s="85">
        <f>IFERROR(表格1[[#This Row],[QTY]]*表格1[[#This Row],[Unit Price]],"-")</f>
        <v>549</v>
      </c>
      <c r="O687" s="134">
        <v>448177</v>
      </c>
      <c r="P687" s="81"/>
      <c r="Q687" s="81"/>
      <c r="R687" s="81" t="str">
        <f>_xlfn.CONCAT(表格1[[#This Row],[Model]]," ",表格1[[#This Row],[inv no]])</f>
        <v>RC-10DRNH 448177</v>
      </c>
      <c r="S687" s="135">
        <f>_xlfn.XLOOKUP(表格1[[#This Row],[Model]],表格3[Model-Input-Ref2],表格3[SRP PRICE])</f>
        <v>798</v>
      </c>
      <c r="T687" s="43">
        <f>表格1[[#This Row],[Unit Price]]/表格1[[#This Row],[SRP]]</f>
        <v>0.68796992481203012</v>
      </c>
      <c r="U687" s="86" t="str">
        <f>_xlfn.XLOOKUP(表格1[[#This Row],[Model]],表格3[Model-Input-Ref2],表格3[TOSHIBA/HIGHEST])</f>
        <v>Toshiba SRP</v>
      </c>
      <c r="V687" s="86" t="s">
        <v>1126</v>
      </c>
      <c r="W687" s="86" t="str">
        <f>_xlfn.CONCAT(表格1[[#This Row],[欄4]],表格1[[#This Row],[inv no]])</f>
        <v>DA141448177</v>
      </c>
    </row>
    <row r="688" spans="1:23" hidden="1">
      <c r="A688" s="81">
        <v>686</v>
      </c>
      <c r="B688" s="81" t="s">
        <v>1260</v>
      </c>
      <c r="C688" s="81" t="s">
        <v>1374</v>
      </c>
      <c r="D688" s="82" t="str">
        <f ca="1">OFFSET(Roster!$A$3,MATCH(表格1[[#This Row],[Location]]&amp;" "&amp;表格1[[#This Row],[Shop]]&amp;"*",Roster!$A$4:$A$72,0),DAY(表格1[[#This Row],[date]]),1,1)</f>
        <v>Ling Ho</v>
      </c>
      <c r="E688" s="81">
        <f>MONTH(表格1[[#This Row],[date]])</f>
        <v>3</v>
      </c>
      <c r="F688" s="101">
        <v>46110</v>
      </c>
      <c r="G688" s="81" t="str">
        <f>VLOOKUP("*"&amp;表格1[[#This Row],[Input]]&amp;"*",'Ref-List'!$B:$D,2,)</f>
        <v>F-LYA20(W)HKG</v>
      </c>
      <c r="H688" s="81" t="str">
        <f>_xlfn.XLOOKUP(表格1[[#This Row],[Model]],表格3[Model-Input-Ref2],表格3[Product Line])</f>
        <v>12吋2合1座地座檯電風扇連遙控</v>
      </c>
      <c r="I688" s="81" t="str">
        <f>_xlfn.XLOOKUP(表格1[[#This Row],[Model]],表格3[Model-Input-Ref2],表格3[大小電])</f>
        <v>細電</v>
      </c>
      <c r="J688" s="81" t="str">
        <f>_xlfn.XLOOKUP(表格1[[#This Row],[Model]],表格3[Model-Input-Ref2],表格3[Code])</f>
        <v>EAD</v>
      </c>
      <c r="K688" s="82" t="s">
        <v>1391</v>
      </c>
      <c r="L688" s="81">
        <v>1</v>
      </c>
      <c r="M688" s="85">
        <v>399</v>
      </c>
      <c r="N688" s="85">
        <f>IFERROR(表格1[[#This Row],[QTY]]*表格1[[#This Row],[Unit Price]],"-")</f>
        <v>399</v>
      </c>
      <c r="O688" s="134">
        <v>391407</v>
      </c>
      <c r="P688" s="81"/>
      <c r="Q688" s="81"/>
      <c r="R688" s="81" t="str">
        <f>_xlfn.CONCAT(表格1[[#This Row],[Model]]," ",表格1[[#This Row],[inv no]])</f>
        <v>F-LYA20(W)HKG 391407</v>
      </c>
      <c r="S688" s="135">
        <f>_xlfn.XLOOKUP(表格1[[#This Row],[Model]],表格3[Model-Input-Ref2],表格3[SRP PRICE])</f>
        <v>988</v>
      </c>
      <c r="T688" s="43">
        <f>表格1[[#This Row],[Unit Price]]/表格1[[#This Row],[SRP]]</f>
        <v>0.40384615384615385</v>
      </c>
      <c r="U688" s="86" t="str">
        <f>_xlfn.XLOOKUP(表格1[[#This Row],[Model]],表格3[Model-Input-Ref2],表格3[TOSHIBA/HIGHEST])</f>
        <v>Toshiba SRP</v>
      </c>
      <c r="V688" s="86" t="s">
        <v>1126</v>
      </c>
      <c r="W688" s="86" t="str">
        <f>_xlfn.CONCAT(表格1[[#This Row],[欄4]],表格1[[#This Row],[inv no]])</f>
        <v>DA141391407</v>
      </c>
    </row>
    <row r="689" spans="1:23" hidden="1">
      <c r="A689" s="81">
        <v>687</v>
      </c>
      <c r="B689" s="81" t="s">
        <v>1260</v>
      </c>
      <c r="C689" s="81" t="s">
        <v>1374</v>
      </c>
      <c r="D689" s="82" t="str">
        <f ca="1">OFFSET(Roster!$A$3,MATCH(表格1[[#This Row],[Location]]&amp;" "&amp;表格1[[#This Row],[Shop]]&amp;"*",Roster!$A$4:$A$72,0),DAY(表格1[[#This Row],[date]]),1,1)</f>
        <v>Ling Ho</v>
      </c>
      <c r="E689" s="81">
        <f>MONTH(表格1[[#This Row],[date]])</f>
        <v>3</v>
      </c>
      <c r="F689" s="101">
        <v>46110</v>
      </c>
      <c r="G689" s="81" t="str">
        <f>VLOOKUP("*"&amp;表格1[[#This Row],[Input]]&amp;"*",'Ref-List'!$B:$D,2,)</f>
        <v>PLK-30FLIH(WT)</v>
      </c>
      <c r="H689" s="81" t="str">
        <f>_xlfn.XLOOKUP(表格1[[#This Row],[Model]],表格3[Model-Input-Ref2],表格3[Product Line])</f>
        <v>電熱水瓶3L</v>
      </c>
      <c r="I689" s="81" t="str">
        <f>_xlfn.XLOOKUP(表格1[[#This Row],[Model]],表格3[Model-Input-Ref2],表格3[大小電])</f>
        <v>細電</v>
      </c>
      <c r="J689" s="81" t="str">
        <f>_xlfn.XLOOKUP(表格1[[#This Row],[Model]],表格3[Model-Input-Ref2],表格3[Code])</f>
        <v>SDA</v>
      </c>
      <c r="K689" s="82" t="s">
        <v>1272</v>
      </c>
      <c r="L689" s="81">
        <v>1</v>
      </c>
      <c r="M689" s="85">
        <v>489</v>
      </c>
      <c r="N689" s="85">
        <f>IFERROR(表格1[[#This Row],[QTY]]*表格1[[#This Row],[Unit Price]],"-")</f>
        <v>489</v>
      </c>
      <c r="O689" s="134">
        <v>391438</v>
      </c>
      <c r="P689" s="81"/>
      <c r="Q689" s="81"/>
      <c r="R689" s="81" t="str">
        <f>_xlfn.CONCAT(表格1[[#This Row],[Model]]," ",表格1[[#This Row],[inv no]])</f>
        <v>PLK-30FLIH(WT) 391438</v>
      </c>
      <c r="S689" s="135">
        <f>_xlfn.XLOOKUP(表格1[[#This Row],[Model]],表格3[Model-Input-Ref2],表格3[SRP PRICE])</f>
        <v>658</v>
      </c>
      <c r="T689" s="43">
        <f>表格1[[#This Row],[Unit Price]]/表格1[[#This Row],[SRP]]</f>
        <v>0.74316109422492405</v>
      </c>
      <c r="U689" s="86" t="str">
        <f>_xlfn.XLOOKUP(表格1[[#This Row],[Model]],表格3[Model-Input-Ref2],表格3[TOSHIBA/HIGHEST])</f>
        <v>Toshiba SRP</v>
      </c>
      <c r="V689" s="86" t="s">
        <v>1126</v>
      </c>
      <c r="W689" s="86" t="str">
        <f>_xlfn.CONCAT(表格1[[#This Row],[欄4]],表格1[[#This Row],[inv no]])</f>
        <v>DA141391438</v>
      </c>
    </row>
    <row r="690" spans="1:23" hidden="1">
      <c r="A690" s="81">
        <v>688</v>
      </c>
      <c r="B690" s="81" t="s">
        <v>1260</v>
      </c>
      <c r="C690" s="81" t="s">
        <v>1374</v>
      </c>
      <c r="D690" s="82" t="str">
        <f ca="1">OFFSET(Roster!$A$3,MATCH(表格1[[#This Row],[Location]]&amp;" "&amp;表格1[[#This Row],[Shop]]&amp;"*",Roster!$A$4:$A$72,0),DAY(表格1[[#This Row],[date]]),1,1)</f>
        <v>Ling Ho</v>
      </c>
      <c r="E690" s="81">
        <f>MONTH(表格1[[#This Row],[date]])</f>
        <v>3</v>
      </c>
      <c r="F690" s="101">
        <v>46110</v>
      </c>
      <c r="G690" s="81" t="str">
        <f>VLOOKUP("*"&amp;表格1[[#This Row],[Input]]&amp;"*",'Ref-List'!$B:$D,2,)</f>
        <v>IC-20R1THK</v>
      </c>
      <c r="H690" s="81" t="str">
        <f>_xlfn.XLOOKUP(表格1[[#This Row],[Model]],表格3[Model-Input-Ref2],表格3[Product Line])</f>
        <v>輕便式電磁爐</v>
      </c>
      <c r="I690" s="81" t="str">
        <f>_xlfn.XLOOKUP(表格1[[#This Row],[Model]],表格3[Model-Input-Ref2],表格3[大小電])</f>
        <v>細電</v>
      </c>
      <c r="J690" s="81" t="str">
        <f>_xlfn.XLOOKUP(表格1[[#This Row],[Model]],表格3[Model-Input-Ref2],表格3[Code])</f>
        <v>SDA</v>
      </c>
      <c r="K690" s="82" t="s">
        <v>1243</v>
      </c>
      <c r="L690" s="81">
        <v>1</v>
      </c>
      <c r="M690" s="85">
        <v>298</v>
      </c>
      <c r="N690" s="85">
        <f>IFERROR(表格1[[#This Row],[QTY]]*表格1[[#This Row],[Unit Price]],"-")</f>
        <v>298</v>
      </c>
      <c r="O690" s="134">
        <v>448275</v>
      </c>
      <c r="P690" s="81"/>
      <c r="Q690" s="81"/>
      <c r="R690" s="81" t="str">
        <f>_xlfn.CONCAT(表格1[[#This Row],[Model]]," ",表格1[[#This Row],[inv no]])</f>
        <v>IC-20R1THK 448275</v>
      </c>
      <c r="S690" s="135">
        <f>_xlfn.XLOOKUP(表格1[[#This Row],[Model]],表格3[Model-Input-Ref2],表格3[SRP PRICE])</f>
        <v>438</v>
      </c>
      <c r="T690" s="43">
        <f>表格1[[#This Row],[Unit Price]]/表格1[[#This Row],[SRP]]</f>
        <v>0.68036529680365299</v>
      </c>
      <c r="U690" s="86" t="str">
        <f>_xlfn.XLOOKUP(表格1[[#This Row],[Model]],表格3[Model-Input-Ref2],表格3[TOSHIBA/HIGHEST])</f>
        <v>Shops Highest Price</v>
      </c>
      <c r="V690" s="86" t="s">
        <v>1126</v>
      </c>
      <c r="W690" s="86" t="str">
        <f>_xlfn.CONCAT(表格1[[#This Row],[欄4]],表格1[[#This Row],[inv no]])</f>
        <v>DA141448275</v>
      </c>
    </row>
    <row r="691" spans="1:23" ht="16.5" hidden="1">
      <c r="A691" s="81">
        <v>689</v>
      </c>
      <c r="B691" s="81" t="s">
        <v>1260</v>
      </c>
      <c r="C691" s="81" t="s">
        <v>1374</v>
      </c>
      <c r="D691" s="82" t="str">
        <f ca="1">OFFSET(Roster!$A$3,MATCH(表格1[[#This Row],[Location]]&amp;" "&amp;表格1[[#This Row],[Shop]]&amp;"*",Roster!$A$4:$A$72,0),DAY(表格1[[#This Row],[date]]),1,1)</f>
        <v>Ling Ho</v>
      </c>
      <c r="E691" s="81">
        <f>MONTH(表格1[[#This Row],[date]])</f>
        <v>3</v>
      </c>
      <c r="F691" s="101">
        <v>46110</v>
      </c>
      <c r="G691" s="81" t="str">
        <f>VLOOKUP("*"&amp;表格1[[#This Row],[Input]]&amp;"*",'Ref-List'!$B:$D,2,)</f>
        <v>RC-18NMFIH(WT)</v>
      </c>
      <c r="H691" s="81" t="str">
        <f>_xlfn.XLOOKUP(表格1[[#This Row],[Model]],表格3[Model-Input-Ref2],表格3[Product Line])</f>
        <v>4毫米厚釜電飯煲1.8L</v>
      </c>
      <c r="I691" s="81" t="str">
        <f>_xlfn.XLOOKUP(表格1[[#This Row],[Model]],表格3[Model-Input-Ref2],表格3[大小電])</f>
        <v>細電</v>
      </c>
      <c r="J691" s="81" t="str">
        <f>_xlfn.XLOOKUP(表格1[[#This Row],[Model]],表格3[Model-Input-Ref2],表格3[Code])</f>
        <v>SDA</v>
      </c>
      <c r="K691" s="82" t="s">
        <v>1267</v>
      </c>
      <c r="L691" s="81">
        <v>1</v>
      </c>
      <c r="M691" s="85">
        <v>799</v>
      </c>
      <c r="N691" s="85">
        <f>IFERROR(表格1[[#This Row],[QTY]]*表格1[[#This Row],[Unit Price]],"-")</f>
        <v>799</v>
      </c>
      <c r="O691" s="134" t="s">
        <v>1398</v>
      </c>
      <c r="P691" s="137"/>
      <c r="Q691" s="81"/>
      <c r="R691" s="81" t="str">
        <f>_xlfn.CONCAT(表格1[[#This Row],[Model]]," ",表格1[[#This Row],[inv no]])</f>
        <v>RC-18NMFIH(WT) 031092</v>
      </c>
      <c r="S691" s="135">
        <f>_xlfn.XLOOKUP(表格1[[#This Row],[Model]],表格3[Model-Input-Ref2],表格3[SRP PRICE])</f>
        <v>998</v>
      </c>
      <c r="T691" s="43">
        <f>表格1[[#This Row],[Unit Price]]/表格1[[#This Row],[SRP]]</f>
        <v>0.80060120240480959</v>
      </c>
      <c r="U691" s="86" t="str">
        <f>_xlfn.XLOOKUP(表格1[[#This Row],[Model]],表格3[Model-Input-Ref2],表格3[TOSHIBA/HIGHEST])</f>
        <v>Toshiba SRP</v>
      </c>
      <c r="V691" s="86" t="s">
        <v>1126</v>
      </c>
      <c r="W691" s="86" t="str">
        <f>_xlfn.CONCAT(表格1[[#This Row],[欄4]],表格1[[#This Row],[inv no]])</f>
        <v>DA141031092</v>
      </c>
    </row>
    <row r="692" spans="1:23" hidden="1">
      <c r="A692" s="81">
        <v>690</v>
      </c>
      <c r="B692" s="81" t="s">
        <v>1260</v>
      </c>
      <c r="C692" s="81" t="s">
        <v>1374</v>
      </c>
      <c r="D692" s="82" t="str">
        <f ca="1">OFFSET(Roster!$A$3,MATCH(表格1[[#This Row],[Location]]&amp;" "&amp;表格1[[#This Row],[Shop]]&amp;"*",Roster!$A$4:$A$72,0),DAY(表格1[[#This Row],[date]]),1,1)</f>
        <v>Ling Ho</v>
      </c>
      <c r="E692" s="81">
        <f>MONTH(表格1[[#This Row],[date]])</f>
        <v>3</v>
      </c>
      <c r="F692" s="101">
        <v>46110</v>
      </c>
      <c r="G692" s="81" t="str">
        <f>VLOOKUP("*"&amp;表格1[[#This Row],[Input]]&amp;"*",'Ref-List'!$B:$D,2,)</f>
        <v>F-LYA20(W)HKG</v>
      </c>
      <c r="H692" s="81" t="str">
        <f>_xlfn.XLOOKUP(表格1[[#This Row],[Model]],表格3[Model-Input-Ref2],表格3[Product Line])</f>
        <v>12吋2合1座地座檯電風扇連遙控</v>
      </c>
      <c r="I692" s="81" t="str">
        <f>_xlfn.XLOOKUP(表格1[[#This Row],[Model]],表格3[Model-Input-Ref2],表格3[大小電])</f>
        <v>細電</v>
      </c>
      <c r="J692" s="81" t="str">
        <f>_xlfn.XLOOKUP(表格1[[#This Row],[Model]],表格3[Model-Input-Ref2],表格3[Code])</f>
        <v>EAD</v>
      </c>
      <c r="K692" s="82" t="s">
        <v>1391</v>
      </c>
      <c r="L692" s="81">
        <v>1</v>
      </c>
      <c r="M692" s="85">
        <v>399</v>
      </c>
      <c r="N692" s="85">
        <f>IFERROR(表格1[[#This Row],[QTY]]*表格1[[#This Row],[Unit Price]],"-")</f>
        <v>399</v>
      </c>
      <c r="O692" s="134" t="s">
        <v>1399</v>
      </c>
      <c r="P692" s="81"/>
      <c r="Q692" s="81"/>
      <c r="R692" s="81" t="str">
        <f>_xlfn.CONCAT(表格1[[#This Row],[Model]]," ",表格1[[#This Row],[inv no]])</f>
        <v>F-LYA20(W)HKG 061429</v>
      </c>
      <c r="S692" s="135">
        <f>_xlfn.XLOOKUP(表格1[[#This Row],[Model]],表格3[Model-Input-Ref2],表格3[SRP PRICE])</f>
        <v>988</v>
      </c>
      <c r="T692" s="43">
        <f>表格1[[#This Row],[Unit Price]]/表格1[[#This Row],[SRP]]</f>
        <v>0.40384615384615385</v>
      </c>
      <c r="U692" s="86" t="str">
        <f>_xlfn.XLOOKUP(表格1[[#This Row],[Model]],表格3[Model-Input-Ref2],表格3[TOSHIBA/HIGHEST])</f>
        <v>Toshiba SRP</v>
      </c>
      <c r="V692" s="86" t="s">
        <v>1126</v>
      </c>
      <c r="W692" s="86" t="str">
        <f>_xlfn.CONCAT(表格1[[#This Row],[欄4]],表格1[[#This Row],[inv no]])</f>
        <v>DA141061429</v>
      </c>
    </row>
    <row r="693" spans="1:23" hidden="1">
      <c r="A693" s="81">
        <v>691</v>
      </c>
      <c r="B693" s="81" t="s">
        <v>1260</v>
      </c>
      <c r="C693" s="81" t="s">
        <v>1374</v>
      </c>
      <c r="D693" s="82" t="str">
        <f ca="1">OFFSET(Roster!$A$3,MATCH(表格1[[#This Row],[Location]]&amp;" "&amp;表格1[[#This Row],[Shop]]&amp;"*",Roster!$A$4:$A$72,0),DAY(表格1[[#This Row],[date]]),1,1)</f>
        <v>Ling Ho</v>
      </c>
      <c r="E693" s="81">
        <f>MONTH(表格1[[#This Row],[date]])</f>
        <v>3</v>
      </c>
      <c r="F693" s="101">
        <v>46110</v>
      </c>
      <c r="G693" s="81" t="str">
        <f>VLOOKUP("*"&amp;表格1[[#This Row],[Input]]&amp;"*",'Ref-List'!$B:$D,2,)</f>
        <v>RAD-D200H</v>
      </c>
      <c r="H693" s="81" t="str">
        <f>_xlfn.XLOOKUP(表格1[[#This Row],[Model]],表格3[Model-Input-Ref2],表格3[Product Line])</f>
        <v>壓縮式抽濕機 (22公升)</v>
      </c>
      <c r="I693" s="81" t="str">
        <f>_xlfn.XLOOKUP(表格1[[#This Row],[Model]],表格3[Model-Input-Ref2],表格3[大小電])</f>
        <v>細電</v>
      </c>
      <c r="J693" s="81" t="str">
        <f>_xlfn.XLOOKUP(表格1[[#This Row],[Model]],表格3[Model-Input-Ref2],表格3[Code])</f>
        <v>RAC</v>
      </c>
      <c r="K693" s="82" t="s">
        <v>1250</v>
      </c>
      <c r="L693" s="81">
        <v>1</v>
      </c>
      <c r="M693" s="85">
        <v>1880</v>
      </c>
      <c r="N693" s="85">
        <f>IFERROR(表格1[[#This Row],[QTY]]*表格1[[#This Row],[Unit Price]],"-")</f>
        <v>1880</v>
      </c>
      <c r="O693" s="134">
        <v>243115</v>
      </c>
      <c r="P693" s="81"/>
      <c r="Q693" s="81"/>
      <c r="R693" s="81" t="str">
        <f>_xlfn.CONCAT(表格1[[#This Row],[Model]]," ",表格1[[#This Row],[inv no]])</f>
        <v>RAD-D200H 243115</v>
      </c>
      <c r="S693" s="135">
        <f>_xlfn.XLOOKUP(表格1[[#This Row],[Model]],表格3[Model-Input-Ref2],表格3[SRP PRICE])</f>
        <v>2880</v>
      </c>
      <c r="T693" s="43">
        <f>表格1[[#This Row],[Unit Price]]/表格1[[#This Row],[SRP]]</f>
        <v>0.65277777777777779</v>
      </c>
      <c r="U693" s="86" t="str">
        <f>_xlfn.XLOOKUP(表格1[[#This Row],[Model]],表格3[Model-Input-Ref2],表格3[TOSHIBA/HIGHEST])</f>
        <v>Shops Highest Price</v>
      </c>
      <c r="V693" s="86" t="s">
        <v>1126</v>
      </c>
      <c r="W693" s="86" t="str">
        <f>_xlfn.CONCAT(表格1[[#This Row],[欄4]],表格1[[#This Row],[inv no]])</f>
        <v>DA141243115</v>
      </c>
    </row>
    <row r="694" spans="1:23" ht="16.5" hidden="1">
      <c r="A694" s="81">
        <v>692</v>
      </c>
      <c r="B694" s="81" t="s">
        <v>1260</v>
      </c>
      <c r="C694" s="81" t="s">
        <v>1374</v>
      </c>
      <c r="D694" s="82" t="str">
        <f ca="1">OFFSET(Roster!$A$3,MATCH(表格1[[#This Row],[Location]]&amp;" "&amp;表格1[[#This Row],[Shop]]&amp;"*",Roster!$A$4:$A$72,0),DAY(表格1[[#This Row],[date]]),1,1)</f>
        <v>Ling Ho</v>
      </c>
      <c r="E694" s="81">
        <f>MONTH(表格1[[#This Row],[date]])</f>
        <v>3</v>
      </c>
      <c r="F694" s="101">
        <v>46110</v>
      </c>
      <c r="G694" s="81" t="str">
        <f>VLOOKUP("*"&amp;表格1[[#This Row],[Input]]&amp;"*",'Ref-List'!$B:$D,2,)</f>
        <v>MS3-STQ20SC(WH)</v>
      </c>
      <c r="H694" s="81" t="str">
        <f>_xlfn.XLOOKUP(表格1[[#This Row],[Model]],表格3[Model-Input-Ref2],表格3[Product Line])</f>
        <v>20L 智能蒸氣焗爐</v>
      </c>
      <c r="I694" s="81" t="str">
        <f>_xlfn.XLOOKUP(表格1[[#This Row],[Model]],表格3[Model-Input-Ref2],表格3[大小電])</f>
        <v>細電</v>
      </c>
      <c r="J694" s="81" t="str">
        <f>_xlfn.XLOOKUP(表格1[[#This Row],[Model]],表格3[Model-Input-Ref2],表格3[Code])</f>
        <v>MCA</v>
      </c>
      <c r="K694" s="82" t="s">
        <v>1383</v>
      </c>
      <c r="L694" s="81">
        <v>1</v>
      </c>
      <c r="M694" s="85">
        <v>1980</v>
      </c>
      <c r="N694" s="85">
        <f>IFERROR(表格1[[#This Row],[QTY]]*表格1[[#This Row],[Unit Price]],"-")</f>
        <v>1980</v>
      </c>
      <c r="O694" s="134">
        <v>448370</v>
      </c>
      <c r="P694" s="137"/>
      <c r="Q694" s="81"/>
      <c r="R694" s="81" t="str">
        <f>_xlfn.CONCAT(表格1[[#This Row],[Model]]," ",表格1[[#This Row],[inv no]])</f>
        <v>MS3-STQ20SC(WH) 448370</v>
      </c>
      <c r="S694" s="135">
        <f>_xlfn.XLOOKUP(表格1[[#This Row],[Model]],表格3[Model-Input-Ref2],表格3[SRP PRICE])</f>
        <v>2880</v>
      </c>
      <c r="T694" s="43">
        <f>表格1[[#This Row],[Unit Price]]/表格1[[#This Row],[SRP]]</f>
        <v>0.6875</v>
      </c>
      <c r="U694" s="86" t="str">
        <f>_xlfn.XLOOKUP(表格1[[#This Row],[Model]],表格3[Model-Input-Ref2],表格3[TOSHIBA/HIGHEST])</f>
        <v>Toshiba SRP</v>
      </c>
      <c r="V694" s="86" t="s">
        <v>1126</v>
      </c>
      <c r="W694" s="86" t="str">
        <f>_xlfn.CONCAT(表格1[[#This Row],[欄4]],表格1[[#This Row],[inv no]])</f>
        <v>DA141448370</v>
      </c>
    </row>
    <row r="695" spans="1:23" hidden="1">
      <c r="A695" s="81">
        <v>693</v>
      </c>
      <c r="B695" s="81" t="s">
        <v>1260</v>
      </c>
      <c r="C695" s="81" t="s">
        <v>1374</v>
      </c>
      <c r="D695" s="82" t="str">
        <f ca="1">OFFSET(Roster!$A$3,MATCH(表格1[[#This Row],[Location]]&amp;" "&amp;表格1[[#This Row],[Shop]]&amp;"*",Roster!$A$4:$A$72,0),DAY(表格1[[#This Row],[date]]),1,1)</f>
        <v>Ling Ho</v>
      </c>
      <c r="E695" s="81">
        <f>MONTH(表格1[[#This Row],[date]])</f>
        <v>3</v>
      </c>
      <c r="F695" s="101">
        <v>46110</v>
      </c>
      <c r="G695" s="81" t="str">
        <f>VLOOKUP("*"&amp;表格1[[#This Row],[Input]]&amp;"*",'Ref-List'!$B:$D,2,)</f>
        <v>MWP-MM20P(WH)</v>
      </c>
      <c r="H695" s="81" t="str">
        <f>_xlfn.XLOOKUP(表格1[[#This Row],[Model]],表格3[Model-Input-Ref2],表格3[Product Line])</f>
        <v>旋鈕式燒烤微波爐20L</v>
      </c>
      <c r="I695" s="81" t="str">
        <f>_xlfn.XLOOKUP(表格1[[#This Row],[Model]],表格3[Model-Input-Ref2],表格3[大小電])</f>
        <v>細電</v>
      </c>
      <c r="J695" s="81" t="str">
        <f>_xlfn.XLOOKUP(表格1[[#This Row],[Model]],表格3[Model-Input-Ref2],表格3[Code])</f>
        <v>SDA</v>
      </c>
      <c r="K695" s="82" t="s">
        <v>1270</v>
      </c>
      <c r="L695" s="81">
        <v>1</v>
      </c>
      <c r="M695" s="85">
        <v>488</v>
      </c>
      <c r="N695" s="85">
        <f>IFERROR(表格1[[#This Row],[QTY]]*表格1[[#This Row],[Unit Price]],"-")</f>
        <v>488</v>
      </c>
      <c r="O695" s="134">
        <v>448378</v>
      </c>
      <c r="P695" s="81"/>
      <c r="Q695" s="81"/>
      <c r="R695" s="81" t="str">
        <f>_xlfn.CONCAT(表格1[[#This Row],[Model]]," ",表格1[[#This Row],[inv no]])</f>
        <v>MWP-MM20P(WH) 448378</v>
      </c>
      <c r="S695" s="135">
        <f>_xlfn.XLOOKUP(表格1[[#This Row],[Model]],表格3[Model-Input-Ref2],表格3[SRP PRICE])</f>
        <v>648</v>
      </c>
      <c r="T695" s="43">
        <f>表格1[[#This Row],[Unit Price]]/表格1[[#This Row],[SRP]]</f>
        <v>0.75308641975308643</v>
      </c>
      <c r="U695" s="86" t="str">
        <f>_xlfn.XLOOKUP(表格1[[#This Row],[Model]],表格3[Model-Input-Ref2],表格3[TOSHIBA/HIGHEST])</f>
        <v>Toshiba SRP</v>
      </c>
      <c r="V695" s="86" t="s">
        <v>1126</v>
      </c>
      <c r="W695" s="86" t="str">
        <f>_xlfn.CONCAT(表格1[[#This Row],[欄4]],表格1[[#This Row],[inv no]])</f>
        <v>DA141448378</v>
      </c>
    </row>
    <row r="696" spans="1:23" hidden="1">
      <c r="A696" s="81">
        <v>694</v>
      </c>
      <c r="B696" s="81" t="s">
        <v>1260</v>
      </c>
      <c r="C696" s="81" t="s">
        <v>1374</v>
      </c>
      <c r="D696" s="82" t="str">
        <f ca="1">OFFSET(Roster!$A$3,MATCH(表格1[[#This Row],[Location]]&amp;" "&amp;表格1[[#This Row],[Shop]]&amp;"*",Roster!$A$4:$A$72,0),DAY(表格1[[#This Row],[date]]),1,1)</f>
        <v>Ling Ho</v>
      </c>
      <c r="E696" s="81">
        <f>MONTH(表格1[[#This Row],[date]])</f>
        <v>3</v>
      </c>
      <c r="F696" s="101">
        <v>46111</v>
      </c>
      <c r="G696" s="81" t="str">
        <f>VLOOKUP("*"&amp;表格1[[#This Row],[Input]]&amp;"*",'Ref-List'!$B:$D,2,)</f>
        <v>RC-10BHH(W)</v>
      </c>
      <c r="H696" s="81" t="str">
        <f>_xlfn.XLOOKUP(表格1[[#This Row],[Model]],表格3[Model-Input-Ref2],表格3[Product Line])</f>
        <v>酵活炊磁應電飯煲</v>
      </c>
      <c r="I696" s="81" t="str">
        <f>_xlfn.XLOOKUP(表格1[[#This Row],[Model]],表格3[Model-Input-Ref2],表格3[大小電])</f>
        <v>細電</v>
      </c>
      <c r="J696" s="81" t="str">
        <f>_xlfn.XLOOKUP(表格1[[#This Row],[Model]],表格3[Model-Input-Ref2],表格3[Code])</f>
        <v>SDA</v>
      </c>
      <c r="K696" s="82" t="s">
        <v>1269</v>
      </c>
      <c r="L696" s="81">
        <v>1</v>
      </c>
      <c r="M696" s="85">
        <v>1688</v>
      </c>
      <c r="N696" s="85">
        <f>IFERROR(表格1[[#This Row],[QTY]]*表格1[[#This Row],[Unit Price]],"-")</f>
        <v>1688</v>
      </c>
      <c r="O696" s="134">
        <v>391766</v>
      </c>
      <c r="P696" s="81"/>
      <c r="Q696" s="81"/>
      <c r="R696" s="81" t="str">
        <f>_xlfn.CONCAT(表格1[[#This Row],[Model]]," ",表格1[[#This Row],[inv no]])</f>
        <v>RC-10BHH(W) 391766</v>
      </c>
      <c r="S696" s="135">
        <f>_xlfn.XLOOKUP(表格1[[#This Row],[Model]],表格3[Model-Input-Ref2],表格3[SRP PRICE])</f>
        <v>2088</v>
      </c>
      <c r="T696" s="43">
        <f>表格1[[#This Row],[Unit Price]]/表格1[[#This Row],[SRP]]</f>
        <v>0.80842911877394641</v>
      </c>
      <c r="U696" s="86" t="str">
        <f>_xlfn.XLOOKUP(表格1[[#This Row],[Model]],表格3[Model-Input-Ref2],表格3[TOSHIBA/HIGHEST])</f>
        <v>Shops Highest Price</v>
      </c>
      <c r="V696" s="86" t="s">
        <v>1126</v>
      </c>
      <c r="W696" s="86" t="str">
        <f>_xlfn.CONCAT(表格1[[#This Row],[欄4]],表格1[[#This Row],[inv no]])</f>
        <v>DA141391766</v>
      </c>
    </row>
    <row r="697" spans="1:23" hidden="1">
      <c r="A697" s="81">
        <v>695</v>
      </c>
      <c r="B697" s="81" t="s">
        <v>1260</v>
      </c>
      <c r="C697" s="81" t="s">
        <v>1374</v>
      </c>
      <c r="D697" s="82" t="str">
        <f ca="1">OFFSET(Roster!$A$3,MATCH(表格1[[#This Row],[Location]]&amp;" "&amp;表格1[[#This Row],[Shop]]&amp;"*",Roster!$A$4:$A$72,0),DAY(表格1[[#This Row],[date]]),1,1)</f>
        <v>Ling Ho</v>
      </c>
      <c r="E697" s="81">
        <f>MONTH(表格1[[#This Row],[date]])</f>
        <v>3</v>
      </c>
      <c r="F697" s="101">
        <v>46111</v>
      </c>
      <c r="G697" s="81" t="str">
        <f>VLOOKUP("*"&amp;表格1[[#This Row],[Input]]&amp;"*",'Ref-List'!$B:$D,2,)</f>
        <v>ET-TD7080(PN)</v>
      </c>
      <c r="H697" s="81" t="str">
        <f>_xlfn.XLOOKUP(表格1[[#This Row],[Model]],表格3[Model-Input-Ref2],表格3[Product Line])</f>
        <v>多士焗爐8L</v>
      </c>
      <c r="I697" s="81" t="str">
        <f>_xlfn.XLOOKUP(表格1[[#This Row],[Model]],表格3[Model-Input-Ref2],表格3[大小電])</f>
        <v>細電</v>
      </c>
      <c r="J697" s="81" t="str">
        <f>_xlfn.XLOOKUP(表格1[[#This Row],[Model]],表格3[Model-Input-Ref2],表格3[Code])</f>
        <v>SDA</v>
      </c>
      <c r="K697" s="82">
        <v>7080</v>
      </c>
      <c r="L697" s="81">
        <v>1</v>
      </c>
      <c r="M697" s="85">
        <v>338</v>
      </c>
      <c r="N697" s="85">
        <f>IFERROR(表格1[[#This Row],[QTY]]*表格1[[#This Row],[Unit Price]],"-")</f>
        <v>338</v>
      </c>
      <c r="O697" s="134" t="s">
        <v>1395</v>
      </c>
      <c r="P697" s="81"/>
      <c r="Q697" s="81"/>
      <c r="R697" s="81" t="str">
        <f>_xlfn.CONCAT(表格1[[#This Row],[Model]]," ",表格1[[#This Row],[inv no]])</f>
        <v>ET-TD7080(PN) 061486</v>
      </c>
      <c r="S697" s="135">
        <f>_xlfn.XLOOKUP(表格1[[#This Row],[Model]],表格3[Model-Input-Ref2],表格3[SRP PRICE])</f>
        <v>498</v>
      </c>
      <c r="T697" s="43">
        <f>表格1[[#This Row],[Unit Price]]/表格1[[#This Row],[SRP]]</f>
        <v>0.67871485943775101</v>
      </c>
      <c r="U697" s="86" t="str">
        <f>_xlfn.XLOOKUP(表格1[[#This Row],[Model]],表格3[Model-Input-Ref2],表格3[TOSHIBA/HIGHEST])</f>
        <v>Toshiba SRP</v>
      </c>
      <c r="V697" s="86" t="s">
        <v>1126</v>
      </c>
      <c r="W697" s="86" t="str">
        <f>_xlfn.CONCAT(表格1[[#This Row],[欄4]],表格1[[#This Row],[inv no]])</f>
        <v>DA141061486</v>
      </c>
    </row>
    <row r="698" spans="1:23" hidden="1">
      <c r="A698" s="81">
        <v>696</v>
      </c>
      <c r="B698" s="81" t="s">
        <v>1260</v>
      </c>
      <c r="C698" s="81" t="s">
        <v>1374</v>
      </c>
      <c r="D698" s="82" t="str">
        <f ca="1">OFFSET(Roster!$A$3,MATCH(表格1[[#This Row],[Location]]&amp;" "&amp;表格1[[#This Row],[Shop]]&amp;"*",Roster!$A$4:$A$72,0),DAY(表格1[[#This Row],[date]]),1,1)</f>
        <v>Ling Ho</v>
      </c>
      <c r="E698" s="81">
        <f>MONTH(表格1[[#This Row],[date]])</f>
        <v>3</v>
      </c>
      <c r="F698" s="101">
        <v>46111</v>
      </c>
      <c r="G698" s="81" t="str">
        <f>VLOOKUP("*"&amp;表格1[[#This Row],[Input]]&amp;"*",'Ref-List'!$B:$D,2,)</f>
        <v>IC-20R1THK</v>
      </c>
      <c r="H698" s="81" t="str">
        <f>_xlfn.XLOOKUP(表格1[[#This Row],[Model]],表格3[Model-Input-Ref2],表格3[Product Line])</f>
        <v>輕便式電磁爐</v>
      </c>
      <c r="I698" s="81" t="str">
        <f>_xlfn.XLOOKUP(表格1[[#This Row],[Model]],表格3[Model-Input-Ref2],表格3[大小電])</f>
        <v>細電</v>
      </c>
      <c r="J698" s="81" t="str">
        <f>_xlfn.XLOOKUP(表格1[[#This Row],[Model]],表格3[Model-Input-Ref2],表格3[Code])</f>
        <v>SDA</v>
      </c>
      <c r="K698" s="82" t="s">
        <v>1243</v>
      </c>
      <c r="L698" s="81">
        <v>1</v>
      </c>
      <c r="M698" s="85">
        <v>298</v>
      </c>
      <c r="N698" s="85">
        <f>IFERROR(表格1[[#This Row],[QTY]]*表格1[[#This Row],[Unit Price]],"-")</f>
        <v>298</v>
      </c>
      <c r="O698" s="134">
        <v>448751</v>
      </c>
      <c r="P698" s="81"/>
      <c r="Q698" s="81"/>
      <c r="R698" s="81" t="str">
        <f>_xlfn.CONCAT(表格1[[#This Row],[Model]]," ",表格1[[#This Row],[inv no]])</f>
        <v>IC-20R1THK 448751</v>
      </c>
      <c r="S698" s="135">
        <f>_xlfn.XLOOKUP(表格1[[#This Row],[Model]],表格3[Model-Input-Ref2],表格3[SRP PRICE])</f>
        <v>438</v>
      </c>
      <c r="T698" s="43">
        <f>表格1[[#This Row],[Unit Price]]/表格1[[#This Row],[SRP]]</f>
        <v>0.68036529680365299</v>
      </c>
      <c r="U698" s="86" t="str">
        <f>_xlfn.XLOOKUP(表格1[[#This Row],[Model]],表格3[Model-Input-Ref2],表格3[TOSHIBA/HIGHEST])</f>
        <v>Shops Highest Price</v>
      </c>
      <c r="V698" s="86" t="s">
        <v>1126</v>
      </c>
      <c r="W698" s="86" t="str">
        <f>_xlfn.CONCAT(表格1[[#This Row],[欄4]],表格1[[#This Row],[inv no]])</f>
        <v>DA141448751</v>
      </c>
    </row>
    <row r="699" spans="1:23" hidden="1">
      <c r="A699" s="81">
        <v>697</v>
      </c>
      <c r="B699" s="81" t="s">
        <v>1260</v>
      </c>
      <c r="C699" s="81" t="s">
        <v>1374</v>
      </c>
      <c r="D699" s="82" t="str">
        <f ca="1">OFFSET(Roster!$A$3,MATCH(表格1[[#This Row],[Location]]&amp;" "&amp;表格1[[#This Row],[Shop]]&amp;"*",Roster!$A$4:$A$72,0),DAY(表格1[[#This Row],[date]]),1,1)</f>
        <v>Ling Ho</v>
      </c>
      <c r="E699" s="81">
        <f>MONTH(表格1[[#This Row],[date]])</f>
        <v>3</v>
      </c>
      <c r="F699" s="101">
        <v>46111</v>
      </c>
      <c r="G699" s="81" t="str">
        <f>VLOOKUP("*"&amp;表格1[[#This Row],[Input]]&amp;"*",'Ref-List'!$B:$D,2,)</f>
        <v>IC-20R1THK</v>
      </c>
      <c r="H699" s="81" t="str">
        <f>_xlfn.XLOOKUP(表格1[[#This Row],[Model]],表格3[Model-Input-Ref2],表格3[Product Line])</f>
        <v>輕便式電磁爐</v>
      </c>
      <c r="I699" s="81" t="str">
        <f>_xlfn.XLOOKUP(表格1[[#This Row],[Model]],表格3[Model-Input-Ref2],表格3[大小電])</f>
        <v>細電</v>
      </c>
      <c r="J699" s="81" t="str">
        <f>_xlfn.XLOOKUP(表格1[[#This Row],[Model]],表格3[Model-Input-Ref2],表格3[Code])</f>
        <v>SDA</v>
      </c>
      <c r="K699" s="82" t="s">
        <v>1243</v>
      </c>
      <c r="L699" s="81">
        <v>1</v>
      </c>
      <c r="M699" s="85">
        <v>298</v>
      </c>
      <c r="N699" s="85">
        <f>IFERROR(表格1[[#This Row],[QTY]]*表格1[[#This Row],[Unit Price]],"-")</f>
        <v>298</v>
      </c>
      <c r="O699" s="134">
        <v>448778</v>
      </c>
      <c r="P699" s="81"/>
      <c r="Q699" s="81"/>
      <c r="R699" s="81" t="str">
        <f>_xlfn.CONCAT(表格1[[#This Row],[Model]]," ",表格1[[#This Row],[inv no]])</f>
        <v>IC-20R1THK 448778</v>
      </c>
      <c r="S699" s="135">
        <f>_xlfn.XLOOKUP(表格1[[#This Row],[Model]],表格3[Model-Input-Ref2],表格3[SRP PRICE])</f>
        <v>438</v>
      </c>
      <c r="T699" s="43">
        <f>表格1[[#This Row],[Unit Price]]/表格1[[#This Row],[SRP]]</f>
        <v>0.68036529680365299</v>
      </c>
      <c r="U699" s="86" t="str">
        <f>_xlfn.XLOOKUP(表格1[[#This Row],[Model]],表格3[Model-Input-Ref2],表格3[TOSHIBA/HIGHEST])</f>
        <v>Shops Highest Price</v>
      </c>
      <c r="V699" s="86" t="s">
        <v>1126</v>
      </c>
      <c r="W699" s="86" t="str">
        <f>_xlfn.CONCAT(表格1[[#This Row],[欄4]],表格1[[#This Row],[inv no]])</f>
        <v>DA141448778</v>
      </c>
    </row>
    <row r="700" spans="1:23" hidden="1">
      <c r="A700" s="81">
        <v>698</v>
      </c>
      <c r="B700" s="81" t="s">
        <v>1260</v>
      </c>
      <c r="C700" s="81" t="s">
        <v>1374</v>
      </c>
      <c r="D700" s="82" t="str">
        <f ca="1">OFFSET(Roster!$A$3,MATCH(表格1[[#This Row],[Location]]&amp;" "&amp;表格1[[#This Row],[Shop]]&amp;"*",Roster!$A$4:$A$72,0),DAY(表格1[[#This Row],[date]]),1,1)</f>
        <v>Ling Ho</v>
      </c>
      <c r="E700" s="81">
        <f>MONTH(表格1[[#This Row],[date]])</f>
        <v>3</v>
      </c>
      <c r="F700" s="101">
        <v>46112</v>
      </c>
      <c r="G700" s="81" t="str">
        <f>VLOOKUP("*"&amp;表格1[[#This Row],[Input]]&amp;"*",'Ref-List'!$B:$D,2,)</f>
        <v>MV2-EG26PEI(BK)</v>
      </c>
      <c r="H700" s="81" t="str">
        <f>_xlfn.XLOOKUP(表格1[[#This Row],[Model]],表格3[Model-Input-Ref2],表格3[Product Line])</f>
        <v>輕觸式平板燒烤微波爐 (26公升)</v>
      </c>
      <c r="I700" s="81" t="str">
        <f>_xlfn.XLOOKUP(表格1[[#This Row],[Model]],表格3[Model-Input-Ref2],表格3[大小電])</f>
        <v>細電</v>
      </c>
      <c r="J700" s="81" t="str">
        <f>_xlfn.XLOOKUP(表格1[[#This Row],[Model]],表格3[Model-Input-Ref2],表格3[Code])</f>
        <v>MCA</v>
      </c>
      <c r="K700" s="82" t="s">
        <v>1394</v>
      </c>
      <c r="L700" s="81">
        <v>1</v>
      </c>
      <c r="M700" s="85">
        <v>998</v>
      </c>
      <c r="N700" s="85">
        <f>IFERROR(表格1[[#This Row],[QTY]]*表格1[[#This Row],[Unit Price]],"-")</f>
        <v>998</v>
      </c>
      <c r="O700" s="134">
        <v>448887</v>
      </c>
      <c r="P700" s="81"/>
      <c r="Q700" s="81"/>
      <c r="R700" s="81" t="str">
        <f>_xlfn.CONCAT(表格1[[#This Row],[Model]]," ",表格1[[#This Row],[inv no]])</f>
        <v>MV2-EG26PEI(BK) 448887</v>
      </c>
      <c r="S700" s="135">
        <f>_xlfn.XLOOKUP(表格1[[#This Row],[Model]],表格3[Model-Input-Ref2],表格3[SRP PRICE])</f>
        <v>1180</v>
      </c>
      <c r="T700" s="43">
        <f>表格1[[#This Row],[Unit Price]]/表格1[[#This Row],[SRP]]</f>
        <v>0.84576271186440677</v>
      </c>
      <c r="U700" s="86" t="str">
        <f>_xlfn.XLOOKUP(表格1[[#This Row],[Model]],表格3[Model-Input-Ref2],表格3[TOSHIBA/HIGHEST])</f>
        <v>Toshiba SRP</v>
      </c>
      <c r="V700" s="86" t="s">
        <v>1126</v>
      </c>
      <c r="W700" s="86" t="str">
        <f>_xlfn.CONCAT(表格1[[#This Row],[欄4]],表格1[[#This Row],[inv no]])</f>
        <v>DA141448887</v>
      </c>
    </row>
    <row r="701" spans="1:23" hidden="1">
      <c r="A701" s="81">
        <v>699</v>
      </c>
      <c r="B701" s="81" t="s">
        <v>1260</v>
      </c>
      <c r="C701" s="81" t="s">
        <v>1374</v>
      </c>
      <c r="D701" s="82" t="str">
        <f ca="1">OFFSET(Roster!$A$3,MATCH(表格1[[#This Row],[Location]]&amp;" "&amp;表格1[[#This Row],[Shop]]&amp;"*",Roster!$A$4:$A$72,0),DAY(表格1[[#This Row],[date]]),1,1)</f>
        <v>Ling Ho</v>
      </c>
      <c r="E701" s="81">
        <f>MONTH(表格1[[#This Row],[date]])</f>
        <v>3</v>
      </c>
      <c r="F701" s="101">
        <v>46112</v>
      </c>
      <c r="G701" s="81" t="str">
        <f>VLOOKUP("*"&amp;表格1[[#This Row],[Input]]&amp;"*",'Ref-List'!$B:$D,2,)</f>
        <v>RC-10NMFIH(WT)</v>
      </c>
      <c r="H701" s="81" t="str">
        <f>_xlfn.XLOOKUP(表格1[[#This Row],[Model]],表格3[Model-Input-Ref2],表格3[Product Line])</f>
        <v>4毫米厚釜電飯煲1L</v>
      </c>
      <c r="I701" s="81" t="str">
        <f>_xlfn.XLOOKUP(表格1[[#This Row],[Model]],表格3[Model-Input-Ref2],表格3[大小電])</f>
        <v>細電</v>
      </c>
      <c r="J701" s="81" t="str">
        <f>_xlfn.XLOOKUP(表格1[[#This Row],[Model]],表格3[Model-Input-Ref2],表格3[Code])</f>
        <v>SDA</v>
      </c>
      <c r="K701" s="82" t="s">
        <v>1244</v>
      </c>
      <c r="L701" s="81">
        <v>1</v>
      </c>
      <c r="M701" s="85">
        <v>719</v>
      </c>
      <c r="N701" s="85">
        <f>IFERROR(表格1[[#This Row],[QTY]]*表格1[[#This Row],[Unit Price]],"-")</f>
        <v>719</v>
      </c>
      <c r="O701" s="134">
        <v>219376</v>
      </c>
      <c r="P701" s="81"/>
      <c r="Q701" s="81"/>
      <c r="R701" s="81" t="str">
        <f>_xlfn.CONCAT(表格1[[#This Row],[Model]]," ",表格1[[#This Row],[inv no]])</f>
        <v>RC-10NMFIH(WT) 219376</v>
      </c>
      <c r="S701" s="135">
        <f>_xlfn.XLOOKUP(表格1[[#This Row],[Model]],表格3[Model-Input-Ref2],表格3[SRP PRICE])</f>
        <v>898</v>
      </c>
      <c r="T701" s="43">
        <f>表格1[[#This Row],[Unit Price]]/表格1[[#This Row],[SRP]]</f>
        <v>0.80066815144766146</v>
      </c>
      <c r="U701" s="86" t="str">
        <f>_xlfn.XLOOKUP(表格1[[#This Row],[Model]],表格3[Model-Input-Ref2],表格3[TOSHIBA/HIGHEST])</f>
        <v>Toshiba SRP</v>
      </c>
      <c r="V701" s="86" t="s">
        <v>1126</v>
      </c>
      <c r="W701" s="86" t="str">
        <f>_xlfn.CONCAT(表格1[[#This Row],[欄4]],表格1[[#This Row],[inv no]])</f>
        <v>DA141219376</v>
      </c>
    </row>
    <row r="702" spans="1:23" hidden="1">
      <c r="A702" s="81">
        <v>700</v>
      </c>
      <c r="B702" s="81" t="s">
        <v>1260</v>
      </c>
      <c r="C702" s="81" t="s">
        <v>1374</v>
      </c>
      <c r="D702" s="82" t="str">
        <f ca="1">OFFSET(Roster!$A$3,MATCH(表格1[[#This Row],[Location]]&amp;" "&amp;表格1[[#This Row],[Shop]]&amp;"*",Roster!$A$4:$A$72,0),DAY(表格1[[#This Row],[date]]),1,1)</f>
        <v>Ling Ho</v>
      </c>
      <c r="E702" s="81">
        <f>MONTH(表格1[[#This Row],[date]])</f>
        <v>3</v>
      </c>
      <c r="F702" s="101">
        <v>46112</v>
      </c>
      <c r="G702" s="81" t="str">
        <f>VLOOKUP("*"&amp;表格1[[#This Row],[Input]]&amp;"*",'Ref-List'!$B:$D,2,)</f>
        <v>KT-17DRTHK(H)</v>
      </c>
      <c r="H702" s="81" t="str">
        <f>_xlfn.XLOOKUP(表格1[[#This Row],[Model]],表格3[Model-Input-Ref2],表格3[Product Line])</f>
        <v>無線雙層電熱水壺(1.7公升)</v>
      </c>
      <c r="I702" s="81" t="str">
        <f>_xlfn.XLOOKUP(表格1[[#This Row],[Model]],表格3[Model-Input-Ref2],表格3[大小電])</f>
        <v>細電</v>
      </c>
      <c r="J702" s="81" t="str">
        <f>_xlfn.XLOOKUP(表格1[[#This Row],[Model]],表格3[Model-Input-Ref2],表格3[Code])</f>
        <v>SDA</v>
      </c>
      <c r="K702" s="82" t="s">
        <v>1271</v>
      </c>
      <c r="L702" s="81">
        <v>1</v>
      </c>
      <c r="M702" s="85">
        <v>388</v>
      </c>
      <c r="N702" s="85">
        <f>IFERROR(表格1[[#This Row],[QTY]]*表格1[[#This Row],[Unit Price]],"-")</f>
        <v>388</v>
      </c>
      <c r="O702" s="134">
        <v>219450</v>
      </c>
      <c r="P702" s="81"/>
      <c r="Q702" s="81"/>
      <c r="R702" s="81" t="str">
        <f>_xlfn.CONCAT(表格1[[#This Row],[Model]]," ",表格1[[#This Row],[inv no]])</f>
        <v>KT-17DRTHK(H) 219450</v>
      </c>
      <c r="S702" s="135">
        <f>_xlfn.XLOOKUP(表格1[[#This Row],[Model]],表格3[Model-Input-Ref2],表格3[SRP PRICE])</f>
        <v>498</v>
      </c>
      <c r="T702" s="43">
        <f>表格1[[#This Row],[Unit Price]]/表格1[[#This Row],[SRP]]</f>
        <v>0.77911646586345384</v>
      </c>
      <c r="U702" s="86" t="str">
        <f>_xlfn.XLOOKUP(表格1[[#This Row],[Model]],表格3[Model-Input-Ref2],表格3[TOSHIBA/HIGHEST])</f>
        <v>Toshiba SRP</v>
      </c>
      <c r="V702" s="86" t="s">
        <v>1126</v>
      </c>
      <c r="W702" s="86" t="str">
        <f>_xlfn.CONCAT(表格1[[#This Row],[欄4]],表格1[[#This Row],[inv no]])</f>
        <v>DA141219450</v>
      </c>
    </row>
    <row r="703" spans="1:23" ht="16.5" hidden="1">
      <c r="A703" s="81">
        <v>701</v>
      </c>
      <c r="B703" s="81" t="s">
        <v>1260</v>
      </c>
      <c r="C703" s="81" t="s">
        <v>1291</v>
      </c>
      <c r="D703" s="82" t="str">
        <f ca="1">OFFSET(Roster!$A$3,MATCH(表格1[[#This Row],[Location]]&amp;" "&amp;表格1[[#This Row],[Shop]]&amp;"*",Roster!$A$4:$A$72,0),DAY(表格1[[#This Row],[date]]),1,1)</f>
        <v>Wendy Wong_1</v>
      </c>
      <c r="E703" s="81">
        <f>MONTH(表格1[[#This Row],[date]])</f>
        <v>3</v>
      </c>
      <c r="F703" s="101">
        <v>46105</v>
      </c>
      <c r="G703" s="81" t="str">
        <f>VLOOKUP("*"&amp;表格1[[#This Row],[Input]]&amp;"*",'Ref-List'!$B:$D,2,)</f>
        <v>RAD-D200H</v>
      </c>
      <c r="H703" s="81" t="str">
        <f>_xlfn.XLOOKUP(表格1[[#This Row],[Model]],表格3[Model-Input-Ref2],表格3[Product Line])</f>
        <v>壓縮式抽濕機 (22公升)</v>
      </c>
      <c r="I703" s="81" t="str">
        <f>_xlfn.XLOOKUP(表格1[[#This Row],[Model]],表格3[Model-Input-Ref2],表格3[大小電])</f>
        <v>細電</v>
      </c>
      <c r="J703" s="81" t="str">
        <f>_xlfn.XLOOKUP(表格1[[#This Row],[Model]],表格3[Model-Input-Ref2],表格3[Code])</f>
        <v>RAC</v>
      </c>
      <c r="K703" s="82" t="s">
        <v>1250</v>
      </c>
      <c r="L703" s="81">
        <v>1</v>
      </c>
      <c r="M703" s="85">
        <v>1958</v>
      </c>
      <c r="N703" s="85">
        <f>IFERROR(表格1[[#This Row],[QTY]]*表格1[[#This Row],[Unit Price]],"-")</f>
        <v>1958</v>
      </c>
      <c r="O703" s="134">
        <v>446040</v>
      </c>
      <c r="P703" s="137"/>
      <c r="Q703" s="81"/>
      <c r="R703" s="81" t="str">
        <f>_xlfn.CONCAT(表格1[[#This Row],[Model]]," ",表格1[[#This Row],[inv no]])</f>
        <v>RAD-D200H 446040</v>
      </c>
      <c r="S703" s="135">
        <f>_xlfn.XLOOKUP(表格1[[#This Row],[Model]],表格3[Model-Input-Ref2],表格3[SRP PRICE])</f>
        <v>2880</v>
      </c>
      <c r="T703" s="43">
        <f>表格1[[#This Row],[Unit Price]]/表格1[[#This Row],[SRP]]</f>
        <v>0.67986111111111114</v>
      </c>
      <c r="U703" s="86" t="str">
        <f>_xlfn.XLOOKUP(表格1[[#This Row],[Model]],表格3[Model-Input-Ref2],表格3[TOSHIBA/HIGHEST])</f>
        <v>Shops Highest Price</v>
      </c>
      <c r="V703" s="86" t="s">
        <v>1126</v>
      </c>
      <c r="W703" s="86" t="str">
        <f>_xlfn.CONCAT(表格1[[#This Row],[欄4]],表格1[[#This Row],[inv no]])</f>
        <v>DA141446040</v>
      </c>
    </row>
    <row r="704" spans="1:23" hidden="1">
      <c r="A704" s="81">
        <v>702</v>
      </c>
      <c r="B704" s="81" t="s">
        <v>1260</v>
      </c>
      <c r="C704" s="81" t="s">
        <v>1291</v>
      </c>
      <c r="D704" s="82" t="str">
        <f ca="1">OFFSET(Roster!$A$3,MATCH(表格1[[#This Row],[Location]]&amp;" "&amp;表格1[[#This Row],[Shop]]&amp;"*",Roster!$A$4:$A$72,0),DAY(表格1[[#This Row],[date]]),1,1)</f>
        <v>Wendy Wong_1</v>
      </c>
      <c r="E704" s="81">
        <f>MONTH(表格1[[#This Row],[date]])</f>
        <v>3</v>
      </c>
      <c r="F704" s="101">
        <v>46105</v>
      </c>
      <c r="G704" s="81" t="str">
        <f>VLOOKUP("*"&amp;表格1[[#This Row],[Input]]&amp;"*",'Ref-List'!$B:$D,2,)</f>
        <v>KT-17SHNH</v>
      </c>
      <c r="H704" s="81" t="str">
        <f>_xlfn.XLOOKUP(表格1[[#This Row],[Model]],表格3[Model-Input-Ref2],表格3[Product Line])</f>
        <v>1.7L無線雙層電熱水壺</v>
      </c>
      <c r="I704" s="81" t="str">
        <f>_xlfn.XLOOKUP(表格1[[#This Row],[Model]],表格3[Model-Input-Ref2],表格3[大小電])</f>
        <v>細電</v>
      </c>
      <c r="J704" s="81" t="str">
        <f>_xlfn.XLOOKUP(表格1[[#This Row],[Model]],表格3[Model-Input-Ref2],表格3[Code])</f>
        <v>SDA</v>
      </c>
      <c r="K704" s="82" t="s">
        <v>1283</v>
      </c>
      <c r="L704" s="81">
        <v>1</v>
      </c>
      <c r="M704" s="85">
        <v>228</v>
      </c>
      <c r="N704" s="85">
        <f>IFERROR(表格1[[#This Row],[QTY]]*表格1[[#This Row],[Unit Price]],"-")</f>
        <v>228</v>
      </c>
      <c r="O704" s="134">
        <v>156184</v>
      </c>
      <c r="P704" s="81"/>
      <c r="Q704" s="81"/>
      <c r="R704" s="81" t="str">
        <f>_xlfn.CONCAT(表格1[[#This Row],[Model]]," ",表格1[[#This Row],[inv no]])</f>
        <v>KT-17SHNH 156184</v>
      </c>
      <c r="S704" s="135">
        <f>_xlfn.XLOOKUP(表格1[[#This Row],[Model]],表格3[Model-Input-Ref2],表格3[SRP PRICE])</f>
        <v>299</v>
      </c>
      <c r="T704" s="43">
        <f>表格1[[#This Row],[Unit Price]]/表格1[[#This Row],[SRP]]</f>
        <v>0.76254180602006694</v>
      </c>
      <c r="U704" s="86" t="str">
        <f>_xlfn.XLOOKUP(表格1[[#This Row],[Model]],表格3[Model-Input-Ref2],表格3[TOSHIBA/HIGHEST])</f>
        <v>Shops Highest Price</v>
      </c>
      <c r="V704" s="86" t="s">
        <v>1126</v>
      </c>
      <c r="W704" s="86" t="str">
        <f>_xlfn.CONCAT(表格1[[#This Row],[欄4]],表格1[[#This Row],[inv no]])</f>
        <v>DA141156184</v>
      </c>
    </row>
    <row r="705" spans="1:23" hidden="1">
      <c r="A705" s="81">
        <v>703</v>
      </c>
      <c r="B705" s="81" t="s">
        <v>1403</v>
      </c>
      <c r="C705" s="81" t="s">
        <v>1406</v>
      </c>
      <c r="D705" s="82" t="str">
        <f ca="1">OFFSET(Roster!$A$3,MATCH(表格1[[#This Row],[Location]]&amp;" "&amp;表格1[[#This Row],[Shop]]&amp;"*",Roster!$A$4:$A$72,0),DAY(表格1[[#This Row],[date]]),1,1)</f>
        <v>Fong_1</v>
      </c>
      <c r="E705" s="81">
        <f>MONTH(表格1[[#This Row],[date]])</f>
        <v>3</v>
      </c>
      <c r="F705" s="101">
        <v>46082</v>
      </c>
      <c r="G705" s="81" t="str">
        <f>VLOOKUP("*"&amp;表格1[[#This Row],[Input]]&amp;"*",'Ref-List'!$B:$D,2,)</f>
        <v>RC-18NMFIH(WT)</v>
      </c>
      <c r="H705" s="81" t="str">
        <f>_xlfn.XLOOKUP(表格1[[#This Row],[Model]],表格3[Model-Input-Ref2],表格3[Product Line])</f>
        <v>4毫米厚釜電飯煲1.8L</v>
      </c>
      <c r="I705" s="81" t="str">
        <f>_xlfn.XLOOKUP(表格1[[#This Row],[Model]],表格3[Model-Input-Ref2],表格3[大小電])</f>
        <v>細電</v>
      </c>
      <c r="J705" s="81" t="str">
        <f>_xlfn.XLOOKUP(表格1[[#This Row],[Model]],表格3[Model-Input-Ref2],表格3[Code])</f>
        <v>SDA</v>
      </c>
      <c r="K705" s="82" t="s">
        <v>1267</v>
      </c>
      <c r="L705" s="81">
        <v>1</v>
      </c>
      <c r="M705" s="85">
        <v>798</v>
      </c>
      <c r="N705" s="85">
        <f>IFERROR(表格1[[#This Row],[QTY]]*表格1[[#This Row],[Unit Price]],"-")</f>
        <v>798</v>
      </c>
      <c r="O705" s="134">
        <v>1777</v>
      </c>
      <c r="P705" s="81"/>
      <c r="Q705" s="81"/>
      <c r="R705" s="81" t="str">
        <f>_xlfn.CONCAT(表格1[[#This Row],[Model]]," ",表格1[[#This Row],[inv no]])</f>
        <v>RC-18NMFIH(WT) 1777</v>
      </c>
      <c r="S705" s="135">
        <f>_xlfn.XLOOKUP(表格1[[#This Row],[Model]],表格3[Model-Input-Ref2],表格3[SRP PRICE])</f>
        <v>998</v>
      </c>
      <c r="T705" s="43">
        <f>表格1[[#This Row],[Unit Price]]/表格1[[#This Row],[SRP]]</f>
        <v>0.79959919839679361</v>
      </c>
      <c r="U705" s="86" t="str">
        <f>_xlfn.XLOOKUP(表格1[[#This Row],[Model]],表格3[Model-Input-Ref2],表格3[TOSHIBA/HIGHEST])</f>
        <v>Toshiba SRP</v>
      </c>
      <c r="V705" s="86" t="s">
        <v>1126</v>
      </c>
      <c r="W705" s="86" t="str">
        <f>_xlfn.CONCAT(表格1[[#This Row],[欄4]],表格1[[#This Row],[inv no]])</f>
        <v>DA1411777</v>
      </c>
    </row>
    <row r="706" spans="1:23" hidden="1">
      <c r="A706" s="81">
        <v>704</v>
      </c>
      <c r="B706" s="81" t="s">
        <v>1403</v>
      </c>
      <c r="C706" s="81" t="s">
        <v>1406</v>
      </c>
      <c r="D706" s="82" t="str">
        <f ca="1">OFFSET(Roster!$A$3,MATCH(表格1[[#This Row],[Location]]&amp;" "&amp;表格1[[#This Row],[Shop]]&amp;"*",Roster!$A$4:$A$72,0),DAY(表格1[[#This Row],[date]]),1,1)</f>
        <v>Fong_1</v>
      </c>
      <c r="E706" s="81">
        <f>MONTH(表格1[[#This Row],[date]])</f>
        <v>3</v>
      </c>
      <c r="F706" s="101">
        <v>46082</v>
      </c>
      <c r="G706" s="81" t="str">
        <f>VLOOKUP("*"&amp;表格1[[#This Row],[Input]]&amp;"*",'Ref-List'!$B:$D,2,)</f>
        <v>RAD-D250H</v>
      </c>
      <c r="H706" s="81" t="str">
        <f>_xlfn.XLOOKUP(表格1[[#This Row],[Model]],表格3[Model-Input-Ref2],表格3[Product Line])</f>
        <v>壓縮式抽濕機 (25公升)</v>
      </c>
      <c r="I706" s="81" t="str">
        <f>_xlfn.XLOOKUP(表格1[[#This Row],[Model]],表格3[Model-Input-Ref2],表格3[大小電])</f>
        <v>細電</v>
      </c>
      <c r="J706" s="81" t="str">
        <f>_xlfn.XLOOKUP(表格1[[#This Row],[Model]],表格3[Model-Input-Ref2],表格3[Code])</f>
        <v>RAC</v>
      </c>
      <c r="K706" s="82" t="s">
        <v>1407</v>
      </c>
      <c r="L706" s="81">
        <v>1</v>
      </c>
      <c r="M706" s="85">
        <v>2080</v>
      </c>
      <c r="N706" s="85">
        <f>IFERROR(表格1[[#This Row],[QTY]]*表格1[[#This Row],[Unit Price]],"-")</f>
        <v>2080</v>
      </c>
      <c r="O706" s="134">
        <v>1779</v>
      </c>
      <c r="P706" s="81"/>
      <c r="Q706" s="81"/>
      <c r="R706" s="81" t="str">
        <f>_xlfn.CONCAT(表格1[[#This Row],[Model]]," ",表格1[[#This Row],[inv no]])</f>
        <v>RAD-D250H 1779</v>
      </c>
      <c r="S706" s="135">
        <f>_xlfn.XLOOKUP(表格1[[#This Row],[Model]],表格3[Model-Input-Ref2],表格3[SRP PRICE])</f>
        <v>3380</v>
      </c>
      <c r="T706" s="43">
        <f>表格1[[#This Row],[Unit Price]]/表格1[[#This Row],[SRP]]</f>
        <v>0.61538461538461542</v>
      </c>
      <c r="U706" s="86" t="str">
        <f>_xlfn.XLOOKUP(表格1[[#This Row],[Model]],表格3[Model-Input-Ref2],表格3[TOSHIBA/HIGHEST])</f>
        <v>Shops Highest Price</v>
      </c>
      <c r="V706" s="86" t="s">
        <v>1126</v>
      </c>
      <c r="W706" s="86" t="str">
        <f>_xlfn.CONCAT(表格1[[#This Row],[欄4]],表格1[[#This Row],[inv no]])</f>
        <v>DA1411779</v>
      </c>
    </row>
    <row r="707" spans="1:23" hidden="1">
      <c r="A707" s="81">
        <v>705</v>
      </c>
      <c r="B707" s="81" t="s">
        <v>1403</v>
      </c>
      <c r="C707" s="81" t="s">
        <v>1406</v>
      </c>
      <c r="D707" s="82" t="str">
        <f ca="1">OFFSET(Roster!$A$3,MATCH(表格1[[#This Row],[Location]]&amp;" "&amp;表格1[[#This Row],[Shop]]&amp;"*",Roster!$A$4:$A$72,0),DAY(表格1[[#This Row],[date]]),1,1)</f>
        <v>Fong_1</v>
      </c>
      <c r="E707" s="81">
        <f>MONTH(表格1[[#This Row],[date]])</f>
        <v>3</v>
      </c>
      <c r="F707" s="101">
        <v>46088</v>
      </c>
      <c r="G707" s="81" t="str">
        <f>VLOOKUP("*"&amp;表格1[[#This Row],[Input]]&amp;"*",'Ref-List'!$B:$D,2,)</f>
        <v>MX2-TT20SC(WH)</v>
      </c>
      <c r="H707" s="81" t="str">
        <f>_xlfn.XLOOKUP(表格1[[#This Row],[Model]],表格3[Model-Input-Ref2],表格3[Product Line])</f>
        <v>3合1 微波蒸焗爐 (20公升)</v>
      </c>
      <c r="I707" s="81" t="str">
        <f>_xlfn.XLOOKUP(表格1[[#This Row],[Model]],表格3[Model-Input-Ref2],表格3[大小電])</f>
        <v>細電</v>
      </c>
      <c r="J707" s="81" t="str">
        <f>_xlfn.XLOOKUP(表格1[[#This Row],[Model]],表格3[Model-Input-Ref2],表格3[Code])</f>
        <v>MCA</v>
      </c>
      <c r="K707" s="82" t="s">
        <v>1287</v>
      </c>
      <c r="L707" s="81">
        <v>1</v>
      </c>
      <c r="M707" s="85">
        <v>2480</v>
      </c>
      <c r="N707" s="85">
        <f>IFERROR(表格1[[#This Row],[QTY]]*表格1[[#This Row],[Unit Price]],"-")</f>
        <v>2480</v>
      </c>
      <c r="O707" s="134">
        <v>24942</v>
      </c>
      <c r="P707" s="81"/>
      <c r="Q707" s="81"/>
      <c r="R707" s="81" t="str">
        <f>_xlfn.CONCAT(表格1[[#This Row],[Model]]," ",表格1[[#This Row],[inv no]])</f>
        <v>MX2-TT20SC(WH) 24942</v>
      </c>
      <c r="S707" s="135">
        <f>_xlfn.XLOOKUP(表格1[[#This Row],[Model]],表格3[Model-Input-Ref2],表格3[SRP PRICE])</f>
        <v>3580</v>
      </c>
      <c r="T707" s="43">
        <f>表格1[[#This Row],[Unit Price]]/表格1[[#This Row],[SRP]]</f>
        <v>0.69273743016759781</v>
      </c>
      <c r="U707" s="86" t="str">
        <f>_xlfn.XLOOKUP(表格1[[#This Row],[Model]],表格3[Model-Input-Ref2],表格3[TOSHIBA/HIGHEST])</f>
        <v>Toshiba SRP</v>
      </c>
      <c r="V707" s="86" t="s">
        <v>1126</v>
      </c>
      <c r="W707" s="86" t="str">
        <f>_xlfn.CONCAT(表格1[[#This Row],[欄4]],表格1[[#This Row],[inv no]])</f>
        <v>DA14124942</v>
      </c>
    </row>
    <row r="708" spans="1:23" hidden="1">
      <c r="A708" s="81">
        <v>706</v>
      </c>
      <c r="B708" s="81" t="s">
        <v>1403</v>
      </c>
      <c r="C708" s="81" t="s">
        <v>1406</v>
      </c>
      <c r="D708" s="82" t="str">
        <f ca="1">OFFSET(Roster!$A$3,MATCH(表格1[[#This Row],[Location]]&amp;" "&amp;表格1[[#This Row],[Shop]]&amp;"*",Roster!$A$4:$A$72,0),DAY(表格1[[#This Row],[date]]),1,1)</f>
        <v>Fong_1</v>
      </c>
      <c r="E708" s="81">
        <f>MONTH(表格1[[#This Row],[date]])</f>
        <v>3</v>
      </c>
      <c r="F708" s="101">
        <v>46088</v>
      </c>
      <c r="G708" s="81" t="str">
        <f>VLOOKUP("*"&amp;表格1[[#This Row],[Input]]&amp;"*",'Ref-List'!$B:$D,2,)</f>
        <v>IC-S19RH</v>
      </c>
      <c r="H708" s="81" t="str">
        <f>_xlfn.XLOOKUP(表格1[[#This Row],[Model]],表格3[Model-Input-Ref2],表格3[Product Line])</f>
        <v>輕便式電磁爐7個功能</v>
      </c>
      <c r="I708" s="81" t="str">
        <f>_xlfn.XLOOKUP(表格1[[#This Row],[Model]],表格3[Model-Input-Ref2],表格3[大小電])</f>
        <v>細電</v>
      </c>
      <c r="J708" s="81" t="str">
        <f>_xlfn.XLOOKUP(表格1[[#This Row],[Model]],表格3[Model-Input-Ref2],表格3[Code])</f>
        <v>SDA</v>
      </c>
      <c r="K708" s="82" t="s">
        <v>1289</v>
      </c>
      <c r="L708" s="81">
        <v>1</v>
      </c>
      <c r="M708" s="85">
        <v>493</v>
      </c>
      <c r="N708" s="85">
        <f>IFERROR(表格1[[#This Row],[QTY]]*表格1[[#This Row],[Unit Price]],"-")</f>
        <v>493</v>
      </c>
      <c r="O708" s="134">
        <v>2481</v>
      </c>
      <c r="P708" s="81"/>
      <c r="Q708" s="81"/>
      <c r="R708" s="81" t="str">
        <f>_xlfn.CONCAT(表格1[[#This Row],[Model]]," ",表格1[[#This Row],[inv no]])</f>
        <v>IC-S19RH 2481</v>
      </c>
      <c r="S708" s="135">
        <f>_xlfn.XLOOKUP(表格1[[#This Row],[Model]],表格3[Model-Input-Ref2],表格3[SRP PRICE])</f>
        <v>638</v>
      </c>
      <c r="T708" s="43">
        <f>表格1[[#This Row],[Unit Price]]/表格1[[#This Row],[SRP]]</f>
        <v>0.77272727272727271</v>
      </c>
      <c r="U708" s="86" t="str">
        <f>_xlfn.XLOOKUP(表格1[[#This Row],[Model]],表格3[Model-Input-Ref2],表格3[TOSHIBA/HIGHEST])</f>
        <v>Toshiba SRP</v>
      </c>
      <c r="V708" s="86" t="s">
        <v>1126</v>
      </c>
      <c r="W708" s="86" t="str">
        <f>_xlfn.CONCAT(表格1[[#This Row],[欄4]],表格1[[#This Row],[inv no]])</f>
        <v>DA1412481</v>
      </c>
    </row>
    <row r="709" spans="1:23" hidden="1">
      <c r="A709" s="81">
        <v>707</v>
      </c>
      <c r="B709" s="81" t="s">
        <v>1403</v>
      </c>
      <c r="C709" s="81" t="s">
        <v>1406</v>
      </c>
      <c r="D709" s="82" t="str">
        <f ca="1">OFFSET(Roster!$A$3,MATCH(表格1[[#This Row],[Location]]&amp;" "&amp;表格1[[#This Row],[Shop]]&amp;"*",Roster!$A$4:$A$72,0),DAY(表格1[[#This Row],[date]]),1,1)</f>
        <v>Fong_1</v>
      </c>
      <c r="E709" s="81">
        <f>MONTH(表格1[[#This Row],[date]])</f>
        <v>3</v>
      </c>
      <c r="F709" s="101">
        <v>46088</v>
      </c>
      <c r="G709" s="81" t="str">
        <f>VLOOKUP("*"&amp;表格1[[#This Row],[Input]]&amp;"*",'Ref-List'!$B:$D,2,)</f>
        <v>MM2-EM20PC(WH)</v>
      </c>
      <c r="H709" s="81" t="str">
        <f>_xlfn.XLOOKUP(表格1[[#This Row],[Model]],表格3[Model-Input-Ref2],表格3[Product Line])</f>
        <v>輕觸式微波爐 (20公升)</v>
      </c>
      <c r="I709" s="81" t="str">
        <f>_xlfn.XLOOKUP(表格1[[#This Row],[Model]],表格3[Model-Input-Ref2],表格3[大小電])</f>
        <v>細電</v>
      </c>
      <c r="J709" s="81" t="str">
        <f>_xlfn.XLOOKUP(表格1[[#This Row],[Model]],表格3[Model-Input-Ref2],表格3[Code])</f>
        <v>MCA</v>
      </c>
      <c r="K709" s="82" t="s">
        <v>1276</v>
      </c>
      <c r="L709" s="81">
        <v>1</v>
      </c>
      <c r="M709" s="85">
        <v>598</v>
      </c>
      <c r="N709" s="85">
        <f>IFERROR(表格1[[#This Row],[QTY]]*表格1[[#This Row],[Unit Price]],"-")</f>
        <v>598</v>
      </c>
      <c r="O709" s="134">
        <v>84237</v>
      </c>
      <c r="P709" s="81"/>
      <c r="Q709" s="81"/>
      <c r="R709" s="81" t="str">
        <f>_xlfn.CONCAT(表格1[[#This Row],[Model]]," ",表格1[[#This Row],[inv no]])</f>
        <v>MM2-EM20PC(WH) 84237</v>
      </c>
      <c r="S709" s="135">
        <f>_xlfn.XLOOKUP(表格1[[#This Row],[Model]],表格3[Model-Input-Ref2],表格3[SRP PRICE])</f>
        <v>788</v>
      </c>
      <c r="T709" s="43">
        <f>表格1[[#This Row],[Unit Price]]/表格1[[#This Row],[SRP]]</f>
        <v>0.75888324873096447</v>
      </c>
      <c r="U709" s="86" t="str">
        <f>_xlfn.XLOOKUP(表格1[[#This Row],[Model]],表格3[Model-Input-Ref2],表格3[TOSHIBA/HIGHEST])</f>
        <v>Toshiba SRP</v>
      </c>
      <c r="V709" s="86" t="s">
        <v>1126</v>
      </c>
      <c r="W709" s="86" t="str">
        <f>_xlfn.CONCAT(表格1[[#This Row],[欄4]],表格1[[#This Row],[inv no]])</f>
        <v>DA14184237</v>
      </c>
    </row>
    <row r="710" spans="1:23" hidden="1">
      <c r="A710" s="81">
        <v>708</v>
      </c>
      <c r="B710" s="81" t="s">
        <v>1403</v>
      </c>
      <c r="C710" s="81" t="s">
        <v>1406</v>
      </c>
      <c r="D710" s="82" t="str">
        <f ca="1">OFFSET(Roster!$A$3,MATCH(表格1[[#This Row],[Location]]&amp;" "&amp;表格1[[#This Row],[Shop]]&amp;"*",Roster!$A$4:$A$72,0),DAY(表格1[[#This Row],[date]]),1,1)</f>
        <v>Fong_1</v>
      </c>
      <c r="E710" s="81">
        <f>MONTH(表格1[[#This Row],[date]])</f>
        <v>3</v>
      </c>
      <c r="F710" s="101">
        <v>46089</v>
      </c>
      <c r="G710" s="81" t="str">
        <f>VLOOKUP("*"&amp;表格1[[#This Row],[Input]]&amp;"*",'Ref-List'!$B:$D,2,)</f>
        <v>CWF-07CRFN8-AD5</v>
      </c>
      <c r="H710" s="81" t="str">
        <f>_xlfn.XLOOKUP(表格1[[#This Row],[Model]],表格3[Model-Input-Ref2],表格3[Product Line])</f>
        <v>Comfee 3/4匹變頻窗口式冷氣機</v>
      </c>
      <c r="I710" s="81" t="str">
        <f>_xlfn.XLOOKUP(表格1[[#This Row],[Model]],表格3[Model-Input-Ref2],表格3[大小電])</f>
        <v>大電</v>
      </c>
      <c r="J710" s="81" t="str">
        <f>_xlfn.XLOOKUP(表格1[[#This Row],[Model]],表格3[Model-Input-Ref2],表格3[Code])</f>
        <v>RAC</v>
      </c>
      <c r="K710" s="82" t="s">
        <v>1409</v>
      </c>
      <c r="L710" s="81">
        <v>1</v>
      </c>
      <c r="M710" s="85">
        <v>2990</v>
      </c>
      <c r="N710" s="85">
        <f>IFERROR(表格1[[#This Row],[QTY]]*表格1[[#This Row],[Unit Price]],"-")</f>
        <v>2990</v>
      </c>
      <c r="O710" s="134">
        <v>249463</v>
      </c>
      <c r="P710" s="81"/>
      <c r="Q710" s="81"/>
      <c r="R710" s="81" t="str">
        <f>_xlfn.CONCAT(表格1[[#This Row],[Model]]," ",表格1[[#This Row],[inv no]])</f>
        <v>CWF-07CRFN8-AD5 249463</v>
      </c>
      <c r="S710" s="135">
        <f>_xlfn.XLOOKUP(表格1[[#This Row],[Model]],表格3[Model-Input-Ref2],表格3[SRP PRICE])</f>
        <v>3800</v>
      </c>
      <c r="T710" s="43">
        <f>表格1[[#This Row],[Unit Price]]/表格1[[#This Row],[SRP]]</f>
        <v>0.7868421052631579</v>
      </c>
      <c r="U710" s="86" t="str">
        <f>_xlfn.XLOOKUP(表格1[[#This Row],[Model]],表格3[Model-Input-Ref2],表格3[TOSHIBA/HIGHEST])</f>
        <v>Shops Highest Price</v>
      </c>
      <c r="V710" s="86" t="s">
        <v>1126</v>
      </c>
      <c r="W710" s="86" t="str">
        <f>_xlfn.CONCAT(表格1[[#This Row],[欄4]],表格1[[#This Row],[inv no]])</f>
        <v>DA141249463</v>
      </c>
    </row>
    <row r="711" spans="1:23" hidden="1">
      <c r="A711" s="81">
        <v>709</v>
      </c>
      <c r="B711" s="81" t="s">
        <v>1403</v>
      </c>
      <c r="C711" s="81" t="s">
        <v>1406</v>
      </c>
      <c r="D711" s="82" t="str">
        <f ca="1">OFFSET(Roster!$A$3,MATCH(表格1[[#This Row],[Location]]&amp;" "&amp;表格1[[#This Row],[Shop]]&amp;"*",Roster!$A$4:$A$72,0),DAY(表格1[[#This Row],[date]]),1,1)</f>
        <v>Fong_1</v>
      </c>
      <c r="E711" s="81">
        <f>MONTH(表格1[[#This Row],[date]])</f>
        <v>3</v>
      </c>
      <c r="F711" s="101">
        <v>46089</v>
      </c>
      <c r="G711" s="81" t="str">
        <f>VLOOKUP("*"&amp;表格1[[#This Row],[Input]]&amp;"*",'Ref-List'!$B:$D,2,)</f>
        <v>MX2-TT20SC(WH)</v>
      </c>
      <c r="H711" s="81" t="str">
        <f>_xlfn.XLOOKUP(表格1[[#This Row],[Model]],表格3[Model-Input-Ref2],表格3[Product Line])</f>
        <v>3合1 微波蒸焗爐 (20公升)</v>
      </c>
      <c r="I711" s="81" t="str">
        <f>_xlfn.XLOOKUP(表格1[[#This Row],[Model]],表格3[Model-Input-Ref2],表格3[大小電])</f>
        <v>細電</v>
      </c>
      <c r="J711" s="81" t="str">
        <f>_xlfn.XLOOKUP(表格1[[#This Row],[Model]],表格3[Model-Input-Ref2],表格3[Code])</f>
        <v>MCA</v>
      </c>
      <c r="K711" s="82" t="s">
        <v>1287</v>
      </c>
      <c r="L711" s="81">
        <v>1</v>
      </c>
      <c r="M711" s="85">
        <v>2480</v>
      </c>
      <c r="N711" s="85">
        <f>IFERROR(表格1[[#This Row],[QTY]]*表格1[[#This Row],[Unit Price]],"-")</f>
        <v>2480</v>
      </c>
      <c r="O711" s="134">
        <v>249469</v>
      </c>
      <c r="P711" s="81"/>
      <c r="Q711" s="81"/>
      <c r="R711" s="81" t="str">
        <f>_xlfn.CONCAT(表格1[[#This Row],[Model]]," ",表格1[[#This Row],[inv no]])</f>
        <v>MX2-TT20SC(WH) 249469</v>
      </c>
      <c r="S711" s="135">
        <f>_xlfn.XLOOKUP(表格1[[#This Row],[Model]],表格3[Model-Input-Ref2],表格3[SRP PRICE])</f>
        <v>3580</v>
      </c>
      <c r="T711" s="43">
        <f>表格1[[#This Row],[Unit Price]]/表格1[[#This Row],[SRP]]</f>
        <v>0.69273743016759781</v>
      </c>
      <c r="U711" s="86" t="str">
        <f>_xlfn.XLOOKUP(表格1[[#This Row],[Model]],表格3[Model-Input-Ref2],表格3[TOSHIBA/HIGHEST])</f>
        <v>Toshiba SRP</v>
      </c>
      <c r="V711" s="86" t="s">
        <v>1126</v>
      </c>
      <c r="W711" s="86" t="str">
        <f>_xlfn.CONCAT(表格1[[#This Row],[欄4]],表格1[[#This Row],[inv no]])</f>
        <v>DA141249469</v>
      </c>
    </row>
    <row r="712" spans="1:23" hidden="1">
      <c r="A712" s="81">
        <v>710</v>
      </c>
      <c r="B712" s="81" t="s">
        <v>1403</v>
      </c>
      <c r="C712" s="81" t="s">
        <v>1406</v>
      </c>
      <c r="D712" s="82" t="str">
        <f ca="1">OFFSET(Roster!$A$3,MATCH(表格1[[#This Row],[Location]]&amp;" "&amp;表格1[[#This Row],[Shop]]&amp;"*",Roster!$A$4:$A$72,0),DAY(表格1[[#This Row],[date]]),1,1)</f>
        <v>Fong_1</v>
      </c>
      <c r="E712" s="81">
        <f>MONTH(表格1[[#This Row],[date]])</f>
        <v>3</v>
      </c>
      <c r="F712" s="101">
        <v>46089</v>
      </c>
      <c r="G712" s="81" t="str">
        <f>VLOOKUP("*"&amp;表格1[[#This Row],[Input]]&amp;"*",'Ref-List'!$B:$D,2,)</f>
        <v>MM2-EG20PC(WH)</v>
      </c>
      <c r="H712" s="81" t="str">
        <f>_xlfn.XLOOKUP(表格1[[#This Row],[Model]],表格3[Model-Input-Ref2],表格3[Product Line])</f>
        <v>輕觸式燒烤微波爐</v>
      </c>
      <c r="I712" s="81" t="str">
        <f>_xlfn.XLOOKUP(表格1[[#This Row],[Model]],表格3[Model-Input-Ref2],表格3[大小電])</f>
        <v>細電</v>
      </c>
      <c r="J712" s="81" t="str">
        <f>_xlfn.XLOOKUP(表格1[[#This Row],[Model]],表格3[Model-Input-Ref2],表格3[Code])</f>
        <v>MCA</v>
      </c>
      <c r="K712" s="82" t="s">
        <v>1273</v>
      </c>
      <c r="L712" s="81">
        <v>1</v>
      </c>
      <c r="M712" s="85">
        <v>698</v>
      </c>
      <c r="N712" s="85">
        <f>IFERROR(表格1[[#This Row],[QTY]]*表格1[[#This Row],[Unit Price]],"-")</f>
        <v>698</v>
      </c>
      <c r="O712" s="134">
        <v>2434</v>
      </c>
      <c r="P712" s="81"/>
      <c r="Q712" s="81"/>
      <c r="R712" s="81" t="str">
        <f>_xlfn.CONCAT(表格1[[#This Row],[Model]]," ",表格1[[#This Row],[inv no]])</f>
        <v>MM2-EG20PC(WH) 2434</v>
      </c>
      <c r="S712" s="135">
        <f>_xlfn.XLOOKUP(表格1[[#This Row],[Model]],表格3[Model-Input-Ref2],表格3[SRP PRICE])</f>
        <v>918</v>
      </c>
      <c r="T712" s="43">
        <f>表格1[[#This Row],[Unit Price]]/表格1[[#This Row],[SRP]]</f>
        <v>0.76034858387799564</v>
      </c>
      <c r="U712" s="86" t="str">
        <f>_xlfn.XLOOKUP(表格1[[#This Row],[Model]],表格3[Model-Input-Ref2],表格3[TOSHIBA/HIGHEST])</f>
        <v>Shops Highest Price</v>
      </c>
      <c r="V712" s="86" t="s">
        <v>1126</v>
      </c>
      <c r="W712" s="86" t="str">
        <f>_xlfn.CONCAT(表格1[[#This Row],[欄4]],表格1[[#This Row],[inv no]])</f>
        <v>DA1412434</v>
      </c>
    </row>
    <row r="713" spans="1:23" hidden="1">
      <c r="A713" s="81">
        <v>711</v>
      </c>
      <c r="B713" s="81" t="s">
        <v>1403</v>
      </c>
      <c r="C713" s="81" t="s">
        <v>1406</v>
      </c>
      <c r="D713" s="82" t="str">
        <f ca="1">OFFSET(Roster!$A$3,MATCH(表格1[[#This Row],[Location]]&amp;" "&amp;表格1[[#This Row],[Shop]]&amp;"*",Roster!$A$4:$A$72,0),DAY(表格1[[#This Row],[date]]),1,1)</f>
        <v>Fong_1</v>
      </c>
      <c r="E713" s="81">
        <f>MONTH(表格1[[#This Row],[date]])</f>
        <v>3</v>
      </c>
      <c r="F713" s="101">
        <v>46095</v>
      </c>
      <c r="G713" s="81" t="str">
        <f>VLOOKUP("*"&amp;表格1[[#This Row],[Input]]&amp;"*",'Ref-List'!$B:$D,2,)</f>
        <v>MX2-STR25SC(WH)</v>
      </c>
      <c r="H713" s="81" t="str">
        <f>_xlfn.XLOOKUP(表格1[[#This Row],[Model]],表格3[Model-Input-Ref2],表格3[Product Line])</f>
        <v>4合1氣炸微波蒸焗爐(25公升)</v>
      </c>
      <c r="I713" s="81" t="str">
        <f>_xlfn.XLOOKUP(表格1[[#This Row],[Model]],表格3[Model-Input-Ref2],表格3[大小電])</f>
        <v>細電</v>
      </c>
      <c r="J713" s="81" t="str">
        <f>_xlfn.XLOOKUP(表格1[[#This Row],[Model]],表格3[Model-Input-Ref2],表格3[Code])</f>
        <v>MCA</v>
      </c>
      <c r="K713" s="82" t="s">
        <v>1410</v>
      </c>
      <c r="L713" s="81">
        <v>1</v>
      </c>
      <c r="M713" s="85">
        <v>3478</v>
      </c>
      <c r="N713" s="85">
        <f>IFERROR(表格1[[#This Row],[QTY]]*表格1[[#This Row],[Unit Price]],"-")</f>
        <v>3478</v>
      </c>
      <c r="O713" s="134">
        <v>249644</v>
      </c>
      <c r="P713" s="81"/>
      <c r="Q713" s="81"/>
      <c r="R713" s="81" t="str">
        <f>_xlfn.CONCAT(表格1[[#This Row],[Model]]," ",表格1[[#This Row],[inv no]])</f>
        <v>MX2-STR25SC(WH) 249644</v>
      </c>
      <c r="S713" s="135">
        <f>_xlfn.XLOOKUP(表格1[[#This Row],[Model]],表格3[Model-Input-Ref2],表格3[SRP PRICE])</f>
        <v>4998</v>
      </c>
      <c r="T713" s="43">
        <f>表格1[[#This Row],[Unit Price]]/表格1[[#This Row],[SRP]]</f>
        <v>0.69587835134053622</v>
      </c>
      <c r="U713" s="86" t="str">
        <f>_xlfn.XLOOKUP(表格1[[#This Row],[Model]],表格3[Model-Input-Ref2],表格3[TOSHIBA/HIGHEST])</f>
        <v>Toshiba SRP</v>
      </c>
      <c r="V713" s="86" t="s">
        <v>1126</v>
      </c>
      <c r="W713" s="86" t="str">
        <f>_xlfn.CONCAT(表格1[[#This Row],[欄4]],表格1[[#This Row],[inv no]])</f>
        <v>DA141249644</v>
      </c>
    </row>
    <row r="714" spans="1:23" hidden="1">
      <c r="A714" s="81">
        <v>712</v>
      </c>
      <c r="B714" s="81" t="s">
        <v>1403</v>
      </c>
      <c r="C714" s="81" t="s">
        <v>1406</v>
      </c>
      <c r="D714" s="82" t="str">
        <f ca="1">OFFSET(Roster!$A$3,MATCH(表格1[[#This Row],[Location]]&amp;" "&amp;表格1[[#This Row],[Shop]]&amp;"*",Roster!$A$4:$A$72,0),DAY(表格1[[#This Row],[date]]),1,1)</f>
        <v>Fong_1</v>
      </c>
      <c r="E714" s="81">
        <f>MONTH(表格1[[#This Row],[date]])</f>
        <v>3</v>
      </c>
      <c r="F714" s="101">
        <v>46095</v>
      </c>
      <c r="G714" s="81" t="str">
        <f>VLOOKUP("*"&amp;表格1[[#This Row],[Input]]&amp;"*",'Ref-List'!$B:$D,2,)</f>
        <v>RAD-D250H</v>
      </c>
      <c r="H714" s="81" t="str">
        <f>_xlfn.XLOOKUP(表格1[[#This Row],[Model]],表格3[Model-Input-Ref2],表格3[Product Line])</f>
        <v>壓縮式抽濕機 (25公升)</v>
      </c>
      <c r="I714" s="81" t="str">
        <f>_xlfn.XLOOKUP(表格1[[#This Row],[Model]],表格3[Model-Input-Ref2],表格3[大小電])</f>
        <v>細電</v>
      </c>
      <c r="J714" s="81" t="str">
        <f>_xlfn.XLOOKUP(表格1[[#This Row],[Model]],表格3[Model-Input-Ref2],表格3[Code])</f>
        <v>RAC</v>
      </c>
      <c r="K714" s="82" t="s">
        <v>1407</v>
      </c>
      <c r="L714" s="81">
        <v>1</v>
      </c>
      <c r="M714" s="85">
        <v>2080</v>
      </c>
      <c r="N714" s="85">
        <f>IFERROR(表格1[[#This Row],[QTY]]*表格1[[#This Row],[Unit Price]],"-")</f>
        <v>2080</v>
      </c>
      <c r="O714" s="134">
        <v>2163</v>
      </c>
      <c r="P714" s="81"/>
      <c r="Q714" s="81"/>
      <c r="R714" s="81" t="str">
        <f>_xlfn.CONCAT(表格1[[#This Row],[Model]]," ",表格1[[#This Row],[inv no]])</f>
        <v>RAD-D250H 2163</v>
      </c>
      <c r="S714" s="135">
        <f>_xlfn.XLOOKUP(表格1[[#This Row],[Model]],表格3[Model-Input-Ref2],表格3[SRP PRICE])</f>
        <v>3380</v>
      </c>
      <c r="T714" s="43">
        <f>表格1[[#This Row],[Unit Price]]/表格1[[#This Row],[SRP]]</f>
        <v>0.61538461538461542</v>
      </c>
      <c r="U714" s="86" t="str">
        <f>_xlfn.XLOOKUP(表格1[[#This Row],[Model]],表格3[Model-Input-Ref2],表格3[TOSHIBA/HIGHEST])</f>
        <v>Shops Highest Price</v>
      </c>
      <c r="V714" s="86" t="s">
        <v>1126</v>
      </c>
      <c r="W714" s="86" t="str">
        <f>_xlfn.CONCAT(表格1[[#This Row],[欄4]],表格1[[#This Row],[inv no]])</f>
        <v>DA1412163</v>
      </c>
    </row>
    <row r="715" spans="1:23" hidden="1">
      <c r="A715" s="81">
        <v>713</v>
      </c>
      <c r="B715" s="81" t="s">
        <v>1403</v>
      </c>
      <c r="C715" s="81" t="s">
        <v>1406</v>
      </c>
      <c r="D715" s="82" t="str">
        <f ca="1">OFFSET(Roster!$A$3,MATCH(表格1[[#This Row],[Location]]&amp;" "&amp;表格1[[#This Row],[Shop]]&amp;"*",Roster!$A$4:$A$72,0),DAY(表格1[[#This Row],[date]]),1,1)</f>
        <v>Fong_1</v>
      </c>
      <c r="E715" s="81">
        <f>MONTH(表格1[[#This Row],[date]])</f>
        <v>3</v>
      </c>
      <c r="F715" s="101">
        <v>46095</v>
      </c>
      <c r="G715" s="81" t="str">
        <f>VLOOKUP("*"&amp;表格1[[#This Row],[Input]]&amp;"*",'Ref-List'!$B:$D,2,)</f>
        <v>MX2-STR25SC(WH)</v>
      </c>
      <c r="H715" s="81" t="str">
        <f>_xlfn.XLOOKUP(表格1[[#This Row],[Model]],表格3[Model-Input-Ref2],表格3[Product Line])</f>
        <v>4合1氣炸微波蒸焗爐(25公升)</v>
      </c>
      <c r="I715" s="81" t="str">
        <f>_xlfn.XLOOKUP(表格1[[#This Row],[Model]],表格3[Model-Input-Ref2],表格3[大小電])</f>
        <v>細電</v>
      </c>
      <c r="J715" s="81" t="str">
        <f>_xlfn.XLOOKUP(表格1[[#This Row],[Model]],表格3[Model-Input-Ref2],表格3[Code])</f>
        <v>MCA</v>
      </c>
      <c r="K715" s="82" t="s">
        <v>1410</v>
      </c>
      <c r="L715" s="81">
        <v>1</v>
      </c>
      <c r="M715" s="85">
        <v>3478</v>
      </c>
      <c r="N715" s="85">
        <f>IFERROR(表格1[[#This Row],[QTY]]*表格1[[#This Row],[Unit Price]],"-")</f>
        <v>3478</v>
      </c>
      <c r="O715" s="134">
        <v>750</v>
      </c>
      <c r="P715" s="81"/>
      <c r="Q715" s="81"/>
      <c r="R715" s="81" t="str">
        <f>_xlfn.CONCAT(表格1[[#This Row],[Model]]," ",表格1[[#This Row],[inv no]])</f>
        <v>MX2-STR25SC(WH) 750</v>
      </c>
      <c r="S715" s="135">
        <f>_xlfn.XLOOKUP(表格1[[#This Row],[Model]],表格3[Model-Input-Ref2],表格3[SRP PRICE])</f>
        <v>4998</v>
      </c>
      <c r="T715" s="43">
        <f>表格1[[#This Row],[Unit Price]]/表格1[[#This Row],[SRP]]</f>
        <v>0.69587835134053622</v>
      </c>
      <c r="U715" s="86" t="str">
        <f>_xlfn.XLOOKUP(表格1[[#This Row],[Model]],表格3[Model-Input-Ref2],表格3[TOSHIBA/HIGHEST])</f>
        <v>Toshiba SRP</v>
      </c>
      <c r="V715" s="86" t="s">
        <v>1126</v>
      </c>
      <c r="W715" s="86" t="str">
        <f>_xlfn.CONCAT(表格1[[#This Row],[欄4]],表格1[[#This Row],[inv no]])</f>
        <v>DA141750</v>
      </c>
    </row>
    <row r="716" spans="1:23" hidden="1">
      <c r="A716" s="81">
        <v>714</v>
      </c>
      <c r="B716" s="81" t="s">
        <v>1403</v>
      </c>
      <c r="C716" s="81" t="s">
        <v>1406</v>
      </c>
      <c r="D716" s="82" t="str">
        <f ca="1">OFFSET(Roster!$A$3,MATCH(表格1[[#This Row],[Location]]&amp;" "&amp;表格1[[#This Row],[Shop]]&amp;"*",Roster!$A$4:$A$72,0),DAY(表格1[[#This Row],[date]]),1,1)</f>
        <v>Fong_1</v>
      </c>
      <c r="E716" s="81">
        <f>MONTH(表格1[[#This Row],[date]])</f>
        <v>3</v>
      </c>
      <c r="F716" s="101">
        <v>46095</v>
      </c>
      <c r="G716" s="81" t="str">
        <f>VLOOKUP("*"&amp;表格1[[#This Row],[Input]]&amp;"*",'Ref-List'!$B:$D,2,)</f>
        <v>RC-10IRPH</v>
      </c>
      <c r="H716" s="81" t="str">
        <f>_xlfn.XLOOKUP(表格1[[#This Row],[Model]],表格3[Model-Input-Ref2],表格3[Product Line])</f>
        <v>低醣磁應電飯煲1L</v>
      </c>
      <c r="I716" s="81" t="str">
        <f>_xlfn.XLOOKUP(表格1[[#This Row],[Model]],表格3[Model-Input-Ref2],表格3[大小電])</f>
        <v>細電</v>
      </c>
      <c r="J716" s="81" t="str">
        <f>_xlfn.XLOOKUP(表格1[[#This Row],[Model]],表格3[Model-Input-Ref2],表格3[Code])</f>
        <v>SDA</v>
      </c>
      <c r="K716" s="82" t="s">
        <v>1297</v>
      </c>
      <c r="L716" s="81">
        <v>1</v>
      </c>
      <c r="M716" s="85">
        <v>950</v>
      </c>
      <c r="N716" s="85">
        <f>IFERROR(表格1[[#This Row],[QTY]]*表格1[[#This Row],[Unit Price]],"-")</f>
        <v>950</v>
      </c>
      <c r="O716" s="134">
        <v>2064</v>
      </c>
      <c r="P716" s="81"/>
      <c r="Q716" s="81"/>
      <c r="R716" s="81" t="str">
        <f>_xlfn.CONCAT(表格1[[#This Row],[Model]]," ",表格1[[#This Row],[inv no]])</f>
        <v>RC-10IRPH 2064</v>
      </c>
      <c r="S716" s="135">
        <f>_xlfn.XLOOKUP(表格1[[#This Row],[Model]],表格3[Model-Input-Ref2],表格3[SRP PRICE])</f>
        <v>1388</v>
      </c>
      <c r="T716" s="43">
        <f>表格1[[#This Row],[Unit Price]]/表格1[[#This Row],[SRP]]</f>
        <v>0.68443804034582134</v>
      </c>
      <c r="U716" s="86" t="str">
        <f>_xlfn.XLOOKUP(表格1[[#This Row],[Model]],表格3[Model-Input-Ref2],表格3[TOSHIBA/HIGHEST])</f>
        <v>Toshiba SRP</v>
      </c>
      <c r="V716" s="86" t="s">
        <v>1126</v>
      </c>
      <c r="W716" s="86" t="str">
        <f>_xlfn.CONCAT(表格1[[#This Row],[欄4]],表格1[[#This Row],[inv no]])</f>
        <v>DA1412064</v>
      </c>
    </row>
    <row r="717" spans="1:23" hidden="1">
      <c r="A717" s="81">
        <v>715</v>
      </c>
      <c r="B717" s="81" t="s">
        <v>1403</v>
      </c>
      <c r="C717" s="81" t="s">
        <v>1406</v>
      </c>
      <c r="D717" s="82" t="str">
        <f ca="1">OFFSET(Roster!$A$3,MATCH(表格1[[#This Row],[Location]]&amp;" "&amp;表格1[[#This Row],[Shop]]&amp;"*",Roster!$A$4:$A$72,0),DAY(表格1[[#This Row],[date]]),1,1)</f>
        <v>Fong_1</v>
      </c>
      <c r="E717" s="81">
        <f>MONTH(表格1[[#This Row],[date]])</f>
        <v>3</v>
      </c>
      <c r="F717" s="101">
        <v>46096</v>
      </c>
      <c r="G717" s="81" t="str">
        <f>VLOOKUP("*"&amp;表格1[[#This Row],[Input]]&amp;"*",'Ref-List'!$B:$D,2,)</f>
        <v>MX2-STR25SC(WH)</v>
      </c>
      <c r="H717" s="81" t="str">
        <f>_xlfn.XLOOKUP(表格1[[#This Row],[Model]],表格3[Model-Input-Ref2],表格3[Product Line])</f>
        <v>4合1氣炸微波蒸焗爐(25公升)</v>
      </c>
      <c r="I717" s="81" t="str">
        <f>_xlfn.XLOOKUP(表格1[[#This Row],[Model]],表格3[Model-Input-Ref2],表格3[大小電])</f>
        <v>細電</v>
      </c>
      <c r="J717" s="81" t="str">
        <f>_xlfn.XLOOKUP(表格1[[#This Row],[Model]],表格3[Model-Input-Ref2],表格3[Code])</f>
        <v>MCA</v>
      </c>
      <c r="K717" s="82" t="s">
        <v>1410</v>
      </c>
      <c r="L717" s="81">
        <v>1</v>
      </c>
      <c r="M717" s="85">
        <v>3478</v>
      </c>
      <c r="N717" s="85">
        <f>IFERROR(表格1[[#This Row],[QTY]]*表格1[[#This Row],[Unit Price]],"-")</f>
        <v>3478</v>
      </c>
      <c r="O717" s="134">
        <v>23997</v>
      </c>
      <c r="P717" s="81"/>
      <c r="Q717" s="81"/>
      <c r="R717" s="81" t="str">
        <f>_xlfn.CONCAT(表格1[[#This Row],[Model]]," ",表格1[[#This Row],[inv no]])</f>
        <v>MX2-STR25SC(WH) 23997</v>
      </c>
      <c r="S717" s="135">
        <f>_xlfn.XLOOKUP(表格1[[#This Row],[Model]],表格3[Model-Input-Ref2],表格3[SRP PRICE])</f>
        <v>4998</v>
      </c>
      <c r="T717" s="43">
        <f>表格1[[#This Row],[Unit Price]]/表格1[[#This Row],[SRP]]</f>
        <v>0.69587835134053622</v>
      </c>
      <c r="U717" s="86" t="str">
        <f>_xlfn.XLOOKUP(表格1[[#This Row],[Model]],表格3[Model-Input-Ref2],表格3[TOSHIBA/HIGHEST])</f>
        <v>Toshiba SRP</v>
      </c>
      <c r="V717" s="86" t="s">
        <v>1126</v>
      </c>
      <c r="W717" s="86" t="str">
        <f>_xlfn.CONCAT(表格1[[#This Row],[欄4]],表格1[[#This Row],[inv no]])</f>
        <v>DA14123997</v>
      </c>
    </row>
    <row r="718" spans="1:23" hidden="1">
      <c r="A718" s="81">
        <v>716</v>
      </c>
      <c r="B718" s="81" t="s">
        <v>1403</v>
      </c>
      <c r="C718" s="81" t="s">
        <v>1406</v>
      </c>
      <c r="D718" s="82" t="str">
        <f ca="1">OFFSET(Roster!$A$3,MATCH(表格1[[#This Row],[Location]]&amp;" "&amp;表格1[[#This Row],[Shop]]&amp;"*",Roster!$A$4:$A$72,0),DAY(表格1[[#This Row],[date]]),1,1)</f>
        <v>Fong_1</v>
      </c>
      <c r="E718" s="81">
        <f>MONTH(表格1[[#This Row],[date]])</f>
        <v>3</v>
      </c>
      <c r="F718" s="101">
        <v>46096</v>
      </c>
      <c r="G718" s="81" t="str">
        <f>VLOOKUP("*"&amp;表格1[[#This Row],[Input]]&amp;"*",'Ref-List'!$B:$D,2,)</f>
        <v>AW-Q901BPH(WW)</v>
      </c>
      <c r="H718" s="81" t="str">
        <f>_xlfn.XLOOKUP(表格1[[#This Row],[Model]],表格3[Model-Input-Ref2],表格3[Product Line])</f>
        <v>日式洗衣機 (8公斤 結合高低水位)</v>
      </c>
      <c r="I718" s="81" t="str">
        <f>_xlfn.XLOOKUP(表格1[[#This Row],[Model]],表格3[Model-Input-Ref2],表格3[大小電])</f>
        <v>大電</v>
      </c>
      <c r="J718" s="81" t="str">
        <f>_xlfn.XLOOKUP(表格1[[#This Row],[Model]],表格3[Model-Input-Ref2],表格3[Code])</f>
        <v>LAD</v>
      </c>
      <c r="K718" s="82" t="s">
        <v>1411</v>
      </c>
      <c r="L718" s="81">
        <v>1</v>
      </c>
      <c r="M718" s="85">
        <v>2280</v>
      </c>
      <c r="N718" s="85">
        <f>IFERROR(表格1[[#This Row],[QTY]]*表格1[[#This Row],[Unit Price]],"-")</f>
        <v>2280</v>
      </c>
      <c r="O718" s="134">
        <v>239664</v>
      </c>
      <c r="P718" s="81"/>
      <c r="Q718" s="81"/>
      <c r="R718" s="81" t="str">
        <f>_xlfn.CONCAT(表格1[[#This Row],[Model]]," ",表格1[[#This Row],[inv no]])</f>
        <v>AW-Q901BPH(WW) 239664</v>
      </c>
      <c r="S718" s="135">
        <f>_xlfn.XLOOKUP(表格1[[#This Row],[Model]],表格3[Model-Input-Ref2],表格3[SRP PRICE])</f>
        <v>3780</v>
      </c>
      <c r="T718" s="43">
        <f>表格1[[#This Row],[Unit Price]]/表格1[[#This Row],[SRP]]</f>
        <v>0.60317460317460314</v>
      </c>
      <c r="U718" s="86" t="str">
        <f>_xlfn.XLOOKUP(表格1[[#This Row],[Model]],表格3[Model-Input-Ref2],表格3[TOSHIBA/HIGHEST])</f>
        <v>Toshiba SRP</v>
      </c>
      <c r="V718" s="86" t="s">
        <v>1126</v>
      </c>
      <c r="W718" s="86" t="str">
        <f>_xlfn.CONCAT(表格1[[#This Row],[欄4]],表格1[[#This Row],[inv no]])</f>
        <v>DA141239664</v>
      </c>
    </row>
    <row r="719" spans="1:23" hidden="1">
      <c r="A719" s="81">
        <v>717</v>
      </c>
      <c r="B719" s="81" t="s">
        <v>1403</v>
      </c>
      <c r="C719" s="81" t="s">
        <v>1406</v>
      </c>
      <c r="D719" s="82" t="str">
        <f ca="1">OFFSET(Roster!$A$3,MATCH(表格1[[#This Row],[Location]]&amp;" "&amp;表格1[[#This Row],[Shop]]&amp;"*",Roster!$A$4:$A$72,0),DAY(表格1[[#This Row],[date]]),1,1)</f>
        <v>Fong_1</v>
      </c>
      <c r="E719" s="81">
        <f>MONTH(表格1[[#This Row],[date]])</f>
        <v>3</v>
      </c>
      <c r="F719" s="101">
        <v>46096</v>
      </c>
      <c r="G719" s="81" t="str">
        <f>VLOOKUP("*"&amp;表格1[[#This Row],[Input]]&amp;"*",'Ref-List'!$B:$D,2,)</f>
        <v>RC-10BHH(W)</v>
      </c>
      <c r="H719" s="81" t="str">
        <f>_xlfn.XLOOKUP(表格1[[#This Row],[Model]],表格3[Model-Input-Ref2],表格3[Product Line])</f>
        <v>酵活炊磁應電飯煲</v>
      </c>
      <c r="I719" s="81" t="str">
        <f>_xlfn.XLOOKUP(表格1[[#This Row],[Model]],表格3[Model-Input-Ref2],表格3[大小電])</f>
        <v>細電</v>
      </c>
      <c r="J719" s="81" t="str">
        <f>_xlfn.XLOOKUP(表格1[[#This Row],[Model]],表格3[Model-Input-Ref2],表格3[Code])</f>
        <v>SDA</v>
      </c>
      <c r="K719" s="82" t="s">
        <v>1269</v>
      </c>
      <c r="L719" s="81">
        <v>1</v>
      </c>
      <c r="M719" s="85">
        <v>1688</v>
      </c>
      <c r="N719" s="85">
        <f>IFERROR(表格1[[#This Row],[QTY]]*表格1[[#This Row],[Unit Price]],"-")</f>
        <v>1688</v>
      </c>
      <c r="O719" s="134">
        <v>248668</v>
      </c>
      <c r="P719" s="81"/>
      <c r="Q719" s="81"/>
      <c r="R719" s="81" t="str">
        <f>_xlfn.CONCAT(表格1[[#This Row],[Model]]," ",表格1[[#This Row],[inv no]])</f>
        <v>RC-10BHH(W) 248668</v>
      </c>
      <c r="S719" s="135">
        <f>_xlfn.XLOOKUP(表格1[[#This Row],[Model]],表格3[Model-Input-Ref2],表格3[SRP PRICE])</f>
        <v>2088</v>
      </c>
      <c r="T719" s="43">
        <f>表格1[[#This Row],[Unit Price]]/表格1[[#This Row],[SRP]]</f>
        <v>0.80842911877394641</v>
      </c>
      <c r="U719" s="86" t="str">
        <f>_xlfn.XLOOKUP(表格1[[#This Row],[Model]],表格3[Model-Input-Ref2],表格3[TOSHIBA/HIGHEST])</f>
        <v>Shops Highest Price</v>
      </c>
      <c r="V719" s="86" t="s">
        <v>1126</v>
      </c>
      <c r="W719" s="86" t="str">
        <f>_xlfn.CONCAT(表格1[[#This Row],[欄4]],表格1[[#This Row],[inv no]])</f>
        <v>DA141248668</v>
      </c>
    </row>
    <row r="720" spans="1:23" ht="16.5" hidden="1">
      <c r="A720" s="81">
        <v>718</v>
      </c>
      <c r="B720" s="81" t="s">
        <v>1403</v>
      </c>
      <c r="C720" s="81" t="s">
        <v>1406</v>
      </c>
      <c r="D720" s="82" t="str">
        <f ca="1">OFFSET(Roster!$A$3,MATCH(表格1[[#This Row],[Location]]&amp;" "&amp;表格1[[#This Row],[Shop]]&amp;"*",Roster!$A$4:$A$72,0),DAY(表格1[[#This Row],[date]]),1,1)</f>
        <v>Fong_1</v>
      </c>
      <c r="E720" s="81">
        <f>MONTH(表格1[[#This Row],[date]])</f>
        <v>3</v>
      </c>
      <c r="F720" s="101">
        <v>46096</v>
      </c>
      <c r="G720" s="81" t="str">
        <f>VLOOKUP("*"&amp;表格1[[#This Row],[Input]]&amp;"*",'Ref-List'!$B:$D,2,)</f>
        <v>MX2-STR25SC(WH)</v>
      </c>
      <c r="H720" s="81" t="str">
        <f>_xlfn.XLOOKUP(表格1[[#This Row],[Model]],表格3[Model-Input-Ref2],表格3[Product Line])</f>
        <v>4合1氣炸微波蒸焗爐(25公升)</v>
      </c>
      <c r="I720" s="81" t="str">
        <f>_xlfn.XLOOKUP(表格1[[#This Row],[Model]],表格3[Model-Input-Ref2],表格3[大小電])</f>
        <v>細電</v>
      </c>
      <c r="J720" s="81" t="str">
        <f>_xlfn.XLOOKUP(表格1[[#This Row],[Model]],表格3[Model-Input-Ref2],表格3[Code])</f>
        <v>MCA</v>
      </c>
      <c r="K720" s="82" t="s">
        <v>1410</v>
      </c>
      <c r="L720" s="81">
        <v>1</v>
      </c>
      <c r="M720" s="85">
        <v>3478</v>
      </c>
      <c r="N720" s="85">
        <f>IFERROR(表格1[[#This Row],[QTY]]*表格1[[#This Row],[Unit Price]],"-")</f>
        <v>3478</v>
      </c>
      <c r="O720" s="134">
        <v>248668</v>
      </c>
      <c r="P720" s="137"/>
      <c r="Q720" s="81"/>
      <c r="R720" s="81" t="str">
        <f>_xlfn.CONCAT(表格1[[#This Row],[Model]]," ",表格1[[#This Row],[inv no]])</f>
        <v>MX2-STR25SC(WH) 248668</v>
      </c>
      <c r="S720" s="135">
        <f>_xlfn.XLOOKUP(表格1[[#This Row],[Model]],表格3[Model-Input-Ref2],表格3[SRP PRICE])</f>
        <v>4998</v>
      </c>
      <c r="T720" s="43">
        <f>表格1[[#This Row],[Unit Price]]/表格1[[#This Row],[SRP]]</f>
        <v>0.69587835134053622</v>
      </c>
      <c r="U720" s="86" t="str">
        <f>_xlfn.XLOOKUP(表格1[[#This Row],[Model]],表格3[Model-Input-Ref2],表格3[TOSHIBA/HIGHEST])</f>
        <v>Toshiba SRP</v>
      </c>
      <c r="V720" s="86" t="s">
        <v>1126</v>
      </c>
      <c r="W720" s="86" t="str">
        <f>_xlfn.CONCAT(表格1[[#This Row],[欄4]],表格1[[#This Row],[inv no]])</f>
        <v>DA141248668</v>
      </c>
    </row>
    <row r="721" spans="1:23" hidden="1">
      <c r="A721" s="81">
        <v>719</v>
      </c>
      <c r="B721" s="81" t="s">
        <v>1403</v>
      </c>
      <c r="C721" s="81" t="s">
        <v>1406</v>
      </c>
      <c r="D721" s="82" t="str">
        <f ca="1">OFFSET(Roster!$A$3,MATCH(表格1[[#This Row],[Location]]&amp;" "&amp;表格1[[#This Row],[Shop]]&amp;"*",Roster!$A$4:$A$72,0),DAY(表格1[[#This Row],[date]]),1,1)</f>
        <v>Fong_1</v>
      </c>
      <c r="E721" s="81">
        <f>MONTH(表格1[[#This Row],[date]])</f>
        <v>3</v>
      </c>
      <c r="F721" s="101">
        <v>46096</v>
      </c>
      <c r="G721" s="81" t="str">
        <f>VLOOKUP("*"&amp;表格1[[#This Row],[Input]]&amp;"*",'Ref-List'!$B:$D,2,)</f>
        <v>RC-15BHH(W)</v>
      </c>
      <c r="H721" s="81" t="str">
        <f>_xlfn.XLOOKUP(表格1[[#This Row],[Model]],表格3[Model-Input-Ref2],表格3[Product Line])</f>
        <v>酵活炊磁應電飯煲(1.5公升)</v>
      </c>
      <c r="I721" s="81" t="str">
        <f>_xlfn.XLOOKUP(表格1[[#This Row],[Model]],表格3[Model-Input-Ref2],表格3[大小電])</f>
        <v>細電</v>
      </c>
      <c r="J721" s="81" t="str">
        <f>_xlfn.XLOOKUP(表格1[[#This Row],[Model]],表格3[Model-Input-Ref2],表格3[Code])</f>
        <v>SDA</v>
      </c>
      <c r="K721" s="82" t="s">
        <v>1381</v>
      </c>
      <c r="L721" s="81">
        <v>1</v>
      </c>
      <c r="M721" s="85">
        <v>1888</v>
      </c>
      <c r="N721" s="85">
        <f>IFERROR(表格1[[#This Row],[QTY]]*表格1[[#This Row],[Unit Price]],"-")</f>
        <v>1888</v>
      </c>
      <c r="O721" s="134">
        <v>2461</v>
      </c>
      <c r="P721" s="81"/>
      <c r="Q721" s="81"/>
      <c r="R721" s="81" t="str">
        <f>_xlfn.CONCAT(表格1[[#This Row],[Model]]," ",表格1[[#This Row],[inv no]])</f>
        <v>RC-15BHH(W) 2461</v>
      </c>
      <c r="S721" s="135">
        <f>_xlfn.XLOOKUP(表格1[[#This Row],[Model]],表格3[Model-Input-Ref2],表格3[SRP PRICE])</f>
        <v>2388</v>
      </c>
      <c r="T721" s="43">
        <f>表格1[[#This Row],[Unit Price]]/表格1[[#This Row],[SRP]]</f>
        <v>0.79061976549413737</v>
      </c>
      <c r="U721" s="86" t="str">
        <f>_xlfn.XLOOKUP(表格1[[#This Row],[Model]],表格3[Model-Input-Ref2],表格3[TOSHIBA/HIGHEST])</f>
        <v>Toshiba SRP</v>
      </c>
      <c r="V721" s="86" t="s">
        <v>1126</v>
      </c>
      <c r="W721" s="86" t="str">
        <f>_xlfn.CONCAT(表格1[[#This Row],[欄4]],表格1[[#This Row],[inv no]])</f>
        <v>DA1412461</v>
      </c>
    </row>
    <row r="722" spans="1:23" hidden="1">
      <c r="A722" s="81">
        <v>720</v>
      </c>
      <c r="B722" s="81" t="s">
        <v>1403</v>
      </c>
      <c r="C722" s="81" t="s">
        <v>1406</v>
      </c>
      <c r="D722" s="82" t="str">
        <f ca="1">OFFSET(Roster!$A$3,MATCH(表格1[[#This Row],[Location]]&amp;" "&amp;表格1[[#This Row],[Shop]]&amp;"*",Roster!$A$4:$A$72,0),DAY(表格1[[#This Row],[date]]),1,1)</f>
        <v>Fong_1</v>
      </c>
      <c r="E722" s="81">
        <f>MONTH(表格1[[#This Row],[date]])</f>
        <v>3</v>
      </c>
      <c r="F722" s="101">
        <v>46096</v>
      </c>
      <c r="G722" s="81" t="str">
        <f>VLOOKUP("*"&amp;表格1[[#This Row],[Input]]&amp;"*",'Ref-List'!$B:$D,2,)</f>
        <v>AW-Q901BPH(WW)</v>
      </c>
      <c r="H722" s="81" t="str">
        <f>_xlfn.XLOOKUP(表格1[[#This Row],[Model]],表格3[Model-Input-Ref2],表格3[Product Line])</f>
        <v>日式洗衣機 (8公斤 結合高低水位)</v>
      </c>
      <c r="I722" s="81" t="str">
        <f>_xlfn.XLOOKUP(表格1[[#This Row],[Model]],表格3[Model-Input-Ref2],表格3[大小電])</f>
        <v>大電</v>
      </c>
      <c r="J722" s="81" t="str">
        <f>_xlfn.XLOOKUP(表格1[[#This Row],[Model]],表格3[Model-Input-Ref2],表格3[Code])</f>
        <v>LAD</v>
      </c>
      <c r="K722" s="82" t="s">
        <v>1411</v>
      </c>
      <c r="L722" s="81">
        <v>1</v>
      </c>
      <c r="M722" s="85">
        <v>2280</v>
      </c>
      <c r="N722" s="85">
        <f>IFERROR(表格1[[#This Row],[QTY]]*表格1[[#This Row],[Unit Price]],"-")</f>
        <v>2280</v>
      </c>
      <c r="O722" s="134">
        <v>249695</v>
      </c>
      <c r="P722" s="81"/>
      <c r="Q722" s="81"/>
      <c r="R722" s="81" t="str">
        <f>_xlfn.CONCAT(表格1[[#This Row],[Model]]," ",表格1[[#This Row],[inv no]])</f>
        <v>AW-Q901BPH(WW) 249695</v>
      </c>
      <c r="S722" s="135">
        <f>_xlfn.XLOOKUP(表格1[[#This Row],[Model]],表格3[Model-Input-Ref2],表格3[SRP PRICE])</f>
        <v>3780</v>
      </c>
      <c r="T722" s="43">
        <f>表格1[[#This Row],[Unit Price]]/表格1[[#This Row],[SRP]]</f>
        <v>0.60317460317460314</v>
      </c>
      <c r="U722" s="86" t="str">
        <f>_xlfn.XLOOKUP(表格1[[#This Row],[Model]],表格3[Model-Input-Ref2],表格3[TOSHIBA/HIGHEST])</f>
        <v>Toshiba SRP</v>
      </c>
      <c r="V722" s="86" t="s">
        <v>1126</v>
      </c>
      <c r="W722" s="86" t="str">
        <f>_xlfn.CONCAT(表格1[[#This Row],[欄4]],表格1[[#This Row],[inv no]])</f>
        <v>DA141249695</v>
      </c>
    </row>
    <row r="723" spans="1:23" hidden="1">
      <c r="A723" s="81">
        <v>721</v>
      </c>
      <c r="B723" s="81" t="s">
        <v>1403</v>
      </c>
      <c r="C723" s="81" t="s">
        <v>1406</v>
      </c>
      <c r="D723" s="82" t="str">
        <f ca="1">OFFSET(Roster!$A$3,MATCH(表格1[[#This Row],[Location]]&amp;" "&amp;表格1[[#This Row],[Shop]]&amp;"*",Roster!$A$4:$A$72,0),DAY(表格1[[#This Row],[date]]),1,1)</f>
        <v>Fong_1</v>
      </c>
      <c r="E723" s="81">
        <f>MONTH(表格1[[#This Row],[date]])</f>
        <v>3</v>
      </c>
      <c r="F723" s="101">
        <v>46096</v>
      </c>
      <c r="G723" s="81" t="str">
        <f>VLOOKUP("*"&amp;表格1[[#This Row],[Input]]&amp;"*",'Ref-List'!$B:$D,2,)</f>
        <v>MX2-TT20SC(WH)</v>
      </c>
      <c r="H723" s="81" t="str">
        <f>_xlfn.XLOOKUP(表格1[[#This Row],[Model]],表格3[Model-Input-Ref2],表格3[Product Line])</f>
        <v>3合1 微波蒸焗爐 (20公升)</v>
      </c>
      <c r="I723" s="81" t="str">
        <f>_xlfn.XLOOKUP(表格1[[#This Row],[Model]],表格3[Model-Input-Ref2],表格3[大小電])</f>
        <v>細電</v>
      </c>
      <c r="J723" s="81" t="str">
        <f>_xlfn.XLOOKUP(表格1[[#This Row],[Model]],表格3[Model-Input-Ref2],表格3[Code])</f>
        <v>MCA</v>
      </c>
      <c r="K723" s="82" t="s">
        <v>1287</v>
      </c>
      <c r="L723" s="81">
        <v>1</v>
      </c>
      <c r="M723" s="85">
        <v>2480</v>
      </c>
      <c r="N723" s="85">
        <f>IFERROR(表格1[[#This Row],[QTY]]*表格1[[#This Row],[Unit Price]],"-")</f>
        <v>2480</v>
      </c>
      <c r="O723" s="134">
        <v>249687</v>
      </c>
      <c r="P723" s="81"/>
      <c r="Q723" s="81"/>
      <c r="R723" s="81" t="str">
        <f>_xlfn.CONCAT(表格1[[#This Row],[Model]]," ",表格1[[#This Row],[inv no]])</f>
        <v>MX2-TT20SC(WH) 249687</v>
      </c>
      <c r="S723" s="135">
        <f>_xlfn.XLOOKUP(表格1[[#This Row],[Model]],表格3[Model-Input-Ref2],表格3[SRP PRICE])</f>
        <v>3580</v>
      </c>
      <c r="T723" s="43">
        <f>表格1[[#This Row],[Unit Price]]/表格1[[#This Row],[SRP]]</f>
        <v>0.69273743016759781</v>
      </c>
      <c r="U723" s="86" t="str">
        <f>_xlfn.XLOOKUP(表格1[[#This Row],[Model]],表格3[Model-Input-Ref2],表格3[TOSHIBA/HIGHEST])</f>
        <v>Toshiba SRP</v>
      </c>
      <c r="V723" s="86" t="s">
        <v>1126</v>
      </c>
      <c r="W723" s="86" t="str">
        <f>_xlfn.CONCAT(表格1[[#This Row],[欄4]],表格1[[#This Row],[inv no]])</f>
        <v>DA141249687</v>
      </c>
    </row>
    <row r="724" spans="1:23" hidden="1">
      <c r="A724" s="81">
        <v>722</v>
      </c>
      <c r="B724" s="81" t="s">
        <v>1403</v>
      </c>
      <c r="C724" s="81" t="s">
        <v>1406</v>
      </c>
      <c r="D724" s="82" t="str">
        <f ca="1">OFFSET(Roster!$A$3,MATCH(表格1[[#This Row],[Location]]&amp;" "&amp;表格1[[#This Row],[Shop]]&amp;"*",Roster!$A$4:$A$72,0),DAY(表格1[[#This Row],[date]]),1,1)</f>
        <v>Fong_1</v>
      </c>
      <c r="E724" s="81">
        <f>MONTH(表格1[[#This Row],[date]])</f>
        <v>3</v>
      </c>
      <c r="F724" s="101">
        <v>46096</v>
      </c>
      <c r="G724" s="81" t="str">
        <f>VLOOKUP("*"&amp;表格1[[#This Row],[Input]]&amp;"*",'Ref-List'!$B:$D,2,)</f>
        <v>MX2-TT20SC(WH)</v>
      </c>
      <c r="H724" s="81" t="str">
        <f>_xlfn.XLOOKUP(表格1[[#This Row],[Model]],表格3[Model-Input-Ref2],表格3[Product Line])</f>
        <v>3合1 微波蒸焗爐 (20公升)</v>
      </c>
      <c r="I724" s="81" t="str">
        <f>_xlfn.XLOOKUP(表格1[[#This Row],[Model]],表格3[Model-Input-Ref2],表格3[大小電])</f>
        <v>細電</v>
      </c>
      <c r="J724" s="81" t="str">
        <f>_xlfn.XLOOKUP(表格1[[#This Row],[Model]],表格3[Model-Input-Ref2],表格3[Code])</f>
        <v>MCA</v>
      </c>
      <c r="K724" s="82" t="s">
        <v>1287</v>
      </c>
      <c r="L724" s="81">
        <v>1</v>
      </c>
      <c r="M724" s="85">
        <v>2480</v>
      </c>
      <c r="N724" s="85">
        <f>IFERROR(表格1[[#This Row],[QTY]]*表格1[[#This Row],[Unit Price]],"-")</f>
        <v>2480</v>
      </c>
      <c r="O724" s="134">
        <v>249697</v>
      </c>
      <c r="P724" s="81"/>
      <c r="Q724" s="81"/>
      <c r="R724" s="81" t="str">
        <f>_xlfn.CONCAT(表格1[[#This Row],[Model]]," ",表格1[[#This Row],[inv no]])</f>
        <v>MX2-TT20SC(WH) 249697</v>
      </c>
      <c r="S724" s="135">
        <f>_xlfn.XLOOKUP(表格1[[#This Row],[Model]],表格3[Model-Input-Ref2],表格3[SRP PRICE])</f>
        <v>3580</v>
      </c>
      <c r="T724" s="43">
        <f>表格1[[#This Row],[Unit Price]]/表格1[[#This Row],[SRP]]</f>
        <v>0.69273743016759781</v>
      </c>
      <c r="U724" s="86" t="str">
        <f>_xlfn.XLOOKUP(表格1[[#This Row],[Model]],表格3[Model-Input-Ref2],表格3[TOSHIBA/HIGHEST])</f>
        <v>Toshiba SRP</v>
      </c>
      <c r="V724" s="86" t="s">
        <v>1126</v>
      </c>
      <c r="W724" s="86" t="str">
        <f>_xlfn.CONCAT(表格1[[#This Row],[欄4]],表格1[[#This Row],[inv no]])</f>
        <v>DA141249697</v>
      </c>
    </row>
    <row r="725" spans="1:23" hidden="1">
      <c r="A725" s="81">
        <v>723</v>
      </c>
      <c r="B725" s="81" t="s">
        <v>1403</v>
      </c>
      <c r="C725" s="81" t="s">
        <v>1406</v>
      </c>
      <c r="D725" s="82" t="str">
        <f ca="1">OFFSET(Roster!$A$3,MATCH(表格1[[#This Row],[Location]]&amp;" "&amp;表格1[[#This Row],[Shop]]&amp;"*",Roster!$A$4:$A$72,0),DAY(表格1[[#This Row],[date]]),1,1)</f>
        <v>Fong_1</v>
      </c>
      <c r="E725" s="81">
        <f>MONTH(表格1[[#This Row],[date]])</f>
        <v>3</v>
      </c>
      <c r="F725" s="101">
        <v>46096</v>
      </c>
      <c r="G725" s="81" t="str">
        <f>VLOOKUP("*"&amp;表格1[[#This Row],[Input]]&amp;"*",'Ref-List'!$B:$D,2,)</f>
        <v>KT-17DRTHK(H)</v>
      </c>
      <c r="H725" s="81" t="str">
        <f>_xlfn.XLOOKUP(表格1[[#This Row],[Model]],表格3[Model-Input-Ref2],表格3[Product Line])</f>
        <v>無線雙層電熱水壺(1.7公升)</v>
      </c>
      <c r="I725" s="81" t="str">
        <f>_xlfn.XLOOKUP(表格1[[#This Row],[Model]],表格3[Model-Input-Ref2],表格3[大小電])</f>
        <v>細電</v>
      </c>
      <c r="J725" s="81" t="str">
        <f>_xlfn.XLOOKUP(表格1[[#This Row],[Model]],表格3[Model-Input-Ref2],表格3[Code])</f>
        <v>SDA</v>
      </c>
      <c r="K725" s="82" t="s">
        <v>1271</v>
      </c>
      <c r="L725" s="81">
        <v>1</v>
      </c>
      <c r="M725" s="85">
        <v>388</v>
      </c>
      <c r="N725" s="85">
        <f>IFERROR(表格1[[#This Row],[QTY]]*表格1[[#This Row],[Unit Price]],"-")</f>
        <v>388</v>
      </c>
      <c r="O725" s="134">
        <v>1834</v>
      </c>
      <c r="P725" s="81"/>
      <c r="Q725" s="81"/>
      <c r="R725" s="81" t="str">
        <f>_xlfn.CONCAT(表格1[[#This Row],[Model]]," ",表格1[[#This Row],[inv no]])</f>
        <v>KT-17DRTHK(H) 1834</v>
      </c>
      <c r="S725" s="135">
        <f>_xlfn.XLOOKUP(表格1[[#This Row],[Model]],表格3[Model-Input-Ref2],表格3[SRP PRICE])</f>
        <v>498</v>
      </c>
      <c r="T725" s="43">
        <f>表格1[[#This Row],[Unit Price]]/表格1[[#This Row],[SRP]]</f>
        <v>0.77911646586345384</v>
      </c>
      <c r="U725" s="86" t="str">
        <f>_xlfn.XLOOKUP(表格1[[#This Row],[Model]],表格3[Model-Input-Ref2],表格3[TOSHIBA/HIGHEST])</f>
        <v>Toshiba SRP</v>
      </c>
      <c r="V725" s="86" t="s">
        <v>1126</v>
      </c>
      <c r="W725" s="86" t="str">
        <f>_xlfn.CONCAT(表格1[[#This Row],[欄4]],表格1[[#This Row],[inv no]])</f>
        <v>DA1411834</v>
      </c>
    </row>
    <row r="726" spans="1:23" hidden="1">
      <c r="A726" s="81">
        <v>724</v>
      </c>
      <c r="B726" s="81" t="s">
        <v>1403</v>
      </c>
      <c r="C726" s="81" t="s">
        <v>1406</v>
      </c>
      <c r="D726" s="82" t="str">
        <f ca="1">OFFSET(Roster!$A$3,MATCH(表格1[[#This Row],[Location]]&amp;" "&amp;表格1[[#This Row],[Shop]]&amp;"*",Roster!$A$4:$A$72,0),DAY(表格1[[#This Row],[date]]),1,1)</f>
        <v>Fong_1</v>
      </c>
      <c r="E726" s="81">
        <f>MONTH(表格1[[#This Row],[date]])</f>
        <v>3</v>
      </c>
      <c r="F726" s="101">
        <v>46096</v>
      </c>
      <c r="G726" s="81" t="str">
        <f>VLOOKUP("*"&amp;表格1[[#This Row],[Input]]&amp;"*",'Ref-List'!$B:$D,2,)</f>
        <v>MM2-EM20PC(WH)</v>
      </c>
      <c r="H726" s="81" t="str">
        <f>_xlfn.XLOOKUP(表格1[[#This Row],[Model]],表格3[Model-Input-Ref2],表格3[Product Line])</f>
        <v>輕觸式微波爐 (20公升)</v>
      </c>
      <c r="I726" s="81" t="str">
        <f>_xlfn.XLOOKUP(表格1[[#This Row],[Model]],表格3[Model-Input-Ref2],表格3[大小電])</f>
        <v>細電</v>
      </c>
      <c r="J726" s="81" t="str">
        <f>_xlfn.XLOOKUP(表格1[[#This Row],[Model]],表格3[Model-Input-Ref2],表格3[Code])</f>
        <v>MCA</v>
      </c>
      <c r="K726" s="82" t="s">
        <v>1276</v>
      </c>
      <c r="L726" s="81">
        <v>1</v>
      </c>
      <c r="M726" s="85">
        <v>598</v>
      </c>
      <c r="N726" s="85">
        <f>IFERROR(表格1[[#This Row],[QTY]]*表格1[[#This Row],[Unit Price]],"-")</f>
        <v>598</v>
      </c>
      <c r="O726" s="134">
        <v>485245</v>
      </c>
      <c r="P726" s="81"/>
      <c r="Q726" s="81"/>
      <c r="R726" s="81" t="str">
        <f>_xlfn.CONCAT(表格1[[#This Row],[Model]]," ",表格1[[#This Row],[inv no]])</f>
        <v>MM2-EM20PC(WH) 485245</v>
      </c>
      <c r="S726" s="135">
        <f>_xlfn.XLOOKUP(表格1[[#This Row],[Model]],表格3[Model-Input-Ref2],表格3[SRP PRICE])</f>
        <v>788</v>
      </c>
      <c r="T726" s="43">
        <f>表格1[[#This Row],[Unit Price]]/表格1[[#This Row],[SRP]]</f>
        <v>0.75888324873096447</v>
      </c>
      <c r="U726" s="86" t="str">
        <f>_xlfn.XLOOKUP(表格1[[#This Row],[Model]],表格3[Model-Input-Ref2],表格3[TOSHIBA/HIGHEST])</f>
        <v>Toshiba SRP</v>
      </c>
      <c r="V726" s="86" t="s">
        <v>1126</v>
      </c>
      <c r="W726" s="86" t="str">
        <f>_xlfn.CONCAT(表格1[[#This Row],[欄4]],表格1[[#This Row],[inv no]])</f>
        <v>DA141485245</v>
      </c>
    </row>
    <row r="727" spans="1:23" hidden="1">
      <c r="A727" s="81">
        <v>725</v>
      </c>
      <c r="B727" s="81" t="s">
        <v>1403</v>
      </c>
      <c r="C727" s="81" t="s">
        <v>1406</v>
      </c>
      <c r="D727" s="82" t="str">
        <f ca="1">OFFSET(Roster!$A$3,MATCH(表格1[[#This Row],[Location]]&amp;" "&amp;表格1[[#This Row],[Shop]]&amp;"*",Roster!$A$4:$A$72,0),DAY(表格1[[#This Row],[date]]),1,1)</f>
        <v>Fong_1</v>
      </c>
      <c r="E727" s="81">
        <f>MONTH(表格1[[#This Row],[date]])</f>
        <v>3</v>
      </c>
      <c r="F727" s="101">
        <v>46096</v>
      </c>
      <c r="G727" s="81" t="str">
        <f>VLOOKUP("*"&amp;表格1[[#This Row],[Input]]&amp;"*",'Ref-List'!$B:$D,2,)</f>
        <v>MX2-STR25SC(WH)</v>
      </c>
      <c r="H727" s="81" t="str">
        <f>_xlfn.XLOOKUP(表格1[[#This Row],[Model]],表格3[Model-Input-Ref2],表格3[Product Line])</f>
        <v>4合1氣炸微波蒸焗爐(25公升)</v>
      </c>
      <c r="I727" s="81" t="str">
        <f>_xlfn.XLOOKUP(表格1[[#This Row],[Model]],表格3[Model-Input-Ref2],表格3[大小電])</f>
        <v>細電</v>
      </c>
      <c r="J727" s="81" t="str">
        <f>_xlfn.XLOOKUP(表格1[[#This Row],[Model]],表格3[Model-Input-Ref2],表格3[Code])</f>
        <v>MCA</v>
      </c>
      <c r="K727" s="82" t="s">
        <v>1410</v>
      </c>
      <c r="L727" s="81">
        <v>1</v>
      </c>
      <c r="M727" s="85">
        <v>3478</v>
      </c>
      <c r="N727" s="85">
        <f>IFERROR(表格1[[#This Row],[QTY]]*表格1[[#This Row],[Unit Price]],"-")</f>
        <v>3478</v>
      </c>
      <c r="O727" s="134">
        <v>249666</v>
      </c>
      <c r="P727" s="81"/>
      <c r="Q727" s="81"/>
      <c r="R727" s="81" t="str">
        <f>_xlfn.CONCAT(表格1[[#This Row],[Model]]," ",表格1[[#This Row],[inv no]])</f>
        <v>MX2-STR25SC(WH) 249666</v>
      </c>
      <c r="S727" s="135">
        <f>_xlfn.XLOOKUP(表格1[[#This Row],[Model]],表格3[Model-Input-Ref2],表格3[SRP PRICE])</f>
        <v>4998</v>
      </c>
      <c r="T727" s="43">
        <f>表格1[[#This Row],[Unit Price]]/表格1[[#This Row],[SRP]]</f>
        <v>0.69587835134053622</v>
      </c>
      <c r="U727" s="86" t="str">
        <f>_xlfn.XLOOKUP(表格1[[#This Row],[Model]],表格3[Model-Input-Ref2],表格3[TOSHIBA/HIGHEST])</f>
        <v>Toshiba SRP</v>
      </c>
      <c r="V727" s="86" t="s">
        <v>1126</v>
      </c>
      <c r="W727" s="86" t="str">
        <f>_xlfn.CONCAT(表格1[[#This Row],[欄4]],表格1[[#This Row],[inv no]])</f>
        <v>DA141249666</v>
      </c>
    </row>
    <row r="728" spans="1:23" hidden="1">
      <c r="A728" s="81">
        <v>726</v>
      </c>
      <c r="B728" s="81" t="s">
        <v>1403</v>
      </c>
      <c r="C728" s="81" t="s">
        <v>1406</v>
      </c>
      <c r="D728" s="82" t="str">
        <f ca="1">OFFSET(Roster!$A$3,MATCH(表格1[[#This Row],[Location]]&amp;" "&amp;表格1[[#This Row],[Shop]]&amp;"*",Roster!$A$4:$A$72,0),DAY(表格1[[#This Row],[date]]),1,1)</f>
        <v>Fong_1</v>
      </c>
      <c r="E728" s="81">
        <f>MONTH(表格1[[#This Row],[date]])</f>
        <v>3</v>
      </c>
      <c r="F728" s="101">
        <v>46096</v>
      </c>
      <c r="G728" s="81" t="str">
        <f>VLOOKUP("*"&amp;表格1[[#This Row],[Input]]&amp;"*",'Ref-List'!$B:$D,2,)</f>
        <v>MX2-STR25SC(WH)</v>
      </c>
      <c r="H728" s="81" t="str">
        <f>_xlfn.XLOOKUP(表格1[[#This Row],[Model]],表格3[Model-Input-Ref2],表格3[Product Line])</f>
        <v>4合1氣炸微波蒸焗爐(25公升)</v>
      </c>
      <c r="I728" s="81" t="str">
        <f>_xlfn.XLOOKUP(表格1[[#This Row],[Model]],表格3[Model-Input-Ref2],表格3[大小電])</f>
        <v>細電</v>
      </c>
      <c r="J728" s="81" t="str">
        <f>_xlfn.XLOOKUP(表格1[[#This Row],[Model]],表格3[Model-Input-Ref2],表格3[Code])</f>
        <v>MCA</v>
      </c>
      <c r="K728" s="82" t="s">
        <v>1410</v>
      </c>
      <c r="L728" s="81">
        <v>1</v>
      </c>
      <c r="M728" s="85">
        <v>3478</v>
      </c>
      <c r="N728" s="85">
        <f>IFERROR(表格1[[#This Row],[QTY]]*表格1[[#This Row],[Unit Price]],"-")</f>
        <v>3478</v>
      </c>
      <c r="O728" s="134">
        <v>249668</v>
      </c>
      <c r="P728" s="81"/>
      <c r="Q728" s="81"/>
      <c r="R728" s="81" t="str">
        <f>_xlfn.CONCAT(表格1[[#This Row],[Model]]," ",表格1[[#This Row],[inv no]])</f>
        <v>MX2-STR25SC(WH) 249668</v>
      </c>
      <c r="S728" s="135">
        <f>_xlfn.XLOOKUP(表格1[[#This Row],[Model]],表格3[Model-Input-Ref2],表格3[SRP PRICE])</f>
        <v>4998</v>
      </c>
      <c r="T728" s="43">
        <f>表格1[[#This Row],[Unit Price]]/表格1[[#This Row],[SRP]]</f>
        <v>0.69587835134053622</v>
      </c>
      <c r="U728" s="86" t="str">
        <f>_xlfn.XLOOKUP(表格1[[#This Row],[Model]],表格3[Model-Input-Ref2],表格3[TOSHIBA/HIGHEST])</f>
        <v>Toshiba SRP</v>
      </c>
      <c r="V728" s="86" t="s">
        <v>1126</v>
      </c>
      <c r="W728" s="86" t="str">
        <f>_xlfn.CONCAT(表格1[[#This Row],[欄4]],表格1[[#This Row],[inv no]])</f>
        <v>DA141249668</v>
      </c>
    </row>
    <row r="729" spans="1:23" hidden="1">
      <c r="A729" s="81">
        <v>727</v>
      </c>
      <c r="B729" s="81" t="s">
        <v>1403</v>
      </c>
      <c r="C729" s="81" t="s">
        <v>1406</v>
      </c>
      <c r="D729" s="82" t="str">
        <f ca="1">OFFSET(Roster!$A$3,MATCH(表格1[[#This Row],[Location]]&amp;" "&amp;表格1[[#This Row],[Shop]]&amp;"*",Roster!$A$4:$A$72,0),DAY(表格1[[#This Row],[date]]),1,1)</f>
        <v>Fong_1</v>
      </c>
      <c r="E729" s="81">
        <f>MONTH(表格1[[#This Row],[date]])</f>
        <v>3</v>
      </c>
      <c r="F729" s="101">
        <v>46096</v>
      </c>
      <c r="G729" s="81" t="str">
        <f>VLOOKUP("*"&amp;表格1[[#This Row],[Input]]&amp;"*",'Ref-List'!$B:$D,2,)</f>
        <v>MX2-STR25SC(WH)</v>
      </c>
      <c r="H729" s="81" t="str">
        <f>_xlfn.XLOOKUP(表格1[[#This Row],[Model]],表格3[Model-Input-Ref2],表格3[Product Line])</f>
        <v>4合1氣炸微波蒸焗爐(25公升)</v>
      </c>
      <c r="I729" s="81" t="str">
        <f>_xlfn.XLOOKUP(表格1[[#This Row],[Model]],表格3[Model-Input-Ref2],表格3[大小電])</f>
        <v>細電</v>
      </c>
      <c r="J729" s="81" t="str">
        <f>_xlfn.XLOOKUP(表格1[[#This Row],[Model]],表格3[Model-Input-Ref2],表格3[Code])</f>
        <v>MCA</v>
      </c>
      <c r="K729" s="82" t="s">
        <v>1410</v>
      </c>
      <c r="L729" s="81">
        <v>1</v>
      </c>
      <c r="M729" s="85">
        <v>3478</v>
      </c>
      <c r="N729" s="85">
        <f>IFERROR(表格1[[#This Row],[QTY]]*表格1[[#This Row],[Unit Price]],"-")</f>
        <v>3478</v>
      </c>
      <c r="O729" s="134">
        <v>249664</v>
      </c>
      <c r="P729" s="81"/>
      <c r="Q729" s="81"/>
      <c r="R729" s="81" t="str">
        <f>_xlfn.CONCAT(表格1[[#This Row],[Model]]," ",表格1[[#This Row],[inv no]])</f>
        <v>MX2-STR25SC(WH) 249664</v>
      </c>
      <c r="S729" s="135">
        <f>_xlfn.XLOOKUP(表格1[[#This Row],[Model]],表格3[Model-Input-Ref2],表格3[SRP PRICE])</f>
        <v>4998</v>
      </c>
      <c r="T729" s="43">
        <f>表格1[[#This Row],[Unit Price]]/表格1[[#This Row],[SRP]]</f>
        <v>0.69587835134053622</v>
      </c>
      <c r="U729" s="86" t="str">
        <f>_xlfn.XLOOKUP(表格1[[#This Row],[Model]],表格3[Model-Input-Ref2],表格3[TOSHIBA/HIGHEST])</f>
        <v>Toshiba SRP</v>
      </c>
      <c r="V729" s="86" t="s">
        <v>1126</v>
      </c>
      <c r="W729" s="86" t="str">
        <f>_xlfn.CONCAT(表格1[[#This Row],[欄4]],表格1[[#This Row],[inv no]])</f>
        <v>DA141249664</v>
      </c>
    </row>
    <row r="730" spans="1:23" hidden="1">
      <c r="A730" s="81">
        <v>728</v>
      </c>
      <c r="B730" s="81" t="s">
        <v>1403</v>
      </c>
      <c r="C730" s="81" t="s">
        <v>1406</v>
      </c>
      <c r="D730" s="82" t="str">
        <f ca="1">OFFSET(Roster!$A$3,MATCH(表格1[[#This Row],[Location]]&amp;" "&amp;表格1[[#This Row],[Shop]]&amp;"*",Roster!$A$4:$A$72,0),DAY(表格1[[#This Row],[date]]),1,1)</f>
        <v>Fong_1</v>
      </c>
      <c r="E730" s="81">
        <f>MONTH(表格1[[#This Row],[date]])</f>
        <v>3</v>
      </c>
      <c r="F730" s="101">
        <v>46096</v>
      </c>
      <c r="G730" s="81" t="str">
        <f>VLOOKUP("*"&amp;表格1[[#This Row],[Input]]&amp;"*",'Ref-List'!$B:$D,2,)</f>
        <v>MX2-STR25SC(WH)</v>
      </c>
      <c r="H730" s="81" t="str">
        <f>_xlfn.XLOOKUP(表格1[[#This Row],[Model]],表格3[Model-Input-Ref2],表格3[Product Line])</f>
        <v>4合1氣炸微波蒸焗爐(25公升)</v>
      </c>
      <c r="I730" s="81" t="str">
        <f>_xlfn.XLOOKUP(表格1[[#This Row],[Model]],表格3[Model-Input-Ref2],表格3[大小電])</f>
        <v>細電</v>
      </c>
      <c r="J730" s="81" t="str">
        <f>_xlfn.XLOOKUP(表格1[[#This Row],[Model]],表格3[Model-Input-Ref2],表格3[Code])</f>
        <v>MCA</v>
      </c>
      <c r="K730" s="82" t="s">
        <v>1410</v>
      </c>
      <c r="L730" s="81">
        <v>1</v>
      </c>
      <c r="M730" s="85">
        <v>3478</v>
      </c>
      <c r="N730" s="85">
        <f>IFERROR(表格1[[#This Row],[QTY]]*表格1[[#This Row],[Unit Price]],"-")</f>
        <v>3478</v>
      </c>
      <c r="O730" s="134">
        <v>248660</v>
      </c>
      <c r="P730" s="81"/>
      <c r="Q730" s="81"/>
      <c r="R730" s="81" t="str">
        <f>_xlfn.CONCAT(表格1[[#This Row],[Model]]," ",表格1[[#This Row],[inv no]])</f>
        <v>MX2-STR25SC(WH) 248660</v>
      </c>
      <c r="S730" s="135">
        <f>_xlfn.XLOOKUP(表格1[[#This Row],[Model]],表格3[Model-Input-Ref2],表格3[SRP PRICE])</f>
        <v>4998</v>
      </c>
      <c r="T730" s="43">
        <f>表格1[[#This Row],[Unit Price]]/表格1[[#This Row],[SRP]]</f>
        <v>0.69587835134053622</v>
      </c>
      <c r="U730" s="86" t="str">
        <f>_xlfn.XLOOKUP(表格1[[#This Row],[Model]],表格3[Model-Input-Ref2],表格3[TOSHIBA/HIGHEST])</f>
        <v>Toshiba SRP</v>
      </c>
      <c r="V730" s="86" t="s">
        <v>1126</v>
      </c>
      <c r="W730" s="86" t="str">
        <f>_xlfn.CONCAT(表格1[[#This Row],[欄4]],表格1[[#This Row],[inv no]])</f>
        <v>DA141248660</v>
      </c>
    </row>
    <row r="731" spans="1:23" hidden="1">
      <c r="A731" s="81">
        <v>729</v>
      </c>
      <c r="B731" s="81" t="s">
        <v>1403</v>
      </c>
      <c r="C731" s="81" t="s">
        <v>1405</v>
      </c>
      <c r="D731" s="82" t="str">
        <f ca="1">OFFSET(Roster!$A$3,MATCH(表格1[[#This Row],[Location]]&amp;" "&amp;表格1[[#This Row],[Shop]]&amp;"*",Roster!$A$4:$A$72,0),DAY(表格1[[#This Row],[date]]),1,1)</f>
        <v>Fong_1</v>
      </c>
      <c r="E731" s="81">
        <f>MONTH(表格1[[#This Row],[date]])</f>
        <v>3</v>
      </c>
      <c r="F731" s="101">
        <v>46109</v>
      </c>
      <c r="G731" s="81" t="str">
        <f>VLOOKUP("*"&amp;表格1[[#This Row],[Input]]&amp;"*",'Ref-List'!$B:$D,2,)</f>
        <v>MM2-EM20PC(WH)</v>
      </c>
      <c r="H731" s="81" t="str">
        <f>_xlfn.XLOOKUP(表格1[[#This Row],[Model]],表格3[Model-Input-Ref2],表格3[Product Line])</f>
        <v>輕觸式微波爐 (20公升)</v>
      </c>
      <c r="I731" s="81" t="str">
        <f>_xlfn.XLOOKUP(表格1[[#This Row],[Model]],表格3[Model-Input-Ref2],表格3[大小電])</f>
        <v>細電</v>
      </c>
      <c r="J731" s="81" t="str">
        <f>_xlfn.XLOOKUP(表格1[[#This Row],[Model]],表格3[Model-Input-Ref2],表格3[Code])</f>
        <v>MCA</v>
      </c>
      <c r="K731" s="82" t="s">
        <v>1276</v>
      </c>
      <c r="L731" s="81">
        <v>1</v>
      </c>
      <c r="M731" s="85">
        <v>598</v>
      </c>
      <c r="N731" s="85">
        <f>IFERROR(表格1[[#This Row],[QTY]]*表格1[[#This Row],[Unit Price]],"-")</f>
        <v>598</v>
      </c>
      <c r="O731" s="134">
        <v>250038</v>
      </c>
      <c r="P731" s="81"/>
      <c r="Q731" s="81"/>
      <c r="R731" s="81" t="str">
        <f>_xlfn.CONCAT(表格1[[#This Row],[Model]]," ",表格1[[#This Row],[inv no]])</f>
        <v>MM2-EM20PC(WH) 250038</v>
      </c>
      <c r="S731" s="135">
        <f>_xlfn.XLOOKUP(表格1[[#This Row],[Model]],表格3[Model-Input-Ref2],表格3[SRP PRICE])</f>
        <v>788</v>
      </c>
      <c r="T731" s="43">
        <f>表格1[[#This Row],[Unit Price]]/表格1[[#This Row],[SRP]]</f>
        <v>0.75888324873096447</v>
      </c>
      <c r="U731" s="86" t="str">
        <f>_xlfn.XLOOKUP(表格1[[#This Row],[Model]],表格3[Model-Input-Ref2],表格3[TOSHIBA/HIGHEST])</f>
        <v>Toshiba SRP</v>
      </c>
      <c r="V731" s="86" t="s">
        <v>1126</v>
      </c>
      <c r="W731" s="86" t="str">
        <f>_xlfn.CONCAT(表格1[[#This Row],[欄4]],表格1[[#This Row],[inv no]])</f>
        <v>DA141250038</v>
      </c>
    </row>
    <row r="732" spans="1:23" hidden="1">
      <c r="A732" s="81">
        <v>730</v>
      </c>
      <c r="B732" s="81" t="s">
        <v>1403</v>
      </c>
      <c r="C732" s="81" t="s">
        <v>1405</v>
      </c>
      <c r="D732" s="82" t="str">
        <f ca="1">OFFSET(Roster!$A$3,MATCH(表格1[[#This Row],[Location]]&amp;" "&amp;表格1[[#This Row],[Shop]]&amp;"*",Roster!$A$4:$A$72,0),DAY(表格1[[#This Row],[date]]),1,1)</f>
        <v>Fong_1</v>
      </c>
      <c r="E732" s="81">
        <f>MONTH(表格1[[#This Row],[date]])</f>
        <v>3</v>
      </c>
      <c r="F732" s="101">
        <v>46109</v>
      </c>
      <c r="G732" s="81" t="str">
        <f>VLOOKUP("*"&amp;表格1[[#This Row],[Input]]&amp;"*",'Ref-List'!$B:$D,2,)</f>
        <v>RC-18NMFIH(WT)</v>
      </c>
      <c r="H732" s="81" t="str">
        <f>_xlfn.XLOOKUP(表格1[[#This Row],[Model]],表格3[Model-Input-Ref2],表格3[Product Line])</f>
        <v>4毫米厚釜電飯煲1.8L</v>
      </c>
      <c r="I732" s="81" t="str">
        <f>_xlfn.XLOOKUP(表格1[[#This Row],[Model]],表格3[Model-Input-Ref2],表格3[大小電])</f>
        <v>細電</v>
      </c>
      <c r="J732" s="81" t="str">
        <f>_xlfn.XLOOKUP(表格1[[#This Row],[Model]],表格3[Model-Input-Ref2],表格3[Code])</f>
        <v>SDA</v>
      </c>
      <c r="K732" s="82" t="s">
        <v>1267</v>
      </c>
      <c r="L732" s="81">
        <v>1</v>
      </c>
      <c r="M732" s="85">
        <v>798</v>
      </c>
      <c r="N732" s="85">
        <f>IFERROR(表格1[[#This Row],[QTY]]*表格1[[#This Row],[Unit Price]],"-")</f>
        <v>798</v>
      </c>
      <c r="O732" s="134">
        <v>8639</v>
      </c>
      <c r="P732" s="81"/>
      <c r="Q732" s="81"/>
      <c r="R732" s="81" t="str">
        <f>_xlfn.CONCAT(表格1[[#This Row],[Model]]," ",表格1[[#This Row],[inv no]])</f>
        <v>RC-18NMFIH(WT) 8639</v>
      </c>
      <c r="S732" s="135">
        <f>_xlfn.XLOOKUP(表格1[[#This Row],[Model]],表格3[Model-Input-Ref2],表格3[SRP PRICE])</f>
        <v>998</v>
      </c>
      <c r="T732" s="43">
        <f>表格1[[#This Row],[Unit Price]]/表格1[[#This Row],[SRP]]</f>
        <v>0.79959919839679361</v>
      </c>
      <c r="U732" s="86" t="str">
        <f>_xlfn.XLOOKUP(表格1[[#This Row],[Model]],表格3[Model-Input-Ref2],表格3[TOSHIBA/HIGHEST])</f>
        <v>Toshiba SRP</v>
      </c>
      <c r="V732" s="86" t="s">
        <v>1126</v>
      </c>
      <c r="W732" s="86" t="str">
        <f>_xlfn.CONCAT(表格1[[#This Row],[欄4]],表格1[[#This Row],[inv no]])</f>
        <v>DA1418639</v>
      </c>
    </row>
    <row r="733" spans="1:23" hidden="1">
      <c r="A733" s="81">
        <v>731</v>
      </c>
      <c r="B733" s="81" t="s">
        <v>1403</v>
      </c>
      <c r="C733" s="81" t="s">
        <v>1405</v>
      </c>
      <c r="D733" s="82" t="str">
        <f ca="1">OFFSET(Roster!$A$3,MATCH(表格1[[#This Row],[Location]]&amp;" "&amp;表格1[[#This Row],[Shop]]&amp;"*",Roster!$A$4:$A$72,0),DAY(表格1[[#This Row],[date]]),1,1)</f>
        <v>Fong_1</v>
      </c>
      <c r="E733" s="81">
        <f>MONTH(表格1[[#This Row],[date]])</f>
        <v>3</v>
      </c>
      <c r="F733" s="101">
        <v>46109</v>
      </c>
      <c r="G733" s="81" t="str">
        <f>VLOOKUP("*"&amp;表格1[[#This Row],[Input]]&amp;"*",'Ref-List'!$B:$D,2,)</f>
        <v>MX2-TT20SC(WH)</v>
      </c>
      <c r="H733" s="81" t="str">
        <f>_xlfn.XLOOKUP(表格1[[#This Row],[Model]],表格3[Model-Input-Ref2],表格3[Product Line])</f>
        <v>3合1 微波蒸焗爐 (20公升)</v>
      </c>
      <c r="I733" s="81" t="str">
        <f>_xlfn.XLOOKUP(表格1[[#This Row],[Model]],表格3[Model-Input-Ref2],表格3[大小電])</f>
        <v>細電</v>
      </c>
      <c r="J733" s="81" t="str">
        <f>_xlfn.XLOOKUP(表格1[[#This Row],[Model]],表格3[Model-Input-Ref2],表格3[Code])</f>
        <v>MCA</v>
      </c>
      <c r="K733" s="82" t="s">
        <v>1287</v>
      </c>
      <c r="L733" s="81">
        <v>1</v>
      </c>
      <c r="M733" s="85">
        <v>2480</v>
      </c>
      <c r="N733" s="85">
        <f>IFERROR(表格1[[#This Row],[QTY]]*表格1[[#This Row],[Unit Price]],"-")</f>
        <v>2480</v>
      </c>
      <c r="O733" s="134">
        <v>250041</v>
      </c>
      <c r="P733" s="81"/>
      <c r="Q733" s="81"/>
      <c r="R733" s="81" t="str">
        <f>_xlfn.CONCAT(表格1[[#This Row],[Model]]," ",表格1[[#This Row],[inv no]])</f>
        <v>MX2-TT20SC(WH) 250041</v>
      </c>
      <c r="S733" s="135">
        <f>_xlfn.XLOOKUP(表格1[[#This Row],[Model]],表格3[Model-Input-Ref2],表格3[SRP PRICE])</f>
        <v>3580</v>
      </c>
      <c r="T733" s="43">
        <f>表格1[[#This Row],[Unit Price]]/表格1[[#This Row],[SRP]]</f>
        <v>0.69273743016759781</v>
      </c>
      <c r="U733" s="86" t="str">
        <f>_xlfn.XLOOKUP(表格1[[#This Row],[Model]],表格3[Model-Input-Ref2],表格3[TOSHIBA/HIGHEST])</f>
        <v>Toshiba SRP</v>
      </c>
      <c r="V733" s="86" t="s">
        <v>1126</v>
      </c>
      <c r="W733" s="86" t="str">
        <f>_xlfn.CONCAT(表格1[[#This Row],[欄4]],表格1[[#This Row],[inv no]])</f>
        <v>DA141250041</v>
      </c>
    </row>
    <row r="734" spans="1:23" hidden="1">
      <c r="A734" s="81">
        <v>732</v>
      </c>
      <c r="B734" s="81" t="s">
        <v>1403</v>
      </c>
      <c r="C734" s="81" t="s">
        <v>1405</v>
      </c>
      <c r="D734" s="82" t="str">
        <f ca="1">OFFSET(Roster!$A$3,MATCH(表格1[[#This Row],[Location]]&amp;" "&amp;表格1[[#This Row],[Shop]]&amp;"*",Roster!$A$4:$A$72,0),DAY(表格1[[#This Row],[date]]),1,1)</f>
        <v>Fong_1</v>
      </c>
      <c r="E734" s="81">
        <f>MONTH(表格1[[#This Row],[date]])</f>
        <v>3</v>
      </c>
      <c r="F734" s="101">
        <v>46110</v>
      </c>
      <c r="G734" s="81" t="str">
        <f>VLOOKUP("*"&amp;表格1[[#This Row],[Input]]&amp;"*",'Ref-List'!$B:$D,2,)</f>
        <v>MM2-EM20PC(WH)</v>
      </c>
      <c r="H734" s="81" t="str">
        <f>_xlfn.XLOOKUP(表格1[[#This Row],[Model]],表格3[Model-Input-Ref2],表格3[Product Line])</f>
        <v>輕觸式微波爐 (20公升)</v>
      </c>
      <c r="I734" s="81" t="str">
        <f>_xlfn.XLOOKUP(表格1[[#This Row],[Model]],表格3[Model-Input-Ref2],表格3[大小電])</f>
        <v>細電</v>
      </c>
      <c r="J734" s="81" t="str">
        <f>_xlfn.XLOOKUP(表格1[[#This Row],[Model]],表格3[Model-Input-Ref2],表格3[Code])</f>
        <v>MCA</v>
      </c>
      <c r="K734" s="82" t="s">
        <v>1276</v>
      </c>
      <c r="L734" s="81">
        <v>1</v>
      </c>
      <c r="M734" s="85">
        <v>598</v>
      </c>
      <c r="N734" s="85">
        <f>IFERROR(表格1[[#This Row],[QTY]]*表格1[[#This Row],[Unit Price]],"-")</f>
        <v>598</v>
      </c>
      <c r="O734" s="134">
        <v>250116</v>
      </c>
      <c r="P734" s="81"/>
      <c r="Q734" s="81"/>
      <c r="R734" s="81" t="str">
        <f>_xlfn.CONCAT(表格1[[#This Row],[Model]]," ",表格1[[#This Row],[inv no]])</f>
        <v>MM2-EM20PC(WH) 250116</v>
      </c>
      <c r="S734" s="135">
        <f>_xlfn.XLOOKUP(表格1[[#This Row],[Model]],表格3[Model-Input-Ref2],表格3[SRP PRICE])</f>
        <v>788</v>
      </c>
      <c r="T734" s="43">
        <f>表格1[[#This Row],[Unit Price]]/表格1[[#This Row],[SRP]]</f>
        <v>0.75888324873096447</v>
      </c>
      <c r="U734" s="86" t="str">
        <f>_xlfn.XLOOKUP(表格1[[#This Row],[Model]],表格3[Model-Input-Ref2],表格3[TOSHIBA/HIGHEST])</f>
        <v>Toshiba SRP</v>
      </c>
      <c r="V734" s="86" t="s">
        <v>1126</v>
      </c>
      <c r="W734" s="86" t="str">
        <f>_xlfn.CONCAT(表格1[[#This Row],[欄4]],表格1[[#This Row],[inv no]])</f>
        <v>DA141250116</v>
      </c>
    </row>
    <row r="735" spans="1:23" hidden="1">
      <c r="A735" s="81">
        <v>733</v>
      </c>
      <c r="B735" s="81" t="s">
        <v>1403</v>
      </c>
      <c r="C735" s="81" t="s">
        <v>1405</v>
      </c>
      <c r="D735" s="82" t="str">
        <f ca="1">OFFSET(Roster!$A$3,MATCH(表格1[[#This Row],[Location]]&amp;" "&amp;表格1[[#This Row],[Shop]]&amp;"*",Roster!$A$4:$A$72,0),DAY(表格1[[#This Row],[date]]),1,1)</f>
        <v>Fong_1</v>
      </c>
      <c r="E735" s="81">
        <f>MONTH(表格1[[#This Row],[date]])</f>
        <v>3</v>
      </c>
      <c r="F735" s="101">
        <v>46110</v>
      </c>
      <c r="G735" s="81" t="str">
        <f>VLOOKUP("*"&amp;表格1[[#This Row],[Input]]&amp;"*",'Ref-List'!$B:$D,2,)</f>
        <v>MX2-STR25SC(WH)</v>
      </c>
      <c r="H735" s="81" t="str">
        <f>_xlfn.XLOOKUP(表格1[[#This Row],[Model]],表格3[Model-Input-Ref2],表格3[Product Line])</f>
        <v>4合1氣炸微波蒸焗爐(25公升)</v>
      </c>
      <c r="I735" s="81" t="str">
        <f>_xlfn.XLOOKUP(表格1[[#This Row],[Model]],表格3[Model-Input-Ref2],表格3[大小電])</f>
        <v>細電</v>
      </c>
      <c r="J735" s="81" t="str">
        <f>_xlfn.XLOOKUP(表格1[[#This Row],[Model]],表格3[Model-Input-Ref2],表格3[Code])</f>
        <v>MCA</v>
      </c>
      <c r="K735" s="82" t="s">
        <v>1410</v>
      </c>
      <c r="L735" s="81">
        <v>1</v>
      </c>
      <c r="M735" s="85">
        <v>3180</v>
      </c>
      <c r="N735" s="85">
        <f>IFERROR(表格1[[#This Row],[QTY]]*表格1[[#This Row],[Unit Price]],"-")</f>
        <v>3180</v>
      </c>
      <c r="O735" s="134">
        <v>250119</v>
      </c>
      <c r="P735" s="81"/>
      <c r="Q735" s="81"/>
      <c r="R735" s="81" t="str">
        <f>_xlfn.CONCAT(表格1[[#This Row],[Model]]," ",表格1[[#This Row],[inv no]])</f>
        <v>MX2-STR25SC(WH) 250119</v>
      </c>
      <c r="S735" s="135">
        <f>_xlfn.XLOOKUP(表格1[[#This Row],[Model]],表格3[Model-Input-Ref2],表格3[SRP PRICE])</f>
        <v>4998</v>
      </c>
      <c r="T735" s="43">
        <f>表格1[[#This Row],[Unit Price]]/表格1[[#This Row],[SRP]]</f>
        <v>0.6362545018007203</v>
      </c>
      <c r="U735" s="86" t="str">
        <f>_xlfn.XLOOKUP(表格1[[#This Row],[Model]],表格3[Model-Input-Ref2],表格3[TOSHIBA/HIGHEST])</f>
        <v>Toshiba SRP</v>
      </c>
      <c r="V735" s="86" t="s">
        <v>1126</v>
      </c>
      <c r="W735" s="86" t="str">
        <f>_xlfn.CONCAT(表格1[[#This Row],[欄4]],表格1[[#This Row],[inv no]])</f>
        <v>DA141250119</v>
      </c>
    </row>
    <row r="736" spans="1:23" hidden="1">
      <c r="A736" s="81">
        <v>734</v>
      </c>
      <c r="B736" s="81" t="s">
        <v>1403</v>
      </c>
      <c r="C736" s="81" t="s">
        <v>1405</v>
      </c>
      <c r="D736" s="82" t="str">
        <f ca="1">OFFSET(Roster!$A$3,MATCH(表格1[[#This Row],[Location]]&amp;" "&amp;表格1[[#This Row],[Shop]]&amp;"*",Roster!$A$4:$A$72,0),DAY(表格1[[#This Row],[date]]),1,1)</f>
        <v>Fong_1</v>
      </c>
      <c r="E736" s="81">
        <f>MONTH(表格1[[#This Row],[date]])</f>
        <v>3</v>
      </c>
      <c r="F736" s="101">
        <v>46110</v>
      </c>
      <c r="G736" s="81" t="str">
        <f>VLOOKUP("*"&amp;表格1[[#This Row],[Input]]&amp;"*",'Ref-List'!$B:$D,2,)</f>
        <v>RC-DR10T(R)</v>
      </c>
      <c r="H736" s="81" t="str">
        <f>_xlfn.XLOOKUP(表格1[[#This Row],[Model]],表格3[Model-Input-Ref2],表格3[Product Line])</f>
        <v>IH磁應電飯煲</v>
      </c>
      <c r="I736" s="81" t="str">
        <f>_xlfn.XLOOKUP(表格1[[#This Row],[Model]],表格3[Model-Input-Ref2],表格3[大小電])</f>
        <v>細電</v>
      </c>
      <c r="J736" s="81" t="str">
        <f>_xlfn.XLOOKUP(表格1[[#This Row],[Model]],表格3[Model-Input-Ref2],表格3[Code])</f>
        <v>SDA</v>
      </c>
      <c r="K736" s="82" t="s">
        <v>1296</v>
      </c>
      <c r="L736" s="81">
        <v>1</v>
      </c>
      <c r="M736" s="85">
        <v>2380</v>
      </c>
      <c r="N736" s="85">
        <f>IFERROR(表格1[[#This Row],[QTY]]*表格1[[#This Row],[Unit Price]],"-")</f>
        <v>2380</v>
      </c>
      <c r="O736" s="134">
        <v>1462</v>
      </c>
      <c r="P736" s="81"/>
      <c r="Q736" s="81"/>
      <c r="R736" s="81" t="str">
        <f>_xlfn.CONCAT(表格1[[#This Row],[Model]]," ",表格1[[#This Row],[inv no]])</f>
        <v>RC-DR10T(R) 1462</v>
      </c>
      <c r="S736" s="135">
        <f>_xlfn.XLOOKUP(表格1[[#This Row],[Model]],表格3[Model-Input-Ref2],表格3[SRP PRICE])</f>
        <v>3188</v>
      </c>
      <c r="T736" s="43">
        <f>表格1[[#This Row],[Unit Price]]/表格1[[#This Row],[SRP]]</f>
        <v>0.74654956085319946</v>
      </c>
      <c r="U736" s="86" t="str">
        <f>_xlfn.XLOOKUP(表格1[[#This Row],[Model]],表格3[Model-Input-Ref2],表格3[TOSHIBA/HIGHEST])</f>
        <v>Toshiba SRP</v>
      </c>
      <c r="V736" s="86" t="s">
        <v>1126</v>
      </c>
      <c r="W736" s="86" t="str">
        <f>_xlfn.CONCAT(表格1[[#This Row],[欄4]],表格1[[#This Row],[inv no]])</f>
        <v>DA1411462</v>
      </c>
    </row>
    <row r="737" spans="1:23" hidden="1">
      <c r="A737" s="81">
        <v>735</v>
      </c>
      <c r="B737" s="81" t="s">
        <v>1418</v>
      </c>
      <c r="C737" s="81" t="s">
        <v>1419</v>
      </c>
      <c r="D737" s="82" t="str">
        <f ca="1">OFFSET(Roster!$A$3,MATCH(表格1[[#This Row],[Location]]&amp;" "&amp;表格1[[#This Row],[Shop]]&amp;"*",Roster!$A$4:$A$72,0),DAY(表格1[[#This Row],[date]]),1,1)</f>
        <v>SK</v>
      </c>
      <c r="E737" s="81">
        <f>MONTH(表格1[[#This Row],[date]])</f>
        <v>3</v>
      </c>
      <c r="F737" s="101">
        <v>46082</v>
      </c>
      <c r="G737" s="81" t="str">
        <f>VLOOKUP("*"&amp;表格1[[#This Row],[Input]]&amp;"*",'Ref-List'!$B:$D,2,)</f>
        <v>MM2-EM20PC(WH)</v>
      </c>
      <c r="H737" s="81" t="str">
        <f>_xlfn.XLOOKUP(表格1[[#This Row],[Model]],表格3[Model-Input-Ref2],表格3[Product Line])</f>
        <v>輕觸式微波爐 (20公升)</v>
      </c>
      <c r="I737" s="81" t="str">
        <f>_xlfn.XLOOKUP(表格1[[#This Row],[Model]],表格3[Model-Input-Ref2],表格3[大小電])</f>
        <v>細電</v>
      </c>
      <c r="J737" s="81" t="str">
        <f>_xlfn.XLOOKUP(表格1[[#This Row],[Model]],表格3[Model-Input-Ref2],表格3[Code])</f>
        <v>MCA</v>
      </c>
      <c r="K737" s="82" t="s">
        <v>1276</v>
      </c>
      <c r="L737" s="81">
        <v>1</v>
      </c>
      <c r="M737" s="85">
        <v>598</v>
      </c>
      <c r="N737" s="85">
        <f>IFERROR(表格1[[#This Row],[QTY]]*表格1[[#This Row],[Unit Price]],"-")</f>
        <v>598</v>
      </c>
      <c r="O737" s="134">
        <v>288951</v>
      </c>
      <c r="P737" s="81"/>
      <c r="Q737" s="81"/>
      <c r="R737" s="81" t="str">
        <f>_xlfn.CONCAT(表格1[[#This Row],[Model]]," ",表格1[[#This Row],[inv no]])</f>
        <v>MM2-EM20PC(WH) 288951</v>
      </c>
      <c r="S737" s="135">
        <f>_xlfn.XLOOKUP(表格1[[#This Row],[Model]],表格3[Model-Input-Ref2],表格3[SRP PRICE])</f>
        <v>788</v>
      </c>
      <c r="T737" s="43">
        <f>表格1[[#This Row],[Unit Price]]/表格1[[#This Row],[SRP]]</f>
        <v>0.75888324873096447</v>
      </c>
      <c r="U737" s="86" t="str">
        <f>_xlfn.XLOOKUP(表格1[[#This Row],[Model]],表格3[Model-Input-Ref2],表格3[TOSHIBA/HIGHEST])</f>
        <v>Toshiba SRP</v>
      </c>
      <c r="V737" s="86" t="s">
        <v>1126</v>
      </c>
      <c r="W737" s="86" t="str">
        <f>_xlfn.CONCAT(表格1[[#This Row],[欄4]],表格1[[#This Row],[inv no]])</f>
        <v>DA141288951</v>
      </c>
    </row>
    <row r="738" spans="1:23" hidden="1">
      <c r="A738" s="81">
        <v>736</v>
      </c>
      <c r="B738" s="81" t="s">
        <v>1418</v>
      </c>
      <c r="C738" s="81" t="s">
        <v>1419</v>
      </c>
      <c r="D738" s="82" t="str">
        <f ca="1">OFFSET(Roster!$A$3,MATCH(表格1[[#This Row],[Location]]&amp;" "&amp;表格1[[#This Row],[Shop]]&amp;"*",Roster!$A$4:$A$72,0),DAY(表格1[[#This Row],[date]]),1,1)</f>
        <v>SK</v>
      </c>
      <c r="E738" s="81">
        <f>MONTH(表格1[[#This Row],[date]])</f>
        <v>3</v>
      </c>
      <c r="F738" s="101">
        <v>46082</v>
      </c>
      <c r="G738" s="81" t="str">
        <f>VLOOKUP("*"&amp;表格1[[#This Row],[Input]]&amp;"*",'Ref-List'!$B:$D,2,)</f>
        <v>RC-18AMXH(W)</v>
      </c>
      <c r="H738" s="81" t="str">
        <f>_xlfn.XLOOKUP(表格1[[#This Row],[Model]],表格3[Model-Input-Ref2],表格3[Product Line])</f>
        <v>酵活炊電飯煲(1.8公升)</v>
      </c>
      <c r="I738" s="81" t="str">
        <f>_xlfn.XLOOKUP(表格1[[#This Row],[Model]],表格3[Model-Input-Ref2],表格3[大小電])</f>
        <v>細電</v>
      </c>
      <c r="J738" s="81" t="str">
        <f>_xlfn.XLOOKUP(表格1[[#This Row],[Model]],表格3[Model-Input-Ref2],表格3[Code])</f>
        <v>SDA</v>
      </c>
      <c r="K738" s="82" t="s">
        <v>1362</v>
      </c>
      <c r="L738" s="81">
        <v>1</v>
      </c>
      <c r="M738" s="85">
        <v>990</v>
      </c>
      <c r="N738" s="85">
        <f>IFERROR(表格1[[#This Row],[QTY]]*表格1[[#This Row],[Unit Price]],"-")</f>
        <v>990</v>
      </c>
      <c r="O738" s="134">
        <v>288929</v>
      </c>
      <c r="P738" s="81"/>
      <c r="Q738" s="81"/>
      <c r="R738" s="81" t="str">
        <f>_xlfn.CONCAT(表格1[[#This Row],[Model]]," ",表格1[[#This Row],[inv no]])</f>
        <v>RC-18AMXH(W) 288929</v>
      </c>
      <c r="S738" s="135">
        <f>_xlfn.XLOOKUP(表格1[[#This Row],[Model]],表格3[Model-Input-Ref2],表格3[SRP PRICE])</f>
        <v>1588</v>
      </c>
      <c r="T738" s="43">
        <f>表格1[[#This Row],[Unit Price]]/表格1[[#This Row],[SRP]]</f>
        <v>0.62342569269521408</v>
      </c>
      <c r="U738" s="86" t="str">
        <f>_xlfn.XLOOKUP(表格1[[#This Row],[Model]],表格3[Model-Input-Ref2],表格3[TOSHIBA/HIGHEST])</f>
        <v>Toshiba SRP</v>
      </c>
      <c r="V738" s="86" t="s">
        <v>1126</v>
      </c>
      <c r="W738" s="86" t="str">
        <f>_xlfn.CONCAT(表格1[[#This Row],[欄4]],表格1[[#This Row],[inv no]])</f>
        <v>DA141288929</v>
      </c>
    </row>
    <row r="739" spans="1:23" hidden="1">
      <c r="A739" s="81">
        <v>737</v>
      </c>
      <c r="B739" s="81" t="s">
        <v>1418</v>
      </c>
      <c r="C739" s="81" t="s">
        <v>1419</v>
      </c>
      <c r="D739" s="82" t="str">
        <f ca="1">OFFSET(Roster!$A$3,MATCH(表格1[[#This Row],[Location]]&amp;" "&amp;表格1[[#This Row],[Shop]]&amp;"*",Roster!$A$4:$A$72,0),DAY(表格1[[#This Row],[date]]),1,1)</f>
        <v>SK</v>
      </c>
      <c r="E739" s="81">
        <f>MONTH(表格1[[#This Row],[date]])</f>
        <v>3</v>
      </c>
      <c r="F739" s="101">
        <v>46082</v>
      </c>
      <c r="G739" s="81" t="str">
        <f>VLOOKUP("*"&amp;表格1[[#This Row],[Input]]&amp;"*",'Ref-List'!$B:$D,2,)</f>
        <v>RC-10BHH(W)</v>
      </c>
      <c r="H739" s="81" t="str">
        <f>_xlfn.XLOOKUP(表格1[[#This Row],[Model]],表格3[Model-Input-Ref2],表格3[Product Line])</f>
        <v>酵活炊磁應電飯煲</v>
      </c>
      <c r="I739" s="81" t="str">
        <f>_xlfn.XLOOKUP(表格1[[#This Row],[Model]],表格3[Model-Input-Ref2],表格3[大小電])</f>
        <v>細電</v>
      </c>
      <c r="J739" s="81" t="str">
        <f>_xlfn.XLOOKUP(表格1[[#This Row],[Model]],表格3[Model-Input-Ref2],表格3[Code])</f>
        <v>SDA</v>
      </c>
      <c r="K739" s="82" t="s">
        <v>1269</v>
      </c>
      <c r="L739" s="81">
        <v>1</v>
      </c>
      <c r="M739" s="85">
        <v>1688</v>
      </c>
      <c r="N739" s="85">
        <f>IFERROR(表格1[[#This Row],[QTY]]*表格1[[#This Row],[Unit Price]],"-")</f>
        <v>1688</v>
      </c>
      <c r="O739" s="134">
        <v>289135</v>
      </c>
      <c r="P739" s="81"/>
      <c r="Q739" s="81"/>
      <c r="R739" s="81" t="str">
        <f>_xlfn.CONCAT(表格1[[#This Row],[Model]]," ",表格1[[#This Row],[inv no]])</f>
        <v>RC-10BHH(W) 289135</v>
      </c>
      <c r="S739" s="135">
        <f>_xlfn.XLOOKUP(表格1[[#This Row],[Model]],表格3[Model-Input-Ref2],表格3[SRP PRICE])</f>
        <v>2088</v>
      </c>
      <c r="T739" s="43">
        <f>表格1[[#This Row],[Unit Price]]/表格1[[#This Row],[SRP]]</f>
        <v>0.80842911877394641</v>
      </c>
      <c r="U739" s="86" t="str">
        <f>_xlfn.XLOOKUP(表格1[[#This Row],[Model]],表格3[Model-Input-Ref2],表格3[TOSHIBA/HIGHEST])</f>
        <v>Shops Highest Price</v>
      </c>
      <c r="V739" s="86" t="s">
        <v>1126</v>
      </c>
      <c r="W739" s="86" t="str">
        <f>_xlfn.CONCAT(表格1[[#This Row],[欄4]],表格1[[#This Row],[inv no]])</f>
        <v>DA141289135</v>
      </c>
    </row>
    <row r="740" spans="1:23" hidden="1">
      <c r="A740" s="81">
        <v>738</v>
      </c>
      <c r="B740" s="81" t="s">
        <v>1418</v>
      </c>
      <c r="C740" s="81" t="s">
        <v>1419</v>
      </c>
      <c r="D740" s="82" t="str">
        <f ca="1">OFFSET(Roster!$A$3,MATCH(表格1[[#This Row],[Location]]&amp;" "&amp;表格1[[#This Row],[Shop]]&amp;"*",Roster!$A$4:$A$72,0),DAY(表格1[[#This Row],[date]]),1,1)</f>
        <v>SK</v>
      </c>
      <c r="E740" s="81">
        <f>MONTH(表格1[[#This Row],[date]])</f>
        <v>3</v>
      </c>
      <c r="F740" s="101">
        <v>46088</v>
      </c>
      <c r="G740" s="81" t="str">
        <f>VLOOKUP("*"&amp;表格1[[#This Row],[Input]]&amp;"*",'Ref-List'!$B:$D,2,)</f>
        <v>MWP-MM20P(WH)</v>
      </c>
      <c r="H740" s="81" t="str">
        <f>_xlfn.XLOOKUP(表格1[[#This Row],[Model]],表格3[Model-Input-Ref2],表格3[Product Line])</f>
        <v>旋鈕式燒烤微波爐20L</v>
      </c>
      <c r="I740" s="81" t="str">
        <f>_xlfn.XLOOKUP(表格1[[#This Row],[Model]],表格3[Model-Input-Ref2],表格3[大小電])</f>
        <v>細電</v>
      </c>
      <c r="J740" s="81" t="str">
        <f>_xlfn.XLOOKUP(表格1[[#This Row],[Model]],表格3[Model-Input-Ref2],表格3[Code])</f>
        <v>SDA</v>
      </c>
      <c r="K740" s="82" t="s">
        <v>1270</v>
      </c>
      <c r="L740" s="81">
        <v>1</v>
      </c>
      <c r="M740" s="85">
        <v>488</v>
      </c>
      <c r="N740" s="85">
        <f>IFERROR(表格1[[#This Row],[QTY]]*表格1[[#This Row],[Unit Price]],"-")</f>
        <v>488</v>
      </c>
      <c r="O740" s="134">
        <v>290784</v>
      </c>
      <c r="P740" s="81"/>
      <c r="Q740" s="81"/>
      <c r="R740" s="81" t="str">
        <f>_xlfn.CONCAT(表格1[[#This Row],[Model]]," ",表格1[[#This Row],[inv no]])</f>
        <v>MWP-MM20P(WH) 290784</v>
      </c>
      <c r="S740" s="135">
        <f>_xlfn.XLOOKUP(表格1[[#This Row],[Model]],表格3[Model-Input-Ref2],表格3[SRP PRICE])</f>
        <v>648</v>
      </c>
      <c r="T740" s="43">
        <f>表格1[[#This Row],[Unit Price]]/表格1[[#This Row],[SRP]]</f>
        <v>0.75308641975308643</v>
      </c>
      <c r="U740" s="86" t="str">
        <f>_xlfn.XLOOKUP(表格1[[#This Row],[Model]],表格3[Model-Input-Ref2],表格3[TOSHIBA/HIGHEST])</f>
        <v>Toshiba SRP</v>
      </c>
      <c r="V740" s="86" t="s">
        <v>1126</v>
      </c>
      <c r="W740" s="86" t="str">
        <f>_xlfn.CONCAT(表格1[[#This Row],[欄4]],表格1[[#This Row],[inv no]])</f>
        <v>DA141290784</v>
      </c>
    </row>
    <row r="741" spans="1:23" hidden="1">
      <c r="A741" s="81">
        <v>739</v>
      </c>
      <c r="B741" s="81" t="s">
        <v>1418</v>
      </c>
      <c r="C741" s="81" t="s">
        <v>1419</v>
      </c>
      <c r="D741" s="82" t="str">
        <f ca="1">OFFSET(Roster!$A$3,MATCH(表格1[[#This Row],[Location]]&amp;" "&amp;表格1[[#This Row],[Shop]]&amp;"*",Roster!$A$4:$A$72,0),DAY(表格1[[#This Row],[date]]),1,1)</f>
        <v>SK</v>
      </c>
      <c r="E741" s="81">
        <f>MONTH(表格1[[#This Row],[date]])</f>
        <v>3</v>
      </c>
      <c r="F741" s="101">
        <v>46088</v>
      </c>
      <c r="G741" s="81" t="str">
        <f>VLOOKUP("*"&amp;表格1[[#This Row],[Input]]&amp;"*",'Ref-List'!$B:$D,2,)</f>
        <v>AW-Q801APH(WW)</v>
      </c>
      <c r="H741" s="81" t="str">
        <f>_xlfn.XLOOKUP(表格1[[#This Row],[Model]],表格3[Model-Input-Ref2],表格3[Product Line])</f>
        <v>日式洗衣機 (7公斤 結合高低水位)</v>
      </c>
      <c r="I741" s="81" t="str">
        <f>_xlfn.XLOOKUP(表格1[[#This Row],[Model]],表格3[Model-Input-Ref2],表格3[大小電])</f>
        <v>大電</v>
      </c>
      <c r="J741" s="81" t="str">
        <f>_xlfn.XLOOKUP(表格1[[#This Row],[Model]],表格3[Model-Input-Ref2],表格3[Code])</f>
        <v>LAD</v>
      </c>
      <c r="K741" s="82" t="s">
        <v>1420</v>
      </c>
      <c r="L741" s="81">
        <v>1</v>
      </c>
      <c r="M741" s="85">
        <v>1782</v>
      </c>
      <c r="N741" s="85">
        <f>IFERROR(表格1[[#This Row],[QTY]]*表格1[[#This Row],[Unit Price]],"-")</f>
        <v>1782</v>
      </c>
      <c r="O741" s="134">
        <v>290824</v>
      </c>
      <c r="P741" s="81"/>
      <c r="Q741" s="81"/>
      <c r="R741" s="81" t="str">
        <f>_xlfn.CONCAT(表格1[[#This Row],[Model]]," ",表格1[[#This Row],[inv no]])</f>
        <v>AW-Q801APH(WW) 290824</v>
      </c>
      <c r="S741" s="135">
        <f>_xlfn.XLOOKUP(表格1[[#This Row],[Model]],表格3[Model-Input-Ref2],表格3[SRP PRICE])</f>
        <v>3380</v>
      </c>
      <c r="T741" s="43">
        <f>表格1[[#This Row],[Unit Price]]/表格1[[#This Row],[SRP]]</f>
        <v>0.52721893491124261</v>
      </c>
      <c r="U741" s="86" t="str">
        <f>_xlfn.XLOOKUP(表格1[[#This Row],[Model]],表格3[Model-Input-Ref2],表格3[TOSHIBA/HIGHEST])</f>
        <v>Toshiba SRP</v>
      </c>
      <c r="V741" s="86" t="s">
        <v>1126</v>
      </c>
      <c r="W741" s="86" t="str">
        <f>_xlfn.CONCAT(表格1[[#This Row],[欄4]],表格1[[#This Row],[inv no]])</f>
        <v>DA141290824</v>
      </c>
    </row>
    <row r="742" spans="1:23" hidden="1">
      <c r="A742" s="81">
        <v>740</v>
      </c>
      <c r="B742" s="81" t="s">
        <v>1418</v>
      </c>
      <c r="C742" s="81" t="s">
        <v>1419</v>
      </c>
      <c r="D742" s="82" t="str">
        <f ca="1">OFFSET(Roster!$A$3,MATCH(表格1[[#This Row],[Location]]&amp;" "&amp;表格1[[#This Row],[Shop]]&amp;"*",Roster!$A$4:$A$72,0),DAY(表格1[[#This Row],[date]]),1,1)</f>
        <v>SK</v>
      </c>
      <c r="E742" s="81">
        <f>MONTH(表格1[[#This Row],[date]])</f>
        <v>3</v>
      </c>
      <c r="F742" s="101">
        <v>46088</v>
      </c>
      <c r="G742" s="81" t="str">
        <f>VLOOKUP("*"&amp;表格1[[#This Row],[Input]]&amp;"*",'Ref-List'!$B:$D,2,)</f>
        <v>AW-Q801APH(WW)</v>
      </c>
      <c r="H742" s="81" t="str">
        <f>_xlfn.XLOOKUP(表格1[[#This Row],[Model]],表格3[Model-Input-Ref2],表格3[Product Line])</f>
        <v>日式洗衣機 (7公斤 結合高低水位)</v>
      </c>
      <c r="I742" s="81" t="str">
        <f>_xlfn.XLOOKUP(表格1[[#This Row],[Model]],表格3[Model-Input-Ref2],表格3[大小電])</f>
        <v>大電</v>
      </c>
      <c r="J742" s="81" t="str">
        <f>_xlfn.XLOOKUP(表格1[[#This Row],[Model]],表格3[Model-Input-Ref2],表格3[Code])</f>
        <v>LAD</v>
      </c>
      <c r="K742" s="82" t="s">
        <v>1420</v>
      </c>
      <c r="L742" s="81">
        <v>1</v>
      </c>
      <c r="M742" s="85">
        <v>1782</v>
      </c>
      <c r="N742" s="85">
        <f>IFERROR(表格1[[#This Row],[QTY]]*表格1[[#This Row],[Unit Price]],"-")</f>
        <v>1782</v>
      </c>
      <c r="O742" s="134">
        <v>290809</v>
      </c>
      <c r="P742" s="81"/>
      <c r="Q742" s="81"/>
      <c r="R742" s="81" t="str">
        <f>_xlfn.CONCAT(表格1[[#This Row],[Model]]," ",表格1[[#This Row],[inv no]])</f>
        <v>AW-Q801APH(WW) 290809</v>
      </c>
      <c r="S742" s="135">
        <f>_xlfn.XLOOKUP(表格1[[#This Row],[Model]],表格3[Model-Input-Ref2],表格3[SRP PRICE])</f>
        <v>3380</v>
      </c>
      <c r="T742" s="43">
        <f>表格1[[#This Row],[Unit Price]]/表格1[[#This Row],[SRP]]</f>
        <v>0.52721893491124261</v>
      </c>
      <c r="U742" s="86" t="str">
        <f>_xlfn.XLOOKUP(表格1[[#This Row],[Model]],表格3[Model-Input-Ref2],表格3[TOSHIBA/HIGHEST])</f>
        <v>Toshiba SRP</v>
      </c>
      <c r="V742" s="86" t="s">
        <v>1126</v>
      </c>
      <c r="W742" s="86" t="str">
        <f>_xlfn.CONCAT(表格1[[#This Row],[欄4]],表格1[[#This Row],[inv no]])</f>
        <v>DA141290809</v>
      </c>
    </row>
    <row r="743" spans="1:23" hidden="1">
      <c r="A743" s="81">
        <v>741</v>
      </c>
      <c r="B743" s="81" t="s">
        <v>1418</v>
      </c>
      <c r="C743" s="81" t="s">
        <v>1419</v>
      </c>
      <c r="D743" s="82" t="str">
        <f ca="1">OFFSET(Roster!$A$3,MATCH(表格1[[#This Row],[Location]]&amp;" "&amp;表格1[[#This Row],[Shop]]&amp;"*",Roster!$A$4:$A$72,0),DAY(表格1[[#This Row],[date]]),1,1)</f>
        <v>SK</v>
      </c>
      <c r="E743" s="81">
        <f>MONTH(表格1[[#This Row],[date]])</f>
        <v>3</v>
      </c>
      <c r="F743" s="101">
        <v>46088</v>
      </c>
      <c r="G743" s="81" t="str">
        <f>VLOOKUP("*"&amp;表格1[[#This Row],[Input]]&amp;"*",'Ref-List'!$B:$D,2,)</f>
        <v>GR-RB360WE-PMA(06)</v>
      </c>
      <c r="H743" s="81" t="str">
        <f>_xlfn.XLOOKUP(表格1[[#This Row],[Model]],表格3[Model-Input-Ref2],表格3[Product Line])</f>
        <v>變頻下置式雙門雪櫃系列270L</v>
      </c>
      <c r="I743" s="81" t="str">
        <f>_xlfn.XLOOKUP(表格1[[#This Row],[Model]],表格3[Model-Input-Ref2],表格3[大小電])</f>
        <v>大電</v>
      </c>
      <c r="J743" s="81" t="str">
        <f>_xlfn.XLOOKUP(表格1[[#This Row],[Model]],表格3[Model-Input-Ref2],表格3[Code])</f>
        <v>REF</v>
      </c>
      <c r="K743" s="82" t="s">
        <v>1282</v>
      </c>
      <c r="L743" s="81">
        <v>1</v>
      </c>
      <c r="M743" s="85">
        <v>3609</v>
      </c>
      <c r="N743" s="85">
        <f>IFERROR(表格1[[#This Row],[QTY]]*表格1[[#This Row],[Unit Price]],"-")</f>
        <v>3609</v>
      </c>
      <c r="O743" s="134">
        <v>290857</v>
      </c>
      <c r="P743" s="81"/>
      <c r="Q743" s="81"/>
      <c r="R743" s="81" t="str">
        <f>_xlfn.CONCAT(表格1[[#This Row],[Model]]," ",表格1[[#This Row],[inv no]])</f>
        <v>GR-RB360WE-PMA(06) 290857</v>
      </c>
      <c r="S743" s="135">
        <f>_xlfn.XLOOKUP(表格1[[#This Row],[Model]],表格3[Model-Input-Ref2],表格3[SRP PRICE])</f>
        <v>5080</v>
      </c>
      <c r="T743" s="43">
        <f>表格1[[#This Row],[Unit Price]]/表格1[[#This Row],[SRP]]</f>
        <v>0.71043307086614171</v>
      </c>
      <c r="U743" s="86" t="str">
        <f>_xlfn.XLOOKUP(表格1[[#This Row],[Model]],表格3[Model-Input-Ref2],表格3[TOSHIBA/HIGHEST])</f>
        <v>Toshiba SRP</v>
      </c>
      <c r="V743" s="86" t="s">
        <v>1126</v>
      </c>
      <c r="W743" s="86" t="str">
        <f>_xlfn.CONCAT(表格1[[#This Row],[欄4]],表格1[[#This Row],[inv no]])</f>
        <v>DA141290857</v>
      </c>
    </row>
    <row r="744" spans="1:23" hidden="1">
      <c r="A744" s="81">
        <v>742</v>
      </c>
      <c r="B744" s="81" t="s">
        <v>1418</v>
      </c>
      <c r="C744" s="81" t="s">
        <v>1419</v>
      </c>
      <c r="D744" s="82" t="str">
        <f ca="1">OFFSET(Roster!$A$3,MATCH(表格1[[#This Row],[Location]]&amp;" "&amp;表格1[[#This Row],[Shop]]&amp;"*",Roster!$A$4:$A$72,0),DAY(表格1[[#This Row],[date]]),1,1)</f>
        <v>SK</v>
      </c>
      <c r="E744" s="81">
        <f>MONTH(表格1[[#This Row],[date]])</f>
        <v>3</v>
      </c>
      <c r="F744" s="101">
        <v>46089</v>
      </c>
      <c r="G744" s="81" t="str">
        <f>VLOOKUP("*"&amp;表格1[[#This Row],[Input]]&amp;"*",'Ref-List'!$B:$D,2,)</f>
        <v>AW-Q801APH(WW)</v>
      </c>
      <c r="H744" s="81" t="str">
        <f>_xlfn.XLOOKUP(表格1[[#This Row],[Model]],表格3[Model-Input-Ref2],表格3[Product Line])</f>
        <v>日式洗衣機 (7公斤 結合高低水位)</v>
      </c>
      <c r="I744" s="81" t="str">
        <f>_xlfn.XLOOKUP(表格1[[#This Row],[Model]],表格3[Model-Input-Ref2],表格3[大小電])</f>
        <v>大電</v>
      </c>
      <c r="J744" s="81" t="str">
        <f>_xlfn.XLOOKUP(表格1[[#This Row],[Model]],表格3[Model-Input-Ref2],表格3[Code])</f>
        <v>LAD</v>
      </c>
      <c r="K744" s="82" t="s">
        <v>1420</v>
      </c>
      <c r="L744" s="81">
        <v>1</v>
      </c>
      <c r="M744" s="85">
        <v>1980</v>
      </c>
      <c r="N744" s="85">
        <f>IFERROR(表格1[[#This Row],[QTY]]*表格1[[#This Row],[Unit Price]],"-")</f>
        <v>1980</v>
      </c>
      <c r="O744" s="134">
        <v>291138</v>
      </c>
      <c r="P744" s="81"/>
      <c r="Q744" s="81"/>
      <c r="R744" s="81" t="str">
        <f>_xlfn.CONCAT(表格1[[#This Row],[Model]]," ",表格1[[#This Row],[inv no]])</f>
        <v>AW-Q801APH(WW) 291138</v>
      </c>
      <c r="S744" s="135">
        <f>_xlfn.XLOOKUP(表格1[[#This Row],[Model]],表格3[Model-Input-Ref2],表格3[SRP PRICE])</f>
        <v>3380</v>
      </c>
      <c r="T744" s="43">
        <f>表格1[[#This Row],[Unit Price]]/表格1[[#This Row],[SRP]]</f>
        <v>0.58579881656804733</v>
      </c>
      <c r="U744" s="86" t="str">
        <f>_xlfn.XLOOKUP(表格1[[#This Row],[Model]],表格3[Model-Input-Ref2],表格3[TOSHIBA/HIGHEST])</f>
        <v>Toshiba SRP</v>
      </c>
      <c r="V744" s="86" t="s">
        <v>1126</v>
      </c>
      <c r="W744" s="86" t="str">
        <f>_xlfn.CONCAT(表格1[[#This Row],[欄4]],表格1[[#This Row],[inv no]])</f>
        <v>DA141291138</v>
      </c>
    </row>
    <row r="745" spans="1:23" hidden="1">
      <c r="A745" s="81">
        <v>743</v>
      </c>
      <c r="B745" s="81" t="s">
        <v>1418</v>
      </c>
      <c r="C745" s="81" t="s">
        <v>1419</v>
      </c>
      <c r="D745" s="82" t="str">
        <f ca="1">OFFSET(Roster!$A$3,MATCH(表格1[[#This Row],[Location]]&amp;" "&amp;表格1[[#This Row],[Shop]]&amp;"*",Roster!$A$4:$A$72,0),DAY(表格1[[#This Row],[date]]),1,1)</f>
        <v>SK</v>
      </c>
      <c r="E745" s="81">
        <f>MONTH(表格1[[#This Row],[date]])</f>
        <v>3</v>
      </c>
      <c r="F745" s="101">
        <v>46089</v>
      </c>
      <c r="G745" s="81" t="str">
        <f>VLOOKUP("*"&amp;表格1[[#This Row],[Input]]&amp;"*",'Ref-List'!$B:$D,2,)</f>
        <v>MS5-STR30SC(BK)</v>
      </c>
      <c r="H745" s="81" t="str">
        <f>_xlfn.XLOOKUP(表格1[[#This Row],[Model]],表格3[Model-Input-Ref2],表格3[Product Line])</f>
        <v>30公升蒸氣焗爐</v>
      </c>
      <c r="I745" s="81" t="str">
        <f>_xlfn.XLOOKUP(表格1[[#This Row],[Model]],表格3[Model-Input-Ref2],表格3[大小電])</f>
        <v>細電</v>
      </c>
      <c r="J745" s="81" t="str">
        <f>_xlfn.XLOOKUP(表格1[[#This Row],[Model]],表格3[Model-Input-Ref2],表格3[Code])</f>
        <v>MCA</v>
      </c>
      <c r="K745" s="82" t="s">
        <v>1379</v>
      </c>
      <c r="L745" s="81">
        <v>1</v>
      </c>
      <c r="M745" s="85">
        <v>3980</v>
      </c>
      <c r="N745" s="85">
        <f>IFERROR(表格1[[#This Row],[QTY]]*表格1[[#This Row],[Unit Price]],"-")</f>
        <v>3980</v>
      </c>
      <c r="O745" s="134">
        <v>291145</v>
      </c>
      <c r="P745" s="81"/>
      <c r="Q745" s="81"/>
      <c r="R745" s="81" t="str">
        <f>_xlfn.CONCAT(表格1[[#This Row],[Model]]," ",表格1[[#This Row],[inv no]])</f>
        <v>MS5-STR30SC(BK) 291145</v>
      </c>
      <c r="S745" s="135">
        <f>_xlfn.XLOOKUP(表格1[[#This Row],[Model]],表格3[Model-Input-Ref2],表格3[SRP PRICE])</f>
        <v>5998</v>
      </c>
      <c r="T745" s="43">
        <f>表格1[[#This Row],[Unit Price]]/表格1[[#This Row],[SRP]]</f>
        <v>0.66355451817272426</v>
      </c>
      <c r="U745" s="86" t="str">
        <f>_xlfn.XLOOKUP(表格1[[#This Row],[Model]],表格3[Model-Input-Ref2],表格3[TOSHIBA/HIGHEST])</f>
        <v>Shops Highest Price</v>
      </c>
      <c r="V745" s="86" t="s">
        <v>1126</v>
      </c>
      <c r="W745" s="86" t="str">
        <f>_xlfn.CONCAT(表格1[[#This Row],[欄4]],表格1[[#This Row],[inv no]])</f>
        <v>DA141291145</v>
      </c>
    </row>
    <row r="746" spans="1:23" hidden="1">
      <c r="A746" s="81">
        <v>744</v>
      </c>
      <c r="B746" s="81" t="s">
        <v>1418</v>
      </c>
      <c r="C746" s="81" t="s">
        <v>1419</v>
      </c>
      <c r="D746" s="82" t="str">
        <f ca="1">OFFSET(Roster!$A$3,MATCH(表格1[[#This Row],[Location]]&amp;" "&amp;表格1[[#This Row],[Shop]]&amp;"*",Roster!$A$4:$A$72,0),DAY(表格1[[#This Row],[date]]),1,1)</f>
        <v>SK</v>
      </c>
      <c r="E746" s="81">
        <f>MONTH(表格1[[#This Row],[date]])</f>
        <v>3</v>
      </c>
      <c r="F746" s="101">
        <v>46095</v>
      </c>
      <c r="G746" s="81" t="str">
        <f>VLOOKUP("*"&amp;表格1[[#This Row],[Input]]&amp;"*",'Ref-List'!$B:$D,2,)</f>
        <v>KT-08DH1VHK(W)</v>
      </c>
      <c r="H746" s="81" t="str">
        <f>_xlfn.XLOOKUP(表格1[[#This Row],[Model]],表格3[Model-Input-Ref2],表格3[Product Line])</f>
        <v>無線雙層電熱水壺-附可鎖壺蓋(0.8公升)</v>
      </c>
      <c r="I746" s="81" t="str">
        <f>_xlfn.XLOOKUP(表格1[[#This Row],[Model]],表格3[Model-Input-Ref2],表格3[大小電])</f>
        <v>細電</v>
      </c>
      <c r="J746" s="81" t="str">
        <f>_xlfn.XLOOKUP(表格1[[#This Row],[Model]],表格3[Model-Input-Ref2],表格3[Code])</f>
        <v>SDA</v>
      </c>
      <c r="K746" s="82" t="s">
        <v>1268</v>
      </c>
      <c r="L746" s="81">
        <v>1</v>
      </c>
      <c r="M746" s="85">
        <v>268</v>
      </c>
      <c r="N746" s="85">
        <f>IFERROR(表格1[[#This Row],[QTY]]*表格1[[#This Row],[Unit Price]],"-")</f>
        <v>268</v>
      </c>
      <c r="O746" s="134">
        <v>292841</v>
      </c>
      <c r="P746" s="81"/>
      <c r="Q746" s="81"/>
      <c r="R746" s="81" t="str">
        <f>_xlfn.CONCAT(表格1[[#This Row],[Model]]," ",表格1[[#This Row],[inv no]])</f>
        <v>KT-08DH1VHK(W) 292841</v>
      </c>
      <c r="S746" s="135">
        <f>_xlfn.XLOOKUP(表格1[[#This Row],[Model]],表格3[Model-Input-Ref2],表格3[SRP PRICE])</f>
        <v>428</v>
      </c>
      <c r="T746" s="43">
        <f>表格1[[#This Row],[Unit Price]]/表格1[[#This Row],[SRP]]</f>
        <v>0.62616822429906538</v>
      </c>
      <c r="U746" s="86" t="str">
        <f>_xlfn.XLOOKUP(表格1[[#This Row],[Model]],表格3[Model-Input-Ref2],表格3[TOSHIBA/HIGHEST])</f>
        <v>Toshiba SRP</v>
      </c>
      <c r="V746" s="86" t="s">
        <v>1126</v>
      </c>
      <c r="W746" s="86" t="str">
        <f>_xlfn.CONCAT(表格1[[#This Row],[欄4]],表格1[[#This Row],[inv no]])</f>
        <v>DA141292841</v>
      </c>
    </row>
    <row r="747" spans="1:23" hidden="1">
      <c r="A747" s="81">
        <v>745</v>
      </c>
      <c r="B747" s="81" t="s">
        <v>1418</v>
      </c>
      <c r="C747" s="81" t="s">
        <v>1419</v>
      </c>
      <c r="D747" s="82" t="str">
        <f ca="1">OFFSET(Roster!$A$3,MATCH(表格1[[#This Row],[Location]]&amp;" "&amp;表格1[[#This Row],[Shop]]&amp;"*",Roster!$A$4:$A$72,0),DAY(表格1[[#This Row],[date]]),1,1)</f>
        <v>SK</v>
      </c>
      <c r="E747" s="81">
        <f>MONTH(表格1[[#This Row],[date]])</f>
        <v>3</v>
      </c>
      <c r="F747" s="101">
        <v>46095</v>
      </c>
      <c r="G747" s="81" t="str">
        <f>VLOOKUP("*"&amp;表格1[[#This Row],[Input]]&amp;"*",'Ref-List'!$B:$D,2,)</f>
        <v>KT-08DH1VHK(W)</v>
      </c>
      <c r="H747" s="81" t="str">
        <f>_xlfn.XLOOKUP(表格1[[#This Row],[Model]],表格3[Model-Input-Ref2],表格3[Product Line])</f>
        <v>無線雙層電熱水壺-附可鎖壺蓋(0.8公升)</v>
      </c>
      <c r="I747" s="81" t="str">
        <f>_xlfn.XLOOKUP(表格1[[#This Row],[Model]],表格3[Model-Input-Ref2],表格3[大小電])</f>
        <v>細電</v>
      </c>
      <c r="J747" s="81" t="str">
        <f>_xlfn.XLOOKUP(表格1[[#This Row],[Model]],表格3[Model-Input-Ref2],表格3[Code])</f>
        <v>SDA</v>
      </c>
      <c r="K747" s="82" t="s">
        <v>1268</v>
      </c>
      <c r="L747" s="81">
        <v>1</v>
      </c>
      <c r="M747" s="85">
        <v>268</v>
      </c>
      <c r="N747" s="85">
        <f>IFERROR(表格1[[#This Row],[QTY]]*表格1[[#This Row],[Unit Price]],"-")</f>
        <v>268</v>
      </c>
      <c r="O747" s="134">
        <v>292842</v>
      </c>
      <c r="P747" s="81"/>
      <c r="Q747" s="81"/>
      <c r="R747" s="81" t="str">
        <f>_xlfn.CONCAT(表格1[[#This Row],[Model]]," ",表格1[[#This Row],[inv no]])</f>
        <v>KT-08DH1VHK(W) 292842</v>
      </c>
      <c r="S747" s="135">
        <f>_xlfn.XLOOKUP(表格1[[#This Row],[Model]],表格3[Model-Input-Ref2],表格3[SRP PRICE])</f>
        <v>428</v>
      </c>
      <c r="T747" s="43">
        <f>表格1[[#This Row],[Unit Price]]/表格1[[#This Row],[SRP]]</f>
        <v>0.62616822429906538</v>
      </c>
      <c r="U747" s="86" t="str">
        <f>_xlfn.XLOOKUP(表格1[[#This Row],[Model]],表格3[Model-Input-Ref2],表格3[TOSHIBA/HIGHEST])</f>
        <v>Toshiba SRP</v>
      </c>
      <c r="V747" s="86" t="s">
        <v>1126</v>
      </c>
      <c r="W747" s="86" t="str">
        <f>_xlfn.CONCAT(表格1[[#This Row],[欄4]],表格1[[#This Row],[inv no]])</f>
        <v>DA141292842</v>
      </c>
    </row>
    <row r="748" spans="1:23" hidden="1">
      <c r="A748" s="81">
        <v>746</v>
      </c>
      <c r="B748" s="81" t="s">
        <v>1418</v>
      </c>
      <c r="C748" s="81" t="s">
        <v>1419</v>
      </c>
      <c r="D748" s="82" t="str">
        <f ca="1">OFFSET(Roster!$A$3,MATCH(表格1[[#This Row],[Location]]&amp;" "&amp;表格1[[#This Row],[Shop]]&amp;"*",Roster!$A$4:$A$72,0),DAY(表格1[[#This Row],[date]]),1,1)</f>
        <v>SK</v>
      </c>
      <c r="E748" s="81">
        <f>MONTH(表格1[[#This Row],[date]])</f>
        <v>3</v>
      </c>
      <c r="F748" s="101">
        <v>46095</v>
      </c>
      <c r="G748" s="81" t="str">
        <f>VLOOKUP("*"&amp;表格1[[#This Row],[Input]]&amp;"*",'Ref-List'!$B:$D,2,)</f>
        <v>TP-50DRUHK(W)</v>
      </c>
      <c r="H748" s="81" t="str">
        <f>_xlfn.XLOOKUP(表格1[[#This Row],[Model]],表格3[Model-Input-Ref2],表格3[Product Line])</f>
        <v>電熱水瓶 (5公升)</v>
      </c>
      <c r="I748" s="81" t="str">
        <f>_xlfn.XLOOKUP(表格1[[#This Row],[Model]],表格3[Model-Input-Ref2],表格3[大小電])</f>
        <v>細電</v>
      </c>
      <c r="J748" s="81" t="str">
        <f>_xlfn.XLOOKUP(表格1[[#This Row],[Model]],表格3[Model-Input-Ref2],表格3[Code])</f>
        <v>SDA</v>
      </c>
      <c r="K748" s="82" t="s">
        <v>1277</v>
      </c>
      <c r="L748" s="81">
        <v>1</v>
      </c>
      <c r="M748" s="85">
        <v>598</v>
      </c>
      <c r="N748" s="85">
        <f>IFERROR(表格1[[#This Row],[QTY]]*表格1[[#This Row],[Unit Price]],"-")</f>
        <v>598</v>
      </c>
      <c r="O748" s="134">
        <v>292919</v>
      </c>
      <c r="P748" s="81"/>
      <c r="Q748" s="81"/>
      <c r="R748" s="81" t="str">
        <f>_xlfn.CONCAT(表格1[[#This Row],[Model]]," ",表格1[[#This Row],[inv no]])</f>
        <v>TP-50DRUHK(W) 292919</v>
      </c>
      <c r="S748" s="135">
        <f>_xlfn.XLOOKUP(表格1[[#This Row],[Model]],表格3[Model-Input-Ref2],表格3[SRP PRICE])</f>
        <v>718</v>
      </c>
      <c r="T748" s="43">
        <f>表格1[[#This Row],[Unit Price]]/表格1[[#This Row],[SRP]]</f>
        <v>0.83286908077994426</v>
      </c>
      <c r="U748" s="86" t="str">
        <f>_xlfn.XLOOKUP(表格1[[#This Row],[Model]],表格3[Model-Input-Ref2],表格3[TOSHIBA/HIGHEST])</f>
        <v>Toshiba SRP</v>
      </c>
      <c r="V748" s="86" t="s">
        <v>1126</v>
      </c>
      <c r="W748" s="86" t="str">
        <f>_xlfn.CONCAT(表格1[[#This Row],[欄4]],表格1[[#This Row],[inv no]])</f>
        <v>DA141292919</v>
      </c>
    </row>
    <row r="749" spans="1:23" hidden="1">
      <c r="A749" s="81">
        <v>747</v>
      </c>
      <c r="B749" s="81" t="s">
        <v>1418</v>
      </c>
      <c r="C749" s="81" t="s">
        <v>1419</v>
      </c>
      <c r="D749" s="82" t="str">
        <f ca="1">OFFSET(Roster!$A$3,MATCH(表格1[[#This Row],[Location]]&amp;" "&amp;表格1[[#This Row],[Shop]]&amp;"*",Roster!$A$4:$A$72,0),DAY(表格1[[#This Row],[date]]),1,1)</f>
        <v>SK</v>
      </c>
      <c r="E749" s="81">
        <f>MONTH(表格1[[#This Row],[date]])</f>
        <v>3</v>
      </c>
      <c r="F749" s="101">
        <v>46095</v>
      </c>
      <c r="G749" s="81" t="str">
        <f>VLOOKUP("*"&amp;表格1[[#This Row],[Input]]&amp;"*",'Ref-List'!$B:$D,2,)</f>
        <v>RC-10AMXH(W)</v>
      </c>
      <c r="H749" s="81" t="str">
        <f>_xlfn.XLOOKUP(表格1[[#This Row],[Model]],表格3[Model-Input-Ref2],表格3[Product Line])</f>
        <v>酵活炊電飯煲(1.0公升)</v>
      </c>
      <c r="I749" s="81" t="str">
        <f>_xlfn.XLOOKUP(表格1[[#This Row],[Model]],表格3[Model-Input-Ref2],表格3[大小電])</f>
        <v>細電</v>
      </c>
      <c r="J749" s="81" t="str">
        <f>_xlfn.XLOOKUP(表格1[[#This Row],[Model]],表格3[Model-Input-Ref2],表格3[Code])</f>
        <v>SDA</v>
      </c>
      <c r="K749" s="82" t="s">
        <v>1279</v>
      </c>
      <c r="L749" s="81">
        <v>1</v>
      </c>
      <c r="M749" s="85">
        <v>990</v>
      </c>
      <c r="N749" s="85">
        <f>IFERROR(表格1[[#This Row],[QTY]]*表格1[[#This Row],[Unit Price]],"-")</f>
        <v>990</v>
      </c>
      <c r="O749" s="134">
        <v>292944</v>
      </c>
      <c r="P749" s="81"/>
      <c r="Q749" s="81"/>
      <c r="R749" s="81" t="str">
        <f>_xlfn.CONCAT(表格1[[#This Row],[Model]]," ",表格1[[#This Row],[inv no]])</f>
        <v>RC-10AMXH(W) 292944</v>
      </c>
      <c r="S749" s="135">
        <f>_xlfn.XLOOKUP(表格1[[#This Row],[Model]],表格3[Model-Input-Ref2],表格3[SRP PRICE])</f>
        <v>1288</v>
      </c>
      <c r="T749" s="43">
        <f>表格1[[#This Row],[Unit Price]]/表格1[[#This Row],[SRP]]</f>
        <v>0.76863354037267084</v>
      </c>
      <c r="U749" s="86" t="str">
        <f>_xlfn.XLOOKUP(表格1[[#This Row],[Model]],表格3[Model-Input-Ref2],表格3[TOSHIBA/HIGHEST])</f>
        <v>Toshiba SRP</v>
      </c>
      <c r="V749" s="86" t="s">
        <v>1126</v>
      </c>
      <c r="W749" s="86" t="str">
        <f>_xlfn.CONCAT(表格1[[#This Row],[欄4]],表格1[[#This Row],[inv no]])</f>
        <v>DA141292944</v>
      </c>
    </row>
    <row r="750" spans="1:23" hidden="1">
      <c r="A750" s="81">
        <v>748</v>
      </c>
      <c r="B750" s="81" t="s">
        <v>1418</v>
      </c>
      <c r="C750" s="81" t="s">
        <v>1419</v>
      </c>
      <c r="D750" s="82" t="str">
        <f ca="1">OFFSET(Roster!$A$3,MATCH(表格1[[#This Row],[Location]]&amp;" "&amp;表格1[[#This Row],[Shop]]&amp;"*",Roster!$A$4:$A$72,0),DAY(表格1[[#This Row],[date]]),1,1)</f>
        <v>SK</v>
      </c>
      <c r="E750" s="81">
        <f>MONTH(表格1[[#This Row],[date]])</f>
        <v>3</v>
      </c>
      <c r="F750" s="101">
        <v>46102</v>
      </c>
      <c r="G750" s="81" t="str">
        <f>VLOOKUP("*"&amp;表格1[[#This Row],[Input]]&amp;"*",'Ref-List'!$B:$D,2,)</f>
        <v>RAD-D200H</v>
      </c>
      <c r="H750" s="81" t="str">
        <f>_xlfn.XLOOKUP(表格1[[#This Row],[Model]],表格3[Model-Input-Ref2],表格3[Product Line])</f>
        <v>壓縮式抽濕機 (22公升)</v>
      </c>
      <c r="I750" s="81" t="str">
        <f>_xlfn.XLOOKUP(表格1[[#This Row],[Model]],表格3[Model-Input-Ref2],表格3[大小電])</f>
        <v>細電</v>
      </c>
      <c r="J750" s="81" t="str">
        <f>_xlfn.XLOOKUP(表格1[[#This Row],[Model]],表格3[Model-Input-Ref2],表格3[Code])</f>
        <v>RAC</v>
      </c>
      <c r="K750" s="82" t="s">
        <v>1250</v>
      </c>
      <c r="L750" s="81">
        <v>1</v>
      </c>
      <c r="M750" s="85">
        <v>1880</v>
      </c>
      <c r="N750" s="85">
        <f>IFERROR(表格1[[#This Row],[QTY]]*表格1[[#This Row],[Unit Price]],"-")</f>
        <v>1880</v>
      </c>
      <c r="O750" s="134">
        <v>295129</v>
      </c>
      <c r="P750" s="81"/>
      <c r="Q750" s="81"/>
      <c r="R750" s="81" t="str">
        <f>_xlfn.CONCAT(表格1[[#This Row],[Model]]," ",表格1[[#This Row],[inv no]])</f>
        <v>RAD-D200H 295129</v>
      </c>
      <c r="S750" s="135">
        <f>_xlfn.XLOOKUP(表格1[[#This Row],[Model]],表格3[Model-Input-Ref2],表格3[SRP PRICE])</f>
        <v>2880</v>
      </c>
      <c r="T750" s="43">
        <f>表格1[[#This Row],[Unit Price]]/表格1[[#This Row],[SRP]]</f>
        <v>0.65277777777777779</v>
      </c>
      <c r="U750" s="86" t="str">
        <f>_xlfn.XLOOKUP(表格1[[#This Row],[Model]],表格3[Model-Input-Ref2],表格3[TOSHIBA/HIGHEST])</f>
        <v>Shops Highest Price</v>
      </c>
      <c r="V750" s="86" t="s">
        <v>1126</v>
      </c>
      <c r="W750" s="86" t="str">
        <f>_xlfn.CONCAT(表格1[[#This Row],[欄4]],表格1[[#This Row],[inv no]])</f>
        <v>DA141295129</v>
      </c>
    </row>
    <row r="751" spans="1:23" hidden="1">
      <c r="A751" s="81">
        <v>749</v>
      </c>
      <c r="B751" s="81" t="s">
        <v>1418</v>
      </c>
      <c r="C751" s="81" t="s">
        <v>1419</v>
      </c>
      <c r="D751" s="82" t="str">
        <f ca="1">OFFSET(Roster!$A$3,MATCH(表格1[[#This Row],[Location]]&amp;" "&amp;表格1[[#This Row],[Shop]]&amp;"*",Roster!$A$4:$A$72,0),DAY(表格1[[#This Row],[date]]),1,1)</f>
        <v>SK</v>
      </c>
      <c r="E751" s="81">
        <f>MONTH(表格1[[#This Row],[date]])</f>
        <v>3</v>
      </c>
      <c r="F751" s="101">
        <v>46103</v>
      </c>
      <c r="G751" s="81" t="str">
        <f>VLOOKUP("*"&amp;表格1[[#This Row],[Input]]&amp;"*",'Ref-List'!$B:$D,2,)</f>
        <v>IC-20R1THK</v>
      </c>
      <c r="H751" s="81" t="str">
        <f>_xlfn.XLOOKUP(表格1[[#This Row],[Model]],表格3[Model-Input-Ref2],表格3[Product Line])</f>
        <v>輕便式電磁爐</v>
      </c>
      <c r="I751" s="81" t="str">
        <f>_xlfn.XLOOKUP(表格1[[#This Row],[Model]],表格3[Model-Input-Ref2],表格3[大小電])</f>
        <v>細電</v>
      </c>
      <c r="J751" s="81" t="str">
        <f>_xlfn.XLOOKUP(表格1[[#This Row],[Model]],表格3[Model-Input-Ref2],表格3[Code])</f>
        <v>SDA</v>
      </c>
      <c r="K751" s="82" t="s">
        <v>1243</v>
      </c>
      <c r="L751" s="81">
        <v>1</v>
      </c>
      <c r="M751" s="85">
        <v>298</v>
      </c>
      <c r="N751" s="85">
        <f>IFERROR(表格1[[#This Row],[QTY]]*表格1[[#This Row],[Unit Price]],"-")</f>
        <v>298</v>
      </c>
      <c r="O751" s="134">
        <v>295387</v>
      </c>
      <c r="P751" s="81"/>
      <c r="Q751" s="81"/>
      <c r="R751" s="81" t="str">
        <f>_xlfn.CONCAT(表格1[[#This Row],[Model]]," ",表格1[[#This Row],[inv no]])</f>
        <v>IC-20R1THK 295387</v>
      </c>
      <c r="S751" s="135">
        <f>_xlfn.XLOOKUP(表格1[[#This Row],[Model]],表格3[Model-Input-Ref2],表格3[SRP PRICE])</f>
        <v>438</v>
      </c>
      <c r="T751" s="43">
        <f>表格1[[#This Row],[Unit Price]]/表格1[[#This Row],[SRP]]</f>
        <v>0.68036529680365299</v>
      </c>
      <c r="U751" s="86" t="str">
        <f>_xlfn.XLOOKUP(表格1[[#This Row],[Model]],表格3[Model-Input-Ref2],表格3[TOSHIBA/HIGHEST])</f>
        <v>Shops Highest Price</v>
      </c>
      <c r="V751" s="86" t="s">
        <v>1126</v>
      </c>
      <c r="W751" s="86" t="str">
        <f>_xlfn.CONCAT(表格1[[#This Row],[欄4]],表格1[[#This Row],[inv no]])</f>
        <v>DA141295387</v>
      </c>
    </row>
    <row r="752" spans="1:23" hidden="1">
      <c r="A752" s="81">
        <v>750</v>
      </c>
      <c r="B752" s="81" t="s">
        <v>1418</v>
      </c>
      <c r="C752" s="81" t="s">
        <v>1419</v>
      </c>
      <c r="D752" s="82" t="str">
        <f ca="1">OFFSET(Roster!$A$3,MATCH(表格1[[#This Row],[Location]]&amp;" "&amp;表格1[[#This Row],[Shop]]&amp;"*",Roster!$A$4:$A$72,0),DAY(表格1[[#This Row],[date]]),1,1)</f>
        <v>SK</v>
      </c>
      <c r="E752" s="81">
        <f>MONTH(表格1[[#This Row],[date]])</f>
        <v>3</v>
      </c>
      <c r="F752" s="101">
        <v>46103</v>
      </c>
      <c r="G752" s="81" t="str">
        <f>VLOOKUP("*"&amp;表格1[[#This Row],[Input]]&amp;"*",'Ref-List'!$B:$D,2,)</f>
        <v>TP-25DR2UHK(W)</v>
      </c>
      <c r="H752" s="81" t="str">
        <f>_xlfn.XLOOKUP(表格1[[#This Row],[Model]],表格3[Model-Input-Ref2],表格3[Product Line])</f>
        <v>電熱水瓶 (2.5公升)</v>
      </c>
      <c r="I752" s="81" t="str">
        <f>_xlfn.XLOOKUP(表格1[[#This Row],[Model]],表格3[Model-Input-Ref2],表格3[大小電])</f>
        <v>細電</v>
      </c>
      <c r="J752" s="81" t="str">
        <f>_xlfn.XLOOKUP(表格1[[#This Row],[Model]],表格3[Model-Input-Ref2],表格3[Code])</f>
        <v>SDA</v>
      </c>
      <c r="K752" s="82" t="s">
        <v>1285</v>
      </c>
      <c r="L752" s="81">
        <v>1</v>
      </c>
      <c r="M752" s="85">
        <v>398</v>
      </c>
      <c r="N752" s="85">
        <f>IFERROR(表格1[[#This Row],[QTY]]*表格1[[#This Row],[Unit Price]],"-")</f>
        <v>398</v>
      </c>
      <c r="O752" s="134">
        <v>295386</v>
      </c>
      <c r="P752" s="81"/>
      <c r="Q752" s="81"/>
      <c r="R752" s="81" t="str">
        <f>_xlfn.CONCAT(表格1[[#This Row],[Model]]," ",表格1[[#This Row],[inv no]])</f>
        <v>TP-25DR2UHK(W) 295386</v>
      </c>
      <c r="S752" s="135">
        <f>_xlfn.XLOOKUP(表格1[[#This Row],[Model]],表格3[Model-Input-Ref2],表格3[SRP PRICE])</f>
        <v>538</v>
      </c>
      <c r="T752" s="43">
        <f>表格1[[#This Row],[Unit Price]]/表格1[[#This Row],[SRP]]</f>
        <v>0.7397769516728625</v>
      </c>
      <c r="U752" s="86" t="str">
        <f>_xlfn.XLOOKUP(表格1[[#This Row],[Model]],表格3[Model-Input-Ref2],表格3[TOSHIBA/HIGHEST])</f>
        <v>Toshiba SRP</v>
      </c>
      <c r="V752" s="86" t="s">
        <v>1126</v>
      </c>
      <c r="W752" s="86" t="str">
        <f>_xlfn.CONCAT(表格1[[#This Row],[欄4]],表格1[[#This Row],[inv no]])</f>
        <v>DA141295386</v>
      </c>
    </row>
    <row r="753" spans="1:23" hidden="1">
      <c r="A753" s="81">
        <v>751</v>
      </c>
      <c r="B753" s="81" t="s">
        <v>1418</v>
      </c>
      <c r="C753" s="81" t="s">
        <v>1419</v>
      </c>
      <c r="D753" s="82" t="str">
        <f ca="1">OFFSET(Roster!$A$3,MATCH(表格1[[#This Row],[Location]]&amp;" "&amp;表格1[[#This Row],[Shop]]&amp;"*",Roster!$A$4:$A$72,0),DAY(表格1[[#This Row],[date]]),1,1)</f>
        <v>SK</v>
      </c>
      <c r="E753" s="81">
        <f>MONTH(表格1[[#This Row],[date]])</f>
        <v>3</v>
      </c>
      <c r="F753" s="101">
        <v>46103</v>
      </c>
      <c r="G753" s="81" t="str">
        <f>VLOOKUP("*"&amp;表格1[[#This Row],[Input]]&amp;"*",'Ref-List'!$B:$D,2,)</f>
        <v>RC-18AMXH(W)</v>
      </c>
      <c r="H753" s="81" t="str">
        <f>_xlfn.XLOOKUP(表格1[[#This Row],[Model]],表格3[Model-Input-Ref2],表格3[Product Line])</f>
        <v>酵活炊電飯煲(1.8公升)</v>
      </c>
      <c r="I753" s="81" t="str">
        <f>_xlfn.XLOOKUP(表格1[[#This Row],[Model]],表格3[Model-Input-Ref2],表格3[大小電])</f>
        <v>細電</v>
      </c>
      <c r="J753" s="81" t="str">
        <f>_xlfn.XLOOKUP(表格1[[#This Row],[Model]],表格3[Model-Input-Ref2],表格3[Code])</f>
        <v>SDA</v>
      </c>
      <c r="K753" s="82" t="s">
        <v>1362</v>
      </c>
      <c r="L753" s="81">
        <v>1</v>
      </c>
      <c r="M753" s="85">
        <v>990</v>
      </c>
      <c r="N753" s="85">
        <f>IFERROR(表格1[[#This Row],[QTY]]*表格1[[#This Row],[Unit Price]],"-")</f>
        <v>990</v>
      </c>
      <c r="O753" s="134">
        <v>295544</v>
      </c>
      <c r="P753" s="81"/>
      <c r="Q753" s="81"/>
      <c r="R753" s="81" t="str">
        <f>_xlfn.CONCAT(表格1[[#This Row],[Model]]," ",表格1[[#This Row],[inv no]])</f>
        <v>RC-18AMXH(W) 295544</v>
      </c>
      <c r="S753" s="135">
        <f>_xlfn.XLOOKUP(表格1[[#This Row],[Model]],表格3[Model-Input-Ref2],表格3[SRP PRICE])</f>
        <v>1588</v>
      </c>
      <c r="T753" s="43">
        <f>表格1[[#This Row],[Unit Price]]/表格1[[#This Row],[SRP]]</f>
        <v>0.62342569269521408</v>
      </c>
      <c r="U753" s="86" t="str">
        <f>_xlfn.XLOOKUP(表格1[[#This Row],[Model]],表格3[Model-Input-Ref2],表格3[TOSHIBA/HIGHEST])</f>
        <v>Toshiba SRP</v>
      </c>
      <c r="V753" s="86" t="s">
        <v>1126</v>
      </c>
      <c r="W753" s="86" t="str">
        <f>_xlfn.CONCAT(表格1[[#This Row],[欄4]],表格1[[#This Row],[inv no]])</f>
        <v>DA141295544</v>
      </c>
    </row>
    <row r="754" spans="1:23" hidden="1">
      <c r="A754" s="81">
        <v>752</v>
      </c>
      <c r="B754" s="81" t="s">
        <v>1418</v>
      </c>
      <c r="C754" s="81" t="s">
        <v>1419</v>
      </c>
      <c r="D754" s="82" t="str">
        <f ca="1">OFFSET(Roster!$A$3,MATCH(表格1[[#This Row],[Location]]&amp;" "&amp;表格1[[#This Row],[Shop]]&amp;"*",Roster!$A$4:$A$72,0),DAY(表格1[[#This Row],[date]]),1,1)</f>
        <v>SK</v>
      </c>
      <c r="E754" s="81">
        <f>MONTH(表格1[[#This Row],[date]])</f>
        <v>3</v>
      </c>
      <c r="F754" s="101">
        <v>46103</v>
      </c>
      <c r="G754" s="81" t="str">
        <f>VLOOKUP("*"&amp;表格1[[#This Row],[Input]]&amp;"*",'Ref-List'!$B:$D,2,)</f>
        <v>RC-18AMXH(W)</v>
      </c>
      <c r="H754" s="81" t="str">
        <f>_xlfn.XLOOKUP(表格1[[#This Row],[Model]],表格3[Model-Input-Ref2],表格3[Product Line])</f>
        <v>酵活炊電飯煲(1.8公升)</v>
      </c>
      <c r="I754" s="81" t="str">
        <f>_xlfn.XLOOKUP(表格1[[#This Row],[Model]],表格3[Model-Input-Ref2],表格3[大小電])</f>
        <v>細電</v>
      </c>
      <c r="J754" s="81" t="str">
        <f>_xlfn.XLOOKUP(表格1[[#This Row],[Model]],表格3[Model-Input-Ref2],表格3[Code])</f>
        <v>SDA</v>
      </c>
      <c r="K754" s="82" t="s">
        <v>1362</v>
      </c>
      <c r="L754" s="81">
        <v>1</v>
      </c>
      <c r="M754" s="85">
        <v>990</v>
      </c>
      <c r="N754" s="85">
        <f>IFERROR(表格1[[#This Row],[QTY]]*表格1[[#This Row],[Unit Price]],"-")</f>
        <v>990</v>
      </c>
      <c r="O754" s="134">
        <v>295653</v>
      </c>
      <c r="P754" s="81"/>
      <c r="Q754" s="81"/>
      <c r="R754" s="81" t="str">
        <f>_xlfn.CONCAT(表格1[[#This Row],[Model]]," ",表格1[[#This Row],[inv no]])</f>
        <v>RC-18AMXH(W) 295653</v>
      </c>
      <c r="S754" s="135">
        <f>_xlfn.XLOOKUP(表格1[[#This Row],[Model]],表格3[Model-Input-Ref2],表格3[SRP PRICE])</f>
        <v>1588</v>
      </c>
      <c r="T754" s="43">
        <f>表格1[[#This Row],[Unit Price]]/表格1[[#This Row],[SRP]]</f>
        <v>0.62342569269521408</v>
      </c>
      <c r="U754" s="86" t="str">
        <f>_xlfn.XLOOKUP(表格1[[#This Row],[Model]],表格3[Model-Input-Ref2],表格3[TOSHIBA/HIGHEST])</f>
        <v>Toshiba SRP</v>
      </c>
      <c r="V754" s="86" t="s">
        <v>1126</v>
      </c>
      <c r="W754" s="86" t="str">
        <f>_xlfn.CONCAT(表格1[[#This Row],[欄4]],表格1[[#This Row],[inv no]])</f>
        <v>DA141295653</v>
      </c>
    </row>
    <row r="755" spans="1:23" hidden="1">
      <c r="A755" s="81">
        <v>753</v>
      </c>
      <c r="B755" s="81" t="s">
        <v>1418</v>
      </c>
      <c r="C755" s="81" t="s">
        <v>1419</v>
      </c>
      <c r="D755" s="82" t="str">
        <f ca="1">OFFSET(Roster!$A$3,MATCH(表格1[[#This Row],[Location]]&amp;" "&amp;表格1[[#This Row],[Shop]]&amp;"*",Roster!$A$4:$A$72,0),DAY(表格1[[#This Row],[date]]),1,1)</f>
        <v>SK</v>
      </c>
      <c r="E755" s="81">
        <f>MONTH(表格1[[#This Row],[date]])</f>
        <v>3</v>
      </c>
      <c r="F755" s="101">
        <v>46103</v>
      </c>
      <c r="G755" s="81" t="str">
        <f>VLOOKUP("*"&amp;表格1[[#This Row],[Input]]&amp;"*",'Ref-List'!$B:$D,2,)</f>
        <v>TWD-T22BU95UWH(WK)-B</v>
      </c>
      <c r="H755" s="81" t="str">
        <f>_xlfn.XLOOKUP(表格1[[#This Row],[Model]],表格3[Model-Input-Ref2],表格3[Product Line])</f>
        <v>470MM超薄身前置式變頻洗衣乾衣機 (洗8.5公斤/乾6公斤, 可飛頂)</v>
      </c>
      <c r="I755" s="81" t="str">
        <f>_xlfn.XLOOKUP(表格1[[#This Row],[Model]],表格3[Model-Input-Ref2],表格3[大小電])</f>
        <v>大電</v>
      </c>
      <c r="J755" s="81" t="str">
        <f>_xlfn.XLOOKUP(表格1[[#This Row],[Model]],表格3[Model-Input-Ref2],表格3[Code])</f>
        <v>LAD</v>
      </c>
      <c r="K755" s="82" t="s">
        <v>1421</v>
      </c>
      <c r="L755" s="81">
        <v>1</v>
      </c>
      <c r="M755" s="85">
        <v>4780</v>
      </c>
      <c r="N755" s="85">
        <f>IFERROR(表格1[[#This Row],[QTY]]*表格1[[#This Row],[Unit Price]],"-")</f>
        <v>4780</v>
      </c>
      <c r="O755" s="134">
        <v>295668</v>
      </c>
      <c r="P755" s="81"/>
      <c r="Q755" s="81"/>
      <c r="R755" s="81" t="str">
        <f>_xlfn.CONCAT(表格1[[#This Row],[Model]]," ",表格1[[#This Row],[inv no]])</f>
        <v>TWD-T22BU95UWH(WK)-B 295668</v>
      </c>
      <c r="S755" s="135">
        <f>_xlfn.XLOOKUP(表格1[[#This Row],[Model]],表格3[Model-Input-Ref2],表格3[SRP PRICE])</f>
        <v>7480</v>
      </c>
      <c r="T755" s="43">
        <f>表格1[[#This Row],[Unit Price]]/表格1[[#This Row],[SRP]]</f>
        <v>0.63903743315508021</v>
      </c>
      <c r="U755" s="86" t="str">
        <f>_xlfn.XLOOKUP(表格1[[#This Row],[Model]],表格3[Model-Input-Ref2],表格3[TOSHIBA/HIGHEST])</f>
        <v>Toshiba SRP</v>
      </c>
      <c r="V755" s="86" t="s">
        <v>1126</v>
      </c>
      <c r="W755" s="86" t="str">
        <f>_xlfn.CONCAT(表格1[[#This Row],[欄4]],表格1[[#This Row],[inv no]])</f>
        <v>DA141295668</v>
      </c>
    </row>
    <row r="756" spans="1:23" hidden="1">
      <c r="A756" s="81">
        <v>754</v>
      </c>
      <c r="B756" s="81" t="s">
        <v>1418</v>
      </c>
      <c r="C756" s="81" t="s">
        <v>1419</v>
      </c>
      <c r="D756" s="82" t="str">
        <f ca="1">OFFSET(Roster!$A$3,MATCH(表格1[[#This Row],[Location]]&amp;" "&amp;表格1[[#This Row],[Shop]]&amp;"*",Roster!$A$4:$A$72,0),DAY(表格1[[#This Row],[date]]),1,1)</f>
        <v>SK</v>
      </c>
      <c r="E756" s="81">
        <f>MONTH(表格1[[#This Row],[date]])</f>
        <v>3</v>
      </c>
      <c r="F756" s="101">
        <v>46104</v>
      </c>
      <c r="G756" s="81" t="str">
        <f>VLOOKUP("*"&amp;表格1[[#This Row],[Input]]&amp;"*",'Ref-List'!$B:$D,2,)</f>
        <v>RC-18AMXH(W)</v>
      </c>
      <c r="H756" s="81" t="str">
        <f>_xlfn.XLOOKUP(表格1[[#This Row],[Model]],表格3[Model-Input-Ref2],表格3[Product Line])</f>
        <v>酵活炊電飯煲(1.8公升)</v>
      </c>
      <c r="I756" s="81" t="str">
        <f>_xlfn.XLOOKUP(表格1[[#This Row],[Model]],表格3[Model-Input-Ref2],表格3[大小電])</f>
        <v>細電</v>
      </c>
      <c r="J756" s="81" t="str">
        <f>_xlfn.XLOOKUP(表格1[[#This Row],[Model]],表格3[Model-Input-Ref2],表格3[Code])</f>
        <v>SDA</v>
      </c>
      <c r="K756" s="82" t="s">
        <v>1362</v>
      </c>
      <c r="L756" s="81">
        <v>1</v>
      </c>
      <c r="M756" s="85">
        <v>990</v>
      </c>
      <c r="N756" s="85">
        <f>IFERROR(表格1[[#This Row],[QTY]]*表格1[[#This Row],[Unit Price]],"-")</f>
        <v>990</v>
      </c>
      <c r="O756" s="134">
        <v>295797</v>
      </c>
      <c r="P756" s="81"/>
      <c r="Q756" s="81"/>
      <c r="R756" s="81" t="str">
        <f>_xlfn.CONCAT(表格1[[#This Row],[Model]]," ",表格1[[#This Row],[inv no]])</f>
        <v>RC-18AMXH(W) 295797</v>
      </c>
      <c r="S756" s="135">
        <f>_xlfn.XLOOKUP(表格1[[#This Row],[Model]],表格3[Model-Input-Ref2],表格3[SRP PRICE])</f>
        <v>1588</v>
      </c>
      <c r="T756" s="43">
        <f>表格1[[#This Row],[Unit Price]]/表格1[[#This Row],[SRP]]</f>
        <v>0.62342569269521408</v>
      </c>
      <c r="U756" s="86" t="str">
        <f>_xlfn.XLOOKUP(表格1[[#This Row],[Model]],表格3[Model-Input-Ref2],表格3[TOSHIBA/HIGHEST])</f>
        <v>Toshiba SRP</v>
      </c>
      <c r="V756" s="86" t="s">
        <v>1126</v>
      </c>
      <c r="W756" s="86" t="str">
        <f>_xlfn.CONCAT(表格1[[#This Row],[欄4]],表格1[[#This Row],[inv no]])</f>
        <v>DA141295797</v>
      </c>
    </row>
    <row r="757" spans="1:23" hidden="1">
      <c r="A757" s="81">
        <v>755</v>
      </c>
      <c r="B757" s="81" t="s">
        <v>1418</v>
      </c>
      <c r="C757" s="81" t="s">
        <v>1419</v>
      </c>
      <c r="D757" s="82" t="str">
        <f ca="1">OFFSET(Roster!$A$3,MATCH(表格1[[#This Row],[Location]]&amp;" "&amp;表格1[[#This Row],[Shop]]&amp;"*",Roster!$A$4:$A$72,0),DAY(表格1[[#This Row],[date]]),1,1)</f>
        <v>SK</v>
      </c>
      <c r="E757" s="81">
        <f>MONTH(表格1[[#This Row],[date]])</f>
        <v>3</v>
      </c>
      <c r="F757" s="101">
        <v>46104</v>
      </c>
      <c r="G757" s="81" t="str">
        <f>VLOOKUP("*"&amp;表格1[[#This Row],[Input]]&amp;"*",'Ref-List'!$B:$D,2,)</f>
        <v>MX2-STR25SC(WH)</v>
      </c>
      <c r="H757" s="81" t="str">
        <f>_xlfn.XLOOKUP(表格1[[#This Row],[Model]],表格3[Model-Input-Ref2],表格3[Product Line])</f>
        <v>4合1氣炸微波蒸焗爐(25公升)</v>
      </c>
      <c r="I757" s="81" t="str">
        <f>_xlfn.XLOOKUP(表格1[[#This Row],[Model]],表格3[Model-Input-Ref2],表格3[大小電])</f>
        <v>細電</v>
      </c>
      <c r="J757" s="81" t="str">
        <f>_xlfn.XLOOKUP(表格1[[#This Row],[Model]],表格3[Model-Input-Ref2],表格3[Code])</f>
        <v>MCA</v>
      </c>
      <c r="K757" s="82" t="s">
        <v>1410</v>
      </c>
      <c r="L757" s="81">
        <v>1</v>
      </c>
      <c r="M757" s="85">
        <v>3580</v>
      </c>
      <c r="N757" s="85">
        <f>IFERROR(表格1[[#This Row],[QTY]]*表格1[[#This Row],[Unit Price]],"-")</f>
        <v>3580</v>
      </c>
      <c r="O757" s="134">
        <v>296014</v>
      </c>
      <c r="P757" s="81"/>
      <c r="Q757" s="81"/>
      <c r="R757" s="81" t="str">
        <f>_xlfn.CONCAT(表格1[[#This Row],[Model]]," ",表格1[[#This Row],[inv no]])</f>
        <v>MX2-STR25SC(WH) 296014</v>
      </c>
      <c r="S757" s="135">
        <f>_xlfn.XLOOKUP(表格1[[#This Row],[Model]],表格3[Model-Input-Ref2],表格3[SRP PRICE])</f>
        <v>4998</v>
      </c>
      <c r="T757" s="43">
        <f>表格1[[#This Row],[Unit Price]]/表格1[[#This Row],[SRP]]</f>
        <v>0.71628651460584236</v>
      </c>
      <c r="U757" s="86" t="str">
        <f>_xlfn.XLOOKUP(表格1[[#This Row],[Model]],表格3[Model-Input-Ref2],表格3[TOSHIBA/HIGHEST])</f>
        <v>Toshiba SRP</v>
      </c>
      <c r="V757" s="86" t="s">
        <v>1126</v>
      </c>
      <c r="W757" s="86" t="str">
        <f>_xlfn.CONCAT(表格1[[#This Row],[欄4]],表格1[[#This Row],[inv no]])</f>
        <v>DA141296014</v>
      </c>
    </row>
    <row r="758" spans="1:23" hidden="1">
      <c r="A758" s="81">
        <v>756</v>
      </c>
      <c r="B758" s="81" t="s">
        <v>1418</v>
      </c>
      <c r="C758" s="81" t="s">
        <v>1419</v>
      </c>
      <c r="D758" s="82" t="str">
        <f ca="1">OFFSET(Roster!$A$3,MATCH(表格1[[#This Row],[Location]]&amp;" "&amp;表格1[[#This Row],[Shop]]&amp;"*",Roster!$A$4:$A$72,0),DAY(表格1[[#This Row],[date]]),1,1)</f>
        <v>SK</v>
      </c>
      <c r="E758" s="81">
        <f>MONTH(表格1[[#This Row],[date]])</f>
        <v>3</v>
      </c>
      <c r="F758" s="101">
        <v>46105</v>
      </c>
      <c r="G758" s="81" t="str">
        <f>VLOOKUP("*"&amp;表格1[[#This Row],[Input]]&amp;"*",'Ref-List'!$B:$D,2,)</f>
        <v>RC-DR10T(W)</v>
      </c>
      <c r="H758" s="81" t="str">
        <f>_xlfn.XLOOKUP(表格1[[#This Row],[Model]],表格3[Model-Input-Ref2],表格3[Product Line])</f>
        <v>IH磁應電飯煲</v>
      </c>
      <c r="I758" s="81" t="str">
        <f>_xlfn.XLOOKUP(表格1[[#This Row],[Model]],表格3[Model-Input-Ref2],表格3[大小電])</f>
        <v>細電</v>
      </c>
      <c r="J758" s="81" t="str">
        <f>_xlfn.XLOOKUP(表格1[[#This Row],[Model]],表格3[Model-Input-Ref2],表格3[Code])</f>
        <v>SDA</v>
      </c>
      <c r="K758" s="82" t="s">
        <v>1294</v>
      </c>
      <c r="L758" s="81">
        <v>1</v>
      </c>
      <c r="M758" s="85">
        <v>2380</v>
      </c>
      <c r="N758" s="85">
        <f>IFERROR(表格1[[#This Row],[QTY]]*表格1[[#This Row],[Unit Price]],"-")</f>
        <v>2380</v>
      </c>
      <c r="O758" s="134">
        <v>296167</v>
      </c>
      <c r="P758" s="81"/>
      <c r="Q758" s="81"/>
      <c r="R758" s="81" t="str">
        <f>_xlfn.CONCAT(表格1[[#This Row],[Model]]," ",表格1[[#This Row],[inv no]])</f>
        <v>RC-DR10T(W) 296167</v>
      </c>
      <c r="S758" s="135">
        <f>_xlfn.XLOOKUP(表格1[[#This Row],[Model]],表格3[Model-Input-Ref2],表格3[SRP PRICE])</f>
        <v>3188</v>
      </c>
      <c r="T758" s="43">
        <f>表格1[[#This Row],[Unit Price]]/表格1[[#This Row],[SRP]]</f>
        <v>0.74654956085319946</v>
      </c>
      <c r="U758" s="86" t="str">
        <f>_xlfn.XLOOKUP(表格1[[#This Row],[Model]],表格3[Model-Input-Ref2],表格3[TOSHIBA/HIGHEST])</f>
        <v>Toshiba SRP</v>
      </c>
      <c r="V758" s="86" t="s">
        <v>1126</v>
      </c>
      <c r="W758" s="86" t="str">
        <f>_xlfn.CONCAT(表格1[[#This Row],[欄4]],表格1[[#This Row],[inv no]])</f>
        <v>DA141296167</v>
      </c>
    </row>
    <row r="759" spans="1:23" hidden="1">
      <c r="A759" s="81">
        <v>757</v>
      </c>
      <c r="B759" s="81" t="s">
        <v>1418</v>
      </c>
      <c r="C759" s="81" t="s">
        <v>1419</v>
      </c>
      <c r="D759" s="82" t="str">
        <f ca="1">OFFSET(Roster!$A$3,MATCH(表格1[[#This Row],[Location]]&amp;" "&amp;表格1[[#This Row],[Shop]]&amp;"*",Roster!$A$4:$A$72,0),DAY(表格1[[#This Row],[date]]),1,1)</f>
        <v>SK</v>
      </c>
      <c r="E759" s="81">
        <f>MONTH(表格1[[#This Row],[date]])</f>
        <v>3</v>
      </c>
      <c r="F759" s="101">
        <v>46105</v>
      </c>
      <c r="G759" s="81" t="str">
        <f>VLOOKUP("*"&amp;表格1[[#This Row],[Input]]&amp;"*",'Ref-List'!$B:$D,2,)</f>
        <v>RAD-D200H</v>
      </c>
      <c r="H759" s="81" t="str">
        <f>_xlfn.XLOOKUP(表格1[[#This Row],[Model]],表格3[Model-Input-Ref2],表格3[Product Line])</f>
        <v>壓縮式抽濕機 (22公升)</v>
      </c>
      <c r="I759" s="81" t="str">
        <f>_xlfn.XLOOKUP(表格1[[#This Row],[Model]],表格3[Model-Input-Ref2],表格3[大小電])</f>
        <v>細電</v>
      </c>
      <c r="J759" s="81" t="str">
        <f>_xlfn.XLOOKUP(表格1[[#This Row],[Model]],表格3[Model-Input-Ref2],表格3[Code])</f>
        <v>RAC</v>
      </c>
      <c r="K759" s="82" t="s">
        <v>1250</v>
      </c>
      <c r="L759" s="81">
        <v>3</v>
      </c>
      <c r="M759" s="85">
        <v>1880</v>
      </c>
      <c r="N759" s="85">
        <f>IFERROR(表格1[[#This Row],[QTY]]*表格1[[#This Row],[Unit Price]],"-")</f>
        <v>5640</v>
      </c>
      <c r="O759" s="134">
        <v>296221</v>
      </c>
      <c r="P759" s="81"/>
      <c r="Q759" s="81"/>
      <c r="R759" s="81" t="str">
        <f>_xlfn.CONCAT(表格1[[#This Row],[Model]]," ",表格1[[#This Row],[inv no]])</f>
        <v>RAD-D200H 296221</v>
      </c>
      <c r="S759" s="135">
        <f>_xlfn.XLOOKUP(表格1[[#This Row],[Model]],表格3[Model-Input-Ref2],表格3[SRP PRICE])</f>
        <v>2880</v>
      </c>
      <c r="T759" s="43">
        <f>表格1[[#This Row],[Unit Price]]/表格1[[#This Row],[SRP]]</f>
        <v>0.65277777777777779</v>
      </c>
      <c r="U759" s="86" t="str">
        <f>_xlfn.XLOOKUP(表格1[[#This Row],[Model]],表格3[Model-Input-Ref2],表格3[TOSHIBA/HIGHEST])</f>
        <v>Shops Highest Price</v>
      </c>
      <c r="V759" s="86" t="s">
        <v>1126</v>
      </c>
      <c r="W759" s="86" t="str">
        <f>_xlfn.CONCAT(表格1[[#This Row],[欄4]],表格1[[#This Row],[inv no]])</f>
        <v>DA141296221</v>
      </c>
    </row>
    <row r="760" spans="1:23" hidden="1">
      <c r="A760" s="81">
        <v>758</v>
      </c>
      <c r="B760" s="81" t="s">
        <v>1418</v>
      </c>
      <c r="C760" s="81" t="s">
        <v>1419</v>
      </c>
      <c r="D760" s="82" t="str">
        <f ca="1">OFFSET(Roster!$A$3,MATCH(表格1[[#This Row],[Location]]&amp;" "&amp;表格1[[#This Row],[Shop]]&amp;"*",Roster!$A$4:$A$72,0),DAY(表格1[[#This Row],[date]]),1,1)</f>
        <v>SK</v>
      </c>
      <c r="E760" s="81">
        <f>MONTH(表格1[[#This Row],[date]])</f>
        <v>3</v>
      </c>
      <c r="F760" s="101">
        <v>46105</v>
      </c>
      <c r="G760" s="81" t="str">
        <f>VLOOKUP("*"&amp;表格1[[#This Row],[Input]]&amp;"*",'Ref-List'!$B:$D,2,)</f>
        <v>RC-10AMXH(W)</v>
      </c>
      <c r="H760" s="81" t="str">
        <f>_xlfn.XLOOKUP(表格1[[#This Row],[Model]],表格3[Model-Input-Ref2],表格3[Product Line])</f>
        <v>酵活炊電飯煲(1.0公升)</v>
      </c>
      <c r="I760" s="81" t="str">
        <f>_xlfn.XLOOKUP(表格1[[#This Row],[Model]],表格3[Model-Input-Ref2],表格3[大小電])</f>
        <v>細電</v>
      </c>
      <c r="J760" s="81" t="str">
        <f>_xlfn.XLOOKUP(表格1[[#This Row],[Model]],表格3[Model-Input-Ref2],表格3[Code])</f>
        <v>SDA</v>
      </c>
      <c r="K760" s="82" t="s">
        <v>1279</v>
      </c>
      <c r="L760" s="81">
        <v>1</v>
      </c>
      <c r="M760" s="85">
        <v>990</v>
      </c>
      <c r="N760" s="85">
        <f>IFERROR(表格1[[#This Row],[QTY]]*表格1[[#This Row],[Unit Price]],"-")</f>
        <v>990</v>
      </c>
      <c r="O760" s="134">
        <v>296252</v>
      </c>
      <c r="P760" s="81"/>
      <c r="Q760" s="81"/>
      <c r="R760" s="81" t="str">
        <f>_xlfn.CONCAT(表格1[[#This Row],[Model]]," ",表格1[[#This Row],[inv no]])</f>
        <v>RC-10AMXH(W) 296252</v>
      </c>
      <c r="S760" s="135">
        <f>_xlfn.XLOOKUP(表格1[[#This Row],[Model]],表格3[Model-Input-Ref2],表格3[SRP PRICE])</f>
        <v>1288</v>
      </c>
      <c r="T760" s="43">
        <f>表格1[[#This Row],[Unit Price]]/表格1[[#This Row],[SRP]]</f>
        <v>0.76863354037267084</v>
      </c>
      <c r="U760" s="86" t="str">
        <f>_xlfn.XLOOKUP(表格1[[#This Row],[Model]],表格3[Model-Input-Ref2],表格3[TOSHIBA/HIGHEST])</f>
        <v>Toshiba SRP</v>
      </c>
      <c r="V760" s="86" t="s">
        <v>1126</v>
      </c>
      <c r="W760" s="86" t="str">
        <f>_xlfn.CONCAT(表格1[[#This Row],[欄4]],表格1[[#This Row],[inv no]])</f>
        <v>DA141296252</v>
      </c>
    </row>
    <row r="761" spans="1:23" hidden="1">
      <c r="A761" s="81">
        <v>759</v>
      </c>
      <c r="B761" s="81" t="s">
        <v>1418</v>
      </c>
      <c r="C761" s="81" t="s">
        <v>1419</v>
      </c>
      <c r="D761" s="82" t="str">
        <f ca="1">OFFSET(Roster!$A$3,MATCH(表格1[[#This Row],[Location]]&amp;" "&amp;表格1[[#This Row],[Shop]]&amp;"*",Roster!$A$4:$A$72,0),DAY(表格1[[#This Row],[date]]),1,1)</f>
        <v>SK</v>
      </c>
      <c r="E761" s="81">
        <f>MONTH(表格1[[#This Row],[date]])</f>
        <v>3</v>
      </c>
      <c r="F761" s="101">
        <v>46105</v>
      </c>
      <c r="G761" s="81" t="str">
        <f>VLOOKUP("*"&amp;表格1[[#This Row],[Input]]&amp;"*",'Ref-List'!$B:$D,2,)</f>
        <v>RC-5SLIH(W)</v>
      </c>
      <c r="H761" s="81" t="str">
        <f>_xlfn.XLOOKUP(表格1[[#This Row],[Model]],表格3[Model-Input-Ref2],表格3[Product Line])</f>
        <v>微型電腦珍珠飯煲</v>
      </c>
      <c r="I761" s="81" t="str">
        <f>_xlfn.XLOOKUP(表格1[[#This Row],[Model]],表格3[Model-Input-Ref2],表格3[大小電])</f>
        <v>細電</v>
      </c>
      <c r="J761" s="81" t="str">
        <f>_xlfn.XLOOKUP(表格1[[#This Row],[Model]],表格3[Model-Input-Ref2],表格3[Code])</f>
        <v>SDA</v>
      </c>
      <c r="K761" s="82" t="s">
        <v>1264</v>
      </c>
      <c r="L761" s="81">
        <v>1</v>
      </c>
      <c r="M761" s="85">
        <v>550</v>
      </c>
      <c r="N761" s="85">
        <f>IFERROR(表格1[[#This Row],[QTY]]*表格1[[#This Row],[Unit Price]],"-")</f>
        <v>550</v>
      </c>
      <c r="O761" s="134">
        <v>296357</v>
      </c>
      <c r="P761" s="81"/>
      <c r="Q761" s="81"/>
      <c r="R761" s="81" t="str">
        <f>_xlfn.CONCAT(表格1[[#This Row],[Model]]," ",表格1[[#This Row],[inv no]])</f>
        <v>RC-5SLIH(W) 296357</v>
      </c>
      <c r="S761" s="135">
        <f>_xlfn.XLOOKUP(表格1[[#This Row],[Model]],表格3[Model-Input-Ref2],表格3[SRP PRICE])</f>
        <v>658</v>
      </c>
      <c r="T761" s="43">
        <f>表格1[[#This Row],[Unit Price]]/表格1[[#This Row],[SRP]]</f>
        <v>0.83586626139817632</v>
      </c>
      <c r="U761" s="86" t="str">
        <f>_xlfn.XLOOKUP(表格1[[#This Row],[Model]],表格3[Model-Input-Ref2],表格3[TOSHIBA/HIGHEST])</f>
        <v>Toshiba SRP</v>
      </c>
      <c r="V761" s="86" t="s">
        <v>1126</v>
      </c>
      <c r="W761" s="86" t="str">
        <f>_xlfn.CONCAT(表格1[[#This Row],[欄4]],表格1[[#This Row],[inv no]])</f>
        <v>DA141296357</v>
      </c>
    </row>
    <row r="762" spans="1:23" hidden="1">
      <c r="A762" s="81">
        <v>760</v>
      </c>
      <c r="B762" s="81" t="s">
        <v>1418</v>
      </c>
      <c r="C762" s="81" t="s">
        <v>1419</v>
      </c>
      <c r="D762" s="82" t="str">
        <f ca="1">OFFSET(Roster!$A$3,MATCH(表格1[[#This Row],[Location]]&amp;" "&amp;表格1[[#This Row],[Shop]]&amp;"*",Roster!$A$4:$A$72,0),DAY(表格1[[#This Row],[date]]),1,1)</f>
        <v>SK</v>
      </c>
      <c r="E762" s="81">
        <f>MONTH(表格1[[#This Row],[date]])</f>
        <v>3</v>
      </c>
      <c r="F762" s="101">
        <v>46105</v>
      </c>
      <c r="G762" s="81" t="str">
        <f>VLOOKUP("*"&amp;表格1[[#This Row],[Input]]&amp;"*",'Ref-List'!$B:$D,2,)</f>
        <v>RC-10BHH(W)</v>
      </c>
      <c r="H762" s="81" t="str">
        <f>_xlfn.XLOOKUP(表格1[[#This Row],[Model]],表格3[Model-Input-Ref2],表格3[Product Line])</f>
        <v>酵活炊磁應電飯煲</v>
      </c>
      <c r="I762" s="81" t="str">
        <f>_xlfn.XLOOKUP(表格1[[#This Row],[Model]],表格3[Model-Input-Ref2],表格3[大小電])</f>
        <v>細電</v>
      </c>
      <c r="J762" s="81" t="str">
        <f>_xlfn.XLOOKUP(表格1[[#This Row],[Model]],表格3[Model-Input-Ref2],表格3[Code])</f>
        <v>SDA</v>
      </c>
      <c r="K762" s="82" t="s">
        <v>1269</v>
      </c>
      <c r="L762" s="81">
        <v>1</v>
      </c>
      <c r="M762" s="85">
        <v>1688</v>
      </c>
      <c r="N762" s="85">
        <f>IFERROR(表格1[[#This Row],[QTY]]*表格1[[#This Row],[Unit Price]],"-")</f>
        <v>1688</v>
      </c>
      <c r="O762" s="134">
        <v>296483</v>
      </c>
      <c r="P762" s="81"/>
      <c r="Q762" s="81"/>
      <c r="R762" s="81" t="str">
        <f>_xlfn.CONCAT(表格1[[#This Row],[Model]]," ",表格1[[#This Row],[inv no]])</f>
        <v>RC-10BHH(W) 296483</v>
      </c>
      <c r="S762" s="135">
        <f>_xlfn.XLOOKUP(表格1[[#This Row],[Model]],表格3[Model-Input-Ref2],表格3[SRP PRICE])</f>
        <v>2088</v>
      </c>
      <c r="T762" s="43">
        <f>表格1[[#This Row],[Unit Price]]/表格1[[#This Row],[SRP]]</f>
        <v>0.80842911877394641</v>
      </c>
      <c r="U762" s="86" t="str">
        <f>_xlfn.XLOOKUP(表格1[[#This Row],[Model]],表格3[Model-Input-Ref2],表格3[TOSHIBA/HIGHEST])</f>
        <v>Shops Highest Price</v>
      </c>
      <c r="V762" s="86" t="s">
        <v>1126</v>
      </c>
      <c r="W762" s="86" t="str">
        <f>_xlfn.CONCAT(表格1[[#This Row],[欄4]],表格1[[#This Row],[inv no]])</f>
        <v>DA141296483</v>
      </c>
    </row>
    <row r="763" spans="1:23" hidden="1">
      <c r="A763" s="81">
        <v>761</v>
      </c>
      <c r="B763" s="81" t="s">
        <v>1418</v>
      </c>
      <c r="C763" s="81" t="s">
        <v>1419</v>
      </c>
      <c r="D763" s="82" t="str">
        <f ca="1">OFFSET(Roster!$A$3,MATCH(表格1[[#This Row],[Location]]&amp;" "&amp;表格1[[#This Row],[Shop]]&amp;"*",Roster!$A$4:$A$72,0),DAY(表格1[[#This Row],[date]]),1,1)</f>
        <v>SK</v>
      </c>
      <c r="E763" s="81">
        <f>MONTH(表格1[[#This Row],[date]])</f>
        <v>3</v>
      </c>
      <c r="F763" s="101">
        <v>46109</v>
      </c>
      <c r="G763" s="81" t="str">
        <f>VLOOKUP("*"&amp;表格1[[#This Row],[Input]]&amp;"*",'Ref-List'!$B:$D,2,)</f>
        <v>TP-50DRUHK(W)</v>
      </c>
      <c r="H763" s="81" t="str">
        <f>_xlfn.XLOOKUP(表格1[[#This Row],[Model]],表格3[Model-Input-Ref2],表格3[Product Line])</f>
        <v>電熱水瓶 (5公升)</v>
      </c>
      <c r="I763" s="81" t="str">
        <f>_xlfn.XLOOKUP(表格1[[#This Row],[Model]],表格3[Model-Input-Ref2],表格3[大小電])</f>
        <v>細電</v>
      </c>
      <c r="J763" s="81" t="str">
        <f>_xlfn.XLOOKUP(表格1[[#This Row],[Model]],表格3[Model-Input-Ref2],表格3[Code])</f>
        <v>SDA</v>
      </c>
      <c r="K763" s="82" t="s">
        <v>1277</v>
      </c>
      <c r="L763" s="81">
        <v>1</v>
      </c>
      <c r="M763" s="85">
        <v>598</v>
      </c>
      <c r="N763" s="85">
        <f>IFERROR(表格1[[#This Row],[QTY]]*表格1[[#This Row],[Unit Price]],"-")</f>
        <v>598</v>
      </c>
      <c r="O763" s="134">
        <v>297437</v>
      </c>
      <c r="P763" s="81"/>
      <c r="Q763" s="81"/>
      <c r="R763" s="81" t="str">
        <f>_xlfn.CONCAT(表格1[[#This Row],[Model]]," ",表格1[[#This Row],[inv no]])</f>
        <v>TP-50DRUHK(W) 297437</v>
      </c>
      <c r="S763" s="135">
        <f>_xlfn.XLOOKUP(表格1[[#This Row],[Model]],表格3[Model-Input-Ref2],表格3[SRP PRICE])</f>
        <v>718</v>
      </c>
      <c r="T763" s="43">
        <f>表格1[[#This Row],[Unit Price]]/表格1[[#This Row],[SRP]]</f>
        <v>0.83286908077994426</v>
      </c>
      <c r="U763" s="86" t="str">
        <f>_xlfn.XLOOKUP(表格1[[#This Row],[Model]],表格3[Model-Input-Ref2],表格3[TOSHIBA/HIGHEST])</f>
        <v>Toshiba SRP</v>
      </c>
      <c r="V763" s="86" t="s">
        <v>1126</v>
      </c>
      <c r="W763" s="86" t="str">
        <f>_xlfn.CONCAT(表格1[[#This Row],[欄4]],表格1[[#This Row],[inv no]])</f>
        <v>DA141297437</v>
      </c>
    </row>
    <row r="764" spans="1:23" hidden="1">
      <c r="A764" s="81">
        <v>762</v>
      </c>
      <c r="B764" s="81" t="s">
        <v>1418</v>
      </c>
      <c r="C764" s="81" t="s">
        <v>1419</v>
      </c>
      <c r="D764" s="82" t="str">
        <f ca="1">OFFSET(Roster!$A$3,MATCH(表格1[[#This Row],[Location]]&amp;" "&amp;表格1[[#This Row],[Shop]]&amp;"*",Roster!$A$4:$A$72,0),DAY(表格1[[#This Row],[date]]),1,1)</f>
        <v>SK</v>
      </c>
      <c r="E764" s="81">
        <f>MONTH(表格1[[#This Row],[date]])</f>
        <v>3</v>
      </c>
      <c r="F764" s="101">
        <v>46109</v>
      </c>
      <c r="G764" s="81" t="str">
        <f>VLOOKUP("*"&amp;表格1[[#This Row],[Input]]&amp;"*",'Ref-List'!$B:$D,2,)</f>
        <v>RC-10NMFIH(WT)</v>
      </c>
      <c r="H764" s="81" t="str">
        <f>_xlfn.XLOOKUP(表格1[[#This Row],[Model]],表格3[Model-Input-Ref2],表格3[Product Line])</f>
        <v>4毫米厚釜電飯煲1L</v>
      </c>
      <c r="I764" s="81" t="str">
        <f>_xlfn.XLOOKUP(表格1[[#This Row],[Model]],表格3[Model-Input-Ref2],表格3[大小電])</f>
        <v>細電</v>
      </c>
      <c r="J764" s="81" t="str">
        <f>_xlfn.XLOOKUP(表格1[[#This Row],[Model]],表格3[Model-Input-Ref2],表格3[Code])</f>
        <v>SDA</v>
      </c>
      <c r="K764" s="82" t="s">
        <v>1244</v>
      </c>
      <c r="L764" s="81">
        <v>2</v>
      </c>
      <c r="M764" s="85">
        <v>718</v>
      </c>
      <c r="N764" s="85">
        <f>IFERROR(表格1[[#This Row],[QTY]]*表格1[[#This Row],[Unit Price]],"-")</f>
        <v>1436</v>
      </c>
      <c r="O764" s="134">
        <v>297581</v>
      </c>
      <c r="P764" s="81"/>
      <c r="Q764" s="81"/>
      <c r="R764" s="81" t="str">
        <f>_xlfn.CONCAT(表格1[[#This Row],[Model]]," ",表格1[[#This Row],[inv no]])</f>
        <v>RC-10NMFIH(WT) 297581</v>
      </c>
      <c r="S764" s="135">
        <f>_xlfn.XLOOKUP(表格1[[#This Row],[Model]],表格3[Model-Input-Ref2],表格3[SRP PRICE])</f>
        <v>898</v>
      </c>
      <c r="T764" s="43">
        <f>表格1[[#This Row],[Unit Price]]/表格1[[#This Row],[SRP]]</f>
        <v>0.79955456570155903</v>
      </c>
      <c r="U764" s="86" t="str">
        <f>_xlfn.XLOOKUP(表格1[[#This Row],[Model]],表格3[Model-Input-Ref2],表格3[TOSHIBA/HIGHEST])</f>
        <v>Toshiba SRP</v>
      </c>
      <c r="V764" s="86" t="s">
        <v>1126</v>
      </c>
      <c r="W764" s="86" t="str">
        <f>_xlfn.CONCAT(表格1[[#This Row],[欄4]],表格1[[#This Row],[inv no]])</f>
        <v>DA141297581</v>
      </c>
    </row>
    <row r="765" spans="1:23" hidden="1">
      <c r="A765" s="81">
        <v>763</v>
      </c>
      <c r="B765" s="81" t="s">
        <v>1418</v>
      </c>
      <c r="C765" s="81" t="s">
        <v>1419</v>
      </c>
      <c r="D765" s="82" t="str">
        <f ca="1">OFFSET(Roster!$A$3,MATCH(表格1[[#This Row],[Location]]&amp;" "&amp;表格1[[#This Row],[Shop]]&amp;"*",Roster!$A$4:$A$72,0),DAY(表格1[[#This Row],[date]]),1,1)</f>
        <v>SK</v>
      </c>
      <c r="E765" s="81">
        <f>MONTH(表格1[[#This Row],[date]])</f>
        <v>3</v>
      </c>
      <c r="F765" s="101">
        <v>46109</v>
      </c>
      <c r="G765" s="81" t="str">
        <f>VLOOKUP("*"&amp;表格1[[#This Row],[Input]]&amp;"*",'Ref-List'!$B:$D,2,)</f>
        <v>RC-10AMXH(W)</v>
      </c>
      <c r="H765" s="81" t="str">
        <f>_xlfn.XLOOKUP(表格1[[#This Row],[Model]],表格3[Model-Input-Ref2],表格3[Product Line])</f>
        <v>酵活炊電飯煲(1.0公升)</v>
      </c>
      <c r="I765" s="81" t="str">
        <f>_xlfn.XLOOKUP(表格1[[#This Row],[Model]],表格3[Model-Input-Ref2],表格3[大小電])</f>
        <v>細電</v>
      </c>
      <c r="J765" s="81" t="str">
        <f>_xlfn.XLOOKUP(表格1[[#This Row],[Model]],表格3[Model-Input-Ref2],表格3[Code])</f>
        <v>SDA</v>
      </c>
      <c r="K765" s="82" t="s">
        <v>1279</v>
      </c>
      <c r="L765" s="81">
        <v>1</v>
      </c>
      <c r="M765" s="85">
        <v>990</v>
      </c>
      <c r="N765" s="85">
        <f>IFERROR(表格1[[#This Row],[QTY]]*表格1[[#This Row],[Unit Price]],"-")</f>
        <v>990</v>
      </c>
      <c r="O765" s="134">
        <v>297592</v>
      </c>
      <c r="P765" s="81"/>
      <c r="Q765" s="81"/>
      <c r="R765" s="81" t="str">
        <f>_xlfn.CONCAT(表格1[[#This Row],[Model]]," ",表格1[[#This Row],[inv no]])</f>
        <v>RC-10AMXH(W) 297592</v>
      </c>
      <c r="S765" s="135">
        <f>_xlfn.XLOOKUP(表格1[[#This Row],[Model]],表格3[Model-Input-Ref2],表格3[SRP PRICE])</f>
        <v>1288</v>
      </c>
      <c r="T765" s="43">
        <f>表格1[[#This Row],[Unit Price]]/表格1[[#This Row],[SRP]]</f>
        <v>0.76863354037267084</v>
      </c>
      <c r="U765" s="86" t="str">
        <f>_xlfn.XLOOKUP(表格1[[#This Row],[Model]],表格3[Model-Input-Ref2],表格3[TOSHIBA/HIGHEST])</f>
        <v>Toshiba SRP</v>
      </c>
      <c r="V765" s="86" t="s">
        <v>1126</v>
      </c>
      <c r="W765" s="86" t="str">
        <f>_xlfn.CONCAT(表格1[[#This Row],[欄4]],表格1[[#This Row],[inv no]])</f>
        <v>DA141297592</v>
      </c>
    </row>
    <row r="766" spans="1:23" hidden="1">
      <c r="A766" s="81">
        <v>764</v>
      </c>
      <c r="B766" s="81" t="s">
        <v>1417</v>
      </c>
      <c r="C766" s="81" t="s">
        <v>1422</v>
      </c>
      <c r="D766" s="82" t="str">
        <f ca="1">OFFSET(Roster!$A$3,MATCH(表格1[[#This Row],[Location]]&amp;" "&amp;表格1[[#This Row],[Shop]]&amp;"*",Roster!$A$4:$A$72,0),DAY(表格1[[#This Row],[date]]),1,1)</f>
        <v>Hazel</v>
      </c>
      <c r="E766" s="81">
        <f>MONTH(表格1[[#This Row],[date]])</f>
        <v>3</v>
      </c>
      <c r="F766" s="101">
        <v>46082</v>
      </c>
      <c r="G766" s="81" t="str">
        <f>VLOOKUP("*"&amp;表格1[[#This Row],[Input]]&amp;"*",'Ref-List'!$B:$D,2,)</f>
        <v>RC-5SLIH(W)</v>
      </c>
      <c r="H766" s="81" t="str">
        <f>_xlfn.XLOOKUP(表格1[[#This Row],[Model]],表格3[Model-Input-Ref2],表格3[Product Line])</f>
        <v>微型電腦珍珠飯煲</v>
      </c>
      <c r="I766" s="81" t="str">
        <f>_xlfn.XLOOKUP(表格1[[#This Row],[Model]],表格3[Model-Input-Ref2],表格3[大小電])</f>
        <v>細電</v>
      </c>
      <c r="J766" s="81" t="str">
        <f>_xlfn.XLOOKUP(表格1[[#This Row],[Model]],表格3[Model-Input-Ref2],表格3[Code])</f>
        <v>SDA</v>
      </c>
      <c r="K766" s="82" t="s">
        <v>1264</v>
      </c>
      <c r="L766" s="81">
        <v>1</v>
      </c>
      <c r="M766" s="85">
        <v>592</v>
      </c>
      <c r="N766" s="85">
        <f>IFERROR(表格1[[#This Row],[QTY]]*表格1[[#This Row],[Unit Price]],"-")</f>
        <v>592</v>
      </c>
      <c r="O766" s="134" t="s">
        <v>1426</v>
      </c>
      <c r="P766" s="81"/>
      <c r="Q766" s="81"/>
      <c r="R766" s="81" t="str">
        <f>_xlfn.CONCAT(表格1[[#This Row],[Model]]," ",表格1[[#This Row],[inv no]])</f>
        <v>RC-5SLIH(W) S562-0099</v>
      </c>
      <c r="S766" s="135">
        <f>_xlfn.XLOOKUP(表格1[[#This Row],[Model]],表格3[Model-Input-Ref2],表格3[SRP PRICE])</f>
        <v>658</v>
      </c>
      <c r="T766" s="43">
        <f>表格1[[#This Row],[Unit Price]]/表格1[[#This Row],[SRP]]</f>
        <v>0.89969604863221886</v>
      </c>
      <c r="U766" s="86" t="str">
        <f>_xlfn.XLOOKUP(表格1[[#This Row],[Model]],表格3[Model-Input-Ref2],表格3[TOSHIBA/HIGHEST])</f>
        <v>Toshiba SRP</v>
      </c>
      <c r="V766" s="86" t="s">
        <v>1126</v>
      </c>
      <c r="W766" s="86" t="str">
        <f>_xlfn.CONCAT(表格1[[#This Row],[欄4]],表格1[[#This Row],[inv no]])</f>
        <v>DA141S562-0099</v>
      </c>
    </row>
    <row r="767" spans="1:23" hidden="1">
      <c r="A767" s="81">
        <v>765</v>
      </c>
      <c r="B767" s="81" t="s">
        <v>1417</v>
      </c>
      <c r="C767" s="81" t="s">
        <v>1422</v>
      </c>
      <c r="D767" s="82" t="str">
        <f ca="1">OFFSET(Roster!$A$3,MATCH(表格1[[#This Row],[Location]]&amp;" "&amp;表格1[[#This Row],[Shop]]&amp;"*",Roster!$A$4:$A$72,0),DAY(表格1[[#This Row],[date]]),1,1)</f>
        <v>Hazel</v>
      </c>
      <c r="E767" s="81">
        <f>MONTH(表格1[[#This Row],[date]])</f>
        <v>3</v>
      </c>
      <c r="F767" s="101">
        <v>46082</v>
      </c>
      <c r="G767" s="81" t="str">
        <f>VLOOKUP("*"&amp;表格1[[#This Row],[Input]]&amp;"*",'Ref-List'!$B:$D,2,)</f>
        <v>RAD-D300H</v>
      </c>
      <c r="H767" s="81" t="str">
        <f>_xlfn.XLOOKUP(表格1[[#This Row],[Model]],表格3[Model-Input-Ref2],表格3[Product Line])</f>
        <v>壓縮式抽濕機 (30公升)</v>
      </c>
      <c r="I767" s="81" t="str">
        <f>_xlfn.XLOOKUP(表格1[[#This Row],[Model]],表格3[Model-Input-Ref2],表格3[大小電])</f>
        <v>細電</v>
      </c>
      <c r="J767" s="81" t="str">
        <f>_xlfn.XLOOKUP(表格1[[#This Row],[Model]],表格3[Model-Input-Ref2],表格3[Code])</f>
        <v>RAC</v>
      </c>
      <c r="K767" s="82" t="s">
        <v>1252</v>
      </c>
      <c r="L767" s="81">
        <v>1</v>
      </c>
      <c r="M767" s="85">
        <v>2280</v>
      </c>
      <c r="N767" s="85">
        <f>IFERROR(表格1[[#This Row],[QTY]]*表格1[[#This Row],[Unit Price]],"-")</f>
        <v>2280</v>
      </c>
      <c r="O767" s="134" t="s">
        <v>1427</v>
      </c>
      <c r="P767" s="81"/>
      <c r="Q767" s="81"/>
      <c r="R767" s="81" t="str">
        <f>_xlfn.CONCAT(表格1[[#This Row],[Model]]," ",表格1[[#This Row],[inv no]])</f>
        <v>RAD-D300H S562-0100</v>
      </c>
      <c r="S767" s="135">
        <f>_xlfn.XLOOKUP(表格1[[#This Row],[Model]],表格3[Model-Input-Ref2],表格3[SRP PRICE])</f>
        <v>3380</v>
      </c>
      <c r="T767" s="43">
        <f>表格1[[#This Row],[Unit Price]]/表格1[[#This Row],[SRP]]</f>
        <v>0.67455621301775148</v>
      </c>
      <c r="U767" s="86" t="str">
        <f>_xlfn.XLOOKUP(表格1[[#This Row],[Model]],表格3[Model-Input-Ref2],表格3[TOSHIBA/HIGHEST])</f>
        <v>Shops Highest Price</v>
      </c>
      <c r="V767" s="86" t="s">
        <v>1126</v>
      </c>
      <c r="W767" s="86" t="str">
        <f>_xlfn.CONCAT(表格1[[#This Row],[欄4]],表格1[[#This Row],[inv no]])</f>
        <v>DA141S562-0100</v>
      </c>
    </row>
    <row r="768" spans="1:23" hidden="1">
      <c r="A768" s="81">
        <v>766</v>
      </c>
      <c r="B768" s="81" t="s">
        <v>1417</v>
      </c>
      <c r="C768" s="81" t="s">
        <v>1422</v>
      </c>
      <c r="D768" s="82" t="str">
        <f ca="1">OFFSET(Roster!$A$3,MATCH(表格1[[#This Row],[Location]]&amp;" "&amp;表格1[[#This Row],[Shop]]&amp;"*",Roster!$A$4:$A$72,0),DAY(表格1[[#This Row],[date]]),1,1)</f>
        <v>Hazel</v>
      </c>
      <c r="E768" s="81">
        <f>MONTH(表格1[[#This Row],[date]])</f>
        <v>3</v>
      </c>
      <c r="F768" s="101">
        <v>46082</v>
      </c>
      <c r="G768" s="81" t="str">
        <f>VLOOKUP("*"&amp;表格1[[#This Row],[Input]]&amp;"*",'Ref-List'!$B:$D,2,)</f>
        <v>RAD-D300H</v>
      </c>
      <c r="H768" s="81" t="str">
        <f>_xlfn.XLOOKUP(表格1[[#This Row],[Model]],表格3[Model-Input-Ref2],表格3[Product Line])</f>
        <v>壓縮式抽濕機 (30公升)</v>
      </c>
      <c r="I768" s="81" t="str">
        <f>_xlfn.XLOOKUP(表格1[[#This Row],[Model]],表格3[Model-Input-Ref2],表格3[大小電])</f>
        <v>細電</v>
      </c>
      <c r="J768" s="81" t="str">
        <f>_xlfn.XLOOKUP(表格1[[#This Row],[Model]],表格3[Model-Input-Ref2],表格3[Code])</f>
        <v>RAC</v>
      </c>
      <c r="K768" s="82" t="s">
        <v>1252</v>
      </c>
      <c r="L768" s="81">
        <v>1</v>
      </c>
      <c r="M768" s="85">
        <v>2280</v>
      </c>
      <c r="N768" s="85">
        <f>IFERROR(表格1[[#This Row],[QTY]]*表格1[[#This Row],[Unit Price]],"-")</f>
        <v>2280</v>
      </c>
      <c r="O768" s="134" t="s">
        <v>1428</v>
      </c>
      <c r="P768" s="81"/>
      <c r="Q768" s="81"/>
      <c r="R768" s="81" t="str">
        <f>_xlfn.CONCAT(表格1[[#This Row],[Model]]," ",表格1[[#This Row],[inv no]])</f>
        <v>RAD-D300H S562-0101</v>
      </c>
      <c r="S768" s="135">
        <f>_xlfn.XLOOKUP(表格1[[#This Row],[Model]],表格3[Model-Input-Ref2],表格3[SRP PRICE])</f>
        <v>3380</v>
      </c>
      <c r="T768" s="43">
        <f>表格1[[#This Row],[Unit Price]]/表格1[[#This Row],[SRP]]</f>
        <v>0.67455621301775148</v>
      </c>
      <c r="U768" s="86" t="str">
        <f>_xlfn.XLOOKUP(表格1[[#This Row],[Model]],表格3[Model-Input-Ref2],表格3[TOSHIBA/HIGHEST])</f>
        <v>Shops Highest Price</v>
      </c>
      <c r="V768" s="86" t="s">
        <v>1126</v>
      </c>
      <c r="W768" s="86" t="str">
        <f>_xlfn.CONCAT(表格1[[#This Row],[欄4]],表格1[[#This Row],[inv no]])</f>
        <v>DA141S562-0101</v>
      </c>
    </row>
    <row r="769" spans="1:23" hidden="1">
      <c r="A769" s="81">
        <v>767</v>
      </c>
      <c r="B769" s="81" t="s">
        <v>1417</v>
      </c>
      <c r="C769" s="81" t="s">
        <v>1422</v>
      </c>
      <c r="D769" s="82" t="str">
        <f ca="1">OFFSET(Roster!$A$3,MATCH(表格1[[#This Row],[Location]]&amp;" "&amp;表格1[[#This Row],[Shop]]&amp;"*",Roster!$A$4:$A$72,0),DAY(表格1[[#This Row],[date]]),1,1)</f>
        <v>Hazel</v>
      </c>
      <c r="E769" s="81">
        <f>MONTH(表格1[[#This Row],[date]])</f>
        <v>3</v>
      </c>
      <c r="F769" s="101">
        <v>46082</v>
      </c>
      <c r="G769" s="81" t="str">
        <f>VLOOKUP("*"&amp;表格1[[#This Row],[Input]]&amp;"*",'Ref-List'!$B:$D,2,)</f>
        <v>KT-08DH1VHK(W)</v>
      </c>
      <c r="H769" s="81" t="str">
        <f>_xlfn.XLOOKUP(表格1[[#This Row],[Model]],表格3[Model-Input-Ref2],表格3[Product Line])</f>
        <v>無線雙層電熱水壺-附可鎖壺蓋(0.8公升)</v>
      </c>
      <c r="I769" s="81" t="str">
        <f>_xlfn.XLOOKUP(表格1[[#This Row],[Model]],表格3[Model-Input-Ref2],表格3[大小電])</f>
        <v>細電</v>
      </c>
      <c r="J769" s="81" t="str">
        <f>_xlfn.XLOOKUP(表格1[[#This Row],[Model]],表格3[Model-Input-Ref2],表格3[Code])</f>
        <v>SDA</v>
      </c>
      <c r="K769" s="82" t="s">
        <v>1268</v>
      </c>
      <c r="L769" s="81">
        <v>1</v>
      </c>
      <c r="M769" s="85">
        <v>268</v>
      </c>
      <c r="N769" s="85">
        <f>IFERROR(表格1[[#This Row],[QTY]]*表格1[[#This Row],[Unit Price]],"-")</f>
        <v>268</v>
      </c>
      <c r="O769" s="134" t="s">
        <v>1429</v>
      </c>
      <c r="P769" s="81"/>
      <c r="Q769" s="81"/>
      <c r="R769" s="81" t="str">
        <f>_xlfn.CONCAT(表格1[[#This Row],[Model]]," ",表格1[[#This Row],[inv no]])</f>
        <v>KT-08DH1VHK(W) S562-0102</v>
      </c>
      <c r="S769" s="135">
        <f>_xlfn.XLOOKUP(表格1[[#This Row],[Model]],表格3[Model-Input-Ref2],表格3[SRP PRICE])</f>
        <v>428</v>
      </c>
      <c r="T769" s="43">
        <f>表格1[[#This Row],[Unit Price]]/表格1[[#This Row],[SRP]]</f>
        <v>0.62616822429906538</v>
      </c>
      <c r="U769" s="86" t="str">
        <f>_xlfn.XLOOKUP(表格1[[#This Row],[Model]],表格3[Model-Input-Ref2],表格3[TOSHIBA/HIGHEST])</f>
        <v>Toshiba SRP</v>
      </c>
      <c r="V769" s="86" t="s">
        <v>1126</v>
      </c>
      <c r="W769" s="86" t="str">
        <f>_xlfn.CONCAT(表格1[[#This Row],[欄4]],表格1[[#This Row],[inv no]])</f>
        <v>DA141S562-0102</v>
      </c>
    </row>
    <row r="770" spans="1:23" hidden="1">
      <c r="A770" s="81">
        <v>768</v>
      </c>
      <c r="B770" s="81" t="s">
        <v>1417</v>
      </c>
      <c r="C770" s="81" t="s">
        <v>1422</v>
      </c>
      <c r="D770" s="82" t="str">
        <f ca="1">OFFSET(Roster!$A$3,MATCH(表格1[[#This Row],[Location]]&amp;" "&amp;表格1[[#This Row],[Shop]]&amp;"*",Roster!$A$4:$A$72,0),DAY(表格1[[#This Row],[date]]),1,1)</f>
        <v>Hazel</v>
      </c>
      <c r="E770" s="81">
        <f>MONTH(表格1[[#This Row],[date]])</f>
        <v>3</v>
      </c>
      <c r="F770" s="101">
        <v>46082</v>
      </c>
      <c r="G770" s="81" t="str">
        <f>VLOOKUP("*"&amp;表格1[[#This Row],[Input]]&amp;"*",'Ref-List'!$B:$D,2,)</f>
        <v>RC-7HMH</v>
      </c>
      <c r="H770" s="81" t="str">
        <f>_xlfn.XLOOKUP(表格1[[#This Row],[Model]],表格3[Model-Input-Ref2],表格3[Product Line])</f>
        <v>備長炭本厚釜電飯煲0.7L</v>
      </c>
      <c r="I770" s="81" t="str">
        <f>_xlfn.XLOOKUP(表格1[[#This Row],[Model]],表格3[Model-Input-Ref2],表格3[大小電])</f>
        <v>細電</v>
      </c>
      <c r="J770" s="81" t="str">
        <f>_xlfn.XLOOKUP(表格1[[#This Row],[Model]],表格3[Model-Input-Ref2],表格3[Code])</f>
        <v>SDA</v>
      </c>
      <c r="K770" s="82" t="s">
        <v>1284</v>
      </c>
      <c r="L770" s="81">
        <v>1</v>
      </c>
      <c r="M770" s="85">
        <v>838</v>
      </c>
      <c r="N770" s="85">
        <f>IFERROR(表格1[[#This Row],[QTY]]*表格1[[#This Row],[Unit Price]],"-")</f>
        <v>838</v>
      </c>
      <c r="O770" s="134" t="s">
        <v>1431</v>
      </c>
      <c r="P770" s="81"/>
      <c r="Q770" s="81"/>
      <c r="R770" s="81" t="str">
        <f>_xlfn.CONCAT(表格1[[#This Row],[Model]]," ",表格1[[#This Row],[inv no]])</f>
        <v>RC-7HMH S056-24625</v>
      </c>
      <c r="S770" s="135">
        <f>_xlfn.XLOOKUP(表格1[[#This Row],[Model]],表格3[Model-Input-Ref2],表格3[SRP PRICE])</f>
        <v>1288</v>
      </c>
      <c r="T770" s="43">
        <f>表格1[[#This Row],[Unit Price]]/表格1[[#This Row],[SRP]]</f>
        <v>0.65062111801242239</v>
      </c>
      <c r="U770" s="86" t="str">
        <f>_xlfn.XLOOKUP(表格1[[#This Row],[Model]],表格3[Model-Input-Ref2],表格3[TOSHIBA/HIGHEST])</f>
        <v>Toshiba SRP</v>
      </c>
      <c r="V770" s="86" t="s">
        <v>1126</v>
      </c>
      <c r="W770" s="86" t="str">
        <f>_xlfn.CONCAT(表格1[[#This Row],[欄4]],表格1[[#This Row],[inv no]])</f>
        <v>DA141S056-24625</v>
      </c>
    </row>
    <row r="771" spans="1:23" hidden="1">
      <c r="A771" s="81">
        <v>769</v>
      </c>
      <c r="B771" s="81" t="s">
        <v>1417</v>
      </c>
      <c r="C771" s="81" t="s">
        <v>1422</v>
      </c>
      <c r="D771" s="82" t="str">
        <f ca="1">OFFSET(Roster!$A$3,MATCH(表格1[[#This Row],[Location]]&amp;" "&amp;表格1[[#This Row],[Shop]]&amp;"*",Roster!$A$4:$A$72,0),DAY(表格1[[#This Row],[date]]),1,1)</f>
        <v>Hazel</v>
      </c>
      <c r="E771" s="81">
        <f>MONTH(表格1[[#This Row],[date]])</f>
        <v>3</v>
      </c>
      <c r="F771" s="101">
        <v>46082</v>
      </c>
      <c r="G771" s="81" t="str">
        <f>VLOOKUP("*"&amp;表格1[[#This Row],[Input]]&amp;"*",'Ref-List'!$B:$D,2,)</f>
        <v>TP-25DR2UHK(W)</v>
      </c>
      <c r="H771" s="81" t="str">
        <f>_xlfn.XLOOKUP(表格1[[#This Row],[Model]],表格3[Model-Input-Ref2],表格3[Product Line])</f>
        <v>電熱水瓶 (2.5公升)</v>
      </c>
      <c r="I771" s="81" t="str">
        <f>_xlfn.XLOOKUP(表格1[[#This Row],[Model]],表格3[Model-Input-Ref2],表格3[大小電])</f>
        <v>細電</v>
      </c>
      <c r="J771" s="81" t="str">
        <f>_xlfn.XLOOKUP(表格1[[#This Row],[Model]],表格3[Model-Input-Ref2],表格3[Code])</f>
        <v>SDA</v>
      </c>
      <c r="K771" s="82" t="s">
        <v>1285</v>
      </c>
      <c r="L771" s="81">
        <v>1</v>
      </c>
      <c r="M771" s="85">
        <v>398</v>
      </c>
      <c r="N771" s="85">
        <f>IFERROR(表格1[[#This Row],[QTY]]*表格1[[#This Row],[Unit Price]],"-")</f>
        <v>398</v>
      </c>
      <c r="O771" s="134" t="s">
        <v>1430</v>
      </c>
      <c r="P771" s="81"/>
      <c r="Q771" s="81"/>
      <c r="R771" s="81" t="str">
        <f>_xlfn.CONCAT(表格1[[#This Row],[Model]]," ",表格1[[#This Row],[inv no]])</f>
        <v>TP-25DR2UHK(W) S056-24628</v>
      </c>
      <c r="S771" s="135">
        <f>_xlfn.XLOOKUP(表格1[[#This Row],[Model]],表格3[Model-Input-Ref2],表格3[SRP PRICE])</f>
        <v>538</v>
      </c>
      <c r="T771" s="43">
        <f>表格1[[#This Row],[Unit Price]]/表格1[[#This Row],[SRP]]</f>
        <v>0.7397769516728625</v>
      </c>
      <c r="U771" s="86" t="str">
        <f>_xlfn.XLOOKUP(表格1[[#This Row],[Model]],表格3[Model-Input-Ref2],表格3[TOSHIBA/HIGHEST])</f>
        <v>Toshiba SRP</v>
      </c>
      <c r="V771" s="86" t="s">
        <v>1126</v>
      </c>
      <c r="W771" s="86" t="str">
        <f>_xlfn.CONCAT(表格1[[#This Row],[欄4]],表格1[[#This Row],[inv no]])</f>
        <v>DA141S056-24628</v>
      </c>
    </row>
    <row r="772" spans="1:23" hidden="1">
      <c r="A772" s="81">
        <v>770</v>
      </c>
      <c r="B772" s="81" t="s">
        <v>1417</v>
      </c>
      <c r="C772" s="81" t="s">
        <v>1422</v>
      </c>
      <c r="D772" s="82" t="str">
        <f ca="1">OFFSET(Roster!$A$3,MATCH(表格1[[#This Row],[Location]]&amp;" "&amp;表格1[[#This Row],[Shop]]&amp;"*",Roster!$A$4:$A$72,0),DAY(表格1[[#This Row],[date]]),1,1)</f>
        <v>Hazel</v>
      </c>
      <c r="E772" s="81">
        <f>MONTH(表格1[[#This Row],[date]])</f>
        <v>3</v>
      </c>
      <c r="F772" s="101">
        <v>46083</v>
      </c>
      <c r="G772" s="81" t="str">
        <f>VLOOKUP("*"&amp;表格1[[#This Row],[Input]]&amp;"*",'Ref-List'!$B:$D,2,)</f>
        <v>RAD-D300H</v>
      </c>
      <c r="H772" s="81" t="str">
        <f>_xlfn.XLOOKUP(表格1[[#This Row],[Model]],表格3[Model-Input-Ref2],表格3[Product Line])</f>
        <v>壓縮式抽濕機 (30公升)</v>
      </c>
      <c r="I772" s="81" t="str">
        <f>_xlfn.XLOOKUP(表格1[[#This Row],[Model]],表格3[Model-Input-Ref2],表格3[大小電])</f>
        <v>細電</v>
      </c>
      <c r="J772" s="81" t="str">
        <f>_xlfn.XLOOKUP(表格1[[#This Row],[Model]],表格3[Model-Input-Ref2],表格3[Code])</f>
        <v>RAC</v>
      </c>
      <c r="K772" s="82" t="s">
        <v>1252</v>
      </c>
      <c r="L772" s="81">
        <v>1</v>
      </c>
      <c r="M772" s="85">
        <v>2280</v>
      </c>
      <c r="N772" s="85">
        <f>IFERROR(表格1[[#This Row],[QTY]]*表格1[[#This Row],[Unit Price]],"-")</f>
        <v>2280</v>
      </c>
      <c r="O772" s="134" t="s">
        <v>1429</v>
      </c>
      <c r="P772" s="81"/>
      <c r="Q772" s="81"/>
      <c r="R772" s="81" t="str">
        <f>_xlfn.CONCAT(表格1[[#This Row],[Model]]," ",表格1[[#This Row],[inv no]])</f>
        <v>RAD-D300H S562-0102</v>
      </c>
      <c r="S772" s="135">
        <f>_xlfn.XLOOKUP(表格1[[#This Row],[Model]],表格3[Model-Input-Ref2],表格3[SRP PRICE])</f>
        <v>3380</v>
      </c>
      <c r="T772" s="43">
        <f>表格1[[#This Row],[Unit Price]]/表格1[[#This Row],[SRP]]</f>
        <v>0.67455621301775148</v>
      </c>
      <c r="U772" s="86" t="str">
        <f>_xlfn.XLOOKUP(表格1[[#This Row],[Model]],表格3[Model-Input-Ref2],表格3[TOSHIBA/HIGHEST])</f>
        <v>Shops Highest Price</v>
      </c>
      <c r="V772" s="86" t="s">
        <v>1126</v>
      </c>
      <c r="W772" s="86" t="str">
        <f>_xlfn.CONCAT(表格1[[#This Row],[欄4]],表格1[[#This Row],[inv no]])</f>
        <v>DA141S562-0102</v>
      </c>
    </row>
    <row r="773" spans="1:23" hidden="1">
      <c r="A773" s="81">
        <v>771</v>
      </c>
      <c r="B773" s="81" t="s">
        <v>1417</v>
      </c>
      <c r="C773" s="81" t="s">
        <v>1422</v>
      </c>
      <c r="D773" s="82" t="str">
        <f ca="1">OFFSET(Roster!$A$3,MATCH(表格1[[#This Row],[Location]]&amp;" "&amp;表格1[[#This Row],[Shop]]&amp;"*",Roster!$A$4:$A$72,0),DAY(表格1[[#This Row],[date]]),1,1)</f>
        <v>Hazel</v>
      </c>
      <c r="E773" s="81">
        <f>MONTH(表格1[[#This Row],[date]])</f>
        <v>3</v>
      </c>
      <c r="F773" s="101">
        <v>46083</v>
      </c>
      <c r="G773" s="81" t="str">
        <f>VLOOKUP("*"&amp;表格1[[#This Row],[Input]]&amp;"*",'Ref-List'!$B:$D,2,)</f>
        <v>TW-T21BU80UWH(MG)</v>
      </c>
      <c r="H773" s="81" t="str">
        <f>_xlfn.XLOOKUP(表格1[[#This Row],[Model]],表格3[Model-Input-Ref2],表格3[Product Line])</f>
        <v>400MM超薄身前置式變頻洗衣機(7公斤)</v>
      </c>
      <c r="I773" s="81" t="str">
        <f>_xlfn.XLOOKUP(表格1[[#This Row],[Model]],表格3[Model-Input-Ref2],表格3[大小電])</f>
        <v>大電</v>
      </c>
      <c r="J773" s="81" t="str">
        <f>_xlfn.XLOOKUP(表格1[[#This Row],[Model]],表格3[Model-Input-Ref2],表格3[Code])</f>
        <v>LAD</v>
      </c>
      <c r="K773" s="82" t="s">
        <v>1280</v>
      </c>
      <c r="L773" s="81">
        <v>1</v>
      </c>
      <c r="M773" s="85">
        <v>3180</v>
      </c>
      <c r="N773" s="85">
        <f>IFERROR(表格1[[#This Row],[QTY]]*表格1[[#This Row],[Unit Price]],"-")</f>
        <v>3180</v>
      </c>
      <c r="O773" s="134" t="s">
        <v>1432</v>
      </c>
      <c r="P773" s="81"/>
      <c r="Q773" s="81"/>
      <c r="R773" s="81" t="str">
        <f>_xlfn.CONCAT(表格1[[#This Row],[Model]]," ",表格1[[#This Row],[inv no]])</f>
        <v>TW-T21BU80UWH(MG) S562-0104</v>
      </c>
      <c r="S773" s="135">
        <f>_xlfn.XLOOKUP(表格1[[#This Row],[Model]],表格3[Model-Input-Ref2],表格3[SRP PRICE])</f>
        <v>5180</v>
      </c>
      <c r="T773" s="43">
        <f>表格1[[#This Row],[Unit Price]]/表格1[[#This Row],[SRP]]</f>
        <v>0.61389961389961389</v>
      </c>
      <c r="U773" s="86" t="str">
        <f>_xlfn.XLOOKUP(表格1[[#This Row],[Model]],表格3[Model-Input-Ref2],表格3[TOSHIBA/HIGHEST])</f>
        <v>Toshiba SRP</v>
      </c>
      <c r="V773" s="86" t="s">
        <v>1126</v>
      </c>
      <c r="W773" s="86" t="str">
        <f>_xlfn.CONCAT(表格1[[#This Row],[欄4]],表格1[[#This Row],[inv no]])</f>
        <v>DA141S562-0104</v>
      </c>
    </row>
    <row r="774" spans="1:23" hidden="1">
      <c r="A774" s="81">
        <v>772</v>
      </c>
      <c r="B774" s="81" t="s">
        <v>1417</v>
      </c>
      <c r="C774" s="81" t="s">
        <v>1422</v>
      </c>
      <c r="D774" s="82" t="str">
        <f ca="1">OFFSET(Roster!$A$3,MATCH(表格1[[#This Row],[Location]]&amp;" "&amp;表格1[[#This Row],[Shop]]&amp;"*",Roster!$A$4:$A$72,0),DAY(表格1[[#This Row],[date]]),1,1)</f>
        <v>Hazel</v>
      </c>
      <c r="E774" s="81">
        <f>MONTH(表格1[[#This Row],[date]])</f>
        <v>3</v>
      </c>
      <c r="F774" s="101">
        <v>46083</v>
      </c>
      <c r="G774" s="81" t="str">
        <f>VLOOKUP("*"&amp;表格1[[#This Row],[Input]]&amp;"*",'Ref-List'!$B:$D,2,)</f>
        <v>GR-RT234WE-PMA(57)</v>
      </c>
      <c r="H774" s="81" t="str">
        <f>_xlfn.XLOOKUP(表格1[[#This Row],[Model]],表格3[Model-Input-Ref2],表格3[Product Line])</f>
        <v>變頻式環保雙門雪櫃（179L）</v>
      </c>
      <c r="I774" s="81" t="str">
        <f>_xlfn.XLOOKUP(表格1[[#This Row],[Model]],表格3[Model-Input-Ref2],表格3[大小電])</f>
        <v>大電</v>
      </c>
      <c r="J774" s="81" t="str">
        <f>_xlfn.XLOOKUP(表格1[[#This Row],[Model]],表格3[Model-Input-Ref2],表格3[Code])</f>
        <v>REF</v>
      </c>
      <c r="K774" s="82" t="s">
        <v>1423</v>
      </c>
      <c r="L774" s="81">
        <v>1</v>
      </c>
      <c r="M774" s="85">
        <v>1980</v>
      </c>
      <c r="N774" s="85">
        <f>IFERROR(表格1[[#This Row],[QTY]]*表格1[[#This Row],[Unit Price]],"-")</f>
        <v>1980</v>
      </c>
      <c r="O774" s="134" t="s">
        <v>1432</v>
      </c>
      <c r="P774" s="81"/>
      <c r="Q774" s="81"/>
      <c r="R774" s="81" t="str">
        <f>_xlfn.CONCAT(表格1[[#This Row],[Model]]," ",表格1[[#This Row],[inv no]])</f>
        <v>GR-RT234WE-PMA(57) S562-0104</v>
      </c>
      <c r="S774" s="135">
        <f>_xlfn.XLOOKUP(表格1[[#This Row],[Model]],表格3[Model-Input-Ref2],表格3[SRP PRICE])</f>
        <v>3680</v>
      </c>
      <c r="T774" s="43">
        <f>表格1[[#This Row],[Unit Price]]/表格1[[#This Row],[SRP]]</f>
        <v>0.53804347826086951</v>
      </c>
      <c r="U774" s="86" t="str">
        <f>_xlfn.XLOOKUP(表格1[[#This Row],[Model]],表格3[Model-Input-Ref2],表格3[TOSHIBA/HIGHEST])</f>
        <v>Toshiba SRP</v>
      </c>
      <c r="V774" s="86" t="s">
        <v>1126</v>
      </c>
      <c r="W774" s="86" t="str">
        <f>_xlfn.CONCAT(表格1[[#This Row],[欄4]],表格1[[#This Row],[inv no]])</f>
        <v>DA141S562-0104</v>
      </c>
    </row>
    <row r="775" spans="1:23" hidden="1">
      <c r="A775" s="81">
        <v>773</v>
      </c>
      <c r="B775" s="81" t="s">
        <v>1417</v>
      </c>
      <c r="C775" s="81" t="s">
        <v>1422</v>
      </c>
      <c r="D775" s="82" t="str">
        <f ca="1">OFFSET(Roster!$A$3,MATCH(表格1[[#This Row],[Location]]&amp;" "&amp;表格1[[#This Row],[Shop]]&amp;"*",Roster!$A$4:$A$72,0),DAY(表格1[[#This Row],[date]]),1,1)</f>
        <v>Hazel</v>
      </c>
      <c r="E775" s="81">
        <f>MONTH(表格1[[#This Row],[date]])</f>
        <v>3</v>
      </c>
      <c r="F775" s="101">
        <v>46084</v>
      </c>
      <c r="G775" s="81" t="str">
        <f>VLOOKUP("*"&amp;表格1[[#This Row],[Input]]&amp;"*",'Ref-List'!$B:$D,2,)</f>
        <v>RC-DS10K(R)</v>
      </c>
      <c r="H775" s="81" t="str">
        <f>_xlfn.XLOOKUP(表格1[[#This Row],[Model]],表格3[Model-Input-Ref2],表格3[Product Line])</f>
        <v>IH磁應電飯煲</v>
      </c>
      <c r="I775" s="81" t="str">
        <f>_xlfn.XLOOKUP(表格1[[#This Row],[Model]],表格3[Model-Input-Ref2],表格3[大小電])</f>
        <v>細電</v>
      </c>
      <c r="J775" s="81" t="str">
        <f>_xlfn.XLOOKUP(表格1[[#This Row],[Model]],表格3[Model-Input-Ref2],表格3[Code])</f>
        <v>SDA</v>
      </c>
      <c r="K775" s="82" t="s">
        <v>1424</v>
      </c>
      <c r="L775" s="81">
        <v>1</v>
      </c>
      <c r="M775" s="85">
        <v>2800</v>
      </c>
      <c r="N775" s="85">
        <f>IFERROR(表格1[[#This Row],[QTY]]*表格1[[#This Row],[Unit Price]],"-")</f>
        <v>2800</v>
      </c>
      <c r="O775" s="134" t="s">
        <v>1433</v>
      </c>
      <c r="P775" s="81"/>
      <c r="Q775" s="81"/>
      <c r="R775" s="81" t="str">
        <f>_xlfn.CONCAT(表格1[[#This Row],[Model]]," ",表格1[[#This Row],[inv no]])</f>
        <v>RC-DS10K(R) S056-24669</v>
      </c>
      <c r="S775" s="135">
        <f>_xlfn.XLOOKUP(表格1[[#This Row],[Model]],表格3[Model-Input-Ref2],表格3[SRP PRICE])</f>
        <v>4588</v>
      </c>
      <c r="T775" s="43">
        <f>表格1[[#This Row],[Unit Price]]/表格1[[#This Row],[SRP]]</f>
        <v>0.61028770706190061</v>
      </c>
      <c r="U775" s="86" t="str">
        <f>_xlfn.XLOOKUP(表格1[[#This Row],[Model]],表格3[Model-Input-Ref2],表格3[TOSHIBA/HIGHEST])</f>
        <v>Toshiba SRP</v>
      </c>
      <c r="V775" s="86" t="s">
        <v>1126</v>
      </c>
      <c r="W775" s="86" t="str">
        <f>_xlfn.CONCAT(表格1[[#This Row],[欄4]],表格1[[#This Row],[inv no]])</f>
        <v>DA141S056-24669</v>
      </c>
    </row>
    <row r="776" spans="1:23" hidden="1">
      <c r="A776" s="81">
        <v>774</v>
      </c>
      <c r="B776" s="81" t="s">
        <v>1417</v>
      </c>
      <c r="C776" s="81" t="s">
        <v>1422</v>
      </c>
      <c r="D776" s="82" t="str">
        <f ca="1">OFFSET(Roster!$A$3,MATCH(表格1[[#This Row],[Location]]&amp;" "&amp;表格1[[#This Row],[Shop]]&amp;"*",Roster!$A$4:$A$72,0),DAY(表格1[[#This Row],[date]]),1,1)</f>
        <v>Hazel</v>
      </c>
      <c r="E776" s="81">
        <f>MONTH(表格1[[#This Row],[date]])</f>
        <v>3</v>
      </c>
      <c r="F776" s="101">
        <v>46084</v>
      </c>
      <c r="G776" s="81" t="str">
        <f>VLOOKUP("*"&amp;表格1[[#This Row],[Input]]&amp;"*",'Ref-List'!$B:$D,2,)</f>
        <v>RAD-D200H</v>
      </c>
      <c r="H776" s="81" t="str">
        <f>_xlfn.XLOOKUP(表格1[[#This Row],[Model]],表格3[Model-Input-Ref2],表格3[Product Line])</f>
        <v>壓縮式抽濕機 (22公升)</v>
      </c>
      <c r="I776" s="81" t="str">
        <f>_xlfn.XLOOKUP(表格1[[#This Row],[Model]],表格3[Model-Input-Ref2],表格3[大小電])</f>
        <v>細電</v>
      </c>
      <c r="J776" s="81" t="str">
        <f>_xlfn.XLOOKUP(表格1[[#This Row],[Model]],表格3[Model-Input-Ref2],表格3[Code])</f>
        <v>RAC</v>
      </c>
      <c r="K776" s="82" t="s">
        <v>1250</v>
      </c>
      <c r="L776" s="81">
        <v>1</v>
      </c>
      <c r="M776" s="85">
        <v>2180</v>
      </c>
      <c r="N776" s="85">
        <f>IFERROR(表格1[[#This Row],[QTY]]*表格1[[#This Row],[Unit Price]],"-")</f>
        <v>2180</v>
      </c>
      <c r="O776" s="134" t="s">
        <v>1434</v>
      </c>
      <c r="P776" s="81"/>
      <c r="Q776" s="81"/>
      <c r="R776" s="81" t="str">
        <f>_xlfn.CONCAT(表格1[[#This Row],[Model]]," ",表格1[[#This Row],[inv no]])</f>
        <v>RAD-D200H S562-0106</v>
      </c>
      <c r="S776" s="135">
        <f>_xlfn.XLOOKUP(表格1[[#This Row],[Model]],表格3[Model-Input-Ref2],表格3[SRP PRICE])</f>
        <v>2880</v>
      </c>
      <c r="T776" s="43">
        <f>表格1[[#This Row],[Unit Price]]/表格1[[#This Row],[SRP]]</f>
        <v>0.75694444444444442</v>
      </c>
      <c r="U776" s="86" t="str">
        <f>_xlfn.XLOOKUP(表格1[[#This Row],[Model]],表格3[Model-Input-Ref2],表格3[TOSHIBA/HIGHEST])</f>
        <v>Shops Highest Price</v>
      </c>
      <c r="V776" s="86" t="s">
        <v>1126</v>
      </c>
      <c r="W776" s="86" t="str">
        <f>_xlfn.CONCAT(表格1[[#This Row],[欄4]],表格1[[#This Row],[inv no]])</f>
        <v>DA141S562-0106</v>
      </c>
    </row>
    <row r="777" spans="1:23" hidden="1">
      <c r="A777" s="81">
        <v>775</v>
      </c>
      <c r="B777" s="81" t="s">
        <v>1417</v>
      </c>
      <c r="C777" s="81" t="s">
        <v>1422</v>
      </c>
      <c r="D777" s="82" t="str">
        <f ca="1">OFFSET(Roster!$A$3,MATCH(表格1[[#This Row],[Location]]&amp;" "&amp;表格1[[#This Row],[Shop]]&amp;"*",Roster!$A$4:$A$72,0),DAY(表格1[[#This Row],[date]]),1,1)</f>
        <v>Hazel</v>
      </c>
      <c r="E777" s="81">
        <f>MONTH(表格1[[#This Row],[date]])</f>
        <v>3</v>
      </c>
      <c r="F777" s="101">
        <v>46085</v>
      </c>
      <c r="G777" s="81" t="str">
        <f>VLOOKUP("*"&amp;表格1[[#This Row],[Input]]&amp;"*",'Ref-List'!$B:$D,2,)</f>
        <v>RAD-D300H</v>
      </c>
      <c r="H777" s="81" t="str">
        <f>_xlfn.XLOOKUP(表格1[[#This Row],[Model]],表格3[Model-Input-Ref2],表格3[Product Line])</f>
        <v>壓縮式抽濕機 (30公升)</v>
      </c>
      <c r="I777" s="81" t="str">
        <f>_xlfn.XLOOKUP(表格1[[#This Row],[Model]],表格3[Model-Input-Ref2],表格3[大小電])</f>
        <v>細電</v>
      </c>
      <c r="J777" s="81" t="str">
        <f>_xlfn.XLOOKUP(表格1[[#This Row],[Model]],表格3[Model-Input-Ref2],表格3[Code])</f>
        <v>RAC</v>
      </c>
      <c r="K777" s="82" t="s">
        <v>1252</v>
      </c>
      <c r="L777" s="81">
        <v>1</v>
      </c>
      <c r="M777" s="85">
        <v>2280</v>
      </c>
      <c r="N777" s="85">
        <f>IFERROR(表格1[[#This Row],[QTY]]*表格1[[#This Row],[Unit Price]],"-")</f>
        <v>2280</v>
      </c>
      <c r="O777" s="134" t="s">
        <v>1435</v>
      </c>
      <c r="P777" s="81"/>
      <c r="Q777" s="81"/>
      <c r="R777" s="81" t="str">
        <f>_xlfn.CONCAT(表格1[[#This Row],[Model]]," ",表格1[[#This Row],[inv no]])</f>
        <v>RAD-D300H S053-2354</v>
      </c>
      <c r="S777" s="135">
        <f>_xlfn.XLOOKUP(表格1[[#This Row],[Model]],表格3[Model-Input-Ref2],表格3[SRP PRICE])</f>
        <v>3380</v>
      </c>
      <c r="T777" s="43">
        <f>表格1[[#This Row],[Unit Price]]/表格1[[#This Row],[SRP]]</f>
        <v>0.67455621301775148</v>
      </c>
      <c r="U777" s="86" t="str">
        <f>_xlfn.XLOOKUP(表格1[[#This Row],[Model]],表格3[Model-Input-Ref2],表格3[TOSHIBA/HIGHEST])</f>
        <v>Shops Highest Price</v>
      </c>
      <c r="V777" s="86" t="s">
        <v>1126</v>
      </c>
      <c r="W777" s="86" t="str">
        <f>_xlfn.CONCAT(表格1[[#This Row],[欄4]],表格1[[#This Row],[inv no]])</f>
        <v>DA141S053-2354</v>
      </c>
    </row>
    <row r="778" spans="1:23" hidden="1">
      <c r="A778" s="81">
        <v>776</v>
      </c>
      <c r="B778" s="81" t="s">
        <v>1417</v>
      </c>
      <c r="C778" s="81" t="s">
        <v>1422</v>
      </c>
      <c r="D778" s="82" t="str">
        <f ca="1">OFFSET(Roster!$A$3,MATCH(表格1[[#This Row],[Location]]&amp;" "&amp;表格1[[#This Row],[Shop]]&amp;"*",Roster!$A$4:$A$72,0),DAY(表格1[[#This Row],[date]]),1,1)</f>
        <v>Hazel</v>
      </c>
      <c r="E778" s="81">
        <f>MONTH(表格1[[#This Row],[date]])</f>
        <v>3</v>
      </c>
      <c r="F778" s="101">
        <v>46085</v>
      </c>
      <c r="G778" s="81" t="str">
        <f>VLOOKUP("*"&amp;表格1[[#This Row],[Input]]&amp;"*",'Ref-List'!$B:$D,2,)</f>
        <v>AW-Q901BPH(WW)</v>
      </c>
      <c r="H778" s="81" t="str">
        <f>_xlfn.XLOOKUP(表格1[[#This Row],[Model]],表格3[Model-Input-Ref2],表格3[Product Line])</f>
        <v>日式洗衣機 (8公斤 結合高低水位)</v>
      </c>
      <c r="I778" s="81" t="str">
        <f>_xlfn.XLOOKUP(表格1[[#This Row],[Model]],表格3[Model-Input-Ref2],表格3[大小電])</f>
        <v>大電</v>
      </c>
      <c r="J778" s="81" t="str">
        <f>_xlfn.XLOOKUP(表格1[[#This Row],[Model]],表格3[Model-Input-Ref2],表格3[Code])</f>
        <v>LAD</v>
      </c>
      <c r="K778" s="82" t="s">
        <v>1411</v>
      </c>
      <c r="L778" s="81">
        <v>1</v>
      </c>
      <c r="M778" s="85">
        <v>2280</v>
      </c>
      <c r="N778" s="85">
        <f>IFERROR(表格1[[#This Row],[QTY]]*表格1[[#This Row],[Unit Price]],"-")</f>
        <v>2280</v>
      </c>
      <c r="O778" s="134" t="s">
        <v>1436</v>
      </c>
      <c r="P778" s="81"/>
      <c r="Q778" s="81"/>
      <c r="R778" s="81" t="str">
        <f>_xlfn.CONCAT(表格1[[#This Row],[Model]]," ",表格1[[#This Row],[inv no]])</f>
        <v>AW-Q901BPH(WW) S053-2359</v>
      </c>
      <c r="S778" s="135">
        <f>_xlfn.XLOOKUP(表格1[[#This Row],[Model]],表格3[Model-Input-Ref2],表格3[SRP PRICE])</f>
        <v>3780</v>
      </c>
      <c r="T778" s="43">
        <f>表格1[[#This Row],[Unit Price]]/表格1[[#This Row],[SRP]]</f>
        <v>0.60317460317460314</v>
      </c>
      <c r="U778" s="86" t="str">
        <f>_xlfn.XLOOKUP(表格1[[#This Row],[Model]],表格3[Model-Input-Ref2],表格3[TOSHIBA/HIGHEST])</f>
        <v>Toshiba SRP</v>
      </c>
      <c r="V778" s="86" t="s">
        <v>1126</v>
      </c>
      <c r="W778" s="86" t="str">
        <f>_xlfn.CONCAT(表格1[[#This Row],[欄4]],表格1[[#This Row],[inv no]])</f>
        <v>DA141S053-2359</v>
      </c>
    </row>
    <row r="779" spans="1:23" hidden="1">
      <c r="A779" s="81">
        <v>777</v>
      </c>
      <c r="B779" s="81" t="s">
        <v>1417</v>
      </c>
      <c r="C779" s="81" t="s">
        <v>1422</v>
      </c>
      <c r="D779" s="82" t="str">
        <f ca="1">OFFSET(Roster!$A$3,MATCH(表格1[[#This Row],[Location]]&amp;" "&amp;表格1[[#This Row],[Shop]]&amp;"*",Roster!$A$4:$A$72,0),DAY(表格1[[#This Row],[date]]),1,1)</f>
        <v>Hazel</v>
      </c>
      <c r="E779" s="81">
        <f>MONTH(表格1[[#This Row],[date]])</f>
        <v>3</v>
      </c>
      <c r="F779" s="101">
        <v>46085</v>
      </c>
      <c r="G779" s="81" t="str">
        <f>VLOOKUP("*"&amp;表格1[[#This Row],[Input]]&amp;"*",'Ref-List'!$B:$D,2,)</f>
        <v>KT-14DHUHK(W)</v>
      </c>
      <c r="H779" s="81" t="str">
        <f>_xlfn.XLOOKUP(表格1[[#This Row],[Model]],表格3[Model-Input-Ref2],表格3[Product Line])</f>
        <v>無線雙層電熱水壺(1.4公升)</v>
      </c>
      <c r="I779" s="81" t="str">
        <f>_xlfn.XLOOKUP(表格1[[#This Row],[Model]],表格3[Model-Input-Ref2],表格3[大小電])</f>
        <v>細電</v>
      </c>
      <c r="J779" s="81" t="str">
        <f>_xlfn.XLOOKUP(表格1[[#This Row],[Model]],表格3[Model-Input-Ref2],表格3[Code])</f>
        <v>SDA</v>
      </c>
      <c r="K779" s="82" t="s">
        <v>1425</v>
      </c>
      <c r="L779" s="81">
        <v>1</v>
      </c>
      <c r="M779" s="85">
        <v>298</v>
      </c>
      <c r="N779" s="85">
        <f>IFERROR(表格1[[#This Row],[QTY]]*表格1[[#This Row],[Unit Price]],"-")</f>
        <v>298</v>
      </c>
      <c r="O779" s="134" t="s">
        <v>1437</v>
      </c>
      <c r="P779" s="81"/>
      <c r="Q779" s="81"/>
      <c r="R779" s="81" t="str">
        <f>_xlfn.CONCAT(表格1[[#This Row],[Model]]," ",表格1[[#This Row],[inv no]])</f>
        <v>KT-14DHUHK(W) S562-0107</v>
      </c>
      <c r="S779" s="135">
        <f>_xlfn.XLOOKUP(表格1[[#This Row],[Model]],表格3[Model-Input-Ref2],表格3[SRP PRICE])</f>
        <v>458</v>
      </c>
      <c r="T779" s="43">
        <f>表格1[[#This Row],[Unit Price]]/表格1[[#This Row],[SRP]]</f>
        <v>0.6506550218340611</v>
      </c>
      <c r="U779" s="86" t="str">
        <f>_xlfn.XLOOKUP(表格1[[#This Row],[Model]],表格3[Model-Input-Ref2],表格3[TOSHIBA/HIGHEST])</f>
        <v>Toshiba SRP</v>
      </c>
      <c r="V779" s="86" t="s">
        <v>1126</v>
      </c>
      <c r="W779" s="86" t="str">
        <f>_xlfn.CONCAT(表格1[[#This Row],[欄4]],表格1[[#This Row],[inv no]])</f>
        <v>DA141S562-0107</v>
      </c>
    </row>
    <row r="780" spans="1:23" hidden="1">
      <c r="A780" s="81">
        <v>778</v>
      </c>
      <c r="B780" s="81" t="s">
        <v>1417</v>
      </c>
      <c r="C780" s="81" t="s">
        <v>1422</v>
      </c>
      <c r="D780" s="82" t="str">
        <f ca="1">OFFSET(Roster!$A$3,MATCH(表格1[[#This Row],[Location]]&amp;" "&amp;表格1[[#This Row],[Shop]]&amp;"*",Roster!$A$4:$A$72,0),DAY(表格1[[#This Row],[date]]),1,1)</f>
        <v>Hazel</v>
      </c>
      <c r="E780" s="81">
        <f>MONTH(表格1[[#This Row],[date]])</f>
        <v>3</v>
      </c>
      <c r="F780" s="101">
        <v>46085</v>
      </c>
      <c r="G780" s="81" t="str">
        <f>VLOOKUP("*"&amp;表格1[[#This Row],[Input]]&amp;"*",'Ref-List'!$B:$D,2,)</f>
        <v>RC-7HMH</v>
      </c>
      <c r="H780" s="81" t="str">
        <f>_xlfn.XLOOKUP(表格1[[#This Row],[Model]],表格3[Model-Input-Ref2],表格3[Product Line])</f>
        <v>備長炭本厚釜電飯煲0.7L</v>
      </c>
      <c r="I780" s="81" t="str">
        <f>_xlfn.XLOOKUP(表格1[[#This Row],[Model]],表格3[Model-Input-Ref2],表格3[大小電])</f>
        <v>細電</v>
      </c>
      <c r="J780" s="81" t="str">
        <f>_xlfn.XLOOKUP(表格1[[#This Row],[Model]],表格3[Model-Input-Ref2],表格3[Code])</f>
        <v>SDA</v>
      </c>
      <c r="K780" s="82" t="s">
        <v>1284</v>
      </c>
      <c r="L780" s="81">
        <v>1</v>
      </c>
      <c r="M780" s="85">
        <v>838</v>
      </c>
      <c r="N780" s="85">
        <f>IFERROR(表格1[[#This Row],[QTY]]*表格1[[#This Row],[Unit Price]],"-")</f>
        <v>838</v>
      </c>
      <c r="O780" s="134" t="s">
        <v>1438</v>
      </c>
      <c r="P780" s="81"/>
      <c r="Q780" s="81"/>
      <c r="R780" s="81" t="str">
        <f>_xlfn.CONCAT(表格1[[#This Row],[Model]]," ",表格1[[#This Row],[inv no]])</f>
        <v>RC-7HMH S056-24763</v>
      </c>
      <c r="S780" s="135">
        <f>_xlfn.XLOOKUP(表格1[[#This Row],[Model]],表格3[Model-Input-Ref2],表格3[SRP PRICE])</f>
        <v>1288</v>
      </c>
      <c r="T780" s="43">
        <f>表格1[[#This Row],[Unit Price]]/表格1[[#This Row],[SRP]]</f>
        <v>0.65062111801242239</v>
      </c>
      <c r="U780" s="86" t="str">
        <f>_xlfn.XLOOKUP(表格1[[#This Row],[Model]],表格3[Model-Input-Ref2],表格3[TOSHIBA/HIGHEST])</f>
        <v>Toshiba SRP</v>
      </c>
      <c r="V780" s="86" t="s">
        <v>1126</v>
      </c>
      <c r="W780" s="86" t="str">
        <f>_xlfn.CONCAT(表格1[[#This Row],[欄4]],表格1[[#This Row],[inv no]])</f>
        <v>DA141S056-24763</v>
      </c>
    </row>
    <row r="781" spans="1:23" hidden="1">
      <c r="A781" s="81">
        <v>779</v>
      </c>
      <c r="B781" s="81" t="s">
        <v>1417</v>
      </c>
      <c r="C781" s="81" t="s">
        <v>1422</v>
      </c>
      <c r="D781" s="82" t="str">
        <f ca="1">OFFSET(Roster!$A$3,MATCH(表格1[[#This Row],[Location]]&amp;" "&amp;表格1[[#This Row],[Shop]]&amp;"*",Roster!$A$4:$A$72,0),DAY(表格1[[#This Row],[date]]),1,1)</f>
        <v>Hazel</v>
      </c>
      <c r="E781" s="81">
        <f>MONTH(表格1[[#This Row],[date]])</f>
        <v>3</v>
      </c>
      <c r="F781" s="101">
        <v>46088</v>
      </c>
      <c r="G781" s="81" t="str">
        <f>VLOOKUP("*"&amp;表格1[[#This Row],[Input]]&amp;"*",'Ref-List'!$B:$D,2,)</f>
        <v>MS5-STR30SC(BK)</v>
      </c>
      <c r="H781" s="81" t="str">
        <f>_xlfn.XLOOKUP(表格1[[#This Row],[Model]],表格3[Model-Input-Ref2],表格3[Product Line])</f>
        <v>30公升蒸氣焗爐</v>
      </c>
      <c r="I781" s="81" t="str">
        <f>_xlfn.XLOOKUP(表格1[[#This Row],[Model]],表格3[Model-Input-Ref2],表格3[大小電])</f>
        <v>細電</v>
      </c>
      <c r="J781" s="81" t="str">
        <f>_xlfn.XLOOKUP(表格1[[#This Row],[Model]],表格3[Model-Input-Ref2],表格3[Code])</f>
        <v>MCA</v>
      </c>
      <c r="K781" s="82" t="s">
        <v>1379</v>
      </c>
      <c r="L781" s="81">
        <v>1</v>
      </c>
      <c r="M781" s="85">
        <v>3980</v>
      </c>
      <c r="N781" s="85">
        <f>IFERROR(表格1[[#This Row],[QTY]]*表格1[[#This Row],[Unit Price]],"-")</f>
        <v>3980</v>
      </c>
      <c r="O781" s="134" t="s">
        <v>1439</v>
      </c>
      <c r="P781" s="81"/>
      <c r="Q781" s="81"/>
      <c r="R781" s="81" t="str">
        <f>_xlfn.CONCAT(表格1[[#This Row],[Model]]," ",表格1[[#This Row],[inv no]])</f>
        <v>MS5-STR30SC(BK) S056-24828</v>
      </c>
      <c r="S781" s="135">
        <f>_xlfn.XLOOKUP(表格1[[#This Row],[Model]],表格3[Model-Input-Ref2],表格3[SRP PRICE])</f>
        <v>5998</v>
      </c>
      <c r="T781" s="43">
        <f>表格1[[#This Row],[Unit Price]]/表格1[[#This Row],[SRP]]</f>
        <v>0.66355451817272426</v>
      </c>
      <c r="U781" s="86" t="str">
        <f>_xlfn.XLOOKUP(表格1[[#This Row],[Model]],表格3[Model-Input-Ref2],表格3[TOSHIBA/HIGHEST])</f>
        <v>Shops Highest Price</v>
      </c>
      <c r="V781" s="86" t="s">
        <v>1126</v>
      </c>
      <c r="W781" s="86" t="str">
        <f>_xlfn.CONCAT(表格1[[#This Row],[欄4]],表格1[[#This Row],[inv no]])</f>
        <v>DA141S056-24828</v>
      </c>
    </row>
    <row r="782" spans="1:23" hidden="1">
      <c r="A782" s="81">
        <v>780</v>
      </c>
      <c r="B782" s="81" t="s">
        <v>1417</v>
      </c>
      <c r="C782" s="81" t="s">
        <v>1422</v>
      </c>
      <c r="D782" s="82" t="str">
        <f ca="1">OFFSET(Roster!$A$3,MATCH(表格1[[#This Row],[Location]]&amp;" "&amp;表格1[[#This Row],[Shop]]&amp;"*",Roster!$A$4:$A$72,0),DAY(表格1[[#This Row],[date]]),1,1)</f>
        <v>Hazel</v>
      </c>
      <c r="E782" s="81">
        <f>MONTH(表格1[[#This Row],[date]])</f>
        <v>3</v>
      </c>
      <c r="F782" s="101">
        <v>46088</v>
      </c>
      <c r="G782" s="81" t="str">
        <f>VLOOKUP("*"&amp;表格1[[#This Row],[Input]]&amp;"*",'Ref-List'!$B:$D,2,)</f>
        <v>RC-15BHH(W)</v>
      </c>
      <c r="H782" s="81" t="str">
        <f>_xlfn.XLOOKUP(表格1[[#This Row],[Model]],表格3[Model-Input-Ref2],表格3[Product Line])</f>
        <v>酵活炊磁應電飯煲(1.5公升)</v>
      </c>
      <c r="I782" s="81" t="str">
        <f>_xlfn.XLOOKUP(表格1[[#This Row],[Model]],表格3[Model-Input-Ref2],表格3[大小電])</f>
        <v>細電</v>
      </c>
      <c r="J782" s="81" t="str">
        <f>_xlfn.XLOOKUP(表格1[[#This Row],[Model]],表格3[Model-Input-Ref2],表格3[Code])</f>
        <v>SDA</v>
      </c>
      <c r="K782" s="82" t="s">
        <v>1381</v>
      </c>
      <c r="L782" s="81">
        <v>1</v>
      </c>
      <c r="M782" s="85">
        <v>1888</v>
      </c>
      <c r="N782" s="85">
        <f>IFERROR(表格1[[#This Row],[QTY]]*表格1[[#This Row],[Unit Price]],"-")</f>
        <v>1888</v>
      </c>
      <c r="O782" s="134" t="s">
        <v>1440</v>
      </c>
      <c r="P782" s="81"/>
      <c r="Q782" s="81"/>
      <c r="R782" s="81" t="str">
        <f>_xlfn.CONCAT(表格1[[#This Row],[Model]]," ",表格1[[#This Row],[inv no]])</f>
        <v>RC-15BHH(W) S056-24868</v>
      </c>
      <c r="S782" s="135">
        <f>_xlfn.XLOOKUP(表格1[[#This Row],[Model]],表格3[Model-Input-Ref2],表格3[SRP PRICE])</f>
        <v>2388</v>
      </c>
      <c r="T782" s="43">
        <f>表格1[[#This Row],[Unit Price]]/表格1[[#This Row],[SRP]]</f>
        <v>0.79061976549413737</v>
      </c>
      <c r="U782" s="86" t="str">
        <f>_xlfn.XLOOKUP(表格1[[#This Row],[Model]],表格3[Model-Input-Ref2],表格3[TOSHIBA/HIGHEST])</f>
        <v>Toshiba SRP</v>
      </c>
      <c r="V782" s="86" t="s">
        <v>1126</v>
      </c>
      <c r="W782" s="86" t="str">
        <f>_xlfn.CONCAT(表格1[[#This Row],[欄4]],表格1[[#This Row],[inv no]])</f>
        <v>DA141S056-24868</v>
      </c>
    </row>
    <row r="783" spans="1:23" hidden="1">
      <c r="A783" s="81">
        <v>781</v>
      </c>
      <c r="B783" s="81" t="s">
        <v>1417</v>
      </c>
      <c r="C783" s="81" t="s">
        <v>1422</v>
      </c>
      <c r="D783" s="82" t="str">
        <f ca="1">OFFSET(Roster!$A$3,MATCH(表格1[[#This Row],[Location]]&amp;" "&amp;表格1[[#This Row],[Shop]]&amp;"*",Roster!$A$4:$A$72,0),DAY(表格1[[#This Row],[date]]),1,1)</f>
        <v>Hazel</v>
      </c>
      <c r="E783" s="81">
        <f>MONTH(表格1[[#This Row],[date]])</f>
        <v>3</v>
      </c>
      <c r="F783" s="101">
        <v>46088</v>
      </c>
      <c r="G783" s="81" t="str">
        <f>VLOOKUP("*"&amp;表格1[[#This Row],[Input]]&amp;"*",'Ref-List'!$B:$D,2,)</f>
        <v>RC-DR10T(W)</v>
      </c>
      <c r="H783" s="81" t="str">
        <f>_xlfn.XLOOKUP(表格1[[#This Row],[Model]],表格3[Model-Input-Ref2],表格3[Product Line])</f>
        <v>IH磁應電飯煲</v>
      </c>
      <c r="I783" s="81" t="str">
        <f>_xlfn.XLOOKUP(表格1[[#This Row],[Model]],表格3[Model-Input-Ref2],表格3[大小電])</f>
        <v>細電</v>
      </c>
      <c r="J783" s="81" t="str">
        <f>_xlfn.XLOOKUP(表格1[[#This Row],[Model]],表格3[Model-Input-Ref2],表格3[Code])</f>
        <v>SDA</v>
      </c>
      <c r="K783" s="82" t="s">
        <v>1294</v>
      </c>
      <c r="L783" s="81">
        <v>1</v>
      </c>
      <c r="M783" s="85">
        <v>2380</v>
      </c>
      <c r="N783" s="85">
        <f>IFERROR(表格1[[#This Row],[QTY]]*表格1[[#This Row],[Unit Price]],"-")</f>
        <v>2380</v>
      </c>
      <c r="O783" s="134" t="s">
        <v>1441</v>
      </c>
      <c r="P783" s="81"/>
      <c r="Q783" s="81"/>
      <c r="R783" s="81" t="str">
        <f>_xlfn.CONCAT(表格1[[#This Row],[Model]]," ",表格1[[#This Row],[inv no]])</f>
        <v>RC-DR10T(W) S056-24880</v>
      </c>
      <c r="S783" s="135">
        <f>_xlfn.XLOOKUP(表格1[[#This Row],[Model]],表格3[Model-Input-Ref2],表格3[SRP PRICE])</f>
        <v>3188</v>
      </c>
      <c r="T783" s="43">
        <f>表格1[[#This Row],[Unit Price]]/表格1[[#This Row],[SRP]]</f>
        <v>0.74654956085319946</v>
      </c>
      <c r="U783" s="86" t="str">
        <f>_xlfn.XLOOKUP(表格1[[#This Row],[Model]],表格3[Model-Input-Ref2],表格3[TOSHIBA/HIGHEST])</f>
        <v>Toshiba SRP</v>
      </c>
      <c r="V783" s="86" t="s">
        <v>1126</v>
      </c>
      <c r="W783" s="86" t="str">
        <f>_xlfn.CONCAT(表格1[[#This Row],[欄4]],表格1[[#This Row],[inv no]])</f>
        <v>DA141S056-24880</v>
      </c>
    </row>
    <row r="784" spans="1:23" hidden="1">
      <c r="A784" s="81">
        <v>782</v>
      </c>
      <c r="B784" s="81" t="s">
        <v>1417</v>
      </c>
      <c r="C784" s="81" t="s">
        <v>1422</v>
      </c>
      <c r="D784" s="82" t="str">
        <f ca="1">OFFSET(Roster!$A$3,MATCH(表格1[[#This Row],[Location]]&amp;" "&amp;表格1[[#This Row],[Shop]]&amp;"*",Roster!$A$4:$A$72,0),DAY(表格1[[#This Row],[date]]),1,1)</f>
        <v>Hazel</v>
      </c>
      <c r="E784" s="81">
        <f>MONTH(表格1[[#This Row],[date]])</f>
        <v>3</v>
      </c>
      <c r="F784" s="101">
        <v>46088</v>
      </c>
      <c r="G784" s="81" t="str">
        <f>VLOOKUP("*"&amp;表格1[[#This Row],[Input]]&amp;"*",'Ref-List'!$B:$D,2,)</f>
        <v>RAD-D300H</v>
      </c>
      <c r="H784" s="81" t="str">
        <f>_xlfn.XLOOKUP(表格1[[#This Row],[Model]],表格3[Model-Input-Ref2],表格3[Product Line])</f>
        <v>壓縮式抽濕機 (30公升)</v>
      </c>
      <c r="I784" s="81" t="str">
        <f>_xlfn.XLOOKUP(表格1[[#This Row],[Model]],表格3[Model-Input-Ref2],表格3[大小電])</f>
        <v>細電</v>
      </c>
      <c r="J784" s="81" t="str">
        <f>_xlfn.XLOOKUP(表格1[[#This Row],[Model]],表格3[Model-Input-Ref2],表格3[Code])</f>
        <v>RAC</v>
      </c>
      <c r="K784" s="82" t="s">
        <v>1252</v>
      </c>
      <c r="L784" s="81">
        <v>1</v>
      </c>
      <c r="M784" s="85">
        <v>2280</v>
      </c>
      <c r="N784" s="85">
        <f>IFERROR(表格1[[#This Row],[QTY]]*表格1[[#This Row],[Unit Price]],"-")</f>
        <v>2280</v>
      </c>
      <c r="O784" s="134" t="s">
        <v>1442</v>
      </c>
      <c r="P784" s="81"/>
      <c r="Q784" s="81"/>
      <c r="R784" s="81" t="str">
        <f>_xlfn.CONCAT(表格1[[#This Row],[Model]]," ",表格1[[#This Row],[inv no]])</f>
        <v>RAD-D300H S056-24892</v>
      </c>
      <c r="S784" s="135">
        <f>_xlfn.XLOOKUP(表格1[[#This Row],[Model]],表格3[Model-Input-Ref2],表格3[SRP PRICE])</f>
        <v>3380</v>
      </c>
      <c r="T784" s="43">
        <f>表格1[[#This Row],[Unit Price]]/表格1[[#This Row],[SRP]]</f>
        <v>0.67455621301775148</v>
      </c>
      <c r="U784" s="86" t="str">
        <f>_xlfn.XLOOKUP(表格1[[#This Row],[Model]],表格3[Model-Input-Ref2],表格3[TOSHIBA/HIGHEST])</f>
        <v>Shops Highest Price</v>
      </c>
      <c r="V784" s="86" t="s">
        <v>1126</v>
      </c>
      <c r="W784" s="86" t="str">
        <f>_xlfn.CONCAT(表格1[[#This Row],[欄4]],表格1[[#This Row],[inv no]])</f>
        <v>DA141S056-24892</v>
      </c>
    </row>
    <row r="785" spans="1:23" hidden="1">
      <c r="A785" s="81">
        <v>783</v>
      </c>
      <c r="B785" s="81" t="s">
        <v>1417</v>
      </c>
      <c r="C785" s="81" t="s">
        <v>1422</v>
      </c>
      <c r="D785" s="82" t="str">
        <f ca="1">OFFSET(Roster!$A$3,MATCH(表格1[[#This Row],[Location]]&amp;" "&amp;表格1[[#This Row],[Shop]]&amp;"*",Roster!$A$4:$A$72,0),DAY(表格1[[#This Row],[date]]),1,1)</f>
        <v>Hazel</v>
      </c>
      <c r="E785" s="81">
        <f>MONTH(表格1[[#This Row],[date]])</f>
        <v>3</v>
      </c>
      <c r="F785" s="101">
        <v>46089</v>
      </c>
      <c r="G785" s="81" t="str">
        <f>VLOOKUP("*"&amp;表格1[[#This Row],[Input]]&amp;"*",'Ref-List'!$B:$D,2,)</f>
        <v>TW-T21BU80UWH(MG)</v>
      </c>
      <c r="H785" s="81" t="str">
        <f>_xlfn.XLOOKUP(表格1[[#This Row],[Model]],表格3[Model-Input-Ref2],表格3[Product Line])</f>
        <v>400MM超薄身前置式變頻洗衣機(7公斤)</v>
      </c>
      <c r="I785" s="81" t="str">
        <f>_xlfn.XLOOKUP(表格1[[#This Row],[Model]],表格3[Model-Input-Ref2],表格3[大小電])</f>
        <v>大電</v>
      </c>
      <c r="J785" s="81" t="str">
        <f>_xlfn.XLOOKUP(表格1[[#This Row],[Model]],表格3[Model-Input-Ref2],表格3[Code])</f>
        <v>LAD</v>
      </c>
      <c r="K785" s="82" t="s">
        <v>1280</v>
      </c>
      <c r="L785" s="81">
        <v>1</v>
      </c>
      <c r="M785" s="85">
        <v>3180</v>
      </c>
      <c r="N785" s="85">
        <f>IFERROR(表格1[[#This Row],[QTY]]*表格1[[#This Row],[Unit Price]],"-")</f>
        <v>3180</v>
      </c>
      <c r="O785" s="134" t="s">
        <v>1443</v>
      </c>
      <c r="P785" s="81"/>
      <c r="Q785" s="81"/>
      <c r="R785" s="81" t="str">
        <f>_xlfn.CONCAT(表格1[[#This Row],[Model]]," ",表格1[[#This Row],[inv no]])</f>
        <v>TW-T21BU80UWH(MG) S056-24912</v>
      </c>
      <c r="S785" s="135">
        <f>_xlfn.XLOOKUP(表格1[[#This Row],[Model]],表格3[Model-Input-Ref2],表格3[SRP PRICE])</f>
        <v>5180</v>
      </c>
      <c r="T785" s="43">
        <f>表格1[[#This Row],[Unit Price]]/表格1[[#This Row],[SRP]]</f>
        <v>0.61389961389961389</v>
      </c>
      <c r="U785" s="86" t="str">
        <f>_xlfn.XLOOKUP(表格1[[#This Row],[Model]],表格3[Model-Input-Ref2],表格3[TOSHIBA/HIGHEST])</f>
        <v>Toshiba SRP</v>
      </c>
      <c r="V785" s="86" t="s">
        <v>1126</v>
      </c>
      <c r="W785" s="86" t="str">
        <f>_xlfn.CONCAT(表格1[[#This Row],[欄4]],表格1[[#This Row],[inv no]])</f>
        <v>DA141S056-24912</v>
      </c>
    </row>
    <row r="786" spans="1:23" hidden="1">
      <c r="A786" s="81">
        <v>784</v>
      </c>
      <c r="B786" s="81" t="s">
        <v>1417</v>
      </c>
      <c r="C786" s="81" t="s">
        <v>1422</v>
      </c>
      <c r="D786" s="82" t="str">
        <f ca="1">OFFSET(Roster!$A$3,MATCH(表格1[[#This Row],[Location]]&amp;" "&amp;表格1[[#This Row],[Shop]]&amp;"*",Roster!$A$4:$A$72,0),DAY(表格1[[#This Row],[date]]),1,1)</f>
        <v>Hazel</v>
      </c>
      <c r="E786" s="81">
        <f>MONTH(表格1[[#This Row],[date]])</f>
        <v>3</v>
      </c>
      <c r="F786" s="101">
        <v>46089</v>
      </c>
      <c r="G786" s="81" t="str">
        <f>VLOOKUP("*"&amp;表格1[[#This Row],[Input]]&amp;"*",'Ref-List'!$B:$D,2,)</f>
        <v>MM2-EM20PC(WH)</v>
      </c>
      <c r="H786" s="81" t="str">
        <f>_xlfn.XLOOKUP(表格1[[#This Row],[Model]],表格3[Model-Input-Ref2],表格3[Product Line])</f>
        <v>輕觸式微波爐 (20公升)</v>
      </c>
      <c r="I786" s="81" t="str">
        <f>_xlfn.XLOOKUP(表格1[[#This Row],[Model]],表格3[Model-Input-Ref2],表格3[大小電])</f>
        <v>細電</v>
      </c>
      <c r="J786" s="81" t="str">
        <f>_xlfn.XLOOKUP(表格1[[#This Row],[Model]],表格3[Model-Input-Ref2],表格3[Code])</f>
        <v>MCA</v>
      </c>
      <c r="K786" s="82" t="s">
        <v>1276</v>
      </c>
      <c r="L786" s="81">
        <v>1</v>
      </c>
      <c r="M786" s="85">
        <v>598</v>
      </c>
      <c r="N786" s="85">
        <f>IFERROR(表格1[[#This Row],[QTY]]*表格1[[#This Row],[Unit Price]],"-")</f>
        <v>598</v>
      </c>
      <c r="O786" s="134" t="s">
        <v>1444</v>
      </c>
      <c r="P786" s="81"/>
      <c r="Q786" s="81"/>
      <c r="R786" s="81" t="str">
        <f>_xlfn.CONCAT(表格1[[#This Row],[Model]]," ",表格1[[#This Row],[inv no]])</f>
        <v>MM2-EM20PC(WH) S056-24941</v>
      </c>
      <c r="S786" s="135">
        <f>_xlfn.XLOOKUP(表格1[[#This Row],[Model]],表格3[Model-Input-Ref2],表格3[SRP PRICE])</f>
        <v>788</v>
      </c>
      <c r="T786" s="43">
        <f>表格1[[#This Row],[Unit Price]]/表格1[[#This Row],[SRP]]</f>
        <v>0.75888324873096447</v>
      </c>
      <c r="U786" s="86" t="str">
        <f>_xlfn.XLOOKUP(表格1[[#This Row],[Model]],表格3[Model-Input-Ref2],表格3[TOSHIBA/HIGHEST])</f>
        <v>Toshiba SRP</v>
      </c>
      <c r="V786" s="86" t="s">
        <v>1126</v>
      </c>
      <c r="W786" s="86" t="str">
        <f>_xlfn.CONCAT(表格1[[#This Row],[欄4]],表格1[[#This Row],[inv no]])</f>
        <v>DA141S056-24941</v>
      </c>
    </row>
    <row r="787" spans="1:23" hidden="1">
      <c r="A787" s="81">
        <v>785</v>
      </c>
      <c r="B787" s="81" t="s">
        <v>1417</v>
      </c>
      <c r="C787" s="81" t="s">
        <v>1422</v>
      </c>
      <c r="D787" s="82" t="str">
        <f ca="1">OFFSET(Roster!$A$3,MATCH(表格1[[#This Row],[Location]]&amp;" "&amp;表格1[[#This Row],[Shop]]&amp;"*",Roster!$A$4:$A$72,0),DAY(表格1[[#This Row],[date]]),1,1)</f>
        <v>Hazel</v>
      </c>
      <c r="E787" s="81">
        <f>MONTH(表格1[[#This Row],[date]])</f>
        <v>3</v>
      </c>
      <c r="F787" s="101">
        <v>46089</v>
      </c>
      <c r="G787" s="81" t="str">
        <f>VLOOKUP("*"&amp;表格1[[#This Row],[Input]]&amp;"*",'Ref-List'!$B:$D,2,)</f>
        <v>MX2-STR25SC(WH)</v>
      </c>
      <c r="H787" s="81" t="str">
        <f>_xlfn.XLOOKUP(表格1[[#This Row],[Model]],表格3[Model-Input-Ref2],表格3[Product Line])</f>
        <v>4合1氣炸微波蒸焗爐(25公升)</v>
      </c>
      <c r="I787" s="81" t="str">
        <f>_xlfn.XLOOKUP(表格1[[#This Row],[Model]],表格3[Model-Input-Ref2],表格3[大小電])</f>
        <v>細電</v>
      </c>
      <c r="J787" s="81" t="str">
        <f>_xlfn.XLOOKUP(表格1[[#This Row],[Model]],表格3[Model-Input-Ref2],表格3[Code])</f>
        <v>MCA</v>
      </c>
      <c r="K787" s="82" t="s">
        <v>1410</v>
      </c>
      <c r="L787" s="81">
        <v>1</v>
      </c>
      <c r="M787" s="85">
        <v>3580</v>
      </c>
      <c r="N787" s="85">
        <f>IFERROR(表格1[[#This Row],[QTY]]*表格1[[#This Row],[Unit Price]],"-")</f>
        <v>3580</v>
      </c>
      <c r="O787" s="134" t="s">
        <v>1445</v>
      </c>
      <c r="P787" s="81"/>
      <c r="Q787" s="81"/>
      <c r="R787" s="81" t="str">
        <f>_xlfn.CONCAT(表格1[[#This Row],[Model]]," ",表格1[[#This Row],[inv no]])</f>
        <v>MX2-STR25SC(WH) S056-24965</v>
      </c>
      <c r="S787" s="135">
        <f>_xlfn.XLOOKUP(表格1[[#This Row],[Model]],表格3[Model-Input-Ref2],表格3[SRP PRICE])</f>
        <v>4998</v>
      </c>
      <c r="T787" s="43">
        <f>表格1[[#This Row],[Unit Price]]/表格1[[#This Row],[SRP]]</f>
        <v>0.71628651460584236</v>
      </c>
      <c r="U787" s="86" t="str">
        <f>_xlfn.XLOOKUP(表格1[[#This Row],[Model]],表格3[Model-Input-Ref2],表格3[TOSHIBA/HIGHEST])</f>
        <v>Toshiba SRP</v>
      </c>
      <c r="V787" s="86" t="s">
        <v>1126</v>
      </c>
      <c r="W787" s="86" t="str">
        <f>_xlfn.CONCAT(表格1[[#This Row],[欄4]],表格1[[#This Row],[inv no]])</f>
        <v>DA141S056-24965</v>
      </c>
    </row>
    <row r="788" spans="1:23" ht="16.5" hidden="1">
      <c r="A788" s="81">
        <v>786</v>
      </c>
      <c r="B788" s="81" t="s">
        <v>1417</v>
      </c>
      <c r="C788" s="81" t="s">
        <v>1422</v>
      </c>
      <c r="D788" s="82" t="str">
        <f ca="1">OFFSET(Roster!$A$3,MATCH(表格1[[#This Row],[Location]]&amp;" "&amp;表格1[[#This Row],[Shop]]&amp;"*",Roster!$A$4:$A$72,0),DAY(表格1[[#This Row],[date]]),1,1)</f>
        <v>Hazel</v>
      </c>
      <c r="E788" s="81">
        <f>MONTH(表格1[[#This Row],[date]])</f>
        <v>3</v>
      </c>
      <c r="F788" s="101">
        <v>46089</v>
      </c>
      <c r="G788" s="81" t="str">
        <f>VLOOKUP("*"&amp;表格1[[#This Row],[Input]]&amp;"*",'Ref-List'!$B:$D,2,)</f>
        <v>MX2-TT20SC(WH)</v>
      </c>
      <c r="H788" s="81" t="str">
        <f>_xlfn.XLOOKUP(表格1[[#This Row],[Model]],表格3[Model-Input-Ref2],表格3[Product Line])</f>
        <v>3合1 微波蒸焗爐 (20公升)</v>
      </c>
      <c r="I788" s="81" t="str">
        <f>_xlfn.XLOOKUP(表格1[[#This Row],[Model]],表格3[Model-Input-Ref2],表格3[大小電])</f>
        <v>細電</v>
      </c>
      <c r="J788" s="81" t="str">
        <f>_xlfn.XLOOKUP(表格1[[#This Row],[Model]],表格3[Model-Input-Ref2],表格3[Code])</f>
        <v>MCA</v>
      </c>
      <c r="K788" s="82" t="s">
        <v>1287</v>
      </c>
      <c r="L788" s="81">
        <v>1</v>
      </c>
      <c r="M788" s="85">
        <v>2580</v>
      </c>
      <c r="N788" s="85">
        <f>IFERROR(表格1[[#This Row],[QTY]]*表格1[[#This Row],[Unit Price]],"-")</f>
        <v>2580</v>
      </c>
      <c r="O788" s="134" t="s">
        <v>1446</v>
      </c>
      <c r="P788" s="137"/>
      <c r="Q788" s="81"/>
      <c r="R788" s="81" t="str">
        <f>_xlfn.CONCAT(表格1[[#This Row],[Model]]," ",表格1[[#This Row],[inv no]])</f>
        <v>MX2-TT20SC(WH) S056-24987</v>
      </c>
      <c r="S788" s="135">
        <f>_xlfn.XLOOKUP(表格1[[#This Row],[Model]],表格3[Model-Input-Ref2],表格3[SRP PRICE])</f>
        <v>3580</v>
      </c>
      <c r="T788" s="43">
        <f>表格1[[#This Row],[Unit Price]]/表格1[[#This Row],[SRP]]</f>
        <v>0.72067039106145248</v>
      </c>
      <c r="U788" s="86" t="str">
        <f>_xlfn.XLOOKUP(表格1[[#This Row],[Model]],表格3[Model-Input-Ref2],表格3[TOSHIBA/HIGHEST])</f>
        <v>Toshiba SRP</v>
      </c>
      <c r="V788" s="86" t="s">
        <v>1126</v>
      </c>
      <c r="W788" s="86" t="str">
        <f>_xlfn.CONCAT(表格1[[#This Row],[欄4]],表格1[[#This Row],[inv no]])</f>
        <v>DA141S056-24987</v>
      </c>
    </row>
    <row r="789" spans="1:23" ht="16.5" hidden="1">
      <c r="A789" s="81">
        <v>787</v>
      </c>
      <c r="B789" s="81" t="s">
        <v>1417</v>
      </c>
      <c r="C789" s="81" t="s">
        <v>1422</v>
      </c>
      <c r="D789" s="82" t="str">
        <f ca="1">OFFSET(Roster!$A$3,MATCH(表格1[[#This Row],[Location]]&amp;" "&amp;表格1[[#This Row],[Shop]]&amp;"*",Roster!$A$4:$A$72,0),DAY(表格1[[#This Row],[date]]),1,1)</f>
        <v>Hazel</v>
      </c>
      <c r="E789" s="81">
        <f>MONTH(表格1[[#This Row],[date]])</f>
        <v>3</v>
      </c>
      <c r="F789" s="101">
        <v>46089</v>
      </c>
      <c r="G789" s="81" t="str">
        <f>VLOOKUP("*"&amp;表格1[[#This Row],[Input]]&amp;"*",'Ref-List'!$B:$D,2,)</f>
        <v>RC-10NMFIH(WT)</v>
      </c>
      <c r="H789" s="81" t="str">
        <f>_xlfn.XLOOKUP(表格1[[#This Row],[Model]],表格3[Model-Input-Ref2],表格3[Product Line])</f>
        <v>4毫米厚釜電飯煲1L</v>
      </c>
      <c r="I789" s="81" t="str">
        <f>_xlfn.XLOOKUP(表格1[[#This Row],[Model]],表格3[Model-Input-Ref2],表格3[大小電])</f>
        <v>細電</v>
      </c>
      <c r="J789" s="81" t="str">
        <f>_xlfn.XLOOKUP(表格1[[#This Row],[Model]],表格3[Model-Input-Ref2],表格3[Code])</f>
        <v>SDA</v>
      </c>
      <c r="K789" s="82" t="s">
        <v>1244</v>
      </c>
      <c r="L789" s="81">
        <v>1</v>
      </c>
      <c r="M789" s="85">
        <v>718</v>
      </c>
      <c r="N789" s="85">
        <f>IFERROR(表格1[[#This Row],[QTY]]*表格1[[#This Row],[Unit Price]],"-")</f>
        <v>718</v>
      </c>
      <c r="O789" s="134" t="s">
        <v>1447</v>
      </c>
      <c r="P789" s="137"/>
      <c r="Q789" s="81"/>
      <c r="R789" s="81" t="str">
        <f>_xlfn.CONCAT(表格1[[#This Row],[Model]]," ",表格1[[#This Row],[inv no]])</f>
        <v>RC-10NMFIH(WT) S055-10237</v>
      </c>
      <c r="S789" s="135">
        <f>_xlfn.XLOOKUP(表格1[[#This Row],[Model]],表格3[Model-Input-Ref2],表格3[SRP PRICE])</f>
        <v>898</v>
      </c>
      <c r="T789" s="43">
        <f>表格1[[#This Row],[Unit Price]]/表格1[[#This Row],[SRP]]</f>
        <v>0.79955456570155903</v>
      </c>
      <c r="U789" s="86" t="str">
        <f>_xlfn.XLOOKUP(表格1[[#This Row],[Model]],表格3[Model-Input-Ref2],表格3[TOSHIBA/HIGHEST])</f>
        <v>Toshiba SRP</v>
      </c>
      <c r="V789" s="86" t="s">
        <v>1126</v>
      </c>
      <c r="W789" s="86" t="str">
        <f>_xlfn.CONCAT(表格1[[#This Row],[欄4]],表格1[[#This Row],[inv no]])</f>
        <v>DA141S055-10237</v>
      </c>
    </row>
    <row r="790" spans="1:23" hidden="1">
      <c r="A790" s="81">
        <v>788</v>
      </c>
      <c r="B790" s="81" t="s">
        <v>1417</v>
      </c>
      <c r="C790" s="81" t="s">
        <v>1422</v>
      </c>
      <c r="D790" s="82" t="str">
        <f ca="1">OFFSET(Roster!$A$3,MATCH(表格1[[#This Row],[Location]]&amp;" "&amp;表格1[[#This Row],[Shop]]&amp;"*",Roster!$A$4:$A$72,0),DAY(表格1[[#This Row],[date]]),1,1)</f>
        <v>Hazel</v>
      </c>
      <c r="E790" s="81">
        <f>MONTH(表格1[[#This Row],[date]])</f>
        <v>3</v>
      </c>
      <c r="F790" s="101">
        <v>46089</v>
      </c>
      <c r="G790" s="81" t="str">
        <f>VLOOKUP("*"&amp;表格1[[#This Row],[Input]]&amp;"*",'Ref-List'!$B:$D,2,)</f>
        <v>TW-T22BU85UWH(WK)-B</v>
      </c>
      <c r="H790" s="81" t="str">
        <f>_xlfn.XLOOKUP(表格1[[#This Row],[Model]],表格3[Model-Input-Ref2],表格3[Product Line])</f>
        <v>470MM超薄身前置式變頻洗衣機(7.5公斤, 可飛頂)</v>
      </c>
      <c r="I790" s="81" t="str">
        <f>_xlfn.XLOOKUP(表格1[[#This Row],[Model]],表格3[Model-Input-Ref2],表格3[大小電])</f>
        <v>大電</v>
      </c>
      <c r="J790" s="81" t="str">
        <f>_xlfn.XLOOKUP(表格1[[#This Row],[Model]],表格3[Model-Input-Ref2],表格3[Code])</f>
        <v>LAD</v>
      </c>
      <c r="K790" s="82" t="s">
        <v>972</v>
      </c>
      <c r="L790" s="81">
        <v>1</v>
      </c>
      <c r="M790" s="85">
        <v>3480</v>
      </c>
      <c r="N790" s="85">
        <f>IFERROR(表格1[[#This Row],[QTY]]*表格1[[#This Row],[Unit Price]],"-")</f>
        <v>3480</v>
      </c>
      <c r="O790" s="134" t="s">
        <v>1448</v>
      </c>
      <c r="P790" s="81"/>
      <c r="Q790" s="81"/>
      <c r="R790" s="81" t="str">
        <f>_xlfn.CONCAT(表格1[[#This Row],[Model]]," ",表格1[[#This Row],[inv no]])</f>
        <v>TW-T22BU85UWH(WK)-B S056-25006</v>
      </c>
      <c r="S790" s="135">
        <f>_xlfn.XLOOKUP(表格1[[#This Row],[Model]],表格3[Model-Input-Ref2],表格3[SRP PRICE])</f>
        <v>5480</v>
      </c>
      <c r="T790" s="43">
        <f>表格1[[#This Row],[Unit Price]]/表格1[[#This Row],[SRP]]</f>
        <v>0.63503649635036497</v>
      </c>
      <c r="U790" s="86" t="str">
        <f>_xlfn.XLOOKUP(表格1[[#This Row],[Model]],表格3[Model-Input-Ref2],表格3[TOSHIBA/HIGHEST])</f>
        <v>Toshiba SRP</v>
      </c>
      <c r="V790" s="86" t="s">
        <v>1126</v>
      </c>
      <c r="W790" s="86" t="str">
        <f>_xlfn.CONCAT(表格1[[#This Row],[欄4]],表格1[[#This Row],[inv no]])</f>
        <v>DA141S056-25006</v>
      </c>
    </row>
    <row r="791" spans="1:23" hidden="1">
      <c r="A791" s="81">
        <v>789</v>
      </c>
      <c r="B791" s="81" t="s">
        <v>1203</v>
      </c>
      <c r="C791" s="81" t="s">
        <v>1449</v>
      </c>
      <c r="D791" s="82" t="str">
        <f ca="1">OFFSET(Roster!$A$3,MATCH(表格1[[#This Row],[Location]]&amp;" "&amp;表格1[[#This Row],[Shop]]&amp;"*",Roster!$A$4:$A$72,0),DAY(表格1[[#This Row],[date]]),1,1)</f>
        <v>Ho_1</v>
      </c>
      <c r="E791" s="81">
        <f>MONTH(表格1[[#This Row],[date]])</f>
        <v>3</v>
      </c>
      <c r="F791" s="101">
        <v>46082</v>
      </c>
      <c r="G791" s="81" t="str">
        <f>VLOOKUP("*"&amp;表格1[[#This Row],[Input]]&amp;"*",'Ref-List'!$B:$D,2,)</f>
        <v>ER-TD5000HK(XK)</v>
      </c>
      <c r="H791" s="81" t="str">
        <f>_xlfn.XLOOKUP(表格1[[#This Row],[Model]],表格3[Model-Input-Ref2],表格3[Product Line])</f>
        <v>座檯式純蒸氣烤焗水波爐30L</v>
      </c>
      <c r="I791" s="81" t="str">
        <f>_xlfn.XLOOKUP(表格1[[#This Row],[Model]],表格3[Model-Input-Ref2],表格3[大小電])</f>
        <v>細電</v>
      </c>
      <c r="J791" s="81" t="str">
        <f>_xlfn.XLOOKUP(表格1[[#This Row],[Model]],表格3[Model-Input-Ref2],表格3[Code])</f>
        <v>SDA</v>
      </c>
      <c r="K791" s="82" t="s">
        <v>1205</v>
      </c>
      <c r="L791" s="81">
        <v>1</v>
      </c>
      <c r="M791" s="85">
        <v>3588</v>
      </c>
      <c r="N791" s="85">
        <f>IFERROR(表格1[[#This Row],[QTY]]*表格1[[#This Row],[Unit Price]],"-")</f>
        <v>3588</v>
      </c>
      <c r="O791" s="134">
        <v>6004071</v>
      </c>
      <c r="P791" s="81"/>
      <c r="Q791" s="81"/>
      <c r="R791" s="81" t="str">
        <f>_xlfn.CONCAT(表格1[[#This Row],[Model]]," ",表格1[[#This Row],[inv no]])</f>
        <v>ER-TD5000HK(XK) 6004071</v>
      </c>
      <c r="S791" s="135">
        <f>_xlfn.XLOOKUP(表格1[[#This Row],[Model]],表格3[Model-Input-Ref2],表格3[SRP PRICE])</f>
        <v>7998</v>
      </c>
      <c r="T791" s="43">
        <f>表格1[[#This Row],[Unit Price]]/表格1[[#This Row],[SRP]]</f>
        <v>0.44861215303825958</v>
      </c>
      <c r="U791" s="86" t="str">
        <f>_xlfn.XLOOKUP(表格1[[#This Row],[Model]],表格3[Model-Input-Ref2],表格3[TOSHIBA/HIGHEST])</f>
        <v>Toshiba SRP</v>
      </c>
      <c r="V791" s="86" t="s">
        <v>1126</v>
      </c>
      <c r="W791" s="86" t="str">
        <f>_xlfn.CONCAT(表格1[[#This Row],[欄4]],表格1[[#This Row],[inv no]])</f>
        <v>DA1416004071</v>
      </c>
    </row>
    <row r="792" spans="1:23" hidden="1">
      <c r="A792" s="81">
        <v>790</v>
      </c>
      <c r="B792" s="81" t="s">
        <v>1203</v>
      </c>
      <c r="C792" s="81" t="s">
        <v>1449</v>
      </c>
      <c r="D792" s="82" t="str">
        <f ca="1">OFFSET(Roster!$A$3,MATCH(表格1[[#This Row],[Location]]&amp;" "&amp;表格1[[#This Row],[Shop]]&amp;"*",Roster!$A$4:$A$72,0),DAY(表格1[[#This Row],[date]]),1,1)</f>
        <v>Ho_1</v>
      </c>
      <c r="E792" s="81">
        <f>MONTH(表格1[[#This Row],[date]])</f>
        <v>3</v>
      </c>
      <c r="F792" s="101">
        <v>46082</v>
      </c>
      <c r="G792" s="81" t="str">
        <f>VLOOKUP("*"&amp;表格1[[#This Row],[Input]]&amp;"*",'Ref-List'!$B:$D,2,)</f>
        <v>GR-A26HSZ(DS)</v>
      </c>
      <c r="H792" s="81" t="str">
        <f>_xlfn.XLOOKUP(表格1[[#This Row],[Model]],表格3[Model-Input-Ref2],表格3[Product Line])</f>
        <v>雙門變頻式環保雪櫃</v>
      </c>
      <c r="I792" s="81" t="str">
        <f>_xlfn.XLOOKUP(表格1[[#This Row],[Model]],表格3[Model-Input-Ref2],表格3[大小電])</f>
        <v>大電</v>
      </c>
      <c r="J792" s="81" t="str">
        <f>_xlfn.XLOOKUP(表格1[[#This Row],[Model]],表格3[Model-Input-Ref2],表格3[Code])</f>
        <v>AC</v>
      </c>
      <c r="K792" s="82" t="s">
        <v>1207</v>
      </c>
      <c r="L792" s="81">
        <v>1</v>
      </c>
      <c r="M792" s="85">
        <v>1500</v>
      </c>
      <c r="N792" s="85">
        <f>IFERROR(表格1[[#This Row],[QTY]]*表格1[[#This Row],[Unit Price]],"-")</f>
        <v>1500</v>
      </c>
      <c r="O792" s="134">
        <v>6004022</v>
      </c>
      <c r="P792" s="81"/>
      <c r="Q792" s="81"/>
      <c r="R792" s="81" t="str">
        <f>_xlfn.CONCAT(表格1[[#This Row],[Model]]," ",表格1[[#This Row],[inv no]])</f>
        <v>GR-A26HSZ(DS) 6004022</v>
      </c>
      <c r="S792" s="135">
        <f>_xlfn.XLOOKUP(表格1[[#This Row],[Model]],表格3[Model-Input-Ref2],表格3[SRP PRICE])</f>
        <v>3780</v>
      </c>
      <c r="T792" s="43">
        <f>表格1[[#This Row],[Unit Price]]/表格1[[#This Row],[SRP]]</f>
        <v>0.3968253968253968</v>
      </c>
      <c r="U792" s="86" t="str">
        <f>_xlfn.XLOOKUP(表格1[[#This Row],[Model]],表格3[Model-Input-Ref2],表格3[TOSHIBA/HIGHEST])</f>
        <v>Toshiba SRP</v>
      </c>
      <c r="V792" s="86" t="s">
        <v>1126</v>
      </c>
      <c r="W792" s="86" t="str">
        <f>_xlfn.CONCAT(表格1[[#This Row],[欄4]],表格1[[#This Row],[inv no]])</f>
        <v>DA1416004022</v>
      </c>
    </row>
    <row r="793" spans="1:23" hidden="1">
      <c r="A793" s="81">
        <v>791</v>
      </c>
      <c r="B793" s="81" t="s">
        <v>1203</v>
      </c>
      <c r="C793" s="81" t="s">
        <v>1449</v>
      </c>
      <c r="D793" s="82" t="str">
        <f ca="1">OFFSET(Roster!$A$3,MATCH(表格1[[#This Row],[Location]]&amp;" "&amp;表格1[[#This Row],[Shop]]&amp;"*",Roster!$A$4:$A$72,0),DAY(表格1[[#This Row],[date]]),1,1)</f>
        <v>Ho_1</v>
      </c>
      <c r="E793" s="81">
        <f>MONTH(表格1[[#This Row],[date]])</f>
        <v>3</v>
      </c>
      <c r="F793" s="101">
        <v>46082</v>
      </c>
      <c r="G793" s="81" t="str">
        <f>VLOOKUP("*"&amp;表格1[[#This Row],[Input]]&amp;"*",'Ref-List'!$B:$D,2,)</f>
        <v>TWD-BN90GF4H(WK)</v>
      </c>
      <c r="H793" s="81" t="str">
        <f>_xlfn.XLOOKUP(表格1[[#This Row],[Model]],表格3[Model-Input-Ref2],表格3[Product Line])</f>
        <v>超薄身前置式洗衣乾衣機 (洗8公斤 乾5公斤)</v>
      </c>
      <c r="I793" s="81" t="str">
        <f>_xlfn.XLOOKUP(表格1[[#This Row],[Model]],表格3[Model-Input-Ref2],表格3[大小電])</f>
        <v>大電</v>
      </c>
      <c r="J793" s="81" t="str">
        <f>_xlfn.XLOOKUP(表格1[[#This Row],[Model]],表格3[Model-Input-Ref2],表格3[Code])</f>
        <v>WM</v>
      </c>
      <c r="K793" s="82" t="s">
        <v>1199</v>
      </c>
      <c r="L793" s="81">
        <v>1</v>
      </c>
      <c r="M793" s="85">
        <v>3588</v>
      </c>
      <c r="N793" s="85">
        <f>IFERROR(表格1[[#This Row],[QTY]]*表格1[[#This Row],[Unit Price]],"-")</f>
        <v>3588</v>
      </c>
      <c r="O793" s="134">
        <v>6036834</v>
      </c>
      <c r="P793" s="81"/>
      <c r="Q793" s="81"/>
      <c r="R793" s="81" t="str">
        <f>_xlfn.CONCAT(表格1[[#This Row],[Model]]," ",表格1[[#This Row],[inv no]])</f>
        <v>TWD-BN90GF4H(WK) 6036834</v>
      </c>
      <c r="S793" s="135">
        <f>_xlfn.XLOOKUP(表格1[[#This Row],[Model]],表格3[Model-Input-Ref2],表格3[SRP PRICE])</f>
        <v>5980</v>
      </c>
      <c r="T793" s="43">
        <f>表格1[[#This Row],[Unit Price]]/表格1[[#This Row],[SRP]]</f>
        <v>0.6</v>
      </c>
      <c r="U793" s="86" t="str">
        <f>_xlfn.XLOOKUP(表格1[[#This Row],[Model]],表格3[Model-Input-Ref2],表格3[TOSHIBA/HIGHEST])</f>
        <v>Toshiba SRP</v>
      </c>
      <c r="V793" s="86" t="s">
        <v>1126</v>
      </c>
      <c r="W793" s="86" t="str">
        <f>_xlfn.CONCAT(表格1[[#This Row],[欄4]],表格1[[#This Row],[inv no]])</f>
        <v>DA1416036834</v>
      </c>
    </row>
    <row r="794" spans="1:23" hidden="1">
      <c r="A794" s="81">
        <v>792</v>
      </c>
      <c r="B794" s="81" t="s">
        <v>1203</v>
      </c>
      <c r="C794" s="81" t="s">
        <v>1449</v>
      </c>
      <c r="D794" s="82" t="str">
        <f ca="1">OFFSET(Roster!$A$3,MATCH(表格1[[#This Row],[Location]]&amp;" "&amp;表格1[[#This Row],[Shop]]&amp;"*",Roster!$A$4:$A$72,0),DAY(表格1[[#This Row],[date]]),1,1)</f>
        <v>Ho_1</v>
      </c>
      <c r="E794" s="81">
        <f>MONTH(表格1[[#This Row],[date]])</f>
        <v>3</v>
      </c>
      <c r="F794" s="101">
        <v>46082</v>
      </c>
      <c r="G794" s="81" t="str">
        <f>VLOOKUP("*"&amp;表格1[[#This Row],[Input]]&amp;"*",'Ref-List'!$B:$D,2,)</f>
        <v>RAD-Y200H</v>
      </c>
      <c r="H794" s="81" t="str">
        <f>_xlfn.XLOOKUP(表格1[[#This Row],[Model]],表格3[Model-Input-Ref2],表格3[Product Line])</f>
        <v>21L壓縮式抽濕機</v>
      </c>
      <c r="I794" s="81" t="str">
        <f>_xlfn.XLOOKUP(表格1[[#This Row],[Model]],表格3[Model-Input-Ref2],表格3[大小電])</f>
        <v>大電</v>
      </c>
      <c r="J794" s="81" t="str">
        <f>_xlfn.XLOOKUP(表格1[[#This Row],[Model]],表格3[Model-Input-Ref2],表格3[Code])</f>
        <v>RAC</v>
      </c>
      <c r="K794" s="82" t="s">
        <v>1241</v>
      </c>
      <c r="L794" s="81">
        <v>1</v>
      </c>
      <c r="M794" s="85">
        <v>1500</v>
      </c>
      <c r="N794" s="85">
        <f>IFERROR(表格1[[#This Row],[QTY]]*表格1[[#This Row],[Unit Price]],"-")</f>
        <v>1500</v>
      </c>
      <c r="O794" s="134">
        <v>6036823</v>
      </c>
      <c r="P794" s="81"/>
      <c r="Q794" s="81"/>
      <c r="R794" s="81" t="str">
        <f>_xlfn.CONCAT(表格1[[#This Row],[Model]]," ",表格1[[#This Row],[inv no]])</f>
        <v>RAD-Y200H 6036823</v>
      </c>
      <c r="S794" s="135">
        <f>_xlfn.XLOOKUP(表格1[[#This Row],[Model]],表格3[Model-Input-Ref2],表格3[SRP PRICE])</f>
        <v>3280</v>
      </c>
      <c r="T794" s="43">
        <f>表格1[[#This Row],[Unit Price]]/表格1[[#This Row],[SRP]]</f>
        <v>0.45731707317073172</v>
      </c>
      <c r="U794" s="86" t="str">
        <f>_xlfn.XLOOKUP(表格1[[#This Row],[Model]],表格3[Model-Input-Ref2],表格3[TOSHIBA/HIGHEST])</f>
        <v>Toshiba SRP</v>
      </c>
      <c r="V794" s="86" t="s">
        <v>1126</v>
      </c>
      <c r="W794" s="86" t="str">
        <f>_xlfn.CONCAT(表格1[[#This Row],[欄4]],表格1[[#This Row],[inv no]])</f>
        <v>DA1416036823</v>
      </c>
    </row>
    <row r="795" spans="1:23" hidden="1">
      <c r="A795" s="81">
        <v>793</v>
      </c>
      <c r="B795" s="81" t="s">
        <v>1203</v>
      </c>
      <c r="C795" s="81" t="s">
        <v>1449</v>
      </c>
      <c r="D795" s="82" t="str">
        <f ca="1">OFFSET(Roster!$A$3,MATCH(表格1[[#This Row],[Location]]&amp;" "&amp;表格1[[#This Row],[Shop]]&amp;"*",Roster!$A$4:$A$72,0),DAY(表格1[[#This Row],[date]]),1,1)</f>
        <v>Ho_1</v>
      </c>
      <c r="E795" s="81">
        <f>MONTH(表格1[[#This Row],[date]])</f>
        <v>3</v>
      </c>
      <c r="F795" s="101">
        <v>46082</v>
      </c>
      <c r="G795" s="81" t="str">
        <f>VLOOKUP("*"&amp;表格1[[#This Row],[Input]]&amp;"*",'Ref-List'!$B:$D,2,)</f>
        <v>AW-M901BPH(WW)</v>
      </c>
      <c r="H795" s="81" t="str">
        <f>_xlfn.XLOOKUP(表格1[[#This Row],[Model]],表格3[Model-Input-Ref2],表格3[Product Line])</f>
        <v>全自動洗衣機 (8公斤 結合高低水位)</v>
      </c>
      <c r="I795" s="81" t="str">
        <f>_xlfn.XLOOKUP(表格1[[#This Row],[Model]],表格3[Model-Input-Ref2],表格3[大小電])</f>
        <v>大電</v>
      </c>
      <c r="J795" s="81" t="str">
        <f>_xlfn.XLOOKUP(表格1[[#This Row],[Model]],表格3[Model-Input-Ref2],表格3[Code])</f>
        <v>WM</v>
      </c>
      <c r="K795" s="82" t="s">
        <v>1202</v>
      </c>
      <c r="L795" s="81">
        <v>1</v>
      </c>
      <c r="M795" s="85">
        <v>1500</v>
      </c>
      <c r="N795" s="85">
        <f>IFERROR(表格1[[#This Row],[QTY]]*表格1[[#This Row],[Unit Price]],"-")</f>
        <v>1500</v>
      </c>
      <c r="O795" s="134">
        <v>6036830</v>
      </c>
      <c r="P795" s="81"/>
      <c r="Q795" s="81"/>
      <c r="R795" s="81" t="str">
        <f>_xlfn.CONCAT(表格1[[#This Row],[Model]]," ",表格1[[#This Row],[inv no]])</f>
        <v>AW-M901BPH(WW) 6036830</v>
      </c>
      <c r="S795" s="135">
        <f>_xlfn.XLOOKUP(表格1[[#This Row],[Model]],表格3[Model-Input-Ref2],表格3[SRP PRICE])</f>
        <v>3580</v>
      </c>
      <c r="T795" s="43">
        <f>表格1[[#This Row],[Unit Price]]/表格1[[#This Row],[SRP]]</f>
        <v>0.41899441340782123</v>
      </c>
      <c r="U795" s="86" t="str">
        <f>_xlfn.XLOOKUP(表格1[[#This Row],[Model]],表格3[Model-Input-Ref2],表格3[TOSHIBA/HIGHEST])</f>
        <v>Toshiba SRP</v>
      </c>
      <c r="V795" s="86" t="s">
        <v>1126</v>
      </c>
      <c r="W795" s="86" t="str">
        <f>_xlfn.CONCAT(表格1[[#This Row],[欄4]],表格1[[#This Row],[inv no]])</f>
        <v>DA1416036830</v>
      </c>
    </row>
    <row r="796" spans="1:23" hidden="1">
      <c r="A796" s="81">
        <v>794</v>
      </c>
      <c r="B796" s="81" t="s">
        <v>1203</v>
      </c>
      <c r="C796" s="81" t="s">
        <v>1449</v>
      </c>
      <c r="D796" s="82" t="str">
        <f ca="1">OFFSET(Roster!$A$3,MATCH(表格1[[#This Row],[Location]]&amp;" "&amp;表格1[[#This Row],[Shop]]&amp;"*",Roster!$A$4:$A$72,0),DAY(表格1[[#This Row],[date]]),1,1)</f>
        <v>Ho_1</v>
      </c>
      <c r="E796" s="81">
        <f>MONTH(表格1[[#This Row],[date]])</f>
        <v>3</v>
      </c>
      <c r="F796" s="101">
        <v>46082</v>
      </c>
      <c r="G796" s="81" t="str">
        <f>VLOOKUP("*"&amp;表格1[[#This Row],[Input]]&amp;"*",'Ref-List'!$B:$D,2,)</f>
        <v>TWD-BN90GF4H(WK)</v>
      </c>
      <c r="H796" s="81" t="str">
        <f>_xlfn.XLOOKUP(表格1[[#This Row],[Model]],表格3[Model-Input-Ref2],表格3[Product Line])</f>
        <v>超薄身前置式洗衣乾衣機 (洗8公斤 乾5公斤)</v>
      </c>
      <c r="I796" s="81" t="str">
        <f>_xlfn.XLOOKUP(表格1[[#This Row],[Model]],表格3[Model-Input-Ref2],表格3[大小電])</f>
        <v>大電</v>
      </c>
      <c r="J796" s="81" t="str">
        <f>_xlfn.XLOOKUP(表格1[[#This Row],[Model]],表格3[Model-Input-Ref2],表格3[Code])</f>
        <v>WM</v>
      </c>
      <c r="K796" s="82" t="s">
        <v>1199</v>
      </c>
      <c r="L796" s="81">
        <v>1</v>
      </c>
      <c r="M796" s="85">
        <v>3588</v>
      </c>
      <c r="N796" s="85">
        <f>IFERROR(表格1[[#This Row],[QTY]]*表格1[[#This Row],[Unit Price]],"-")</f>
        <v>3588</v>
      </c>
      <c r="O796" s="134">
        <v>6036085</v>
      </c>
      <c r="P796" s="81"/>
      <c r="Q796" s="81"/>
      <c r="R796" s="81" t="str">
        <f>_xlfn.CONCAT(表格1[[#This Row],[Model]]," ",表格1[[#This Row],[inv no]])</f>
        <v>TWD-BN90GF4H(WK) 6036085</v>
      </c>
      <c r="S796" s="135">
        <f>_xlfn.XLOOKUP(表格1[[#This Row],[Model]],表格3[Model-Input-Ref2],表格3[SRP PRICE])</f>
        <v>5980</v>
      </c>
      <c r="T796" s="43">
        <f>表格1[[#This Row],[Unit Price]]/表格1[[#This Row],[SRP]]</f>
        <v>0.6</v>
      </c>
      <c r="U796" s="86" t="str">
        <f>_xlfn.XLOOKUP(表格1[[#This Row],[Model]],表格3[Model-Input-Ref2],表格3[TOSHIBA/HIGHEST])</f>
        <v>Toshiba SRP</v>
      </c>
      <c r="V796" s="86" t="s">
        <v>1126</v>
      </c>
      <c r="W796" s="86" t="str">
        <f>_xlfn.CONCAT(表格1[[#This Row],[欄4]],表格1[[#This Row],[inv no]])</f>
        <v>DA1416036085</v>
      </c>
    </row>
    <row r="797" spans="1:23" hidden="1">
      <c r="A797" s="81">
        <v>795</v>
      </c>
      <c r="B797" s="81" t="s">
        <v>1203</v>
      </c>
      <c r="C797" s="81" t="s">
        <v>1449</v>
      </c>
      <c r="D797" s="82" t="str">
        <f ca="1">OFFSET(Roster!$A$3,MATCH(表格1[[#This Row],[Location]]&amp;" "&amp;表格1[[#This Row],[Shop]]&amp;"*",Roster!$A$4:$A$72,0),DAY(表格1[[#This Row],[date]]),1,1)</f>
        <v>Ho_1</v>
      </c>
      <c r="E797" s="81">
        <f>MONTH(表格1[[#This Row],[date]])</f>
        <v>3</v>
      </c>
      <c r="F797" s="101">
        <v>46082</v>
      </c>
      <c r="G797" s="81" t="str">
        <f>VLOOKUP("*"&amp;表格1[[#This Row],[Input]]&amp;"*",'Ref-List'!$B:$D,2,)</f>
        <v>AW-M901BPH(WW)</v>
      </c>
      <c r="H797" s="81" t="str">
        <f>_xlfn.XLOOKUP(表格1[[#This Row],[Model]],表格3[Model-Input-Ref2],表格3[Product Line])</f>
        <v>全自動洗衣機 (8公斤 結合高低水位)</v>
      </c>
      <c r="I797" s="81" t="str">
        <f>_xlfn.XLOOKUP(表格1[[#This Row],[Model]],表格3[Model-Input-Ref2],表格3[大小電])</f>
        <v>大電</v>
      </c>
      <c r="J797" s="81" t="str">
        <f>_xlfn.XLOOKUP(表格1[[#This Row],[Model]],表格3[Model-Input-Ref2],表格3[Code])</f>
        <v>WM</v>
      </c>
      <c r="K797" s="82" t="s">
        <v>1202</v>
      </c>
      <c r="L797" s="81">
        <v>1</v>
      </c>
      <c r="M797" s="85">
        <v>1500</v>
      </c>
      <c r="N797" s="85">
        <f>IFERROR(表格1[[#This Row],[QTY]]*表格1[[#This Row],[Unit Price]],"-")</f>
        <v>1500</v>
      </c>
      <c r="O797" s="134">
        <v>6031841</v>
      </c>
      <c r="P797" s="81"/>
      <c r="Q797" s="81"/>
      <c r="R797" s="81" t="str">
        <f>_xlfn.CONCAT(表格1[[#This Row],[Model]]," ",表格1[[#This Row],[inv no]])</f>
        <v>AW-M901BPH(WW) 6031841</v>
      </c>
      <c r="S797" s="135">
        <f>_xlfn.XLOOKUP(表格1[[#This Row],[Model]],表格3[Model-Input-Ref2],表格3[SRP PRICE])</f>
        <v>3580</v>
      </c>
      <c r="T797" s="43">
        <f>表格1[[#This Row],[Unit Price]]/表格1[[#This Row],[SRP]]</f>
        <v>0.41899441340782123</v>
      </c>
      <c r="U797" s="86" t="str">
        <f>_xlfn.XLOOKUP(表格1[[#This Row],[Model]],表格3[Model-Input-Ref2],表格3[TOSHIBA/HIGHEST])</f>
        <v>Toshiba SRP</v>
      </c>
      <c r="V797" s="86" t="s">
        <v>1126</v>
      </c>
      <c r="W797" s="86" t="str">
        <f>_xlfn.CONCAT(表格1[[#This Row],[欄4]],表格1[[#This Row],[inv no]])</f>
        <v>DA1416031841</v>
      </c>
    </row>
    <row r="798" spans="1:23" ht="16.5" hidden="1">
      <c r="A798" s="81">
        <v>796</v>
      </c>
      <c r="B798" s="81" t="s">
        <v>1203</v>
      </c>
      <c r="C798" s="81" t="s">
        <v>1449</v>
      </c>
      <c r="D798" s="82" t="str">
        <f ca="1">OFFSET(Roster!$A$3,MATCH(表格1[[#This Row],[Location]]&amp;" "&amp;表格1[[#This Row],[Shop]]&amp;"*",Roster!$A$4:$A$72,0),DAY(表格1[[#This Row],[date]]),1,1)</f>
        <v>Ho_1</v>
      </c>
      <c r="E798" s="81">
        <f>MONTH(表格1[[#This Row],[date]])</f>
        <v>3</v>
      </c>
      <c r="F798" s="101">
        <v>46082</v>
      </c>
      <c r="G798" s="81" t="str">
        <f>VLOOKUP("*"&amp;表格1[[#This Row],[Input]]&amp;"*",'Ref-List'!$B:$D,2,)</f>
        <v>AW-M901BPH(WW)</v>
      </c>
      <c r="H798" s="81" t="str">
        <f>_xlfn.XLOOKUP(表格1[[#This Row],[Model]],表格3[Model-Input-Ref2],表格3[Product Line])</f>
        <v>全自動洗衣機 (8公斤 結合高低水位)</v>
      </c>
      <c r="I798" s="81" t="str">
        <f>_xlfn.XLOOKUP(表格1[[#This Row],[Model]],表格3[Model-Input-Ref2],表格3[大小電])</f>
        <v>大電</v>
      </c>
      <c r="J798" s="81" t="str">
        <f>_xlfn.XLOOKUP(表格1[[#This Row],[Model]],表格3[Model-Input-Ref2],表格3[Code])</f>
        <v>WM</v>
      </c>
      <c r="K798" s="82" t="s">
        <v>1202</v>
      </c>
      <c r="L798" s="81">
        <v>1</v>
      </c>
      <c r="M798" s="85">
        <v>1500</v>
      </c>
      <c r="N798" s="85">
        <f>IFERROR(表格1[[#This Row],[QTY]]*表格1[[#This Row],[Unit Price]],"-")</f>
        <v>1500</v>
      </c>
      <c r="O798" s="134">
        <v>6004032</v>
      </c>
      <c r="P798" s="137"/>
      <c r="Q798" s="81"/>
      <c r="R798" s="81" t="str">
        <f>_xlfn.CONCAT(表格1[[#This Row],[Model]]," ",表格1[[#This Row],[inv no]])</f>
        <v>AW-M901BPH(WW) 6004032</v>
      </c>
      <c r="S798" s="135">
        <f>_xlfn.XLOOKUP(表格1[[#This Row],[Model]],表格3[Model-Input-Ref2],表格3[SRP PRICE])</f>
        <v>3580</v>
      </c>
      <c r="T798" s="43">
        <f>表格1[[#This Row],[Unit Price]]/表格1[[#This Row],[SRP]]</f>
        <v>0.41899441340782123</v>
      </c>
      <c r="U798" s="86" t="str">
        <f>_xlfn.XLOOKUP(表格1[[#This Row],[Model]],表格3[Model-Input-Ref2],表格3[TOSHIBA/HIGHEST])</f>
        <v>Toshiba SRP</v>
      </c>
      <c r="V798" s="86" t="s">
        <v>1126</v>
      </c>
      <c r="W798" s="86" t="str">
        <f>_xlfn.CONCAT(表格1[[#This Row],[欄4]],表格1[[#This Row],[inv no]])</f>
        <v>DA1416004032</v>
      </c>
    </row>
    <row r="799" spans="1:23" hidden="1">
      <c r="A799" s="81">
        <v>797</v>
      </c>
      <c r="B799" s="81" t="s">
        <v>1203</v>
      </c>
      <c r="C799" s="81" t="s">
        <v>1449</v>
      </c>
      <c r="D799" s="82" t="str">
        <f ca="1">OFFSET(Roster!$A$3,MATCH(表格1[[#This Row],[Location]]&amp;" "&amp;表格1[[#This Row],[Shop]]&amp;"*",Roster!$A$4:$A$72,0),DAY(表格1[[#This Row],[date]]),1,1)</f>
        <v>Ho_1</v>
      </c>
      <c r="E799" s="81">
        <f>MONTH(表格1[[#This Row],[date]])</f>
        <v>3</v>
      </c>
      <c r="F799" s="101">
        <v>46082</v>
      </c>
      <c r="G799" s="81" t="str">
        <f>VLOOKUP("*"&amp;表格1[[#This Row],[Input]]&amp;"*",'Ref-List'!$B:$D,2,)</f>
        <v>PLK-45SFIH(WT)</v>
      </c>
      <c r="H799" s="81" t="str">
        <f>_xlfn.XLOOKUP(表格1[[#This Row],[Model]],表格3[Model-Input-Ref2],表格3[Product Line])</f>
        <v>電熱水瓶4.5L</v>
      </c>
      <c r="I799" s="81" t="str">
        <f>_xlfn.XLOOKUP(表格1[[#This Row],[Model]],表格3[Model-Input-Ref2],表格3[大小電])</f>
        <v>細電</v>
      </c>
      <c r="J799" s="81" t="str">
        <f>_xlfn.XLOOKUP(表格1[[#This Row],[Model]],表格3[Model-Input-Ref2],表格3[Code])</f>
        <v>SDA</v>
      </c>
      <c r="K799" s="82" t="s">
        <v>1117</v>
      </c>
      <c r="L799" s="81">
        <v>1</v>
      </c>
      <c r="M799" s="85">
        <v>500</v>
      </c>
      <c r="N799" s="85">
        <f>IFERROR(表格1[[#This Row],[QTY]]*表格1[[#This Row],[Unit Price]],"-")</f>
        <v>500</v>
      </c>
      <c r="O799" s="134"/>
      <c r="P799" s="81"/>
      <c r="Q799" s="81"/>
      <c r="R799" s="81" t="str">
        <f>_xlfn.CONCAT(表格1[[#This Row],[Model]]," ",表格1[[#This Row],[inv no]])</f>
        <v xml:space="preserve">PLK-45SFIH(WT) </v>
      </c>
      <c r="S799" s="135">
        <f>_xlfn.XLOOKUP(表格1[[#This Row],[Model]],表格3[Model-Input-Ref2],表格3[SRP PRICE])</f>
        <v>788</v>
      </c>
      <c r="T799" s="43">
        <f>表格1[[#This Row],[Unit Price]]/表格1[[#This Row],[SRP]]</f>
        <v>0.63451776649746194</v>
      </c>
      <c r="U799" s="86" t="str">
        <f>_xlfn.XLOOKUP(表格1[[#This Row],[Model]],表格3[Model-Input-Ref2],表格3[TOSHIBA/HIGHEST])</f>
        <v>Toshiba SRP</v>
      </c>
      <c r="V799" s="86" t="s">
        <v>1126</v>
      </c>
      <c r="W799" s="86" t="str">
        <f>_xlfn.CONCAT(表格1[[#This Row],[欄4]],表格1[[#This Row],[inv no]])</f>
        <v>DA141</v>
      </c>
    </row>
    <row r="800" spans="1:23" ht="16.5" hidden="1">
      <c r="A800" s="81">
        <v>798</v>
      </c>
      <c r="B800" s="81" t="s">
        <v>1203</v>
      </c>
      <c r="C800" s="81" t="s">
        <v>1449</v>
      </c>
      <c r="D800" s="82" t="str">
        <f ca="1">OFFSET(Roster!$A$3,MATCH(表格1[[#This Row],[Location]]&amp;" "&amp;表格1[[#This Row],[Shop]]&amp;"*",Roster!$A$4:$A$72,0),DAY(表格1[[#This Row],[date]]),1,1)</f>
        <v>Ho_1</v>
      </c>
      <c r="E800" s="81">
        <f>MONTH(表格1[[#This Row],[date]])</f>
        <v>3</v>
      </c>
      <c r="F800" s="101">
        <v>46082</v>
      </c>
      <c r="G800" s="81" t="str">
        <f>VLOOKUP("*"&amp;表格1[[#This Row],[Input]]&amp;"*",'Ref-List'!$B:$D,2,)</f>
        <v>IC-21TSHK</v>
      </c>
      <c r="H800" s="81" t="str">
        <f>_xlfn.XLOOKUP(表格1[[#This Row],[Model]],表格3[Model-Input-Ref2],表格3[Product Line])</f>
        <v>Induction Cooker</v>
      </c>
      <c r="I800" s="81" t="str">
        <f>_xlfn.XLOOKUP(表格1[[#This Row],[Model]],表格3[Model-Input-Ref2],表格3[大小電])</f>
        <v>細電</v>
      </c>
      <c r="J800" s="81" t="str">
        <f>_xlfn.XLOOKUP(表格1[[#This Row],[Model]],表格3[Model-Input-Ref2],表格3[Code])</f>
        <v>SDA</v>
      </c>
      <c r="K800" s="82" t="s">
        <v>1242</v>
      </c>
      <c r="L800" s="81">
        <v>1</v>
      </c>
      <c r="M800" s="85">
        <v>500</v>
      </c>
      <c r="N800" s="85">
        <f>IFERROR(表格1[[#This Row],[QTY]]*表格1[[#This Row],[Unit Price]],"-")</f>
        <v>500</v>
      </c>
      <c r="O800" s="134"/>
      <c r="P800" s="137"/>
      <c r="Q800" s="81"/>
      <c r="R800" s="81" t="str">
        <f>_xlfn.CONCAT(表格1[[#This Row],[Model]]," ",表格1[[#This Row],[inv no]])</f>
        <v xml:space="preserve">IC-21TSHK </v>
      </c>
      <c r="S800" s="135">
        <f>_xlfn.XLOOKUP(表格1[[#This Row],[Model]],表格3[Model-Input-Ref2],表格3[SRP PRICE])</f>
        <v>998</v>
      </c>
      <c r="T800" s="43">
        <f>表格1[[#This Row],[Unit Price]]/表格1[[#This Row],[SRP]]</f>
        <v>0.50100200400801598</v>
      </c>
      <c r="U800" s="86" t="str">
        <f>_xlfn.XLOOKUP(表格1[[#This Row],[Model]],表格3[Model-Input-Ref2],表格3[TOSHIBA/HIGHEST])</f>
        <v>web SRP</v>
      </c>
      <c r="V800" s="86" t="s">
        <v>1126</v>
      </c>
      <c r="W800" s="86" t="str">
        <f>_xlfn.CONCAT(表格1[[#This Row],[欄4]],表格1[[#This Row],[inv no]])</f>
        <v>DA141</v>
      </c>
    </row>
    <row r="801" spans="1:23" hidden="1">
      <c r="A801" s="81">
        <v>799</v>
      </c>
      <c r="B801" s="81" t="s">
        <v>1203</v>
      </c>
      <c r="C801" s="81" t="s">
        <v>1449</v>
      </c>
      <c r="D801" s="82" t="str">
        <f ca="1">OFFSET(Roster!$A$3,MATCH(表格1[[#This Row],[Location]]&amp;" "&amp;表格1[[#This Row],[Shop]]&amp;"*",Roster!$A$4:$A$72,0),DAY(表格1[[#This Row],[date]]),1,1)</f>
        <v>Ho_1</v>
      </c>
      <c r="E801" s="81">
        <f>MONTH(表格1[[#This Row],[date]])</f>
        <v>3</v>
      </c>
      <c r="F801" s="101">
        <v>46082</v>
      </c>
      <c r="G801" s="81" t="str">
        <f>VLOOKUP("*"&amp;表格1[[#This Row],[Input]]&amp;"*",'Ref-List'!$B:$D,2,)</f>
        <v>RC-15ISTHK(W)</v>
      </c>
      <c r="H801" s="81" t="str">
        <f>_xlfn.XLOOKUP(表格1[[#This Row],[Model]],表格3[Model-Input-Ref2],表格3[Product Line])</f>
        <v>磁應電飯煲(1.5公升)</v>
      </c>
      <c r="I801" s="81" t="str">
        <f>_xlfn.XLOOKUP(表格1[[#This Row],[Model]],表格3[Model-Input-Ref2],表格3[大小電])</f>
        <v>細電</v>
      </c>
      <c r="J801" s="81" t="str">
        <f>_xlfn.XLOOKUP(表格1[[#This Row],[Model]],表格3[Model-Input-Ref2],表格3[Code])</f>
        <v>SDA</v>
      </c>
      <c r="K801" s="82" t="s">
        <v>1204</v>
      </c>
      <c r="L801" s="81">
        <v>11</v>
      </c>
      <c r="M801" s="85">
        <v>500</v>
      </c>
      <c r="N801" s="85">
        <f>IFERROR(表格1[[#This Row],[QTY]]*表格1[[#This Row],[Unit Price]],"-")</f>
        <v>5500</v>
      </c>
      <c r="O801" s="134"/>
      <c r="P801" s="81"/>
      <c r="Q801" s="81"/>
      <c r="R801" s="81" t="str">
        <f>_xlfn.CONCAT(表格1[[#This Row],[Model]]," ",表格1[[#This Row],[inv no]])</f>
        <v xml:space="preserve">RC-15ISTHK(W) </v>
      </c>
      <c r="S801" s="135">
        <f>_xlfn.XLOOKUP(表格1[[#This Row],[Model]],表格3[Model-Input-Ref2],表格3[SRP PRICE])</f>
        <v>1688</v>
      </c>
      <c r="T801" s="43">
        <f>表格1[[#This Row],[Unit Price]]/表格1[[#This Row],[SRP]]</f>
        <v>0.29620853080568721</v>
      </c>
      <c r="U801" s="86" t="str">
        <f>_xlfn.XLOOKUP(表格1[[#This Row],[Model]],表格3[Model-Input-Ref2],表格3[TOSHIBA/HIGHEST])</f>
        <v>Toshiba SRP</v>
      </c>
      <c r="V801" s="86" t="s">
        <v>1126</v>
      </c>
      <c r="W801" s="86" t="str">
        <f>_xlfn.CONCAT(表格1[[#This Row],[欄4]],表格1[[#This Row],[inv no]])</f>
        <v>DA141</v>
      </c>
    </row>
    <row r="802" spans="1:23" hidden="1">
      <c r="A802" s="81">
        <v>800</v>
      </c>
      <c r="B802" s="81" t="s">
        <v>1203</v>
      </c>
      <c r="C802" s="81" t="s">
        <v>1449</v>
      </c>
      <c r="D802" s="82" t="str">
        <f ca="1">OFFSET(Roster!$A$3,MATCH(表格1[[#This Row],[Location]]&amp;" "&amp;表格1[[#This Row],[Shop]]&amp;"*",Roster!$A$4:$A$72,0),DAY(表格1[[#This Row],[date]]),1,1)</f>
        <v>Ho_1</v>
      </c>
      <c r="E802" s="81">
        <f>MONTH(表格1[[#This Row],[date]])</f>
        <v>3</v>
      </c>
      <c r="F802" s="101">
        <v>46082</v>
      </c>
      <c r="G802" s="81" t="str">
        <f>VLOOKUP("*"&amp;表格1[[#This Row],[Input]]&amp;"*",'Ref-List'!$B:$D,2,)</f>
        <v>IC-20R1THK</v>
      </c>
      <c r="H802" s="81" t="str">
        <f>_xlfn.XLOOKUP(表格1[[#This Row],[Model]],表格3[Model-Input-Ref2],表格3[Product Line])</f>
        <v>輕便式電磁爐</v>
      </c>
      <c r="I802" s="81" t="str">
        <f>_xlfn.XLOOKUP(表格1[[#This Row],[Model]],表格3[Model-Input-Ref2],表格3[大小電])</f>
        <v>細電</v>
      </c>
      <c r="J802" s="81" t="str">
        <f>_xlfn.XLOOKUP(表格1[[#This Row],[Model]],表格3[Model-Input-Ref2],表格3[Code])</f>
        <v>SDA</v>
      </c>
      <c r="K802" s="82" t="s">
        <v>1243</v>
      </c>
      <c r="L802" s="81">
        <v>1</v>
      </c>
      <c r="M802" s="85">
        <v>290</v>
      </c>
      <c r="N802" s="85">
        <f>IFERROR(表格1[[#This Row],[QTY]]*表格1[[#This Row],[Unit Price]],"-")</f>
        <v>290</v>
      </c>
      <c r="O802" s="134"/>
      <c r="P802" s="81"/>
      <c r="Q802" s="81"/>
      <c r="R802" s="81" t="str">
        <f>_xlfn.CONCAT(表格1[[#This Row],[Model]]," ",表格1[[#This Row],[inv no]])</f>
        <v xml:space="preserve">IC-20R1THK </v>
      </c>
      <c r="S802" s="135">
        <f>_xlfn.XLOOKUP(表格1[[#This Row],[Model]],表格3[Model-Input-Ref2],表格3[SRP PRICE])</f>
        <v>438</v>
      </c>
      <c r="T802" s="43">
        <f>表格1[[#This Row],[Unit Price]]/表格1[[#This Row],[SRP]]</f>
        <v>0.66210045662100458</v>
      </c>
      <c r="U802" s="86" t="str">
        <f>_xlfn.XLOOKUP(表格1[[#This Row],[Model]],表格3[Model-Input-Ref2],表格3[TOSHIBA/HIGHEST])</f>
        <v>Shops Highest Price</v>
      </c>
      <c r="V802" s="86" t="s">
        <v>1126</v>
      </c>
      <c r="W802" s="86" t="str">
        <f>_xlfn.CONCAT(表格1[[#This Row],[欄4]],表格1[[#This Row],[inv no]])</f>
        <v>DA141</v>
      </c>
    </row>
    <row r="803" spans="1:23" hidden="1">
      <c r="A803" s="81">
        <v>801</v>
      </c>
      <c r="B803" s="81" t="s">
        <v>1203</v>
      </c>
      <c r="C803" s="81" t="s">
        <v>1449</v>
      </c>
      <c r="D803" s="82" t="str">
        <f ca="1">OFFSET(Roster!$A$3,MATCH(表格1[[#This Row],[Location]]&amp;" "&amp;表格1[[#This Row],[Shop]]&amp;"*",Roster!$A$4:$A$72,0),DAY(表格1[[#This Row],[date]]),1,1)</f>
        <v>Ho_1</v>
      </c>
      <c r="E803" s="81">
        <f>MONTH(表格1[[#This Row],[date]])</f>
        <v>3</v>
      </c>
      <c r="F803" s="101">
        <v>46083</v>
      </c>
      <c r="G803" s="81" t="str">
        <f>VLOOKUP("*"&amp;表格1[[#This Row],[Input]]&amp;"*",'Ref-List'!$B:$D,2,)</f>
        <v>IC-21TSHK</v>
      </c>
      <c r="H803" s="81" t="str">
        <f>_xlfn.XLOOKUP(表格1[[#This Row],[Model]],表格3[Model-Input-Ref2],表格3[Product Line])</f>
        <v>Induction Cooker</v>
      </c>
      <c r="I803" s="81" t="str">
        <f>_xlfn.XLOOKUP(表格1[[#This Row],[Model]],表格3[Model-Input-Ref2],表格3[大小電])</f>
        <v>細電</v>
      </c>
      <c r="J803" s="81" t="str">
        <f>_xlfn.XLOOKUP(表格1[[#This Row],[Model]],表格3[Model-Input-Ref2],表格3[Code])</f>
        <v>SDA</v>
      </c>
      <c r="K803" s="82" t="s">
        <v>1242</v>
      </c>
      <c r="L803" s="81">
        <v>1</v>
      </c>
      <c r="M803" s="85">
        <v>500</v>
      </c>
      <c r="N803" s="85">
        <f>IFERROR(表格1[[#This Row],[QTY]]*表格1[[#This Row],[Unit Price]],"-")</f>
        <v>500</v>
      </c>
      <c r="O803" s="134"/>
      <c r="P803" s="81"/>
      <c r="Q803" s="81"/>
      <c r="R803" s="81" t="str">
        <f>_xlfn.CONCAT(表格1[[#This Row],[Model]]," ",表格1[[#This Row],[inv no]])</f>
        <v xml:space="preserve">IC-21TSHK </v>
      </c>
      <c r="S803" s="135">
        <f>_xlfn.XLOOKUP(表格1[[#This Row],[Model]],表格3[Model-Input-Ref2],表格3[SRP PRICE])</f>
        <v>998</v>
      </c>
      <c r="T803" s="43">
        <f>表格1[[#This Row],[Unit Price]]/表格1[[#This Row],[SRP]]</f>
        <v>0.50100200400801598</v>
      </c>
      <c r="U803" s="86" t="str">
        <f>_xlfn.XLOOKUP(表格1[[#This Row],[Model]],表格3[Model-Input-Ref2],表格3[TOSHIBA/HIGHEST])</f>
        <v>web SRP</v>
      </c>
      <c r="V803" s="86" t="s">
        <v>1126</v>
      </c>
      <c r="W803" s="86" t="str">
        <f>_xlfn.CONCAT(表格1[[#This Row],[欄4]],表格1[[#This Row],[inv no]])</f>
        <v>DA141</v>
      </c>
    </row>
    <row r="804" spans="1:23" hidden="1">
      <c r="A804" s="81">
        <v>802</v>
      </c>
      <c r="B804" s="81" t="s">
        <v>1203</v>
      </c>
      <c r="C804" s="81" t="s">
        <v>1449</v>
      </c>
      <c r="D804" s="82" t="str">
        <f ca="1">OFFSET(Roster!$A$3,MATCH(表格1[[#This Row],[Location]]&amp;" "&amp;表格1[[#This Row],[Shop]]&amp;"*",Roster!$A$4:$A$72,0),DAY(表格1[[#This Row],[date]]),1,1)</f>
        <v>Ho_1</v>
      </c>
      <c r="E804" s="81">
        <f>MONTH(表格1[[#This Row],[date]])</f>
        <v>3</v>
      </c>
      <c r="F804" s="101">
        <v>46083</v>
      </c>
      <c r="G804" s="81" t="str">
        <f>VLOOKUP("*"&amp;表格1[[#This Row],[Input]]&amp;"*",'Ref-List'!$B:$D,2,)</f>
        <v>RC-15ISTHK(W)</v>
      </c>
      <c r="H804" s="81" t="str">
        <f>_xlfn.XLOOKUP(表格1[[#This Row],[Model]],表格3[Model-Input-Ref2],表格3[Product Line])</f>
        <v>磁應電飯煲(1.5公升)</v>
      </c>
      <c r="I804" s="81" t="str">
        <f>_xlfn.XLOOKUP(表格1[[#This Row],[Model]],表格3[Model-Input-Ref2],表格3[大小電])</f>
        <v>細電</v>
      </c>
      <c r="J804" s="81" t="str">
        <f>_xlfn.XLOOKUP(表格1[[#This Row],[Model]],表格3[Model-Input-Ref2],表格3[Code])</f>
        <v>SDA</v>
      </c>
      <c r="K804" s="82" t="s">
        <v>1204</v>
      </c>
      <c r="L804" s="81">
        <v>1</v>
      </c>
      <c r="M804" s="85">
        <v>500</v>
      </c>
      <c r="N804" s="85">
        <f>IFERROR(表格1[[#This Row],[QTY]]*表格1[[#This Row],[Unit Price]],"-")</f>
        <v>500</v>
      </c>
      <c r="O804" s="134"/>
      <c r="P804" s="81"/>
      <c r="Q804" s="81"/>
      <c r="R804" s="81" t="str">
        <f>_xlfn.CONCAT(表格1[[#This Row],[Model]]," ",表格1[[#This Row],[inv no]])</f>
        <v xml:space="preserve">RC-15ISTHK(W) </v>
      </c>
      <c r="S804" s="135">
        <f>_xlfn.XLOOKUP(表格1[[#This Row],[Model]],表格3[Model-Input-Ref2],表格3[SRP PRICE])</f>
        <v>1688</v>
      </c>
      <c r="T804" s="43">
        <f>表格1[[#This Row],[Unit Price]]/表格1[[#This Row],[SRP]]</f>
        <v>0.29620853080568721</v>
      </c>
      <c r="U804" s="86" t="str">
        <f>_xlfn.XLOOKUP(表格1[[#This Row],[Model]],表格3[Model-Input-Ref2],表格3[TOSHIBA/HIGHEST])</f>
        <v>Toshiba SRP</v>
      </c>
      <c r="V804" s="86" t="s">
        <v>1126</v>
      </c>
      <c r="W804" s="86" t="str">
        <f>_xlfn.CONCAT(表格1[[#This Row],[欄4]],表格1[[#This Row],[inv no]])</f>
        <v>DA141</v>
      </c>
    </row>
    <row r="805" spans="1:23" hidden="1">
      <c r="A805" s="81">
        <v>803</v>
      </c>
      <c r="B805" s="81" t="s">
        <v>1203</v>
      </c>
      <c r="C805" s="81" t="s">
        <v>1449</v>
      </c>
      <c r="D805" s="82" t="str">
        <f ca="1">OFFSET(Roster!$A$3,MATCH(表格1[[#This Row],[Location]]&amp;" "&amp;表格1[[#This Row],[Shop]]&amp;"*",Roster!$A$4:$A$72,0),DAY(表格1[[#This Row],[date]]),1,1)</f>
        <v>Ho_1</v>
      </c>
      <c r="E805" s="81">
        <f>MONTH(表格1[[#This Row],[date]])</f>
        <v>3</v>
      </c>
      <c r="F805" s="101">
        <v>46083</v>
      </c>
      <c r="G805" s="81" t="str">
        <f>VLOOKUP("*"&amp;表格1[[#This Row],[Input]]&amp;"*",'Ref-List'!$B:$D,2,)</f>
        <v>TL-MC35Z</v>
      </c>
      <c r="H805" s="81" t="str">
        <f>_xlfn.XLOOKUP(表格1[[#This Row],[Model]],表格3[Model-Input-Ref2],表格3[Product Line])</f>
        <v>35L多功能電焗爐</v>
      </c>
      <c r="I805" s="81" t="str">
        <f>_xlfn.XLOOKUP(表格1[[#This Row],[Model]],表格3[Model-Input-Ref2],表格3[大小電])</f>
        <v>細電</v>
      </c>
      <c r="J805" s="81" t="str">
        <f>_xlfn.XLOOKUP(表格1[[#This Row],[Model]],表格3[Model-Input-Ref2],表格3[Code])</f>
        <v>SDA</v>
      </c>
      <c r="K805" s="82" t="s">
        <v>1295</v>
      </c>
      <c r="L805" s="81">
        <v>2</v>
      </c>
      <c r="M805" s="85">
        <v>890</v>
      </c>
      <c r="N805" s="85">
        <f>IFERROR(表格1[[#This Row],[QTY]]*表格1[[#This Row],[Unit Price]],"-")</f>
        <v>1780</v>
      </c>
      <c r="O805" s="134"/>
      <c r="P805" s="81"/>
      <c r="Q805" s="81"/>
      <c r="R805" s="81" t="str">
        <f>_xlfn.CONCAT(表格1[[#This Row],[Model]]," ",表格1[[#This Row],[inv no]])</f>
        <v xml:space="preserve">TL-MC35Z </v>
      </c>
      <c r="S805" s="135">
        <f>_xlfn.XLOOKUP(表格1[[#This Row],[Model]],表格3[Model-Input-Ref2],表格3[SRP PRICE])</f>
        <v>1098</v>
      </c>
      <c r="T805" s="43">
        <f>表格1[[#This Row],[Unit Price]]/表格1[[#This Row],[SRP]]</f>
        <v>0.81056466302367947</v>
      </c>
      <c r="U805" s="86" t="str">
        <f>_xlfn.XLOOKUP(表格1[[#This Row],[Model]],表格3[Model-Input-Ref2],表格3[TOSHIBA/HIGHEST])</f>
        <v>Toshiba SRP</v>
      </c>
      <c r="V805" s="86" t="s">
        <v>1126</v>
      </c>
      <c r="W805" s="86" t="str">
        <f>_xlfn.CONCAT(表格1[[#This Row],[欄4]],表格1[[#This Row],[inv no]])</f>
        <v>DA141</v>
      </c>
    </row>
    <row r="806" spans="1:23" hidden="1">
      <c r="A806" s="81">
        <v>804</v>
      </c>
      <c r="B806" s="81" t="s">
        <v>1203</v>
      </c>
      <c r="C806" s="81" t="s">
        <v>1449</v>
      </c>
      <c r="D806" s="82" t="str">
        <f ca="1">OFFSET(Roster!$A$3,MATCH(表格1[[#This Row],[Location]]&amp;" "&amp;表格1[[#This Row],[Shop]]&amp;"*",Roster!$A$4:$A$72,0),DAY(表格1[[#This Row],[date]]),1,1)</f>
        <v>Ho_1</v>
      </c>
      <c r="E806" s="81">
        <f>MONTH(表格1[[#This Row],[date]])</f>
        <v>3</v>
      </c>
      <c r="F806" s="101">
        <v>46083</v>
      </c>
      <c r="G806" s="81" t="str">
        <f>VLOOKUP("*"&amp;表格1[[#This Row],[Input]]&amp;"*",'Ref-List'!$B:$D,2,)</f>
        <v>TP-25DR2UHK(W)</v>
      </c>
      <c r="H806" s="81" t="str">
        <f>_xlfn.XLOOKUP(表格1[[#This Row],[Model]],表格3[Model-Input-Ref2],表格3[Product Line])</f>
        <v>電熱水瓶 (2.5公升)</v>
      </c>
      <c r="I806" s="81" t="str">
        <f>_xlfn.XLOOKUP(表格1[[#This Row],[Model]],表格3[Model-Input-Ref2],表格3[大小電])</f>
        <v>細電</v>
      </c>
      <c r="J806" s="81" t="str">
        <f>_xlfn.XLOOKUP(表格1[[#This Row],[Model]],表格3[Model-Input-Ref2],表格3[Code])</f>
        <v>SDA</v>
      </c>
      <c r="K806" s="82" t="s">
        <v>1285</v>
      </c>
      <c r="L806" s="81">
        <v>1</v>
      </c>
      <c r="M806" s="85">
        <v>380</v>
      </c>
      <c r="N806" s="85">
        <f>IFERROR(表格1[[#This Row],[QTY]]*表格1[[#This Row],[Unit Price]],"-")</f>
        <v>380</v>
      </c>
      <c r="O806" s="134"/>
      <c r="P806" s="81"/>
      <c r="Q806" s="81"/>
      <c r="R806" s="81" t="str">
        <f>_xlfn.CONCAT(表格1[[#This Row],[Model]]," ",表格1[[#This Row],[inv no]])</f>
        <v xml:space="preserve">TP-25DR2UHK(W) </v>
      </c>
      <c r="S806" s="135">
        <f>_xlfn.XLOOKUP(表格1[[#This Row],[Model]],表格3[Model-Input-Ref2],表格3[SRP PRICE])</f>
        <v>538</v>
      </c>
      <c r="T806" s="43">
        <f>表格1[[#This Row],[Unit Price]]/表格1[[#This Row],[SRP]]</f>
        <v>0.70631970260223054</v>
      </c>
      <c r="U806" s="86" t="str">
        <f>_xlfn.XLOOKUP(表格1[[#This Row],[Model]],表格3[Model-Input-Ref2],表格3[TOSHIBA/HIGHEST])</f>
        <v>Toshiba SRP</v>
      </c>
      <c r="V806" s="86" t="s">
        <v>1126</v>
      </c>
      <c r="W806" s="86" t="str">
        <f>_xlfn.CONCAT(表格1[[#This Row],[欄4]],表格1[[#This Row],[inv no]])</f>
        <v>DA141</v>
      </c>
    </row>
    <row r="807" spans="1:23" hidden="1">
      <c r="A807" s="81">
        <v>805</v>
      </c>
      <c r="B807" s="81" t="s">
        <v>1203</v>
      </c>
      <c r="C807" s="81" t="s">
        <v>1449</v>
      </c>
      <c r="D807" s="82" t="str">
        <f ca="1">OFFSET(Roster!$A$3,MATCH(表格1[[#This Row],[Location]]&amp;" "&amp;表格1[[#This Row],[Shop]]&amp;"*",Roster!$A$4:$A$72,0),DAY(表格1[[#This Row],[date]]),1,1)</f>
        <v>Ho_1</v>
      </c>
      <c r="E807" s="81">
        <f>MONTH(表格1[[#This Row],[date]])</f>
        <v>3</v>
      </c>
      <c r="F807" s="101">
        <v>46084</v>
      </c>
      <c r="G807" s="81" t="str">
        <f>VLOOKUP("*"&amp;表格1[[#This Row],[Input]]&amp;"*",'Ref-List'!$B:$D,2,)</f>
        <v>ER-TD5000HK(XK)</v>
      </c>
      <c r="H807" s="81" t="str">
        <f>_xlfn.XLOOKUP(表格1[[#This Row],[Model]],表格3[Model-Input-Ref2],表格3[Product Line])</f>
        <v>座檯式純蒸氣烤焗水波爐30L</v>
      </c>
      <c r="I807" s="81" t="str">
        <f>_xlfn.XLOOKUP(表格1[[#This Row],[Model]],表格3[Model-Input-Ref2],表格3[大小電])</f>
        <v>細電</v>
      </c>
      <c r="J807" s="81" t="str">
        <f>_xlfn.XLOOKUP(表格1[[#This Row],[Model]],表格3[Model-Input-Ref2],表格3[Code])</f>
        <v>SDA</v>
      </c>
      <c r="K807" s="82" t="s">
        <v>1205</v>
      </c>
      <c r="L807" s="81">
        <v>1</v>
      </c>
      <c r="M807" s="85">
        <v>3588</v>
      </c>
      <c r="N807" s="85">
        <f>IFERROR(表格1[[#This Row],[QTY]]*表格1[[#This Row],[Unit Price]],"-")</f>
        <v>3588</v>
      </c>
      <c r="O807" s="134">
        <v>6004055</v>
      </c>
      <c r="P807" s="81"/>
      <c r="Q807" s="81"/>
      <c r="R807" s="81" t="str">
        <f>_xlfn.CONCAT(表格1[[#This Row],[Model]]," ",表格1[[#This Row],[inv no]])</f>
        <v>ER-TD5000HK(XK) 6004055</v>
      </c>
      <c r="S807" s="135">
        <f>_xlfn.XLOOKUP(表格1[[#This Row],[Model]],表格3[Model-Input-Ref2],表格3[SRP PRICE])</f>
        <v>7998</v>
      </c>
      <c r="T807" s="43">
        <f>表格1[[#This Row],[Unit Price]]/表格1[[#This Row],[SRP]]</f>
        <v>0.44861215303825958</v>
      </c>
      <c r="U807" s="86" t="str">
        <f>_xlfn.XLOOKUP(表格1[[#This Row],[Model]],表格3[Model-Input-Ref2],表格3[TOSHIBA/HIGHEST])</f>
        <v>Toshiba SRP</v>
      </c>
      <c r="V807" s="86" t="s">
        <v>1126</v>
      </c>
      <c r="W807" s="86" t="str">
        <f>_xlfn.CONCAT(表格1[[#This Row],[欄4]],表格1[[#This Row],[inv no]])</f>
        <v>DA1416004055</v>
      </c>
    </row>
    <row r="808" spans="1:23" hidden="1">
      <c r="A808" s="81">
        <v>806</v>
      </c>
      <c r="B808" s="81" t="s">
        <v>1203</v>
      </c>
      <c r="C808" s="81" t="s">
        <v>1449</v>
      </c>
      <c r="D808" s="82" t="str">
        <f ca="1">OFFSET(Roster!$A$3,MATCH(表格1[[#This Row],[Location]]&amp;" "&amp;表格1[[#This Row],[Shop]]&amp;"*",Roster!$A$4:$A$72,0),DAY(表格1[[#This Row],[date]]),1,1)</f>
        <v>Ho_1</v>
      </c>
      <c r="E808" s="81">
        <f>MONTH(表格1[[#This Row],[date]])</f>
        <v>3</v>
      </c>
      <c r="F808" s="101">
        <v>46084</v>
      </c>
      <c r="G808" s="81" t="str">
        <f>VLOOKUP("*"&amp;表格1[[#This Row],[Input]]&amp;"*",'Ref-List'!$B:$D,2,)</f>
        <v>GR-A26HSZ(DS)</v>
      </c>
      <c r="H808" s="81" t="str">
        <f>_xlfn.XLOOKUP(表格1[[#This Row],[Model]],表格3[Model-Input-Ref2],表格3[Product Line])</f>
        <v>雙門變頻式環保雪櫃</v>
      </c>
      <c r="I808" s="81" t="str">
        <f>_xlfn.XLOOKUP(表格1[[#This Row],[Model]],表格3[Model-Input-Ref2],表格3[大小電])</f>
        <v>大電</v>
      </c>
      <c r="J808" s="81" t="str">
        <f>_xlfn.XLOOKUP(表格1[[#This Row],[Model]],表格3[Model-Input-Ref2],表格3[Code])</f>
        <v>AC</v>
      </c>
      <c r="K808" s="82" t="s">
        <v>1207</v>
      </c>
      <c r="L808" s="81">
        <v>1</v>
      </c>
      <c r="M808" s="85">
        <v>1500</v>
      </c>
      <c r="N808" s="85">
        <f>IFERROR(表格1[[#This Row],[QTY]]*表格1[[#This Row],[Unit Price]],"-")</f>
        <v>1500</v>
      </c>
      <c r="O808" s="134">
        <v>6004056</v>
      </c>
      <c r="P808" s="81"/>
      <c r="Q808" s="81"/>
      <c r="R808" s="81" t="str">
        <f>_xlfn.CONCAT(表格1[[#This Row],[Model]]," ",表格1[[#This Row],[inv no]])</f>
        <v>GR-A26HSZ(DS) 6004056</v>
      </c>
      <c r="S808" s="135">
        <f>_xlfn.XLOOKUP(表格1[[#This Row],[Model]],表格3[Model-Input-Ref2],表格3[SRP PRICE])</f>
        <v>3780</v>
      </c>
      <c r="T808" s="43">
        <f>表格1[[#This Row],[Unit Price]]/表格1[[#This Row],[SRP]]</f>
        <v>0.3968253968253968</v>
      </c>
      <c r="U808" s="86" t="str">
        <f>_xlfn.XLOOKUP(表格1[[#This Row],[Model]],表格3[Model-Input-Ref2],表格3[TOSHIBA/HIGHEST])</f>
        <v>Toshiba SRP</v>
      </c>
      <c r="V808" s="86" t="s">
        <v>1126</v>
      </c>
      <c r="W808" s="86" t="str">
        <f>_xlfn.CONCAT(表格1[[#This Row],[欄4]],表格1[[#This Row],[inv no]])</f>
        <v>DA1416004056</v>
      </c>
    </row>
    <row r="809" spans="1:23" hidden="1">
      <c r="A809" s="81">
        <v>807</v>
      </c>
      <c r="B809" s="81" t="s">
        <v>1203</v>
      </c>
      <c r="C809" s="81" t="s">
        <v>1449</v>
      </c>
      <c r="D809" s="82" t="str">
        <f ca="1">OFFSET(Roster!$A$3,MATCH(表格1[[#This Row],[Location]]&amp;" "&amp;表格1[[#This Row],[Shop]]&amp;"*",Roster!$A$4:$A$72,0),DAY(表格1[[#This Row],[date]]),1,1)</f>
        <v>Ho_1</v>
      </c>
      <c r="E809" s="81">
        <f>MONTH(表格1[[#This Row],[date]])</f>
        <v>3</v>
      </c>
      <c r="F809" s="101">
        <v>46084</v>
      </c>
      <c r="G809" s="81" t="str">
        <f>VLOOKUP("*"&amp;表格1[[#This Row],[Input]]&amp;"*",'Ref-List'!$B:$D,2,)</f>
        <v>GR-A26HSZ(DS)</v>
      </c>
      <c r="H809" s="81" t="str">
        <f>_xlfn.XLOOKUP(表格1[[#This Row],[Model]],表格3[Model-Input-Ref2],表格3[Product Line])</f>
        <v>雙門變頻式環保雪櫃</v>
      </c>
      <c r="I809" s="81" t="str">
        <f>_xlfn.XLOOKUP(表格1[[#This Row],[Model]],表格3[Model-Input-Ref2],表格3[大小電])</f>
        <v>大電</v>
      </c>
      <c r="J809" s="81" t="str">
        <f>_xlfn.XLOOKUP(表格1[[#This Row],[Model]],表格3[Model-Input-Ref2],表格3[Code])</f>
        <v>AC</v>
      </c>
      <c r="K809" s="82" t="s">
        <v>1207</v>
      </c>
      <c r="L809" s="81">
        <v>1</v>
      </c>
      <c r="M809" s="85">
        <v>1500</v>
      </c>
      <c r="N809" s="85">
        <f>IFERROR(表格1[[#This Row],[QTY]]*表格1[[#This Row],[Unit Price]],"-")</f>
        <v>1500</v>
      </c>
      <c r="O809" s="134">
        <v>6004058</v>
      </c>
      <c r="P809" s="81"/>
      <c r="Q809" s="81"/>
      <c r="R809" s="81" t="str">
        <f>_xlfn.CONCAT(表格1[[#This Row],[Model]]," ",表格1[[#This Row],[inv no]])</f>
        <v>GR-A26HSZ(DS) 6004058</v>
      </c>
      <c r="S809" s="135">
        <f>_xlfn.XLOOKUP(表格1[[#This Row],[Model]],表格3[Model-Input-Ref2],表格3[SRP PRICE])</f>
        <v>3780</v>
      </c>
      <c r="T809" s="43">
        <f>表格1[[#This Row],[Unit Price]]/表格1[[#This Row],[SRP]]</f>
        <v>0.3968253968253968</v>
      </c>
      <c r="U809" s="86" t="str">
        <f>_xlfn.XLOOKUP(表格1[[#This Row],[Model]],表格3[Model-Input-Ref2],表格3[TOSHIBA/HIGHEST])</f>
        <v>Toshiba SRP</v>
      </c>
      <c r="V809" s="86" t="s">
        <v>1126</v>
      </c>
      <c r="W809" s="86" t="str">
        <f>_xlfn.CONCAT(表格1[[#This Row],[欄4]],表格1[[#This Row],[inv no]])</f>
        <v>DA1416004058</v>
      </c>
    </row>
    <row r="810" spans="1:23" hidden="1">
      <c r="A810" s="81">
        <v>808</v>
      </c>
      <c r="B810" s="81" t="s">
        <v>1203</v>
      </c>
      <c r="C810" s="81" t="s">
        <v>1449</v>
      </c>
      <c r="D810" s="82" t="str">
        <f ca="1">OFFSET(Roster!$A$3,MATCH(表格1[[#This Row],[Location]]&amp;" "&amp;表格1[[#This Row],[Shop]]&amp;"*",Roster!$A$4:$A$72,0),DAY(表格1[[#This Row],[date]]),1,1)</f>
        <v>Ho_1</v>
      </c>
      <c r="E810" s="81">
        <f>MONTH(表格1[[#This Row],[date]])</f>
        <v>3</v>
      </c>
      <c r="F810" s="101">
        <v>46084</v>
      </c>
      <c r="G810" s="81" t="str">
        <f>VLOOKUP("*"&amp;表格1[[#This Row],[Input]]&amp;"*",'Ref-List'!$B:$D,2,)</f>
        <v>AW-M901BPH(WW)</v>
      </c>
      <c r="H810" s="81" t="str">
        <f>_xlfn.XLOOKUP(表格1[[#This Row],[Model]],表格3[Model-Input-Ref2],表格3[Product Line])</f>
        <v>全自動洗衣機 (8公斤 結合高低水位)</v>
      </c>
      <c r="I810" s="81" t="str">
        <f>_xlfn.XLOOKUP(表格1[[#This Row],[Model]],表格3[Model-Input-Ref2],表格3[大小電])</f>
        <v>大電</v>
      </c>
      <c r="J810" s="81" t="str">
        <f>_xlfn.XLOOKUP(表格1[[#This Row],[Model]],表格3[Model-Input-Ref2],表格3[Code])</f>
        <v>WM</v>
      </c>
      <c r="K810" s="82" t="s">
        <v>1202</v>
      </c>
      <c r="L810" s="81">
        <v>1</v>
      </c>
      <c r="M810" s="85">
        <v>1500</v>
      </c>
      <c r="N810" s="85">
        <f>IFERROR(表格1[[#This Row],[QTY]]*表格1[[#This Row],[Unit Price]],"-")</f>
        <v>1500</v>
      </c>
      <c r="O810" s="134">
        <v>6004060</v>
      </c>
      <c r="P810" s="81"/>
      <c r="Q810" s="81"/>
      <c r="R810" s="81" t="str">
        <f>_xlfn.CONCAT(表格1[[#This Row],[Model]]," ",表格1[[#This Row],[inv no]])</f>
        <v>AW-M901BPH(WW) 6004060</v>
      </c>
      <c r="S810" s="135">
        <f>_xlfn.XLOOKUP(表格1[[#This Row],[Model]],表格3[Model-Input-Ref2],表格3[SRP PRICE])</f>
        <v>3580</v>
      </c>
      <c r="T810" s="43">
        <f>表格1[[#This Row],[Unit Price]]/表格1[[#This Row],[SRP]]</f>
        <v>0.41899441340782123</v>
      </c>
      <c r="U810" s="86" t="str">
        <f>_xlfn.XLOOKUP(表格1[[#This Row],[Model]],表格3[Model-Input-Ref2],表格3[TOSHIBA/HIGHEST])</f>
        <v>Toshiba SRP</v>
      </c>
      <c r="V810" s="86" t="s">
        <v>1126</v>
      </c>
      <c r="W810" s="86" t="str">
        <f>_xlfn.CONCAT(表格1[[#This Row],[欄4]],表格1[[#This Row],[inv no]])</f>
        <v>DA1416004060</v>
      </c>
    </row>
    <row r="811" spans="1:23" hidden="1">
      <c r="A811" s="81">
        <v>809</v>
      </c>
      <c r="B811" s="81" t="s">
        <v>1203</v>
      </c>
      <c r="C811" s="81" t="s">
        <v>1449</v>
      </c>
      <c r="D811" s="82" t="str">
        <f ca="1">OFFSET(Roster!$A$3,MATCH(表格1[[#This Row],[Location]]&amp;" "&amp;表格1[[#This Row],[Shop]]&amp;"*",Roster!$A$4:$A$72,0),DAY(表格1[[#This Row],[date]]),1,1)</f>
        <v>Ho_1</v>
      </c>
      <c r="E811" s="81">
        <f>MONTH(表格1[[#This Row],[date]])</f>
        <v>3</v>
      </c>
      <c r="F811" s="101">
        <v>46084</v>
      </c>
      <c r="G811" s="81" t="str">
        <f>VLOOKUP("*"&amp;表格1[[#This Row],[Input]]&amp;"*",'Ref-List'!$B:$D,2,)</f>
        <v>RC-15ISTHK(W)</v>
      </c>
      <c r="H811" s="81" t="str">
        <f>_xlfn.XLOOKUP(表格1[[#This Row],[Model]],表格3[Model-Input-Ref2],表格3[Product Line])</f>
        <v>磁應電飯煲(1.5公升)</v>
      </c>
      <c r="I811" s="81" t="str">
        <f>_xlfn.XLOOKUP(表格1[[#This Row],[Model]],表格3[Model-Input-Ref2],表格3[大小電])</f>
        <v>細電</v>
      </c>
      <c r="J811" s="81" t="str">
        <f>_xlfn.XLOOKUP(表格1[[#This Row],[Model]],表格3[Model-Input-Ref2],表格3[Code])</f>
        <v>SDA</v>
      </c>
      <c r="K811" s="82" t="s">
        <v>1204</v>
      </c>
      <c r="L811" s="81">
        <v>5</v>
      </c>
      <c r="M811" s="85">
        <v>500</v>
      </c>
      <c r="N811" s="85">
        <f>IFERROR(表格1[[#This Row],[QTY]]*表格1[[#This Row],[Unit Price]],"-")</f>
        <v>2500</v>
      </c>
      <c r="O811" s="134"/>
      <c r="P811" s="81"/>
      <c r="Q811" s="81"/>
      <c r="R811" s="81" t="str">
        <f>_xlfn.CONCAT(表格1[[#This Row],[Model]]," ",表格1[[#This Row],[inv no]])</f>
        <v xml:space="preserve">RC-15ISTHK(W) </v>
      </c>
      <c r="S811" s="135">
        <f>_xlfn.XLOOKUP(表格1[[#This Row],[Model]],表格3[Model-Input-Ref2],表格3[SRP PRICE])</f>
        <v>1688</v>
      </c>
      <c r="T811" s="43">
        <f>表格1[[#This Row],[Unit Price]]/表格1[[#This Row],[SRP]]</f>
        <v>0.29620853080568721</v>
      </c>
      <c r="U811" s="86" t="str">
        <f>_xlfn.XLOOKUP(表格1[[#This Row],[Model]],表格3[Model-Input-Ref2],表格3[TOSHIBA/HIGHEST])</f>
        <v>Toshiba SRP</v>
      </c>
      <c r="V811" s="86" t="s">
        <v>1126</v>
      </c>
      <c r="W811" s="86" t="str">
        <f>_xlfn.CONCAT(表格1[[#This Row],[欄4]],表格1[[#This Row],[inv no]])</f>
        <v>DA141</v>
      </c>
    </row>
    <row r="812" spans="1:23" hidden="1">
      <c r="A812" s="81">
        <v>810</v>
      </c>
      <c r="B812" s="81" t="s">
        <v>1203</v>
      </c>
      <c r="C812" s="81" t="s">
        <v>1449</v>
      </c>
      <c r="D812" s="82" t="str">
        <f ca="1">OFFSET(Roster!$A$3,MATCH(表格1[[#This Row],[Location]]&amp;" "&amp;表格1[[#This Row],[Shop]]&amp;"*",Roster!$A$4:$A$72,0),DAY(表格1[[#This Row],[date]]),1,1)</f>
        <v>Ho_1 off</v>
      </c>
      <c r="E812" s="81">
        <f>MONTH(表格1[[#This Row],[date]])</f>
        <v>3</v>
      </c>
      <c r="F812" s="101">
        <v>46085</v>
      </c>
      <c r="G812" s="81" t="str">
        <f>VLOOKUP("*"&amp;表格1[[#This Row],[Input]]&amp;"*",'Ref-List'!$B:$D,2,)</f>
        <v>RC-15ISTHK(W)</v>
      </c>
      <c r="H812" s="81" t="str">
        <f>_xlfn.XLOOKUP(表格1[[#This Row],[Model]],表格3[Model-Input-Ref2],表格3[Product Line])</f>
        <v>磁應電飯煲(1.5公升)</v>
      </c>
      <c r="I812" s="81" t="str">
        <f>_xlfn.XLOOKUP(表格1[[#This Row],[Model]],表格3[Model-Input-Ref2],表格3[大小電])</f>
        <v>細電</v>
      </c>
      <c r="J812" s="81" t="str">
        <f>_xlfn.XLOOKUP(表格1[[#This Row],[Model]],表格3[Model-Input-Ref2],表格3[Code])</f>
        <v>SDA</v>
      </c>
      <c r="K812" s="82" t="s">
        <v>1204</v>
      </c>
      <c r="L812" s="81">
        <v>1</v>
      </c>
      <c r="M812" s="85">
        <v>500</v>
      </c>
      <c r="N812" s="85">
        <f>IFERROR(表格1[[#This Row],[QTY]]*表格1[[#This Row],[Unit Price]],"-")</f>
        <v>500</v>
      </c>
      <c r="O812" s="134"/>
      <c r="P812" s="81"/>
      <c r="Q812" s="81"/>
      <c r="R812" s="81" t="str">
        <f>_xlfn.CONCAT(表格1[[#This Row],[Model]]," ",表格1[[#This Row],[inv no]])</f>
        <v xml:space="preserve">RC-15ISTHK(W) </v>
      </c>
      <c r="S812" s="135">
        <f>_xlfn.XLOOKUP(表格1[[#This Row],[Model]],表格3[Model-Input-Ref2],表格3[SRP PRICE])</f>
        <v>1688</v>
      </c>
      <c r="T812" s="43">
        <f>表格1[[#This Row],[Unit Price]]/表格1[[#This Row],[SRP]]</f>
        <v>0.29620853080568721</v>
      </c>
      <c r="U812" s="86" t="str">
        <f>_xlfn.XLOOKUP(表格1[[#This Row],[Model]],表格3[Model-Input-Ref2],表格3[TOSHIBA/HIGHEST])</f>
        <v>Toshiba SRP</v>
      </c>
      <c r="V812" s="86" t="s">
        <v>1126</v>
      </c>
      <c r="W812" s="86" t="str">
        <f>_xlfn.CONCAT(表格1[[#This Row],[欄4]],表格1[[#This Row],[inv no]])</f>
        <v>DA141</v>
      </c>
    </row>
    <row r="813" spans="1:23" hidden="1">
      <c r="A813" s="81">
        <v>811</v>
      </c>
      <c r="B813" s="81" t="s">
        <v>1203</v>
      </c>
      <c r="C813" s="81" t="s">
        <v>1449</v>
      </c>
      <c r="D813" s="82" t="str">
        <f ca="1">OFFSET(Roster!$A$3,MATCH(表格1[[#This Row],[Location]]&amp;" "&amp;表格1[[#This Row],[Shop]]&amp;"*",Roster!$A$4:$A$72,0),DAY(表格1[[#This Row],[date]]),1,1)</f>
        <v>Ho_1 off</v>
      </c>
      <c r="E813" s="81">
        <f>MONTH(表格1[[#This Row],[date]])</f>
        <v>3</v>
      </c>
      <c r="F813" s="101">
        <v>46085</v>
      </c>
      <c r="G813" s="81" t="str">
        <f>VLOOKUP("*"&amp;表格1[[#This Row],[Input]]&amp;"*",'Ref-List'!$B:$D,2,)</f>
        <v>IC-20R1THK</v>
      </c>
      <c r="H813" s="81" t="str">
        <f>_xlfn.XLOOKUP(表格1[[#This Row],[Model]],表格3[Model-Input-Ref2],表格3[Product Line])</f>
        <v>輕便式電磁爐</v>
      </c>
      <c r="I813" s="81" t="str">
        <f>_xlfn.XLOOKUP(表格1[[#This Row],[Model]],表格3[Model-Input-Ref2],表格3[大小電])</f>
        <v>細電</v>
      </c>
      <c r="J813" s="81" t="str">
        <f>_xlfn.XLOOKUP(表格1[[#This Row],[Model]],表格3[Model-Input-Ref2],表格3[Code])</f>
        <v>SDA</v>
      </c>
      <c r="K813" s="82" t="s">
        <v>1243</v>
      </c>
      <c r="L813" s="81">
        <v>2</v>
      </c>
      <c r="M813" s="85">
        <v>290</v>
      </c>
      <c r="N813" s="85">
        <f>IFERROR(表格1[[#This Row],[QTY]]*表格1[[#This Row],[Unit Price]],"-")</f>
        <v>580</v>
      </c>
      <c r="O813" s="134"/>
      <c r="P813" s="81"/>
      <c r="Q813" s="81"/>
      <c r="R813" s="81" t="str">
        <f>_xlfn.CONCAT(表格1[[#This Row],[Model]]," ",表格1[[#This Row],[inv no]])</f>
        <v xml:space="preserve">IC-20R1THK </v>
      </c>
      <c r="S813" s="135">
        <f>_xlfn.XLOOKUP(表格1[[#This Row],[Model]],表格3[Model-Input-Ref2],表格3[SRP PRICE])</f>
        <v>438</v>
      </c>
      <c r="T813" s="43">
        <f>表格1[[#This Row],[Unit Price]]/表格1[[#This Row],[SRP]]</f>
        <v>0.66210045662100458</v>
      </c>
      <c r="U813" s="86" t="str">
        <f>_xlfn.XLOOKUP(表格1[[#This Row],[Model]],表格3[Model-Input-Ref2],表格3[TOSHIBA/HIGHEST])</f>
        <v>Shops Highest Price</v>
      </c>
      <c r="V813" s="86" t="s">
        <v>1126</v>
      </c>
      <c r="W813" s="86" t="str">
        <f>_xlfn.CONCAT(表格1[[#This Row],[欄4]],表格1[[#This Row],[inv no]])</f>
        <v>DA141</v>
      </c>
    </row>
    <row r="814" spans="1:23" hidden="1">
      <c r="A814" s="81">
        <v>812</v>
      </c>
      <c r="B814" s="81" t="s">
        <v>1203</v>
      </c>
      <c r="C814" s="81" t="s">
        <v>1449</v>
      </c>
      <c r="D814" s="82" t="str">
        <f ca="1">OFFSET(Roster!$A$3,MATCH(表格1[[#This Row],[Location]]&amp;" "&amp;表格1[[#This Row],[Shop]]&amp;"*",Roster!$A$4:$A$72,0),DAY(表格1[[#This Row],[date]]),1,1)</f>
        <v>Ho_1</v>
      </c>
      <c r="E814" s="81">
        <f>MONTH(表格1[[#This Row],[date]])</f>
        <v>3</v>
      </c>
      <c r="F814" s="101">
        <v>46086</v>
      </c>
      <c r="G814" s="81" t="str">
        <f>VLOOKUP("*"&amp;表格1[[#This Row],[Input]]&amp;"*",'Ref-List'!$B:$D,2,)</f>
        <v>RC-15ISTHK(W)</v>
      </c>
      <c r="H814" s="81" t="str">
        <f>_xlfn.XLOOKUP(表格1[[#This Row],[Model]],表格3[Model-Input-Ref2],表格3[Product Line])</f>
        <v>磁應電飯煲(1.5公升)</v>
      </c>
      <c r="I814" s="81" t="str">
        <f>_xlfn.XLOOKUP(表格1[[#This Row],[Model]],表格3[Model-Input-Ref2],表格3[大小電])</f>
        <v>細電</v>
      </c>
      <c r="J814" s="81" t="str">
        <f>_xlfn.XLOOKUP(表格1[[#This Row],[Model]],表格3[Model-Input-Ref2],表格3[Code])</f>
        <v>SDA</v>
      </c>
      <c r="K814" s="82" t="s">
        <v>1204</v>
      </c>
      <c r="L814" s="81">
        <v>1</v>
      </c>
      <c r="M814" s="85">
        <v>500</v>
      </c>
      <c r="N814" s="85">
        <f>IFERROR(表格1[[#This Row],[QTY]]*表格1[[#This Row],[Unit Price]],"-")</f>
        <v>500</v>
      </c>
      <c r="O814" s="134"/>
      <c r="P814" s="81"/>
      <c r="Q814" s="81"/>
      <c r="R814" s="81" t="str">
        <f>_xlfn.CONCAT(表格1[[#This Row],[Model]]," ",表格1[[#This Row],[inv no]])</f>
        <v xml:space="preserve">RC-15ISTHK(W) </v>
      </c>
      <c r="S814" s="135">
        <f>_xlfn.XLOOKUP(表格1[[#This Row],[Model]],表格3[Model-Input-Ref2],表格3[SRP PRICE])</f>
        <v>1688</v>
      </c>
      <c r="T814" s="43">
        <f>表格1[[#This Row],[Unit Price]]/表格1[[#This Row],[SRP]]</f>
        <v>0.29620853080568721</v>
      </c>
      <c r="U814" s="86" t="str">
        <f>_xlfn.XLOOKUP(表格1[[#This Row],[Model]],表格3[Model-Input-Ref2],表格3[TOSHIBA/HIGHEST])</f>
        <v>Toshiba SRP</v>
      </c>
      <c r="V814" s="86" t="s">
        <v>1126</v>
      </c>
      <c r="W814" s="86" t="str">
        <f>_xlfn.CONCAT(表格1[[#This Row],[欄4]],表格1[[#This Row],[inv no]])</f>
        <v>DA141</v>
      </c>
    </row>
    <row r="815" spans="1:23" hidden="1">
      <c r="A815" s="81">
        <v>813</v>
      </c>
      <c r="B815" s="81" t="s">
        <v>1203</v>
      </c>
      <c r="C815" s="81" t="s">
        <v>1449</v>
      </c>
      <c r="D815" s="82" t="str">
        <f ca="1">OFFSET(Roster!$A$3,MATCH(表格1[[#This Row],[Location]]&amp;" "&amp;表格1[[#This Row],[Shop]]&amp;"*",Roster!$A$4:$A$72,0),DAY(表格1[[#This Row],[date]]),1,1)</f>
        <v>Ho_1</v>
      </c>
      <c r="E815" s="81">
        <f>MONTH(表格1[[#This Row],[date]])</f>
        <v>3</v>
      </c>
      <c r="F815" s="101">
        <v>46086</v>
      </c>
      <c r="G815" s="81" t="str">
        <f>VLOOKUP("*"&amp;表格1[[#This Row],[Input]]&amp;"*",'Ref-List'!$B:$D,2,)</f>
        <v>PLK-45SFIH(WT)</v>
      </c>
      <c r="H815" s="81" t="str">
        <f>_xlfn.XLOOKUP(表格1[[#This Row],[Model]],表格3[Model-Input-Ref2],表格3[Product Line])</f>
        <v>電熱水瓶4.5L</v>
      </c>
      <c r="I815" s="81" t="str">
        <f>_xlfn.XLOOKUP(表格1[[#This Row],[Model]],表格3[Model-Input-Ref2],表格3[大小電])</f>
        <v>細電</v>
      </c>
      <c r="J815" s="81" t="str">
        <f>_xlfn.XLOOKUP(表格1[[#This Row],[Model]],表格3[Model-Input-Ref2],表格3[Code])</f>
        <v>SDA</v>
      </c>
      <c r="K815" s="82" t="s">
        <v>1117</v>
      </c>
      <c r="L815" s="81">
        <v>1</v>
      </c>
      <c r="M815" s="85">
        <v>500</v>
      </c>
      <c r="N815" s="85">
        <f>IFERROR(表格1[[#This Row],[QTY]]*表格1[[#This Row],[Unit Price]],"-")</f>
        <v>500</v>
      </c>
      <c r="O815" s="134"/>
      <c r="P815" s="81"/>
      <c r="Q815" s="81"/>
      <c r="R815" s="81" t="str">
        <f>_xlfn.CONCAT(表格1[[#This Row],[Model]]," ",表格1[[#This Row],[inv no]])</f>
        <v xml:space="preserve">PLK-45SFIH(WT) </v>
      </c>
      <c r="S815" s="135">
        <f>_xlfn.XLOOKUP(表格1[[#This Row],[Model]],表格3[Model-Input-Ref2],表格3[SRP PRICE])</f>
        <v>788</v>
      </c>
      <c r="T815" s="43">
        <f>表格1[[#This Row],[Unit Price]]/表格1[[#This Row],[SRP]]</f>
        <v>0.63451776649746194</v>
      </c>
      <c r="U815" s="86" t="str">
        <f>_xlfn.XLOOKUP(表格1[[#This Row],[Model]],表格3[Model-Input-Ref2],表格3[TOSHIBA/HIGHEST])</f>
        <v>Toshiba SRP</v>
      </c>
      <c r="V815" s="86" t="s">
        <v>1126</v>
      </c>
      <c r="W815" s="86" t="str">
        <f>_xlfn.CONCAT(表格1[[#This Row],[欄4]],表格1[[#This Row],[inv no]])</f>
        <v>DA141</v>
      </c>
    </row>
    <row r="816" spans="1:23" hidden="1">
      <c r="A816" s="81">
        <v>814</v>
      </c>
      <c r="B816" s="81" t="s">
        <v>1203</v>
      </c>
      <c r="C816" s="81" t="s">
        <v>1449</v>
      </c>
      <c r="D816" s="82" t="str">
        <f ca="1">OFFSET(Roster!$A$3,MATCH(表格1[[#This Row],[Location]]&amp;" "&amp;表格1[[#This Row],[Shop]]&amp;"*",Roster!$A$4:$A$72,0),DAY(表格1[[#This Row],[date]]),1,1)</f>
        <v>Ho_1</v>
      </c>
      <c r="E816" s="81">
        <f>MONTH(表格1[[#This Row],[date]])</f>
        <v>3</v>
      </c>
      <c r="F816" s="101">
        <v>46086</v>
      </c>
      <c r="G816" s="81" t="str">
        <f>VLOOKUP("*"&amp;表格1[[#This Row],[Input]]&amp;"*",'Ref-List'!$B:$D,2,)</f>
        <v>KT-17SHNH</v>
      </c>
      <c r="H816" s="81" t="str">
        <f>_xlfn.XLOOKUP(表格1[[#This Row],[Model]],表格3[Model-Input-Ref2],表格3[Product Line])</f>
        <v>1.7L無線雙層電熱水壺</v>
      </c>
      <c r="I816" s="81" t="str">
        <f>_xlfn.XLOOKUP(表格1[[#This Row],[Model]],表格3[Model-Input-Ref2],表格3[大小電])</f>
        <v>細電</v>
      </c>
      <c r="J816" s="81" t="str">
        <f>_xlfn.XLOOKUP(表格1[[#This Row],[Model]],表格3[Model-Input-Ref2],表格3[Code])</f>
        <v>SDA</v>
      </c>
      <c r="K816" s="82" t="s">
        <v>1283</v>
      </c>
      <c r="L816" s="81">
        <v>2</v>
      </c>
      <c r="M816" s="85">
        <v>190</v>
      </c>
      <c r="N816" s="85">
        <f>IFERROR(表格1[[#This Row],[QTY]]*表格1[[#This Row],[Unit Price]],"-")</f>
        <v>380</v>
      </c>
      <c r="O816" s="134"/>
      <c r="P816" s="81"/>
      <c r="Q816" s="81"/>
      <c r="R816" s="81" t="str">
        <f>_xlfn.CONCAT(表格1[[#This Row],[Model]]," ",表格1[[#This Row],[inv no]])</f>
        <v xml:space="preserve">KT-17SHNH </v>
      </c>
      <c r="S816" s="135">
        <f>_xlfn.XLOOKUP(表格1[[#This Row],[Model]],表格3[Model-Input-Ref2],表格3[SRP PRICE])</f>
        <v>299</v>
      </c>
      <c r="T816" s="43">
        <f>表格1[[#This Row],[Unit Price]]/表格1[[#This Row],[SRP]]</f>
        <v>0.63545150501672243</v>
      </c>
      <c r="U816" s="86" t="str">
        <f>_xlfn.XLOOKUP(表格1[[#This Row],[Model]],表格3[Model-Input-Ref2],表格3[TOSHIBA/HIGHEST])</f>
        <v>Shops Highest Price</v>
      </c>
      <c r="V816" s="86" t="s">
        <v>1126</v>
      </c>
      <c r="W816" s="86" t="str">
        <f>_xlfn.CONCAT(表格1[[#This Row],[欄4]],表格1[[#This Row],[inv no]])</f>
        <v>DA141</v>
      </c>
    </row>
    <row r="817" spans="1:23" hidden="1">
      <c r="A817" s="81">
        <v>815</v>
      </c>
      <c r="B817" s="81" t="s">
        <v>1203</v>
      </c>
      <c r="C817" s="81" t="s">
        <v>1449</v>
      </c>
      <c r="D817" s="82" t="str">
        <f ca="1">OFFSET(Roster!$A$3,MATCH(表格1[[#This Row],[Location]]&amp;" "&amp;表格1[[#This Row],[Shop]]&amp;"*",Roster!$A$4:$A$72,0),DAY(表格1[[#This Row],[date]]),1,1)</f>
        <v>Ho_1</v>
      </c>
      <c r="E817" s="81">
        <f>MONTH(表格1[[#This Row],[date]])</f>
        <v>3</v>
      </c>
      <c r="F817" s="101">
        <v>46087</v>
      </c>
      <c r="G817" s="81" t="str">
        <f>VLOOKUP("*"&amp;表格1[[#This Row],[Input]]&amp;"*",'Ref-List'!$B:$D,2,)</f>
        <v>IC-21TSHK</v>
      </c>
      <c r="H817" s="81" t="str">
        <f>_xlfn.XLOOKUP(表格1[[#This Row],[Model]],表格3[Model-Input-Ref2],表格3[Product Line])</f>
        <v>Induction Cooker</v>
      </c>
      <c r="I817" s="81" t="str">
        <f>_xlfn.XLOOKUP(表格1[[#This Row],[Model]],表格3[Model-Input-Ref2],表格3[大小電])</f>
        <v>細電</v>
      </c>
      <c r="J817" s="81" t="str">
        <f>_xlfn.XLOOKUP(表格1[[#This Row],[Model]],表格3[Model-Input-Ref2],表格3[Code])</f>
        <v>SDA</v>
      </c>
      <c r="K817" s="82" t="s">
        <v>1242</v>
      </c>
      <c r="L817" s="81">
        <v>1</v>
      </c>
      <c r="M817" s="85">
        <v>500</v>
      </c>
      <c r="N817" s="85">
        <f>IFERROR(表格1[[#This Row],[QTY]]*表格1[[#This Row],[Unit Price]],"-")</f>
        <v>500</v>
      </c>
      <c r="O817" s="134"/>
      <c r="P817" s="81"/>
      <c r="Q817" s="81"/>
      <c r="R817" s="81" t="str">
        <f>_xlfn.CONCAT(表格1[[#This Row],[Model]]," ",表格1[[#This Row],[inv no]])</f>
        <v xml:space="preserve">IC-21TSHK </v>
      </c>
      <c r="S817" s="135">
        <f>_xlfn.XLOOKUP(表格1[[#This Row],[Model]],表格3[Model-Input-Ref2],表格3[SRP PRICE])</f>
        <v>998</v>
      </c>
      <c r="T817" s="43">
        <f>表格1[[#This Row],[Unit Price]]/表格1[[#This Row],[SRP]]</f>
        <v>0.50100200400801598</v>
      </c>
      <c r="U817" s="86" t="str">
        <f>_xlfn.XLOOKUP(表格1[[#This Row],[Model]],表格3[Model-Input-Ref2],表格3[TOSHIBA/HIGHEST])</f>
        <v>web SRP</v>
      </c>
      <c r="V817" s="86" t="s">
        <v>1126</v>
      </c>
      <c r="W817" s="86" t="str">
        <f>_xlfn.CONCAT(表格1[[#This Row],[欄4]],表格1[[#This Row],[inv no]])</f>
        <v>DA141</v>
      </c>
    </row>
    <row r="818" spans="1:23" hidden="1">
      <c r="A818" s="81">
        <v>816</v>
      </c>
      <c r="B818" s="81" t="s">
        <v>1203</v>
      </c>
      <c r="C818" s="81" t="s">
        <v>1449</v>
      </c>
      <c r="D818" s="82" t="str">
        <f ca="1">OFFSET(Roster!$A$3,MATCH(表格1[[#This Row],[Location]]&amp;" "&amp;表格1[[#This Row],[Shop]]&amp;"*",Roster!$A$4:$A$72,0),DAY(表格1[[#This Row],[date]]),1,1)</f>
        <v>Ho_1</v>
      </c>
      <c r="E818" s="81">
        <f>MONTH(表格1[[#This Row],[date]])</f>
        <v>3</v>
      </c>
      <c r="F818" s="101">
        <v>46087</v>
      </c>
      <c r="G818" s="81" t="str">
        <f>VLOOKUP("*"&amp;表格1[[#This Row],[Input]]&amp;"*",'Ref-List'!$B:$D,2,)</f>
        <v>IC-20R1THK</v>
      </c>
      <c r="H818" s="81" t="str">
        <f>_xlfn.XLOOKUP(表格1[[#This Row],[Model]],表格3[Model-Input-Ref2],表格3[Product Line])</f>
        <v>輕便式電磁爐</v>
      </c>
      <c r="I818" s="81" t="str">
        <f>_xlfn.XLOOKUP(表格1[[#This Row],[Model]],表格3[Model-Input-Ref2],表格3[大小電])</f>
        <v>細電</v>
      </c>
      <c r="J818" s="81" t="str">
        <f>_xlfn.XLOOKUP(表格1[[#This Row],[Model]],表格3[Model-Input-Ref2],表格3[Code])</f>
        <v>SDA</v>
      </c>
      <c r="K818" s="82" t="s">
        <v>1243</v>
      </c>
      <c r="L818" s="81">
        <v>1</v>
      </c>
      <c r="M818" s="85">
        <v>290</v>
      </c>
      <c r="N818" s="85">
        <f>IFERROR(表格1[[#This Row],[QTY]]*表格1[[#This Row],[Unit Price]],"-")</f>
        <v>290</v>
      </c>
      <c r="O818" s="134"/>
      <c r="P818" s="81"/>
      <c r="Q818" s="81"/>
      <c r="R818" s="81" t="str">
        <f>_xlfn.CONCAT(表格1[[#This Row],[Model]]," ",表格1[[#This Row],[inv no]])</f>
        <v xml:space="preserve">IC-20R1THK </v>
      </c>
      <c r="S818" s="135">
        <f>_xlfn.XLOOKUP(表格1[[#This Row],[Model]],表格3[Model-Input-Ref2],表格3[SRP PRICE])</f>
        <v>438</v>
      </c>
      <c r="T818" s="43">
        <f>表格1[[#This Row],[Unit Price]]/表格1[[#This Row],[SRP]]</f>
        <v>0.66210045662100458</v>
      </c>
      <c r="U818" s="86" t="str">
        <f>_xlfn.XLOOKUP(表格1[[#This Row],[Model]],表格3[Model-Input-Ref2],表格3[TOSHIBA/HIGHEST])</f>
        <v>Shops Highest Price</v>
      </c>
      <c r="V818" s="86" t="s">
        <v>1126</v>
      </c>
      <c r="W818" s="86" t="str">
        <f>_xlfn.CONCAT(表格1[[#This Row],[欄4]],表格1[[#This Row],[inv no]])</f>
        <v>DA141</v>
      </c>
    </row>
    <row r="819" spans="1:23" hidden="1">
      <c r="A819" s="81">
        <v>817</v>
      </c>
      <c r="B819" s="81" t="s">
        <v>1203</v>
      </c>
      <c r="C819" s="81" t="s">
        <v>1449</v>
      </c>
      <c r="D819" s="82" t="str">
        <f ca="1">OFFSET(Roster!$A$3,MATCH(表格1[[#This Row],[Location]]&amp;" "&amp;表格1[[#This Row],[Shop]]&amp;"*",Roster!$A$4:$A$72,0),DAY(表格1[[#This Row],[date]]),1,1)</f>
        <v>Ho_1</v>
      </c>
      <c r="E819" s="81">
        <f>MONTH(表格1[[#This Row],[date]])</f>
        <v>3</v>
      </c>
      <c r="F819" s="101">
        <v>46088</v>
      </c>
      <c r="G819" s="81" t="str">
        <f>VLOOKUP("*"&amp;表格1[[#This Row],[Input]]&amp;"*",'Ref-List'!$B:$D,2,)</f>
        <v>GR-A26HSZ(DS)</v>
      </c>
      <c r="H819" s="81" t="str">
        <f>_xlfn.XLOOKUP(表格1[[#This Row],[Model]],表格3[Model-Input-Ref2],表格3[Product Line])</f>
        <v>雙門變頻式環保雪櫃</v>
      </c>
      <c r="I819" s="81" t="str">
        <f>_xlfn.XLOOKUP(表格1[[#This Row],[Model]],表格3[Model-Input-Ref2],表格3[大小電])</f>
        <v>大電</v>
      </c>
      <c r="J819" s="81" t="str">
        <f>_xlfn.XLOOKUP(表格1[[#This Row],[Model]],表格3[Model-Input-Ref2],表格3[Code])</f>
        <v>AC</v>
      </c>
      <c r="K819" s="82" t="s">
        <v>1207</v>
      </c>
      <c r="L819" s="81">
        <v>1</v>
      </c>
      <c r="M819" s="85">
        <v>1500</v>
      </c>
      <c r="N819" s="85">
        <f>IFERROR(表格1[[#This Row],[QTY]]*表格1[[#This Row],[Unit Price]],"-")</f>
        <v>1500</v>
      </c>
      <c r="O819" s="134">
        <v>6004106</v>
      </c>
      <c r="P819" s="81"/>
      <c r="Q819" s="81"/>
      <c r="R819" s="81" t="str">
        <f>_xlfn.CONCAT(表格1[[#This Row],[Model]]," ",表格1[[#This Row],[inv no]])</f>
        <v>GR-A26HSZ(DS) 6004106</v>
      </c>
      <c r="S819" s="135">
        <f>_xlfn.XLOOKUP(表格1[[#This Row],[Model]],表格3[Model-Input-Ref2],表格3[SRP PRICE])</f>
        <v>3780</v>
      </c>
      <c r="T819" s="43">
        <f>表格1[[#This Row],[Unit Price]]/表格1[[#This Row],[SRP]]</f>
        <v>0.3968253968253968</v>
      </c>
      <c r="U819" s="86" t="str">
        <f>_xlfn.XLOOKUP(表格1[[#This Row],[Model]],表格3[Model-Input-Ref2],表格3[TOSHIBA/HIGHEST])</f>
        <v>Toshiba SRP</v>
      </c>
      <c r="V819" s="86" t="s">
        <v>1126</v>
      </c>
      <c r="W819" s="86" t="str">
        <f>_xlfn.CONCAT(表格1[[#This Row],[欄4]],表格1[[#This Row],[inv no]])</f>
        <v>DA1416004106</v>
      </c>
    </row>
    <row r="820" spans="1:23" ht="16.5" hidden="1">
      <c r="A820" s="81">
        <v>818</v>
      </c>
      <c r="B820" s="81" t="s">
        <v>1203</v>
      </c>
      <c r="C820" s="81" t="s">
        <v>1449</v>
      </c>
      <c r="D820" s="82" t="str">
        <f ca="1">OFFSET(Roster!$A$3,MATCH(表格1[[#This Row],[Location]]&amp;" "&amp;表格1[[#This Row],[Shop]]&amp;"*",Roster!$A$4:$A$72,0),DAY(表格1[[#This Row],[date]]),1,1)</f>
        <v>Ho_1</v>
      </c>
      <c r="E820" s="81">
        <f>MONTH(表格1[[#This Row],[date]])</f>
        <v>3</v>
      </c>
      <c r="F820" s="101">
        <v>46088</v>
      </c>
      <c r="G820" s="81" t="str">
        <f>VLOOKUP("*"&amp;表格1[[#This Row],[Input]]&amp;"*",'Ref-List'!$B:$D,2,)</f>
        <v>GR-A26HSZ(DS)</v>
      </c>
      <c r="H820" s="81" t="str">
        <f>_xlfn.XLOOKUP(表格1[[#This Row],[Model]],表格3[Model-Input-Ref2],表格3[Product Line])</f>
        <v>雙門變頻式環保雪櫃</v>
      </c>
      <c r="I820" s="81" t="str">
        <f>_xlfn.XLOOKUP(表格1[[#This Row],[Model]],表格3[Model-Input-Ref2],表格3[大小電])</f>
        <v>大電</v>
      </c>
      <c r="J820" s="81" t="str">
        <f>_xlfn.XLOOKUP(表格1[[#This Row],[Model]],表格3[Model-Input-Ref2],表格3[Code])</f>
        <v>AC</v>
      </c>
      <c r="K820" s="82" t="s">
        <v>1207</v>
      </c>
      <c r="L820" s="81">
        <v>1</v>
      </c>
      <c r="M820" s="85">
        <v>1500</v>
      </c>
      <c r="N820" s="85">
        <f>IFERROR(表格1[[#This Row],[QTY]]*表格1[[#This Row],[Unit Price]],"-")</f>
        <v>1500</v>
      </c>
      <c r="O820" s="134">
        <v>6004110</v>
      </c>
      <c r="P820" s="137"/>
      <c r="Q820" s="81"/>
      <c r="R820" s="81" t="str">
        <f>_xlfn.CONCAT(表格1[[#This Row],[Model]]," ",表格1[[#This Row],[inv no]])</f>
        <v>GR-A26HSZ(DS) 6004110</v>
      </c>
      <c r="S820" s="135">
        <f>_xlfn.XLOOKUP(表格1[[#This Row],[Model]],表格3[Model-Input-Ref2],表格3[SRP PRICE])</f>
        <v>3780</v>
      </c>
      <c r="T820" s="43">
        <f>表格1[[#This Row],[Unit Price]]/表格1[[#This Row],[SRP]]</f>
        <v>0.3968253968253968</v>
      </c>
      <c r="U820" s="86" t="str">
        <f>_xlfn.XLOOKUP(表格1[[#This Row],[Model]],表格3[Model-Input-Ref2],表格3[TOSHIBA/HIGHEST])</f>
        <v>Toshiba SRP</v>
      </c>
      <c r="V820" s="86" t="s">
        <v>1126</v>
      </c>
      <c r="W820" s="86" t="str">
        <f>_xlfn.CONCAT(表格1[[#This Row],[欄4]],表格1[[#This Row],[inv no]])</f>
        <v>DA1416004110</v>
      </c>
    </row>
    <row r="821" spans="1:23" hidden="1">
      <c r="A821" s="81">
        <v>819</v>
      </c>
      <c r="B821" s="81" t="s">
        <v>1203</v>
      </c>
      <c r="C821" s="81" t="s">
        <v>1449</v>
      </c>
      <c r="D821" s="82" t="str">
        <f ca="1">OFFSET(Roster!$A$3,MATCH(表格1[[#This Row],[Location]]&amp;" "&amp;表格1[[#This Row],[Shop]]&amp;"*",Roster!$A$4:$A$72,0),DAY(表格1[[#This Row],[date]]),1,1)</f>
        <v>Ho_1</v>
      </c>
      <c r="E821" s="81">
        <f>MONTH(表格1[[#This Row],[date]])</f>
        <v>3</v>
      </c>
      <c r="F821" s="101">
        <v>46088</v>
      </c>
      <c r="G821" s="81" t="str">
        <f>VLOOKUP("*"&amp;表格1[[#This Row],[Input]]&amp;"*",'Ref-List'!$B:$D,2,)</f>
        <v>GR-A26HSZ(DS)</v>
      </c>
      <c r="H821" s="81" t="str">
        <f>_xlfn.XLOOKUP(表格1[[#This Row],[Model]],表格3[Model-Input-Ref2],表格3[Product Line])</f>
        <v>雙門變頻式環保雪櫃</v>
      </c>
      <c r="I821" s="81" t="str">
        <f>_xlfn.XLOOKUP(表格1[[#This Row],[Model]],表格3[Model-Input-Ref2],表格3[大小電])</f>
        <v>大電</v>
      </c>
      <c r="J821" s="81" t="str">
        <f>_xlfn.XLOOKUP(表格1[[#This Row],[Model]],表格3[Model-Input-Ref2],表格3[Code])</f>
        <v>AC</v>
      </c>
      <c r="K821" s="82" t="s">
        <v>1207</v>
      </c>
      <c r="L821" s="81">
        <v>1</v>
      </c>
      <c r="M821" s="85">
        <v>1500</v>
      </c>
      <c r="N821" s="85">
        <f>IFERROR(表格1[[#This Row],[QTY]]*表格1[[#This Row],[Unit Price]],"-")</f>
        <v>1500</v>
      </c>
      <c r="O821" s="134">
        <v>6004124</v>
      </c>
      <c r="P821" s="81"/>
      <c r="Q821" s="81"/>
      <c r="R821" s="81" t="str">
        <f>_xlfn.CONCAT(表格1[[#This Row],[Model]]," ",表格1[[#This Row],[inv no]])</f>
        <v>GR-A26HSZ(DS) 6004124</v>
      </c>
      <c r="S821" s="135">
        <f>_xlfn.XLOOKUP(表格1[[#This Row],[Model]],表格3[Model-Input-Ref2],表格3[SRP PRICE])</f>
        <v>3780</v>
      </c>
      <c r="T821" s="43">
        <f>表格1[[#This Row],[Unit Price]]/表格1[[#This Row],[SRP]]</f>
        <v>0.3968253968253968</v>
      </c>
      <c r="U821" s="86" t="str">
        <f>_xlfn.XLOOKUP(表格1[[#This Row],[Model]],表格3[Model-Input-Ref2],表格3[TOSHIBA/HIGHEST])</f>
        <v>Toshiba SRP</v>
      </c>
      <c r="V821" s="86" t="s">
        <v>1126</v>
      </c>
      <c r="W821" s="86" t="str">
        <f>_xlfn.CONCAT(表格1[[#This Row],[欄4]],表格1[[#This Row],[inv no]])</f>
        <v>DA1416004124</v>
      </c>
    </row>
    <row r="822" spans="1:23" hidden="1">
      <c r="A822" s="81">
        <v>820</v>
      </c>
      <c r="B822" s="81" t="s">
        <v>1203</v>
      </c>
      <c r="C822" s="81" t="s">
        <v>1449</v>
      </c>
      <c r="D822" s="82" t="str">
        <f ca="1">OFFSET(Roster!$A$3,MATCH(表格1[[#This Row],[Location]]&amp;" "&amp;表格1[[#This Row],[Shop]]&amp;"*",Roster!$A$4:$A$72,0),DAY(表格1[[#This Row],[date]]),1,1)</f>
        <v>Ho_1</v>
      </c>
      <c r="E822" s="81">
        <f>MONTH(表格1[[#This Row],[date]])</f>
        <v>3</v>
      </c>
      <c r="F822" s="101">
        <v>46088</v>
      </c>
      <c r="G822" s="81" t="str">
        <f>VLOOKUP("*"&amp;表格1[[#This Row],[Input]]&amp;"*",'Ref-List'!$B:$D,2,)</f>
        <v>DWS-34AHK</v>
      </c>
      <c r="H822" s="81" t="str">
        <f>_xlfn.XLOOKUP(表格1[[#This Row],[Model]],表格3[Model-Input-Ref2],表格3[Product Line])</f>
        <v>獨立式免安裝洗碗碟機</v>
      </c>
      <c r="I822" s="81" t="str">
        <f>_xlfn.XLOOKUP(表格1[[#This Row],[Model]],表格3[Model-Input-Ref2],表格3[大小電])</f>
        <v>細電</v>
      </c>
      <c r="J822" s="81" t="str">
        <f>_xlfn.XLOOKUP(表格1[[#This Row],[Model]],表格3[Model-Input-Ref2],表格3[Code])</f>
        <v>DM</v>
      </c>
      <c r="K822" s="82" t="s">
        <v>1240</v>
      </c>
      <c r="L822" s="81">
        <v>1</v>
      </c>
      <c r="M822" s="85">
        <v>1500</v>
      </c>
      <c r="N822" s="85">
        <f>IFERROR(表格1[[#This Row],[QTY]]*表格1[[#This Row],[Unit Price]],"-")</f>
        <v>1500</v>
      </c>
      <c r="O822" s="134">
        <v>6004118</v>
      </c>
      <c r="P822" s="81"/>
      <c r="Q822" s="81"/>
      <c r="R822" s="81" t="str">
        <f>_xlfn.CONCAT(表格1[[#This Row],[Model]]," ",表格1[[#This Row],[inv no]])</f>
        <v>DWS-34AHK 6004118</v>
      </c>
      <c r="S822" s="135">
        <f>_xlfn.XLOOKUP(表格1[[#This Row],[Model]],表格3[Model-Input-Ref2],表格3[SRP PRICE])</f>
        <v>3999</v>
      </c>
      <c r="T822" s="43">
        <f>表格1[[#This Row],[Unit Price]]/表格1[[#This Row],[SRP]]</f>
        <v>0.37509377344336087</v>
      </c>
      <c r="U822" s="86" t="str">
        <f>_xlfn.XLOOKUP(表格1[[#This Row],[Model]],表格3[Model-Input-Ref2],表格3[TOSHIBA/HIGHEST])</f>
        <v>Web SRP</v>
      </c>
      <c r="V822" s="86" t="s">
        <v>1126</v>
      </c>
      <c r="W822" s="86" t="str">
        <f>_xlfn.CONCAT(表格1[[#This Row],[欄4]],表格1[[#This Row],[inv no]])</f>
        <v>DA1416004118</v>
      </c>
    </row>
    <row r="823" spans="1:23" hidden="1">
      <c r="A823" s="81">
        <v>821</v>
      </c>
      <c r="B823" s="81" t="s">
        <v>1203</v>
      </c>
      <c r="C823" s="81" t="s">
        <v>1449</v>
      </c>
      <c r="D823" s="82" t="str">
        <f ca="1">OFFSET(Roster!$A$3,MATCH(表格1[[#This Row],[Location]]&amp;" "&amp;表格1[[#This Row],[Shop]]&amp;"*",Roster!$A$4:$A$72,0),DAY(表格1[[#This Row],[date]]),1,1)</f>
        <v>Ho_1</v>
      </c>
      <c r="E823" s="81">
        <f>MONTH(表格1[[#This Row],[date]])</f>
        <v>3</v>
      </c>
      <c r="F823" s="101">
        <v>46088</v>
      </c>
      <c r="G823" s="81" t="str">
        <f>VLOOKUP("*"&amp;表格1[[#This Row],[Input]]&amp;"*",'Ref-List'!$B:$D,2,)</f>
        <v>CWF-09CRFN8-AD5</v>
      </c>
      <c r="H823" s="81" t="str">
        <f>_xlfn.XLOOKUP(表格1[[#This Row],[Model]],表格3[Model-Input-Ref2],表格3[Product Line])</f>
        <v>Comfee 1匹變頻窗口式冷氣機</v>
      </c>
      <c r="I823" s="81" t="str">
        <f>_xlfn.XLOOKUP(表格1[[#This Row],[Model]],表格3[Model-Input-Ref2],表格3[大小電])</f>
        <v>大電</v>
      </c>
      <c r="J823" s="81" t="str">
        <f>_xlfn.XLOOKUP(表格1[[#This Row],[Model]],表格3[Model-Input-Ref2],表格3[Code])</f>
        <v>RAC</v>
      </c>
      <c r="K823" s="82" t="s">
        <v>1248</v>
      </c>
      <c r="L823" s="81">
        <v>1</v>
      </c>
      <c r="M823" s="85">
        <v>3588</v>
      </c>
      <c r="N823" s="85">
        <f>IFERROR(表格1[[#This Row],[QTY]]*表格1[[#This Row],[Unit Price]],"-")</f>
        <v>3588</v>
      </c>
      <c r="O823" s="134">
        <v>6004115</v>
      </c>
      <c r="P823" s="81"/>
      <c r="Q823" s="81"/>
      <c r="R823" s="81" t="str">
        <f>_xlfn.CONCAT(表格1[[#This Row],[Model]]," ",表格1[[#This Row],[inv no]])</f>
        <v>CWF-09CRFN8-AD5 6004115</v>
      </c>
      <c r="S823" s="135">
        <f>_xlfn.XLOOKUP(表格1[[#This Row],[Model]],表格3[Model-Input-Ref2],表格3[SRP PRICE])</f>
        <v>4600</v>
      </c>
      <c r="T823" s="43">
        <f>表格1[[#This Row],[Unit Price]]/表格1[[#This Row],[SRP]]</f>
        <v>0.78</v>
      </c>
      <c r="U823" s="86" t="str">
        <f>_xlfn.XLOOKUP(表格1[[#This Row],[Model]],表格3[Model-Input-Ref2],表格3[TOSHIBA/HIGHEST])</f>
        <v>Shops Highest Price</v>
      </c>
      <c r="V823" s="86" t="s">
        <v>1126</v>
      </c>
      <c r="W823" s="86" t="str">
        <f>_xlfn.CONCAT(表格1[[#This Row],[欄4]],表格1[[#This Row],[inv no]])</f>
        <v>DA1416004115</v>
      </c>
    </row>
    <row r="824" spans="1:23" hidden="1">
      <c r="A824" s="81">
        <v>822</v>
      </c>
      <c r="B824" s="81" t="s">
        <v>1203</v>
      </c>
      <c r="C824" s="81" t="s">
        <v>1449</v>
      </c>
      <c r="D824" s="82" t="str">
        <f ca="1">OFFSET(Roster!$A$3,MATCH(表格1[[#This Row],[Location]]&amp;" "&amp;表格1[[#This Row],[Shop]]&amp;"*",Roster!$A$4:$A$72,0),DAY(表格1[[#This Row],[date]]),1,1)</f>
        <v>Ho_1</v>
      </c>
      <c r="E824" s="81">
        <f>MONTH(表格1[[#This Row],[date]])</f>
        <v>3</v>
      </c>
      <c r="F824" s="101">
        <v>46088</v>
      </c>
      <c r="G824" s="81" t="str">
        <f>VLOOKUP("*"&amp;表格1[[#This Row],[Input]]&amp;"*",'Ref-List'!$B:$D,2,)</f>
        <v>IC-21TSHK</v>
      </c>
      <c r="H824" s="81" t="str">
        <f>_xlfn.XLOOKUP(表格1[[#This Row],[Model]],表格3[Model-Input-Ref2],表格3[Product Line])</f>
        <v>Induction Cooker</v>
      </c>
      <c r="I824" s="81" t="str">
        <f>_xlfn.XLOOKUP(表格1[[#This Row],[Model]],表格3[Model-Input-Ref2],表格3[大小電])</f>
        <v>細電</v>
      </c>
      <c r="J824" s="81" t="str">
        <f>_xlfn.XLOOKUP(表格1[[#This Row],[Model]],表格3[Model-Input-Ref2],表格3[Code])</f>
        <v>SDA</v>
      </c>
      <c r="K824" s="82" t="s">
        <v>1242</v>
      </c>
      <c r="L824" s="81">
        <v>3</v>
      </c>
      <c r="M824" s="85">
        <v>500</v>
      </c>
      <c r="N824" s="85">
        <f>IFERROR(表格1[[#This Row],[QTY]]*表格1[[#This Row],[Unit Price]],"-")</f>
        <v>1500</v>
      </c>
      <c r="O824" s="134"/>
      <c r="P824" s="81"/>
      <c r="Q824" s="81"/>
      <c r="R824" s="81" t="str">
        <f>_xlfn.CONCAT(表格1[[#This Row],[Model]]," ",表格1[[#This Row],[inv no]])</f>
        <v xml:space="preserve">IC-21TSHK </v>
      </c>
      <c r="S824" s="135">
        <f>_xlfn.XLOOKUP(表格1[[#This Row],[Model]],表格3[Model-Input-Ref2],表格3[SRP PRICE])</f>
        <v>998</v>
      </c>
      <c r="T824" s="43">
        <f>表格1[[#This Row],[Unit Price]]/表格1[[#This Row],[SRP]]</f>
        <v>0.50100200400801598</v>
      </c>
      <c r="U824" s="86" t="str">
        <f>_xlfn.XLOOKUP(表格1[[#This Row],[Model]],表格3[Model-Input-Ref2],表格3[TOSHIBA/HIGHEST])</f>
        <v>web SRP</v>
      </c>
      <c r="V824" s="86" t="s">
        <v>1126</v>
      </c>
      <c r="W824" s="86" t="str">
        <f>_xlfn.CONCAT(表格1[[#This Row],[欄4]],表格1[[#This Row],[inv no]])</f>
        <v>DA141</v>
      </c>
    </row>
    <row r="825" spans="1:23" hidden="1">
      <c r="A825" s="81">
        <v>823</v>
      </c>
      <c r="B825" s="81" t="s">
        <v>1203</v>
      </c>
      <c r="C825" s="81" t="s">
        <v>1449</v>
      </c>
      <c r="D825" s="82" t="str">
        <f ca="1">OFFSET(Roster!$A$3,MATCH(表格1[[#This Row],[Location]]&amp;" "&amp;表格1[[#This Row],[Shop]]&amp;"*",Roster!$A$4:$A$72,0),DAY(表格1[[#This Row],[date]]),1,1)</f>
        <v>Ho_1</v>
      </c>
      <c r="E825" s="81">
        <f>MONTH(表格1[[#This Row],[date]])</f>
        <v>3</v>
      </c>
      <c r="F825" s="101">
        <v>46088</v>
      </c>
      <c r="G825" s="81" t="str">
        <f>VLOOKUP("*"&amp;表格1[[#This Row],[Input]]&amp;"*",'Ref-List'!$B:$D,2,)</f>
        <v>RC-15ISTHK(W)</v>
      </c>
      <c r="H825" s="81" t="str">
        <f>_xlfn.XLOOKUP(表格1[[#This Row],[Model]],表格3[Model-Input-Ref2],表格3[Product Line])</f>
        <v>磁應電飯煲(1.5公升)</v>
      </c>
      <c r="I825" s="81" t="str">
        <f>_xlfn.XLOOKUP(表格1[[#This Row],[Model]],表格3[Model-Input-Ref2],表格3[大小電])</f>
        <v>細電</v>
      </c>
      <c r="J825" s="81" t="str">
        <f>_xlfn.XLOOKUP(表格1[[#This Row],[Model]],表格3[Model-Input-Ref2],表格3[Code])</f>
        <v>SDA</v>
      </c>
      <c r="K825" s="82" t="s">
        <v>1204</v>
      </c>
      <c r="L825" s="81">
        <v>2</v>
      </c>
      <c r="M825" s="85">
        <v>500</v>
      </c>
      <c r="N825" s="85">
        <f>IFERROR(表格1[[#This Row],[QTY]]*表格1[[#This Row],[Unit Price]],"-")</f>
        <v>1000</v>
      </c>
      <c r="O825" s="134"/>
      <c r="P825" s="81"/>
      <c r="Q825" s="81"/>
      <c r="R825" s="81" t="str">
        <f>_xlfn.CONCAT(表格1[[#This Row],[Model]]," ",表格1[[#This Row],[inv no]])</f>
        <v xml:space="preserve">RC-15ISTHK(W) </v>
      </c>
      <c r="S825" s="135">
        <f>_xlfn.XLOOKUP(表格1[[#This Row],[Model]],表格3[Model-Input-Ref2],表格3[SRP PRICE])</f>
        <v>1688</v>
      </c>
      <c r="T825" s="43">
        <f>表格1[[#This Row],[Unit Price]]/表格1[[#This Row],[SRP]]</f>
        <v>0.29620853080568721</v>
      </c>
      <c r="U825" s="86" t="str">
        <f>_xlfn.XLOOKUP(表格1[[#This Row],[Model]],表格3[Model-Input-Ref2],表格3[TOSHIBA/HIGHEST])</f>
        <v>Toshiba SRP</v>
      </c>
      <c r="V825" s="86" t="s">
        <v>1126</v>
      </c>
      <c r="W825" s="86" t="str">
        <f>_xlfn.CONCAT(表格1[[#This Row],[欄4]],表格1[[#This Row],[inv no]])</f>
        <v>DA141</v>
      </c>
    </row>
    <row r="826" spans="1:23" hidden="1">
      <c r="A826" s="81">
        <v>824</v>
      </c>
      <c r="B826" s="81" t="s">
        <v>1203</v>
      </c>
      <c r="C826" s="81" t="s">
        <v>1449</v>
      </c>
      <c r="D826" s="82" t="str">
        <f ca="1">OFFSET(Roster!$A$3,MATCH(表格1[[#This Row],[Location]]&amp;" "&amp;表格1[[#This Row],[Shop]]&amp;"*",Roster!$A$4:$A$72,0),DAY(表格1[[#This Row],[date]]),1,1)</f>
        <v>Ho_1</v>
      </c>
      <c r="E826" s="81">
        <f>MONTH(表格1[[#This Row],[date]])</f>
        <v>3</v>
      </c>
      <c r="F826" s="101">
        <v>46089</v>
      </c>
      <c r="G826" s="81" t="str">
        <f>VLOOKUP("*"&amp;表格1[[#This Row],[Input]]&amp;"*",'Ref-List'!$B:$D,2,)</f>
        <v>GR-A26HSZ(DS)</v>
      </c>
      <c r="H826" s="81" t="str">
        <f>_xlfn.XLOOKUP(表格1[[#This Row],[Model]],表格3[Model-Input-Ref2],表格3[Product Line])</f>
        <v>雙門變頻式環保雪櫃</v>
      </c>
      <c r="I826" s="81" t="str">
        <f>_xlfn.XLOOKUP(表格1[[#This Row],[Model]],表格3[Model-Input-Ref2],表格3[大小電])</f>
        <v>大電</v>
      </c>
      <c r="J826" s="81" t="str">
        <f>_xlfn.XLOOKUP(表格1[[#This Row],[Model]],表格3[Model-Input-Ref2],表格3[Code])</f>
        <v>AC</v>
      </c>
      <c r="K826" s="82" t="s">
        <v>1207</v>
      </c>
      <c r="L826" s="81">
        <v>1</v>
      </c>
      <c r="M826" s="85">
        <v>1500</v>
      </c>
      <c r="N826" s="85">
        <f>IFERROR(表格1[[#This Row],[QTY]]*表格1[[#This Row],[Unit Price]],"-")</f>
        <v>1500</v>
      </c>
      <c r="O826" s="134">
        <v>6004133</v>
      </c>
      <c r="P826" s="81"/>
      <c r="Q826" s="81"/>
      <c r="R826" s="81" t="str">
        <f>_xlfn.CONCAT(表格1[[#This Row],[Model]]," ",表格1[[#This Row],[inv no]])</f>
        <v>GR-A26HSZ(DS) 6004133</v>
      </c>
      <c r="S826" s="135">
        <f>_xlfn.XLOOKUP(表格1[[#This Row],[Model]],表格3[Model-Input-Ref2],表格3[SRP PRICE])</f>
        <v>3780</v>
      </c>
      <c r="T826" s="43">
        <f>表格1[[#This Row],[Unit Price]]/表格1[[#This Row],[SRP]]</f>
        <v>0.3968253968253968</v>
      </c>
      <c r="U826" s="86" t="str">
        <f>_xlfn.XLOOKUP(表格1[[#This Row],[Model]],表格3[Model-Input-Ref2],表格3[TOSHIBA/HIGHEST])</f>
        <v>Toshiba SRP</v>
      </c>
      <c r="V826" s="86" t="s">
        <v>1126</v>
      </c>
      <c r="W826" s="86" t="str">
        <f>_xlfn.CONCAT(表格1[[#This Row],[欄4]],表格1[[#This Row],[inv no]])</f>
        <v>DA1416004133</v>
      </c>
    </row>
    <row r="827" spans="1:23" hidden="1">
      <c r="A827" s="81">
        <v>825</v>
      </c>
      <c r="B827" s="81" t="s">
        <v>1203</v>
      </c>
      <c r="C827" s="81" t="s">
        <v>1449</v>
      </c>
      <c r="D827" s="82" t="str">
        <f ca="1">OFFSET(Roster!$A$3,MATCH(表格1[[#This Row],[Location]]&amp;" "&amp;表格1[[#This Row],[Shop]]&amp;"*",Roster!$A$4:$A$72,0),DAY(表格1[[#This Row],[date]]),1,1)</f>
        <v>Ho_1</v>
      </c>
      <c r="E827" s="81">
        <f>MONTH(表格1[[#This Row],[date]])</f>
        <v>3</v>
      </c>
      <c r="F827" s="101">
        <v>46089</v>
      </c>
      <c r="G827" s="81" t="str">
        <f>VLOOKUP("*"&amp;表格1[[#This Row],[Input]]&amp;"*",'Ref-List'!$B:$D,2,)</f>
        <v>GR-A26HSZ(DS)</v>
      </c>
      <c r="H827" s="81" t="str">
        <f>_xlfn.XLOOKUP(表格1[[#This Row],[Model]],表格3[Model-Input-Ref2],表格3[Product Line])</f>
        <v>雙門變頻式環保雪櫃</v>
      </c>
      <c r="I827" s="81" t="str">
        <f>_xlfn.XLOOKUP(表格1[[#This Row],[Model]],表格3[Model-Input-Ref2],表格3[大小電])</f>
        <v>大電</v>
      </c>
      <c r="J827" s="81" t="str">
        <f>_xlfn.XLOOKUP(表格1[[#This Row],[Model]],表格3[Model-Input-Ref2],表格3[Code])</f>
        <v>AC</v>
      </c>
      <c r="K827" s="82" t="s">
        <v>1207</v>
      </c>
      <c r="L827" s="81">
        <v>1</v>
      </c>
      <c r="M827" s="85">
        <v>1500</v>
      </c>
      <c r="N827" s="85">
        <f>IFERROR(表格1[[#This Row],[QTY]]*表格1[[#This Row],[Unit Price]],"-")</f>
        <v>1500</v>
      </c>
      <c r="O827" s="134">
        <v>6004141</v>
      </c>
      <c r="P827" s="81"/>
      <c r="Q827" s="81"/>
      <c r="R827" s="81" t="str">
        <f>_xlfn.CONCAT(表格1[[#This Row],[Model]]," ",表格1[[#This Row],[inv no]])</f>
        <v>GR-A26HSZ(DS) 6004141</v>
      </c>
      <c r="S827" s="135">
        <f>_xlfn.XLOOKUP(表格1[[#This Row],[Model]],表格3[Model-Input-Ref2],表格3[SRP PRICE])</f>
        <v>3780</v>
      </c>
      <c r="T827" s="43">
        <f>表格1[[#This Row],[Unit Price]]/表格1[[#This Row],[SRP]]</f>
        <v>0.3968253968253968</v>
      </c>
      <c r="U827" s="86" t="str">
        <f>_xlfn.XLOOKUP(表格1[[#This Row],[Model]],表格3[Model-Input-Ref2],表格3[TOSHIBA/HIGHEST])</f>
        <v>Toshiba SRP</v>
      </c>
      <c r="V827" s="86" t="s">
        <v>1126</v>
      </c>
      <c r="W827" s="86" t="str">
        <f>_xlfn.CONCAT(表格1[[#This Row],[欄4]],表格1[[#This Row],[inv no]])</f>
        <v>DA1416004141</v>
      </c>
    </row>
    <row r="828" spans="1:23" hidden="1">
      <c r="A828" s="81">
        <v>826</v>
      </c>
      <c r="B828" s="81" t="s">
        <v>1203</v>
      </c>
      <c r="C828" s="81" t="s">
        <v>1449</v>
      </c>
      <c r="D828" s="82" t="str">
        <f ca="1">OFFSET(Roster!$A$3,MATCH(表格1[[#This Row],[Location]]&amp;" "&amp;表格1[[#This Row],[Shop]]&amp;"*",Roster!$A$4:$A$72,0),DAY(表格1[[#This Row],[date]]),1,1)</f>
        <v>Ho_1</v>
      </c>
      <c r="E828" s="81">
        <f>MONTH(表格1[[#This Row],[date]])</f>
        <v>3</v>
      </c>
      <c r="F828" s="101">
        <v>46089</v>
      </c>
      <c r="G828" s="81" t="str">
        <f>VLOOKUP("*"&amp;表格1[[#This Row],[Input]]&amp;"*",'Ref-List'!$B:$D,2,)</f>
        <v>TWP-TSR76THK(W)</v>
      </c>
      <c r="H828" s="81" t="str">
        <f>_xlfn.XLOOKUP(表格1[[#This Row],[Model]],表格3[Model-Input-Ref2],表格3[Product Line])</f>
        <v>RO座檯式飲水機</v>
      </c>
      <c r="I828" s="81" t="str">
        <f>_xlfn.XLOOKUP(表格1[[#This Row],[Model]],表格3[Model-Input-Ref2],表格3[大小電])</f>
        <v>細電</v>
      </c>
      <c r="J828" s="81" t="str">
        <f>_xlfn.XLOOKUP(表格1[[#This Row],[Model]],表格3[Model-Input-Ref2],表格3[Code])</f>
        <v>KWH</v>
      </c>
      <c r="K828" s="82" t="s">
        <v>1197</v>
      </c>
      <c r="L828" s="81">
        <v>1</v>
      </c>
      <c r="M828" s="85">
        <v>1500</v>
      </c>
      <c r="N828" s="85">
        <f>IFERROR(表格1[[#This Row],[QTY]]*表格1[[#This Row],[Unit Price]],"-")</f>
        <v>1500</v>
      </c>
      <c r="O828" s="134">
        <v>6004171</v>
      </c>
      <c r="P828" s="81"/>
      <c r="Q828" s="81"/>
      <c r="R828" s="81" t="str">
        <f>_xlfn.CONCAT(表格1[[#This Row],[Model]]," ",表格1[[#This Row],[inv no]])</f>
        <v>TWP-TSR76THK(W) 6004171</v>
      </c>
      <c r="S828" s="135">
        <f>_xlfn.XLOOKUP(表格1[[#This Row],[Model]],表格3[Model-Input-Ref2],表格3[SRP PRICE])</f>
        <v>2680</v>
      </c>
      <c r="T828" s="43">
        <f>表格1[[#This Row],[Unit Price]]/表格1[[#This Row],[SRP]]</f>
        <v>0.55970149253731338</v>
      </c>
      <c r="U828" s="86" t="str">
        <f>_xlfn.XLOOKUP(表格1[[#This Row],[Model]],表格3[Model-Input-Ref2],表格3[TOSHIBA/HIGHEST])</f>
        <v>Toshiba SRP</v>
      </c>
      <c r="V828" s="86" t="s">
        <v>1126</v>
      </c>
      <c r="W828" s="86" t="str">
        <f>_xlfn.CONCAT(表格1[[#This Row],[欄4]],表格1[[#This Row],[inv no]])</f>
        <v>DA1416004171</v>
      </c>
    </row>
    <row r="829" spans="1:23" ht="16.5" hidden="1">
      <c r="A829" s="81">
        <v>827</v>
      </c>
      <c r="B829" s="81" t="s">
        <v>1203</v>
      </c>
      <c r="C829" s="81" t="s">
        <v>1449</v>
      </c>
      <c r="D829" s="82" t="str">
        <f ca="1">OFFSET(Roster!$A$3,MATCH(表格1[[#This Row],[Location]]&amp;" "&amp;表格1[[#This Row],[Shop]]&amp;"*",Roster!$A$4:$A$72,0),DAY(表格1[[#This Row],[date]]),1,1)</f>
        <v>Ho_1</v>
      </c>
      <c r="E829" s="81">
        <f>MONTH(表格1[[#This Row],[date]])</f>
        <v>3</v>
      </c>
      <c r="F829" s="101">
        <v>46089</v>
      </c>
      <c r="G829" s="81" t="str">
        <f>VLOOKUP("*"&amp;表格1[[#This Row],[Input]]&amp;"*",'Ref-List'!$B:$D,2,)</f>
        <v>PLK-45SFIH(WT)</v>
      </c>
      <c r="H829" s="81" t="str">
        <f>_xlfn.XLOOKUP(表格1[[#This Row],[Model]],表格3[Model-Input-Ref2],表格3[Product Line])</f>
        <v>電熱水瓶4.5L</v>
      </c>
      <c r="I829" s="81" t="str">
        <f>_xlfn.XLOOKUP(表格1[[#This Row],[Model]],表格3[Model-Input-Ref2],表格3[大小電])</f>
        <v>細電</v>
      </c>
      <c r="J829" s="81" t="str">
        <f>_xlfn.XLOOKUP(表格1[[#This Row],[Model]],表格3[Model-Input-Ref2],表格3[Code])</f>
        <v>SDA</v>
      </c>
      <c r="K829" s="82" t="s">
        <v>1117</v>
      </c>
      <c r="L829" s="81">
        <v>2</v>
      </c>
      <c r="M829" s="85">
        <v>500</v>
      </c>
      <c r="N829" s="85">
        <f>IFERROR(表格1[[#This Row],[QTY]]*表格1[[#This Row],[Unit Price]],"-")</f>
        <v>1000</v>
      </c>
      <c r="O829" s="134"/>
      <c r="P829" s="137"/>
      <c r="Q829" s="81"/>
      <c r="R829" s="81" t="str">
        <f>_xlfn.CONCAT(表格1[[#This Row],[Model]]," ",表格1[[#This Row],[inv no]])</f>
        <v xml:space="preserve">PLK-45SFIH(WT) </v>
      </c>
      <c r="S829" s="135">
        <f>_xlfn.XLOOKUP(表格1[[#This Row],[Model]],表格3[Model-Input-Ref2],表格3[SRP PRICE])</f>
        <v>788</v>
      </c>
      <c r="T829" s="43">
        <f>表格1[[#This Row],[Unit Price]]/表格1[[#This Row],[SRP]]</f>
        <v>0.63451776649746194</v>
      </c>
      <c r="U829" s="86" t="str">
        <f>_xlfn.XLOOKUP(表格1[[#This Row],[Model]],表格3[Model-Input-Ref2],表格3[TOSHIBA/HIGHEST])</f>
        <v>Toshiba SRP</v>
      </c>
      <c r="V829" s="86" t="s">
        <v>1126</v>
      </c>
      <c r="W829" s="86" t="str">
        <f>_xlfn.CONCAT(表格1[[#This Row],[欄4]],表格1[[#This Row],[inv no]])</f>
        <v>DA141</v>
      </c>
    </row>
    <row r="830" spans="1:23" hidden="1">
      <c r="A830" s="81">
        <v>828</v>
      </c>
      <c r="B830" s="81" t="s">
        <v>1203</v>
      </c>
      <c r="C830" s="81" t="s">
        <v>1449</v>
      </c>
      <c r="D830" s="82" t="str">
        <f ca="1">OFFSET(Roster!$A$3,MATCH(表格1[[#This Row],[Location]]&amp;" "&amp;表格1[[#This Row],[Shop]]&amp;"*",Roster!$A$4:$A$72,0),DAY(表格1[[#This Row],[date]]),1,1)</f>
        <v>Ho_1</v>
      </c>
      <c r="E830" s="81">
        <f>MONTH(表格1[[#This Row],[date]])</f>
        <v>3</v>
      </c>
      <c r="F830" s="101">
        <v>46089</v>
      </c>
      <c r="G830" s="81" t="str">
        <f>VLOOKUP("*"&amp;表格1[[#This Row],[Input]]&amp;"*",'Ref-List'!$B:$D,2,)</f>
        <v>MW2-MM24PC(BK)</v>
      </c>
      <c r="H830" s="81" t="str">
        <f>_xlfn.XLOOKUP(表格1[[#This Row],[Model]],表格3[Model-Input-Ref2],表格3[Product Line])</f>
        <v>旋鈕式微波爐24L</v>
      </c>
      <c r="I830" s="81" t="str">
        <f>_xlfn.XLOOKUP(表格1[[#This Row],[Model]],表格3[Model-Input-Ref2],表格3[大小電])</f>
        <v>細電</v>
      </c>
      <c r="J830" s="81" t="str">
        <f>_xlfn.XLOOKUP(表格1[[#This Row],[Model]],表格3[Model-Input-Ref2],表格3[Code])</f>
        <v>SDA</v>
      </c>
      <c r="K830" s="82" t="s">
        <v>1196</v>
      </c>
      <c r="L830" s="81">
        <v>2</v>
      </c>
      <c r="M830" s="85">
        <v>500</v>
      </c>
      <c r="N830" s="85">
        <f>IFERROR(表格1[[#This Row],[QTY]]*表格1[[#This Row],[Unit Price]],"-")</f>
        <v>1000</v>
      </c>
      <c r="O830" s="134"/>
      <c r="P830" s="81"/>
      <c r="Q830" s="81"/>
      <c r="R830" s="81" t="str">
        <f>_xlfn.CONCAT(表格1[[#This Row],[Model]]," ",表格1[[#This Row],[inv no]])</f>
        <v xml:space="preserve">MW2-MM24PC(BK) </v>
      </c>
      <c r="S830" s="135">
        <f>_xlfn.XLOOKUP(表格1[[#This Row],[Model]],表格3[Model-Input-Ref2],表格3[SRP PRICE])</f>
        <v>848</v>
      </c>
      <c r="T830" s="43">
        <f>表格1[[#This Row],[Unit Price]]/表格1[[#This Row],[SRP]]</f>
        <v>0.589622641509434</v>
      </c>
      <c r="U830" s="86" t="str">
        <f>_xlfn.XLOOKUP(表格1[[#This Row],[Model]],表格3[Model-Input-Ref2],表格3[TOSHIBA/HIGHEST])</f>
        <v>Toshiba SRP</v>
      </c>
      <c r="V830" s="86" t="s">
        <v>1126</v>
      </c>
      <c r="W830" s="86" t="str">
        <f>_xlfn.CONCAT(表格1[[#This Row],[欄4]],表格1[[#This Row],[inv no]])</f>
        <v>DA141</v>
      </c>
    </row>
    <row r="831" spans="1:23" hidden="1">
      <c r="A831" s="81">
        <v>829</v>
      </c>
      <c r="B831" s="81" t="s">
        <v>1203</v>
      </c>
      <c r="C831" s="81" t="s">
        <v>1449</v>
      </c>
      <c r="D831" s="82" t="str">
        <f ca="1">OFFSET(Roster!$A$3,MATCH(表格1[[#This Row],[Location]]&amp;" "&amp;表格1[[#This Row],[Shop]]&amp;"*",Roster!$A$4:$A$72,0),DAY(表格1[[#This Row],[date]]),1,1)</f>
        <v>Ho_1</v>
      </c>
      <c r="E831" s="81">
        <f>MONTH(表格1[[#This Row],[date]])</f>
        <v>3</v>
      </c>
      <c r="F831" s="101">
        <v>46089</v>
      </c>
      <c r="G831" s="81" t="str">
        <f>VLOOKUP("*"&amp;表格1[[#This Row],[Input]]&amp;"*",'Ref-List'!$B:$D,2,)</f>
        <v>RC-15ISTHK(W)</v>
      </c>
      <c r="H831" s="81" t="str">
        <f>_xlfn.XLOOKUP(表格1[[#This Row],[Model]],表格3[Model-Input-Ref2],表格3[Product Line])</f>
        <v>磁應電飯煲(1.5公升)</v>
      </c>
      <c r="I831" s="81" t="str">
        <f>_xlfn.XLOOKUP(表格1[[#This Row],[Model]],表格3[Model-Input-Ref2],表格3[大小電])</f>
        <v>細電</v>
      </c>
      <c r="J831" s="81" t="str">
        <f>_xlfn.XLOOKUP(表格1[[#This Row],[Model]],表格3[Model-Input-Ref2],表格3[Code])</f>
        <v>SDA</v>
      </c>
      <c r="K831" s="82" t="s">
        <v>1204</v>
      </c>
      <c r="L831" s="81">
        <v>1</v>
      </c>
      <c r="M831" s="85">
        <v>500</v>
      </c>
      <c r="N831" s="85">
        <f>IFERROR(表格1[[#This Row],[QTY]]*表格1[[#This Row],[Unit Price]],"-")</f>
        <v>500</v>
      </c>
      <c r="O831" s="134"/>
      <c r="P831" s="81"/>
      <c r="Q831" s="81"/>
      <c r="R831" s="81" t="str">
        <f>_xlfn.CONCAT(表格1[[#This Row],[Model]]," ",表格1[[#This Row],[inv no]])</f>
        <v xml:space="preserve">RC-15ISTHK(W) </v>
      </c>
      <c r="S831" s="135">
        <f>_xlfn.XLOOKUP(表格1[[#This Row],[Model]],表格3[Model-Input-Ref2],表格3[SRP PRICE])</f>
        <v>1688</v>
      </c>
      <c r="T831" s="43">
        <f>表格1[[#This Row],[Unit Price]]/表格1[[#This Row],[SRP]]</f>
        <v>0.29620853080568721</v>
      </c>
      <c r="U831" s="86" t="str">
        <f>_xlfn.XLOOKUP(表格1[[#This Row],[Model]],表格3[Model-Input-Ref2],表格3[TOSHIBA/HIGHEST])</f>
        <v>Toshiba SRP</v>
      </c>
      <c r="V831" s="86" t="s">
        <v>1126</v>
      </c>
      <c r="W831" s="86" t="str">
        <f>_xlfn.CONCAT(表格1[[#This Row],[欄4]],表格1[[#This Row],[inv no]])</f>
        <v>DA141</v>
      </c>
    </row>
    <row r="832" spans="1:23" hidden="1">
      <c r="A832" s="81">
        <v>830</v>
      </c>
      <c r="B832" s="81" t="s">
        <v>1203</v>
      </c>
      <c r="C832" s="81" t="s">
        <v>1449</v>
      </c>
      <c r="D832" s="82" t="str">
        <f ca="1">OFFSET(Roster!$A$3,MATCH(表格1[[#This Row],[Location]]&amp;" "&amp;表格1[[#This Row],[Shop]]&amp;"*",Roster!$A$4:$A$72,0),DAY(表格1[[#This Row],[date]]),1,1)</f>
        <v>Ho_1</v>
      </c>
      <c r="E832" s="81">
        <f>MONTH(表格1[[#This Row],[date]])</f>
        <v>3</v>
      </c>
      <c r="F832" s="101">
        <v>46089</v>
      </c>
      <c r="G832" s="81" t="str">
        <f>VLOOKUP("*"&amp;表格1[[#This Row],[Input]]&amp;"*",'Ref-List'!$B:$D,2,)</f>
        <v>IC-20R1THK</v>
      </c>
      <c r="H832" s="81" t="str">
        <f>_xlfn.XLOOKUP(表格1[[#This Row],[Model]],表格3[Model-Input-Ref2],表格3[Product Line])</f>
        <v>輕便式電磁爐</v>
      </c>
      <c r="I832" s="81" t="str">
        <f>_xlfn.XLOOKUP(表格1[[#This Row],[Model]],表格3[Model-Input-Ref2],表格3[大小電])</f>
        <v>細電</v>
      </c>
      <c r="J832" s="81" t="str">
        <f>_xlfn.XLOOKUP(表格1[[#This Row],[Model]],表格3[Model-Input-Ref2],表格3[Code])</f>
        <v>SDA</v>
      </c>
      <c r="K832" s="82" t="s">
        <v>1243</v>
      </c>
      <c r="L832" s="81">
        <v>1</v>
      </c>
      <c r="M832" s="85">
        <v>290</v>
      </c>
      <c r="N832" s="85">
        <f>IFERROR(表格1[[#This Row],[QTY]]*表格1[[#This Row],[Unit Price]],"-")</f>
        <v>290</v>
      </c>
      <c r="O832" s="134"/>
      <c r="P832" s="81"/>
      <c r="Q832" s="81"/>
      <c r="R832" s="81" t="str">
        <f>_xlfn.CONCAT(表格1[[#This Row],[Model]]," ",表格1[[#This Row],[inv no]])</f>
        <v xml:space="preserve">IC-20R1THK </v>
      </c>
      <c r="S832" s="135">
        <f>_xlfn.XLOOKUP(表格1[[#This Row],[Model]],表格3[Model-Input-Ref2],表格3[SRP PRICE])</f>
        <v>438</v>
      </c>
      <c r="T832" s="43">
        <f>表格1[[#This Row],[Unit Price]]/表格1[[#This Row],[SRP]]</f>
        <v>0.66210045662100458</v>
      </c>
      <c r="U832" s="86" t="str">
        <f>_xlfn.XLOOKUP(表格1[[#This Row],[Model]],表格3[Model-Input-Ref2],表格3[TOSHIBA/HIGHEST])</f>
        <v>Shops Highest Price</v>
      </c>
      <c r="V832" s="86" t="s">
        <v>1126</v>
      </c>
      <c r="W832" s="86" t="str">
        <f>_xlfn.CONCAT(表格1[[#This Row],[欄4]],表格1[[#This Row],[inv no]])</f>
        <v>DA141</v>
      </c>
    </row>
    <row r="833" spans="1:23" hidden="1">
      <c r="A833" s="81">
        <v>831</v>
      </c>
      <c r="B833" s="81" t="s">
        <v>1203</v>
      </c>
      <c r="C833" s="81" t="s">
        <v>1449</v>
      </c>
      <c r="D833" s="82" t="str">
        <f ca="1">OFFSET(Roster!$A$3,MATCH(表格1[[#This Row],[Location]]&amp;" "&amp;表格1[[#This Row],[Shop]]&amp;"*",Roster!$A$4:$A$72,0),DAY(表格1[[#This Row],[date]]),1,1)</f>
        <v>Ho_1</v>
      </c>
      <c r="E833" s="81">
        <f>MONTH(表格1[[#This Row],[date]])</f>
        <v>3</v>
      </c>
      <c r="F833" s="101">
        <v>46090</v>
      </c>
      <c r="G833" s="81" t="str">
        <f>VLOOKUP("*"&amp;表格1[[#This Row],[Input]]&amp;"*",'Ref-List'!$B:$D,2,)</f>
        <v>AW-M901BPH(WW)</v>
      </c>
      <c r="H833" s="81" t="str">
        <f>_xlfn.XLOOKUP(表格1[[#This Row],[Model]],表格3[Model-Input-Ref2],表格3[Product Line])</f>
        <v>全自動洗衣機 (8公斤 結合高低水位)</v>
      </c>
      <c r="I833" s="81" t="str">
        <f>_xlfn.XLOOKUP(表格1[[#This Row],[Model]],表格3[Model-Input-Ref2],表格3[大小電])</f>
        <v>大電</v>
      </c>
      <c r="J833" s="81" t="str">
        <f>_xlfn.XLOOKUP(表格1[[#This Row],[Model]],表格3[Model-Input-Ref2],表格3[Code])</f>
        <v>WM</v>
      </c>
      <c r="K833" s="82" t="s">
        <v>1202</v>
      </c>
      <c r="L833" s="81">
        <v>1</v>
      </c>
      <c r="M833" s="85">
        <v>1500</v>
      </c>
      <c r="N833" s="85">
        <f>IFERROR(表格1[[#This Row],[QTY]]*表格1[[#This Row],[Unit Price]],"-")</f>
        <v>1500</v>
      </c>
      <c r="O833" s="134">
        <v>6004187</v>
      </c>
      <c r="P833" s="81"/>
      <c r="Q833" s="81"/>
      <c r="R833" s="81" t="str">
        <f>_xlfn.CONCAT(表格1[[#This Row],[Model]]," ",表格1[[#This Row],[inv no]])</f>
        <v>AW-M901BPH(WW) 6004187</v>
      </c>
      <c r="S833" s="135">
        <f>_xlfn.XLOOKUP(表格1[[#This Row],[Model]],表格3[Model-Input-Ref2],表格3[SRP PRICE])</f>
        <v>3580</v>
      </c>
      <c r="T833" s="43">
        <f>表格1[[#This Row],[Unit Price]]/表格1[[#This Row],[SRP]]</f>
        <v>0.41899441340782123</v>
      </c>
      <c r="U833" s="86" t="str">
        <f>_xlfn.XLOOKUP(表格1[[#This Row],[Model]],表格3[Model-Input-Ref2],表格3[TOSHIBA/HIGHEST])</f>
        <v>Toshiba SRP</v>
      </c>
      <c r="V833" s="86" t="s">
        <v>1126</v>
      </c>
      <c r="W833" s="86" t="str">
        <f>_xlfn.CONCAT(表格1[[#This Row],[欄4]],表格1[[#This Row],[inv no]])</f>
        <v>DA1416004187</v>
      </c>
    </row>
    <row r="834" spans="1:23" hidden="1">
      <c r="A834" s="81">
        <v>832</v>
      </c>
      <c r="B834" s="81" t="s">
        <v>1203</v>
      </c>
      <c r="C834" s="81" t="s">
        <v>1449</v>
      </c>
      <c r="D834" s="82" t="str">
        <f ca="1">OFFSET(Roster!$A$3,MATCH(表格1[[#This Row],[Location]]&amp;" "&amp;表格1[[#This Row],[Shop]]&amp;"*",Roster!$A$4:$A$72,0),DAY(表格1[[#This Row],[date]]),1,1)</f>
        <v>Ho_1</v>
      </c>
      <c r="E834" s="81">
        <f>MONTH(表格1[[#This Row],[date]])</f>
        <v>3</v>
      </c>
      <c r="F834" s="101">
        <v>46090</v>
      </c>
      <c r="G834" s="81" t="str">
        <f>VLOOKUP("*"&amp;表格1[[#This Row],[Input]]&amp;"*",'Ref-List'!$B:$D,2,)</f>
        <v>RAD-Y200H</v>
      </c>
      <c r="H834" s="81" t="str">
        <f>_xlfn.XLOOKUP(表格1[[#This Row],[Model]],表格3[Model-Input-Ref2],表格3[Product Line])</f>
        <v>21L壓縮式抽濕機</v>
      </c>
      <c r="I834" s="81" t="str">
        <f>_xlfn.XLOOKUP(表格1[[#This Row],[Model]],表格3[Model-Input-Ref2],表格3[大小電])</f>
        <v>大電</v>
      </c>
      <c r="J834" s="81" t="str">
        <f>_xlfn.XLOOKUP(表格1[[#This Row],[Model]],表格3[Model-Input-Ref2],表格3[Code])</f>
        <v>RAC</v>
      </c>
      <c r="K834" s="82" t="s">
        <v>1241</v>
      </c>
      <c r="L834" s="81">
        <v>1</v>
      </c>
      <c r="M834" s="85">
        <v>1980</v>
      </c>
      <c r="N834" s="85">
        <f>IFERROR(表格1[[#This Row],[QTY]]*表格1[[#This Row],[Unit Price]],"-")</f>
        <v>1980</v>
      </c>
      <c r="O834" s="134">
        <v>7045657</v>
      </c>
      <c r="P834" s="81"/>
      <c r="Q834" s="81"/>
      <c r="R834" s="81" t="str">
        <f>_xlfn.CONCAT(表格1[[#This Row],[Model]]," ",表格1[[#This Row],[inv no]])</f>
        <v>RAD-Y200H 7045657</v>
      </c>
      <c r="S834" s="135">
        <f>_xlfn.XLOOKUP(表格1[[#This Row],[Model]],表格3[Model-Input-Ref2],表格3[SRP PRICE])</f>
        <v>3280</v>
      </c>
      <c r="T834" s="43">
        <f>表格1[[#This Row],[Unit Price]]/表格1[[#This Row],[SRP]]</f>
        <v>0.60365853658536583</v>
      </c>
      <c r="U834" s="86" t="str">
        <f>_xlfn.XLOOKUP(表格1[[#This Row],[Model]],表格3[Model-Input-Ref2],表格3[TOSHIBA/HIGHEST])</f>
        <v>Toshiba SRP</v>
      </c>
      <c r="V834" s="86" t="s">
        <v>1126</v>
      </c>
      <c r="W834" s="86" t="str">
        <f>_xlfn.CONCAT(表格1[[#This Row],[欄4]],表格1[[#This Row],[inv no]])</f>
        <v>DA1417045657</v>
      </c>
    </row>
    <row r="835" spans="1:23" hidden="1">
      <c r="A835" s="81">
        <v>833</v>
      </c>
      <c r="B835" s="81" t="s">
        <v>1203</v>
      </c>
      <c r="C835" s="81" t="s">
        <v>1449</v>
      </c>
      <c r="D835" s="82" t="str">
        <f ca="1">OFFSET(Roster!$A$3,MATCH(表格1[[#This Row],[Location]]&amp;" "&amp;表格1[[#This Row],[Shop]]&amp;"*",Roster!$A$4:$A$72,0),DAY(表格1[[#This Row],[date]]),1,1)</f>
        <v>Ho_1</v>
      </c>
      <c r="E835" s="81">
        <f>MONTH(表格1[[#This Row],[date]])</f>
        <v>3</v>
      </c>
      <c r="F835" s="101">
        <v>46091</v>
      </c>
      <c r="G835" s="81" t="str">
        <f>VLOOKUP("*"&amp;表格1[[#This Row],[Input]]&amp;"*",'Ref-List'!$B:$D,2,)</f>
        <v>GR-RT416WE-PMA(06)</v>
      </c>
      <c r="H835" s="81" t="str">
        <f>_xlfn.XLOOKUP(表格1[[#This Row],[Model]],表格3[Model-Input-Ref2],表格3[Product Line])</f>
        <v xml:space="preserve">變頻上置式雙門雪櫃313L </v>
      </c>
      <c r="I835" s="81" t="str">
        <f>_xlfn.XLOOKUP(表格1[[#This Row],[Model]],表格3[Model-Input-Ref2],表格3[大小電])</f>
        <v>大電</v>
      </c>
      <c r="J835" s="81" t="str">
        <f>_xlfn.XLOOKUP(表格1[[#This Row],[Model]],表格3[Model-Input-Ref2],表格3[Code])</f>
        <v>REF</v>
      </c>
      <c r="K835" s="82" t="s">
        <v>1208</v>
      </c>
      <c r="L835" s="81">
        <v>1</v>
      </c>
      <c r="M835" s="85">
        <v>2888</v>
      </c>
      <c r="N835" s="85">
        <f>IFERROR(表格1[[#This Row],[QTY]]*表格1[[#This Row],[Unit Price]],"-")</f>
        <v>2888</v>
      </c>
      <c r="O835" s="134">
        <v>6004708</v>
      </c>
      <c r="P835" s="81"/>
      <c r="Q835" s="81"/>
      <c r="R835" s="81" t="str">
        <f>_xlfn.CONCAT(表格1[[#This Row],[Model]]," ",表格1[[#This Row],[inv no]])</f>
        <v>GR-RT416WE-PMA(06) 6004708</v>
      </c>
      <c r="S835" s="135">
        <f>_xlfn.XLOOKUP(表格1[[#This Row],[Model]],表格3[Model-Input-Ref2],表格3[SRP PRICE])</f>
        <v>5380</v>
      </c>
      <c r="T835" s="43">
        <f>表格1[[#This Row],[Unit Price]]/表格1[[#This Row],[SRP]]</f>
        <v>0.53680297397769516</v>
      </c>
      <c r="U835" s="86" t="str">
        <f>_xlfn.XLOOKUP(表格1[[#This Row],[Model]],表格3[Model-Input-Ref2],表格3[TOSHIBA/HIGHEST])</f>
        <v>Toshiba SRP</v>
      </c>
      <c r="V835" s="86" t="s">
        <v>1126</v>
      </c>
      <c r="W835" s="86" t="str">
        <f>_xlfn.CONCAT(表格1[[#This Row],[欄4]],表格1[[#This Row],[inv no]])</f>
        <v>DA1416004708</v>
      </c>
    </row>
    <row r="836" spans="1:23" hidden="1">
      <c r="A836" s="81">
        <v>834</v>
      </c>
      <c r="B836" s="81" t="s">
        <v>1203</v>
      </c>
      <c r="C836" s="81" t="s">
        <v>1449</v>
      </c>
      <c r="D836" s="82" t="str">
        <f ca="1">OFFSET(Roster!$A$3,MATCH(表格1[[#This Row],[Location]]&amp;" "&amp;表格1[[#This Row],[Shop]]&amp;"*",Roster!$A$4:$A$72,0),DAY(表格1[[#This Row],[date]]),1,1)</f>
        <v>Ho_1</v>
      </c>
      <c r="E836" s="81">
        <f>MONTH(表格1[[#This Row],[date]])</f>
        <v>3</v>
      </c>
      <c r="F836" s="101">
        <v>46091</v>
      </c>
      <c r="G836" s="81" t="str">
        <f>VLOOKUP("*"&amp;表格1[[#This Row],[Input]]&amp;"*",'Ref-List'!$B:$D,2,)</f>
        <v>AW-M901BPH(WW)</v>
      </c>
      <c r="H836" s="81" t="str">
        <f>_xlfn.XLOOKUP(表格1[[#This Row],[Model]],表格3[Model-Input-Ref2],表格3[Product Line])</f>
        <v>全自動洗衣機 (8公斤 結合高低水位)</v>
      </c>
      <c r="I836" s="81" t="str">
        <f>_xlfn.XLOOKUP(表格1[[#This Row],[Model]],表格3[Model-Input-Ref2],表格3[大小電])</f>
        <v>大電</v>
      </c>
      <c r="J836" s="81" t="str">
        <f>_xlfn.XLOOKUP(表格1[[#This Row],[Model]],表格3[Model-Input-Ref2],表格3[Code])</f>
        <v>WM</v>
      </c>
      <c r="K836" s="82" t="s">
        <v>1202</v>
      </c>
      <c r="L836" s="81">
        <v>1</v>
      </c>
      <c r="M836" s="85">
        <v>1500</v>
      </c>
      <c r="N836" s="85">
        <f>IFERROR(表格1[[#This Row],[QTY]]*表格1[[#This Row],[Unit Price]],"-")</f>
        <v>1500</v>
      </c>
      <c r="O836" s="134">
        <v>6004711</v>
      </c>
      <c r="P836" s="136"/>
      <c r="Q836" s="81"/>
      <c r="R836" s="81" t="str">
        <f>_xlfn.CONCAT(表格1[[#This Row],[Model]]," ",表格1[[#This Row],[inv no]])</f>
        <v>AW-M901BPH(WW) 6004711</v>
      </c>
      <c r="S836" s="135">
        <f>_xlfn.XLOOKUP(表格1[[#This Row],[Model]],表格3[Model-Input-Ref2],表格3[SRP PRICE])</f>
        <v>3580</v>
      </c>
      <c r="T836" s="43">
        <f>表格1[[#This Row],[Unit Price]]/表格1[[#This Row],[SRP]]</f>
        <v>0.41899441340782123</v>
      </c>
      <c r="U836" s="86" t="str">
        <f>_xlfn.XLOOKUP(表格1[[#This Row],[Model]],表格3[Model-Input-Ref2],表格3[TOSHIBA/HIGHEST])</f>
        <v>Toshiba SRP</v>
      </c>
      <c r="V836" s="86" t="s">
        <v>1126</v>
      </c>
      <c r="W836" s="86" t="str">
        <f>_xlfn.CONCAT(表格1[[#This Row],[欄4]],表格1[[#This Row],[inv no]])</f>
        <v>DA1416004711</v>
      </c>
    </row>
    <row r="837" spans="1:23" hidden="1">
      <c r="A837" s="81">
        <v>835</v>
      </c>
      <c r="B837" s="81" t="s">
        <v>1203</v>
      </c>
      <c r="C837" s="81" t="s">
        <v>1449</v>
      </c>
      <c r="D837" s="82" t="str">
        <f ca="1">OFFSET(Roster!$A$3,MATCH(表格1[[#This Row],[Location]]&amp;" "&amp;表格1[[#This Row],[Shop]]&amp;"*",Roster!$A$4:$A$72,0),DAY(表格1[[#This Row],[date]]),1,1)</f>
        <v>Ho_1</v>
      </c>
      <c r="E837" s="81">
        <f>MONTH(表格1[[#This Row],[date]])</f>
        <v>3</v>
      </c>
      <c r="F837" s="101">
        <v>46092</v>
      </c>
      <c r="G837" s="81" t="str">
        <f>VLOOKUP("*"&amp;表格1[[#This Row],[Input]]&amp;"*",'Ref-List'!$B:$D,2,)</f>
        <v>MW2-MM24PC(BK)</v>
      </c>
      <c r="H837" s="81" t="str">
        <f>_xlfn.XLOOKUP(表格1[[#This Row],[Model]],表格3[Model-Input-Ref2],表格3[Product Line])</f>
        <v>旋鈕式微波爐24L</v>
      </c>
      <c r="I837" s="81" t="str">
        <f>_xlfn.XLOOKUP(表格1[[#This Row],[Model]],表格3[Model-Input-Ref2],表格3[大小電])</f>
        <v>細電</v>
      </c>
      <c r="J837" s="81" t="str">
        <f>_xlfn.XLOOKUP(表格1[[#This Row],[Model]],表格3[Model-Input-Ref2],表格3[Code])</f>
        <v>SDA</v>
      </c>
      <c r="K837" s="82" t="s">
        <v>1196</v>
      </c>
      <c r="L837" s="81">
        <v>1</v>
      </c>
      <c r="M837" s="85">
        <v>500</v>
      </c>
      <c r="N837" s="85">
        <f>IFERROR(表格1[[#This Row],[QTY]]*表格1[[#This Row],[Unit Price]],"-")</f>
        <v>500</v>
      </c>
      <c r="O837" s="134"/>
      <c r="P837" s="81"/>
      <c r="Q837" s="81"/>
      <c r="R837" s="81" t="str">
        <f>_xlfn.CONCAT(表格1[[#This Row],[Model]]," ",表格1[[#This Row],[inv no]])</f>
        <v xml:space="preserve">MW2-MM24PC(BK) </v>
      </c>
      <c r="S837" s="135">
        <f>_xlfn.XLOOKUP(表格1[[#This Row],[Model]],表格3[Model-Input-Ref2],表格3[SRP PRICE])</f>
        <v>848</v>
      </c>
      <c r="T837" s="43">
        <f>表格1[[#This Row],[Unit Price]]/表格1[[#This Row],[SRP]]</f>
        <v>0.589622641509434</v>
      </c>
      <c r="U837" s="86" t="str">
        <f>_xlfn.XLOOKUP(表格1[[#This Row],[Model]],表格3[Model-Input-Ref2],表格3[TOSHIBA/HIGHEST])</f>
        <v>Toshiba SRP</v>
      </c>
      <c r="V837" s="86" t="s">
        <v>1126</v>
      </c>
      <c r="W837" s="86" t="str">
        <f>_xlfn.CONCAT(表格1[[#This Row],[欄4]],表格1[[#This Row],[inv no]])</f>
        <v>DA141</v>
      </c>
    </row>
    <row r="838" spans="1:23" hidden="1">
      <c r="A838" s="81">
        <v>836</v>
      </c>
      <c r="B838" s="81" t="s">
        <v>1203</v>
      </c>
      <c r="C838" s="81" t="s">
        <v>1449</v>
      </c>
      <c r="D838" s="82" t="str">
        <f ca="1">OFFSET(Roster!$A$3,MATCH(表格1[[#This Row],[Location]]&amp;" "&amp;表格1[[#This Row],[Shop]]&amp;"*",Roster!$A$4:$A$72,0),DAY(表格1[[#This Row],[date]]),1,1)</f>
        <v>Ho_1</v>
      </c>
      <c r="E838" s="81">
        <f>MONTH(表格1[[#This Row],[date]])</f>
        <v>3</v>
      </c>
      <c r="F838" s="101">
        <v>46092</v>
      </c>
      <c r="G838" s="81" t="str">
        <f>VLOOKUP("*"&amp;表格1[[#This Row],[Input]]&amp;"*",'Ref-List'!$B:$D,2,)</f>
        <v>RC-15ISTHK(W)</v>
      </c>
      <c r="H838" s="81" t="str">
        <f>_xlfn.XLOOKUP(表格1[[#This Row],[Model]],表格3[Model-Input-Ref2],表格3[Product Line])</f>
        <v>磁應電飯煲(1.5公升)</v>
      </c>
      <c r="I838" s="81" t="str">
        <f>_xlfn.XLOOKUP(表格1[[#This Row],[Model]],表格3[Model-Input-Ref2],表格3[大小電])</f>
        <v>細電</v>
      </c>
      <c r="J838" s="81" t="str">
        <f>_xlfn.XLOOKUP(表格1[[#This Row],[Model]],表格3[Model-Input-Ref2],表格3[Code])</f>
        <v>SDA</v>
      </c>
      <c r="K838" s="82" t="s">
        <v>1204</v>
      </c>
      <c r="L838" s="81">
        <v>2</v>
      </c>
      <c r="M838" s="85">
        <v>500</v>
      </c>
      <c r="N838" s="85">
        <f>IFERROR(表格1[[#This Row],[QTY]]*表格1[[#This Row],[Unit Price]],"-")</f>
        <v>1000</v>
      </c>
      <c r="O838" s="134"/>
      <c r="P838" s="136"/>
      <c r="Q838" s="81"/>
      <c r="R838" s="81" t="str">
        <f>_xlfn.CONCAT(表格1[[#This Row],[Model]]," ",表格1[[#This Row],[inv no]])</f>
        <v xml:space="preserve">RC-15ISTHK(W) </v>
      </c>
      <c r="S838" s="135">
        <f>_xlfn.XLOOKUP(表格1[[#This Row],[Model]],表格3[Model-Input-Ref2],表格3[SRP PRICE])</f>
        <v>1688</v>
      </c>
      <c r="T838" s="43">
        <f>表格1[[#This Row],[Unit Price]]/表格1[[#This Row],[SRP]]</f>
        <v>0.29620853080568721</v>
      </c>
      <c r="U838" s="86" t="str">
        <f>_xlfn.XLOOKUP(表格1[[#This Row],[Model]],表格3[Model-Input-Ref2],表格3[TOSHIBA/HIGHEST])</f>
        <v>Toshiba SRP</v>
      </c>
      <c r="V838" s="86" t="s">
        <v>1126</v>
      </c>
      <c r="W838" s="86" t="str">
        <f>_xlfn.CONCAT(表格1[[#This Row],[欄4]],表格1[[#This Row],[inv no]])</f>
        <v>DA141</v>
      </c>
    </row>
    <row r="839" spans="1:23" hidden="1">
      <c r="A839" s="81">
        <v>837</v>
      </c>
      <c r="B839" s="81" t="s">
        <v>1203</v>
      </c>
      <c r="C839" s="81" t="s">
        <v>1449</v>
      </c>
      <c r="D839" s="82" t="str">
        <f ca="1">OFFSET(Roster!$A$3,MATCH(表格1[[#This Row],[Location]]&amp;" "&amp;表格1[[#This Row],[Shop]]&amp;"*",Roster!$A$4:$A$72,0),DAY(表格1[[#This Row],[date]]),1,1)</f>
        <v>Ho_1</v>
      </c>
      <c r="E839" s="81">
        <f>MONTH(表格1[[#This Row],[date]])</f>
        <v>3</v>
      </c>
      <c r="F839" s="101">
        <v>46092</v>
      </c>
      <c r="G839" s="81" t="str">
        <f>VLOOKUP("*"&amp;表格1[[#This Row],[Input]]&amp;"*",'Ref-List'!$B:$D,2,)</f>
        <v>KT-17SHNH</v>
      </c>
      <c r="H839" s="81" t="str">
        <f>_xlfn.XLOOKUP(表格1[[#This Row],[Model]],表格3[Model-Input-Ref2],表格3[Product Line])</f>
        <v>1.7L無線雙層電熱水壺</v>
      </c>
      <c r="I839" s="81" t="str">
        <f>_xlfn.XLOOKUP(表格1[[#This Row],[Model]],表格3[Model-Input-Ref2],表格3[大小電])</f>
        <v>細電</v>
      </c>
      <c r="J839" s="81" t="str">
        <f>_xlfn.XLOOKUP(表格1[[#This Row],[Model]],表格3[Model-Input-Ref2],表格3[Code])</f>
        <v>SDA</v>
      </c>
      <c r="K839" s="82" t="s">
        <v>1283</v>
      </c>
      <c r="L839" s="81">
        <v>1</v>
      </c>
      <c r="M839" s="85">
        <v>190</v>
      </c>
      <c r="N839" s="85">
        <f>IFERROR(表格1[[#This Row],[QTY]]*表格1[[#This Row],[Unit Price]],"-")</f>
        <v>190</v>
      </c>
      <c r="O839" s="134"/>
      <c r="P839" s="136"/>
      <c r="Q839" s="81"/>
      <c r="R839" s="81" t="str">
        <f>_xlfn.CONCAT(表格1[[#This Row],[Model]]," ",表格1[[#This Row],[inv no]])</f>
        <v xml:space="preserve">KT-17SHNH </v>
      </c>
      <c r="S839" s="135">
        <f>_xlfn.XLOOKUP(表格1[[#This Row],[Model]],表格3[Model-Input-Ref2],表格3[SRP PRICE])</f>
        <v>299</v>
      </c>
      <c r="T839" s="43">
        <f>表格1[[#This Row],[Unit Price]]/表格1[[#This Row],[SRP]]</f>
        <v>0.63545150501672243</v>
      </c>
      <c r="U839" s="86" t="str">
        <f>_xlfn.XLOOKUP(表格1[[#This Row],[Model]],表格3[Model-Input-Ref2],表格3[TOSHIBA/HIGHEST])</f>
        <v>Shops Highest Price</v>
      </c>
      <c r="V839" s="86" t="s">
        <v>1126</v>
      </c>
      <c r="W839" s="86" t="str">
        <f>_xlfn.CONCAT(表格1[[#This Row],[欄4]],表格1[[#This Row],[inv no]])</f>
        <v>DA141</v>
      </c>
    </row>
    <row r="840" spans="1:23" hidden="1">
      <c r="A840" s="81">
        <v>838</v>
      </c>
      <c r="B840" s="81" t="s">
        <v>1203</v>
      </c>
      <c r="C840" s="81" t="s">
        <v>1449</v>
      </c>
      <c r="D840" s="82" t="str">
        <f ca="1">OFFSET(Roster!$A$3,MATCH(表格1[[#This Row],[Location]]&amp;" "&amp;表格1[[#This Row],[Shop]]&amp;"*",Roster!$A$4:$A$72,0),DAY(表格1[[#This Row],[date]]),1,1)</f>
        <v>Ho_1</v>
      </c>
      <c r="E840" s="81">
        <f>MONTH(表格1[[#This Row],[date]])</f>
        <v>3</v>
      </c>
      <c r="F840" s="101">
        <v>46093</v>
      </c>
      <c r="G840" s="81" t="str">
        <f>VLOOKUP("*"&amp;表格1[[#This Row],[Input]]&amp;"*",'Ref-List'!$B:$D,2,)</f>
        <v>DWS-34AHK</v>
      </c>
      <c r="H840" s="81" t="str">
        <f>_xlfn.XLOOKUP(表格1[[#This Row],[Model]],表格3[Model-Input-Ref2],表格3[Product Line])</f>
        <v>獨立式免安裝洗碗碟機</v>
      </c>
      <c r="I840" s="81" t="str">
        <f>_xlfn.XLOOKUP(表格1[[#This Row],[Model]],表格3[Model-Input-Ref2],表格3[大小電])</f>
        <v>細電</v>
      </c>
      <c r="J840" s="81" t="str">
        <f>_xlfn.XLOOKUP(表格1[[#This Row],[Model]],表格3[Model-Input-Ref2],表格3[Code])</f>
        <v>DM</v>
      </c>
      <c r="K840" s="82" t="s">
        <v>1240</v>
      </c>
      <c r="L840" s="81">
        <v>1</v>
      </c>
      <c r="M840" s="85">
        <v>1500</v>
      </c>
      <c r="N840" s="85">
        <f>IFERROR(表格1[[#This Row],[QTY]]*表格1[[#This Row],[Unit Price]],"-")</f>
        <v>1500</v>
      </c>
      <c r="O840" s="134">
        <v>6004754</v>
      </c>
      <c r="P840" s="136"/>
      <c r="Q840" s="81"/>
      <c r="R840" s="81" t="str">
        <f>_xlfn.CONCAT(表格1[[#This Row],[Model]]," ",表格1[[#This Row],[inv no]])</f>
        <v>DWS-34AHK 6004754</v>
      </c>
      <c r="S840" s="135">
        <f>_xlfn.XLOOKUP(表格1[[#This Row],[Model]],表格3[Model-Input-Ref2],表格3[SRP PRICE])</f>
        <v>3999</v>
      </c>
      <c r="T840" s="43">
        <f>表格1[[#This Row],[Unit Price]]/表格1[[#This Row],[SRP]]</f>
        <v>0.37509377344336087</v>
      </c>
      <c r="U840" s="86" t="str">
        <f>_xlfn.XLOOKUP(表格1[[#This Row],[Model]],表格3[Model-Input-Ref2],表格3[TOSHIBA/HIGHEST])</f>
        <v>Web SRP</v>
      </c>
      <c r="V840" s="86" t="s">
        <v>1126</v>
      </c>
      <c r="W840" s="86" t="str">
        <f>_xlfn.CONCAT(表格1[[#This Row],[欄4]],表格1[[#This Row],[inv no]])</f>
        <v>DA1416004754</v>
      </c>
    </row>
    <row r="841" spans="1:23" hidden="1">
      <c r="A841" s="81">
        <v>839</v>
      </c>
      <c r="B841" s="81" t="s">
        <v>1203</v>
      </c>
      <c r="C841" s="81" t="s">
        <v>1449</v>
      </c>
      <c r="D841" s="82" t="str">
        <f ca="1">OFFSET(Roster!$A$3,MATCH(表格1[[#This Row],[Location]]&amp;" "&amp;表格1[[#This Row],[Shop]]&amp;"*",Roster!$A$4:$A$72,0),DAY(表格1[[#This Row],[date]]),1,1)</f>
        <v>Ho_1</v>
      </c>
      <c r="E841" s="81">
        <f>MONTH(表格1[[#This Row],[date]])</f>
        <v>3</v>
      </c>
      <c r="F841" s="101">
        <v>46093</v>
      </c>
      <c r="G841" s="81" t="str">
        <f>VLOOKUP("*"&amp;表格1[[#This Row],[Input]]&amp;"*",'Ref-List'!$B:$D,2,)</f>
        <v>CWF-12CRFN8-AD5</v>
      </c>
      <c r="H841" s="81" t="str">
        <f>_xlfn.XLOOKUP(表格1[[#This Row],[Model]],表格3[Model-Input-Ref2],表格3[Product Line])</f>
        <v>Comfee 1.5匹變頻窗口式冷氣機</v>
      </c>
      <c r="I841" s="81" t="str">
        <f>_xlfn.XLOOKUP(表格1[[#This Row],[Model]],表格3[Model-Input-Ref2],表格3[大小電])</f>
        <v>大電</v>
      </c>
      <c r="J841" s="81" t="str">
        <f>_xlfn.XLOOKUP(表格1[[#This Row],[Model]],表格3[Model-Input-Ref2],表格3[Code])</f>
        <v>RAC</v>
      </c>
      <c r="K841" s="82" t="s">
        <v>1450</v>
      </c>
      <c r="L841" s="81">
        <v>1</v>
      </c>
      <c r="M841" s="85">
        <v>3588</v>
      </c>
      <c r="N841" s="85">
        <f>IFERROR(表格1[[#This Row],[QTY]]*表格1[[#This Row],[Unit Price]],"-")</f>
        <v>3588</v>
      </c>
      <c r="O841" s="134">
        <v>6004736</v>
      </c>
      <c r="P841" s="81"/>
      <c r="Q841" s="81"/>
      <c r="R841" s="81" t="str">
        <f>_xlfn.CONCAT(表格1[[#This Row],[Model]]," ",表格1[[#This Row],[inv no]])</f>
        <v>CWF-12CRFN8-AD5 6004736</v>
      </c>
      <c r="S841" s="135">
        <f>_xlfn.XLOOKUP(表格1[[#This Row],[Model]],表格3[Model-Input-Ref2],表格3[SRP PRICE])</f>
        <v>5200</v>
      </c>
      <c r="T841" s="43">
        <f>表格1[[#This Row],[Unit Price]]/表格1[[#This Row],[SRP]]</f>
        <v>0.69</v>
      </c>
      <c r="U841" s="86" t="str">
        <f>_xlfn.XLOOKUP(表格1[[#This Row],[Model]],表格3[Model-Input-Ref2],表格3[TOSHIBA/HIGHEST])</f>
        <v>Shops Highest Price</v>
      </c>
      <c r="V841" s="86" t="s">
        <v>1126</v>
      </c>
      <c r="W841" s="86" t="str">
        <f>_xlfn.CONCAT(表格1[[#This Row],[欄4]],表格1[[#This Row],[inv no]])</f>
        <v>DA1416004736</v>
      </c>
    </row>
    <row r="842" spans="1:23" hidden="1">
      <c r="A842" s="81">
        <v>840</v>
      </c>
      <c r="B842" s="81" t="s">
        <v>1203</v>
      </c>
      <c r="C842" s="81" t="s">
        <v>1449</v>
      </c>
      <c r="D842" s="82" t="str">
        <f ca="1">OFFSET(Roster!$A$3,MATCH(表格1[[#This Row],[Location]]&amp;" "&amp;表格1[[#This Row],[Shop]]&amp;"*",Roster!$A$4:$A$72,0),DAY(表格1[[#This Row],[date]]),1,1)</f>
        <v>Ho_1</v>
      </c>
      <c r="E842" s="81">
        <f>MONTH(表格1[[#This Row],[date]])</f>
        <v>3</v>
      </c>
      <c r="F842" s="101">
        <v>46093</v>
      </c>
      <c r="G842" s="81" t="str">
        <f>VLOOKUP("*"&amp;表格1[[#This Row],[Input]]&amp;"*",'Ref-List'!$B:$D,2,)</f>
        <v>RC-15ISTHK(W)</v>
      </c>
      <c r="H842" s="81" t="str">
        <f>_xlfn.XLOOKUP(表格1[[#This Row],[Model]],表格3[Model-Input-Ref2],表格3[Product Line])</f>
        <v>磁應電飯煲(1.5公升)</v>
      </c>
      <c r="I842" s="81" t="str">
        <f>_xlfn.XLOOKUP(表格1[[#This Row],[Model]],表格3[Model-Input-Ref2],表格3[大小電])</f>
        <v>細電</v>
      </c>
      <c r="J842" s="81" t="str">
        <f>_xlfn.XLOOKUP(表格1[[#This Row],[Model]],表格3[Model-Input-Ref2],表格3[Code])</f>
        <v>SDA</v>
      </c>
      <c r="K842" s="82" t="s">
        <v>1204</v>
      </c>
      <c r="L842" s="81">
        <v>2</v>
      </c>
      <c r="M842" s="85">
        <v>500</v>
      </c>
      <c r="N842" s="85">
        <f>IFERROR(表格1[[#This Row],[QTY]]*表格1[[#This Row],[Unit Price]],"-")</f>
        <v>1000</v>
      </c>
      <c r="O842" s="134"/>
      <c r="P842" s="81"/>
      <c r="Q842" s="81"/>
      <c r="R842" s="81" t="str">
        <f>_xlfn.CONCAT(表格1[[#This Row],[Model]]," ",表格1[[#This Row],[inv no]])</f>
        <v xml:space="preserve">RC-15ISTHK(W) </v>
      </c>
      <c r="S842" s="135">
        <f>_xlfn.XLOOKUP(表格1[[#This Row],[Model]],表格3[Model-Input-Ref2],表格3[SRP PRICE])</f>
        <v>1688</v>
      </c>
      <c r="T842" s="43">
        <f>表格1[[#This Row],[Unit Price]]/表格1[[#This Row],[SRP]]</f>
        <v>0.29620853080568721</v>
      </c>
      <c r="U842" s="86" t="str">
        <f>_xlfn.XLOOKUP(表格1[[#This Row],[Model]],表格3[Model-Input-Ref2],表格3[TOSHIBA/HIGHEST])</f>
        <v>Toshiba SRP</v>
      </c>
      <c r="V842" s="86" t="s">
        <v>1126</v>
      </c>
      <c r="W842" s="86" t="str">
        <f>_xlfn.CONCAT(表格1[[#This Row],[欄4]],表格1[[#This Row],[inv no]])</f>
        <v>DA141</v>
      </c>
    </row>
    <row r="843" spans="1:23" hidden="1">
      <c r="A843" s="81">
        <v>841</v>
      </c>
      <c r="B843" s="81" t="s">
        <v>1203</v>
      </c>
      <c r="C843" s="81" t="s">
        <v>1449</v>
      </c>
      <c r="D843" s="82" t="str">
        <f ca="1">OFFSET(Roster!$A$3,MATCH(表格1[[#This Row],[Location]]&amp;" "&amp;表格1[[#This Row],[Shop]]&amp;"*",Roster!$A$4:$A$72,0),DAY(表格1[[#This Row],[date]]),1,1)</f>
        <v>Ho_1</v>
      </c>
      <c r="E843" s="81">
        <f>MONTH(表格1[[#This Row],[date]])</f>
        <v>3</v>
      </c>
      <c r="F843" s="101">
        <v>46093</v>
      </c>
      <c r="G843" s="81" t="str">
        <f>VLOOKUP("*"&amp;表格1[[#This Row],[Input]]&amp;"*",'Ref-List'!$B:$D,2,)</f>
        <v>KT-17SHNH</v>
      </c>
      <c r="H843" s="81" t="str">
        <f>_xlfn.XLOOKUP(表格1[[#This Row],[Model]],表格3[Model-Input-Ref2],表格3[Product Line])</f>
        <v>1.7L無線雙層電熱水壺</v>
      </c>
      <c r="I843" s="81" t="str">
        <f>_xlfn.XLOOKUP(表格1[[#This Row],[Model]],表格3[Model-Input-Ref2],表格3[大小電])</f>
        <v>細電</v>
      </c>
      <c r="J843" s="81" t="str">
        <f>_xlfn.XLOOKUP(表格1[[#This Row],[Model]],表格3[Model-Input-Ref2],表格3[Code])</f>
        <v>SDA</v>
      </c>
      <c r="K843" s="82" t="s">
        <v>1283</v>
      </c>
      <c r="L843" s="81">
        <v>1</v>
      </c>
      <c r="M843" s="85">
        <v>190</v>
      </c>
      <c r="N843" s="85">
        <f>IFERROR(表格1[[#This Row],[QTY]]*表格1[[#This Row],[Unit Price]],"-")</f>
        <v>190</v>
      </c>
      <c r="O843" s="134"/>
      <c r="P843" s="81"/>
      <c r="Q843" s="81"/>
      <c r="R843" s="81" t="str">
        <f>_xlfn.CONCAT(表格1[[#This Row],[Model]]," ",表格1[[#This Row],[inv no]])</f>
        <v xml:space="preserve">KT-17SHNH </v>
      </c>
      <c r="S843" s="135">
        <f>_xlfn.XLOOKUP(表格1[[#This Row],[Model]],表格3[Model-Input-Ref2],表格3[SRP PRICE])</f>
        <v>299</v>
      </c>
      <c r="T843" s="43">
        <f>表格1[[#This Row],[Unit Price]]/表格1[[#This Row],[SRP]]</f>
        <v>0.63545150501672243</v>
      </c>
      <c r="U843" s="86" t="str">
        <f>_xlfn.XLOOKUP(表格1[[#This Row],[Model]],表格3[Model-Input-Ref2],表格3[TOSHIBA/HIGHEST])</f>
        <v>Shops Highest Price</v>
      </c>
      <c r="V843" s="86" t="s">
        <v>1126</v>
      </c>
      <c r="W843" s="86" t="str">
        <f>_xlfn.CONCAT(表格1[[#This Row],[欄4]],表格1[[#This Row],[inv no]])</f>
        <v>DA141</v>
      </c>
    </row>
    <row r="844" spans="1:23" hidden="1">
      <c r="A844" s="81">
        <v>842</v>
      </c>
      <c r="B844" s="81" t="s">
        <v>1203</v>
      </c>
      <c r="C844" s="81" t="s">
        <v>1449</v>
      </c>
      <c r="D844" s="82" t="str">
        <f ca="1">OFFSET(Roster!$A$3,MATCH(表格1[[#This Row],[Location]]&amp;" "&amp;表格1[[#This Row],[Shop]]&amp;"*",Roster!$A$4:$A$72,0),DAY(表格1[[#This Row],[date]]),1,1)</f>
        <v>Ho_1</v>
      </c>
      <c r="E844" s="81">
        <f>MONTH(表格1[[#This Row],[date]])</f>
        <v>3</v>
      </c>
      <c r="F844" s="101">
        <v>46093</v>
      </c>
      <c r="G844" s="81" t="str">
        <f>VLOOKUP("*"&amp;表格1[[#This Row],[Input]]&amp;"*",'Ref-List'!$B:$D,2,)</f>
        <v>PLK-45SFIH(WT)</v>
      </c>
      <c r="H844" s="81" t="str">
        <f>_xlfn.XLOOKUP(表格1[[#This Row],[Model]],表格3[Model-Input-Ref2],表格3[Product Line])</f>
        <v>電熱水瓶4.5L</v>
      </c>
      <c r="I844" s="81" t="str">
        <f>_xlfn.XLOOKUP(表格1[[#This Row],[Model]],表格3[Model-Input-Ref2],表格3[大小電])</f>
        <v>細電</v>
      </c>
      <c r="J844" s="81" t="str">
        <f>_xlfn.XLOOKUP(表格1[[#This Row],[Model]],表格3[Model-Input-Ref2],表格3[Code])</f>
        <v>SDA</v>
      </c>
      <c r="K844" s="82" t="s">
        <v>1117</v>
      </c>
      <c r="L844" s="81">
        <v>1</v>
      </c>
      <c r="M844" s="85">
        <v>500</v>
      </c>
      <c r="N844" s="85">
        <f>IFERROR(表格1[[#This Row],[QTY]]*表格1[[#This Row],[Unit Price]],"-")</f>
        <v>500</v>
      </c>
      <c r="O844" s="134"/>
      <c r="P844" s="81"/>
      <c r="Q844" s="81"/>
      <c r="R844" s="81" t="str">
        <f>_xlfn.CONCAT(表格1[[#This Row],[Model]]," ",表格1[[#This Row],[inv no]])</f>
        <v xml:space="preserve">PLK-45SFIH(WT) </v>
      </c>
      <c r="S844" s="135">
        <f>_xlfn.XLOOKUP(表格1[[#This Row],[Model]],表格3[Model-Input-Ref2],表格3[SRP PRICE])</f>
        <v>788</v>
      </c>
      <c r="T844" s="43">
        <f>表格1[[#This Row],[Unit Price]]/表格1[[#This Row],[SRP]]</f>
        <v>0.63451776649746194</v>
      </c>
      <c r="U844" s="86" t="str">
        <f>_xlfn.XLOOKUP(表格1[[#This Row],[Model]],表格3[Model-Input-Ref2],表格3[TOSHIBA/HIGHEST])</f>
        <v>Toshiba SRP</v>
      </c>
      <c r="V844" s="86" t="s">
        <v>1126</v>
      </c>
      <c r="W844" s="86" t="str">
        <f>_xlfn.CONCAT(表格1[[#This Row],[欄4]],表格1[[#This Row],[inv no]])</f>
        <v>DA141</v>
      </c>
    </row>
    <row r="845" spans="1:23" hidden="1">
      <c r="A845" s="81">
        <v>843</v>
      </c>
      <c r="B845" s="81" t="s">
        <v>1203</v>
      </c>
      <c r="C845" s="81" t="s">
        <v>1449</v>
      </c>
      <c r="D845" s="82" t="str">
        <f ca="1">OFFSET(Roster!$A$3,MATCH(表格1[[#This Row],[Location]]&amp;" "&amp;表格1[[#This Row],[Shop]]&amp;"*",Roster!$A$4:$A$72,0),DAY(表格1[[#This Row],[date]]),1,1)</f>
        <v>Ho_1 off</v>
      </c>
      <c r="E845" s="81">
        <f>MONTH(表格1[[#This Row],[date]])</f>
        <v>3</v>
      </c>
      <c r="F845" s="101">
        <v>46094</v>
      </c>
      <c r="G845" s="81" t="str">
        <f>VLOOKUP("*"&amp;表格1[[#This Row],[Input]]&amp;"*",'Ref-List'!$B:$D,2,)</f>
        <v>DWS-34AHK</v>
      </c>
      <c r="H845" s="81" t="str">
        <f>_xlfn.XLOOKUP(表格1[[#This Row],[Model]],表格3[Model-Input-Ref2],表格3[Product Line])</f>
        <v>獨立式免安裝洗碗碟機</v>
      </c>
      <c r="I845" s="81" t="str">
        <f>_xlfn.XLOOKUP(表格1[[#This Row],[Model]],表格3[Model-Input-Ref2],表格3[大小電])</f>
        <v>細電</v>
      </c>
      <c r="J845" s="81" t="str">
        <f>_xlfn.XLOOKUP(表格1[[#This Row],[Model]],表格3[Model-Input-Ref2],表格3[Code])</f>
        <v>DM</v>
      </c>
      <c r="K845" s="82" t="s">
        <v>1240</v>
      </c>
      <c r="L845" s="81">
        <v>1</v>
      </c>
      <c r="M845" s="85">
        <v>1500</v>
      </c>
      <c r="N845" s="85">
        <f>IFERROR(表格1[[#This Row],[QTY]]*表格1[[#This Row],[Unit Price]],"-")</f>
        <v>1500</v>
      </c>
      <c r="O845" s="134">
        <v>6004780</v>
      </c>
      <c r="P845" s="81"/>
      <c r="Q845" s="81"/>
      <c r="R845" s="81" t="str">
        <f>_xlfn.CONCAT(表格1[[#This Row],[Model]]," ",表格1[[#This Row],[inv no]])</f>
        <v>DWS-34AHK 6004780</v>
      </c>
      <c r="S845" s="135">
        <f>_xlfn.XLOOKUP(表格1[[#This Row],[Model]],表格3[Model-Input-Ref2],表格3[SRP PRICE])</f>
        <v>3999</v>
      </c>
      <c r="T845" s="43">
        <f>表格1[[#This Row],[Unit Price]]/表格1[[#This Row],[SRP]]</f>
        <v>0.37509377344336087</v>
      </c>
      <c r="U845" s="86" t="str">
        <f>_xlfn.XLOOKUP(表格1[[#This Row],[Model]],表格3[Model-Input-Ref2],表格3[TOSHIBA/HIGHEST])</f>
        <v>Web SRP</v>
      </c>
      <c r="V845" s="86" t="s">
        <v>1126</v>
      </c>
      <c r="W845" s="86" t="str">
        <f>_xlfn.CONCAT(表格1[[#This Row],[欄4]],表格1[[#This Row],[inv no]])</f>
        <v>DA1416004780</v>
      </c>
    </row>
    <row r="846" spans="1:23" hidden="1">
      <c r="A846" s="81">
        <v>844</v>
      </c>
      <c r="B846" s="81" t="s">
        <v>1203</v>
      </c>
      <c r="C846" s="81" t="s">
        <v>1449</v>
      </c>
      <c r="D846" s="82" t="str">
        <f ca="1">OFFSET(Roster!$A$3,MATCH(表格1[[#This Row],[Location]]&amp;" "&amp;表格1[[#This Row],[Shop]]&amp;"*",Roster!$A$4:$A$72,0),DAY(表格1[[#This Row],[date]]),1,1)</f>
        <v>Ho_1 off</v>
      </c>
      <c r="E846" s="81">
        <f>MONTH(表格1[[#This Row],[date]])</f>
        <v>3</v>
      </c>
      <c r="F846" s="101">
        <v>46094</v>
      </c>
      <c r="G846" s="81" t="str">
        <f>VLOOKUP("*"&amp;表格1[[#This Row],[Input]]&amp;"*",'Ref-List'!$B:$D,2,)</f>
        <v>GR-RT416WE-PMA(06)</v>
      </c>
      <c r="H846" s="81" t="str">
        <f>_xlfn.XLOOKUP(表格1[[#This Row],[Model]],表格3[Model-Input-Ref2],表格3[Product Line])</f>
        <v xml:space="preserve">變頻上置式雙門雪櫃313L </v>
      </c>
      <c r="I846" s="81" t="str">
        <f>_xlfn.XLOOKUP(表格1[[#This Row],[Model]],表格3[Model-Input-Ref2],表格3[大小電])</f>
        <v>大電</v>
      </c>
      <c r="J846" s="81" t="str">
        <f>_xlfn.XLOOKUP(表格1[[#This Row],[Model]],表格3[Model-Input-Ref2],表格3[Code])</f>
        <v>REF</v>
      </c>
      <c r="K846" s="82" t="s">
        <v>1208</v>
      </c>
      <c r="L846" s="81">
        <v>1</v>
      </c>
      <c r="M846" s="85">
        <v>2888</v>
      </c>
      <c r="N846" s="85">
        <f>IFERROR(表格1[[#This Row],[QTY]]*表格1[[#This Row],[Unit Price]],"-")</f>
        <v>2888</v>
      </c>
      <c r="O846" s="134">
        <v>6007779</v>
      </c>
      <c r="P846" s="81"/>
      <c r="Q846" s="81"/>
      <c r="R846" s="81" t="str">
        <f>_xlfn.CONCAT(表格1[[#This Row],[Model]]," ",表格1[[#This Row],[inv no]])</f>
        <v>GR-RT416WE-PMA(06) 6007779</v>
      </c>
      <c r="S846" s="135">
        <f>_xlfn.XLOOKUP(表格1[[#This Row],[Model]],表格3[Model-Input-Ref2],表格3[SRP PRICE])</f>
        <v>5380</v>
      </c>
      <c r="T846" s="43">
        <f>表格1[[#This Row],[Unit Price]]/表格1[[#This Row],[SRP]]</f>
        <v>0.53680297397769516</v>
      </c>
      <c r="U846" s="86" t="str">
        <f>_xlfn.XLOOKUP(表格1[[#This Row],[Model]],表格3[Model-Input-Ref2],表格3[TOSHIBA/HIGHEST])</f>
        <v>Toshiba SRP</v>
      </c>
      <c r="V846" s="86" t="s">
        <v>1126</v>
      </c>
      <c r="W846" s="86" t="str">
        <f>_xlfn.CONCAT(表格1[[#This Row],[欄4]],表格1[[#This Row],[inv no]])</f>
        <v>DA1416007779</v>
      </c>
    </row>
    <row r="847" spans="1:23" hidden="1">
      <c r="A847" s="81">
        <v>845</v>
      </c>
      <c r="B847" s="81" t="s">
        <v>1203</v>
      </c>
      <c r="C847" s="81" t="s">
        <v>1449</v>
      </c>
      <c r="D847" s="82" t="str">
        <f ca="1">OFFSET(Roster!$A$3,MATCH(表格1[[#This Row],[Location]]&amp;" "&amp;表格1[[#This Row],[Shop]]&amp;"*",Roster!$A$4:$A$72,0),DAY(表格1[[#This Row],[date]]),1,1)</f>
        <v>Ho_1 off</v>
      </c>
      <c r="E847" s="81">
        <f>MONTH(表格1[[#This Row],[date]])</f>
        <v>3</v>
      </c>
      <c r="F847" s="101">
        <v>46094</v>
      </c>
      <c r="G847" s="81" t="str">
        <f>VLOOKUP("*"&amp;表格1[[#This Row],[Input]]&amp;"*",'Ref-List'!$B:$D,2,)</f>
        <v>AW-M901BPH(WW)</v>
      </c>
      <c r="H847" s="81" t="str">
        <f>_xlfn.XLOOKUP(表格1[[#This Row],[Model]],表格3[Model-Input-Ref2],表格3[Product Line])</f>
        <v>全自動洗衣機 (8公斤 結合高低水位)</v>
      </c>
      <c r="I847" s="81" t="str">
        <f>_xlfn.XLOOKUP(表格1[[#This Row],[Model]],表格3[Model-Input-Ref2],表格3[大小電])</f>
        <v>大電</v>
      </c>
      <c r="J847" s="81" t="str">
        <f>_xlfn.XLOOKUP(表格1[[#This Row],[Model]],表格3[Model-Input-Ref2],表格3[Code])</f>
        <v>WM</v>
      </c>
      <c r="K847" s="82" t="s">
        <v>1202</v>
      </c>
      <c r="L847" s="81">
        <v>1</v>
      </c>
      <c r="M847" s="85">
        <v>1500</v>
      </c>
      <c r="N847" s="85">
        <f>IFERROR(表格1[[#This Row],[QTY]]*表格1[[#This Row],[Unit Price]],"-")</f>
        <v>1500</v>
      </c>
      <c r="O847" s="134">
        <v>6004817</v>
      </c>
      <c r="P847" s="81"/>
      <c r="Q847" s="81"/>
      <c r="R847" s="81" t="str">
        <f>_xlfn.CONCAT(表格1[[#This Row],[Model]]," ",表格1[[#This Row],[inv no]])</f>
        <v>AW-M901BPH(WW) 6004817</v>
      </c>
      <c r="S847" s="135">
        <f>_xlfn.XLOOKUP(表格1[[#This Row],[Model]],表格3[Model-Input-Ref2],表格3[SRP PRICE])</f>
        <v>3580</v>
      </c>
      <c r="T847" s="43">
        <f>表格1[[#This Row],[Unit Price]]/表格1[[#This Row],[SRP]]</f>
        <v>0.41899441340782123</v>
      </c>
      <c r="U847" s="86" t="str">
        <f>_xlfn.XLOOKUP(表格1[[#This Row],[Model]],表格3[Model-Input-Ref2],表格3[TOSHIBA/HIGHEST])</f>
        <v>Toshiba SRP</v>
      </c>
      <c r="V847" s="86" t="s">
        <v>1126</v>
      </c>
      <c r="W847" s="86" t="str">
        <f>_xlfn.CONCAT(表格1[[#This Row],[欄4]],表格1[[#This Row],[inv no]])</f>
        <v>DA1416004817</v>
      </c>
    </row>
    <row r="848" spans="1:23" hidden="1">
      <c r="A848" s="81">
        <v>846</v>
      </c>
      <c r="B848" s="81" t="s">
        <v>1203</v>
      </c>
      <c r="C848" s="81" t="s">
        <v>1449</v>
      </c>
      <c r="D848" s="82" t="str">
        <f ca="1">OFFSET(Roster!$A$3,MATCH(表格1[[#This Row],[Location]]&amp;" "&amp;表格1[[#This Row],[Shop]]&amp;"*",Roster!$A$4:$A$72,0),DAY(表格1[[#This Row],[date]]),1,1)</f>
        <v>Ho_1 off</v>
      </c>
      <c r="E848" s="81">
        <f>MONTH(表格1[[#This Row],[date]])</f>
        <v>3</v>
      </c>
      <c r="F848" s="101">
        <v>46094</v>
      </c>
      <c r="G848" s="81" t="str">
        <f>VLOOKUP("*"&amp;表格1[[#This Row],[Input]]&amp;"*",'Ref-List'!$B:$D,2,)</f>
        <v>MS3-STQ20SC(WH)</v>
      </c>
      <c r="H848" s="81" t="str">
        <f>_xlfn.XLOOKUP(表格1[[#This Row],[Model]],表格3[Model-Input-Ref2],表格3[Product Line])</f>
        <v>20L 智能蒸氣焗爐</v>
      </c>
      <c r="I848" s="81" t="str">
        <f>_xlfn.XLOOKUP(表格1[[#This Row],[Model]],表格3[Model-Input-Ref2],表格3[大小電])</f>
        <v>細電</v>
      </c>
      <c r="J848" s="81" t="str">
        <f>_xlfn.XLOOKUP(表格1[[#This Row],[Model]],表格3[Model-Input-Ref2],表格3[Code])</f>
        <v>MCA</v>
      </c>
      <c r="K848" s="82" t="s">
        <v>1383</v>
      </c>
      <c r="L848" s="81">
        <v>1</v>
      </c>
      <c r="M848" s="85">
        <v>1980</v>
      </c>
      <c r="N848" s="85">
        <f>IFERROR(表格1[[#This Row],[QTY]]*表格1[[#This Row],[Unit Price]],"-")</f>
        <v>1980</v>
      </c>
      <c r="O848" s="134">
        <v>7045683</v>
      </c>
      <c r="P848" s="81"/>
      <c r="Q848" s="81"/>
      <c r="R848" s="81" t="str">
        <f>_xlfn.CONCAT(表格1[[#This Row],[Model]]," ",表格1[[#This Row],[inv no]])</f>
        <v>MS3-STQ20SC(WH) 7045683</v>
      </c>
      <c r="S848" s="135">
        <f>_xlfn.XLOOKUP(表格1[[#This Row],[Model]],表格3[Model-Input-Ref2],表格3[SRP PRICE])</f>
        <v>2880</v>
      </c>
      <c r="T848" s="43">
        <f>表格1[[#This Row],[Unit Price]]/表格1[[#This Row],[SRP]]</f>
        <v>0.6875</v>
      </c>
      <c r="U848" s="86" t="str">
        <f>_xlfn.XLOOKUP(表格1[[#This Row],[Model]],表格3[Model-Input-Ref2],表格3[TOSHIBA/HIGHEST])</f>
        <v>Toshiba SRP</v>
      </c>
      <c r="V848" s="86" t="s">
        <v>1126</v>
      </c>
      <c r="W848" s="86" t="str">
        <f>_xlfn.CONCAT(表格1[[#This Row],[欄4]],表格1[[#This Row],[inv no]])</f>
        <v>DA1417045683</v>
      </c>
    </row>
    <row r="849" spans="1:23" hidden="1">
      <c r="A849" s="81">
        <v>847</v>
      </c>
      <c r="B849" s="81" t="s">
        <v>1203</v>
      </c>
      <c r="C849" s="81" t="s">
        <v>1449</v>
      </c>
      <c r="D849" s="82" t="str">
        <f ca="1">OFFSET(Roster!$A$3,MATCH(表格1[[#This Row],[Location]]&amp;" "&amp;表格1[[#This Row],[Shop]]&amp;"*",Roster!$A$4:$A$72,0),DAY(表格1[[#This Row],[date]]),1,1)</f>
        <v>Ho_1</v>
      </c>
      <c r="E849" s="81">
        <f>MONTH(表格1[[#This Row],[date]])</f>
        <v>3</v>
      </c>
      <c r="F849" s="101">
        <v>46095</v>
      </c>
      <c r="G849" s="81" t="str">
        <f>VLOOKUP("*"&amp;表格1[[#This Row],[Input]]&amp;"*",'Ref-List'!$B:$D,2,)</f>
        <v>TWP-TSR76THK(W)</v>
      </c>
      <c r="H849" s="81" t="str">
        <f>_xlfn.XLOOKUP(表格1[[#This Row],[Model]],表格3[Model-Input-Ref2],表格3[Product Line])</f>
        <v>RO座檯式飲水機</v>
      </c>
      <c r="I849" s="81" t="str">
        <f>_xlfn.XLOOKUP(表格1[[#This Row],[Model]],表格3[Model-Input-Ref2],表格3[大小電])</f>
        <v>細電</v>
      </c>
      <c r="J849" s="81" t="str">
        <f>_xlfn.XLOOKUP(表格1[[#This Row],[Model]],表格3[Model-Input-Ref2],表格3[Code])</f>
        <v>KWH</v>
      </c>
      <c r="K849" s="82" t="s">
        <v>1197</v>
      </c>
      <c r="L849" s="81">
        <v>1</v>
      </c>
      <c r="M849" s="85">
        <v>1500</v>
      </c>
      <c r="N849" s="85">
        <f>IFERROR(表格1[[#This Row],[QTY]]*表格1[[#This Row],[Unit Price]],"-")</f>
        <v>1500</v>
      </c>
      <c r="O849" s="134">
        <v>6004845</v>
      </c>
      <c r="P849" s="81"/>
      <c r="Q849" s="81"/>
      <c r="R849" s="81" t="str">
        <f>_xlfn.CONCAT(表格1[[#This Row],[Model]]," ",表格1[[#This Row],[inv no]])</f>
        <v>TWP-TSR76THK(W) 6004845</v>
      </c>
      <c r="S849" s="135">
        <f>_xlfn.XLOOKUP(表格1[[#This Row],[Model]],表格3[Model-Input-Ref2],表格3[SRP PRICE])</f>
        <v>2680</v>
      </c>
      <c r="T849" s="43">
        <f>表格1[[#This Row],[Unit Price]]/表格1[[#This Row],[SRP]]</f>
        <v>0.55970149253731338</v>
      </c>
      <c r="U849" s="86" t="str">
        <f>_xlfn.XLOOKUP(表格1[[#This Row],[Model]],表格3[Model-Input-Ref2],表格3[TOSHIBA/HIGHEST])</f>
        <v>Toshiba SRP</v>
      </c>
      <c r="V849" s="86" t="s">
        <v>1126</v>
      </c>
      <c r="W849" s="86" t="str">
        <f>_xlfn.CONCAT(表格1[[#This Row],[欄4]],表格1[[#This Row],[inv no]])</f>
        <v>DA1416004845</v>
      </c>
    </row>
    <row r="850" spans="1:23" hidden="1">
      <c r="A850" s="81">
        <v>848</v>
      </c>
      <c r="B850" s="81" t="s">
        <v>1203</v>
      </c>
      <c r="C850" s="81" t="s">
        <v>1449</v>
      </c>
      <c r="D850" s="82" t="str">
        <f ca="1">OFFSET(Roster!$A$3,MATCH(表格1[[#This Row],[Location]]&amp;" "&amp;表格1[[#This Row],[Shop]]&amp;"*",Roster!$A$4:$A$72,0),DAY(表格1[[#This Row],[date]]),1,1)</f>
        <v>Ho_1</v>
      </c>
      <c r="E850" s="81">
        <f>MONTH(表格1[[#This Row],[date]])</f>
        <v>3</v>
      </c>
      <c r="F850" s="101">
        <v>46095</v>
      </c>
      <c r="G850" s="81" t="str">
        <f>VLOOKUP("*"&amp;表格1[[#This Row],[Input]]&amp;"*",'Ref-List'!$B:$D,2,)</f>
        <v>DWS-34AHK</v>
      </c>
      <c r="H850" s="81" t="str">
        <f>_xlfn.XLOOKUP(表格1[[#This Row],[Model]],表格3[Model-Input-Ref2],表格3[Product Line])</f>
        <v>獨立式免安裝洗碗碟機</v>
      </c>
      <c r="I850" s="81" t="str">
        <f>_xlfn.XLOOKUP(表格1[[#This Row],[Model]],表格3[Model-Input-Ref2],表格3[大小電])</f>
        <v>細電</v>
      </c>
      <c r="J850" s="81" t="str">
        <f>_xlfn.XLOOKUP(表格1[[#This Row],[Model]],表格3[Model-Input-Ref2],表格3[Code])</f>
        <v>DM</v>
      </c>
      <c r="K850" s="82" t="s">
        <v>1240</v>
      </c>
      <c r="L850" s="81">
        <v>1</v>
      </c>
      <c r="M850" s="85">
        <v>1500</v>
      </c>
      <c r="N850" s="85">
        <f>IFERROR(表格1[[#This Row],[QTY]]*表格1[[#This Row],[Unit Price]],"-")</f>
        <v>1500</v>
      </c>
      <c r="O850" s="134">
        <v>6004822</v>
      </c>
      <c r="P850" s="81"/>
      <c r="Q850" s="81"/>
      <c r="R850" s="81" t="str">
        <f>_xlfn.CONCAT(表格1[[#This Row],[Model]]," ",表格1[[#This Row],[inv no]])</f>
        <v>DWS-34AHK 6004822</v>
      </c>
      <c r="S850" s="135">
        <f>_xlfn.XLOOKUP(表格1[[#This Row],[Model]],表格3[Model-Input-Ref2],表格3[SRP PRICE])</f>
        <v>3999</v>
      </c>
      <c r="T850" s="43">
        <f>表格1[[#This Row],[Unit Price]]/表格1[[#This Row],[SRP]]</f>
        <v>0.37509377344336087</v>
      </c>
      <c r="U850" s="86" t="str">
        <f>_xlfn.XLOOKUP(表格1[[#This Row],[Model]],表格3[Model-Input-Ref2],表格3[TOSHIBA/HIGHEST])</f>
        <v>Web SRP</v>
      </c>
      <c r="V850" s="86" t="s">
        <v>1126</v>
      </c>
      <c r="W850" s="86" t="str">
        <f>_xlfn.CONCAT(表格1[[#This Row],[欄4]],表格1[[#This Row],[inv no]])</f>
        <v>DA1416004822</v>
      </c>
    </row>
    <row r="851" spans="1:23" hidden="1">
      <c r="A851" s="81">
        <v>849</v>
      </c>
      <c r="B851" s="81" t="s">
        <v>1203</v>
      </c>
      <c r="C851" s="81" t="s">
        <v>1449</v>
      </c>
      <c r="D851" s="82" t="str">
        <f ca="1">OFFSET(Roster!$A$3,MATCH(表格1[[#This Row],[Location]]&amp;" "&amp;表格1[[#This Row],[Shop]]&amp;"*",Roster!$A$4:$A$72,0),DAY(表格1[[#This Row],[date]]),1,1)</f>
        <v>Ho_1</v>
      </c>
      <c r="E851" s="81">
        <f>MONTH(表格1[[#This Row],[date]])</f>
        <v>3</v>
      </c>
      <c r="F851" s="101">
        <v>46095</v>
      </c>
      <c r="G851" s="81" t="str">
        <f>VLOOKUP("*"&amp;表格1[[#This Row],[Input]]&amp;"*",'Ref-List'!$B:$D,2,)</f>
        <v>AW-M901BPH(WW)</v>
      </c>
      <c r="H851" s="81" t="str">
        <f>_xlfn.XLOOKUP(表格1[[#This Row],[Model]],表格3[Model-Input-Ref2],表格3[Product Line])</f>
        <v>全自動洗衣機 (8公斤 結合高低水位)</v>
      </c>
      <c r="I851" s="81" t="str">
        <f>_xlfn.XLOOKUP(表格1[[#This Row],[Model]],表格3[Model-Input-Ref2],表格3[大小電])</f>
        <v>大電</v>
      </c>
      <c r="J851" s="81" t="str">
        <f>_xlfn.XLOOKUP(表格1[[#This Row],[Model]],表格3[Model-Input-Ref2],表格3[Code])</f>
        <v>WM</v>
      </c>
      <c r="K851" s="82" t="s">
        <v>1202</v>
      </c>
      <c r="L851" s="81">
        <v>1</v>
      </c>
      <c r="M851" s="85">
        <v>1500</v>
      </c>
      <c r="N851" s="85">
        <f>IFERROR(表格1[[#This Row],[QTY]]*表格1[[#This Row],[Unit Price]],"-")</f>
        <v>1500</v>
      </c>
      <c r="O851" s="134"/>
      <c r="P851" s="81"/>
      <c r="Q851" s="81"/>
      <c r="R851" s="81" t="str">
        <f>_xlfn.CONCAT(表格1[[#This Row],[Model]]," ",表格1[[#This Row],[inv no]])</f>
        <v xml:space="preserve">AW-M901BPH(WW) </v>
      </c>
      <c r="S851" s="135">
        <f>_xlfn.XLOOKUP(表格1[[#This Row],[Model]],表格3[Model-Input-Ref2],表格3[SRP PRICE])</f>
        <v>3580</v>
      </c>
      <c r="T851" s="43">
        <f>表格1[[#This Row],[Unit Price]]/表格1[[#This Row],[SRP]]</f>
        <v>0.41899441340782123</v>
      </c>
      <c r="U851" s="86" t="str">
        <f>_xlfn.XLOOKUP(表格1[[#This Row],[Model]],表格3[Model-Input-Ref2],表格3[TOSHIBA/HIGHEST])</f>
        <v>Toshiba SRP</v>
      </c>
      <c r="V851" s="86" t="s">
        <v>1126</v>
      </c>
      <c r="W851" s="86" t="str">
        <f>_xlfn.CONCAT(表格1[[#This Row],[欄4]],表格1[[#This Row],[inv no]])</f>
        <v>DA141</v>
      </c>
    </row>
    <row r="852" spans="1:23" hidden="1">
      <c r="A852" s="81">
        <v>850</v>
      </c>
      <c r="B852" s="81" t="s">
        <v>1203</v>
      </c>
      <c r="C852" s="81" t="s">
        <v>1449</v>
      </c>
      <c r="D852" s="82" t="str">
        <f ca="1">OFFSET(Roster!$A$3,MATCH(表格1[[#This Row],[Location]]&amp;" "&amp;表格1[[#This Row],[Shop]]&amp;"*",Roster!$A$4:$A$72,0),DAY(表格1[[#This Row],[date]]),1,1)</f>
        <v>Ho_1</v>
      </c>
      <c r="E852" s="81">
        <f>MONTH(表格1[[#This Row],[date]])</f>
        <v>3</v>
      </c>
      <c r="F852" s="101">
        <v>46095</v>
      </c>
      <c r="G852" s="81" t="str">
        <f>VLOOKUP("*"&amp;表格1[[#This Row],[Input]]&amp;"*",'Ref-List'!$B:$D,2,)</f>
        <v>PLK-45SFIH(WT)</v>
      </c>
      <c r="H852" s="81" t="str">
        <f>_xlfn.XLOOKUP(表格1[[#This Row],[Model]],表格3[Model-Input-Ref2],表格3[Product Line])</f>
        <v>電熱水瓶4.5L</v>
      </c>
      <c r="I852" s="81" t="str">
        <f>_xlfn.XLOOKUP(表格1[[#This Row],[Model]],表格3[Model-Input-Ref2],表格3[大小電])</f>
        <v>細電</v>
      </c>
      <c r="J852" s="81" t="str">
        <f>_xlfn.XLOOKUP(表格1[[#This Row],[Model]],表格3[Model-Input-Ref2],表格3[Code])</f>
        <v>SDA</v>
      </c>
      <c r="K852" s="82" t="s">
        <v>1117</v>
      </c>
      <c r="L852" s="81">
        <v>1</v>
      </c>
      <c r="M852" s="85">
        <v>500</v>
      </c>
      <c r="N852" s="85">
        <f>IFERROR(表格1[[#This Row],[QTY]]*表格1[[#This Row],[Unit Price]],"-")</f>
        <v>500</v>
      </c>
      <c r="O852" s="134"/>
      <c r="P852" s="81"/>
      <c r="Q852" s="81"/>
      <c r="R852" s="81" t="str">
        <f>_xlfn.CONCAT(表格1[[#This Row],[Model]]," ",表格1[[#This Row],[inv no]])</f>
        <v xml:space="preserve">PLK-45SFIH(WT) </v>
      </c>
      <c r="S852" s="135">
        <f>_xlfn.XLOOKUP(表格1[[#This Row],[Model]],表格3[Model-Input-Ref2],表格3[SRP PRICE])</f>
        <v>788</v>
      </c>
      <c r="T852" s="43">
        <f>表格1[[#This Row],[Unit Price]]/表格1[[#This Row],[SRP]]</f>
        <v>0.63451776649746194</v>
      </c>
      <c r="U852" s="86" t="str">
        <f>_xlfn.XLOOKUP(表格1[[#This Row],[Model]],表格3[Model-Input-Ref2],表格3[TOSHIBA/HIGHEST])</f>
        <v>Toshiba SRP</v>
      </c>
      <c r="V852" s="86" t="s">
        <v>1126</v>
      </c>
      <c r="W852" s="86" t="str">
        <f>_xlfn.CONCAT(表格1[[#This Row],[欄4]],表格1[[#This Row],[inv no]])</f>
        <v>DA141</v>
      </c>
    </row>
    <row r="853" spans="1:23" hidden="1">
      <c r="A853" s="81">
        <v>851</v>
      </c>
      <c r="B853" s="81" t="s">
        <v>1203</v>
      </c>
      <c r="C853" s="81" t="s">
        <v>1449</v>
      </c>
      <c r="D853" s="82" t="str">
        <f ca="1">OFFSET(Roster!$A$3,MATCH(表格1[[#This Row],[Location]]&amp;" "&amp;表格1[[#This Row],[Shop]]&amp;"*",Roster!$A$4:$A$72,0),DAY(表格1[[#This Row],[date]]),1,1)</f>
        <v>Ho_1</v>
      </c>
      <c r="E853" s="81">
        <f>MONTH(表格1[[#This Row],[date]])</f>
        <v>3</v>
      </c>
      <c r="F853" s="101">
        <v>46095</v>
      </c>
      <c r="G853" s="81" t="str">
        <f>VLOOKUP("*"&amp;表格1[[#This Row],[Input]]&amp;"*",'Ref-List'!$B:$D,2,)</f>
        <v>MW2-MM24PC(BK)</v>
      </c>
      <c r="H853" s="81" t="str">
        <f>_xlfn.XLOOKUP(表格1[[#This Row],[Model]],表格3[Model-Input-Ref2],表格3[Product Line])</f>
        <v>旋鈕式微波爐24L</v>
      </c>
      <c r="I853" s="81" t="str">
        <f>_xlfn.XLOOKUP(表格1[[#This Row],[Model]],表格3[Model-Input-Ref2],表格3[大小電])</f>
        <v>細電</v>
      </c>
      <c r="J853" s="81" t="str">
        <f>_xlfn.XLOOKUP(表格1[[#This Row],[Model]],表格3[Model-Input-Ref2],表格3[Code])</f>
        <v>SDA</v>
      </c>
      <c r="K853" s="82" t="s">
        <v>1196</v>
      </c>
      <c r="L853" s="81">
        <v>2</v>
      </c>
      <c r="M853" s="85">
        <v>500</v>
      </c>
      <c r="N853" s="85">
        <f>IFERROR(表格1[[#This Row],[QTY]]*表格1[[#This Row],[Unit Price]],"-")</f>
        <v>1000</v>
      </c>
      <c r="O853" s="134"/>
      <c r="P853" s="81"/>
      <c r="Q853" s="81"/>
      <c r="R853" s="81" t="str">
        <f>_xlfn.CONCAT(表格1[[#This Row],[Model]]," ",表格1[[#This Row],[inv no]])</f>
        <v xml:space="preserve">MW2-MM24PC(BK) </v>
      </c>
      <c r="S853" s="135">
        <f>_xlfn.XLOOKUP(表格1[[#This Row],[Model]],表格3[Model-Input-Ref2],表格3[SRP PRICE])</f>
        <v>848</v>
      </c>
      <c r="T853" s="43">
        <f>表格1[[#This Row],[Unit Price]]/表格1[[#This Row],[SRP]]</f>
        <v>0.589622641509434</v>
      </c>
      <c r="U853" s="86" t="str">
        <f>_xlfn.XLOOKUP(表格1[[#This Row],[Model]],表格3[Model-Input-Ref2],表格3[TOSHIBA/HIGHEST])</f>
        <v>Toshiba SRP</v>
      </c>
      <c r="V853" s="86" t="s">
        <v>1126</v>
      </c>
      <c r="W853" s="86" t="str">
        <f>_xlfn.CONCAT(表格1[[#This Row],[欄4]],表格1[[#This Row],[inv no]])</f>
        <v>DA141</v>
      </c>
    </row>
    <row r="854" spans="1:23" hidden="1">
      <c r="A854" s="81">
        <v>852</v>
      </c>
      <c r="B854" s="81" t="s">
        <v>1203</v>
      </c>
      <c r="C854" s="81" t="s">
        <v>1449</v>
      </c>
      <c r="D854" s="82" t="str">
        <f ca="1">OFFSET(Roster!$A$3,MATCH(表格1[[#This Row],[Location]]&amp;" "&amp;表格1[[#This Row],[Shop]]&amp;"*",Roster!$A$4:$A$72,0),DAY(表格1[[#This Row],[date]]),1,1)</f>
        <v>Ho_1</v>
      </c>
      <c r="E854" s="81">
        <f>MONTH(表格1[[#This Row],[date]])</f>
        <v>3</v>
      </c>
      <c r="F854" s="101">
        <v>46095</v>
      </c>
      <c r="G854" s="81" t="str">
        <f>VLOOKUP("*"&amp;表格1[[#This Row],[Input]]&amp;"*",'Ref-List'!$B:$D,2,)</f>
        <v>RC-15ISTHK(W)</v>
      </c>
      <c r="H854" s="81" t="str">
        <f>_xlfn.XLOOKUP(表格1[[#This Row],[Model]],表格3[Model-Input-Ref2],表格3[Product Line])</f>
        <v>磁應電飯煲(1.5公升)</v>
      </c>
      <c r="I854" s="81" t="str">
        <f>_xlfn.XLOOKUP(表格1[[#This Row],[Model]],表格3[Model-Input-Ref2],表格3[大小電])</f>
        <v>細電</v>
      </c>
      <c r="J854" s="81" t="str">
        <f>_xlfn.XLOOKUP(表格1[[#This Row],[Model]],表格3[Model-Input-Ref2],表格3[Code])</f>
        <v>SDA</v>
      </c>
      <c r="K854" s="82" t="s">
        <v>1204</v>
      </c>
      <c r="L854" s="81">
        <v>10</v>
      </c>
      <c r="M854" s="85">
        <v>500</v>
      </c>
      <c r="N854" s="85">
        <f>IFERROR(表格1[[#This Row],[QTY]]*表格1[[#This Row],[Unit Price]],"-")</f>
        <v>5000</v>
      </c>
      <c r="O854" s="134"/>
      <c r="P854" s="81"/>
      <c r="Q854" s="81"/>
      <c r="R854" s="81" t="str">
        <f>_xlfn.CONCAT(表格1[[#This Row],[Model]]," ",表格1[[#This Row],[inv no]])</f>
        <v xml:space="preserve">RC-15ISTHK(W) </v>
      </c>
      <c r="S854" s="135">
        <f>_xlfn.XLOOKUP(表格1[[#This Row],[Model]],表格3[Model-Input-Ref2],表格3[SRP PRICE])</f>
        <v>1688</v>
      </c>
      <c r="T854" s="43">
        <f>表格1[[#This Row],[Unit Price]]/表格1[[#This Row],[SRP]]</f>
        <v>0.29620853080568721</v>
      </c>
      <c r="U854" s="86" t="str">
        <f>_xlfn.XLOOKUP(表格1[[#This Row],[Model]],表格3[Model-Input-Ref2],表格3[TOSHIBA/HIGHEST])</f>
        <v>Toshiba SRP</v>
      </c>
      <c r="V854" s="86" t="s">
        <v>1126</v>
      </c>
      <c r="W854" s="86" t="str">
        <f>_xlfn.CONCAT(表格1[[#This Row],[欄4]],表格1[[#This Row],[inv no]])</f>
        <v>DA141</v>
      </c>
    </row>
    <row r="855" spans="1:23" hidden="1">
      <c r="A855" s="81">
        <v>853</v>
      </c>
      <c r="B855" s="81" t="s">
        <v>1203</v>
      </c>
      <c r="C855" s="81" t="s">
        <v>1449</v>
      </c>
      <c r="D855" s="82" t="str">
        <f ca="1">OFFSET(Roster!$A$3,MATCH(表格1[[#This Row],[Location]]&amp;" "&amp;表格1[[#This Row],[Shop]]&amp;"*",Roster!$A$4:$A$72,0),DAY(表格1[[#This Row],[date]]),1,1)</f>
        <v>Ho_1</v>
      </c>
      <c r="E855" s="81">
        <f>MONTH(表格1[[#This Row],[date]])</f>
        <v>3</v>
      </c>
      <c r="F855" s="101">
        <v>46095</v>
      </c>
      <c r="G855" s="81" t="str">
        <f>VLOOKUP("*"&amp;表格1[[#This Row],[Input]]&amp;"*",'Ref-List'!$B:$D,2,)</f>
        <v>IC-21TSHK</v>
      </c>
      <c r="H855" s="81" t="str">
        <f>_xlfn.XLOOKUP(表格1[[#This Row],[Model]],表格3[Model-Input-Ref2],表格3[Product Line])</f>
        <v>Induction Cooker</v>
      </c>
      <c r="I855" s="81" t="str">
        <f>_xlfn.XLOOKUP(表格1[[#This Row],[Model]],表格3[Model-Input-Ref2],表格3[大小電])</f>
        <v>細電</v>
      </c>
      <c r="J855" s="81" t="str">
        <f>_xlfn.XLOOKUP(表格1[[#This Row],[Model]],表格3[Model-Input-Ref2],表格3[Code])</f>
        <v>SDA</v>
      </c>
      <c r="K855" s="82" t="s">
        <v>1242</v>
      </c>
      <c r="L855" s="81">
        <v>1</v>
      </c>
      <c r="M855" s="85">
        <v>500</v>
      </c>
      <c r="N855" s="85">
        <f>IFERROR(表格1[[#This Row],[QTY]]*表格1[[#This Row],[Unit Price]],"-")</f>
        <v>500</v>
      </c>
      <c r="O855" s="134"/>
      <c r="P855" s="81" t="s">
        <v>1451</v>
      </c>
      <c r="Q855" s="81"/>
      <c r="R855" s="81" t="str">
        <f>_xlfn.CONCAT(表格1[[#This Row],[Model]]," ",表格1[[#This Row],[inv no]])</f>
        <v xml:space="preserve">IC-21TSHK </v>
      </c>
      <c r="S855" s="135">
        <f>_xlfn.XLOOKUP(表格1[[#This Row],[Model]],表格3[Model-Input-Ref2],表格3[SRP PRICE])</f>
        <v>998</v>
      </c>
      <c r="T855" s="43">
        <f>表格1[[#This Row],[Unit Price]]/表格1[[#This Row],[SRP]]</f>
        <v>0.50100200400801598</v>
      </c>
      <c r="U855" s="86" t="str">
        <f>_xlfn.XLOOKUP(表格1[[#This Row],[Model]],表格3[Model-Input-Ref2],表格3[TOSHIBA/HIGHEST])</f>
        <v>web SRP</v>
      </c>
      <c r="V855" s="86" t="s">
        <v>1126</v>
      </c>
      <c r="W855" s="86" t="str">
        <f>_xlfn.CONCAT(表格1[[#This Row],[欄4]],表格1[[#This Row],[inv no]])</f>
        <v>DA141</v>
      </c>
    </row>
    <row r="856" spans="1:23" hidden="1">
      <c r="A856" s="81">
        <v>854</v>
      </c>
      <c r="B856" s="81" t="s">
        <v>1203</v>
      </c>
      <c r="C856" s="81" t="s">
        <v>1449</v>
      </c>
      <c r="D856" s="82" t="str">
        <f ca="1">OFFSET(Roster!$A$3,MATCH(表格1[[#This Row],[Location]]&amp;" "&amp;表格1[[#This Row],[Shop]]&amp;"*",Roster!$A$4:$A$72,0),DAY(表格1[[#This Row],[date]]),1,1)</f>
        <v>Ho_1</v>
      </c>
      <c r="E856" s="81">
        <f>MONTH(表格1[[#This Row],[date]])</f>
        <v>3</v>
      </c>
      <c r="F856" s="101">
        <v>46096</v>
      </c>
      <c r="G856" s="81" t="str">
        <f>VLOOKUP("*"&amp;表格1[[#This Row],[Input]]&amp;"*",'Ref-List'!$B:$D,2,)</f>
        <v>TWP-TSR76THK(W)</v>
      </c>
      <c r="H856" s="81" t="str">
        <f>_xlfn.XLOOKUP(表格1[[#This Row],[Model]],表格3[Model-Input-Ref2],表格3[Product Line])</f>
        <v>RO座檯式飲水機</v>
      </c>
      <c r="I856" s="81" t="str">
        <f>_xlfn.XLOOKUP(表格1[[#This Row],[Model]],表格3[Model-Input-Ref2],表格3[大小電])</f>
        <v>細電</v>
      </c>
      <c r="J856" s="81" t="str">
        <f>_xlfn.XLOOKUP(表格1[[#This Row],[Model]],表格3[Model-Input-Ref2],表格3[Code])</f>
        <v>KWH</v>
      </c>
      <c r="K856" s="82" t="s">
        <v>1197</v>
      </c>
      <c r="L856" s="81">
        <v>1</v>
      </c>
      <c r="M856" s="85">
        <v>1500</v>
      </c>
      <c r="N856" s="85">
        <f>IFERROR(表格1[[#This Row],[QTY]]*表格1[[#This Row],[Unit Price]],"-")</f>
        <v>1500</v>
      </c>
      <c r="O856" s="134">
        <v>6118735</v>
      </c>
      <c r="P856" s="81"/>
      <c r="Q856" s="81"/>
      <c r="R856" s="81" t="str">
        <f>_xlfn.CONCAT(表格1[[#This Row],[Model]]," ",表格1[[#This Row],[inv no]])</f>
        <v>TWP-TSR76THK(W) 6118735</v>
      </c>
      <c r="S856" s="135">
        <f>_xlfn.XLOOKUP(表格1[[#This Row],[Model]],表格3[Model-Input-Ref2],表格3[SRP PRICE])</f>
        <v>2680</v>
      </c>
      <c r="T856" s="43">
        <f>表格1[[#This Row],[Unit Price]]/表格1[[#This Row],[SRP]]</f>
        <v>0.55970149253731338</v>
      </c>
      <c r="U856" s="86" t="str">
        <f>_xlfn.XLOOKUP(表格1[[#This Row],[Model]],表格3[Model-Input-Ref2],表格3[TOSHIBA/HIGHEST])</f>
        <v>Toshiba SRP</v>
      </c>
      <c r="V856" s="86" t="s">
        <v>1126</v>
      </c>
      <c r="W856" s="86" t="str">
        <f>_xlfn.CONCAT(表格1[[#This Row],[欄4]],表格1[[#This Row],[inv no]])</f>
        <v>DA1416118735</v>
      </c>
    </row>
    <row r="857" spans="1:23" hidden="1">
      <c r="A857" s="81">
        <v>855</v>
      </c>
      <c r="B857" s="81" t="s">
        <v>1203</v>
      </c>
      <c r="C857" s="81" t="s">
        <v>1449</v>
      </c>
      <c r="D857" s="82" t="str">
        <f ca="1">OFFSET(Roster!$A$3,MATCH(表格1[[#This Row],[Location]]&amp;" "&amp;表格1[[#This Row],[Shop]]&amp;"*",Roster!$A$4:$A$72,0),DAY(表格1[[#This Row],[date]]),1,1)</f>
        <v>Ho_1</v>
      </c>
      <c r="E857" s="81">
        <f>MONTH(表格1[[#This Row],[date]])</f>
        <v>3</v>
      </c>
      <c r="F857" s="101">
        <v>46096</v>
      </c>
      <c r="G857" s="81" t="str">
        <f>VLOOKUP("*"&amp;表格1[[#This Row],[Input]]&amp;"*",'Ref-List'!$B:$D,2,)</f>
        <v>DWS-34AHK</v>
      </c>
      <c r="H857" s="81" t="str">
        <f>_xlfn.XLOOKUP(表格1[[#This Row],[Model]],表格3[Model-Input-Ref2],表格3[Product Line])</f>
        <v>獨立式免安裝洗碗碟機</v>
      </c>
      <c r="I857" s="81" t="str">
        <f>_xlfn.XLOOKUP(表格1[[#This Row],[Model]],表格3[Model-Input-Ref2],表格3[大小電])</f>
        <v>細電</v>
      </c>
      <c r="J857" s="81" t="str">
        <f>_xlfn.XLOOKUP(表格1[[#This Row],[Model]],表格3[Model-Input-Ref2],表格3[Code])</f>
        <v>DM</v>
      </c>
      <c r="K857" s="82" t="s">
        <v>1240</v>
      </c>
      <c r="L857" s="81">
        <v>1</v>
      </c>
      <c r="M857" s="85">
        <v>1500</v>
      </c>
      <c r="N857" s="85">
        <f>IFERROR(表格1[[#This Row],[QTY]]*表格1[[#This Row],[Unit Price]],"-")</f>
        <v>1500</v>
      </c>
      <c r="O857" s="134">
        <v>6118767</v>
      </c>
      <c r="P857" s="81"/>
      <c r="Q857" s="81"/>
      <c r="R857" s="81" t="str">
        <f>_xlfn.CONCAT(表格1[[#This Row],[Model]]," ",表格1[[#This Row],[inv no]])</f>
        <v>DWS-34AHK 6118767</v>
      </c>
      <c r="S857" s="135">
        <f>_xlfn.XLOOKUP(表格1[[#This Row],[Model]],表格3[Model-Input-Ref2],表格3[SRP PRICE])</f>
        <v>3999</v>
      </c>
      <c r="T857" s="43">
        <f>表格1[[#This Row],[Unit Price]]/表格1[[#This Row],[SRP]]</f>
        <v>0.37509377344336087</v>
      </c>
      <c r="U857" s="86" t="str">
        <f>_xlfn.XLOOKUP(表格1[[#This Row],[Model]],表格3[Model-Input-Ref2],表格3[TOSHIBA/HIGHEST])</f>
        <v>Web SRP</v>
      </c>
      <c r="V857" s="86" t="s">
        <v>1126</v>
      </c>
      <c r="W857" s="86" t="str">
        <f>_xlfn.CONCAT(表格1[[#This Row],[欄4]],表格1[[#This Row],[inv no]])</f>
        <v>DA1416118767</v>
      </c>
    </row>
    <row r="858" spans="1:23" hidden="1">
      <c r="A858" s="81">
        <v>856</v>
      </c>
      <c r="B858" s="81" t="s">
        <v>1203</v>
      </c>
      <c r="C858" s="81" t="s">
        <v>1449</v>
      </c>
      <c r="D858" s="82" t="str">
        <f ca="1">OFFSET(Roster!$A$3,MATCH(表格1[[#This Row],[Location]]&amp;" "&amp;表格1[[#This Row],[Shop]]&amp;"*",Roster!$A$4:$A$72,0),DAY(表格1[[#This Row],[date]]),1,1)</f>
        <v>Ho_1</v>
      </c>
      <c r="E858" s="81">
        <f>MONTH(表格1[[#This Row],[date]])</f>
        <v>3</v>
      </c>
      <c r="F858" s="101">
        <v>46096</v>
      </c>
      <c r="G858" s="81" t="str">
        <f>VLOOKUP("*"&amp;表格1[[#This Row],[Input]]&amp;"*",'Ref-List'!$B:$D,2,)</f>
        <v>AW-M901BPH(WW)</v>
      </c>
      <c r="H858" s="81" t="str">
        <f>_xlfn.XLOOKUP(表格1[[#This Row],[Model]],表格3[Model-Input-Ref2],表格3[Product Line])</f>
        <v>全自動洗衣機 (8公斤 結合高低水位)</v>
      </c>
      <c r="I858" s="81" t="str">
        <f>_xlfn.XLOOKUP(表格1[[#This Row],[Model]],表格3[Model-Input-Ref2],表格3[大小電])</f>
        <v>大電</v>
      </c>
      <c r="J858" s="81" t="str">
        <f>_xlfn.XLOOKUP(表格1[[#This Row],[Model]],表格3[Model-Input-Ref2],表格3[Code])</f>
        <v>WM</v>
      </c>
      <c r="K858" s="82" t="s">
        <v>1202</v>
      </c>
      <c r="L858" s="81">
        <v>1</v>
      </c>
      <c r="M858" s="85">
        <v>1500</v>
      </c>
      <c r="N858" s="85">
        <f>IFERROR(表格1[[#This Row],[QTY]]*表格1[[#This Row],[Unit Price]],"-")</f>
        <v>1500</v>
      </c>
      <c r="O858" s="134">
        <v>6118753</v>
      </c>
      <c r="P858" s="81"/>
      <c r="Q858" s="81"/>
      <c r="R858" s="81" t="str">
        <f>_xlfn.CONCAT(表格1[[#This Row],[Model]]," ",表格1[[#This Row],[inv no]])</f>
        <v>AW-M901BPH(WW) 6118753</v>
      </c>
      <c r="S858" s="135">
        <f>_xlfn.XLOOKUP(表格1[[#This Row],[Model]],表格3[Model-Input-Ref2],表格3[SRP PRICE])</f>
        <v>3580</v>
      </c>
      <c r="T858" s="43">
        <f>表格1[[#This Row],[Unit Price]]/表格1[[#This Row],[SRP]]</f>
        <v>0.41899441340782123</v>
      </c>
      <c r="U858" s="86" t="str">
        <f>_xlfn.XLOOKUP(表格1[[#This Row],[Model]],表格3[Model-Input-Ref2],表格3[TOSHIBA/HIGHEST])</f>
        <v>Toshiba SRP</v>
      </c>
      <c r="V858" s="86" t="s">
        <v>1126</v>
      </c>
      <c r="W858" s="86" t="str">
        <f>_xlfn.CONCAT(表格1[[#This Row],[欄4]],表格1[[#This Row],[inv no]])</f>
        <v>DA1416118753</v>
      </c>
    </row>
    <row r="859" spans="1:23" hidden="1">
      <c r="A859" s="81">
        <v>857</v>
      </c>
      <c r="B859" s="81" t="s">
        <v>1203</v>
      </c>
      <c r="C859" s="81" t="s">
        <v>1449</v>
      </c>
      <c r="D859" s="82" t="str">
        <f ca="1">OFFSET(Roster!$A$3,MATCH(表格1[[#This Row],[Location]]&amp;" "&amp;表格1[[#This Row],[Shop]]&amp;"*",Roster!$A$4:$A$72,0),DAY(表格1[[#This Row],[date]]),1,1)</f>
        <v>Ho_1</v>
      </c>
      <c r="E859" s="81">
        <f>MONTH(表格1[[#This Row],[date]])</f>
        <v>3</v>
      </c>
      <c r="F859" s="101">
        <v>46096</v>
      </c>
      <c r="G859" s="81" t="str">
        <f>VLOOKUP("*"&amp;表格1[[#This Row],[Input]]&amp;"*",'Ref-List'!$B:$D,2,)</f>
        <v>AW-M901BPH(WW)</v>
      </c>
      <c r="H859" s="81" t="str">
        <f>_xlfn.XLOOKUP(表格1[[#This Row],[Model]],表格3[Model-Input-Ref2],表格3[Product Line])</f>
        <v>全自動洗衣機 (8公斤 結合高低水位)</v>
      </c>
      <c r="I859" s="81" t="str">
        <f>_xlfn.XLOOKUP(表格1[[#This Row],[Model]],表格3[Model-Input-Ref2],表格3[大小電])</f>
        <v>大電</v>
      </c>
      <c r="J859" s="81" t="str">
        <f>_xlfn.XLOOKUP(表格1[[#This Row],[Model]],表格3[Model-Input-Ref2],表格3[Code])</f>
        <v>WM</v>
      </c>
      <c r="K859" s="82" t="s">
        <v>1202</v>
      </c>
      <c r="L859" s="81">
        <v>1</v>
      </c>
      <c r="M859" s="85">
        <v>1500</v>
      </c>
      <c r="N859" s="85">
        <f>IFERROR(表格1[[#This Row],[QTY]]*表格1[[#This Row],[Unit Price]],"-")</f>
        <v>1500</v>
      </c>
      <c r="O859" s="134">
        <v>6118784</v>
      </c>
      <c r="P859" s="81"/>
      <c r="Q859" s="81"/>
      <c r="R859" s="81" t="str">
        <f>_xlfn.CONCAT(表格1[[#This Row],[Model]]," ",表格1[[#This Row],[inv no]])</f>
        <v>AW-M901BPH(WW) 6118784</v>
      </c>
      <c r="S859" s="135">
        <f>_xlfn.XLOOKUP(表格1[[#This Row],[Model]],表格3[Model-Input-Ref2],表格3[SRP PRICE])</f>
        <v>3580</v>
      </c>
      <c r="T859" s="43">
        <f>表格1[[#This Row],[Unit Price]]/表格1[[#This Row],[SRP]]</f>
        <v>0.41899441340782123</v>
      </c>
      <c r="U859" s="86" t="str">
        <f>_xlfn.XLOOKUP(表格1[[#This Row],[Model]],表格3[Model-Input-Ref2],表格3[TOSHIBA/HIGHEST])</f>
        <v>Toshiba SRP</v>
      </c>
      <c r="V859" s="86" t="s">
        <v>1126</v>
      </c>
      <c r="W859" s="86" t="str">
        <f>_xlfn.CONCAT(表格1[[#This Row],[欄4]],表格1[[#This Row],[inv no]])</f>
        <v>DA1416118784</v>
      </c>
    </row>
    <row r="860" spans="1:23" hidden="1">
      <c r="A860" s="81">
        <v>858</v>
      </c>
      <c r="B860" s="81" t="s">
        <v>1203</v>
      </c>
      <c r="C860" s="81" t="s">
        <v>1449</v>
      </c>
      <c r="D860" s="82" t="str">
        <f ca="1">OFFSET(Roster!$A$3,MATCH(表格1[[#This Row],[Location]]&amp;" "&amp;表格1[[#This Row],[Shop]]&amp;"*",Roster!$A$4:$A$72,0),DAY(表格1[[#This Row],[date]]),1,1)</f>
        <v>Ho_1</v>
      </c>
      <c r="E860" s="81">
        <f>MONTH(表格1[[#This Row],[date]])</f>
        <v>3</v>
      </c>
      <c r="F860" s="101">
        <v>46096</v>
      </c>
      <c r="G860" s="81" t="str">
        <f>VLOOKUP("*"&amp;表格1[[#This Row],[Input]]&amp;"*",'Ref-List'!$B:$D,2,)</f>
        <v>AW-M901BPH(WW)</v>
      </c>
      <c r="H860" s="81" t="str">
        <f>_xlfn.XLOOKUP(表格1[[#This Row],[Model]],表格3[Model-Input-Ref2],表格3[Product Line])</f>
        <v>全自動洗衣機 (8公斤 結合高低水位)</v>
      </c>
      <c r="I860" s="81" t="str">
        <f>_xlfn.XLOOKUP(表格1[[#This Row],[Model]],表格3[Model-Input-Ref2],表格3[大小電])</f>
        <v>大電</v>
      </c>
      <c r="J860" s="81" t="str">
        <f>_xlfn.XLOOKUP(表格1[[#This Row],[Model]],表格3[Model-Input-Ref2],表格3[Code])</f>
        <v>WM</v>
      </c>
      <c r="K860" s="82" t="s">
        <v>1202</v>
      </c>
      <c r="L860" s="81">
        <v>1</v>
      </c>
      <c r="M860" s="85">
        <v>1500</v>
      </c>
      <c r="N860" s="85">
        <f>IFERROR(表格1[[#This Row],[QTY]]*表格1[[#This Row],[Unit Price]],"-")</f>
        <v>1500</v>
      </c>
      <c r="O860" s="134">
        <v>6118797</v>
      </c>
      <c r="P860" s="136"/>
      <c r="Q860" s="81"/>
      <c r="R860" s="81" t="str">
        <f>_xlfn.CONCAT(表格1[[#This Row],[Model]]," ",表格1[[#This Row],[inv no]])</f>
        <v>AW-M901BPH(WW) 6118797</v>
      </c>
      <c r="S860" s="135">
        <f>_xlfn.XLOOKUP(表格1[[#This Row],[Model]],表格3[Model-Input-Ref2],表格3[SRP PRICE])</f>
        <v>3580</v>
      </c>
      <c r="T860" s="43">
        <f>表格1[[#This Row],[Unit Price]]/表格1[[#This Row],[SRP]]</f>
        <v>0.41899441340782123</v>
      </c>
      <c r="U860" s="86" t="str">
        <f>_xlfn.XLOOKUP(表格1[[#This Row],[Model]],表格3[Model-Input-Ref2],表格3[TOSHIBA/HIGHEST])</f>
        <v>Toshiba SRP</v>
      </c>
      <c r="V860" s="86" t="s">
        <v>1126</v>
      </c>
      <c r="W860" s="86" t="str">
        <f>_xlfn.CONCAT(表格1[[#This Row],[欄4]],表格1[[#This Row],[inv no]])</f>
        <v>DA1416118797</v>
      </c>
    </row>
    <row r="861" spans="1:23" hidden="1">
      <c r="A861" s="81">
        <v>859</v>
      </c>
      <c r="B861" s="81" t="s">
        <v>1203</v>
      </c>
      <c r="C861" s="81" t="s">
        <v>1449</v>
      </c>
      <c r="D861" s="82" t="str">
        <f ca="1">OFFSET(Roster!$A$3,MATCH(表格1[[#This Row],[Location]]&amp;" "&amp;表格1[[#This Row],[Shop]]&amp;"*",Roster!$A$4:$A$72,0),DAY(表格1[[#This Row],[date]]),1,1)</f>
        <v>Ho_1</v>
      </c>
      <c r="E861" s="81">
        <f>MONTH(表格1[[#This Row],[date]])</f>
        <v>3</v>
      </c>
      <c r="F861" s="101">
        <v>46096</v>
      </c>
      <c r="G861" s="81" t="str">
        <f>VLOOKUP("*"&amp;表格1[[#This Row],[Input]]&amp;"*",'Ref-List'!$B:$D,2,)</f>
        <v>PLK-45SFIH(WT)</v>
      </c>
      <c r="H861" s="81" t="str">
        <f>_xlfn.XLOOKUP(表格1[[#This Row],[Model]],表格3[Model-Input-Ref2],表格3[Product Line])</f>
        <v>電熱水瓶4.5L</v>
      </c>
      <c r="I861" s="81" t="str">
        <f>_xlfn.XLOOKUP(表格1[[#This Row],[Model]],表格3[Model-Input-Ref2],表格3[大小電])</f>
        <v>細電</v>
      </c>
      <c r="J861" s="81" t="str">
        <f>_xlfn.XLOOKUP(表格1[[#This Row],[Model]],表格3[Model-Input-Ref2],表格3[Code])</f>
        <v>SDA</v>
      </c>
      <c r="K861" s="82" t="s">
        <v>1117</v>
      </c>
      <c r="L861" s="81">
        <v>3</v>
      </c>
      <c r="M861" s="85">
        <v>500</v>
      </c>
      <c r="N861" s="85">
        <f>IFERROR(表格1[[#This Row],[QTY]]*表格1[[#This Row],[Unit Price]],"-")</f>
        <v>1500</v>
      </c>
      <c r="O861" s="134"/>
      <c r="P861" s="81"/>
      <c r="Q861" s="81"/>
      <c r="R861" s="81" t="str">
        <f>_xlfn.CONCAT(表格1[[#This Row],[Model]]," ",表格1[[#This Row],[inv no]])</f>
        <v xml:space="preserve">PLK-45SFIH(WT) </v>
      </c>
      <c r="S861" s="135">
        <f>_xlfn.XLOOKUP(表格1[[#This Row],[Model]],表格3[Model-Input-Ref2],表格3[SRP PRICE])</f>
        <v>788</v>
      </c>
      <c r="T861" s="43">
        <f>表格1[[#This Row],[Unit Price]]/表格1[[#This Row],[SRP]]</f>
        <v>0.63451776649746194</v>
      </c>
      <c r="U861" s="86" t="str">
        <f>_xlfn.XLOOKUP(表格1[[#This Row],[Model]],表格3[Model-Input-Ref2],表格3[TOSHIBA/HIGHEST])</f>
        <v>Toshiba SRP</v>
      </c>
      <c r="V861" s="86" t="s">
        <v>1126</v>
      </c>
      <c r="W861" s="86" t="str">
        <f>_xlfn.CONCAT(表格1[[#This Row],[欄4]],表格1[[#This Row],[inv no]])</f>
        <v>DA141</v>
      </c>
    </row>
    <row r="862" spans="1:23" hidden="1">
      <c r="A862" s="81">
        <v>860</v>
      </c>
      <c r="B862" s="81" t="s">
        <v>1203</v>
      </c>
      <c r="C862" s="81" t="s">
        <v>1449</v>
      </c>
      <c r="D862" s="82" t="str">
        <f ca="1">OFFSET(Roster!$A$3,MATCH(表格1[[#This Row],[Location]]&amp;" "&amp;表格1[[#This Row],[Shop]]&amp;"*",Roster!$A$4:$A$72,0),DAY(表格1[[#This Row],[date]]),1,1)</f>
        <v>Ho_1</v>
      </c>
      <c r="E862" s="81">
        <f>MONTH(表格1[[#This Row],[date]])</f>
        <v>3</v>
      </c>
      <c r="F862" s="101">
        <v>46096</v>
      </c>
      <c r="G862" s="81" t="str">
        <f>VLOOKUP("*"&amp;表格1[[#This Row],[Input]]&amp;"*",'Ref-List'!$B:$D,2,)</f>
        <v>MW2-MM24PC(BK)</v>
      </c>
      <c r="H862" s="81" t="str">
        <f>_xlfn.XLOOKUP(表格1[[#This Row],[Model]],表格3[Model-Input-Ref2],表格3[Product Line])</f>
        <v>旋鈕式微波爐24L</v>
      </c>
      <c r="I862" s="81" t="str">
        <f>_xlfn.XLOOKUP(表格1[[#This Row],[Model]],表格3[Model-Input-Ref2],表格3[大小電])</f>
        <v>細電</v>
      </c>
      <c r="J862" s="81" t="str">
        <f>_xlfn.XLOOKUP(表格1[[#This Row],[Model]],表格3[Model-Input-Ref2],表格3[Code])</f>
        <v>SDA</v>
      </c>
      <c r="K862" s="82" t="s">
        <v>1196</v>
      </c>
      <c r="L862" s="81">
        <v>1</v>
      </c>
      <c r="M862" s="85">
        <v>500</v>
      </c>
      <c r="N862" s="85">
        <f>IFERROR(表格1[[#This Row],[QTY]]*表格1[[#This Row],[Unit Price]],"-")</f>
        <v>500</v>
      </c>
      <c r="O862" s="134"/>
      <c r="P862" s="81"/>
      <c r="Q862" s="81"/>
      <c r="R862" s="81" t="str">
        <f>_xlfn.CONCAT(表格1[[#This Row],[Model]]," ",表格1[[#This Row],[inv no]])</f>
        <v xml:space="preserve">MW2-MM24PC(BK) </v>
      </c>
      <c r="S862" s="135">
        <f>_xlfn.XLOOKUP(表格1[[#This Row],[Model]],表格3[Model-Input-Ref2],表格3[SRP PRICE])</f>
        <v>848</v>
      </c>
      <c r="T862" s="43">
        <f>表格1[[#This Row],[Unit Price]]/表格1[[#This Row],[SRP]]</f>
        <v>0.589622641509434</v>
      </c>
      <c r="U862" s="86" t="str">
        <f>_xlfn.XLOOKUP(表格1[[#This Row],[Model]],表格3[Model-Input-Ref2],表格3[TOSHIBA/HIGHEST])</f>
        <v>Toshiba SRP</v>
      </c>
      <c r="V862" s="86" t="s">
        <v>1126</v>
      </c>
      <c r="W862" s="86" t="str">
        <f>_xlfn.CONCAT(表格1[[#This Row],[欄4]],表格1[[#This Row],[inv no]])</f>
        <v>DA141</v>
      </c>
    </row>
    <row r="863" spans="1:23" hidden="1">
      <c r="A863" s="81">
        <v>861</v>
      </c>
      <c r="B863" s="81" t="s">
        <v>1203</v>
      </c>
      <c r="C863" s="81" t="s">
        <v>1449</v>
      </c>
      <c r="D863" s="82" t="str">
        <f ca="1">OFFSET(Roster!$A$3,MATCH(表格1[[#This Row],[Location]]&amp;" "&amp;表格1[[#This Row],[Shop]]&amp;"*",Roster!$A$4:$A$72,0),DAY(表格1[[#This Row],[date]]),1,1)</f>
        <v>Ho_1</v>
      </c>
      <c r="E863" s="81">
        <f>MONTH(表格1[[#This Row],[date]])</f>
        <v>3</v>
      </c>
      <c r="F863" s="101">
        <v>46096</v>
      </c>
      <c r="G863" s="81" t="str">
        <f>VLOOKUP("*"&amp;表格1[[#This Row],[Input]]&amp;"*",'Ref-List'!$B:$D,2,)</f>
        <v>IC-21TSHK</v>
      </c>
      <c r="H863" s="81" t="str">
        <f>_xlfn.XLOOKUP(表格1[[#This Row],[Model]],表格3[Model-Input-Ref2],表格3[Product Line])</f>
        <v>Induction Cooker</v>
      </c>
      <c r="I863" s="81" t="str">
        <f>_xlfn.XLOOKUP(表格1[[#This Row],[Model]],表格3[Model-Input-Ref2],表格3[大小電])</f>
        <v>細電</v>
      </c>
      <c r="J863" s="81" t="str">
        <f>_xlfn.XLOOKUP(表格1[[#This Row],[Model]],表格3[Model-Input-Ref2],表格3[Code])</f>
        <v>SDA</v>
      </c>
      <c r="K863" s="82" t="s">
        <v>1242</v>
      </c>
      <c r="L863" s="81">
        <v>1</v>
      </c>
      <c r="M863" s="85">
        <v>500</v>
      </c>
      <c r="N863" s="85">
        <f>IFERROR(表格1[[#This Row],[QTY]]*表格1[[#This Row],[Unit Price]],"-")</f>
        <v>500</v>
      </c>
      <c r="O863" s="134"/>
      <c r="P863" s="81"/>
      <c r="Q863" s="81"/>
      <c r="R863" s="81" t="str">
        <f>_xlfn.CONCAT(表格1[[#This Row],[Model]]," ",表格1[[#This Row],[inv no]])</f>
        <v xml:space="preserve">IC-21TSHK </v>
      </c>
      <c r="S863" s="135">
        <f>_xlfn.XLOOKUP(表格1[[#This Row],[Model]],表格3[Model-Input-Ref2],表格3[SRP PRICE])</f>
        <v>998</v>
      </c>
      <c r="T863" s="43">
        <f>表格1[[#This Row],[Unit Price]]/表格1[[#This Row],[SRP]]</f>
        <v>0.50100200400801598</v>
      </c>
      <c r="U863" s="86" t="str">
        <f>_xlfn.XLOOKUP(表格1[[#This Row],[Model]],表格3[Model-Input-Ref2],表格3[TOSHIBA/HIGHEST])</f>
        <v>web SRP</v>
      </c>
      <c r="V863" s="86" t="s">
        <v>1126</v>
      </c>
      <c r="W863" s="86" t="str">
        <f>_xlfn.CONCAT(表格1[[#This Row],[欄4]],表格1[[#This Row],[inv no]])</f>
        <v>DA141</v>
      </c>
    </row>
    <row r="864" spans="1:23" hidden="1">
      <c r="A864" s="81">
        <v>862</v>
      </c>
      <c r="B864" s="81" t="s">
        <v>1203</v>
      </c>
      <c r="C864" s="81" t="s">
        <v>1449</v>
      </c>
      <c r="D864" s="82" t="str">
        <f ca="1">OFFSET(Roster!$A$3,MATCH(表格1[[#This Row],[Location]]&amp;" "&amp;表格1[[#This Row],[Shop]]&amp;"*",Roster!$A$4:$A$72,0),DAY(表格1[[#This Row],[date]]),1,1)</f>
        <v>Ho_1</v>
      </c>
      <c r="E864" s="81">
        <f>MONTH(表格1[[#This Row],[date]])</f>
        <v>3</v>
      </c>
      <c r="F864" s="101">
        <v>46096</v>
      </c>
      <c r="G864" s="81" t="str">
        <f>VLOOKUP("*"&amp;表格1[[#This Row],[Input]]&amp;"*",'Ref-List'!$B:$D,2,)</f>
        <v>RC-15ISTHK(W)</v>
      </c>
      <c r="H864" s="81" t="str">
        <f>_xlfn.XLOOKUP(表格1[[#This Row],[Model]],表格3[Model-Input-Ref2],表格3[Product Line])</f>
        <v>磁應電飯煲(1.5公升)</v>
      </c>
      <c r="I864" s="81" t="str">
        <f>_xlfn.XLOOKUP(表格1[[#This Row],[Model]],表格3[Model-Input-Ref2],表格3[大小電])</f>
        <v>細電</v>
      </c>
      <c r="J864" s="81" t="str">
        <f>_xlfn.XLOOKUP(表格1[[#This Row],[Model]],表格3[Model-Input-Ref2],表格3[Code])</f>
        <v>SDA</v>
      </c>
      <c r="K864" s="82" t="s">
        <v>1204</v>
      </c>
      <c r="L864" s="81">
        <v>7</v>
      </c>
      <c r="M864" s="85">
        <v>500</v>
      </c>
      <c r="N864" s="85">
        <f>IFERROR(表格1[[#This Row],[QTY]]*表格1[[#This Row],[Unit Price]],"-")</f>
        <v>3500</v>
      </c>
      <c r="O864" s="134"/>
      <c r="P864" s="81"/>
      <c r="Q864" s="81"/>
      <c r="R864" s="81" t="str">
        <f>_xlfn.CONCAT(表格1[[#This Row],[Model]]," ",表格1[[#This Row],[inv no]])</f>
        <v xml:space="preserve">RC-15ISTHK(W) </v>
      </c>
      <c r="S864" s="135">
        <f>_xlfn.XLOOKUP(表格1[[#This Row],[Model]],表格3[Model-Input-Ref2],表格3[SRP PRICE])</f>
        <v>1688</v>
      </c>
      <c r="T864" s="43">
        <f>表格1[[#This Row],[Unit Price]]/表格1[[#This Row],[SRP]]</f>
        <v>0.29620853080568721</v>
      </c>
      <c r="U864" s="86" t="str">
        <f>_xlfn.XLOOKUP(表格1[[#This Row],[Model]],表格3[Model-Input-Ref2],表格3[TOSHIBA/HIGHEST])</f>
        <v>Toshiba SRP</v>
      </c>
      <c r="V864" s="86" t="s">
        <v>1126</v>
      </c>
      <c r="W864" s="86" t="str">
        <f>_xlfn.CONCAT(表格1[[#This Row],[欄4]],表格1[[#This Row],[inv no]])</f>
        <v>DA141</v>
      </c>
    </row>
    <row r="865" spans="1:23" hidden="1">
      <c r="A865" s="81">
        <v>863</v>
      </c>
      <c r="B865" s="81" t="s">
        <v>1203</v>
      </c>
      <c r="C865" s="81" t="s">
        <v>1449</v>
      </c>
      <c r="D865" s="82" t="str">
        <f ca="1">OFFSET(Roster!$A$3,MATCH(表格1[[#This Row],[Location]]&amp;" "&amp;表格1[[#This Row],[Shop]]&amp;"*",Roster!$A$4:$A$72,0),DAY(表格1[[#This Row],[date]]),1,1)</f>
        <v>Ho_1</v>
      </c>
      <c r="E865" s="81">
        <f>MONTH(表格1[[#This Row],[date]])</f>
        <v>3</v>
      </c>
      <c r="F865" s="101">
        <v>46096</v>
      </c>
      <c r="G865" s="81" t="str">
        <f>VLOOKUP("*"&amp;表格1[[#This Row],[Input]]&amp;"*",'Ref-List'!$B:$D,2,)</f>
        <v>IC-20R1THK</v>
      </c>
      <c r="H865" s="81" t="str">
        <f>_xlfn.XLOOKUP(表格1[[#This Row],[Model]],表格3[Model-Input-Ref2],表格3[Product Line])</f>
        <v>輕便式電磁爐</v>
      </c>
      <c r="I865" s="81" t="str">
        <f>_xlfn.XLOOKUP(表格1[[#This Row],[Model]],表格3[Model-Input-Ref2],表格3[大小電])</f>
        <v>細電</v>
      </c>
      <c r="J865" s="81" t="str">
        <f>_xlfn.XLOOKUP(表格1[[#This Row],[Model]],表格3[Model-Input-Ref2],表格3[Code])</f>
        <v>SDA</v>
      </c>
      <c r="K865" s="82" t="s">
        <v>1243</v>
      </c>
      <c r="L865" s="81">
        <v>1</v>
      </c>
      <c r="M865" s="85">
        <v>290</v>
      </c>
      <c r="N865" s="85">
        <f>IFERROR(表格1[[#This Row],[QTY]]*表格1[[#This Row],[Unit Price]],"-")</f>
        <v>290</v>
      </c>
      <c r="O865" s="134"/>
      <c r="P865" s="81"/>
      <c r="Q865" s="81"/>
      <c r="R865" s="81" t="str">
        <f>_xlfn.CONCAT(表格1[[#This Row],[Model]]," ",表格1[[#This Row],[inv no]])</f>
        <v xml:space="preserve">IC-20R1THK </v>
      </c>
      <c r="S865" s="135">
        <f>_xlfn.XLOOKUP(表格1[[#This Row],[Model]],表格3[Model-Input-Ref2],表格3[SRP PRICE])</f>
        <v>438</v>
      </c>
      <c r="T865" s="43">
        <f>表格1[[#This Row],[Unit Price]]/表格1[[#This Row],[SRP]]</f>
        <v>0.66210045662100458</v>
      </c>
      <c r="U865" s="86" t="str">
        <f>_xlfn.XLOOKUP(表格1[[#This Row],[Model]],表格3[Model-Input-Ref2],表格3[TOSHIBA/HIGHEST])</f>
        <v>Shops Highest Price</v>
      </c>
      <c r="V865" s="86" t="s">
        <v>1126</v>
      </c>
      <c r="W865" s="86" t="str">
        <f>_xlfn.CONCAT(表格1[[#This Row],[欄4]],表格1[[#This Row],[inv no]])</f>
        <v>DA141</v>
      </c>
    </row>
    <row r="866" spans="1:23" hidden="1">
      <c r="A866" s="81">
        <v>864</v>
      </c>
      <c r="B866" s="81" t="s">
        <v>1203</v>
      </c>
      <c r="C866" s="81" t="s">
        <v>1449</v>
      </c>
      <c r="D866" s="82" t="str">
        <f ca="1">OFFSET(Roster!$A$3,MATCH(表格1[[#This Row],[Location]]&amp;" "&amp;表格1[[#This Row],[Shop]]&amp;"*",Roster!$A$4:$A$72,0),DAY(表格1[[#This Row],[date]]),1,1)</f>
        <v>Ho_1</v>
      </c>
      <c r="E866" s="81">
        <f>MONTH(表格1[[#This Row],[date]])</f>
        <v>3</v>
      </c>
      <c r="F866" s="101">
        <v>46096</v>
      </c>
      <c r="G866" s="81" t="str">
        <f>VLOOKUP("*"&amp;表格1[[#This Row],[Input]]&amp;"*",'Ref-List'!$B:$D,2,)</f>
        <v>TP-25DR2UHK(W)</v>
      </c>
      <c r="H866" s="81" t="str">
        <f>_xlfn.XLOOKUP(表格1[[#This Row],[Model]],表格3[Model-Input-Ref2],表格3[Product Line])</f>
        <v>電熱水瓶 (2.5公升)</v>
      </c>
      <c r="I866" s="81" t="str">
        <f>_xlfn.XLOOKUP(表格1[[#This Row],[Model]],表格3[Model-Input-Ref2],表格3[大小電])</f>
        <v>細電</v>
      </c>
      <c r="J866" s="81" t="str">
        <f>_xlfn.XLOOKUP(表格1[[#This Row],[Model]],表格3[Model-Input-Ref2],表格3[Code])</f>
        <v>SDA</v>
      </c>
      <c r="K866" s="82" t="s">
        <v>1285</v>
      </c>
      <c r="L866" s="81">
        <v>1</v>
      </c>
      <c r="M866" s="85">
        <v>380</v>
      </c>
      <c r="N866" s="85">
        <f>IFERROR(表格1[[#This Row],[QTY]]*表格1[[#This Row],[Unit Price]],"-")</f>
        <v>380</v>
      </c>
      <c r="O866" s="134"/>
      <c r="P866" s="81"/>
      <c r="Q866" s="81"/>
      <c r="R866" s="81" t="str">
        <f>_xlfn.CONCAT(表格1[[#This Row],[Model]]," ",表格1[[#This Row],[inv no]])</f>
        <v xml:space="preserve">TP-25DR2UHK(W) </v>
      </c>
      <c r="S866" s="135">
        <f>_xlfn.XLOOKUP(表格1[[#This Row],[Model]],表格3[Model-Input-Ref2],表格3[SRP PRICE])</f>
        <v>538</v>
      </c>
      <c r="T866" s="43">
        <f>表格1[[#This Row],[Unit Price]]/表格1[[#This Row],[SRP]]</f>
        <v>0.70631970260223054</v>
      </c>
      <c r="U866" s="86" t="str">
        <f>_xlfn.XLOOKUP(表格1[[#This Row],[Model]],表格3[Model-Input-Ref2],表格3[TOSHIBA/HIGHEST])</f>
        <v>Toshiba SRP</v>
      </c>
      <c r="V866" s="86" t="s">
        <v>1126</v>
      </c>
      <c r="W866" s="86" t="str">
        <f>_xlfn.CONCAT(表格1[[#This Row],[欄4]],表格1[[#This Row],[inv no]])</f>
        <v>DA141</v>
      </c>
    </row>
    <row r="867" spans="1:23" hidden="1">
      <c r="A867" s="81">
        <v>865</v>
      </c>
      <c r="B867" s="81" t="s">
        <v>1203</v>
      </c>
      <c r="C867" s="81" t="s">
        <v>1452</v>
      </c>
      <c r="D867" s="82" t="str">
        <f ca="1">OFFSET(Roster!$A$3,MATCH(表格1[[#This Row],[Location]]&amp;" "&amp;表格1[[#This Row],[Shop]]&amp;"*",Roster!$A$4:$A$72,0),DAY(表格1[[#This Row],[date]]),1,1)</f>
        <v>Ho_3</v>
      </c>
      <c r="E867" s="81">
        <f>MONTH(表格1[[#This Row],[date]])</f>
        <v>3</v>
      </c>
      <c r="F867" s="101">
        <v>46098</v>
      </c>
      <c r="G867" s="81" t="str">
        <f>VLOOKUP("*"&amp;表格1[[#This Row],[Input]]&amp;"*",'Ref-List'!$B:$D,2,)</f>
        <v>RC-10BHH(W)</v>
      </c>
      <c r="H867" s="81" t="str">
        <f>_xlfn.XLOOKUP(表格1[[#This Row],[Model]],表格3[Model-Input-Ref2],表格3[Product Line])</f>
        <v>酵活炊磁應電飯煲</v>
      </c>
      <c r="I867" s="81" t="str">
        <f>_xlfn.XLOOKUP(表格1[[#This Row],[Model]],表格3[Model-Input-Ref2],表格3[大小電])</f>
        <v>細電</v>
      </c>
      <c r="J867" s="81" t="str">
        <f>_xlfn.XLOOKUP(表格1[[#This Row],[Model]],表格3[Model-Input-Ref2],表格3[Code])</f>
        <v>SDA</v>
      </c>
      <c r="K867" s="82" t="s">
        <v>1269</v>
      </c>
      <c r="L867" s="81">
        <v>1</v>
      </c>
      <c r="M867" s="85">
        <v>1880</v>
      </c>
      <c r="N867" s="85">
        <f>IFERROR(表格1[[#This Row],[QTY]]*表格1[[#This Row],[Unit Price]],"-")</f>
        <v>1880</v>
      </c>
      <c r="O867" s="134"/>
      <c r="P867" s="81"/>
      <c r="Q867" s="81"/>
      <c r="R867" s="81" t="str">
        <f>_xlfn.CONCAT(表格1[[#This Row],[Model]]," ",表格1[[#This Row],[inv no]])</f>
        <v xml:space="preserve">RC-10BHH(W) </v>
      </c>
      <c r="S867" s="135">
        <f>_xlfn.XLOOKUP(表格1[[#This Row],[Model]],表格3[Model-Input-Ref2],表格3[SRP PRICE])</f>
        <v>2088</v>
      </c>
      <c r="T867" s="43">
        <f>表格1[[#This Row],[Unit Price]]/表格1[[#This Row],[SRP]]</f>
        <v>0.90038314176245215</v>
      </c>
      <c r="U867" s="86" t="str">
        <f>_xlfn.XLOOKUP(表格1[[#This Row],[Model]],表格3[Model-Input-Ref2],表格3[TOSHIBA/HIGHEST])</f>
        <v>Shops Highest Price</v>
      </c>
      <c r="V867" s="86" t="s">
        <v>1126</v>
      </c>
      <c r="W867" s="86" t="str">
        <f>_xlfn.CONCAT(表格1[[#This Row],[欄4]],表格1[[#This Row],[inv no]])</f>
        <v>DA141</v>
      </c>
    </row>
    <row r="868" spans="1:23" hidden="1">
      <c r="A868" s="81">
        <v>866</v>
      </c>
      <c r="B868" s="81" t="s">
        <v>1203</v>
      </c>
      <c r="C868" s="81" t="s">
        <v>1452</v>
      </c>
      <c r="D868" s="82" t="str">
        <f ca="1">OFFSET(Roster!$A$3,MATCH(表格1[[#This Row],[Location]]&amp;" "&amp;表格1[[#This Row],[Shop]]&amp;"*",Roster!$A$4:$A$72,0),DAY(表格1[[#This Row],[date]]),1,1)</f>
        <v>Ho_3</v>
      </c>
      <c r="E868" s="81">
        <f>MONTH(表格1[[#This Row],[date]])</f>
        <v>3</v>
      </c>
      <c r="F868" s="101">
        <v>46098</v>
      </c>
      <c r="G868" s="81" t="str">
        <f>VLOOKUP("*"&amp;表格1[[#This Row],[Input]]&amp;"*",'Ref-List'!$B:$D,2,)</f>
        <v>GR-RT234WE-PMA(57)</v>
      </c>
      <c r="H868" s="81" t="str">
        <f>_xlfn.XLOOKUP(表格1[[#This Row],[Model]],表格3[Model-Input-Ref2],表格3[Product Line])</f>
        <v>變頻式環保雙門雪櫃（179L）</v>
      </c>
      <c r="I868" s="81" t="str">
        <f>_xlfn.XLOOKUP(表格1[[#This Row],[Model]],表格3[Model-Input-Ref2],表格3[大小電])</f>
        <v>大電</v>
      </c>
      <c r="J868" s="81" t="str">
        <f>_xlfn.XLOOKUP(表格1[[#This Row],[Model]],表格3[Model-Input-Ref2],表格3[Code])</f>
        <v>REF</v>
      </c>
      <c r="K868" s="82" t="s">
        <v>1423</v>
      </c>
      <c r="L868" s="81">
        <v>1</v>
      </c>
      <c r="M868" s="85">
        <v>1880</v>
      </c>
      <c r="N868" s="85">
        <f>IFERROR(表格1[[#This Row],[QTY]]*表格1[[#This Row],[Unit Price]],"-")</f>
        <v>1880</v>
      </c>
      <c r="O868" s="134"/>
      <c r="P868" s="81"/>
      <c r="Q868" s="81"/>
      <c r="R868" s="81" t="str">
        <f>_xlfn.CONCAT(表格1[[#This Row],[Model]]," ",表格1[[#This Row],[inv no]])</f>
        <v xml:space="preserve">GR-RT234WE-PMA(57) </v>
      </c>
      <c r="S868" s="135">
        <f>_xlfn.XLOOKUP(表格1[[#This Row],[Model]],表格3[Model-Input-Ref2],表格3[SRP PRICE])</f>
        <v>3680</v>
      </c>
      <c r="T868" s="43">
        <f>表格1[[#This Row],[Unit Price]]/表格1[[#This Row],[SRP]]</f>
        <v>0.51086956521739135</v>
      </c>
      <c r="U868" s="86" t="str">
        <f>_xlfn.XLOOKUP(表格1[[#This Row],[Model]],表格3[Model-Input-Ref2],表格3[TOSHIBA/HIGHEST])</f>
        <v>Toshiba SRP</v>
      </c>
      <c r="V868" s="86" t="s">
        <v>1126</v>
      </c>
      <c r="W868" s="86" t="str">
        <f>_xlfn.CONCAT(表格1[[#This Row],[欄4]],表格1[[#This Row],[inv no]])</f>
        <v>DA141</v>
      </c>
    </row>
    <row r="869" spans="1:23" hidden="1">
      <c r="A869" s="81">
        <v>867</v>
      </c>
      <c r="B869" s="81" t="s">
        <v>1203</v>
      </c>
      <c r="C869" s="81" t="s">
        <v>1452</v>
      </c>
      <c r="D869" s="82" t="str">
        <f ca="1">OFFSET(Roster!$A$3,MATCH(表格1[[#This Row],[Location]]&amp;" "&amp;表格1[[#This Row],[Shop]]&amp;"*",Roster!$A$4:$A$72,0),DAY(表格1[[#This Row],[date]]),1,1)</f>
        <v>Ho_3</v>
      </c>
      <c r="E869" s="81">
        <f>MONTH(表格1[[#This Row],[date]])</f>
        <v>3</v>
      </c>
      <c r="F869" s="101">
        <v>46098</v>
      </c>
      <c r="G869" s="81" t="str">
        <f>VLOOKUP("*"&amp;表格1[[#This Row],[Input]]&amp;"*",'Ref-List'!$B:$D,2,)</f>
        <v>RC-7HMH</v>
      </c>
      <c r="H869" s="81" t="str">
        <f>_xlfn.XLOOKUP(表格1[[#This Row],[Model]],表格3[Model-Input-Ref2],表格3[Product Line])</f>
        <v>備長炭本厚釜電飯煲0.7L</v>
      </c>
      <c r="I869" s="81" t="str">
        <f>_xlfn.XLOOKUP(表格1[[#This Row],[Model]],表格3[Model-Input-Ref2],表格3[大小電])</f>
        <v>細電</v>
      </c>
      <c r="J869" s="81" t="str">
        <f>_xlfn.XLOOKUP(表格1[[#This Row],[Model]],表格3[Model-Input-Ref2],表格3[Code])</f>
        <v>SDA</v>
      </c>
      <c r="K869" s="82" t="s">
        <v>1284</v>
      </c>
      <c r="L869" s="81">
        <v>1</v>
      </c>
      <c r="M869" s="85">
        <v>780</v>
      </c>
      <c r="N869" s="85">
        <f>IFERROR(表格1[[#This Row],[QTY]]*表格1[[#This Row],[Unit Price]],"-")</f>
        <v>780</v>
      </c>
      <c r="O869" s="134"/>
      <c r="P869" s="81"/>
      <c r="Q869" s="81"/>
      <c r="R869" s="81" t="str">
        <f>_xlfn.CONCAT(表格1[[#This Row],[Model]]," ",表格1[[#This Row],[inv no]])</f>
        <v xml:space="preserve">RC-7HMH </v>
      </c>
      <c r="S869" s="135">
        <f>_xlfn.XLOOKUP(表格1[[#This Row],[Model]],表格3[Model-Input-Ref2],表格3[SRP PRICE])</f>
        <v>1288</v>
      </c>
      <c r="T869" s="43">
        <f>表格1[[#This Row],[Unit Price]]/表格1[[#This Row],[SRP]]</f>
        <v>0.60559006211180122</v>
      </c>
      <c r="U869" s="86" t="str">
        <f>_xlfn.XLOOKUP(表格1[[#This Row],[Model]],表格3[Model-Input-Ref2],表格3[TOSHIBA/HIGHEST])</f>
        <v>Toshiba SRP</v>
      </c>
      <c r="V869" s="86" t="s">
        <v>1126</v>
      </c>
      <c r="W869" s="86" t="str">
        <f>_xlfn.CONCAT(表格1[[#This Row],[欄4]],表格1[[#This Row],[inv no]])</f>
        <v>DA141</v>
      </c>
    </row>
    <row r="870" spans="1:23" hidden="1">
      <c r="A870" s="81">
        <v>868</v>
      </c>
      <c r="B870" s="81" t="s">
        <v>1203</v>
      </c>
      <c r="C870" s="81" t="s">
        <v>1452</v>
      </c>
      <c r="D870" s="82" t="str">
        <f ca="1">OFFSET(Roster!$A$3,MATCH(表格1[[#This Row],[Location]]&amp;" "&amp;表格1[[#This Row],[Shop]]&amp;"*",Roster!$A$4:$A$72,0),DAY(表格1[[#This Row],[date]]),1,1)</f>
        <v>Ho_3</v>
      </c>
      <c r="E870" s="81">
        <f>MONTH(表格1[[#This Row],[date]])</f>
        <v>3</v>
      </c>
      <c r="F870" s="101">
        <v>46098</v>
      </c>
      <c r="G870" s="81" t="str">
        <f>VLOOKUP("*"&amp;表格1[[#This Row],[Input]]&amp;"*",'Ref-List'!$B:$D,2,)</f>
        <v>F-LYA20(W)HKG</v>
      </c>
      <c r="H870" s="81" t="str">
        <f>_xlfn.XLOOKUP(表格1[[#This Row],[Model]],表格3[Model-Input-Ref2],表格3[Product Line])</f>
        <v>12吋2合1座地座檯電風扇連遙控</v>
      </c>
      <c r="I870" s="81" t="str">
        <f>_xlfn.XLOOKUP(表格1[[#This Row],[Model]],表格3[Model-Input-Ref2],表格3[大小電])</f>
        <v>細電</v>
      </c>
      <c r="J870" s="81" t="str">
        <f>_xlfn.XLOOKUP(表格1[[#This Row],[Model]],表格3[Model-Input-Ref2],表格3[Code])</f>
        <v>EAD</v>
      </c>
      <c r="K870" s="82" t="s">
        <v>1391</v>
      </c>
      <c r="L870" s="81">
        <v>1</v>
      </c>
      <c r="M870" s="85">
        <v>390</v>
      </c>
      <c r="N870" s="85">
        <f>IFERROR(表格1[[#This Row],[QTY]]*表格1[[#This Row],[Unit Price]],"-")</f>
        <v>390</v>
      </c>
      <c r="O870" s="134"/>
      <c r="P870" s="81"/>
      <c r="Q870" s="81"/>
      <c r="R870" s="81" t="str">
        <f>_xlfn.CONCAT(表格1[[#This Row],[Model]]," ",表格1[[#This Row],[inv no]])</f>
        <v xml:space="preserve">F-LYA20(W)HKG </v>
      </c>
      <c r="S870" s="135">
        <f>_xlfn.XLOOKUP(表格1[[#This Row],[Model]],表格3[Model-Input-Ref2],表格3[SRP PRICE])</f>
        <v>988</v>
      </c>
      <c r="T870" s="43">
        <f>表格1[[#This Row],[Unit Price]]/表格1[[#This Row],[SRP]]</f>
        <v>0.39473684210526316</v>
      </c>
      <c r="U870" s="86" t="str">
        <f>_xlfn.XLOOKUP(表格1[[#This Row],[Model]],表格3[Model-Input-Ref2],表格3[TOSHIBA/HIGHEST])</f>
        <v>Toshiba SRP</v>
      </c>
      <c r="V870" s="86" t="s">
        <v>1126</v>
      </c>
      <c r="W870" s="86" t="str">
        <f>_xlfn.CONCAT(表格1[[#This Row],[欄4]],表格1[[#This Row],[inv no]])</f>
        <v>DA141</v>
      </c>
    </row>
    <row r="871" spans="1:23" hidden="1">
      <c r="A871" s="81">
        <v>869</v>
      </c>
      <c r="B871" s="81" t="s">
        <v>1203</v>
      </c>
      <c r="C871" s="81" t="s">
        <v>1452</v>
      </c>
      <c r="D871" s="82" t="str">
        <f ca="1">OFFSET(Roster!$A$3,MATCH(表格1[[#This Row],[Location]]&amp;" "&amp;表格1[[#This Row],[Shop]]&amp;"*",Roster!$A$4:$A$72,0),DAY(表格1[[#This Row],[date]]),1,1)</f>
        <v>Ho_3</v>
      </c>
      <c r="E871" s="81">
        <f>MONTH(表格1[[#This Row],[date]])</f>
        <v>3</v>
      </c>
      <c r="F871" s="101">
        <v>46099</v>
      </c>
      <c r="G871" s="81" t="str">
        <f>VLOOKUP("*"&amp;表格1[[#This Row],[Input]]&amp;"*",'Ref-List'!$B:$D,2,)</f>
        <v>RAD-D200H</v>
      </c>
      <c r="H871" s="81" t="str">
        <f>_xlfn.XLOOKUP(表格1[[#This Row],[Model]],表格3[Model-Input-Ref2],表格3[Product Line])</f>
        <v>壓縮式抽濕機 (22公升)</v>
      </c>
      <c r="I871" s="81" t="str">
        <f>_xlfn.XLOOKUP(表格1[[#This Row],[Model]],表格3[Model-Input-Ref2],表格3[大小電])</f>
        <v>細電</v>
      </c>
      <c r="J871" s="81" t="str">
        <f>_xlfn.XLOOKUP(表格1[[#This Row],[Model]],表格3[Model-Input-Ref2],表格3[Code])</f>
        <v>RAC</v>
      </c>
      <c r="K871" s="82" t="s">
        <v>1250</v>
      </c>
      <c r="L871" s="81">
        <v>1</v>
      </c>
      <c r="M871" s="85">
        <v>1980</v>
      </c>
      <c r="N871" s="85">
        <f>IFERROR(表格1[[#This Row],[QTY]]*表格1[[#This Row],[Unit Price]],"-")</f>
        <v>1980</v>
      </c>
      <c r="O871" s="134"/>
      <c r="P871" s="81"/>
      <c r="Q871" s="81"/>
      <c r="R871" s="81" t="str">
        <f>_xlfn.CONCAT(表格1[[#This Row],[Model]]," ",表格1[[#This Row],[inv no]])</f>
        <v xml:space="preserve">RAD-D200H </v>
      </c>
      <c r="S871" s="135">
        <f>_xlfn.XLOOKUP(表格1[[#This Row],[Model]],表格3[Model-Input-Ref2],表格3[SRP PRICE])</f>
        <v>2880</v>
      </c>
      <c r="T871" s="43">
        <f>表格1[[#This Row],[Unit Price]]/表格1[[#This Row],[SRP]]</f>
        <v>0.6875</v>
      </c>
      <c r="U871" s="86" t="str">
        <f>_xlfn.XLOOKUP(表格1[[#This Row],[Model]],表格3[Model-Input-Ref2],表格3[TOSHIBA/HIGHEST])</f>
        <v>Shops Highest Price</v>
      </c>
      <c r="V871" s="86" t="s">
        <v>1126</v>
      </c>
      <c r="W871" s="86" t="str">
        <f>_xlfn.CONCAT(表格1[[#This Row],[欄4]],表格1[[#This Row],[inv no]])</f>
        <v>DA141</v>
      </c>
    </row>
    <row r="872" spans="1:23" hidden="1">
      <c r="A872" s="81">
        <v>870</v>
      </c>
      <c r="B872" s="81" t="s">
        <v>1203</v>
      </c>
      <c r="C872" s="81" t="s">
        <v>1452</v>
      </c>
      <c r="D872" s="82" t="str">
        <f ca="1">OFFSET(Roster!$A$3,MATCH(表格1[[#This Row],[Location]]&amp;" "&amp;表格1[[#This Row],[Shop]]&amp;"*",Roster!$A$4:$A$72,0),DAY(表格1[[#This Row],[date]]),1,1)</f>
        <v>Ho_3</v>
      </c>
      <c r="E872" s="81">
        <f>MONTH(表格1[[#This Row],[date]])</f>
        <v>3</v>
      </c>
      <c r="F872" s="101">
        <v>46099</v>
      </c>
      <c r="G872" s="81" t="str">
        <f>VLOOKUP("*"&amp;表格1[[#This Row],[Input]]&amp;"*",'Ref-List'!$B:$D,2,)</f>
        <v>RC-7HMH</v>
      </c>
      <c r="H872" s="81" t="str">
        <f>_xlfn.XLOOKUP(表格1[[#This Row],[Model]],表格3[Model-Input-Ref2],表格3[Product Line])</f>
        <v>備長炭本厚釜電飯煲0.7L</v>
      </c>
      <c r="I872" s="81" t="str">
        <f>_xlfn.XLOOKUP(表格1[[#This Row],[Model]],表格3[Model-Input-Ref2],表格3[大小電])</f>
        <v>細電</v>
      </c>
      <c r="J872" s="81" t="str">
        <f>_xlfn.XLOOKUP(表格1[[#This Row],[Model]],表格3[Model-Input-Ref2],表格3[Code])</f>
        <v>SDA</v>
      </c>
      <c r="K872" s="82" t="s">
        <v>1284</v>
      </c>
      <c r="L872" s="81">
        <v>1</v>
      </c>
      <c r="M872" s="85">
        <v>780</v>
      </c>
      <c r="N872" s="85">
        <f>IFERROR(表格1[[#This Row],[QTY]]*表格1[[#This Row],[Unit Price]],"-")</f>
        <v>780</v>
      </c>
      <c r="O872" s="134"/>
      <c r="P872" s="81"/>
      <c r="Q872" s="81"/>
      <c r="R872" s="81" t="str">
        <f>_xlfn.CONCAT(表格1[[#This Row],[Model]]," ",表格1[[#This Row],[inv no]])</f>
        <v xml:space="preserve">RC-7HMH </v>
      </c>
      <c r="S872" s="135">
        <f>_xlfn.XLOOKUP(表格1[[#This Row],[Model]],表格3[Model-Input-Ref2],表格3[SRP PRICE])</f>
        <v>1288</v>
      </c>
      <c r="T872" s="43">
        <f>表格1[[#This Row],[Unit Price]]/表格1[[#This Row],[SRP]]</f>
        <v>0.60559006211180122</v>
      </c>
      <c r="U872" s="86" t="str">
        <f>_xlfn.XLOOKUP(表格1[[#This Row],[Model]],表格3[Model-Input-Ref2],表格3[TOSHIBA/HIGHEST])</f>
        <v>Toshiba SRP</v>
      </c>
      <c r="V872" s="86" t="s">
        <v>1126</v>
      </c>
      <c r="W872" s="86" t="str">
        <f>_xlfn.CONCAT(表格1[[#This Row],[欄4]],表格1[[#This Row],[inv no]])</f>
        <v>DA141</v>
      </c>
    </row>
    <row r="873" spans="1:23" hidden="1">
      <c r="A873" s="81">
        <v>871</v>
      </c>
      <c r="B873" s="81" t="s">
        <v>1203</v>
      </c>
      <c r="C873" s="81" t="s">
        <v>1452</v>
      </c>
      <c r="D873" s="82" t="str">
        <f ca="1">OFFSET(Roster!$A$3,MATCH(表格1[[#This Row],[Location]]&amp;" "&amp;表格1[[#This Row],[Shop]]&amp;"*",Roster!$A$4:$A$72,0),DAY(表格1[[#This Row],[date]]),1,1)</f>
        <v>Ho_3</v>
      </c>
      <c r="E873" s="81">
        <f>MONTH(表格1[[#This Row],[date]])</f>
        <v>3</v>
      </c>
      <c r="F873" s="101">
        <v>46099</v>
      </c>
      <c r="G873" s="81" t="str">
        <f>VLOOKUP("*"&amp;表格1[[#This Row],[Input]]&amp;"*",'Ref-List'!$B:$D,2,)</f>
        <v>RC-10AMXH(W)</v>
      </c>
      <c r="H873" s="81" t="str">
        <f>_xlfn.XLOOKUP(表格1[[#This Row],[Model]],表格3[Model-Input-Ref2],表格3[Product Line])</f>
        <v>酵活炊電飯煲(1.0公升)</v>
      </c>
      <c r="I873" s="81" t="str">
        <f>_xlfn.XLOOKUP(表格1[[#This Row],[Model]],表格3[Model-Input-Ref2],表格3[大小電])</f>
        <v>細電</v>
      </c>
      <c r="J873" s="81" t="str">
        <f>_xlfn.XLOOKUP(表格1[[#This Row],[Model]],表格3[Model-Input-Ref2],表格3[Code])</f>
        <v>SDA</v>
      </c>
      <c r="K873" s="82" t="s">
        <v>1279</v>
      </c>
      <c r="L873" s="81">
        <v>1</v>
      </c>
      <c r="M873" s="85">
        <v>990</v>
      </c>
      <c r="N873" s="85">
        <f>IFERROR(表格1[[#This Row],[QTY]]*表格1[[#This Row],[Unit Price]],"-")</f>
        <v>990</v>
      </c>
      <c r="O873" s="134"/>
      <c r="P873" s="81"/>
      <c r="Q873" s="81"/>
      <c r="R873" s="81" t="str">
        <f>_xlfn.CONCAT(表格1[[#This Row],[Model]]," ",表格1[[#This Row],[inv no]])</f>
        <v xml:space="preserve">RC-10AMXH(W) </v>
      </c>
      <c r="S873" s="135">
        <f>_xlfn.XLOOKUP(表格1[[#This Row],[Model]],表格3[Model-Input-Ref2],表格3[SRP PRICE])</f>
        <v>1288</v>
      </c>
      <c r="T873" s="43">
        <f>表格1[[#This Row],[Unit Price]]/表格1[[#This Row],[SRP]]</f>
        <v>0.76863354037267084</v>
      </c>
      <c r="U873" s="86" t="str">
        <f>_xlfn.XLOOKUP(表格1[[#This Row],[Model]],表格3[Model-Input-Ref2],表格3[TOSHIBA/HIGHEST])</f>
        <v>Toshiba SRP</v>
      </c>
      <c r="V873" s="86" t="s">
        <v>1126</v>
      </c>
      <c r="W873" s="86" t="str">
        <f>_xlfn.CONCAT(表格1[[#This Row],[欄4]],表格1[[#This Row],[inv no]])</f>
        <v>DA141</v>
      </c>
    </row>
    <row r="874" spans="1:23" hidden="1">
      <c r="A874" s="81">
        <v>872</v>
      </c>
      <c r="B874" s="81" t="s">
        <v>1203</v>
      </c>
      <c r="C874" s="81" t="s">
        <v>1452</v>
      </c>
      <c r="D874" s="82" t="str">
        <f ca="1">OFFSET(Roster!$A$3,MATCH(表格1[[#This Row],[Location]]&amp;" "&amp;表格1[[#This Row],[Shop]]&amp;"*",Roster!$A$4:$A$72,0),DAY(表格1[[#This Row],[date]]),1,1)</f>
        <v>Ho_3</v>
      </c>
      <c r="E874" s="81">
        <f>MONTH(表格1[[#This Row],[date]])</f>
        <v>3</v>
      </c>
      <c r="F874" s="101">
        <v>46099</v>
      </c>
      <c r="G874" s="81" t="str">
        <f>VLOOKUP("*"&amp;表格1[[#This Row],[Input]]&amp;"*",'Ref-List'!$B:$D,2,)</f>
        <v>TP-25DR2UHK(W)</v>
      </c>
      <c r="H874" s="81" t="str">
        <f>_xlfn.XLOOKUP(表格1[[#This Row],[Model]],表格3[Model-Input-Ref2],表格3[Product Line])</f>
        <v>電熱水瓶 (2.5公升)</v>
      </c>
      <c r="I874" s="81" t="str">
        <f>_xlfn.XLOOKUP(表格1[[#This Row],[Model]],表格3[Model-Input-Ref2],表格3[大小電])</f>
        <v>細電</v>
      </c>
      <c r="J874" s="81" t="str">
        <f>_xlfn.XLOOKUP(表格1[[#This Row],[Model]],表格3[Model-Input-Ref2],表格3[Code])</f>
        <v>SDA</v>
      </c>
      <c r="K874" s="82" t="s">
        <v>1285</v>
      </c>
      <c r="L874" s="81">
        <v>1</v>
      </c>
      <c r="M874" s="85">
        <v>380</v>
      </c>
      <c r="N874" s="85">
        <f>IFERROR(表格1[[#This Row],[QTY]]*表格1[[#This Row],[Unit Price]],"-")</f>
        <v>380</v>
      </c>
      <c r="O874" s="134"/>
      <c r="P874" s="81"/>
      <c r="Q874" s="81"/>
      <c r="R874" s="81" t="str">
        <f>_xlfn.CONCAT(表格1[[#This Row],[Model]]," ",表格1[[#This Row],[inv no]])</f>
        <v xml:space="preserve">TP-25DR2UHK(W) </v>
      </c>
      <c r="S874" s="135">
        <f>_xlfn.XLOOKUP(表格1[[#This Row],[Model]],表格3[Model-Input-Ref2],表格3[SRP PRICE])</f>
        <v>538</v>
      </c>
      <c r="T874" s="43">
        <f>表格1[[#This Row],[Unit Price]]/表格1[[#This Row],[SRP]]</f>
        <v>0.70631970260223054</v>
      </c>
      <c r="U874" s="86" t="str">
        <f>_xlfn.XLOOKUP(表格1[[#This Row],[Model]],表格3[Model-Input-Ref2],表格3[TOSHIBA/HIGHEST])</f>
        <v>Toshiba SRP</v>
      </c>
      <c r="V874" s="86" t="s">
        <v>1126</v>
      </c>
      <c r="W874" s="86" t="str">
        <f>_xlfn.CONCAT(表格1[[#This Row],[欄4]],表格1[[#This Row],[inv no]])</f>
        <v>DA141</v>
      </c>
    </row>
    <row r="875" spans="1:23" hidden="1">
      <c r="A875" s="81">
        <v>873</v>
      </c>
      <c r="B875" s="81" t="s">
        <v>1203</v>
      </c>
      <c r="C875" s="81" t="s">
        <v>1452</v>
      </c>
      <c r="D875" s="82" t="str">
        <f ca="1">OFFSET(Roster!$A$3,MATCH(表格1[[#This Row],[Location]]&amp;" "&amp;表格1[[#This Row],[Shop]]&amp;"*",Roster!$A$4:$A$72,0),DAY(表格1[[#This Row],[date]]),1,1)</f>
        <v>Ho_3</v>
      </c>
      <c r="E875" s="81">
        <f>MONTH(表格1[[#This Row],[date]])</f>
        <v>3</v>
      </c>
      <c r="F875" s="101">
        <v>46107</v>
      </c>
      <c r="G875" s="81" t="str">
        <f>VLOOKUP("*"&amp;表格1[[#This Row],[Input]]&amp;"*",'Ref-List'!$B:$D,2,)</f>
        <v>GR-RB221WE-PMA(57)</v>
      </c>
      <c r="H875" s="81" t="str">
        <f>_xlfn.XLOOKUP(表格1[[#This Row],[Model]],表格3[Model-Input-Ref2],表格3[Product Line])</f>
        <v>變頻下置式雙門雪櫃（163L）</v>
      </c>
      <c r="I875" s="81" t="str">
        <f>_xlfn.XLOOKUP(表格1[[#This Row],[Model]],表格3[Model-Input-Ref2],表格3[大小電])</f>
        <v>大電</v>
      </c>
      <c r="J875" s="81" t="str">
        <f>_xlfn.XLOOKUP(表格1[[#This Row],[Model]],表格3[Model-Input-Ref2],表格3[Code])</f>
        <v>REF</v>
      </c>
      <c r="K875" s="82" t="s">
        <v>1386</v>
      </c>
      <c r="L875" s="81">
        <v>1</v>
      </c>
      <c r="M875" s="85">
        <v>1880</v>
      </c>
      <c r="N875" s="85">
        <f>IFERROR(表格1[[#This Row],[QTY]]*表格1[[#This Row],[Unit Price]],"-")</f>
        <v>1880</v>
      </c>
      <c r="O875" s="134"/>
      <c r="P875" s="81"/>
      <c r="Q875" s="81"/>
      <c r="R875" s="81" t="str">
        <f>_xlfn.CONCAT(表格1[[#This Row],[Model]]," ",表格1[[#This Row],[inv no]])</f>
        <v xml:space="preserve">GR-RB221WE-PMA(57) </v>
      </c>
      <c r="S875" s="135">
        <f>_xlfn.XLOOKUP(表格1[[#This Row],[Model]],表格3[Model-Input-Ref2],表格3[SRP PRICE])</f>
        <v>3480</v>
      </c>
      <c r="T875" s="43">
        <f>表格1[[#This Row],[Unit Price]]/表格1[[#This Row],[SRP]]</f>
        <v>0.54022988505747127</v>
      </c>
      <c r="U875" s="86" t="str">
        <f>_xlfn.XLOOKUP(表格1[[#This Row],[Model]],表格3[Model-Input-Ref2],表格3[TOSHIBA/HIGHEST])</f>
        <v>Toshiba SRP</v>
      </c>
      <c r="V875" s="86" t="s">
        <v>1126</v>
      </c>
      <c r="W875" s="86" t="str">
        <f>_xlfn.CONCAT(表格1[[#This Row],[欄4]],表格1[[#This Row],[inv no]])</f>
        <v>DA141</v>
      </c>
    </row>
    <row r="876" spans="1:23" ht="16.5" hidden="1">
      <c r="A876" s="81">
        <v>874</v>
      </c>
      <c r="B876" s="81" t="s">
        <v>1203</v>
      </c>
      <c r="C876" s="81" t="s">
        <v>1452</v>
      </c>
      <c r="D876" s="82" t="str">
        <f ca="1">OFFSET(Roster!$A$3,MATCH(表格1[[#This Row],[Location]]&amp;" "&amp;表格1[[#This Row],[Shop]]&amp;"*",Roster!$A$4:$A$72,0),DAY(表格1[[#This Row],[date]]),1,1)</f>
        <v>Ho_3</v>
      </c>
      <c r="E876" s="81">
        <f>MONTH(表格1[[#This Row],[date]])</f>
        <v>3</v>
      </c>
      <c r="F876" s="101">
        <v>46107</v>
      </c>
      <c r="G876" s="81" t="str">
        <f>VLOOKUP("*"&amp;表格1[[#This Row],[Input]]&amp;"*",'Ref-List'!$B:$D,2,)</f>
        <v>F-LYA20(W)HKG</v>
      </c>
      <c r="H876" s="81" t="str">
        <f>_xlfn.XLOOKUP(表格1[[#This Row],[Model]],表格3[Model-Input-Ref2],表格3[Product Line])</f>
        <v>12吋2合1座地座檯電風扇連遙控</v>
      </c>
      <c r="I876" s="81" t="str">
        <f>_xlfn.XLOOKUP(表格1[[#This Row],[Model]],表格3[Model-Input-Ref2],表格3[大小電])</f>
        <v>細電</v>
      </c>
      <c r="J876" s="81" t="str">
        <f>_xlfn.XLOOKUP(表格1[[#This Row],[Model]],表格3[Model-Input-Ref2],表格3[Code])</f>
        <v>EAD</v>
      </c>
      <c r="K876" s="82" t="s">
        <v>1391</v>
      </c>
      <c r="L876" s="81">
        <v>1</v>
      </c>
      <c r="M876" s="85">
        <v>390</v>
      </c>
      <c r="N876" s="85">
        <f>IFERROR(表格1[[#This Row],[QTY]]*表格1[[#This Row],[Unit Price]],"-")</f>
        <v>390</v>
      </c>
      <c r="O876" s="134"/>
      <c r="P876" s="137"/>
      <c r="Q876" s="81"/>
      <c r="R876" s="81" t="str">
        <f>_xlfn.CONCAT(表格1[[#This Row],[Model]]," ",表格1[[#This Row],[inv no]])</f>
        <v xml:space="preserve">F-LYA20(W)HKG </v>
      </c>
      <c r="S876" s="135">
        <f>_xlfn.XLOOKUP(表格1[[#This Row],[Model]],表格3[Model-Input-Ref2],表格3[SRP PRICE])</f>
        <v>988</v>
      </c>
      <c r="T876" s="43">
        <f>表格1[[#This Row],[Unit Price]]/表格1[[#This Row],[SRP]]</f>
        <v>0.39473684210526316</v>
      </c>
      <c r="U876" s="86" t="str">
        <f>_xlfn.XLOOKUP(表格1[[#This Row],[Model]],表格3[Model-Input-Ref2],表格3[TOSHIBA/HIGHEST])</f>
        <v>Toshiba SRP</v>
      </c>
      <c r="V876" s="86" t="s">
        <v>1126</v>
      </c>
      <c r="W876" s="86" t="str">
        <f>_xlfn.CONCAT(表格1[[#This Row],[欄4]],表格1[[#This Row],[inv no]])</f>
        <v>DA141</v>
      </c>
    </row>
    <row r="877" spans="1:23" hidden="1">
      <c r="A877" s="81">
        <v>875</v>
      </c>
      <c r="B877" s="81" t="s">
        <v>1203</v>
      </c>
      <c r="C877" s="81" t="s">
        <v>1452</v>
      </c>
      <c r="D877" s="82" t="str">
        <f ca="1">OFFSET(Roster!$A$3,MATCH(表格1[[#This Row],[Location]]&amp;" "&amp;表格1[[#This Row],[Shop]]&amp;"*",Roster!$A$4:$A$72,0),DAY(表格1[[#This Row],[date]]),1,1)</f>
        <v>Ho_3</v>
      </c>
      <c r="E877" s="81">
        <f>MONTH(表格1[[#This Row],[date]])</f>
        <v>3</v>
      </c>
      <c r="F877" s="101">
        <v>46107</v>
      </c>
      <c r="G877" s="81" t="str">
        <f>VLOOKUP("*"&amp;表格1[[#This Row],[Input]]&amp;"*",'Ref-List'!$B:$D,2,)</f>
        <v>F-LYA20(W)HKG</v>
      </c>
      <c r="H877" s="81" t="str">
        <f>_xlfn.XLOOKUP(表格1[[#This Row],[Model]],表格3[Model-Input-Ref2],表格3[Product Line])</f>
        <v>12吋2合1座地座檯電風扇連遙控</v>
      </c>
      <c r="I877" s="81" t="str">
        <f>_xlfn.XLOOKUP(表格1[[#This Row],[Model]],表格3[Model-Input-Ref2],表格3[大小電])</f>
        <v>細電</v>
      </c>
      <c r="J877" s="81" t="str">
        <f>_xlfn.XLOOKUP(表格1[[#This Row],[Model]],表格3[Model-Input-Ref2],表格3[Code])</f>
        <v>EAD</v>
      </c>
      <c r="K877" s="82" t="s">
        <v>1391</v>
      </c>
      <c r="L877" s="81">
        <v>1</v>
      </c>
      <c r="M877" s="85">
        <v>390</v>
      </c>
      <c r="N877" s="85">
        <f>IFERROR(表格1[[#This Row],[QTY]]*表格1[[#This Row],[Unit Price]],"-")</f>
        <v>390</v>
      </c>
      <c r="O877" s="134"/>
      <c r="P877" s="81"/>
      <c r="Q877" s="81"/>
      <c r="R877" s="81" t="str">
        <f>_xlfn.CONCAT(表格1[[#This Row],[Model]]," ",表格1[[#This Row],[inv no]])</f>
        <v xml:space="preserve">F-LYA20(W)HKG </v>
      </c>
      <c r="S877" s="135">
        <f>_xlfn.XLOOKUP(表格1[[#This Row],[Model]],表格3[Model-Input-Ref2],表格3[SRP PRICE])</f>
        <v>988</v>
      </c>
      <c r="T877" s="43">
        <f>表格1[[#This Row],[Unit Price]]/表格1[[#This Row],[SRP]]</f>
        <v>0.39473684210526316</v>
      </c>
      <c r="U877" s="86" t="str">
        <f>_xlfn.XLOOKUP(表格1[[#This Row],[Model]],表格3[Model-Input-Ref2],表格3[TOSHIBA/HIGHEST])</f>
        <v>Toshiba SRP</v>
      </c>
      <c r="V877" s="86" t="s">
        <v>1126</v>
      </c>
      <c r="W877" s="86" t="str">
        <f>_xlfn.CONCAT(表格1[[#This Row],[欄4]],表格1[[#This Row],[inv no]])</f>
        <v>DA141</v>
      </c>
    </row>
    <row r="878" spans="1:23" ht="16.5" hidden="1">
      <c r="A878" s="81">
        <v>876</v>
      </c>
      <c r="B878" s="81" t="s">
        <v>1203</v>
      </c>
      <c r="C878" s="81" t="s">
        <v>1452</v>
      </c>
      <c r="D878" s="82" t="str">
        <f ca="1">OFFSET(Roster!$A$3,MATCH(表格1[[#This Row],[Location]]&amp;" "&amp;表格1[[#This Row],[Shop]]&amp;"*",Roster!$A$4:$A$72,0),DAY(表格1[[#This Row],[date]]),1,1)</f>
        <v>Ho_3</v>
      </c>
      <c r="E878" s="81">
        <f>MONTH(表格1[[#This Row],[date]])</f>
        <v>3</v>
      </c>
      <c r="F878" s="101">
        <v>46107</v>
      </c>
      <c r="G878" s="81" t="str">
        <f>VLOOKUP("*"&amp;表格1[[#This Row],[Input]]&amp;"*",'Ref-List'!$B:$D,2,)</f>
        <v>F-DSB35HK(W)</v>
      </c>
      <c r="H878" s="81" t="str">
        <f>_xlfn.XLOOKUP(表格1[[#This Row],[Model]],表格3[Model-Input-Ref2],表格3[Product Line])</f>
        <v>Electric Fan</v>
      </c>
      <c r="I878" s="81" t="str">
        <f>_xlfn.XLOOKUP(表格1[[#This Row],[Model]],表格3[Model-Input-Ref2],表格3[大小電])</f>
        <v>細電</v>
      </c>
      <c r="J878" s="81" t="str">
        <f>_xlfn.XLOOKUP(表格1[[#This Row],[Model]],表格3[Model-Input-Ref2],表格3[Code])</f>
        <v>SDA</v>
      </c>
      <c r="K878" s="82" t="s">
        <v>1453</v>
      </c>
      <c r="L878" s="81">
        <v>1</v>
      </c>
      <c r="M878" s="85">
        <v>550</v>
      </c>
      <c r="N878" s="85">
        <f>IFERROR(表格1[[#This Row],[QTY]]*表格1[[#This Row],[Unit Price]],"-")</f>
        <v>550</v>
      </c>
      <c r="O878" s="134"/>
      <c r="P878" s="81"/>
      <c r="Q878" s="137"/>
      <c r="R878" s="81" t="str">
        <f>_xlfn.CONCAT(表格1[[#This Row],[Model]]," ",表格1[[#This Row],[inv no]])</f>
        <v xml:space="preserve">F-DSB35HK(W) </v>
      </c>
      <c r="S878" s="135">
        <f>_xlfn.XLOOKUP(表格1[[#This Row],[Model]],表格3[Model-Input-Ref2],表格3[SRP PRICE])</f>
        <v>1088</v>
      </c>
      <c r="T878" s="43">
        <f>表格1[[#This Row],[Unit Price]]/表格1[[#This Row],[SRP]]</f>
        <v>0.50551470588235292</v>
      </c>
      <c r="U878" s="86" t="str">
        <f>_xlfn.XLOOKUP(表格1[[#This Row],[Model]],表格3[Model-Input-Ref2],表格3[TOSHIBA/HIGHEST])</f>
        <v>Toshiba SRP</v>
      </c>
      <c r="V878" s="86" t="s">
        <v>1126</v>
      </c>
      <c r="W878" s="86" t="str">
        <f>_xlfn.CONCAT(表格1[[#This Row],[欄4]],表格1[[#This Row],[inv no]])</f>
        <v>DA141</v>
      </c>
    </row>
    <row r="879" spans="1:23" hidden="1">
      <c r="A879" s="81">
        <v>877</v>
      </c>
      <c r="B879" s="81" t="s">
        <v>1203</v>
      </c>
      <c r="C879" s="81" t="s">
        <v>1452</v>
      </c>
      <c r="D879" s="82" t="str">
        <f ca="1">OFFSET(Roster!$A$3,MATCH(表格1[[#This Row],[Location]]&amp;" "&amp;表格1[[#This Row],[Shop]]&amp;"*",Roster!$A$4:$A$72,0),DAY(表格1[[#This Row],[date]]),1,1)</f>
        <v>Ho_3</v>
      </c>
      <c r="E879" s="81">
        <f>MONTH(表格1[[#This Row],[date]])</f>
        <v>3</v>
      </c>
      <c r="F879" s="101">
        <v>46111</v>
      </c>
      <c r="G879" s="81" t="str">
        <f>VLOOKUP("*"&amp;表格1[[#This Row],[Input]]&amp;"*",'Ref-List'!$B:$D,2,)</f>
        <v>RAC-12G3CVRGR-HK</v>
      </c>
      <c r="H879" s="81" t="str">
        <f>_xlfn.XLOOKUP(表格1[[#This Row],[Model]],表格3[Model-Input-Ref2],表格3[Product Line])</f>
        <v>R32變頻窗口式冷氣機 (獨立抽濕遙控</v>
      </c>
      <c r="I879" s="81" t="str">
        <f>_xlfn.XLOOKUP(表格1[[#This Row],[Model]],表格3[Model-Input-Ref2],表格3[大小電])</f>
        <v>大電</v>
      </c>
      <c r="J879" s="81" t="str">
        <f>_xlfn.XLOOKUP(表格1[[#This Row],[Model]],表格3[Model-Input-Ref2],表格3[Code])</f>
        <v>AC</v>
      </c>
      <c r="K879" s="82" t="s">
        <v>1454</v>
      </c>
      <c r="L879" s="81">
        <v>1</v>
      </c>
      <c r="M879" s="85">
        <v>5980</v>
      </c>
      <c r="N879" s="85">
        <f>IFERROR(表格1[[#This Row],[QTY]]*表格1[[#This Row],[Unit Price]],"-")</f>
        <v>5980</v>
      </c>
      <c r="O879" s="134"/>
      <c r="P879" s="81"/>
      <c r="Q879" s="81"/>
      <c r="R879" s="81" t="str">
        <f>_xlfn.CONCAT(表格1[[#This Row],[Model]]," ",表格1[[#This Row],[inv no]])</f>
        <v xml:space="preserve">RAC-12G3CVRGR-HK </v>
      </c>
      <c r="S879" s="135">
        <f>_xlfn.XLOOKUP(表格1[[#This Row],[Model]],表格3[Model-Input-Ref2],表格3[SRP PRICE])</f>
        <v>8680</v>
      </c>
      <c r="T879" s="43">
        <f>表格1[[#This Row],[Unit Price]]/表格1[[#This Row],[SRP]]</f>
        <v>0.68894009216589858</v>
      </c>
      <c r="U879" s="86" t="str">
        <f>_xlfn.XLOOKUP(表格1[[#This Row],[Model]],表格3[Model-Input-Ref2],表格3[TOSHIBA/HIGHEST])</f>
        <v>Toshiba SRP</v>
      </c>
      <c r="V879" s="86" t="s">
        <v>1126</v>
      </c>
      <c r="W879" s="86" t="str">
        <f>_xlfn.CONCAT(表格1[[#This Row],[欄4]],表格1[[#This Row],[inv no]])</f>
        <v>DA141</v>
      </c>
    </row>
    <row r="880" spans="1:23" hidden="1">
      <c r="A880" s="81">
        <v>878</v>
      </c>
      <c r="B880" s="81" t="s">
        <v>1203</v>
      </c>
      <c r="C880" s="81" t="s">
        <v>1452</v>
      </c>
      <c r="D880" s="82" t="str">
        <f ca="1">OFFSET(Roster!$A$3,MATCH(表格1[[#This Row],[Location]]&amp;" "&amp;表格1[[#This Row],[Shop]]&amp;"*",Roster!$A$4:$A$72,0),DAY(表格1[[#This Row],[date]]),1,1)</f>
        <v>Ho_3</v>
      </c>
      <c r="E880" s="81">
        <f>MONTH(表格1[[#This Row],[date]])</f>
        <v>3</v>
      </c>
      <c r="F880" s="101">
        <v>46111</v>
      </c>
      <c r="G880" s="81" t="str">
        <f>VLOOKUP("*"&amp;表格1[[#This Row],[Input]]&amp;"*",'Ref-List'!$B:$D,2,)</f>
        <v>RAD-D200H</v>
      </c>
      <c r="H880" s="81" t="str">
        <f>_xlfn.XLOOKUP(表格1[[#This Row],[Model]],表格3[Model-Input-Ref2],表格3[Product Line])</f>
        <v>壓縮式抽濕機 (22公升)</v>
      </c>
      <c r="I880" s="81" t="str">
        <f>_xlfn.XLOOKUP(表格1[[#This Row],[Model]],表格3[Model-Input-Ref2],表格3[大小電])</f>
        <v>細電</v>
      </c>
      <c r="J880" s="81" t="str">
        <f>_xlfn.XLOOKUP(表格1[[#This Row],[Model]],表格3[Model-Input-Ref2],表格3[Code])</f>
        <v>RAC</v>
      </c>
      <c r="K880" s="82" t="s">
        <v>1250</v>
      </c>
      <c r="L880" s="81">
        <v>1</v>
      </c>
      <c r="M880" s="85">
        <v>1980</v>
      </c>
      <c r="N880" s="85">
        <f>IFERROR(表格1[[#This Row],[QTY]]*表格1[[#This Row],[Unit Price]],"-")</f>
        <v>1980</v>
      </c>
      <c r="O880" s="134"/>
      <c r="P880" s="81"/>
      <c r="Q880" s="81"/>
      <c r="R880" s="81" t="str">
        <f>_xlfn.CONCAT(表格1[[#This Row],[Model]]," ",表格1[[#This Row],[inv no]])</f>
        <v xml:space="preserve">RAD-D200H </v>
      </c>
      <c r="S880" s="135">
        <f>_xlfn.XLOOKUP(表格1[[#This Row],[Model]],表格3[Model-Input-Ref2],表格3[SRP PRICE])</f>
        <v>2880</v>
      </c>
      <c r="T880" s="43">
        <f>表格1[[#This Row],[Unit Price]]/表格1[[#This Row],[SRP]]</f>
        <v>0.6875</v>
      </c>
      <c r="U880" s="86" t="str">
        <f>_xlfn.XLOOKUP(表格1[[#This Row],[Model]],表格3[Model-Input-Ref2],表格3[TOSHIBA/HIGHEST])</f>
        <v>Shops Highest Price</v>
      </c>
      <c r="V880" s="86" t="s">
        <v>1126</v>
      </c>
      <c r="W880" s="86" t="str">
        <f>_xlfn.CONCAT(表格1[[#This Row],[欄4]],表格1[[#This Row],[inv no]])</f>
        <v>DA141</v>
      </c>
    </row>
    <row r="881" spans="1:23" hidden="1">
      <c r="A881" s="81">
        <v>879</v>
      </c>
      <c r="B881" s="81" t="s">
        <v>1203</v>
      </c>
      <c r="C881" s="81" t="s">
        <v>1452</v>
      </c>
      <c r="D881" s="82" t="str">
        <f ca="1">OFFSET(Roster!$A$3,MATCH(表格1[[#This Row],[Location]]&amp;" "&amp;表格1[[#This Row],[Shop]]&amp;"*",Roster!$A$4:$A$72,0),DAY(表格1[[#This Row],[date]]),1,1)</f>
        <v>Ho_3</v>
      </c>
      <c r="E881" s="81">
        <f>MONTH(表格1[[#This Row],[date]])</f>
        <v>3</v>
      </c>
      <c r="F881" s="101">
        <v>46111</v>
      </c>
      <c r="G881" s="81" t="str">
        <f>VLOOKUP("*"&amp;表格1[[#This Row],[Input]]&amp;"*",'Ref-List'!$B:$D,2,)</f>
        <v>RAD-D300H</v>
      </c>
      <c r="H881" s="81" t="str">
        <f>_xlfn.XLOOKUP(表格1[[#This Row],[Model]],表格3[Model-Input-Ref2],表格3[Product Line])</f>
        <v>壓縮式抽濕機 (30公升)</v>
      </c>
      <c r="I881" s="81" t="str">
        <f>_xlfn.XLOOKUP(表格1[[#This Row],[Model]],表格3[Model-Input-Ref2],表格3[大小電])</f>
        <v>細電</v>
      </c>
      <c r="J881" s="81" t="str">
        <f>_xlfn.XLOOKUP(表格1[[#This Row],[Model]],表格3[Model-Input-Ref2],表格3[Code])</f>
        <v>RAC</v>
      </c>
      <c r="K881" s="82" t="s">
        <v>1252</v>
      </c>
      <c r="L881" s="81">
        <v>1</v>
      </c>
      <c r="M881" s="85">
        <v>2280</v>
      </c>
      <c r="N881" s="85">
        <f>IFERROR(表格1[[#This Row],[QTY]]*表格1[[#This Row],[Unit Price]],"-")</f>
        <v>2280</v>
      </c>
      <c r="O881" s="134"/>
      <c r="P881" s="81"/>
      <c r="Q881" s="81"/>
      <c r="R881" s="81" t="str">
        <f>_xlfn.CONCAT(表格1[[#This Row],[Model]]," ",表格1[[#This Row],[inv no]])</f>
        <v xml:space="preserve">RAD-D300H </v>
      </c>
      <c r="S881" s="135">
        <f>_xlfn.XLOOKUP(表格1[[#This Row],[Model]],表格3[Model-Input-Ref2],表格3[SRP PRICE])</f>
        <v>3380</v>
      </c>
      <c r="T881" s="43">
        <f>表格1[[#This Row],[Unit Price]]/表格1[[#This Row],[SRP]]</f>
        <v>0.67455621301775148</v>
      </c>
      <c r="U881" s="86" t="str">
        <f>_xlfn.XLOOKUP(表格1[[#This Row],[Model]],表格3[Model-Input-Ref2],表格3[TOSHIBA/HIGHEST])</f>
        <v>Shops Highest Price</v>
      </c>
      <c r="V881" s="86" t="s">
        <v>1126</v>
      </c>
      <c r="W881" s="86" t="str">
        <f>_xlfn.CONCAT(表格1[[#This Row],[欄4]],表格1[[#This Row],[inv no]])</f>
        <v>DA141</v>
      </c>
    </row>
    <row r="882" spans="1:23" hidden="1">
      <c r="A882" s="81">
        <v>880</v>
      </c>
      <c r="B882" s="81" t="s">
        <v>1203</v>
      </c>
      <c r="C882" s="81" t="s">
        <v>1452</v>
      </c>
      <c r="D882" s="82" t="str">
        <f ca="1">OFFSET(Roster!$A$3,MATCH(表格1[[#This Row],[Location]]&amp;" "&amp;表格1[[#This Row],[Shop]]&amp;"*",Roster!$A$4:$A$72,0),DAY(表格1[[#This Row],[date]]),1,1)</f>
        <v>Ho_3</v>
      </c>
      <c r="E882" s="81">
        <f>MONTH(表格1[[#This Row],[date]])</f>
        <v>3</v>
      </c>
      <c r="F882" s="101">
        <v>46111</v>
      </c>
      <c r="G882" s="81" t="str">
        <f>VLOOKUP("*"&amp;表格1[[#This Row],[Input]]&amp;"*",'Ref-List'!$B:$D,2,)</f>
        <v>CWF-09CRFN8-AD5</v>
      </c>
      <c r="H882" s="81" t="str">
        <f>_xlfn.XLOOKUP(表格1[[#This Row],[Model]],表格3[Model-Input-Ref2],表格3[Product Line])</f>
        <v>Comfee 1匹變頻窗口式冷氣機</v>
      </c>
      <c r="I882" s="81" t="str">
        <f>_xlfn.XLOOKUP(表格1[[#This Row],[Model]],表格3[Model-Input-Ref2],表格3[大小電])</f>
        <v>大電</v>
      </c>
      <c r="J882" s="81" t="str">
        <f>_xlfn.XLOOKUP(表格1[[#This Row],[Model]],表格3[Model-Input-Ref2],表格3[Code])</f>
        <v>RAC</v>
      </c>
      <c r="K882" s="82" t="s">
        <v>1248</v>
      </c>
      <c r="L882" s="81">
        <v>1</v>
      </c>
      <c r="M882" s="85">
        <v>3090</v>
      </c>
      <c r="N882" s="85">
        <f>IFERROR(表格1[[#This Row],[QTY]]*表格1[[#This Row],[Unit Price]],"-")</f>
        <v>3090</v>
      </c>
      <c r="O882" s="134"/>
      <c r="P882" s="81"/>
      <c r="Q882" s="81"/>
      <c r="R882" s="81" t="str">
        <f>_xlfn.CONCAT(表格1[[#This Row],[Model]]," ",表格1[[#This Row],[inv no]])</f>
        <v xml:space="preserve">CWF-09CRFN8-AD5 </v>
      </c>
      <c r="S882" s="135">
        <f>_xlfn.XLOOKUP(表格1[[#This Row],[Model]],表格3[Model-Input-Ref2],表格3[SRP PRICE])</f>
        <v>4600</v>
      </c>
      <c r="T882" s="43">
        <f>表格1[[#This Row],[Unit Price]]/表格1[[#This Row],[SRP]]</f>
        <v>0.67173913043478262</v>
      </c>
      <c r="U882" s="86" t="str">
        <f>_xlfn.XLOOKUP(表格1[[#This Row],[Model]],表格3[Model-Input-Ref2],表格3[TOSHIBA/HIGHEST])</f>
        <v>Shops Highest Price</v>
      </c>
      <c r="V882" s="86" t="s">
        <v>1126</v>
      </c>
      <c r="W882" s="86" t="str">
        <f>_xlfn.CONCAT(表格1[[#This Row],[欄4]],表格1[[#This Row],[inv no]])</f>
        <v>DA141</v>
      </c>
    </row>
    <row r="883" spans="1:23" hidden="1">
      <c r="A883" s="81">
        <v>881</v>
      </c>
      <c r="B883" s="81" t="s">
        <v>1203</v>
      </c>
      <c r="C883" s="81" t="s">
        <v>1452</v>
      </c>
      <c r="D883" s="82" t="str">
        <f ca="1">OFFSET(Roster!$A$3,MATCH(表格1[[#This Row],[Location]]&amp;" "&amp;表格1[[#This Row],[Shop]]&amp;"*",Roster!$A$4:$A$72,0),DAY(表格1[[#This Row],[date]]),1,1)</f>
        <v>Ho_3</v>
      </c>
      <c r="E883" s="81">
        <f>MONTH(表格1[[#This Row],[date]])</f>
        <v>3</v>
      </c>
      <c r="F883" s="101">
        <v>46111</v>
      </c>
      <c r="G883" s="81" t="str">
        <f>VLOOKUP("*"&amp;表格1[[#This Row],[Input]]&amp;"*",'Ref-List'!$B:$D,2,)</f>
        <v>CWF-09CRFN8-AD5</v>
      </c>
      <c r="H883" s="81" t="str">
        <f>_xlfn.XLOOKUP(表格1[[#This Row],[Model]],表格3[Model-Input-Ref2],表格3[Product Line])</f>
        <v>Comfee 1匹變頻窗口式冷氣機</v>
      </c>
      <c r="I883" s="81" t="str">
        <f>_xlfn.XLOOKUP(表格1[[#This Row],[Model]],表格3[Model-Input-Ref2],表格3[大小電])</f>
        <v>大電</v>
      </c>
      <c r="J883" s="81" t="str">
        <f>_xlfn.XLOOKUP(表格1[[#This Row],[Model]],表格3[Model-Input-Ref2],表格3[Code])</f>
        <v>RAC</v>
      </c>
      <c r="K883" s="82" t="s">
        <v>1248</v>
      </c>
      <c r="L883" s="81">
        <v>1</v>
      </c>
      <c r="M883" s="85">
        <v>3090</v>
      </c>
      <c r="N883" s="85">
        <f>IFERROR(表格1[[#This Row],[QTY]]*表格1[[#This Row],[Unit Price]],"-")</f>
        <v>3090</v>
      </c>
      <c r="O883" s="134"/>
      <c r="P883" s="81"/>
      <c r="Q883" s="81"/>
      <c r="R883" s="81" t="str">
        <f>_xlfn.CONCAT(表格1[[#This Row],[Model]]," ",表格1[[#This Row],[inv no]])</f>
        <v xml:space="preserve">CWF-09CRFN8-AD5 </v>
      </c>
      <c r="S883" s="135">
        <f>_xlfn.XLOOKUP(表格1[[#This Row],[Model]],表格3[Model-Input-Ref2],表格3[SRP PRICE])</f>
        <v>4600</v>
      </c>
      <c r="T883" s="43">
        <f>表格1[[#This Row],[Unit Price]]/表格1[[#This Row],[SRP]]</f>
        <v>0.67173913043478262</v>
      </c>
      <c r="U883" s="86" t="str">
        <f>_xlfn.XLOOKUP(表格1[[#This Row],[Model]],表格3[Model-Input-Ref2],表格3[TOSHIBA/HIGHEST])</f>
        <v>Shops Highest Price</v>
      </c>
      <c r="V883" s="86" t="s">
        <v>1126</v>
      </c>
      <c r="W883" s="86" t="str">
        <f>_xlfn.CONCAT(表格1[[#This Row],[欄4]],表格1[[#This Row],[inv no]])</f>
        <v>DA141</v>
      </c>
    </row>
    <row r="884" spans="1:23" ht="16.5" hidden="1">
      <c r="A884" s="81">
        <v>882</v>
      </c>
      <c r="B884" s="81" t="s">
        <v>1203</v>
      </c>
      <c r="C884" s="81" t="s">
        <v>1452</v>
      </c>
      <c r="D884" s="82" t="str">
        <f ca="1">OFFSET(Roster!$A$3,MATCH(表格1[[#This Row],[Location]]&amp;" "&amp;表格1[[#This Row],[Shop]]&amp;"*",Roster!$A$4:$A$72,0),DAY(表格1[[#This Row],[date]]),1,1)</f>
        <v>Ho_3</v>
      </c>
      <c r="E884" s="81">
        <f>MONTH(表格1[[#This Row],[date]])</f>
        <v>3</v>
      </c>
      <c r="F884" s="101">
        <v>46111</v>
      </c>
      <c r="G884" s="81" t="str">
        <f>VLOOKUP("*"&amp;表格1[[#This Row],[Input]]&amp;"*",'Ref-List'!$B:$D,2,)</f>
        <v>RC-10IRPH</v>
      </c>
      <c r="H884" s="81" t="str">
        <f>_xlfn.XLOOKUP(表格1[[#This Row],[Model]],表格3[Model-Input-Ref2],表格3[Product Line])</f>
        <v>低醣磁應電飯煲1L</v>
      </c>
      <c r="I884" s="81" t="str">
        <f>_xlfn.XLOOKUP(表格1[[#This Row],[Model]],表格3[Model-Input-Ref2],表格3[大小電])</f>
        <v>細電</v>
      </c>
      <c r="J884" s="81" t="str">
        <f>_xlfn.XLOOKUP(表格1[[#This Row],[Model]],表格3[Model-Input-Ref2],表格3[Code])</f>
        <v>SDA</v>
      </c>
      <c r="K884" s="82" t="s">
        <v>1297</v>
      </c>
      <c r="L884" s="81">
        <v>1</v>
      </c>
      <c r="M884" s="85">
        <v>790</v>
      </c>
      <c r="N884" s="85">
        <f>IFERROR(表格1[[#This Row],[QTY]]*表格1[[#This Row],[Unit Price]],"-")</f>
        <v>790</v>
      </c>
      <c r="O884" s="134"/>
      <c r="P884" s="81"/>
      <c r="Q884" s="137"/>
      <c r="R884" s="81" t="str">
        <f>_xlfn.CONCAT(表格1[[#This Row],[Model]]," ",表格1[[#This Row],[inv no]])</f>
        <v xml:space="preserve">RC-10IRPH </v>
      </c>
      <c r="S884" s="135">
        <f>_xlfn.XLOOKUP(表格1[[#This Row],[Model]],表格3[Model-Input-Ref2],表格3[SRP PRICE])</f>
        <v>1388</v>
      </c>
      <c r="T884" s="43">
        <f>表格1[[#This Row],[Unit Price]]/表格1[[#This Row],[SRP]]</f>
        <v>0.56916426512968299</v>
      </c>
      <c r="U884" s="86" t="str">
        <f>_xlfn.XLOOKUP(表格1[[#This Row],[Model]],表格3[Model-Input-Ref2],表格3[TOSHIBA/HIGHEST])</f>
        <v>Toshiba SRP</v>
      </c>
      <c r="V884" s="86" t="s">
        <v>1126</v>
      </c>
      <c r="W884" s="86" t="str">
        <f>_xlfn.CONCAT(表格1[[#This Row],[欄4]],表格1[[#This Row],[inv no]])</f>
        <v>DA141</v>
      </c>
    </row>
    <row r="885" spans="1:23" hidden="1">
      <c r="A885" s="81">
        <v>883</v>
      </c>
      <c r="B885" s="81" t="s">
        <v>1203</v>
      </c>
      <c r="C885" s="81" t="s">
        <v>1452</v>
      </c>
      <c r="D885" s="82" t="str">
        <f ca="1">OFFSET(Roster!$A$3,MATCH(表格1[[#This Row],[Location]]&amp;" "&amp;表格1[[#This Row],[Shop]]&amp;"*",Roster!$A$4:$A$72,0),DAY(表格1[[#This Row],[date]]),1,1)</f>
        <v>Ho_3</v>
      </c>
      <c r="E885" s="81">
        <f>MONTH(表格1[[#This Row],[date]])</f>
        <v>3</v>
      </c>
      <c r="F885" s="101">
        <v>46111</v>
      </c>
      <c r="G885" s="81" t="str">
        <f>VLOOKUP("*"&amp;表格1[[#This Row],[Input]]&amp;"*",'Ref-List'!$B:$D,2,)</f>
        <v>F-LYA20(W)HKG</v>
      </c>
      <c r="H885" s="81" t="str">
        <f>_xlfn.XLOOKUP(表格1[[#This Row],[Model]],表格3[Model-Input-Ref2],表格3[Product Line])</f>
        <v>12吋2合1座地座檯電風扇連遙控</v>
      </c>
      <c r="I885" s="81" t="str">
        <f>_xlfn.XLOOKUP(表格1[[#This Row],[Model]],表格3[Model-Input-Ref2],表格3[大小電])</f>
        <v>細電</v>
      </c>
      <c r="J885" s="81" t="str">
        <f>_xlfn.XLOOKUP(表格1[[#This Row],[Model]],表格3[Model-Input-Ref2],表格3[Code])</f>
        <v>EAD</v>
      </c>
      <c r="K885" s="82" t="s">
        <v>1391</v>
      </c>
      <c r="L885" s="81">
        <v>1</v>
      </c>
      <c r="M885" s="85">
        <v>390</v>
      </c>
      <c r="N885" s="85">
        <f>IFERROR(表格1[[#This Row],[QTY]]*表格1[[#This Row],[Unit Price]],"-")</f>
        <v>390</v>
      </c>
      <c r="O885" s="134"/>
      <c r="P885" s="81"/>
      <c r="Q885" s="81"/>
      <c r="R885" s="81" t="str">
        <f>_xlfn.CONCAT(表格1[[#This Row],[Model]]," ",表格1[[#This Row],[inv no]])</f>
        <v xml:space="preserve">F-LYA20(W)HKG </v>
      </c>
      <c r="S885" s="135">
        <f>_xlfn.XLOOKUP(表格1[[#This Row],[Model]],表格3[Model-Input-Ref2],表格3[SRP PRICE])</f>
        <v>988</v>
      </c>
      <c r="T885" s="43">
        <f>表格1[[#This Row],[Unit Price]]/表格1[[#This Row],[SRP]]</f>
        <v>0.39473684210526316</v>
      </c>
      <c r="U885" s="86" t="str">
        <f>_xlfn.XLOOKUP(表格1[[#This Row],[Model]],表格3[Model-Input-Ref2],表格3[TOSHIBA/HIGHEST])</f>
        <v>Toshiba SRP</v>
      </c>
      <c r="V885" s="86" t="s">
        <v>1126</v>
      </c>
      <c r="W885" s="86" t="str">
        <f>_xlfn.CONCAT(表格1[[#This Row],[欄4]],表格1[[#This Row],[inv no]])</f>
        <v>DA141</v>
      </c>
    </row>
    <row r="886" spans="1:23" hidden="1">
      <c r="A886" s="81">
        <v>884</v>
      </c>
      <c r="B886" s="81" t="s">
        <v>1203</v>
      </c>
      <c r="C886" s="81" t="s">
        <v>1452</v>
      </c>
      <c r="D886" s="82" t="str">
        <f ca="1">OFFSET(Roster!$A$3,MATCH(表格1[[#This Row],[Location]]&amp;" "&amp;表格1[[#This Row],[Shop]]&amp;"*",Roster!$A$4:$A$72,0),DAY(表格1[[#This Row],[date]]),1,1)</f>
        <v>Ho_3</v>
      </c>
      <c r="E886" s="81">
        <f>MONTH(表格1[[#This Row],[date]])</f>
        <v>3</v>
      </c>
      <c r="F886" s="101">
        <v>46111</v>
      </c>
      <c r="G886" s="81" t="str">
        <f>VLOOKUP("*"&amp;表格1[[#This Row],[Input]]&amp;"*",'Ref-List'!$B:$D,2,)</f>
        <v>F-LYA20(W)HKG</v>
      </c>
      <c r="H886" s="81" t="str">
        <f>_xlfn.XLOOKUP(表格1[[#This Row],[Model]],表格3[Model-Input-Ref2],表格3[Product Line])</f>
        <v>12吋2合1座地座檯電風扇連遙控</v>
      </c>
      <c r="I886" s="81" t="str">
        <f>_xlfn.XLOOKUP(表格1[[#This Row],[Model]],表格3[Model-Input-Ref2],表格3[大小電])</f>
        <v>細電</v>
      </c>
      <c r="J886" s="81" t="str">
        <f>_xlfn.XLOOKUP(表格1[[#This Row],[Model]],表格3[Model-Input-Ref2],表格3[Code])</f>
        <v>EAD</v>
      </c>
      <c r="K886" s="82" t="s">
        <v>1391</v>
      </c>
      <c r="L886" s="81">
        <v>1</v>
      </c>
      <c r="M886" s="85">
        <v>390</v>
      </c>
      <c r="N886" s="85">
        <f>IFERROR(表格1[[#This Row],[QTY]]*表格1[[#This Row],[Unit Price]],"-")</f>
        <v>390</v>
      </c>
      <c r="O886" s="134"/>
      <c r="P886" s="81"/>
      <c r="Q886" s="81"/>
      <c r="R886" s="81" t="str">
        <f>_xlfn.CONCAT(表格1[[#This Row],[Model]]," ",表格1[[#This Row],[inv no]])</f>
        <v xml:space="preserve">F-LYA20(W)HKG </v>
      </c>
      <c r="S886" s="135">
        <f>_xlfn.XLOOKUP(表格1[[#This Row],[Model]],表格3[Model-Input-Ref2],表格3[SRP PRICE])</f>
        <v>988</v>
      </c>
      <c r="T886" s="43">
        <f>表格1[[#This Row],[Unit Price]]/表格1[[#This Row],[SRP]]</f>
        <v>0.39473684210526316</v>
      </c>
      <c r="U886" s="86" t="str">
        <f>_xlfn.XLOOKUP(表格1[[#This Row],[Model]],表格3[Model-Input-Ref2],表格3[TOSHIBA/HIGHEST])</f>
        <v>Toshiba SRP</v>
      </c>
      <c r="V886" s="86" t="s">
        <v>1126</v>
      </c>
      <c r="W886" s="86" t="str">
        <f>_xlfn.CONCAT(表格1[[#This Row],[欄4]],表格1[[#This Row],[inv no]])</f>
        <v>DA141</v>
      </c>
    </row>
    <row r="887" spans="1:23" hidden="1">
      <c r="A887" s="81">
        <v>885</v>
      </c>
      <c r="B887" s="81" t="s">
        <v>1203</v>
      </c>
      <c r="C887" s="81" t="s">
        <v>1452</v>
      </c>
      <c r="D887" s="82" t="str">
        <f ca="1">OFFSET(Roster!$A$3,MATCH(表格1[[#This Row],[Location]]&amp;" "&amp;表格1[[#This Row],[Shop]]&amp;"*",Roster!$A$4:$A$72,0),DAY(表格1[[#This Row],[date]]),1,1)</f>
        <v>Ho_3</v>
      </c>
      <c r="E887" s="81">
        <f>MONTH(表格1[[#This Row],[date]])</f>
        <v>3</v>
      </c>
      <c r="F887" s="101">
        <v>46111</v>
      </c>
      <c r="G887" s="81" t="str">
        <f>VLOOKUP("*"&amp;表格1[[#This Row],[Input]]&amp;"*",'Ref-List'!$B:$D,2,)</f>
        <v>F-DSB35HK(W)</v>
      </c>
      <c r="H887" s="81" t="str">
        <f>_xlfn.XLOOKUP(表格1[[#This Row],[Model]],表格3[Model-Input-Ref2],表格3[Product Line])</f>
        <v>Electric Fan</v>
      </c>
      <c r="I887" s="81" t="str">
        <f>_xlfn.XLOOKUP(表格1[[#This Row],[Model]],表格3[Model-Input-Ref2],表格3[大小電])</f>
        <v>細電</v>
      </c>
      <c r="J887" s="81" t="str">
        <f>_xlfn.XLOOKUP(表格1[[#This Row],[Model]],表格3[Model-Input-Ref2],表格3[Code])</f>
        <v>SDA</v>
      </c>
      <c r="K887" s="82" t="s">
        <v>1453</v>
      </c>
      <c r="L887" s="81">
        <v>1</v>
      </c>
      <c r="M887" s="85">
        <v>550</v>
      </c>
      <c r="N887" s="85">
        <f>IFERROR(表格1[[#This Row],[QTY]]*表格1[[#This Row],[Unit Price]],"-")</f>
        <v>550</v>
      </c>
      <c r="O887" s="134"/>
      <c r="P887" s="81"/>
      <c r="Q887" s="81"/>
      <c r="R887" s="81" t="str">
        <f>_xlfn.CONCAT(表格1[[#This Row],[Model]]," ",表格1[[#This Row],[inv no]])</f>
        <v xml:space="preserve">F-DSB35HK(W) </v>
      </c>
      <c r="S887" s="135">
        <f>_xlfn.XLOOKUP(表格1[[#This Row],[Model]],表格3[Model-Input-Ref2],表格3[SRP PRICE])</f>
        <v>1088</v>
      </c>
      <c r="T887" s="43">
        <f>表格1[[#This Row],[Unit Price]]/表格1[[#This Row],[SRP]]</f>
        <v>0.50551470588235292</v>
      </c>
      <c r="U887" s="86" t="str">
        <f>_xlfn.XLOOKUP(表格1[[#This Row],[Model]],表格3[Model-Input-Ref2],表格3[TOSHIBA/HIGHEST])</f>
        <v>Toshiba SRP</v>
      </c>
      <c r="V887" s="86" t="s">
        <v>1126</v>
      </c>
      <c r="W887" s="86" t="str">
        <f>_xlfn.CONCAT(表格1[[#This Row],[欄4]],表格1[[#This Row],[inv no]])</f>
        <v>DA141</v>
      </c>
    </row>
    <row r="888" spans="1:23" hidden="1">
      <c r="A888" s="81">
        <v>886</v>
      </c>
      <c r="B888" s="81" t="s">
        <v>1203</v>
      </c>
      <c r="C888" s="81" t="s">
        <v>1452</v>
      </c>
      <c r="D888" s="82" t="str">
        <f ca="1">OFFSET(Roster!$A$3,MATCH(表格1[[#This Row],[Location]]&amp;" "&amp;表格1[[#This Row],[Shop]]&amp;"*",Roster!$A$4:$A$72,0),DAY(表格1[[#This Row],[date]]),1,1)</f>
        <v>Ho_3</v>
      </c>
      <c r="E888" s="81">
        <f>MONTH(表格1[[#This Row],[date]])</f>
        <v>3</v>
      </c>
      <c r="F888" s="101">
        <v>46111</v>
      </c>
      <c r="G888" s="81" t="str">
        <f>VLOOKUP("*"&amp;表格1[[#This Row],[Input]]&amp;"*",'Ref-List'!$B:$D,2,)</f>
        <v>CFS-09PGR0A0</v>
      </c>
      <c r="H888" s="81" t="str">
        <f>_xlfn.XLOOKUP(表格1[[#This Row],[Model]],表格3[Model-Input-Ref2],表格3[Product Line])</f>
        <v>9吋座檯座地循環扇連遙控</v>
      </c>
      <c r="I888" s="81" t="str">
        <f>_xlfn.XLOOKUP(表格1[[#This Row],[Model]],表格3[Model-Input-Ref2],表格3[大小電])</f>
        <v>細電</v>
      </c>
      <c r="J888" s="81" t="str">
        <f>_xlfn.XLOOKUP(表格1[[#This Row],[Model]],表格3[Model-Input-Ref2],表格3[Code])</f>
        <v>SDA</v>
      </c>
      <c r="K888" s="82" t="s">
        <v>1457</v>
      </c>
      <c r="L888" s="81">
        <v>1</v>
      </c>
      <c r="M888" s="85">
        <v>285</v>
      </c>
      <c r="N888" s="85">
        <f>IFERROR(表格1[[#This Row],[QTY]]*表格1[[#This Row],[Unit Price]],"-")</f>
        <v>285</v>
      </c>
      <c r="O888" s="134"/>
      <c r="P888" s="81"/>
      <c r="Q888" s="81"/>
      <c r="R888" s="81" t="str">
        <f>_xlfn.CONCAT(表格1[[#This Row],[Model]]," ",表格1[[#This Row],[inv no]])</f>
        <v xml:space="preserve">CFS-09PGR0A0 </v>
      </c>
      <c r="S888" s="135">
        <f>_xlfn.XLOOKUP(表格1[[#This Row],[Model]],表格3[Model-Input-Ref2],表格3[SRP PRICE])</f>
        <v>350</v>
      </c>
      <c r="T888" s="43">
        <f>表格1[[#This Row],[Unit Price]]/表格1[[#This Row],[SRP]]</f>
        <v>0.81428571428571428</v>
      </c>
      <c r="U888" s="86">
        <f>_xlfn.XLOOKUP(表格1[[#This Row],[Model]],表格3[Model-Input-Ref2],表格3[TOSHIBA/HIGHEST])</f>
        <v>0</v>
      </c>
      <c r="V888" s="86" t="s">
        <v>1126</v>
      </c>
      <c r="W888" s="86" t="str">
        <f>_xlfn.CONCAT(表格1[[#This Row],[欄4]],表格1[[#This Row],[inv no]])</f>
        <v>DA141</v>
      </c>
    </row>
    <row r="889" spans="1:23" hidden="1">
      <c r="A889" s="81">
        <v>887</v>
      </c>
      <c r="B889" s="81" t="s">
        <v>1458</v>
      </c>
      <c r="C889" s="81" t="s">
        <v>1459</v>
      </c>
      <c r="D889" s="82" t="str">
        <f ca="1">OFFSET(Roster!$A$3,MATCH(表格1[[#This Row],[Location]]&amp;" "&amp;表格1[[#This Row],[Shop]]&amp;"*",Roster!$A$4:$A$72,0),DAY(表格1[[#This Row],[date]]),1,1)</f>
        <v>Ho_2</v>
      </c>
      <c r="E889" s="81">
        <f>MONTH(表格1[[#This Row],[date]])</f>
        <v>3</v>
      </c>
      <c r="F889" s="101">
        <v>46101</v>
      </c>
      <c r="G889" s="81" t="str">
        <f>VLOOKUP("*"&amp;表格1[[#This Row],[Input]]&amp;"*",'Ref-List'!$B:$D,2,)</f>
        <v>GR-RM469WE-PGA(B3)</v>
      </c>
      <c r="H889" s="81" t="str">
        <f>_xlfn.XLOOKUP(表格1[[#This Row],[Model]],表格3[Model-Input-Ref2],表格3[Product Line])</f>
        <v>旗艦級變頻三門雪櫃 (300L)</v>
      </c>
      <c r="I889" s="81" t="str">
        <f>_xlfn.XLOOKUP(表格1[[#This Row],[Model]],表格3[Model-Input-Ref2],表格3[大小電])</f>
        <v>大電</v>
      </c>
      <c r="J889" s="81" t="str">
        <f>_xlfn.XLOOKUP(表格1[[#This Row],[Model]],表格3[Model-Input-Ref2],表格3[Code])</f>
        <v>REF</v>
      </c>
      <c r="K889" s="82" t="s">
        <v>1460</v>
      </c>
      <c r="L889" s="81">
        <v>1</v>
      </c>
      <c r="M889" s="85">
        <v>5888</v>
      </c>
      <c r="N889" s="85">
        <f>IFERROR(表格1[[#This Row],[QTY]]*表格1[[#This Row],[Unit Price]],"-")</f>
        <v>5888</v>
      </c>
      <c r="O889" s="134"/>
      <c r="P889" s="81"/>
      <c r="Q889" s="81"/>
      <c r="R889" s="81" t="str">
        <f>_xlfn.CONCAT(表格1[[#This Row],[Model]]," ",表格1[[#This Row],[inv no]])</f>
        <v xml:space="preserve">GR-RM469WE-PGA(B3) </v>
      </c>
      <c r="S889" s="135">
        <f>_xlfn.XLOOKUP(表格1[[#This Row],[Model]],表格3[Model-Input-Ref2],表格3[SRP PRICE])</f>
        <v>8990</v>
      </c>
      <c r="T889" s="43">
        <f>表格1[[#This Row],[Unit Price]]/表格1[[#This Row],[SRP]]</f>
        <v>0.65494994438264742</v>
      </c>
      <c r="U889" s="86" t="str">
        <f>_xlfn.XLOOKUP(表格1[[#This Row],[Model]],表格3[Model-Input-Ref2],表格3[TOSHIBA/HIGHEST])</f>
        <v>Toshiba SRP</v>
      </c>
      <c r="V889" s="86" t="s">
        <v>1126</v>
      </c>
      <c r="W889" s="86" t="str">
        <f>_xlfn.CONCAT(表格1[[#This Row],[欄4]],表格1[[#This Row],[inv no]])</f>
        <v>DA141</v>
      </c>
    </row>
    <row r="890" spans="1:23" hidden="1">
      <c r="A890" s="81">
        <v>888</v>
      </c>
      <c r="B890" s="81" t="s">
        <v>1458</v>
      </c>
      <c r="C890" s="81" t="s">
        <v>1459</v>
      </c>
      <c r="D890" s="82" t="str">
        <f ca="1">OFFSET(Roster!$A$3,MATCH(表格1[[#This Row],[Location]]&amp;" "&amp;表格1[[#This Row],[Shop]]&amp;"*",Roster!$A$4:$A$72,0),DAY(表格1[[#This Row],[date]]),1,1)</f>
        <v>Ho_2</v>
      </c>
      <c r="E890" s="81">
        <f>MONTH(表格1[[#This Row],[date]])</f>
        <v>3</v>
      </c>
      <c r="F890" s="101">
        <v>46101</v>
      </c>
      <c r="G890" s="81" t="str">
        <f>VLOOKUP("*"&amp;表格1[[#This Row],[Input]]&amp;"*",'Ref-List'!$B:$D,2,)</f>
        <v>GR-RB360WE-PMA(06)</v>
      </c>
      <c r="H890" s="81" t="str">
        <f>_xlfn.XLOOKUP(表格1[[#This Row],[Model]],表格3[Model-Input-Ref2],表格3[Product Line])</f>
        <v>變頻下置式雙門雪櫃系列270L</v>
      </c>
      <c r="I890" s="81" t="str">
        <f>_xlfn.XLOOKUP(表格1[[#This Row],[Model]],表格3[Model-Input-Ref2],表格3[大小電])</f>
        <v>大電</v>
      </c>
      <c r="J890" s="81" t="str">
        <f>_xlfn.XLOOKUP(表格1[[#This Row],[Model]],表格3[Model-Input-Ref2],表格3[Code])</f>
        <v>REF</v>
      </c>
      <c r="K890" s="82" t="s">
        <v>1282</v>
      </c>
      <c r="L890" s="81">
        <v>1</v>
      </c>
      <c r="M890" s="85">
        <v>3650</v>
      </c>
      <c r="N890" s="85">
        <f>IFERROR(表格1[[#This Row],[QTY]]*表格1[[#This Row],[Unit Price]],"-")</f>
        <v>3650</v>
      </c>
      <c r="O890" s="134"/>
      <c r="P890" s="81"/>
      <c r="Q890" s="81"/>
      <c r="R890" s="81" t="str">
        <f>_xlfn.CONCAT(表格1[[#This Row],[Model]]," ",表格1[[#This Row],[inv no]])</f>
        <v xml:space="preserve">GR-RB360WE-PMA(06) </v>
      </c>
      <c r="S890" s="135">
        <f>_xlfn.XLOOKUP(表格1[[#This Row],[Model]],表格3[Model-Input-Ref2],表格3[SRP PRICE])</f>
        <v>5080</v>
      </c>
      <c r="T890" s="43">
        <f>表格1[[#This Row],[Unit Price]]/表格1[[#This Row],[SRP]]</f>
        <v>0.71850393700787396</v>
      </c>
      <c r="U890" s="86" t="str">
        <f>_xlfn.XLOOKUP(表格1[[#This Row],[Model]],表格3[Model-Input-Ref2],表格3[TOSHIBA/HIGHEST])</f>
        <v>Toshiba SRP</v>
      </c>
      <c r="V890" s="86" t="s">
        <v>1126</v>
      </c>
      <c r="W890" s="86" t="str">
        <f>_xlfn.CONCAT(表格1[[#This Row],[欄4]],表格1[[#This Row],[inv no]])</f>
        <v>DA141</v>
      </c>
    </row>
    <row r="891" spans="1:23" hidden="1">
      <c r="A891" s="81">
        <v>889</v>
      </c>
      <c r="B891" s="81" t="s">
        <v>1458</v>
      </c>
      <c r="C891" s="81" t="s">
        <v>1459</v>
      </c>
      <c r="D891" s="82" t="str">
        <f ca="1">OFFSET(Roster!$A$3,MATCH(表格1[[#This Row],[Location]]&amp;" "&amp;表格1[[#This Row],[Shop]]&amp;"*",Roster!$A$4:$A$72,0),DAY(表格1[[#This Row],[date]]),1,1)</f>
        <v>Ho_2</v>
      </c>
      <c r="E891" s="81">
        <f>MONTH(表格1[[#This Row],[date]])</f>
        <v>3</v>
      </c>
      <c r="F891" s="101">
        <v>46101</v>
      </c>
      <c r="G891" s="81" t="str">
        <f>VLOOKUP("*"&amp;表格1[[#This Row],[Input]]&amp;"*",'Ref-List'!$B:$D,2,)</f>
        <v>GR-RT234WE-PMA(57)</v>
      </c>
      <c r="H891" s="81" t="str">
        <f>_xlfn.XLOOKUP(表格1[[#This Row],[Model]],表格3[Model-Input-Ref2],表格3[Product Line])</f>
        <v>變頻式環保雙門雪櫃（179L）</v>
      </c>
      <c r="I891" s="81" t="str">
        <f>_xlfn.XLOOKUP(表格1[[#This Row],[Model]],表格3[Model-Input-Ref2],表格3[大小電])</f>
        <v>大電</v>
      </c>
      <c r="J891" s="81" t="str">
        <f>_xlfn.XLOOKUP(表格1[[#This Row],[Model]],表格3[Model-Input-Ref2],表格3[Code])</f>
        <v>REF</v>
      </c>
      <c r="K891" s="82" t="s">
        <v>1423</v>
      </c>
      <c r="L891" s="81">
        <v>1</v>
      </c>
      <c r="M891" s="85">
        <v>1950</v>
      </c>
      <c r="N891" s="85">
        <f>IFERROR(表格1[[#This Row],[QTY]]*表格1[[#This Row],[Unit Price]],"-")</f>
        <v>1950</v>
      </c>
      <c r="O891" s="134"/>
      <c r="P891" s="81"/>
      <c r="Q891" s="81"/>
      <c r="R891" s="81" t="str">
        <f>_xlfn.CONCAT(表格1[[#This Row],[Model]]," ",表格1[[#This Row],[inv no]])</f>
        <v xml:space="preserve">GR-RT234WE-PMA(57) </v>
      </c>
      <c r="S891" s="135">
        <f>_xlfn.XLOOKUP(表格1[[#This Row],[Model]],表格3[Model-Input-Ref2],表格3[SRP PRICE])</f>
        <v>3680</v>
      </c>
      <c r="T891" s="43">
        <f>表格1[[#This Row],[Unit Price]]/表格1[[#This Row],[SRP]]</f>
        <v>0.52989130434782605</v>
      </c>
      <c r="U891" s="86" t="str">
        <f>_xlfn.XLOOKUP(表格1[[#This Row],[Model]],表格3[Model-Input-Ref2],表格3[TOSHIBA/HIGHEST])</f>
        <v>Toshiba SRP</v>
      </c>
      <c r="V891" s="86" t="s">
        <v>1126</v>
      </c>
      <c r="W891" s="86" t="str">
        <f>_xlfn.CONCAT(表格1[[#This Row],[欄4]],表格1[[#This Row],[inv no]])</f>
        <v>DA141</v>
      </c>
    </row>
    <row r="892" spans="1:23" hidden="1">
      <c r="A892" s="81">
        <v>890</v>
      </c>
      <c r="B892" s="81" t="s">
        <v>1458</v>
      </c>
      <c r="C892" s="81" t="s">
        <v>1459</v>
      </c>
      <c r="D892" s="82" t="str">
        <f ca="1">OFFSET(Roster!$A$3,MATCH(表格1[[#This Row],[Location]]&amp;" "&amp;表格1[[#This Row],[Shop]]&amp;"*",Roster!$A$4:$A$72,0),DAY(表格1[[#This Row],[date]]),1,1)</f>
        <v>Ho_2</v>
      </c>
      <c r="E892" s="81">
        <f>MONTH(表格1[[#This Row],[date]])</f>
        <v>3</v>
      </c>
      <c r="F892" s="101">
        <v>46101</v>
      </c>
      <c r="G892" s="81" t="str">
        <f>VLOOKUP("*"&amp;表格1[[#This Row],[Input]]&amp;"*",'Ref-List'!$B:$D,2,)</f>
        <v>TWD-BN90GF4H(WK)</v>
      </c>
      <c r="H892" s="81" t="str">
        <f>_xlfn.XLOOKUP(表格1[[#This Row],[Model]],表格3[Model-Input-Ref2],表格3[Product Line])</f>
        <v>超薄身前置式洗衣乾衣機 (洗8公斤 乾5公斤)</v>
      </c>
      <c r="I892" s="81" t="str">
        <f>_xlfn.XLOOKUP(表格1[[#This Row],[Model]],表格3[Model-Input-Ref2],表格3[大小電])</f>
        <v>大電</v>
      </c>
      <c r="J892" s="81" t="str">
        <f>_xlfn.XLOOKUP(表格1[[#This Row],[Model]],表格3[Model-Input-Ref2],表格3[Code])</f>
        <v>WM</v>
      </c>
      <c r="K892" s="82" t="s">
        <v>1199</v>
      </c>
      <c r="L892" s="81">
        <v>1</v>
      </c>
      <c r="M892" s="85">
        <v>3650</v>
      </c>
      <c r="N892" s="85">
        <f>IFERROR(表格1[[#This Row],[QTY]]*表格1[[#This Row],[Unit Price]],"-")</f>
        <v>3650</v>
      </c>
      <c r="O892" s="134"/>
      <c r="P892" s="81"/>
      <c r="Q892" s="81"/>
      <c r="R892" s="81" t="str">
        <f>_xlfn.CONCAT(表格1[[#This Row],[Model]]," ",表格1[[#This Row],[inv no]])</f>
        <v xml:space="preserve">TWD-BN90GF4H(WK) </v>
      </c>
      <c r="S892" s="135">
        <f>_xlfn.XLOOKUP(表格1[[#This Row],[Model]],表格3[Model-Input-Ref2],表格3[SRP PRICE])</f>
        <v>5980</v>
      </c>
      <c r="T892" s="43">
        <f>表格1[[#This Row],[Unit Price]]/表格1[[#This Row],[SRP]]</f>
        <v>0.61036789297658867</v>
      </c>
      <c r="U892" s="86" t="str">
        <f>_xlfn.XLOOKUP(表格1[[#This Row],[Model]],表格3[Model-Input-Ref2],表格3[TOSHIBA/HIGHEST])</f>
        <v>Toshiba SRP</v>
      </c>
      <c r="V892" s="86" t="s">
        <v>1126</v>
      </c>
      <c r="W892" s="86" t="str">
        <f>_xlfn.CONCAT(表格1[[#This Row],[欄4]],表格1[[#This Row],[inv no]])</f>
        <v>DA141</v>
      </c>
    </row>
    <row r="893" spans="1:23" hidden="1">
      <c r="A893" s="81">
        <v>891</v>
      </c>
      <c r="B893" s="81" t="s">
        <v>1458</v>
      </c>
      <c r="C893" s="81" t="s">
        <v>1459</v>
      </c>
      <c r="D893" s="82" t="str">
        <f ca="1">OFFSET(Roster!$A$3,MATCH(表格1[[#This Row],[Location]]&amp;" "&amp;表格1[[#This Row],[Shop]]&amp;"*",Roster!$A$4:$A$72,0),DAY(表格1[[#This Row],[date]]),1,1)</f>
        <v>Ho_2</v>
      </c>
      <c r="E893" s="81">
        <f>MONTH(表格1[[#This Row],[date]])</f>
        <v>3</v>
      </c>
      <c r="F893" s="101">
        <v>46101</v>
      </c>
      <c r="G893" s="81" t="str">
        <f>VLOOKUP("*"&amp;表格1[[#This Row],[Input]]&amp;"*",'Ref-List'!$B:$D,2,)</f>
        <v>AW-Q801APH(WW)</v>
      </c>
      <c r="H893" s="81" t="str">
        <f>_xlfn.XLOOKUP(表格1[[#This Row],[Model]],表格3[Model-Input-Ref2],表格3[Product Line])</f>
        <v>日式洗衣機 (7公斤 結合高低水位)</v>
      </c>
      <c r="I893" s="81" t="str">
        <f>_xlfn.XLOOKUP(表格1[[#This Row],[Model]],表格3[Model-Input-Ref2],表格3[大小電])</f>
        <v>大電</v>
      </c>
      <c r="J893" s="81" t="str">
        <f>_xlfn.XLOOKUP(表格1[[#This Row],[Model]],表格3[Model-Input-Ref2],表格3[Code])</f>
        <v>LAD</v>
      </c>
      <c r="K893" s="82" t="s">
        <v>1420</v>
      </c>
      <c r="L893" s="81">
        <v>1</v>
      </c>
      <c r="M893" s="85">
        <v>1880</v>
      </c>
      <c r="N893" s="85">
        <f>IFERROR(表格1[[#This Row],[QTY]]*表格1[[#This Row],[Unit Price]],"-")</f>
        <v>1880</v>
      </c>
      <c r="O893" s="134"/>
      <c r="P893" s="81"/>
      <c r="Q893" s="81"/>
      <c r="R893" s="81" t="str">
        <f>_xlfn.CONCAT(表格1[[#This Row],[Model]]," ",表格1[[#This Row],[inv no]])</f>
        <v xml:space="preserve">AW-Q801APH(WW) </v>
      </c>
      <c r="S893" s="135">
        <f>_xlfn.XLOOKUP(表格1[[#This Row],[Model]],表格3[Model-Input-Ref2],表格3[SRP PRICE])</f>
        <v>3380</v>
      </c>
      <c r="T893" s="43">
        <f>表格1[[#This Row],[Unit Price]]/表格1[[#This Row],[SRP]]</f>
        <v>0.55621301775147924</v>
      </c>
      <c r="U893" s="86" t="str">
        <f>_xlfn.XLOOKUP(表格1[[#This Row],[Model]],表格3[Model-Input-Ref2],表格3[TOSHIBA/HIGHEST])</f>
        <v>Toshiba SRP</v>
      </c>
      <c r="V893" s="86" t="s">
        <v>1126</v>
      </c>
      <c r="W893" s="86" t="str">
        <f>_xlfn.CONCAT(表格1[[#This Row],[欄4]],表格1[[#This Row],[inv no]])</f>
        <v>DA141</v>
      </c>
    </row>
    <row r="894" spans="1:23" hidden="1">
      <c r="A894" s="81">
        <v>892</v>
      </c>
      <c r="B894" s="81" t="s">
        <v>1458</v>
      </c>
      <c r="C894" s="81" t="s">
        <v>1459</v>
      </c>
      <c r="D894" s="82" t="str">
        <f ca="1">OFFSET(Roster!$A$3,MATCH(表格1[[#This Row],[Location]]&amp;" "&amp;表格1[[#This Row],[Shop]]&amp;"*",Roster!$A$4:$A$72,0),DAY(表格1[[#This Row],[date]]),1,1)</f>
        <v>Ho_2</v>
      </c>
      <c r="E894" s="81">
        <f>MONTH(表格1[[#This Row],[date]])</f>
        <v>3</v>
      </c>
      <c r="F894" s="101">
        <v>46101</v>
      </c>
      <c r="G894" s="81" t="str">
        <f>VLOOKUP("*"&amp;表格1[[#This Row],[Input]]&amp;"*",'Ref-List'!$B:$D,2,)</f>
        <v>MS3-STQ20SC(WH)</v>
      </c>
      <c r="H894" s="81" t="str">
        <f>_xlfn.XLOOKUP(表格1[[#This Row],[Model]],表格3[Model-Input-Ref2],表格3[Product Line])</f>
        <v>20L 智能蒸氣焗爐</v>
      </c>
      <c r="I894" s="81" t="str">
        <f>_xlfn.XLOOKUP(表格1[[#This Row],[Model]],表格3[Model-Input-Ref2],表格3[大小電])</f>
        <v>細電</v>
      </c>
      <c r="J894" s="81" t="str">
        <f>_xlfn.XLOOKUP(表格1[[#This Row],[Model]],表格3[Model-Input-Ref2],表格3[Code])</f>
        <v>MCA</v>
      </c>
      <c r="K894" s="82" t="s">
        <v>1383</v>
      </c>
      <c r="L894" s="81">
        <v>1</v>
      </c>
      <c r="M894" s="85">
        <v>1880</v>
      </c>
      <c r="N894" s="85">
        <f>IFERROR(表格1[[#This Row],[QTY]]*表格1[[#This Row],[Unit Price]],"-")</f>
        <v>1880</v>
      </c>
      <c r="O894" s="134"/>
      <c r="P894" s="81"/>
      <c r="Q894" s="81"/>
      <c r="R894" s="81" t="str">
        <f>_xlfn.CONCAT(表格1[[#This Row],[Model]]," ",表格1[[#This Row],[inv no]])</f>
        <v xml:space="preserve">MS3-STQ20SC(WH) </v>
      </c>
      <c r="S894" s="135">
        <f>_xlfn.XLOOKUP(表格1[[#This Row],[Model]],表格3[Model-Input-Ref2],表格3[SRP PRICE])</f>
        <v>2880</v>
      </c>
      <c r="T894" s="43">
        <f>表格1[[#This Row],[Unit Price]]/表格1[[#This Row],[SRP]]</f>
        <v>0.65277777777777779</v>
      </c>
      <c r="U894" s="86" t="str">
        <f>_xlfn.XLOOKUP(表格1[[#This Row],[Model]],表格3[Model-Input-Ref2],表格3[TOSHIBA/HIGHEST])</f>
        <v>Toshiba SRP</v>
      </c>
      <c r="V894" s="86" t="s">
        <v>1126</v>
      </c>
      <c r="W894" s="86" t="str">
        <f>_xlfn.CONCAT(表格1[[#This Row],[欄4]],表格1[[#This Row],[inv no]])</f>
        <v>DA141</v>
      </c>
    </row>
    <row r="895" spans="1:23" hidden="1">
      <c r="A895" s="81">
        <v>893</v>
      </c>
      <c r="B895" s="81" t="s">
        <v>1458</v>
      </c>
      <c r="C895" s="81" t="s">
        <v>1459</v>
      </c>
      <c r="D895" s="82" t="str">
        <f ca="1">OFFSET(Roster!$A$3,MATCH(表格1[[#This Row],[Location]]&amp;" "&amp;表格1[[#This Row],[Shop]]&amp;"*",Roster!$A$4:$A$72,0),DAY(表格1[[#This Row],[date]]),1,1)</f>
        <v>Ho_2</v>
      </c>
      <c r="E895" s="81">
        <f>MONTH(表格1[[#This Row],[date]])</f>
        <v>3</v>
      </c>
      <c r="F895" s="101">
        <v>46102</v>
      </c>
      <c r="G895" s="81" t="str">
        <f>VLOOKUP("*"&amp;表格1[[#This Row],[Input]]&amp;"*",'Ref-List'!$B:$D,2,)</f>
        <v>RAD-D300H</v>
      </c>
      <c r="H895" s="81" t="str">
        <f>_xlfn.XLOOKUP(表格1[[#This Row],[Model]],表格3[Model-Input-Ref2],表格3[Product Line])</f>
        <v>壓縮式抽濕機 (30公升)</v>
      </c>
      <c r="I895" s="81" t="str">
        <f>_xlfn.XLOOKUP(表格1[[#This Row],[Model]],表格3[Model-Input-Ref2],表格3[大小電])</f>
        <v>細電</v>
      </c>
      <c r="J895" s="81" t="str">
        <f>_xlfn.XLOOKUP(表格1[[#This Row],[Model]],表格3[Model-Input-Ref2],表格3[Code])</f>
        <v>RAC</v>
      </c>
      <c r="K895" s="82" t="s">
        <v>1252</v>
      </c>
      <c r="L895" s="81">
        <v>1</v>
      </c>
      <c r="M895" s="85">
        <v>2280</v>
      </c>
      <c r="N895" s="85">
        <f>IFERROR(表格1[[#This Row],[QTY]]*表格1[[#This Row],[Unit Price]],"-")</f>
        <v>2280</v>
      </c>
      <c r="O895" s="134"/>
      <c r="P895" s="81"/>
      <c r="Q895" s="81"/>
      <c r="R895" s="81" t="str">
        <f>_xlfn.CONCAT(表格1[[#This Row],[Model]]," ",表格1[[#This Row],[inv no]])</f>
        <v xml:space="preserve">RAD-D300H </v>
      </c>
      <c r="S895" s="135">
        <f>_xlfn.XLOOKUP(表格1[[#This Row],[Model]],表格3[Model-Input-Ref2],表格3[SRP PRICE])</f>
        <v>3380</v>
      </c>
      <c r="T895" s="43">
        <f>表格1[[#This Row],[Unit Price]]/表格1[[#This Row],[SRP]]</f>
        <v>0.67455621301775148</v>
      </c>
      <c r="U895" s="86" t="str">
        <f>_xlfn.XLOOKUP(表格1[[#This Row],[Model]],表格3[Model-Input-Ref2],表格3[TOSHIBA/HIGHEST])</f>
        <v>Shops Highest Price</v>
      </c>
      <c r="V895" s="86" t="s">
        <v>1126</v>
      </c>
      <c r="W895" s="86" t="str">
        <f>_xlfn.CONCAT(表格1[[#This Row],[欄4]],表格1[[#This Row],[inv no]])</f>
        <v>DA141</v>
      </c>
    </row>
    <row r="896" spans="1:23" hidden="1">
      <c r="A896" s="81">
        <v>894</v>
      </c>
      <c r="B896" s="81" t="s">
        <v>1458</v>
      </c>
      <c r="C896" s="81" t="s">
        <v>1459</v>
      </c>
      <c r="D896" s="82" t="str">
        <f ca="1">OFFSET(Roster!$A$3,MATCH(表格1[[#This Row],[Location]]&amp;" "&amp;表格1[[#This Row],[Shop]]&amp;"*",Roster!$A$4:$A$72,0),DAY(表格1[[#This Row],[date]]),1,1)</f>
        <v>Ho_2</v>
      </c>
      <c r="E896" s="81">
        <f>MONTH(表格1[[#This Row],[date]])</f>
        <v>3</v>
      </c>
      <c r="F896" s="101">
        <v>46102</v>
      </c>
      <c r="G896" s="81" t="str">
        <f>VLOOKUP("*"&amp;表格1[[#This Row],[Input]]&amp;"*",'Ref-List'!$B:$D,2,)</f>
        <v>RAD-D300H</v>
      </c>
      <c r="H896" s="81" t="str">
        <f>_xlfn.XLOOKUP(表格1[[#This Row],[Model]],表格3[Model-Input-Ref2],表格3[Product Line])</f>
        <v>壓縮式抽濕機 (30公升)</v>
      </c>
      <c r="I896" s="81" t="str">
        <f>_xlfn.XLOOKUP(表格1[[#This Row],[Model]],表格3[Model-Input-Ref2],表格3[大小電])</f>
        <v>細電</v>
      </c>
      <c r="J896" s="81" t="str">
        <f>_xlfn.XLOOKUP(表格1[[#This Row],[Model]],表格3[Model-Input-Ref2],表格3[Code])</f>
        <v>RAC</v>
      </c>
      <c r="K896" s="82" t="s">
        <v>1252</v>
      </c>
      <c r="L896" s="81">
        <v>1</v>
      </c>
      <c r="M896" s="85">
        <v>2280</v>
      </c>
      <c r="N896" s="85">
        <f>IFERROR(表格1[[#This Row],[QTY]]*表格1[[#This Row],[Unit Price]],"-")</f>
        <v>2280</v>
      </c>
      <c r="O896" s="134"/>
      <c r="P896" s="81"/>
      <c r="Q896" s="81"/>
      <c r="R896" s="81" t="str">
        <f>_xlfn.CONCAT(表格1[[#This Row],[Model]]," ",表格1[[#This Row],[inv no]])</f>
        <v xml:space="preserve">RAD-D300H </v>
      </c>
      <c r="S896" s="135">
        <f>_xlfn.XLOOKUP(表格1[[#This Row],[Model]],表格3[Model-Input-Ref2],表格3[SRP PRICE])</f>
        <v>3380</v>
      </c>
      <c r="T896" s="43">
        <f>表格1[[#This Row],[Unit Price]]/表格1[[#This Row],[SRP]]</f>
        <v>0.67455621301775148</v>
      </c>
      <c r="U896" s="86" t="str">
        <f>_xlfn.XLOOKUP(表格1[[#This Row],[Model]],表格3[Model-Input-Ref2],表格3[TOSHIBA/HIGHEST])</f>
        <v>Shops Highest Price</v>
      </c>
      <c r="V896" s="86" t="s">
        <v>1126</v>
      </c>
      <c r="W896" s="86" t="str">
        <f>_xlfn.CONCAT(表格1[[#This Row],[欄4]],表格1[[#This Row],[inv no]])</f>
        <v>DA141</v>
      </c>
    </row>
    <row r="897" spans="1:23" hidden="1">
      <c r="A897" s="81">
        <v>895</v>
      </c>
      <c r="B897" s="81" t="s">
        <v>1458</v>
      </c>
      <c r="C897" s="81" t="s">
        <v>1459</v>
      </c>
      <c r="D897" s="82" t="str">
        <f ca="1">OFFSET(Roster!$A$3,MATCH(表格1[[#This Row],[Location]]&amp;" "&amp;表格1[[#This Row],[Shop]]&amp;"*",Roster!$A$4:$A$72,0),DAY(表格1[[#This Row],[date]]),1,1)</f>
        <v>Ho_2</v>
      </c>
      <c r="E897" s="81">
        <f>MONTH(表格1[[#This Row],[date]])</f>
        <v>3</v>
      </c>
      <c r="F897" s="101">
        <v>46102</v>
      </c>
      <c r="G897" s="81" t="str">
        <f>VLOOKUP("*"&amp;表格1[[#This Row],[Input]]&amp;"*",'Ref-List'!$B:$D,2,)</f>
        <v>RAD-D300H</v>
      </c>
      <c r="H897" s="81" t="str">
        <f>_xlfn.XLOOKUP(表格1[[#This Row],[Model]],表格3[Model-Input-Ref2],表格3[Product Line])</f>
        <v>壓縮式抽濕機 (30公升)</v>
      </c>
      <c r="I897" s="81" t="str">
        <f>_xlfn.XLOOKUP(表格1[[#This Row],[Model]],表格3[Model-Input-Ref2],表格3[大小電])</f>
        <v>細電</v>
      </c>
      <c r="J897" s="81" t="str">
        <f>_xlfn.XLOOKUP(表格1[[#This Row],[Model]],表格3[Model-Input-Ref2],表格3[Code])</f>
        <v>RAC</v>
      </c>
      <c r="K897" s="82" t="s">
        <v>1252</v>
      </c>
      <c r="L897" s="81">
        <v>1</v>
      </c>
      <c r="M897" s="85">
        <v>2280</v>
      </c>
      <c r="N897" s="85">
        <f>IFERROR(表格1[[#This Row],[QTY]]*表格1[[#This Row],[Unit Price]],"-")</f>
        <v>2280</v>
      </c>
      <c r="O897" s="134"/>
      <c r="P897" s="81"/>
      <c r="Q897" s="81"/>
      <c r="R897" s="81" t="str">
        <f>_xlfn.CONCAT(表格1[[#This Row],[Model]]," ",表格1[[#This Row],[inv no]])</f>
        <v xml:space="preserve">RAD-D300H </v>
      </c>
      <c r="S897" s="135">
        <f>_xlfn.XLOOKUP(表格1[[#This Row],[Model]],表格3[Model-Input-Ref2],表格3[SRP PRICE])</f>
        <v>3380</v>
      </c>
      <c r="T897" s="43">
        <f>表格1[[#This Row],[Unit Price]]/表格1[[#This Row],[SRP]]</f>
        <v>0.67455621301775148</v>
      </c>
      <c r="U897" s="86" t="str">
        <f>_xlfn.XLOOKUP(表格1[[#This Row],[Model]],表格3[Model-Input-Ref2],表格3[TOSHIBA/HIGHEST])</f>
        <v>Shops Highest Price</v>
      </c>
      <c r="V897" s="86" t="s">
        <v>1126</v>
      </c>
      <c r="W897" s="86" t="str">
        <f>_xlfn.CONCAT(表格1[[#This Row],[欄4]],表格1[[#This Row],[inv no]])</f>
        <v>DA141</v>
      </c>
    </row>
    <row r="898" spans="1:23" hidden="1">
      <c r="A898" s="81">
        <v>896</v>
      </c>
      <c r="B898" s="81" t="s">
        <v>1458</v>
      </c>
      <c r="C898" s="81" t="s">
        <v>1459</v>
      </c>
      <c r="D898" s="82" t="str">
        <f ca="1">OFFSET(Roster!$A$3,MATCH(表格1[[#This Row],[Location]]&amp;" "&amp;表格1[[#This Row],[Shop]]&amp;"*",Roster!$A$4:$A$72,0),DAY(表格1[[#This Row],[date]]),1,1)</f>
        <v>Ho_2</v>
      </c>
      <c r="E898" s="81">
        <f>MONTH(表格1[[#This Row],[date]])</f>
        <v>3</v>
      </c>
      <c r="F898" s="101">
        <v>46102</v>
      </c>
      <c r="G898" s="81" t="str">
        <f>VLOOKUP("*"&amp;表格1[[#This Row],[Input]]&amp;"*",'Ref-List'!$B:$D,2,)</f>
        <v>RAD-D300H</v>
      </c>
      <c r="H898" s="81" t="str">
        <f>_xlfn.XLOOKUP(表格1[[#This Row],[Model]],表格3[Model-Input-Ref2],表格3[Product Line])</f>
        <v>壓縮式抽濕機 (30公升)</v>
      </c>
      <c r="I898" s="81" t="str">
        <f>_xlfn.XLOOKUP(表格1[[#This Row],[Model]],表格3[Model-Input-Ref2],表格3[大小電])</f>
        <v>細電</v>
      </c>
      <c r="J898" s="81" t="str">
        <f>_xlfn.XLOOKUP(表格1[[#This Row],[Model]],表格3[Model-Input-Ref2],表格3[Code])</f>
        <v>RAC</v>
      </c>
      <c r="K898" s="82" t="s">
        <v>1252</v>
      </c>
      <c r="L898" s="81">
        <v>1</v>
      </c>
      <c r="M898" s="85">
        <v>2280</v>
      </c>
      <c r="N898" s="85">
        <f>IFERROR(表格1[[#This Row],[QTY]]*表格1[[#This Row],[Unit Price]],"-")</f>
        <v>2280</v>
      </c>
      <c r="O898" s="134"/>
      <c r="P898" s="81"/>
      <c r="Q898" s="81"/>
      <c r="R898" s="81" t="str">
        <f>_xlfn.CONCAT(表格1[[#This Row],[Model]]," ",表格1[[#This Row],[inv no]])</f>
        <v xml:space="preserve">RAD-D300H </v>
      </c>
      <c r="S898" s="135">
        <f>_xlfn.XLOOKUP(表格1[[#This Row],[Model]],表格3[Model-Input-Ref2],表格3[SRP PRICE])</f>
        <v>3380</v>
      </c>
      <c r="T898" s="43">
        <f>表格1[[#This Row],[Unit Price]]/表格1[[#This Row],[SRP]]</f>
        <v>0.67455621301775148</v>
      </c>
      <c r="U898" s="86" t="str">
        <f>_xlfn.XLOOKUP(表格1[[#This Row],[Model]],表格3[Model-Input-Ref2],表格3[TOSHIBA/HIGHEST])</f>
        <v>Shops Highest Price</v>
      </c>
      <c r="V898" s="86" t="s">
        <v>1126</v>
      </c>
      <c r="W898" s="86" t="str">
        <f>_xlfn.CONCAT(表格1[[#This Row],[欄4]],表格1[[#This Row],[inv no]])</f>
        <v>DA141</v>
      </c>
    </row>
    <row r="899" spans="1:23" hidden="1">
      <c r="A899" s="81">
        <v>897</v>
      </c>
      <c r="B899" s="81" t="s">
        <v>1458</v>
      </c>
      <c r="C899" s="81" t="s">
        <v>1459</v>
      </c>
      <c r="D899" s="82" t="str">
        <f ca="1">OFFSET(Roster!$A$3,MATCH(表格1[[#This Row],[Location]]&amp;" "&amp;表格1[[#This Row],[Shop]]&amp;"*",Roster!$A$4:$A$72,0),DAY(表格1[[#This Row],[date]]),1,1)</f>
        <v>Ho_2</v>
      </c>
      <c r="E899" s="81">
        <f>MONTH(表格1[[#This Row],[date]])</f>
        <v>3</v>
      </c>
      <c r="F899" s="101">
        <v>46102</v>
      </c>
      <c r="G899" s="81" t="str">
        <f>VLOOKUP("*"&amp;表格1[[#This Row],[Input]]&amp;"*",'Ref-List'!$B:$D,2,)</f>
        <v>MX2-TT20SC(WH)</v>
      </c>
      <c r="H899" s="81" t="str">
        <f>_xlfn.XLOOKUP(表格1[[#This Row],[Model]],表格3[Model-Input-Ref2],表格3[Product Line])</f>
        <v>3合1 微波蒸焗爐 (20公升)</v>
      </c>
      <c r="I899" s="81" t="str">
        <f>_xlfn.XLOOKUP(表格1[[#This Row],[Model]],表格3[Model-Input-Ref2],表格3[大小電])</f>
        <v>細電</v>
      </c>
      <c r="J899" s="81" t="str">
        <f>_xlfn.XLOOKUP(表格1[[#This Row],[Model]],表格3[Model-Input-Ref2],表格3[Code])</f>
        <v>MCA</v>
      </c>
      <c r="K899" s="82" t="s">
        <v>1287</v>
      </c>
      <c r="L899" s="81">
        <v>1</v>
      </c>
      <c r="M899" s="85">
        <v>2490</v>
      </c>
      <c r="N899" s="85">
        <f>IFERROR(表格1[[#This Row],[QTY]]*表格1[[#This Row],[Unit Price]],"-")</f>
        <v>2490</v>
      </c>
      <c r="O899" s="134"/>
      <c r="P899" s="81"/>
      <c r="Q899" s="81"/>
      <c r="R899" s="81" t="str">
        <f>_xlfn.CONCAT(表格1[[#This Row],[Model]]," ",表格1[[#This Row],[inv no]])</f>
        <v xml:space="preserve">MX2-TT20SC(WH) </v>
      </c>
      <c r="S899" s="135">
        <f>_xlfn.XLOOKUP(表格1[[#This Row],[Model]],表格3[Model-Input-Ref2],表格3[SRP PRICE])</f>
        <v>3580</v>
      </c>
      <c r="T899" s="43">
        <f>表格1[[#This Row],[Unit Price]]/表格1[[#This Row],[SRP]]</f>
        <v>0.6955307262569832</v>
      </c>
      <c r="U899" s="86" t="str">
        <f>_xlfn.XLOOKUP(表格1[[#This Row],[Model]],表格3[Model-Input-Ref2],表格3[TOSHIBA/HIGHEST])</f>
        <v>Toshiba SRP</v>
      </c>
      <c r="V899" s="86" t="s">
        <v>1126</v>
      </c>
      <c r="W899" s="86" t="str">
        <f>_xlfn.CONCAT(表格1[[#This Row],[欄4]],表格1[[#This Row],[inv no]])</f>
        <v>DA141</v>
      </c>
    </row>
    <row r="900" spans="1:23" hidden="1">
      <c r="A900" s="81">
        <v>898</v>
      </c>
      <c r="B900" s="81" t="s">
        <v>1458</v>
      </c>
      <c r="C900" s="81" t="s">
        <v>1459</v>
      </c>
      <c r="D900" s="82" t="str">
        <f ca="1">OFFSET(Roster!$A$3,MATCH(表格1[[#This Row],[Location]]&amp;" "&amp;表格1[[#This Row],[Shop]]&amp;"*",Roster!$A$4:$A$72,0),DAY(表格1[[#This Row],[date]]),1,1)</f>
        <v>Ho_2</v>
      </c>
      <c r="E900" s="81">
        <f>MONTH(表格1[[#This Row],[date]])</f>
        <v>3</v>
      </c>
      <c r="F900" s="101">
        <v>46102</v>
      </c>
      <c r="G900" s="81" t="str">
        <f>VLOOKUP("*"&amp;表格1[[#This Row],[Input]]&amp;"*",'Ref-List'!$B:$D,2,)</f>
        <v>MX2-TT20SC(WH)</v>
      </c>
      <c r="H900" s="81" t="str">
        <f>_xlfn.XLOOKUP(表格1[[#This Row],[Model]],表格3[Model-Input-Ref2],表格3[Product Line])</f>
        <v>3合1 微波蒸焗爐 (20公升)</v>
      </c>
      <c r="I900" s="81" t="str">
        <f>_xlfn.XLOOKUP(表格1[[#This Row],[Model]],表格3[Model-Input-Ref2],表格3[大小電])</f>
        <v>細電</v>
      </c>
      <c r="J900" s="81" t="str">
        <f>_xlfn.XLOOKUP(表格1[[#This Row],[Model]],表格3[Model-Input-Ref2],表格3[Code])</f>
        <v>MCA</v>
      </c>
      <c r="K900" s="82" t="s">
        <v>1287</v>
      </c>
      <c r="L900" s="81">
        <v>1</v>
      </c>
      <c r="M900" s="85">
        <v>2490</v>
      </c>
      <c r="N900" s="85">
        <f>IFERROR(表格1[[#This Row],[QTY]]*表格1[[#This Row],[Unit Price]],"-")</f>
        <v>2490</v>
      </c>
      <c r="O900" s="134"/>
      <c r="P900" s="81"/>
      <c r="Q900" s="81"/>
      <c r="R900" s="81" t="str">
        <f>_xlfn.CONCAT(表格1[[#This Row],[Model]]," ",表格1[[#This Row],[inv no]])</f>
        <v xml:space="preserve">MX2-TT20SC(WH) </v>
      </c>
      <c r="S900" s="135">
        <f>_xlfn.XLOOKUP(表格1[[#This Row],[Model]],表格3[Model-Input-Ref2],表格3[SRP PRICE])</f>
        <v>3580</v>
      </c>
      <c r="T900" s="43">
        <f>表格1[[#This Row],[Unit Price]]/表格1[[#This Row],[SRP]]</f>
        <v>0.6955307262569832</v>
      </c>
      <c r="U900" s="86" t="str">
        <f>_xlfn.XLOOKUP(表格1[[#This Row],[Model]],表格3[Model-Input-Ref2],表格3[TOSHIBA/HIGHEST])</f>
        <v>Toshiba SRP</v>
      </c>
      <c r="V900" s="86" t="s">
        <v>1126</v>
      </c>
      <c r="W900" s="86" t="str">
        <f>_xlfn.CONCAT(表格1[[#This Row],[欄4]],表格1[[#This Row],[inv no]])</f>
        <v>DA141</v>
      </c>
    </row>
    <row r="901" spans="1:23" hidden="1">
      <c r="A901" s="81">
        <v>899</v>
      </c>
      <c r="B901" s="81" t="s">
        <v>1458</v>
      </c>
      <c r="C901" s="81" t="s">
        <v>1459</v>
      </c>
      <c r="D901" s="82" t="str">
        <f ca="1">OFFSET(Roster!$A$3,MATCH(表格1[[#This Row],[Location]]&amp;" "&amp;表格1[[#This Row],[Shop]]&amp;"*",Roster!$A$4:$A$72,0),DAY(表格1[[#This Row],[date]]),1,1)</f>
        <v>Ho_2</v>
      </c>
      <c r="E901" s="81">
        <f>MONTH(表格1[[#This Row],[date]])</f>
        <v>3</v>
      </c>
      <c r="F901" s="101">
        <v>46102</v>
      </c>
      <c r="G901" s="81" t="str">
        <f>VLOOKUP("*"&amp;表格1[[#This Row],[Input]]&amp;"*",'Ref-List'!$B:$D,2,)</f>
        <v>AW-Q801APH(WW)</v>
      </c>
      <c r="H901" s="81" t="str">
        <f>_xlfn.XLOOKUP(表格1[[#This Row],[Model]],表格3[Model-Input-Ref2],表格3[Product Line])</f>
        <v>日式洗衣機 (7公斤 結合高低水位)</v>
      </c>
      <c r="I901" s="81" t="str">
        <f>_xlfn.XLOOKUP(表格1[[#This Row],[Model]],表格3[Model-Input-Ref2],表格3[大小電])</f>
        <v>大電</v>
      </c>
      <c r="J901" s="81" t="str">
        <f>_xlfn.XLOOKUP(表格1[[#This Row],[Model]],表格3[Model-Input-Ref2],表格3[Code])</f>
        <v>LAD</v>
      </c>
      <c r="K901" s="82" t="s">
        <v>1420</v>
      </c>
      <c r="L901" s="81">
        <v>1</v>
      </c>
      <c r="M901" s="85">
        <v>1880</v>
      </c>
      <c r="N901" s="85">
        <f>IFERROR(表格1[[#This Row],[QTY]]*表格1[[#This Row],[Unit Price]],"-")</f>
        <v>1880</v>
      </c>
      <c r="O901" s="134"/>
      <c r="P901" s="81"/>
      <c r="Q901" s="81"/>
      <c r="R901" s="81" t="str">
        <f>_xlfn.CONCAT(表格1[[#This Row],[Model]]," ",表格1[[#This Row],[inv no]])</f>
        <v xml:space="preserve">AW-Q801APH(WW) </v>
      </c>
      <c r="S901" s="135">
        <f>_xlfn.XLOOKUP(表格1[[#This Row],[Model]],表格3[Model-Input-Ref2],表格3[SRP PRICE])</f>
        <v>3380</v>
      </c>
      <c r="T901" s="43">
        <f>表格1[[#This Row],[Unit Price]]/表格1[[#This Row],[SRP]]</f>
        <v>0.55621301775147924</v>
      </c>
      <c r="U901" s="86" t="str">
        <f>_xlfn.XLOOKUP(表格1[[#This Row],[Model]],表格3[Model-Input-Ref2],表格3[TOSHIBA/HIGHEST])</f>
        <v>Toshiba SRP</v>
      </c>
      <c r="V901" s="86" t="s">
        <v>1126</v>
      </c>
      <c r="W901" s="86" t="str">
        <f>_xlfn.CONCAT(表格1[[#This Row],[欄4]],表格1[[#This Row],[inv no]])</f>
        <v>DA141</v>
      </c>
    </row>
    <row r="902" spans="1:23" hidden="1">
      <c r="A902" s="81">
        <v>900</v>
      </c>
      <c r="B902" s="81" t="s">
        <v>1458</v>
      </c>
      <c r="C902" s="81" t="s">
        <v>1459</v>
      </c>
      <c r="D902" s="82" t="str">
        <f ca="1">OFFSET(Roster!$A$3,MATCH(表格1[[#This Row],[Location]]&amp;" "&amp;表格1[[#This Row],[Shop]]&amp;"*",Roster!$A$4:$A$72,0),DAY(表格1[[#This Row],[date]]),1,1)</f>
        <v>Ho_2</v>
      </c>
      <c r="E902" s="81">
        <f>MONTH(表格1[[#This Row],[date]])</f>
        <v>3</v>
      </c>
      <c r="F902" s="101">
        <v>46102</v>
      </c>
      <c r="G902" s="81" t="str">
        <f>VLOOKUP("*"&amp;表格1[[#This Row],[Input]]&amp;"*",'Ref-List'!$B:$D,2,)</f>
        <v>GR-RT234WE-PMA(57)</v>
      </c>
      <c r="H902" s="81" t="str">
        <f>_xlfn.XLOOKUP(表格1[[#This Row],[Model]],表格3[Model-Input-Ref2],表格3[Product Line])</f>
        <v>變頻式環保雙門雪櫃（179L）</v>
      </c>
      <c r="I902" s="81" t="str">
        <f>_xlfn.XLOOKUP(表格1[[#This Row],[Model]],表格3[Model-Input-Ref2],表格3[大小電])</f>
        <v>大電</v>
      </c>
      <c r="J902" s="81" t="str">
        <f>_xlfn.XLOOKUP(表格1[[#This Row],[Model]],表格3[Model-Input-Ref2],表格3[Code])</f>
        <v>REF</v>
      </c>
      <c r="K902" s="82" t="s">
        <v>1423</v>
      </c>
      <c r="L902" s="81">
        <v>1</v>
      </c>
      <c r="M902" s="85">
        <v>1950</v>
      </c>
      <c r="N902" s="85">
        <f>IFERROR(表格1[[#This Row],[QTY]]*表格1[[#This Row],[Unit Price]],"-")</f>
        <v>1950</v>
      </c>
      <c r="O902" s="134"/>
      <c r="P902" s="81"/>
      <c r="Q902" s="81"/>
      <c r="R902" s="81" t="str">
        <f>_xlfn.CONCAT(表格1[[#This Row],[Model]]," ",表格1[[#This Row],[inv no]])</f>
        <v xml:space="preserve">GR-RT234WE-PMA(57) </v>
      </c>
      <c r="S902" s="135">
        <f>_xlfn.XLOOKUP(表格1[[#This Row],[Model]],表格3[Model-Input-Ref2],表格3[SRP PRICE])</f>
        <v>3680</v>
      </c>
      <c r="T902" s="43">
        <f>表格1[[#This Row],[Unit Price]]/表格1[[#This Row],[SRP]]</f>
        <v>0.52989130434782605</v>
      </c>
      <c r="U902" s="86" t="str">
        <f>_xlfn.XLOOKUP(表格1[[#This Row],[Model]],表格3[Model-Input-Ref2],表格3[TOSHIBA/HIGHEST])</f>
        <v>Toshiba SRP</v>
      </c>
      <c r="V902" s="86" t="s">
        <v>1126</v>
      </c>
      <c r="W902" s="86" t="str">
        <f>_xlfn.CONCAT(表格1[[#This Row],[欄4]],表格1[[#This Row],[inv no]])</f>
        <v>DA141</v>
      </c>
    </row>
    <row r="903" spans="1:23" hidden="1">
      <c r="A903" s="81">
        <v>901</v>
      </c>
      <c r="B903" s="81" t="s">
        <v>1458</v>
      </c>
      <c r="C903" s="81" t="s">
        <v>1459</v>
      </c>
      <c r="D903" s="82" t="str">
        <f ca="1">OFFSET(Roster!$A$3,MATCH(表格1[[#This Row],[Location]]&amp;" "&amp;表格1[[#This Row],[Shop]]&amp;"*",Roster!$A$4:$A$72,0),DAY(表格1[[#This Row],[date]]),1,1)</f>
        <v>Ho_2</v>
      </c>
      <c r="E903" s="81">
        <f>MONTH(表格1[[#This Row],[date]])</f>
        <v>3</v>
      </c>
      <c r="F903" s="101">
        <v>46102</v>
      </c>
      <c r="G903" s="81" t="str">
        <f>VLOOKUP("*"&amp;表格1[[#This Row],[Input]]&amp;"*",'Ref-List'!$B:$D,2,)</f>
        <v>MM2-EM20PC(WH)</v>
      </c>
      <c r="H903" s="81" t="str">
        <f>_xlfn.XLOOKUP(表格1[[#This Row],[Model]],表格3[Model-Input-Ref2],表格3[Product Line])</f>
        <v>輕觸式微波爐 (20公升)</v>
      </c>
      <c r="I903" s="81" t="str">
        <f>_xlfn.XLOOKUP(表格1[[#This Row],[Model]],表格3[Model-Input-Ref2],表格3[大小電])</f>
        <v>細電</v>
      </c>
      <c r="J903" s="81" t="str">
        <f>_xlfn.XLOOKUP(表格1[[#This Row],[Model]],表格3[Model-Input-Ref2],表格3[Code])</f>
        <v>MCA</v>
      </c>
      <c r="K903" s="82" t="s">
        <v>1276</v>
      </c>
      <c r="L903" s="81">
        <v>1</v>
      </c>
      <c r="M903" s="85">
        <v>670</v>
      </c>
      <c r="N903" s="85">
        <f>IFERROR(表格1[[#This Row],[QTY]]*表格1[[#This Row],[Unit Price]],"-")</f>
        <v>670</v>
      </c>
      <c r="O903" s="134"/>
      <c r="P903" s="81"/>
      <c r="Q903" s="81"/>
      <c r="R903" s="81" t="str">
        <f>_xlfn.CONCAT(表格1[[#This Row],[Model]]," ",表格1[[#This Row],[inv no]])</f>
        <v xml:space="preserve">MM2-EM20PC(WH) </v>
      </c>
      <c r="S903" s="135">
        <f>_xlfn.XLOOKUP(表格1[[#This Row],[Model]],表格3[Model-Input-Ref2],表格3[SRP PRICE])</f>
        <v>788</v>
      </c>
      <c r="T903" s="43">
        <f>表格1[[#This Row],[Unit Price]]/表格1[[#This Row],[SRP]]</f>
        <v>0.85025380710659904</v>
      </c>
      <c r="U903" s="86" t="str">
        <f>_xlfn.XLOOKUP(表格1[[#This Row],[Model]],表格3[Model-Input-Ref2],表格3[TOSHIBA/HIGHEST])</f>
        <v>Toshiba SRP</v>
      </c>
      <c r="V903" s="86" t="s">
        <v>1126</v>
      </c>
      <c r="W903" s="86" t="str">
        <f>_xlfn.CONCAT(表格1[[#This Row],[欄4]],表格1[[#This Row],[inv no]])</f>
        <v>DA141</v>
      </c>
    </row>
    <row r="904" spans="1:23" hidden="1">
      <c r="A904" s="81">
        <v>902</v>
      </c>
      <c r="B904" s="81" t="s">
        <v>1458</v>
      </c>
      <c r="C904" s="81" t="s">
        <v>1459</v>
      </c>
      <c r="D904" s="82" t="str">
        <f ca="1">OFFSET(Roster!$A$3,MATCH(表格1[[#This Row],[Location]]&amp;" "&amp;表格1[[#This Row],[Shop]]&amp;"*",Roster!$A$4:$A$72,0),DAY(表格1[[#This Row],[date]]),1,1)</f>
        <v>Ho_2</v>
      </c>
      <c r="E904" s="81">
        <f>MONTH(表格1[[#This Row],[date]])</f>
        <v>3</v>
      </c>
      <c r="F904" s="101">
        <v>46103</v>
      </c>
      <c r="G904" s="81" t="str">
        <f>VLOOKUP("*"&amp;表格1[[#This Row],[Input]]&amp;"*",'Ref-List'!$B:$D,2,)</f>
        <v>TWD-T21BU95UWH(WW)</v>
      </c>
      <c r="H904" s="81" t="str">
        <f>_xlfn.XLOOKUP(表格1[[#This Row],[Model]],表格3[Model-Input-Ref2],表格3[Product Line])</f>
        <v>470MM超薄身前置式變頻洗衣乾衣機 (洗8.5公斤 乾6公斤)</v>
      </c>
      <c r="I904" s="81" t="str">
        <f>_xlfn.XLOOKUP(表格1[[#This Row],[Model]],表格3[Model-Input-Ref2],表格3[大小電])</f>
        <v>大電</v>
      </c>
      <c r="J904" s="81" t="str">
        <f>_xlfn.XLOOKUP(表格1[[#This Row],[Model]],表格3[Model-Input-Ref2],表格3[Code])</f>
        <v>LAD</v>
      </c>
      <c r="K904" s="82" t="s">
        <v>1461</v>
      </c>
      <c r="L904" s="81">
        <v>1</v>
      </c>
      <c r="M904" s="85">
        <v>4450</v>
      </c>
      <c r="N904" s="85">
        <f>IFERROR(表格1[[#This Row],[QTY]]*表格1[[#This Row],[Unit Price]],"-")</f>
        <v>4450</v>
      </c>
      <c r="O904" s="134"/>
      <c r="P904" s="81"/>
      <c r="Q904" s="81"/>
      <c r="R904" s="81" t="str">
        <f>_xlfn.CONCAT(表格1[[#This Row],[Model]]," ",表格1[[#This Row],[inv no]])</f>
        <v xml:space="preserve">TWD-T21BU95UWH(WW) </v>
      </c>
      <c r="S904" s="135">
        <f>_xlfn.XLOOKUP(表格1[[#This Row],[Model]],表格3[Model-Input-Ref2],表格3[SRP PRICE])</f>
        <v>7280</v>
      </c>
      <c r="T904" s="43">
        <f>表格1[[#This Row],[Unit Price]]/表格1[[#This Row],[SRP]]</f>
        <v>0.61126373626373631</v>
      </c>
      <c r="U904" s="86" t="str">
        <f>_xlfn.XLOOKUP(表格1[[#This Row],[Model]],表格3[Model-Input-Ref2],表格3[TOSHIBA/HIGHEST])</f>
        <v>Toshiba SRP</v>
      </c>
      <c r="V904" s="86" t="s">
        <v>1126</v>
      </c>
      <c r="W904" s="86" t="str">
        <f>_xlfn.CONCAT(表格1[[#This Row],[欄4]],表格1[[#This Row],[inv no]])</f>
        <v>DA141</v>
      </c>
    </row>
    <row r="905" spans="1:23" hidden="1">
      <c r="A905" s="81">
        <v>903</v>
      </c>
      <c r="B905" s="81" t="s">
        <v>1458</v>
      </c>
      <c r="C905" s="81" t="s">
        <v>1459</v>
      </c>
      <c r="D905" s="82" t="str">
        <f ca="1">OFFSET(Roster!$A$3,MATCH(表格1[[#This Row],[Location]]&amp;" "&amp;表格1[[#This Row],[Shop]]&amp;"*",Roster!$A$4:$A$72,0),DAY(表格1[[#This Row],[date]]),1,1)</f>
        <v>Ho_2</v>
      </c>
      <c r="E905" s="81">
        <f>MONTH(表格1[[#This Row],[date]])</f>
        <v>3</v>
      </c>
      <c r="F905" s="101">
        <v>46103</v>
      </c>
      <c r="G905" s="81" t="str">
        <f>VLOOKUP("*"&amp;表格1[[#This Row],[Input]]&amp;"*",'Ref-List'!$B:$D,2,)</f>
        <v>MS5-STR30SC(BK)</v>
      </c>
      <c r="H905" s="81" t="str">
        <f>_xlfn.XLOOKUP(表格1[[#This Row],[Model]],表格3[Model-Input-Ref2],表格3[Product Line])</f>
        <v>30公升蒸氣焗爐</v>
      </c>
      <c r="I905" s="81" t="str">
        <f>_xlfn.XLOOKUP(表格1[[#This Row],[Model]],表格3[Model-Input-Ref2],表格3[大小電])</f>
        <v>細電</v>
      </c>
      <c r="J905" s="81" t="str">
        <f>_xlfn.XLOOKUP(表格1[[#This Row],[Model]],表格3[Model-Input-Ref2],表格3[Code])</f>
        <v>MCA</v>
      </c>
      <c r="K905" s="82" t="s">
        <v>1379</v>
      </c>
      <c r="L905" s="81">
        <v>1</v>
      </c>
      <c r="M905" s="85">
        <v>3680</v>
      </c>
      <c r="N905" s="85">
        <f>IFERROR(表格1[[#This Row],[QTY]]*表格1[[#This Row],[Unit Price]],"-")</f>
        <v>3680</v>
      </c>
      <c r="O905" s="134"/>
      <c r="P905" s="81"/>
      <c r="Q905" s="81"/>
      <c r="R905" s="81" t="str">
        <f>_xlfn.CONCAT(表格1[[#This Row],[Model]]," ",表格1[[#This Row],[inv no]])</f>
        <v xml:space="preserve">MS5-STR30SC(BK) </v>
      </c>
      <c r="S905" s="135">
        <f>_xlfn.XLOOKUP(表格1[[#This Row],[Model]],表格3[Model-Input-Ref2],表格3[SRP PRICE])</f>
        <v>5998</v>
      </c>
      <c r="T905" s="43">
        <f>表格1[[#This Row],[Unit Price]]/表格1[[#This Row],[SRP]]</f>
        <v>0.61353784594864957</v>
      </c>
      <c r="U905" s="86" t="str">
        <f>_xlfn.XLOOKUP(表格1[[#This Row],[Model]],表格3[Model-Input-Ref2],表格3[TOSHIBA/HIGHEST])</f>
        <v>Shops Highest Price</v>
      </c>
      <c r="V905" s="86" t="s">
        <v>1126</v>
      </c>
      <c r="W905" s="86" t="str">
        <f>_xlfn.CONCAT(表格1[[#This Row],[欄4]],表格1[[#This Row],[inv no]])</f>
        <v>DA141</v>
      </c>
    </row>
    <row r="906" spans="1:23" hidden="1">
      <c r="A906" s="81">
        <v>904</v>
      </c>
      <c r="B906" s="81" t="s">
        <v>1458</v>
      </c>
      <c r="C906" s="81" t="s">
        <v>1459</v>
      </c>
      <c r="D906" s="82" t="str">
        <f ca="1">OFFSET(Roster!$A$3,MATCH(表格1[[#This Row],[Location]]&amp;" "&amp;表格1[[#This Row],[Shop]]&amp;"*",Roster!$A$4:$A$72,0),DAY(表格1[[#This Row],[date]]),1,1)</f>
        <v>Ho_2</v>
      </c>
      <c r="E906" s="81">
        <f>MONTH(表格1[[#This Row],[date]])</f>
        <v>3</v>
      </c>
      <c r="F906" s="101">
        <v>46103</v>
      </c>
      <c r="G906" s="81" t="str">
        <f>VLOOKUP("*"&amp;表格1[[#This Row],[Input]]&amp;"*",'Ref-List'!$B:$D,2,)</f>
        <v>MS3-STQ20SC(WH)</v>
      </c>
      <c r="H906" s="81" t="str">
        <f>_xlfn.XLOOKUP(表格1[[#This Row],[Model]],表格3[Model-Input-Ref2],表格3[Product Line])</f>
        <v>20L 智能蒸氣焗爐</v>
      </c>
      <c r="I906" s="81" t="str">
        <f>_xlfn.XLOOKUP(表格1[[#This Row],[Model]],表格3[Model-Input-Ref2],表格3[大小電])</f>
        <v>細電</v>
      </c>
      <c r="J906" s="81" t="str">
        <f>_xlfn.XLOOKUP(表格1[[#This Row],[Model]],表格3[Model-Input-Ref2],表格3[Code])</f>
        <v>MCA</v>
      </c>
      <c r="K906" s="82" t="s">
        <v>1383</v>
      </c>
      <c r="L906" s="81">
        <v>1</v>
      </c>
      <c r="M906" s="85">
        <v>1880</v>
      </c>
      <c r="N906" s="85">
        <f>IFERROR(表格1[[#This Row],[QTY]]*表格1[[#This Row],[Unit Price]],"-")</f>
        <v>1880</v>
      </c>
      <c r="O906" s="134"/>
      <c r="P906" s="81"/>
      <c r="Q906" s="81"/>
      <c r="R906" s="81" t="str">
        <f>_xlfn.CONCAT(表格1[[#This Row],[Model]]," ",表格1[[#This Row],[inv no]])</f>
        <v xml:space="preserve">MS3-STQ20SC(WH) </v>
      </c>
      <c r="S906" s="135">
        <f>_xlfn.XLOOKUP(表格1[[#This Row],[Model]],表格3[Model-Input-Ref2],表格3[SRP PRICE])</f>
        <v>2880</v>
      </c>
      <c r="T906" s="43">
        <f>表格1[[#This Row],[Unit Price]]/表格1[[#This Row],[SRP]]</f>
        <v>0.65277777777777779</v>
      </c>
      <c r="U906" s="86" t="str">
        <f>_xlfn.XLOOKUP(表格1[[#This Row],[Model]],表格3[Model-Input-Ref2],表格3[TOSHIBA/HIGHEST])</f>
        <v>Toshiba SRP</v>
      </c>
      <c r="V906" s="86" t="s">
        <v>1126</v>
      </c>
      <c r="W906" s="86" t="str">
        <f>_xlfn.CONCAT(表格1[[#This Row],[欄4]],表格1[[#This Row],[inv no]])</f>
        <v>DA141</v>
      </c>
    </row>
    <row r="907" spans="1:23" hidden="1">
      <c r="A907" s="81">
        <v>905</v>
      </c>
      <c r="B907" s="81" t="s">
        <v>1458</v>
      </c>
      <c r="C907" s="81" t="s">
        <v>1459</v>
      </c>
      <c r="D907" s="82" t="str">
        <f ca="1">OFFSET(Roster!$A$3,MATCH(表格1[[#This Row],[Location]]&amp;" "&amp;表格1[[#This Row],[Shop]]&amp;"*",Roster!$A$4:$A$72,0),DAY(表格1[[#This Row],[date]]),1,1)</f>
        <v>Ho_2</v>
      </c>
      <c r="E907" s="81">
        <f>MONTH(表格1[[#This Row],[date]])</f>
        <v>3</v>
      </c>
      <c r="F907" s="101">
        <v>46103</v>
      </c>
      <c r="G907" s="81" t="str">
        <f>VLOOKUP("*"&amp;表格1[[#This Row],[Input]]&amp;"*",'Ref-List'!$B:$D,2,)</f>
        <v>MS3-STQ20SC(WH)</v>
      </c>
      <c r="H907" s="81" t="str">
        <f>_xlfn.XLOOKUP(表格1[[#This Row],[Model]],表格3[Model-Input-Ref2],表格3[Product Line])</f>
        <v>20L 智能蒸氣焗爐</v>
      </c>
      <c r="I907" s="81" t="str">
        <f>_xlfn.XLOOKUP(表格1[[#This Row],[Model]],表格3[Model-Input-Ref2],表格3[大小電])</f>
        <v>細電</v>
      </c>
      <c r="J907" s="81" t="str">
        <f>_xlfn.XLOOKUP(表格1[[#This Row],[Model]],表格3[Model-Input-Ref2],表格3[Code])</f>
        <v>MCA</v>
      </c>
      <c r="K907" s="82" t="s">
        <v>1383</v>
      </c>
      <c r="L907" s="81">
        <v>1</v>
      </c>
      <c r="M907" s="85">
        <v>1880</v>
      </c>
      <c r="N907" s="85">
        <f>IFERROR(表格1[[#This Row],[QTY]]*表格1[[#This Row],[Unit Price]],"-")</f>
        <v>1880</v>
      </c>
      <c r="O907" s="134"/>
      <c r="P907" s="81"/>
      <c r="Q907" s="81"/>
      <c r="R907" s="81" t="str">
        <f>_xlfn.CONCAT(表格1[[#This Row],[Model]]," ",表格1[[#This Row],[inv no]])</f>
        <v xml:space="preserve">MS3-STQ20SC(WH) </v>
      </c>
      <c r="S907" s="135">
        <f>_xlfn.XLOOKUP(表格1[[#This Row],[Model]],表格3[Model-Input-Ref2],表格3[SRP PRICE])</f>
        <v>2880</v>
      </c>
      <c r="T907" s="43">
        <f>表格1[[#This Row],[Unit Price]]/表格1[[#This Row],[SRP]]</f>
        <v>0.65277777777777779</v>
      </c>
      <c r="U907" s="86" t="str">
        <f>_xlfn.XLOOKUP(表格1[[#This Row],[Model]],表格3[Model-Input-Ref2],表格3[TOSHIBA/HIGHEST])</f>
        <v>Toshiba SRP</v>
      </c>
      <c r="V907" s="86" t="s">
        <v>1126</v>
      </c>
      <c r="W907" s="86" t="str">
        <f>_xlfn.CONCAT(表格1[[#This Row],[欄4]],表格1[[#This Row],[inv no]])</f>
        <v>DA141</v>
      </c>
    </row>
    <row r="908" spans="1:23" hidden="1">
      <c r="A908" s="81">
        <v>906</v>
      </c>
      <c r="B908" s="81" t="s">
        <v>1458</v>
      </c>
      <c r="C908" s="81" t="s">
        <v>1459</v>
      </c>
      <c r="D908" s="82" t="str">
        <f ca="1">OFFSET(Roster!$A$3,MATCH(表格1[[#This Row],[Location]]&amp;" "&amp;表格1[[#This Row],[Shop]]&amp;"*",Roster!$A$4:$A$72,0),DAY(表格1[[#This Row],[date]]),1,1)</f>
        <v>Ho_2</v>
      </c>
      <c r="E908" s="81">
        <f>MONTH(表格1[[#This Row],[date]])</f>
        <v>3</v>
      </c>
      <c r="F908" s="101">
        <v>46103</v>
      </c>
      <c r="G908" s="81" t="str">
        <f>VLOOKUP("*"&amp;表格1[[#This Row],[Input]]&amp;"*",'Ref-List'!$B:$D,2,)</f>
        <v>RAD-D300H</v>
      </c>
      <c r="H908" s="81" t="str">
        <f>_xlfn.XLOOKUP(表格1[[#This Row],[Model]],表格3[Model-Input-Ref2],表格3[Product Line])</f>
        <v>壓縮式抽濕機 (30公升)</v>
      </c>
      <c r="I908" s="81" t="str">
        <f>_xlfn.XLOOKUP(表格1[[#This Row],[Model]],表格3[Model-Input-Ref2],表格3[大小電])</f>
        <v>細電</v>
      </c>
      <c r="J908" s="81" t="str">
        <f>_xlfn.XLOOKUP(表格1[[#This Row],[Model]],表格3[Model-Input-Ref2],表格3[Code])</f>
        <v>RAC</v>
      </c>
      <c r="K908" s="82" t="s">
        <v>1252</v>
      </c>
      <c r="L908" s="81">
        <v>1</v>
      </c>
      <c r="M908" s="85">
        <v>2280</v>
      </c>
      <c r="N908" s="85">
        <f>IFERROR(表格1[[#This Row],[QTY]]*表格1[[#This Row],[Unit Price]],"-")</f>
        <v>2280</v>
      </c>
      <c r="O908" s="134"/>
      <c r="P908" s="81"/>
      <c r="Q908" s="81"/>
      <c r="R908" s="81" t="str">
        <f>_xlfn.CONCAT(表格1[[#This Row],[Model]]," ",表格1[[#This Row],[inv no]])</f>
        <v xml:space="preserve">RAD-D300H </v>
      </c>
      <c r="S908" s="135">
        <f>_xlfn.XLOOKUP(表格1[[#This Row],[Model]],表格3[Model-Input-Ref2],表格3[SRP PRICE])</f>
        <v>3380</v>
      </c>
      <c r="T908" s="43">
        <f>表格1[[#This Row],[Unit Price]]/表格1[[#This Row],[SRP]]</f>
        <v>0.67455621301775148</v>
      </c>
      <c r="U908" s="86" t="str">
        <f>_xlfn.XLOOKUP(表格1[[#This Row],[Model]],表格3[Model-Input-Ref2],表格3[TOSHIBA/HIGHEST])</f>
        <v>Shops Highest Price</v>
      </c>
      <c r="V908" s="86" t="s">
        <v>1126</v>
      </c>
      <c r="W908" s="86" t="str">
        <f>_xlfn.CONCAT(表格1[[#This Row],[欄4]],表格1[[#This Row],[inv no]])</f>
        <v>DA141</v>
      </c>
    </row>
    <row r="909" spans="1:23" hidden="1">
      <c r="A909" s="81">
        <v>907</v>
      </c>
      <c r="B909" s="81" t="s">
        <v>1458</v>
      </c>
      <c r="C909" s="81" t="s">
        <v>1459</v>
      </c>
      <c r="D909" s="82" t="str">
        <f ca="1">OFFSET(Roster!$A$3,MATCH(表格1[[#This Row],[Location]]&amp;" "&amp;表格1[[#This Row],[Shop]]&amp;"*",Roster!$A$4:$A$72,0),DAY(表格1[[#This Row],[date]]),1,1)</f>
        <v>Ho_2</v>
      </c>
      <c r="E909" s="81">
        <f>MONTH(表格1[[#This Row],[date]])</f>
        <v>3</v>
      </c>
      <c r="F909" s="101">
        <v>46103</v>
      </c>
      <c r="G909" s="81" t="str">
        <f>VLOOKUP("*"&amp;表格1[[#This Row],[Input]]&amp;"*",'Ref-List'!$B:$D,2,)</f>
        <v>GR-RM469WE-PGA(B3)</v>
      </c>
      <c r="H909" s="81" t="str">
        <f>_xlfn.XLOOKUP(表格1[[#This Row],[Model]],表格3[Model-Input-Ref2],表格3[Product Line])</f>
        <v>旗艦級變頻三門雪櫃 (300L)</v>
      </c>
      <c r="I909" s="81" t="str">
        <f>_xlfn.XLOOKUP(表格1[[#This Row],[Model]],表格3[Model-Input-Ref2],表格3[大小電])</f>
        <v>大電</v>
      </c>
      <c r="J909" s="81" t="str">
        <f>_xlfn.XLOOKUP(表格1[[#This Row],[Model]],表格3[Model-Input-Ref2],表格3[Code])</f>
        <v>REF</v>
      </c>
      <c r="K909" s="82" t="s">
        <v>1460</v>
      </c>
      <c r="L909" s="81">
        <v>1</v>
      </c>
      <c r="M909" s="85">
        <v>5888</v>
      </c>
      <c r="N909" s="85">
        <f>IFERROR(表格1[[#This Row],[QTY]]*表格1[[#This Row],[Unit Price]],"-")</f>
        <v>5888</v>
      </c>
      <c r="O909" s="134"/>
      <c r="P909" s="81"/>
      <c r="Q909" s="81"/>
      <c r="R909" s="81" t="str">
        <f>_xlfn.CONCAT(表格1[[#This Row],[Model]]," ",表格1[[#This Row],[inv no]])</f>
        <v xml:space="preserve">GR-RM469WE-PGA(B3) </v>
      </c>
      <c r="S909" s="135">
        <f>_xlfn.XLOOKUP(表格1[[#This Row],[Model]],表格3[Model-Input-Ref2],表格3[SRP PRICE])</f>
        <v>8990</v>
      </c>
      <c r="T909" s="43">
        <f>表格1[[#This Row],[Unit Price]]/表格1[[#This Row],[SRP]]</f>
        <v>0.65494994438264742</v>
      </c>
      <c r="U909" s="86" t="str">
        <f>_xlfn.XLOOKUP(表格1[[#This Row],[Model]],表格3[Model-Input-Ref2],表格3[TOSHIBA/HIGHEST])</f>
        <v>Toshiba SRP</v>
      </c>
      <c r="V909" s="86" t="s">
        <v>1126</v>
      </c>
      <c r="W909" s="86" t="str">
        <f>_xlfn.CONCAT(表格1[[#This Row],[欄4]],表格1[[#This Row],[inv no]])</f>
        <v>DA141</v>
      </c>
    </row>
    <row r="910" spans="1:23" ht="16.5" hidden="1">
      <c r="A910" s="81">
        <v>908</v>
      </c>
      <c r="B910" s="81" t="s">
        <v>1458</v>
      </c>
      <c r="C910" s="81" t="s">
        <v>1459</v>
      </c>
      <c r="D910" s="82" t="str">
        <f ca="1">OFFSET(Roster!$A$3,MATCH(表格1[[#This Row],[Location]]&amp;" "&amp;表格1[[#This Row],[Shop]]&amp;"*",Roster!$A$4:$A$72,0),DAY(表格1[[#This Row],[date]]),1,1)</f>
        <v>Ho_2</v>
      </c>
      <c r="E910" s="81">
        <f>MONTH(表格1[[#This Row],[date]])</f>
        <v>3</v>
      </c>
      <c r="F910" s="101">
        <v>46103</v>
      </c>
      <c r="G910" s="81" t="str">
        <f>VLOOKUP("*"&amp;表格1[[#This Row],[Input]]&amp;"*",'Ref-List'!$B:$D,2,)</f>
        <v>AW-Q801APH(WW)</v>
      </c>
      <c r="H910" s="81" t="str">
        <f>_xlfn.XLOOKUP(表格1[[#This Row],[Model]],表格3[Model-Input-Ref2],表格3[Product Line])</f>
        <v>日式洗衣機 (7公斤 結合高低水位)</v>
      </c>
      <c r="I910" s="81" t="str">
        <f>_xlfn.XLOOKUP(表格1[[#This Row],[Model]],表格3[Model-Input-Ref2],表格3[大小電])</f>
        <v>大電</v>
      </c>
      <c r="J910" s="81" t="str">
        <f>_xlfn.XLOOKUP(表格1[[#This Row],[Model]],表格3[Model-Input-Ref2],表格3[Code])</f>
        <v>LAD</v>
      </c>
      <c r="K910" s="82" t="s">
        <v>1420</v>
      </c>
      <c r="L910" s="81">
        <v>1</v>
      </c>
      <c r="M910" s="85">
        <v>1880</v>
      </c>
      <c r="N910" s="85">
        <f>IFERROR(表格1[[#This Row],[QTY]]*表格1[[#This Row],[Unit Price]],"-")</f>
        <v>1880</v>
      </c>
      <c r="O910" s="134"/>
      <c r="P910" s="137"/>
      <c r="Q910" s="81"/>
      <c r="R910" s="81" t="str">
        <f>_xlfn.CONCAT(表格1[[#This Row],[Model]]," ",表格1[[#This Row],[inv no]])</f>
        <v xml:space="preserve">AW-Q801APH(WW) </v>
      </c>
      <c r="S910" s="135">
        <f>_xlfn.XLOOKUP(表格1[[#This Row],[Model]],表格3[Model-Input-Ref2],表格3[SRP PRICE])</f>
        <v>3380</v>
      </c>
      <c r="T910" s="43">
        <f>表格1[[#This Row],[Unit Price]]/表格1[[#This Row],[SRP]]</f>
        <v>0.55621301775147924</v>
      </c>
      <c r="U910" s="86" t="str">
        <f>_xlfn.XLOOKUP(表格1[[#This Row],[Model]],表格3[Model-Input-Ref2],表格3[TOSHIBA/HIGHEST])</f>
        <v>Toshiba SRP</v>
      </c>
      <c r="V910" s="86" t="s">
        <v>1126</v>
      </c>
      <c r="W910" s="86" t="str">
        <f>_xlfn.CONCAT(表格1[[#This Row],[欄4]],表格1[[#This Row],[inv no]])</f>
        <v>DA141</v>
      </c>
    </row>
    <row r="911" spans="1:23" hidden="1">
      <c r="A911" s="81">
        <v>909</v>
      </c>
      <c r="B911" s="81" t="s">
        <v>1458</v>
      </c>
      <c r="C911" s="81" t="s">
        <v>1459</v>
      </c>
      <c r="D911" s="82" t="str">
        <f ca="1">OFFSET(Roster!$A$3,MATCH(表格1[[#This Row],[Location]]&amp;" "&amp;表格1[[#This Row],[Shop]]&amp;"*",Roster!$A$4:$A$72,0),DAY(表格1[[#This Row],[date]]),1,1)</f>
        <v>Ho_2</v>
      </c>
      <c r="E911" s="81">
        <f>MONTH(表格1[[#This Row],[date]])</f>
        <v>3</v>
      </c>
      <c r="F911" s="101">
        <v>46103</v>
      </c>
      <c r="G911" s="81" t="str">
        <f>VLOOKUP("*"&amp;表格1[[#This Row],[Input]]&amp;"*",'Ref-List'!$B:$D,2,)</f>
        <v>GR-RT300WE-PMA(57)</v>
      </c>
      <c r="H911" s="81" t="str">
        <f>_xlfn.XLOOKUP(表格1[[#This Row],[Model]],表格3[Model-Input-Ref2],表格3[Product Line])</f>
        <v>變頻式環保雙門雪櫃(233L)</v>
      </c>
      <c r="I911" s="81" t="str">
        <f>_xlfn.XLOOKUP(表格1[[#This Row],[Model]],表格3[Model-Input-Ref2],表格3[大小電])</f>
        <v>大電</v>
      </c>
      <c r="J911" s="81" t="str">
        <f>_xlfn.XLOOKUP(表格1[[#This Row],[Model]],表格3[Model-Input-Ref2],表格3[Code])</f>
        <v>REF</v>
      </c>
      <c r="K911" s="82" t="s">
        <v>1462</v>
      </c>
      <c r="L911" s="81">
        <v>1</v>
      </c>
      <c r="M911" s="85">
        <v>2780</v>
      </c>
      <c r="N911" s="85">
        <f>IFERROR(表格1[[#This Row],[QTY]]*表格1[[#This Row],[Unit Price]],"-")</f>
        <v>2780</v>
      </c>
      <c r="O911" s="134"/>
      <c r="P911" s="81"/>
      <c r="Q911" s="81"/>
      <c r="R911" s="81" t="str">
        <f>_xlfn.CONCAT(表格1[[#This Row],[Model]]," ",表格1[[#This Row],[inv no]])</f>
        <v xml:space="preserve">GR-RT300WE-PMA(57) </v>
      </c>
      <c r="S911" s="135">
        <f>_xlfn.XLOOKUP(表格1[[#This Row],[Model]],表格3[Model-Input-Ref2],表格3[SRP PRICE])</f>
        <v>4280</v>
      </c>
      <c r="T911" s="43">
        <f>表格1[[#This Row],[Unit Price]]/表格1[[#This Row],[SRP]]</f>
        <v>0.64953271028037385</v>
      </c>
      <c r="U911" s="86" t="str">
        <f>_xlfn.XLOOKUP(表格1[[#This Row],[Model]],表格3[Model-Input-Ref2],表格3[TOSHIBA/HIGHEST])</f>
        <v>Toshiba SRP</v>
      </c>
      <c r="V911" s="86" t="s">
        <v>1126</v>
      </c>
      <c r="W911" s="86" t="str">
        <f>_xlfn.CONCAT(表格1[[#This Row],[欄4]],表格1[[#This Row],[inv no]])</f>
        <v>DA141</v>
      </c>
    </row>
    <row r="912" spans="1:23" hidden="1">
      <c r="A912" s="81">
        <v>910</v>
      </c>
      <c r="B912" s="81" t="s">
        <v>1458</v>
      </c>
      <c r="C912" s="81" t="s">
        <v>1459</v>
      </c>
      <c r="D912" s="82" t="str">
        <f ca="1">OFFSET(Roster!$A$3,MATCH(表格1[[#This Row],[Location]]&amp;" "&amp;表格1[[#This Row],[Shop]]&amp;"*",Roster!$A$4:$A$72,0),DAY(表格1[[#This Row],[date]]),1,1)</f>
        <v>Ho_2</v>
      </c>
      <c r="E912" s="81">
        <f>MONTH(表格1[[#This Row],[date]])</f>
        <v>3</v>
      </c>
      <c r="F912" s="101">
        <v>46104</v>
      </c>
      <c r="G912" s="81" t="str">
        <f>VLOOKUP("*"&amp;表格1[[#This Row],[Input]]&amp;"*",'Ref-List'!$B:$D,2,)</f>
        <v>AW-Q801APH(WW)</v>
      </c>
      <c r="H912" s="81" t="str">
        <f>_xlfn.XLOOKUP(表格1[[#This Row],[Model]],表格3[Model-Input-Ref2],表格3[Product Line])</f>
        <v>日式洗衣機 (7公斤 結合高低水位)</v>
      </c>
      <c r="I912" s="81" t="str">
        <f>_xlfn.XLOOKUP(表格1[[#This Row],[Model]],表格3[Model-Input-Ref2],表格3[大小電])</f>
        <v>大電</v>
      </c>
      <c r="J912" s="81" t="str">
        <f>_xlfn.XLOOKUP(表格1[[#This Row],[Model]],表格3[Model-Input-Ref2],表格3[Code])</f>
        <v>LAD</v>
      </c>
      <c r="K912" s="82" t="s">
        <v>1420</v>
      </c>
      <c r="L912" s="81">
        <v>1</v>
      </c>
      <c r="M912" s="85">
        <v>1880</v>
      </c>
      <c r="N912" s="85">
        <f>IFERROR(表格1[[#This Row],[QTY]]*表格1[[#This Row],[Unit Price]],"-")</f>
        <v>1880</v>
      </c>
      <c r="O912" s="134"/>
      <c r="P912" s="81"/>
      <c r="Q912" s="81"/>
      <c r="R912" s="81" t="str">
        <f>_xlfn.CONCAT(表格1[[#This Row],[Model]]," ",表格1[[#This Row],[inv no]])</f>
        <v xml:space="preserve">AW-Q801APH(WW) </v>
      </c>
      <c r="S912" s="135">
        <f>_xlfn.XLOOKUP(表格1[[#This Row],[Model]],表格3[Model-Input-Ref2],表格3[SRP PRICE])</f>
        <v>3380</v>
      </c>
      <c r="T912" s="43">
        <f>表格1[[#This Row],[Unit Price]]/表格1[[#This Row],[SRP]]</f>
        <v>0.55621301775147924</v>
      </c>
      <c r="U912" s="86" t="str">
        <f>_xlfn.XLOOKUP(表格1[[#This Row],[Model]],表格3[Model-Input-Ref2],表格3[TOSHIBA/HIGHEST])</f>
        <v>Toshiba SRP</v>
      </c>
      <c r="V912" s="86" t="s">
        <v>1126</v>
      </c>
      <c r="W912" s="86" t="str">
        <f>_xlfn.CONCAT(表格1[[#This Row],[欄4]],表格1[[#This Row],[inv no]])</f>
        <v>DA141</v>
      </c>
    </row>
    <row r="913" spans="1:23" hidden="1">
      <c r="A913" s="81">
        <v>911</v>
      </c>
      <c r="B913" s="81" t="s">
        <v>1458</v>
      </c>
      <c r="C913" s="81" t="s">
        <v>1459</v>
      </c>
      <c r="D913" s="82" t="str">
        <f ca="1">OFFSET(Roster!$A$3,MATCH(表格1[[#This Row],[Location]]&amp;" "&amp;表格1[[#This Row],[Shop]]&amp;"*",Roster!$A$4:$A$72,0),DAY(表格1[[#This Row],[date]]),1,1)</f>
        <v>Ho_2</v>
      </c>
      <c r="E913" s="81">
        <f>MONTH(表格1[[#This Row],[date]])</f>
        <v>3</v>
      </c>
      <c r="F913" s="101">
        <v>46104</v>
      </c>
      <c r="G913" s="81" t="str">
        <f>VLOOKUP("*"&amp;表格1[[#This Row],[Input]]&amp;"*",'Ref-List'!$B:$D,2,)</f>
        <v>AW-Q801APH(WW)</v>
      </c>
      <c r="H913" s="81" t="str">
        <f>_xlfn.XLOOKUP(表格1[[#This Row],[Model]],表格3[Model-Input-Ref2],表格3[Product Line])</f>
        <v>日式洗衣機 (7公斤 結合高低水位)</v>
      </c>
      <c r="I913" s="81" t="str">
        <f>_xlfn.XLOOKUP(表格1[[#This Row],[Model]],表格3[Model-Input-Ref2],表格3[大小電])</f>
        <v>大電</v>
      </c>
      <c r="J913" s="81" t="str">
        <f>_xlfn.XLOOKUP(表格1[[#This Row],[Model]],表格3[Model-Input-Ref2],表格3[Code])</f>
        <v>LAD</v>
      </c>
      <c r="K913" s="82" t="s">
        <v>1420</v>
      </c>
      <c r="L913" s="81">
        <v>1</v>
      </c>
      <c r="M913" s="85">
        <v>1880</v>
      </c>
      <c r="N913" s="85">
        <f>IFERROR(表格1[[#This Row],[QTY]]*表格1[[#This Row],[Unit Price]],"-")</f>
        <v>1880</v>
      </c>
      <c r="O913" s="134"/>
      <c r="P913" s="81"/>
      <c r="Q913" s="81"/>
      <c r="R913" s="81" t="str">
        <f>_xlfn.CONCAT(表格1[[#This Row],[Model]]," ",表格1[[#This Row],[inv no]])</f>
        <v xml:space="preserve">AW-Q801APH(WW) </v>
      </c>
      <c r="S913" s="135">
        <f>_xlfn.XLOOKUP(表格1[[#This Row],[Model]],表格3[Model-Input-Ref2],表格3[SRP PRICE])</f>
        <v>3380</v>
      </c>
      <c r="T913" s="43">
        <f>表格1[[#This Row],[Unit Price]]/表格1[[#This Row],[SRP]]</f>
        <v>0.55621301775147924</v>
      </c>
      <c r="U913" s="86" t="str">
        <f>_xlfn.XLOOKUP(表格1[[#This Row],[Model]],表格3[Model-Input-Ref2],表格3[TOSHIBA/HIGHEST])</f>
        <v>Toshiba SRP</v>
      </c>
      <c r="V913" s="86" t="s">
        <v>1126</v>
      </c>
      <c r="W913" s="86" t="str">
        <f>_xlfn.CONCAT(表格1[[#This Row],[欄4]],表格1[[#This Row],[inv no]])</f>
        <v>DA141</v>
      </c>
    </row>
    <row r="914" spans="1:23" hidden="1">
      <c r="A914" s="81">
        <v>912</v>
      </c>
      <c r="B914" s="81" t="s">
        <v>1458</v>
      </c>
      <c r="C914" s="81" t="s">
        <v>1459</v>
      </c>
      <c r="D914" s="82" t="str">
        <f ca="1">OFFSET(Roster!$A$3,MATCH(表格1[[#This Row],[Location]]&amp;" "&amp;表格1[[#This Row],[Shop]]&amp;"*",Roster!$A$4:$A$72,0),DAY(表格1[[#This Row],[date]]),1,1)</f>
        <v>Ho_2</v>
      </c>
      <c r="E914" s="81">
        <f>MONTH(表格1[[#This Row],[date]])</f>
        <v>3</v>
      </c>
      <c r="F914" s="101">
        <v>46104</v>
      </c>
      <c r="G914" s="81" t="str">
        <f>VLOOKUP("*"&amp;表格1[[#This Row],[Input]]&amp;"*",'Ref-List'!$B:$D,2,)</f>
        <v>GR-RB360WE-PMA(06)</v>
      </c>
      <c r="H914" s="81" t="str">
        <f>_xlfn.XLOOKUP(表格1[[#This Row],[Model]],表格3[Model-Input-Ref2],表格3[Product Line])</f>
        <v>變頻下置式雙門雪櫃系列270L</v>
      </c>
      <c r="I914" s="81" t="str">
        <f>_xlfn.XLOOKUP(表格1[[#This Row],[Model]],表格3[Model-Input-Ref2],表格3[大小電])</f>
        <v>大電</v>
      </c>
      <c r="J914" s="81" t="str">
        <f>_xlfn.XLOOKUP(表格1[[#This Row],[Model]],表格3[Model-Input-Ref2],表格3[Code])</f>
        <v>REF</v>
      </c>
      <c r="K914" s="82" t="s">
        <v>1282</v>
      </c>
      <c r="L914" s="81">
        <v>1</v>
      </c>
      <c r="M914" s="85">
        <v>3650</v>
      </c>
      <c r="N914" s="85">
        <f>IFERROR(表格1[[#This Row],[QTY]]*表格1[[#This Row],[Unit Price]],"-")</f>
        <v>3650</v>
      </c>
      <c r="O914" s="134"/>
      <c r="P914" s="81"/>
      <c r="Q914" s="81"/>
      <c r="R914" s="81" t="str">
        <f>_xlfn.CONCAT(表格1[[#This Row],[Model]]," ",表格1[[#This Row],[inv no]])</f>
        <v xml:space="preserve">GR-RB360WE-PMA(06) </v>
      </c>
      <c r="S914" s="135">
        <f>_xlfn.XLOOKUP(表格1[[#This Row],[Model]],表格3[Model-Input-Ref2],表格3[SRP PRICE])</f>
        <v>5080</v>
      </c>
      <c r="T914" s="43">
        <f>表格1[[#This Row],[Unit Price]]/表格1[[#This Row],[SRP]]</f>
        <v>0.71850393700787396</v>
      </c>
      <c r="U914" s="86" t="str">
        <f>_xlfn.XLOOKUP(表格1[[#This Row],[Model]],表格3[Model-Input-Ref2],表格3[TOSHIBA/HIGHEST])</f>
        <v>Toshiba SRP</v>
      </c>
      <c r="V914" s="86" t="s">
        <v>1126</v>
      </c>
      <c r="W914" s="86" t="str">
        <f>_xlfn.CONCAT(表格1[[#This Row],[欄4]],表格1[[#This Row],[inv no]])</f>
        <v>DA141</v>
      </c>
    </row>
    <row r="915" spans="1:23" ht="16.5" hidden="1">
      <c r="A915" s="81">
        <v>913</v>
      </c>
      <c r="B915" s="81" t="s">
        <v>1458</v>
      </c>
      <c r="C915" s="81" t="s">
        <v>1459</v>
      </c>
      <c r="D915" s="82" t="str">
        <f ca="1">OFFSET(Roster!$A$3,MATCH(表格1[[#This Row],[Location]]&amp;" "&amp;表格1[[#This Row],[Shop]]&amp;"*",Roster!$A$4:$A$72,0),DAY(表格1[[#This Row],[date]]),1,1)</f>
        <v>Ho_2</v>
      </c>
      <c r="E915" s="81">
        <f>MONTH(表格1[[#This Row],[date]])</f>
        <v>3</v>
      </c>
      <c r="F915" s="101">
        <v>46104</v>
      </c>
      <c r="G915" s="81" t="str">
        <f>VLOOKUP("*"&amp;表格1[[#This Row],[Input]]&amp;"*",'Ref-List'!$B:$D,2,)</f>
        <v>GR-RB360WE-PMA(06)</v>
      </c>
      <c r="H915" s="81" t="str">
        <f>_xlfn.XLOOKUP(表格1[[#This Row],[Model]],表格3[Model-Input-Ref2],表格3[Product Line])</f>
        <v>變頻下置式雙門雪櫃系列270L</v>
      </c>
      <c r="I915" s="81" t="str">
        <f>_xlfn.XLOOKUP(表格1[[#This Row],[Model]],表格3[Model-Input-Ref2],表格3[大小電])</f>
        <v>大電</v>
      </c>
      <c r="J915" s="81" t="str">
        <f>_xlfn.XLOOKUP(表格1[[#This Row],[Model]],表格3[Model-Input-Ref2],表格3[Code])</f>
        <v>REF</v>
      </c>
      <c r="K915" s="82" t="s">
        <v>1282</v>
      </c>
      <c r="L915" s="81">
        <v>1</v>
      </c>
      <c r="M915" s="85">
        <v>3650</v>
      </c>
      <c r="N915" s="85">
        <f>IFERROR(表格1[[#This Row],[QTY]]*表格1[[#This Row],[Unit Price]],"-")</f>
        <v>3650</v>
      </c>
      <c r="O915" s="134"/>
      <c r="P915" s="137"/>
      <c r="Q915" s="81"/>
      <c r="R915" s="81" t="str">
        <f>_xlfn.CONCAT(表格1[[#This Row],[Model]]," ",表格1[[#This Row],[inv no]])</f>
        <v xml:space="preserve">GR-RB360WE-PMA(06) </v>
      </c>
      <c r="S915" s="135">
        <f>_xlfn.XLOOKUP(表格1[[#This Row],[Model]],表格3[Model-Input-Ref2],表格3[SRP PRICE])</f>
        <v>5080</v>
      </c>
      <c r="T915" s="43">
        <f>表格1[[#This Row],[Unit Price]]/表格1[[#This Row],[SRP]]</f>
        <v>0.71850393700787396</v>
      </c>
      <c r="U915" s="86" t="str">
        <f>_xlfn.XLOOKUP(表格1[[#This Row],[Model]],表格3[Model-Input-Ref2],表格3[TOSHIBA/HIGHEST])</f>
        <v>Toshiba SRP</v>
      </c>
      <c r="V915" s="86" t="s">
        <v>1126</v>
      </c>
      <c r="W915" s="86" t="str">
        <f>_xlfn.CONCAT(表格1[[#This Row],[欄4]],表格1[[#This Row],[inv no]])</f>
        <v>DA141</v>
      </c>
    </row>
    <row r="916" spans="1:23" hidden="1">
      <c r="A916" s="81">
        <v>914</v>
      </c>
      <c r="B916" s="81" t="s">
        <v>1458</v>
      </c>
      <c r="C916" s="81" t="s">
        <v>1459</v>
      </c>
      <c r="D916" s="82" t="str">
        <f ca="1">OFFSET(Roster!$A$3,MATCH(表格1[[#This Row],[Location]]&amp;" "&amp;表格1[[#This Row],[Shop]]&amp;"*",Roster!$A$4:$A$72,0),DAY(表格1[[#This Row],[date]]),1,1)</f>
        <v>Ho_2</v>
      </c>
      <c r="E916" s="81">
        <f>MONTH(表格1[[#This Row],[date]])</f>
        <v>3</v>
      </c>
      <c r="F916" s="101">
        <v>46104</v>
      </c>
      <c r="G916" s="81" t="str">
        <f>VLOOKUP("*"&amp;表格1[[#This Row],[Input]]&amp;"*",'Ref-List'!$B:$D,2,)</f>
        <v>GR-RT234WE-PMA(57)</v>
      </c>
      <c r="H916" s="81" t="str">
        <f>_xlfn.XLOOKUP(表格1[[#This Row],[Model]],表格3[Model-Input-Ref2],表格3[Product Line])</f>
        <v>變頻式環保雙門雪櫃（179L）</v>
      </c>
      <c r="I916" s="81" t="str">
        <f>_xlfn.XLOOKUP(表格1[[#This Row],[Model]],表格3[Model-Input-Ref2],表格3[大小電])</f>
        <v>大電</v>
      </c>
      <c r="J916" s="81" t="str">
        <f>_xlfn.XLOOKUP(表格1[[#This Row],[Model]],表格3[Model-Input-Ref2],表格3[Code])</f>
        <v>REF</v>
      </c>
      <c r="K916" s="82" t="s">
        <v>1423</v>
      </c>
      <c r="L916" s="81">
        <v>1</v>
      </c>
      <c r="M916" s="85">
        <v>1950</v>
      </c>
      <c r="N916" s="85">
        <f>IFERROR(表格1[[#This Row],[QTY]]*表格1[[#This Row],[Unit Price]],"-")</f>
        <v>1950</v>
      </c>
      <c r="O916" s="134"/>
      <c r="P916" s="81"/>
      <c r="Q916" s="81"/>
      <c r="R916" s="81" t="str">
        <f>_xlfn.CONCAT(表格1[[#This Row],[Model]]," ",表格1[[#This Row],[inv no]])</f>
        <v xml:space="preserve">GR-RT234WE-PMA(57) </v>
      </c>
      <c r="S916" s="135">
        <f>_xlfn.XLOOKUP(表格1[[#This Row],[Model]],表格3[Model-Input-Ref2],表格3[SRP PRICE])</f>
        <v>3680</v>
      </c>
      <c r="T916" s="43">
        <f>表格1[[#This Row],[Unit Price]]/表格1[[#This Row],[SRP]]</f>
        <v>0.52989130434782605</v>
      </c>
      <c r="U916" s="86" t="str">
        <f>_xlfn.XLOOKUP(表格1[[#This Row],[Model]],表格3[Model-Input-Ref2],表格3[TOSHIBA/HIGHEST])</f>
        <v>Toshiba SRP</v>
      </c>
      <c r="V916" s="86" t="s">
        <v>1126</v>
      </c>
      <c r="W916" s="86" t="str">
        <f>_xlfn.CONCAT(表格1[[#This Row],[欄4]],表格1[[#This Row],[inv no]])</f>
        <v>DA141</v>
      </c>
    </row>
    <row r="917" spans="1:23" hidden="1">
      <c r="A917" s="81">
        <v>915</v>
      </c>
      <c r="B917" s="81" t="s">
        <v>1403</v>
      </c>
      <c r="C917" s="81" t="s">
        <v>1404</v>
      </c>
      <c r="D917" s="82" t="str">
        <f ca="1">OFFSET(Roster!$A$3,MATCH(表格1[[#This Row],[Location]]&amp;" "&amp;表格1[[#This Row],[Shop]]&amp;"*",Roster!$A$4:$A$72,0),DAY(表格1[[#This Row],[date]]),1,1)</f>
        <v>Mui Chan_2</v>
      </c>
      <c r="E917" s="81">
        <f>MONTH(表格1[[#This Row],[date]])</f>
        <v>3</v>
      </c>
      <c r="F917" s="101">
        <v>46102</v>
      </c>
      <c r="G917" s="81" t="str">
        <f>VLOOKUP("*"&amp;表格1[[#This Row],[Input]]&amp;"*",'Ref-List'!$B:$D,2,)</f>
        <v>MX2-STR25SC(WH)</v>
      </c>
      <c r="H917" s="81" t="str">
        <f>_xlfn.XLOOKUP(表格1[[#This Row],[Model]],表格3[Model-Input-Ref2],表格3[Product Line])</f>
        <v>4合1氣炸微波蒸焗爐(25公升)</v>
      </c>
      <c r="I917" s="81" t="str">
        <f>_xlfn.XLOOKUP(表格1[[#This Row],[Model]],表格3[Model-Input-Ref2],表格3[大小電])</f>
        <v>細電</v>
      </c>
      <c r="J917" s="81" t="str">
        <f>_xlfn.XLOOKUP(表格1[[#This Row],[Model]],表格3[Model-Input-Ref2],表格3[Code])</f>
        <v>MCA</v>
      </c>
      <c r="K917" s="82" t="s">
        <v>1410</v>
      </c>
      <c r="L917" s="81">
        <v>1</v>
      </c>
      <c r="M917" s="85">
        <v>3180</v>
      </c>
      <c r="N917" s="85">
        <f>IFERROR(表格1[[#This Row],[QTY]]*表格1[[#This Row],[Unit Price]],"-")</f>
        <v>3180</v>
      </c>
      <c r="O917" s="169">
        <v>249839</v>
      </c>
      <c r="P917" s="81"/>
      <c r="Q917" s="81"/>
      <c r="R917" s="81" t="str">
        <f>_xlfn.CONCAT(表格1[[#This Row],[Model]]," ",表格1[[#This Row],[inv no]])</f>
        <v>MX2-STR25SC(WH) 249839</v>
      </c>
      <c r="S917" s="135">
        <f>_xlfn.XLOOKUP(表格1[[#This Row],[Model]],表格3[Model-Input-Ref2],表格3[SRP PRICE])</f>
        <v>4998</v>
      </c>
      <c r="T917" s="43">
        <f>表格1[[#This Row],[Unit Price]]/表格1[[#This Row],[SRP]]</f>
        <v>0.6362545018007203</v>
      </c>
      <c r="U917" s="86" t="str">
        <f>_xlfn.XLOOKUP(表格1[[#This Row],[Model]],表格3[Model-Input-Ref2],表格3[TOSHIBA/HIGHEST])</f>
        <v>Toshiba SRP</v>
      </c>
      <c r="V917" s="86" t="s">
        <v>1126</v>
      </c>
      <c r="W917" s="86" t="str">
        <f>_xlfn.CONCAT(表格1[[#This Row],[欄4]],表格1[[#This Row],[inv no]])</f>
        <v>DA141249839</v>
      </c>
    </row>
    <row r="918" spans="1:23" hidden="1">
      <c r="A918" s="81">
        <v>916</v>
      </c>
      <c r="B918" s="81" t="s">
        <v>1403</v>
      </c>
      <c r="C918" s="81" t="s">
        <v>1404</v>
      </c>
      <c r="D918" s="82" t="str">
        <f ca="1">OFFSET(Roster!$A$3,MATCH(表格1[[#This Row],[Location]]&amp;" "&amp;表格1[[#This Row],[Shop]]&amp;"*",Roster!$A$4:$A$72,0),DAY(表格1[[#This Row],[date]]),1,1)</f>
        <v>Mui Chan_2</v>
      </c>
      <c r="E918" s="81">
        <f>MONTH(表格1[[#This Row],[date]])</f>
        <v>3</v>
      </c>
      <c r="F918" s="101">
        <v>46102</v>
      </c>
      <c r="G918" s="81" t="str">
        <f>VLOOKUP("*"&amp;表格1[[#This Row],[Input]]&amp;"*",'Ref-List'!$B:$D,2,)</f>
        <v>MX2-TT20SC(WH)</v>
      </c>
      <c r="H918" s="81" t="str">
        <f>_xlfn.XLOOKUP(表格1[[#This Row],[Model]],表格3[Model-Input-Ref2],表格3[Product Line])</f>
        <v>3合1 微波蒸焗爐 (20公升)</v>
      </c>
      <c r="I918" s="81" t="str">
        <f>_xlfn.XLOOKUP(表格1[[#This Row],[Model]],表格3[Model-Input-Ref2],表格3[大小電])</f>
        <v>細電</v>
      </c>
      <c r="J918" s="81" t="str">
        <f>_xlfn.XLOOKUP(表格1[[#This Row],[Model]],表格3[Model-Input-Ref2],表格3[Code])</f>
        <v>MCA</v>
      </c>
      <c r="K918" s="82" t="s">
        <v>1287</v>
      </c>
      <c r="L918" s="81">
        <v>1</v>
      </c>
      <c r="M918" s="85">
        <v>2480</v>
      </c>
      <c r="N918" s="85">
        <f>IFERROR(表格1[[#This Row],[QTY]]*表格1[[#This Row],[Unit Price]],"-")</f>
        <v>2480</v>
      </c>
      <c r="O918" s="169">
        <v>249845</v>
      </c>
      <c r="P918" s="81"/>
      <c r="Q918" s="81"/>
      <c r="R918" s="81" t="str">
        <f>_xlfn.CONCAT(表格1[[#This Row],[Model]]," ",表格1[[#This Row],[inv no]])</f>
        <v>MX2-TT20SC(WH) 249845</v>
      </c>
      <c r="S918" s="135">
        <f>_xlfn.XLOOKUP(表格1[[#This Row],[Model]],表格3[Model-Input-Ref2],表格3[SRP PRICE])</f>
        <v>3580</v>
      </c>
      <c r="T918" s="43">
        <f>表格1[[#This Row],[Unit Price]]/表格1[[#This Row],[SRP]]</f>
        <v>0.69273743016759781</v>
      </c>
      <c r="U918" s="86" t="str">
        <f>_xlfn.XLOOKUP(表格1[[#This Row],[Model]],表格3[Model-Input-Ref2],表格3[TOSHIBA/HIGHEST])</f>
        <v>Toshiba SRP</v>
      </c>
      <c r="V918" s="86" t="s">
        <v>1126</v>
      </c>
      <c r="W918" s="86" t="str">
        <f>_xlfn.CONCAT(表格1[[#This Row],[欄4]],表格1[[#This Row],[inv no]])</f>
        <v>DA141249845</v>
      </c>
    </row>
    <row r="919" spans="1:23" hidden="1">
      <c r="A919" s="81">
        <v>917</v>
      </c>
      <c r="B919" s="81" t="s">
        <v>1403</v>
      </c>
      <c r="C919" s="81" t="s">
        <v>1404</v>
      </c>
      <c r="D919" s="82" t="str">
        <f ca="1">OFFSET(Roster!$A$3,MATCH(表格1[[#This Row],[Location]]&amp;" "&amp;表格1[[#This Row],[Shop]]&amp;"*",Roster!$A$4:$A$72,0),DAY(表格1[[#This Row],[date]]),1,1)</f>
        <v>Mui Chan_2</v>
      </c>
      <c r="E919" s="81">
        <f>MONTH(表格1[[#This Row],[date]])</f>
        <v>3</v>
      </c>
      <c r="F919" s="101">
        <v>46102</v>
      </c>
      <c r="G919" s="81" t="str">
        <f>VLOOKUP("*"&amp;表格1[[#This Row],[Input]]&amp;"*",'Ref-List'!$B:$D,2,)</f>
        <v>MM2-EM20PC(WH)</v>
      </c>
      <c r="H919" s="81" t="str">
        <f>_xlfn.XLOOKUP(表格1[[#This Row],[Model]],表格3[Model-Input-Ref2],表格3[Product Line])</f>
        <v>輕觸式微波爐 (20公升)</v>
      </c>
      <c r="I919" s="81" t="str">
        <f>_xlfn.XLOOKUP(表格1[[#This Row],[Model]],表格3[Model-Input-Ref2],表格3[大小電])</f>
        <v>細電</v>
      </c>
      <c r="J919" s="81" t="str">
        <f>_xlfn.XLOOKUP(表格1[[#This Row],[Model]],表格3[Model-Input-Ref2],表格3[Code])</f>
        <v>MCA</v>
      </c>
      <c r="K919" s="82" t="s">
        <v>1276</v>
      </c>
      <c r="L919" s="81">
        <v>1</v>
      </c>
      <c r="M919" s="85">
        <v>598</v>
      </c>
      <c r="N919" s="85">
        <f>IFERROR(表格1[[#This Row],[QTY]]*表格1[[#This Row],[Unit Price]],"-")</f>
        <v>598</v>
      </c>
      <c r="O919" s="169">
        <v>1639</v>
      </c>
      <c r="P919" s="81"/>
      <c r="Q919" s="81"/>
      <c r="R919" s="81" t="str">
        <f>_xlfn.CONCAT(表格1[[#This Row],[Model]]," ",表格1[[#This Row],[inv no]])</f>
        <v>MM2-EM20PC(WH) 1639</v>
      </c>
      <c r="S919" s="135">
        <f>_xlfn.XLOOKUP(表格1[[#This Row],[Model]],表格3[Model-Input-Ref2],表格3[SRP PRICE])</f>
        <v>788</v>
      </c>
      <c r="T919" s="43">
        <f>表格1[[#This Row],[Unit Price]]/表格1[[#This Row],[SRP]]</f>
        <v>0.75888324873096447</v>
      </c>
      <c r="U919" s="86" t="str">
        <f>_xlfn.XLOOKUP(表格1[[#This Row],[Model]],表格3[Model-Input-Ref2],表格3[TOSHIBA/HIGHEST])</f>
        <v>Toshiba SRP</v>
      </c>
      <c r="V919" s="86" t="s">
        <v>1126</v>
      </c>
      <c r="W919" s="86" t="str">
        <f>_xlfn.CONCAT(表格1[[#This Row],[欄4]],表格1[[#This Row],[inv no]])</f>
        <v>DA1411639</v>
      </c>
    </row>
    <row r="920" spans="1:23" hidden="1">
      <c r="A920" s="81">
        <v>918</v>
      </c>
      <c r="B920" s="81" t="s">
        <v>1403</v>
      </c>
      <c r="C920" s="81" t="s">
        <v>1404</v>
      </c>
      <c r="D920" s="82" t="str">
        <f ca="1">OFFSET(Roster!$A$3,MATCH(表格1[[#This Row],[Location]]&amp;" "&amp;表格1[[#This Row],[Shop]]&amp;"*",Roster!$A$4:$A$72,0),DAY(表格1[[#This Row],[date]]),1,1)</f>
        <v>Mui Chan_2</v>
      </c>
      <c r="E920" s="81">
        <f>MONTH(表格1[[#This Row],[date]])</f>
        <v>3</v>
      </c>
      <c r="F920" s="101">
        <v>46103</v>
      </c>
      <c r="G920" s="81" t="str">
        <f>VLOOKUP("*"&amp;表格1[[#This Row],[Input]]&amp;"*",'Ref-List'!$B:$D,2,)</f>
        <v>RC-10NMFIH(WT)</v>
      </c>
      <c r="H920" s="81" t="str">
        <f>_xlfn.XLOOKUP(表格1[[#This Row],[Model]],表格3[Model-Input-Ref2],表格3[Product Line])</f>
        <v>4毫米厚釜電飯煲1L</v>
      </c>
      <c r="I920" s="81" t="str">
        <f>_xlfn.XLOOKUP(表格1[[#This Row],[Model]],表格3[Model-Input-Ref2],表格3[大小電])</f>
        <v>細電</v>
      </c>
      <c r="J920" s="81" t="str">
        <f>_xlfn.XLOOKUP(表格1[[#This Row],[Model]],表格3[Model-Input-Ref2],表格3[Code])</f>
        <v>SDA</v>
      </c>
      <c r="K920" s="82" t="s">
        <v>1244</v>
      </c>
      <c r="L920" s="81">
        <v>1</v>
      </c>
      <c r="M920" s="85">
        <v>718</v>
      </c>
      <c r="N920" s="85">
        <f>IFERROR(表格1[[#This Row],[QTY]]*表格1[[#This Row],[Unit Price]],"-")</f>
        <v>718</v>
      </c>
      <c r="O920" s="169">
        <v>1642</v>
      </c>
      <c r="P920" s="81"/>
      <c r="Q920" s="81"/>
      <c r="R920" s="81" t="str">
        <f>_xlfn.CONCAT(表格1[[#This Row],[Model]]," ",表格1[[#This Row],[inv no]])</f>
        <v>RC-10NMFIH(WT) 1642</v>
      </c>
      <c r="S920" s="135">
        <f>_xlfn.XLOOKUP(表格1[[#This Row],[Model]],表格3[Model-Input-Ref2],表格3[SRP PRICE])</f>
        <v>898</v>
      </c>
      <c r="T920" s="43">
        <f>表格1[[#This Row],[Unit Price]]/表格1[[#This Row],[SRP]]</f>
        <v>0.79955456570155903</v>
      </c>
      <c r="U920" s="86" t="str">
        <f>_xlfn.XLOOKUP(表格1[[#This Row],[Model]],表格3[Model-Input-Ref2],表格3[TOSHIBA/HIGHEST])</f>
        <v>Toshiba SRP</v>
      </c>
      <c r="V920" s="86" t="s">
        <v>1126</v>
      </c>
      <c r="W920" s="86" t="str">
        <f>_xlfn.CONCAT(表格1[[#This Row],[欄4]],表格1[[#This Row],[inv no]])</f>
        <v>DA1411642</v>
      </c>
    </row>
    <row r="921" spans="1:23" hidden="1">
      <c r="A921" s="81">
        <v>919</v>
      </c>
      <c r="B921" s="81" t="s">
        <v>1403</v>
      </c>
      <c r="C921" s="81" t="s">
        <v>1404</v>
      </c>
      <c r="D921" s="82" t="str">
        <f ca="1">OFFSET(Roster!$A$3,MATCH(表格1[[#This Row],[Location]]&amp;" "&amp;表格1[[#This Row],[Shop]]&amp;"*",Roster!$A$4:$A$72,0),DAY(表格1[[#This Row],[date]]),1,1)</f>
        <v>Mui Chan_2</v>
      </c>
      <c r="E921" s="81">
        <f>MONTH(表格1[[#This Row],[date]])</f>
        <v>3</v>
      </c>
      <c r="F921" s="101">
        <v>46103</v>
      </c>
      <c r="G921" s="81" t="str">
        <f>VLOOKUP("*"&amp;表格1[[#This Row],[Input]]&amp;"*",'Ref-List'!$B:$D,2,)</f>
        <v>MM-2MM20PC(WH)</v>
      </c>
      <c r="H921" s="81" t="str">
        <f>_xlfn.XLOOKUP(表格1[[#This Row],[Model]],表格3[Model-Input-Ref2],表格3[Product Line])</f>
        <v>旋鈕式微波爐 (20公升)</v>
      </c>
      <c r="I921" s="81" t="str">
        <f>_xlfn.XLOOKUP(表格1[[#This Row],[Model]],表格3[Model-Input-Ref2],表格3[大小電])</f>
        <v>細電</v>
      </c>
      <c r="J921" s="81" t="str">
        <f>_xlfn.XLOOKUP(表格1[[#This Row],[Model]],表格3[Model-Input-Ref2],表格3[Code])</f>
        <v>MCA</v>
      </c>
      <c r="K921" s="82" t="s">
        <v>1388</v>
      </c>
      <c r="L921" s="81">
        <v>1</v>
      </c>
      <c r="M921" s="85">
        <v>598</v>
      </c>
      <c r="N921" s="85">
        <f>IFERROR(表格1[[#This Row],[QTY]]*表格1[[#This Row],[Unit Price]],"-")</f>
        <v>598</v>
      </c>
      <c r="O921" s="169">
        <v>1647</v>
      </c>
      <c r="P921" s="81"/>
      <c r="Q921" s="81"/>
      <c r="R921" s="81" t="str">
        <f>_xlfn.CONCAT(表格1[[#This Row],[Model]]," ",表格1[[#This Row],[inv no]])</f>
        <v>MM-2MM20PC(WH) 1647</v>
      </c>
      <c r="S921" s="135">
        <f>_xlfn.XLOOKUP(表格1[[#This Row],[Model]],表格3[Model-Input-Ref2],表格3[SRP PRICE])</f>
        <v>738</v>
      </c>
      <c r="T921" s="43">
        <f>表格1[[#This Row],[Unit Price]]/表格1[[#This Row],[SRP]]</f>
        <v>0.81029810298102978</v>
      </c>
      <c r="U921" s="86" t="str">
        <f>_xlfn.XLOOKUP(表格1[[#This Row],[Model]],表格3[Model-Input-Ref2],表格3[TOSHIBA/HIGHEST])</f>
        <v>Toshiba SRP</v>
      </c>
      <c r="V921" s="86" t="s">
        <v>1126</v>
      </c>
      <c r="W921" s="86" t="str">
        <f>_xlfn.CONCAT(表格1[[#This Row],[欄4]],表格1[[#This Row],[inv no]])</f>
        <v>DA1411647</v>
      </c>
    </row>
    <row r="922" spans="1:23" hidden="1">
      <c r="A922" s="81">
        <v>920</v>
      </c>
      <c r="B922" s="81" t="s">
        <v>1403</v>
      </c>
      <c r="C922" s="81" t="s">
        <v>1404</v>
      </c>
      <c r="D922" s="82" t="str">
        <f ca="1">OFFSET(Roster!$A$3,MATCH(表格1[[#This Row],[Location]]&amp;" "&amp;表格1[[#This Row],[Shop]]&amp;"*",Roster!$A$4:$A$72,0),DAY(表格1[[#This Row],[date]]),1,1)</f>
        <v>Mui Chan_2</v>
      </c>
      <c r="E922" s="81">
        <f>MONTH(表格1[[#This Row],[date]])</f>
        <v>3</v>
      </c>
      <c r="F922" s="101">
        <v>46103</v>
      </c>
      <c r="G922" s="81" t="str">
        <f>VLOOKUP("*"&amp;表格1[[#This Row],[Input]]&amp;"*",'Ref-List'!$B:$D,2,)</f>
        <v>MX2-STR25SC(WH)</v>
      </c>
      <c r="H922" s="81" t="str">
        <f>_xlfn.XLOOKUP(表格1[[#This Row],[Model]],表格3[Model-Input-Ref2],表格3[Product Line])</f>
        <v>4合1氣炸微波蒸焗爐(25公升)</v>
      </c>
      <c r="I922" s="81" t="str">
        <f>_xlfn.XLOOKUP(表格1[[#This Row],[Model]],表格3[Model-Input-Ref2],表格3[大小電])</f>
        <v>細電</v>
      </c>
      <c r="J922" s="81" t="str">
        <f>_xlfn.XLOOKUP(表格1[[#This Row],[Model]],表格3[Model-Input-Ref2],表格3[Code])</f>
        <v>MCA</v>
      </c>
      <c r="K922" s="82" t="s">
        <v>1410</v>
      </c>
      <c r="L922" s="81">
        <v>1</v>
      </c>
      <c r="M922" s="85">
        <v>3180</v>
      </c>
      <c r="N922" s="85">
        <f>IFERROR(表格1[[#This Row],[QTY]]*表格1[[#This Row],[Unit Price]],"-")</f>
        <v>3180</v>
      </c>
      <c r="O922" s="169">
        <v>249805</v>
      </c>
      <c r="P922" s="81"/>
      <c r="Q922" s="81"/>
      <c r="R922" s="81" t="str">
        <f>_xlfn.CONCAT(表格1[[#This Row],[Model]]," ",表格1[[#This Row],[inv no]])</f>
        <v>MX2-STR25SC(WH) 249805</v>
      </c>
      <c r="S922" s="135">
        <f>_xlfn.XLOOKUP(表格1[[#This Row],[Model]],表格3[Model-Input-Ref2],表格3[SRP PRICE])</f>
        <v>4998</v>
      </c>
      <c r="T922" s="43">
        <f>表格1[[#This Row],[Unit Price]]/表格1[[#This Row],[SRP]]</f>
        <v>0.6362545018007203</v>
      </c>
      <c r="U922" s="86" t="str">
        <f>_xlfn.XLOOKUP(表格1[[#This Row],[Model]],表格3[Model-Input-Ref2],表格3[TOSHIBA/HIGHEST])</f>
        <v>Toshiba SRP</v>
      </c>
      <c r="V922" s="86" t="s">
        <v>1126</v>
      </c>
      <c r="W922" s="86" t="str">
        <f>_xlfn.CONCAT(表格1[[#This Row],[欄4]],表格1[[#This Row],[inv no]])</f>
        <v>DA141249805</v>
      </c>
    </row>
    <row r="923" spans="1:23" hidden="1">
      <c r="A923" s="81">
        <v>921</v>
      </c>
      <c r="B923" s="81" t="s">
        <v>1403</v>
      </c>
      <c r="C923" s="81" t="s">
        <v>1404</v>
      </c>
      <c r="D923" s="82" t="str">
        <f ca="1">OFFSET(Roster!$A$3,MATCH(表格1[[#This Row],[Location]]&amp;" "&amp;表格1[[#This Row],[Shop]]&amp;"*",Roster!$A$4:$A$72,0),DAY(表格1[[#This Row],[date]]),1,1)</f>
        <v>Mui Chan_2</v>
      </c>
      <c r="E923" s="81">
        <f>MONTH(表格1[[#This Row],[date]])</f>
        <v>3</v>
      </c>
      <c r="F923" s="101">
        <v>46103</v>
      </c>
      <c r="G923" s="81" t="str">
        <f>VLOOKUP("*"&amp;表格1[[#This Row],[Input]]&amp;"*",'Ref-List'!$B:$D,2,)</f>
        <v>ER-VD7000HK(XK)</v>
      </c>
      <c r="H923" s="81" t="str">
        <f>_xlfn.XLOOKUP(表格1[[#This Row],[Model]],表格3[Model-Input-Ref2],表格3[Product Line])</f>
        <v>水波爐</v>
      </c>
      <c r="I923" s="81" t="str">
        <f>_xlfn.XLOOKUP(表格1[[#This Row],[Model]],表格3[Model-Input-Ref2],表格3[大小電])</f>
        <v>細電</v>
      </c>
      <c r="J923" s="81" t="str">
        <f>_xlfn.XLOOKUP(表格1[[#This Row],[Model]],表格3[Model-Input-Ref2],表格3[Code])</f>
        <v>MCA</v>
      </c>
      <c r="K923" s="82" t="s">
        <v>1469</v>
      </c>
      <c r="L923" s="81">
        <v>1</v>
      </c>
      <c r="M923" s="85">
        <v>6550</v>
      </c>
      <c r="N923" s="85">
        <f>IFERROR(表格1[[#This Row],[QTY]]*表格1[[#This Row],[Unit Price]],"-")</f>
        <v>6550</v>
      </c>
      <c r="O923" s="169">
        <v>249811</v>
      </c>
      <c r="P923" s="81"/>
      <c r="Q923" s="81"/>
      <c r="R923" s="81" t="str">
        <f>_xlfn.CONCAT(表格1[[#This Row],[Model]]," ",表格1[[#This Row],[inv no]])</f>
        <v>ER-VD7000HK(XK) 249811</v>
      </c>
      <c r="S923" s="135">
        <f>_xlfn.XLOOKUP(表格1[[#This Row],[Model]],表格3[Model-Input-Ref2],表格3[SRP PRICE])</f>
        <v>8998</v>
      </c>
      <c r="T923" s="43">
        <f>表格1[[#This Row],[Unit Price]]/表格1[[#This Row],[SRP]]</f>
        <v>0.72793954212047118</v>
      </c>
      <c r="U923" s="86" t="str">
        <f>_xlfn.XLOOKUP(表格1[[#This Row],[Model]],表格3[Model-Input-Ref2],表格3[TOSHIBA/HIGHEST])</f>
        <v>Toshiba SRP</v>
      </c>
      <c r="V923" s="86" t="s">
        <v>1126</v>
      </c>
      <c r="W923" s="86" t="str">
        <f>_xlfn.CONCAT(表格1[[#This Row],[欄4]],表格1[[#This Row],[inv no]])</f>
        <v>DA141249811</v>
      </c>
    </row>
    <row r="924" spans="1:23" hidden="1">
      <c r="A924" s="81">
        <v>922</v>
      </c>
      <c r="B924" s="81" t="s">
        <v>1470</v>
      </c>
      <c r="C924" s="81" t="s">
        <v>1247</v>
      </c>
      <c r="D924" s="82" t="str">
        <f ca="1">OFFSET(Roster!$A$3,MATCH(表格1[[#This Row],[Location]]&amp;" "&amp;表格1[[#This Row],[Shop]]&amp;"*",Roster!$A$4:$A$72,0),DAY(表格1[[#This Row],[date]]),1,1)</f>
        <v>Coco</v>
      </c>
      <c r="E924" s="81">
        <f>MONTH(表格1[[#This Row],[date]])</f>
        <v>3</v>
      </c>
      <c r="F924" s="101">
        <v>46082</v>
      </c>
      <c r="G924" s="81" t="str">
        <f>VLOOKUP("*"&amp;表格1[[#This Row],[Input]]&amp;"*",'Ref-List'!$B:$D,2,)</f>
        <v>RAD-D300H</v>
      </c>
      <c r="H924" s="81" t="str">
        <f>_xlfn.XLOOKUP(表格1[[#This Row],[Model]],表格3[Model-Input-Ref2],表格3[Product Line])</f>
        <v>壓縮式抽濕機 (30公升)</v>
      </c>
      <c r="I924" s="81" t="str">
        <f>_xlfn.XLOOKUP(表格1[[#This Row],[Model]],表格3[Model-Input-Ref2],表格3[大小電])</f>
        <v>細電</v>
      </c>
      <c r="J924" s="81" t="str">
        <f>_xlfn.XLOOKUP(表格1[[#This Row],[Model]],表格3[Model-Input-Ref2],表格3[Code])</f>
        <v>RAC</v>
      </c>
      <c r="K924" s="82" t="s">
        <v>1252</v>
      </c>
      <c r="L924" s="81">
        <v>1</v>
      </c>
      <c r="M924" s="85">
        <v>2280</v>
      </c>
      <c r="N924" s="85">
        <f>IFERROR(表格1[[#This Row],[QTY]]*表格1[[#This Row],[Unit Price]],"-")</f>
        <v>2280</v>
      </c>
      <c r="O924" s="134">
        <v>1170548</v>
      </c>
      <c r="P924" s="81"/>
      <c r="Q924" s="81"/>
      <c r="R924" s="81" t="str">
        <f>_xlfn.CONCAT(表格1[[#This Row],[Model]]," ",表格1[[#This Row],[inv no]])</f>
        <v>RAD-D300H 1170548</v>
      </c>
      <c r="S924" s="135">
        <f>_xlfn.XLOOKUP(表格1[[#This Row],[Model]],表格3[Model-Input-Ref2],表格3[SRP PRICE])</f>
        <v>3380</v>
      </c>
      <c r="T924" s="43">
        <f>表格1[[#This Row],[Unit Price]]/表格1[[#This Row],[SRP]]</f>
        <v>0.67455621301775148</v>
      </c>
      <c r="U924" s="86" t="str">
        <f>_xlfn.XLOOKUP(表格1[[#This Row],[Model]],表格3[Model-Input-Ref2],表格3[TOSHIBA/HIGHEST])</f>
        <v>Shops Highest Price</v>
      </c>
      <c r="V924" s="86" t="s">
        <v>1126</v>
      </c>
      <c r="W924" s="86" t="str">
        <f>_xlfn.CONCAT(表格1[[#This Row],[欄4]],表格1[[#This Row],[inv no]])</f>
        <v>DA1411170548</v>
      </c>
    </row>
    <row r="925" spans="1:23" hidden="1">
      <c r="A925" s="81">
        <v>923</v>
      </c>
      <c r="B925" s="81" t="s">
        <v>1470</v>
      </c>
      <c r="C925" s="81" t="s">
        <v>1247</v>
      </c>
      <c r="D925" s="82" t="str">
        <f ca="1">OFFSET(Roster!$A$3,MATCH(表格1[[#This Row],[Location]]&amp;" "&amp;表格1[[#This Row],[Shop]]&amp;"*",Roster!$A$4:$A$72,0),DAY(表格1[[#This Row],[date]]),1,1)</f>
        <v>Coco</v>
      </c>
      <c r="E925" s="81">
        <f>MONTH(表格1[[#This Row],[date]])</f>
        <v>3</v>
      </c>
      <c r="F925" s="101">
        <v>46082</v>
      </c>
      <c r="G925" s="81" t="str">
        <f>VLOOKUP("*"&amp;表格1[[#This Row],[Input]]&amp;"*",'Ref-List'!$B:$D,2,)</f>
        <v>RAD-D300H</v>
      </c>
      <c r="H925" s="81" t="str">
        <f>_xlfn.XLOOKUP(表格1[[#This Row],[Model]],表格3[Model-Input-Ref2],表格3[Product Line])</f>
        <v>壓縮式抽濕機 (30公升)</v>
      </c>
      <c r="I925" s="81" t="str">
        <f>_xlfn.XLOOKUP(表格1[[#This Row],[Model]],表格3[Model-Input-Ref2],表格3[大小電])</f>
        <v>細電</v>
      </c>
      <c r="J925" s="81" t="str">
        <f>_xlfn.XLOOKUP(表格1[[#This Row],[Model]],表格3[Model-Input-Ref2],表格3[Code])</f>
        <v>RAC</v>
      </c>
      <c r="K925" s="82" t="s">
        <v>1252</v>
      </c>
      <c r="L925" s="81">
        <v>1</v>
      </c>
      <c r="M925" s="85">
        <v>2280</v>
      </c>
      <c r="N925" s="85">
        <f>IFERROR(表格1[[#This Row],[QTY]]*表格1[[#This Row],[Unit Price]],"-")</f>
        <v>2280</v>
      </c>
      <c r="O925" s="134">
        <v>1170586</v>
      </c>
      <c r="P925" s="81"/>
      <c r="Q925" s="81"/>
      <c r="R925" s="81" t="str">
        <f>_xlfn.CONCAT(表格1[[#This Row],[Model]]," ",表格1[[#This Row],[inv no]])</f>
        <v>RAD-D300H 1170586</v>
      </c>
      <c r="S925" s="135">
        <f>_xlfn.XLOOKUP(表格1[[#This Row],[Model]],表格3[Model-Input-Ref2],表格3[SRP PRICE])</f>
        <v>3380</v>
      </c>
      <c r="T925" s="43">
        <f>表格1[[#This Row],[Unit Price]]/表格1[[#This Row],[SRP]]</f>
        <v>0.67455621301775148</v>
      </c>
      <c r="U925" s="86" t="str">
        <f>_xlfn.XLOOKUP(表格1[[#This Row],[Model]],表格3[Model-Input-Ref2],表格3[TOSHIBA/HIGHEST])</f>
        <v>Shops Highest Price</v>
      </c>
      <c r="V925" s="86" t="s">
        <v>1126</v>
      </c>
      <c r="W925" s="86" t="str">
        <f>_xlfn.CONCAT(表格1[[#This Row],[欄4]],表格1[[#This Row],[inv no]])</f>
        <v>DA1411170586</v>
      </c>
    </row>
    <row r="926" spans="1:23" hidden="1">
      <c r="A926" s="81">
        <v>924</v>
      </c>
      <c r="B926" s="81" t="s">
        <v>1470</v>
      </c>
      <c r="C926" s="81" t="s">
        <v>1247</v>
      </c>
      <c r="D926" s="82" t="str">
        <f ca="1">OFFSET(Roster!$A$3,MATCH(表格1[[#This Row],[Location]]&amp;" "&amp;表格1[[#This Row],[Shop]]&amp;"*",Roster!$A$4:$A$72,0),DAY(表格1[[#This Row],[date]]),1,1)</f>
        <v>Coco</v>
      </c>
      <c r="E926" s="81">
        <f>MONTH(表格1[[#This Row],[date]])</f>
        <v>3</v>
      </c>
      <c r="F926" s="101">
        <v>46082</v>
      </c>
      <c r="G926" s="81" t="str">
        <f>VLOOKUP("*"&amp;表格1[[#This Row],[Input]]&amp;"*",'Ref-List'!$B:$D,2,)</f>
        <v>MM-2MM20PC(WH)</v>
      </c>
      <c r="H926" s="81" t="str">
        <f>_xlfn.XLOOKUP(表格1[[#This Row],[Model]],表格3[Model-Input-Ref2],表格3[Product Line])</f>
        <v>旋鈕式微波爐 (20公升)</v>
      </c>
      <c r="I926" s="81" t="str">
        <f>_xlfn.XLOOKUP(表格1[[#This Row],[Model]],表格3[Model-Input-Ref2],表格3[大小電])</f>
        <v>細電</v>
      </c>
      <c r="J926" s="81" t="str">
        <f>_xlfn.XLOOKUP(表格1[[#This Row],[Model]],表格3[Model-Input-Ref2],表格3[Code])</f>
        <v>MCA</v>
      </c>
      <c r="K926" s="82" t="s">
        <v>1388</v>
      </c>
      <c r="L926" s="81">
        <v>1</v>
      </c>
      <c r="M926" s="85">
        <v>550</v>
      </c>
      <c r="N926" s="85">
        <f>IFERROR(表格1[[#This Row],[QTY]]*表格1[[#This Row],[Unit Price]],"-")</f>
        <v>550</v>
      </c>
      <c r="O926" s="134">
        <v>1170572</v>
      </c>
      <c r="P926" s="81"/>
      <c r="Q926" s="81"/>
      <c r="R926" s="81" t="str">
        <f>_xlfn.CONCAT(表格1[[#This Row],[Model]]," ",表格1[[#This Row],[inv no]])</f>
        <v>MM-2MM20PC(WH) 1170572</v>
      </c>
      <c r="S926" s="135">
        <f>_xlfn.XLOOKUP(表格1[[#This Row],[Model]],表格3[Model-Input-Ref2],表格3[SRP PRICE])</f>
        <v>738</v>
      </c>
      <c r="T926" s="43">
        <f>表格1[[#This Row],[Unit Price]]/表格1[[#This Row],[SRP]]</f>
        <v>0.74525745257452569</v>
      </c>
      <c r="U926" s="86" t="str">
        <f>_xlfn.XLOOKUP(表格1[[#This Row],[Model]],表格3[Model-Input-Ref2],表格3[TOSHIBA/HIGHEST])</f>
        <v>Toshiba SRP</v>
      </c>
      <c r="V926" s="86" t="s">
        <v>1126</v>
      </c>
      <c r="W926" s="86" t="str">
        <f>_xlfn.CONCAT(表格1[[#This Row],[欄4]],表格1[[#This Row],[inv no]])</f>
        <v>DA1411170572</v>
      </c>
    </row>
    <row r="927" spans="1:23" hidden="1">
      <c r="A927" s="81">
        <v>925</v>
      </c>
      <c r="B927" s="81" t="s">
        <v>1470</v>
      </c>
      <c r="C927" s="81" t="s">
        <v>1247</v>
      </c>
      <c r="D927" s="82" t="str">
        <f ca="1">OFFSET(Roster!$A$3,MATCH(表格1[[#This Row],[Location]]&amp;" "&amp;表格1[[#This Row],[Shop]]&amp;"*",Roster!$A$4:$A$72,0),DAY(表格1[[#This Row],[date]]),1,1)</f>
        <v>Coco</v>
      </c>
      <c r="E927" s="81">
        <f>MONTH(表格1[[#This Row],[date]])</f>
        <v>3</v>
      </c>
      <c r="F927" s="101">
        <v>46082</v>
      </c>
      <c r="G927" s="81" t="str">
        <f>VLOOKUP("*"&amp;表格1[[#This Row],[Input]]&amp;"*",'Ref-List'!$B:$D,2,)</f>
        <v>MM-2MM20PC(WH)</v>
      </c>
      <c r="H927" s="81" t="str">
        <f>_xlfn.XLOOKUP(表格1[[#This Row],[Model]],表格3[Model-Input-Ref2],表格3[Product Line])</f>
        <v>旋鈕式微波爐 (20公升)</v>
      </c>
      <c r="I927" s="81" t="str">
        <f>_xlfn.XLOOKUP(表格1[[#This Row],[Model]],表格3[Model-Input-Ref2],表格3[大小電])</f>
        <v>細電</v>
      </c>
      <c r="J927" s="81" t="str">
        <f>_xlfn.XLOOKUP(表格1[[#This Row],[Model]],表格3[Model-Input-Ref2],表格3[Code])</f>
        <v>MCA</v>
      </c>
      <c r="K927" s="82" t="s">
        <v>1388</v>
      </c>
      <c r="L927" s="81">
        <v>1</v>
      </c>
      <c r="M927" s="85">
        <v>550</v>
      </c>
      <c r="N927" s="85">
        <f>IFERROR(表格1[[#This Row],[QTY]]*表格1[[#This Row],[Unit Price]],"-")</f>
        <v>550</v>
      </c>
      <c r="O927" s="134">
        <v>1170586</v>
      </c>
      <c r="P927" s="81"/>
      <c r="Q927" s="81"/>
      <c r="R927" s="81" t="str">
        <f>_xlfn.CONCAT(表格1[[#This Row],[Model]]," ",表格1[[#This Row],[inv no]])</f>
        <v>MM-2MM20PC(WH) 1170586</v>
      </c>
      <c r="S927" s="135">
        <f>_xlfn.XLOOKUP(表格1[[#This Row],[Model]],表格3[Model-Input-Ref2],表格3[SRP PRICE])</f>
        <v>738</v>
      </c>
      <c r="T927" s="43">
        <f>表格1[[#This Row],[Unit Price]]/表格1[[#This Row],[SRP]]</f>
        <v>0.74525745257452569</v>
      </c>
      <c r="U927" s="86" t="str">
        <f>_xlfn.XLOOKUP(表格1[[#This Row],[Model]],表格3[Model-Input-Ref2],表格3[TOSHIBA/HIGHEST])</f>
        <v>Toshiba SRP</v>
      </c>
      <c r="V927" s="86" t="s">
        <v>1126</v>
      </c>
      <c r="W927" s="86" t="str">
        <f>_xlfn.CONCAT(表格1[[#This Row],[欄4]],表格1[[#This Row],[inv no]])</f>
        <v>DA1411170586</v>
      </c>
    </row>
    <row r="928" spans="1:23" hidden="1">
      <c r="A928" s="81">
        <v>926</v>
      </c>
      <c r="B928" s="81" t="s">
        <v>1470</v>
      </c>
      <c r="C928" s="81" t="s">
        <v>1247</v>
      </c>
      <c r="D928" s="82" t="str">
        <f ca="1">OFFSET(Roster!$A$3,MATCH(表格1[[#This Row],[Location]]&amp;" "&amp;表格1[[#This Row],[Shop]]&amp;"*",Roster!$A$4:$A$72,0),DAY(表格1[[#This Row],[date]]),1,1)</f>
        <v>Coco</v>
      </c>
      <c r="E928" s="81">
        <f>MONTH(表格1[[#This Row],[date]])</f>
        <v>3</v>
      </c>
      <c r="F928" s="101">
        <v>46082</v>
      </c>
      <c r="G928" s="81" t="str">
        <f>VLOOKUP("*"&amp;表格1[[#This Row],[Input]]&amp;"*",'Ref-List'!$B:$D,2,)</f>
        <v>MM2-EM20PC(WH)</v>
      </c>
      <c r="H928" s="81" t="str">
        <f>_xlfn.XLOOKUP(表格1[[#This Row],[Model]],表格3[Model-Input-Ref2],表格3[Product Line])</f>
        <v>輕觸式微波爐 (20公升)</v>
      </c>
      <c r="I928" s="81" t="str">
        <f>_xlfn.XLOOKUP(表格1[[#This Row],[Model]],表格3[Model-Input-Ref2],表格3[大小電])</f>
        <v>細電</v>
      </c>
      <c r="J928" s="81" t="str">
        <f>_xlfn.XLOOKUP(表格1[[#This Row],[Model]],表格3[Model-Input-Ref2],表格3[Code])</f>
        <v>MCA</v>
      </c>
      <c r="K928" s="82" t="s">
        <v>1276</v>
      </c>
      <c r="L928" s="81">
        <v>1</v>
      </c>
      <c r="M928" s="85">
        <v>568</v>
      </c>
      <c r="N928" s="85">
        <f>IFERROR(表格1[[#This Row],[QTY]]*表格1[[#This Row],[Unit Price]],"-")</f>
        <v>568</v>
      </c>
      <c r="O928" s="134">
        <v>1170509</v>
      </c>
      <c r="P928" s="81"/>
      <c r="Q928" s="81"/>
      <c r="R928" s="81" t="str">
        <f>_xlfn.CONCAT(表格1[[#This Row],[Model]]," ",表格1[[#This Row],[inv no]])</f>
        <v>MM2-EM20PC(WH) 1170509</v>
      </c>
      <c r="S928" s="135">
        <f>_xlfn.XLOOKUP(表格1[[#This Row],[Model]],表格3[Model-Input-Ref2],表格3[SRP PRICE])</f>
        <v>788</v>
      </c>
      <c r="T928" s="43">
        <f>表格1[[#This Row],[Unit Price]]/表格1[[#This Row],[SRP]]</f>
        <v>0.7208121827411168</v>
      </c>
      <c r="U928" s="86" t="str">
        <f>_xlfn.XLOOKUP(表格1[[#This Row],[Model]],表格3[Model-Input-Ref2],表格3[TOSHIBA/HIGHEST])</f>
        <v>Toshiba SRP</v>
      </c>
      <c r="V928" s="86" t="s">
        <v>1126</v>
      </c>
      <c r="W928" s="86" t="str">
        <f>_xlfn.CONCAT(表格1[[#This Row],[欄4]],表格1[[#This Row],[inv no]])</f>
        <v>DA1411170509</v>
      </c>
    </row>
    <row r="929" spans="1:23" hidden="1">
      <c r="A929" s="81">
        <v>927</v>
      </c>
      <c r="B929" s="81" t="s">
        <v>1470</v>
      </c>
      <c r="C929" s="81" t="s">
        <v>1247</v>
      </c>
      <c r="D929" s="82" t="str">
        <f ca="1">OFFSET(Roster!$A$3,MATCH(表格1[[#This Row],[Location]]&amp;" "&amp;表格1[[#This Row],[Shop]]&amp;"*",Roster!$A$4:$A$72,0),DAY(表格1[[#This Row],[date]]),1,1)</f>
        <v>Coco</v>
      </c>
      <c r="E929" s="81">
        <f>MONTH(表格1[[#This Row],[date]])</f>
        <v>3</v>
      </c>
      <c r="F929" s="101">
        <v>46082</v>
      </c>
      <c r="G929" s="81" t="str">
        <f>VLOOKUP("*"&amp;表格1[[#This Row],[Input]]&amp;"*",'Ref-List'!$B:$D,2,)</f>
        <v>RAD-D200H</v>
      </c>
      <c r="H929" s="81" t="str">
        <f>_xlfn.XLOOKUP(表格1[[#This Row],[Model]],表格3[Model-Input-Ref2],表格3[Product Line])</f>
        <v>壓縮式抽濕機 (22公升)</v>
      </c>
      <c r="I929" s="81" t="str">
        <f>_xlfn.XLOOKUP(表格1[[#This Row],[Model]],表格3[Model-Input-Ref2],表格3[大小電])</f>
        <v>細電</v>
      </c>
      <c r="J929" s="81" t="str">
        <f>_xlfn.XLOOKUP(表格1[[#This Row],[Model]],表格3[Model-Input-Ref2],表格3[Code])</f>
        <v>RAC</v>
      </c>
      <c r="K929" s="82" t="s">
        <v>1250</v>
      </c>
      <c r="L929" s="81">
        <v>1</v>
      </c>
      <c r="M929" s="85">
        <v>1980</v>
      </c>
      <c r="N929" s="85">
        <f>IFERROR(表格1[[#This Row],[QTY]]*表格1[[#This Row],[Unit Price]],"-")</f>
        <v>1980</v>
      </c>
      <c r="O929" s="134">
        <v>1170602</v>
      </c>
      <c r="P929" s="81"/>
      <c r="Q929" s="81"/>
      <c r="R929" s="81" t="str">
        <f>_xlfn.CONCAT(表格1[[#This Row],[Model]]," ",表格1[[#This Row],[inv no]])</f>
        <v>RAD-D200H 1170602</v>
      </c>
      <c r="S929" s="135">
        <f>_xlfn.XLOOKUP(表格1[[#This Row],[Model]],表格3[Model-Input-Ref2],表格3[SRP PRICE])</f>
        <v>2880</v>
      </c>
      <c r="T929" s="43">
        <f>表格1[[#This Row],[Unit Price]]/表格1[[#This Row],[SRP]]</f>
        <v>0.6875</v>
      </c>
      <c r="U929" s="86" t="str">
        <f>_xlfn.XLOOKUP(表格1[[#This Row],[Model]],表格3[Model-Input-Ref2],表格3[TOSHIBA/HIGHEST])</f>
        <v>Shops Highest Price</v>
      </c>
      <c r="V929" s="86" t="s">
        <v>1126</v>
      </c>
      <c r="W929" s="86" t="str">
        <f>_xlfn.CONCAT(表格1[[#This Row],[欄4]],表格1[[#This Row],[inv no]])</f>
        <v>DA1411170602</v>
      </c>
    </row>
    <row r="930" spans="1:23" hidden="1">
      <c r="A930" s="81">
        <v>928</v>
      </c>
      <c r="B930" s="81" t="s">
        <v>1470</v>
      </c>
      <c r="C930" s="81" t="s">
        <v>1247</v>
      </c>
      <c r="D930" s="82" t="str">
        <f ca="1">OFFSET(Roster!$A$3,MATCH(表格1[[#This Row],[Location]]&amp;" "&amp;表格1[[#This Row],[Shop]]&amp;"*",Roster!$A$4:$A$72,0),DAY(表格1[[#This Row],[date]]),1,1)</f>
        <v>Coco</v>
      </c>
      <c r="E930" s="81">
        <f>MONTH(表格1[[#This Row],[date]])</f>
        <v>3</v>
      </c>
      <c r="F930" s="101">
        <v>46084</v>
      </c>
      <c r="G930" s="81" t="str">
        <f>VLOOKUP("*"&amp;表格1[[#This Row],[Input]]&amp;"*",'Ref-List'!$B:$D,2,)</f>
        <v>MM2-EG20PC(WH)</v>
      </c>
      <c r="H930" s="81" t="str">
        <f>_xlfn.XLOOKUP(表格1[[#This Row],[Model]],表格3[Model-Input-Ref2],表格3[Product Line])</f>
        <v>輕觸式燒烤微波爐</v>
      </c>
      <c r="I930" s="81" t="str">
        <f>_xlfn.XLOOKUP(表格1[[#This Row],[Model]],表格3[Model-Input-Ref2],表格3[大小電])</f>
        <v>細電</v>
      </c>
      <c r="J930" s="81" t="str">
        <f>_xlfn.XLOOKUP(表格1[[#This Row],[Model]],表格3[Model-Input-Ref2],表格3[Code])</f>
        <v>MCA</v>
      </c>
      <c r="K930" s="82" t="s">
        <v>1273</v>
      </c>
      <c r="L930" s="81">
        <v>1</v>
      </c>
      <c r="M930" s="85">
        <v>638</v>
      </c>
      <c r="N930" s="85">
        <f>IFERROR(表格1[[#This Row],[QTY]]*表格1[[#This Row],[Unit Price]],"-")</f>
        <v>638</v>
      </c>
      <c r="O930" s="134">
        <v>1170611</v>
      </c>
      <c r="P930" s="81"/>
      <c r="Q930" s="81"/>
      <c r="R930" s="81" t="str">
        <f>_xlfn.CONCAT(表格1[[#This Row],[Model]]," ",表格1[[#This Row],[inv no]])</f>
        <v>MM2-EG20PC(WH) 1170611</v>
      </c>
      <c r="S930" s="135">
        <f>_xlfn.XLOOKUP(表格1[[#This Row],[Model]],表格3[Model-Input-Ref2],表格3[SRP PRICE])</f>
        <v>918</v>
      </c>
      <c r="T930" s="43">
        <f>表格1[[#This Row],[Unit Price]]/表格1[[#This Row],[SRP]]</f>
        <v>0.69498910675381265</v>
      </c>
      <c r="U930" s="86" t="str">
        <f>_xlfn.XLOOKUP(表格1[[#This Row],[Model]],表格3[Model-Input-Ref2],表格3[TOSHIBA/HIGHEST])</f>
        <v>Shops Highest Price</v>
      </c>
      <c r="V930" s="86" t="s">
        <v>1126</v>
      </c>
      <c r="W930" s="86" t="str">
        <f>_xlfn.CONCAT(表格1[[#This Row],[欄4]],表格1[[#This Row],[inv no]])</f>
        <v>DA1411170611</v>
      </c>
    </row>
    <row r="931" spans="1:23" hidden="1">
      <c r="A931" s="81">
        <v>929</v>
      </c>
      <c r="B931" s="81" t="s">
        <v>1470</v>
      </c>
      <c r="C931" s="81" t="s">
        <v>1247</v>
      </c>
      <c r="D931" s="82" t="str">
        <f ca="1">OFFSET(Roster!$A$3,MATCH(表格1[[#This Row],[Location]]&amp;" "&amp;表格1[[#This Row],[Shop]]&amp;"*",Roster!$A$4:$A$72,0),DAY(表格1[[#This Row],[date]]),1,1)</f>
        <v>Coco</v>
      </c>
      <c r="E931" s="81">
        <f>MONTH(表格1[[#This Row],[date]])</f>
        <v>3</v>
      </c>
      <c r="F931" s="101">
        <v>46084</v>
      </c>
      <c r="G931" s="81" t="str">
        <f>VLOOKUP("*"&amp;表格1[[#This Row],[Input]]&amp;"*",'Ref-List'!$B:$D,2,)</f>
        <v>RAD-D300H</v>
      </c>
      <c r="H931" s="81" t="str">
        <f>_xlfn.XLOOKUP(表格1[[#This Row],[Model]],表格3[Model-Input-Ref2],表格3[Product Line])</f>
        <v>壓縮式抽濕機 (30公升)</v>
      </c>
      <c r="I931" s="81" t="str">
        <f>_xlfn.XLOOKUP(表格1[[#This Row],[Model]],表格3[Model-Input-Ref2],表格3[大小電])</f>
        <v>細電</v>
      </c>
      <c r="J931" s="81" t="str">
        <f>_xlfn.XLOOKUP(表格1[[#This Row],[Model]],表格3[Model-Input-Ref2],表格3[Code])</f>
        <v>RAC</v>
      </c>
      <c r="K931" s="82" t="s">
        <v>1252</v>
      </c>
      <c r="L931" s="81">
        <v>1</v>
      </c>
      <c r="M931" s="85">
        <v>2280</v>
      </c>
      <c r="N931" s="85">
        <f>IFERROR(表格1[[#This Row],[QTY]]*表格1[[#This Row],[Unit Price]],"-")</f>
        <v>2280</v>
      </c>
      <c r="O931" s="134">
        <v>1170618</v>
      </c>
      <c r="P931" s="81"/>
      <c r="Q931" s="81"/>
      <c r="R931" s="81" t="str">
        <f>_xlfn.CONCAT(表格1[[#This Row],[Model]]," ",表格1[[#This Row],[inv no]])</f>
        <v>RAD-D300H 1170618</v>
      </c>
      <c r="S931" s="135">
        <f>_xlfn.XLOOKUP(表格1[[#This Row],[Model]],表格3[Model-Input-Ref2],表格3[SRP PRICE])</f>
        <v>3380</v>
      </c>
      <c r="T931" s="43">
        <f>表格1[[#This Row],[Unit Price]]/表格1[[#This Row],[SRP]]</f>
        <v>0.67455621301775148</v>
      </c>
      <c r="U931" s="86" t="str">
        <f>_xlfn.XLOOKUP(表格1[[#This Row],[Model]],表格3[Model-Input-Ref2],表格3[TOSHIBA/HIGHEST])</f>
        <v>Shops Highest Price</v>
      </c>
      <c r="V931" s="86" t="s">
        <v>1126</v>
      </c>
      <c r="W931" s="86" t="str">
        <f>_xlfn.CONCAT(表格1[[#This Row],[欄4]],表格1[[#This Row],[inv no]])</f>
        <v>DA1411170618</v>
      </c>
    </row>
    <row r="932" spans="1:23" hidden="1">
      <c r="A932" s="81">
        <v>930</v>
      </c>
      <c r="B932" s="81" t="s">
        <v>1470</v>
      </c>
      <c r="C932" s="81" t="s">
        <v>1247</v>
      </c>
      <c r="D932" s="82" t="str">
        <f ca="1">OFFSET(Roster!$A$3,MATCH(表格1[[#This Row],[Location]]&amp;" "&amp;表格1[[#This Row],[Shop]]&amp;"*",Roster!$A$4:$A$72,0),DAY(表格1[[#This Row],[date]]),1,1)</f>
        <v>Coco</v>
      </c>
      <c r="E932" s="81">
        <f>MONTH(表格1[[#This Row],[date]])</f>
        <v>3</v>
      </c>
      <c r="F932" s="101">
        <v>46084</v>
      </c>
      <c r="G932" s="81" t="str">
        <f>VLOOKUP("*"&amp;表格1[[#This Row],[Input]]&amp;"*",'Ref-List'!$B:$D,2,)</f>
        <v>RAD-D300H</v>
      </c>
      <c r="H932" s="81" t="str">
        <f>_xlfn.XLOOKUP(表格1[[#This Row],[Model]],表格3[Model-Input-Ref2],表格3[Product Line])</f>
        <v>壓縮式抽濕機 (30公升)</v>
      </c>
      <c r="I932" s="81" t="str">
        <f>_xlfn.XLOOKUP(表格1[[#This Row],[Model]],表格3[Model-Input-Ref2],表格3[大小電])</f>
        <v>細電</v>
      </c>
      <c r="J932" s="81" t="str">
        <f>_xlfn.XLOOKUP(表格1[[#This Row],[Model]],表格3[Model-Input-Ref2],表格3[Code])</f>
        <v>RAC</v>
      </c>
      <c r="K932" s="82" t="s">
        <v>1252</v>
      </c>
      <c r="L932" s="81">
        <v>1</v>
      </c>
      <c r="M932" s="85">
        <v>2280</v>
      </c>
      <c r="N932" s="85">
        <f>IFERROR(表格1[[#This Row],[QTY]]*表格1[[#This Row],[Unit Price]],"-")</f>
        <v>2280</v>
      </c>
      <c r="O932" s="134">
        <v>1170622</v>
      </c>
      <c r="P932" s="81"/>
      <c r="Q932" s="81"/>
      <c r="R932" s="81" t="str">
        <f>_xlfn.CONCAT(表格1[[#This Row],[Model]]," ",表格1[[#This Row],[inv no]])</f>
        <v>RAD-D300H 1170622</v>
      </c>
      <c r="S932" s="135">
        <f>_xlfn.XLOOKUP(表格1[[#This Row],[Model]],表格3[Model-Input-Ref2],表格3[SRP PRICE])</f>
        <v>3380</v>
      </c>
      <c r="T932" s="43">
        <f>表格1[[#This Row],[Unit Price]]/表格1[[#This Row],[SRP]]</f>
        <v>0.67455621301775148</v>
      </c>
      <c r="U932" s="86" t="str">
        <f>_xlfn.XLOOKUP(表格1[[#This Row],[Model]],表格3[Model-Input-Ref2],表格3[TOSHIBA/HIGHEST])</f>
        <v>Shops Highest Price</v>
      </c>
      <c r="V932" s="86" t="s">
        <v>1126</v>
      </c>
      <c r="W932" s="86" t="str">
        <f>_xlfn.CONCAT(表格1[[#This Row],[欄4]],表格1[[#This Row],[inv no]])</f>
        <v>DA1411170622</v>
      </c>
    </row>
    <row r="933" spans="1:23" hidden="1">
      <c r="A933" s="81">
        <v>931</v>
      </c>
      <c r="B933" s="81" t="s">
        <v>1470</v>
      </c>
      <c r="C933" s="81" t="s">
        <v>1247</v>
      </c>
      <c r="D933" s="82" t="str">
        <f ca="1">OFFSET(Roster!$A$3,MATCH(表格1[[#This Row],[Location]]&amp;" "&amp;表格1[[#This Row],[Shop]]&amp;"*",Roster!$A$4:$A$72,0),DAY(表格1[[#This Row],[date]]),1,1)</f>
        <v>Coco</v>
      </c>
      <c r="E933" s="81">
        <f>MONTH(表格1[[#This Row],[date]])</f>
        <v>3</v>
      </c>
      <c r="F933" s="101">
        <v>46084</v>
      </c>
      <c r="G933" s="81" t="str">
        <f>VLOOKUP("*"&amp;表格1[[#This Row],[Input]]&amp;"*",'Ref-List'!$B:$D,2,)</f>
        <v>RAD-D300H</v>
      </c>
      <c r="H933" s="81" t="str">
        <f>_xlfn.XLOOKUP(表格1[[#This Row],[Model]],表格3[Model-Input-Ref2],表格3[Product Line])</f>
        <v>壓縮式抽濕機 (30公升)</v>
      </c>
      <c r="I933" s="81" t="str">
        <f>_xlfn.XLOOKUP(表格1[[#This Row],[Model]],表格3[Model-Input-Ref2],表格3[大小電])</f>
        <v>細電</v>
      </c>
      <c r="J933" s="81" t="str">
        <f>_xlfn.XLOOKUP(表格1[[#This Row],[Model]],表格3[Model-Input-Ref2],表格3[Code])</f>
        <v>RAC</v>
      </c>
      <c r="K933" s="82" t="s">
        <v>1252</v>
      </c>
      <c r="L933" s="81">
        <v>1</v>
      </c>
      <c r="M933" s="85">
        <v>2280</v>
      </c>
      <c r="N933" s="85">
        <f>IFERROR(表格1[[#This Row],[QTY]]*表格1[[#This Row],[Unit Price]],"-")</f>
        <v>2280</v>
      </c>
      <c r="O933" s="134">
        <v>1170623</v>
      </c>
      <c r="P933" s="81"/>
      <c r="Q933" s="81"/>
      <c r="R933" s="81" t="str">
        <f>_xlfn.CONCAT(表格1[[#This Row],[Model]]," ",表格1[[#This Row],[inv no]])</f>
        <v>RAD-D300H 1170623</v>
      </c>
      <c r="S933" s="135">
        <f>_xlfn.XLOOKUP(表格1[[#This Row],[Model]],表格3[Model-Input-Ref2],表格3[SRP PRICE])</f>
        <v>3380</v>
      </c>
      <c r="T933" s="43">
        <f>表格1[[#This Row],[Unit Price]]/表格1[[#This Row],[SRP]]</f>
        <v>0.67455621301775148</v>
      </c>
      <c r="U933" s="86" t="str">
        <f>_xlfn.XLOOKUP(表格1[[#This Row],[Model]],表格3[Model-Input-Ref2],表格3[TOSHIBA/HIGHEST])</f>
        <v>Shops Highest Price</v>
      </c>
      <c r="V933" s="86" t="s">
        <v>1126</v>
      </c>
      <c r="W933" s="86" t="str">
        <f>_xlfn.CONCAT(表格1[[#This Row],[欄4]],表格1[[#This Row],[inv no]])</f>
        <v>DA1411170623</v>
      </c>
    </row>
    <row r="934" spans="1:23" hidden="1">
      <c r="A934" s="81">
        <v>932</v>
      </c>
      <c r="B934" s="81" t="s">
        <v>1470</v>
      </c>
      <c r="C934" s="81" t="s">
        <v>1247</v>
      </c>
      <c r="D934" s="82" t="str">
        <f ca="1">OFFSET(Roster!$A$3,MATCH(表格1[[#This Row],[Location]]&amp;" "&amp;表格1[[#This Row],[Shop]]&amp;"*",Roster!$A$4:$A$72,0),DAY(表格1[[#This Row],[date]]),1,1)</f>
        <v>Coco</v>
      </c>
      <c r="E934" s="81">
        <f>MONTH(表格1[[#This Row],[date]])</f>
        <v>3</v>
      </c>
      <c r="F934" s="101">
        <v>46084</v>
      </c>
      <c r="G934" s="81" t="str">
        <f>VLOOKUP("*"&amp;表格1[[#This Row],[Input]]&amp;"*",'Ref-List'!$B:$D,2,)</f>
        <v>MM2-EG20PC(WH)</v>
      </c>
      <c r="H934" s="81" t="str">
        <f>_xlfn.XLOOKUP(表格1[[#This Row],[Model]],表格3[Model-Input-Ref2],表格3[Product Line])</f>
        <v>輕觸式燒烤微波爐</v>
      </c>
      <c r="I934" s="81" t="str">
        <f>_xlfn.XLOOKUP(表格1[[#This Row],[Model]],表格3[Model-Input-Ref2],表格3[大小電])</f>
        <v>細電</v>
      </c>
      <c r="J934" s="81" t="str">
        <f>_xlfn.XLOOKUP(表格1[[#This Row],[Model]],表格3[Model-Input-Ref2],表格3[Code])</f>
        <v>MCA</v>
      </c>
      <c r="K934" s="82" t="s">
        <v>1273</v>
      </c>
      <c r="L934" s="81">
        <v>1</v>
      </c>
      <c r="M934" s="85">
        <v>638</v>
      </c>
      <c r="N934" s="85">
        <f>IFERROR(表格1[[#This Row],[QTY]]*表格1[[#This Row],[Unit Price]],"-")</f>
        <v>638</v>
      </c>
      <c r="O934" s="134">
        <v>1170699</v>
      </c>
      <c r="P934" s="81"/>
      <c r="Q934" s="81"/>
      <c r="R934" s="81" t="str">
        <f>_xlfn.CONCAT(表格1[[#This Row],[Model]]," ",表格1[[#This Row],[inv no]])</f>
        <v>MM2-EG20PC(WH) 1170699</v>
      </c>
      <c r="S934" s="135">
        <f>_xlfn.XLOOKUP(表格1[[#This Row],[Model]],表格3[Model-Input-Ref2],表格3[SRP PRICE])</f>
        <v>918</v>
      </c>
      <c r="T934" s="43">
        <f>表格1[[#This Row],[Unit Price]]/表格1[[#This Row],[SRP]]</f>
        <v>0.69498910675381265</v>
      </c>
      <c r="U934" s="86" t="str">
        <f>_xlfn.XLOOKUP(表格1[[#This Row],[Model]],表格3[Model-Input-Ref2],表格3[TOSHIBA/HIGHEST])</f>
        <v>Shops Highest Price</v>
      </c>
      <c r="V934" s="86" t="s">
        <v>1126</v>
      </c>
      <c r="W934" s="86" t="str">
        <f>_xlfn.CONCAT(表格1[[#This Row],[欄4]],表格1[[#This Row],[inv no]])</f>
        <v>DA1411170699</v>
      </c>
    </row>
    <row r="935" spans="1:23" hidden="1">
      <c r="A935" s="81">
        <v>933</v>
      </c>
      <c r="B935" s="81" t="s">
        <v>1470</v>
      </c>
      <c r="C935" s="81" t="s">
        <v>1247</v>
      </c>
      <c r="D935" s="82" t="str">
        <f ca="1">OFFSET(Roster!$A$3,MATCH(表格1[[#This Row],[Location]]&amp;" "&amp;表格1[[#This Row],[Shop]]&amp;"*",Roster!$A$4:$A$72,0),DAY(表格1[[#This Row],[date]]),1,1)</f>
        <v>Coco</v>
      </c>
      <c r="E935" s="81">
        <f>MONTH(表格1[[#This Row],[date]])</f>
        <v>3</v>
      </c>
      <c r="F935" s="101">
        <v>46084</v>
      </c>
      <c r="G935" s="81" t="str">
        <f>VLOOKUP("*"&amp;表格1[[#This Row],[Input]]&amp;"*",'Ref-List'!$B:$D,2,)</f>
        <v>RAD-D300H</v>
      </c>
      <c r="H935" s="81" t="str">
        <f>_xlfn.XLOOKUP(表格1[[#This Row],[Model]],表格3[Model-Input-Ref2],表格3[Product Line])</f>
        <v>壓縮式抽濕機 (30公升)</v>
      </c>
      <c r="I935" s="81" t="str">
        <f>_xlfn.XLOOKUP(表格1[[#This Row],[Model]],表格3[Model-Input-Ref2],表格3[大小電])</f>
        <v>細電</v>
      </c>
      <c r="J935" s="81" t="str">
        <f>_xlfn.XLOOKUP(表格1[[#This Row],[Model]],表格3[Model-Input-Ref2],表格3[Code])</f>
        <v>RAC</v>
      </c>
      <c r="K935" s="82" t="s">
        <v>1252</v>
      </c>
      <c r="L935" s="81">
        <v>1</v>
      </c>
      <c r="M935" s="85">
        <v>2280</v>
      </c>
      <c r="N935" s="85">
        <f>IFERROR(表格1[[#This Row],[QTY]]*表格1[[#This Row],[Unit Price]],"-")</f>
        <v>2280</v>
      </c>
      <c r="O935" s="134">
        <v>1170677</v>
      </c>
      <c r="P935" s="81"/>
      <c r="Q935" s="81"/>
      <c r="R935" s="81" t="str">
        <f>_xlfn.CONCAT(表格1[[#This Row],[Model]]," ",表格1[[#This Row],[inv no]])</f>
        <v>RAD-D300H 1170677</v>
      </c>
      <c r="S935" s="135">
        <f>_xlfn.XLOOKUP(表格1[[#This Row],[Model]],表格3[Model-Input-Ref2],表格3[SRP PRICE])</f>
        <v>3380</v>
      </c>
      <c r="T935" s="43">
        <f>表格1[[#This Row],[Unit Price]]/表格1[[#This Row],[SRP]]</f>
        <v>0.67455621301775148</v>
      </c>
      <c r="U935" s="86" t="str">
        <f>_xlfn.XLOOKUP(表格1[[#This Row],[Model]],表格3[Model-Input-Ref2],表格3[TOSHIBA/HIGHEST])</f>
        <v>Shops Highest Price</v>
      </c>
      <c r="V935" s="86" t="s">
        <v>1126</v>
      </c>
      <c r="W935" s="86" t="str">
        <f>_xlfn.CONCAT(表格1[[#This Row],[欄4]],表格1[[#This Row],[inv no]])</f>
        <v>DA1411170677</v>
      </c>
    </row>
    <row r="936" spans="1:23" hidden="1">
      <c r="A936" s="81">
        <v>934</v>
      </c>
      <c r="B936" s="81" t="s">
        <v>1470</v>
      </c>
      <c r="C936" s="81" t="s">
        <v>1247</v>
      </c>
      <c r="D936" s="82" t="str">
        <f ca="1">OFFSET(Roster!$A$3,MATCH(表格1[[#This Row],[Location]]&amp;" "&amp;表格1[[#This Row],[Shop]]&amp;"*",Roster!$A$4:$A$72,0),DAY(表格1[[#This Row],[date]]),1,1)</f>
        <v>Coco</v>
      </c>
      <c r="E936" s="81">
        <f>MONTH(表格1[[#This Row],[date]])</f>
        <v>3</v>
      </c>
      <c r="F936" s="101">
        <v>46084</v>
      </c>
      <c r="G936" s="81" t="str">
        <f>VLOOKUP("*"&amp;表格1[[#This Row],[Input]]&amp;"*",'Ref-List'!$B:$D,2,)</f>
        <v>RAD-D300H</v>
      </c>
      <c r="H936" s="81" t="str">
        <f>_xlfn.XLOOKUP(表格1[[#This Row],[Model]],表格3[Model-Input-Ref2],表格3[Product Line])</f>
        <v>壓縮式抽濕機 (30公升)</v>
      </c>
      <c r="I936" s="81" t="str">
        <f>_xlfn.XLOOKUP(表格1[[#This Row],[Model]],表格3[Model-Input-Ref2],表格3[大小電])</f>
        <v>細電</v>
      </c>
      <c r="J936" s="81" t="str">
        <f>_xlfn.XLOOKUP(表格1[[#This Row],[Model]],表格3[Model-Input-Ref2],表格3[Code])</f>
        <v>RAC</v>
      </c>
      <c r="K936" s="82" t="s">
        <v>1252</v>
      </c>
      <c r="L936" s="81">
        <v>1</v>
      </c>
      <c r="M936" s="85">
        <v>2080</v>
      </c>
      <c r="N936" s="85">
        <f>IFERROR(表格1[[#This Row],[QTY]]*表格1[[#This Row],[Unit Price]],"-")</f>
        <v>2080</v>
      </c>
      <c r="O936" s="134">
        <v>1170683</v>
      </c>
      <c r="P936" s="81"/>
      <c r="Q936" s="81"/>
      <c r="R936" s="81" t="str">
        <f>_xlfn.CONCAT(表格1[[#This Row],[Model]]," ",表格1[[#This Row],[inv no]])</f>
        <v>RAD-D300H 1170683</v>
      </c>
      <c r="S936" s="135">
        <f>_xlfn.XLOOKUP(表格1[[#This Row],[Model]],表格3[Model-Input-Ref2],表格3[SRP PRICE])</f>
        <v>3380</v>
      </c>
      <c r="T936" s="43">
        <f>表格1[[#This Row],[Unit Price]]/表格1[[#This Row],[SRP]]</f>
        <v>0.61538461538461542</v>
      </c>
      <c r="U936" s="86" t="str">
        <f>_xlfn.XLOOKUP(表格1[[#This Row],[Model]],表格3[Model-Input-Ref2],表格3[TOSHIBA/HIGHEST])</f>
        <v>Shops Highest Price</v>
      </c>
      <c r="V936" s="86" t="s">
        <v>1126</v>
      </c>
      <c r="W936" s="86" t="str">
        <f>_xlfn.CONCAT(表格1[[#This Row],[欄4]],表格1[[#This Row],[inv no]])</f>
        <v>DA1411170683</v>
      </c>
    </row>
    <row r="937" spans="1:23" hidden="1">
      <c r="A937" s="81">
        <v>935</v>
      </c>
      <c r="B937" s="81" t="s">
        <v>1470</v>
      </c>
      <c r="C937" s="81" t="s">
        <v>1247</v>
      </c>
      <c r="D937" s="82" t="str">
        <f ca="1">OFFSET(Roster!$A$3,MATCH(表格1[[#This Row],[Location]]&amp;" "&amp;表格1[[#This Row],[Shop]]&amp;"*",Roster!$A$4:$A$72,0),DAY(表格1[[#This Row],[date]]),1,1)</f>
        <v>Coco</v>
      </c>
      <c r="E937" s="81">
        <f>MONTH(表格1[[#This Row],[date]])</f>
        <v>3</v>
      </c>
      <c r="F937" s="101">
        <v>46084</v>
      </c>
      <c r="G937" s="81" t="str">
        <f>VLOOKUP("*"&amp;表格1[[#This Row],[Input]]&amp;"*",'Ref-List'!$B:$D,2,)</f>
        <v>RAD-D300H</v>
      </c>
      <c r="H937" s="81" t="str">
        <f>_xlfn.XLOOKUP(表格1[[#This Row],[Model]],表格3[Model-Input-Ref2],表格3[Product Line])</f>
        <v>壓縮式抽濕機 (30公升)</v>
      </c>
      <c r="I937" s="81" t="str">
        <f>_xlfn.XLOOKUP(表格1[[#This Row],[Model]],表格3[Model-Input-Ref2],表格3[大小電])</f>
        <v>細電</v>
      </c>
      <c r="J937" s="81" t="str">
        <f>_xlfn.XLOOKUP(表格1[[#This Row],[Model]],表格3[Model-Input-Ref2],表格3[Code])</f>
        <v>RAC</v>
      </c>
      <c r="K937" s="82" t="s">
        <v>1252</v>
      </c>
      <c r="L937" s="81">
        <v>1</v>
      </c>
      <c r="M937" s="85">
        <v>2280</v>
      </c>
      <c r="N937" s="85">
        <f>IFERROR(表格1[[#This Row],[QTY]]*表格1[[#This Row],[Unit Price]],"-")</f>
        <v>2280</v>
      </c>
      <c r="O937" s="134">
        <v>1170685</v>
      </c>
      <c r="P937" s="81"/>
      <c r="Q937" s="81"/>
      <c r="R937" s="81" t="str">
        <f>_xlfn.CONCAT(表格1[[#This Row],[Model]]," ",表格1[[#This Row],[inv no]])</f>
        <v>RAD-D300H 1170685</v>
      </c>
      <c r="S937" s="135">
        <f>_xlfn.XLOOKUP(表格1[[#This Row],[Model]],表格3[Model-Input-Ref2],表格3[SRP PRICE])</f>
        <v>3380</v>
      </c>
      <c r="T937" s="43">
        <f>表格1[[#This Row],[Unit Price]]/表格1[[#This Row],[SRP]]</f>
        <v>0.67455621301775148</v>
      </c>
      <c r="U937" s="86" t="str">
        <f>_xlfn.XLOOKUP(表格1[[#This Row],[Model]],表格3[Model-Input-Ref2],表格3[TOSHIBA/HIGHEST])</f>
        <v>Shops Highest Price</v>
      </c>
      <c r="V937" s="86" t="s">
        <v>1126</v>
      </c>
      <c r="W937" s="86" t="str">
        <f>_xlfn.CONCAT(表格1[[#This Row],[欄4]],表格1[[#This Row],[inv no]])</f>
        <v>DA1411170685</v>
      </c>
    </row>
    <row r="938" spans="1:23" hidden="1">
      <c r="A938" s="81">
        <v>936</v>
      </c>
      <c r="B938" s="81" t="s">
        <v>1470</v>
      </c>
      <c r="C938" s="81" t="s">
        <v>1247</v>
      </c>
      <c r="D938" s="82" t="str">
        <f ca="1">OFFSET(Roster!$A$3,MATCH(表格1[[#This Row],[Location]]&amp;" "&amp;表格1[[#This Row],[Shop]]&amp;"*",Roster!$A$4:$A$72,0),DAY(表格1[[#This Row],[date]]),1,1)</f>
        <v>Coco</v>
      </c>
      <c r="E938" s="81">
        <f>MONTH(表格1[[#This Row],[date]])</f>
        <v>3</v>
      </c>
      <c r="F938" s="101">
        <v>46085</v>
      </c>
      <c r="G938" s="81" t="str">
        <f>VLOOKUP("*"&amp;表格1[[#This Row],[Input]]&amp;"*",'Ref-List'!$B:$D,2,)</f>
        <v>KT-17SHNH</v>
      </c>
      <c r="H938" s="81" t="str">
        <f>_xlfn.XLOOKUP(表格1[[#This Row],[Model]],表格3[Model-Input-Ref2],表格3[Product Line])</f>
        <v>1.7L無線雙層電熱水壺</v>
      </c>
      <c r="I938" s="81" t="str">
        <f>_xlfn.XLOOKUP(表格1[[#This Row],[Model]],表格3[Model-Input-Ref2],表格3[大小電])</f>
        <v>細電</v>
      </c>
      <c r="J938" s="81" t="str">
        <f>_xlfn.XLOOKUP(表格1[[#This Row],[Model]],表格3[Model-Input-Ref2],表格3[Code])</f>
        <v>SDA</v>
      </c>
      <c r="K938" s="82" t="s">
        <v>1283</v>
      </c>
      <c r="L938" s="81">
        <v>1</v>
      </c>
      <c r="M938" s="85">
        <v>198</v>
      </c>
      <c r="N938" s="85">
        <f>IFERROR(表格1[[#This Row],[QTY]]*表格1[[#This Row],[Unit Price]],"-")</f>
        <v>198</v>
      </c>
      <c r="O938" s="134">
        <v>1170888</v>
      </c>
      <c r="P938" s="81"/>
      <c r="Q938" s="81"/>
      <c r="R938" s="81" t="str">
        <f>_xlfn.CONCAT(表格1[[#This Row],[Model]]," ",表格1[[#This Row],[inv no]])</f>
        <v>KT-17SHNH 1170888</v>
      </c>
      <c r="S938" s="135">
        <f>_xlfn.XLOOKUP(表格1[[#This Row],[Model]],表格3[Model-Input-Ref2],表格3[SRP PRICE])</f>
        <v>299</v>
      </c>
      <c r="T938" s="43">
        <f>表格1[[#This Row],[Unit Price]]/表格1[[#This Row],[SRP]]</f>
        <v>0.66220735785953178</v>
      </c>
      <c r="U938" s="86" t="str">
        <f>_xlfn.XLOOKUP(表格1[[#This Row],[Model]],表格3[Model-Input-Ref2],表格3[TOSHIBA/HIGHEST])</f>
        <v>Shops Highest Price</v>
      </c>
      <c r="V938" s="86" t="s">
        <v>1126</v>
      </c>
      <c r="W938" s="86" t="str">
        <f>_xlfn.CONCAT(表格1[[#This Row],[欄4]],表格1[[#This Row],[inv no]])</f>
        <v>DA1411170888</v>
      </c>
    </row>
    <row r="939" spans="1:23" hidden="1">
      <c r="A939" s="81">
        <v>937</v>
      </c>
      <c r="B939" s="81" t="s">
        <v>1470</v>
      </c>
      <c r="C939" s="81" t="s">
        <v>1247</v>
      </c>
      <c r="D939" s="82" t="str">
        <f ca="1">OFFSET(Roster!$A$3,MATCH(表格1[[#This Row],[Location]]&amp;" "&amp;表格1[[#This Row],[Shop]]&amp;"*",Roster!$A$4:$A$72,0),DAY(表格1[[#This Row],[date]]),1,1)</f>
        <v>Coco</v>
      </c>
      <c r="E939" s="81">
        <f>MONTH(表格1[[#This Row],[date]])</f>
        <v>3</v>
      </c>
      <c r="F939" s="101">
        <v>46085</v>
      </c>
      <c r="G939" s="81" t="str">
        <f>VLOOKUP("*"&amp;表格1[[#This Row],[Input]]&amp;"*",'Ref-List'!$B:$D,2,)</f>
        <v>RAD-D300H</v>
      </c>
      <c r="H939" s="81" t="str">
        <f>_xlfn.XLOOKUP(表格1[[#This Row],[Model]],表格3[Model-Input-Ref2],表格3[Product Line])</f>
        <v>壓縮式抽濕機 (30公升)</v>
      </c>
      <c r="I939" s="81" t="str">
        <f>_xlfn.XLOOKUP(表格1[[#This Row],[Model]],表格3[Model-Input-Ref2],表格3[大小電])</f>
        <v>細電</v>
      </c>
      <c r="J939" s="81" t="str">
        <f>_xlfn.XLOOKUP(表格1[[#This Row],[Model]],表格3[Model-Input-Ref2],表格3[Code])</f>
        <v>RAC</v>
      </c>
      <c r="K939" s="82" t="s">
        <v>1252</v>
      </c>
      <c r="L939" s="81">
        <v>1</v>
      </c>
      <c r="M939" s="85">
        <v>2280</v>
      </c>
      <c r="N939" s="85">
        <f>IFERROR(表格1[[#This Row],[QTY]]*表格1[[#This Row],[Unit Price]],"-")</f>
        <v>2280</v>
      </c>
      <c r="O939" s="134">
        <v>1170692</v>
      </c>
      <c r="P939" s="81"/>
      <c r="Q939" s="81"/>
      <c r="R939" s="81" t="str">
        <f>_xlfn.CONCAT(表格1[[#This Row],[Model]]," ",表格1[[#This Row],[inv no]])</f>
        <v>RAD-D300H 1170692</v>
      </c>
      <c r="S939" s="135">
        <f>_xlfn.XLOOKUP(表格1[[#This Row],[Model]],表格3[Model-Input-Ref2],表格3[SRP PRICE])</f>
        <v>3380</v>
      </c>
      <c r="T939" s="43">
        <f>表格1[[#This Row],[Unit Price]]/表格1[[#This Row],[SRP]]</f>
        <v>0.67455621301775148</v>
      </c>
      <c r="U939" s="86" t="str">
        <f>_xlfn.XLOOKUP(表格1[[#This Row],[Model]],表格3[Model-Input-Ref2],表格3[TOSHIBA/HIGHEST])</f>
        <v>Shops Highest Price</v>
      </c>
      <c r="V939" s="86" t="s">
        <v>1126</v>
      </c>
      <c r="W939" s="86" t="str">
        <f>_xlfn.CONCAT(表格1[[#This Row],[欄4]],表格1[[#This Row],[inv no]])</f>
        <v>DA1411170692</v>
      </c>
    </row>
    <row r="940" spans="1:23" hidden="1">
      <c r="A940" s="81">
        <v>938</v>
      </c>
      <c r="B940" s="81" t="s">
        <v>1470</v>
      </c>
      <c r="C940" s="81" t="s">
        <v>1247</v>
      </c>
      <c r="D940" s="82" t="str">
        <f ca="1">OFFSET(Roster!$A$3,MATCH(表格1[[#This Row],[Location]]&amp;" "&amp;表格1[[#This Row],[Shop]]&amp;"*",Roster!$A$4:$A$72,0),DAY(表格1[[#This Row],[date]]),1,1)</f>
        <v>Coco</v>
      </c>
      <c r="E940" s="81">
        <f>MONTH(表格1[[#This Row],[date]])</f>
        <v>3</v>
      </c>
      <c r="F940" s="101">
        <v>46085</v>
      </c>
      <c r="G940" s="81" t="str">
        <f>VLOOKUP("*"&amp;表格1[[#This Row],[Input]]&amp;"*",'Ref-List'!$B:$D,2,)</f>
        <v>MM2-EM20PC(WH)</v>
      </c>
      <c r="H940" s="81" t="str">
        <f>_xlfn.XLOOKUP(表格1[[#This Row],[Model]],表格3[Model-Input-Ref2],表格3[Product Line])</f>
        <v>輕觸式微波爐 (20公升)</v>
      </c>
      <c r="I940" s="81" t="str">
        <f>_xlfn.XLOOKUP(表格1[[#This Row],[Model]],表格3[Model-Input-Ref2],表格3[大小電])</f>
        <v>細電</v>
      </c>
      <c r="J940" s="81" t="str">
        <f>_xlfn.XLOOKUP(表格1[[#This Row],[Model]],表格3[Model-Input-Ref2],表格3[Code])</f>
        <v>MCA</v>
      </c>
      <c r="K940" s="82" t="s">
        <v>1276</v>
      </c>
      <c r="L940" s="81">
        <v>1</v>
      </c>
      <c r="M940" s="85">
        <v>568</v>
      </c>
      <c r="N940" s="85">
        <f>IFERROR(表格1[[#This Row],[QTY]]*表格1[[#This Row],[Unit Price]],"-")</f>
        <v>568</v>
      </c>
      <c r="O940" s="134">
        <v>1170695</v>
      </c>
      <c r="P940" s="81"/>
      <c r="Q940" s="81"/>
      <c r="R940" s="81" t="str">
        <f>_xlfn.CONCAT(表格1[[#This Row],[Model]]," ",表格1[[#This Row],[inv no]])</f>
        <v>MM2-EM20PC(WH) 1170695</v>
      </c>
      <c r="S940" s="135">
        <f>_xlfn.XLOOKUP(表格1[[#This Row],[Model]],表格3[Model-Input-Ref2],表格3[SRP PRICE])</f>
        <v>788</v>
      </c>
      <c r="T940" s="43">
        <f>表格1[[#This Row],[Unit Price]]/表格1[[#This Row],[SRP]]</f>
        <v>0.7208121827411168</v>
      </c>
      <c r="U940" s="86" t="str">
        <f>_xlfn.XLOOKUP(表格1[[#This Row],[Model]],表格3[Model-Input-Ref2],表格3[TOSHIBA/HIGHEST])</f>
        <v>Toshiba SRP</v>
      </c>
      <c r="V940" s="86" t="s">
        <v>1126</v>
      </c>
      <c r="W940" s="86" t="str">
        <f>_xlfn.CONCAT(表格1[[#This Row],[欄4]],表格1[[#This Row],[inv no]])</f>
        <v>DA1411170695</v>
      </c>
    </row>
    <row r="941" spans="1:23" hidden="1">
      <c r="A941" s="81">
        <v>939</v>
      </c>
      <c r="B941" s="81" t="s">
        <v>1470</v>
      </c>
      <c r="C941" s="81" t="s">
        <v>1247</v>
      </c>
      <c r="D941" s="82" t="str">
        <f ca="1">OFFSET(Roster!$A$3,MATCH(表格1[[#This Row],[Location]]&amp;" "&amp;表格1[[#This Row],[Shop]]&amp;"*",Roster!$A$4:$A$72,0),DAY(表格1[[#This Row],[date]]),1,1)</f>
        <v>Coco</v>
      </c>
      <c r="E941" s="81">
        <f>MONTH(表格1[[#This Row],[date]])</f>
        <v>3</v>
      </c>
      <c r="F941" s="101">
        <v>46085</v>
      </c>
      <c r="G941" s="81" t="str">
        <f>VLOOKUP("*"&amp;表格1[[#This Row],[Input]]&amp;"*",'Ref-List'!$B:$D,2,)</f>
        <v>MX2-TT20SC(WH)</v>
      </c>
      <c r="H941" s="81" t="str">
        <f>_xlfn.XLOOKUP(表格1[[#This Row],[Model]],表格3[Model-Input-Ref2],表格3[Product Line])</f>
        <v>3合1 微波蒸焗爐 (20公升)</v>
      </c>
      <c r="I941" s="81" t="str">
        <f>_xlfn.XLOOKUP(表格1[[#This Row],[Model]],表格3[Model-Input-Ref2],表格3[大小電])</f>
        <v>細電</v>
      </c>
      <c r="J941" s="81" t="str">
        <f>_xlfn.XLOOKUP(表格1[[#This Row],[Model]],表格3[Model-Input-Ref2],表格3[Code])</f>
        <v>MCA</v>
      </c>
      <c r="K941" s="82" t="s">
        <v>1287</v>
      </c>
      <c r="L941" s="81">
        <v>1</v>
      </c>
      <c r="M941" s="85">
        <v>2580</v>
      </c>
      <c r="N941" s="85">
        <f>IFERROR(表格1[[#This Row],[QTY]]*表格1[[#This Row],[Unit Price]],"-")</f>
        <v>2580</v>
      </c>
      <c r="O941" s="134">
        <v>1170699</v>
      </c>
      <c r="P941" s="81"/>
      <c r="Q941" s="81"/>
      <c r="R941" s="81" t="str">
        <f>_xlfn.CONCAT(表格1[[#This Row],[Model]]," ",表格1[[#This Row],[inv no]])</f>
        <v>MX2-TT20SC(WH) 1170699</v>
      </c>
      <c r="S941" s="135">
        <f>_xlfn.XLOOKUP(表格1[[#This Row],[Model]],表格3[Model-Input-Ref2],表格3[SRP PRICE])</f>
        <v>3580</v>
      </c>
      <c r="T941" s="43">
        <f>表格1[[#This Row],[Unit Price]]/表格1[[#This Row],[SRP]]</f>
        <v>0.72067039106145248</v>
      </c>
      <c r="U941" s="86" t="str">
        <f>_xlfn.XLOOKUP(表格1[[#This Row],[Model]],表格3[Model-Input-Ref2],表格3[TOSHIBA/HIGHEST])</f>
        <v>Toshiba SRP</v>
      </c>
      <c r="V941" s="86" t="s">
        <v>1126</v>
      </c>
      <c r="W941" s="86" t="str">
        <f>_xlfn.CONCAT(表格1[[#This Row],[欄4]],表格1[[#This Row],[inv no]])</f>
        <v>DA1411170699</v>
      </c>
    </row>
    <row r="942" spans="1:23" hidden="1">
      <c r="A942" s="81">
        <v>940</v>
      </c>
      <c r="B942" s="81" t="s">
        <v>1470</v>
      </c>
      <c r="C942" s="81" t="s">
        <v>1247</v>
      </c>
      <c r="D942" s="82" t="str">
        <f ca="1">OFFSET(Roster!$A$3,MATCH(表格1[[#This Row],[Location]]&amp;" "&amp;表格1[[#This Row],[Shop]]&amp;"*",Roster!$A$4:$A$72,0),DAY(表格1[[#This Row],[date]]),1,1)</f>
        <v>Coco</v>
      </c>
      <c r="E942" s="81">
        <f>MONTH(表格1[[#This Row],[date]])</f>
        <v>3</v>
      </c>
      <c r="F942" s="101">
        <v>46085</v>
      </c>
      <c r="G942" s="81" t="str">
        <f>VLOOKUP("*"&amp;表格1[[#This Row],[Input]]&amp;"*",'Ref-List'!$B:$D,2,)</f>
        <v>RAD-D300H</v>
      </c>
      <c r="H942" s="81" t="str">
        <f>_xlfn.XLOOKUP(表格1[[#This Row],[Model]],表格3[Model-Input-Ref2],表格3[Product Line])</f>
        <v>壓縮式抽濕機 (30公升)</v>
      </c>
      <c r="I942" s="81" t="str">
        <f>_xlfn.XLOOKUP(表格1[[#This Row],[Model]],表格3[Model-Input-Ref2],表格3[大小電])</f>
        <v>細電</v>
      </c>
      <c r="J942" s="81" t="str">
        <f>_xlfn.XLOOKUP(表格1[[#This Row],[Model]],表格3[Model-Input-Ref2],表格3[Code])</f>
        <v>RAC</v>
      </c>
      <c r="K942" s="82" t="s">
        <v>1252</v>
      </c>
      <c r="L942" s="81">
        <v>1</v>
      </c>
      <c r="M942" s="85">
        <v>2180</v>
      </c>
      <c r="N942" s="85">
        <f>IFERROR(表格1[[#This Row],[QTY]]*表格1[[#This Row],[Unit Price]],"-")</f>
        <v>2180</v>
      </c>
      <c r="O942" s="134">
        <v>1170705</v>
      </c>
      <c r="P942" s="81"/>
      <c r="Q942" s="81"/>
      <c r="R942" s="81" t="str">
        <f>_xlfn.CONCAT(表格1[[#This Row],[Model]]," ",表格1[[#This Row],[inv no]])</f>
        <v>RAD-D300H 1170705</v>
      </c>
      <c r="S942" s="135">
        <f>_xlfn.XLOOKUP(表格1[[#This Row],[Model]],表格3[Model-Input-Ref2],表格3[SRP PRICE])</f>
        <v>3380</v>
      </c>
      <c r="T942" s="43">
        <f>表格1[[#This Row],[Unit Price]]/表格1[[#This Row],[SRP]]</f>
        <v>0.6449704142011834</v>
      </c>
      <c r="U942" s="86" t="str">
        <f>_xlfn.XLOOKUP(表格1[[#This Row],[Model]],表格3[Model-Input-Ref2],表格3[TOSHIBA/HIGHEST])</f>
        <v>Shops Highest Price</v>
      </c>
      <c r="V942" s="86" t="s">
        <v>1126</v>
      </c>
      <c r="W942" s="86" t="str">
        <f>_xlfn.CONCAT(表格1[[#This Row],[欄4]],表格1[[#This Row],[inv no]])</f>
        <v>DA1411170705</v>
      </c>
    </row>
    <row r="943" spans="1:23" hidden="1">
      <c r="A943" s="81">
        <v>941</v>
      </c>
      <c r="B943" s="81" t="s">
        <v>1470</v>
      </c>
      <c r="C943" s="81" t="s">
        <v>1247</v>
      </c>
      <c r="D943" s="82" t="str">
        <f ca="1">OFFSET(Roster!$A$3,MATCH(表格1[[#This Row],[Location]]&amp;" "&amp;表格1[[#This Row],[Shop]]&amp;"*",Roster!$A$4:$A$72,0),DAY(表格1[[#This Row],[date]]),1,1)</f>
        <v>Coco</v>
      </c>
      <c r="E943" s="81">
        <f>MONTH(表格1[[#This Row],[date]])</f>
        <v>3</v>
      </c>
      <c r="F943" s="101">
        <v>46085</v>
      </c>
      <c r="G943" s="81" t="str">
        <f>VLOOKUP("*"&amp;表格1[[#This Row],[Input]]&amp;"*",'Ref-List'!$B:$D,2,)</f>
        <v>KT-08DH1VHK(W)</v>
      </c>
      <c r="H943" s="81" t="str">
        <f>_xlfn.XLOOKUP(表格1[[#This Row],[Model]],表格3[Model-Input-Ref2],表格3[Product Line])</f>
        <v>無線雙層電熱水壺-附可鎖壺蓋(0.8公升)</v>
      </c>
      <c r="I943" s="81" t="str">
        <f>_xlfn.XLOOKUP(表格1[[#This Row],[Model]],表格3[Model-Input-Ref2],表格3[大小電])</f>
        <v>細電</v>
      </c>
      <c r="J943" s="81" t="str">
        <f>_xlfn.XLOOKUP(表格1[[#This Row],[Model]],表格3[Model-Input-Ref2],表格3[Code])</f>
        <v>SDA</v>
      </c>
      <c r="K943" s="82" t="s">
        <v>1268</v>
      </c>
      <c r="L943" s="81">
        <v>1</v>
      </c>
      <c r="M943" s="85">
        <v>268</v>
      </c>
      <c r="N943" s="85">
        <f>IFERROR(表格1[[#This Row],[QTY]]*表格1[[#This Row],[Unit Price]],"-")</f>
        <v>268</v>
      </c>
      <c r="O943" s="134">
        <v>1170718</v>
      </c>
      <c r="P943" s="81"/>
      <c r="Q943" s="81"/>
      <c r="R943" s="81" t="str">
        <f>_xlfn.CONCAT(表格1[[#This Row],[Model]]," ",表格1[[#This Row],[inv no]])</f>
        <v>KT-08DH1VHK(W) 1170718</v>
      </c>
      <c r="S943" s="135">
        <f>_xlfn.XLOOKUP(表格1[[#This Row],[Model]],表格3[Model-Input-Ref2],表格3[SRP PRICE])</f>
        <v>428</v>
      </c>
      <c r="T943" s="43">
        <f>表格1[[#This Row],[Unit Price]]/表格1[[#This Row],[SRP]]</f>
        <v>0.62616822429906538</v>
      </c>
      <c r="U943" s="86" t="str">
        <f>_xlfn.XLOOKUP(表格1[[#This Row],[Model]],表格3[Model-Input-Ref2],表格3[TOSHIBA/HIGHEST])</f>
        <v>Toshiba SRP</v>
      </c>
      <c r="V943" s="86" t="s">
        <v>1126</v>
      </c>
      <c r="W943" s="86" t="str">
        <f>_xlfn.CONCAT(表格1[[#This Row],[欄4]],表格1[[#This Row],[inv no]])</f>
        <v>DA1411170718</v>
      </c>
    </row>
    <row r="944" spans="1:23" ht="16.5" hidden="1">
      <c r="A944" s="81">
        <v>942</v>
      </c>
      <c r="B944" s="81" t="s">
        <v>1470</v>
      </c>
      <c r="C944" s="81" t="s">
        <v>1247</v>
      </c>
      <c r="D944" s="82" t="str">
        <f ca="1">OFFSET(Roster!$A$3,MATCH(表格1[[#This Row],[Location]]&amp;" "&amp;表格1[[#This Row],[Shop]]&amp;"*",Roster!$A$4:$A$72,0),DAY(表格1[[#This Row],[date]]),1,1)</f>
        <v>Coco</v>
      </c>
      <c r="E944" s="81">
        <f>MONTH(表格1[[#This Row],[date]])</f>
        <v>3</v>
      </c>
      <c r="F944" s="101">
        <v>46085</v>
      </c>
      <c r="G944" s="81" t="str">
        <f>VLOOKUP("*"&amp;表格1[[#This Row],[Input]]&amp;"*",'Ref-List'!$B:$D,2,)</f>
        <v>RAD-D300H</v>
      </c>
      <c r="H944" s="81" t="str">
        <f>_xlfn.XLOOKUP(表格1[[#This Row],[Model]],表格3[Model-Input-Ref2],表格3[Product Line])</f>
        <v>壓縮式抽濕機 (30公升)</v>
      </c>
      <c r="I944" s="81" t="str">
        <f>_xlfn.XLOOKUP(表格1[[#This Row],[Model]],表格3[Model-Input-Ref2],表格3[大小電])</f>
        <v>細電</v>
      </c>
      <c r="J944" s="81" t="str">
        <f>_xlfn.XLOOKUP(表格1[[#This Row],[Model]],表格3[Model-Input-Ref2],表格3[Code])</f>
        <v>RAC</v>
      </c>
      <c r="K944" s="82" t="s">
        <v>1252</v>
      </c>
      <c r="L944" s="81">
        <v>1</v>
      </c>
      <c r="M944" s="85">
        <v>2280</v>
      </c>
      <c r="N944" s="85">
        <f>IFERROR(表格1[[#This Row],[QTY]]*表格1[[#This Row],[Unit Price]],"-")</f>
        <v>2280</v>
      </c>
      <c r="O944" s="134">
        <v>1170737</v>
      </c>
      <c r="P944" s="137"/>
      <c r="Q944" s="81"/>
      <c r="R944" s="81" t="str">
        <f>_xlfn.CONCAT(表格1[[#This Row],[Model]]," ",表格1[[#This Row],[inv no]])</f>
        <v>RAD-D300H 1170737</v>
      </c>
      <c r="S944" s="135">
        <f>_xlfn.XLOOKUP(表格1[[#This Row],[Model]],表格3[Model-Input-Ref2],表格3[SRP PRICE])</f>
        <v>3380</v>
      </c>
      <c r="T944" s="43">
        <f>表格1[[#This Row],[Unit Price]]/表格1[[#This Row],[SRP]]</f>
        <v>0.67455621301775148</v>
      </c>
      <c r="U944" s="86" t="str">
        <f>_xlfn.XLOOKUP(表格1[[#This Row],[Model]],表格3[Model-Input-Ref2],表格3[TOSHIBA/HIGHEST])</f>
        <v>Shops Highest Price</v>
      </c>
      <c r="V944" s="86" t="s">
        <v>1126</v>
      </c>
      <c r="W944" s="86" t="str">
        <f>_xlfn.CONCAT(表格1[[#This Row],[欄4]],表格1[[#This Row],[inv no]])</f>
        <v>DA1411170737</v>
      </c>
    </row>
    <row r="945" spans="1:23" hidden="1">
      <c r="A945" s="81">
        <v>943</v>
      </c>
      <c r="B945" s="81" t="s">
        <v>1470</v>
      </c>
      <c r="C945" s="81" t="s">
        <v>1247</v>
      </c>
      <c r="D945" s="82" t="str">
        <f ca="1">OFFSET(Roster!$A$3,MATCH(表格1[[#This Row],[Location]]&amp;" "&amp;表格1[[#This Row],[Shop]]&amp;"*",Roster!$A$4:$A$72,0),DAY(表格1[[#This Row],[date]]),1,1)</f>
        <v>Coco</v>
      </c>
      <c r="E945" s="81">
        <f>MONTH(表格1[[#This Row],[date]])</f>
        <v>3</v>
      </c>
      <c r="F945" s="101">
        <v>46085</v>
      </c>
      <c r="G945" s="81" t="str">
        <f>VLOOKUP("*"&amp;表格1[[#This Row],[Input]]&amp;"*",'Ref-List'!$B:$D,2,)</f>
        <v>MM-2MM20PC(WH)</v>
      </c>
      <c r="H945" s="81" t="str">
        <f>_xlfn.XLOOKUP(表格1[[#This Row],[Model]],表格3[Model-Input-Ref2],表格3[Product Line])</f>
        <v>旋鈕式微波爐 (20公升)</v>
      </c>
      <c r="I945" s="81" t="str">
        <f>_xlfn.XLOOKUP(表格1[[#This Row],[Model]],表格3[Model-Input-Ref2],表格3[大小電])</f>
        <v>細電</v>
      </c>
      <c r="J945" s="81" t="str">
        <f>_xlfn.XLOOKUP(表格1[[#This Row],[Model]],表格3[Model-Input-Ref2],表格3[Code])</f>
        <v>MCA</v>
      </c>
      <c r="K945" s="82" t="s">
        <v>1388</v>
      </c>
      <c r="L945" s="81">
        <v>1</v>
      </c>
      <c r="M945" s="85">
        <v>550</v>
      </c>
      <c r="N945" s="85">
        <f>IFERROR(表格1[[#This Row],[QTY]]*表格1[[#This Row],[Unit Price]],"-")</f>
        <v>550</v>
      </c>
      <c r="O945" s="134">
        <v>1170738</v>
      </c>
      <c r="P945" s="81"/>
      <c r="Q945" s="81"/>
      <c r="R945" s="81" t="str">
        <f>_xlfn.CONCAT(表格1[[#This Row],[Model]]," ",表格1[[#This Row],[inv no]])</f>
        <v>MM-2MM20PC(WH) 1170738</v>
      </c>
      <c r="S945" s="135">
        <f>_xlfn.XLOOKUP(表格1[[#This Row],[Model]],表格3[Model-Input-Ref2],表格3[SRP PRICE])</f>
        <v>738</v>
      </c>
      <c r="T945" s="43">
        <f>表格1[[#This Row],[Unit Price]]/表格1[[#This Row],[SRP]]</f>
        <v>0.74525745257452569</v>
      </c>
      <c r="U945" s="86" t="str">
        <f>_xlfn.XLOOKUP(表格1[[#This Row],[Model]],表格3[Model-Input-Ref2],表格3[TOSHIBA/HIGHEST])</f>
        <v>Toshiba SRP</v>
      </c>
      <c r="V945" s="86" t="s">
        <v>1126</v>
      </c>
      <c r="W945" s="86" t="str">
        <f>_xlfn.CONCAT(表格1[[#This Row],[欄4]],表格1[[#This Row],[inv no]])</f>
        <v>DA1411170738</v>
      </c>
    </row>
    <row r="946" spans="1:23" hidden="1">
      <c r="A946" s="81">
        <v>944</v>
      </c>
      <c r="B946" s="81" t="s">
        <v>1470</v>
      </c>
      <c r="C946" s="81" t="s">
        <v>1247</v>
      </c>
      <c r="D946" s="82" t="str">
        <f ca="1">OFFSET(Roster!$A$3,MATCH(表格1[[#This Row],[Location]]&amp;" "&amp;表格1[[#This Row],[Shop]]&amp;"*",Roster!$A$4:$A$72,0),DAY(表格1[[#This Row],[date]]),1,1)</f>
        <v>Coco</v>
      </c>
      <c r="E946" s="81">
        <f>MONTH(表格1[[#This Row],[date]])</f>
        <v>3</v>
      </c>
      <c r="F946" s="101">
        <v>46085</v>
      </c>
      <c r="G946" s="81" t="str">
        <f>VLOOKUP("*"&amp;表格1[[#This Row],[Input]]&amp;"*",'Ref-List'!$B:$D,2,)</f>
        <v>GR-RT300WE-PMA(57)</v>
      </c>
      <c r="H946" s="81" t="str">
        <f>_xlfn.XLOOKUP(表格1[[#This Row],[Model]],表格3[Model-Input-Ref2],表格3[Product Line])</f>
        <v>變頻式環保雙門雪櫃(233L)</v>
      </c>
      <c r="I946" s="81" t="str">
        <f>_xlfn.XLOOKUP(表格1[[#This Row],[Model]],表格3[Model-Input-Ref2],表格3[大小電])</f>
        <v>大電</v>
      </c>
      <c r="J946" s="81" t="str">
        <f>_xlfn.XLOOKUP(表格1[[#This Row],[Model]],表格3[Model-Input-Ref2],表格3[Code])</f>
        <v>REF</v>
      </c>
      <c r="K946" s="82" t="s">
        <v>1462</v>
      </c>
      <c r="L946" s="81">
        <v>1</v>
      </c>
      <c r="M946" s="85">
        <v>2780</v>
      </c>
      <c r="N946" s="85">
        <f>IFERROR(表格1[[#This Row],[QTY]]*表格1[[#This Row],[Unit Price]],"-")</f>
        <v>2780</v>
      </c>
      <c r="O946" s="134">
        <v>1170746</v>
      </c>
      <c r="P946" s="81"/>
      <c r="Q946" s="81"/>
      <c r="R946" s="81" t="str">
        <f>_xlfn.CONCAT(表格1[[#This Row],[Model]]," ",表格1[[#This Row],[inv no]])</f>
        <v>GR-RT300WE-PMA(57) 1170746</v>
      </c>
      <c r="S946" s="135">
        <f>_xlfn.XLOOKUP(表格1[[#This Row],[Model]],表格3[Model-Input-Ref2],表格3[SRP PRICE])</f>
        <v>4280</v>
      </c>
      <c r="T946" s="43">
        <f>表格1[[#This Row],[Unit Price]]/表格1[[#This Row],[SRP]]</f>
        <v>0.64953271028037385</v>
      </c>
      <c r="U946" s="86" t="str">
        <f>_xlfn.XLOOKUP(表格1[[#This Row],[Model]],表格3[Model-Input-Ref2],表格3[TOSHIBA/HIGHEST])</f>
        <v>Toshiba SRP</v>
      </c>
      <c r="V946" s="86" t="s">
        <v>1126</v>
      </c>
      <c r="W946" s="86" t="str">
        <f>_xlfn.CONCAT(表格1[[#This Row],[欄4]],表格1[[#This Row],[inv no]])</f>
        <v>DA1411170746</v>
      </c>
    </row>
    <row r="947" spans="1:23" hidden="1">
      <c r="A947" s="81">
        <v>945</v>
      </c>
      <c r="B947" s="81" t="s">
        <v>1470</v>
      </c>
      <c r="C947" s="81" t="s">
        <v>1247</v>
      </c>
      <c r="D947" s="82" t="str">
        <f ca="1">OFFSET(Roster!$A$3,MATCH(表格1[[#This Row],[Location]]&amp;" "&amp;表格1[[#This Row],[Shop]]&amp;"*",Roster!$A$4:$A$72,0),DAY(表格1[[#This Row],[date]]),1,1)</f>
        <v>Coco</v>
      </c>
      <c r="E947" s="81">
        <f>MONTH(表格1[[#This Row],[date]])</f>
        <v>3</v>
      </c>
      <c r="F947" s="101">
        <v>46085</v>
      </c>
      <c r="G947" s="81" t="str">
        <f>VLOOKUP("*"&amp;表格1[[#This Row],[Input]]&amp;"*",'Ref-List'!$B:$D,2,)</f>
        <v>RAD-D300H</v>
      </c>
      <c r="H947" s="81" t="str">
        <f>_xlfn.XLOOKUP(表格1[[#This Row],[Model]],表格3[Model-Input-Ref2],表格3[Product Line])</f>
        <v>壓縮式抽濕機 (30公升)</v>
      </c>
      <c r="I947" s="81" t="str">
        <f>_xlfn.XLOOKUP(表格1[[#This Row],[Model]],表格3[Model-Input-Ref2],表格3[大小電])</f>
        <v>細電</v>
      </c>
      <c r="J947" s="81" t="str">
        <f>_xlfn.XLOOKUP(表格1[[#This Row],[Model]],表格3[Model-Input-Ref2],表格3[Code])</f>
        <v>RAC</v>
      </c>
      <c r="K947" s="82" t="s">
        <v>1252</v>
      </c>
      <c r="L947" s="81">
        <v>1</v>
      </c>
      <c r="M947" s="85">
        <v>2280</v>
      </c>
      <c r="N947" s="85">
        <f>IFERROR(表格1[[#This Row],[QTY]]*表格1[[#This Row],[Unit Price]],"-")</f>
        <v>2280</v>
      </c>
      <c r="O947" s="134">
        <v>1170756</v>
      </c>
      <c r="P947" s="81"/>
      <c r="Q947" s="81"/>
      <c r="R947" s="81" t="str">
        <f>_xlfn.CONCAT(表格1[[#This Row],[Model]]," ",表格1[[#This Row],[inv no]])</f>
        <v>RAD-D300H 1170756</v>
      </c>
      <c r="S947" s="135">
        <f>_xlfn.XLOOKUP(表格1[[#This Row],[Model]],表格3[Model-Input-Ref2],表格3[SRP PRICE])</f>
        <v>3380</v>
      </c>
      <c r="T947" s="43">
        <f>表格1[[#This Row],[Unit Price]]/表格1[[#This Row],[SRP]]</f>
        <v>0.67455621301775148</v>
      </c>
      <c r="U947" s="86" t="str">
        <f>_xlfn.XLOOKUP(表格1[[#This Row],[Model]],表格3[Model-Input-Ref2],表格3[TOSHIBA/HIGHEST])</f>
        <v>Shops Highest Price</v>
      </c>
      <c r="V947" s="86" t="s">
        <v>1126</v>
      </c>
      <c r="W947" s="86" t="str">
        <f>_xlfn.CONCAT(表格1[[#This Row],[欄4]],表格1[[#This Row],[inv no]])</f>
        <v>DA1411170756</v>
      </c>
    </row>
    <row r="948" spans="1:23" hidden="1">
      <c r="A948" s="81">
        <v>946</v>
      </c>
      <c r="B948" s="81" t="s">
        <v>1470</v>
      </c>
      <c r="C948" s="81" t="s">
        <v>1247</v>
      </c>
      <c r="D948" s="82" t="str">
        <f ca="1">OFFSET(Roster!$A$3,MATCH(表格1[[#This Row],[Location]]&amp;" "&amp;表格1[[#This Row],[Shop]]&amp;"*",Roster!$A$4:$A$72,0),DAY(表格1[[#This Row],[date]]),1,1)</f>
        <v>Coco</v>
      </c>
      <c r="E948" s="81">
        <f>MONTH(表格1[[#This Row],[date]])</f>
        <v>3</v>
      </c>
      <c r="F948" s="101">
        <v>46085</v>
      </c>
      <c r="G948" s="81" t="str">
        <f>VLOOKUP("*"&amp;表格1[[#This Row],[Input]]&amp;"*",'Ref-List'!$B:$D,2,)</f>
        <v>MM2-EM20PC(WH)</v>
      </c>
      <c r="H948" s="81" t="str">
        <f>_xlfn.XLOOKUP(表格1[[#This Row],[Model]],表格3[Model-Input-Ref2],表格3[Product Line])</f>
        <v>輕觸式微波爐 (20公升)</v>
      </c>
      <c r="I948" s="81" t="str">
        <f>_xlfn.XLOOKUP(表格1[[#This Row],[Model]],表格3[Model-Input-Ref2],表格3[大小電])</f>
        <v>細電</v>
      </c>
      <c r="J948" s="81" t="str">
        <f>_xlfn.XLOOKUP(表格1[[#This Row],[Model]],表格3[Model-Input-Ref2],表格3[Code])</f>
        <v>MCA</v>
      </c>
      <c r="K948" s="82" t="s">
        <v>1276</v>
      </c>
      <c r="L948" s="81">
        <v>1</v>
      </c>
      <c r="M948" s="85">
        <v>568</v>
      </c>
      <c r="N948" s="85">
        <f>IFERROR(表格1[[#This Row],[QTY]]*表格1[[#This Row],[Unit Price]],"-")</f>
        <v>568</v>
      </c>
      <c r="O948" s="134">
        <v>1170778</v>
      </c>
      <c r="P948" s="81"/>
      <c r="Q948" s="81"/>
      <c r="R948" s="81" t="str">
        <f>_xlfn.CONCAT(表格1[[#This Row],[Model]]," ",表格1[[#This Row],[inv no]])</f>
        <v>MM2-EM20PC(WH) 1170778</v>
      </c>
      <c r="S948" s="135">
        <f>_xlfn.XLOOKUP(表格1[[#This Row],[Model]],表格3[Model-Input-Ref2],表格3[SRP PRICE])</f>
        <v>788</v>
      </c>
      <c r="T948" s="43">
        <f>表格1[[#This Row],[Unit Price]]/表格1[[#This Row],[SRP]]</f>
        <v>0.7208121827411168</v>
      </c>
      <c r="U948" s="86" t="str">
        <f>_xlfn.XLOOKUP(表格1[[#This Row],[Model]],表格3[Model-Input-Ref2],表格3[TOSHIBA/HIGHEST])</f>
        <v>Toshiba SRP</v>
      </c>
      <c r="V948" s="86" t="s">
        <v>1126</v>
      </c>
      <c r="W948" s="86" t="str">
        <f>_xlfn.CONCAT(表格1[[#This Row],[欄4]],表格1[[#This Row],[inv no]])</f>
        <v>DA1411170778</v>
      </c>
    </row>
    <row r="949" spans="1:23" hidden="1">
      <c r="A949" s="81">
        <v>947</v>
      </c>
      <c r="B949" s="81" t="s">
        <v>1470</v>
      </c>
      <c r="C949" s="81" t="s">
        <v>1247</v>
      </c>
      <c r="D949" s="82" t="str">
        <f ca="1">OFFSET(Roster!$A$3,MATCH(表格1[[#This Row],[Location]]&amp;" "&amp;表格1[[#This Row],[Shop]]&amp;"*",Roster!$A$4:$A$72,0),DAY(表格1[[#This Row],[date]]),1,1)</f>
        <v>Coco</v>
      </c>
      <c r="E949" s="81">
        <f>MONTH(表格1[[#This Row],[date]])</f>
        <v>3</v>
      </c>
      <c r="F949" s="101">
        <v>46086</v>
      </c>
      <c r="G949" s="81" t="str">
        <f>VLOOKUP("*"&amp;表格1[[#This Row],[Input]]&amp;"*",'Ref-List'!$B:$D,2,)</f>
        <v>RAD-D300H</v>
      </c>
      <c r="H949" s="81" t="str">
        <f>_xlfn.XLOOKUP(表格1[[#This Row],[Model]],表格3[Model-Input-Ref2],表格3[Product Line])</f>
        <v>壓縮式抽濕機 (30公升)</v>
      </c>
      <c r="I949" s="81" t="str">
        <f>_xlfn.XLOOKUP(表格1[[#This Row],[Model]],表格3[Model-Input-Ref2],表格3[大小電])</f>
        <v>細電</v>
      </c>
      <c r="J949" s="81" t="str">
        <f>_xlfn.XLOOKUP(表格1[[#This Row],[Model]],表格3[Model-Input-Ref2],表格3[Code])</f>
        <v>RAC</v>
      </c>
      <c r="K949" s="82" t="s">
        <v>1252</v>
      </c>
      <c r="L949" s="81">
        <v>1</v>
      </c>
      <c r="M949" s="85">
        <v>2280</v>
      </c>
      <c r="N949" s="85">
        <f>IFERROR(表格1[[#This Row],[QTY]]*表格1[[#This Row],[Unit Price]],"-")</f>
        <v>2280</v>
      </c>
      <c r="O949" s="134">
        <v>1170800</v>
      </c>
      <c r="P949" s="81"/>
      <c r="Q949" s="81"/>
      <c r="R949" s="81" t="str">
        <f>_xlfn.CONCAT(表格1[[#This Row],[Model]]," ",表格1[[#This Row],[inv no]])</f>
        <v>RAD-D300H 1170800</v>
      </c>
      <c r="S949" s="135">
        <f>_xlfn.XLOOKUP(表格1[[#This Row],[Model]],表格3[Model-Input-Ref2],表格3[SRP PRICE])</f>
        <v>3380</v>
      </c>
      <c r="T949" s="43">
        <f>表格1[[#This Row],[Unit Price]]/表格1[[#This Row],[SRP]]</f>
        <v>0.67455621301775148</v>
      </c>
      <c r="U949" s="86" t="str">
        <f>_xlfn.XLOOKUP(表格1[[#This Row],[Model]],表格3[Model-Input-Ref2],表格3[TOSHIBA/HIGHEST])</f>
        <v>Shops Highest Price</v>
      </c>
      <c r="V949" s="86" t="s">
        <v>1126</v>
      </c>
      <c r="W949" s="86" t="str">
        <f>_xlfn.CONCAT(表格1[[#This Row],[欄4]],表格1[[#This Row],[inv no]])</f>
        <v>DA1411170800</v>
      </c>
    </row>
    <row r="950" spans="1:23" hidden="1">
      <c r="A950" s="81">
        <v>948</v>
      </c>
      <c r="B950" s="81" t="s">
        <v>1470</v>
      </c>
      <c r="C950" s="81" t="s">
        <v>1247</v>
      </c>
      <c r="D950" s="82" t="str">
        <f ca="1">OFFSET(Roster!$A$3,MATCH(表格1[[#This Row],[Location]]&amp;" "&amp;表格1[[#This Row],[Shop]]&amp;"*",Roster!$A$4:$A$72,0),DAY(表格1[[#This Row],[date]]),1,1)</f>
        <v>Coco</v>
      </c>
      <c r="E950" s="81">
        <f>MONTH(表格1[[#This Row],[date]])</f>
        <v>3</v>
      </c>
      <c r="F950" s="101">
        <v>46086</v>
      </c>
      <c r="G950" s="81" t="str">
        <f>VLOOKUP("*"&amp;表格1[[#This Row],[Input]]&amp;"*",'Ref-List'!$B:$D,2,)</f>
        <v>RAD-Y200H</v>
      </c>
      <c r="H950" s="81" t="str">
        <f>_xlfn.XLOOKUP(表格1[[#This Row],[Model]],表格3[Model-Input-Ref2],表格3[Product Line])</f>
        <v>21L壓縮式抽濕機</v>
      </c>
      <c r="I950" s="81" t="str">
        <f>_xlfn.XLOOKUP(表格1[[#This Row],[Model]],表格3[Model-Input-Ref2],表格3[大小電])</f>
        <v>大電</v>
      </c>
      <c r="J950" s="81" t="str">
        <f>_xlfn.XLOOKUP(表格1[[#This Row],[Model]],表格3[Model-Input-Ref2],表格3[Code])</f>
        <v>RAC</v>
      </c>
      <c r="K950" s="82" t="s">
        <v>1241</v>
      </c>
      <c r="L950" s="81">
        <v>1</v>
      </c>
      <c r="M950" s="85">
        <v>1888</v>
      </c>
      <c r="N950" s="85">
        <f>IFERROR(表格1[[#This Row],[QTY]]*表格1[[#This Row],[Unit Price]],"-")</f>
        <v>1888</v>
      </c>
      <c r="O950" s="134">
        <v>1170825</v>
      </c>
      <c r="P950" s="81"/>
      <c r="Q950" s="81"/>
      <c r="R950" s="81" t="str">
        <f>_xlfn.CONCAT(表格1[[#This Row],[Model]]," ",表格1[[#This Row],[inv no]])</f>
        <v>RAD-Y200H 1170825</v>
      </c>
      <c r="S950" s="135">
        <f>_xlfn.XLOOKUP(表格1[[#This Row],[Model]],表格3[Model-Input-Ref2],表格3[SRP PRICE])</f>
        <v>3280</v>
      </c>
      <c r="T950" s="43">
        <f>表格1[[#This Row],[Unit Price]]/表格1[[#This Row],[SRP]]</f>
        <v>0.57560975609756093</v>
      </c>
      <c r="U950" s="86" t="str">
        <f>_xlfn.XLOOKUP(表格1[[#This Row],[Model]],表格3[Model-Input-Ref2],表格3[TOSHIBA/HIGHEST])</f>
        <v>Toshiba SRP</v>
      </c>
      <c r="V950" s="86" t="s">
        <v>1126</v>
      </c>
      <c r="W950" s="86" t="str">
        <f>_xlfn.CONCAT(表格1[[#This Row],[欄4]],表格1[[#This Row],[inv no]])</f>
        <v>DA1411170825</v>
      </c>
    </row>
    <row r="951" spans="1:23" hidden="1">
      <c r="A951" s="81">
        <v>949</v>
      </c>
      <c r="B951" s="81" t="s">
        <v>1470</v>
      </c>
      <c r="C951" s="81" t="s">
        <v>1247</v>
      </c>
      <c r="D951" s="82" t="str">
        <f ca="1">OFFSET(Roster!$A$3,MATCH(表格1[[#This Row],[Location]]&amp;" "&amp;表格1[[#This Row],[Shop]]&amp;"*",Roster!$A$4:$A$72,0),DAY(表格1[[#This Row],[date]]),1,1)</f>
        <v>Coco</v>
      </c>
      <c r="E951" s="81">
        <f>MONTH(表格1[[#This Row],[date]])</f>
        <v>3</v>
      </c>
      <c r="F951" s="101">
        <v>46086</v>
      </c>
      <c r="G951" s="81" t="str">
        <f>VLOOKUP("*"&amp;表格1[[#This Row],[Input]]&amp;"*",'Ref-List'!$B:$D,2,)</f>
        <v>KT-17SHNH</v>
      </c>
      <c r="H951" s="81" t="str">
        <f>_xlfn.XLOOKUP(表格1[[#This Row],[Model]],表格3[Model-Input-Ref2],表格3[Product Line])</f>
        <v>1.7L無線雙層電熱水壺</v>
      </c>
      <c r="I951" s="81" t="str">
        <f>_xlfn.XLOOKUP(表格1[[#This Row],[Model]],表格3[Model-Input-Ref2],表格3[大小電])</f>
        <v>細電</v>
      </c>
      <c r="J951" s="81" t="str">
        <f>_xlfn.XLOOKUP(表格1[[#This Row],[Model]],表格3[Model-Input-Ref2],表格3[Code])</f>
        <v>SDA</v>
      </c>
      <c r="K951" s="82" t="s">
        <v>1283</v>
      </c>
      <c r="L951" s="81">
        <v>1</v>
      </c>
      <c r="M951" s="85">
        <v>198</v>
      </c>
      <c r="N951" s="85">
        <f>IFERROR(表格1[[#This Row],[QTY]]*表格1[[#This Row],[Unit Price]],"-")</f>
        <v>198</v>
      </c>
      <c r="O951" s="134">
        <v>1170856</v>
      </c>
      <c r="P951" s="81"/>
      <c r="Q951" s="81"/>
      <c r="R951" s="81" t="str">
        <f>_xlfn.CONCAT(表格1[[#This Row],[Model]]," ",表格1[[#This Row],[inv no]])</f>
        <v>KT-17SHNH 1170856</v>
      </c>
      <c r="S951" s="135">
        <f>_xlfn.XLOOKUP(表格1[[#This Row],[Model]],表格3[Model-Input-Ref2],表格3[SRP PRICE])</f>
        <v>299</v>
      </c>
      <c r="T951" s="43">
        <f>表格1[[#This Row],[Unit Price]]/表格1[[#This Row],[SRP]]</f>
        <v>0.66220735785953178</v>
      </c>
      <c r="U951" s="86" t="str">
        <f>_xlfn.XLOOKUP(表格1[[#This Row],[Model]],表格3[Model-Input-Ref2],表格3[TOSHIBA/HIGHEST])</f>
        <v>Shops Highest Price</v>
      </c>
      <c r="V951" s="86" t="s">
        <v>1126</v>
      </c>
      <c r="W951" s="86" t="str">
        <f>_xlfn.CONCAT(表格1[[#This Row],[欄4]],表格1[[#This Row],[inv no]])</f>
        <v>DA1411170856</v>
      </c>
    </row>
    <row r="952" spans="1:23" hidden="1">
      <c r="A952" s="81">
        <v>950</v>
      </c>
      <c r="B952" s="81" t="s">
        <v>1470</v>
      </c>
      <c r="C952" s="81" t="s">
        <v>1247</v>
      </c>
      <c r="D952" s="82" t="str">
        <f ca="1">OFFSET(Roster!$A$3,MATCH(表格1[[#This Row],[Location]]&amp;" "&amp;表格1[[#This Row],[Shop]]&amp;"*",Roster!$A$4:$A$72,0),DAY(表格1[[#This Row],[date]]),1,1)</f>
        <v>Coco</v>
      </c>
      <c r="E952" s="81">
        <f>MONTH(表格1[[#This Row],[date]])</f>
        <v>3</v>
      </c>
      <c r="F952" s="101">
        <v>46086</v>
      </c>
      <c r="G952" s="81" t="str">
        <f>VLOOKUP("*"&amp;表格1[[#This Row],[Input]]&amp;"*",'Ref-List'!$B:$D,2,)</f>
        <v>GR-RB360WE-PMA(06)</v>
      </c>
      <c r="H952" s="81" t="str">
        <f>_xlfn.XLOOKUP(表格1[[#This Row],[Model]],表格3[Model-Input-Ref2],表格3[Product Line])</f>
        <v>變頻下置式雙門雪櫃系列270L</v>
      </c>
      <c r="I952" s="81" t="str">
        <f>_xlfn.XLOOKUP(表格1[[#This Row],[Model]],表格3[Model-Input-Ref2],表格3[大小電])</f>
        <v>大電</v>
      </c>
      <c r="J952" s="81" t="str">
        <f>_xlfn.XLOOKUP(表格1[[#This Row],[Model]],表格3[Model-Input-Ref2],表格3[Code])</f>
        <v>REF</v>
      </c>
      <c r="K952" s="82" t="s">
        <v>1282</v>
      </c>
      <c r="L952" s="81">
        <v>1</v>
      </c>
      <c r="M952" s="85">
        <v>3680</v>
      </c>
      <c r="N952" s="85">
        <f>IFERROR(表格1[[#This Row],[QTY]]*表格1[[#This Row],[Unit Price]],"-")</f>
        <v>3680</v>
      </c>
      <c r="O952" s="134">
        <v>1170894</v>
      </c>
      <c r="P952" s="81"/>
      <c r="Q952" s="81"/>
      <c r="R952" s="81" t="str">
        <f>_xlfn.CONCAT(表格1[[#This Row],[Model]]," ",表格1[[#This Row],[inv no]])</f>
        <v>GR-RB360WE-PMA(06) 1170894</v>
      </c>
      <c r="S952" s="135">
        <f>_xlfn.XLOOKUP(表格1[[#This Row],[Model]],表格3[Model-Input-Ref2],表格3[SRP PRICE])</f>
        <v>5080</v>
      </c>
      <c r="T952" s="43">
        <f>表格1[[#This Row],[Unit Price]]/表格1[[#This Row],[SRP]]</f>
        <v>0.72440944881889768</v>
      </c>
      <c r="U952" s="86" t="str">
        <f>_xlfn.XLOOKUP(表格1[[#This Row],[Model]],表格3[Model-Input-Ref2],表格3[TOSHIBA/HIGHEST])</f>
        <v>Toshiba SRP</v>
      </c>
      <c r="V952" s="86" t="s">
        <v>1126</v>
      </c>
      <c r="W952" s="86" t="str">
        <f>_xlfn.CONCAT(表格1[[#This Row],[欄4]],表格1[[#This Row],[inv no]])</f>
        <v>DA1411170894</v>
      </c>
    </row>
    <row r="953" spans="1:23" hidden="1">
      <c r="A953" s="81">
        <v>951</v>
      </c>
      <c r="B953" s="81" t="s">
        <v>1470</v>
      </c>
      <c r="C953" s="81" t="s">
        <v>1247</v>
      </c>
      <c r="D953" s="82" t="str">
        <f ca="1">OFFSET(Roster!$A$3,MATCH(表格1[[#This Row],[Location]]&amp;" "&amp;表格1[[#This Row],[Shop]]&amp;"*",Roster!$A$4:$A$72,0),DAY(表格1[[#This Row],[date]]),1,1)</f>
        <v>Coco</v>
      </c>
      <c r="E953" s="81">
        <f>MONTH(表格1[[#This Row],[date]])</f>
        <v>3</v>
      </c>
      <c r="F953" s="101">
        <v>46086</v>
      </c>
      <c r="G953" s="81" t="str">
        <f>VLOOKUP("*"&amp;表格1[[#This Row],[Input]]&amp;"*",'Ref-List'!$B:$D,2,)</f>
        <v>TW-T22BU95UWH(WK)-B</v>
      </c>
      <c r="H953" s="81" t="str">
        <f>_xlfn.XLOOKUP(表格1[[#This Row],[Model]],表格3[Model-Input-Ref2],表格3[Product Line])</f>
        <v>470MM超薄身前置式變頻洗衣機(8.5公斤, 可飛頂)</v>
      </c>
      <c r="I953" s="81" t="str">
        <f>_xlfn.XLOOKUP(表格1[[#This Row],[Model]],表格3[Model-Input-Ref2],表格3[大小電])</f>
        <v>大電</v>
      </c>
      <c r="J953" s="81" t="str">
        <f>_xlfn.XLOOKUP(表格1[[#This Row],[Model]],表格3[Model-Input-Ref2],表格3[Code])</f>
        <v>LAD</v>
      </c>
      <c r="K953" s="82" t="s">
        <v>969</v>
      </c>
      <c r="L953" s="81">
        <v>1</v>
      </c>
      <c r="M953" s="85">
        <v>3480</v>
      </c>
      <c r="N953" s="85">
        <f>IFERROR(表格1[[#This Row],[QTY]]*表格1[[#This Row],[Unit Price]],"-")</f>
        <v>3480</v>
      </c>
      <c r="O953" s="134">
        <v>1170897</v>
      </c>
      <c r="P953" s="81"/>
      <c r="Q953" s="81"/>
      <c r="R953" s="81" t="str">
        <f>_xlfn.CONCAT(表格1[[#This Row],[Model]]," ",表格1[[#This Row],[inv no]])</f>
        <v>TW-T22BU95UWH(WK)-B 1170897</v>
      </c>
      <c r="S953" s="135">
        <f>_xlfn.XLOOKUP(表格1[[#This Row],[Model]],表格3[Model-Input-Ref2],表格3[SRP PRICE])</f>
        <v>5880</v>
      </c>
      <c r="T953" s="43">
        <f>表格1[[#This Row],[Unit Price]]/表格1[[#This Row],[SRP]]</f>
        <v>0.59183673469387754</v>
      </c>
      <c r="U953" s="86" t="str">
        <f>_xlfn.XLOOKUP(表格1[[#This Row],[Model]],表格3[Model-Input-Ref2],表格3[TOSHIBA/HIGHEST])</f>
        <v>Toshiba SRP</v>
      </c>
      <c r="V953" s="86" t="s">
        <v>1126</v>
      </c>
      <c r="W953" s="86" t="str">
        <f>_xlfn.CONCAT(表格1[[#This Row],[欄4]],表格1[[#This Row],[inv no]])</f>
        <v>DA1411170897</v>
      </c>
    </row>
    <row r="954" spans="1:23" hidden="1">
      <c r="A954" s="81">
        <v>952</v>
      </c>
      <c r="B954" s="81" t="s">
        <v>1470</v>
      </c>
      <c r="C954" s="81" t="s">
        <v>1247</v>
      </c>
      <c r="D954" s="82" t="str">
        <f ca="1">OFFSET(Roster!$A$3,MATCH(表格1[[#This Row],[Location]]&amp;" "&amp;表格1[[#This Row],[Shop]]&amp;"*",Roster!$A$4:$A$72,0),DAY(表格1[[#This Row],[date]]),1,1)</f>
        <v>Coco</v>
      </c>
      <c r="E954" s="81">
        <f>MONTH(表格1[[#This Row],[date]])</f>
        <v>3</v>
      </c>
      <c r="F954" s="101">
        <v>46088</v>
      </c>
      <c r="G954" s="81" t="str">
        <f>VLOOKUP("*"&amp;表格1[[#This Row],[Input]]&amp;"*",'Ref-List'!$B:$D,2,)</f>
        <v>RAD-D300H</v>
      </c>
      <c r="H954" s="81" t="str">
        <f>_xlfn.XLOOKUP(表格1[[#This Row],[Model]],表格3[Model-Input-Ref2],表格3[Product Line])</f>
        <v>壓縮式抽濕機 (30公升)</v>
      </c>
      <c r="I954" s="81" t="str">
        <f>_xlfn.XLOOKUP(表格1[[#This Row],[Model]],表格3[Model-Input-Ref2],表格3[大小電])</f>
        <v>細電</v>
      </c>
      <c r="J954" s="81" t="str">
        <f>_xlfn.XLOOKUP(表格1[[#This Row],[Model]],表格3[Model-Input-Ref2],表格3[Code])</f>
        <v>RAC</v>
      </c>
      <c r="K954" s="82" t="s">
        <v>1252</v>
      </c>
      <c r="L954" s="81">
        <v>1</v>
      </c>
      <c r="M954" s="85">
        <v>2280</v>
      </c>
      <c r="N954" s="85">
        <f>IFERROR(表格1[[#This Row],[QTY]]*表格1[[#This Row],[Unit Price]],"-")</f>
        <v>2280</v>
      </c>
      <c r="O954" s="134">
        <v>1170899</v>
      </c>
      <c r="P954" s="81"/>
      <c r="Q954" s="81"/>
      <c r="R954" s="81" t="str">
        <f>_xlfn.CONCAT(表格1[[#This Row],[Model]]," ",表格1[[#This Row],[inv no]])</f>
        <v>RAD-D300H 1170899</v>
      </c>
      <c r="S954" s="135">
        <f>_xlfn.XLOOKUP(表格1[[#This Row],[Model]],表格3[Model-Input-Ref2],表格3[SRP PRICE])</f>
        <v>3380</v>
      </c>
      <c r="T954" s="43">
        <f>表格1[[#This Row],[Unit Price]]/表格1[[#This Row],[SRP]]</f>
        <v>0.67455621301775148</v>
      </c>
      <c r="U954" s="86" t="str">
        <f>_xlfn.XLOOKUP(表格1[[#This Row],[Model]],表格3[Model-Input-Ref2],表格3[TOSHIBA/HIGHEST])</f>
        <v>Shops Highest Price</v>
      </c>
      <c r="V954" s="86" t="s">
        <v>1126</v>
      </c>
      <c r="W954" s="86" t="str">
        <f>_xlfn.CONCAT(表格1[[#This Row],[欄4]],表格1[[#This Row],[inv no]])</f>
        <v>DA1411170899</v>
      </c>
    </row>
    <row r="955" spans="1:23" hidden="1">
      <c r="A955" s="81">
        <v>953</v>
      </c>
      <c r="B955" s="81" t="s">
        <v>1470</v>
      </c>
      <c r="C955" s="81" t="s">
        <v>1247</v>
      </c>
      <c r="D955" s="82" t="str">
        <f ca="1">OFFSET(Roster!$A$3,MATCH(表格1[[#This Row],[Location]]&amp;" "&amp;表格1[[#This Row],[Shop]]&amp;"*",Roster!$A$4:$A$72,0),DAY(表格1[[#This Row],[date]]),1,1)</f>
        <v>Coco</v>
      </c>
      <c r="E955" s="81">
        <f>MONTH(表格1[[#This Row],[date]])</f>
        <v>3</v>
      </c>
      <c r="F955" s="101">
        <v>46088</v>
      </c>
      <c r="G955" s="81" t="str">
        <f>VLOOKUP("*"&amp;表格1[[#This Row],[Input]]&amp;"*",'Ref-List'!$B:$D,2,)</f>
        <v>AW-Q901BPH(WW)</v>
      </c>
      <c r="H955" s="81" t="str">
        <f>_xlfn.XLOOKUP(表格1[[#This Row],[Model]],表格3[Model-Input-Ref2],表格3[Product Line])</f>
        <v>日式洗衣機 (8公斤 結合高低水位)</v>
      </c>
      <c r="I955" s="81" t="str">
        <f>_xlfn.XLOOKUP(表格1[[#This Row],[Model]],表格3[Model-Input-Ref2],表格3[大小電])</f>
        <v>大電</v>
      </c>
      <c r="J955" s="81" t="str">
        <f>_xlfn.XLOOKUP(表格1[[#This Row],[Model]],表格3[Model-Input-Ref2],表格3[Code])</f>
        <v>LAD</v>
      </c>
      <c r="K955" s="82" t="s">
        <v>1411</v>
      </c>
      <c r="L955" s="81">
        <v>1</v>
      </c>
      <c r="M955" s="85">
        <v>2288</v>
      </c>
      <c r="N955" s="85">
        <f>IFERROR(表格1[[#This Row],[QTY]]*表格1[[#This Row],[Unit Price]],"-")</f>
        <v>2288</v>
      </c>
      <c r="O955" s="134">
        <v>1170920</v>
      </c>
      <c r="P955" s="81"/>
      <c r="Q955" s="81"/>
      <c r="R955" s="81" t="str">
        <f>_xlfn.CONCAT(表格1[[#This Row],[Model]]," ",表格1[[#This Row],[inv no]])</f>
        <v>AW-Q901BPH(WW) 1170920</v>
      </c>
      <c r="S955" s="135">
        <f>_xlfn.XLOOKUP(表格1[[#This Row],[Model]],表格3[Model-Input-Ref2],表格3[SRP PRICE])</f>
        <v>3780</v>
      </c>
      <c r="T955" s="43">
        <f>表格1[[#This Row],[Unit Price]]/表格1[[#This Row],[SRP]]</f>
        <v>0.60529100529100532</v>
      </c>
      <c r="U955" s="86" t="str">
        <f>_xlfn.XLOOKUP(表格1[[#This Row],[Model]],表格3[Model-Input-Ref2],表格3[TOSHIBA/HIGHEST])</f>
        <v>Toshiba SRP</v>
      </c>
      <c r="V955" s="86" t="s">
        <v>1126</v>
      </c>
      <c r="W955" s="86" t="str">
        <f>_xlfn.CONCAT(表格1[[#This Row],[欄4]],表格1[[#This Row],[inv no]])</f>
        <v>DA1411170920</v>
      </c>
    </row>
    <row r="956" spans="1:23" hidden="1">
      <c r="A956" s="81">
        <v>954</v>
      </c>
      <c r="B956" s="81" t="s">
        <v>1470</v>
      </c>
      <c r="C956" s="81" t="s">
        <v>1247</v>
      </c>
      <c r="D956" s="82" t="str">
        <f ca="1">OFFSET(Roster!$A$3,MATCH(表格1[[#This Row],[Location]]&amp;" "&amp;表格1[[#This Row],[Shop]]&amp;"*",Roster!$A$4:$A$72,0),DAY(表格1[[#This Row],[date]]),1,1)</f>
        <v>Coco</v>
      </c>
      <c r="E956" s="81">
        <f>MONTH(表格1[[#This Row],[date]])</f>
        <v>3</v>
      </c>
      <c r="F956" s="101">
        <v>46088</v>
      </c>
      <c r="G956" s="81" t="str">
        <f>VLOOKUP("*"&amp;表格1[[#This Row],[Input]]&amp;"*",'Ref-List'!$B:$D,2,)</f>
        <v>RAD-D300H</v>
      </c>
      <c r="H956" s="81" t="str">
        <f>_xlfn.XLOOKUP(表格1[[#This Row],[Model]],表格3[Model-Input-Ref2],表格3[Product Line])</f>
        <v>壓縮式抽濕機 (30公升)</v>
      </c>
      <c r="I956" s="81" t="str">
        <f>_xlfn.XLOOKUP(表格1[[#This Row],[Model]],表格3[Model-Input-Ref2],表格3[大小電])</f>
        <v>細電</v>
      </c>
      <c r="J956" s="81" t="str">
        <f>_xlfn.XLOOKUP(表格1[[#This Row],[Model]],表格3[Model-Input-Ref2],表格3[Code])</f>
        <v>RAC</v>
      </c>
      <c r="K956" s="82" t="s">
        <v>1252</v>
      </c>
      <c r="L956" s="81">
        <v>1</v>
      </c>
      <c r="M956" s="85">
        <v>2280</v>
      </c>
      <c r="N956" s="85">
        <f>IFERROR(表格1[[#This Row],[QTY]]*表格1[[#This Row],[Unit Price]],"-")</f>
        <v>2280</v>
      </c>
      <c r="O956" s="134">
        <v>1170930</v>
      </c>
      <c r="P956" s="81"/>
      <c r="Q956" s="81"/>
      <c r="R956" s="81" t="str">
        <f>_xlfn.CONCAT(表格1[[#This Row],[Model]]," ",表格1[[#This Row],[inv no]])</f>
        <v>RAD-D300H 1170930</v>
      </c>
      <c r="S956" s="135">
        <f>_xlfn.XLOOKUP(表格1[[#This Row],[Model]],表格3[Model-Input-Ref2],表格3[SRP PRICE])</f>
        <v>3380</v>
      </c>
      <c r="T956" s="43">
        <f>表格1[[#This Row],[Unit Price]]/表格1[[#This Row],[SRP]]</f>
        <v>0.67455621301775148</v>
      </c>
      <c r="U956" s="86" t="str">
        <f>_xlfn.XLOOKUP(表格1[[#This Row],[Model]],表格3[Model-Input-Ref2],表格3[TOSHIBA/HIGHEST])</f>
        <v>Shops Highest Price</v>
      </c>
      <c r="V956" s="86" t="s">
        <v>1126</v>
      </c>
      <c r="W956" s="86" t="str">
        <f>_xlfn.CONCAT(表格1[[#This Row],[欄4]],表格1[[#This Row],[inv no]])</f>
        <v>DA1411170930</v>
      </c>
    </row>
    <row r="957" spans="1:23" hidden="1">
      <c r="A957" s="81">
        <v>955</v>
      </c>
      <c r="B957" s="81" t="s">
        <v>1470</v>
      </c>
      <c r="C957" s="81" t="s">
        <v>1247</v>
      </c>
      <c r="D957" s="82" t="str">
        <f ca="1">OFFSET(Roster!$A$3,MATCH(表格1[[#This Row],[Location]]&amp;" "&amp;表格1[[#This Row],[Shop]]&amp;"*",Roster!$A$4:$A$72,0),DAY(表格1[[#This Row],[date]]),1,1)</f>
        <v>Coco</v>
      </c>
      <c r="E957" s="81">
        <f>MONTH(表格1[[#This Row],[date]])</f>
        <v>3</v>
      </c>
      <c r="F957" s="101">
        <v>46088</v>
      </c>
      <c r="G957" s="81" t="str">
        <f>VLOOKUP("*"&amp;表格1[[#This Row],[Input]]&amp;"*",'Ref-List'!$B:$D,2,)</f>
        <v>MM-2MM20PC(WH)</v>
      </c>
      <c r="H957" s="81" t="str">
        <f>_xlfn.XLOOKUP(表格1[[#This Row],[Model]],表格3[Model-Input-Ref2],表格3[Product Line])</f>
        <v>旋鈕式微波爐 (20公升)</v>
      </c>
      <c r="I957" s="81" t="str">
        <f>_xlfn.XLOOKUP(表格1[[#This Row],[Model]],表格3[Model-Input-Ref2],表格3[大小電])</f>
        <v>細電</v>
      </c>
      <c r="J957" s="81" t="str">
        <f>_xlfn.XLOOKUP(表格1[[#This Row],[Model]],表格3[Model-Input-Ref2],表格3[Code])</f>
        <v>MCA</v>
      </c>
      <c r="K957" s="82" t="s">
        <v>1388</v>
      </c>
      <c r="L957" s="81">
        <v>1</v>
      </c>
      <c r="M957" s="85">
        <v>550</v>
      </c>
      <c r="N957" s="85">
        <f>IFERROR(表格1[[#This Row],[QTY]]*表格1[[#This Row],[Unit Price]],"-")</f>
        <v>550</v>
      </c>
      <c r="O957" s="134">
        <v>1170933</v>
      </c>
      <c r="P957" s="81"/>
      <c r="Q957" s="81"/>
      <c r="R957" s="81" t="str">
        <f>_xlfn.CONCAT(表格1[[#This Row],[Model]]," ",表格1[[#This Row],[inv no]])</f>
        <v>MM-2MM20PC(WH) 1170933</v>
      </c>
      <c r="S957" s="135">
        <f>_xlfn.XLOOKUP(表格1[[#This Row],[Model]],表格3[Model-Input-Ref2],表格3[SRP PRICE])</f>
        <v>738</v>
      </c>
      <c r="T957" s="43">
        <f>表格1[[#This Row],[Unit Price]]/表格1[[#This Row],[SRP]]</f>
        <v>0.74525745257452569</v>
      </c>
      <c r="U957" s="86" t="str">
        <f>_xlfn.XLOOKUP(表格1[[#This Row],[Model]],表格3[Model-Input-Ref2],表格3[TOSHIBA/HIGHEST])</f>
        <v>Toshiba SRP</v>
      </c>
      <c r="V957" s="86" t="s">
        <v>1126</v>
      </c>
      <c r="W957" s="86" t="str">
        <f>_xlfn.CONCAT(表格1[[#This Row],[欄4]],表格1[[#This Row],[inv no]])</f>
        <v>DA1411170933</v>
      </c>
    </row>
    <row r="958" spans="1:23" hidden="1">
      <c r="A958" s="81">
        <v>956</v>
      </c>
      <c r="B958" s="81" t="s">
        <v>1470</v>
      </c>
      <c r="C958" s="81" t="s">
        <v>1247</v>
      </c>
      <c r="D958" s="82" t="str">
        <f ca="1">OFFSET(Roster!$A$3,MATCH(表格1[[#This Row],[Location]]&amp;" "&amp;表格1[[#This Row],[Shop]]&amp;"*",Roster!$A$4:$A$72,0),DAY(表格1[[#This Row],[date]]),1,1)</f>
        <v>Coco</v>
      </c>
      <c r="E958" s="81">
        <f>MONTH(表格1[[#This Row],[date]])</f>
        <v>3</v>
      </c>
      <c r="F958" s="101">
        <v>46088</v>
      </c>
      <c r="G958" s="81" t="str">
        <f>VLOOKUP("*"&amp;表格1[[#This Row],[Input]]&amp;"*",'Ref-List'!$B:$D,2,)</f>
        <v>RAD-Y200H</v>
      </c>
      <c r="H958" s="81" t="str">
        <f>_xlfn.XLOOKUP(表格1[[#This Row],[Model]],表格3[Model-Input-Ref2],表格3[Product Line])</f>
        <v>21L壓縮式抽濕機</v>
      </c>
      <c r="I958" s="81" t="str">
        <f>_xlfn.XLOOKUP(表格1[[#This Row],[Model]],表格3[Model-Input-Ref2],表格3[大小電])</f>
        <v>大電</v>
      </c>
      <c r="J958" s="81" t="str">
        <f>_xlfn.XLOOKUP(表格1[[#This Row],[Model]],表格3[Model-Input-Ref2],表格3[Code])</f>
        <v>RAC</v>
      </c>
      <c r="K958" s="82" t="s">
        <v>1241</v>
      </c>
      <c r="L958" s="81">
        <v>1</v>
      </c>
      <c r="M958" s="85">
        <v>1988</v>
      </c>
      <c r="N958" s="85">
        <f>IFERROR(表格1[[#This Row],[QTY]]*表格1[[#This Row],[Unit Price]],"-")</f>
        <v>1988</v>
      </c>
      <c r="O958" s="134">
        <v>1170942</v>
      </c>
      <c r="P958" s="81"/>
      <c r="Q958" s="81"/>
      <c r="R958" s="81" t="str">
        <f>_xlfn.CONCAT(表格1[[#This Row],[Model]]," ",表格1[[#This Row],[inv no]])</f>
        <v>RAD-Y200H 1170942</v>
      </c>
      <c r="S958" s="135">
        <f>_xlfn.XLOOKUP(表格1[[#This Row],[Model]],表格3[Model-Input-Ref2],表格3[SRP PRICE])</f>
        <v>3280</v>
      </c>
      <c r="T958" s="43">
        <f>表格1[[#This Row],[Unit Price]]/表格1[[#This Row],[SRP]]</f>
        <v>0.60609756097560974</v>
      </c>
      <c r="U958" s="86" t="str">
        <f>_xlfn.XLOOKUP(表格1[[#This Row],[Model]],表格3[Model-Input-Ref2],表格3[TOSHIBA/HIGHEST])</f>
        <v>Toshiba SRP</v>
      </c>
      <c r="V958" s="86" t="s">
        <v>1126</v>
      </c>
      <c r="W958" s="86" t="str">
        <f>_xlfn.CONCAT(表格1[[#This Row],[欄4]],表格1[[#This Row],[inv no]])</f>
        <v>DA1411170942</v>
      </c>
    </row>
    <row r="959" spans="1:23" ht="16.5" hidden="1">
      <c r="A959" s="81">
        <v>957</v>
      </c>
      <c r="B959" s="81" t="s">
        <v>1470</v>
      </c>
      <c r="C959" s="81" t="s">
        <v>1247</v>
      </c>
      <c r="D959" s="82" t="str">
        <f ca="1">OFFSET(Roster!$A$3,MATCH(表格1[[#This Row],[Location]]&amp;" "&amp;表格1[[#This Row],[Shop]]&amp;"*",Roster!$A$4:$A$72,0),DAY(表格1[[#This Row],[date]]),1,1)</f>
        <v>Coco</v>
      </c>
      <c r="E959" s="81">
        <f>MONTH(表格1[[#This Row],[date]])</f>
        <v>3</v>
      </c>
      <c r="F959" s="101">
        <v>46088</v>
      </c>
      <c r="G959" s="81" t="str">
        <f>VLOOKUP("*"&amp;表格1[[#This Row],[Input]]&amp;"*",'Ref-List'!$B:$D,2,)</f>
        <v>TW-T22BU85UWH(WK)-B</v>
      </c>
      <c r="H959" s="81" t="str">
        <f>_xlfn.XLOOKUP(表格1[[#This Row],[Model]],表格3[Model-Input-Ref2],表格3[Product Line])</f>
        <v>470MM超薄身前置式變頻洗衣機(7.5公斤, 可飛頂)</v>
      </c>
      <c r="I959" s="81" t="str">
        <f>_xlfn.XLOOKUP(表格1[[#This Row],[Model]],表格3[Model-Input-Ref2],表格3[大小電])</f>
        <v>大電</v>
      </c>
      <c r="J959" s="81" t="str">
        <f>_xlfn.XLOOKUP(表格1[[#This Row],[Model]],表格3[Model-Input-Ref2],表格3[Code])</f>
        <v>LAD</v>
      </c>
      <c r="K959" s="82" t="s">
        <v>972</v>
      </c>
      <c r="L959" s="81">
        <v>1</v>
      </c>
      <c r="M959" s="85">
        <v>3480</v>
      </c>
      <c r="N959" s="85">
        <f>IFERROR(表格1[[#This Row],[QTY]]*表格1[[#This Row],[Unit Price]],"-")</f>
        <v>3480</v>
      </c>
      <c r="O959" s="134">
        <v>1170944</v>
      </c>
      <c r="P959" s="137"/>
      <c r="Q959" s="81"/>
      <c r="R959" s="81" t="str">
        <f>_xlfn.CONCAT(表格1[[#This Row],[Model]]," ",表格1[[#This Row],[inv no]])</f>
        <v>TW-T22BU85UWH(WK)-B 1170944</v>
      </c>
      <c r="S959" s="135">
        <f>_xlfn.XLOOKUP(表格1[[#This Row],[Model]],表格3[Model-Input-Ref2],表格3[SRP PRICE])</f>
        <v>5480</v>
      </c>
      <c r="T959" s="43">
        <f>表格1[[#This Row],[Unit Price]]/表格1[[#This Row],[SRP]]</f>
        <v>0.63503649635036497</v>
      </c>
      <c r="U959" s="86" t="str">
        <f>_xlfn.XLOOKUP(表格1[[#This Row],[Model]],表格3[Model-Input-Ref2],表格3[TOSHIBA/HIGHEST])</f>
        <v>Toshiba SRP</v>
      </c>
      <c r="V959" s="86" t="s">
        <v>1126</v>
      </c>
      <c r="W959" s="86" t="str">
        <f>_xlfn.CONCAT(表格1[[#This Row],[欄4]],表格1[[#This Row],[inv no]])</f>
        <v>DA1411170944</v>
      </c>
    </row>
    <row r="960" spans="1:23" ht="16.5" hidden="1">
      <c r="A960" s="81">
        <v>958</v>
      </c>
      <c r="B960" s="81" t="s">
        <v>1470</v>
      </c>
      <c r="C960" s="81" t="s">
        <v>1247</v>
      </c>
      <c r="D960" s="82" t="str">
        <f ca="1">OFFSET(Roster!$A$3,MATCH(表格1[[#This Row],[Location]]&amp;" "&amp;表格1[[#This Row],[Shop]]&amp;"*",Roster!$A$4:$A$72,0),DAY(表格1[[#This Row],[date]]),1,1)</f>
        <v>Coco</v>
      </c>
      <c r="E960" s="81">
        <f>MONTH(表格1[[#This Row],[date]])</f>
        <v>3</v>
      </c>
      <c r="F960" s="101">
        <v>46089</v>
      </c>
      <c r="G960" s="81" t="str">
        <f>VLOOKUP("*"&amp;表格1[[#This Row],[Input]]&amp;"*",'Ref-List'!$B:$D,2,)</f>
        <v>MM2-EM20PC(WH)</v>
      </c>
      <c r="H960" s="81" t="str">
        <f>_xlfn.XLOOKUP(表格1[[#This Row],[Model]],表格3[Model-Input-Ref2],表格3[Product Line])</f>
        <v>輕觸式微波爐 (20公升)</v>
      </c>
      <c r="I960" s="81" t="str">
        <f>_xlfn.XLOOKUP(表格1[[#This Row],[Model]],表格3[Model-Input-Ref2],表格3[大小電])</f>
        <v>細電</v>
      </c>
      <c r="J960" s="81" t="str">
        <f>_xlfn.XLOOKUP(表格1[[#This Row],[Model]],表格3[Model-Input-Ref2],表格3[Code])</f>
        <v>MCA</v>
      </c>
      <c r="K960" s="82" t="s">
        <v>1276</v>
      </c>
      <c r="L960" s="81">
        <v>1</v>
      </c>
      <c r="M960" s="85">
        <v>568</v>
      </c>
      <c r="N960" s="85">
        <f>IFERROR(表格1[[#This Row],[QTY]]*表格1[[#This Row],[Unit Price]],"-")</f>
        <v>568</v>
      </c>
      <c r="O960" s="134">
        <v>1170999</v>
      </c>
      <c r="P960" s="137"/>
      <c r="Q960" s="81"/>
      <c r="R960" s="81" t="str">
        <f>_xlfn.CONCAT(表格1[[#This Row],[Model]]," ",表格1[[#This Row],[inv no]])</f>
        <v>MM2-EM20PC(WH) 1170999</v>
      </c>
      <c r="S960" s="135">
        <f>_xlfn.XLOOKUP(表格1[[#This Row],[Model]],表格3[Model-Input-Ref2],表格3[SRP PRICE])</f>
        <v>788</v>
      </c>
      <c r="T960" s="43">
        <f>表格1[[#This Row],[Unit Price]]/表格1[[#This Row],[SRP]]</f>
        <v>0.7208121827411168</v>
      </c>
      <c r="U960" s="86" t="str">
        <f>_xlfn.XLOOKUP(表格1[[#This Row],[Model]],表格3[Model-Input-Ref2],表格3[TOSHIBA/HIGHEST])</f>
        <v>Toshiba SRP</v>
      </c>
      <c r="V960" s="86" t="s">
        <v>1126</v>
      </c>
      <c r="W960" s="86" t="str">
        <f>_xlfn.CONCAT(表格1[[#This Row],[欄4]],表格1[[#This Row],[inv no]])</f>
        <v>DA1411170999</v>
      </c>
    </row>
    <row r="961" spans="1:23" hidden="1">
      <c r="A961" s="81">
        <v>959</v>
      </c>
      <c r="B961" s="81" t="s">
        <v>1470</v>
      </c>
      <c r="C961" s="81" t="s">
        <v>1247</v>
      </c>
      <c r="D961" s="82" t="str">
        <f ca="1">OFFSET(Roster!$A$3,MATCH(表格1[[#This Row],[Location]]&amp;" "&amp;表格1[[#This Row],[Shop]]&amp;"*",Roster!$A$4:$A$72,0),DAY(表格1[[#This Row],[date]]),1,1)</f>
        <v>Coco</v>
      </c>
      <c r="E961" s="81">
        <f>MONTH(表格1[[#This Row],[date]])</f>
        <v>3</v>
      </c>
      <c r="F961" s="101">
        <v>46089</v>
      </c>
      <c r="G961" s="81" t="str">
        <f>VLOOKUP("*"&amp;表格1[[#This Row],[Input]]&amp;"*",'Ref-List'!$B:$D,2,)</f>
        <v>MW3-SAC24SE(BK)</v>
      </c>
      <c r="H961" s="81" t="str">
        <f>_xlfn.XLOOKUP(表格1[[#This Row],[Model]],表格3[Model-Input-Ref2],表格3[Product Line])</f>
        <v>智能氣炸烤焗爐(24公升)</v>
      </c>
      <c r="I961" s="81" t="str">
        <f>_xlfn.XLOOKUP(表格1[[#This Row],[Model]],表格3[Model-Input-Ref2],表格3[大小電])</f>
        <v>細電</v>
      </c>
      <c r="J961" s="81" t="str">
        <f>_xlfn.XLOOKUP(表格1[[#This Row],[Model]],表格3[Model-Input-Ref2],表格3[Code])</f>
        <v>MCA</v>
      </c>
      <c r="K961" s="82" t="s">
        <v>1274</v>
      </c>
      <c r="L961" s="81">
        <v>1</v>
      </c>
      <c r="M961" s="85">
        <v>1298</v>
      </c>
      <c r="N961" s="85">
        <f>IFERROR(表格1[[#This Row],[QTY]]*表格1[[#This Row],[Unit Price]],"-")</f>
        <v>1298</v>
      </c>
      <c r="O961" s="134">
        <v>1171012</v>
      </c>
      <c r="P961" s="81"/>
      <c r="Q961" s="81"/>
      <c r="R961" s="81" t="str">
        <f>_xlfn.CONCAT(表格1[[#This Row],[Model]]," ",表格1[[#This Row],[inv no]])</f>
        <v>MW3-SAC24SE(BK) 1171012</v>
      </c>
      <c r="S961" s="135">
        <f>_xlfn.XLOOKUP(表格1[[#This Row],[Model]],表格3[Model-Input-Ref2],表格3[SRP PRICE])</f>
        <v>1680</v>
      </c>
      <c r="T961" s="43">
        <f>表格1[[#This Row],[Unit Price]]/表格1[[#This Row],[SRP]]</f>
        <v>0.77261904761904765</v>
      </c>
      <c r="U961" s="86" t="str">
        <f>_xlfn.XLOOKUP(表格1[[#This Row],[Model]],表格3[Model-Input-Ref2],表格3[TOSHIBA/HIGHEST])</f>
        <v>Toshiba SRP</v>
      </c>
      <c r="V961" s="86" t="s">
        <v>1126</v>
      </c>
      <c r="W961" s="86" t="str">
        <f>_xlfn.CONCAT(表格1[[#This Row],[欄4]],表格1[[#This Row],[inv no]])</f>
        <v>DA1411171012</v>
      </c>
    </row>
    <row r="962" spans="1:23" hidden="1">
      <c r="A962" s="81">
        <v>960</v>
      </c>
      <c r="B962" s="81" t="s">
        <v>1470</v>
      </c>
      <c r="C962" s="81" t="s">
        <v>1247</v>
      </c>
      <c r="D962" s="82" t="str">
        <f ca="1">OFFSET(Roster!$A$3,MATCH(表格1[[#This Row],[Location]]&amp;" "&amp;表格1[[#This Row],[Shop]]&amp;"*",Roster!$A$4:$A$72,0),DAY(表格1[[#This Row],[date]]),1,1)</f>
        <v>Coco</v>
      </c>
      <c r="E962" s="81">
        <f>MONTH(表格1[[#This Row],[date]])</f>
        <v>3</v>
      </c>
      <c r="F962" s="101">
        <v>46089</v>
      </c>
      <c r="G962" s="81" t="str">
        <f>VLOOKUP("*"&amp;表格1[[#This Row],[Input]]&amp;"*",'Ref-List'!$B:$D,2,)</f>
        <v>RC-5SLIH(W)</v>
      </c>
      <c r="H962" s="81" t="str">
        <f>_xlfn.XLOOKUP(表格1[[#This Row],[Model]],表格3[Model-Input-Ref2],表格3[Product Line])</f>
        <v>微型電腦珍珠飯煲</v>
      </c>
      <c r="I962" s="81" t="str">
        <f>_xlfn.XLOOKUP(表格1[[#This Row],[Model]],表格3[Model-Input-Ref2],表格3[大小電])</f>
        <v>細電</v>
      </c>
      <c r="J962" s="81" t="str">
        <f>_xlfn.XLOOKUP(表格1[[#This Row],[Model]],表格3[Model-Input-Ref2],表格3[Code])</f>
        <v>SDA</v>
      </c>
      <c r="K962" s="82" t="s">
        <v>1264</v>
      </c>
      <c r="L962" s="81">
        <v>1</v>
      </c>
      <c r="M962" s="85">
        <v>538</v>
      </c>
      <c r="N962" s="85">
        <f>IFERROR(表格1[[#This Row],[QTY]]*表格1[[#This Row],[Unit Price]],"-")</f>
        <v>538</v>
      </c>
      <c r="O962" s="134">
        <v>1171050</v>
      </c>
      <c r="P962" s="81"/>
      <c r="Q962" s="81"/>
      <c r="R962" s="81" t="str">
        <f>_xlfn.CONCAT(表格1[[#This Row],[Model]]," ",表格1[[#This Row],[inv no]])</f>
        <v>RC-5SLIH(W) 1171050</v>
      </c>
      <c r="S962" s="135">
        <f>_xlfn.XLOOKUP(表格1[[#This Row],[Model]],表格3[Model-Input-Ref2],表格3[SRP PRICE])</f>
        <v>658</v>
      </c>
      <c r="T962" s="43">
        <f>表格1[[#This Row],[Unit Price]]/表格1[[#This Row],[SRP]]</f>
        <v>0.81762917933130697</v>
      </c>
      <c r="U962" s="86" t="str">
        <f>_xlfn.XLOOKUP(表格1[[#This Row],[Model]],表格3[Model-Input-Ref2],表格3[TOSHIBA/HIGHEST])</f>
        <v>Toshiba SRP</v>
      </c>
      <c r="V962" s="86" t="s">
        <v>1126</v>
      </c>
      <c r="W962" s="86" t="str">
        <f>_xlfn.CONCAT(表格1[[#This Row],[欄4]],表格1[[#This Row],[inv no]])</f>
        <v>DA1411171050</v>
      </c>
    </row>
    <row r="963" spans="1:23" hidden="1">
      <c r="A963" s="81">
        <v>961</v>
      </c>
      <c r="B963" s="81" t="s">
        <v>1470</v>
      </c>
      <c r="C963" s="81" t="s">
        <v>1247</v>
      </c>
      <c r="D963" s="82" t="str">
        <f ca="1">OFFSET(Roster!$A$3,MATCH(表格1[[#This Row],[Location]]&amp;" "&amp;表格1[[#This Row],[Shop]]&amp;"*",Roster!$A$4:$A$72,0),DAY(表格1[[#This Row],[date]]),1,1)</f>
        <v>Coco</v>
      </c>
      <c r="E963" s="81">
        <f>MONTH(表格1[[#This Row],[date]])</f>
        <v>3</v>
      </c>
      <c r="F963" s="101">
        <v>46089</v>
      </c>
      <c r="G963" s="81" t="str">
        <f>VLOOKUP("*"&amp;表格1[[#This Row],[Input]]&amp;"*",'Ref-List'!$B:$D,2,)</f>
        <v>MM2-EM20PC(WH)</v>
      </c>
      <c r="H963" s="81" t="str">
        <f>_xlfn.XLOOKUP(表格1[[#This Row],[Model]],表格3[Model-Input-Ref2],表格3[Product Line])</f>
        <v>輕觸式微波爐 (20公升)</v>
      </c>
      <c r="I963" s="81" t="str">
        <f>_xlfn.XLOOKUP(表格1[[#This Row],[Model]],表格3[Model-Input-Ref2],表格3[大小電])</f>
        <v>細電</v>
      </c>
      <c r="J963" s="81" t="str">
        <f>_xlfn.XLOOKUP(表格1[[#This Row],[Model]],表格3[Model-Input-Ref2],表格3[Code])</f>
        <v>MCA</v>
      </c>
      <c r="K963" s="82" t="s">
        <v>1276</v>
      </c>
      <c r="L963" s="81">
        <v>1</v>
      </c>
      <c r="M963" s="85">
        <v>568</v>
      </c>
      <c r="N963" s="85">
        <f>IFERROR(表格1[[#This Row],[QTY]]*表格1[[#This Row],[Unit Price]],"-")</f>
        <v>568</v>
      </c>
      <c r="O963" s="134">
        <v>1171056</v>
      </c>
      <c r="P963" s="81"/>
      <c r="Q963" s="81"/>
      <c r="R963" s="81" t="str">
        <f>_xlfn.CONCAT(表格1[[#This Row],[Model]]," ",表格1[[#This Row],[inv no]])</f>
        <v>MM2-EM20PC(WH) 1171056</v>
      </c>
      <c r="S963" s="135">
        <f>_xlfn.XLOOKUP(表格1[[#This Row],[Model]],表格3[Model-Input-Ref2],表格3[SRP PRICE])</f>
        <v>788</v>
      </c>
      <c r="T963" s="43">
        <f>表格1[[#This Row],[Unit Price]]/表格1[[#This Row],[SRP]]</f>
        <v>0.7208121827411168</v>
      </c>
      <c r="U963" s="86" t="str">
        <f>_xlfn.XLOOKUP(表格1[[#This Row],[Model]],表格3[Model-Input-Ref2],表格3[TOSHIBA/HIGHEST])</f>
        <v>Toshiba SRP</v>
      </c>
      <c r="V963" s="86" t="s">
        <v>1126</v>
      </c>
      <c r="W963" s="86" t="str">
        <f>_xlfn.CONCAT(表格1[[#This Row],[欄4]],表格1[[#This Row],[inv no]])</f>
        <v>DA1411171056</v>
      </c>
    </row>
    <row r="964" spans="1:23" hidden="1">
      <c r="A964" s="81">
        <v>962</v>
      </c>
      <c r="B964" s="81" t="s">
        <v>1470</v>
      </c>
      <c r="C964" s="81" t="s">
        <v>1247</v>
      </c>
      <c r="D964" s="82" t="str">
        <f ca="1">OFFSET(Roster!$A$3,MATCH(表格1[[#This Row],[Location]]&amp;" "&amp;表格1[[#This Row],[Shop]]&amp;"*",Roster!$A$4:$A$72,0),DAY(表格1[[#This Row],[date]]),1,1)</f>
        <v>Coco</v>
      </c>
      <c r="E964" s="81">
        <f>MONTH(表格1[[#This Row],[date]])</f>
        <v>3</v>
      </c>
      <c r="F964" s="101">
        <v>46089</v>
      </c>
      <c r="G964" s="81" t="str">
        <f>VLOOKUP("*"&amp;表格1[[#This Row],[Input]]&amp;"*",'Ref-List'!$B:$D,2,)</f>
        <v>KT-08DH1VHK(W)</v>
      </c>
      <c r="H964" s="81" t="str">
        <f>_xlfn.XLOOKUP(表格1[[#This Row],[Model]],表格3[Model-Input-Ref2],表格3[Product Line])</f>
        <v>無線雙層電熱水壺-附可鎖壺蓋(0.8公升)</v>
      </c>
      <c r="I964" s="81" t="str">
        <f>_xlfn.XLOOKUP(表格1[[#This Row],[Model]],表格3[Model-Input-Ref2],表格3[大小電])</f>
        <v>細電</v>
      </c>
      <c r="J964" s="81" t="str">
        <f>_xlfn.XLOOKUP(表格1[[#This Row],[Model]],表格3[Model-Input-Ref2],表格3[Code])</f>
        <v>SDA</v>
      </c>
      <c r="K964" s="82" t="s">
        <v>1268</v>
      </c>
      <c r="L964" s="81">
        <v>1</v>
      </c>
      <c r="M964" s="85">
        <v>268</v>
      </c>
      <c r="N964" s="85">
        <f>IFERROR(表格1[[#This Row],[QTY]]*表格1[[#This Row],[Unit Price]],"-")</f>
        <v>268</v>
      </c>
      <c r="O964" s="134">
        <v>1171064</v>
      </c>
      <c r="P964" s="81"/>
      <c r="Q964" s="81"/>
      <c r="R964" s="81" t="str">
        <f>_xlfn.CONCAT(表格1[[#This Row],[Model]]," ",表格1[[#This Row],[inv no]])</f>
        <v>KT-08DH1VHK(W) 1171064</v>
      </c>
      <c r="S964" s="135">
        <f>_xlfn.XLOOKUP(表格1[[#This Row],[Model]],表格3[Model-Input-Ref2],表格3[SRP PRICE])</f>
        <v>428</v>
      </c>
      <c r="T964" s="43">
        <f>表格1[[#This Row],[Unit Price]]/表格1[[#This Row],[SRP]]</f>
        <v>0.62616822429906538</v>
      </c>
      <c r="U964" s="86" t="str">
        <f>_xlfn.XLOOKUP(表格1[[#This Row],[Model]],表格3[Model-Input-Ref2],表格3[TOSHIBA/HIGHEST])</f>
        <v>Toshiba SRP</v>
      </c>
      <c r="V964" s="86" t="s">
        <v>1126</v>
      </c>
      <c r="W964" s="86" t="str">
        <f>_xlfn.CONCAT(表格1[[#This Row],[欄4]],表格1[[#This Row],[inv no]])</f>
        <v>DA1411171064</v>
      </c>
    </row>
    <row r="965" spans="1:23" hidden="1">
      <c r="A965" s="81">
        <v>963</v>
      </c>
      <c r="B965" s="81" t="s">
        <v>1470</v>
      </c>
      <c r="C965" s="81" t="s">
        <v>1247</v>
      </c>
      <c r="D965" s="82" t="str">
        <f ca="1">OFFSET(Roster!$A$3,MATCH(表格1[[#This Row],[Location]]&amp;" "&amp;表格1[[#This Row],[Shop]]&amp;"*",Roster!$A$4:$A$72,0),DAY(表格1[[#This Row],[date]]),1,1)</f>
        <v>Coco</v>
      </c>
      <c r="E965" s="81">
        <f>MONTH(表格1[[#This Row],[date]])</f>
        <v>3</v>
      </c>
      <c r="F965" s="101">
        <v>46089</v>
      </c>
      <c r="G965" s="81" t="str">
        <f>VLOOKUP("*"&amp;表格1[[#This Row],[Input]]&amp;"*",'Ref-List'!$B:$D,2,)</f>
        <v>KT-17SHNH</v>
      </c>
      <c r="H965" s="81" t="str">
        <f>_xlfn.XLOOKUP(表格1[[#This Row],[Model]],表格3[Model-Input-Ref2],表格3[Product Line])</f>
        <v>1.7L無線雙層電熱水壺</v>
      </c>
      <c r="I965" s="81" t="str">
        <f>_xlfn.XLOOKUP(表格1[[#This Row],[Model]],表格3[Model-Input-Ref2],表格3[大小電])</f>
        <v>細電</v>
      </c>
      <c r="J965" s="81" t="str">
        <f>_xlfn.XLOOKUP(表格1[[#This Row],[Model]],表格3[Model-Input-Ref2],表格3[Code])</f>
        <v>SDA</v>
      </c>
      <c r="K965" s="82" t="s">
        <v>1283</v>
      </c>
      <c r="L965" s="81">
        <v>1</v>
      </c>
      <c r="M965" s="85">
        <v>198</v>
      </c>
      <c r="N965" s="85">
        <f>IFERROR(表格1[[#This Row],[QTY]]*表格1[[#This Row],[Unit Price]],"-")</f>
        <v>198</v>
      </c>
      <c r="O965" s="134">
        <v>1171061</v>
      </c>
      <c r="P965" s="81"/>
      <c r="Q965" s="81"/>
      <c r="R965" s="81" t="str">
        <f>_xlfn.CONCAT(表格1[[#This Row],[Model]]," ",表格1[[#This Row],[inv no]])</f>
        <v>KT-17SHNH 1171061</v>
      </c>
      <c r="S965" s="135">
        <f>_xlfn.XLOOKUP(表格1[[#This Row],[Model]],表格3[Model-Input-Ref2],表格3[SRP PRICE])</f>
        <v>299</v>
      </c>
      <c r="T965" s="43">
        <f>表格1[[#This Row],[Unit Price]]/表格1[[#This Row],[SRP]]</f>
        <v>0.66220735785953178</v>
      </c>
      <c r="U965" s="86" t="str">
        <f>_xlfn.XLOOKUP(表格1[[#This Row],[Model]],表格3[Model-Input-Ref2],表格3[TOSHIBA/HIGHEST])</f>
        <v>Shops Highest Price</v>
      </c>
      <c r="V965" s="86" t="s">
        <v>1126</v>
      </c>
      <c r="W965" s="86" t="str">
        <f>_xlfn.CONCAT(表格1[[#This Row],[欄4]],表格1[[#This Row],[inv no]])</f>
        <v>DA1411171061</v>
      </c>
    </row>
    <row r="966" spans="1:23" hidden="1">
      <c r="A966" s="81">
        <v>964</v>
      </c>
      <c r="B966" s="81" t="s">
        <v>1470</v>
      </c>
      <c r="C966" s="81" t="s">
        <v>1247</v>
      </c>
      <c r="D966" s="82" t="str">
        <f ca="1">OFFSET(Roster!$A$3,MATCH(表格1[[#This Row],[Location]]&amp;" "&amp;表格1[[#This Row],[Shop]]&amp;"*",Roster!$A$4:$A$72,0),DAY(表格1[[#This Row],[date]]),1,1)</f>
        <v>Coco</v>
      </c>
      <c r="E966" s="81">
        <f>MONTH(表格1[[#This Row],[date]])</f>
        <v>3</v>
      </c>
      <c r="F966" s="101">
        <v>46092</v>
      </c>
      <c r="G966" s="81" t="str">
        <f>VLOOKUP("*"&amp;表格1[[#This Row],[Input]]&amp;"*",'Ref-List'!$B:$D,2,)</f>
        <v>RAC-18G3CVRGR-HK</v>
      </c>
      <c r="H966" s="81" t="str">
        <f>_xlfn.XLOOKUP(表格1[[#This Row],[Model]],表格3[Model-Input-Ref2],表格3[Product Line])</f>
        <v>2 匹 R32變頻窗口式冷氣機 (remote)</v>
      </c>
      <c r="I966" s="81" t="str">
        <f>_xlfn.XLOOKUP(表格1[[#This Row],[Model]],表格3[Model-Input-Ref2],表格3[大小電])</f>
        <v>大電</v>
      </c>
      <c r="J966" s="81" t="str">
        <f>_xlfn.XLOOKUP(表格1[[#This Row],[Model]],表格3[Model-Input-Ref2],表格3[Code])</f>
        <v>AC</v>
      </c>
      <c r="K966" s="82" t="s">
        <v>1471</v>
      </c>
      <c r="L966" s="81">
        <v>1</v>
      </c>
      <c r="M966" s="85">
        <v>6998</v>
      </c>
      <c r="N966" s="85">
        <f>IFERROR(表格1[[#This Row],[QTY]]*表格1[[#This Row],[Unit Price]],"-")</f>
        <v>6998</v>
      </c>
      <c r="O966" s="134">
        <v>1171295</v>
      </c>
      <c r="P966" s="81"/>
      <c r="Q966" s="81"/>
      <c r="R966" s="81" t="str">
        <f>_xlfn.CONCAT(表格1[[#This Row],[Model]]," ",表格1[[#This Row],[inv no]])</f>
        <v>RAC-18G3CVRGR-HK 1171295</v>
      </c>
      <c r="S966" s="135">
        <f>_xlfn.XLOOKUP(表格1[[#This Row],[Model]],表格3[Model-Input-Ref2],表格3[SRP PRICE])</f>
        <v>10380</v>
      </c>
      <c r="T966" s="43">
        <f>表格1[[#This Row],[Unit Price]]/表格1[[#This Row],[SRP]]</f>
        <v>0.67418111753371868</v>
      </c>
      <c r="U966" s="86" t="str">
        <f>_xlfn.XLOOKUP(表格1[[#This Row],[Model]],表格3[Model-Input-Ref2],表格3[TOSHIBA/HIGHEST])</f>
        <v>Toshiba SRP</v>
      </c>
      <c r="V966" s="86" t="s">
        <v>1126</v>
      </c>
      <c r="W966" s="86" t="str">
        <f>_xlfn.CONCAT(表格1[[#This Row],[欄4]],表格1[[#This Row],[inv no]])</f>
        <v>DA1411171295</v>
      </c>
    </row>
    <row r="967" spans="1:23" hidden="1">
      <c r="A967" s="81">
        <v>965</v>
      </c>
      <c r="B967" s="81" t="s">
        <v>1470</v>
      </c>
      <c r="C967" s="81" t="s">
        <v>1247</v>
      </c>
      <c r="D967" s="82" t="str">
        <f ca="1">OFFSET(Roster!$A$3,MATCH(表格1[[#This Row],[Location]]&amp;" "&amp;表格1[[#This Row],[Shop]]&amp;"*",Roster!$A$4:$A$72,0),DAY(表格1[[#This Row],[date]]),1,1)</f>
        <v>Coco</v>
      </c>
      <c r="E967" s="81">
        <f>MONTH(表格1[[#This Row],[date]])</f>
        <v>3</v>
      </c>
      <c r="F967" s="101">
        <v>46092</v>
      </c>
      <c r="G967" s="81" t="str">
        <f>VLOOKUP("*"&amp;表格1[[#This Row],[Input]]&amp;"*",'Ref-List'!$B:$D,2,)</f>
        <v>RAC-18G3CVRGR-HK</v>
      </c>
      <c r="H967" s="81" t="str">
        <f>_xlfn.XLOOKUP(表格1[[#This Row],[Model]],表格3[Model-Input-Ref2],表格3[Product Line])</f>
        <v>2 匹 R32變頻窗口式冷氣機 (remote)</v>
      </c>
      <c r="I967" s="81" t="str">
        <f>_xlfn.XLOOKUP(表格1[[#This Row],[Model]],表格3[Model-Input-Ref2],表格3[大小電])</f>
        <v>大電</v>
      </c>
      <c r="J967" s="81" t="str">
        <f>_xlfn.XLOOKUP(表格1[[#This Row],[Model]],表格3[Model-Input-Ref2],表格3[Code])</f>
        <v>AC</v>
      </c>
      <c r="K967" s="82" t="s">
        <v>1471</v>
      </c>
      <c r="L967" s="81">
        <v>1</v>
      </c>
      <c r="M967" s="85">
        <v>6998</v>
      </c>
      <c r="N967" s="85">
        <f>IFERROR(表格1[[#This Row],[QTY]]*表格1[[#This Row],[Unit Price]],"-")</f>
        <v>6998</v>
      </c>
      <c r="O967" s="134">
        <v>1171294</v>
      </c>
      <c r="P967" s="81"/>
      <c r="Q967" s="81"/>
      <c r="R967" s="81" t="str">
        <f>_xlfn.CONCAT(表格1[[#This Row],[Model]]," ",表格1[[#This Row],[inv no]])</f>
        <v>RAC-18G3CVRGR-HK 1171294</v>
      </c>
      <c r="S967" s="135">
        <f>_xlfn.XLOOKUP(表格1[[#This Row],[Model]],表格3[Model-Input-Ref2],表格3[SRP PRICE])</f>
        <v>10380</v>
      </c>
      <c r="T967" s="43">
        <f>表格1[[#This Row],[Unit Price]]/表格1[[#This Row],[SRP]]</f>
        <v>0.67418111753371868</v>
      </c>
      <c r="U967" s="86" t="str">
        <f>_xlfn.XLOOKUP(表格1[[#This Row],[Model]],表格3[Model-Input-Ref2],表格3[TOSHIBA/HIGHEST])</f>
        <v>Toshiba SRP</v>
      </c>
      <c r="V967" s="86" t="s">
        <v>1126</v>
      </c>
      <c r="W967" s="86" t="str">
        <f>_xlfn.CONCAT(表格1[[#This Row],[欄4]],表格1[[#This Row],[inv no]])</f>
        <v>DA1411171294</v>
      </c>
    </row>
    <row r="968" spans="1:23" hidden="1">
      <c r="A968" s="81">
        <v>966</v>
      </c>
      <c r="B968" s="81" t="s">
        <v>1470</v>
      </c>
      <c r="C968" s="81" t="s">
        <v>1247</v>
      </c>
      <c r="D968" s="82" t="str">
        <f ca="1">OFFSET(Roster!$A$3,MATCH(表格1[[#This Row],[Location]]&amp;" "&amp;表格1[[#This Row],[Shop]]&amp;"*",Roster!$A$4:$A$72,0),DAY(表格1[[#This Row],[date]]),1,1)</f>
        <v>Coco</v>
      </c>
      <c r="E968" s="81">
        <f>MONTH(表格1[[#This Row],[date]])</f>
        <v>3</v>
      </c>
      <c r="F968" s="101">
        <v>46092</v>
      </c>
      <c r="G968" s="81" t="str">
        <f>VLOOKUP("*"&amp;表格1[[#This Row],[Input]]&amp;"*",'Ref-List'!$B:$D,2,)</f>
        <v>MM2-EM20PC(WH)</v>
      </c>
      <c r="H968" s="81" t="str">
        <f>_xlfn.XLOOKUP(表格1[[#This Row],[Model]],表格3[Model-Input-Ref2],表格3[Product Line])</f>
        <v>輕觸式微波爐 (20公升)</v>
      </c>
      <c r="I968" s="81" t="str">
        <f>_xlfn.XLOOKUP(表格1[[#This Row],[Model]],表格3[Model-Input-Ref2],表格3[大小電])</f>
        <v>細電</v>
      </c>
      <c r="J968" s="81" t="str">
        <f>_xlfn.XLOOKUP(表格1[[#This Row],[Model]],表格3[Model-Input-Ref2],表格3[Code])</f>
        <v>MCA</v>
      </c>
      <c r="K968" s="82" t="s">
        <v>1276</v>
      </c>
      <c r="L968" s="81">
        <v>1</v>
      </c>
      <c r="M968" s="85">
        <v>568</v>
      </c>
      <c r="N968" s="85">
        <f>IFERROR(表格1[[#This Row],[QTY]]*表格1[[#This Row],[Unit Price]],"-")</f>
        <v>568</v>
      </c>
      <c r="O968" s="134">
        <v>1171301</v>
      </c>
      <c r="P968" s="81"/>
      <c r="Q968" s="81"/>
      <c r="R968" s="81" t="str">
        <f>_xlfn.CONCAT(表格1[[#This Row],[Model]]," ",表格1[[#This Row],[inv no]])</f>
        <v>MM2-EM20PC(WH) 1171301</v>
      </c>
      <c r="S968" s="135">
        <f>_xlfn.XLOOKUP(表格1[[#This Row],[Model]],表格3[Model-Input-Ref2],表格3[SRP PRICE])</f>
        <v>788</v>
      </c>
      <c r="T968" s="43">
        <f>表格1[[#This Row],[Unit Price]]/表格1[[#This Row],[SRP]]</f>
        <v>0.7208121827411168</v>
      </c>
      <c r="U968" s="86" t="str">
        <f>_xlfn.XLOOKUP(表格1[[#This Row],[Model]],表格3[Model-Input-Ref2],表格3[TOSHIBA/HIGHEST])</f>
        <v>Toshiba SRP</v>
      </c>
      <c r="V968" s="86" t="s">
        <v>1126</v>
      </c>
      <c r="W968" s="86" t="str">
        <f>_xlfn.CONCAT(表格1[[#This Row],[欄4]],表格1[[#This Row],[inv no]])</f>
        <v>DA1411171301</v>
      </c>
    </row>
    <row r="969" spans="1:23" hidden="1">
      <c r="A969" s="81">
        <v>967</v>
      </c>
      <c r="B969" s="81" t="s">
        <v>1470</v>
      </c>
      <c r="C969" s="81" t="s">
        <v>1247</v>
      </c>
      <c r="D969" s="82" t="str">
        <f ca="1">OFFSET(Roster!$A$3,MATCH(表格1[[#This Row],[Location]]&amp;" "&amp;表格1[[#This Row],[Shop]]&amp;"*",Roster!$A$4:$A$72,0),DAY(表格1[[#This Row],[date]]),1,1)</f>
        <v>Coco</v>
      </c>
      <c r="E969" s="81">
        <f>MONTH(表格1[[#This Row],[date]])</f>
        <v>3</v>
      </c>
      <c r="F969" s="101">
        <v>46093</v>
      </c>
      <c r="G969" s="81" t="str">
        <f>VLOOKUP("*"&amp;表格1[[#This Row],[Input]]&amp;"*",'Ref-List'!$B:$D,2,)</f>
        <v>RAD-D300H</v>
      </c>
      <c r="H969" s="81" t="str">
        <f>_xlfn.XLOOKUP(表格1[[#This Row],[Model]],表格3[Model-Input-Ref2],表格3[Product Line])</f>
        <v>壓縮式抽濕機 (30公升)</v>
      </c>
      <c r="I969" s="81" t="str">
        <f>_xlfn.XLOOKUP(表格1[[#This Row],[Model]],表格3[Model-Input-Ref2],表格3[大小電])</f>
        <v>細電</v>
      </c>
      <c r="J969" s="81" t="str">
        <f>_xlfn.XLOOKUP(表格1[[#This Row],[Model]],表格3[Model-Input-Ref2],表格3[Code])</f>
        <v>RAC</v>
      </c>
      <c r="K969" s="82" t="s">
        <v>1252</v>
      </c>
      <c r="L969" s="81">
        <v>1</v>
      </c>
      <c r="M969" s="85">
        <v>2280</v>
      </c>
      <c r="N969" s="85">
        <f>IFERROR(表格1[[#This Row],[QTY]]*表格1[[#This Row],[Unit Price]],"-")</f>
        <v>2280</v>
      </c>
      <c r="O969" s="134">
        <v>1171329</v>
      </c>
      <c r="P969" s="81"/>
      <c r="Q969" s="81"/>
      <c r="R969" s="81" t="str">
        <f>_xlfn.CONCAT(表格1[[#This Row],[Model]]," ",表格1[[#This Row],[inv no]])</f>
        <v>RAD-D300H 1171329</v>
      </c>
      <c r="S969" s="135">
        <f>_xlfn.XLOOKUP(表格1[[#This Row],[Model]],表格3[Model-Input-Ref2],表格3[SRP PRICE])</f>
        <v>3380</v>
      </c>
      <c r="T969" s="43">
        <f>表格1[[#This Row],[Unit Price]]/表格1[[#This Row],[SRP]]</f>
        <v>0.67455621301775148</v>
      </c>
      <c r="U969" s="86" t="str">
        <f>_xlfn.XLOOKUP(表格1[[#This Row],[Model]],表格3[Model-Input-Ref2],表格3[TOSHIBA/HIGHEST])</f>
        <v>Shops Highest Price</v>
      </c>
      <c r="V969" s="86" t="s">
        <v>1126</v>
      </c>
      <c r="W969" s="86" t="str">
        <f>_xlfn.CONCAT(表格1[[#This Row],[欄4]],表格1[[#This Row],[inv no]])</f>
        <v>DA1411171329</v>
      </c>
    </row>
    <row r="970" spans="1:23" hidden="1">
      <c r="A970" s="81">
        <v>968</v>
      </c>
      <c r="B970" s="81" t="s">
        <v>1470</v>
      </c>
      <c r="C970" s="81" t="s">
        <v>1247</v>
      </c>
      <c r="D970" s="82" t="str">
        <f ca="1">OFFSET(Roster!$A$3,MATCH(表格1[[#This Row],[Location]]&amp;" "&amp;表格1[[#This Row],[Shop]]&amp;"*",Roster!$A$4:$A$72,0),DAY(表格1[[#This Row],[date]]),1,1)</f>
        <v>Coco</v>
      </c>
      <c r="E970" s="81">
        <f>MONTH(表格1[[#This Row],[date]])</f>
        <v>3</v>
      </c>
      <c r="F970" s="101">
        <v>46093</v>
      </c>
      <c r="G970" s="81" t="str">
        <f>VLOOKUP("*"&amp;表格1[[#This Row],[Input]]&amp;"*",'Ref-List'!$B:$D,2,)</f>
        <v>RC-10NMFIH(WT)</v>
      </c>
      <c r="H970" s="81" t="str">
        <f>_xlfn.XLOOKUP(表格1[[#This Row],[Model]],表格3[Model-Input-Ref2],表格3[Product Line])</f>
        <v>4毫米厚釜電飯煲1L</v>
      </c>
      <c r="I970" s="81" t="str">
        <f>_xlfn.XLOOKUP(表格1[[#This Row],[Model]],表格3[Model-Input-Ref2],表格3[大小電])</f>
        <v>細電</v>
      </c>
      <c r="J970" s="81" t="str">
        <f>_xlfn.XLOOKUP(表格1[[#This Row],[Model]],表格3[Model-Input-Ref2],表格3[Code])</f>
        <v>SDA</v>
      </c>
      <c r="K970" s="82" t="s">
        <v>1244</v>
      </c>
      <c r="L970" s="81">
        <v>1</v>
      </c>
      <c r="M970" s="85">
        <v>709</v>
      </c>
      <c r="N970" s="85">
        <f>IFERROR(表格1[[#This Row],[QTY]]*表格1[[#This Row],[Unit Price]],"-")</f>
        <v>709</v>
      </c>
      <c r="O970" s="134">
        <v>1171338</v>
      </c>
      <c r="P970" s="81"/>
      <c r="Q970" s="81"/>
      <c r="R970" s="81" t="str">
        <f>_xlfn.CONCAT(表格1[[#This Row],[Model]]," ",表格1[[#This Row],[inv no]])</f>
        <v>RC-10NMFIH(WT) 1171338</v>
      </c>
      <c r="S970" s="135">
        <f>_xlfn.XLOOKUP(表格1[[#This Row],[Model]],表格3[Model-Input-Ref2],表格3[SRP PRICE])</f>
        <v>898</v>
      </c>
      <c r="T970" s="43">
        <f>表格1[[#This Row],[Unit Price]]/表格1[[#This Row],[SRP]]</f>
        <v>0.78953229398663693</v>
      </c>
      <c r="U970" s="86" t="str">
        <f>_xlfn.XLOOKUP(表格1[[#This Row],[Model]],表格3[Model-Input-Ref2],表格3[TOSHIBA/HIGHEST])</f>
        <v>Toshiba SRP</v>
      </c>
      <c r="V970" s="86" t="s">
        <v>1126</v>
      </c>
      <c r="W970" s="86" t="str">
        <f>_xlfn.CONCAT(表格1[[#This Row],[欄4]],表格1[[#This Row],[inv no]])</f>
        <v>DA1411171338</v>
      </c>
    </row>
    <row r="971" spans="1:23" hidden="1">
      <c r="A971" s="81">
        <v>969</v>
      </c>
      <c r="B971" s="81" t="s">
        <v>1470</v>
      </c>
      <c r="C971" s="81" t="s">
        <v>1247</v>
      </c>
      <c r="D971" s="82" t="str">
        <f ca="1">OFFSET(Roster!$A$3,MATCH(表格1[[#This Row],[Location]]&amp;" "&amp;表格1[[#This Row],[Shop]]&amp;"*",Roster!$A$4:$A$72,0),DAY(表格1[[#This Row],[date]]),1,1)</f>
        <v>Coco</v>
      </c>
      <c r="E971" s="81">
        <f>MONTH(表格1[[#This Row],[date]])</f>
        <v>3</v>
      </c>
      <c r="F971" s="101">
        <v>46093</v>
      </c>
      <c r="G971" s="81" t="str">
        <f>VLOOKUP("*"&amp;表格1[[#This Row],[Input]]&amp;"*",'Ref-List'!$B:$D,2,)</f>
        <v>RC-18NMFIH(WT)</v>
      </c>
      <c r="H971" s="81" t="str">
        <f>_xlfn.XLOOKUP(表格1[[#This Row],[Model]],表格3[Model-Input-Ref2],表格3[Product Line])</f>
        <v>4毫米厚釜電飯煲1.8L</v>
      </c>
      <c r="I971" s="81" t="str">
        <f>_xlfn.XLOOKUP(表格1[[#This Row],[Model]],表格3[Model-Input-Ref2],表格3[大小電])</f>
        <v>細電</v>
      </c>
      <c r="J971" s="81" t="str">
        <f>_xlfn.XLOOKUP(表格1[[#This Row],[Model]],表格3[Model-Input-Ref2],表格3[Code])</f>
        <v>SDA</v>
      </c>
      <c r="K971" s="82" t="s">
        <v>1267</v>
      </c>
      <c r="L971" s="81">
        <v>1</v>
      </c>
      <c r="M971" s="85">
        <v>799</v>
      </c>
      <c r="N971" s="85">
        <f>IFERROR(表格1[[#This Row],[QTY]]*表格1[[#This Row],[Unit Price]],"-")</f>
        <v>799</v>
      </c>
      <c r="O971" s="134">
        <v>1171337</v>
      </c>
      <c r="P971" s="81"/>
      <c r="Q971" s="81"/>
      <c r="R971" s="81" t="str">
        <f>_xlfn.CONCAT(表格1[[#This Row],[Model]]," ",表格1[[#This Row],[inv no]])</f>
        <v>RC-18NMFIH(WT) 1171337</v>
      </c>
      <c r="S971" s="135">
        <f>_xlfn.XLOOKUP(表格1[[#This Row],[Model]],表格3[Model-Input-Ref2],表格3[SRP PRICE])</f>
        <v>998</v>
      </c>
      <c r="T971" s="43">
        <f>表格1[[#This Row],[Unit Price]]/表格1[[#This Row],[SRP]]</f>
        <v>0.80060120240480959</v>
      </c>
      <c r="U971" s="86" t="str">
        <f>_xlfn.XLOOKUP(表格1[[#This Row],[Model]],表格3[Model-Input-Ref2],表格3[TOSHIBA/HIGHEST])</f>
        <v>Toshiba SRP</v>
      </c>
      <c r="V971" s="86" t="s">
        <v>1126</v>
      </c>
      <c r="W971" s="86" t="str">
        <f>_xlfn.CONCAT(表格1[[#This Row],[欄4]],表格1[[#This Row],[inv no]])</f>
        <v>DA1411171337</v>
      </c>
    </row>
    <row r="972" spans="1:23" hidden="1">
      <c r="A972" s="81">
        <v>970</v>
      </c>
      <c r="B972" s="81" t="s">
        <v>1470</v>
      </c>
      <c r="C972" s="81" t="s">
        <v>1247</v>
      </c>
      <c r="D972" s="82" t="str">
        <f ca="1">OFFSET(Roster!$A$3,MATCH(表格1[[#This Row],[Location]]&amp;" "&amp;表格1[[#This Row],[Shop]]&amp;"*",Roster!$A$4:$A$72,0),DAY(表格1[[#This Row],[date]]),1,1)</f>
        <v>Coco</v>
      </c>
      <c r="E972" s="81">
        <f>MONTH(表格1[[#This Row],[date]])</f>
        <v>3</v>
      </c>
      <c r="F972" s="101">
        <v>46093</v>
      </c>
      <c r="G972" s="81" t="str">
        <f>VLOOKUP("*"&amp;表格1[[#This Row],[Input]]&amp;"*",'Ref-List'!$B:$D,2,)</f>
        <v>TL-MC35Z</v>
      </c>
      <c r="H972" s="81" t="str">
        <f>_xlfn.XLOOKUP(表格1[[#This Row],[Model]],表格3[Model-Input-Ref2],表格3[Product Line])</f>
        <v>35L多功能電焗爐</v>
      </c>
      <c r="I972" s="81" t="str">
        <f>_xlfn.XLOOKUP(表格1[[#This Row],[Model]],表格3[Model-Input-Ref2],表格3[大小電])</f>
        <v>細電</v>
      </c>
      <c r="J972" s="81" t="str">
        <f>_xlfn.XLOOKUP(表格1[[#This Row],[Model]],表格3[Model-Input-Ref2],表格3[Code])</f>
        <v>SDA</v>
      </c>
      <c r="K972" s="82" t="s">
        <v>1295</v>
      </c>
      <c r="L972" s="81">
        <v>1</v>
      </c>
      <c r="M972" s="85">
        <v>888</v>
      </c>
      <c r="N972" s="85">
        <f>IFERROR(表格1[[#This Row],[QTY]]*表格1[[#This Row],[Unit Price]],"-")</f>
        <v>888</v>
      </c>
      <c r="O972" s="134">
        <v>1171357</v>
      </c>
      <c r="P972" s="81"/>
      <c r="Q972" s="81"/>
      <c r="R972" s="81" t="str">
        <f>_xlfn.CONCAT(表格1[[#This Row],[Model]]," ",表格1[[#This Row],[inv no]])</f>
        <v>TL-MC35Z 1171357</v>
      </c>
      <c r="S972" s="135">
        <f>_xlfn.XLOOKUP(表格1[[#This Row],[Model]],表格3[Model-Input-Ref2],表格3[SRP PRICE])</f>
        <v>1098</v>
      </c>
      <c r="T972" s="43">
        <f>表格1[[#This Row],[Unit Price]]/表格1[[#This Row],[SRP]]</f>
        <v>0.80874316939890711</v>
      </c>
      <c r="U972" s="86" t="str">
        <f>_xlfn.XLOOKUP(表格1[[#This Row],[Model]],表格3[Model-Input-Ref2],表格3[TOSHIBA/HIGHEST])</f>
        <v>Toshiba SRP</v>
      </c>
      <c r="V972" s="86" t="s">
        <v>1126</v>
      </c>
      <c r="W972" s="86" t="str">
        <f>_xlfn.CONCAT(表格1[[#This Row],[欄4]],表格1[[#This Row],[inv no]])</f>
        <v>DA1411171357</v>
      </c>
    </row>
    <row r="973" spans="1:23" hidden="1">
      <c r="A973" s="81">
        <v>971</v>
      </c>
      <c r="B973" s="81" t="s">
        <v>1470</v>
      </c>
      <c r="C973" s="81" t="s">
        <v>1247</v>
      </c>
      <c r="D973" s="82" t="str">
        <f ca="1">OFFSET(Roster!$A$3,MATCH(表格1[[#This Row],[Location]]&amp;" "&amp;表格1[[#This Row],[Shop]]&amp;"*",Roster!$A$4:$A$72,0),DAY(表格1[[#This Row],[date]]),1,1)</f>
        <v>Coco</v>
      </c>
      <c r="E973" s="81">
        <f>MONTH(表格1[[#This Row],[date]])</f>
        <v>3</v>
      </c>
      <c r="F973" s="101">
        <v>46093</v>
      </c>
      <c r="G973" s="81" t="str">
        <f>VLOOKUP("*"&amp;表格1[[#This Row],[Input]]&amp;"*",'Ref-List'!$B:$D,2,)</f>
        <v>GR-RT300WE-PMA(57)</v>
      </c>
      <c r="H973" s="81" t="str">
        <f>_xlfn.XLOOKUP(表格1[[#This Row],[Model]],表格3[Model-Input-Ref2],表格3[Product Line])</f>
        <v>變頻式環保雙門雪櫃(233L)</v>
      </c>
      <c r="I973" s="81" t="str">
        <f>_xlfn.XLOOKUP(表格1[[#This Row],[Model]],表格3[Model-Input-Ref2],表格3[大小電])</f>
        <v>大電</v>
      </c>
      <c r="J973" s="81" t="str">
        <f>_xlfn.XLOOKUP(表格1[[#This Row],[Model]],表格3[Model-Input-Ref2],表格3[Code])</f>
        <v>REF</v>
      </c>
      <c r="K973" s="82" t="s">
        <v>1462</v>
      </c>
      <c r="L973" s="81">
        <v>1</v>
      </c>
      <c r="M973" s="85">
        <v>2780</v>
      </c>
      <c r="N973" s="85">
        <f>IFERROR(表格1[[#This Row],[QTY]]*表格1[[#This Row],[Unit Price]],"-")</f>
        <v>2780</v>
      </c>
      <c r="O973" s="134">
        <v>1171361</v>
      </c>
      <c r="P973" s="81"/>
      <c r="Q973" s="81"/>
      <c r="R973" s="81" t="str">
        <f>_xlfn.CONCAT(表格1[[#This Row],[Model]]," ",表格1[[#This Row],[inv no]])</f>
        <v>GR-RT300WE-PMA(57) 1171361</v>
      </c>
      <c r="S973" s="135">
        <f>_xlfn.XLOOKUP(表格1[[#This Row],[Model]],表格3[Model-Input-Ref2],表格3[SRP PRICE])</f>
        <v>4280</v>
      </c>
      <c r="T973" s="43">
        <f>表格1[[#This Row],[Unit Price]]/表格1[[#This Row],[SRP]]</f>
        <v>0.64953271028037385</v>
      </c>
      <c r="U973" s="86" t="str">
        <f>_xlfn.XLOOKUP(表格1[[#This Row],[Model]],表格3[Model-Input-Ref2],表格3[TOSHIBA/HIGHEST])</f>
        <v>Toshiba SRP</v>
      </c>
      <c r="V973" s="86" t="s">
        <v>1126</v>
      </c>
      <c r="W973" s="86" t="str">
        <f>_xlfn.CONCAT(表格1[[#This Row],[欄4]],表格1[[#This Row],[inv no]])</f>
        <v>DA1411171361</v>
      </c>
    </row>
    <row r="974" spans="1:23" hidden="1">
      <c r="A974" s="81">
        <v>972</v>
      </c>
      <c r="B974" s="81" t="s">
        <v>1470</v>
      </c>
      <c r="C974" s="81" t="s">
        <v>1247</v>
      </c>
      <c r="D974" s="82" t="str">
        <f ca="1">OFFSET(Roster!$A$3,MATCH(表格1[[#This Row],[Location]]&amp;" "&amp;表格1[[#This Row],[Shop]]&amp;"*",Roster!$A$4:$A$72,0),DAY(表格1[[#This Row],[date]]),1,1)</f>
        <v>Coco</v>
      </c>
      <c r="E974" s="81">
        <f>MONTH(表格1[[#This Row],[date]])</f>
        <v>3</v>
      </c>
      <c r="F974" s="101">
        <v>46093</v>
      </c>
      <c r="G974" s="81" t="str">
        <f>VLOOKUP("*"&amp;表格1[[#This Row],[Input]]&amp;"*",'Ref-List'!$B:$D,2,)</f>
        <v>TWD-BN90GF4H(WK)</v>
      </c>
      <c r="H974" s="81" t="str">
        <f>_xlfn.XLOOKUP(表格1[[#This Row],[Model]],表格3[Model-Input-Ref2],表格3[Product Line])</f>
        <v>超薄身前置式洗衣乾衣機 (洗8公斤 乾5公斤)</v>
      </c>
      <c r="I974" s="81" t="str">
        <f>_xlfn.XLOOKUP(表格1[[#This Row],[Model]],表格3[Model-Input-Ref2],表格3[大小電])</f>
        <v>大電</v>
      </c>
      <c r="J974" s="81" t="str">
        <f>_xlfn.XLOOKUP(表格1[[#This Row],[Model]],表格3[Model-Input-Ref2],表格3[Code])</f>
        <v>WM</v>
      </c>
      <c r="K974" s="82" t="s">
        <v>1199</v>
      </c>
      <c r="L974" s="81">
        <v>1</v>
      </c>
      <c r="M974" s="85">
        <v>3788</v>
      </c>
      <c r="N974" s="85">
        <f>IFERROR(表格1[[#This Row],[QTY]]*表格1[[#This Row],[Unit Price]],"-")</f>
        <v>3788</v>
      </c>
      <c r="O974" s="134">
        <v>1171398</v>
      </c>
      <c r="P974" s="81"/>
      <c r="Q974" s="81"/>
      <c r="R974" s="81" t="str">
        <f>_xlfn.CONCAT(表格1[[#This Row],[Model]]," ",表格1[[#This Row],[inv no]])</f>
        <v>TWD-BN90GF4H(WK) 1171398</v>
      </c>
      <c r="S974" s="135">
        <f>_xlfn.XLOOKUP(表格1[[#This Row],[Model]],表格3[Model-Input-Ref2],表格3[SRP PRICE])</f>
        <v>5980</v>
      </c>
      <c r="T974" s="43">
        <f>表格1[[#This Row],[Unit Price]]/表格1[[#This Row],[SRP]]</f>
        <v>0.63344481605351166</v>
      </c>
      <c r="U974" s="86" t="str">
        <f>_xlfn.XLOOKUP(表格1[[#This Row],[Model]],表格3[Model-Input-Ref2],表格3[TOSHIBA/HIGHEST])</f>
        <v>Toshiba SRP</v>
      </c>
      <c r="V974" s="86" t="s">
        <v>1126</v>
      </c>
      <c r="W974" s="86" t="str">
        <f>_xlfn.CONCAT(表格1[[#This Row],[欄4]],表格1[[#This Row],[inv no]])</f>
        <v>DA1411171398</v>
      </c>
    </row>
    <row r="975" spans="1:23" hidden="1">
      <c r="A975" s="81">
        <v>973</v>
      </c>
      <c r="B975" s="81" t="s">
        <v>1470</v>
      </c>
      <c r="C975" s="81" t="s">
        <v>1247</v>
      </c>
      <c r="D975" s="82" t="str">
        <f ca="1">OFFSET(Roster!$A$3,MATCH(表格1[[#This Row],[Location]]&amp;" "&amp;表格1[[#This Row],[Shop]]&amp;"*",Roster!$A$4:$A$72,0),DAY(表格1[[#This Row],[date]]),1,1)</f>
        <v>Coco</v>
      </c>
      <c r="E975" s="81">
        <f>MONTH(表格1[[#This Row],[date]])</f>
        <v>3</v>
      </c>
      <c r="F975" s="101">
        <v>46095</v>
      </c>
      <c r="G975" s="81" t="str">
        <f>VLOOKUP("*"&amp;表格1[[#This Row],[Input]]&amp;"*",'Ref-List'!$B:$D,2,)</f>
        <v>RAD-D300H</v>
      </c>
      <c r="H975" s="81" t="str">
        <f>_xlfn.XLOOKUP(表格1[[#This Row],[Model]],表格3[Model-Input-Ref2],表格3[Product Line])</f>
        <v>壓縮式抽濕機 (30公升)</v>
      </c>
      <c r="I975" s="81" t="str">
        <f>_xlfn.XLOOKUP(表格1[[#This Row],[Model]],表格3[Model-Input-Ref2],表格3[大小電])</f>
        <v>細電</v>
      </c>
      <c r="J975" s="81" t="str">
        <f>_xlfn.XLOOKUP(表格1[[#This Row],[Model]],表格3[Model-Input-Ref2],表格3[Code])</f>
        <v>RAC</v>
      </c>
      <c r="K975" s="82" t="s">
        <v>1252</v>
      </c>
      <c r="L975" s="81">
        <v>1</v>
      </c>
      <c r="M975" s="85">
        <v>2280</v>
      </c>
      <c r="N975" s="85">
        <f>IFERROR(表格1[[#This Row],[QTY]]*表格1[[#This Row],[Unit Price]],"-")</f>
        <v>2280</v>
      </c>
      <c r="O975" s="134">
        <v>1171472</v>
      </c>
      <c r="P975" s="81"/>
      <c r="Q975" s="81"/>
      <c r="R975" s="81" t="str">
        <f>_xlfn.CONCAT(表格1[[#This Row],[Model]]," ",表格1[[#This Row],[inv no]])</f>
        <v>RAD-D300H 1171472</v>
      </c>
      <c r="S975" s="135">
        <f>_xlfn.XLOOKUP(表格1[[#This Row],[Model]],表格3[Model-Input-Ref2],表格3[SRP PRICE])</f>
        <v>3380</v>
      </c>
      <c r="T975" s="43">
        <f>表格1[[#This Row],[Unit Price]]/表格1[[#This Row],[SRP]]</f>
        <v>0.67455621301775148</v>
      </c>
      <c r="U975" s="86" t="str">
        <f>_xlfn.XLOOKUP(表格1[[#This Row],[Model]],表格3[Model-Input-Ref2],表格3[TOSHIBA/HIGHEST])</f>
        <v>Shops Highest Price</v>
      </c>
      <c r="V975" s="86" t="s">
        <v>1126</v>
      </c>
      <c r="W975" s="86" t="str">
        <f>_xlfn.CONCAT(表格1[[#This Row],[欄4]],表格1[[#This Row],[inv no]])</f>
        <v>DA1411171472</v>
      </c>
    </row>
    <row r="976" spans="1:23" hidden="1">
      <c r="A976" s="81">
        <v>974</v>
      </c>
      <c r="B976" s="81" t="s">
        <v>1470</v>
      </c>
      <c r="C976" s="81" t="s">
        <v>1247</v>
      </c>
      <c r="D976" s="82" t="str">
        <f ca="1">OFFSET(Roster!$A$3,MATCH(表格1[[#This Row],[Location]]&amp;" "&amp;表格1[[#This Row],[Shop]]&amp;"*",Roster!$A$4:$A$72,0),DAY(表格1[[#This Row],[date]]),1,1)</f>
        <v>Coco</v>
      </c>
      <c r="E976" s="81">
        <f>MONTH(表格1[[#This Row],[date]])</f>
        <v>3</v>
      </c>
      <c r="F976" s="101">
        <v>46095</v>
      </c>
      <c r="G976" s="81" t="str">
        <f>VLOOKUP("*"&amp;表格1[[#This Row],[Input]]&amp;"*",'Ref-List'!$B:$D,2,)</f>
        <v>RC-10ISSHK(W)</v>
      </c>
      <c r="H976" s="81" t="str">
        <f>_xlfn.XLOOKUP(表格1[[#This Row],[Model]],表格3[Model-Input-Ref2],表格3[Product Line])</f>
        <v>磁應電飯煲(1公升)</v>
      </c>
      <c r="I976" s="81" t="str">
        <f>_xlfn.XLOOKUP(表格1[[#This Row],[Model]],表格3[Model-Input-Ref2],表格3[大小電])</f>
        <v>細電</v>
      </c>
      <c r="J976" s="81" t="str">
        <f>_xlfn.XLOOKUP(表格1[[#This Row],[Model]],表格3[Model-Input-Ref2],表格3[Code])</f>
        <v>SDA</v>
      </c>
      <c r="K976" s="82" t="s">
        <v>1286</v>
      </c>
      <c r="L976" s="81">
        <v>1</v>
      </c>
      <c r="M976" s="85">
        <v>898</v>
      </c>
      <c r="N976" s="85">
        <f>IFERROR(表格1[[#This Row],[QTY]]*表格1[[#This Row],[Unit Price]],"-")</f>
        <v>898</v>
      </c>
      <c r="O976" s="134">
        <v>1171403</v>
      </c>
      <c r="P976" s="81"/>
      <c r="Q976" s="81"/>
      <c r="R976" s="81" t="str">
        <f>_xlfn.CONCAT(表格1[[#This Row],[Model]]," ",表格1[[#This Row],[inv no]])</f>
        <v>RC-10ISSHK(W) 1171403</v>
      </c>
      <c r="S976" s="135">
        <f>_xlfn.XLOOKUP(表格1[[#This Row],[Model]],表格3[Model-Input-Ref2],表格3[SRP PRICE])</f>
        <v>1188</v>
      </c>
      <c r="T976" s="43">
        <f>表格1[[#This Row],[Unit Price]]/表格1[[#This Row],[SRP]]</f>
        <v>0.75589225589225584</v>
      </c>
      <c r="U976" s="86" t="str">
        <f>_xlfn.XLOOKUP(表格1[[#This Row],[Model]],表格3[Model-Input-Ref2],表格3[TOSHIBA/HIGHEST])</f>
        <v>Shops Highest Price</v>
      </c>
      <c r="V976" s="86" t="s">
        <v>1126</v>
      </c>
      <c r="W976" s="86" t="str">
        <f>_xlfn.CONCAT(表格1[[#This Row],[欄4]],表格1[[#This Row],[inv no]])</f>
        <v>DA1411171403</v>
      </c>
    </row>
    <row r="977" spans="1:23" hidden="1">
      <c r="A977" s="81">
        <v>975</v>
      </c>
      <c r="B977" s="81" t="s">
        <v>1470</v>
      </c>
      <c r="C977" s="81" t="s">
        <v>1247</v>
      </c>
      <c r="D977" s="82" t="str">
        <f ca="1">OFFSET(Roster!$A$3,MATCH(表格1[[#This Row],[Location]]&amp;" "&amp;表格1[[#This Row],[Shop]]&amp;"*",Roster!$A$4:$A$72,0),DAY(表格1[[#This Row],[date]]),1,1)</f>
        <v>Coco</v>
      </c>
      <c r="E977" s="81">
        <f>MONTH(表格1[[#This Row],[date]])</f>
        <v>3</v>
      </c>
      <c r="F977" s="101">
        <v>46095</v>
      </c>
      <c r="G977" s="81" t="str">
        <f>VLOOKUP("*"&amp;表格1[[#This Row],[Input]]&amp;"*",'Ref-List'!$B:$D,2,)</f>
        <v>TW-T21BU90UWH(WW)</v>
      </c>
      <c r="H977" s="81" t="str">
        <f>_xlfn.XLOOKUP(表格1[[#This Row],[Model]],表格3[Model-Input-Ref2],表格3[Product Line])</f>
        <v>8公斤超薄身前置式變頻洗衣機</v>
      </c>
      <c r="I977" s="81" t="str">
        <f>_xlfn.XLOOKUP(表格1[[#This Row],[Model]],表格3[Model-Input-Ref2],表格3[大小電])</f>
        <v>大電</v>
      </c>
      <c r="J977" s="81" t="str">
        <f>_xlfn.XLOOKUP(表格1[[#This Row],[Model]],表格3[Model-Input-Ref2],表格3[Code])</f>
        <v>LAD</v>
      </c>
      <c r="K977" s="82" t="s">
        <v>1472</v>
      </c>
      <c r="L977" s="81">
        <v>1</v>
      </c>
      <c r="M977" s="85">
        <v>3080</v>
      </c>
      <c r="N977" s="85">
        <f>IFERROR(表格1[[#This Row],[QTY]]*表格1[[#This Row],[Unit Price]],"-")</f>
        <v>3080</v>
      </c>
      <c r="O977" s="134">
        <v>1171500</v>
      </c>
      <c r="P977" s="81"/>
      <c r="Q977" s="81"/>
      <c r="R977" s="81" t="str">
        <f>_xlfn.CONCAT(表格1[[#This Row],[Model]]," ",表格1[[#This Row],[inv no]])</f>
        <v>TW-T21BU90UWH(WW) 1171500</v>
      </c>
      <c r="S977" s="135">
        <f>_xlfn.XLOOKUP(表格1[[#This Row],[Model]],表格3[Model-Input-Ref2],表格3[SRP PRICE])</f>
        <v>5480</v>
      </c>
      <c r="T977" s="43">
        <f>表格1[[#This Row],[Unit Price]]/表格1[[#This Row],[SRP]]</f>
        <v>0.56204379562043794</v>
      </c>
      <c r="U977" s="86" t="str">
        <f>_xlfn.XLOOKUP(表格1[[#This Row],[Model]],表格3[Model-Input-Ref2],表格3[TOSHIBA/HIGHEST])</f>
        <v>Toshiba SRP</v>
      </c>
      <c r="V977" s="86" t="s">
        <v>1126</v>
      </c>
      <c r="W977" s="86" t="str">
        <f>_xlfn.CONCAT(表格1[[#This Row],[欄4]],表格1[[#This Row],[inv no]])</f>
        <v>DA1411171500</v>
      </c>
    </row>
    <row r="978" spans="1:23" hidden="1">
      <c r="A978" s="81">
        <v>976</v>
      </c>
      <c r="B978" s="81" t="s">
        <v>1470</v>
      </c>
      <c r="C978" s="81" t="s">
        <v>1247</v>
      </c>
      <c r="D978" s="82" t="str">
        <f ca="1">OFFSET(Roster!$A$3,MATCH(表格1[[#This Row],[Location]]&amp;" "&amp;表格1[[#This Row],[Shop]]&amp;"*",Roster!$A$4:$A$72,0),DAY(表格1[[#This Row],[date]]),1,1)</f>
        <v>Coco</v>
      </c>
      <c r="E978" s="81">
        <f>MONTH(表格1[[#This Row],[date]])</f>
        <v>3</v>
      </c>
      <c r="F978" s="101">
        <v>46095</v>
      </c>
      <c r="G978" s="81" t="str">
        <f>VLOOKUP("*"&amp;表格1[[#This Row],[Input]]&amp;"*",'Ref-List'!$B:$D,2,)</f>
        <v>GR-RT300WE-PMA(57)</v>
      </c>
      <c r="H978" s="81" t="str">
        <f>_xlfn.XLOOKUP(表格1[[#This Row],[Model]],表格3[Model-Input-Ref2],表格3[Product Line])</f>
        <v>變頻式環保雙門雪櫃(233L)</v>
      </c>
      <c r="I978" s="81" t="str">
        <f>_xlfn.XLOOKUP(表格1[[#This Row],[Model]],表格3[Model-Input-Ref2],表格3[大小電])</f>
        <v>大電</v>
      </c>
      <c r="J978" s="81" t="str">
        <f>_xlfn.XLOOKUP(表格1[[#This Row],[Model]],表格3[Model-Input-Ref2],表格3[Code])</f>
        <v>REF</v>
      </c>
      <c r="K978" s="82" t="s">
        <v>1462</v>
      </c>
      <c r="L978" s="81">
        <v>1</v>
      </c>
      <c r="M978" s="85">
        <v>2780</v>
      </c>
      <c r="N978" s="85">
        <f>IFERROR(表格1[[#This Row],[QTY]]*表格1[[#This Row],[Unit Price]],"-")</f>
        <v>2780</v>
      </c>
      <c r="O978" s="134">
        <v>1171504</v>
      </c>
      <c r="P978" s="81"/>
      <c r="Q978" s="81"/>
      <c r="R978" s="81" t="str">
        <f>_xlfn.CONCAT(表格1[[#This Row],[Model]]," ",表格1[[#This Row],[inv no]])</f>
        <v>GR-RT300WE-PMA(57) 1171504</v>
      </c>
      <c r="S978" s="135">
        <f>_xlfn.XLOOKUP(表格1[[#This Row],[Model]],表格3[Model-Input-Ref2],表格3[SRP PRICE])</f>
        <v>4280</v>
      </c>
      <c r="T978" s="43">
        <f>表格1[[#This Row],[Unit Price]]/表格1[[#This Row],[SRP]]</f>
        <v>0.64953271028037385</v>
      </c>
      <c r="U978" s="86" t="str">
        <f>_xlfn.XLOOKUP(表格1[[#This Row],[Model]],表格3[Model-Input-Ref2],表格3[TOSHIBA/HIGHEST])</f>
        <v>Toshiba SRP</v>
      </c>
      <c r="V978" s="86" t="s">
        <v>1126</v>
      </c>
      <c r="W978" s="86" t="str">
        <f>_xlfn.CONCAT(表格1[[#This Row],[欄4]],表格1[[#This Row],[inv no]])</f>
        <v>DA1411171504</v>
      </c>
    </row>
    <row r="979" spans="1:23" hidden="1">
      <c r="A979" s="81">
        <v>977</v>
      </c>
      <c r="B979" s="81" t="s">
        <v>1470</v>
      </c>
      <c r="C979" s="81" t="s">
        <v>1247</v>
      </c>
      <c r="D979" s="82" t="str">
        <f ca="1">OFFSET(Roster!$A$3,MATCH(表格1[[#This Row],[Location]]&amp;" "&amp;表格1[[#This Row],[Shop]]&amp;"*",Roster!$A$4:$A$72,0),DAY(表格1[[#This Row],[date]]),1,1)</f>
        <v>Coco</v>
      </c>
      <c r="E979" s="81">
        <f>MONTH(表格1[[#This Row],[date]])</f>
        <v>3</v>
      </c>
      <c r="F979" s="101">
        <v>46096</v>
      </c>
      <c r="G979" s="81" t="str">
        <f>VLOOKUP("*"&amp;表格1[[#This Row],[Input]]&amp;"*",'Ref-List'!$B:$D,2,)</f>
        <v>RAD-D300H</v>
      </c>
      <c r="H979" s="81" t="str">
        <f>_xlfn.XLOOKUP(表格1[[#This Row],[Model]],表格3[Model-Input-Ref2],表格3[Product Line])</f>
        <v>壓縮式抽濕機 (30公升)</v>
      </c>
      <c r="I979" s="81" t="str">
        <f>_xlfn.XLOOKUP(表格1[[#This Row],[Model]],表格3[Model-Input-Ref2],表格3[大小電])</f>
        <v>細電</v>
      </c>
      <c r="J979" s="81" t="str">
        <f>_xlfn.XLOOKUP(表格1[[#This Row],[Model]],表格3[Model-Input-Ref2],表格3[Code])</f>
        <v>RAC</v>
      </c>
      <c r="K979" s="82" t="s">
        <v>1252</v>
      </c>
      <c r="L979" s="81">
        <v>1</v>
      </c>
      <c r="M979" s="85">
        <v>2280</v>
      </c>
      <c r="N979" s="85">
        <f>IFERROR(表格1[[#This Row],[QTY]]*表格1[[#This Row],[Unit Price]],"-")</f>
        <v>2280</v>
      </c>
      <c r="O979" s="134">
        <v>1171516</v>
      </c>
      <c r="P979" s="81"/>
      <c r="Q979" s="81"/>
      <c r="R979" s="81" t="str">
        <f>_xlfn.CONCAT(表格1[[#This Row],[Model]]," ",表格1[[#This Row],[inv no]])</f>
        <v>RAD-D300H 1171516</v>
      </c>
      <c r="S979" s="135">
        <f>_xlfn.XLOOKUP(表格1[[#This Row],[Model]],表格3[Model-Input-Ref2],表格3[SRP PRICE])</f>
        <v>3380</v>
      </c>
      <c r="T979" s="43">
        <f>表格1[[#This Row],[Unit Price]]/表格1[[#This Row],[SRP]]</f>
        <v>0.67455621301775148</v>
      </c>
      <c r="U979" s="86" t="str">
        <f>_xlfn.XLOOKUP(表格1[[#This Row],[Model]],表格3[Model-Input-Ref2],表格3[TOSHIBA/HIGHEST])</f>
        <v>Shops Highest Price</v>
      </c>
      <c r="V979" s="86" t="s">
        <v>1126</v>
      </c>
      <c r="W979" s="86" t="str">
        <f>_xlfn.CONCAT(表格1[[#This Row],[欄4]],表格1[[#This Row],[inv no]])</f>
        <v>DA1411171516</v>
      </c>
    </row>
    <row r="980" spans="1:23" hidden="1">
      <c r="A980" s="81">
        <v>978</v>
      </c>
      <c r="B980" s="81" t="s">
        <v>1470</v>
      </c>
      <c r="C980" s="81" t="s">
        <v>1247</v>
      </c>
      <c r="D980" s="82" t="str">
        <f ca="1">OFFSET(Roster!$A$3,MATCH(表格1[[#This Row],[Location]]&amp;" "&amp;表格1[[#This Row],[Shop]]&amp;"*",Roster!$A$4:$A$72,0),DAY(表格1[[#This Row],[date]]),1,1)</f>
        <v>Coco</v>
      </c>
      <c r="E980" s="81">
        <f>MONTH(表格1[[#This Row],[date]])</f>
        <v>3</v>
      </c>
      <c r="F980" s="101">
        <v>46096</v>
      </c>
      <c r="G980" s="81" t="str">
        <f>VLOOKUP("*"&amp;表格1[[#This Row],[Input]]&amp;"*",'Ref-List'!$B:$D,2,)</f>
        <v>GR-RT300WE-PMA(57)</v>
      </c>
      <c r="H980" s="81" t="str">
        <f>_xlfn.XLOOKUP(表格1[[#This Row],[Model]],表格3[Model-Input-Ref2],表格3[Product Line])</f>
        <v>變頻式環保雙門雪櫃(233L)</v>
      </c>
      <c r="I980" s="81" t="str">
        <f>_xlfn.XLOOKUP(表格1[[#This Row],[Model]],表格3[Model-Input-Ref2],表格3[大小電])</f>
        <v>大電</v>
      </c>
      <c r="J980" s="81" t="str">
        <f>_xlfn.XLOOKUP(表格1[[#This Row],[Model]],表格3[Model-Input-Ref2],表格3[Code])</f>
        <v>REF</v>
      </c>
      <c r="K980" s="82" t="s">
        <v>1462</v>
      </c>
      <c r="L980" s="81">
        <v>1</v>
      </c>
      <c r="M980" s="85">
        <v>2780</v>
      </c>
      <c r="N980" s="85">
        <f>IFERROR(表格1[[#This Row],[QTY]]*表格1[[#This Row],[Unit Price]],"-")</f>
        <v>2780</v>
      </c>
      <c r="O980" s="134">
        <v>1171522</v>
      </c>
      <c r="P980" s="81"/>
      <c r="Q980" s="81"/>
      <c r="R980" s="81" t="str">
        <f>_xlfn.CONCAT(表格1[[#This Row],[Model]]," ",表格1[[#This Row],[inv no]])</f>
        <v>GR-RT300WE-PMA(57) 1171522</v>
      </c>
      <c r="S980" s="135">
        <f>_xlfn.XLOOKUP(表格1[[#This Row],[Model]],表格3[Model-Input-Ref2],表格3[SRP PRICE])</f>
        <v>4280</v>
      </c>
      <c r="T980" s="43">
        <f>表格1[[#This Row],[Unit Price]]/表格1[[#This Row],[SRP]]</f>
        <v>0.64953271028037385</v>
      </c>
      <c r="U980" s="86" t="str">
        <f>_xlfn.XLOOKUP(表格1[[#This Row],[Model]],表格3[Model-Input-Ref2],表格3[TOSHIBA/HIGHEST])</f>
        <v>Toshiba SRP</v>
      </c>
      <c r="V980" s="86" t="s">
        <v>1126</v>
      </c>
      <c r="W980" s="86" t="str">
        <f>_xlfn.CONCAT(表格1[[#This Row],[欄4]],表格1[[#This Row],[inv no]])</f>
        <v>DA1411171522</v>
      </c>
    </row>
    <row r="981" spans="1:23" hidden="1">
      <c r="A981" s="81">
        <v>979</v>
      </c>
      <c r="B981" s="81" t="s">
        <v>1470</v>
      </c>
      <c r="C981" s="81" t="s">
        <v>1247</v>
      </c>
      <c r="D981" s="82" t="str">
        <f ca="1">OFFSET(Roster!$A$3,MATCH(表格1[[#This Row],[Location]]&amp;" "&amp;表格1[[#This Row],[Shop]]&amp;"*",Roster!$A$4:$A$72,0),DAY(表格1[[#This Row],[date]]),1,1)</f>
        <v>Coco</v>
      </c>
      <c r="E981" s="81">
        <f>MONTH(表格1[[#This Row],[date]])</f>
        <v>3</v>
      </c>
      <c r="F981" s="101">
        <v>46096</v>
      </c>
      <c r="G981" s="81" t="str">
        <f>VLOOKUP("*"&amp;表格1[[#This Row],[Input]]&amp;"*",'Ref-List'!$B:$D,2,)</f>
        <v>RC-10NMFIH(WT)</v>
      </c>
      <c r="H981" s="81" t="str">
        <f>_xlfn.XLOOKUP(表格1[[#This Row],[Model]],表格3[Model-Input-Ref2],表格3[Product Line])</f>
        <v>4毫米厚釜電飯煲1L</v>
      </c>
      <c r="I981" s="81" t="str">
        <f>_xlfn.XLOOKUP(表格1[[#This Row],[Model]],表格3[Model-Input-Ref2],表格3[大小電])</f>
        <v>細電</v>
      </c>
      <c r="J981" s="81" t="str">
        <f>_xlfn.XLOOKUP(表格1[[#This Row],[Model]],表格3[Model-Input-Ref2],表格3[Code])</f>
        <v>SDA</v>
      </c>
      <c r="K981" s="82" t="s">
        <v>1244</v>
      </c>
      <c r="L981" s="81">
        <v>1</v>
      </c>
      <c r="M981" s="85">
        <v>709</v>
      </c>
      <c r="N981" s="85">
        <f>IFERROR(表格1[[#This Row],[QTY]]*表格1[[#This Row],[Unit Price]],"-")</f>
        <v>709</v>
      </c>
      <c r="O981" s="134">
        <v>1171531</v>
      </c>
      <c r="P981" s="81"/>
      <c r="Q981" s="81"/>
      <c r="R981" s="81" t="str">
        <f>_xlfn.CONCAT(表格1[[#This Row],[Model]]," ",表格1[[#This Row],[inv no]])</f>
        <v>RC-10NMFIH(WT) 1171531</v>
      </c>
      <c r="S981" s="135">
        <f>_xlfn.XLOOKUP(表格1[[#This Row],[Model]],表格3[Model-Input-Ref2],表格3[SRP PRICE])</f>
        <v>898</v>
      </c>
      <c r="T981" s="43">
        <f>表格1[[#This Row],[Unit Price]]/表格1[[#This Row],[SRP]]</f>
        <v>0.78953229398663693</v>
      </c>
      <c r="U981" s="86" t="str">
        <f>_xlfn.XLOOKUP(表格1[[#This Row],[Model]],表格3[Model-Input-Ref2],表格3[TOSHIBA/HIGHEST])</f>
        <v>Toshiba SRP</v>
      </c>
      <c r="V981" s="86" t="s">
        <v>1126</v>
      </c>
      <c r="W981" s="86" t="str">
        <f>_xlfn.CONCAT(表格1[[#This Row],[欄4]],表格1[[#This Row],[inv no]])</f>
        <v>DA1411171531</v>
      </c>
    </row>
    <row r="982" spans="1:23" hidden="1">
      <c r="A982" s="81">
        <v>980</v>
      </c>
      <c r="B982" s="81" t="s">
        <v>1470</v>
      </c>
      <c r="C982" s="81" t="s">
        <v>1247</v>
      </c>
      <c r="D982" s="82" t="str">
        <f ca="1">OFFSET(Roster!$A$3,MATCH(表格1[[#This Row],[Location]]&amp;" "&amp;表格1[[#This Row],[Shop]]&amp;"*",Roster!$A$4:$A$72,0),DAY(表格1[[#This Row],[date]]),1,1)</f>
        <v>Coco</v>
      </c>
      <c r="E982" s="81">
        <f>MONTH(表格1[[#This Row],[date]])</f>
        <v>3</v>
      </c>
      <c r="F982" s="101">
        <v>46096</v>
      </c>
      <c r="G982" s="81" t="str">
        <f>VLOOKUP("*"&amp;表格1[[#This Row],[Input]]&amp;"*",'Ref-List'!$B:$D,2,)</f>
        <v>TP-50DRUHK(W)</v>
      </c>
      <c r="H982" s="81" t="str">
        <f>_xlfn.XLOOKUP(表格1[[#This Row],[Model]],表格3[Model-Input-Ref2],表格3[Product Line])</f>
        <v>電熱水瓶 (5公升)</v>
      </c>
      <c r="I982" s="81" t="str">
        <f>_xlfn.XLOOKUP(表格1[[#This Row],[Model]],表格3[Model-Input-Ref2],表格3[大小電])</f>
        <v>細電</v>
      </c>
      <c r="J982" s="81" t="str">
        <f>_xlfn.XLOOKUP(表格1[[#This Row],[Model]],表格3[Model-Input-Ref2],表格3[Code])</f>
        <v>SDA</v>
      </c>
      <c r="K982" s="82" t="s">
        <v>1277</v>
      </c>
      <c r="L982" s="81">
        <v>1</v>
      </c>
      <c r="M982" s="85">
        <v>598</v>
      </c>
      <c r="N982" s="85">
        <f>IFERROR(表格1[[#This Row],[QTY]]*表格1[[#This Row],[Unit Price]],"-")</f>
        <v>598</v>
      </c>
      <c r="O982" s="134">
        <v>1171537</v>
      </c>
      <c r="P982" s="81"/>
      <c r="Q982" s="81"/>
      <c r="R982" s="81" t="str">
        <f>_xlfn.CONCAT(表格1[[#This Row],[Model]]," ",表格1[[#This Row],[inv no]])</f>
        <v>TP-50DRUHK(W) 1171537</v>
      </c>
      <c r="S982" s="135">
        <f>_xlfn.XLOOKUP(表格1[[#This Row],[Model]],表格3[Model-Input-Ref2],表格3[SRP PRICE])</f>
        <v>718</v>
      </c>
      <c r="T982" s="43">
        <f>表格1[[#This Row],[Unit Price]]/表格1[[#This Row],[SRP]]</f>
        <v>0.83286908077994426</v>
      </c>
      <c r="U982" s="86" t="str">
        <f>_xlfn.XLOOKUP(表格1[[#This Row],[Model]],表格3[Model-Input-Ref2],表格3[TOSHIBA/HIGHEST])</f>
        <v>Toshiba SRP</v>
      </c>
      <c r="V982" s="86" t="s">
        <v>1126</v>
      </c>
      <c r="W982" s="86" t="str">
        <f>_xlfn.CONCAT(表格1[[#This Row],[欄4]],表格1[[#This Row],[inv no]])</f>
        <v>DA1411171537</v>
      </c>
    </row>
    <row r="983" spans="1:23" hidden="1">
      <c r="A983" s="81">
        <v>981</v>
      </c>
      <c r="B983" s="81" t="s">
        <v>1470</v>
      </c>
      <c r="C983" s="81" t="s">
        <v>1247</v>
      </c>
      <c r="D983" s="82" t="str">
        <f ca="1">OFFSET(Roster!$A$3,MATCH(表格1[[#This Row],[Location]]&amp;" "&amp;表格1[[#This Row],[Shop]]&amp;"*",Roster!$A$4:$A$72,0),DAY(表格1[[#This Row],[date]]),1,1)</f>
        <v>Coco</v>
      </c>
      <c r="E983" s="81">
        <f>MONTH(表格1[[#This Row],[date]])</f>
        <v>3</v>
      </c>
      <c r="F983" s="101">
        <v>46096</v>
      </c>
      <c r="G983" s="81" t="str">
        <f>VLOOKUP("*"&amp;表格1[[#This Row],[Input]]&amp;"*",'Ref-List'!$B:$D,2,)</f>
        <v>RAD-D300H</v>
      </c>
      <c r="H983" s="81" t="str">
        <f>_xlfn.XLOOKUP(表格1[[#This Row],[Model]],表格3[Model-Input-Ref2],表格3[Product Line])</f>
        <v>壓縮式抽濕機 (30公升)</v>
      </c>
      <c r="I983" s="81" t="str">
        <f>_xlfn.XLOOKUP(表格1[[#This Row],[Model]],表格3[Model-Input-Ref2],表格3[大小電])</f>
        <v>細電</v>
      </c>
      <c r="J983" s="81" t="str">
        <f>_xlfn.XLOOKUP(表格1[[#This Row],[Model]],表格3[Model-Input-Ref2],表格3[Code])</f>
        <v>RAC</v>
      </c>
      <c r="K983" s="82" t="s">
        <v>1252</v>
      </c>
      <c r="L983" s="81">
        <v>1</v>
      </c>
      <c r="M983" s="85">
        <v>2280</v>
      </c>
      <c r="N983" s="85">
        <f>IFERROR(表格1[[#This Row],[QTY]]*表格1[[#This Row],[Unit Price]],"-")</f>
        <v>2280</v>
      </c>
      <c r="O983" s="134">
        <v>1171550</v>
      </c>
      <c r="P983" s="81"/>
      <c r="Q983" s="81"/>
      <c r="R983" s="81" t="str">
        <f>_xlfn.CONCAT(表格1[[#This Row],[Model]]," ",表格1[[#This Row],[inv no]])</f>
        <v>RAD-D300H 1171550</v>
      </c>
      <c r="S983" s="135">
        <f>_xlfn.XLOOKUP(表格1[[#This Row],[Model]],表格3[Model-Input-Ref2],表格3[SRP PRICE])</f>
        <v>3380</v>
      </c>
      <c r="T983" s="43">
        <f>表格1[[#This Row],[Unit Price]]/表格1[[#This Row],[SRP]]</f>
        <v>0.67455621301775148</v>
      </c>
      <c r="U983" s="86" t="str">
        <f>_xlfn.XLOOKUP(表格1[[#This Row],[Model]],表格3[Model-Input-Ref2],表格3[TOSHIBA/HIGHEST])</f>
        <v>Shops Highest Price</v>
      </c>
      <c r="V983" s="86" t="s">
        <v>1126</v>
      </c>
      <c r="W983" s="86" t="str">
        <f>_xlfn.CONCAT(表格1[[#This Row],[欄4]],表格1[[#This Row],[inv no]])</f>
        <v>DA1411171550</v>
      </c>
    </row>
    <row r="984" spans="1:23" hidden="1">
      <c r="A984" s="81">
        <v>982</v>
      </c>
      <c r="B984" s="81" t="s">
        <v>1470</v>
      </c>
      <c r="C984" s="81" t="s">
        <v>1247</v>
      </c>
      <c r="D984" s="82" t="str">
        <f ca="1">OFFSET(Roster!$A$3,MATCH(表格1[[#This Row],[Location]]&amp;" "&amp;表格1[[#This Row],[Shop]]&amp;"*",Roster!$A$4:$A$72,0),DAY(表格1[[#This Row],[date]]),1,1)</f>
        <v>Coco</v>
      </c>
      <c r="E984" s="81">
        <f>MONTH(表格1[[#This Row],[date]])</f>
        <v>3</v>
      </c>
      <c r="F984" s="101">
        <v>46096</v>
      </c>
      <c r="G984" s="81" t="str">
        <f>VLOOKUP("*"&amp;表格1[[#This Row],[Input]]&amp;"*",'Ref-List'!$B:$D,2,)</f>
        <v>KT-17SHNH</v>
      </c>
      <c r="H984" s="81" t="str">
        <f>_xlfn.XLOOKUP(表格1[[#This Row],[Model]],表格3[Model-Input-Ref2],表格3[Product Line])</f>
        <v>1.7L無線雙層電熱水壺</v>
      </c>
      <c r="I984" s="81" t="str">
        <f>_xlfn.XLOOKUP(表格1[[#This Row],[Model]],表格3[Model-Input-Ref2],表格3[大小電])</f>
        <v>細電</v>
      </c>
      <c r="J984" s="81" t="str">
        <f>_xlfn.XLOOKUP(表格1[[#This Row],[Model]],表格3[Model-Input-Ref2],表格3[Code])</f>
        <v>SDA</v>
      </c>
      <c r="K984" s="82" t="s">
        <v>1283</v>
      </c>
      <c r="L984" s="81">
        <v>1</v>
      </c>
      <c r="M984" s="85">
        <v>198</v>
      </c>
      <c r="N984" s="85">
        <f>IFERROR(表格1[[#This Row],[QTY]]*表格1[[#This Row],[Unit Price]],"-")</f>
        <v>198</v>
      </c>
      <c r="O984" s="134">
        <v>1171551</v>
      </c>
      <c r="P984" s="81"/>
      <c r="Q984" s="81"/>
      <c r="R984" s="81" t="str">
        <f>_xlfn.CONCAT(表格1[[#This Row],[Model]]," ",表格1[[#This Row],[inv no]])</f>
        <v>KT-17SHNH 1171551</v>
      </c>
      <c r="S984" s="135">
        <f>_xlfn.XLOOKUP(表格1[[#This Row],[Model]],表格3[Model-Input-Ref2],表格3[SRP PRICE])</f>
        <v>299</v>
      </c>
      <c r="T984" s="43">
        <f>表格1[[#This Row],[Unit Price]]/表格1[[#This Row],[SRP]]</f>
        <v>0.66220735785953178</v>
      </c>
      <c r="U984" s="86" t="str">
        <f>_xlfn.XLOOKUP(表格1[[#This Row],[Model]],表格3[Model-Input-Ref2],表格3[TOSHIBA/HIGHEST])</f>
        <v>Shops Highest Price</v>
      </c>
      <c r="V984" s="86" t="s">
        <v>1126</v>
      </c>
      <c r="W984" s="86" t="str">
        <f>_xlfn.CONCAT(表格1[[#This Row],[欄4]],表格1[[#This Row],[inv no]])</f>
        <v>DA1411171551</v>
      </c>
    </row>
    <row r="985" spans="1:23" hidden="1">
      <c r="A985" s="81">
        <v>983</v>
      </c>
      <c r="B985" s="81" t="s">
        <v>1470</v>
      </c>
      <c r="C985" s="81" t="s">
        <v>1247</v>
      </c>
      <c r="D985" s="82" t="str">
        <f ca="1">OFFSET(Roster!$A$3,MATCH(表格1[[#This Row],[Location]]&amp;" "&amp;表格1[[#This Row],[Shop]]&amp;"*",Roster!$A$4:$A$72,0),DAY(表格1[[#This Row],[date]]),1,1)</f>
        <v>Coco</v>
      </c>
      <c r="E985" s="81">
        <f>MONTH(表格1[[#This Row],[date]])</f>
        <v>3</v>
      </c>
      <c r="F985" s="101">
        <v>46096</v>
      </c>
      <c r="G985" s="81" t="str">
        <f>VLOOKUP("*"&amp;表格1[[#This Row],[Input]]&amp;"*",'Ref-List'!$B:$D,2,)</f>
        <v>MX2-TT20SC(WH)</v>
      </c>
      <c r="H985" s="81" t="str">
        <f>_xlfn.XLOOKUP(表格1[[#This Row],[Model]],表格3[Model-Input-Ref2],表格3[Product Line])</f>
        <v>3合1 微波蒸焗爐 (20公升)</v>
      </c>
      <c r="I985" s="81" t="str">
        <f>_xlfn.XLOOKUP(表格1[[#This Row],[Model]],表格3[Model-Input-Ref2],表格3[大小電])</f>
        <v>細電</v>
      </c>
      <c r="J985" s="81" t="str">
        <f>_xlfn.XLOOKUP(表格1[[#This Row],[Model]],表格3[Model-Input-Ref2],表格3[Code])</f>
        <v>MCA</v>
      </c>
      <c r="K985" s="82" t="s">
        <v>1287</v>
      </c>
      <c r="L985" s="81">
        <v>1</v>
      </c>
      <c r="M985" s="85">
        <v>2580</v>
      </c>
      <c r="N985" s="85">
        <f>IFERROR(表格1[[#This Row],[QTY]]*表格1[[#This Row],[Unit Price]],"-")</f>
        <v>2580</v>
      </c>
      <c r="O985" s="134">
        <v>1171557</v>
      </c>
      <c r="P985" s="81"/>
      <c r="Q985" s="81"/>
      <c r="R985" s="81" t="str">
        <f>_xlfn.CONCAT(表格1[[#This Row],[Model]]," ",表格1[[#This Row],[inv no]])</f>
        <v>MX2-TT20SC(WH) 1171557</v>
      </c>
      <c r="S985" s="135">
        <f>_xlfn.XLOOKUP(表格1[[#This Row],[Model]],表格3[Model-Input-Ref2],表格3[SRP PRICE])</f>
        <v>3580</v>
      </c>
      <c r="T985" s="43">
        <f>表格1[[#This Row],[Unit Price]]/表格1[[#This Row],[SRP]]</f>
        <v>0.72067039106145248</v>
      </c>
      <c r="U985" s="86" t="str">
        <f>_xlfn.XLOOKUP(表格1[[#This Row],[Model]],表格3[Model-Input-Ref2],表格3[TOSHIBA/HIGHEST])</f>
        <v>Toshiba SRP</v>
      </c>
      <c r="V985" s="86" t="s">
        <v>1126</v>
      </c>
      <c r="W985" s="86" t="str">
        <f>_xlfn.CONCAT(表格1[[#This Row],[欄4]],表格1[[#This Row],[inv no]])</f>
        <v>DA1411171557</v>
      </c>
    </row>
    <row r="986" spans="1:23" hidden="1">
      <c r="A986" s="81">
        <v>984</v>
      </c>
      <c r="B986" s="81" t="s">
        <v>1470</v>
      </c>
      <c r="C986" s="81" t="s">
        <v>1247</v>
      </c>
      <c r="D986" s="82" t="str">
        <f ca="1">OFFSET(Roster!$A$3,MATCH(表格1[[#This Row],[Location]]&amp;" "&amp;表格1[[#This Row],[Shop]]&amp;"*",Roster!$A$4:$A$72,0),DAY(表格1[[#This Row],[date]]),1,1)</f>
        <v>Coco</v>
      </c>
      <c r="E986" s="81">
        <f>MONTH(表格1[[#This Row],[date]])</f>
        <v>3</v>
      </c>
      <c r="F986" s="101">
        <v>46096</v>
      </c>
      <c r="G986" s="81" t="str">
        <f>VLOOKUP("*"&amp;表格1[[#This Row],[Input]]&amp;"*",'Ref-List'!$B:$D,2,)</f>
        <v>TP-50DRUHK(W)</v>
      </c>
      <c r="H986" s="81" t="str">
        <f>_xlfn.XLOOKUP(表格1[[#This Row],[Model]],表格3[Model-Input-Ref2],表格3[Product Line])</f>
        <v>電熱水瓶 (5公升)</v>
      </c>
      <c r="I986" s="81" t="str">
        <f>_xlfn.XLOOKUP(表格1[[#This Row],[Model]],表格3[Model-Input-Ref2],表格3[大小電])</f>
        <v>細電</v>
      </c>
      <c r="J986" s="81" t="str">
        <f>_xlfn.XLOOKUP(表格1[[#This Row],[Model]],表格3[Model-Input-Ref2],表格3[Code])</f>
        <v>SDA</v>
      </c>
      <c r="K986" s="82" t="s">
        <v>1277</v>
      </c>
      <c r="L986" s="81">
        <v>1</v>
      </c>
      <c r="M986" s="85">
        <v>598</v>
      </c>
      <c r="N986" s="85">
        <f>IFERROR(表格1[[#This Row],[QTY]]*表格1[[#This Row],[Unit Price]],"-")</f>
        <v>598</v>
      </c>
      <c r="O986" s="134">
        <v>1171571</v>
      </c>
      <c r="P986" s="81"/>
      <c r="Q986" s="81"/>
      <c r="R986" s="81" t="str">
        <f>_xlfn.CONCAT(表格1[[#This Row],[Model]]," ",表格1[[#This Row],[inv no]])</f>
        <v>TP-50DRUHK(W) 1171571</v>
      </c>
      <c r="S986" s="135">
        <f>_xlfn.XLOOKUP(表格1[[#This Row],[Model]],表格3[Model-Input-Ref2],表格3[SRP PRICE])</f>
        <v>718</v>
      </c>
      <c r="T986" s="43">
        <f>表格1[[#This Row],[Unit Price]]/表格1[[#This Row],[SRP]]</f>
        <v>0.83286908077994426</v>
      </c>
      <c r="U986" s="86" t="str">
        <f>_xlfn.XLOOKUP(表格1[[#This Row],[Model]],表格3[Model-Input-Ref2],表格3[TOSHIBA/HIGHEST])</f>
        <v>Toshiba SRP</v>
      </c>
      <c r="V986" s="86" t="s">
        <v>1126</v>
      </c>
      <c r="W986" s="86" t="str">
        <f>_xlfn.CONCAT(表格1[[#This Row],[欄4]],表格1[[#This Row],[inv no]])</f>
        <v>DA1411171571</v>
      </c>
    </row>
    <row r="987" spans="1:23" hidden="1">
      <c r="A987" s="81">
        <v>985</v>
      </c>
      <c r="B987" s="81" t="s">
        <v>1470</v>
      </c>
      <c r="C987" s="81" t="s">
        <v>1247</v>
      </c>
      <c r="D987" s="82" t="str">
        <f ca="1">OFFSET(Roster!$A$3,MATCH(表格1[[#This Row],[Location]]&amp;" "&amp;表格1[[#This Row],[Shop]]&amp;"*",Roster!$A$4:$A$72,0),DAY(表格1[[#This Row],[date]]),1,1)</f>
        <v>Coco</v>
      </c>
      <c r="E987" s="81">
        <f>MONTH(表格1[[#This Row],[date]])</f>
        <v>3</v>
      </c>
      <c r="F987" s="101">
        <v>46096</v>
      </c>
      <c r="G987" s="81" t="str">
        <f>VLOOKUP("*"&amp;表格1[[#This Row],[Input]]&amp;"*",'Ref-List'!$B:$D,2,)</f>
        <v>RAD-D300H</v>
      </c>
      <c r="H987" s="81" t="str">
        <f>_xlfn.XLOOKUP(表格1[[#This Row],[Model]],表格3[Model-Input-Ref2],表格3[Product Line])</f>
        <v>壓縮式抽濕機 (30公升)</v>
      </c>
      <c r="I987" s="81" t="str">
        <f>_xlfn.XLOOKUP(表格1[[#This Row],[Model]],表格3[Model-Input-Ref2],表格3[大小電])</f>
        <v>細電</v>
      </c>
      <c r="J987" s="81" t="str">
        <f>_xlfn.XLOOKUP(表格1[[#This Row],[Model]],表格3[Model-Input-Ref2],表格3[Code])</f>
        <v>RAC</v>
      </c>
      <c r="K987" s="82" t="s">
        <v>1252</v>
      </c>
      <c r="L987" s="81">
        <v>1</v>
      </c>
      <c r="M987" s="85">
        <v>2280</v>
      </c>
      <c r="N987" s="85">
        <f>IFERROR(表格1[[#This Row],[QTY]]*表格1[[#This Row],[Unit Price]],"-")</f>
        <v>2280</v>
      </c>
      <c r="O987" s="134">
        <v>1171576</v>
      </c>
      <c r="P987" s="81"/>
      <c r="Q987" s="81"/>
      <c r="R987" s="81" t="str">
        <f>_xlfn.CONCAT(表格1[[#This Row],[Model]]," ",表格1[[#This Row],[inv no]])</f>
        <v>RAD-D300H 1171576</v>
      </c>
      <c r="S987" s="135">
        <f>_xlfn.XLOOKUP(表格1[[#This Row],[Model]],表格3[Model-Input-Ref2],表格3[SRP PRICE])</f>
        <v>3380</v>
      </c>
      <c r="T987" s="43">
        <f>表格1[[#This Row],[Unit Price]]/表格1[[#This Row],[SRP]]</f>
        <v>0.67455621301775148</v>
      </c>
      <c r="U987" s="86" t="str">
        <f>_xlfn.XLOOKUP(表格1[[#This Row],[Model]],表格3[Model-Input-Ref2],表格3[TOSHIBA/HIGHEST])</f>
        <v>Shops Highest Price</v>
      </c>
      <c r="V987" s="86" t="s">
        <v>1126</v>
      </c>
      <c r="W987" s="86" t="str">
        <f>_xlfn.CONCAT(表格1[[#This Row],[欄4]],表格1[[#This Row],[inv no]])</f>
        <v>DA1411171576</v>
      </c>
    </row>
    <row r="988" spans="1:23" hidden="1">
      <c r="A988" s="81">
        <v>986</v>
      </c>
      <c r="B988" s="81" t="s">
        <v>1470</v>
      </c>
      <c r="C988" s="81" t="s">
        <v>1247</v>
      </c>
      <c r="D988" s="82" t="str">
        <f ca="1">OFFSET(Roster!$A$3,MATCH(表格1[[#This Row],[Location]]&amp;" "&amp;表格1[[#This Row],[Shop]]&amp;"*",Roster!$A$4:$A$72,0),DAY(表格1[[#This Row],[date]]),1,1)</f>
        <v>Coco</v>
      </c>
      <c r="E988" s="81">
        <f>MONTH(表格1[[#This Row],[date]])</f>
        <v>3</v>
      </c>
      <c r="F988" s="101">
        <v>46098</v>
      </c>
      <c r="G988" s="81" t="str">
        <f>VLOOKUP("*"&amp;表格1[[#This Row],[Input]]&amp;"*",'Ref-List'!$B:$D,2,)</f>
        <v>GR-RT234WE-PMA(57)</v>
      </c>
      <c r="H988" s="81" t="str">
        <f>_xlfn.XLOOKUP(表格1[[#This Row],[Model]],表格3[Model-Input-Ref2],表格3[Product Line])</f>
        <v>變頻式環保雙門雪櫃（179L）</v>
      </c>
      <c r="I988" s="81" t="str">
        <f>_xlfn.XLOOKUP(表格1[[#This Row],[Model]],表格3[Model-Input-Ref2],表格3[大小電])</f>
        <v>大電</v>
      </c>
      <c r="J988" s="81" t="str">
        <f>_xlfn.XLOOKUP(表格1[[#This Row],[Model]],表格3[Model-Input-Ref2],表格3[Code])</f>
        <v>REF</v>
      </c>
      <c r="K988" s="82" t="s">
        <v>1423</v>
      </c>
      <c r="L988" s="81">
        <v>1</v>
      </c>
      <c r="M988" s="85">
        <v>2180</v>
      </c>
      <c r="N988" s="85">
        <f>IFERROR(表格1[[#This Row],[QTY]]*表格1[[#This Row],[Unit Price]],"-")</f>
        <v>2180</v>
      </c>
      <c r="O988" s="134">
        <v>1171581</v>
      </c>
      <c r="P988" s="81"/>
      <c r="Q988" s="81"/>
      <c r="R988" s="81" t="str">
        <f>_xlfn.CONCAT(表格1[[#This Row],[Model]]," ",表格1[[#This Row],[inv no]])</f>
        <v>GR-RT234WE-PMA(57) 1171581</v>
      </c>
      <c r="S988" s="135">
        <f>_xlfn.XLOOKUP(表格1[[#This Row],[Model]],表格3[Model-Input-Ref2],表格3[SRP PRICE])</f>
        <v>3680</v>
      </c>
      <c r="T988" s="43">
        <f>表格1[[#This Row],[Unit Price]]/表格1[[#This Row],[SRP]]</f>
        <v>0.59239130434782605</v>
      </c>
      <c r="U988" s="86" t="str">
        <f>_xlfn.XLOOKUP(表格1[[#This Row],[Model]],表格3[Model-Input-Ref2],表格3[TOSHIBA/HIGHEST])</f>
        <v>Toshiba SRP</v>
      </c>
      <c r="V988" s="86" t="s">
        <v>1126</v>
      </c>
      <c r="W988" s="86" t="str">
        <f>_xlfn.CONCAT(表格1[[#This Row],[欄4]],表格1[[#This Row],[inv no]])</f>
        <v>DA1411171581</v>
      </c>
    </row>
    <row r="989" spans="1:23" hidden="1">
      <c r="A989" s="81">
        <v>987</v>
      </c>
      <c r="B989" s="81" t="s">
        <v>1470</v>
      </c>
      <c r="C989" s="81" t="s">
        <v>1247</v>
      </c>
      <c r="D989" s="82" t="str">
        <f ca="1">OFFSET(Roster!$A$3,MATCH(表格1[[#This Row],[Location]]&amp;" "&amp;表格1[[#This Row],[Shop]]&amp;"*",Roster!$A$4:$A$72,0),DAY(表格1[[#This Row],[date]]),1,1)</f>
        <v>Coco</v>
      </c>
      <c r="E989" s="81">
        <f>MONTH(表格1[[#This Row],[date]])</f>
        <v>3</v>
      </c>
      <c r="F989" s="101">
        <v>46098</v>
      </c>
      <c r="G989" s="81" t="str">
        <f>VLOOKUP("*"&amp;表格1[[#This Row],[Input]]&amp;"*",'Ref-List'!$B:$D,2,)</f>
        <v>RAC-07G3CVG-HK</v>
      </c>
      <c r="H989" s="81" t="str">
        <f>_xlfn.XLOOKUP(表格1[[#This Row],[Model]],表格3[Model-Input-Ref2],表格3[Product Line])</f>
        <v>3/4 匹 R32變頻窗口式冷氣機</v>
      </c>
      <c r="I989" s="81" t="str">
        <f>_xlfn.XLOOKUP(表格1[[#This Row],[Model]],表格3[Model-Input-Ref2],表格3[大小電])</f>
        <v>大電</v>
      </c>
      <c r="J989" s="81" t="str">
        <f>_xlfn.XLOOKUP(表格1[[#This Row],[Model]],表格3[Model-Input-Ref2],表格3[Code])</f>
        <v>AC</v>
      </c>
      <c r="K989" s="82" t="s">
        <v>1473</v>
      </c>
      <c r="L989" s="81">
        <v>1</v>
      </c>
      <c r="M989" s="85">
        <v>3580</v>
      </c>
      <c r="N989" s="85">
        <f>IFERROR(表格1[[#This Row],[QTY]]*表格1[[#This Row],[Unit Price]],"-")</f>
        <v>3580</v>
      </c>
      <c r="O989" s="134">
        <v>1171594</v>
      </c>
      <c r="P989" s="81"/>
      <c r="Q989" s="81"/>
      <c r="R989" s="81" t="str">
        <f>_xlfn.CONCAT(表格1[[#This Row],[Model]]," ",表格1[[#This Row],[inv no]])</f>
        <v>RAC-07G3CVG-HK 1171594</v>
      </c>
      <c r="S989" s="135">
        <f>_xlfn.XLOOKUP(表格1[[#This Row],[Model]],表格3[Model-Input-Ref2],表格3[SRP PRICE])</f>
        <v>4980</v>
      </c>
      <c r="T989" s="43">
        <f>表格1[[#This Row],[Unit Price]]/表格1[[#This Row],[SRP]]</f>
        <v>0.71887550200803207</v>
      </c>
      <c r="U989" s="86" t="str">
        <f>_xlfn.XLOOKUP(表格1[[#This Row],[Model]],表格3[Model-Input-Ref2],表格3[TOSHIBA/HIGHEST])</f>
        <v>Toshiba SRP</v>
      </c>
      <c r="V989" s="86" t="s">
        <v>1126</v>
      </c>
      <c r="W989" s="86" t="str">
        <f>_xlfn.CONCAT(表格1[[#This Row],[欄4]],表格1[[#This Row],[inv no]])</f>
        <v>DA1411171594</v>
      </c>
    </row>
    <row r="990" spans="1:23" hidden="1">
      <c r="A990" s="81">
        <v>988</v>
      </c>
      <c r="B990" s="81" t="s">
        <v>1470</v>
      </c>
      <c r="C990" s="81" t="s">
        <v>1247</v>
      </c>
      <c r="D990" s="82" t="str">
        <f ca="1">OFFSET(Roster!$A$3,MATCH(表格1[[#This Row],[Location]]&amp;" "&amp;表格1[[#This Row],[Shop]]&amp;"*",Roster!$A$4:$A$72,0),DAY(表格1[[#This Row],[date]]),1,1)</f>
        <v>Coco</v>
      </c>
      <c r="E990" s="81">
        <f>MONTH(表格1[[#This Row],[date]])</f>
        <v>3</v>
      </c>
      <c r="F990" s="101">
        <v>46098</v>
      </c>
      <c r="G990" s="81" t="str">
        <f>VLOOKUP("*"&amp;表格1[[#This Row],[Input]]&amp;"*",'Ref-List'!$B:$D,2,)</f>
        <v>RC-5SLIH(W)</v>
      </c>
      <c r="H990" s="81" t="str">
        <f>_xlfn.XLOOKUP(表格1[[#This Row],[Model]],表格3[Model-Input-Ref2],表格3[Product Line])</f>
        <v>微型電腦珍珠飯煲</v>
      </c>
      <c r="I990" s="81" t="str">
        <f>_xlfn.XLOOKUP(表格1[[#This Row],[Model]],表格3[Model-Input-Ref2],表格3[大小電])</f>
        <v>細電</v>
      </c>
      <c r="J990" s="81" t="str">
        <f>_xlfn.XLOOKUP(表格1[[#This Row],[Model]],表格3[Model-Input-Ref2],表格3[Code])</f>
        <v>SDA</v>
      </c>
      <c r="K990" s="82" t="s">
        <v>1264</v>
      </c>
      <c r="L990" s="81">
        <v>1</v>
      </c>
      <c r="M990" s="85">
        <v>550</v>
      </c>
      <c r="N990" s="85">
        <f>IFERROR(表格1[[#This Row],[QTY]]*表格1[[#This Row],[Unit Price]],"-")</f>
        <v>550</v>
      </c>
      <c r="O990" s="134">
        <v>1171605</v>
      </c>
      <c r="P990" s="81"/>
      <c r="Q990" s="81"/>
      <c r="R990" s="81" t="str">
        <f>_xlfn.CONCAT(表格1[[#This Row],[Model]]," ",表格1[[#This Row],[inv no]])</f>
        <v>RC-5SLIH(W) 1171605</v>
      </c>
      <c r="S990" s="135">
        <f>_xlfn.XLOOKUP(表格1[[#This Row],[Model]],表格3[Model-Input-Ref2],表格3[SRP PRICE])</f>
        <v>658</v>
      </c>
      <c r="T990" s="43">
        <f>表格1[[#This Row],[Unit Price]]/表格1[[#This Row],[SRP]]</f>
        <v>0.83586626139817632</v>
      </c>
      <c r="U990" s="86" t="str">
        <f>_xlfn.XLOOKUP(表格1[[#This Row],[Model]],表格3[Model-Input-Ref2],表格3[TOSHIBA/HIGHEST])</f>
        <v>Toshiba SRP</v>
      </c>
      <c r="V990" s="86" t="s">
        <v>1126</v>
      </c>
      <c r="W990" s="86" t="str">
        <f>_xlfn.CONCAT(表格1[[#This Row],[欄4]],表格1[[#This Row],[inv no]])</f>
        <v>DA1411171605</v>
      </c>
    </row>
    <row r="991" spans="1:23" hidden="1">
      <c r="A991" s="81">
        <v>989</v>
      </c>
      <c r="B991" s="81" t="s">
        <v>1470</v>
      </c>
      <c r="C991" s="81" t="s">
        <v>1247</v>
      </c>
      <c r="D991" s="82" t="str">
        <f ca="1">OFFSET(Roster!$A$3,MATCH(表格1[[#This Row],[Location]]&amp;" "&amp;表格1[[#This Row],[Shop]]&amp;"*",Roster!$A$4:$A$72,0),DAY(表格1[[#This Row],[date]]),1,1)</f>
        <v>Coco</v>
      </c>
      <c r="E991" s="81">
        <f>MONTH(表格1[[#This Row],[date]])</f>
        <v>3</v>
      </c>
      <c r="F991" s="101">
        <v>46098</v>
      </c>
      <c r="G991" s="81" t="str">
        <f>VLOOKUP("*"&amp;表格1[[#This Row],[Input]]&amp;"*",'Ref-List'!$B:$D,2,)</f>
        <v>KT-17SHNH</v>
      </c>
      <c r="H991" s="81" t="str">
        <f>_xlfn.XLOOKUP(表格1[[#This Row],[Model]],表格3[Model-Input-Ref2],表格3[Product Line])</f>
        <v>1.7L無線雙層電熱水壺</v>
      </c>
      <c r="I991" s="81" t="str">
        <f>_xlfn.XLOOKUP(表格1[[#This Row],[Model]],表格3[Model-Input-Ref2],表格3[大小電])</f>
        <v>細電</v>
      </c>
      <c r="J991" s="81" t="str">
        <f>_xlfn.XLOOKUP(表格1[[#This Row],[Model]],表格3[Model-Input-Ref2],表格3[Code])</f>
        <v>SDA</v>
      </c>
      <c r="K991" s="82" t="s">
        <v>1283</v>
      </c>
      <c r="L991" s="81">
        <v>1</v>
      </c>
      <c r="M991" s="85">
        <v>195</v>
      </c>
      <c r="N991" s="85">
        <f>IFERROR(表格1[[#This Row],[QTY]]*表格1[[#This Row],[Unit Price]],"-")</f>
        <v>195</v>
      </c>
      <c r="O991" s="134">
        <v>1171644</v>
      </c>
      <c r="P991" s="81"/>
      <c r="Q991" s="81"/>
      <c r="R991" s="81" t="str">
        <f>_xlfn.CONCAT(表格1[[#This Row],[Model]]," ",表格1[[#This Row],[inv no]])</f>
        <v>KT-17SHNH 1171644</v>
      </c>
      <c r="S991" s="135">
        <f>_xlfn.XLOOKUP(表格1[[#This Row],[Model]],表格3[Model-Input-Ref2],表格3[SRP PRICE])</f>
        <v>299</v>
      </c>
      <c r="T991" s="43">
        <f>表格1[[#This Row],[Unit Price]]/表格1[[#This Row],[SRP]]</f>
        <v>0.65217391304347827</v>
      </c>
      <c r="U991" s="86" t="str">
        <f>_xlfn.XLOOKUP(表格1[[#This Row],[Model]],表格3[Model-Input-Ref2],表格3[TOSHIBA/HIGHEST])</f>
        <v>Shops Highest Price</v>
      </c>
      <c r="V991" s="86" t="s">
        <v>1126</v>
      </c>
      <c r="W991" s="86" t="str">
        <f>_xlfn.CONCAT(表格1[[#This Row],[欄4]],表格1[[#This Row],[inv no]])</f>
        <v>DA1411171644</v>
      </c>
    </row>
    <row r="992" spans="1:23" hidden="1">
      <c r="A992" s="81">
        <v>990</v>
      </c>
      <c r="B992" s="81" t="s">
        <v>1470</v>
      </c>
      <c r="C992" s="81" t="s">
        <v>1247</v>
      </c>
      <c r="D992" s="82" t="str">
        <f ca="1">OFFSET(Roster!$A$3,MATCH(表格1[[#This Row],[Location]]&amp;" "&amp;表格1[[#This Row],[Shop]]&amp;"*",Roster!$A$4:$A$72,0),DAY(表格1[[#This Row],[date]]),1,1)</f>
        <v>Coco</v>
      </c>
      <c r="E992" s="81">
        <f>MONTH(表格1[[#This Row],[date]])</f>
        <v>3</v>
      </c>
      <c r="F992" s="101">
        <v>46098</v>
      </c>
      <c r="G992" s="81" t="str">
        <f>VLOOKUP("*"&amp;表格1[[#This Row],[Input]]&amp;"*",'Ref-List'!$B:$D,2,)</f>
        <v>MM2-EM20PC(WH)</v>
      </c>
      <c r="H992" s="81" t="str">
        <f>_xlfn.XLOOKUP(表格1[[#This Row],[Model]],表格3[Model-Input-Ref2],表格3[Product Line])</f>
        <v>輕觸式微波爐 (20公升)</v>
      </c>
      <c r="I992" s="81" t="str">
        <f>_xlfn.XLOOKUP(表格1[[#This Row],[Model]],表格3[Model-Input-Ref2],表格3[大小電])</f>
        <v>細電</v>
      </c>
      <c r="J992" s="81" t="str">
        <f>_xlfn.XLOOKUP(表格1[[#This Row],[Model]],表格3[Model-Input-Ref2],表格3[Code])</f>
        <v>MCA</v>
      </c>
      <c r="K992" s="82" t="s">
        <v>1276</v>
      </c>
      <c r="L992" s="81">
        <v>1</v>
      </c>
      <c r="M992" s="85">
        <v>568</v>
      </c>
      <c r="N992" s="85">
        <f>IFERROR(表格1[[#This Row],[QTY]]*表格1[[#This Row],[Unit Price]],"-")</f>
        <v>568</v>
      </c>
      <c r="O992" s="134">
        <v>1171664</v>
      </c>
      <c r="P992" s="81"/>
      <c r="Q992" s="81"/>
      <c r="R992" s="81" t="str">
        <f>_xlfn.CONCAT(表格1[[#This Row],[Model]]," ",表格1[[#This Row],[inv no]])</f>
        <v>MM2-EM20PC(WH) 1171664</v>
      </c>
      <c r="S992" s="135">
        <f>_xlfn.XLOOKUP(表格1[[#This Row],[Model]],表格3[Model-Input-Ref2],表格3[SRP PRICE])</f>
        <v>788</v>
      </c>
      <c r="T992" s="43">
        <f>表格1[[#This Row],[Unit Price]]/表格1[[#This Row],[SRP]]</f>
        <v>0.7208121827411168</v>
      </c>
      <c r="U992" s="86" t="str">
        <f>_xlfn.XLOOKUP(表格1[[#This Row],[Model]],表格3[Model-Input-Ref2],表格3[TOSHIBA/HIGHEST])</f>
        <v>Toshiba SRP</v>
      </c>
      <c r="V992" s="86" t="s">
        <v>1126</v>
      </c>
      <c r="W992" s="86" t="str">
        <f>_xlfn.CONCAT(表格1[[#This Row],[欄4]],表格1[[#This Row],[inv no]])</f>
        <v>DA1411171664</v>
      </c>
    </row>
    <row r="993" spans="1:23" hidden="1">
      <c r="A993" s="81">
        <v>991</v>
      </c>
      <c r="B993" s="81" t="s">
        <v>1470</v>
      </c>
      <c r="C993" s="81" t="s">
        <v>1247</v>
      </c>
      <c r="D993" s="82" t="str">
        <f ca="1">OFFSET(Roster!$A$3,MATCH(表格1[[#This Row],[Location]]&amp;" "&amp;表格1[[#This Row],[Shop]]&amp;"*",Roster!$A$4:$A$72,0),DAY(表格1[[#This Row],[date]]),1,1)</f>
        <v>Coco</v>
      </c>
      <c r="E993" s="81">
        <f>MONTH(表格1[[#This Row],[date]])</f>
        <v>3</v>
      </c>
      <c r="F993" s="101">
        <v>46098</v>
      </c>
      <c r="G993" s="81" t="str">
        <f>VLOOKUP("*"&amp;表格1[[#This Row],[Input]]&amp;"*",'Ref-List'!$B:$D,2,)</f>
        <v>TWD-T21BU95UWH(WW)</v>
      </c>
      <c r="H993" s="81" t="str">
        <f>_xlfn.XLOOKUP(表格1[[#This Row],[Model]],表格3[Model-Input-Ref2],表格3[Product Line])</f>
        <v>470MM超薄身前置式變頻洗衣乾衣機 (洗8.5公斤 乾6公斤)</v>
      </c>
      <c r="I993" s="81" t="str">
        <f>_xlfn.XLOOKUP(表格1[[#This Row],[Model]],表格3[Model-Input-Ref2],表格3[大小電])</f>
        <v>大電</v>
      </c>
      <c r="J993" s="81" t="str">
        <f>_xlfn.XLOOKUP(表格1[[#This Row],[Model]],表格3[Model-Input-Ref2],表格3[Code])</f>
        <v>LAD</v>
      </c>
      <c r="K993" s="82" t="s">
        <v>1461</v>
      </c>
      <c r="L993" s="81">
        <v>1</v>
      </c>
      <c r="M993" s="85">
        <v>4290</v>
      </c>
      <c r="N993" s="85">
        <f>IFERROR(表格1[[#This Row],[QTY]]*表格1[[#This Row],[Unit Price]],"-")</f>
        <v>4290</v>
      </c>
      <c r="O993" s="134">
        <v>1171670</v>
      </c>
      <c r="P993" s="81"/>
      <c r="Q993" s="81"/>
      <c r="R993" s="81" t="str">
        <f>_xlfn.CONCAT(表格1[[#This Row],[Model]]," ",表格1[[#This Row],[inv no]])</f>
        <v>TWD-T21BU95UWH(WW) 1171670</v>
      </c>
      <c r="S993" s="135">
        <f>_xlfn.XLOOKUP(表格1[[#This Row],[Model]],表格3[Model-Input-Ref2],表格3[SRP PRICE])</f>
        <v>7280</v>
      </c>
      <c r="T993" s="43">
        <f>表格1[[#This Row],[Unit Price]]/表格1[[#This Row],[SRP]]</f>
        <v>0.5892857142857143</v>
      </c>
      <c r="U993" s="86" t="str">
        <f>_xlfn.XLOOKUP(表格1[[#This Row],[Model]],表格3[Model-Input-Ref2],表格3[TOSHIBA/HIGHEST])</f>
        <v>Toshiba SRP</v>
      </c>
      <c r="V993" s="86" t="s">
        <v>1126</v>
      </c>
      <c r="W993" s="86" t="str">
        <f>_xlfn.CONCAT(表格1[[#This Row],[欄4]],表格1[[#This Row],[inv no]])</f>
        <v>DA1411171670</v>
      </c>
    </row>
    <row r="994" spans="1:23" hidden="1">
      <c r="A994" s="81">
        <v>992</v>
      </c>
      <c r="B994" s="81" t="s">
        <v>1470</v>
      </c>
      <c r="C994" s="81" t="s">
        <v>1247</v>
      </c>
      <c r="D994" s="82" t="str">
        <f ca="1">OFFSET(Roster!$A$3,MATCH(表格1[[#This Row],[Location]]&amp;" "&amp;表格1[[#This Row],[Shop]]&amp;"*",Roster!$A$4:$A$72,0),DAY(表格1[[#This Row],[date]]),1,1)</f>
        <v>Coco</v>
      </c>
      <c r="E994" s="81">
        <f>MONTH(表格1[[#This Row],[date]])</f>
        <v>3</v>
      </c>
      <c r="F994" s="101">
        <v>46098</v>
      </c>
      <c r="G994" s="81" t="str">
        <f>VLOOKUP("*"&amp;表格1[[#This Row],[Input]]&amp;"*",'Ref-List'!$B:$D,2,)</f>
        <v>RAC-09G3CVRGR-HK</v>
      </c>
      <c r="H994" s="81" t="str">
        <f>_xlfn.XLOOKUP(表格1[[#This Row],[Model]],表格3[Model-Input-Ref2],表格3[Product Line])</f>
        <v>1 匹 R32變頻窗口式冷氣機 (獨立抽濕遙控</v>
      </c>
      <c r="I994" s="81" t="str">
        <f>_xlfn.XLOOKUP(表格1[[#This Row],[Model]],表格3[Model-Input-Ref2],表格3[大小電])</f>
        <v>大電</v>
      </c>
      <c r="J994" s="81" t="str">
        <f>_xlfn.XLOOKUP(表格1[[#This Row],[Model]],表格3[Model-Input-Ref2],表格3[Code])</f>
        <v>AC</v>
      </c>
      <c r="K994" s="82" t="s">
        <v>1474</v>
      </c>
      <c r="L994" s="81">
        <v>1</v>
      </c>
      <c r="M994" s="85">
        <v>4699</v>
      </c>
      <c r="N994" s="85">
        <f>IFERROR(表格1[[#This Row],[QTY]]*表格1[[#This Row],[Unit Price]],"-")</f>
        <v>4699</v>
      </c>
      <c r="O994" s="134">
        <v>1171681</v>
      </c>
      <c r="P994" s="81"/>
      <c r="Q994" s="81"/>
      <c r="R994" s="81" t="str">
        <f>_xlfn.CONCAT(表格1[[#This Row],[Model]]," ",表格1[[#This Row],[inv no]])</f>
        <v>RAC-09G3CVRGR-HK 1171681</v>
      </c>
      <c r="S994" s="135">
        <f>_xlfn.XLOOKUP(表格1[[#This Row],[Model]],表格3[Model-Input-Ref2],表格3[SRP PRICE])</f>
        <v>6980</v>
      </c>
      <c r="T994" s="43">
        <f>表格1[[#This Row],[Unit Price]]/表格1[[#This Row],[SRP]]</f>
        <v>0.67320916905444128</v>
      </c>
      <c r="U994" s="86" t="str">
        <f>_xlfn.XLOOKUP(表格1[[#This Row],[Model]],表格3[Model-Input-Ref2],表格3[TOSHIBA/HIGHEST])</f>
        <v>Toshiba SRP</v>
      </c>
      <c r="V994" s="86" t="s">
        <v>1126</v>
      </c>
      <c r="W994" s="86" t="str">
        <f>_xlfn.CONCAT(表格1[[#This Row],[欄4]],表格1[[#This Row],[inv no]])</f>
        <v>DA1411171681</v>
      </c>
    </row>
    <row r="995" spans="1:23" hidden="1">
      <c r="A995" s="81">
        <v>993</v>
      </c>
      <c r="B995" s="81" t="s">
        <v>1470</v>
      </c>
      <c r="C995" s="81" t="s">
        <v>1247</v>
      </c>
      <c r="D995" s="82" t="str">
        <f ca="1">OFFSET(Roster!$A$3,MATCH(表格1[[#This Row],[Location]]&amp;" "&amp;表格1[[#This Row],[Shop]]&amp;"*",Roster!$A$4:$A$72,0),DAY(表格1[[#This Row],[date]]),1,1)</f>
        <v>Coco</v>
      </c>
      <c r="E995" s="81">
        <f>MONTH(表格1[[#This Row],[date]])</f>
        <v>3</v>
      </c>
      <c r="F995" s="101">
        <v>46099</v>
      </c>
      <c r="G995" s="81" t="str">
        <f>VLOOKUP("*"&amp;表格1[[#This Row],[Input]]&amp;"*",'Ref-List'!$B:$D,2,)</f>
        <v>TW-T22BU85UWH(WK)-B</v>
      </c>
      <c r="H995" s="81" t="str">
        <f>_xlfn.XLOOKUP(表格1[[#This Row],[Model]],表格3[Model-Input-Ref2],表格3[Product Line])</f>
        <v>470MM超薄身前置式變頻洗衣機(7.5公斤, 可飛頂)</v>
      </c>
      <c r="I995" s="81" t="str">
        <f>_xlfn.XLOOKUP(表格1[[#This Row],[Model]],表格3[Model-Input-Ref2],表格3[大小電])</f>
        <v>大電</v>
      </c>
      <c r="J995" s="81" t="str">
        <f>_xlfn.XLOOKUP(表格1[[#This Row],[Model]],表格3[Model-Input-Ref2],表格3[Code])</f>
        <v>LAD</v>
      </c>
      <c r="K995" s="82" t="s">
        <v>972</v>
      </c>
      <c r="L995" s="81">
        <v>1</v>
      </c>
      <c r="M995" s="85">
        <v>3480</v>
      </c>
      <c r="N995" s="85">
        <f>IFERROR(表格1[[#This Row],[QTY]]*表格1[[#This Row],[Unit Price]],"-")</f>
        <v>3480</v>
      </c>
      <c r="O995" s="134">
        <v>1171729</v>
      </c>
      <c r="P995" s="81"/>
      <c r="Q995" s="81"/>
      <c r="R995" s="81" t="str">
        <f>_xlfn.CONCAT(表格1[[#This Row],[Model]]," ",表格1[[#This Row],[inv no]])</f>
        <v>TW-T22BU85UWH(WK)-B 1171729</v>
      </c>
      <c r="S995" s="135">
        <f>_xlfn.XLOOKUP(表格1[[#This Row],[Model]],表格3[Model-Input-Ref2],表格3[SRP PRICE])</f>
        <v>5480</v>
      </c>
      <c r="T995" s="43">
        <f>表格1[[#This Row],[Unit Price]]/表格1[[#This Row],[SRP]]</f>
        <v>0.63503649635036497</v>
      </c>
      <c r="U995" s="86" t="str">
        <f>_xlfn.XLOOKUP(表格1[[#This Row],[Model]],表格3[Model-Input-Ref2],表格3[TOSHIBA/HIGHEST])</f>
        <v>Toshiba SRP</v>
      </c>
      <c r="V995" s="86" t="s">
        <v>1126</v>
      </c>
      <c r="W995" s="86" t="str">
        <f>_xlfn.CONCAT(表格1[[#This Row],[欄4]],表格1[[#This Row],[inv no]])</f>
        <v>DA1411171729</v>
      </c>
    </row>
    <row r="996" spans="1:23" hidden="1">
      <c r="A996" s="81">
        <v>994</v>
      </c>
      <c r="B996" s="81" t="s">
        <v>1470</v>
      </c>
      <c r="C996" s="81" t="s">
        <v>1247</v>
      </c>
      <c r="D996" s="82" t="str">
        <f ca="1">OFFSET(Roster!$A$3,MATCH(表格1[[#This Row],[Location]]&amp;" "&amp;表格1[[#This Row],[Shop]]&amp;"*",Roster!$A$4:$A$72,0),DAY(表格1[[#This Row],[date]]),1,1)</f>
        <v>Coco</v>
      </c>
      <c r="E996" s="81">
        <f>MONTH(表格1[[#This Row],[date]])</f>
        <v>3</v>
      </c>
      <c r="F996" s="101">
        <v>46099</v>
      </c>
      <c r="G996" s="81" t="str">
        <f>VLOOKUP("*"&amp;表格1[[#This Row],[Input]]&amp;"*",'Ref-List'!$B:$D,2,)</f>
        <v>RC-5SLIH(W)</v>
      </c>
      <c r="H996" s="81" t="str">
        <f>_xlfn.XLOOKUP(表格1[[#This Row],[Model]],表格3[Model-Input-Ref2],表格3[Product Line])</f>
        <v>微型電腦珍珠飯煲</v>
      </c>
      <c r="I996" s="81" t="str">
        <f>_xlfn.XLOOKUP(表格1[[#This Row],[Model]],表格3[Model-Input-Ref2],表格3[大小電])</f>
        <v>細電</v>
      </c>
      <c r="J996" s="81" t="str">
        <f>_xlfn.XLOOKUP(表格1[[#This Row],[Model]],表格3[Model-Input-Ref2],表格3[Code])</f>
        <v>SDA</v>
      </c>
      <c r="K996" s="82" t="s">
        <v>1264</v>
      </c>
      <c r="L996" s="81">
        <v>1</v>
      </c>
      <c r="M996" s="85">
        <v>550</v>
      </c>
      <c r="N996" s="85">
        <f>IFERROR(表格1[[#This Row],[QTY]]*表格1[[#This Row],[Unit Price]],"-")</f>
        <v>550</v>
      </c>
      <c r="O996" s="134">
        <v>1171774</v>
      </c>
      <c r="P996" s="81"/>
      <c r="Q996" s="81"/>
      <c r="R996" s="81" t="str">
        <f>_xlfn.CONCAT(表格1[[#This Row],[Model]]," ",表格1[[#This Row],[inv no]])</f>
        <v>RC-5SLIH(W) 1171774</v>
      </c>
      <c r="S996" s="135">
        <f>_xlfn.XLOOKUP(表格1[[#This Row],[Model]],表格3[Model-Input-Ref2],表格3[SRP PRICE])</f>
        <v>658</v>
      </c>
      <c r="T996" s="43">
        <f>表格1[[#This Row],[Unit Price]]/表格1[[#This Row],[SRP]]</f>
        <v>0.83586626139817632</v>
      </c>
      <c r="U996" s="86" t="str">
        <f>_xlfn.XLOOKUP(表格1[[#This Row],[Model]],表格3[Model-Input-Ref2],表格3[TOSHIBA/HIGHEST])</f>
        <v>Toshiba SRP</v>
      </c>
      <c r="V996" s="86" t="s">
        <v>1126</v>
      </c>
      <c r="W996" s="86" t="str">
        <f>_xlfn.CONCAT(表格1[[#This Row],[欄4]],表格1[[#This Row],[inv no]])</f>
        <v>DA1411171774</v>
      </c>
    </row>
    <row r="997" spans="1:23" hidden="1">
      <c r="A997" s="81">
        <v>995</v>
      </c>
      <c r="B997" s="81" t="s">
        <v>1470</v>
      </c>
      <c r="C997" s="81" t="s">
        <v>1247</v>
      </c>
      <c r="D997" s="82" t="str">
        <f ca="1">OFFSET(Roster!$A$3,MATCH(表格1[[#This Row],[Location]]&amp;" "&amp;表格1[[#This Row],[Shop]]&amp;"*",Roster!$A$4:$A$72,0),DAY(表格1[[#This Row],[date]]),1,1)</f>
        <v>Coco</v>
      </c>
      <c r="E997" s="81">
        <f>MONTH(表格1[[#This Row],[date]])</f>
        <v>3</v>
      </c>
      <c r="F997" s="101">
        <v>46100</v>
      </c>
      <c r="G997" s="81" t="str">
        <f>VLOOKUP("*"&amp;表格1[[#This Row],[Input]]&amp;"*",'Ref-List'!$B:$D,2,)</f>
        <v>MX2-STR25SC(WH)</v>
      </c>
      <c r="H997" s="81" t="str">
        <f>_xlfn.XLOOKUP(表格1[[#This Row],[Model]],表格3[Model-Input-Ref2],表格3[Product Line])</f>
        <v>4合1氣炸微波蒸焗爐(25公升)</v>
      </c>
      <c r="I997" s="81" t="str">
        <f>_xlfn.XLOOKUP(表格1[[#This Row],[Model]],表格3[Model-Input-Ref2],表格3[大小電])</f>
        <v>細電</v>
      </c>
      <c r="J997" s="81" t="str">
        <f>_xlfn.XLOOKUP(表格1[[#This Row],[Model]],表格3[Model-Input-Ref2],表格3[Code])</f>
        <v>MCA</v>
      </c>
      <c r="K997" s="82" t="s">
        <v>1410</v>
      </c>
      <c r="L997" s="81">
        <v>1</v>
      </c>
      <c r="M997" s="85">
        <v>3450</v>
      </c>
      <c r="N997" s="85">
        <f>IFERROR(表格1[[#This Row],[QTY]]*表格1[[#This Row],[Unit Price]],"-")</f>
        <v>3450</v>
      </c>
      <c r="O997" s="134">
        <v>1171796</v>
      </c>
      <c r="P997" s="81"/>
      <c r="Q997" s="81"/>
      <c r="R997" s="81" t="str">
        <f>_xlfn.CONCAT(表格1[[#This Row],[Model]]," ",表格1[[#This Row],[inv no]])</f>
        <v>MX2-STR25SC(WH) 1171796</v>
      </c>
      <c r="S997" s="135">
        <f>_xlfn.XLOOKUP(表格1[[#This Row],[Model]],表格3[Model-Input-Ref2],表格3[SRP PRICE])</f>
        <v>4998</v>
      </c>
      <c r="T997" s="43">
        <f>表格1[[#This Row],[Unit Price]]/表格1[[#This Row],[SRP]]</f>
        <v>0.69027611044417769</v>
      </c>
      <c r="U997" s="86" t="str">
        <f>_xlfn.XLOOKUP(表格1[[#This Row],[Model]],表格3[Model-Input-Ref2],表格3[TOSHIBA/HIGHEST])</f>
        <v>Toshiba SRP</v>
      </c>
      <c r="V997" s="86" t="s">
        <v>1126</v>
      </c>
      <c r="W997" s="86" t="str">
        <f>_xlfn.CONCAT(表格1[[#This Row],[欄4]],表格1[[#This Row],[inv no]])</f>
        <v>DA1411171796</v>
      </c>
    </row>
    <row r="998" spans="1:23" hidden="1">
      <c r="A998" s="81">
        <v>996</v>
      </c>
      <c r="B998" s="81" t="s">
        <v>1470</v>
      </c>
      <c r="C998" s="81" t="s">
        <v>1247</v>
      </c>
      <c r="D998" s="82" t="str">
        <f ca="1">OFFSET(Roster!$A$3,MATCH(表格1[[#This Row],[Location]]&amp;" "&amp;表格1[[#This Row],[Shop]]&amp;"*",Roster!$A$4:$A$72,0),DAY(表格1[[#This Row],[date]]),1,1)</f>
        <v>Coco</v>
      </c>
      <c r="E998" s="81">
        <f>MONTH(表格1[[#This Row],[date]])</f>
        <v>3</v>
      </c>
      <c r="F998" s="101">
        <v>46100</v>
      </c>
      <c r="G998" s="81" t="str">
        <f>VLOOKUP("*"&amp;表格1[[#This Row],[Input]]&amp;"*",'Ref-List'!$B:$D,2,)</f>
        <v>RAD-D300H</v>
      </c>
      <c r="H998" s="81" t="str">
        <f>_xlfn.XLOOKUP(表格1[[#This Row],[Model]],表格3[Model-Input-Ref2],表格3[Product Line])</f>
        <v>壓縮式抽濕機 (30公升)</v>
      </c>
      <c r="I998" s="81" t="str">
        <f>_xlfn.XLOOKUP(表格1[[#This Row],[Model]],表格3[Model-Input-Ref2],表格3[大小電])</f>
        <v>細電</v>
      </c>
      <c r="J998" s="81" t="str">
        <f>_xlfn.XLOOKUP(表格1[[#This Row],[Model]],表格3[Model-Input-Ref2],表格3[Code])</f>
        <v>RAC</v>
      </c>
      <c r="K998" s="82" t="s">
        <v>1252</v>
      </c>
      <c r="L998" s="81">
        <v>1</v>
      </c>
      <c r="M998" s="85">
        <v>2280</v>
      </c>
      <c r="N998" s="85">
        <f>IFERROR(表格1[[#This Row],[QTY]]*表格1[[#This Row],[Unit Price]],"-")</f>
        <v>2280</v>
      </c>
      <c r="O998" s="134">
        <v>1171814</v>
      </c>
      <c r="P998" s="81"/>
      <c r="Q998" s="81"/>
      <c r="R998" s="81" t="str">
        <f>_xlfn.CONCAT(表格1[[#This Row],[Model]]," ",表格1[[#This Row],[inv no]])</f>
        <v>RAD-D300H 1171814</v>
      </c>
      <c r="S998" s="135">
        <f>_xlfn.XLOOKUP(表格1[[#This Row],[Model]],表格3[Model-Input-Ref2],表格3[SRP PRICE])</f>
        <v>3380</v>
      </c>
      <c r="T998" s="43">
        <f>表格1[[#This Row],[Unit Price]]/表格1[[#This Row],[SRP]]</f>
        <v>0.67455621301775148</v>
      </c>
      <c r="U998" s="86" t="str">
        <f>_xlfn.XLOOKUP(表格1[[#This Row],[Model]],表格3[Model-Input-Ref2],表格3[TOSHIBA/HIGHEST])</f>
        <v>Shops Highest Price</v>
      </c>
      <c r="V998" s="86" t="s">
        <v>1126</v>
      </c>
      <c r="W998" s="86" t="str">
        <f>_xlfn.CONCAT(表格1[[#This Row],[欄4]],表格1[[#This Row],[inv no]])</f>
        <v>DA1411171814</v>
      </c>
    </row>
    <row r="999" spans="1:23" hidden="1">
      <c r="A999" s="81">
        <v>997</v>
      </c>
      <c r="B999" s="81" t="s">
        <v>1470</v>
      </c>
      <c r="C999" s="81" t="s">
        <v>1247</v>
      </c>
      <c r="D999" s="82" t="str">
        <f ca="1">OFFSET(Roster!$A$3,MATCH(表格1[[#This Row],[Location]]&amp;" "&amp;表格1[[#This Row],[Shop]]&amp;"*",Roster!$A$4:$A$72,0),DAY(表格1[[#This Row],[date]]),1,1)</f>
        <v>Coco</v>
      </c>
      <c r="E999" s="81">
        <f>MONTH(表格1[[#This Row],[date]])</f>
        <v>3</v>
      </c>
      <c r="F999" s="101">
        <v>46100</v>
      </c>
      <c r="G999" s="81" t="str">
        <f>VLOOKUP("*"&amp;表格1[[#This Row],[Input]]&amp;"*",'Ref-List'!$B:$D,2,)</f>
        <v>RC-10NMFIH(WT)</v>
      </c>
      <c r="H999" s="81" t="str">
        <f>_xlfn.XLOOKUP(表格1[[#This Row],[Model]],表格3[Model-Input-Ref2],表格3[Product Line])</f>
        <v>4毫米厚釜電飯煲1L</v>
      </c>
      <c r="I999" s="81" t="str">
        <f>_xlfn.XLOOKUP(表格1[[#This Row],[Model]],表格3[Model-Input-Ref2],表格3[大小電])</f>
        <v>細電</v>
      </c>
      <c r="J999" s="81" t="str">
        <f>_xlfn.XLOOKUP(表格1[[#This Row],[Model]],表格3[Model-Input-Ref2],表格3[Code])</f>
        <v>SDA</v>
      </c>
      <c r="K999" s="82" t="s">
        <v>1244</v>
      </c>
      <c r="L999" s="81">
        <v>1</v>
      </c>
      <c r="M999" s="85">
        <v>709</v>
      </c>
      <c r="N999" s="85">
        <f>IFERROR(表格1[[#This Row],[QTY]]*表格1[[#This Row],[Unit Price]],"-")</f>
        <v>709</v>
      </c>
      <c r="O999" s="134">
        <v>1171881</v>
      </c>
      <c r="P999" s="81"/>
      <c r="Q999" s="81"/>
      <c r="R999" s="81" t="str">
        <f>_xlfn.CONCAT(表格1[[#This Row],[Model]]," ",表格1[[#This Row],[inv no]])</f>
        <v>RC-10NMFIH(WT) 1171881</v>
      </c>
      <c r="S999" s="135">
        <f>_xlfn.XLOOKUP(表格1[[#This Row],[Model]],表格3[Model-Input-Ref2],表格3[SRP PRICE])</f>
        <v>898</v>
      </c>
      <c r="T999" s="43">
        <f>表格1[[#This Row],[Unit Price]]/表格1[[#This Row],[SRP]]</f>
        <v>0.78953229398663693</v>
      </c>
      <c r="U999" s="86" t="str">
        <f>_xlfn.XLOOKUP(表格1[[#This Row],[Model]],表格3[Model-Input-Ref2],表格3[TOSHIBA/HIGHEST])</f>
        <v>Toshiba SRP</v>
      </c>
      <c r="V999" s="86" t="s">
        <v>1126</v>
      </c>
      <c r="W999" s="86" t="str">
        <f>_xlfn.CONCAT(表格1[[#This Row],[欄4]],表格1[[#This Row],[inv no]])</f>
        <v>DA1411171881</v>
      </c>
    </row>
    <row r="1000" spans="1:23" hidden="1">
      <c r="A1000" s="81">
        <v>998</v>
      </c>
      <c r="B1000" s="81" t="s">
        <v>1470</v>
      </c>
      <c r="C1000" s="81" t="s">
        <v>1247</v>
      </c>
      <c r="D1000" s="82" t="str">
        <f ca="1">OFFSET(Roster!$A$3,MATCH(表格1[[#This Row],[Location]]&amp;" "&amp;表格1[[#This Row],[Shop]]&amp;"*",Roster!$A$4:$A$72,0),DAY(表格1[[#This Row],[date]]),1,1)</f>
        <v>Coco</v>
      </c>
      <c r="E1000" s="81">
        <f>MONTH(表格1[[#This Row],[date]])</f>
        <v>3</v>
      </c>
      <c r="F1000" s="101">
        <v>46100</v>
      </c>
      <c r="G1000" s="81" t="str">
        <f>VLOOKUP("*"&amp;表格1[[#This Row],[Input]]&amp;"*",'Ref-List'!$B:$D,2,)</f>
        <v>MM2-EM20PC(WH)</v>
      </c>
      <c r="H1000" s="81" t="str">
        <f>_xlfn.XLOOKUP(表格1[[#This Row],[Model]],表格3[Model-Input-Ref2],表格3[Product Line])</f>
        <v>輕觸式微波爐 (20公升)</v>
      </c>
      <c r="I1000" s="81" t="str">
        <f>_xlfn.XLOOKUP(表格1[[#This Row],[Model]],表格3[Model-Input-Ref2],表格3[大小電])</f>
        <v>細電</v>
      </c>
      <c r="J1000" s="81" t="str">
        <f>_xlfn.XLOOKUP(表格1[[#This Row],[Model]],表格3[Model-Input-Ref2],表格3[Code])</f>
        <v>MCA</v>
      </c>
      <c r="K1000" s="82" t="s">
        <v>1276</v>
      </c>
      <c r="L1000" s="81">
        <v>1</v>
      </c>
      <c r="M1000" s="85">
        <v>550</v>
      </c>
      <c r="N1000" s="85">
        <f>IFERROR(表格1[[#This Row],[QTY]]*表格1[[#This Row],[Unit Price]],"-")</f>
        <v>550</v>
      </c>
      <c r="O1000" s="134">
        <v>1171928</v>
      </c>
      <c r="P1000" s="81"/>
      <c r="Q1000" s="81"/>
      <c r="R1000" s="81" t="str">
        <f>_xlfn.CONCAT(表格1[[#This Row],[Model]]," ",表格1[[#This Row],[inv no]])</f>
        <v>MM2-EM20PC(WH) 1171928</v>
      </c>
      <c r="S1000" s="135">
        <f>_xlfn.XLOOKUP(表格1[[#This Row],[Model]],表格3[Model-Input-Ref2],表格3[SRP PRICE])</f>
        <v>788</v>
      </c>
      <c r="T1000" s="43">
        <f>表格1[[#This Row],[Unit Price]]/表格1[[#This Row],[SRP]]</f>
        <v>0.69796954314720816</v>
      </c>
      <c r="U1000" s="86" t="str">
        <f>_xlfn.XLOOKUP(表格1[[#This Row],[Model]],表格3[Model-Input-Ref2],表格3[TOSHIBA/HIGHEST])</f>
        <v>Toshiba SRP</v>
      </c>
      <c r="V1000" s="86" t="s">
        <v>1126</v>
      </c>
      <c r="W1000" s="86" t="str">
        <f>_xlfn.CONCAT(表格1[[#This Row],[欄4]],表格1[[#This Row],[inv no]])</f>
        <v>DA1411171928</v>
      </c>
    </row>
    <row r="1001" spans="1:23" hidden="1">
      <c r="A1001" s="81">
        <v>999</v>
      </c>
      <c r="B1001" s="81" t="s">
        <v>1470</v>
      </c>
      <c r="C1001" s="81" t="s">
        <v>1247</v>
      </c>
      <c r="D1001" s="82" t="str">
        <f ca="1">OFFSET(Roster!$A$3,MATCH(表格1[[#This Row],[Location]]&amp;" "&amp;表格1[[#This Row],[Shop]]&amp;"*",Roster!$A$4:$A$72,0),DAY(表格1[[#This Row],[date]]),1,1)</f>
        <v>Coco</v>
      </c>
      <c r="E1001" s="81">
        <f>MONTH(表格1[[#This Row],[date]])</f>
        <v>3</v>
      </c>
      <c r="F1001" s="101">
        <v>46100</v>
      </c>
      <c r="G1001" s="81" t="str">
        <f>VLOOKUP("*"&amp;表格1[[#This Row],[Input]]&amp;"*",'Ref-List'!$B:$D,2,)</f>
        <v>MM2-EM20PC(WH)</v>
      </c>
      <c r="H1001" s="81" t="str">
        <f>_xlfn.XLOOKUP(表格1[[#This Row],[Model]],表格3[Model-Input-Ref2],表格3[Product Line])</f>
        <v>輕觸式微波爐 (20公升)</v>
      </c>
      <c r="I1001" s="81" t="str">
        <f>_xlfn.XLOOKUP(表格1[[#This Row],[Model]],表格3[Model-Input-Ref2],表格3[大小電])</f>
        <v>細電</v>
      </c>
      <c r="J1001" s="81" t="str">
        <f>_xlfn.XLOOKUP(表格1[[#This Row],[Model]],表格3[Model-Input-Ref2],表格3[Code])</f>
        <v>MCA</v>
      </c>
      <c r="K1001" s="82" t="s">
        <v>1276</v>
      </c>
      <c r="L1001" s="81">
        <v>1</v>
      </c>
      <c r="M1001" s="85">
        <v>568</v>
      </c>
      <c r="N1001" s="85">
        <f>IFERROR(表格1[[#This Row],[QTY]]*表格1[[#This Row],[Unit Price]],"-")</f>
        <v>568</v>
      </c>
      <c r="O1001" s="134">
        <v>1171951</v>
      </c>
      <c r="P1001" s="81"/>
      <c r="Q1001" s="81"/>
      <c r="R1001" s="81" t="str">
        <f>_xlfn.CONCAT(表格1[[#This Row],[Model]]," ",表格1[[#This Row],[inv no]])</f>
        <v>MM2-EM20PC(WH) 1171951</v>
      </c>
      <c r="S1001" s="135">
        <f>_xlfn.XLOOKUP(表格1[[#This Row],[Model]],表格3[Model-Input-Ref2],表格3[SRP PRICE])</f>
        <v>788</v>
      </c>
      <c r="T1001" s="43">
        <f>表格1[[#This Row],[Unit Price]]/表格1[[#This Row],[SRP]]</f>
        <v>0.7208121827411168</v>
      </c>
      <c r="U1001" s="86" t="str">
        <f>_xlfn.XLOOKUP(表格1[[#This Row],[Model]],表格3[Model-Input-Ref2],表格3[TOSHIBA/HIGHEST])</f>
        <v>Toshiba SRP</v>
      </c>
      <c r="V1001" s="86" t="s">
        <v>1126</v>
      </c>
      <c r="W1001" s="86" t="str">
        <f>_xlfn.CONCAT(表格1[[#This Row],[欄4]],表格1[[#This Row],[inv no]])</f>
        <v>DA1411171951</v>
      </c>
    </row>
    <row r="1002" spans="1:23" hidden="1">
      <c r="A1002" s="81">
        <v>1000</v>
      </c>
      <c r="B1002" s="81" t="s">
        <v>1470</v>
      </c>
      <c r="C1002" s="81" t="s">
        <v>1247</v>
      </c>
      <c r="D1002" s="82" t="str">
        <f ca="1">OFFSET(Roster!$A$3,MATCH(表格1[[#This Row],[Location]]&amp;" "&amp;表格1[[#This Row],[Shop]]&amp;"*",Roster!$A$4:$A$72,0),DAY(表格1[[#This Row],[date]]),1,1)</f>
        <v>Coco</v>
      </c>
      <c r="E1002" s="81">
        <f>MONTH(表格1[[#This Row],[date]])</f>
        <v>3</v>
      </c>
      <c r="F1002" s="101">
        <v>46100</v>
      </c>
      <c r="G1002" s="81" t="str">
        <f>VLOOKUP("*"&amp;表格1[[#This Row],[Input]]&amp;"*",'Ref-List'!$B:$D,2,)</f>
        <v>VC-CLS1BF(R)</v>
      </c>
      <c r="H1002" s="81" t="str">
        <f>_xlfn.XLOOKUP(表格1[[#This Row],[Model]],表格3[Model-Input-Ref2],表格3[Product Line])</f>
        <v>超輕巧2合1無線吸塵機</v>
      </c>
      <c r="I1002" s="81" t="str">
        <f>_xlfn.XLOOKUP(表格1[[#This Row],[Model]],表格3[Model-Input-Ref2],表格3[大小電])</f>
        <v>細電</v>
      </c>
      <c r="J1002" s="81" t="str">
        <f>_xlfn.XLOOKUP(表格1[[#This Row],[Model]],表格3[Model-Input-Ref2],表格3[Code])</f>
        <v>MCA</v>
      </c>
      <c r="K1002" s="82" t="s">
        <v>1265</v>
      </c>
      <c r="L1002" s="81">
        <v>1</v>
      </c>
      <c r="M1002" s="85">
        <v>1180</v>
      </c>
      <c r="N1002" s="85">
        <f>IFERROR(表格1[[#This Row],[QTY]]*表格1[[#This Row],[Unit Price]],"-")</f>
        <v>1180</v>
      </c>
      <c r="O1002" s="134">
        <v>1171983</v>
      </c>
      <c r="P1002" s="81"/>
      <c r="Q1002" s="81"/>
      <c r="R1002" s="81" t="str">
        <f>_xlfn.CONCAT(表格1[[#This Row],[Model]]," ",表格1[[#This Row],[inv no]])</f>
        <v>VC-CLS1BF(R) 1171983</v>
      </c>
      <c r="S1002" s="135">
        <f>_xlfn.XLOOKUP(表格1[[#This Row],[Model]],表格3[Model-Input-Ref2],表格3[SRP PRICE])</f>
        <v>1888</v>
      </c>
      <c r="T1002" s="43">
        <f>表格1[[#This Row],[Unit Price]]/表格1[[#This Row],[SRP]]</f>
        <v>0.625</v>
      </c>
      <c r="U1002" s="86" t="str">
        <f>_xlfn.XLOOKUP(表格1[[#This Row],[Model]],表格3[Model-Input-Ref2],表格3[TOSHIBA/HIGHEST])</f>
        <v>Toshiba SRP</v>
      </c>
      <c r="V1002" s="86" t="s">
        <v>1126</v>
      </c>
      <c r="W1002" s="86" t="str">
        <f>_xlfn.CONCAT(表格1[[#This Row],[欄4]],表格1[[#This Row],[inv no]])</f>
        <v>DA1411171983</v>
      </c>
    </row>
    <row r="1003" spans="1:23" hidden="1">
      <c r="A1003" s="81">
        <v>1001</v>
      </c>
      <c r="B1003" s="81" t="s">
        <v>1470</v>
      </c>
      <c r="C1003" s="81" t="s">
        <v>1247</v>
      </c>
      <c r="D1003" s="82" t="str">
        <f ca="1">OFFSET(Roster!$A$3,MATCH(表格1[[#This Row],[Location]]&amp;" "&amp;表格1[[#This Row],[Shop]]&amp;"*",Roster!$A$4:$A$72,0),DAY(表格1[[#This Row],[date]]),1,1)</f>
        <v>Coco</v>
      </c>
      <c r="E1003" s="81">
        <f>MONTH(表格1[[#This Row],[date]])</f>
        <v>3</v>
      </c>
      <c r="F1003" s="101">
        <v>46100</v>
      </c>
      <c r="G1003" s="81" t="str">
        <f>VLOOKUP("*"&amp;表格1[[#This Row],[Input]]&amp;"*",'Ref-List'!$B:$D,2,)</f>
        <v>MS3-STQ20SC(WH)</v>
      </c>
      <c r="H1003" s="81" t="str">
        <f>_xlfn.XLOOKUP(表格1[[#This Row],[Model]],表格3[Model-Input-Ref2],表格3[Product Line])</f>
        <v>20L 智能蒸氣焗爐</v>
      </c>
      <c r="I1003" s="81" t="str">
        <f>_xlfn.XLOOKUP(表格1[[#This Row],[Model]],表格3[Model-Input-Ref2],表格3[大小電])</f>
        <v>細電</v>
      </c>
      <c r="J1003" s="81" t="str">
        <f>_xlfn.XLOOKUP(表格1[[#This Row],[Model]],表格3[Model-Input-Ref2],表格3[Code])</f>
        <v>MCA</v>
      </c>
      <c r="K1003" s="82" t="s">
        <v>1383</v>
      </c>
      <c r="L1003" s="81">
        <v>1</v>
      </c>
      <c r="M1003" s="85">
        <v>1980</v>
      </c>
      <c r="N1003" s="85">
        <f>IFERROR(表格1[[#This Row],[QTY]]*表格1[[#This Row],[Unit Price]],"-")</f>
        <v>1980</v>
      </c>
      <c r="O1003" s="134">
        <v>1172200</v>
      </c>
      <c r="P1003" s="81"/>
      <c r="Q1003" s="81"/>
      <c r="R1003" s="81" t="str">
        <f>_xlfn.CONCAT(表格1[[#This Row],[Model]]," ",表格1[[#This Row],[inv no]])</f>
        <v>MS3-STQ20SC(WH) 1172200</v>
      </c>
      <c r="S1003" s="135">
        <f>_xlfn.XLOOKUP(表格1[[#This Row],[Model]],表格3[Model-Input-Ref2],表格3[SRP PRICE])</f>
        <v>2880</v>
      </c>
      <c r="T1003" s="43">
        <f>表格1[[#This Row],[Unit Price]]/表格1[[#This Row],[SRP]]</f>
        <v>0.6875</v>
      </c>
      <c r="U1003" s="86" t="str">
        <f>_xlfn.XLOOKUP(表格1[[#This Row],[Model]],表格3[Model-Input-Ref2],表格3[TOSHIBA/HIGHEST])</f>
        <v>Toshiba SRP</v>
      </c>
      <c r="V1003" s="86" t="s">
        <v>1126</v>
      </c>
      <c r="W1003" s="86" t="str">
        <f>_xlfn.CONCAT(表格1[[#This Row],[欄4]],表格1[[#This Row],[inv no]])</f>
        <v>DA1411172200</v>
      </c>
    </row>
    <row r="1004" spans="1:23" hidden="1">
      <c r="A1004" s="81">
        <v>1002</v>
      </c>
      <c r="B1004" s="81" t="s">
        <v>1470</v>
      </c>
      <c r="C1004" s="81" t="s">
        <v>1247</v>
      </c>
      <c r="D1004" s="82" t="str">
        <f ca="1">OFFSET(Roster!$A$3,MATCH(表格1[[#This Row],[Location]]&amp;" "&amp;表格1[[#This Row],[Shop]]&amp;"*",Roster!$A$4:$A$72,0),DAY(表格1[[#This Row],[date]]),1,1)</f>
        <v>Coco</v>
      </c>
      <c r="E1004" s="81">
        <f>MONTH(表格1[[#This Row],[date]])</f>
        <v>3</v>
      </c>
      <c r="F1004" s="101">
        <v>46100</v>
      </c>
      <c r="G1004" s="81" t="str">
        <f>VLOOKUP("*"&amp;表格1[[#This Row],[Input]]&amp;"*",'Ref-List'!$B:$D,2,)</f>
        <v>MS5-STR30SC(BK)</v>
      </c>
      <c r="H1004" s="81" t="str">
        <f>_xlfn.XLOOKUP(表格1[[#This Row],[Model]],表格3[Model-Input-Ref2],表格3[Product Line])</f>
        <v>30公升蒸氣焗爐</v>
      </c>
      <c r="I1004" s="81" t="str">
        <f>_xlfn.XLOOKUP(表格1[[#This Row],[Model]],表格3[Model-Input-Ref2],表格3[大小電])</f>
        <v>細電</v>
      </c>
      <c r="J1004" s="81" t="str">
        <f>_xlfn.XLOOKUP(表格1[[#This Row],[Model]],表格3[Model-Input-Ref2],表格3[Code])</f>
        <v>MCA</v>
      </c>
      <c r="K1004" s="82" t="s">
        <v>1379</v>
      </c>
      <c r="L1004" s="81">
        <v>1</v>
      </c>
      <c r="M1004" s="85">
        <v>3680</v>
      </c>
      <c r="N1004" s="85">
        <f>IFERROR(表格1[[#This Row],[QTY]]*表格1[[#This Row],[Unit Price]],"-")</f>
        <v>3680</v>
      </c>
      <c r="O1004" s="134">
        <v>1172014</v>
      </c>
      <c r="P1004" s="81"/>
      <c r="Q1004" s="81"/>
      <c r="R1004" s="81" t="str">
        <f>_xlfn.CONCAT(表格1[[#This Row],[Model]]," ",表格1[[#This Row],[inv no]])</f>
        <v>MS5-STR30SC(BK) 1172014</v>
      </c>
      <c r="S1004" s="135">
        <f>_xlfn.XLOOKUP(表格1[[#This Row],[Model]],表格3[Model-Input-Ref2],表格3[SRP PRICE])</f>
        <v>5998</v>
      </c>
      <c r="T1004" s="43">
        <f>表格1[[#This Row],[Unit Price]]/表格1[[#This Row],[SRP]]</f>
        <v>0.61353784594864957</v>
      </c>
      <c r="U1004" s="86" t="str">
        <f>_xlfn.XLOOKUP(表格1[[#This Row],[Model]],表格3[Model-Input-Ref2],表格3[TOSHIBA/HIGHEST])</f>
        <v>Shops Highest Price</v>
      </c>
      <c r="V1004" s="86" t="s">
        <v>1126</v>
      </c>
      <c r="W1004" s="86" t="str">
        <f>_xlfn.CONCAT(表格1[[#This Row],[欄4]],表格1[[#This Row],[inv no]])</f>
        <v>DA1411172014</v>
      </c>
    </row>
    <row r="1005" spans="1:23" hidden="1">
      <c r="A1005" s="81">
        <v>1003</v>
      </c>
      <c r="B1005" s="81" t="s">
        <v>1470</v>
      </c>
      <c r="C1005" s="81" t="s">
        <v>1247</v>
      </c>
      <c r="D1005" s="82" t="str">
        <f ca="1">OFFSET(Roster!$A$3,MATCH(表格1[[#This Row],[Location]]&amp;" "&amp;表格1[[#This Row],[Shop]]&amp;"*",Roster!$A$4:$A$72,0),DAY(表格1[[#This Row],[date]]),1,1)</f>
        <v>Coco</v>
      </c>
      <c r="E1005" s="81">
        <f>MONTH(表格1[[#This Row],[date]])</f>
        <v>3</v>
      </c>
      <c r="F1005" s="101">
        <v>46100</v>
      </c>
      <c r="G1005" s="81" t="str">
        <f>VLOOKUP("*"&amp;表格1[[#This Row],[Input]]&amp;"*",'Ref-List'!$B:$D,2,)</f>
        <v>TP-25DR2UHK(W)</v>
      </c>
      <c r="H1005" s="81" t="str">
        <f>_xlfn.XLOOKUP(表格1[[#This Row],[Model]],表格3[Model-Input-Ref2],表格3[Product Line])</f>
        <v>電熱水瓶 (2.5公升)</v>
      </c>
      <c r="I1005" s="81" t="str">
        <f>_xlfn.XLOOKUP(表格1[[#This Row],[Model]],表格3[Model-Input-Ref2],表格3[大小電])</f>
        <v>細電</v>
      </c>
      <c r="J1005" s="81" t="str">
        <f>_xlfn.XLOOKUP(表格1[[#This Row],[Model]],表格3[Model-Input-Ref2],表格3[Code])</f>
        <v>SDA</v>
      </c>
      <c r="K1005" s="82" t="s">
        <v>1285</v>
      </c>
      <c r="L1005" s="81">
        <v>1</v>
      </c>
      <c r="M1005" s="85">
        <v>398</v>
      </c>
      <c r="N1005" s="85">
        <f>IFERROR(表格1[[#This Row],[QTY]]*表格1[[#This Row],[Unit Price]],"-")</f>
        <v>398</v>
      </c>
      <c r="O1005" s="134">
        <v>1172019</v>
      </c>
      <c r="P1005" s="81"/>
      <c r="Q1005" s="81"/>
      <c r="R1005" s="81" t="str">
        <f>_xlfn.CONCAT(表格1[[#This Row],[Model]]," ",表格1[[#This Row],[inv no]])</f>
        <v>TP-25DR2UHK(W) 1172019</v>
      </c>
      <c r="S1005" s="135">
        <f>_xlfn.XLOOKUP(表格1[[#This Row],[Model]],表格3[Model-Input-Ref2],表格3[SRP PRICE])</f>
        <v>538</v>
      </c>
      <c r="T1005" s="43">
        <f>表格1[[#This Row],[Unit Price]]/表格1[[#This Row],[SRP]]</f>
        <v>0.7397769516728625</v>
      </c>
      <c r="U1005" s="86" t="str">
        <f>_xlfn.XLOOKUP(表格1[[#This Row],[Model]],表格3[Model-Input-Ref2],表格3[TOSHIBA/HIGHEST])</f>
        <v>Toshiba SRP</v>
      </c>
      <c r="V1005" s="86" t="s">
        <v>1126</v>
      </c>
      <c r="W1005" s="86" t="str">
        <f>_xlfn.CONCAT(表格1[[#This Row],[欄4]],表格1[[#This Row],[inv no]])</f>
        <v>DA1411172019</v>
      </c>
    </row>
    <row r="1006" spans="1:23" ht="16.5" hidden="1">
      <c r="A1006" s="81">
        <v>1004</v>
      </c>
      <c r="B1006" s="81" t="s">
        <v>1470</v>
      </c>
      <c r="C1006" s="81" t="s">
        <v>1247</v>
      </c>
      <c r="D1006" s="82" t="str">
        <f ca="1">OFFSET(Roster!$A$3,MATCH(表格1[[#This Row],[Location]]&amp;" "&amp;表格1[[#This Row],[Shop]]&amp;"*",Roster!$A$4:$A$72,0),DAY(表格1[[#This Row],[date]]),1,1)</f>
        <v>Coco</v>
      </c>
      <c r="E1006" s="81">
        <f>MONTH(表格1[[#This Row],[date]])</f>
        <v>3</v>
      </c>
      <c r="F1006" s="101">
        <v>46105</v>
      </c>
      <c r="G1006" s="81" t="str">
        <f>VLOOKUP("*"&amp;表格1[[#This Row],[Input]]&amp;"*",'Ref-List'!$B:$D,2,)</f>
        <v>GR-RT300WE-PMA(57)</v>
      </c>
      <c r="H1006" s="81" t="str">
        <f>_xlfn.XLOOKUP(表格1[[#This Row],[Model]],表格3[Model-Input-Ref2],表格3[Product Line])</f>
        <v>變頻式環保雙門雪櫃(233L)</v>
      </c>
      <c r="I1006" s="81" t="str">
        <f>_xlfn.XLOOKUP(表格1[[#This Row],[Model]],表格3[Model-Input-Ref2],表格3[大小電])</f>
        <v>大電</v>
      </c>
      <c r="J1006" s="81" t="str">
        <f>_xlfn.XLOOKUP(表格1[[#This Row],[Model]],表格3[Model-Input-Ref2],表格3[Code])</f>
        <v>REF</v>
      </c>
      <c r="K1006" s="82" t="s">
        <v>1462</v>
      </c>
      <c r="L1006" s="81">
        <v>1</v>
      </c>
      <c r="M1006" s="85">
        <v>2780</v>
      </c>
      <c r="N1006" s="85">
        <f>IFERROR(表格1[[#This Row],[QTY]]*表格1[[#This Row],[Unit Price]],"-")</f>
        <v>2780</v>
      </c>
      <c r="O1006" s="134">
        <v>1172072</v>
      </c>
      <c r="P1006" s="137"/>
      <c r="Q1006" s="137"/>
      <c r="R1006" s="81" t="str">
        <f>_xlfn.CONCAT(表格1[[#This Row],[Model]]," ",表格1[[#This Row],[inv no]])</f>
        <v>GR-RT300WE-PMA(57) 1172072</v>
      </c>
      <c r="S1006" s="135">
        <f>_xlfn.XLOOKUP(表格1[[#This Row],[Model]],表格3[Model-Input-Ref2],表格3[SRP PRICE])</f>
        <v>4280</v>
      </c>
      <c r="T1006" s="43">
        <f>表格1[[#This Row],[Unit Price]]/表格1[[#This Row],[SRP]]</f>
        <v>0.64953271028037385</v>
      </c>
      <c r="U1006" s="86" t="str">
        <f>_xlfn.XLOOKUP(表格1[[#This Row],[Model]],表格3[Model-Input-Ref2],表格3[TOSHIBA/HIGHEST])</f>
        <v>Toshiba SRP</v>
      </c>
      <c r="V1006" s="86" t="s">
        <v>1126</v>
      </c>
      <c r="W1006" s="86" t="str">
        <f>_xlfn.CONCAT(表格1[[#This Row],[欄4]],表格1[[#This Row],[inv no]])</f>
        <v>DA1411172072</v>
      </c>
    </row>
    <row r="1007" spans="1:23" hidden="1">
      <c r="A1007" s="81">
        <v>1005</v>
      </c>
      <c r="B1007" s="81" t="s">
        <v>1470</v>
      </c>
      <c r="C1007" s="81" t="s">
        <v>1247</v>
      </c>
      <c r="D1007" s="82" t="str">
        <f ca="1">OFFSET(Roster!$A$3,MATCH(表格1[[#This Row],[Location]]&amp;" "&amp;表格1[[#This Row],[Shop]]&amp;"*",Roster!$A$4:$A$72,0),DAY(表格1[[#This Row],[date]]),1,1)</f>
        <v>Coco</v>
      </c>
      <c r="E1007" s="81">
        <f>MONTH(表格1[[#This Row],[date]])</f>
        <v>3</v>
      </c>
      <c r="F1007" s="101">
        <v>46105</v>
      </c>
      <c r="G1007" s="81" t="str">
        <f>VLOOKUP("*"&amp;表格1[[#This Row],[Input]]&amp;"*",'Ref-List'!$B:$D,2,)</f>
        <v>TW-T21BU90UWH(WW)</v>
      </c>
      <c r="H1007" s="81" t="str">
        <f>_xlfn.XLOOKUP(表格1[[#This Row],[Model]],表格3[Model-Input-Ref2],表格3[Product Line])</f>
        <v>8公斤超薄身前置式變頻洗衣機</v>
      </c>
      <c r="I1007" s="81" t="str">
        <f>_xlfn.XLOOKUP(表格1[[#This Row],[Model]],表格3[Model-Input-Ref2],表格3[大小電])</f>
        <v>大電</v>
      </c>
      <c r="J1007" s="81" t="str">
        <f>_xlfn.XLOOKUP(表格1[[#This Row],[Model]],表格3[Model-Input-Ref2],表格3[Code])</f>
        <v>LAD</v>
      </c>
      <c r="K1007" s="82" t="s">
        <v>1472</v>
      </c>
      <c r="L1007" s="81">
        <v>1</v>
      </c>
      <c r="M1007" s="85">
        <v>3080</v>
      </c>
      <c r="N1007" s="85">
        <f>IFERROR(表格1[[#This Row],[QTY]]*表格1[[#This Row],[Unit Price]],"-")</f>
        <v>3080</v>
      </c>
      <c r="O1007" s="134">
        <v>1172174</v>
      </c>
      <c r="P1007" s="81"/>
      <c r="Q1007" s="81"/>
      <c r="R1007" s="81" t="str">
        <f>_xlfn.CONCAT(表格1[[#This Row],[Model]]," ",表格1[[#This Row],[inv no]])</f>
        <v>TW-T21BU90UWH(WW) 1172174</v>
      </c>
      <c r="S1007" s="135">
        <f>_xlfn.XLOOKUP(表格1[[#This Row],[Model]],表格3[Model-Input-Ref2],表格3[SRP PRICE])</f>
        <v>5480</v>
      </c>
      <c r="T1007" s="43">
        <f>表格1[[#This Row],[Unit Price]]/表格1[[#This Row],[SRP]]</f>
        <v>0.56204379562043794</v>
      </c>
      <c r="U1007" s="86" t="str">
        <f>_xlfn.XLOOKUP(表格1[[#This Row],[Model]],表格3[Model-Input-Ref2],表格3[TOSHIBA/HIGHEST])</f>
        <v>Toshiba SRP</v>
      </c>
      <c r="V1007" s="86" t="s">
        <v>1126</v>
      </c>
      <c r="W1007" s="86" t="str">
        <f>_xlfn.CONCAT(表格1[[#This Row],[欄4]],表格1[[#This Row],[inv no]])</f>
        <v>DA1411172174</v>
      </c>
    </row>
    <row r="1008" spans="1:23" ht="16.5" hidden="1">
      <c r="A1008" s="81">
        <v>1006</v>
      </c>
      <c r="B1008" s="81" t="s">
        <v>1470</v>
      </c>
      <c r="C1008" s="81" t="s">
        <v>1247</v>
      </c>
      <c r="D1008" s="82" t="str">
        <f ca="1">OFFSET(Roster!$A$3,MATCH(表格1[[#This Row],[Location]]&amp;" "&amp;表格1[[#This Row],[Shop]]&amp;"*",Roster!$A$4:$A$72,0),DAY(表格1[[#This Row],[date]]),1,1)</f>
        <v>Coco</v>
      </c>
      <c r="E1008" s="81">
        <f>MONTH(表格1[[#This Row],[date]])</f>
        <v>3</v>
      </c>
      <c r="F1008" s="101">
        <v>46105</v>
      </c>
      <c r="G1008" s="81" t="str">
        <f>VLOOKUP("*"&amp;表格1[[#This Row],[Input]]&amp;"*",'Ref-List'!$B:$D,2,)</f>
        <v>MX2-STR25SC(WH)</v>
      </c>
      <c r="H1008" s="81" t="str">
        <f>_xlfn.XLOOKUP(表格1[[#This Row],[Model]],表格3[Model-Input-Ref2],表格3[Product Line])</f>
        <v>4合1氣炸微波蒸焗爐(25公升)</v>
      </c>
      <c r="I1008" s="81" t="str">
        <f>_xlfn.XLOOKUP(表格1[[#This Row],[Model]],表格3[Model-Input-Ref2],表格3[大小電])</f>
        <v>細電</v>
      </c>
      <c r="J1008" s="81" t="str">
        <f>_xlfn.XLOOKUP(表格1[[#This Row],[Model]],表格3[Model-Input-Ref2],表格3[Code])</f>
        <v>MCA</v>
      </c>
      <c r="K1008" s="82" t="s">
        <v>1410</v>
      </c>
      <c r="L1008" s="81">
        <v>1</v>
      </c>
      <c r="M1008" s="85">
        <v>3480</v>
      </c>
      <c r="N1008" s="85">
        <f>IFERROR(表格1[[#This Row],[QTY]]*表格1[[#This Row],[Unit Price]],"-")</f>
        <v>3480</v>
      </c>
      <c r="O1008" s="134">
        <v>1172177</v>
      </c>
      <c r="P1008" s="137"/>
      <c r="Q1008" s="137"/>
      <c r="R1008" s="81" t="str">
        <f>_xlfn.CONCAT(表格1[[#This Row],[Model]]," ",表格1[[#This Row],[inv no]])</f>
        <v>MX2-STR25SC(WH) 1172177</v>
      </c>
      <c r="S1008" s="135">
        <f>_xlfn.XLOOKUP(表格1[[#This Row],[Model]],表格3[Model-Input-Ref2],表格3[SRP PRICE])</f>
        <v>4998</v>
      </c>
      <c r="T1008" s="43">
        <f>表格1[[#This Row],[Unit Price]]/表格1[[#This Row],[SRP]]</f>
        <v>0.69627851140456187</v>
      </c>
      <c r="U1008" s="86" t="str">
        <f>_xlfn.XLOOKUP(表格1[[#This Row],[Model]],表格3[Model-Input-Ref2],表格3[TOSHIBA/HIGHEST])</f>
        <v>Toshiba SRP</v>
      </c>
      <c r="V1008" s="86" t="s">
        <v>1126</v>
      </c>
      <c r="W1008" s="86" t="str">
        <f>_xlfn.CONCAT(表格1[[#This Row],[欄4]],表格1[[#This Row],[inv no]])</f>
        <v>DA1411172177</v>
      </c>
    </row>
    <row r="1009" spans="1:23" hidden="1">
      <c r="A1009" s="81">
        <v>1007</v>
      </c>
      <c r="B1009" s="81" t="s">
        <v>1470</v>
      </c>
      <c r="C1009" s="81" t="s">
        <v>1247</v>
      </c>
      <c r="D1009" s="82" t="str">
        <f ca="1">OFFSET(Roster!$A$3,MATCH(表格1[[#This Row],[Location]]&amp;" "&amp;表格1[[#This Row],[Shop]]&amp;"*",Roster!$A$4:$A$72,0),DAY(表格1[[#This Row],[date]]),1,1)</f>
        <v>Coco</v>
      </c>
      <c r="E1009" s="81">
        <f>MONTH(表格1[[#This Row],[date]])</f>
        <v>3</v>
      </c>
      <c r="F1009" s="101">
        <v>46105</v>
      </c>
      <c r="G1009" s="81" t="str">
        <f>VLOOKUP("*"&amp;表格1[[#This Row],[Input]]&amp;"*",'Ref-List'!$B:$D,2,)</f>
        <v>VC-CLS1BF(R)</v>
      </c>
      <c r="H1009" s="81" t="str">
        <f>_xlfn.XLOOKUP(表格1[[#This Row],[Model]],表格3[Model-Input-Ref2],表格3[Product Line])</f>
        <v>超輕巧2合1無線吸塵機</v>
      </c>
      <c r="I1009" s="81" t="str">
        <f>_xlfn.XLOOKUP(表格1[[#This Row],[Model]],表格3[Model-Input-Ref2],表格3[大小電])</f>
        <v>細電</v>
      </c>
      <c r="J1009" s="81" t="str">
        <f>_xlfn.XLOOKUP(表格1[[#This Row],[Model]],表格3[Model-Input-Ref2],表格3[Code])</f>
        <v>MCA</v>
      </c>
      <c r="K1009" s="82" t="s">
        <v>1265</v>
      </c>
      <c r="L1009" s="81">
        <v>1</v>
      </c>
      <c r="M1009" s="85">
        <v>1180</v>
      </c>
      <c r="N1009" s="85">
        <f>IFERROR(表格1[[#This Row],[QTY]]*表格1[[#This Row],[Unit Price]],"-")</f>
        <v>1180</v>
      </c>
      <c r="O1009" s="134">
        <v>1172182</v>
      </c>
      <c r="P1009" s="81"/>
      <c r="Q1009" s="81"/>
      <c r="R1009" s="81" t="str">
        <f>_xlfn.CONCAT(表格1[[#This Row],[Model]]," ",表格1[[#This Row],[inv no]])</f>
        <v>VC-CLS1BF(R) 1172182</v>
      </c>
      <c r="S1009" s="135">
        <f>_xlfn.XLOOKUP(表格1[[#This Row],[Model]],表格3[Model-Input-Ref2],表格3[SRP PRICE])</f>
        <v>1888</v>
      </c>
      <c r="T1009" s="43">
        <f>表格1[[#This Row],[Unit Price]]/表格1[[#This Row],[SRP]]</f>
        <v>0.625</v>
      </c>
      <c r="U1009" s="86" t="str">
        <f>_xlfn.XLOOKUP(表格1[[#This Row],[Model]],表格3[Model-Input-Ref2],表格3[TOSHIBA/HIGHEST])</f>
        <v>Toshiba SRP</v>
      </c>
      <c r="V1009" s="86" t="s">
        <v>1126</v>
      </c>
      <c r="W1009" s="86" t="str">
        <f>_xlfn.CONCAT(表格1[[#This Row],[欄4]],表格1[[#This Row],[inv no]])</f>
        <v>DA1411172182</v>
      </c>
    </row>
    <row r="1010" spans="1:23" ht="16.5" hidden="1">
      <c r="A1010" s="81">
        <v>1008</v>
      </c>
      <c r="B1010" s="81" t="s">
        <v>1470</v>
      </c>
      <c r="C1010" s="81" t="s">
        <v>1247</v>
      </c>
      <c r="D1010" s="82" t="str">
        <f ca="1">OFFSET(Roster!$A$3,MATCH(表格1[[#This Row],[Location]]&amp;" "&amp;表格1[[#This Row],[Shop]]&amp;"*",Roster!$A$4:$A$72,0),DAY(表格1[[#This Row],[date]]),1,1)</f>
        <v>Coco</v>
      </c>
      <c r="E1010" s="81">
        <f>MONTH(表格1[[#This Row],[date]])</f>
        <v>3</v>
      </c>
      <c r="F1010" s="101">
        <v>46105</v>
      </c>
      <c r="G1010" s="81" t="str">
        <f>VLOOKUP("*"&amp;表格1[[#This Row],[Input]]&amp;"*",'Ref-List'!$B:$D,2,)</f>
        <v>RAD-D300H</v>
      </c>
      <c r="H1010" s="81" t="str">
        <f>_xlfn.XLOOKUP(表格1[[#This Row],[Model]],表格3[Model-Input-Ref2],表格3[Product Line])</f>
        <v>壓縮式抽濕機 (30公升)</v>
      </c>
      <c r="I1010" s="81" t="str">
        <f>_xlfn.XLOOKUP(表格1[[#This Row],[Model]],表格3[Model-Input-Ref2],表格3[大小電])</f>
        <v>細電</v>
      </c>
      <c r="J1010" s="81" t="str">
        <f>_xlfn.XLOOKUP(表格1[[#This Row],[Model]],表格3[Model-Input-Ref2],表格3[Code])</f>
        <v>RAC</v>
      </c>
      <c r="K1010" s="82" t="s">
        <v>1252</v>
      </c>
      <c r="L1010" s="81">
        <v>1</v>
      </c>
      <c r="M1010" s="85">
        <v>2280</v>
      </c>
      <c r="N1010" s="85">
        <f>IFERROR(表格1[[#This Row],[QTY]]*表格1[[#This Row],[Unit Price]],"-")</f>
        <v>2280</v>
      </c>
      <c r="O1010" s="134">
        <v>1172192</v>
      </c>
      <c r="P1010" s="137"/>
      <c r="Q1010" s="81"/>
      <c r="R1010" s="81" t="str">
        <f>_xlfn.CONCAT(表格1[[#This Row],[Model]]," ",表格1[[#This Row],[inv no]])</f>
        <v>RAD-D300H 1172192</v>
      </c>
      <c r="S1010" s="135">
        <f>_xlfn.XLOOKUP(表格1[[#This Row],[Model]],表格3[Model-Input-Ref2],表格3[SRP PRICE])</f>
        <v>3380</v>
      </c>
      <c r="T1010" s="43">
        <f>表格1[[#This Row],[Unit Price]]/表格1[[#This Row],[SRP]]</f>
        <v>0.67455621301775148</v>
      </c>
      <c r="U1010" s="86" t="str">
        <f>_xlfn.XLOOKUP(表格1[[#This Row],[Model]],表格3[Model-Input-Ref2],表格3[TOSHIBA/HIGHEST])</f>
        <v>Shops Highest Price</v>
      </c>
      <c r="V1010" s="86" t="s">
        <v>1126</v>
      </c>
      <c r="W1010" s="86" t="str">
        <f>_xlfn.CONCAT(表格1[[#This Row],[欄4]],表格1[[#This Row],[inv no]])</f>
        <v>DA1411172192</v>
      </c>
    </row>
    <row r="1011" spans="1:23" hidden="1">
      <c r="A1011" s="81">
        <v>1009</v>
      </c>
      <c r="B1011" s="81" t="s">
        <v>1470</v>
      </c>
      <c r="C1011" s="81" t="s">
        <v>1247</v>
      </c>
      <c r="D1011" s="82" t="str">
        <f ca="1">OFFSET(Roster!$A$3,MATCH(表格1[[#This Row],[Location]]&amp;" "&amp;表格1[[#This Row],[Shop]]&amp;"*",Roster!$A$4:$A$72,0),DAY(表格1[[#This Row],[date]]),1,1)</f>
        <v>Coco</v>
      </c>
      <c r="E1011" s="81">
        <f>MONTH(表格1[[#This Row],[date]])</f>
        <v>3</v>
      </c>
      <c r="F1011" s="101">
        <v>46105</v>
      </c>
      <c r="G1011" s="81" t="str">
        <f>VLOOKUP("*"&amp;表格1[[#This Row],[Input]]&amp;"*",'Ref-List'!$B:$D,2,)</f>
        <v>GR-RT234WE-PMA(57)</v>
      </c>
      <c r="H1011" s="81" t="str">
        <f>_xlfn.XLOOKUP(表格1[[#This Row],[Model]],表格3[Model-Input-Ref2],表格3[Product Line])</f>
        <v>變頻式環保雙門雪櫃（179L）</v>
      </c>
      <c r="I1011" s="81" t="str">
        <f>_xlfn.XLOOKUP(表格1[[#This Row],[Model]],表格3[Model-Input-Ref2],表格3[大小電])</f>
        <v>大電</v>
      </c>
      <c r="J1011" s="81" t="str">
        <f>_xlfn.XLOOKUP(表格1[[#This Row],[Model]],表格3[Model-Input-Ref2],表格3[Code])</f>
        <v>REF</v>
      </c>
      <c r="K1011" s="82" t="s">
        <v>1423</v>
      </c>
      <c r="L1011" s="81">
        <v>1</v>
      </c>
      <c r="M1011" s="85">
        <v>2180</v>
      </c>
      <c r="N1011" s="85">
        <f>IFERROR(表格1[[#This Row],[QTY]]*表格1[[#This Row],[Unit Price]],"-")</f>
        <v>2180</v>
      </c>
      <c r="O1011" s="134">
        <v>1172194</v>
      </c>
      <c r="P1011" s="81"/>
      <c r="Q1011" s="81"/>
      <c r="R1011" s="81" t="str">
        <f>_xlfn.CONCAT(表格1[[#This Row],[Model]]," ",表格1[[#This Row],[inv no]])</f>
        <v>GR-RT234WE-PMA(57) 1172194</v>
      </c>
      <c r="S1011" s="135">
        <f>_xlfn.XLOOKUP(表格1[[#This Row],[Model]],表格3[Model-Input-Ref2],表格3[SRP PRICE])</f>
        <v>3680</v>
      </c>
      <c r="T1011" s="43">
        <f>表格1[[#This Row],[Unit Price]]/表格1[[#This Row],[SRP]]</f>
        <v>0.59239130434782605</v>
      </c>
      <c r="U1011" s="86" t="str">
        <f>_xlfn.XLOOKUP(表格1[[#This Row],[Model]],表格3[Model-Input-Ref2],表格3[TOSHIBA/HIGHEST])</f>
        <v>Toshiba SRP</v>
      </c>
      <c r="V1011" s="86" t="s">
        <v>1126</v>
      </c>
      <c r="W1011" s="86" t="str">
        <f>_xlfn.CONCAT(表格1[[#This Row],[欄4]],表格1[[#This Row],[inv no]])</f>
        <v>DA1411172194</v>
      </c>
    </row>
    <row r="1012" spans="1:23" hidden="1">
      <c r="A1012" s="81">
        <v>1010</v>
      </c>
      <c r="B1012" s="81" t="s">
        <v>1470</v>
      </c>
      <c r="C1012" s="81" t="s">
        <v>1247</v>
      </c>
      <c r="D1012" s="82" t="str">
        <f ca="1">OFFSET(Roster!$A$3,MATCH(表格1[[#This Row],[Location]]&amp;" "&amp;表格1[[#This Row],[Shop]]&amp;"*",Roster!$A$4:$A$72,0),DAY(表格1[[#This Row],[date]]),1,1)</f>
        <v>Coco</v>
      </c>
      <c r="E1012" s="81">
        <f>MONTH(表格1[[#This Row],[date]])</f>
        <v>3</v>
      </c>
      <c r="F1012" s="101">
        <v>46106</v>
      </c>
      <c r="G1012" s="81" t="str">
        <f>VLOOKUP("*"&amp;表格1[[#This Row],[Input]]&amp;"*",'Ref-List'!$B:$D,2,)</f>
        <v>RC-DS10K(R)</v>
      </c>
      <c r="H1012" s="81" t="str">
        <f>_xlfn.XLOOKUP(表格1[[#This Row],[Model]],表格3[Model-Input-Ref2],表格3[Product Line])</f>
        <v>IH磁應電飯煲</v>
      </c>
      <c r="I1012" s="81" t="str">
        <f>_xlfn.XLOOKUP(表格1[[#This Row],[Model]],表格3[Model-Input-Ref2],表格3[大小電])</f>
        <v>細電</v>
      </c>
      <c r="J1012" s="81" t="str">
        <f>_xlfn.XLOOKUP(表格1[[#This Row],[Model]],表格3[Model-Input-Ref2],表格3[Code])</f>
        <v>SDA</v>
      </c>
      <c r="K1012" s="82" t="s">
        <v>1424</v>
      </c>
      <c r="L1012" s="81">
        <v>1</v>
      </c>
      <c r="M1012" s="85">
        <v>2980</v>
      </c>
      <c r="N1012" s="85">
        <f>IFERROR(表格1[[#This Row],[QTY]]*表格1[[#This Row],[Unit Price]],"-")</f>
        <v>2980</v>
      </c>
      <c r="O1012" s="134">
        <v>1172217</v>
      </c>
      <c r="P1012" s="81"/>
      <c r="Q1012" s="81"/>
      <c r="R1012" s="81" t="str">
        <f>_xlfn.CONCAT(表格1[[#This Row],[Model]]," ",表格1[[#This Row],[inv no]])</f>
        <v>RC-DS10K(R) 1172217</v>
      </c>
      <c r="S1012" s="135">
        <f>_xlfn.XLOOKUP(表格1[[#This Row],[Model]],表格3[Model-Input-Ref2],表格3[SRP PRICE])</f>
        <v>4588</v>
      </c>
      <c r="T1012" s="43">
        <f>表格1[[#This Row],[Unit Price]]/表格1[[#This Row],[SRP]]</f>
        <v>0.64952048823016562</v>
      </c>
      <c r="U1012" s="86" t="str">
        <f>_xlfn.XLOOKUP(表格1[[#This Row],[Model]],表格3[Model-Input-Ref2],表格3[TOSHIBA/HIGHEST])</f>
        <v>Toshiba SRP</v>
      </c>
      <c r="V1012" s="86" t="s">
        <v>1126</v>
      </c>
      <c r="W1012" s="86" t="str">
        <f>_xlfn.CONCAT(表格1[[#This Row],[欄4]],表格1[[#This Row],[inv no]])</f>
        <v>DA1411172217</v>
      </c>
    </row>
    <row r="1013" spans="1:23" hidden="1">
      <c r="A1013" s="81">
        <v>1011</v>
      </c>
      <c r="B1013" s="81" t="s">
        <v>1470</v>
      </c>
      <c r="C1013" s="81" t="s">
        <v>1247</v>
      </c>
      <c r="D1013" s="82" t="str">
        <f ca="1">OFFSET(Roster!$A$3,MATCH(表格1[[#This Row],[Location]]&amp;" "&amp;表格1[[#This Row],[Shop]]&amp;"*",Roster!$A$4:$A$72,0),DAY(表格1[[#This Row],[date]]),1,1)</f>
        <v>Coco</v>
      </c>
      <c r="E1013" s="81">
        <f>MONTH(表格1[[#This Row],[date]])</f>
        <v>3</v>
      </c>
      <c r="F1013" s="101">
        <v>46106</v>
      </c>
      <c r="G1013" s="81" t="str">
        <f>VLOOKUP("*"&amp;表格1[[#This Row],[Input]]&amp;"*",'Ref-List'!$B:$D,2,)</f>
        <v>RC-10NMFIH(WT)</v>
      </c>
      <c r="H1013" s="81" t="str">
        <f>_xlfn.XLOOKUP(表格1[[#This Row],[Model]],表格3[Model-Input-Ref2],表格3[Product Line])</f>
        <v>4毫米厚釜電飯煲1L</v>
      </c>
      <c r="I1013" s="81" t="str">
        <f>_xlfn.XLOOKUP(表格1[[#This Row],[Model]],表格3[Model-Input-Ref2],表格3[大小電])</f>
        <v>細電</v>
      </c>
      <c r="J1013" s="81" t="str">
        <f>_xlfn.XLOOKUP(表格1[[#This Row],[Model]],表格3[Model-Input-Ref2],表格3[Code])</f>
        <v>SDA</v>
      </c>
      <c r="K1013" s="82" t="s">
        <v>1244</v>
      </c>
      <c r="L1013" s="81">
        <v>1</v>
      </c>
      <c r="M1013" s="85">
        <v>709</v>
      </c>
      <c r="N1013" s="85">
        <f>IFERROR(表格1[[#This Row],[QTY]]*表格1[[#This Row],[Unit Price]],"-")</f>
        <v>709</v>
      </c>
      <c r="O1013" s="134">
        <v>1172224</v>
      </c>
      <c r="P1013" s="81"/>
      <c r="Q1013" s="81"/>
      <c r="R1013" s="81" t="str">
        <f>_xlfn.CONCAT(表格1[[#This Row],[Model]]," ",表格1[[#This Row],[inv no]])</f>
        <v>RC-10NMFIH(WT) 1172224</v>
      </c>
      <c r="S1013" s="135">
        <f>_xlfn.XLOOKUP(表格1[[#This Row],[Model]],表格3[Model-Input-Ref2],表格3[SRP PRICE])</f>
        <v>898</v>
      </c>
      <c r="T1013" s="43">
        <f>表格1[[#This Row],[Unit Price]]/表格1[[#This Row],[SRP]]</f>
        <v>0.78953229398663693</v>
      </c>
      <c r="U1013" s="86" t="str">
        <f>_xlfn.XLOOKUP(表格1[[#This Row],[Model]],表格3[Model-Input-Ref2],表格3[TOSHIBA/HIGHEST])</f>
        <v>Toshiba SRP</v>
      </c>
      <c r="V1013" s="86" t="s">
        <v>1126</v>
      </c>
      <c r="W1013" s="86" t="str">
        <f>_xlfn.CONCAT(表格1[[#This Row],[欄4]],表格1[[#This Row],[inv no]])</f>
        <v>DA1411172224</v>
      </c>
    </row>
    <row r="1014" spans="1:23" hidden="1">
      <c r="A1014" s="81">
        <v>1012</v>
      </c>
      <c r="B1014" s="81" t="s">
        <v>1470</v>
      </c>
      <c r="C1014" s="81" t="s">
        <v>1247</v>
      </c>
      <c r="D1014" s="82" t="str">
        <f ca="1">OFFSET(Roster!$A$3,MATCH(表格1[[#This Row],[Location]]&amp;" "&amp;表格1[[#This Row],[Shop]]&amp;"*",Roster!$A$4:$A$72,0),DAY(表格1[[#This Row],[date]]),1,1)</f>
        <v>Coco</v>
      </c>
      <c r="E1014" s="81">
        <f>MONTH(表格1[[#This Row],[date]])</f>
        <v>3</v>
      </c>
      <c r="F1014" s="101">
        <v>46106</v>
      </c>
      <c r="G1014" s="81" t="str">
        <f>VLOOKUP("*"&amp;表格1[[#This Row],[Input]]&amp;"*",'Ref-List'!$B:$D,2,)</f>
        <v>TW-T22BU95UWH(WK)-B</v>
      </c>
      <c r="H1014" s="81" t="str">
        <f>_xlfn.XLOOKUP(表格1[[#This Row],[Model]],表格3[Model-Input-Ref2],表格3[Product Line])</f>
        <v>470MM超薄身前置式變頻洗衣機(8.5公斤, 可飛頂)</v>
      </c>
      <c r="I1014" s="81" t="str">
        <f>_xlfn.XLOOKUP(表格1[[#This Row],[Model]],表格3[Model-Input-Ref2],表格3[大小電])</f>
        <v>大電</v>
      </c>
      <c r="J1014" s="81" t="str">
        <f>_xlfn.XLOOKUP(表格1[[#This Row],[Model]],表格3[Model-Input-Ref2],表格3[Code])</f>
        <v>LAD</v>
      </c>
      <c r="K1014" s="82" t="s">
        <v>969</v>
      </c>
      <c r="L1014" s="81">
        <v>1</v>
      </c>
      <c r="M1014" s="85">
        <v>3480</v>
      </c>
      <c r="N1014" s="85">
        <f>IFERROR(表格1[[#This Row],[QTY]]*表格1[[#This Row],[Unit Price]],"-")</f>
        <v>3480</v>
      </c>
      <c r="O1014" s="134">
        <v>1172224</v>
      </c>
      <c r="P1014" s="81"/>
      <c r="Q1014" s="81"/>
      <c r="R1014" s="81" t="str">
        <f>_xlfn.CONCAT(表格1[[#This Row],[Model]]," ",表格1[[#This Row],[inv no]])</f>
        <v>TW-T22BU95UWH(WK)-B 1172224</v>
      </c>
      <c r="S1014" s="135">
        <f>_xlfn.XLOOKUP(表格1[[#This Row],[Model]],表格3[Model-Input-Ref2],表格3[SRP PRICE])</f>
        <v>5880</v>
      </c>
      <c r="T1014" s="43">
        <f>表格1[[#This Row],[Unit Price]]/表格1[[#This Row],[SRP]]</f>
        <v>0.59183673469387754</v>
      </c>
      <c r="U1014" s="86" t="str">
        <f>_xlfn.XLOOKUP(表格1[[#This Row],[Model]],表格3[Model-Input-Ref2],表格3[TOSHIBA/HIGHEST])</f>
        <v>Toshiba SRP</v>
      </c>
      <c r="V1014" s="86" t="s">
        <v>1126</v>
      </c>
      <c r="W1014" s="86" t="str">
        <f>_xlfn.CONCAT(表格1[[#This Row],[欄4]],表格1[[#This Row],[inv no]])</f>
        <v>DA1411172224</v>
      </c>
    </row>
    <row r="1015" spans="1:23" hidden="1">
      <c r="A1015" s="81">
        <v>1013</v>
      </c>
      <c r="B1015" s="81" t="s">
        <v>1470</v>
      </c>
      <c r="C1015" s="81" t="s">
        <v>1247</v>
      </c>
      <c r="D1015" s="82" t="str">
        <f ca="1">OFFSET(Roster!$A$3,MATCH(表格1[[#This Row],[Location]]&amp;" "&amp;表格1[[#This Row],[Shop]]&amp;"*",Roster!$A$4:$A$72,0),DAY(表格1[[#This Row],[date]]),1,1)</f>
        <v>Coco</v>
      </c>
      <c r="E1015" s="81">
        <f>MONTH(表格1[[#This Row],[date]])</f>
        <v>3</v>
      </c>
      <c r="F1015" s="101">
        <v>46106</v>
      </c>
      <c r="G1015" s="81" t="str">
        <f>VLOOKUP("*"&amp;表格1[[#This Row],[Input]]&amp;"*",'Ref-List'!$B:$D,2,)</f>
        <v>AW-Q901BPH(WW)</v>
      </c>
      <c r="H1015" s="81" t="str">
        <f>_xlfn.XLOOKUP(表格1[[#This Row],[Model]],表格3[Model-Input-Ref2],表格3[Product Line])</f>
        <v>日式洗衣機 (8公斤 結合高低水位)</v>
      </c>
      <c r="I1015" s="81" t="str">
        <f>_xlfn.XLOOKUP(表格1[[#This Row],[Model]],表格3[Model-Input-Ref2],表格3[大小電])</f>
        <v>大電</v>
      </c>
      <c r="J1015" s="81" t="str">
        <f>_xlfn.XLOOKUP(表格1[[#This Row],[Model]],表格3[Model-Input-Ref2],表格3[Code])</f>
        <v>LAD</v>
      </c>
      <c r="K1015" s="82" t="s">
        <v>1411</v>
      </c>
      <c r="L1015" s="81">
        <v>1</v>
      </c>
      <c r="M1015" s="85">
        <v>2280</v>
      </c>
      <c r="N1015" s="85">
        <f>IFERROR(表格1[[#This Row],[QTY]]*表格1[[#This Row],[Unit Price]],"-")</f>
        <v>2280</v>
      </c>
      <c r="O1015" s="134">
        <v>1172225</v>
      </c>
      <c r="P1015" s="81"/>
      <c r="Q1015" s="81"/>
      <c r="R1015" s="81" t="str">
        <f>_xlfn.CONCAT(表格1[[#This Row],[Model]]," ",表格1[[#This Row],[inv no]])</f>
        <v>AW-Q901BPH(WW) 1172225</v>
      </c>
      <c r="S1015" s="135">
        <f>_xlfn.XLOOKUP(表格1[[#This Row],[Model]],表格3[Model-Input-Ref2],表格3[SRP PRICE])</f>
        <v>3780</v>
      </c>
      <c r="T1015" s="43">
        <f>表格1[[#This Row],[Unit Price]]/表格1[[#This Row],[SRP]]</f>
        <v>0.60317460317460314</v>
      </c>
      <c r="U1015" s="86" t="str">
        <f>_xlfn.XLOOKUP(表格1[[#This Row],[Model]],表格3[Model-Input-Ref2],表格3[TOSHIBA/HIGHEST])</f>
        <v>Toshiba SRP</v>
      </c>
      <c r="V1015" s="86" t="s">
        <v>1126</v>
      </c>
      <c r="W1015" s="86" t="str">
        <f>_xlfn.CONCAT(表格1[[#This Row],[欄4]],表格1[[#This Row],[inv no]])</f>
        <v>DA1411172225</v>
      </c>
    </row>
    <row r="1016" spans="1:23" hidden="1">
      <c r="A1016" s="81">
        <v>1014</v>
      </c>
      <c r="B1016" s="81" t="s">
        <v>1470</v>
      </c>
      <c r="C1016" s="81" t="s">
        <v>1247</v>
      </c>
      <c r="D1016" s="82" t="str">
        <f ca="1">OFFSET(Roster!$A$3,MATCH(表格1[[#This Row],[Location]]&amp;" "&amp;表格1[[#This Row],[Shop]]&amp;"*",Roster!$A$4:$A$72,0),DAY(表格1[[#This Row],[date]]),1,1)</f>
        <v>Coco</v>
      </c>
      <c r="E1016" s="81">
        <f>MONTH(表格1[[#This Row],[date]])</f>
        <v>3</v>
      </c>
      <c r="F1016" s="101">
        <v>46106</v>
      </c>
      <c r="G1016" s="81" t="str">
        <f>VLOOKUP("*"&amp;表格1[[#This Row],[Input]]&amp;"*",'Ref-List'!$B:$D,2,)</f>
        <v>KT-08DH1VHK(W)</v>
      </c>
      <c r="H1016" s="81" t="str">
        <f>_xlfn.XLOOKUP(表格1[[#This Row],[Model]],表格3[Model-Input-Ref2],表格3[Product Line])</f>
        <v>無線雙層電熱水壺-附可鎖壺蓋(0.8公升)</v>
      </c>
      <c r="I1016" s="81" t="str">
        <f>_xlfn.XLOOKUP(表格1[[#This Row],[Model]],表格3[Model-Input-Ref2],表格3[大小電])</f>
        <v>細電</v>
      </c>
      <c r="J1016" s="81" t="str">
        <f>_xlfn.XLOOKUP(表格1[[#This Row],[Model]],表格3[Model-Input-Ref2],表格3[Code])</f>
        <v>SDA</v>
      </c>
      <c r="K1016" s="82" t="s">
        <v>1268</v>
      </c>
      <c r="L1016" s="81">
        <v>1</v>
      </c>
      <c r="M1016" s="85">
        <v>268</v>
      </c>
      <c r="N1016" s="85">
        <f>IFERROR(表格1[[#This Row],[QTY]]*表格1[[#This Row],[Unit Price]],"-")</f>
        <v>268</v>
      </c>
      <c r="O1016" s="134">
        <v>1172234</v>
      </c>
      <c r="P1016" s="81"/>
      <c r="Q1016" s="81"/>
      <c r="R1016" s="81" t="str">
        <f>_xlfn.CONCAT(表格1[[#This Row],[Model]]," ",表格1[[#This Row],[inv no]])</f>
        <v>KT-08DH1VHK(W) 1172234</v>
      </c>
      <c r="S1016" s="135">
        <f>_xlfn.XLOOKUP(表格1[[#This Row],[Model]],表格3[Model-Input-Ref2],表格3[SRP PRICE])</f>
        <v>428</v>
      </c>
      <c r="T1016" s="43">
        <f>表格1[[#This Row],[Unit Price]]/表格1[[#This Row],[SRP]]</f>
        <v>0.62616822429906538</v>
      </c>
      <c r="U1016" s="86" t="str">
        <f>_xlfn.XLOOKUP(表格1[[#This Row],[Model]],表格3[Model-Input-Ref2],表格3[TOSHIBA/HIGHEST])</f>
        <v>Toshiba SRP</v>
      </c>
      <c r="V1016" s="86" t="s">
        <v>1126</v>
      </c>
      <c r="W1016" s="86" t="str">
        <f>_xlfn.CONCAT(表格1[[#This Row],[欄4]],表格1[[#This Row],[inv no]])</f>
        <v>DA1411172234</v>
      </c>
    </row>
    <row r="1017" spans="1:23" hidden="1">
      <c r="A1017" s="81">
        <v>1015</v>
      </c>
      <c r="B1017" s="81" t="s">
        <v>1470</v>
      </c>
      <c r="C1017" s="81" t="s">
        <v>1247</v>
      </c>
      <c r="D1017" s="82" t="str">
        <f ca="1">OFFSET(Roster!$A$3,MATCH(表格1[[#This Row],[Location]]&amp;" "&amp;表格1[[#This Row],[Shop]]&amp;"*",Roster!$A$4:$A$72,0),DAY(表格1[[#This Row],[date]]),1,1)</f>
        <v>Coco</v>
      </c>
      <c r="E1017" s="81">
        <f>MONTH(表格1[[#This Row],[date]])</f>
        <v>3</v>
      </c>
      <c r="F1017" s="101">
        <v>46107</v>
      </c>
      <c r="G1017" s="81" t="str">
        <f>VLOOKUP("*"&amp;表格1[[#This Row],[Input]]&amp;"*",'Ref-List'!$B:$D,2,)</f>
        <v>GR-RB360WE-PMA(06)</v>
      </c>
      <c r="H1017" s="81" t="str">
        <f>_xlfn.XLOOKUP(表格1[[#This Row],[Model]],表格3[Model-Input-Ref2],表格3[Product Line])</f>
        <v>變頻下置式雙門雪櫃系列270L</v>
      </c>
      <c r="I1017" s="81" t="str">
        <f>_xlfn.XLOOKUP(表格1[[#This Row],[Model]],表格3[Model-Input-Ref2],表格3[大小電])</f>
        <v>大電</v>
      </c>
      <c r="J1017" s="81" t="str">
        <f>_xlfn.XLOOKUP(表格1[[#This Row],[Model]],表格3[Model-Input-Ref2],表格3[Code])</f>
        <v>REF</v>
      </c>
      <c r="K1017" s="82" t="s">
        <v>1282</v>
      </c>
      <c r="L1017" s="81">
        <v>1</v>
      </c>
      <c r="M1017" s="85">
        <v>3680</v>
      </c>
      <c r="N1017" s="85">
        <f>IFERROR(表格1[[#This Row],[QTY]]*表格1[[#This Row],[Unit Price]],"-")</f>
        <v>3680</v>
      </c>
      <c r="O1017" s="134">
        <v>1172273</v>
      </c>
      <c r="P1017" s="81"/>
      <c r="Q1017" s="81"/>
      <c r="R1017" s="81" t="str">
        <f>_xlfn.CONCAT(表格1[[#This Row],[Model]]," ",表格1[[#This Row],[inv no]])</f>
        <v>GR-RB360WE-PMA(06) 1172273</v>
      </c>
      <c r="S1017" s="135">
        <f>_xlfn.XLOOKUP(表格1[[#This Row],[Model]],表格3[Model-Input-Ref2],表格3[SRP PRICE])</f>
        <v>5080</v>
      </c>
      <c r="T1017" s="43">
        <f>表格1[[#This Row],[Unit Price]]/表格1[[#This Row],[SRP]]</f>
        <v>0.72440944881889768</v>
      </c>
      <c r="U1017" s="86" t="str">
        <f>_xlfn.XLOOKUP(表格1[[#This Row],[Model]],表格3[Model-Input-Ref2],表格3[TOSHIBA/HIGHEST])</f>
        <v>Toshiba SRP</v>
      </c>
      <c r="V1017" s="86" t="s">
        <v>1126</v>
      </c>
      <c r="W1017" s="86" t="str">
        <f>_xlfn.CONCAT(表格1[[#This Row],[欄4]],表格1[[#This Row],[inv no]])</f>
        <v>DA1411172273</v>
      </c>
    </row>
    <row r="1018" spans="1:23" hidden="1">
      <c r="A1018" s="81">
        <v>1016</v>
      </c>
      <c r="B1018" s="81" t="s">
        <v>1470</v>
      </c>
      <c r="C1018" s="81" t="s">
        <v>1247</v>
      </c>
      <c r="D1018" s="82" t="str">
        <f ca="1">OFFSET(Roster!$A$3,MATCH(表格1[[#This Row],[Location]]&amp;" "&amp;表格1[[#This Row],[Shop]]&amp;"*",Roster!$A$4:$A$72,0),DAY(表格1[[#This Row],[date]]),1,1)</f>
        <v>Coco</v>
      </c>
      <c r="E1018" s="81">
        <f>MONTH(表格1[[#This Row],[date]])</f>
        <v>3</v>
      </c>
      <c r="F1018" s="101">
        <v>46107</v>
      </c>
      <c r="G1018" s="81" t="str">
        <f>VLOOKUP("*"&amp;表格1[[#This Row],[Input]]&amp;"*",'Ref-List'!$B:$D,2,)</f>
        <v>RC-5SLIH(W)</v>
      </c>
      <c r="H1018" s="81" t="str">
        <f>_xlfn.XLOOKUP(表格1[[#This Row],[Model]],表格3[Model-Input-Ref2],表格3[Product Line])</f>
        <v>微型電腦珍珠飯煲</v>
      </c>
      <c r="I1018" s="81" t="str">
        <f>_xlfn.XLOOKUP(表格1[[#This Row],[Model]],表格3[Model-Input-Ref2],表格3[大小電])</f>
        <v>細電</v>
      </c>
      <c r="J1018" s="81" t="str">
        <f>_xlfn.XLOOKUP(表格1[[#This Row],[Model]],表格3[Model-Input-Ref2],表格3[Code])</f>
        <v>SDA</v>
      </c>
      <c r="K1018" s="82" t="s">
        <v>1264</v>
      </c>
      <c r="L1018" s="81">
        <v>1</v>
      </c>
      <c r="M1018" s="85">
        <v>550</v>
      </c>
      <c r="N1018" s="85">
        <f>IFERROR(表格1[[#This Row],[QTY]]*表格1[[#This Row],[Unit Price]],"-")</f>
        <v>550</v>
      </c>
      <c r="O1018" s="134">
        <v>1172297</v>
      </c>
      <c r="P1018" s="81"/>
      <c r="Q1018" s="81"/>
      <c r="R1018" s="81" t="str">
        <f>_xlfn.CONCAT(表格1[[#This Row],[Model]]," ",表格1[[#This Row],[inv no]])</f>
        <v>RC-5SLIH(W) 1172297</v>
      </c>
      <c r="S1018" s="135">
        <f>_xlfn.XLOOKUP(表格1[[#This Row],[Model]],表格3[Model-Input-Ref2],表格3[SRP PRICE])</f>
        <v>658</v>
      </c>
      <c r="T1018" s="43">
        <f>表格1[[#This Row],[Unit Price]]/表格1[[#This Row],[SRP]]</f>
        <v>0.83586626139817632</v>
      </c>
      <c r="U1018" s="86" t="str">
        <f>_xlfn.XLOOKUP(表格1[[#This Row],[Model]],表格3[Model-Input-Ref2],表格3[TOSHIBA/HIGHEST])</f>
        <v>Toshiba SRP</v>
      </c>
      <c r="V1018" s="86" t="s">
        <v>1126</v>
      </c>
      <c r="W1018" s="86" t="str">
        <f>_xlfn.CONCAT(表格1[[#This Row],[欄4]],表格1[[#This Row],[inv no]])</f>
        <v>DA1411172297</v>
      </c>
    </row>
    <row r="1019" spans="1:23" hidden="1">
      <c r="A1019" s="81">
        <v>1017</v>
      </c>
      <c r="B1019" s="81" t="s">
        <v>1470</v>
      </c>
      <c r="C1019" s="81" t="s">
        <v>1247</v>
      </c>
      <c r="D1019" s="82" t="str">
        <f ca="1">OFFSET(Roster!$A$3,MATCH(表格1[[#This Row],[Location]]&amp;" "&amp;表格1[[#This Row],[Shop]]&amp;"*",Roster!$A$4:$A$72,0),DAY(表格1[[#This Row],[date]]),1,1)</f>
        <v>Coco</v>
      </c>
      <c r="E1019" s="81">
        <f>MONTH(表格1[[#This Row],[date]])</f>
        <v>3</v>
      </c>
      <c r="F1019" s="101">
        <v>46107</v>
      </c>
      <c r="G1019" s="81" t="str">
        <f>VLOOKUP("*"&amp;表格1[[#This Row],[Input]]&amp;"*",'Ref-List'!$B:$D,2,)</f>
        <v>DW-05T2-HK</v>
      </c>
      <c r="H1019" s="81" t="str">
        <f>_xlfn.XLOOKUP(表格1[[#This Row],[Model]],表格3[Model-Input-Ref2],表格3[Product Line])</f>
        <v>座檯式洗碗碟機</v>
      </c>
      <c r="I1019" s="81" t="str">
        <f>_xlfn.XLOOKUP(表格1[[#This Row],[Model]],表格3[Model-Input-Ref2],表格3[大小電])</f>
        <v>細電</v>
      </c>
      <c r="J1019" s="81" t="str">
        <f>_xlfn.XLOOKUP(表格1[[#This Row],[Model]],表格3[Model-Input-Ref2],表格3[Code])</f>
        <v>DW</v>
      </c>
      <c r="K1019" s="82" t="s">
        <v>1475</v>
      </c>
      <c r="L1019" s="81">
        <v>1</v>
      </c>
      <c r="M1019" s="85">
        <v>3360</v>
      </c>
      <c r="N1019" s="85">
        <f>IFERROR(表格1[[#This Row],[QTY]]*表格1[[#This Row],[Unit Price]],"-")</f>
        <v>3360</v>
      </c>
      <c r="O1019" s="134">
        <v>1172306</v>
      </c>
      <c r="P1019" s="81"/>
      <c r="Q1019" s="81"/>
      <c r="R1019" s="81" t="str">
        <f>_xlfn.CONCAT(表格1[[#This Row],[Model]]," ",表格1[[#This Row],[inv no]])</f>
        <v>DW-05T2-HK 1172306</v>
      </c>
      <c r="S1019" s="135">
        <f>_xlfn.XLOOKUP(表格1[[#This Row],[Model]],表格3[Model-Input-Ref2],表格3[SRP PRICE])</f>
        <v>4580</v>
      </c>
      <c r="T1019" s="43">
        <f>表格1[[#This Row],[Unit Price]]/表格1[[#This Row],[SRP]]</f>
        <v>0.73362445414847166</v>
      </c>
      <c r="U1019" s="86" t="str">
        <f>_xlfn.XLOOKUP(表格1[[#This Row],[Model]],表格3[Model-Input-Ref2],表格3[TOSHIBA/HIGHEST])</f>
        <v>Toshiba SRP</v>
      </c>
      <c r="V1019" s="86" t="s">
        <v>1126</v>
      </c>
      <c r="W1019" s="86" t="str">
        <f>_xlfn.CONCAT(表格1[[#This Row],[欄4]],表格1[[#This Row],[inv no]])</f>
        <v>DA1411172306</v>
      </c>
    </row>
    <row r="1020" spans="1:23" hidden="1">
      <c r="A1020" s="81">
        <v>1018</v>
      </c>
      <c r="B1020" s="81" t="s">
        <v>1470</v>
      </c>
      <c r="C1020" s="81" t="s">
        <v>1247</v>
      </c>
      <c r="D1020" s="82" t="str">
        <f ca="1">OFFSET(Roster!$A$3,MATCH(表格1[[#This Row],[Location]]&amp;" "&amp;表格1[[#This Row],[Shop]]&amp;"*",Roster!$A$4:$A$72,0),DAY(表格1[[#This Row],[date]]),1,1)</f>
        <v>Coco</v>
      </c>
      <c r="E1020" s="81">
        <f>MONTH(表格1[[#This Row],[date]])</f>
        <v>3</v>
      </c>
      <c r="F1020" s="101">
        <v>46107</v>
      </c>
      <c r="G1020" s="81" t="str">
        <f>VLOOKUP("*"&amp;表格1[[#This Row],[Input]]&amp;"*",'Ref-List'!$B:$D,2,)</f>
        <v>IC-S19RH</v>
      </c>
      <c r="H1020" s="81" t="str">
        <f>_xlfn.XLOOKUP(表格1[[#This Row],[Model]],表格3[Model-Input-Ref2],表格3[Product Line])</f>
        <v>輕便式電磁爐7個功能</v>
      </c>
      <c r="I1020" s="81" t="str">
        <f>_xlfn.XLOOKUP(表格1[[#This Row],[Model]],表格3[Model-Input-Ref2],表格3[大小電])</f>
        <v>細電</v>
      </c>
      <c r="J1020" s="81" t="str">
        <f>_xlfn.XLOOKUP(表格1[[#This Row],[Model]],表格3[Model-Input-Ref2],表格3[Code])</f>
        <v>SDA</v>
      </c>
      <c r="K1020" s="82" t="s">
        <v>1289</v>
      </c>
      <c r="L1020" s="81">
        <v>1</v>
      </c>
      <c r="M1020" s="85">
        <v>419</v>
      </c>
      <c r="N1020" s="85">
        <f>IFERROR(表格1[[#This Row],[QTY]]*表格1[[#This Row],[Unit Price]],"-")</f>
        <v>419</v>
      </c>
      <c r="O1020" s="134">
        <v>1172302</v>
      </c>
      <c r="P1020" s="81"/>
      <c r="Q1020" s="81"/>
      <c r="R1020" s="81" t="str">
        <f>_xlfn.CONCAT(表格1[[#This Row],[Model]]," ",表格1[[#This Row],[inv no]])</f>
        <v>IC-S19RH 1172302</v>
      </c>
      <c r="S1020" s="135">
        <f>_xlfn.XLOOKUP(表格1[[#This Row],[Model]],表格3[Model-Input-Ref2],表格3[SRP PRICE])</f>
        <v>638</v>
      </c>
      <c r="T1020" s="43">
        <f>表格1[[#This Row],[Unit Price]]/表格1[[#This Row],[SRP]]</f>
        <v>0.65673981191222575</v>
      </c>
      <c r="U1020" s="86" t="str">
        <f>_xlfn.XLOOKUP(表格1[[#This Row],[Model]],表格3[Model-Input-Ref2],表格3[TOSHIBA/HIGHEST])</f>
        <v>Toshiba SRP</v>
      </c>
      <c r="V1020" s="86" t="s">
        <v>1126</v>
      </c>
      <c r="W1020" s="86" t="str">
        <f>_xlfn.CONCAT(表格1[[#This Row],[欄4]],表格1[[#This Row],[inv no]])</f>
        <v>DA1411172302</v>
      </c>
    </row>
    <row r="1021" spans="1:23" hidden="1">
      <c r="A1021" s="81">
        <v>1019</v>
      </c>
      <c r="B1021" s="81" t="s">
        <v>1470</v>
      </c>
      <c r="C1021" s="81" t="s">
        <v>1247</v>
      </c>
      <c r="D1021" s="82" t="str">
        <f ca="1">OFFSET(Roster!$A$3,MATCH(表格1[[#This Row],[Location]]&amp;" "&amp;表格1[[#This Row],[Shop]]&amp;"*",Roster!$A$4:$A$72,0),DAY(表格1[[#This Row],[date]]),1,1)</f>
        <v>Coco</v>
      </c>
      <c r="E1021" s="81">
        <f>MONTH(表格1[[#This Row],[date]])</f>
        <v>3</v>
      </c>
      <c r="F1021" s="101">
        <v>46109</v>
      </c>
      <c r="G1021" s="81" t="str">
        <f>VLOOKUP("*"&amp;表格1[[#This Row],[Input]]&amp;"*",'Ref-List'!$B:$D,2,)</f>
        <v>GR-RM612WE-PGA(B5)</v>
      </c>
      <c r="H1021" s="81" t="str">
        <f>_xlfn.XLOOKUP(表格1[[#This Row],[Model]],表格3[Model-Input-Ref2],表格3[Product Line])</f>
        <v>變頻五門雪櫃(375L)</v>
      </c>
      <c r="I1021" s="81" t="str">
        <f>_xlfn.XLOOKUP(表格1[[#This Row],[Model]],表格3[Model-Input-Ref2],表格3[大小電])</f>
        <v>大電</v>
      </c>
      <c r="J1021" s="81" t="str">
        <f>_xlfn.XLOOKUP(表格1[[#This Row],[Model]],表格3[Model-Input-Ref2],表格3[Code])</f>
        <v>REF</v>
      </c>
      <c r="K1021" s="82" t="s">
        <v>1257</v>
      </c>
      <c r="L1021" s="81">
        <v>1</v>
      </c>
      <c r="M1021" s="85">
        <v>9480</v>
      </c>
      <c r="N1021" s="85">
        <f>IFERROR(表格1[[#This Row],[QTY]]*表格1[[#This Row],[Unit Price]],"-")</f>
        <v>9480</v>
      </c>
      <c r="O1021" s="134">
        <v>1172360</v>
      </c>
      <c r="P1021" s="81"/>
      <c r="Q1021" s="81"/>
      <c r="R1021" s="81" t="str">
        <f>_xlfn.CONCAT(表格1[[#This Row],[Model]]," ",表格1[[#This Row],[inv no]])</f>
        <v>GR-RM612WE-PGA(B5) 1172360</v>
      </c>
      <c r="S1021" s="135">
        <f>_xlfn.XLOOKUP(表格1[[#This Row],[Model]],表格3[Model-Input-Ref2],表格3[SRP PRICE])</f>
        <v>11000</v>
      </c>
      <c r="T1021" s="43">
        <f>表格1[[#This Row],[Unit Price]]/表格1[[#This Row],[SRP]]</f>
        <v>0.86181818181818182</v>
      </c>
      <c r="U1021" s="86" t="str">
        <f>_xlfn.XLOOKUP(表格1[[#This Row],[Model]],表格3[Model-Input-Ref2],表格3[TOSHIBA/HIGHEST])</f>
        <v>Shops Highest Price</v>
      </c>
      <c r="V1021" s="86" t="s">
        <v>1126</v>
      </c>
      <c r="W1021" s="86" t="str">
        <f>_xlfn.CONCAT(表格1[[#This Row],[欄4]],表格1[[#This Row],[inv no]])</f>
        <v>DA1411172360</v>
      </c>
    </row>
    <row r="1022" spans="1:23" hidden="1">
      <c r="A1022" s="81">
        <v>1020</v>
      </c>
      <c r="B1022" s="81" t="s">
        <v>1470</v>
      </c>
      <c r="C1022" s="81" t="s">
        <v>1247</v>
      </c>
      <c r="D1022" s="82" t="str">
        <f ca="1">OFFSET(Roster!$A$3,MATCH(表格1[[#This Row],[Location]]&amp;" "&amp;表格1[[#This Row],[Shop]]&amp;"*",Roster!$A$4:$A$72,0),DAY(表格1[[#This Row],[date]]),1,1)</f>
        <v>Coco</v>
      </c>
      <c r="E1022" s="81">
        <f>MONTH(表格1[[#This Row],[date]])</f>
        <v>3</v>
      </c>
      <c r="F1022" s="101">
        <v>46109</v>
      </c>
      <c r="G1022" s="81" t="str">
        <f>VLOOKUP("*"&amp;表格1[[#This Row],[Input]]&amp;"*",'Ref-List'!$B:$D,2,)</f>
        <v>KT-17SHNH</v>
      </c>
      <c r="H1022" s="81" t="str">
        <f>_xlfn.XLOOKUP(表格1[[#This Row],[Model]],表格3[Model-Input-Ref2],表格3[Product Line])</f>
        <v>1.7L無線雙層電熱水壺</v>
      </c>
      <c r="I1022" s="81" t="str">
        <f>_xlfn.XLOOKUP(表格1[[#This Row],[Model]],表格3[Model-Input-Ref2],表格3[大小電])</f>
        <v>細電</v>
      </c>
      <c r="J1022" s="81" t="str">
        <f>_xlfn.XLOOKUP(表格1[[#This Row],[Model]],表格3[Model-Input-Ref2],表格3[Code])</f>
        <v>SDA</v>
      </c>
      <c r="K1022" s="82" t="s">
        <v>1283</v>
      </c>
      <c r="L1022" s="81">
        <v>1</v>
      </c>
      <c r="M1022" s="85">
        <v>198</v>
      </c>
      <c r="N1022" s="85">
        <f>IFERROR(表格1[[#This Row],[QTY]]*表格1[[#This Row],[Unit Price]],"-")</f>
        <v>198</v>
      </c>
      <c r="O1022" s="134">
        <v>1172371</v>
      </c>
      <c r="P1022" s="81"/>
      <c r="Q1022" s="81"/>
      <c r="R1022" s="81" t="str">
        <f>_xlfn.CONCAT(表格1[[#This Row],[Model]]," ",表格1[[#This Row],[inv no]])</f>
        <v>KT-17SHNH 1172371</v>
      </c>
      <c r="S1022" s="135">
        <f>_xlfn.XLOOKUP(表格1[[#This Row],[Model]],表格3[Model-Input-Ref2],表格3[SRP PRICE])</f>
        <v>299</v>
      </c>
      <c r="T1022" s="43">
        <f>表格1[[#This Row],[Unit Price]]/表格1[[#This Row],[SRP]]</f>
        <v>0.66220735785953178</v>
      </c>
      <c r="U1022" s="86" t="str">
        <f>_xlfn.XLOOKUP(表格1[[#This Row],[Model]],表格3[Model-Input-Ref2],表格3[TOSHIBA/HIGHEST])</f>
        <v>Shops Highest Price</v>
      </c>
      <c r="V1022" s="86" t="s">
        <v>1126</v>
      </c>
      <c r="W1022" s="86" t="str">
        <f>_xlfn.CONCAT(表格1[[#This Row],[欄4]],表格1[[#This Row],[inv no]])</f>
        <v>DA1411172371</v>
      </c>
    </row>
    <row r="1023" spans="1:23" hidden="1">
      <c r="A1023" s="81">
        <v>1021</v>
      </c>
      <c r="B1023" s="81" t="s">
        <v>1470</v>
      </c>
      <c r="C1023" s="81" t="s">
        <v>1247</v>
      </c>
      <c r="D1023" s="82" t="str">
        <f ca="1">OFFSET(Roster!$A$3,MATCH(表格1[[#This Row],[Location]]&amp;" "&amp;表格1[[#This Row],[Shop]]&amp;"*",Roster!$A$4:$A$72,0),DAY(表格1[[#This Row],[date]]),1,1)</f>
        <v>Coco</v>
      </c>
      <c r="E1023" s="81">
        <f>MONTH(表格1[[#This Row],[date]])</f>
        <v>3</v>
      </c>
      <c r="F1023" s="101">
        <v>46109</v>
      </c>
      <c r="G1023" s="81" t="str">
        <f>VLOOKUP("*"&amp;表格1[[#This Row],[Input]]&amp;"*",'Ref-List'!$B:$D,2,)</f>
        <v>RAD-D300H</v>
      </c>
      <c r="H1023" s="81" t="str">
        <f>_xlfn.XLOOKUP(表格1[[#This Row],[Model]],表格3[Model-Input-Ref2],表格3[Product Line])</f>
        <v>壓縮式抽濕機 (30公升)</v>
      </c>
      <c r="I1023" s="81" t="str">
        <f>_xlfn.XLOOKUP(表格1[[#This Row],[Model]],表格3[Model-Input-Ref2],表格3[大小電])</f>
        <v>細電</v>
      </c>
      <c r="J1023" s="81" t="str">
        <f>_xlfn.XLOOKUP(表格1[[#This Row],[Model]],表格3[Model-Input-Ref2],表格3[Code])</f>
        <v>RAC</v>
      </c>
      <c r="K1023" s="82" t="s">
        <v>1252</v>
      </c>
      <c r="L1023" s="81">
        <v>1</v>
      </c>
      <c r="M1023" s="85">
        <v>2280</v>
      </c>
      <c r="N1023" s="85">
        <f>IFERROR(表格1[[#This Row],[QTY]]*表格1[[#This Row],[Unit Price]],"-")</f>
        <v>2280</v>
      </c>
      <c r="O1023" s="134">
        <v>1172428</v>
      </c>
      <c r="P1023" s="81"/>
      <c r="Q1023" s="81"/>
      <c r="R1023" s="81" t="str">
        <f>_xlfn.CONCAT(表格1[[#This Row],[Model]]," ",表格1[[#This Row],[inv no]])</f>
        <v>RAD-D300H 1172428</v>
      </c>
      <c r="S1023" s="135">
        <f>_xlfn.XLOOKUP(表格1[[#This Row],[Model]],表格3[Model-Input-Ref2],表格3[SRP PRICE])</f>
        <v>3380</v>
      </c>
      <c r="T1023" s="43">
        <f>表格1[[#This Row],[Unit Price]]/表格1[[#This Row],[SRP]]</f>
        <v>0.67455621301775148</v>
      </c>
      <c r="U1023" s="86" t="str">
        <f>_xlfn.XLOOKUP(表格1[[#This Row],[Model]],表格3[Model-Input-Ref2],表格3[TOSHIBA/HIGHEST])</f>
        <v>Shops Highest Price</v>
      </c>
      <c r="V1023" s="86" t="s">
        <v>1126</v>
      </c>
      <c r="W1023" s="86" t="str">
        <f>_xlfn.CONCAT(表格1[[#This Row],[欄4]],表格1[[#This Row],[inv no]])</f>
        <v>DA1411172428</v>
      </c>
    </row>
    <row r="1024" spans="1:23" ht="16.5" hidden="1">
      <c r="A1024" s="81">
        <v>1022</v>
      </c>
      <c r="B1024" s="81" t="s">
        <v>1470</v>
      </c>
      <c r="C1024" s="81" t="s">
        <v>1247</v>
      </c>
      <c r="D1024" s="82" t="str">
        <f ca="1">OFFSET(Roster!$A$3,MATCH(表格1[[#This Row],[Location]]&amp;" "&amp;表格1[[#This Row],[Shop]]&amp;"*",Roster!$A$4:$A$72,0),DAY(表格1[[#This Row],[date]]),1,1)</f>
        <v>Coco</v>
      </c>
      <c r="E1024" s="81">
        <f>MONTH(表格1[[#This Row],[date]])</f>
        <v>3</v>
      </c>
      <c r="F1024" s="101">
        <v>46109</v>
      </c>
      <c r="G1024" s="81" t="str">
        <f>VLOOKUP("*"&amp;表格1[[#This Row],[Input]]&amp;"*",'Ref-List'!$B:$D,2,)</f>
        <v>RAD-D300H</v>
      </c>
      <c r="H1024" s="81" t="str">
        <f>_xlfn.XLOOKUP(表格1[[#This Row],[Model]],表格3[Model-Input-Ref2],表格3[Product Line])</f>
        <v>壓縮式抽濕機 (30公升)</v>
      </c>
      <c r="I1024" s="81" t="str">
        <f>_xlfn.XLOOKUP(表格1[[#This Row],[Model]],表格3[Model-Input-Ref2],表格3[大小電])</f>
        <v>細電</v>
      </c>
      <c r="J1024" s="81" t="str">
        <f>_xlfn.XLOOKUP(表格1[[#This Row],[Model]],表格3[Model-Input-Ref2],表格3[Code])</f>
        <v>RAC</v>
      </c>
      <c r="K1024" s="82" t="s">
        <v>1252</v>
      </c>
      <c r="L1024" s="81">
        <v>1</v>
      </c>
      <c r="M1024" s="85">
        <v>2280</v>
      </c>
      <c r="N1024" s="85">
        <f>IFERROR(表格1[[#This Row],[QTY]]*表格1[[#This Row],[Unit Price]],"-")</f>
        <v>2280</v>
      </c>
      <c r="O1024" s="134">
        <v>1172430</v>
      </c>
      <c r="P1024" s="81"/>
      <c r="Q1024" s="137"/>
      <c r="R1024" s="81" t="str">
        <f>_xlfn.CONCAT(表格1[[#This Row],[Model]]," ",表格1[[#This Row],[inv no]])</f>
        <v>RAD-D300H 1172430</v>
      </c>
      <c r="S1024" s="135">
        <f>_xlfn.XLOOKUP(表格1[[#This Row],[Model]],表格3[Model-Input-Ref2],表格3[SRP PRICE])</f>
        <v>3380</v>
      </c>
      <c r="T1024" s="43">
        <f>表格1[[#This Row],[Unit Price]]/表格1[[#This Row],[SRP]]</f>
        <v>0.67455621301775148</v>
      </c>
      <c r="U1024" s="86" t="str">
        <f>_xlfn.XLOOKUP(表格1[[#This Row],[Model]],表格3[Model-Input-Ref2],表格3[TOSHIBA/HIGHEST])</f>
        <v>Shops Highest Price</v>
      </c>
      <c r="V1024" s="86" t="s">
        <v>1126</v>
      </c>
      <c r="W1024" s="86" t="str">
        <f>_xlfn.CONCAT(表格1[[#This Row],[欄4]],表格1[[#This Row],[inv no]])</f>
        <v>DA1411172430</v>
      </c>
    </row>
    <row r="1025" spans="1:23" hidden="1">
      <c r="A1025" s="81">
        <v>1023</v>
      </c>
      <c r="B1025" s="81" t="s">
        <v>1470</v>
      </c>
      <c r="C1025" s="81" t="s">
        <v>1247</v>
      </c>
      <c r="D1025" s="82" t="str">
        <f ca="1">OFFSET(Roster!$A$3,MATCH(表格1[[#This Row],[Location]]&amp;" "&amp;表格1[[#This Row],[Shop]]&amp;"*",Roster!$A$4:$A$72,0),DAY(表格1[[#This Row],[date]]),1,1)</f>
        <v>Coco</v>
      </c>
      <c r="E1025" s="81">
        <f>MONTH(表格1[[#This Row],[date]])</f>
        <v>3</v>
      </c>
      <c r="F1025" s="101">
        <v>46109</v>
      </c>
      <c r="G1025" s="81" t="str">
        <f>VLOOKUP("*"&amp;表格1[[#This Row],[Input]]&amp;"*",'Ref-List'!$B:$D,2,)</f>
        <v>MM-2MM20PC(WH)</v>
      </c>
      <c r="H1025" s="81" t="str">
        <f>_xlfn.XLOOKUP(表格1[[#This Row],[Model]],表格3[Model-Input-Ref2],表格3[Product Line])</f>
        <v>旋鈕式微波爐 (20公升)</v>
      </c>
      <c r="I1025" s="81" t="str">
        <f>_xlfn.XLOOKUP(表格1[[#This Row],[Model]],表格3[Model-Input-Ref2],表格3[大小電])</f>
        <v>細電</v>
      </c>
      <c r="J1025" s="81" t="str">
        <f>_xlfn.XLOOKUP(表格1[[#This Row],[Model]],表格3[Model-Input-Ref2],表格3[Code])</f>
        <v>MCA</v>
      </c>
      <c r="K1025" s="82" t="s">
        <v>1388</v>
      </c>
      <c r="L1025" s="81">
        <v>1</v>
      </c>
      <c r="M1025" s="85">
        <v>550</v>
      </c>
      <c r="N1025" s="85">
        <f>IFERROR(表格1[[#This Row],[QTY]]*表格1[[#This Row],[Unit Price]],"-")</f>
        <v>550</v>
      </c>
      <c r="O1025" s="134">
        <v>1172431</v>
      </c>
      <c r="P1025" s="81"/>
      <c r="Q1025" s="81"/>
      <c r="R1025" s="81" t="str">
        <f>_xlfn.CONCAT(表格1[[#This Row],[Model]]," ",表格1[[#This Row],[inv no]])</f>
        <v>MM-2MM20PC(WH) 1172431</v>
      </c>
      <c r="S1025" s="135">
        <f>_xlfn.XLOOKUP(表格1[[#This Row],[Model]],表格3[Model-Input-Ref2],表格3[SRP PRICE])</f>
        <v>738</v>
      </c>
      <c r="T1025" s="43">
        <f>表格1[[#This Row],[Unit Price]]/表格1[[#This Row],[SRP]]</f>
        <v>0.74525745257452569</v>
      </c>
      <c r="U1025" s="86" t="str">
        <f>_xlfn.XLOOKUP(表格1[[#This Row],[Model]],表格3[Model-Input-Ref2],表格3[TOSHIBA/HIGHEST])</f>
        <v>Toshiba SRP</v>
      </c>
      <c r="V1025" s="86" t="s">
        <v>1126</v>
      </c>
      <c r="W1025" s="86" t="str">
        <f>_xlfn.CONCAT(表格1[[#This Row],[欄4]],表格1[[#This Row],[inv no]])</f>
        <v>DA1411172431</v>
      </c>
    </row>
    <row r="1026" spans="1:23" hidden="1">
      <c r="A1026" s="81">
        <v>1024</v>
      </c>
      <c r="B1026" s="81" t="s">
        <v>1470</v>
      </c>
      <c r="C1026" s="81" t="s">
        <v>1247</v>
      </c>
      <c r="D1026" s="82" t="str">
        <f ca="1">OFFSET(Roster!$A$3,MATCH(表格1[[#This Row],[Location]]&amp;" "&amp;表格1[[#This Row],[Shop]]&amp;"*",Roster!$A$4:$A$72,0),DAY(表格1[[#This Row],[date]]),1,1)</f>
        <v>Coco</v>
      </c>
      <c r="E1026" s="81">
        <f>MONTH(表格1[[#This Row],[date]])</f>
        <v>3</v>
      </c>
      <c r="F1026" s="101">
        <v>46109</v>
      </c>
      <c r="G1026" s="81" t="str">
        <f>VLOOKUP("*"&amp;表格1[[#This Row],[Input]]&amp;"*",'Ref-List'!$B:$D,2,)</f>
        <v>RAC-07G3CVRGR-HK</v>
      </c>
      <c r="H1026" s="81" t="str">
        <f>_xlfn.XLOOKUP(表格1[[#This Row],[Model]],表格3[Model-Input-Ref2],表格3[Product Line])</f>
        <v>3/4 匹 窗口式冷氣機(remote)</v>
      </c>
      <c r="I1026" s="81" t="str">
        <f>_xlfn.XLOOKUP(表格1[[#This Row],[Model]],表格3[Model-Input-Ref2],表格3[大小電])</f>
        <v>大電</v>
      </c>
      <c r="J1026" s="81" t="str">
        <f>_xlfn.XLOOKUP(表格1[[#This Row],[Model]],表格3[Model-Input-Ref2],表格3[Code])</f>
        <v>AC</v>
      </c>
      <c r="K1026" s="82" t="s">
        <v>656</v>
      </c>
      <c r="L1026" s="81">
        <v>1</v>
      </c>
      <c r="M1026" s="85">
        <v>3580</v>
      </c>
      <c r="N1026" s="85">
        <f>IFERROR(表格1[[#This Row],[QTY]]*表格1[[#This Row],[Unit Price]],"-")</f>
        <v>3580</v>
      </c>
      <c r="O1026" s="134">
        <v>1172435</v>
      </c>
      <c r="P1026" s="81"/>
      <c r="Q1026" s="81"/>
      <c r="R1026" s="81" t="str">
        <f>_xlfn.CONCAT(表格1[[#This Row],[Model]]," ",表格1[[#This Row],[inv no]])</f>
        <v>RAC-07G3CVRGR-HK 1172435</v>
      </c>
      <c r="S1026" s="135">
        <f>_xlfn.XLOOKUP(表格1[[#This Row],[Model]],表格3[Model-Input-Ref2],表格3[SRP PRICE])</f>
        <v>5580</v>
      </c>
      <c r="T1026" s="43">
        <f>表格1[[#This Row],[Unit Price]]/表格1[[#This Row],[SRP]]</f>
        <v>0.64157706093189959</v>
      </c>
      <c r="U1026" s="86" t="str">
        <f>_xlfn.XLOOKUP(表格1[[#This Row],[Model]],表格3[Model-Input-Ref2],表格3[TOSHIBA/HIGHEST])</f>
        <v>Toshiba SRP</v>
      </c>
      <c r="V1026" s="86" t="s">
        <v>1126</v>
      </c>
      <c r="W1026" s="86" t="str">
        <f>_xlfn.CONCAT(表格1[[#This Row],[欄4]],表格1[[#This Row],[inv no]])</f>
        <v>DA1411172435</v>
      </c>
    </row>
    <row r="1027" spans="1:23" ht="16.5" hidden="1">
      <c r="A1027" s="81">
        <v>1025</v>
      </c>
      <c r="B1027" s="81" t="s">
        <v>1470</v>
      </c>
      <c r="C1027" s="81" t="s">
        <v>1247</v>
      </c>
      <c r="D1027" s="82" t="str">
        <f ca="1">OFFSET(Roster!$A$3,MATCH(表格1[[#This Row],[Location]]&amp;" "&amp;表格1[[#This Row],[Shop]]&amp;"*",Roster!$A$4:$A$72,0),DAY(表格1[[#This Row],[date]]),1,1)</f>
        <v>Coco</v>
      </c>
      <c r="E1027" s="81">
        <f>MONTH(表格1[[#This Row],[date]])</f>
        <v>3</v>
      </c>
      <c r="F1027" s="101">
        <v>46109</v>
      </c>
      <c r="G1027" s="81" t="str">
        <f>VLOOKUP("*"&amp;表格1[[#This Row],[Input]]&amp;"*",'Ref-List'!$B:$D,2,)</f>
        <v>RAC-18G3CVRGR-HK</v>
      </c>
      <c r="H1027" s="81" t="str">
        <f>_xlfn.XLOOKUP(表格1[[#This Row],[Model]],表格3[Model-Input-Ref2],表格3[Product Line])</f>
        <v>2 匹 R32變頻窗口式冷氣機 (remote)</v>
      </c>
      <c r="I1027" s="81" t="str">
        <f>_xlfn.XLOOKUP(表格1[[#This Row],[Model]],表格3[Model-Input-Ref2],表格3[大小電])</f>
        <v>大電</v>
      </c>
      <c r="J1027" s="81" t="str">
        <f>_xlfn.XLOOKUP(表格1[[#This Row],[Model]],表格3[Model-Input-Ref2],表格3[Code])</f>
        <v>AC</v>
      </c>
      <c r="K1027" s="82" t="s">
        <v>1471</v>
      </c>
      <c r="L1027" s="81">
        <v>1</v>
      </c>
      <c r="M1027" s="85">
        <v>6480</v>
      </c>
      <c r="N1027" s="85">
        <f>IFERROR(表格1[[#This Row],[QTY]]*表格1[[#This Row],[Unit Price]],"-")</f>
        <v>6480</v>
      </c>
      <c r="O1027" s="134">
        <v>1172434</v>
      </c>
      <c r="P1027" s="137"/>
      <c r="Q1027" s="81"/>
      <c r="R1027" s="81" t="str">
        <f>_xlfn.CONCAT(表格1[[#This Row],[Model]]," ",表格1[[#This Row],[inv no]])</f>
        <v>RAC-18G3CVRGR-HK 1172434</v>
      </c>
      <c r="S1027" s="135">
        <f>_xlfn.XLOOKUP(表格1[[#This Row],[Model]],表格3[Model-Input-Ref2],表格3[SRP PRICE])</f>
        <v>10380</v>
      </c>
      <c r="T1027" s="43">
        <f>表格1[[#This Row],[Unit Price]]/表格1[[#This Row],[SRP]]</f>
        <v>0.62427745664739887</v>
      </c>
      <c r="U1027" s="86" t="str">
        <f>_xlfn.XLOOKUP(表格1[[#This Row],[Model]],表格3[Model-Input-Ref2],表格3[TOSHIBA/HIGHEST])</f>
        <v>Toshiba SRP</v>
      </c>
      <c r="V1027" s="86" t="s">
        <v>1126</v>
      </c>
      <c r="W1027" s="86" t="str">
        <f>_xlfn.CONCAT(表格1[[#This Row],[欄4]],表格1[[#This Row],[inv no]])</f>
        <v>DA1411172434</v>
      </c>
    </row>
    <row r="1028" spans="1:23" hidden="1">
      <c r="A1028" s="81">
        <v>1026</v>
      </c>
      <c r="B1028" s="81" t="s">
        <v>1470</v>
      </c>
      <c r="C1028" s="81" t="s">
        <v>1247</v>
      </c>
      <c r="D1028" s="82" t="str">
        <f ca="1">OFFSET(Roster!$A$3,MATCH(表格1[[#This Row],[Location]]&amp;" "&amp;表格1[[#This Row],[Shop]]&amp;"*",Roster!$A$4:$A$72,0),DAY(表格1[[#This Row],[date]]),1,1)</f>
        <v>Coco</v>
      </c>
      <c r="E1028" s="81">
        <f>MONTH(表格1[[#This Row],[date]])</f>
        <v>3</v>
      </c>
      <c r="F1028" s="101">
        <v>46109</v>
      </c>
      <c r="G1028" s="81" t="str">
        <f>VLOOKUP("*"&amp;表格1[[#This Row],[Input]]&amp;"*",'Ref-List'!$B:$D,2,)</f>
        <v>RAD-D300H</v>
      </c>
      <c r="H1028" s="81" t="str">
        <f>_xlfn.XLOOKUP(表格1[[#This Row],[Model]],表格3[Model-Input-Ref2],表格3[Product Line])</f>
        <v>壓縮式抽濕機 (30公升)</v>
      </c>
      <c r="I1028" s="81" t="str">
        <f>_xlfn.XLOOKUP(表格1[[#This Row],[Model]],表格3[Model-Input-Ref2],表格3[大小電])</f>
        <v>細電</v>
      </c>
      <c r="J1028" s="81" t="str">
        <f>_xlfn.XLOOKUP(表格1[[#This Row],[Model]],表格3[Model-Input-Ref2],表格3[Code])</f>
        <v>RAC</v>
      </c>
      <c r="K1028" s="82" t="s">
        <v>1252</v>
      </c>
      <c r="L1028" s="81">
        <v>1</v>
      </c>
      <c r="M1028" s="85">
        <v>2280</v>
      </c>
      <c r="N1028" s="85">
        <f>IFERROR(表格1[[#This Row],[QTY]]*表格1[[#This Row],[Unit Price]],"-")</f>
        <v>2280</v>
      </c>
      <c r="O1028" s="134">
        <v>1172465</v>
      </c>
      <c r="P1028" s="81"/>
      <c r="Q1028" s="81"/>
      <c r="R1028" s="81" t="str">
        <f>_xlfn.CONCAT(表格1[[#This Row],[Model]]," ",表格1[[#This Row],[inv no]])</f>
        <v>RAD-D300H 1172465</v>
      </c>
      <c r="S1028" s="135">
        <f>_xlfn.XLOOKUP(表格1[[#This Row],[Model]],表格3[Model-Input-Ref2],表格3[SRP PRICE])</f>
        <v>3380</v>
      </c>
      <c r="T1028" s="43">
        <f>表格1[[#This Row],[Unit Price]]/表格1[[#This Row],[SRP]]</f>
        <v>0.67455621301775148</v>
      </c>
      <c r="U1028" s="86" t="str">
        <f>_xlfn.XLOOKUP(表格1[[#This Row],[Model]],表格3[Model-Input-Ref2],表格3[TOSHIBA/HIGHEST])</f>
        <v>Shops Highest Price</v>
      </c>
      <c r="V1028" s="86" t="s">
        <v>1126</v>
      </c>
      <c r="W1028" s="86" t="str">
        <f>_xlfn.CONCAT(表格1[[#This Row],[欄4]],表格1[[#This Row],[inv no]])</f>
        <v>DA1411172465</v>
      </c>
    </row>
    <row r="1029" spans="1:23" hidden="1">
      <c r="A1029" s="81">
        <v>1027</v>
      </c>
      <c r="B1029" s="81" t="s">
        <v>1470</v>
      </c>
      <c r="C1029" s="81" t="s">
        <v>1247</v>
      </c>
      <c r="D1029" s="82" t="str">
        <f ca="1">OFFSET(Roster!$A$3,MATCH(表格1[[#This Row],[Location]]&amp;" "&amp;表格1[[#This Row],[Shop]]&amp;"*",Roster!$A$4:$A$72,0),DAY(表格1[[#This Row],[date]]),1,1)</f>
        <v>Coco</v>
      </c>
      <c r="E1029" s="81">
        <f>MONTH(表格1[[#This Row],[date]])</f>
        <v>3</v>
      </c>
      <c r="F1029" s="101">
        <v>46110</v>
      </c>
      <c r="G1029" s="81" t="str">
        <f>VLOOKUP("*"&amp;表格1[[#This Row],[Input]]&amp;"*",'Ref-List'!$B:$D,2,)</f>
        <v>RAD-D300H</v>
      </c>
      <c r="H1029" s="81" t="str">
        <f>_xlfn.XLOOKUP(表格1[[#This Row],[Model]],表格3[Model-Input-Ref2],表格3[Product Line])</f>
        <v>壓縮式抽濕機 (30公升)</v>
      </c>
      <c r="I1029" s="81" t="str">
        <f>_xlfn.XLOOKUP(表格1[[#This Row],[Model]],表格3[Model-Input-Ref2],表格3[大小電])</f>
        <v>細電</v>
      </c>
      <c r="J1029" s="81" t="str">
        <f>_xlfn.XLOOKUP(表格1[[#This Row],[Model]],表格3[Model-Input-Ref2],表格3[Code])</f>
        <v>RAC</v>
      </c>
      <c r="K1029" s="82" t="s">
        <v>1252</v>
      </c>
      <c r="L1029" s="81">
        <v>1</v>
      </c>
      <c r="M1029" s="85">
        <v>2280</v>
      </c>
      <c r="N1029" s="85">
        <f>IFERROR(表格1[[#This Row],[QTY]]*表格1[[#This Row],[Unit Price]],"-")</f>
        <v>2280</v>
      </c>
      <c r="O1029" s="134">
        <v>1172496</v>
      </c>
      <c r="P1029" s="81"/>
      <c r="Q1029" s="81"/>
      <c r="R1029" s="81" t="str">
        <f>_xlfn.CONCAT(表格1[[#This Row],[Model]]," ",表格1[[#This Row],[inv no]])</f>
        <v>RAD-D300H 1172496</v>
      </c>
      <c r="S1029" s="135">
        <f>_xlfn.XLOOKUP(表格1[[#This Row],[Model]],表格3[Model-Input-Ref2],表格3[SRP PRICE])</f>
        <v>3380</v>
      </c>
      <c r="T1029" s="43">
        <f>表格1[[#This Row],[Unit Price]]/表格1[[#This Row],[SRP]]</f>
        <v>0.67455621301775148</v>
      </c>
      <c r="U1029" s="86" t="str">
        <f>_xlfn.XLOOKUP(表格1[[#This Row],[Model]],表格3[Model-Input-Ref2],表格3[TOSHIBA/HIGHEST])</f>
        <v>Shops Highest Price</v>
      </c>
      <c r="V1029" s="86" t="s">
        <v>1126</v>
      </c>
      <c r="W1029" s="86" t="str">
        <f>_xlfn.CONCAT(表格1[[#This Row],[欄4]],表格1[[#This Row],[inv no]])</f>
        <v>DA1411172496</v>
      </c>
    </row>
    <row r="1030" spans="1:23" hidden="1">
      <c r="A1030" s="81">
        <v>1028</v>
      </c>
      <c r="B1030" s="81" t="s">
        <v>1470</v>
      </c>
      <c r="C1030" s="81" t="s">
        <v>1247</v>
      </c>
      <c r="D1030" s="82" t="str">
        <f ca="1">OFFSET(Roster!$A$3,MATCH(表格1[[#This Row],[Location]]&amp;" "&amp;表格1[[#This Row],[Shop]]&amp;"*",Roster!$A$4:$A$72,0),DAY(表格1[[#This Row],[date]]),1,1)</f>
        <v>Coco</v>
      </c>
      <c r="E1030" s="81">
        <f>MONTH(表格1[[#This Row],[date]])</f>
        <v>3</v>
      </c>
      <c r="F1030" s="101">
        <v>46110</v>
      </c>
      <c r="G1030" s="81" t="str">
        <f>VLOOKUP("*"&amp;表格1[[#This Row],[Input]]&amp;"*",'Ref-List'!$B:$D,2,)</f>
        <v>MM-2MM20PC(WH)</v>
      </c>
      <c r="H1030" s="81" t="str">
        <f>_xlfn.XLOOKUP(表格1[[#This Row],[Model]],表格3[Model-Input-Ref2],表格3[Product Line])</f>
        <v>旋鈕式微波爐 (20公升)</v>
      </c>
      <c r="I1030" s="81" t="str">
        <f>_xlfn.XLOOKUP(表格1[[#This Row],[Model]],表格3[Model-Input-Ref2],表格3[大小電])</f>
        <v>細電</v>
      </c>
      <c r="J1030" s="81" t="str">
        <f>_xlfn.XLOOKUP(表格1[[#This Row],[Model]],表格3[Model-Input-Ref2],表格3[Code])</f>
        <v>MCA</v>
      </c>
      <c r="K1030" s="82" t="s">
        <v>1388</v>
      </c>
      <c r="L1030" s="81">
        <v>1</v>
      </c>
      <c r="M1030" s="85">
        <v>550</v>
      </c>
      <c r="N1030" s="85">
        <f>IFERROR(表格1[[#This Row],[QTY]]*表格1[[#This Row],[Unit Price]],"-")</f>
        <v>550</v>
      </c>
      <c r="O1030" s="134">
        <v>1172499</v>
      </c>
      <c r="P1030" s="81"/>
      <c r="Q1030" s="81"/>
      <c r="R1030" s="81" t="str">
        <f>_xlfn.CONCAT(表格1[[#This Row],[Model]]," ",表格1[[#This Row],[inv no]])</f>
        <v>MM-2MM20PC(WH) 1172499</v>
      </c>
      <c r="S1030" s="135">
        <f>_xlfn.XLOOKUP(表格1[[#This Row],[Model]],表格3[Model-Input-Ref2],表格3[SRP PRICE])</f>
        <v>738</v>
      </c>
      <c r="T1030" s="43">
        <f>表格1[[#This Row],[Unit Price]]/表格1[[#This Row],[SRP]]</f>
        <v>0.74525745257452569</v>
      </c>
      <c r="U1030" s="86" t="str">
        <f>_xlfn.XLOOKUP(表格1[[#This Row],[Model]],表格3[Model-Input-Ref2],表格3[TOSHIBA/HIGHEST])</f>
        <v>Toshiba SRP</v>
      </c>
      <c r="V1030" s="86" t="s">
        <v>1126</v>
      </c>
      <c r="W1030" s="86" t="str">
        <f>_xlfn.CONCAT(表格1[[#This Row],[欄4]],表格1[[#This Row],[inv no]])</f>
        <v>DA1411172499</v>
      </c>
    </row>
    <row r="1031" spans="1:23" hidden="1">
      <c r="A1031" s="81">
        <v>1029</v>
      </c>
      <c r="B1031" s="81" t="s">
        <v>1470</v>
      </c>
      <c r="C1031" s="81" t="s">
        <v>1247</v>
      </c>
      <c r="D1031" s="82" t="str">
        <f ca="1">OFFSET(Roster!$A$3,MATCH(表格1[[#This Row],[Location]]&amp;" "&amp;表格1[[#This Row],[Shop]]&amp;"*",Roster!$A$4:$A$72,0),DAY(表格1[[#This Row],[date]]),1,1)</f>
        <v>Coco</v>
      </c>
      <c r="E1031" s="81">
        <f>MONTH(表格1[[#This Row],[date]])</f>
        <v>3</v>
      </c>
      <c r="F1031" s="101">
        <v>46110</v>
      </c>
      <c r="G1031" s="81" t="str">
        <f>VLOOKUP("*"&amp;表格1[[#This Row],[Input]]&amp;"*",'Ref-List'!$B:$D,2,)</f>
        <v>TP-50DRUHK(W)</v>
      </c>
      <c r="H1031" s="81" t="str">
        <f>_xlfn.XLOOKUP(表格1[[#This Row],[Model]],表格3[Model-Input-Ref2],表格3[Product Line])</f>
        <v>電熱水瓶 (5公升)</v>
      </c>
      <c r="I1031" s="81" t="str">
        <f>_xlfn.XLOOKUP(表格1[[#This Row],[Model]],表格3[Model-Input-Ref2],表格3[大小電])</f>
        <v>細電</v>
      </c>
      <c r="J1031" s="81" t="str">
        <f>_xlfn.XLOOKUP(表格1[[#This Row],[Model]],表格3[Model-Input-Ref2],表格3[Code])</f>
        <v>SDA</v>
      </c>
      <c r="K1031" s="82" t="s">
        <v>1277</v>
      </c>
      <c r="L1031" s="81">
        <v>1</v>
      </c>
      <c r="M1031" s="85">
        <v>598</v>
      </c>
      <c r="N1031" s="85">
        <f>IFERROR(表格1[[#This Row],[QTY]]*表格1[[#This Row],[Unit Price]],"-")</f>
        <v>598</v>
      </c>
      <c r="O1031" s="134">
        <v>1172521</v>
      </c>
      <c r="P1031" s="81"/>
      <c r="Q1031" s="81"/>
      <c r="R1031" s="81" t="str">
        <f>_xlfn.CONCAT(表格1[[#This Row],[Model]]," ",表格1[[#This Row],[inv no]])</f>
        <v>TP-50DRUHK(W) 1172521</v>
      </c>
      <c r="S1031" s="135">
        <f>_xlfn.XLOOKUP(表格1[[#This Row],[Model]],表格3[Model-Input-Ref2],表格3[SRP PRICE])</f>
        <v>718</v>
      </c>
      <c r="T1031" s="43">
        <f>表格1[[#This Row],[Unit Price]]/表格1[[#This Row],[SRP]]</f>
        <v>0.83286908077994426</v>
      </c>
      <c r="U1031" s="86" t="str">
        <f>_xlfn.XLOOKUP(表格1[[#This Row],[Model]],表格3[Model-Input-Ref2],表格3[TOSHIBA/HIGHEST])</f>
        <v>Toshiba SRP</v>
      </c>
      <c r="V1031" s="86" t="s">
        <v>1126</v>
      </c>
      <c r="W1031" s="86" t="str">
        <f>_xlfn.CONCAT(表格1[[#This Row],[欄4]],表格1[[#This Row],[inv no]])</f>
        <v>DA1411172521</v>
      </c>
    </row>
    <row r="1032" spans="1:23" ht="16.5" hidden="1">
      <c r="A1032" s="81">
        <v>1030</v>
      </c>
      <c r="B1032" s="81" t="s">
        <v>1470</v>
      </c>
      <c r="C1032" s="81" t="s">
        <v>1247</v>
      </c>
      <c r="D1032" s="82" t="str">
        <f ca="1">OFFSET(Roster!$A$3,MATCH(表格1[[#This Row],[Location]]&amp;" "&amp;表格1[[#This Row],[Shop]]&amp;"*",Roster!$A$4:$A$72,0),DAY(表格1[[#This Row],[date]]),1,1)</f>
        <v>Coco</v>
      </c>
      <c r="E1032" s="81">
        <f>MONTH(表格1[[#This Row],[date]])</f>
        <v>3</v>
      </c>
      <c r="F1032" s="101">
        <v>46110</v>
      </c>
      <c r="G1032" s="81" t="str">
        <f>VLOOKUP("*"&amp;表格1[[#This Row],[Input]]&amp;"*",'Ref-List'!$B:$D,2,)</f>
        <v>CAF-A400HK(H)</v>
      </c>
      <c r="H1032" s="81" t="str">
        <f>_xlfn.XLOOKUP(表格1[[#This Row],[Model]],表格3[Model-Input-Ref2],表格3[Product Line])</f>
        <v>抗菌除臭空氣清淨機</v>
      </c>
      <c r="I1032" s="81" t="str">
        <f>_xlfn.XLOOKUP(表格1[[#This Row],[Model]],表格3[Model-Input-Ref2],表格3[大小電])</f>
        <v>細電</v>
      </c>
      <c r="J1032" s="81" t="str">
        <f>_xlfn.XLOOKUP(表格1[[#This Row],[Model]],表格3[Model-Input-Ref2],表格3[Code])</f>
        <v>AP</v>
      </c>
      <c r="K1032" s="82" t="s">
        <v>1476</v>
      </c>
      <c r="L1032" s="81">
        <v>1</v>
      </c>
      <c r="M1032" s="85">
        <v>888</v>
      </c>
      <c r="N1032" s="85">
        <f>IFERROR(表格1[[#This Row],[QTY]]*表格1[[#This Row],[Unit Price]],"-")</f>
        <v>888</v>
      </c>
      <c r="O1032" s="134">
        <v>1172536</v>
      </c>
      <c r="P1032" s="81"/>
      <c r="Q1032" s="137"/>
      <c r="R1032" s="81" t="str">
        <f>_xlfn.CONCAT(表格1[[#This Row],[Model]]," ",表格1[[#This Row],[inv no]])</f>
        <v>CAF-A400HK(H) 1172536</v>
      </c>
      <c r="S1032" s="135">
        <f>_xlfn.XLOOKUP(表格1[[#This Row],[Model]],表格3[Model-Input-Ref2],表格3[SRP PRICE])</f>
        <v>1500</v>
      </c>
      <c r="T1032" s="43">
        <f>表格1[[#This Row],[Unit Price]]/表格1[[#This Row],[SRP]]</f>
        <v>0.59199999999999997</v>
      </c>
      <c r="U1032" s="86" t="str">
        <f>_xlfn.XLOOKUP(表格1[[#This Row],[Model]],表格3[Model-Input-Ref2],表格3[TOSHIBA/HIGHEST])</f>
        <v>Shops Highest Price</v>
      </c>
      <c r="V1032" s="86" t="s">
        <v>1126</v>
      </c>
      <c r="W1032" s="86" t="str">
        <f>_xlfn.CONCAT(表格1[[#This Row],[欄4]],表格1[[#This Row],[inv no]])</f>
        <v>DA1411172536</v>
      </c>
    </row>
    <row r="1033" spans="1:23" ht="16.5" hidden="1">
      <c r="A1033" s="81">
        <v>1031</v>
      </c>
      <c r="B1033" s="81" t="s">
        <v>1470</v>
      </c>
      <c r="C1033" s="81" t="s">
        <v>1247</v>
      </c>
      <c r="D1033" s="82" t="str">
        <f ca="1">OFFSET(Roster!$A$3,MATCH(表格1[[#This Row],[Location]]&amp;" "&amp;表格1[[#This Row],[Shop]]&amp;"*",Roster!$A$4:$A$72,0),DAY(表格1[[#This Row],[date]]),1,1)</f>
        <v>Coco</v>
      </c>
      <c r="E1033" s="81">
        <f>MONTH(表格1[[#This Row],[date]])</f>
        <v>3</v>
      </c>
      <c r="F1033" s="101">
        <v>46110</v>
      </c>
      <c r="G1033" s="81" t="str">
        <f>VLOOKUP("*"&amp;表格1[[#This Row],[Input]]&amp;"*",'Ref-List'!$B:$D,2,)</f>
        <v>RAD-D300H</v>
      </c>
      <c r="H1033" s="81" t="str">
        <f>_xlfn.XLOOKUP(表格1[[#This Row],[Model]],表格3[Model-Input-Ref2],表格3[Product Line])</f>
        <v>壓縮式抽濕機 (30公升)</v>
      </c>
      <c r="I1033" s="81" t="str">
        <f>_xlfn.XLOOKUP(表格1[[#This Row],[Model]],表格3[Model-Input-Ref2],表格3[大小電])</f>
        <v>細電</v>
      </c>
      <c r="J1033" s="81" t="str">
        <f>_xlfn.XLOOKUP(表格1[[#This Row],[Model]],表格3[Model-Input-Ref2],表格3[Code])</f>
        <v>RAC</v>
      </c>
      <c r="K1033" s="82" t="s">
        <v>1252</v>
      </c>
      <c r="L1033" s="81">
        <v>1</v>
      </c>
      <c r="M1033" s="85">
        <v>2180</v>
      </c>
      <c r="N1033" s="85">
        <f>IFERROR(表格1[[#This Row],[QTY]]*表格1[[#This Row],[Unit Price]],"-")</f>
        <v>2180</v>
      </c>
      <c r="O1033" s="134">
        <v>1172551</v>
      </c>
      <c r="P1033" s="137"/>
      <c r="Q1033" s="137"/>
      <c r="R1033" s="81" t="str">
        <f>_xlfn.CONCAT(表格1[[#This Row],[Model]]," ",表格1[[#This Row],[inv no]])</f>
        <v>RAD-D300H 1172551</v>
      </c>
      <c r="S1033" s="135">
        <f>_xlfn.XLOOKUP(表格1[[#This Row],[Model]],表格3[Model-Input-Ref2],表格3[SRP PRICE])</f>
        <v>3380</v>
      </c>
      <c r="T1033" s="43">
        <f>表格1[[#This Row],[Unit Price]]/表格1[[#This Row],[SRP]]</f>
        <v>0.6449704142011834</v>
      </c>
      <c r="U1033" s="86" t="str">
        <f>_xlfn.XLOOKUP(表格1[[#This Row],[Model]],表格3[Model-Input-Ref2],表格3[TOSHIBA/HIGHEST])</f>
        <v>Shops Highest Price</v>
      </c>
      <c r="V1033" s="86" t="s">
        <v>1126</v>
      </c>
      <c r="W1033" s="86" t="str">
        <f>_xlfn.CONCAT(表格1[[#This Row],[欄4]],表格1[[#This Row],[inv no]])</f>
        <v>DA1411172551</v>
      </c>
    </row>
    <row r="1034" spans="1:23" hidden="1">
      <c r="A1034" s="81">
        <v>1032</v>
      </c>
      <c r="B1034" s="81" t="s">
        <v>1470</v>
      </c>
      <c r="C1034" s="81" t="s">
        <v>1247</v>
      </c>
      <c r="D1034" s="82" t="str">
        <f ca="1">OFFSET(Roster!$A$3,MATCH(表格1[[#This Row],[Location]]&amp;" "&amp;表格1[[#This Row],[Shop]]&amp;"*",Roster!$A$4:$A$72,0),DAY(表格1[[#This Row],[date]]),1,1)</f>
        <v>Coco</v>
      </c>
      <c r="E1034" s="81">
        <f>MONTH(表格1[[#This Row],[date]])</f>
        <v>3</v>
      </c>
      <c r="F1034" s="101">
        <v>46111</v>
      </c>
      <c r="G1034" s="81" t="str">
        <f>VLOOKUP("*"&amp;表格1[[#This Row],[Input]]&amp;"*",'Ref-List'!$B:$D,2,)</f>
        <v>AW-Q901BPH(WW)</v>
      </c>
      <c r="H1034" s="81" t="str">
        <f>_xlfn.XLOOKUP(表格1[[#This Row],[Model]],表格3[Model-Input-Ref2],表格3[Product Line])</f>
        <v>日式洗衣機 (8公斤 結合高低水位)</v>
      </c>
      <c r="I1034" s="81" t="str">
        <f>_xlfn.XLOOKUP(表格1[[#This Row],[Model]],表格3[Model-Input-Ref2],表格3[大小電])</f>
        <v>大電</v>
      </c>
      <c r="J1034" s="81" t="str">
        <f>_xlfn.XLOOKUP(表格1[[#This Row],[Model]],表格3[Model-Input-Ref2],表格3[Code])</f>
        <v>LAD</v>
      </c>
      <c r="K1034" s="82" t="s">
        <v>1411</v>
      </c>
      <c r="L1034" s="81">
        <v>1</v>
      </c>
      <c r="M1034" s="85">
        <v>2280</v>
      </c>
      <c r="N1034" s="85">
        <f>IFERROR(表格1[[#This Row],[QTY]]*表格1[[#This Row],[Unit Price]],"-")</f>
        <v>2280</v>
      </c>
      <c r="O1034" s="134">
        <v>1172562</v>
      </c>
      <c r="P1034" s="81"/>
      <c r="Q1034" s="81"/>
      <c r="R1034" s="81" t="str">
        <f>_xlfn.CONCAT(表格1[[#This Row],[Model]]," ",表格1[[#This Row],[inv no]])</f>
        <v>AW-Q901BPH(WW) 1172562</v>
      </c>
      <c r="S1034" s="135">
        <f>_xlfn.XLOOKUP(表格1[[#This Row],[Model]],表格3[Model-Input-Ref2],表格3[SRP PRICE])</f>
        <v>3780</v>
      </c>
      <c r="T1034" s="43">
        <f>表格1[[#This Row],[Unit Price]]/表格1[[#This Row],[SRP]]</f>
        <v>0.60317460317460314</v>
      </c>
      <c r="U1034" s="86" t="str">
        <f>_xlfn.XLOOKUP(表格1[[#This Row],[Model]],表格3[Model-Input-Ref2],表格3[TOSHIBA/HIGHEST])</f>
        <v>Toshiba SRP</v>
      </c>
      <c r="V1034" s="86" t="s">
        <v>1126</v>
      </c>
      <c r="W1034" s="86" t="str">
        <f>_xlfn.CONCAT(表格1[[#This Row],[欄4]],表格1[[#This Row],[inv no]])</f>
        <v>DA1411172562</v>
      </c>
    </row>
    <row r="1035" spans="1:23" hidden="1">
      <c r="A1035" s="81">
        <v>1033</v>
      </c>
      <c r="B1035" s="81" t="s">
        <v>1470</v>
      </c>
      <c r="C1035" s="81" t="s">
        <v>1247</v>
      </c>
      <c r="D1035" s="82" t="str">
        <f ca="1">OFFSET(Roster!$A$3,MATCH(表格1[[#This Row],[Location]]&amp;" "&amp;表格1[[#This Row],[Shop]]&amp;"*",Roster!$A$4:$A$72,0),DAY(表格1[[#This Row],[date]]),1,1)</f>
        <v>Coco</v>
      </c>
      <c r="E1035" s="81">
        <f>MONTH(表格1[[#This Row],[date]])</f>
        <v>3</v>
      </c>
      <c r="F1035" s="101">
        <v>46111</v>
      </c>
      <c r="G1035" s="81" t="str">
        <f>VLOOKUP("*"&amp;表格1[[#This Row],[Input]]&amp;"*",'Ref-List'!$B:$D,2,)</f>
        <v>MM2-EM20PC(WH)</v>
      </c>
      <c r="H1035" s="81" t="str">
        <f>_xlfn.XLOOKUP(表格1[[#This Row],[Model]],表格3[Model-Input-Ref2],表格3[Product Line])</f>
        <v>輕觸式微波爐 (20公升)</v>
      </c>
      <c r="I1035" s="81" t="str">
        <f>_xlfn.XLOOKUP(表格1[[#This Row],[Model]],表格3[Model-Input-Ref2],表格3[大小電])</f>
        <v>細電</v>
      </c>
      <c r="J1035" s="81" t="str">
        <f>_xlfn.XLOOKUP(表格1[[#This Row],[Model]],表格3[Model-Input-Ref2],表格3[Code])</f>
        <v>MCA</v>
      </c>
      <c r="K1035" s="82" t="s">
        <v>1276</v>
      </c>
      <c r="L1035" s="81">
        <v>1</v>
      </c>
      <c r="M1035" s="85">
        <v>550</v>
      </c>
      <c r="N1035" s="85">
        <f>IFERROR(表格1[[#This Row],[QTY]]*表格1[[#This Row],[Unit Price]],"-")</f>
        <v>550</v>
      </c>
      <c r="O1035" s="134">
        <v>1172572</v>
      </c>
      <c r="P1035" s="81"/>
      <c r="Q1035" s="81"/>
      <c r="R1035" s="81" t="str">
        <f>_xlfn.CONCAT(表格1[[#This Row],[Model]]," ",表格1[[#This Row],[inv no]])</f>
        <v>MM2-EM20PC(WH) 1172572</v>
      </c>
      <c r="S1035" s="135">
        <f>_xlfn.XLOOKUP(表格1[[#This Row],[Model]],表格3[Model-Input-Ref2],表格3[SRP PRICE])</f>
        <v>788</v>
      </c>
      <c r="T1035" s="43">
        <f>表格1[[#This Row],[Unit Price]]/表格1[[#This Row],[SRP]]</f>
        <v>0.69796954314720816</v>
      </c>
      <c r="U1035" s="86" t="str">
        <f>_xlfn.XLOOKUP(表格1[[#This Row],[Model]],表格3[Model-Input-Ref2],表格3[TOSHIBA/HIGHEST])</f>
        <v>Toshiba SRP</v>
      </c>
      <c r="V1035" s="86" t="s">
        <v>1126</v>
      </c>
      <c r="W1035" s="86" t="str">
        <f>_xlfn.CONCAT(表格1[[#This Row],[欄4]],表格1[[#This Row],[inv no]])</f>
        <v>DA1411172572</v>
      </c>
    </row>
    <row r="1036" spans="1:23" hidden="1">
      <c r="A1036" s="81">
        <v>1034</v>
      </c>
      <c r="B1036" s="81" t="s">
        <v>1470</v>
      </c>
      <c r="C1036" s="81" t="s">
        <v>1247</v>
      </c>
      <c r="D1036" s="82" t="str">
        <f ca="1">OFFSET(Roster!$A$3,MATCH(表格1[[#This Row],[Location]]&amp;" "&amp;表格1[[#This Row],[Shop]]&amp;"*",Roster!$A$4:$A$72,0),DAY(表格1[[#This Row],[date]]),1,1)</f>
        <v>Coco</v>
      </c>
      <c r="E1036" s="81">
        <f>MONTH(表格1[[#This Row],[date]])</f>
        <v>3</v>
      </c>
      <c r="F1036" s="101">
        <v>46112</v>
      </c>
      <c r="G1036" s="81" t="str">
        <f>VLOOKUP("*"&amp;表格1[[#This Row],[Input]]&amp;"*",'Ref-List'!$B:$D,2,)</f>
        <v>MX2-TT20SC(WH)</v>
      </c>
      <c r="H1036" s="81" t="str">
        <f>_xlfn.XLOOKUP(表格1[[#This Row],[Model]],表格3[Model-Input-Ref2],表格3[Product Line])</f>
        <v>3合1 微波蒸焗爐 (20公升)</v>
      </c>
      <c r="I1036" s="81" t="str">
        <f>_xlfn.XLOOKUP(表格1[[#This Row],[Model]],表格3[Model-Input-Ref2],表格3[大小電])</f>
        <v>細電</v>
      </c>
      <c r="J1036" s="81" t="str">
        <f>_xlfn.XLOOKUP(表格1[[#This Row],[Model]],表格3[Model-Input-Ref2],表格3[Code])</f>
        <v>MCA</v>
      </c>
      <c r="K1036" s="82" t="s">
        <v>1287</v>
      </c>
      <c r="L1036" s="81">
        <v>1</v>
      </c>
      <c r="M1036" s="85">
        <v>2580</v>
      </c>
      <c r="N1036" s="85">
        <f>IFERROR(表格1[[#This Row],[QTY]]*表格1[[#This Row],[Unit Price]],"-")</f>
        <v>2580</v>
      </c>
      <c r="O1036" s="134">
        <v>1172657</v>
      </c>
      <c r="P1036" s="81"/>
      <c r="Q1036" s="81"/>
      <c r="R1036" s="81" t="str">
        <f>_xlfn.CONCAT(表格1[[#This Row],[Model]]," ",表格1[[#This Row],[inv no]])</f>
        <v>MX2-TT20SC(WH) 1172657</v>
      </c>
      <c r="S1036" s="135">
        <f>_xlfn.XLOOKUP(表格1[[#This Row],[Model]],表格3[Model-Input-Ref2],表格3[SRP PRICE])</f>
        <v>3580</v>
      </c>
      <c r="T1036" s="43">
        <f>表格1[[#This Row],[Unit Price]]/表格1[[#This Row],[SRP]]</f>
        <v>0.72067039106145248</v>
      </c>
      <c r="U1036" s="86" t="str">
        <f>_xlfn.XLOOKUP(表格1[[#This Row],[Model]],表格3[Model-Input-Ref2],表格3[TOSHIBA/HIGHEST])</f>
        <v>Toshiba SRP</v>
      </c>
      <c r="V1036" s="86" t="s">
        <v>1126</v>
      </c>
      <c r="W1036" s="86" t="str">
        <f>_xlfn.CONCAT(表格1[[#This Row],[欄4]],表格1[[#This Row],[inv no]])</f>
        <v>DA1411172657</v>
      </c>
    </row>
    <row r="1037" spans="1:23" hidden="1">
      <c r="A1037" s="81">
        <v>1035</v>
      </c>
      <c r="B1037" s="81" t="s">
        <v>1470</v>
      </c>
      <c r="C1037" s="81" t="s">
        <v>1247</v>
      </c>
      <c r="D1037" s="82" t="str">
        <f ca="1">OFFSET(Roster!$A$3,MATCH(表格1[[#This Row],[Location]]&amp;" "&amp;表格1[[#This Row],[Shop]]&amp;"*",Roster!$A$4:$A$72,0),DAY(表格1[[#This Row],[date]]),1,1)</f>
        <v>Coco</v>
      </c>
      <c r="E1037" s="81">
        <f>MONTH(表格1[[#This Row],[date]])</f>
        <v>3</v>
      </c>
      <c r="F1037" s="101">
        <v>46112</v>
      </c>
      <c r="G1037" s="81" t="str">
        <f>VLOOKUP("*"&amp;表格1[[#This Row],[Input]]&amp;"*",'Ref-List'!$B:$D,2,)</f>
        <v>RAD-D300H</v>
      </c>
      <c r="H1037" s="81" t="str">
        <f>_xlfn.XLOOKUP(表格1[[#This Row],[Model]],表格3[Model-Input-Ref2],表格3[Product Line])</f>
        <v>壓縮式抽濕機 (30公升)</v>
      </c>
      <c r="I1037" s="81" t="str">
        <f>_xlfn.XLOOKUP(表格1[[#This Row],[Model]],表格3[Model-Input-Ref2],表格3[大小電])</f>
        <v>細電</v>
      </c>
      <c r="J1037" s="81" t="str">
        <f>_xlfn.XLOOKUP(表格1[[#This Row],[Model]],表格3[Model-Input-Ref2],表格3[Code])</f>
        <v>RAC</v>
      </c>
      <c r="K1037" s="82" t="s">
        <v>1252</v>
      </c>
      <c r="L1037" s="81">
        <v>1</v>
      </c>
      <c r="M1037" s="85">
        <v>2280</v>
      </c>
      <c r="N1037" s="85">
        <f>IFERROR(表格1[[#This Row],[QTY]]*表格1[[#This Row],[Unit Price]],"-")</f>
        <v>2280</v>
      </c>
      <c r="O1037" s="134">
        <v>1172659</v>
      </c>
      <c r="P1037" s="81"/>
      <c r="Q1037" s="81"/>
      <c r="R1037" s="81" t="str">
        <f>_xlfn.CONCAT(表格1[[#This Row],[Model]]," ",表格1[[#This Row],[inv no]])</f>
        <v>RAD-D300H 1172659</v>
      </c>
      <c r="S1037" s="135">
        <f>_xlfn.XLOOKUP(表格1[[#This Row],[Model]],表格3[Model-Input-Ref2],表格3[SRP PRICE])</f>
        <v>3380</v>
      </c>
      <c r="T1037" s="43">
        <f>表格1[[#This Row],[Unit Price]]/表格1[[#This Row],[SRP]]</f>
        <v>0.67455621301775148</v>
      </c>
      <c r="U1037" s="86" t="str">
        <f>_xlfn.XLOOKUP(表格1[[#This Row],[Model]],表格3[Model-Input-Ref2],表格3[TOSHIBA/HIGHEST])</f>
        <v>Shops Highest Price</v>
      </c>
      <c r="V1037" s="86" t="s">
        <v>1126</v>
      </c>
      <c r="W1037" s="86" t="str">
        <f>_xlfn.CONCAT(表格1[[#This Row],[欄4]],表格1[[#This Row],[inv no]])</f>
        <v>DA1411172659</v>
      </c>
    </row>
    <row r="1038" spans="1:23" hidden="1">
      <c r="A1038" s="81">
        <v>1036</v>
      </c>
      <c r="B1038" s="81" t="s">
        <v>1470</v>
      </c>
      <c r="C1038" s="81" t="s">
        <v>1247</v>
      </c>
      <c r="D1038" s="82" t="str">
        <f ca="1">OFFSET(Roster!$A$3,MATCH(表格1[[#This Row],[Location]]&amp;" "&amp;表格1[[#This Row],[Shop]]&amp;"*",Roster!$A$4:$A$72,0),DAY(表格1[[#This Row],[date]]),1,1)</f>
        <v>Coco</v>
      </c>
      <c r="E1038" s="81">
        <f>MONTH(表格1[[#This Row],[date]])</f>
        <v>3</v>
      </c>
      <c r="F1038" s="101">
        <v>46112</v>
      </c>
      <c r="G1038" s="81" t="str">
        <f>VLOOKUP("*"&amp;表格1[[#This Row],[Input]]&amp;"*",'Ref-List'!$B:$D,2,)</f>
        <v>GR-RB360WE-PMA(06)</v>
      </c>
      <c r="H1038" s="81" t="str">
        <f>_xlfn.XLOOKUP(表格1[[#This Row],[Model]],表格3[Model-Input-Ref2],表格3[Product Line])</f>
        <v>變頻下置式雙門雪櫃系列270L</v>
      </c>
      <c r="I1038" s="81" t="str">
        <f>_xlfn.XLOOKUP(表格1[[#This Row],[Model]],表格3[Model-Input-Ref2],表格3[大小電])</f>
        <v>大電</v>
      </c>
      <c r="J1038" s="81" t="str">
        <f>_xlfn.XLOOKUP(表格1[[#This Row],[Model]],表格3[Model-Input-Ref2],表格3[Code])</f>
        <v>REF</v>
      </c>
      <c r="K1038" s="82" t="s">
        <v>1282</v>
      </c>
      <c r="L1038" s="81">
        <v>1</v>
      </c>
      <c r="M1038" s="85">
        <v>3880</v>
      </c>
      <c r="N1038" s="85">
        <f>IFERROR(表格1[[#This Row],[QTY]]*表格1[[#This Row],[Unit Price]],"-")</f>
        <v>3880</v>
      </c>
      <c r="O1038" s="134">
        <v>1172668</v>
      </c>
      <c r="P1038" s="81"/>
      <c r="Q1038" s="81"/>
      <c r="R1038" s="81" t="str">
        <f>_xlfn.CONCAT(表格1[[#This Row],[Model]]," ",表格1[[#This Row],[inv no]])</f>
        <v>GR-RB360WE-PMA(06) 1172668</v>
      </c>
      <c r="S1038" s="135">
        <f>_xlfn.XLOOKUP(表格1[[#This Row],[Model]],表格3[Model-Input-Ref2],表格3[SRP PRICE])</f>
        <v>5080</v>
      </c>
      <c r="T1038" s="43">
        <f>表格1[[#This Row],[Unit Price]]/表格1[[#This Row],[SRP]]</f>
        <v>0.76377952755905509</v>
      </c>
      <c r="U1038" s="86" t="str">
        <f>_xlfn.XLOOKUP(表格1[[#This Row],[Model]],表格3[Model-Input-Ref2],表格3[TOSHIBA/HIGHEST])</f>
        <v>Toshiba SRP</v>
      </c>
      <c r="V1038" s="86" t="s">
        <v>1126</v>
      </c>
      <c r="W1038" s="86" t="str">
        <f>_xlfn.CONCAT(表格1[[#This Row],[欄4]],表格1[[#This Row],[inv no]])</f>
        <v>DA1411172668</v>
      </c>
    </row>
    <row r="1039" spans="1:23" hidden="1">
      <c r="A1039" s="81">
        <v>1037</v>
      </c>
      <c r="B1039" s="81" t="s">
        <v>1477</v>
      </c>
      <c r="C1039" s="81" t="s">
        <v>1478</v>
      </c>
      <c r="D1039" s="82" t="str">
        <f ca="1">OFFSET(Roster!$A$3,MATCH(表格1[[#This Row],[Location]]&amp;" "&amp;表格1[[#This Row],[Shop]]&amp;"*",Roster!$A$4:$A$72,0),DAY(表格1[[#This Row],[date]]),1,1)</f>
        <v>Vicky L</v>
      </c>
      <c r="E1039" s="81">
        <f>MONTH(表格1[[#This Row],[date]])</f>
        <v>3</v>
      </c>
      <c r="F1039" s="101">
        <v>46100</v>
      </c>
      <c r="G1039" s="81" t="str">
        <f>VLOOKUP("*"&amp;表格1[[#This Row],[Input]]&amp;"*",'Ref-List'!$B:$D,2,)</f>
        <v>AW-Q800APH(WW)</v>
      </c>
      <c r="H1039" s="81" t="str">
        <f>_xlfn.XLOOKUP(表格1[[#This Row],[Model]],表格3[Model-Input-Ref2],表格3[Product Line])</f>
        <v>日式洗衣機 (7公斤 結合高低水位)</v>
      </c>
      <c r="I1039" s="81" t="str">
        <f>_xlfn.XLOOKUP(表格1[[#This Row],[Model]],表格3[Model-Input-Ref2],表格3[大小電])</f>
        <v>大電</v>
      </c>
      <c r="J1039" s="81" t="str">
        <f>_xlfn.XLOOKUP(表格1[[#This Row],[Model]],表格3[Model-Input-Ref2],表格3[Code])</f>
        <v>LAD</v>
      </c>
      <c r="K1039" s="82" t="s">
        <v>1479</v>
      </c>
      <c r="L1039" s="81">
        <v>1</v>
      </c>
      <c r="M1039" s="85">
        <v>2080</v>
      </c>
      <c r="N1039" s="85">
        <f>IFERROR(表格1[[#This Row],[QTY]]*表格1[[#This Row],[Unit Price]],"-")</f>
        <v>2080</v>
      </c>
      <c r="O1039" s="134">
        <v>901624</v>
      </c>
      <c r="P1039" s="81"/>
      <c r="Q1039" s="81"/>
      <c r="R1039" s="81" t="str">
        <f>_xlfn.CONCAT(表格1[[#This Row],[Model]]," ",表格1[[#This Row],[inv no]])</f>
        <v>AW-Q800APH(WW) 901624</v>
      </c>
      <c r="S1039" s="135">
        <f>_xlfn.XLOOKUP(表格1[[#This Row],[Model]],表格3[Model-Input-Ref2],表格3[SRP PRICE])</f>
        <v>3580</v>
      </c>
      <c r="T1039" s="43">
        <f>表格1[[#This Row],[Unit Price]]/表格1[[#This Row],[SRP]]</f>
        <v>0.58100558659217882</v>
      </c>
      <c r="U1039" s="86" t="str">
        <f>_xlfn.XLOOKUP(表格1[[#This Row],[Model]],表格3[Model-Input-Ref2],表格3[TOSHIBA/HIGHEST])</f>
        <v>Toshiba SRP</v>
      </c>
      <c r="V1039" s="86" t="s">
        <v>1126</v>
      </c>
      <c r="W1039" s="86" t="str">
        <f>_xlfn.CONCAT(表格1[[#This Row],[欄4]],表格1[[#This Row],[inv no]])</f>
        <v>DA141901624</v>
      </c>
    </row>
    <row r="1040" spans="1:23" hidden="1">
      <c r="A1040" s="81">
        <v>1038</v>
      </c>
      <c r="B1040" s="81" t="s">
        <v>1477</v>
      </c>
      <c r="C1040" s="81" t="s">
        <v>1478</v>
      </c>
      <c r="D1040" s="82" t="str">
        <f ca="1">OFFSET(Roster!$A$3,MATCH(表格1[[#This Row],[Location]]&amp;" "&amp;表格1[[#This Row],[Shop]]&amp;"*",Roster!$A$4:$A$72,0),DAY(表格1[[#This Row],[date]]),1,1)</f>
        <v>Vicky L</v>
      </c>
      <c r="E1040" s="81">
        <f>MONTH(表格1[[#This Row],[date]])</f>
        <v>3</v>
      </c>
      <c r="F1040" s="101">
        <v>46097</v>
      </c>
      <c r="G1040" s="81" t="str">
        <f>VLOOKUP("*"&amp;表格1[[#This Row],[Input]]&amp;"*",'Ref-List'!$B:$D,2,)</f>
        <v>RAD-DIA17HK</v>
      </c>
      <c r="H1040" s="81" t="str">
        <f>_xlfn.XLOOKUP(表格1[[#This Row],[Model]],表格3[Model-Input-Ref2],表格3[Product Line])</f>
        <v>變頻二合一空氣淨化抽濕機 (28公升)</v>
      </c>
      <c r="I1040" s="81" t="str">
        <f>_xlfn.XLOOKUP(表格1[[#This Row],[Model]],表格3[Model-Input-Ref2],表格3[大小電])</f>
        <v>大電</v>
      </c>
      <c r="J1040" s="81" t="str">
        <f>_xlfn.XLOOKUP(表格1[[#This Row],[Model]],表格3[Model-Input-Ref2],表格3[Code])</f>
        <v>RAC</v>
      </c>
      <c r="K1040" s="82" t="s">
        <v>1480</v>
      </c>
      <c r="L1040" s="81">
        <v>1</v>
      </c>
      <c r="M1040" s="85">
        <v>3580</v>
      </c>
      <c r="N1040" s="85">
        <f>IFERROR(表格1[[#This Row],[QTY]]*表格1[[#This Row],[Unit Price]],"-")</f>
        <v>3580</v>
      </c>
      <c r="O1040" s="134">
        <v>816038</v>
      </c>
      <c r="P1040" s="81"/>
      <c r="Q1040" s="81"/>
      <c r="R1040" s="81" t="str">
        <f>_xlfn.CONCAT(表格1[[#This Row],[Model]]," ",表格1[[#This Row],[inv no]])</f>
        <v>RAD-DIA17HK 816038</v>
      </c>
      <c r="S1040" s="135">
        <f>_xlfn.XLOOKUP(表格1[[#This Row],[Model]],表格3[Model-Input-Ref2],表格3[SRP PRICE])</f>
        <v>4980</v>
      </c>
      <c r="T1040" s="43">
        <f>表格1[[#This Row],[Unit Price]]/表格1[[#This Row],[SRP]]</f>
        <v>0.71887550200803207</v>
      </c>
      <c r="U1040" s="86" t="str">
        <f>_xlfn.XLOOKUP(表格1[[#This Row],[Model]],表格3[Model-Input-Ref2],表格3[TOSHIBA/HIGHEST])</f>
        <v>Toshiba SRP</v>
      </c>
      <c r="V1040" s="86" t="s">
        <v>1126</v>
      </c>
      <c r="W1040" s="86" t="str">
        <f>_xlfn.CONCAT(表格1[[#This Row],[欄4]],表格1[[#This Row],[inv no]])</f>
        <v>DA141816038</v>
      </c>
    </row>
    <row r="1041" spans="1:23" hidden="1">
      <c r="A1041" s="81">
        <v>1039</v>
      </c>
      <c r="B1041" s="81" t="s">
        <v>1477</v>
      </c>
      <c r="C1041" s="81" t="s">
        <v>1478</v>
      </c>
      <c r="D1041" s="82" t="str">
        <f ca="1">OFFSET(Roster!$A$3,MATCH(表格1[[#This Row],[Location]]&amp;" "&amp;表格1[[#This Row],[Shop]]&amp;"*",Roster!$A$4:$A$72,0),DAY(表格1[[#This Row],[date]]),1,1)</f>
        <v>Vicky L</v>
      </c>
      <c r="E1041" s="81">
        <f>MONTH(表格1[[#This Row],[date]])</f>
        <v>3</v>
      </c>
      <c r="F1041" s="101">
        <v>46102</v>
      </c>
      <c r="G1041" s="81" t="str">
        <f>VLOOKUP("*"&amp;表格1[[#This Row],[Input]]&amp;"*",'Ref-List'!$B:$D,2,)</f>
        <v>TWD-T21BU95UWH(WW)</v>
      </c>
      <c r="H1041" s="81" t="str">
        <f>_xlfn.XLOOKUP(表格1[[#This Row],[Model]],表格3[Model-Input-Ref2],表格3[Product Line])</f>
        <v>470MM超薄身前置式變頻洗衣乾衣機 (洗8.5公斤 乾6公斤)</v>
      </c>
      <c r="I1041" s="81" t="str">
        <f>_xlfn.XLOOKUP(表格1[[#This Row],[Model]],表格3[Model-Input-Ref2],表格3[大小電])</f>
        <v>大電</v>
      </c>
      <c r="J1041" s="81" t="str">
        <f>_xlfn.XLOOKUP(表格1[[#This Row],[Model]],表格3[Model-Input-Ref2],表格3[Code])</f>
        <v>LAD</v>
      </c>
      <c r="K1041" s="82" t="s">
        <v>1461</v>
      </c>
      <c r="L1041" s="81">
        <v>1</v>
      </c>
      <c r="M1041" s="85">
        <v>3999</v>
      </c>
      <c r="N1041" s="85">
        <f>IFERROR(表格1[[#This Row],[QTY]]*表格1[[#This Row],[Unit Price]],"-")</f>
        <v>3999</v>
      </c>
      <c r="O1041" s="134">
        <v>816332</v>
      </c>
      <c r="P1041" s="81"/>
      <c r="Q1041" s="81"/>
      <c r="R1041" s="81" t="str">
        <f>_xlfn.CONCAT(表格1[[#This Row],[Model]]," ",表格1[[#This Row],[inv no]])</f>
        <v>TWD-T21BU95UWH(WW) 816332</v>
      </c>
      <c r="S1041" s="135">
        <f>_xlfn.XLOOKUP(表格1[[#This Row],[Model]],表格3[Model-Input-Ref2],表格3[SRP PRICE])</f>
        <v>7280</v>
      </c>
      <c r="T1041" s="43">
        <f>表格1[[#This Row],[Unit Price]]/表格1[[#This Row],[SRP]]</f>
        <v>0.54931318681318686</v>
      </c>
      <c r="U1041" s="86" t="str">
        <f>_xlfn.XLOOKUP(表格1[[#This Row],[Model]],表格3[Model-Input-Ref2],表格3[TOSHIBA/HIGHEST])</f>
        <v>Toshiba SRP</v>
      </c>
      <c r="V1041" s="86" t="s">
        <v>1126</v>
      </c>
      <c r="W1041" s="86" t="str">
        <f>_xlfn.CONCAT(表格1[[#This Row],[欄4]],表格1[[#This Row],[inv no]])</f>
        <v>DA141816332</v>
      </c>
    </row>
    <row r="1042" spans="1:23" hidden="1">
      <c r="A1042" s="81">
        <v>1040</v>
      </c>
      <c r="B1042" s="81" t="s">
        <v>1477</v>
      </c>
      <c r="C1042" s="81" t="s">
        <v>1478</v>
      </c>
      <c r="D1042" s="82" t="str">
        <f ca="1">OFFSET(Roster!$A$3,MATCH(表格1[[#This Row],[Location]]&amp;" "&amp;表格1[[#This Row],[Shop]]&amp;"*",Roster!$A$4:$A$72,0),DAY(表格1[[#This Row],[date]]),1,1)</f>
        <v>Vicky L</v>
      </c>
      <c r="E1042" s="81">
        <f>MONTH(表格1[[#This Row],[date]])</f>
        <v>3</v>
      </c>
      <c r="F1042" s="101">
        <v>46102</v>
      </c>
      <c r="G1042" s="81" t="str">
        <f>VLOOKUP("*"&amp;表格1[[#This Row],[Input]]&amp;"*",'Ref-List'!$B:$D,2,)</f>
        <v>TW-T21BU80UWH(MG)</v>
      </c>
      <c r="H1042" s="81" t="str">
        <f>_xlfn.XLOOKUP(表格1[[#This Row],[Model]],表格3[Model-Input-Ref2],表格3[Product Line])</f>
        <v>400MM超薄身前置式變頻洗衣機(7公斤)</v>
      </c>
      <c r="I1042" s="81" t="str">
        <f>_xlfn.XLOOKUP(表格1[[#This Row],[Model]],表格3[Model-Input-Ref2],表格3[大小電])</f>
        <v>大電</v>
      </c>
      <c r="J1042" s="81" t="str">
        <f>_xlfn.XLOOKUP(表格1[[#This Row],[Model]],表格3[Model-Input-Ref2],表格3[Code])</f>
        <v>LAD</v>
      </c>
      <c r="K1042" s="82" t="s">
        <v>1280</v>
      </c>
      <c r="L1042" s="81">
        <v>1</v>
      </c>
      <c r="M1042" s="85">
        <v>3190</v>
      </c>
      <c r="N1042" s="85">
        <f>IFERROR(表格1[[#This Row],[QTY]]*表格1[[#This Row],[Unit Price]],"-")</f>
        <v>3190</v>
      </c>
      <c r="O1042" s="134">
        <v>816355</v>
      </c>
      <c r="P1042" s="81"/>
      <c r="Q1042" s="81"/>
      <c r="R1042" s="81" t="str">
        <f>_xlfn.CONCAT(表格1[[#This Row],[Model]]," ",表格1[[#This Row],[inv no]])</f>
        <v>TW-T21BU80UWH(MG) 816355</v>
      </c>
      <c r="S1042" s="135">
        <f>_xlfn.XLOOKUP(表格1[[#This Row],[Model]],表格3[Model-Input-Ref2],表格3[SRP PRICE])</f>
        <v>5180</v>
      </c>
      <c r="T1042" s="43">
        <f>表格1[[#This Row],[Unit Price]]/表格1[[#This Row],[SRP]]</f>
        <v>0.61583011583011582</v>
      </c>
      <c r="U1042" s="86" t="str">
        <f>_xlfn.XLOOKUP(表格1[[#This Row],[Model]],表格3[Model-Input-Ref2],表格3[TOSHIBA/HIGHEST])</f>
        <v>Toshiba SRP</v>
      </c>
      <c r="V1042" s="86" t="s">
        <v>1126</v>
      </c>
      <c r="W1042" s="86" t="str">
        <f>_xlfn.CONCAT(表格1[[#This Row],[欄4]],表格1[[#This Row],[inv no]])</f>
        <v>DA141816355</v>
      </c>
    </row>
    <row r="1043" spans="1:23" hidden="1">
      <c r="A1043" s="81">
        <v>1041</v>
      </c>
      <c r="B1043" s="81" t="s">
        <v>1477</v>
      </c>
      <c r="C1043" s="81" t="s">
        <v>1478</v>
      </c>
      <c r="D1043" s="82" t="str">
        <f ca="1">OFFSET(Roster!$A$3,MATCH(表格1[[#This Row],[Location]]&amp;" "&amp;表格1[[#This Row],[Shop]]&amp;"*",Roster!$A$4:$A$72,0),DAY(表格1[[#This Row],[date]]),1,1)</f>
        <v>Vicky L</v>
      </c>
      <c r="E1043" s="81">
        <f>MONTH(表格1[[#This Row],[date]])</f>
        <v>3</v>
      </c>
      <c r="F1043" s="101">
        <v>46102</v>
      </c>
      <c r="G1043" s="81" t="str">
        <f>VLOOKUP("*"&amp;表格1[[#This Row],[Input]]&amp;"*",'Ref-List'!$B:$D,2,)</f>
        <v>RAC-12G3CVG-HK</v>
      </c>
      <c r="H1043" s="81" t="str">
        <f>_xlfn.XLOOKUP(表格1[[#This Row],[Model]],表格3[Model-Input-Ref2],表格3[Product Line])</f>
        <v>1.5 匹 R32變頻窗口式冷氣機</v>
      </c>
      <c r="I1043" s="81" t="str">
        <f>_xlfn.XLOOKUP(表格1[[#This Row],[Model]],表格3[Model-Input-Ref2],表格3[大小電])</f>
        <v>大電</v>
      </c>
      <c r="J1043" s="81" t="str">
        <f>_xlfn.XLOOKUP(表格1[[#This Row],[Model]],表格3[Model-Input-Ref2],表格3[Code])</f>
        <v>AC</v>
      </c>
      <c r="K1043" s="82" t="s">
        <v>1481</v>
      </c>
      <c r="L1043" s="81">
        <v>1</v>
      </c>
      <c r="M1043" s="85">
        <v>5057</v>
      </c>
      <c r="N1043" s="85">
        <f>IFERROR(表格1[[#This Row],[QTY]]*表格1[[#This Row],[Unit Price]],"-")</f>
        <v>5057</v>
      </c>
      <c r="O1043" s="134">
        <v>816364</v>
      </c>
      <c r="P1043" s="81"/>
      <c r="Q1043" s="81"/>
      <c r="R1043" s="81" t="str">
        <f>_xlfn.CONCAT(表格1[[#This Row],[Model]]," ",表格1[[#This Row],[inv no]])</f>
        <v>RAC-12G3CVG-HK 816364</v>
      </c>
      <c r="S1043" s="135">
        <f>_xlfn.XLOOKUP(表格1[[#This Row],[Model]],表格3[Model-Input-Ref2],表格3[SRP PRICE])</f>
        <v>7980</v>
      </c>
      <c r="T1043" s="43">
        <f>表格1[[#This Row],[Unit Price]]/表格1[[#This Row],[SRP]]</f>
        <v>0.63370927318295744</v>
      </c>
      <c r="U1043" s="86" t="str">
        <f>_xlfn.XLOOKUP(表格1[[#This Row],[Model]],表格3[Model-Input-Ref2],表格3[TOSHIBA/HIGHEST])</f>
        <v>Toshiba SRP</v>
      </c>
      <c r="V1043" s="86" t="s">
        <v>1126</v>
      </c>
      <c r="W1043" s="86" t="str">
        <f>_xlfn.CONCAT(表格1[[#This Row],[欄4]],表格1[[#This Row],[inv no]])</f>
        <v>DA141816364</v>
      </c>
    </row>
    <row r="1044" spans="1:23" hidden="1">
      <c r="A1044" s="81">
        <v>1042</v>
      </c>
      <c r="B1044" s="81" t="s">
        <v>1477</v>
      </c>
      <c r="C1044" s="81" t="s">
        <v>1478</v>
      </c>
      <c r="D1044" s="82" t="str">
        <f ca="1">OFFSET(Roster!$A$3,MATCH(表格1[[#This Row],[Location]]&amp;" "&amp;表格1[[#This Row],[Shop]]&amp;"*",Roster!$A$4:$A$72,0),DAY(表格1[[#This Row],[date]]),1,1)</f>
        <v>Vicky L</v>
      </c>
      <c r="E1044" s="81">
        <f>MONTH(表格1[[#This Row],[date]])</f>
        <v>3</v>
      </c>
      <c r="F1044" s="101">
        <v>46102</v>
      </c>
      <c r="G1044" s="81" t="str">
        <f>VLOOKUP("*"&amp;表格1[[#This Row],[Input]]&amp;"*",'Ref-List'!$B:$D,2,)</f>
        <v>GR-RB360WE-PMA(06)</v>
      </c>
      <c r="H1044" s="81" t="str">
        <f>_xlfn.XLOOKUP(表格1[[#This Row],[Model]],表格3[Model-Input-Ref2],表格3[Product Line])</f>
        <v>變頻下置式雙門雪櫃系列270L</v>
      </c>
      <c r="I1044" s="81" t="str">
        <f>_xlfn.XLOOKUP(表格1[[#This Row],[Model]],表格3[Model-Input-Ref2],表格3[大小電])</f>
        <v>大電</v>
      </c>
      <c r="J1044" s="81" t="str">
        <f>_xlfn.XLOOKUP(表格1[[#This Row],[Model]],表格3[Model-Input-Ref2],表格3[Code])</f>
        <v>REF</v>
      </c>
      <c r="K1044" s="82" t="s">
        <v>1282</v>
      </c>
      <c r="L1044" s="81">
        <v>1</v>
      </c>
      <c r="M1044" s="85">
        <v>3122</v>
      </c>
      <c r="N1044" s="85">
        <f>IFERROR(表格1[[#This Row],[QTY]]*表格1[[#This Row],[Unit Price]],"-")</f>
        <v>3122</v>
      </c>
      <c r="O1044" s="134">
        <v>816364</v>
      </c>
      <c r="P1044" s="81"/>
      <c r="Q1044" s="81"/>
      <c r="R1044" s="81" t="str">
        <f>_xlfn.CONCAT(表格1[[#This Row],[Model]]," ",表格1[[#This Row],[inv no]])</f>
        <v>GR-RB360WE-PMA(06) 816364</v>
      </c>
      <c r="S1044" s="135">
        <f>_xlfn.XLOOKUP(表格1[[#This Row],[Model]],表格3[Model-Input-Ref2],表格3[SRP PRICE])</f>
        <v>5080</v>
      </c>
      <c r="T1044" s="43">
        <f>表格1[[#This Row],[Unit Price]]/表格1[[#This Row],[SRP]]</f>
        <v>0.61456692913385824</v>
      </c>
      <c r="U1044" s="86" t="str">
        <f>_xlfn.XLOOKUP(表格1[[#This Row],[Model]],表格3[Model-Input-Ref2],表格3[TOSHIBA/HIGHEST])</f>
        <v>Toshiba SRP</v>
      </c>
      <c r="V1044" s="86" t="s">
        <v>1126</v>
      </c>
      <c r="W1044" s="86" t="str">
        <f>_xlfn.CONCAT(表格1[[#This Row],[欄4]],表格1[[#This Row],[inv no]])</f>
        <v>DA141816364</v>
      </c>
    </row>
    <row r="1045" spans="1:23" hidden="1">
      <c r="A1045" s="81">
        <v>1043</v>
      </c>
      <c r="B1045" s="81" t="s">
        <v>1477</v>
      </c>
      <c r="C1045" s="81" t="s">
        <v>1478</v>
      </c>
      <c r="D1045" s="82" t="str">
        <f ca="1">OFFSET(Roster!$A$3,MATCH(表格1[[#This Row],[Location]]&amp;" "&amp;表格1[[#This Row],[Shop]]&amp;"*",Roster!$A$4:$A$72,0),DAY(表格1[[#This Row],[date]]),1,1)</f>
        <v>Vicky L</v>
      </c>
      <c r="E1045" s="81">
        <f>MONTH(表格1[[#This Row],[date]])</f>
        <v>3</v>
      </c>
      <c r="F1045" s="101">
        <v>46102</v>
      </c>
      <c r="G1045" s="81" t="str">
        <f>VLOOKUP("*"&amp;表格1[[#This Row],[Input]]&amp;"*",'Ref-List'!$B:$D,2,)</f>
        <v>TWD-T25BZU115MWH(MG)</v>
      </c>
      <c r="H1045" s="81" t="str">
        <f>_xlfn.XLOOKUP(表格1[[#This Row],[Model]],表格3[Model-Input-Ref2],表格3[Product Line])</f>
        <v>前置式變頻洗衣乾衣機 (洗10.5公斤 乾7公斤)</v>
      </c>
      <c r="I1045" s="81" t="str">
        <f>_xlfn.XLOOKUP(表格1[[#This Row],[Model]],表格3[Model-Input-Ref2],表格3[大小電])</f>
        <v>大電</v>
      </c>
      <c r="J1045" s="81" t="str">
        <f>_xlfn.XLOOKUP(表格1[[#This Row],[Model]],表格3[Model-Input-Ref2],表格3[Code])</f>
        <v>LAD</v>
      </c>
      <c r="K1045" s="82" t="s">
        <v>1098</v>
      </c>
      <c r="L1045" s="81">
        <v>1</v>
      </c>
      <c r="M1045" s="85">
        <v>5181</v>
      </c>
      <c r="N1045" s="85">
        <f>IFERROR(表格1[[#This Row],[QTY]]*表格1[[#This Row],[Unit Price]],"-")</f>
        <v>5181</v>
      </c>
      <c r="O1045" s="134">
        <v>816373</v>
      </c>
      <c r="P1045" s="81"/>
      <c r="Q1045" s="81"/>
      <c r="R1045" s="81" t="str">
        <f>_xlfn.CONCAT(表格1[[#This Row],[Model]]," ",表格1[[#This Row],[inv no]])</f>
        <v>TWD-T25BZU115MWH(MG) 816373</v>
      </c>
      <c r="S1045" s="135">
        <f>_xlfn.XLOOKUP(表格1[[#This Row],[Model]],表格3[Model-Input-Ref2],表格3[SRP PRICE])</f>
        <v>8280</v>
      </c>
      <c r="T1045" s="43">
        <f>表格1[[#This Row],[Unit Price]]/表格1[[#This Row],[SRP]]</f>
        <v>0.62572463768115938</v>
      </c>
      <c r="U1045" s="86" t="str">
        <f>_xlfn.XLOOKUP(表格1[[#This Row],[Model]],表格3[Model-Input-Ref2],表格3[TOSHIBA/HIGHEST])</f>
        <v>Toshiba SRP</v>
      </c>
      <c r="V1045" s="86" t="s">
        <v>1126</v>
      </c>
      <c r="W1045" s="86" t="str">
        <f>_xlfn.CONCAT(表格1[[#This Row],[欄4]],表格1[[#This Row],[inv no]])</f>
        <v>DA141816373</v>
      </c>
    </row>
    <row r="1046" spans="1:23" hidden="1">
      <c r="A1046" s="81">
        <v>1044</v>
      </c>
      <c r="B1046" s="81" t="s">
        <v>1477</v>
      </c>
      <c r="C1046" s="81" t="s">
        <v>1478</v>
      </c>
      <c r="D1046" s="82" t="str">
        <f ca="1">OFFSET(Roster!$A$3,MATCH(表格1[[#This Row],[Location]]&amp;" "&amp;表格1[[#This Row],[Shop]]&amp;"*",Roster!$A$4:$A$72,0),DAY(表格1[[#This Row],[date]]),1,1)</f>
        <v>Vicky L</v>
      </c>
      <c r="E1046" s="81">
        <f>MONTH(表格1[[#This Row],[date]])</f>
        <v>3</v>
      </c>
      <c r="F1046" s="101">
        <v>46102</v>
      </c>
      <c r="G1046" s="81" t="str">
        <f>VLOOKUP("*"&amp;表格1[[#This Row],[Input]]&amp;"*",'Ref-List'!$B:$D,2,)</f>
        <v>ER-VD7000HK(XK)</v>
      </c>
      <c r="H1046" s="81" t="str">
        <f>_xlfn.XLOOKUP(表格1[[#This Row],[Model]],表格3[Model-Input-Ref2],表格3[Product Line])</f>
        <v>水波爐</v>
      </c>
      <c r="I1046" s="81" t="str">
        <f>_xlfn.XLOOKUP(表格1[[#This Row],[Model]],表格3[Model-Input-Ref2],表格3[大小電])</f>
        <v>細電</v>
      </c>
      <c r="J1046" s="81" t="str">
        <f>_xlfn.XLOOKUP(表格1[[#This Row],[Model]],表格3[Model-Input-Ref2],表格3[Code])</f>
        <v>MCA</v>
      </c>
      <c r="K1046" s="82" t="s">
        <v>1469</v>
      </c>
      <c r="L1046" s="81">
        <v>1</v>
      </c>
      <c r="M1046" s="85">
        <v>6043</v>
      </c>
      <c r="N1046" s="85">
        <f>IFERROR(表格1[[#This Row],[QTY]]*表格1[[#This Row],[Unit Price]],"-")</f>
        <v>6043</v>
      </c>
      <c r="O1046" s="134">
        <v>816372</v>
      </c>
      <c r="P1046" s="81"/>
      <c r="Q1046" s="81"/>
      <c r="R1046" s="81" t="str">
        <f>_xlfn.CONCAT(表格1[[#This Row],[Model]]," ",表格1[[#This Row],[inv no]])</f>
        <v>ER-VD7000HK(XK) 816372</v>
      </c>
      <c r="S1046" s="135">
        <f>_xlfn.XLOOKUP(表格1[[#This Row],[Model]],表格3[Model-Input-Ref2],表格3[SRP PRICE])</f>
        <v>8998</v>
      </c>
      <c r="T1046" s="43">
        <f>表格1[[#This Row],[Unit Price]]/表格1[[#This Row],[SRP]]</f>
        <v>0.67159368748610804</v>
      </c>
      <c r="U1046" s="86" t="str">
        <f>_xlfn.XLOOKUP(表格1[[#This Row],[Model]],表格3[Model-Input-Ref2],表格3[TOSHIBA/HIGHEST])</f>
        <v>Toshiba SRP</v>
      </c>
      <c r="V1046" s="86" t="s">
        <v>1126</v>
      </c>
      <c r="W1046" s="86" t="str">
        <f>_xlfn.CONCAT(表格1[[#This Row],[欄4]],表格1[[#This Row],[inv no]])</f>
        <v>DA141816372</v>
      </c>
    </row>
    <row r="1047" spans="1:23" hidden="1">
      <c r="A1047" s="81">
        <v>1045</v>
      </c>
      <c r="B1047" s="81" t="s">
        <v>1477</v>
      </c>
      <c r="C1047" s="81" t="s">
        <v>1478</v>
      </c>
      <c r="D1047" s="82" t="str">
        <f ca="1">OFFSET(Roster!$A$3,MATCH(表格1[[#This Row],[Location]]&amp;" "&amp;表格1[[#This Row],[Shop]]&amp;"*",Roster!$A$4:$A$72,0),DAY(表格1[[#This Row],[date]]),1,1)</f>
        <v>Vicky L</v>
      </c>
      <c r="E1047" s="81">
        <f>MONTH(表格1[[#This Row],[date]])</f>
        <v>3</v>
      </c>
      <c r="F1047" s="101">
        <v>46103</v>
      </c>
      <c r="G1047" s="81" t="str">
        <f>VLOOKUP("*"&amp;表格1[[#This Row],[Input]]&amp;"*",'Ref-List'!$B:$D,2,)</f>
        <v>RAD-D300H</v>
      </c>
      <c r="H1047" s="81" t="str">
        <f>_xlfn.XLOOKUP(表格1[[#This Row],[Model]],表格3[Model-Input-Ref2],表格3[Product Line])</f>
        <v>壓縮式抽濕機 (30公升)</v>
      </c>
      <c r="I1047" s="81" t="str">
        <f>_xlfn.XLOOKUP(表格1[[#This Row],[Model]],表格3[Model-Input-Ref2],表格3[大小電])</f>
        <v>細電</v>
      </c>
      <c r="J1047" s="81" t="str">
        <f>_xlfn.XLOOKUP(表格1[[#This Row],[Model]],表格3[Model-Input-Ref2],表格3[Code])</f>
        <v>RAC</v>
      </c>
      <c r="K1047" s="82" t="s">
        <v>1252</v>
      </c>
      <c r="L1047" s="81">
        <v>1</v>
      </c>
      <c r="M1047" s="85">
        <v>2280</v>
      </c>
      <c r="N1047" s="85">
        <f>IFERROR(表格1[[#This Row],[QTY]]*表格1[[#This Row],[Unit Price]],"-")</f>
        <v>2280</v>
      </c>
      <c r="O1047" s="134">
        <v>816390</v>
      </c>
      <c r="P1047" s="81"/>
      <c r="Q1047" s="81"/>
      <c r="R1047" s="81" t="str">
        <f>_xlfn.CONCAT(表格1[[#This Row],[Model]]," ",表格1[[#This Row],[inv no]])</f>
        <v>RAD-D300H 816390</v>
      </c>
      <c r="S1047" s="135">
        <f>_xlfn.XLOOKUP(表格1[[#This Row],[Model]],表格3[Model-Input-Ref2],表格3[SRP PRICE])</f>
        <v>3380</v>
      </c>
      <c r="T1047" s="43">
        <f>表格1[[#This Row],[Unit Price]]/表格1[[#This Row],[SRP]]</f>
        <v>0.67455621301775148</v>
      </c>
      <c r="U1047" s="86" t="str">
        <f>_xlfn.XLOOKUP(表格1[[#This Row],[Model]],表格3[Model-Input-Ref2],表格3[TOSHIBA/HIGHEST])</f>
        <v>Shops Highest Price</v>
      </c>
      <c r="V1047" s="86" t="s">
        <v>1126</v>
      </c>
      <c r="W1047" s="86" t="str">
        <f>_xlfn.CONCAT(表格1[[#This Row],[欄4]],表格1[[#This Row],[inv no]])</f>
        <v>DA141816390</v>
      </c>
    </row>
    <row r="1048" spans="1:23" ht="16.5" hidden="1">
      <c r="A1048" s="81">
        <v>1046</v>
      </c>
      <c r="B1048" s="81" t="s">
        <v>1477</v>
      </c>
      <c r="C1048" s="81" t="s">
        <v>1478</v>
      </c>
      <c r="D1048" s="82" t="str">
        <f ca="1">OFFSET(Roster!$A$3,MATCH(表格1[[#This Row],[Location]]&amp;" "&amp;表格1[[#This Row],[Shop]]&amp;"*",Roster!$A$4:$A$72,0),DAY(表格1[[#This Row],[date]]),1,1)</f>
        <v>Vicky L</v>
      </c>
      <c r="E1048" s="81">
        <f>MONTH(表格1[[#This Row],[date]])</f>
        <v>3</v>
      </c>
      <c r="F1048" s="101">
        <v>46103</v>
      </c>
      <c r="G1048" s="81" t="str">
        <f>VLOOKUP("*"&amp;表格1[[#This Row],[Input]]&amp;"*",'Ref-List'!$B:$D,2,)</f>
        <v>RAD-D300H</v>
      </c>
      <c r="H1048" s="81" t="str">
        <f>_xlfn.XLOOKUP(表格1[[#This Row],[Model]],表格3[Model-Input-Ref2],表格3[Product Line])</f>
        <v>壓縮式抽濕機 (30公升)</v>
      </c>
      <c r="I1048" s="81" t="str">
        <f>_xlfn.XLOOKUP(表格1[[#This Row],[Model]],表格3[Model-Input-Ref2],表格3[大小電])</f>
        <v>細電</v>
      </c>
      <c r="J1048" s="81" t="str">
        <f>_xlfn.XLOOKUP(表格1[[#This Row],[Model]],表格3[Model-Input-Ref2],表格3[Code])</f>
        <v>RAC</v>
      </c>
      <c r="K1048" s="82" t="s">
        <v>1252</v>
      </c>
      <c r="L1048" s="81">
        <v>1</v>
      </c>
      <c r="M1048" s="85">
        <v>2280</v>
      </c>
      <c r="N1048" s="85">
        <f>IFERROR(表格1[[#This Row],[QTY]]*表格1[[#This Row],[Unit Price]],"-")</f>
        <v>2280</v>
      </c>
      <c r="O1048" s="134">
        <v>816417</v>
      </c>
      <c r="P1048" s="137"/>
      <c r="Q1048" s="137"/>
      <c r="R1048" s="81" t="str">
        <f>_xlfn.CONCAT(表格1[[#This Row],[Model]]," ",表格1[[#This Row],[inv no]])</f>
        <v>RAD-D300H 816417</v>
      </c>
      <c r="S1048" s="135">
        <f>_xlfn.XLOOKUP(表格1[[#This Row],[Model]],表格3[Model-Input-Ref2],表格3[SRP PRICE])</f>
        <v>3380</v>
      </c>
      <c r="T1048" s="43">
        <f>表格1[[#This Row],[Unit Price]]/表格1[[#This Row],[SRP]]</f>
        <v>0.67455621301775148</v>
      </c>
      <c r="U1048" s="86" t="str">
        <f>_xlfn.XLOOKUP(表格1[[#This Row],[Model]],表格3[Model-Input-Ref2],表格3[TOSHIBA/HIGHEST])</f>
        <v>Shops Highest Price</v>
      </c>
      <c r="V1048" s="86" t="s">
        <v>1126</v>
      </c>
      <c r="W1048" s="86" t="str">
        <f>_xlfn.CONCAT(表格1[[#This Row],[欄4]],表格1[[#This Row],[inv no]])</f>
        <v>DA141816417</v>
      </c>
    </row>
    <row r="1049" spans="1:23" hidden="1">
      <c r="A1049" s="81">
        <v>1047</v>
      </c>
      <c r="B1049" s="81" t="s">
        <v>1477</v>
      </c>
      <c r="C1049" s="81" t="s">
        <v>1478</v>
      </c>
      <c r="D1049" s="82" t="str">
        <f ca="1">OFFSET(Roster!$A$3,MATCH(表格1[[#This Row],[Location]]&amp;" "&amp;表格1[[#This Row],[Shop]]&amp;"*",Roster!$A$4:$A$72,0),DAY(表格1[[#This Row],[date]]),1,1)</f>
        <v>Vicky L</v>
      </c>
      <c r="E1049" s="81">
        <f>MONTH(表格1[[#This Row],[date]])</f>
        <v>3</v>
      </c>
      <c r="F1049" s="101">
        <v>46103</v>
      </c>
      <c r="G1049" s="81" t="str">
        <f>VLOOKUP("*"&amp;表格1[[#This Row],[Input]]&amp;"*",'Ref-List'!$B:$D,2,)</f>
        <v>AW-Q901BPH(WW)</v>
      </c>
      <c r="H1049" s="81" t="str">
        <f>_xlfn.XLOOKUP(表格1[[#This Row],[Model]],表格3[Model-Input-Ref2],表格3[Product Line])</f>
        <v>日式洗衣機 (8公斤 結合高低水位)</v>
      </c>
      <c r="I1049" s="81" t="str">
        <f>_xlfn.XLOOKUP(表格1[[#This Row],[Model]],表格3[Model-Input-Ref2],表格3[大小電])</f>
        <v>大電</v>
      </c>
      <c r="J1049" s="81" t="str">
        <f>_xlfn.XLOOKUP(表格1[[#This Row],[Model]],表格3[Model-Input-Ref2],表格3[Code])</f>
        <v>LAD</v>
      </c>
      <c r="K1049" s="82" t="s">
        <v>1411</v>
      </c>
      <c r="L1049" s="81">
        <v>1</v>
      </c>
      <c r="M1049" s="85">
        <v>2280</v>
      </c>
      <c r="N1049" s="85">
        <f>IFERROR(表格1[[#This Row],[QTY]]*表格1[[#This Row],[Unit Price]],"-")</f>
        <v>2280</v>
      </c>
      <c r="O1049" s="134">
        <v>901791</v>
      </c>
      <c r="P1049" s="81"/>
      <c r="Q1049" s="81"/>
      <c r="R1049" s="81" t="str">
        <f>_xlfn.CONCAT(表格1[[#This Row],[Model]]," ",表格1[[#This Row],[inv no]])</f>
        <v>AW-Q901BPH(WW) 901791</v>
      </c>
      <c r="S1049" s="135">
        <f>_xlfn.XLOOKUP(表格1[[#This Row],[Model]],表格3[Model-Input-Ref2],表格3[SRP PRICE])</f>
        <v>3780</v>
      </c>
      <c r="T1049" s="43">
        <f>表格1[[#This Row],[Unit Price]]/表格1[[#This Row],[SRP]]</f>
        <v>0.60317460317460314</v>
      </c>
      <c r="U1049" s="86" t="str">
        <f>_xlfn.XLOOKUP(表格1[[#This Row],[Model]],表格3[Model-Input-Ref2],表格3[TOSHIBA/HIGHEST])</f>
        <v>Toshiba SRP</v>
      </c>
      <c r="V1049" s="86" t="s">
        <v>1126</v>
      </c>
      <c r="W1049" s="86" t="str">
        <f>_xlfn.CONCAT(表格1[[#This Row],[欄4]],表格1[[#This Row],[inv no]])</f>
        <v>DA141901791</v>
      </c>
    </row>
    <row r="1050" spans="1:23" hidden="1">
      <c r="A1050" s="81">
        <v>1048</v>
      </c>
      <c r="B1050" s="81" t="s">
        <v>1477</v>
      </c>
      <c r="C1050" s="81" t="s">
        <v>1478</v>
      </c>
      <c r="D1050" s="82" t="str">
        <f ca="1">OFFSET(Roster!$A$3,MATCH(表格1[[#This Row],[Location]]&amp;" "&amp;表格1[[#This Row],[Shop]]&amp;"*",Roster!$A$4:$A$72,0),DAY(表格1[[#This Row],[date]]),1,1)</f>
        <v>Vicky L</v>
      </c>
      <c r="E1050" s="81">
        <f>MONTH(表格1[[#This Row],[date]])</f>
        <v>3</v>
      </c>
      <c r="F1050" s="101">
        <v>46100</v>
      </c>
      <c r="G1050" s="81" t="str">
        <f>VLOOKUP("*"&amp;表格1[[#This Row],[Input]]&amp;"*",'Ref-List'!$B:$D,2,)</f>
        <v>AW-Q901BPH(WW)</v>
      </c>
      <c r="H1050" s="81" t="str">
        <f>_xlfn.XLOOKUP(表格1[[#This Row],[Model]],表格3[Model-Input-Ref2],表格3[Product Line])</f>
        <v>日式洗衣機 (8公斤 結合高低水位)</v>
      </c>
      <c r="I1050" s="81" t="str">
        <f>_xlfn.XLOOKUP(表格1[[#This Row],[Model]],表格3[Model-Input-Ref2],表格3[大小電])</f>
        <v>大電</v>
      </c>
      <c r="J1050" s="81" t="str">
        <f>_xlfn.XLOOKUP(表格1[[#This Row],[Model]],表格3[Model-Input-Ref2],表格3[Code])</f>
        <v>LAD</v>
      </c>
      <c r="K1050" s="82" t="s">
        <v>1411</v>
      </c>
      <c r="L1050" s="81">
        <v>1</v>
      </c>
      <c r="M1050" s="85">
        <v>2280</v>
      </c>
      <c r="N1050" s="85">
        <f>IFERROR(表格1[[#This Row],[QTY]]*表格1[[#This Row],[Unit Price]],"-")</f>
        <v>2280</v>
      </c>
      <c r="O1050" s="134">
        <v>901636</v>
      </c>
      <c r="P1050" s="81"/>
      <c r="Q1050" s="81"/>
      <c r="R1050" s="81" t="str">
        <f>_xlfn.CONCAT(表格1[[#This Row],[Model]]," ",表格1[[#This Row],[inv no]])</f>
        <v>AW-Q901BPH(WW) 901636</v>
      </c>
      <c r="S1050" s="135">
        <f>_xlfn.XLOOKUP(表格1[[#This Row],[Model]],表格3[Model-Input-Ref2],表格3[SRP PRICE])</f>
        <v>3780</v>
      </c>
      <c r="T1050" s="43">
        <f>表格1[[#This Row],[Unit Price]]/表格1[[#This Row],[SRP]]</f>
        <v>0.60317460317460314</v>
      </c>
      <c r="U1050" s="86" t="str">
        <f>_xlfn.XLOOKUP(表格1[[#This Row],[Model]],表格3[Model-Input-Ref2],表格3[TOSHIBA/HIGHEST])</f>
        <v>Toshiba SRP</v>
      </c>
      <c r="V1050" s="86" t="s">
        <v>1126</v>
      </c>
      <c r="W1050" s="86" t="str">
        <f>_xlfn.CONCAT(表格1[[#This Row],[欄4]],表格1[[#This Row],[inv no]])</f>
        <v>DA141901636</v>
      </c>
    </row>
    <row r="1051" spans="1:23" ht="16.5" hidden="1">
      <c r="A1051" s="81">
        <v>1049</v>
      </c>
      <c r="B1051" s="81" t="s">
        <v>1477</v>
      </c>
      <c r="C1051" s="81" t="s">
        <v>1478</v>
      </c>
      <c r="D1051" s="82" t="str">
        <f ca="1">OFFSET(Roster!$A$3,MATCH(表格1[[#This Row],[Location]]&amp;" "&amp;表格1[[#This Row],[Shop]]&amp;"*",Roster!$A$4:$A$72,0),DAY(表格1[[#This Row],[date]]),1,1)</f>
        <v>Vicky L</v>
      </c>
      <c r="E1051" s="81">
        <f>MONTH(表格1[[#This Row],[date]])</f>
        <v>3</v>
      </c>
      <c r="F1051" s="101">
        <v>46104</v>
      </c>
      <c r="G1051" s="81" t="str">
        <f>VLOOKUP("*"&amp;表格1[[#This Row],[Input]]&amp;"*",'Ref-List'!$B:$D,2,)</f>
        <v>AW-Q901BPH(WW)</v>
      </c>
      <c r="H1051" s="81" t="str">
        <f>_xlfn.XLOOKUP(表格1[[#This Row],[Model]],表格3[Model-Input-Ref2],表格3[Product Line])</f>
        <v>日式洗衣機 (8公斤 結合高低水位)</v>
      </c>
      <c r="I1051" s="81" t="str">
        <f>_xlfn.XLOOKUP(表格1[[#This Row],[Model]],表格3[Model-Input-Ref2],表格3[大小電])</f>
        <v>大電</v>
      </c>
      <c r="J1051" s="81" t="str">
        <f>_xlfn.XLOOKUP(表格1[[#This Row],[Model]],表格3[Model-Input-Ref2],表格3[Code])</f>
        <v>LAD</v>
      </c>
      <c r="K1051" s="82" t="s">
        <v>1411</v>
      </c>
      <c r="L1051" s="81">
        <v>1</v>
      </c>
      <c r="M1051" s="85">
        <v>2280</v>
      </c>
      <c r="N1051" s="85">
        <f>IFERROR(表格1[[#This Row],[QTY]]*表格1[[#This Row],[Unit Price]],"-")</f>
        <v>2280</v>
      </c>
      <c r="O1051" s="134">
        <v>816541</v>
      </c>
      <c r="P1051" s="137"/>
      <c r="Q1051" s="137"/>
      <c r="R1051" s="81" t="str">
        <f>_xlfn.CONCAT(表格1[[#This Row],[Model]]," ",表格1[[#This Row],[inv no]])</f>
        <v>AW-Q901BPH(WW) 816541</v>
      </c>
      <c r="S1051" s="135">
        <f>_xlfn.XLOOKUP(表格1[[#This Row],[Model]],表格3[Model-Input-Ref2],表格3[SRP PRICE])</f>
        <v>3780</v>
      </c>
      <c r="T1051" s="43">
        <f>表格1[[#This Row],[Unit Price]]/表格1[[#This Row],[SRP]]</f>
        <v>0.60317460317460314</v>
      </c>
      <c r="U1051" s="86" t="str">
        <f>_xlfn.XLOOKUP(表格1[[#This Row],[Model]],表格3[Model-Input-Ref2],表格3[TOSHIBA/HIGHEST])</f>
        <v>Toshiba SRP</v>
      </c>
      <c r="V1051" s="86" t="s">
        <v>1126</v>
      </c>
      <c r="W1051" s="86" t="str">
        <f>_xlfn.CONCAT(表格1[[#This Row],[欄4]],表格1[[#This Row],[inv no]])</f>
        <v>DA141816541</v>
      </c>
    </row>
    <row r="1052" spans="1:23" hidden="1">
      <c r="A1052" s="81">
        <v>1050</v>
      </c>
      <c r="B1052" s="81" t="s">
        <v>1477</v>
      </c>
      <c r="C1052" s="81" t="s">
        <v>1478</v>
      </c>
      <c r="D1052" s="82" t="str">
        <f ca="1">OFFSET(Roster!$A$3,MATCH(表格1[[#This Row],[Location]]&amp;" "&amp;表格1[[#This Row],[Shop]]&amp;"*",Roster!$A$4:$A$72,0),DAY(表格1[[#This Row],[date]]),1,1)</f>
        <v>Vicky L</v>
      </c>
      <c r="E1052" s="81">
        <f>MONTH(表格1[[#This Row],[date]])</f>
        <v>3</v>
      </c>
      <c r="F1052" s="101">
        <v>46104</v>
      </c>
      <c r="G1052" s="81" t="str">
        <f>VLOOKUP("*"&amp;表格1[[#This Row],[Input]]&amp;"*",'Ref-List'!$B:$D,2,)</f>
        <v>GR-RB221WE-PMA(57)</v>
      </c>
      <c r="H1052" s="81" t="str">
        <f>_xlfn.XLOOKUP(表格1[[#This Row],[Model]],表格3[Model-Input-Ref2],表格3[Product Line])</f>
        <v>變頻下置式雙門雪櫃（163L）</v>
      </c>
      <c r="I1052" s="81" t="str">
        <f>_xlfn.XLOOKUP(表格1[[#This Row],[Model]],表格3[Model-Input-Ref2],表格3[大小電])</f>
        <v>大電</v>
      </c>
      <c r="J1052" s="81" t="str">
        <f>_xlfn.XLOOKUP(表格1[[#This Row],[Model]],表格3[Model-Input-Ref2],表格3[Code])</f>
        <v>REF</v>
      </c>
      <c r="K1052" s="82" t="s">
        <v>1386</v>
      </c>
      <c r="L1052" s="81">
        <v>1</v>
      </c>
      <c r="M1052" s="85">
        <v>1880</v>
      </c>
      <c r="N1052" s="85">
        <f>IFERROR(表格1[[#This Row],[QTY]]*表格1[[#This Row],[Unit Price]],"-")</f>
        <v>1880</v>
      </c>
      <c r="O1052" s="134">
        <v>816542</v>
      </c>
      <c r="P1052" s="81"/>
      <c r="Q1052" s="81"/>
      <c r="R1052" s="81" t="str">
        <f>_xlfn.CONCAT(表格1[[#This Row],[Model]]," ",表格1[[#This Row],[inv no]])</f>
        <v>GR-RB221WE-PMA(57) 816542</v>
      </c>
      <c r="S1052" s="135">
        <f>_xlfn.XLOOKUP(表格1[[#This Row],[Model]],表格3[Model-Input-Ref2],表格3[SRP PRICE])</f>
        <v>3480</v>
      </c>
      <c r="T1052" s="43">
        <f>表格1[[#This Row],[Unit Price]]/表格1[[#This Row],[SRP]]</f>
        <v>0.54022988505747127</v>
      </c>
      <c r="U1052" s="86" t="str">
        <f>_xlfn.XLOOKUP(表格1[[#This Row],[Model]],表格3[Model-Input-Ref2],表格3[TOSHIBA/HIGHEST])</f>
        <v>Toshiba SRP</v>
      </c>
      <c r="V1052" s="86" t="s">
        <v>1126</v>
      </c>
      <c r="W1052" s="86" t="str">
        <f>_xlfn.CONCAT(表格1[[#This Row],[欄4]],表格1[[#This Row],[inv no]])</f>
        <v>DA141816542</v>
      </c>
    </row>
    <row r="1053" spans="1:23" ht="16.5" hidden="1">
      <c r="A1053" s="81">
        <v>1051</v>
      </c>
      <c r="B1053" s="81" t="s">
        <v>1477</v>
      </c>
      <c r="C1053" s="81" t="s">
        <v>1478</v>
      </c>
      <c r="D1053" s="82" t="str">
        <f ca="1">OFFSET(Roster!$A$3,MATCH(表格1[[#This Row],[Location]]&amp;" "&amp;表格1[[#This Row],[Shop]]&amp;"*",Roster!$A$4:$A$72,0),DAY(表格1[[#This Row],[date]]),1,1)</f>
        <v>Vicky L</v>
      </c>
      <c r="E1053" s="81">
        <f>MONTH(表格1[[#This Row],[date]])</f>
        <v>3</v>
      </c>
      <c r="F1053" s="101">
        <v>46104</v>
      </c>
      <c r="G1053" s="81" t="str">
        <f>VLOOKUP("*"&amp;表格1[[#This Row],[Input]]&amp;"*",'Ref-List'!$B:$D,2,)</f>
        <v>GR-RT234WE-PMA(57)</v>
      </c>
      <c r="H1053" s="81" t="str">
        <f>_xlfn.XLOOKUP(表格1[[#This Row],[Model]],表格3[Model-Input-Ref2],表格3[Product Line])</f>
        <v>變頻式環保雙門雪櫃（179L）</v>
      </c>
      <c r="I1053" s="81" t="str">
        <f>_xlfn.XLOOKUP(表格1[[#This Row],[Model]],表格3[Model-Input-Ref2],表格3[大小電])</f>
        <v>大電</v>
      </c>
      <c r="J1053" s="81" t="str">
        <f>_xlfn.XLOOKUP(表格1[[#This Row],[Model]],表格3[Model-Input-Ref2],表格3[Code])</f>
        <v>REF</v>
      </c>
      <c r="K1053" s="82" t="s">
        <v>1423</v>
      </c>
      <c r="L1053" s="81">
        <v>1</v>
      </c>
      <c r="M1053" s="85">
        <v>1980</v>
      </c>
      <c r="N1053" s="85">
        <f>IFERROR(表格1[[#This Row],[QTY]]*表格1[[#This Row],[Unit Price]],"-")</f>
        <v>1980</v>
      </c>
      <c r="O1053" s="134">
        <v>816537</v>
      </c>
      <c r="P1053" s="137"/>
      <c r="Q1053" s="137"/>
      <c r="R1053" s="81" t="str">
        <f>_xlfn.CONCAT(表格1[[#This Row],[Model]]," ",表格1[[#This Row],[inv no]])</f>
        <v>GR-RT234WE-PMA(57) 816537</v>
      </c>
      <c r="S1053" s="135">
        <f>_xlfn.XLOOKUP(表格1[[#This Row],[Model]],表格3[Model-Input-Ref2],表格3[SRP PRICE])</f>
        <v>3680</v>
      </c>
      <c r="T1053" s="43">
        <f>表格1[[#This Row],[Unit Price]]/表格1[[#This Row],[SRP]]</f>
        <v>0.53804347826086951</v>
      </c>
      <c r="U1053" s="86" t="str">
        <f>_xlfn.XLOOKUP(表格1[[#This Row],[Model]],表格3[Model-Input-Ref2],表格3[TOSHIBA/HIGHEST])</f>
        <v>Toshiba SRP</v>
      </c>
      <c r="V1053" s="86" t="s">
        <v>1126</v>
      </c>
      <c r="W1053" s="86" t="str">
        <f>_xlfn.CONCAT(表格1[[#This Row],[欄4]],表格1[[#This Row],[inv no]])</f>
        <v>DA141816537</v>
      </c>
    </row>
    <row r="1054" spans="1:23" hidden="1">
      <c r="A1054" s="81">
        <v>1052</v>
      </c>
      <c r="B1054" s="81" t="s">
        <v>1477</v>
      </c>
      <c r="C1054" s="81" t="s">
        <v>1478</v>
      </c>
      <c r="D1054" s="82" t="str">
        <f ca="1">OFFSET(Roster!$A$3,MATCH(表格1[[#This Row],[Location]]&amp;" "&amp;表格1[[#This Row],[Shop]]&amp;"*",Roster!$A$4:$A$72,0),DAY(表格1[[#This Row],[date]]),1,1)</f>
        <v>Vicky L</v>
      </c>
      <c r="E1054" s="81">
        <f>MONTH(表格1[[#This Row],[date]])</f>
        <v>3</v>
      </c>
      <c r="F1054" s="101">
        <v>46104</v>
      </c>
      <c r="G1054" s="81" t="str">
        <f>VLOOKUP("*"&amp;表格1[[#This Row],[Input]]&amp;"*",'Ref-List'!$B:$D,2,)</f>
        <v>GR-RT300WE-PMA(57)</v>
      </c>
      <c r="H1054" s="81" t="str">
        <f>_xlfn.XLOOKUP(表格1[[#This Row],[Model]],表格3[Model-Input-Ref2],表格3[Product Line])</f>
        <v>變頻式環保雙門雪櫃(233L)</v>
      </c>
      <c r="I1054" s="81" t="str">
        <f>_xlfn.XLOOKUP(表格1[[#This Row],[Model]],表格3[Model-Input-Ref2],表格3[大小電])</f>
        <v>大電</v>
      </c>
      <c r="J1054" s="81" t="str">
        <f>_xlfn.XLOOKUP(表格1[[#This Row],[Model]],表格3[Model-Input-Ref2],表格3[Code])</f>
        <v>REF</v>
      </c>
      <c r="K1054" s="82" t="s">
        <v>1462</v>
      </c>
      <c r="L1054" s="81">
        <v>1</v>
      </c>
      <c r="M1054" s="85">
        <v>2780</v>
      </c>
      <c r="N1054" s="85">
        <f>IFERROR(表格1[[#This Row],[QTY]]*表格1[[#This Row],[Unit Price]],"-")</f>
        <v>2780</v>
      </c>
      <c r="O1054" s="134">
        <v>816533</v>
      </c>
      <c r="P1054" s="81"/>
      <c r="Q1054" s="81"/>
      <c r="R1054" s="81" t="str">
        <f>_xlfn.CONCAT(表格1[[#This Row],[Model]]," ",表格1[[#This Row],[inv no]])</f>
        <v>GR-RT300WE-PMA(57) 816533</v>
      </c>
      <c r="S1054" s="135">
        <f>_xlfn.XLOOKUP(表格1[[#This Row],[Model]],表格3[Model-Input-Ref2],表格3[SRP PRICE])</f>
        <v>4280</v>
      </c>
      <c r="T1054" s="43">
        <f>表格1[[#This Row],[Unit Price]]/表格1[[#This Row],[SRP]]</f>
        <v>0.64953271028037385</v>
      </c>
      <c r="U1054" s="86" t="str">
        <f>_xlfn.XLOOKUP(表格1[[#This Row],[Model]],表格3[Model-Input-Ref2],表格3[TOSHIBA/HIGHEST])</f>
        <v>Toshiba SRP</v>
      </c>
      <c r="V1054" s="86" t="s">
        <v>1126</v>
      </c>
      <c r="W1054" s="86" t="str">
        <f>_xlfn.CONCAT(表格1[[#This Row],[欄4]],表格1[[#This Row],[inv no]])</f>
        <v>DA141816533</v>
      </c>
    </row>
    <row r="1055" spans="1:23" hidden="1">
      <c r="A1055" s="81">
        <v>1053</v>
      </c>
      <c r="B1055" s="81" t="s">
        <v>1477</v>
      </c>
      <c r="C1055" s="81" t="s">
        <v>1478</v>
      </c>
      <c r="D1055" s="82" t="str">
        <f ca="1">OFFSET(Roster!$A$3,MATCH(表格1[[#This Row],[Location]]&amp;" "&amp;表格1[[#This Row],[Shop]]&amp;"*",Roster!$A$4:$A$72,0),DAY(表格1[[#This Row],[date]]),1,1)</f>
        <v>Vicky L</v>
      </c>
      <c r="E1055" s="81">
        <f>MONTH(表格1[[#This Row],[date]])</f>
        <v>3</v>
      </c>
      <c r="F1055" s="101">
        <v>46104</v>
      </c>
      <c r="G1055" s="81" t="str">
        <f>VLOOKUP("*"&amp;表格1[[#This Row],[Input]]&amp;"*",'Ref-List'!$B:$D,2,)</f>
        <v>TWD-T21BU95UWH(WW)</v>
      </c>
      <c r="H1055" s="81" t="str">
        <f>_xlfn.XLOOKUP(表格1[[#This Row],[Model]],表格3[Model-Input-Ref2],表格3[Product Line])</f>
        <v>470MM超薄身前置式變頻洗衣乾衣機 (洗8.5公斤 乾6公斤)</v>
      </c>
      <c r="I1055" s="81" t="str">
        <f>_xlfn.XLOOKUP(表格1[[#This Row],[Model]],表格3[Model-Input-Ref2],表格3[大小電])</f>
        <v>大電</v>
      </c>
      <c r="J1055" s="81" t="str">
        <f>_xlfn.XLOOKUP(表格1[[#This Row],[Model]],表格3[Model-Input-Ref2],表格3[Code])</f>
        <v>LAD</v>
      </c>
      <c r="K1055" s="82" t="s">
        <v>1461</v>
      </c>
      <c r="L1055" s="81">
        <v>1</v>
      </c>
      <c r="M1055" s="85">
        <v>3999</v>
      </c>
      <c r="N1055" s="85">
        <f>IFERROR(表格1[[#This Row],[QTY]]*表格1[[#This Row],[Unit Price]],"-")</f>
        <v>3999</v>
      </c>
      <c r="O1055" s="134">
        <v>816613</v>
      </c>
      <c r="P1055" s="81"/>
      <c r="Q1055" s="81"/>
      <c r="R1055" s="81" t="str">
        <f>_xlfn.CONCAT(表格1[[#This Row],[Model]]," ",表格1[[#This Row],[inv no]])</f>
        <v>TWD-T21BU95UWH(WW) 816613</v>
      </c>
      <c r="S1055" s="135">
        <f>_xlfn.XLOOKUP(表格1[[#This Row],[Model]],表格3[Model-Input-Ref2],表格3[SRP PRICE])</f>
        <v>7280</v>
      </c>
      <c r="T1055" s="43">
        <f>表格1[[#This Row],[Unit Price]]/表格1[[#This Row],[SRP]]</f>
        <v>0.54931318681318686</v>
      </c>
      <c r="U1055" s="86" t="str">
        <f>_xlfn.XLOOKUP(表格1[[#This Row],[Model]],表格3[Model-Input-Ref2],表格3[TOSHIBA/HIGHEST])</f>
        <v>Toshiba SRP</v>
      </c>
      <c r="V1055" s="86" t="s">
        <v>1126</v>
      </c>
      <c r="W1055" s="86" t="str">
        <f>_xlfn.CONCAT(表格1[[#This Row],[欄4]],表格1[[#This Row],[inv no]])</f>
        <v>DA141816613</v>
      </c>
    </row>
    <row r="1056" spans="1:23" hidden="1">
      <c r="A1056" s="81">
        <v>1054</v>
      </c>
      <c r="B1056" s="81" t="s">
        <v>1477</v>
      </c>
      <c r="C1056" s="81" t="s">
        <v>1478</v>
      </c>
      <c r="D1056" s="82" t="str">
        <f ca="1">OFFSET(Roster!$A$3,MATCH(表格1[[#This Row],[Location]]&amp;" "&amp;表格1[[#This Row],[Shop]]&amp;"*",Roster!$A$4:$A$72,0),DAY(表格1[[#This Row],[date]]),1,1)</f>
        <v>Vicky L</v>
      </c>
      <c r="E1056" s="81">
        <f>MONTH(表格1[[#This Row],[date]])</f>
        <v>3</v>
      </c>
      <c r="F1056" s="101">
        <v>46104</v>
      </c>
      <c r="G1056" s="81" t="str">
        <f>VLOOKUP("*"&amp;表格1[[#This Row],[Input]]&amp;"*",'Ref-List'!$B:$D,2,)</f>
        <v>TW-T21BU80UWH(MG)</v>
      </c>
      <c r="H1056" s="81" t="str">
        <f>_xlfn.XLOOKUP(表格1[[#This Row],[Model]],表格3[Model-Input-Ref2],表格3[Product Line])</f>
        <v>400MM超薄身前置式變頻洗衣機(7公斤)</v>
      </c>
      <c r="I1056" s="81" t="str">
        <f>_xlfn.XLOOKUP(表格1[[#This Row],[Model]],表格3[Model-Input-Ref2],表格3[大小電])</f>
        <v>大電</v>
      </c>
      <c r="J1056" s="81" t="str">
        <f>_xlfn.XLOOKUP(表格1[[#This Row],[Model]],表格3[Model-Input-Ref2],表格3[Code])</f>
        <v>LAD</v>
      </c>
      <c r="K1056" s="82" t="s">
        <v>1280</v>
      </c>
      <c r="L1056" s="81">
        <v>1</v>
      </c>
      <c r="M1056" s="85">
        <v>3190</v>
      </c>
      <c r="N1056" s="85">
        <f>IFERROR(表格1[[#This Row],[QTY]]*表格1[[#This Row],[Unit Price]],"-")</f>
        <v>3190</v>
      </c>
      <c r="O1056" s="134">
        <v>816548</v>
      </c>
      <c r="P1056" s="81"/>
      <c r="Q1056" s="81"/>
      <c r="R1056" s="81" t="str">
        <f>_xlfn.CONCAT(表格1[[#This Row],[Model]]," ",表格1[[#This Row],[inv no]])</f>
        <v>TW-T21BU80UWH(MG) 816548</v>
      </c>
      <c r="S1056" s="135">
        <f>_xlfn.XLOOKUP(表格1[[#This Row],[Model]],表格3[Model-Input-Ref2],表格3[SRP PRICE])</f>
        <v>5180</v>
      </c>
      <c r="T1056" s="43">
        <f>表格1[[#This Row],[Unit Price]]/表格1[[#This Row],[SRP]]</f>
        <v>0.61583011583011582</v>
      </c>
      <c r="U1056" s="86" t="str">
        <f>_xlfn.XLOOKUP(表格1[[#This Row],[Model]],表格3[Model-Input-Ref2],表格3[TOSHIBA/HIGHEST])</f>
        <v>Toshiba SRP</v>
      </c>
      <c r="V1056" s="86" t="s">
        <v>1126</v>
      </c>
      <c r="W1056" s="86" t="str">
        <f>_xlfn.CONCAT(表格1[[#This Row],[欄4]],表格1[[#This Row],[inv no]])</f>
        <v>DA141816548</v>
      </c>
    </row>
    <row r="1057" spans="1:23" hidden="1">
      <c r="A1057" s="81">
        <v>1055</v>
      </c>
      <c r="B1057" s="81" t="s">
        <v>1477</v>
      </c>
      <c r="C1057" s="81" t="s">
        <v>1478</v>
      </c>
      <c r="D1057" s="82" t="str">
        <f ca="1">OFFSET(Roster!$A$3,MATCH(表格1[[#This Row],[Location]]&amp;" "&amp;表格1[[#This Row],[Shop]]&amp;"*",Roster!$A$4:$A$72,0),DAY(表格1[[#This Row],[date]]),1,1)</f>
        <v>Vicky L</v>
      </c>
      <c r="E1057" s="81">
        <f>MONTH(表格1[[#This Row],[date]])</f>
        <v>3</v>
      </c>
      <c r="F1057" s="101">
        <v>46100</v>
      </c>
      <c r="G1057" s="81" t="str">
        <f>VLOOKUP("*"&amp;表格1[[#This Row],[Input]]&amp;"*",'Ref-List'!$B:$D,2,)</f>
        <v>GR-RT300WE-PMA(57)</v>
      </c>
      <c r="H1057" s="81" t="str">
        <f>_xlfn.XLOOKUP(表格1[[#This Row],[Model]],表格3[Model-Input-Ref2],表格3[Product Line])</f>
        <v>變頻式環保雙門雪櫃(233L)</v>
      </c>
      <c r="I1057" s="81" t="str">
        <f>_xlfn.XLOOKUP(表格1[[#This Row],[Model]],表格3[Model-Input-Ref2],表格3[大小電])</f>
        <v>大電</v>
      </c>
      <c r="J1057" s="81" t="str">
        <f>_xlfn.XLOOKUP(表格1[[#This Row],[Model]],表格3[Model-Input-Ref2],表格3[Code])</f>
        <v>REF</v>
      </c>
      <c r="K1057" s="82" t="s">
        <v>1462</v>
      </c>
      <c r="L1057" s="81">
        <v>1</v>
      </c>
      <c r="M1057" s="85">
        <v>2780</v>
      </c>
      <c r="N1057" s="85">
        <f>IFERROR(表格1[[#This Row],[QTY]]*表格1[[#This Row],[Unit Price]],"-")</f>
        <v>2780</v>
      </c>
      <c r="O1057" s="134">
        <v>816226</v>
      </c>
      <c r="P1057" s="81"/>
      <c r="Q1057" s="81"/>
      <c r="R1057" s="81" t="str">
        <f>_xlfn.CONCAT(表格1[[#This Row],[Model]]," ",表格1[[#This Row],[inv no]])</f>
        <v>GR-RT300WE-PMA(57) 816226</v>
      </c>
      <c r="S1057" s="135">
        <f>_xlfn.XLOOKUP(表格1[[#This Row],[Model]],表格3[Model-Input-Ref2],表格3[SRP PRICE])</f>
        <v>4280</v>
      </c>
      <c r="T1057" s="43">
        <f>表格1[[#This Row],[Unit Price]]/表格1[[#This Row],[SRP]]</f>
        <v>0.64953271028037385</v>
      </c>
      <c r="U1057" s="86" t="str">
        <f>_xlfn.XLOOKUP(表格1[[#This Row],[Model]],表格3[Model-Input-Ref2],表格3[TOSHIBA/HIGHEST])</f>
        <v>Toshiba SRP</v>
      </c>
      <c r="V1057" s="86" t="s">
        <v>1126</v>
      </c>
      <c r="W1057" s="86" t="str">
        <f>_xlfn.CONCAT(表格1[[#This Row],[欄4]],表格1[[#This Row],[inv no]])</f>
        <v>DA141816226</v>
      </c>
    </row>
    <row r="1058" spans="1:23" hidden="1">
      <c r="A1058" s="81">
        <v>1056</v>
      </c>
      <c r="B1058" s="81" t="s">
        <v>1477</v>
      </c>
      <c r="C1058" s="81" t="s">
        <v>1478</v>
      </c>
      <c r="D1058" s="82" t="str">
        <f ca="1">OFFSET(Roster!$A$3,MATCH(表格1[[#This Row],[Location]]&amp;" "&amp;表格1[[#This Row],[Shop]]&amp;"*",Roster!$A$4:$A$72,0),DAY(表格1[[#This Row],[date]]),1,1)</f>
        <v>Vicky L</v>
      </c>
      <c r="E1058" s="81">
        <f>MONTH(表格1[[#This Row],[date]])</f>
        <v>3</v>
      </c>
      <c r="F1058" s="101">
        <v>46096</v>
      </c>
      <c r="G1058" s="81" t="str">
        <f>VLOOKUP("*"&amp;表格1[[#This Row],[Input]]&amp;"*",'Ref-List'!$B:$D,2,)</f>
        <v>GR-RB221WE-PMA(57)</v>
      </c>
      <c r="H1058" s="81" t="str">
        <f>_xlfn.XLOOKUP(表格1[[#This Row],[Model]],表格3[Model-Input-Ref2],表格3[Product Line])</f>
        <v>變頻下置式雙門雪櫃（163L）</v>
      </c>
      <c r="I1058" s="81" t="str">
        <f>_xlfn.XLOOKUP(表格1[[#This Row],[Model]],表格3[Model-Input-Ref2],表格3[大小電])</f>
        <v>大電</v>
      </c>
      <c r="J1058" s="81" t="str">
        <f>_xlfn.XLOOKUP(表格1[[#This Row],[Model]],表格3[Model-Input-Ref2],表格3[Code])</f>
        <v>REF</v>
      </c>
      <c r="K1058" s="82" t="s">
        <v>1386</v>
      </c>
      <c r="L1058" s="81">
        <v>1</v>
      </c>
      <c r="M1058" s="85">
        <v>1880</v>
      </c>
      <c r="N1058" s="85">
        <f>IFERROR(表格1[[#This Row],[QTY]]*表格1[[#This Row],[Unit Price]],"-")</f>
        <v>1880</v>
      </c>
      <c r="O1058" s="134">
        <v>815889</v>
      </c>
      <c r="P1058" s="81"/>
      <c r="Q1058" s="81"/>
      <c r="R1058" s="81" t="str">
        <f>_xlfn.CONCAT(表格1[[#This Row],[Model]]," ",表格1[[#This Row],[inv no]])</f>
        <v>GR-RB221WE-PMA(57) 815889</v>
      </c>
      <c r="S1058" s="135">
        <f>_xlfn.XLOOKUP(表格1[[#This Row],[Model]],表格3[Model-Input-Ref2],表格3[SRP PRICE])</f>
        <v>3480</v>
      </c>
      <c r="T1058" s="43">
        <f>表格1[[#This Row],[Unit Price]]/表格1[[#This Row],[SRP]]</f>
        <v>0.54022988505747127</v>
      </c>
      <c r="U1058" s="86" t="str">
        <f>_xlfn.XLOOKUP(表格1[[#This Row],[Model]],表格3[Model-Input-Ref2],表格3[TOSHIBA/HIGHEST])</f>
        <v>Toshiba SRP</v>
      </c>
      <c r="V1058" s="86" t="s">
        <v>1126</v>
      </c>
      <c r="W1058" s="86" t="str">
        <f>_xlfn.CONCAT(表格1[[#This Row],[欄4]],表格1[[#This Row],[inv no]])</f>
        <v>DA141815889</v>
      </c>
    </row>
    <row r="1059" spans="1:23" hidden="1">
      <c r="A1059" s="81">
        <v>1057</v>
      </c>
      <c r="B1059" s="81" t="s">
        <v>1477</v>
      </c>
      <c r="C1059" s="81" t="s">
        <v>1478</v>
      </c>
      <c r="D1059" s="82" t="str">
        <f ca="1">OFFSET(Roster!$A$3,MATCH(表格1[[#This Row],[Location]]&amp;" "&amp;表格1[[#This Row],[Shop]]&amp;"*",Roster!$A$4:$A$72,0),DAY(表格1[[#This Row],[date]]),1,1)</f>
        <v>Vicky L</v>
      </c>
      <c r="E1059" s="81">
        <f>MONTH(表格1[[#This Row],[date]])</f>
        <v>3</v>
      </c>
      <c r="F1059" s="101">
        <v>46098</v>
      </c>
      <c r="G1059" s="81" t="str">
        <f>VLOOKUP("*"&amp;表格1[[#This Row],[Input]]&amp;"*",'Ref-List'!$B:$D,2,)</f>
        <v>TWD-T22BU95UWH(WK)-B</v>
      </c>
      <c r="H1059" s="81" t="str">
        <f>_xlfn.XLOOKUP(表格1[[#This Row],[Model]],表格3[Model-Input-Ref2],表格3[Product Line])</f>
        <v>470MM超薄身前置式變頻洗衣乾衣機 (洗8.5公斤/乾6公斤, 可飛頂)</v>
      </c>
      <c r="I1059" s="81" t="str">
        <f>_xlfn.XLOOKUP(表格1[[#This Row],[Model]],表格3[Model-Input-Ref2],表格3[大小電])</f>
        <v>大電</v>
      </c>
      <c r="J1059" s="81" t="str">
        <f>_xlfn.XLOOKUP(表格1[[#This Row],[Model]],表格3[Model-Input-Ref2],表格3[Code])</f>
        <v>LAD</v>
      </c>
      <c r="K1059" s="82" t="s">
        <v>1421</v>
      </c>
      <c r="L1059" s="81">
        <v>1</v>
      </c>
      <c r="M1059" s="85">
        <v>4780</v>
      </c>
      <c r="N1059" s="85">
        <f>IFERROR(表格1[[#This Row],[QTY]]*表格1[[#This Row],[Unit Price]],"-")</f>
        <v>4780</v>
      </c>
      <c r="O1059" s="134">
        <v>816062</v>
      </c>
      <c r="P1059" s="81"/>
      <c r="Q1059" s="81"/>
      <c r="R1059" s="81" t="str">
        <f>_xlfn.CONCAT(表格1[[#This Row],[Model]]," ",表格1[[#This Row],[inv no]])</f>
        <v>TWD-T22BU95UWH(WK)-B 816062</v>
      </c>
      <c r="S1059" s="135">
        <f>_xlfn.XLOOKUP(表格1[[#This Row],[Model]],表格3[Model-Input-Ref2],表格3[SRP PRICE])</f>
        <v>7480</v>
      </c>
      <c r="T1059" s="43">
        <f>表格1[[#This Row],[Unit Price]]/表格1[[#This Row],[SRP]]</f>
        <v>0.63903743315508021</v>
      </c>
      <c r="U1059" s="86" t="str">
        <f>_xlfn.XLOOKUP(表格1[[#This Row],[Model]],表格3[Model-Input-Ref2],表格3[TOSHIBA/HIGHEST])</f>
        <v>Toshiba SRP</v>
      </c>
      <c r="V1059" s="86" t="s">
        <v>1126</v>
      </c>
      <c r="W1059" s="86" t="str">
        <f>_xlfn.CONCAT(表格1[[#This Row],[欄4]],表格1[[#This Row],[inv no]])</f>
        <v>DA141816062</v>
      </c>
    </row>
    <row r="1060" spans="1:23" hidden="1">
      <c r="A1060" s="81">
        <v>1058</v>
      </c>
      <c r="B1060" s="81" t="s">
        <v>1477</v>
      </c>
      <c r="C1060" s="81" t="s">
        <v>1478</v>
      </c>
      <c r="D1060" s="82" t="str">
        <f ca="1">OFFSET(Roster!$A$3,MATCH(表格1[[#This Row],[Location]]&amp;" "&amp;表格1[[#This Row],[Shop]]&amp;"*",Roster!$A$4:$A$72,0),DAY(表格1[[#This Row],[date]]),1,1)</f>
        <v>Vicky L</v>
      </c>
      <c r="E1060" s="81">
        <f>MONTH(表格1[[#This Row],[date]])</f>
        <v>3</v>
      </c>
      <c r="F1060" s="101">
        <v>46104</v>
      </c>
      <c r="G1060" s="81" t="str">
        <f>VLOOKUP("*"&amp;表格1[[#This Row],[Input]]&amp;"*",'Ref-List'!$B:$D,2,)</f>
        <v>AW-Q800APH(WW)</v>
      </c>
      <c r="H1060" s="81" t="str">
        <f>_xlfn.XLOOKUP(表格1[[#This Row],[Model]],表格3[Model-Input-Ref2],表格3[Product Line])</f>
        <v>日式洗衣機 (7公斤 結合高低水位)</v>
      </c>
      <c r="I1060" s="81" t="str">
        <f>_xlfn.XLOOKUP(表格1[[#This Row],[Model]],表格3[Model-Input-Ref2],表格3[大小電])</f>
        <v>大電</v>
      </c>
      <c r="J1060" s="81" t="str">
        <f>_xlfn.XLOOKUP(表格1[[#This Row],[Model]],表格3[Model-Input-Ref2],表格3[Code])</f>
        <v>LAD</v>
      </c>
      <c r="K1060" s="82" t="s">
        <v>1479</v>
      </c>
      <c r="L1060" s="81">
        <v>1</v>
      </c>
      <c r="M1060" s="85">
        <v>2080</v>
      </c>
      <c r="N1060" s="85">
        <f>IFERROR(表格1[[#This Row],[QTY]]*表格1[[#This Row],[Unit Price]],"-")</f>
        <v>2080</v>
      </c>
      <c r="O1060" s="134">
        <v>816618</v>
      </c>
      <c r="P1060" s="81"/>
      <c r="Q1060" s="81"/>
      <c r="R1060" s="81" t="str">
        <f>_xlfn.CONCAT(表格1[[#This Row],[Model]]," ",表格1[[#This Row],[inv no]])</f>
        <v>AW-Q800APH(WW) 816618</v>
      </c>
      <c r="S1060" s="135">
        <f>_xlfn.XLOOKUP(表格1[[#This Row],[Model]],表格3[Model-Input-Ref2],表格3[SRP PRICE])</f>
        <v>3580</v>
      </c>
      <c r="T1060" s="43">
        <f>表格1[[#This Row],[Unit Price]]/表格1[[#This Row],[SRP]]</f>
        <v>0.58100558659217882</v>
      </c>
      <c r="U1060" s="86" t="str">
        <f>_xlfn.XLOOKUP(表格1[[#This Row],[Model]],表格3[Model-Input-Ref2],表格3[TOSHIBA/HIGHEST])</f>
        <v>Toshiba SRP</v>
      </c>
      <c r="V1060" s="86" t="s">
        <v>1126</v>
      </c>
      <c r="W1060" s="86" t="str">
        <f>_xlfn.CONCAT(表格1[[#This Row],[欄4]],表格1[[#This Row],[inv no]])</f>
        <v>DA141816618</v>
      </c>
    </row>
    <row r="1061" spans="1:23" hidden="1">
      <c r="A1061" s="81">
        <v>1059</v>
      </c>
      <c r="B1061" s="81" t="s">
        <v>1477</v>
      </c>
      <c r="C1061" s="81" t="s">
        <v>1478</v>
      </c>
      <c r="D1061" s="82" t="str">
        <f ca="1">OFFSET(Roster!$A$3,MATCH(表格1[[#This Row],[Location]]&amp;" "&amp;表格1[[#This Row],[Shop]]&amp;"*",Roster!$A$4:$A$72,0),DAY(表格1[[#This Row],[date]]),1,1)</f>
        <v>Vicky L</v>
      </c>
      <c r="E1061" s="81">
        <f>MONTH(表格1[[#This Row],[date]])</f>
        <v>3</v>
      </c>
      <c r="F1061" s="101">
        <v>46103</v>
      </c>
      <c r="G1061" s="81" t="str">
        <f>VLOOKUP("*"&amp;表格1[[#This Row],[Input]]&amp;"*",'Ref-List'!$B:$D,2,)</f>
        <v>AW-Q800APH(WW)</v>
      </c>
      <c r="H1061" s="81" t="str">
        <f>_xlfn.XLOOKUP(表格1[[#This Row],[Model]],表格3[Model-Input-Ref2],表格3[Product Line])</f>
        <v>日式洗衣機 (7公斤 結合高低水位)</v>
      </c>
      <c r="I1061" s="81" t="str">
        <f>_xlfn.XLOOKUP(表格1[[#This Row],[Model]],表格3[Model-Input-Ref2],表格3[大小電])</f>
        <v>大電</v>
      </c>
      <c r="J1061" s="81" t="str">
        <f>_xlfn.XLOOKUP(表格1[[#This Row],[Model]],表格3[Model-Input-Ref2],表格3[Code])</f>
        <v>LAD</v>
      </c>
      <c r="K1061" s="82" t="s">
        <v>1479</v>
      </c>
      <c r="L1061" s="81">
        <v>1</v>
      </c>
      <c r="M1061" s="85">
        <v>2080</v>
      </c>
      <c r="N1061" s="85">
        <f>IFERROR(表格1[[#This Row],[QTY]]*表格1[[#This Row],[Unit Price]],"-")</f>
        <v>2080</v>
      </c>
      <c r="O1061" s="134">
        <v>816470</v>
      </c>
      <c r="P1061" s="81"/>
      <c r="Q1061" s="81"/>
      <c r="R1061" s="81" t="str">
        <f>_xlfn.CONCAT(表格1[[#This Row],[Model]]," ",表格1[[#This Row],[inv no]])</f>
        <v>AW-Q800APH(WW) 816470</v>
      </c>
      <c r="S1061" s="135">
        <f>_xlfn.XLOOKUP(表格1[[#This Row],[Model]],表格3[Model-Input-Ref2],表格3[SRP PRICE])</f>
        <v>3580</v>
      </c>
      <c r="T1061" s="43">
        <f>表格1[[#This Row],[Unit Price]]/表格1[[#This Row],[SRP]]</f>
        <v>0.58100558659217882</v>
      </c>
      <c r="U1061" s="86" t="str">
        <f>_xlfn.XLOOKUP(表格1[[#This Row],[Model]],表格3[Model-Input-Ref2],表格3[TOSHIBA/HIGHEST])</f>
        <v>Toshiba SRP</v>
      </c>
      <c r="V1061" s="86" t="s">
        <v>1126</v>
      </c>
      <c r="W1061" s="86" t="str">
        <f>_xlfn.CONCAT(表格1[[#This Row],[欄4]],表格1[[#This Row],[inv no]])</f>
        <v>DA141816470</v>
      </c>
    </row>
    <row r="1062" spans="1:23" hidden="1">
      <c r="A1062" s="81">
        <v>1060</v>
      </c>
      <c r="B1062" s="81" t="s">
        <v>1477</v>
      </c>
      <c r="C1062" s="81" t="s">
        <v>1478</v>
      </c>
      <c r="D1062" s="82" t="str">
        <f ca="1">OFFSET(Roster!$A$3,MATCH(表格1[[#This Row],[Location]]&amp;" "&amp;表格1[[#This Row],[Shop]]&amp;"*",Roster!$A$4:$A$72,0),DAY(表格1[[#This Row],[date]]),1,1)</f>
        <v>Vicky L</v>
      </c>
      <c r="E1062" s="81">
        <f>MONTH(表格1[[#This Row],[date]])</f>
        <v>3</v>
      </c>
      <c r="F1062" s="101">
        <v>46105</v>
      </c>
      <c r="G1062" s="81" t="str">
        <f>VLOOKUP("*"&amp;表格1[[#This Row],[Input]]&amp;"*",'Ref-List'!$B:$D,2,)</f>
        <v>GR-RB221WE-PMA(57)</v>
      </c>
      <c r="H1062" s="81" t="str">
        <f>_xlfn.XLOOKUP(表格1[[#This Row],[Model]],表格3[Model-Input-Ref2],表格3[Product Line])</f>
        <v>變頻下置式雙門雪櫃（163L）</v>
      </c>
      <c r="I1062" s="81" t="str">
        <f>_xlfn.XLOOKUP(表格1[[#This Row],[Model]],表格3[Model-Input-Ref2],表格3[大小電])</f>
        <v>大電</v>
      </c>
      <c r="J1062" s="81" t="str">
        <f>_xlfn.XLOOKUP(表格1[[#This Row],[Model]],表格3[Model-Input-Ref2],表格3[Code])</f>
        <v>REF</v>
      </c>
      <c r="K1062" s="82" t="s">
        <v>1386</v>
      </c>
      <c r="L1062" s="81">
        <v>1</v>
      </c>
      <c r="M1062" s="85">
        <v>1880</v>
      </c>
      <c r="N1062" s="85">
        <f>IFERROR(表格1[[#This Row],[QTY]]*表格1[[#This Row],[Unit Price]],"-")</f>
        <v>1880</v>
      </c>
      <c r="O1062" s="134">
        <v>816660</v>
      </c>
      <c r="P1062" s="81"/>
      <c r="Q1062" s="81"/>
      <c r="R1062" s="81" t="str">
        <f>_xlfn.CONCAT(表格1[[#This Row],[Model]]," ",表格1[[#This Row],[inv no]])</f>
        <v>GR-RB221WE-PMA(57) 816660</v>
      </c>
      <c r="S1062" s="135">
        <f>_xlfn.XLOOKUP(表格1[[#This Row],[Model]],表格3[Model-Input-Ref2],表格3[SRP PRICE])</f>
        <v>3480</v>
      </c>
      <c r="T1062" s="43">
        <f>表格1[[#This Row],[Unit Price]]/表格1[[#This Row],[SRP]]</f>
        <v>0.54022988505747127</v>
      </c>
      <c r="U1062" s="86" t="str">
        <f>_xlfn.XLOOKUP(表格1[[#This Row],[Model]],表格3[Model-Input-Ref2],表格3[TOSHIBA/HIGHEST])</f>
        <v>Toshiba SRP</v>
      </c>
      <c r="V1062" s="86" t="s">
        <v>1126</v>
      </c>
      <c r="W1062" s="86" t="str">
        <f>_xlfn.CONCAT(表格1[[#This Row],[欄4]],表格1[[#This Row],[inv no]])</f>
        <v>DA141816660</v>
      </c>
    </row>
    <row r="1063" spans="1:23" hidden="1">
      <c r="A1063" s="81">
        <v>1061</v>
      </c>
      <c r="B1063" s="81" t="s">
        <v>1477</v>
      </c>
      <c r="C1063" s="81" t="s">
        <v>1478</v>
      </c>
      <c r="D1063" s="82" t="str">
        <f ca="1">OFFSET(Roster!$A$3,MATCH(表格1[[#This Row],[Location]]&amp;" "&amp;表格1[[#This Row],[Shop]]&amp;"*",Roster!$A$4:$A$72,0),DAY(表格1[[#This Row],[date]]),1,1)</f>
        <v>Vicky L</v>
      </c>
      <c r="E1063" s="81">
        <f>MONTH(表格1[[#This Row],[date]])</f>
        <v>3</v>
      </c>
      <c r="F1063" s="101">
        <v>46105</v>
      </c>
      <c r="G1063" s="81" t="str">
        <f>VLOOKUP("*"&amp;表格1[[#This Row],[Input]]&amp;"*",'Ref-List'!$B:$D,2,)</f>
        <v>AW-Q800APH(WW)</v>
      </c>
      <c r="H1063" s="81" t="str">
        <f>_xlfn.XLOOKUP(表格1[[#This Row],[Model]],表格3[Model-Input-Ref2],表格3[Product Line])</f>
        <v>日式洗衣機 (7公斤 結合高低水位)</v>
      </c>
      <c r="I1063" s="81" t="str">
        <f>_xlfn.XLOOKUP(表格1[[#This Row],[Model]],表格3[Model-Input-Ref2],表格3[大小電])</f>
        <v>大電</v>
      </c>
      <c r="J1063" s="81" t="str">
        <f>_xlfn.XLOOKUP(表格1[[#This Row],[Model]],表格3[Model-Input-Ref2],表格3[Code])</f>
        <v>LAD</v>
      </c>
      <c r="K1063" s="82" t="s">
        <v>1479</v>
      </c>
      <c r="L1063" s="81">
        <v>1</v>
      </c>
      <c r="M1063" s="85">
        <v>2080</v>
      </c>
      <c r="N1063" s="85">
        <f>IFERROR(表格1[[#This Row],[QTY]]*表格1[[#This Row],[Unit Price]],"-")</f>
        <v>2080</v>
      </c>
      <c r="O1063" s="134">
        <v>816689</v>
      </c>
      <c r="P1063" s="81"/>
      <c r="Q1063" s="81"/>
      <c r="R1063" s="81" t="str">
        <f>_xlfn.CONCAT(表格1[[#This Row],[Model]]," ",表格1[[#This Row],[inv no]])</f>
        <v>AW-Q800APH(WW) 816689</v>
      </c>
      <c r="S1063" s="135">
        <f>_xlfn.XLOOKUP(表格1[[#This Row],[Model]],表格3[Model-Input-Ref2],表格3[SRP PRICE])</f>
        <v>3580</v>
      </c>
      <c r="T1063" s="43">
        <f>表格1[[#This Row],[Unit Price]]/表格1[[#This Row],[SRP]]</f>
        <v>0.58100558659217882</v>
      </c>
      <c r="U1063" s="86" t="str">
        <f>_xlfn.XLOOKUP(表格1[[#This Row],[Model]],表格3[Model-Input-Ref2],表格3[TOSHIBA/HIGHEST])</f>
        <v>Toshiba SRP</v>
      </c>
      <c r="V1063" s="86" t="s">
        <v>1126</v>
      </c>
      <c r="W1063" s="86" t="str">
        <f>_xlfn.CONCAT(表格1[[#This Row],[欄4]],表格1[[#This Row],[inv no]])</f>
        <v>DA141816689</v>
      </c>
    </row>
    <row r="1064" spans="1:23" hidden="1">
      <c r="A1064" s="81">
        <v>1062</v>
      </c>
      <c r="B1064" s="81" t="s">
        <v>1477</v>
      </c>
      <c r="C1064" s="81" t="s">
        <v>1478</v>
      </c>
      <c r="D1064" s="82" t="str">
        <f ca="1">OFFSET(Roster!$A$3,MATCH(表格1[[#This Row],[Location]]&amp;" "&amp;表格1[[#This Row],[Shop]]&amp;"*",Roster!$A$4:$A$72,0),DAY(表格1[[#This Row],[date]]),1,1)</f>
        <v>Vicky L</v>
      </c>
      <c r="E1064" s="81">
        <f>MONTH(表格1[[#This Row],[date]])</f>
        <v>3</v>
      </c>
      <c r="F1064" s="101">
        <v>46105</v>
      </c>
      <c r="G1064" s="81" t="str">
        <f>VLOOKUP("*"&amp;表格1[[#This Row],[Input]]&amp;"*",'Ref-List'!$B:$D,2,)</f>
        <v>TWD-T21BU95UWH(WW)</v>
      </c>
      <c r="H1064" s="81" t="str">
        <f>_xlfn.XLOOKUP(表格1[[#This Row],[Model]],表格3[Model-Input-Ref2],表格3[Product Line])</f>
        <v>470MM超薄身前置式變頻洗衣乾衣機 (洗8.5公斤 乾6公斤)</v>
      </c>
      <c r="I1064" s="81" t="str">
        <f>_xlfn.XLOOKUP(表格1[[#This Row],[Model]],表格3[Model-Input-Ref2],表格3[大小電])</f>
        <v>大電</v>
      </c>
      <c r="J1064" s="81" t="str">
        <f>_xlfn.XLOOKUP(表格1[[#This Row],[Model]],表格3[Model-Input-Ref2],表格3[Code])</f>
        <v>LAD</v>
      </c>
      <c r="K1064" s="82" t="s">
        <v>1461</v>
      </c>
      <c r="L1064" s="81">
        <v>1</v>
      </c>
      <c r="M1064" s="85">
        <v>3999</v>
      </c>
      <c r="N1064" s="85">
        <f>IFERROR(表格1[[#This Row],[QTY]]*表格1[[#This Row],[Unit Price]],"-")</f>
        <v>3999</v>
      </c>
      <c r="O1064" s="134">
        <v>816699</v>
      </c>
      <c r="P1064" s="81"/>
      <c r="Q1064" s="81"/>
      <c r="R1064" s="81" t="str">
        <f>_xlfn.CONCAT(表格1[[#This Row],[Model]]," ",表格1[[#This Row],[inv no]])</f>
        <v>TWD-T21BU95UWH(WW) 816699</v>
      </c>
      <c r="S1064" s="135">
        <f>_xlfn.XLOOKUP(表格1[[#This Row],[Model]],表格3[Model-Input-Ref2],表格3[SRP PRICE])</f>
        <v>7280</v>
      </c>
      <c r="T1064" s="43">
        <f>表格1[[#This Row],[Unit Price]]/表格1[[#This Row],[SRP]]</f>
        <v>0.54931318681318686</v>
      </c>
      <c r="U1064" s="86" t="str">
        <f>_xlfn.XLOOKUP(表格1[[#This Row],[Model]],表格3[Model-Input-Ref2],表格3[TOSHIBA/HIGHEST])</f>
        <v>Toshiba SRP</v>
      </c>
      <c r="V1064" s="86" t="s">
        <v>1126</v>
      </c>
      <c r="W1064" s="86" t="str">
        <f>_xlfn.CONCAT(表格1[[#This Row],[欄4]],表格1[[#This Row],[inv no]])</f>
        <v>DA141816699</v>
      </c>
    </row>
    <row r="1065" spans="1:23" hidden="1">
      <c r="A1065" s="81">
        <v>1063</v>
      </c>
      <c r="B1065" s="81" t="s">
        <v>1477</v>
      </c>
      <c r="C1065" s="81" t="s">
        <v>1478</v>
      </c>
      <c r="D1065" s="82" t="str">
        <f ca="1">OFFSET(Roster!$A$3,MATCH(表格1[[#This Row],[Location]]&amp;" "&amp;表格1[[#This Row],[Shop]]&amp;"*",Roster!$A$4:$A$72,0),DAY(表格1[[#This Row],[date]]),1,1)</f>
        <v>Vicky L</v>
      </c>
      <c r="E1065" s="81">
        <f>MONTH(表格1[[#This Row],[date]])</f>
        <v>3</v>
      </c>
      <c r="F1065" s="101">
        <v>46105</v>
      </c>
      <c r="G1065" s="81" t="str">
        <f>VLOOKUP("*"&amp;表格1[[#This Row],[Input]]&amp;"*",'Ref-List'!$B:$D,2,)</f>
        <v>GR-RT300WE-PMA(57)</v>
      </c>
      <c r="H1065" s="81" t="str">
        <f>_xlfn.XLOOKUP(表格1[[#This Row],[Model]],表格3[Model-Input-Ref2],表格3[Product Line])</f>
        <v>變頻式環保雙門雪櫃(233L)</v>
      </c>
      <c r="I1065" s="81" t="str">
        <f>_xlfn.XLOOKUP(表格1[[#This Row],[Model]],表格3[Model-Input-Ref2],表格3[大小電])</f>
        <v>大電</v>
      </c>
      <c r="J1065" s="81" t="str">
        <f>_xlfn.XLOOKUP(表格1[[#This Row],[Model]],表格3[Model-Input-Ref2],表格3[Code])</f>
        <v>REF</v>
      </c>
      <c r="K1065" s="82" t="s">
        <v>1462</v>
      </c>
      <c r="L1065" s="81">
        <v>1</v>
      </c>
      <c r="M1065" s="85">
        <v>2780</v>
      </c>
      <c r="N1065" s="85">
        <f>IFERROR(表格1[[#This Row],[QTY]]*表格1[[#This Row],[Unit Price]],"-")</f>
        <v>2780</v>
      </c>
      <c r="O1065" s="134">
        <v>816699</v>
      </c>
      <c r="P1065" s="81"/>
      <c r="Q1065" s="81"/>
      <c r="R1065" s="81" t="str">
        <f>_xlfn.CONCAT(表格1[[#This Row],[Model]]," ",表格1[[#This Row],[inv no]])</f>
        <v>GR-RT300WE-PMA(57) 816699</v>
      </c>
      <c r="S1065" s="135">
        <f>_xlfn.XLOOKUP(表格1[[#This Row],[Model]],表格3[Model-Input-Ref2],表格3[SRP PRICE])</f>
        <v>4280</v>
      </c>
      <c r="T1065" s="43">
        <f>表格1[[#This Row],[Unit Price]]/表格1[[#This Row],[SRP]]</f>
        <v>0.64953271028037385</v>
      </c>
      <c r="U1065" s="86" t="str">
        <f>_xlfn.XLOOKUP(表格1[[#This Row],[Model]],表格3[Model-Input-Ref2],表格3[TOSHIBA/HIGHEST])</f>
        <v>Toshiba SRP</v>
      </c>
      <c r="V1065" s="86" t="s">
        <v>1126</v>
      </c>
      <c r="W1065" s="86" t="str">
        <f>_xlfn.CONCAT(表格1[[#This Row],[欄4]],表格1[[#This Row],[inv no]])</f>
        <v>DA141816699</v>
      </c>
    </row>
    <row r="1066" spans="1:23" hidden="1">
      <c r="A1066" s="81">
        <v>1064</v>
      </c>
      <c r="B1066" s="81" t="s">
        <v>1477</v>
      </c>
      <c r="C1066" s="81" t="s">
        <v>1478</v>
      </c>
      <c r="D1066" s="82" t="str">
        <f ca="1">OFFSET(Roster!$A$3,MATCH(表格1[[#This Row],[Location]]&amp;" "&amp;表格1[[#This Row],[Shop]]&amp;"*",Roster!$A$4:$A$72,0),DAY(表格1[[#This Row],[date]]),1,1)</f>
        <v>Vicky L</v>
      </c>
      <c r="E1066" s="81">
        <f>MONTH(表格1[[#This Row],[date]])</f>
        <v>3</v>
      </c>
      <c r="F1066" s="101">
        <v>46106</v>
      </c>
      <c r="G1066" s="81" t="str">
        <f>VLOOKUP("*"&amp;表格1[[#This Row],[Input]]&amp;"*",'Ref-List'!$B:$D,2,)</f>
        <v>TWD-T21BU95UWH(WW)</v>
      </c>
      <c r="H1066" s="81" t="str">
        <f>_xlfn.XLOOKUP(表格1[[#This Row],[Model]],表格3[Model-Input-Ref2],表格3[Product Line])</f>
        <v>470MM超薄身前置式變頻洗衣乾衣機 (洗8.5公斤 乾6公斤)</v>
      </c>
      <c r="I1066" s="81" t="str">
        <f>_xlfn.XLOOKUP(表格1[[#This Row],[Model]],表格3[Model-Input-Ref2],表格3[大小電])</f>
        <v>大電</v>
      </c>
      <c r="J1066" s="81" t="str">
        <f>_xlfn.XLOOKUP(表格1[[#This Row],[Model]],表格3[Model-Input-Ref2],表格3[Code])</f>
        <v>LAD</v>
      </c>
      <c r="K1066" s="82" t="s">
        <v>1461</v>
      </c>
      <c r="L1066" s="81">
        <v>1</v>
      </c>
      <c r="M1066" s="85">
        <v>3999</v>
      </c>
      <c r="N1066" s="85">
        <f>IFERROR(表格1[[#This Row],[QTY]]*表格1[[#This Row],[Unit Price]],"-")</f>
        <v>3999</v>
      </c>
      <c r="O1066" s="134">
        <v>901937</v>
      </c>
      <c r="P1066" s="81"/>
      <c r="Q1066" s="81"/>
      <c r="R1066" s="81" t="str">
        <f>_xlfn.CONCAT(表格1[[#This Row],[Model]]," ",表格1[[#This Row],[inv no]])</f>
        <v>TWD-T21BU95UWH(WW) 901937</v>
      </c>
      <c r="S1066" s="135">
        <f>_xlfn.XLOOKUP(表格1[[#This Row],[Model]],表格3[Model-Input-Ref2],表格3[SRP PRICE])</f>
        <v>7280</v>
      </c>
      <c r="T1066" s="43">
        <f>表格1[[#This Row],[Unit Price]]/表格1[[#This Row],[SRP]]</f>
        <v>0.54931318681318686</v>
      </c>
      <c r="U1066" s="86" t="str">
        <f>_xlfn.XLOOKUP(表格1[[#This Row],[Model]],表格3[Model-Input-Ref2],表格3[TOSHIBA/HIGHEST])</f>
        <v>Toshiba SRP</v>
      </c>
      <c r="V1066" s="86" t="s">
        <v>1126</v>
      </c>
      <c r="W1066" s="86" t="str">
        <f>_xlfn.CONCAT(表格1[[#This Row],[欄4]],表格1[[#This Row],[inv no]])</f>
        <v>DA141901937</v>
      </c>
    </row>
    <row r="1067" spans="1:23" hidden="1">
      <c r="A1067" s="81">
        <v>1065</v>
      </c>
      <c r="B1067" s="81" t="s">
        <v>1477</v>
      </c>
      <c r="C1067" s="81" t="s">
        <v>1478</v>
      </c>
      <c r="D1067" s="82" t="str">
        <f ca="1">OFFSET(Roster!$A$3,MATCH(表格1[[#This Row],[Location]]&amp;" "&amp;表格1[[#This Row],[Shop]]&amp;"*",Roster!$A$4:$A$72,0),DAY(表格1[[#This Row],[date]]),1,1)</f>
        <v>Vicky L</v>
      </c>
      <c r="E1067" s="81">
        <f>MONTH(表格1[[#This Row],[date]])</f>
        <v>3</v>
      </c>
      <c r="F1067" s="101">
        <v>46106</v>
      </c>
      <c r="G1067" s="81" t="str">
        <f>VLOOKUP("*"&amp;表格1[[#This Row],[Input]]&amp;"*",'Ref-List'!$B:$D,2,)</f>
        <v>TW-T22BU95UWH(WK)-B</v>
      </c>
      <c r="H1067" s="81" t="str">
        <f>_xlfn.XLOOKUP(表格1[[#This Row],[Model]],表格3[Model-Input-Ref2],表格3[Product Line])</f>
        <v>470MM超薄身前置式變頻洗衣機(8.5公斤, 可飛頂)</v>
      </c>
      <c r="I1067" s="81" t="str">
        <f>_xlfn.XLOOKUP(表格1[[#This Row],[Model]],表格3[Model-Input-Ref2],表格3[大小電])</f>
        <v>大電</v>
      </c>
      <c r="J1067" s="81" t="str">
        <f>_xlfn.XLOOKUP(表格1[[#This Row],[Model]],表格3[Model-Input-Ref2],表格3[Code])</f>
        <v>LAD</v>
      </c>
      <c r="K1067" s="82" t="s">
        <v>969</v>
      </c>
      <c r="L1067" s="81">
        <v>1</v>
      </c>
      <c r="M1067" s="85">
        <v>3680</v>
      </c>
      <c r="N1067" s="85">
        <f>IFERROR(表格1[[#This Row],[QTY]]*表格1[[#This Row],[Unit Price]],"-")</f>
        <v>3680</v>
      </c>
      <c r="O1067" s="134">
        <v>816709</v>
      </c>
      <c r="P1067" s="81"/>
      <c r="Q1067" s="81"/>
      <c r="R1067" s="81" t="str">
        <f>_xlfn.CONCAT(表格1[[#This Row],[Model]]," ",表格1[[#This Row],[inv no]])</f>
        <v>TW-T22BU95UWH(WK)-B 816709</v>
      </c>
      <c r="S1067" s="135">
        <f>_xlfn.XLOOKUP(表格1[[#This Row],[Model]],表格3[Model-Input-Ref2],表格3[SRP PRICE])</f>
        <v>5880</v>
      </c>
      <c r="T1067" s="43">
        <f>表格1[[#This Row],[Unit Price]]/表格1[[#This Row],[SRP]]</f>
        <v>0.62585034013605445</v>
      </c>
      <c r="U1067" s="86" t="str">
        <f>_xlfn.XLOOKUP(表格1[[#This Row],[Model]],表格3[Model-Input-Ref2],表格3[TOSHIBA/HIGHEST])</f>
        <v>Toshiba SRP</v>
      </c>
      <c r="V1067" s="86" t="s">
        <v>1126</v>
      </c>
      <c r="W1067" s="86" t="str">
        <f>_xlfn.CONCAT(表格1[[#This Row],[欄4]],表格1[[#This Row],[inv no]])</f>
        <v>DA141816709</v>
      </c>
    </row>
    <row r="1068" spans="1:23" hidden="1">
      <c r="A1068" s="81">
        <v>1066</v>
      </c>
      <c r="B1068" s="81" t="s">
        <v>1477</v>
      </c>
      <c r="C1068" s="81" t="s">
        <v>1478</v>
      </c>
      <c r="D1068" s="82" t="str">
        <f ca="1">OFFSET(Roster!$A$3,MATCH(表格1[[#This Row],[Location]]&amp;" "&amp;表格1[[#This Row],[Shop]]&amp;"*",Roster!$A$4:$A$72,0),DAY(表格1[[#This Row],[date]]),1,1)</f>
        <v>Vicky L</v>
      </c>
      <c r="E1068" s="81">
        <f>MONTH(表格1[[#This Row],[date]])</f>
        <v>3</v>
      </c>
      <c r="F1068" s="101">
        <v>46107</v>
      </c>
      <c r="G1068" s="81" t="str">
        <f>VLOOKUP("*"&amp;表格1[[#This Row],[Input]]&amp;"*",'Ref-List'!$B:$D,2,)</f>
        <v>RAC-07G3CVRG-HK</v>
      </c>
      <c r="H1068" s="81" t="str">
        <f>_xlfn.XLOOKUP(表格1[[#This Row],[Model]],表格3[Model-Input-Ref2],表格3[Product Line])</f>
        <v>3/4 匹 窗口式冷氣機(remote/fortress)</v>
      </c>
      <c r="I1068" s="81" t="str">
        <f>_xlfn.XLOOKUP(表格1[[#This Row],[Model]],表格3[Model-Input-Ref2],表格3[大小電])</f>
        <v>大電</v>
      </c>
      <c r="J1068" s="81" t="str">
        <f>_xlfn.XLOOKUP(表格1[[#This Row],[Model]],表格3[Model-Input-Ref2],表格3[Code])</f>
        <v>AC</v>
      </c>
      <c r="K1068" s="82" t="s">
        <v>664</v>
      </c>
      <c r="L1068" s="81">
        <v>1</v>
      </c>
      <c r="M1068" s="85">
        <v>3880</v>
      </c>
      <c r="N1068" s="85">
        <f>IFERROR(表格1[[#This Row],[QTY]]*表格1[[#This Row],[Unit Price]],"-")</f>
        <v>3880</v>
      </c>
      <c r="O1068" s="134">
        <v>816786</v>
      </c>
      <c r="P1068" s="81"/>
      <c r="Q1068" s="81"/>
      <c r="R1068" s="81" t="str">
        <f>_xlfn.CONCAT(表格1[[#This Row],[Model]]," ",表格1[[#This Row],[inv no]])</f>
        <v>RAC-07G3CVRG-HK 816786</v>
      </c>
      <c r="S1068" s="135">
        <f>_xlfn.XLOOKUP(表格1[[#This Row],[Model]],表格3[Model-Input-Ref2],表格3[SRP PRICE])</f>
        <v>5580</v>
      </c>
      <c r="T1068" s="43">
        <f>表格1[[#This Row],[Unit Price]]/表格1[[#This Row],[SRP]]</f>
        <v>0.69534050179211471</v>
      </c>
      <c r="U1068" s="86" t="str">
        <f>_xlfn.XLOOKUP(表格1[[#This Row],[Model]],表格3[Model-Input-Ref2],表格3[TOSHIBA/HIGHEST])</f>
        <v>Toshiba SRP</v>
      </c>
      <c r="V1068" s="86" t="s">
        <v>1126</v>
      </c>
      <c r="W1068" s="86" t="str">
        <f>_xlfn.CONCAT(表格1[[#This Row],[欄4]],表格1[[#This Row],[inv no]])</f>
        <v>DA141816786</v>
      </c>
    </row>
    <row r="1069" spans="1:23" hidden="1">
      <c r="A1069" s="81">
        <v>1067</v>
      </c>
      <c r="B1069" s="81" t="s">
        <v>1477</v>
      </c>
      <c r="C1069" s="81" t="s">
        <v>1478</v>
      </c>
      <c r="D1069" s="82" t="str">
        <f ca="1">OFFSET(Roster!$A$3,MATCH(表格1[[#This Row],[Location]]&amp;" "&amp;表格1[[#This Row],[Shop]]&amp;"*",Roster!$A$4:$A$72,0),DAY(表格1[[#This Row],[date]]),1,1)</f>
        <v>Vicky L off</v>
      </c>
      <c r="E1069" s="81">
        <f>MONTH(表格1[[#This Row],[date]])</f>
        <v>3</v>
      </c>
      <c r="F1069" s="101">
        <v>46084</v>
      </c>
      <c r="G1069" s="81" t="str">
        <f>VLOOKUP("*"&amp;表格1[[#This Row],[Input]]&amp;"*",'Ref-List'!$B:$D,2,)</f>
        <v>RC-18NMFIH(WT)</v>
      </c>
      <c r="H1069" s="81" t="str">
        <f>_xlfn.XLOOKUP(表格1[[#This Row],[Model]],表格3[Model-Input-Ref2],表格3[Product Line])</f>
        <v>4毫米厚釜電飯煲1.8L</v>
      </c>
      <c r="I1069" s="81" t="str">
        <f>_xlfn.XLOOKUP(表格1[[#This Row],[Model]],表格3[Model-Input-Ref2],表格3[大小電])</f>
        <v>細電</v>
      </c>
      <c r="J1069" s="81" t="str">
        <f>_xlfn.XLOOKUP(表格1[[#This Row],[Model]],表格3[Model-Input-Ref2],表格3[Code])</f>
        <v>SDA</v>
      </c>
      <c r="K1069" s="82" t="s">
        <v>1267</v>
      </c>
      <c r="L1069" s="81">
        <v>1</v>
      </c>
      <c r="M1069" s="85">
        <v>799</v>
      </c>
      <c r="N1069" s="85">
        <f>IFERROR(表格1[[#This Row],[QTY]]*表格1[[#This Row],[Unit Price]],"-")</f>
        <v>799</v>
      </c>
      <c r="O1069" s="134">
        <v>814711</v>
      </c>
      <c r="P1069" s="81"/>
      <c r="Q1069" s="81"/>
      <c r="R1069" s="81" t="str">
        <f>_xlfn.CONCAT(表格1[[#This Row],[Model]]," ",表格1[[#This Row],[inv no]])</f>
        <v>RC-18NMFIH(WT) 814711</v>
      </c>
      <c r="S1069" s="135">
        <f>_xlfn.XLOOKUP(表格1[[#This Row],[Model]],表格3[Model-Input-Ref2],表格3[SRP PRICE])</f>
        <v>998</v>
      </c>
      <c r="T1069" s="43">
        <f>表格1[[#This Row],[Unit Price]]/表格1[[#This Row],[SRP]]</f>
        <v>0.80060120240480959</v>
      </c>
      <c r="U1069" s="86" t="str">
        <f>_xlfn.XLOOKUP(表格1[[#This Row],[Model]],表格3[Model-Input-Ref2],表格3[TOSHIBA/HIGHEST])</f>
        <v>Toshiba SRP</v>
      </c>
      <c r="V1069" s="86" t="s">
        <v>1126</v>
      </c>
      <c r="W1069" s="86" t="str">
        <f>_xlfn.CONCAT(表格1[[#This Row],[欄4]],表格1[[#This Row],[inv no]])</f>
        <v>DA141814711</v>
      </c>
    </row>
    <row r="1070" spans="1:23" hidden="1">
      <c r="A1070" s="81">
        <v>1068</v>
      </c>
      <c r="B1070" s="81" t="s">
        <v>1477</v>
      </c>
      <c r="C1070" s="81" t="s">
        <v>1478</v>
      </c>
      <c r="D1070" s="82" t="str">
        <f ca="1">OFFSET(Roster!$A$3,MATCH(表格1[[#This Row],[Location]]&amp;" "&amp;表格1[[#This Row],[Shop]]&amp;"*",Roster!$A$4:$A$72,0),DAY(表格1[[#This Row],[date]]),1,1)</f>
        <v>Vicky L off</v>
      </c>
      <c r="E1070" s="81">
        <f>MONTH(表格1[[#This Row],[date]])</f>
        <v>3</v>
      </c>
      <c r="F1070" s="101">
        <v>46086</v>
      </c>
      <c r="G1070" s="81" t="str">
        <f>VLOOKUP("*"&amp;表格1[[#This Row],[Input]]&amp;"*",'Ref-List'!$B:$D,2,)</f>
        <v>RC-18NMFIH(WT)</v>
      </c>
      <c r="H1070" s="81" t="str">
        <f>_xlfn.XLOOKUP(表格1[[#This Row],[Model]],表格3[Model-Input-Ref2],表格3[Product Line])</f>
        <v>4毫米厚釜電飯煲1.8L</v>
      </c>
      <c r="I1070" s="81" t="str">
        <f>_xlfn.XLOOKUP(表格1[[#This Row],[Model]],表格3[Model-Input-Ref2],表格3[大小電])</f>
        <v>細電</v>
      </c>
      <c r="J1070" s="81" t="str">
        <f>_xlfn.XLOOKUP(表格1[[#This Row],[Model]],表格3[Model-Input-Ref2],表格3[Code])</f>
        <v>SDA</v>
      </c>
      <c r="K1070" s="82" t="s">
        <v>1267</v>
      </c>
      <c r="L1070" s="81">
        <v>1</v>
      </c>
      <c r="M1070" s="85">
        <v>799</v>
      </c>
      <c r="N1070" s="85">
        <f>IFERROR(表格1[[#This Row],[QTY]]*表格1[[#This Row],[Unit Price]],"-")</f>
        <v>799</v>
      </c>
      <c r="O1070" s="134">
        <v>900925</v>
      </c>
      <c r="P1070" s="81"/>
      <c r="Q1070" s="81"/>
      <c r="R1070" s="81" t="str">
        <f>_xlfn.CONCAT(表格1[[#This Row],[Model]]," ",表格1[[#This Row],[inv no]])</f>
        <v>RC-18NMFIH(WT) 900925</v>
      </c>
      <c r="S1070" s="135">
        <f>_xlfn.XLOOKUP(表格1[[#This Row],[Model]],表格3[Model-Input-Ref2],表格3[SRP PRICE])</f>
        <v>998</v>
      </c>
      <c r="T1070" s="43">
        <f>表格1[[#This Row],[Unit Price]]/表格1[[#This Row],[SRP]]</f>
        <v>0.80060120240480959</v>
      </c>
      <c r="U1070" s="86" t="str">
        <f>_xlfn.XLOOKUP(表格1[[#This Row],[Model]],表格3[Model-Input-Ref2],表格3[TOSHIBA/HIGHEST])</f>
        <v>Toshiba SRP</v>
      </c>
      <c r="V1070" s="86" t="s">
        <v>1126</v>
      </c>
      <c r="W1070" s="86" t="str">
        <f>_xlfn.CONCAT(表格1[[#This Row],[欄4]],表格1[[#This Row],[inv no]])</f>
        <v>DA141900925</v>
      </c>
    </row>
    <row r="1071" spans="1:23" hidden="1">
      <c r="A1071" s="81">
        <v>1069</v>
      </c>
      <c r="B1071" s="81" t="s">
        <v>1477</v>
      </c>
      <c r="C1071" s="81" t="s">
        <v>1478</v>
      </c>
      <c r="D1071" s="82" t="str">
        <f ca="1">OFFSET(Roster!$A$3,MATCH(表格1[[#This Row],[Location]]&amp;" "&amp;表格1[[#This Row],[Shop]]&amp;"*",Roster!$A$4:$A$72,0),DAY(表格1[[#This Row],[date]]),1,1)</f>
        <v>Vicky L off</v>
      </c>
      <c r="E1071" s="81">
        <f>MONTH(表格1[[#This Row],[date]])</f>
        <v>3</v>
      </c>
      <c r="F1071" s="101">
        <v>46092</v>
      </c>
      <c r="G1071" s="81" t="str">
        <f>VLOOKUP("*"&amp;表格1[[#This Row],[Input]]&amp;"*",'Ref-List'!$B:$D,2,)</f>
        <v>RC-18NMFIH(WT)</v>
      </c>
      <c r="H1071" s="81" t="str">
        <f>_xlfn.XLOOKUP(表格1[[#This Row],[Model]],表格3[Model-Input-Ref2],表格3[Product Line])</f>
        <v>4毫米厚釜電飯煲1.8L</v>
      </c>
      <c r="I1071" s="81" t="str">
        <f>_xlfn.XLOOKUP(表格1[[#This Row],[Model]],表格3[Model-Input-Ref2],表格3[大小電])</f>
        <v>細電</v>
      </c>
      <c r="J1071" s="81" t="str">
        <f>_xlfn.XLOOKUP(表格1[[#This Row],[Model]],表格3[Model-Input-Ref2],表格3[Code])</f>
        <v>SDA</v>
      </c>
      <c r="K1071" s="82" t="s">
        <v>1267</v>
      </c>
      <c r="L1071" s="81">
        <v>1</v>
      </c>
      <c r="M1071" s="85">
        <v>799</v>
      </c>
      <c r="N1071" s="85">
        <f>IFERROR(表格1[[#This Row],[QTY]]*表格1[[#This Row],[Unit Price]],"-")</f>
        <v>799</v>
      </c>
      <c r="O1071" s="134">
        <v>815524</v>
      </c>
      <c r="P1071" s="81"/>
      <c r="Q1071" s="81"/>
      <c r="R1071" s="81" t="str">
        <f>_xlfn.CONCAT(表格1[[#This Row],[Model]]," ",表格1[[#This Row],[inv no]])</f>
        <v>RC-18NMFIH(WT) 815524</v>
      </c>
      <c r="S1071" s="135">
        <f>_xlfn.XLOOKUP(表格1[[#This Row],[Model]],表格3[Model-Input-Ref2],表格3[SRP PRICE])</f>
        <v>998</v>
      </c>
      <c r="T1071" s="43">
        <f>表格1[[#This Row],[Unit Price]]/表格1[[#This Row],[SRP]]</f>
        <v>0.80060120240480959</v>
      </c>
      <c r="U1071" s="86" t="str">
        <f>_xlfn.XLOOKUP(表格1[[#This Row],[Model]],表格3[Model-Input-Ref2],表格3[TOSHIBA/HIGHEST])</f>
        <v>Toshiba SRP</v>
      </c>
      <c r="V1071" s="86" t="s">
        <v>1126</v>
      </c>
      <c r="W1071" s="86" t="str">
        <f>_xlfn.CONCAT(表格1[[#This Row],[欄4]],表格1[[#This Row],[inv no]])</f>
        <v>DA141815524</v>
      </c>
    </row>
    <row r="1072" spans="1:23" hidden="1">
      <c r="A1072" s="81">
        <v>1070</v>
      </c>
      <c r="B1072" s="81" t="s">
        <v>1477</v>
      </c>
      <c r="C1072" s="81" t="s">
        <v>1478</v>
      </c>
      <c r="D1072" s="82" t="str">
        <f ca="1">OFFSET(Roster!$A$3,MATCH(表格1[[#This Row],[Location]]&amp;" "&amp;表格1[[#This Row],[Shop]]&amp;"*",Roster!$A$4:$A$72,0),DAY(表格1[[#This Row],[date]]),1,1)</f>
        <v>Vicky L off</v>
      </c>
      <c r="E1072" s="81">
        <f>MONTH(表格1[[#This Row],[date]])</f>
        <v>3</v>
      </c>
      <c r="F1072" s="101">
        <v>46091</v>
      </c>
      <c r="G1072" s="81" t="str">
        <f>VLOOKUP("*"&amp;表格1[[#This Row],[Input]]&amp;"*",'Ref-List'!$B:$D,2,)</f>
        <v>RC-10ISSHK(W)</v>
      </c>
      <c r="H1072" s="81" t="str">
        <f>_xlfn.XLOOKUP(表格1[[#This Row],[Model]],表格3[Model-Input-Ref2],表格3[Product Line])</f>
        <v>磁應電飯煲(1公升)</v>
      </c>
      <c r="I1072" s="81" t="str">
        <f>_xlfn.XLOOKUP(表格1[[#This Row],[Model]],表格3[Model-Input-Ref2],表格3[大小電])</f>
        <v>細電</v>
      </c>
      <c r="J1072" s="81" t="str">
        <f>_xlfn.XLOOKUP(表格1[[#This Row],[Model]],表格3[Model-Input-Ref2],表格3[Code])</f>
        <v>SDA</v>
      </c>
      <c r="K1072" s="82" t="s">
        <v>1286</v>
      </c>
      <c r="L1072" s="81">
        <v>1</v>
      </c>
      <c r="M1072" s="85">
        <v>938</v>
      </c>
      <c r="N1072" s="85">
        <f>IFERROR(表格1[[#This Row],[QTY]]*表格1[[#This Row],[Unit Price]],"-")</f>
        <v>938</v>
      </c>
      <c r="O1072" s="134">
        <v>815488</v>
      </c>
      <c r="P1072" s="81"/>
      <c r="Q1072" s="81"/>
      <c r="R1072" s="81" t="str">
        <f>_xlfn.CONCAT(表格1[[#This Row],[Model]]," ",表格1[[#This Row],[inv no]])</f>
        <v>RC-10ISSHK(W) 815488</v>
      </c>
      <c r="S1072" s="135">
        <f>_xlfn.XLOOKUP(表格1[[#This Row],[Model]],表格3[Model-Input-Ref2],表格3[SRP PRICE])</f>
        <v>1188</v>
      </c>
      <c r="T1072" s="43">
        <f>表格1[[#This Row],[Unit Price]]/表格1[[#This Row],[SRP]]</f>
        <v>0.78956228956228958</v>
      </c>
      <c r="U1072" s="86" t="str">
        <f>_xlfn.XLOOKUP(表格1[[#This Row],[Model]],表格3[Model-Input-Ref2],表格3[TOSHIBA/HIGHEST])</f>
        <v>Shops Highest Price</v>
      </c>
      <c r="V1072" s="86" t="s">
        <v>1126</v>
      </c>
      <c r="W1072" s="86" t="str">
        <f>_xlfn.CONCAT(表格1[[#This Row],[欄4]],表格1[[#This Row],[inv no]])</f>
        <v>DA141815488</v>
      </c>
    </row>
    <row r="1073" spans="1:23" hidden="1">
      <c r="A1073" s="81">
        <v>1071</v>
      </c>
      <c r="B1073" s="81" t="s">
        <v>1477</v>
      </c>
      <c r="C1073" s="81" t="s">
        <v>1478</v>
      </c>
      <c r="D1073" s="82" t="str">
        <f ca="1">OFFSET(Roster!$A$3,MATCH(表格1[[#This Row],[Location]]&amp;" "&amp;表格1[[#This Row],[Shop]]&amp;"*",Roster!$A$4:$A$72,0),DAY(表格1[[#This Row],[date]]),1,1)</f>
        <v>Vicky L</v>
      </c>
      <c r="E1073" s="81">
        <f>MONTH(表格1[[#This Row],[date]])</f>
        <v>3</v>
      </c>
      <c r="F1073" s="101">
        <v>46089</v>
      </c>
      <c r="G1073" s="81" t="str">
        <f>VLOOKUP("*"&amp;表格1[[#This Row],[Input]]&amp;"*",'Ref-List'!$B:$D,2,)</f>
        <v>RC-7HMH</v>
      </c>
      <c r="H1073" s="81" t="str">
        <f>_xlfn.XLOOKUP(表格1[[#This Row],[Model]],表格3[Model-Input-Ref2],表格3[Product Line])</f>
        <v>備長炭本厚釜電飯煲0.7L</v>
      </c>
      <c r="I1073" s="81" t="str">
        <f>_xlfn.XLOOKUP(表格1[[#This Row],[Model]],表格3[Model-Input-Ref2],表格3[大小電])</f>
        <v>細電</v>
      </c>
      <c r="J1073" s="81" t="str">
        <f>_xlfn.XLOOKUP(表格1[[#This Row],[Model]],表格3[Model-Input-Ref2],表格3[Code])</f>
        <v>SDA</v>
      </c>
      <c r="K1073" s="82" t="s">
        <v>1284</v>
      </c>
      <c r="L1073" s="81">
        <v>1</v>
      </c>
      <c r="M1073" s="85">
        <v>838</v>
      </c>
      <c r="N1073" s="85">
        <f>IFERROR(表格1[[#This Row],[QTY]]*表格1[[#This Row],[Unit Price]],"-")</f>
        <v>838</v>
      </c>
      <c r="O1073" s="134">
        <v>815210</v>
      </c>
      <c r="P1073" s="81"/>
      <c r="Q1073" s="81"/>
      <c r="R1073" s="81" t="str">
        <f>_xlfn.CONCAT(表格1[[#This Row],[Model]]," ",表格1[[#This Row],[inv no]])</f>
        <v>RC-7HMH 815210</v>
      </c>
      <c r="S1073" s="135">
        <f>_xlfn.XLOOKUP(表格1[[#This Row],[Model]],表格3[Model-Input-Ref2],表格3[SRP PRICE])</f>
        <v>1288</v>
      </c>
      <c r="T1073" s="43">
        <f>表格1[[#This Row],[Unit Price]]/表格1[[#This Row],[SRP]]</f>
        <v>0.65062111801242239</v>
      </c>
      <c r="U1073" s="86" t="str">
        <f>_xlfn.XLOOKUP(表格1[[#This Row],[Model]],表格3[Model-Input-Ref2],表格3[TOSHIBA/HIGHEST])</f>
        <v>Toshiba SRP</v>
      </c>
      <c r="V1073" s="86" t="s">
        <v>1126</v>
      </c>
      <c r="W1073" s="86" t="str">
        <f>_xlfn.CONCAT(表格1[[#This Row],[欄4]],表格1[[#This Row],[inv no]])</f>
        <v>DA141815210</v>
      </c>
    </row>
    <row r="1074" spans="1:23" hidden="1">
      <c r="A1074" s="81">
        <v>1072</v>
      </c>
      <c r="B1074" s="81" t="s">
        <v>1477</v>
      </c>
      <c r="C1074" s="81" t="s">
        <v>1478</v>
      </c>
      <c r="D1074" s="82" t="str">
        <f ca="1">OFFSET(Roster!$A$3,MATCH(表格1[[#This Row],[Location]]&amp;" "&amp;表格1[[#This Row],[Shop]]&amp;"*",Roster!$A$4:$A$72,0),DAY(表格1[[#This Row],[date]]),1,1)</f>
        <v>Vicky L</v>
      </c>
      <c r="E1074" s="81">
        <f>MONTH(表格1[[#This Row],[date]])</f>
        <v>3</v>
      </c>
      <c r="F1074" s="101">
        <v>46087</v>
      </c>
      <c r="G1074" s="81" t="str">
        <f>VLOOKUP("*"&amp;表格1[[#This Row],[Input]]&amp;"*",'Ref-List'!$B:$D,2,)</f>
        <v>RC-10DRNH</v>
      </c>
      <c r="H1074" s="81" t="str">
        <f>_xlfn.XLOOKUP(表格1[[#This Row],[Model]],表格3[Model-Input-Ref2],表格3[Product Line])</f>
        <v>多功能備長炭本厚釜電飯煲1L</v>
      </c>
      <c r="I1074" s="81" t="str">
        <f>_xlfn.XLOOKUP(表格1[[#This Row],[Model]],表格3[Model-Input-Ref2],表格3[大小電])</f>
        <v>細電</v>
      </c>
      <c r="J1074" s="81" t="str">
        <f>_xlfn.XLOOKUP(表格1[[#This Row],[Model]],表格3[Model-Input-Ref2],表格3[Code])</f>
        <v>SDA</v>
      </c>
      <c r="K1074" s="82" t="s">
        <v>1376</v>
      </c>
      <c r="L1074" s="81">
        <v>1</v>
      </c>
      <c r="M1074" s="85">
        <v>499</v>
      </c>
      <c r="N1074" s="85">
        <f>IFERROR(表格1[[#This Row],[QTY]]*表格1[[#This Row],[Unit Price]],"-")</f>
        <v>499</v>
      </c>
      <c r="O1074" s="134">
        <v>815057</v>
      </c>
      <c r="P1074" s="81"/>
      <c r="Q1074" s="81"/>
      <c r="R1074" s="81" t="str">
        <f>_xlfn.CONCAT(表格1[[#This Row],[Model]]," ",表格1[[#This Row],[inv no]])</f>
        <v>RC-10DRNH 815057</v>
      </c>
      <c r="S1074" s="135">
        <f>_xlfn.XLOOKUP(表格1[[#This Row],[Model]],表格3[Model-Input-Ref2],表格3[SRP PRICE])</f>
        <v>798</v>
      </c>
      <c r="T1074" s="43">
        <f>表格1[[#This Row],[Unit Price]]/表格1[[#This Row],[SRP]]</f>
        <v>0.62531328320802004</v>
      </c>
      <c r="U1074" s="86" t="str">
        <f>_xlfn.XLOOKUP(表格1[[#This Row],[Model]],表格3[Model-Input-Ref2],表格3[TOSHIBA/HIGHEST])</f>
        <v>Toshiba SRP</v>
      </c>
      <c r="V1074" s="86" t="s">
        <v>1126</v>
      </c>
      <c r="W1074" s="86" t="str">
        <f>_xlfn.CONCAT(表格1[[#This Row],[欄4]],表格1[[#This Row],[inv no]])</f>
        <v>DA141815057</v>
      </c>
    </row>
    <row r="1075" spans="1:23" hidden="1">
      <c r="A1075" s="81">
        <v>1073</v>
      </c>
      <c r="B1075" s="81" t="s">
        <v>1477</v>
      </c>
      <c r="C1075" s="81" t="s">
        <v>1478</v>
      </c>
      <c r="D1075" s="82" t="str">
        <f ca="1">OFFSET(Roster!$A$3,MATCH(表格1[[#This Row],[Location]]&amp;" "&amp;表格1[[#This Row],[Shop]]&amp;"*",Roster!$A$4:$A$72,0),DAY(表格1[[#This Row],[date]]),1,1)</f>
        <v>Vicky L off</v>
      </c>
      <c r="E1075" s="81">
        <f>MONTH(表格1[[#This Row],[date]])</f>
        <v>3</v>
      </c>
      <c r="F1075" s="101">
        <v>46093</v>
      </c>
      <c r="G1075" s="81" t="str">
        <f>VLOOKUP("*"&amp;表格1[[#This Row],[Input]]&amp;"*",'Ref-List'!$B:$D,2,)</f>
        <v>RC-10DRNH</v>
      </c>
      <c r="H1075" s="81" t="str">
        <f>_xlfn.XLOOKUP(表格1[[#This Row],[Model]],表格3[Model-Input-Ref2],表格3[Product Line])</f>
        <v>多功能備長炭本厚釜電飯煲1L</v>
      </c>
      <c r="I1075" s="81" t="str">
        <f>_xlfn.XLOOKUP(表格1[[#This Row],[Model]],表格3[Model-Input-Ref2],表格3[大小電])</f>
        <v>細電</v>
      </c>
      <c r="J1075" s="81" t="str">
        <f>_xlfn.XLOOKUP(表格1[[#This Row],[Model]],表格3[Model-Input-Ref2],表格3[Code])</f>
        <v>SDA</v>
      </c>
      <c r="K1075" s="82" t="s">
        <v>1376</v>
      </c>
      <c r="L1075" s="81">
        <v>1</v>
      </c>
      <c r="M1075" s="85">
        <v>499</v>
      </c>
      <c r="N1075" s="85">
        <f>IFERROR(表格1[[#This Row],[QTY]]*表格1[[#This Row],[Unit Price]],"-")</f>
        <v>499</v>
      </c>
      <c r="O1075" s="134">
        <v>815579</v>
      </c>
      <c r="P1075" s="81"/>
      <c r="Q1075" s="81"/>
      <c r="R1075" s="81" t="str">
        <f>_xlfn.CONCAT(表格1[[#This Row],[Model]]," ",表格1[[#This Row],[inv no]])</f>
        <v>RC-10DRNH 815579</v>
      </c>
      <c r="S1075" s="135">
        <f>_xlfn.XLOOKUP(表格1[[#This Row],[Model]],表格3[Model-Input-Ref2],表格3[SRP PRICE])</f>
        <v>798</v>
      </c>
      <c r="T1075" s="43">
        <f>表格1[[#This Row],[Unit Price]]/表格1[[#This Row],[SRP]]</f>
        <v>0.62531328320802004</v>
      </c>
      <c r="U1075" s="86" t="str">
        <f>_xlfn.XLOOKUP(表格1[[#This Row],[Model]],表格3[Model-Input-Ref2],表格3[TOSHIBA/HIGHEST])</f>
        <v>Toshiba SRP</v>
      </c>
      <c r="V1075" s="86" t="s">
        <v>1126</v>
      </c>
      <c r="W1075" s="86" t="str">
        <f>_xlfn.CONCAT(表格1[[#This Row],[欄4]],表格1[[#This Row],[inv no]])</f>
        <v>DA141815579</v>
      </c>
    </row>
    <row r="1076" spans="1:23" hidden="1">
      <c r="A1076" s="81">
        <v>1074</v>
      </c>
      <c r="B1076" s="81" t="s">
        <v>1477</v>
      </c>
      <c r="C1076" s="81" t="s">
        <v>1478</v>
      </c>
      <c r="D1076" s="82" t="str">
        <f ca="1">OFFSET(Roster!$A$3,MATCH(表格1[[#This Row],[Location]]&amp;" "&amp;表格1[[#This Row],[Shop]]&amp;"*",Roster!$A$4:$A$72,0),DAY(表格1[[#This Row],[date]]),1,1)</f>
        <v>Vicky L</v>
      </c>
      <c r="E1076" s="81">
        <f>MONTH(表格1[[#This Row],[date]])</f>
        <v>3</v>
      </c>
      <c r="F1076" s="101">
        <v>46082</v>
      </c>
      <c r="G1076" s="81" t="str">
        <f>VLOOKUP("*"&amp;表格1[[#This Row],[Input]]&amp;"*",'Ref-List'!$B:$D,2,)</f>
        <v>RC-18DRNH</v>
      </c>
      <c r="H1076" s="81" t="str">
        <f>_xlfn.XLOOKUP(表格1[[#This Row],[Model]],表格3[Model-Input-Ref2],表格3[Product Line])</f>
        <v>多功能備長炭本厚釜電飯煲1.8L</v>
      </c>
      <c r="I1076" s="81" t="str">
        <f>_xlfn.XLOOKUP(表格1[[#This Row],[Model]],表格3[Model-Input-Ref2],表格3[大小電])</f>
        <v>細電</v>
      </c>
      <c r="J1076" s="81" t="str">
        <f>_xlfn.XLOOKUP(表格1[[#This Row],[Model]],表格3[Model-Input-Ref2],表格3[Code])</f>
        <v>SDA</v>
      </c>
      <c r="K1076" s="82" t="s">
        <v>1389</v>
      </c>
      <c r="L1076" s="81">
        <v>1</v>
      </c>
      <c r="M1076" s="85">
        <v>619</v>
      </c>
      <c r="N1076" s="85">
        <f>IFERROR(表格1[[#This Row],[QTY]]*表格1[[#This Row],[Unit Price]],"-")</f>
        <v>619</v>
      </c>
      <c r="O1076" s="134">
        <v>814549</v>
      </c>
      <c r="P1076" s="81"/>
      <c r="Q1076" s="81"/>
      <c r="R1076" s="81" t="str">
        <f>_xlfn.CONCAT(表格1[[#This Row],[Model]]," ",表格1[[#This Row],[inv no]])</f>
        <v>RC-18DRNH 814549</v>
      </c>
      <c r="S1076" s="135">
        <f>_xlfn.XLOOKUP(表格1[[#This Row],[Model]],表格3[Model-Input-Ref2],表格3[SRP PRICE])</f>
        <v>898</v>
      </c>
      <c r="T1076" s="43">
        <f>表格1[[#This Row],[Unit Price]]/表格1[[#This Row],[SRP]]</f>
        <v>0.68930957683741645</v>
      </c>
      <c r="U1076" s="86" t="str">
        <f>_xlfn.XLOOKUP(表格1[[#This Row],[Model]],表格3[Model-Input-Ref2],表格3[TOSHIBA/HIGHEST])</f>
        <v>Toshiba SRP</v>
      </c>
      <c r="V1076" s="86" t="s">
        <v>1126</v>
      </c>
      <c r="W1076" s="86" t="str">
        <f>_xlfn.CONCAT(表格1[[#This Row],[欄4]],表格1[[#This Row],[inv no]])</f>
        <v>DA141814549</v>
      </c>
    </row>
    <row r="1077" spans="1:23" hidden="1">
      <c r="A1077" s="81">
        <v>1075</v>
      </c>
      <c r="B1077" s="81" t="s">
        <v>1477</v>
      </c>
      <c r="C1077" s="81" t="s">
        <v>1478</v>
      </c>
      <c r="D1077" s="82" t="str">
        <f ca="1">OFFSET(Roster!$A$3,MATCH(表格1[[#This Row],[Location]]&amp;" "&amp;表格1[[#This Row],[Shop]]&amp;"*",Roster!$A$4:$A$72,0),DAY(表格1[[#This Row],[date]]),1,1)</f>
        <v>Vicky L off</v>
      </c>
      <c r="E1077" s="81">
        <f>MONTH(表格1[[#This Row],[date]])</f>
        <v>3</v>
      </c>
      <c r="F1077" s="101">
        <v>46091</v>
      </c>
      <c r="G1077" s="81" t="str">
        <f>VLOOKUP("*"&amp;表格1[[#This Row],[Input]]&amp;"*",'Ref-List'!$B:$D,2,)</f>
        <v>RC-18DRNH</v>
      </c>
      <c r="H1077" s="81" t="str">
        <f>_xlfn.XLOOKUP(表格1[[#This Row],[Model]],表格3[Model-Input-Ref2],表格3[Product Line])</f>
        <v>多功能備長炭本厚釜電飯煲1.8L</v>
      </c>
      <c r="I1077" s="81" t="str">
        <f>_xlfn.XLOOKUP(表格1[[#This Row],[Model]],表格3[Model-Input-Ref2],表格3[大小電])</f>
        <v>細電</v>
      </c>
      <c r="J1077" s="81" t="str">
        <f>_xlfn.XLOOKUP(表格1[[#This Row],[Model]],表格3[Model-Input-Ref2],表格3[Code])</f>
        <v>SDA</v>
      </c>
      <c r="K1077" s="82" t="s">
        <v>1389</v>
      </c>
      <c r="L1077" s="81">
        <v>1</v>
      </c>
      <c r="M1077" s="85">
        <v>619</v>
      </c>
      <c r="N1077" s="85">
        <f>IFERROR(表格1[[#This Row],[QTY]]*表格1[[#This Row],[Unit Price]],"-")</f>
        <v>619</v>
      </c>
      <c r="O1077" s="134">
        <v>815437</v>
      </c>
      <c r="P1077" s="81"/>
      <c r="Q1077" s="81"/>
      <c r="R1077" s="81" t="str">
        <f>_xlfn.CONCAT(表格1[[#This Row],[Model]]," ",表格1[[#This Row],[inv no]])</f>
        <v>RC-18DRNH 815437</v>
      </c>
      <c r="S1077" s="135">
        <f>_xlfn.XLOOKUP(表格1[[#This Row],[Model]],表格3[Model-Input-Ref2],表格3[SRP PRICE])</f>
        <v>898</v>
      </c>
      <c r="T1077" s="43">
        <f>表格1[[#This Row],[Unit Price]]/表格1[[#This Row],[SRP]]</f>
        <v>0.68930957683741645</v>
      </c>
      <c r="U1077" s="86" t="str">
        <f>_xlfn.XLOOKUP(表格1[[#This Row],[Model]],表格3[Model-Input-Ref2],表格3[TOSHIBA/HIGHEST])</f>
        <v>Toshiba SRP</v>
      </c>
      <c r="V1077" s="86" t="s">
        <v>1126</v>
      </c>
      <c r="W1077" s="86" t="str">
        <f>_xlfn.CONCAT(表格1[[#This Row],[欄4]],表格1[[#This Row],[inv no]])</f>
        <v>DA141815437</v>
      </c>
    </row>
    <row r="1078" spans="1:23" hidden="1">
      <c r="A1078" s="81">
        <v>1076</v>
      </c>
      <c r="B1078" s="81" t="s">
        <v>1477</v>
      </c>
      <c r="C1078" s="81" t="s">
        <v>1478</v>
      </c>
      <c r="D1078" s="82" t="str">
        <f ca="1">OFFSET(Roster!$A$3,MATCH(表格1[[#This Row],[Location]]&amp;" "&amp;表格1[[#This Row],[Shop]]&amp;"*",Roster!$A$4:$A$72,0),DAY(表格1[[#This Row],[date]]),1,1)</f>
        <v>Vicky L</v>
      </c>
      <c r="E1078" s="81">
        <f>MONTH(表格1[[#This Row],[date]])</f>
        <v>3</v>
      </c>
      <c r="F1078" s="101">
        <v>46094</v>
      </c>
      <c r="G1078" s="81" t="str">
        <f>VLOOKUP("*"&amp;表格1[[#This Row],[Input]]&amp;"*",'Ref-List'!$B:$D,2,)</f>
        <v>RC-DR10T(W)</v>
      </c>
      <c r="H1078" s="81" t="str">
        <f>_xlfn.XLOOKUP(表格1[[#This Row],[Model]],表格3[Model-Input-Ref2],表格3[Product Line])</f>
        <v>IH磁應電飯煲</v>
      </c>
      <c r="I1078" s="81" t="str">
        <f>_xlfn.XLOOKUP(表格1[[#This Row],[Model]],表格3[Model-Input-Ref2],表格3[大小電])</f>
        <v>細電</v>
      </c>
      <c r="J1078" s="81" t="str">
        <f>_xlfn.XLOOKUP(表格1[[#This Row],[Model]],表格3[Model-Input-Ref2],表格3[Code])</f>
        <v>SDA</v>
      </c>
      <c r="K1078" s="82" t="s">
        <v>1294</v>
      </c>
      <c r="L1078" s="81">
        <v>1</v>
      </c>
      <c r="M1078" s="85">
        <v>2380</v>
      </c>
      <c r="N1078" s="85">
        <f>IFERROR(表格1[[#This Row],[QTY]]*表格1[[#This Row],[Unit Price]],"-")</f>
        <v>2380</v>
      </c>
      <c r="O1078" s="134">
        <v>815670</v>
      </c>
      <c r="P1078" s="81"/>
      <c r="Q1078" s="81"/>
      <c r="R1078" s="81" t="str">
        <f>_xlfn.CONCAT(表格1[[#This Row],[Model]]," ",表格1[[#This Row],[inv no]])</f>
        <v>RC-DR10T(W) 815670</v>
      </c>
      <c r="S1078" s="135">
        <f>_xlfn.XLOOKUP(表格1[[#This Row],[Model]],表格3[Model-Input-Ref2],表格3[SRP PRICE])</f>
        <v>3188</v>
      </c>
      <c r="T1078" s="43">
        <f>表格1[[#This Row],[Unit Price]]/表格1[[#This Row],[SRP]]</f>
        <v>0.74654956085319946</v>
      </c>
      <c r="U1078" s="86" t="str">
        <f>_xlfn.XLOOKUP(表格1[[#This Row],[Model]],表格3[Model-Input-Ref2],表格3[TOSHIBA/HIGHEST])</f>
        <v>Toshiba SRP</v>
      </c>
      <c r="V1078" s="86" t="s">
        <v>1126</v>
      </c>
      <c r="W1078" s="86" t="str">
        <f>_xlfn.CONCAT(表格1[[#This Row],[欄4]],表格1[[#This Row],[inv no]])</f>
        <v>DA141815670</v>
      </c>
    </row>
    <row r="1079" spans="1:23" hidden="1">
      <c r="A1079" s="81">
        <v>1077</v>
      </c>
      <c r="B1079" s="81" t="s">
        <v>1477</v>
      </c>
      <c r="C1079" s="81" t="s">
        <v>1478</v>
      </c>
      <c r="D1079" s="82" t="str">
        <f ca="1">OFFSET(Roster!$A$3,MATCH(表格1[[#This Row],[Location]]&amp;" "&amp;表格1[[#This Row],[Shop]]&amp;"*",Roster!$A$4:$A$72,0),DAY(表格1[[#This Row],[date]]),1,1)</f>
        <v>Vicky L</v>
      </c>
      <c r="E1079" s="81">
        <f>MONTH(表格1[[#This Row],[date]])</f>
        <v>3</v>
      </c>
      <c r="F1079" s="101">
        <v>46095</v>
      </c>
      <c r="G1079" s="81" t="str">
        <f>VLOOKUP("*"&amp;表格1[[#This Row],[Input]]&amp;"*",'Ref-List'!$B:$D,2,)</f>
        <v>GR-RB221WE-PMA(57)</v>
      </c>
      <c r="H1079" s="81" t="str">
        <f>_xlfn.XLOOKUP(表格1[[#This Row],[Model]],表格3[Model-Input-Ref2],表格3[Product Line])</f>
        <v>變頻下置式雙門雪櫃（163L）</v>
      </c>
      <c r="I1079" s="81" t="str">
        <f>_xlfn.XLOOKUP(表格1[[#This Row],[Model]],表格3[Model-Input-Ref2],表格3[大小電])</f>
        <v>大電</v>
      </c>
      <c r="J1079" s="81" t="str">
        <f>_xlfn.XLOOKUP(表格1[[#This Row],[Model]],表格3[Model-Input-Ref2],表格3[Code])</f>
        <v>REF</v>
      </c>
      <c r="K1079" s="82" t="s">
        <v>1386</v>
      </c>
      <c r="L1079" s="81">
        <v>1</v>
      </c>
      <c r="M1079" s="85">
        <v>1655</v>
      </c>
      <c r="N1079" s="85">
        <f>IFERROR(表格1[[#This Row],[QTY]]*表格1[[#This Row],[Unit Price]],"-")</f>
        <v>1655</v>
      </c>
      <c r="O1079" s="134">
        <v>815761</v>
      </c>
      <c r="P1079" s="81"/>
      <c r="Q1079" s="81"/>
      <c r="R1079" s="81" t="str">
        <f>_xlfn.CONCAT(表格1[[#This Row],[Model]]," ",表格1[[#This Row],[inv no]])</f>
        <v>GR-RB221WE-PMA(57) 815761</v>
      </c>
      <c r="S1079" s="135">
        <f>_xlfn.XLOOKUP(表格1[[#This Row],[Model]],表格3[Model-Input-Ref2],表格3[SRP PRICE])</f>
        <v>3480</v>
      </c>
      <c r="T1079" s="43">
        <f>表格1[[#This Row],[Unit Price]]/表格1[[#This Row],[SRP]]</f>
        <v>0.47557471264367818</v>
      </c>
      <c r="U1079" s="86" t="str">
        <f>_xlfn.XLOOKUP(表格1[[#This Row],[Model]],表格3[Model-Input-Ref2],表格3[TOSHIBA/HIGHEST])</f>
        <v>Toshiba SRP</v>
      </c>
      <c r="V1079" s="86" t="s">
        <v>1126</v>
      </c>
      <c r="W1079" s="86" t="str">
        <f>_xlfn.CONCAT(表格1[[#This Row],[欄4]],表格1[[#This Row],[inv no]])</f>
        <v>DA141815761</v>
      </c>
    </row>
    <row r="1080" spans="1:23" hidden="1">
      <c r="A1080" s="81">
        <v>1078</v>
      </c>
      <c r="B1080" s="81" t="s">
        <v>1477</v>
      </c>
      <c r="C1080" s="81" t="s">
        <v>1478</v>
      </c>
      <c r="D1080" s="82" t="str">
        <f ca="1">OFFSET(Roster!$A$3,MATCH(表格1[[#This Row],[Location]]&amp;" "&amp;表格1[[#This Row],[Shop]]&amp;"*",Roster!$A$4:$A$72,0),DAY(表格1[[#This Row],[date]]),1,1)</f>
        <v>Vicky L</v>
      </c>
      <c r="E1080" s="81">
        <f>MONTH(表格1[[#This Row],[date]])</f>
        <v>3</v>
      </c>
      <c r="F1080" s="101">
        <v>46095</v>
      </c>
      <c r="G1080" s="81" t="str">
        <f>VLOOKUP("*"&amp;表格1[[#This Row],[Input]]&amp;"*",'Ref-List'!$B:$D,2,)</f>
        <v>GR-RB221WE-PMA(57)</v>
      </c>
      <c r="H1080" s="81" t="str">
        <f>_xlfn.XLOOKUP(表格1[[#This Row],[Model]],表格3[Model-Input-Ref2],表格3[Product Line])</f>
        <v>變頻下置式雙門雪櫃（163L）</v>
      </c>
      <c r="I1080" s="81" t="str">
        <f>_xlfn.XLOOKUP(表格1[[#This Row],[Model]],表格3[Model-Input-Ref2],表格3[大小電])</f>
        <v>大電</v>
      </c>
      <c r="J1080" s="81" t="str">
        <f>_xlfn.XLOOKUP(表格1[[#This Row],[Model]],表格3[Model-Input-Ref2],表格3[Code])</f>
        <v>REF</v>
      </c>
      <c r="K1080" s="82" t="s">
        <v>1386</v>
      </c>
      <c r="L1080" s="81">
        <v>1</v>
      </c>
      <c r="M1080" s="85">
        <v>1888</v>
      </c>
      <c r="N1080" s="85">
        <f>IFERROR(表格1[[#This Row],[QTY]]*表格1[[#This Row],[Unit Price]],"-")</f>
        <v>1888</v>
      </c>
      <c r="O1080" s="134">
        <v>815777</v>
      </c>
      <c r="P1080" s="81"/>
      <c r="Q1080" s="81"/>
      <c r="R1080" s="81" t="str">
        <f>_xlfn.CONCAT(表格1[[#This Row],[Model]]," ",表格1[[#This Row],[inv no]])</f>
        <v>GR-RB221WE-PMA(57) 815777</v>
      </c>
      <c r="S1080" s="135">
        <f>_xlfn.XLOOKUP(表格1[[#This Row],[Model]],表格3[Model-Input-Ref2],表格3[SRP PRICE])</f>
        <v>3480</v>
      </c>
      <c r="T1080" s="43">
        <f>表格1[[#This Row],[Unit Price]]/表格1[[#This Row],[SRP]]</f>
        <v>0.54252873563218396</v>
      </c>
      <c r="U1080" s="86" t="str">
        <f>_xlfn.XLOOKUP(表格1[[#This Row],[Model]],表格3[Model-Input-Ref2],表格3[TOSHIBA/HIGHEST])</f>
        <v>Toshiba SRP</v>
      </c>
      <c r="V1080" s="86" t="s">
        <v>1126</v>
      </c>
      <c r="W1080" s="86" t="str">
        <f>_xlfn.CONCAT(表格1[[#This Row],[欄4]],表格1[[#This Row],[inv no]])</f>
        <v>DA141815777</v>
      </c>
    </row>
    <row r="1081" spans="1:23" hidden="1">
      <c r="A1081" s="81">
        <v>1079</v>
      </c>
      <c r="B1081" s="81" t="s">
        <v>1477</v>
      </c>
      <c r="C1081" s="81" t="s">
        <v>1478</v>
      </c>
      <c r="D1081" s="82" t="str">
        <f ca="1">OFFSET(Roster!$A$3,MATCH(表格1[[#This Row],[Location]]&amp;" "&amp;表格1[[#This Row],[Shop]]&amp;"*",Roster!$A$4:$A$72,0),DAY(表格1[[#This Row],[date]]),1,1)</f>
        <v>Vicky L</v>
      </c>
      <c r="E1081" s="81">
        <f>MONTH(表格1[[#This Row],[date]])</f>
        <v>3</v>
      </c>
      <c r="F1081" s="101">
        <v>46095</v>
      </c>
      <c r="G1081" s="81" t="str">
        <f>VLOOKUP("*"&amp;表格1[[#This Row],[Input]]&amp;"*",'Ref-List'!$B:$D,2,)</f>
        <v>TWD-T22BU95UWH(WK)-B</v>
      </c>
      <c r="H1081" s="81" t="str">
        <f>_xlfn.XLOOKUP(表格1[[#This Row],[Model]],表格3[Model-Input-Ref2],表格3[Product Line])</f>
        <v>470MM超薄身前置式變頻洗衣乾衣機 (洗8.5公斤/乾6公斤, 可飛頂)</v>
      </c>
      <c r="I1081" s="81" t="str">
        <f>_xlfn.XLOOKUP(表格1[[#This Row],[Model]],表格3[Model-Input-Ref2],表格3[大小電])</f>
        <v>大電</v>
      </c>
      <c r="J1081" s="81" t="str">
        <f>_xlfn.XLOOKUP(表格1[[#This Row],[Model]],表格3[Model-Input-Ref2],表格3[Code])</f>
        <v>LAD</v>
      </c>
      <c r="K1081" s="82" t="s">
        <v>1421</v>
      </c>
      <c r="L1081" s="81">
        <v>1</v>
      </c>
      <c r="M1081" s="85">
        <v>4209</v>
      </c>
      <c r="N1081" s="85">
        <f>IFERROR(表格1[[#This Row],[QTY]]*表格1[[#This Row],[Unit Price]],"-")</f>
        <v>4209</v>
      </c>
      <c r="O1081" s="134">
        <v>815761</v>
      </c>
      <c r="P1081" s="81"/>
      <c r="Q1081" s="81"/>
      <c r="R1081" s="81" t="str">
        <f>_xlfn.CONCAT(表格1[[#This Row],[Model]]," ",表格1[[#This Row],[inv no]])</f>
        <v>TWD-T22BU95UWH(WK)-B 815761</v>
      </c>
      <c r="S1081" s="135">
        <f>_xlfn.XLOOKUP(表格1[[#This Row],[Model]],表格3[Model-Input-Ref2],表格3[SRP PRICE])</f>
        <v>7480</v>
      </c>
      <c r="T1081" s="43">
        <f>表格1[[#This Row],[Unit Price]]/表格1[[#This Row],[SRP]]</f>
        <v>0.56270053475935833</v>
      </c>
      <c r="U1081" s="86" t="str">
        <f>_xlfn.XLOOKUP(表格1[[#This Row],[Model]],表格3[Model-Input-Ref2],表格3[TOSHIBA/HIGHEST])</f>
        <v>Toshiba SRP</v>
      </c>
      <c r="V1081" s="86" t="s">
        <v>1126</v>
      </c>
      <c r="W1081" s="86" t="str">
        <f>_xlfn.CONCAT(表格1[[#This Row],[欄4]],表格1[[#This Row],[inv no]])</f>
        <v>DA141815761</v>
      </c>
    </row>
    <row r="1082" spans="1:23" hidden="1">
      <c r="A1082" s="81">
        <v>1080</v>
      </c>
      <c r="B1082" s="81" t="s">
        <v>1477</v>
      </c>
      <c r="C1082" s="81" t="s">
        <v>1478</v>
      </c>
      <c r="D1082" s="82" t="str">
        <f ca="1">OFFSET(Roster!$A$3,MATCH(表格1[[#This Row],[Location]]&amp;" "&amp;表格1[[#This Row],[Shop]]&amp;"*",Roster!$A$4:$A$72,0),DAY(表格1[[#This Row],[date]]),1,1)</f>
        <v>Vicky L</v>
      </c>
      <c r="E1082" s="81">
        <f>MONTH(表格1[[#This Row],[date]])</f>
        <v>3</v>
      </c>
      <c r="F1082" s="101">
        <v>46096</v>
      </c>
      <c r="G1082" s="81" t="str">
        <f>VLOOKUP("*"&amp;表格1[[#This Row],[Input]]&amp;"*",'Ref-List'!$B:$D,2,)</f>
        <v>AW-Q901BPH(WW)</v>
      </c>
      <c r="H1082" s="81" t="str">
        <f>_xlfn.XLOOKUP(表格1[[#This Row],[Model]],表格3[Model-Input-Ref2],表格3[Product Line])</f>
        <v>日式洗衣機 (8公斤 結合高低水位)</v>
      </c>
      <c r="I1082" s="81" t="str">
        <f>_xlfn.XLOOKUP(表格1[[#This Row],[Model]],表格3[Model-Input-Ref2],表格3[大小電])</f>
        <v>大電</v>
      </c>
      <c r="J1082" s="81" t="str">
        <f>_xlfn.XLOOKUP(表格1[[#This Row],[Model]],表格3[Model-Input-Ref2],表格3[Code])</f>
        <v>LAD</v>
      </c>
      <c r="K1082" s="82" t="s">
        <v>1411</v>
      </c>
      <c r="L1082" s="81">
        <v>1</v>
      </c>
      <c r="M1082" s="85">
        <v>2280</v>
      </c>
      <c r="N1082" s="85">
        <f>IFERROR(表格1[[#This Row],[QTY]]*表格1[[#This Row],[Unit Price]],"-")</f>
        <v>2280</v>
      </c>
      <c r="O1082" s="134">
        <v>815910</v>
      </c>
      <c r="P1082" s="81"/>
      <c r="Q1082" s="81"/>
      <c r="R1082" s="81" t="str">
        <f>_xlfn.CONCAT(表格1[[#This Row],[Model]]," ",表格1[[#This Row],[inv no]])</f>
        <v>AW-Q901BPH(WW) 815910</v>
      </c>
      <c r="S1082" s="135">
        <f>_xlfn.XLOOKUP(表格1[[#This Row],[Model]],表格3[Model-Input-Ref2],表格3[SRP PRICE])</f>
        <v>3780</v>
      </c>
      <c r="T1082" s="43">
        <f>表格1[[#This Row],[Unit Price]]/表格1[[#This Row],[SRP]]</f>
        <v>0.60317460317460314</v>
      </c>
      <c r="U1082" s="86" t="str">
        <f>_xlfn.XLOOKUP(表格1[[#This Row],[Model]],表格3[Model-Input-Ref2],表格3[TOSHIBA/HIGHEST])</f>
        <v>Toshiba SRP</v>
      </c>
      <c r="V1082" s="86" t="s">
        <v>1126</v>
      </c>
      <c r="W1082" s="86" t="str">
        <f>_xlfn.CONCAT(表格1[[#This Row],[欄4]],表格1[[#This Row],[inv no]])</f>
        <v>DA141815910</v>
      </c>
    </row>
    <row r="1083" spans="1:23" hidden="1">
      <c r="A1083" s="81">
        <v>1081</v>
      </c>
      <c r="B1083" s="81" t="s">
        <v>1477</v>
      </c>
      <c r="C1083" s="81" t="s">
        <v>1478</v>
      </c>
      <c r="D1083" s="82" t="str">
        <f ca="1">OFFSET(Roster!$A$3,MATCH(表格1[[#This Row],[Location]]&amp;" "&amp;表格1[[#This Row],[Shop]]&amp;"*",Roster!$A$4:$A$72,0),DAY(表格1[[#This Row],[date]]),1,1)</f>
        <v>Vicky L</v>
      </c>
      <c r="E1083" s="81">
        <f>MONTH(表格1[[#This Row],[date]])</f>
        <v>3</v>
      </c>
      <c r="F1083" s="101">
        <v>46096</v>
      </c>
      <c r="G1083" s="81" t="str">
        <f>VLOOKUP("*"&amp;表格1[[#This Row],[Input]]&amp;"*",'Ref-List'!$B:$D,2,)</f>
        <v>AW-Q901BPH(WW)</v>
      </c>
      <c r="H1083" s="81" t="str">
        <f>_xlfn.XLOOKUP(表格1[[#This Row],[Model]],表格3[Model-Input-Ref2],表格3[Product Line])</f>
        <v>日式洗衣機 (8公斤 結合高低水位)</v>
      </c>
      <c r="I1083" s="81" t="str">
        <f>_xlfn.XLOOKUP(表格1[[#This Row],[Model]],表格3[Model-Input-Ref2],表格3[大小電])</f>
        <v>大電</v>
      </c>
      <c r="J1083" s="81" t="str">
        <f>_xlfn.XLOOKUP(表格1[[#This Row],[Model]],表格3[Model-Input-Ref2],表格3[Code])</f>
        <v>LAD</v>
      </c>
      <c r="K1083" s="82" t="s">
        <v>1411</v>
      </c>
      <c r="L1083" s="81">
        <v>1</v>
      </c>
      <c r="M1083" s="85">
        <v>2280</v>
      </c>
      <c r="N1083" s="85">
        <f>IFERROR(表格1[[#This Row],[QTY]]*表格1[[#This Row],[Unit Price]],"-")</f>
        <v>2280</v>
      </c>
      <c r="O1083" s="134">
        <v>815878</v>
      </c>
      <c r="P1083" s="81"/>
      <c r="Q1083" s="81"/>
      <c r="R1083" s="81" t="str">
        <f>_xlfn.CONCAT(表格1[[#This Row],[Model]]," ",表格1[[#This Row],[inv no]])</f>
        <v>AW-Q901BPH(WW) 815878</v>
      </c>
      <c r="S1083" s="135">
        <f>_xlfn.XLOOKUP(表格1[[#This Row],[Model]],表格3[Model-Input-Ref2],表格3[SRP PRICE])</f>
        <v>3780</v>
      </c>
      <c r="T1083" s="43">
        <f>表格1[[#This Row],[Unit Price]]/表格1[[#This Row],[SRP]]</f>
        <v>0.60317460317460314</v>
      </c>
      <c r="U1083" s="86" t="str">
        <f>_xlfn.XLOOKUP(表格1[[#This Row],[Model]],表格3[Model-Input-Ref2],表格3[TOSHIBA/HIGHEST])</f>
        <v>Toshiba SRP</v>
      </c>
      <c r="V1083" s="86" t="s">
        <v>1126</v>
      </c>
      <c r="W1083" s="86" t="str">
        <f>_xlfn.CONCAT(表格1[[#This Row],[欄4]],表格1[[#This Row],[inv no]])</f>
        <v>DA141815878</v>
      </c>
    </row>
    <row r="1084" spans="1:23" hidden="1">
      <c r="A1084" s="81">
        <v>1082</v>
      </c>
      <c r="B1084" s="81" t="s">
        <v>1477</v>
      </c>
      <c r="C1084" s="81" t="s">
        <v>1478</v>
      </c>
      <c r="D1084" s="82" t="str">
        <f ca="1">OFFSET(Roster!$A$3,MATCH(表格1[[#This Row],[Location]]&amp;" "&amp;表格1[[#This Row],[Shop]]&amp;"*",Roster!$A$4:$A$72,0),DAY(表格1[[#This Row],[date]]),1,1)</f>
        <v>Vicky L</v>
      </c>
      <c r="E1084" s="81">
        <f>MONTH(表格1[[#This Row],[date]])</f>
        <v>3</v>
      </c>
      <c r="F1084" s="101">
        <v>46096</v>
      </c>
      <c r="G1084" s="81" t="str">
        <f>VLOOKUP("*"&amp;表格1[[#This Row],[Input]]&amp;"*",'Ref-List'!$B:$D,2,)</f>
        <v>MW3-MM25PC(BK)</v>
      </c>
      <c r="H1084" s="81" t="str">
        <f>_xlfn.XLOOKUP(表格1[[#This Row],[Model]],表格3[Model-Input-Ref2],表格3[Product Line])</f>
        <v>旋鈕式微波爐 (25公升)</v>
      </c>
      <c r="I1084" s="81" t="str">
        <f>_xlfn.XLOOKUP(表格1[[#This Row],[Model]],表格3[Model-Input-Ref2],表格3[大小電])</f>
        <v>細電</v>
      </c>
      <c r="J1084" s="81" t="str">
        <f>_xlfn.XLOOKUP(表格1[[#This Row],[Model]],表格3[Model-Input-Ref2],表格3[Code])</f>
        <v>MOA</v>
      </c>
      <c r="K1084" s="82" t="s">
        <v>1482</v>
      </c>
      <c r="L1084" s="81">
        <v>1</v>
      </c>
      <c r="M1084" s="85">
        <v>719</v>
      </c>
      <c r="N1084" s="85">
        <f>IFERROR(表格1[[#This Row],[QTY]]*表格1[[#This Row],[Unit Price]],"-")</f>
        <v>719</v>
      </c>
      <c r="O1084" s="134">
        <v>901486</v>
      </c>
      <c r="P1084" s="81"/>
      <c r="Q1084" s="81"/>
      <c r="R1084" s="81" t="str">
        <f>_xlfn.CONCAT(表格1[[#This Row],[Model]]," ",表格1[[#This Row],[inv no]])</f>
        <v>MW3-MM25PC(BK) 901486</v>
      </c>
      <c r="S1084" s="135">
        <f>_xlfn.XLOOKUP(表格1[[#This Row],[Model]],表格3[Model-Input-Ref2],表格3[SRP PRICE])</f>
        <v>998</v>
      </c>
      <c r="T1084" s="43">
        <f>表格1[[#This Row],[Unit Price]]/表格1[[#This Row],[SRP]]</f>
        <v>0.72044088176352705</v>
      </c>
      <c r="U1084" s="86" t="str">
        <f>_xlfn.XLOOKUP(表格1[[#This Row],[Model]],表格3[Model-Input-Ref2],表格3[TOSHIBA/HIGHEST])</f>
        <v>Toshiba SRP</v>
      </c>
      <c r="V1084" s="86" t="s">
        <v>1126</v>
      </c>
      <c r="W1084" s="86" t="str">
        <f>_xlfn.CONCAT(表格1[[#This Row],[欄4]],表格1[[#This Row],[inv no]])</f>
        <v>DA141901486</v>
      </c>
    </row>
    <row r="1085" spans="1:23" ht="16.5" hidden="1">
      <c r="A1085" s="81">
        <v>1083</v>
      </c>
      <c r="B1085" s="81" t="s">
        <v>1477</v>
      </c>
      <c r="C1085" s="81" t="s">
        <v>1478</v>
      </c>
      <c r="D1085" s="82" t="str">
        <f ca="1">OFFSET(Roster!$A$3,MATCH(表格1[[#This Row],[Location]]&amp;" "&amp;表格1[[#This Row],[Shop]]&amp;"*",Roster!$A$4:$A$72,0),DAY(表格1[[#This Row],[date]]),1,1)</f>
        <v>Vicky L</v>
      </c>
      <c r="E1085" s="81">
        <f>MONTH(表格1[[#This Row],[date]])</f>
        <v>3</v>
      </c>
      <c r="F1085" s="101">
        <v>46096</v>
      </c>
      <c r="G1085" s="81" t="str">
        <f>VLOOKUP("*"&amp;表格1[[#This Row],[Input]]&amp;"*",'Ref-List'!$B:$D,2,)</f>
        <v>TL-MC35Z</v>
      </c>
      <c r="H1085" s="81" t="str">
        <f>_xlfn.XLOOKUP(表格1[[#This Row],[Model]],表格3[Model-Input-Ref2],表格3[Product Line])</f>
        <v>35L多功能電焗爐</v>
      </c>
      <c r="I1085" s="81" t="str">
        <f>_xlfn.XLOOKUP(表格1[[#This Row],[Model]],表格3[Model-Input-Ref2],表格3[大小電])</f>
        <v>細電</v>
      </c>
      <c r="J1085" s="81" t="str">
        <f>_xlfn.XLOOKUP(表格1[[#This Row],[Model]],表格3[Model-Input-Ref2],表格3[Code])</f>
        <v>SDA</v>
      </c>
      <c r="K1085" s="82" t="s">
        <v>1295</v>
      </c>
      <c r="L1085" s="81">
        <v>1</v>
      </c>
      <c r="M1085" s="85">
        <v>888</v>
      </c>
      <c r="N1085" s="85">
        <f>IFERROR(表格1[[#This Row],[QTY]]*表格1[[#This Row],[Unit Price]],"-")</f>
        <v>888</v>
      </c>
      <c r="O1085" s="134">
        <v>815893</v>
      </c>
      <c r="P1085" s="137"/>
      <c r="Q1085" s="81"/>
      <c r="R1085" s="81" t="str">
        <f>_xlfn.CONCAT(表格1[[#This Row],[Model]]," ",表格1[[#This Row],[inv no]])</f>
        <v>TL-MC35Z 815893</v>
      </c>
      <c r="S1085" s="135">
        <f>_xlfn.XLOOKUP(表格1[[#This Row],[Model]],表格3[Model-Input-Ref2],表格3[SRP PRICE])</f>
        <v>1098</v>
      </c>
      <c r="T1085" s="43">
        <f>表格1[[#This Row],[Unit Price]]/表格1[[#This Row],[SRP]]</f>
        <v>0.80874316939890711</v>
      </c>
      <c r="U1085" s="86" t="str">
        <f>_xlfn.XLOOKUP(表格1[[#This Row],[Model]],表格3[Model-Input-Ref2],表格3[TOSHIBA/HIGHEST])</f>
        <v>Toshiba SRP</v>
      </c>
      <c r="V1085" s="86" t="s">
        <v>1126</v>
      </c>
      <c r="W1085" s="86" t="str">
        <f>_xlfn.CONCAT(表格1[[#This Row],[欄4]],表格1[[#This Row],[inv no]])</f>
        <v>DA141815893</v>
      </c>
    </row>
    <row r="1086" spans="1:23" hidden="1">
      <c r="A1086" s="81">
        <v>1084</v>
      </c>
      <c r="B1086" s="81" t="s">
        <v>1477</v>
      </c>
      <c r="C1086" s="81" t="s">
        <v>1478</v>
      </c>
      <c r="D1086" s="82" t="str">
        <f ca="1">OFFSET(Roster!$A$3,MATCH(表格1[[#This Row],[Location]]&amp;" "&amp;表格1[[#This Row],[Shop]]&amp;"*",Roster!$A$4:$A$72,0),DAY(表格1[[#This Row],[date]]),1,1)</f>
        <v>Vicky L</v>
      </c>
      <c r="E1086" s="81">
        <f>MONTH(表格1[[#This Row],[date]])</f>
        <v>3</v>
      </c>
      <c r="F1086" s="101">
        <v>46096</v>
      </c>
      <c r="G1086" s="81" t="str">
        <f>VLOOKUP("*"&amp;表格1[[#This Row],[Input]]&amp;"*",'Ref-List'!$B:$D,2,)</f>
        <v>TWD-T21BU95UWH(WW)</v>
      </c>
      <c r="H1086" s="81" t="str">
        <f>_xlfn.XLOOKUP(表格1[[#This Row],[Model]],表格3[Model-Input-Ref2],表格3[Product Line])</f>
        <v>470MM超薄身前置式變頻洗衣乾衣機 (洗8.5公斤 乾6公斤)</v>
      </c>
      <c r="I1086" s="81" t="str">
        <f>_xlfn.XLOOKUP(表格1[[#This Row],[Model]],表格3[Model-Input-Ref2],表格3[大小電])</f>
        <v>大電</v>
      </c>
      <c r="J1086" s="81" t="str">
        <f>_xlfn.XLOOKUP(表格1[[#This Row],[Model]],表格3[Model-Input-Ref2],表格3[Code])</f>
        <v>LAD</v>
      </c>
      <c r="K1086" s="82" t="s">
        <v>1461</v>
      </c>
      <c r="L1086" s="81">
        <v>1</v>
      </c>
      <c r="M1086" s="85">
        <v>3999</v>
      </c>
      <c r="N1086" s="85">
        <f>IFERROR(表格1[[#This Row],[QTY]]*表格1[[#This Row],[Unit Price]],"-")</f>
        <v>3999</v>
      </c>
      <c r="O1086" s="134">
        <v>815888</v>
      </c>
      <c r="P1086" s="81"/>
      <c r="Q1086" s="81"/>
      <c r="R1086" s="81" t="str">
        <f>_xlfn.CONCAT(表格1[[#This Row],[Model]]," ",表格1[[#This Row],[inv no]])</f>
        <v>TWD-T21BU95UWH(WW) 815888</v>
      </c>
      <c r="S1086" s="135">
        <f>_xlfn.XLOOKUP(表格1[[#This Row],[Model]],表格3[Model-Input-Ref2],表格3[SRP PRICE])</f>
        <v>7280</v>
      </c>
      <c r="T1086" s="43">
        <f>表格1[[#This Row],[Unit Price]]/表格1[[#This Row],[SRP]]</f>
        <v>0.54931318681318686</v>
      </c>
      <c r="U1086" s="86" t="str">
        <f>_xlfn.XLOOKUP(表格1[[#This Row],[Model]],表格3[Model-Input-Ref2],表格3[TOSHIBA/HIGHEST])</f>
        <v>Toshiba SRP</v>
      </c>
      <c r="V1086" s="86" t="s">
        <v>1126</v>
      </c>
      <c r="W1086" s="86" t="str">
        <f>_xlfn.CONCAT(表格1[[#This Row],[欄4]],表格1[[#This Row],[inv no]])</f>
        <v>DA141815888</v>
      </c>
    </row>
    <row r="1087" spans="1:23" hidden="1">
      <c r="A1087" s="81">
        <v>1085</v>
      </c>
      <c r="B1087" s="81" t="s">
        <v>1477</v>
      </c>
      <c r="C1087" s="81" t="s">
        <v>1478</v>
      </c>
      <c r="D1087" s="82" t="str">
        <f ca="1">OFFSET(Roster!$A$3,MATCH(表格1[[#This Row],[Location]]&amp;" "&amp;表格1[[#This Row],[Shop]]&amp;"*",Roster!$A$4:$A$72,0),DAY(表格1[[#This Row],[date]]),1,1)</f>
        <v>Vicky L</v>
      </c>
      <c r="E1087" s="81">
        <f>MONTH(表格1[[#This Row],[date]])</f>
        <v>3</v>
      </c>
      <c r="F1087" s="101">
        <v>46097</v>
      </c>
      <c r="G1087" s="81" t="str">
        <f>VLOOKUP("*"&amp;表格1[[#This Row],[Input]]&amp;"*",'Ref-List'!$B:$D,2,)</f>
        <v>GR-RT234WE-PMA(57)</v>
      </c>
      <c r="H1087" s="81" t="str">
        <f>_xlfn.XLOOKUP(表格1[[#This Row],[Model]],表格3[Model-Input-Ref2],表格3[Product Line])</f>
        <v>變頻式環保雙門雪櫃（179L）</v>
      </c>
      <c r="I1087" s="81" t="str">
        <f>_xlfn.XLOOKUP(表格1[[#This Row],[Model]],表格3[Model-Input-Ref2],表格3[大小電])</f>
        <v>大電</v>
      </c>
      <c r="J1087" s="81" t="str">
        <f>_xlfn.XLOOKUP(表格1[[#This Row],[Model]],表格3[Model-Input-Ref2],表格3[Code])</f>
        <v>REF</v>
      </c>
      <c r="K1087" s="82" t="s">
        <v>1423</v>
      </c>
      <c r="L1087" s="81">
        <v>1</v>
      </c>
      <c r="M1087" s="85">
        <v>1980</v>
      </c>
      <c r="N1087" s="85">
        <f>IFERROR(表格1[[#This Row],[QTY]]*表格1[[#This Row],[Unit Price]],"-")</f>
        <v>1980</v>
      </c>
      <c r="O1087" s="134">
        <v>815990</v>
      </c>
      <c r="P1087" s="81"/>
      <c r="Q1087" s="81"/>
      <c r="R1087" s="81" t="str">
        <f>_xlfn.CONCAT(表格1[[#This Row],[Model]]," ",表格1[[#This Row],[inv no]])</f>
        <v>GR-RT234WE-PMA(57) 815990</v>
      </c>
      <c r="S1087" s="135">
        <f>_xlfn.XLOOKUP(表格1[[#This Row],[Model]],表格3[Model-Input-Ref2],表格3[SRP PRICE])</f>
        <v>3680</v>
      </c>
      <c r="T1087" s="43">
        <f>表格1[[#This Row],[Unit Price]]/表格1[[#This Row],[SRP]]</f>
        <v>0.53804347826086951</v>
      </c>
      <c r="U1087" s="86" t="str">
        <f>_xlfn.XLOOKUP(表格1[[#This Row],[Model]],表格3[Model-Input-Ref2],表格3[TOSHIBA/HIGHEST])</f>
        <v>Toshiba SRP</v>
      </c>
      <c r="V1087" s="86" t="s">
        <v>1126</v>
      </c>
      <c r="W1087" s="86" t="str">
        <f>_xlfn.CONCAT(表格1[[#This Row],[欄4]],表格1[[#This Row],[inv no]])</f>
        <v>DA141815990</v>
      </c>
    </row>
    <row r="1088" spans="1:23" hidden="1">
      <c r="A1088" s="81">
        <v>1086</v>
      </c>
      <c r="B1088" s="81" t="s">
        <v>1477</v>
      </c>
      <c r="C1088" s="81" t="s">
        <v>1478</v>
      </c>
      <c r="D1088" s="82" t="str">
        <f ca="1">OFFSET(Roster!$A$3,MATCH(表格1[[#This Row],[Location]]&amp;" "&amp;表格1[[#This Row],[Shop]]&amp;"*",Roster!$A$4:$A$72,0),DAY(表格1[[#This Row],[date]]),1,1)</f>
        <v>Vicky L</v>
      </c>
      <c r="E1088" s="81">
        <f>MONTH(表格1[[#This Row],[date]])</f>
        <v>3</v>
      </c>
      <c r="F1088" s="101">
        <v>46097</v>
      </c>
      <c r="G1088" s="81" t="str">
        <f>VLOOKUP("*"&amp;表格1[[#This Row],[Input]]&amp;"*",'Ref-List'!$B:$D,2,)</f>
        <v>TWD-T21BU95UWH(WW)</v>
      </c>
      <c r="H1088" s="81" t="str">
        <f>_xlfn.XLOOKUP(表格1[[#This Row],[Model]],表格3[Model-Input-Ref2],表格3[Product Line])</f>
        <v>470MM超薄身前置式變頻洗衣乾衣機 (洗8.5公斤 乾6公斤)</v>
      </c>
      <c r="I1088" s="81" t="str">
        <f>_xlfn.XLOOKUP(表格1[[#This Row],[Model]],表格3[Model-Input-Ref2],表格3[大小電])</f>
        <v>大電</v>
      </c>
      <c r="J1088" s="81" t="str">
        <f>_xlfn.XLOOKUP(表格1[[#This Row],[Model]],表格3[Model-Input-Ref2],表格3[Code])</f>
        <v>LAD</v>
      </c>
      <c r="K1088" s="82" t="s">
        <v>1461</v>
      </c>
      <c r="L1088" s="81">
        <v>1</v>
      </c>
      <c r="M1088" s="85">
        <v>3682</v>
      </c>
      <c r="N1088" s="85">
        <f>IFERROR(表格1[[#This Row],[QTY]]*表格1[[#This Row],[Unit Price]],"-")</f>
        <v>3682</v>
      </c>
      <c r="O1088" s="134">
        <v>816004</v>
      </c>
      <c r="P1088" s="81"/>
      <c r="Q1088" s="81"/>
      <c r="R1088" s="81" t="str">
        <f>_xlfn.CONCAT(表格1[[#This Row],[Model]]," ",表格1[[#This Row],[inv no]])</f>
        <v>TWD-T21BU95UWH(WW) 816004</v>
      </c>
      <c r="S1088" s="135">
        <f>_xlfn.XLOOKUP(表格1[[#This Row],[Model]],表格3[Model-Input-Ref2],表格3[SRP PRICE])</f>
        <v>7280</v>
      </c>
      <c r="T1088" s="43">
        <f>表格1[[#This Row],[Unit Price]]/表格1[[#This Row],[SRP]]</f>
        <v>0.50576923076923075</v>
      </c>
      <c r="U1088" s="86" t="str">
        <f>_xlfn.XLOOKUP(表格1[[#This Row],[Model]],表格3[Model-Input-Ref2],表格3[TOSHIBA/HIGHEST])</f>
        <v>Toshiba SRP</v>
      </c>
      <c r="V1088" s="86" t="s">
        <v>1126</v>
      </c>
      <c r="W1088" s="86" t="str">
        <f>_xlfn.CONCAT(表格1[[#This Row],[欄4]],表格1[[#This Row],[inv no]])</f>
        <v>DA141816004</v>
      </c>
    </row>
    <row r="1089" spans="1:23" hidden="1">
      <c r="A1089" s="81">
        <v>1087</v>
      </c>
      <c r="B1089" s="81" t="s">
        <v>1477</v>
      </c>
      <c r="C1089" s="81" t="s">
        <v>1478</v>
      </c>
      <c r="D1089" s="82" t="str">
        <f ca="1">OFFSET(Roster!$A$3,MATCH(表格1[[#This Row],[Location]]&amp;" "&amp;表格1[[#This Row],[Shop]]&amp;"*",Roster!$A$4:$A$72,0),DAY(表格1[[#This Row],[date]]),1,1)</f>
        <v>Vicky L</v>
      </c>
      <c r="E1089" s="81">
        <f>MONTH(表格1[[#This Row],[date]])</f>
        <v>3</v>
      </c>
      <c r="F1089" s="101">
        <v>46097</v>
      </c>
      <c r="G1089" s="81" t="str">
        <f>VLOOKUP("*"&amp;表格1[[#This Row],[Input]]&amp;"*",'Ref-List'!$B:$D,2,)</f>
        <v>TW-T22BU95UWH(WK)-B</v>
      </c>
      <c r="H1089" s="81" t="str">
        <f>_xlfn.XLOOKUP(表格1[[#This Row],[Model]],表格3[Model-Input-Ref2],表格3[Product Line])</f>
        <v>470MM超薄身前置式變頻洗衣機(8.5公斤, 可飛頂)</v>
      </c>
      <c r="I1089" s="81" t="str">
        <f>_xlfn.XLOOKUP(表格1[[#This Row],[Model]],表格3[Model-Input-Ref2],表格3[大小電])</f>
        <v>大電</v>
      </c>
      <c r="J1089" s="81" t="str">
        <f>_xlfn.XLOOKUP(表格1[[#This Row],[Model]],表格3[Model-Input-Ref2],表格3[Code])</f>
        <v>LAD</v>
      </c>
      <c r="K1089" s="82" t="s">
        <v>969</v>
      </c>
      <c r="L1089" s="81">
        <v>1</v>
      </c>
      <c r="M1089" s="85">
        <v>3680</v>
      </c>
      <c r="N1089" s="85">
        <f>IFERROR(表格1[[#This Row],[QTY]]*表格1[[#This Row],[Unit Price]],"-")</f>
        <v>3680</v>
      </c>
      <c r="O1089" s="134">
        <v>815980</v>
      </c>
      <c r="P1089" s="81"/>
      <c r="Q1089" s="81"/>
      <c r="R1089" s="81" t="str">
        <f>_xlfn.CONCAT(表格1[[#This Row],[Model]]," ",表格1[[#This Row],[inv no]])</f>
        <v>TW-T22BU95UWH(WK)-B 815980</v>
      </c>
      <c r="S1089" s="135">
        <f>_xlfn.XLOOKUP(表格1[[#This Row],[Model]],表格3[Model-Input-Ref2],表格3[SRP PRICE])</f>
        <v>5880</v>
      </c>
      <c r="T1089" s="43">
        <f>表格1[[#This Row],[Unit Price]]/表格1[[#This Row],[SRP]]</f>
        <v>0.62585034013605445</v>
      </c>
      <c r="U1089" s="86" t="str">
        <f>_xlfn.XLOOKUP(表格1[[#This Row],[Model]],表格3[Model-Input-Ref2],表格3[TOSHIBA/HIGHEST])</f>
        <v>Toshiba SRP</v>
      </c>
      <c r="V1089" s="86" t="s">
        <v>1126</v>
      </c>
      <c r="W1089" s="86" t="str">
        <f>_xlfn.CONCAT(表格1[[#This Row],[欄4]],表格1[[#This Row],[inv no]])</f>
        <v>DA141815980</v>
      </c>
    </row>
    <row r="1090" spans="1:23" hidden="1">
      <c r="A1090" s="81">
        <v>1088</v>
      </c>
      <c r="B1090" s="81" t="s">
        <v>1477</v>
      </c>
      <c r="C1090" s="81" t="s">
        <v>1478</v>
      </c>
      <c r="D1090" s="82" t="str">
        <f ca="1">OFFSET(Roster!$A$3,MATCH(表格1[[#This Row],[Location]]&amp;" "&amp;表格1[[#This Row],[Shop]]&amp;"*",Roster!$A$4:$A$72,0),DAY(表格1[[#This Row],[date]]),1,1)</f>
        <v>Vicky L</v>
      </c>
      <c r="E1090" s="81">
        <f>MONTH(表格1[[#This Row],[date]])</f>
        <v>3</v>
      </c>
      <c r="F1090" s="101">
        <v>46097</v>
      </c>
      <c r="G1090" s="81" t="str">
        <f>VLOOKUP("*"&amp;表格1[[#This Row],[Input]]&amp;"*",'Ref-List'!$B:$D,2,)</f>
        <v>RAC-12G3CVRGR-HK</v>
      </c>
      <c r="H1090" s="81" t="str">
        <f>_xlfn.XLOOKUP(表格1[[#This Row],[Model]],表格3[Model-Input-Ref2],表格3[Product Line])</f>
        <v>R32變頻窗口式冷氣機 (獨立抽濕遙控</v>
      </c>
      <c r="I1090" s="81" t="str">
        <f>_xlfn.XLOOKUP(表格1[[#This Row],[Model]],表格3[Model-Input-Ref2],表格3[大小電])</f>
        <v>大電</v>
      </c>
      <c r="J1090" s="81" t="str">
        <f>_xlfn.XLOOKUP(表格1[[#This Row],[Model]],表格3[Model-Input-Ref2],表格3[Code])</f>
        <v>AC</v>
      </c>
      <c r="K1090" s="82" t="s">
        <v>1454</v>
      </c>
      <c r="L1090" s="81">
        <v>1</v>
      </c>
      <c r="M1090" s="85">
        <v>5980</v>
      </c>
      <c r="N1090" s="85">
        <f>IFERROR(表格1[[#This Row],[QTY]]*表格1[[#This Row],[Unit Price]],"-")</f>
        <v>5980</v>
      </c>
      <c r="O1090" s="134">
        <v>901538</v>
      </c>
      <c r="P1090" s="81"/>
      <c r="Q1090" s="81"/>
      <c r="R1090" s="81" t="str">
        <f>_xlfn.CONCAT(表格1[[#This Row],[Model]]," ",表格1[[#This Row],[inv no]])</f>
        <v>RAC-12G3CVRGR-HK 901538</v>
      </c>
      <c r="S1090" s="135">
        <f>_xlfn.XLOOKUP(表格1[[#This Row],[Model]],表格3[Model-Input-Ref2],表格3[SRP PRICE])</f>
        <v>8680</v>
      </c>
      <c r="T1090" s="43">
        <f>表格1[[#This Row],[Unit Price]]/表格1[[#This Row],[SRP]]</f>
        <v>0.68894009216589858</v>
      </c>
      <c r="U1090" s="86" t="str">
        <f>_xlfn.XLOOKUP(表格1[[#This Row],[Model]],表格3[Model-Input-Ref2],表格3[TOSHIBA/HIGHEST])</f>
        <v>Toshiba SRP</v>
      </c>
      <c r="V1090" s="86" t="s">
        <v>1126</v>
      </c>
      <c r="W1090" s="86" t="str">
        <f>_xlfn.CONCAT(表格1[[#This Row],[欄4]],表格1[[#This Row],[inv no]])</f>
        <v>DA141901538</v>
      </c>
    </row>
    <row r="1091" spans="1:23" hidden="1">
      <c r="A1091" s="81">
        <v>1089</v>
      </c>
      <c r="B1091" s="81" t="s">
        <v>1477</v>
      </c>
      <c r="C1091" s="81" t="s">
        <v>1478</v>
      </c>
      <c r="D1091" s="82" t="str">
        <f ca="1">OFFSET(Roster!$A$3,MATCH(表格1[[#This Row],[Location]]&amp;" "&amp;表格1[[#This Row],[Shop]]&amp;"*",Roster!$A$4:$A$72,0),DAY(表格1[[#This Row],[date]]),1,1)</f>
        <v>Vicky L</v>
      </c>
      <c r="E1091" s="81">
        <f>MONTH(表格1[[#This Row],[date]])</f>
        <v>3</v>
      </c>
      <c r="F1091" s="101">
        <v>46098</v>
      </c>
      <c r="G1091" s="81" t="str">
        <f>VLOOKUP("*"&amp;表格1[[#This Row],[Input]]&amp;"*",'Ref-List'!$B:$D,2,)</f>
        <v>RAD-D300H</v>
      </c>
      <c r="H1091" s="81" t="str">
        <f>_xlfn.XLOOKUP(表格1[[#This Row],[Model]],表格3[Model-Input-Ref2],表格3[Product Line])</f>
        <v>壓縮式抽濕機 (30公升)</v>
      </c>
      <c r="I1091" s="81" t="str">
        <f>_xlfn.XLOOKUP(表格1[[#This Row],[Model]],表格3[Model-Input-Ref2],表格3[大小電])</f>
        <v>細電</v>
      </c>
      <c r="J1091" s="81" t="str">
        <f>_xlfn.XLOOKUP(表格1[[#This Row],[Model]],表格3[Model-Input-Ref2],表格3[Code])</f>
        <v>RAC</v>
      </c>
      <c r="K1091" s="82" t="s">
        <v>1252</v>
      </c>
      <c r="L1091" s="81">
        <v>1</v>
      </c>
      <c r="M1091" s="85">
        <v>2280</v>
      </c>
      <c r="N1091" s="85">
        <f>IFERROR(表格1[[#This Row],[QTY]]*表格1[[#This Row],[Unit Price]],"-")</f>
        <v>2280</v>
      </c>
      <c r="O1091" s="134">
        <v>816044</v>
      </c>
      <c r="P1091" s="81"/>
      <c r="Q1091" s="81"/>
      <c r="R1091" s="81" t="str">
        <f>_xlfn.CONCAT(表格1[[#This Row],[Model]]," ",表格1[[#This Row],[inv no]])</f>
        <v>RAD-D300H 816044</v>
      </c>
      <c r="S1091" s="135">
        <f>_xlfn.XLOOKUP(表格1[[#This Row],[Model]],表格3[Model-Input-Ref2],表格3[SRP PRICE])</f>
        <v>3380</v>
      </c>
      <c r="T1091" s="43">
        <f>表格1[[#This Row],[Unit Price]]/表格1[[#This Row],[SRP]]</f>
        <v>0.67455621301775148</v>
      </c>
      <c r="U1091" s="86" t="str">
        <f>_xlfn.XLOOKUP(表格1[[#This Row],[Model]],表格3[Model-Input-Ref2],表格3[TOSHIBA/HIGHEST])</f>
        <v>Shops Highest Price</v>
      </c>
      <c r="V1091" s="86" t="s">
        <v>1126</v>
      </c>
      <c r="W1091" s="86" t="str">
        <f>_xlfn.CONCAT(表格1[[#This Row],[欄4]],表格1[[#This Row],[inv no]])</f>
        <v>DA141816044</v>
      </c>
    </row>
    <row r="1092" spans="1:23" hidden="1">
      <c r="A1092" s="81">
        <v>1090</v>
      </c>
      <c r="B1092" s="81" t="s">
        <v>1477</v>
      </c>
      <c r="C1092" s="81" t="s">
        <v>1478</v>
      </c>
      <c r="D1092" s="82" t="str">
        <f ca="1">OFFSET(Roster!$A$3,MATCH(表格1[[#This Row],[Location]]&amp;" "&amp;表格1[[#This Row],[Shop]]&amp;"*",Roster!$A$4:$A$72,0),DAY(表格1[[#This Row],[date]]),1,1)</f>
        <v>Vicky L</v>
      </c>
      <c r="E1092" s="81">
        <f>MONTH(表格1[[#This Row],[date]])</f>
        <v>3</v>
      </c>
      <c r="F1092" s="101">
        <v>46098</v>
      </c>
      <c r="G1092" s="81" t="str">
        <f>VLOOKUP("*"&amp;表格1[[#This Row],[Input]]&amp;"*",'Ref-List'!$B:$D,2,)</f>
        <v>CFK01W80</v>
      </c>
      <c r="H1092" s="81" t="str">
        <f>_xlfn.XLOOKUP(表格1[[#This Row],[Model]],表格3[Model-Input-Ref2],表格3[Product Line])</f>
        <v>變頻頂揭式洗衣機 (8公斤)</v>
      </c>
      <c r="I1092" s="81" t="str">
        <f>_xlfn.XLOOKUP(表格1[[#This Row],[Model]],表格3[Model-Input-Ref2],表格3[大小電])</f>
        <v>大電</v>
      </c>
      <c r="J1092" s="81" t="str">
        <f>_xlfn.XLOOKUP(表格1[[#This Row],[Model]],表格3[Model-Input-Ref2],表格3[Code])</f>
        <v>LAD</v>
      </c>
      <c r="K1092" s="82" t="s">
        <v>1483</v>
      </c>
      <c r="L1092" s="81">
        <v>1</v>
      </c>
      <c r="M1092" s="85">
        <v>3690</v>
      </c>
      <c r="N1092" s="85">
        <f>IFERROR(表格1[[#This Row],[QTY]]*表格1[[#This Row],[Unit Price]],"-")</f>
        <v>3690</v>
      </c>
      <c r="O1092" s="134">
        <v>816043</v>
      </c>
      <c r="P1092" s="81"/>
      <c r="Q1092" s="81"/>
      <c r="R1092" s="81" t="str">
        <f>_xlfn.CONCAT(表格1[[#This Row],[Model]]," ",表格1[[#This Row],[inv no]])</f>
        <v>CFK01W80 816043</v>
      </c>
      <c r="S1092" s="135">
        <f>_xlfn.XLOOKUP(表格1[[#This Row],[Model]],表格3[Model-Input-Ref2],表格3[SRP PRICE])</f>
        <v>3690</v>
      </c>
      <c r="T1092" s="43">
        <f>表格1[[#This Row],[Unit Price]]/表格1[[#This Row],[SRP]]</f>
        <v>1</v>
      </c>
      <c r="U1092" s="86" t="str">
        <f>_xlfn.XLOOKUP(表格1[[#This Row],[Model]],表格3[Model-Input-Ref2],表格3[TOSHIBA/HIGHEST])</f>
        <v>Shops Highest Price</v>
      </c>
      <c r="V1092" s="86" t="s">
        <v>1126</v>
      </c>
      <c r="W1092" s="86" t="str">
        <f>_xlfn.CONCAT(表格1[[#This Row],[欄4]],表格1[[#This Row],[inv no]])</f>
        <v>DA141816043</v>
      </c>
    </row>
    <row r="1093" spans="1:23" hidden="1">
      <c r="A1093" s="81">
        <v>1091</v>
      </c>
      <c r="B1093" s="81" t="s">
        <v>1477</v>
      </c>
      <c r="C1093" s="81" t="s">
        <v>1478</v>
      </c>
      <c r="D1093" s="82" t="str">
        <f ca="1">OFFSET(Roster!$A$3,MATCH(表格1[[#This Row],[Location]]&amp;" "&amp;表格1[[#This Row],[Shop]]&amp;"*",Roster!$A$4:$A$72,0),DAY(表格1[[#This Row],[date]]),1,1)</f>
        <v>Vicky L</v>
      </c>
      <c r="E1093" s="81">
        <f>MONTH(表格1[[#This Row],[date]])</f>
        <v>3</v>
      </c>
      <c r="F1093" s="101">
        <v>46098</v>
      </c>
      <c r="G1093" s="81" t="str">
        <f>VLOOKUP("*"&amp;表格1[[#This Row],[Input]]&amp;"*",'Ref-List'!$B:$D,2,)</f>
        <v>TWD-T21BU95UWH(WW)</v>
      </c>
      <c r="H1093" s="81" t="str">
        <f>_xlfn.XLOOKUP(表格1[[#This Row],[Model]],表格3[Model-Input-Ref2],表格3[Product Line])</f>
        <v>470MM超薄身前置式變頻洗衣乾衣機 (洗8.5公斤 乾6公斤)</v>
      </c>
      <c r="I1093" s="81" t="str">
        <f>_xlfn.XLOOKUP(表格1[[#This Row],[Model]],表格3[Model-Input-Ref2],表格3[大小電])</f>
        <v>大電</v>
      </c>
      <c r="J1093" s="81" t="str">
        <f>_xlfn.XLOOKUP(表格1[[#This Row],[Model]],表格3[Model-Input-Ref2],表格3[Code])</f>
        <v>LAD</v>
      </c>
      <c r="K1093" s="82" t="s">
        <v>1461</v>
      </c>
      <c r="L1093" s="81">
        <v>1</v>
      </c>
      <c r="M1093" s="85">
        <v>3909</v>
      </c>
      <c r="N1093" s="85">
        <f>IFERROR(表格1[[#This Row],[QTY]]*表格1[[#This Row],[Unit Price]],"-")</f>
        <v>3909</v>
      </c>
      <c r="O1093" s="134">
        <v>816054</v>
      </c>
      <c r="P1093" s="81"/>
      <c r="Q1093" s="81"/>
      <c r="R1093" s="81" t="str">
        <f>_xlfn.CONCAT(表格1[[#This Row],[Model]]," ",表格1[[#This Row],[inv no]])</f>
        <v>TWD-T21BU95UWH(WW) 816054</v>
      </c>
      <c r="S1093" s="135">
        <f>_xlfn.XLOOKUP(表格1[[#This Row],[Model]],表格3[Model-Input-Ref2],表格3[SRP PRICE])</f>
        <v>7280</v>
      </c>
      <c r="T1093" s="43">
        <f>表格1[[#This Row],[Unit Price]]/表格1[[#This Row],[SRP]]</f>
        <v>0.53695054945054943</v>
      </c>
      <c r="U1093" s="86" t="str">
        <f>_xlfn.XLOOKUP(表格1[[#This Row],[Model]],表格3[Model-Input-Ref2],表格3[TOSHIBA/HIGHEST])</f>
        <v>Toshiba SRP</v>
      </c>
      <c r="V1093" s="86" t="s">
        <v>1126</v>
      </c>
      <c r="W1093" s="86" t="str">
        <f>_xlfn.CONCAT(表格1[[#This Row],[欄4]],表格1[[#This Row],[inv no]])</f>
        <v>DA141816054</v>
      </c>
    </row>
    <row r="1094" spans="1:23" hidden="1">
      <c r="A1094" s="81">
        <v>1092</v>
      </c>
      <c r="B1094" s="81" t="s">
        <v>1477</v>
      </c>
      <c r="C1094" s="81" t="s">
        <v>1478</v>
      </c>
      <c r="D1094" s="82" t="str">
        <f ca="1">OFFSET(Roster!$A$3,MATCH(表格1[[#This Row],[Location]]&amp;" "&amp;表格1[[#This Row],[Shop]]&amp;"*",Roster!$A$4:$A$72,0),DAY(表格1[[#This Row],[date]]),1,1)</f>
        <v>Vicky L</v>
      </c>
      <c r="E1094" s="81">
        <f>MONTH(表格1[[#This Row],[date]])</f>
        <v>3</v>
      </c>
      <c r="F1094" s="101">
        <v>46098</v>
      </c>
      <c r="G1094" s="81" t="str">
        <f>VLOOKUP("*"&amp;表格1[[#This Row],[Input]]&amp;"*",'Ref-List'!$B:$D,2,)</f>
        <v>AW-Q800APH(WW)</v>
      </c>
      <c r="H1094" s="81" t="str">
        <f>_xlfn.XLOOKUP(表格1[[#This Row],[Model]],表格3[Model-Input-Ref2],表格3[Product Line])</f>
        <v>日式洗衣機 (7公斤 結合高低水位)</v>
      </c>
      <c r="I1094" s="81" t="str">
        <f>_xlfn.XLOOKUP(表格1[[#This Row],[Model]],表格3[Model-Input-Ref2],表格3[大小電])</f>
        <v>大電</v>
      </c>
      <c r="J1094" s="81" t="str">
        <f>_xlfn.XLOOKUP(表格1[[#This Row],[Model]],表格3[Model-Input-Ref2],表格3[Code])</f>
        <v>LAD</v>
      </c>
      <c r="K1094" s="82" t="s">
        <v>1479</v>
      </c>
      <c r="L1094" s="81">
        <v>1</v>
      </c>
      <c r="M1094" s="85">
        <v>2080</v>
      </c>
      <c r="N1094" s="85">
        <f>IFERROR(表格1[[#This Row],[QTY]]*表格1[[#This Row],[Unit Price]],"-")</f>
        <v>2080</v>
      </c>
      <c r="O1094" s="134">
        <v>816085</v>
      </c>
      <c r="P1094" s="81"/>
      <c r="Q1094" s="81"/>
      <c r="R1094" s="81" t="str">
        <f>_xlfn.CONCAT(表格1[[#This Row],[Model]]," ",表格1[[#This Row],[inv no]])</f>
        <v>AW-Q800APH(WW) 816085</v>
      </c>
      <c r="S1094" s="135">
        <f>_xlfn.XLOOKUP(表格1[[#This Row],[Model]],表格3[Model-Input-Ref2],表格3[SRP PRICE])</f>
        <v>3580</v>
      </c>
      <c r="T1094" s="43">
        <f>表格1[[#This Row],[Unit Price]]/表格1[[#This Row],[SRP]]</f>
        <v>0.58100558659217882</v>
      </c>
      <c r="U1094" s="86" t="str">
        <f>_xlfn.XLOOKUP(表格1[[#This Row],[Model]],表格3[Model-Input-Ref2],表格3[TOSHIBA/HIGHEST])</f>
        <v>Toshiba SRP</v>
      </c>
      <c r="V1094" s="86" t="s">
        <v>1126</v>
      </c>
      <c r="W1094" s="86" t="str">
        <f>_xlfn.CONCAT(表格1[[#This Row],[欄4]],表格1[[#This Row],[inv no]])</f>
        <v>DA141816085</v>
      </c>
    </row>
    <row r="1095" spans="1:23" hidden="1">
      <c r="A1095" s="81">
        <v>1093</v>
      </c>
      <c r="B1095" s="81" t="s">
        <v>1477</v>
      </c>
      <c r="C1095" s="81" t="s">
        <v>1478</v>
      </c>
      <c r="D1095" s="82" t="str">
        <f ca="1">OFFSET(Roster!$A$3,MATCH(表格1[[#This Row],[Location]]&amp;" "&amp;表格1[[#This Row],[Shop]]&amp;"*",Roster!$A$4:$A$72,0),DAY(表格1[[#This Row],[date]]),1,1)</f>
        <v>Vicky L</v>
      </c>
      <c r="E1095" s="81">
        <f>MONTH(表格1[[#This Row],[date]])</f>
        <v>3</v>
      </c>
      <c r="F1095" s="101">
        <v>46098</v>
      </c>
      <c r="G1095" s="81" t="str">
        <f>VLOOKUP("*"&amp;表格1[[#This Row],[Input]]&amp;"*",'Ref-List'!$B:$D,2,)</f>
        <v>TWD-T25BZU115MWH(MG)</v>
      </c>
      <c r="H1095" s="81" t="str">
        <f>_xlfn.XLOOKUP(表格1[[#This Row],[Model]],表格3[Model-Input-Ref2],表格3[Product Line])</f>
        <v>前置式變頻洗衣乾衣機 (洗10.5公斤 乾7公斤)</v>
      </c>
      <c r="I1095" s="81" t="str">
        <f>_xlfn.XLOOKUP(表格1[[#This Row],[Model]],表格3[Model-Input-Ref2],表格3[大小電])</f>
        <v>大電</v>
      </c>
      <c r="J1095" s="81" t="str">
        <f>_xlfn.XLOOKUP(表格1[[#This Row],[Model]],表格3[Model-Input-Ref2],表格3[Code])</f>
        <v>LAD</v>
      </c>
      <c r="K1095" s="82" t="s">
        <v>1098</v>
      </c>
      <c r="L1095" s="81">
        <v>1</v>
      </c>
      <c r="M1095" s="85">
        <v>5985</v>
      </c>
      <c r="N1095" s="85">
        <f>IFERROR(表格1[[#This Row],[QTY]]*表格1[[#This Row],[Unit Price]],"-")</f>
        <v>5985</v>
      </c>
      <c r="O1095" s="134">
        <v>816053</v>
      </c>
      <c r="P1095" s="81"/>
      <c r="Q1095" s="81"/>
      <c r="R1095" s="81" t="str">
        <f>_xlfn.CONCAT(表格1[[#This Row],[Model]]," ",表格1[[#This Row],[inv no]])</f>
        <v>TWD-T25BZU115MWH(MG) 816053</v>
      </c>
      <c r="S1095" s="135">
        <f>_xlfn.XLOOKUP(表格1[[#This Row],[Model]],表格3[Model-Input-Ref2],表格3[SRP PRICE])</f>
        <v>8280</v>
      </c>
      <c r="T1095" s="43">
        <f>表格1[[#This Row],[Unit Price]]/表格1[[#This Row],[SRP]]</f>
        <v>0.72282608695652173</v>
      </c>
      <c r="U1095" s="86" t="str">
        <f>_xlfn.XLOOKUP(表格1[[#This Row],[Model]],表格3[Model-Input-Ref2],表格3[TOSHIBA/HIGHEST])</f>
        <v>Toshiba SRP</v>
      </c>
      <c r="V1095" s="86" t="s">
        <v>1126</v>
      </c>
      <c r="W1095" s="86" t="str">
        <f>_xlfn.CONCAT(表格1[[#This Row],[欄4]],表格1[[#This Row],[inv no]])</f>
        <v>DA141816053</v>
      </c>
    </row>
    <row r="1096" spans="1:23" hidden="1">
      <c r="A1096" s="81">
        <v>1094</v>
      </c>
      <c r="B1096" s="81" t="s">
        <v>1477</v>
      </c>
      <c r="C1096" s="81" t="s">
        <v>1478</v>
      </c>
      <c r="D1096" s="82" t="str">
        <f ca="1">OFFSET(Roster!$A$3,MATCH(表格1[[#This Row],[Location]]&amp;" "&amp;表格1[[#This Row],[Shop]]&amp;"*",Roster!$A$4:$A$72,0),DAY(表格1[[#This Row],[date]]),1,1)</f>
        <v>Vicky L</v>
      </c>
      <c r="E1096" s="81">
        <f>MONTH(表格1[[#This Row],[date]])</f>
        <v>3</v>
      </c>
      <c r="F1096" s="101">
        <v>46099</v>
      </c>
      <c r="G1096" s="81" t="str">
        <f>VLOOKUP("*"&amp;表格1[[#This Row],[Input]]&amp;"*",'Ref-List'!$B:$D,2,)</f>
        <v>GR-RB449WE-PMA(57)</v>
      </c>
      <c r="H1096" s="81" t="str">
        <f>_xlfn.XLOOKUP(表格1[[#This Row],[Model]],表格3[Model-Input-Ref2],表格3[Product Line])</f>
        <v>變頻下置式雙門雪櫃</v>
      </c>
      <c r="I1096" s="81" t="str">
        <f>_xlfn.XLOOKUP(表格1[[#This Row],[Model]],表格3[Model-Input-Ref2],表格3[大小電])</f>
        <v>大電</v>
      </c>
      <c r="J1096" s="81" t="str">
        <f>_xlfn.XLOOKUP(表格1[[#This Row],[Model]],表格3[Model-Input-Ref2],表格3[Code])</f>
        <v>REF</v>
      </c>
      <c r="K1096" s="82" t="s">
        <v>1484</v>
      </c>
      <c r="L1096" s="81">
        <v>1</v>
      </c>
      <c r="M1096" s="85">
        <v>4880</v>
      </c>
      <c r="N1096" s="85">
        <f>IFERROR(表格1[[#This Row],[QTY]]*表格1[[#This Row],[Unit Price]],"-")</f>
        <v>4880</v>
      </c>
      <c r="O1096" s="134">
        <v>816121</v>
      </c>
      <c r="P1096" s="81"/>
      <c r="Q1096" s="81"/>
      <c r="R1096" s="81" t="str">
        <f>_xlfn.CONCAT(表格1[[#This Row],[Model]]," ",表格1[[#This Row],[inv no]])</f>
        <v>GR-RB449WE-PMA(57) 816121</v>
      </c>
      <c r="S1096" s="135">
        <f>_xlfn.XLOOKUP(表格1[[#This Row],[Model]],表格3[Model-Input-Ref2],表格3[SRP PRICE])</f>
        <v>6280</v>
      </c>
      <c r="T1096" s="43">
        <f>表格1[[#This Row],[Unit Price]]/表格1[[#This Row],[SRP]]</f>
        <v>0.77707006369426757</v>
      </c>
      <c r="U1096" s="86" t="str">
        <f>_xlfn.XLOOKUP(表格1[[#This Row],[Model]],表格3[Model-Input-Ref2],表格3[TOSHIBA/HIGHEST])</f>
        <v>Toshiba SRP</v>
      </c>
      <c r="V1096" s="86" t="s">
        <v>1126</v>
      </c>
      <c r="W1096" s="86" t="str">
        <f>_xlfn.CONCAT(表格1[[#This Row],[欄4]],表格1[[#This Row],[inv no]])</f>
        <v>DA141816121</v>
      </c>
    </row>
    <row r="1097" spans="1:23" hidden="1">
      <c r="A1097" s="81">
        <v>1095</v>
      </c>
      <c r="B1097" s="81" t="s">
        <v>1477</v>
      </c>
      <c r="C1097" s="81" t="s">
        <v>1478</v>
      </c>
      <c r="D1097" s="82" t="str">
        <f ca="1">OFFSET(Roster!$A$3,MATCH(表格1[[#This Row],[Location]]&amp;" "&amp;表格1[[#This Row],[Shop]]&amp;"*",Roster!$A$4:$A$72,0),DAY(表格1[[#This Row],[date]]),1,1)</f>
        <v>Vicky L</v>
      </c>
      <c r="E1097" s="81">
        <f>MONTH(表格1[[#This Row],[date]])</f>
        <v>3</v>
      </c>
      <c r="F1097" s="101">
        <v>46099</v>
      </c>
      <c r="G1097" s="81" t="str">
        <f>VLOOKUP("*"&amp;表格1[[#This Row],[Input]]&amp;"*",'Ref-List'!$B:$D,2,)</f>
        <v>RAC-07G3CVRG-HK</v>
      </c>
      <c r="H1097" s="81" t="str">
        <f>_xlfn.XLOOKUP(表格1[[#This Row],[Model]],表格3[Model-Input-Ref2],表格3[Product Line])</f>
        <v>3/4 匹 窗口式冷氣機(remote/fortress)</v>
      </c>
      <c r="I1097" s="81" t="str">
        <f>_xlfn.XLOOKUP(表格1[[#This Row],[Model]],表格3[Model-Input-Ref2],表格3[大小電])</f>
        <v>大電</v>
      </c>
      <c r="J1097" s="81" t="str">
        <f>_xlfn.XLOOKUP(表格1[[#This Row],[Model]],表格3[Model-Input-Ref2],表格3[Code])</f>
        <v>AC</v>
      </c>
      <c r="K1097" s="82" t="s">
        <v>664</v>
      </c>
      <c r="L1097" s="81">
        <v>2</v>
      </c>
      <c r="M1097" s="85">
        <v>3880</v>
      </c>
      <c r="N1097" s="85">
        <f>IFERROR(表格1[[#This Row],[QTY]]*表格1[[#This Row],[Unit Price]],"-")</f>
        <v>7760</v>
      </c>
      <c r="O1097" s="134">
        <v>901604</v>
      </c>
      <c r="P1097" s="81" t="s">
        <v>1501</v>
      </c>
      <c r="Q1097" s="81"/>
      <c r="R1097" s="81" t="str">
        <f>_xlfn.CONCAT(表格1[[#This Row],[Model]]," ",表格1[[#This Row],[inv no]])</f>
        <v>RAC-07G3CVRG-HK 901604</v>
      </c>
      <c r="S1097" s="135">
        <f>_xlfn.XLOOKUP(表格1[[#This Row],[Model]],表格3[Model-Input-Ref2],表格3[SRP PRICE])</f>
        <v>5580</v>
      </c>
      <c r="T1097" s="43">
        <f>表格1[[#This Row],[Unit Price]]/表格1[[#This Row],[SRP]]</f>
        <v>0.69534050179211471</v>
      </c>
      <c r="U1097" s="86" t="str">
        <f>_xlfn.XLOOKUP(表格1[[#This Row],[Model]],表格3[Model-Input-Ref2],表格3[TOSHIBA/HIGHEST])</f>
        <v>Toshiba SRP</v>
      </c>
      <c r="V1097" s="86" t="s">
        <v>1126</v>
      </c>
      <c r="W1097" s="86" t="str">
        <f>_xlfn.CONCAT(表格1[[#This Row],[欄4]],表格1[[#This Row],[inv no]])</f>
        <v>DA141901604</v>
      </c>
    </row>
    <row r="1098" spans="1:23" ht="16.5" hidden="1">
      <c r="A1098" s="81">
        <v>1096</v>
      </c>
      <c r="B1098" s="81" t="s">
        <v>1477</v>
      </c>
      <c r="C1098" s="81" t="s">
        <v>1478</v>
      </c>
      <c r="D1098" s="82" t="str">
        <f ca="1">OFFSET(Roster!$A$3,MATCH(表格1[[#This Row],[Location]]&amp;" "&amp;表格1[[#This Row],[Shop]]&amp;"*",Roster!$A$4:$A$72,0),DAY(表格1[[#This Row],[date]]),1,1)</f>
        <v>Vicky L</v>
      </c>
      <c r="E1098" s="81">
        <f>MONTH(表格1[[#This Row],[date]])</f>
        <v>3</v>
      </c>
      <c r="F1098" s="101">
        <v>46099</v>
      </c>
      <c r="G1098" s="81" t="str">
        <f>VLOOKUP("*"&amp;表格1[[#This Row],[Input]]&amp;"*",'Ref-List'!$B:$D,2,)</f>
        <v>Model-Input-Ref2</v>
      </c>
      <c r="H1098" s="81" t="e">
        <f>_xlfn.XLOOKUP(表格1[[#This Row],[Model]],表格3[Model-Input-Ref2],表格3[Product Line])</f>
        <v>#N/A</v>
      </c>
      <c r="I1098" s="81" t="e">
        <f>_xlfn.XLOOKUP(表格1[[#This Row],[Model]],表格3[Model-Input-Ref2],表格3[大小電])</f>
        <v>#N/A</v>
      </c>
      <c r="J1098" s="81" t="e">
        <f>_xlfn.XLOOKUP(表格1[[#This Row],[Model]],表格3[Model-Input-Ref2],表格3[Code])</f>
        <v>#N/A</v>
      </c>
      <c r="K1098" s="82"/>
      <c r="L1098" s="81"/>
      <c r="M1098" s="85"/>
      <c r="N1098" s="85">
        <f>IFERROR(表格1[[#This Row],[QTY]]*表格1[[#This Row],[Unit Price]],"-")</f>
        <v>0</v>
      </c>
      <c r="O1098" s="134"/>
      <c r="P1098" s="81" t="s">
        <v>1500</v>
      </c>
      <c r="Q1098" s="81"/>
      <c r="R1098" s="81" t="str">
        <f>_xlfn.CONCAT(表格1[[#This Row],[Model]]," ",表格1[[#This Row],[inv no]])</f>
        <v xml:space="preserve">Model-Input-Ref2 </v>
      </c>
      <c r="S1098" s="135" t="e">
        <f>_xlfn.XLOOKUP(表格1[[#This Row],[Model]],表格3[Model-Input-Ref2],表格3[SRP PRICE])</f>
        <v>#N/A</v>
      </c>
      <c r="T1098" s="43" t="e">
        <f>表格1[[#This Row],[Unit Price]]/表格1[[#This Row],[SRP]]</f>
        <v>#N/A</v>
      </c>
      <c r="U1098" s="86" t="e">
        <f>_xlfn.XLOOKUP(表格1[[#This Row],[Model]],表格3[Model-Input-Ref2],表格3[TOSHIBA/HIGHEST])</f>
        <v>#N/A</v>
      </c>
      <c r="V1098" s="86" t="s">
        <v>1126</v>
      </c>
      <c r="W1098" s="86" t="str">
        <f>_xlfn.CONCAT(表格1[[#This Row],[欄4]],表格1[[#This Row],[inv no]])</f>
        <v>DA141</v>
      </c>
    </row>
    <row r="1099" spans="1:23" hidden="1">
      <c r="A1099" s="81">
        <v>1097</v>
      </c>
      <c r="B1099" s="81" t="s">
        <v>1477</v>
      </c>
      <c r="C1099" s="81" t="s">
        <v>1478</v>
      </c>
      <c r="D1099" s="82" t="str">
        <f ca="1">OFFSET(Roster!$A$3,MATCH(表格1[[#This Row],[Location]]&amp;" "&amp;表格1[[#This Row],[Shop]]&amp;"*",Roster!$A$4:$A$72,0),DAY(表格1[[#This Row],[date]]),1,1)</f>
        <v>Vicky L</v>
      </c>
      <c r="E1099" s="81">
        <f>MONTH(表格1[[#This Row],[date]])</f>
        <v>3</v>
      </c>
      <c r="F1099" s="101">
        <v>46097</v>
      </c>
      <c r="G1099" s="81" t="str">
        <f>VLOOKUP("*"&amp;表格1[[#This Row],[Input]]&amp;"*",'Ref-List'!$B:$D,2,)</f>
        <v>MM-2MM20PC(WH)</v>
      </c>
      <c r="H1099" s="81" t="str">
        <f>_xlfn.XLOOKUP(表格1[[#This Row],[Model]],表格3[Model-Input-Ref2],表格3[Product Line])</f>
        <v>旋鈕式微波爐 (20公升)</v>
      </c>
      <c r="I1099" s="81" t="str">
        <f>_xlfn.XLOOKUP(表格1[[#This Row],[Model]],表格3[Model-Input-Ref2],表格3[大小電])</f>
        <v>細電</v>
      </c>
      <c r="J1099" s="81" t="str">
        <f>_xlfn.XLOOKUP(表格1[[#This Row],[Model]],表格3[Model-Input-Ref2],表格3[Code])</f>
        <v>MCA</v>
      </c>
      <c r="K1099" s="82" t="s">
        <v>1388</v>
      </c>
      <c r="L1099" s="81">
        <v>1</v>
      </c>
      <c r="M1099" s="85">
        <v>599</v>
      </c>
      <c r="N1099" s="85">
        <f>IFERROR(表格1[[#This Row],[QTY]]*表格1[[#This Row],[Unit Price]],"-")</f>
        <v>599</v>
      </c>
      <c r="O1099" s="134">
        <v>815996</v>
      </c>
      <c r="P1099" s="81"/>
      <c r="Q1099" s="81"/>
      <c r="R1099" s="81" t="str">
        <f>_xlfn.CONCAT(表格1[[#This Row],[Model]]," ",表格1[[#This Row],[inv no]])</f>
        <v>MM-2MM20PC(WH) 815996</v>
      </c>
      <c r="S1099" s="135">
        <f>_xlfn.XLOOKUP(表格1[[#This Row],[Model]],表格3[Model-Input-Ref2],表格3[SRP PRICE])</f>
        <v>738</v>
      </c>
      <c r="T1099" s="43">
        <f>表格1[[#This Row],[Unit Price]]/表格1[[#This Row],[SRP]]</f>
        <v>0.81165311653116534</v>
      </c>
      <c r="U1099" s="86" t="str">
        <f>_xlfn.XLOOKUP(表格1[[#This Row],[Model]],表格3[Model-Input-Ref2],表格3[TOSHIBA/HIGHEST])</f>
        <v>Toshiba SRP</v>
      </c>
      <c r="V1099" s="86" t="s">
        <v>1126</v>
      </c>
      <c r="W1099" s="86" t="str">
        <f>_xlfn.CONCAT(表格1[[#This Row],[欄4]],表格1[[#This Row],[inv no]])</f>
        <v>DA141815996</v>
      </c>
    </row>
    <row r="1100" spans="1:23" hidden="1">
      <c r="A1100" s="81">
        <v>1098</v>
      </c>
      <c r="B1100" s="81" t="s">
        <v>1477</v>
      </c>
      <c r="C1100" s="81" t="s">
        <v>1478</v>
      </c>
      <c r="D1100" s="82" t="str">
        <f ca="1">OFFSET(Roster!$A$3,MATCH(表格1[[#This Row],[Location]]&amp;" "&amp;表格1[[#This Row],[Shop]]&amp;"*",Roster!$A$4:$A$72,0),DAY(表格1[[#This Row],[date]]),1,1)</f>
        <v>Vicky L</v>
      </c>
      <c r="E1100" s="81">
        <f>MONTH(表格1[[#This Row],[date]])</f>
        <v>3</v>
      </c>
      <c r="F1100" s="101">
        <v>46094</v>
      </c>
      <c r="G1100" s="81" t="str">
        <f>VLOOKUP("*"&amp;表格1[[#This Row],[Input]]&amp;"*",'Ref-List'!$B:$D,2,)</f>
        <v>MW2-MM24PC(BK)</v>
      </c>
      <c r="H1100" s="81" t="str">
        <f>_xlfn.XLOOKUP(表格1[[#This Row],[Model]],表格3[Model-Input-Ref2],表格3[Product Line])</f>
        <v>旋鈕式微波爐24L</v>
      </c>
      <c r="I1100" s="81" t="str">
        <f>_xlfn.XLOOKUP(表格1[[#This Row],[Model]],表格3[Model-Input-Ref2],表格3[大小電])</f>
        <v>細電</v>
      </c>
      <c r="J1100" s="81" t="str">
        <f>_xlfn.XLOOKUP(表格1[[#This Row],[Model]],表格3[Model-Input-Ref2],表格3[Code])</f>
        <v>SDA</v>
      </c>
      <c r="K1100" s="82" t="s">
        <v>1196</v>
      </c>
      <c r="L1100" s="81">
        <v>1</v>
      </c>
      <c r="M1100" s="85">
        <v>679</v>
      </c>
      <c r="N1100" s="85">
        <f>IFERROR(表格1[[#This Row],[QTY]]*表格1[[#This Row],[Unit Price]],"-")</f>
        <v>679</v>
      </c>
      <c r="O1100" s="134">
        <v>901388</v>
      </c>
      <c r="P1100" s="81"/>
      <c r="Q1100" s="81"/>
      <c r="R1100" s="81" t="str">
        <f>_xlfn.CONCAT(表格1[[#This Row],[Model]]," ",表格1[[#This Row],[inv no]])</f>
        <v>MW2-MM24PC(BK) 901388</v>
      </c>
      <c r="S1100" s="135">
        <f>_xlfn.XLOOKUP(表格1[[#This Row],[Model]],表格3[Model-Input-Ref2],表格3[SRP PRICE])</f>
        <v>848</v>
      </c>
      <c r="T1100" s="43">
        <f>表格1[[#This Row],[Unit Price]]/表格1[[#This Row],[SRP]]</f>
        <v>0.8007075471698113</v>
      </c>
      <c r="U1100" s="86" t="str">
        <f>_xlfn.XLOOKUP(表格1[[#This Row],[Model]],表格3[Model-Input-Ref2],表格3[TOSHIBA/HIGHEST])</f>
        <v>Toshiba SRP</v>
      </c>
      <c r="V1100" s="86" t="s">
        <v>1126</v>
      </c>
      <c r="W1100" s="86" t="str">
        <f>_xlfn.CONCAT(表格1[[#This Row],[欄4]],表格1[[#This Row],[inv no]])</f>
        <v>DA141901388</v>
      </c>
    </row>
    <row r="1101" spans="1:23" hidden="1">
      <c r="A1101" s="81">
        <v>1099</v>
      </c>
      <c r="B1101" s="81" t="s">
        <v>1477</v>
      </c>
      <c r="C1101" s="81" t="s">
        <v>1478</v>
      </c>
      <c r="D1101" s="82" t="str">
        <f ca="1">OFFSET(Roster!$A$3,MATCH(表格1[[#This Row],[Location]]&amp;" "&amp;表格1[[#This Row],[Shop]]&amp;"*",Roster!$A$4:$A$72,0),DAY(表格1[[#This Row],[date]]),1,1)</f>
        <v>Vicky L</v>
      </c>
      <c r="E1101" s="81">
        <f>MONTH(表格1[[#This Row],[date]])</f>
        <v>3</v>
      </c>
      <c r="F1101" s="101">
        <v>46099</v>
      </c>
      <c r="G1101" s="81" t="str">
        <f>VLOOKUP("*"&amp;表格1[[#This Row],[Input]]&amp;"*",'Ref-List'!$B:$D,2,)</f>
        <v>MW2-MM24PC(BK)</v>
      </c>
      <c r="H1101" s="81" t="str">
        <f>_xlfn.XLOOKUP(表格1[[#This Row],[Model]],表格3[Model-Input-Ref2],表格3[Product Line])</f>
        <v>旋鈕式微波爐24L</v>
      </c>
      <c r="I1101" s="81" t="str">
        <f>_xlfn.XLOOKUP(表格1[[#This Row],[Model]],表格3[Model-Input-Ref2],表格3[大小電])</f>
        <v>細電</v>
      </c>
      <c r="J1101" s="81" t="str">
        <f>_xlfn.XLOOKUP(表格1[[#This Row],[Model]],表格3[Model-Input-Ref2],表格3[Code])</f>
        <v>SDA</v>
      </c>
      <c r="K1101" s="82" t="s">
        <v>1196</v>
      </c>
      <c r="L1101" s="81">
        <v>1</v>
      </c>
      <c r="M1101" s="85">
        <v>679</v>
      </c>
      <c r="N1101" s="85">
        <f>IFERROR(表格1[[#This Row],[QTY]]*表格1[[#This Row],[Unit Price]],"-")</f>
        <v>679</v>
      </c>
      <c r="O1101" s="134">
        <v>816152</v>
      </c>
      <c r="P1101" s="81"/>
      <c r="Q1101" s="81"/>
      <c r="R1101" s="81" t="str">
        <f>_xlfn.CONCAT(表格1[[#This Row],[Model]]," ",表格1[[#This Row],[inv no]])</f>
        <v>MW2-MM24PC(BK) 816152</v>
      </c>
      <c r="S1101" s="135">
        <f>_xlfn.XLOOKUP(表格1[[#This Row],[Model]],表格3[Model-Input-Ref2],表格3[SRP PRICE])</f>
        <v>848</v>
      </c>
      <c r="T1101" s="43">
        <f>表格1[[#This Row],[Unit Price]]/表格1[[#This Row],[SRP]]</f>
        <v>0.8007075471698113</v>
      </c>
      <c r="U1101" s="86" t="str">
        <f>_xlfn.XLOOKUP(表格1[[#This Row],[Model]],表格3[Model-Input-Ref2],表格3[TOSHIBA/HIGHEST])</f>
        <v>Toshiba SRP</v>
      </c>
      <c r="V1101" s="86" t="s">
        <v>1126</v>
      </c>
      <c r="W1101" s="86" t="str">
        <f>_xlfn.CONCAT(表格1[[#This Row],[欄4]],表格1[[#This Row],[inv no]])</f>
        <v>DA141816152</v>
      </c>
    </row>
    <row r="1102" spans="1:23" hidden="1">
      <c r="A1102" s="81">
        <v>1100</v>
      </c>
      <c r="B1102" s="81" t="s">
        <v>1477</v>
      </c>
      <c r="C1102" s="81" t="s">
        <v>1478</v>
      </c>
      <c r="D1102" s="82" t="str">
        <f ca="1">OFFSET(Roster!$A$3,MATCH(表格1[[#This Row],[Location]]&amp;" "&amp;表格1[[#This Row],[Shop]]&amp;"*",Roster!$A$4:$A$72,0),DAY(表格1[[#This Row],[date]]),1,1)</f>
        <v>Vicky L off</v>
      </c>
      <c r="E1102" s="81">
        <f>MONTH(表格1[[#This Row],[date]])</f>
        <v>3</v>
      </c>
      <c r="F1102" s="101">
        <v>46101</v>
      </c>
      <c r="G1102" s="81" t="str">
        <f>VLOOKUP("*"&amp;表格1[[#This Row],[Input]]&amp;"*",'Ref-List'!$B:$D,2,)</f>
        <v>MW2-MM24PC(BK)</v>
      </c>
      <c r="H1102" s="81" t="str">
        <f>_xlfn.XLOOKUP(表格1[[#This Row],[Model]],表格3[Model-Input-Ref2],表格3[Product Line])</f>
        <v>旋鈕式微波爐24L</v>
      </c>
      <c r="I1102" s="81" t="str">
        <f>_xlfn.XLOOKUP(表格1[[#This Row],[Model]],表格3[Model-Input-Ref2],表格3[大小電])</f>
        <v>細電</v>
      </c>
      <c r="J1102" s="81" t="str">
        <f>_xlfn.XLOOKUP(表格1[[#This Row],[Model]],表格3[Model-Input-Ref2],表格3[Code])</f>
        <v>SDA</v>
      </c>
      <c r="K1102" s="82" t="s">
        <v>1196</v>
      </c>
      <c r="L1102" s="81">
        <v>1</v>
      </c>
      <c r="M1102" s="85">
        <v>679</v>
      </c>
      <c r="N1102" s="85">
        <f>IFERROR(表格1[[#This Row],[QTY]]*表格1[[#This Row],[Unit Price]],"-")</f>
        <v>679</v>
      </c>
      <c r="O1102" s="134">
        <v>902215</v>
      </c>
      <c r="P1102" s="81"/>
      <c r="Q1102" s="81"/>
      <c r="R1102" s="81" t="str">
        <f>_xlfn.CONCAT(表格1[[#This Row],[Model]]," ",表格1[[#This Row],[inv no]])</f>
        <v>MW2-MM24PC(BK) 902215</v>
      </c>
      <c r="S1102" s="135">
        <f>_xlfn.XLOOKUP(表格1[[#This Row],[Model]],表格3[Model-Input-Ref2],表格3[SRP PRICE])</f>
        <v>848</v>
      </c>
      <c r="T1102" s="43">
        <f>表格1[[#This Row],[Unit Price]]/表格1[[#This Row],[SRP]]</f>
        <v>0.8007075471698113</v>
      </c>
      <c r="U1102" s="86" t="str">
        <f>_xlfn.XLOOKUP(表格1[[#This Row],[Model]],表格3[Model-Input-Ref2],表格3[TOSHIBA/HIGHEST])</f>
        <v>Toshiba SRP</v>
      </c>
      <c r="V1102" s="86" t="s">
        <v>1126</v>
      </c>
      <c r="W1102" s="86" t="str">
        <f>_xlfn.CONCAT(表格1[[#This Row],[欄4]],表格1[[#This Row],[inv no]])</f>
        <v>DA141902215</v>
      </c>
    </row>
    <row r="1103" spans="1:23" hidden="1">
      <c r="A1103" s="81">
        <v>1101</v>
      </c>
      <c r="B1103" s="81" t="s">
        <v>1477</v>
      </c>
      <c r="C1103" s="81" t="s">
        <v>1478</v>
      </c>
      <c r="D1103" s="82" t="str">
        <f ca="1">OFFSET(Roster!$A$3,MATCH(表格1[[#This Row],[Location]]&amp;" "&amp;表格1[[#This Row],[Shop]]&amp;"*",Roster!$A$4:$A$72,0),DAY(表格1[[#This Row],[date]]),1,1)</f>
        <v>Vicky L off</v>
      </c>
      <c r="E1103" s="81">
        <f>MONTH(表格1[[#This Row],[date]])</f>
        <v>3</v>
      </c>
      <c r="F1103" s="101">
        <v>46101</v>
      </c>
      <c r="G1103" s="81" t="str">
        <f>VLOOKUP("*"&amp;表格1[[#This Row],[Input]]&amp;"*",'Ref-List'!$B:$D,2,)</f>
        <v>MM2-EM20PC(WH)</v>
      </c>
      <c r="H1103" s="81" t="str">
        <f>_xlfn.XLOOKUP(表格1[[#This Row],[Model]],表格3[Model-Input-Ref2],表格3[Product Line])</f>
        <v>輕觸式微波爐 (20公升)</v>
      </c>
      <c r="I1103" s="81" t="str">
        <f>_xlfn.XLOOKUP(表格1[[#This Row],[Model]],表格3[Model-Input-Ref2],表格3[大小電])</f>
        <v>細電</v>
      </c>
      <c r="J1103" s="81" t="str">
        <f>_xlfn.XLOOKUP(表格1[[#This Row],[Model]],表格3[Model-Input-Ref2],表格3[Code])</f>
        <v>MCA</v>
      </c>
      <c r="K1103" s="82" t="s">
        <v>1276</v>
      </c>
      <c r="L1103" s="81">
        <v>1</v>
      </c>
      <c r="M1103" s="85">
        <v>598</v>
      </c>
      <c r="N1103" s="85">
        <f>IFERROR(表格1[[#This Row],[QTY]]*表格1[[#This Row],[Unit Price]],"-")</f>
        <v>598</v>
      </c>
      <c r="O1103" s="134">
        <v>816262</v>
      </c>
      <c r="P1103" s="81"/>
      <c r="Q1103" s="81"/>
      <c r="R1103" s="81" t="str">
        <f>_xlfn.CONCAT(表格1[[#This Row],[Model]]," ",表格1[[#This Row],[inv no]])</f>
        <v>MM2-EM20PC(WH) 816262</v>
      </c>
      <c r="S1103" s="135">
        <f>_xlfn.XLOOKUP(表格1[[#This Row],[Model]],表格3[Model-Input-Ref2],表格3[SRP PRICE])</f>
        <v>788</v>
      </c>
      <c r="T1103" s="43">
        <f>表格1[[#This Row],[Unit Price]]/表格1[[#This Row],[SRP]]</f>
        <v>0.75888324873096447</v>
      </c>
      <c r="U1103" s="86" t="str">
        <f>_xlfn.XLOOKUP(表格1[[#This Row],[Model]],表格3[Model-Input-Ref2],表格3[TOSHIBA/HIGHEST])</f>
        <v>Toshiba SRP</v>
      </c>
      <c r="V1103" s="86" t="s">
        <v>1126</v>
      </c>
      <c r="W1103" s="86" t="str">
        <f>_xlfn.CONCAT(表格1[[#This Row],[欄4]],表格1[[#This Row],[inv no]])</f>
        <v>DA141816262</v>
      </c>
    </row>
    <row r="1104" spans="1:23" hidden="1">
      <c r="A1104" s="81">
        <v>1102</v>
      </c>
      <c r="B1104" s="81" t="s">
        <v>1477</v>
      </c>
      <c r="C1104" s="81" t="s">
        <v>1478</v>
      </c>
      <c r="D1104" s="82" t="str">
        <f ca="1">OFFSET(Roster!$A$3,MATCH(表格1[[#This Row],[Location]]&amp;" "&amp;表格1[[#This Row],[Shop]]&amp;"*",Roster!$A$4:$A$72,0),DAY(表格1[[#This Row],[date]]),1,1)</f>
        <v>Vicky L</v>
      </c>
      <c r="E1104" s="81">
        <f>MONTH(表格1[[#This Row],[date]])</f>
        <v>3</v>
      </c>
      <c r="F1104" s="101">
        <v>46097</v>
      </c>
      <c r="G1104" s="81" t="str">
        <f>VLOOKUP("*"&amp;表格1[[#This Row],[Input]]&amp;"*",'Ref-List'!$B:$D,2,)</f>
        <v>MWP-MG20P(BK)</v>
      </c>
      <c r="H1104" s="81" t="str">
        <f>_xlfn.XLOOKUP(表格1[[#This Row],[Model]],表格3[Model-Input-Ref2],表格3[Product Line])</f>
        <v>旋鈕式燒烤微波爐20L黑色</v>
      </c>
      <c r="I1104" s="81" t="str">
        <f>_xlfn.XLOOKUP(表格1[[#This Row],[Model]],表格3[Model-Input-Ref2],表格3[大小電])</f>
        <v>細電</v>
      </c>
      <c r="J1104" s="81" t="str">
        <f>_xlfn.XLOOKUP(表格1[[#This Row],[Model]],表格3[Model-Input-Ref2],表格3[Code])</f>
        <v>SDA</v>
      </c>
      <c r="K1104" s="82" t="s">
        <v>1485</v>
      </c>
      <c r="L1104" s="81">
        <v>1</v>
      </c>
      <c r="M1104" s="85">
        <v>698</v>
      </c>
      <c r="N1104" s="85">
        <f>IFERROR(表格1[[#This Row],[QTY]]*表格1[[#This Row],[Unit Price]],"-")</f>
        <v>698</v>
      </c>
      <c r="O1104" s="134">
        <v>901524</v>
      </c>
      <c r="P1104" s="81"/>
      <c r="Q1104" s="81"/>
      <c r="R1104" s="81" t="str">
        <f>_xlfn.CONCAT(表格1[[#This Row],[Model]]," ",表格1[[#This Row],[inv no]])</f>
        <v>MWP-MG20P(BK) 901524</v>
      </c>
      <c r="S1104" s="135">
        <f>_xlfn.XLOOKUP(表格1[[#This Row],[Model]],表格3[Model-Input-Ref2],表格3[SRP PRICE])</f>
        <v>918</v>
      </c>
      <c r="T1104" s="43">
        <f>表格1[[#This Row],[Unit Price]]/表格1[[#This Row],[SRP]]</f>
        <v>0.76034858387799564</v>
      </c>
      <c r="U1104" s="86" t="str">
        <f>_xlfn.XLOOKUP(表格1[[#This Row],[Model]],表格3[Model-Input-Ref2],表格3[TOSHIBA/HIGHEST])</f>
        <v>Toshiba SRP</v>
      </c>
      <c r="V1104" s="86" t="s">
        <v>1126</v>
      </c>
      <c r="W1104" s="86" t="str">
        <f>_xlfn.CONCAT(表格1[[#This Row],[欄4]],表格1[[#This Row],[inv no]])</f>
        <v>DA141901524</v>
      </c>
    </row>
    <row r="1105" spans="1:23" hidden="1">
      <c r="A1105" s="81">
        <v>1103</v>
      </c>
      <c r="B1105" s="81" t="s">
        <v>1477</v>
      </c>
      <c r="C1105" s="81" t="s">
        <v>1478</v>
      </c>
      <c r="D1105" s="82" t="str">
        <f ca="1">OFFSET(Roster!$A$3,MATCH(表格1[[#This Row],[Location]]&amp;" "&amp;表格1[[#This Row],[Shop]]&amp;"*",Roster!$A$4:$A$72,0),DAY(表格1[[#This Row],[date]]),1,1)</f>
        <v>Vicky L</v>
      </c>
      <c r="E1105" s="81">
        <f>MONTH(表格1[[#This Row],[date]])</f>
        <v>3</v>
      </c>
      <c r="F1105" s="101">
        <v>46097</v>
      </c>
      <c r="G1105" s="81" t="str">
        <f>VLOOKUP("*"&amp;表格1[[#This Row],[Input]]&amp;"*",'Ref-List'!$B:$D,2,)</f>
        <v>MV-AG21TF(BK)</v>
      </c>
      <c r="H1105" s="81" t="str">
        <f>_xlfn.XLOOKUP(表格1[[#This Row],[Model]],表格3[Model-Input-Ref2],表格3[Product Line])</f>
        <v>燒烤微波爐21L</v>
      </c>
      <c r="I1105" s="81" t="str">
        <f>_xlfn.XLOOKUP(表格1[[#This Row],[Model]],表格3[Model-Input-Ref2],表格3[大小電])</f>
        <v>細電</v>
      </c>
      <c r="J1105" s="81" t="str">
        <f>_xlfn.XLOOKUP(表格1[[#This Row],[Model]],表格3[Model-Input-Ref2],表格3[Code])</f>
        <v>SDA</v>
      </c>
      <c r="K1105" s="82" t="s">
        <v>1486</v>
      </c>
      <c r="L1105" s="81">
        <v>1</v>
      </c>
      <c r="M1105" s="85">
        <v>798</v>
      </c>
      <c r="N1105" s="85">
        <f>IFERROR(表格1[[#This Row],[QTY]]*表格1[[#This Row],[Unit Price]],"-")</f>
        <v>798</v>
      </c>
      <c r="O1105" s="134">
        <v>816023</v>
      </c>
      <c r="P1105" s="81"/>
      <c r="Q1105" s="81"/>
      <c r="R1105" s="81" t="str">
        <f>_xlfn.CONCAT(表格1[[#This Row],[Model]]," ",表格1[[#This Row],[inv no]])</f>
        <v>MV-AG21TF(BK) 816023</v>
      </c>
      <c r="S1105" s="135">
        <f>_xlfn.XLOOKUP(表格1[[#This Row],[Model]],表格3[Model-Input-Ref2],表格3[SRP PRICE])</f>
        <v>1098</v>
      </c>
      <c r="T1105" s="43">
        <f>表格1[[#This Row],[Unit Price]]/表格1[[#This Row],[SRP]]</f>
        <v>0.72677595628415304</v>
      </c>
      <c r="U1105" s="86" t="str">
        <f>_xlfn.XLOOKUP(表格1[[#This Row],[Model]],表格3[Model-Input-Ref2],表格3[TOSHIBA/HIGHEST])</f>
        <v>Toshiba SRP</v>
      </c>
      <c r="V1105" s="86" t="s">
        <v>1126</v>
      </c>
      <c r="W1105" s="86" t="str">
        <f>_xlfn.CONCAT(表格1[[#This Row],[欄4]],表格1[[#This Row],[inv no]])</f>
        <v>DA141816023</v>
      </c>
    </row>
    <row r="1106" spans="1:23" hidden="1">
      <c r="A1106" s="81">
        <v>1104</v>
      </c>
      <c r="B1106" s="81" t="s">
        <v>1477</v>
      </c>
      <c r="C1106" s="81" t="s">
        <v>1478</v>
      </c>
      <c r="D1106" s="82" t="str">
        <f ca="1">OFFSET(Roster!$A$3,MATCH(表格1[[#This Row],[Location]]&amp;" "&amp;表格1[[#This Row],[Shop]]&amp;"*",Roster!$A$4:$A$72,0),DAY(表格1[[#This Row],[date]]),1,1)</f>
        <v>Vicky L</v>
      </c>
      <c r="E1106" s="81">
        <f>MONTH(表格1[[#This Row],[date]])</f>
        <v>3</v>
      </c>
      <c r="F1106" s="101">
        <v>46103</v>
      </c>
      <c r="G1106" s="81" t="str">
        <f>VLOOKUP("*"&amp;表格1[[#This Row],[Input]]&amp;"*",'Ref-List'!$B:$D,2,)</f>
        <v>MV-AG21TF(BK)</v>
      </c>
      <c r="H1106" s="81" t="str">
        <f>_xlfn.XLOOKUP(表格1[[#This Row],[Model]],表格3[Model-Input-Ref2],表格3[Product Line])</f>
        <v>燒烤微波爐21L</v>
      </c>
      <c r="I1106" s="81" t="str">
        <f>_xlfn.XLOOKUP(表格1[[#This Row],[Model]],表格3[Model-Input-Ref2],表格3[大小電])</f>
        <v>細電</v>
      </c>
      <c r="J1106" s="81" t="str">
        <f>_xlfn.XLOOKUP(表格1[[#This Row],[Model]],表格3[Model-Input-Ref2],表格3[Code])</f>
        <v>SDA</v>
      </c>
      <c r="K1106" s="82" t="s">
        <v>1486</v>
      </c>
      <c r="L1106" s="81">
        <v>1</v>
      </c>
      <c r="M1106" s="85">
        <v>798</v>
      </c>
      <c r="N1106" s="85">
        <f>IFERROR(表格1[[#This Row],[QTY]]*表格1[[#This Row],[Unit Price]],"-")</f>
        <v>798</v>
      </c>
      <c r="O1106" s="134">
        <v>901776</v>
      </c>
      <c r="P1106" s="81"/>
      <c r="Q1106" s="81"/>
      <c r="R1106" s="81" t="str">
        <f>_xlfn.CONCAT(表格1[[#This Row],[Model]]," ",表格1[[#This Row],[inv no]])</f>
        <v>MV-AG21TF(BK) 901776</v>
      </c>
      <c r="S1106" s="135">
        <f>_xlfn.XLOOKUP(表格1[[#This Row],[Model]],表格3[Model-Input-Ref2],表格3[SRP PRICE])</f>
        <v>1098</v>
      </c>
      <c r="T1106" s="43">
        <f>表格1[[#This Row],[Unit Price]]/表格1[[#This Row],[SRP]]</f>
        <v>0.72677595628415304</v>
      </c>
      <c r="U1106" s="86" t="str">
        <f>_xlfn.XLOOKUP(表格1[[#This Row],[Model]],表格3[Model-Input-Ref2],表格3[TOSHIBA/HIGHEST])</f>
        <v>Toshiba SRP</v>
      </c>
      <c r="V1106" s="86" t="s">
        <v>1126</v>
      </c>
      <c r="W1106" s="86" t="str">
        <f>_xlfn.CONCAT(表格1[[#This Row],[欄4]],表格1[[#This Row],[inv no]])</f>
        <v>DA141901776</v>
      </c>
    </row>
    <row r="1107" spans="1:23" hidden="1">
      <c r="A1107" s="81">
        <v>1105</v>
      </c>
      <c r="B1107" s="81" t="s">
        <v>1477</v>
      </c>
      <c r="C1107" s="81" t="s">
        <v>1478</v>
      </c>
      <c r="D1107" s="82" t="str">
        <f ca="1">OFFSET(Roster!$A$3,MATCH(表格1[[#This Row],[Location]]&amp;" "&amp;表格1[[#This Row],[Shop]]&amp;"*",Roster!$A$4:$A$72,0),DAY(表格1[[#This Row],[date]]),1,1)</f>
        <v>Vicky L</v>
      </c>
      <c r="E1107" s="81">
        <f>MONTH(表格1[[#This Row],[date]])</f>
        <v>3</v>
      </c>
      <c r="F1107" s="101">
        <v>46110</v>
      </c>
      <c r="G1107" s="81" t="str">
        <f>VLOOKUP("*"&amp;表格1[[#This Row],[Input]]&amp;"*",'Ref-List'!$B:$D,2,)</f>
        <v>MV-AG21TF(BK)</v>
      </c>
      <c r="H1107" s="81" t="str">
        <f>_xlfn.XLOOKUP(表格1[[#This Row],[Model]],表格3[Model-Input-Ref2],表格3[Product Line])</f>
        <v>燒烤微波爐21L</v>
      </c>
      <c r="I1107" s="81" t="str">
        <f>_xlfn.XLOOKUP(表格1[[#This Row],[Model]],表格3[Model-Input-Ref2],表格3[大小電])</f>
        <v>細電</v>
      </c>
      <c r="J1107" s="81" t="str">
        <f>_xlfn.XLOOKUP(表格1[[#This Row],[Model]],表格3[Model-Input-Ref2],表格3[Code])</f>
        <v>SDA</v>
      </c>
      <c r="K1107" s="82" t="s">
        <v>1486</v>
      </c>
      <c r="L1107" s="81">
        <v>1</v>
      </c>
      <c r="M1107" s="85">
        <v>798</v>
      </c>
      <c r="N1107" s="85">
        <f>IFERROR(表格1[[#This Row],[QTY]]*表格1[[#This Row],[Unit Price]],"-")</f>
        <v>798</v>
      </c>
      <c r="O1107" s="134">
        <v>817121</v>
      </c>
      <c r="P1107" s="81"/>
      <c r="Q1107" s="81"/>
      <c r="R1107" s="81" t="str">
        <f>_xlfn.CONCAT(表格1[[#This Row],[Model]]," ",表格1[[#This Row],[inv no]])</f>
        <v>MV-AG21TF(BK) 817121</v>
      </c>
      <c r="S1107" s="135">
        <f>_xlfn.XLOOKUP(表格1[[#This Row],[Model]],表格3[Model-Input-Ref2],表格3[SRP PRICE])</f>
        <v>1098</v>
      </c>
      <c r="T1107" s="43">
        <f>表格1[[#This Row],[Unit Price]]/表格1[[#This Row],[SRP]]</f>
        <v>0.72677595628415304</v>
      </c>
      <c r="U1107" s="86" t="str">
        <f>_xlfn.XLOOKUP(表格1[[#This Row],[Model]],表格3[Model-Input-Ref2],表格3[TOSHIBA/HIGHEST])</f>
        <v>Toshiba SRP</v>
      </c>
      <c r="V1107" s="86" t="s">
        <v>1126</v>
      </c>
      <c r="W1107" s="86" t="str">
        <f>_xlfn.CONCAT(表格1[[#This Row],[欄4]],表格1[[#This Row],[inv no]])</f>
        <v>DA141817121</v>
      </c>
    </row>
    <row r="1108" spans="1:23" hidden="1">
      <c r="A1108" s="81">
        <v>1106</v>
      </c>
      <c r="B1108" s="81" t="s">
        <v>1477</v>
      </c>
      <c r="C1108" s="81" t="s">
        <v>1478</v>
      </c>
      <c r="D1108" s="82" t="str">
        <f ca="1">OFFSET(Roster!$A$3,MATCH(表格1[[#This Row],[Location]]&amp;" "&amp;表格1[[#This Row],[Shop]]&amp;"*",Roster!$A$4:$A$72,0),DAY(表格1[[#This Row],[date]]),1,1)</f>
        <v>Vicky L</v>
      </c>
      <c r="E1108" s="81">
        <f>MONTH(表格1[[#This Row],[date]])</f>
        <v>3</v>
      </c>
      <c r="F1108" s="101">
        <v>46096</v>
      </c>
      <c r="G1108" s="81" t="str">
        <f>VLOOKUP("*"&amp;表格1[[#This Row],[Input]]&amp;"*",'Ref-List'!$B:$D,2,)</f>
        <v>MW3-SAC24SE(BK)</v>
      </c>
      <c r="H1108" s="81" t="str">
        <f>_xlfn.XLOOKUP(表格1[[#This Row],[Model]],表格3[Model-Input-Ref2],表格3[Product Line])</f>
        <v>智能氣炸烤焗爐(24公升)</v>
      </c>
      <c r="I1108" s="81" t="str">
        <f>_xlfn.XLOOKUP(表格1[[#This Row],[Model]],表格3[Model-Input-Ref2],表格3[大小電])</f>
        <v>細電</v>
      </c>
      <c r="J1108" s="81" t="str">
        <f>_xlfn.XLOOKUP(表格1[[#This Row],[Model]],表格3[Model-Input-Ref2],表格3[Code])</f>
        <v>MCA</v>
      </c>
      <c r="K1108" s="82" t="s">
        <v>1274</v>
      </c>
      <c r="L1108" s="81">
        <v>1</v>
      </c>
      <c r="M1108" s="85">
        <v>1320</v>
      </c>
      <c r="N1108" s="85">
        <f>IFERROR(表格1[[#This Row],[QTY]]*表格1[[#This Row],[Unit Price]],"-")</f>
        <v>1320</v>
      </c>
      <c r="O1108" s="134">
        <v>815940</v>
      </c>
      <c r="P1108" s="81"/>
      <c r="Q1108" s="81"/>
      <c r="R1108" s="81" t="str">
        <f>_xlfn.CONCAT(表格1[[#This Row],[Model]]," ",表格1[[#This Row],[inv no]])</f>
        <v>MW3-SAC24SE(BK) 815940</v>
      </c>
      <c r="S1108" s="135">
        <f>_xlfn.XLOOKUP(表格1[[#This Row],[Model]],表格3[Model-Input-Ref2],表格3[SRP PRICE])</f>
        <v>1680</v>
      </c>
      <c r="T1108" s="43">
        <f>表格1[[#This Row],[Unit Price]]/表格1[[#This Row],[SRP]]</f>
        <v>0.7857142857142857</v>
      </c>
      <c r="U1108" s="86" t="str">
        <f>_xlfn.XLOOKUP(表格1[[#This Row],[Model]],表格3[Model-Input-Ref2],表格3[TOSHIBA/HIGHEST])</f>
        <v>Toshiba SRP</v>
      </c>
      <c r="V1108" s="86" t="s">
        <v>1126</v>
      </c>
      <c r="W1108" s="86" t="str">
        <f>_xlfn.CONCAT(表格1[[#This Row],[欄4]],表格1[[#This Row],[inv no]])</f>
        <v>DA141815940</v>
      </c>
    </row>
    <row r="1109" spans="1:23" hidden="1">
      <c r="A1109" s="81">
        <v>1107</v>
      </c>
      <c r="B1109" s="81" t="s">
        <v>1477</v>
      </c>
      <c r="C1109" s="81" t="s">
        <v>1478</v>
      </c>
      <c r="D1109" s="82" t="str">
        <f ca="1">OFFSET(Roster!$A$3,MATCH(表格1[[#This Row],[Location]]&amp;" "&amp;表格1[[#This Row],[Shop]]&amp;"*",Roster!$A$4:$A$72,0),DAY(表格1[[#This Row],[date]]),1,1)</f>
        <v>Vicky L</v>
      </c>
      <c r="E1109" s="81">
        <f>MONTH(表格1[[#This Row],[date]])</f>
        <v>3</v>
      </c>
      <c r="F1109" s="101">
        <v>46097</v>
      </c>
      <c r="G1109" s="81" t="str">
        <f>VLOOKUP("*"&amp;表格1[[#This Row],[Input]]&amp;"*",'Ref-List'!$B:$D,2,)</f>
        <v>MW3-SAC24SE(BK)</v>
      </c>
      <c r="H1109" s="81" t="str">
        <f>_xlfn.XLOOKUP(表格1[[#This Row],[Model]],表格3[Model-Input-Ref2],表格3[Product Line])</f>
        <v>智能氣炸烤焗爐(24公升)</v>
      </c>
      <c r="I1109" s="81" t="str">
        <f>_xlfn.XLOOKUP(表格1[[#This Row],[Model]],表格3[Model-Input-Ref2],表格3[大小電])</f>
        <v>細電</v>
      </c>
      <c r="J1109" s="81" t="str">
        <f>_xlfn.XLOOKUP(表格1[[#This Row],[Model]],表格3[Model-Input-Ref2],表格3[Code])</f>
        <v>MCA</v>
      </c>
      <c r="K1109" s="82" t="s">
        <v>1274</v>
      </c>
      <c r="L1109" s="81">
        <v>1</v>
      </c>
      <c r="M1109" s="85">
        <v>1320</v>
      </c>
      <c r="N1109" s="85">
        <f>IFERROR(表格1[[#This Row],[QTY]]*表格1[[#This Row],[Unit Price]],"-")</f>
        <v>1320</v>
      </c>
      <c r="O1109" s="134">
        <v>816022</v>
      </c>
      <c r="P1109" s="81"/>
      <c r="Q1109" s="81"/>
      <c r="R1109" s="81" t="str">
        <f>_xlfn.CONCAT(表格1[[#This Row],[Model]]," ",表格1[[#This Row],[inv no]])</f>
        <v>MW3-SAC24SE(BK) 816022</v>
      </c>
      <c r="S1109" s="135">
        <f>_xlfn.XLOOKUP(表格1[[#This Row],[Model]],表格3[Model-Input-Ref2],表格3[SRP PRICE])</f>
        <v>1680</v>
      </c>
      <c r="T1109" s="43">
        <f>表格1[[#This Row],[Unit Price]]/表格1[[#This Row],[SRP]]</f>
        <v>0.7857142857142857</v>
      </c>
      <c r="U1109" s="86" t="str">
        <f>_xlfn.XLOOKUP(表格1[[#This Row],[Model]],表格3[Model-Input-Ref2],表格3[TOSHIBA/HIGHEST])</f>
        <v>Toshiba SRP</v>
      </c>
      <c r="V1109" s="86" t="s">
        <v>1126</v>
      </c>
      <c r="W1109" s="86" t="str">
        <f>_xlfn.CONCAT(表格1[[#This Row],[欄4]],表格1[[#This Row],[inv no]])</f>
        <v>DA141816022</v>
      </c>
    </row>
    <row r="1110" spans="1:23" hidden="1">
      <c r="A1110" s="81">
        <v>1108</v>
      </c>
      <c r="B1110" s="81" t="s">
        <v>1477</v>
      </c>
      <c r="C1110" s="81" t="s">
        <v>1478</v>
      </c>
      <c r="D1110" s="82" t="str">
        <f ca="1">OFFSET(Roster!$A$3,MATCH(表格1[[#This Row],[Location]]&amp;" "&amp;表格1[[#This Row],[Shop]]&amp;"*",Roster!$A$4:$A$72,0),DAY(表格1[[#This Row],[date]]),1,1)</f>
        <v>Vicky L</v>
      </c>
      <c r="E1110" s="81">
        <f>MONTH(表格1[[#This Row],[date]])</f>
        <v>3</v>
      </c>
      <c r="F1110" s="101">
        <v>46107</v>
      </c>
      <c r="G1110" s="81" t="str">
        <f>VLOOKUP("*"&amp;表格1[[#This Row],[Input]]&amp;"*",'Ref-List'!$B:$D,2,)</f>
        <v>MW3-SAC24SE(BK)</v>
      </c>
      <c r="H1110" s="81" t="str">
        <f>_xlfn.XLOOKUP(表格1[[#This Row],[Model]],表格3[Model-Input-Ref2],表格3[Product Line])</f>
        <v>智能氣炸烤焗爐(24公升)</v>
      </c>
      <c r="I1110" s="81" t="str">
        <f>_xlfn.XLOOKUP(表格1[[#This Row],[Model]],表格3[Model-Input-Ref2],表格3[大小電])</f>
        <v>細電</v>
      </c>
      <c r="J1110" s="81" t="str">
        <f>_xlfn.XLOOKUP(表格1[[#This Row],[Model]],表格3[Model-Input-Ref2],表格3[Code])</f>
        <v>MCA</v>
      </c>
      <c r="K1110" s="82" t="s">
        <v>1274</v>
      </c>
      <c r="L1110" s="81">
        <v>1</v>
      </c>
      <c r="M1110" s="85">
        <v>1320</v>
      </c>
      <c r="N1110" s="85">
        <f>IFERROR(表格1[[#This Row],[QTY]]*表格1[[#This Row],[Unit Price]],"-")</f>
        <v>1320</v>
      </c>
      <c r="O1110" s="134">
        <v>901967</v>
      </c>
      <c r="P1110" s="81"/>
      <c r="Q1110" s="81"/>
      <c r="R1110" s="81" t="str">
        <f>_xlfn.CONCAT(表格1[[#This Row],[Model]]," ",表格1[[#This Row],[inv no]])</f>
        <v>MW3-SAC24SE(BK) 901967</v>
      </c>
      <c r="S1110" s="135">
        <f>_xlfn.XLOOKUP(表格1[[#This Row],[Model]],表格3[Model-Input-Ref2],表格3[SRP PRICE])</f>
        <v>1680</v>
      </c>
      <c r="T1110" s="43">
        <f>表格1[[#This Row],[Unit Price]]/表格1[[#This Row],[SRP]]</f>
        <v>0.7857142857142857</v>
      </c>
      <c r="U1110" s="86" t="str">
        <f>_xlfn.XLOOKUP(表格1[[#This Row],[Model]],表格3[Model-Input-Ref2],表格3[TOSHIBA/HIGHEST])</f>
        <v>Toshiba SRP</v>
      </c>
      <c r="V1110" s="86" t="s">
        <v>1126</v>
      </c>
      <c r="W1110" s="86" t="str">
        <f>_xlfn.CONCAT(表格1[[#This Row],[欄4]],表格1[[#This Row],[inv no]])</f>
        <v>DA141901967</v>
      </c>
    </row>
    <row r="1111" spans="1:23" hidden="1">
      <c r="A1111" s="81">
        <v>1109</v>
      </c>
      <c r="B1111" s="81" t="s">
        <v>1477</v>
      </c>
      <c r="C1111" s="81" t="s">
        <v>1478</v>
      </c>
      <c r="D1111" s="82" t="str">
        <f ca="1">OFFSET(Roster!$A$3,MATCH(表格1[[#This Row],[Location]]&amp;" "&amp;表格1[[#This Row],[Shop]]&amp;"*",Roster!$A$4:$A$72,0),DAY(表格1[[#This Row],[date]]),1,1)</f>
        <v>Vicky L off</v>
      </c>
      <c r="E1111" s="81">
        <f>MONTH(表格1[[#This Row],[date]])</f>
        <v>3</v>
      </c>
      <c r="F1111" s="101">
        <v>46090</v>
      </c>
      <c r="G1111" s="81" t="str">
        <f>VLOOKUP("*"&amp;表格1[[#This Row],[Input]]&amp;"*",'Ref-List'!$B:$D,2,)</f>
        <v>ET-TD7080(PN)</v>
      </c>
      <c r="H1111" s="81" t="str">
        <f>_xlfn.XLOOKUP(表格1[[#This Row],[Model]],表格3[Model-Input-Ref2],表格3[Product Line])</f>
        <v>多士焗爐8L</v>
      </c>
      <c r="I1111" s="81" t="str">
        <f>_xlfn.XLOOKUP(表格1[[#This Row],[Model]],表格3[Model-Input-Ref2],表格3[大小電])</f>
        <v>細電</v>
      </c>
      <c r="J1111" s="81" t="str">
        <f>_xlfn.XLOOKUP(表格1[[#This Row],[Model]],表格3[Model-Input-Ref2],表格3[Code])</f>
        <v>SDA</v>
      </c>
      <c r="K1111" s="82">
        <v>7080</v>
      </c>
      <c r="L1111" s="81">
        <v>1</v>
      </c>
      <c r="M1111" s="85">
        <v>318</v>
      </c>
      <c r="N1111" s="85">
        <f>IFERROR(表格1[[#This Row],[QTY]]*表格1[[#This Row],[Unit Price]],"-")</f>
        <v>318</v>
      </c>
      <c r="O1111" s="134">
        <v>815385</v>
      </c>
      <c r="P1111" s="81"/>
      <c r="Q1111" s="81"/>
      <c r="R1111" s="81" t="str">
        <f>_xlfn.CONCAT(表格1[[#This Row],[Model]]," ",表格1[[#This Row],[inv no]])</f>
        <v>ET-TD7080(PN) 815385</v>
      </c>
      <c r="S1111" s="135">
        <f>_xlfn.XLOOKUP(表格1[[#This Row],[Model]],表格3[Model-Input-Ref2],表格3[SRP PRICE])</f>
        <v>498</v>
      </c>
      <c r="T1111" s="43">
        <f>表格1[[#This Row],[Unit Price]]/表格1[[#This Row],[SRP]]</f>
        <v>0.63855421686746983</v>
      </c>
      <c r="U1111" s="86" t="str">
        <f>_xlfn.XLOOKUP(表格1[[#This Row],[Model]],表格3[Model-Input-Ref2],表格3[TOSHIBA/HIGHEST])</f>
        <v>Toshiba SRP</v>
      </c>
      <c r="V1111" s="86" t="s">
        <v>1126</v>
      </c>
      <c r="W1111" s="86" t="str">
        <f>_xlfn.CONCAT(表格1[[#This Row],[欄4]],表格1[[#This Row],[inv no]])</f>
        <v>DA141815385</v>
      </c>
    </row>
    <row r="1112" spans="1:23" hidden="1">
      <c r="A1112" s="81">
        <v>1110</v>
      </c>
      <c r="B1112" s="81" t="s">
        <v>1477</v>
      </c>
      <c r="C1112" s="81" t="s">
        <v>1478</v>
      </c>
      <c r="D1112" s="82" t="str">
        <f ca="1">OFFSET(Roster!$A$3,MATCH(表格1[[#This Row],[Location]]&amp;" "&amp;表格1[[#This Row],[Shop]]&amp;"*",Roster!$A$4:$A$72,0),DAY(表格1[[#This Row],[date]]),1,1)</f>
        <v>Vicky L</v>
      </c>
      <c r="E1112" s="81">
        <f>MONTH(表格1[[#This Row],[date]])</f>
        <v>3</v>
      </c>
      <c r="F1112" s="101">
        <v>46107</v>
      </c>
      <c r="G1112" s="81" t="str">
        <f>VLOOKUP("*"&amp;表格1[[#This Row],[Input]]&amp;"*",'Ref-List'!$B:$D,2,)</f>
        <v>ET-TD7080(PN)</v>
      </c>
      <c r="H1112" s="81" t="str">
        <f>_xlfn.XLOOKUP(表格1[[#This Row],[Model]],表格3[Model-Input-Ref2],表格3[Product Line])</f>
        <v>多士焗爐8L</v>
      </c>
      <c r="I1112" s="81" t="str">
        <f>_xlfn.XLOOKUP(表格1[[#This Row],[Model]],表格3[Model-Input-Ref2],表格3[大小電])</f>
        <v>細電</v>
      </c>
      <c r="J1112" s="81" t="str">
        <f>_xlfn.XLOOKUP(表格1[[#This Row],[Model]],表格3[Model-Input-Ref2],表格3[Code])</f>
        <v>SDA</v>
      </c>
      <c r="K1112" s="82">
        <v>7080</v>
      </c>
      <c r="L1112" s="81">
        <v>1</v>
      </c>
      <c r="M1112" s="85">
        <v>338</v>
      </c>
      <c r="N1112" s="85">
        <f>IFERROR(表格1[[#This Row],[QTY]]*表格1[[#This Row],[Unit Price]],"-")</f>
        <v>338</v>
      </c>
      <c r="O1112" s="134">
        <v>901968</v>
      </c>
      <c r="P1112" s="81"/>
      <c r="Q1112" s="81"/>
      <c r="R1112" s="81" t="str">
        <f>_xlfn.CONCAT(表格1[[#This Row],[Model]]," ",表格1[[#This Row],[inv no]])</f>
        <v>ET-TD7080(PN) 901968</v>
      </c>
      <c r="S1112" s="135">
        <f>_xlfn.XLOOKUP(表格1[[#This Row],[Model]],表格3[Model-Input-Ref2],表格3[SRP PRICE])</f>
        <v>498</v>
      </c>
      <c r="T1112" s="43">
        <f>表格1[[#This Row],[Unit Price]]/表格1[[#This Row],[SRP]]</f>
        <v>0.67871485943775101</v>
      </c>
      <c r="U1112" s="86" t="str">
        <f>_xlfn.XLOOKUP(表格1[[#This Row],[Model]],表格3[Model-Input-Ref2],表格3[TOSHIBA/HIGHEST])</f>
        <v>Toshiba SRP</v>
      </c>
      <c r="V1112" s="86" t="s">
        <v>1126</v>
      </c>
      <c r="W1112" s="86" t="str">
        <f>_xlfn.CONCAT(表格1[[#This Row],[欄4]],表格1[[#This Row],[inv no]])</f>
        <v>DA141901968</v>
      </c>
    </row>
    <row r="1113" spans="1:23" hidden="1">
      <c r="A1113" s="81">
        <v>1111</v>
      </c>
      <c r="B1113" s="81" t="s">
        <v>1477</v>
      </c>
      <c r="C1113" s="81" t="s">
        <v>1478</v>
      </c>
      <c r="D1113" s="82" t="str">
        <f ca="1">OFFSET(Roster!$A$3,MATCH(表格1[[#This Row],[Location]]&amp;" "&amp;表格1[[#This Row],[Shop]]&amp;"*",Roster!$A$4:$A$72,0),DAY(表格1[[#This Row],[date]]),1,1)</f>
        <v>Vicky L</v>
      </c>
      <c r="E1113" s="81">
        <f>MONTH(表格1[[#This Row],[date]])</f>
        <v>3</v>
      </c>
      <c r="F1113" s="101">
        <v>46096</v>
      </c>
      <c r="G1113" s="81" t="str">
        <f>VLOOKUP("*"&amp;表格1[[#This Row],[Input]]&amp;"*",'Ref-List'!$B:$D,2,)</f>
        <v>Model-Input-Ref2</v>
      </c>
      <c r="H1113" s="81" t="e">
        <f>_xlfn.XLOOKUP(表格1[[#This Row],[Model]],表格3[Model-Input-Ref2],表格3[Product Line])</f>
        <v>#N/A</v>
      </c>
      <c r="I1113" s="81" t="e">
        <f>_xlfn.XLOOKUP(表格1[[#This Row],[Model]],表格3[Model-Input-Ref2],表格3[大小電])</f>
        <v>#N/A</v>
      </c>
      <c r="J1113" s="81" t="e">
        <f>_xlfn.XLOOKUP(表格1[[#This Row],[Model]],表格3[Model-Input-Ref2],表格3[Code])</f>
        <v>#N/A</v>
      </c>
      <c r="K1113" s="82"/>
      <c r="L1113" s="81"/>
      <c r="M1113" s="85"/>
      <c r="N1113" s="85">
        <f>IFERROR(表格1[[#This Row],[QTY]]*表格1[[#This Row],[Unit Price]],"-")</f>
        <v>0</v>
      </c>
      <c r="O1113" s="134"/>
      <c r="P1113" s="81" t="s">
        <v>1502</v>
      </c>
      <c r="Q1113" s="81"/>
      <c r="R1113" s="81" t="str">
        <f>_xlfn.CONCAT(表格1[[#This Row],[Model]]," ",表格1[[#This Row],[inv no]])</f>
        <v xml:space="preserve">Model-Input-Ref2 </v>
      </c>
      <c r="S1113" s="135" t="e">
        <f>_xlfn.XLOOKUP(表格1[[#This Row],[Model]],表格3[Model-Input-Ref2],表格3[SRP PRICE])</f>
        <v>#N/A</v>
      </c>
      <c r="T1113" s="43" t="e">
        <f>表格1[[#This Row],[Unit Price]]/表格1[[#This Row],[SRP]]</f>
        <v>#N/A</v>
      </c>
      <c r="U1113" s="86" t="e">
        <f>_xlfn.XLOOKUP(表格1[[#This Row],[Model]],表格3[Model-Input-Ref2],表格3[TOSHIBA/HIGHEST])</f>
        <v>#N/A</v>
      </c>
      <c r="V1113" s="86" t="s">
        <v>1126</v>
      </c>
      <c r="W1113" s="86" t="str">
        <f>_xlfn.CONCAT(表格1[[#This Row],[欄4]],表格1[[#This Row],[inv no]])</f>
        <v>DA141</v>
      </c>
    </row>
    <row r="1114" spans="1:23" hidden="1">
      <c r="A1114" s="81">
        <v>1112</v>
      </c>
      <c r="B1114" s="81" t="s">
        <v>1477</v>
      </c>
      <c r="C1114" s="81" t="s">
        <v>1478</v>
      </c>
      <c r="D1114" s="82" t="str">
        <f ca="1">OFFSET(Roster!$A$3,MATCH(表格1[[#This Row],[Location]]&amp;" "&amp;表格1[[#This Row],[Shop]]&amp;"*",Roster!$A$4:$A$72,0),DAY(表格1[[#This Row],[date]]),1,1)</f>
        <v>Vicky L</v>
      </c>
      <c r="E1114" s="81">
        <f>MONTH(表格1[[#This Row],[date]])</f>
        <v>3</v>
      </c>
      <c r="F1114" s="101">
        <v>46095</v>
      </c>
      <c r="G1114" s="81" t="str">
        <f>VLOOKUP("*"&amp;表格1[[#This Row],[Input]]&amp;"*",'Ref-List'!$B:$D,2,)</f>
        <v>IC-S19RH</v>
      </c>
      <c r="H1114" s="81" t="str">
        <f>_xlfn.XLOOKUP(表格1[[#This Row],[Model]],表格3[Model-Input-Ref2],表格3[Product Line])</f>
        <v>輕便式電磁爐7個功能</v>
      </c>
      <c r="I1114" s="81" t="str">
        <f>_xlfn.XLOOKUP(表格1[[#This Row],[Model]],表格3[Model-Input-Ref2],表格3[大小電])</f>
        <v>細電</v>
      </c>
      <c r="J1114" s="81" t="str">
        <f>_xlfn.XLOOKUP(表格1[[#This Row],[Model]],表格3[Model-Input-Ref2],表格3[Code])</f>
        <v>SDA</v>
      </c>
      <c r="K1114" s="82" t="s">
        <v>1289</v>
      </c>
      <c r="L1114" s="81">
        <v>1</v>
      </c>
      <c r="M1114" s="85">
        <v>418</v>
      </c>
      <c r="N1114" s="85">
        <f>IFERROR(表格1[[#This Row],[QTY]]*表格1[[#This Row],[Unit Price]],"-")</f>
        <v>418</v>
      </c>
      <c r="O1114" s="134">
        <v>815775</v>
      </c>
      <c r="P1114" s="81"/>
      <c r="Q1114" s="81"/>
      <c r="R1114" s="81" t="str">
        <f>_xlfn.CONCAT(表格1[[#This Row],[Model]]," ",表格1[[#This Row],[inv no]])</f>
        <v>IC-S19RH 815775</v>
      </c>
      <c r="S1114" s="135">
        <f>_xlfn.XLOOKUP(表格1[[#This Row],[Model]],表格3[Model-Input-Ref2],表格3[SRP PRICE])</f>
        <v>638</v>
      </c>
      <c r="T1114" s="43">
        <f>表格1[[#This Row],[Unit Price]]/表格1[[#This Row],[SRP]]</f>
        <v>0.65517241379310343</v>
      </c>
      <c r="U1114" s="86" t="str">
        <f>_xlfn.XLOOKUP(表格1[[#This Row],[Model]],表格3[Model-Input-Ref2],表格3[TOSHIBA/HIGHEST])</f>
        <v>Toshiba SRP</v>
      </c>
      <c r="V1114" s="86" t="s">
        <v>1126</v>
      </c>
      <c r="W1114" s="86" t="str">
        <f>_xlfn.CONCAT(表格1[[#This Row],[欄4]],表格1[[#This Row],[inv no]])</f>
        <v>DA141815775</v>
      </c>
    </row>
    <row r="1115" spans="1:23" hidden="1">
      <c r="A1115" s="81">
        <v>1113</v>
      </c>
      <c r="B1115" s="81" t="s">
        <v>1477</v>
      </c>
      <c r="C1115" s="81" t="s">
        <v>1478</v>
      </c>
      <c r="D1115" s="82" t="str">
        <f ca="1">OFFSET(Roster!$A$3,MATCH(表格1[[#This Row],[Location]]&amp;" "&amp;表格1[[#This Row],[Shop]]&amp;"*",Roster!$A$4:$A$72,0),DAY(表格1[[#This Row],[date]]),1,1)</f>
        <v>Vicky L</v>
      </c>
      <c r="E1115" s="81">
        <f>MONTH(表格1[[#This Row],[date]])</f>
        <v>3</v>
      </c>
      <c r="F1115" s="101">
        <v>46095</v>
      </c>
      <c r="G1115" s="81" t="str">
        <f>VLOOKUP("*"&amp;表格1[[#This Row],[Input]]&amp;"*",'Ref-List'!$B:$D,2,)</f>
        <v>IC-S19RH</v>
      </c>
      <c r="H1115" s="81" t="str">
        <f>_xlfn.XLOOKUP(表格1[[#This Row],[Model]],表格3[Model-Input-Ref2],表格3[Product Line])</f>
        <v>輕便式電磁爐7個功能</v>
      </c>
      <c r="I1115" s="81" t="str">
        <f>_xlfn.XLOOKUP(表格1[[#This Row],[Model]],表格3[Model-Input-Ref2],表格3[大小電])</f>
        <v>細電</v>
      </c>
      <c r="J1115" s="81" t="str">
        <f>_xlfn.XLOOKUP(表格1[[#This Row],[Model]],表格3[Model-Input-Ref2],表格3[Code])</f>
        <v>SDA</v>
      </c>
      <c r="K1115" s="82" t="s">
        <v>1289</v>
      </c>
      <c r="L1115" s="81">
        <v>1</v>
      </c>
      <c r="M1115" s="85">
        <v>418</v>
      </c>
      <c r="N1115" s="85">
        <f>IFERROR(表格1[[#This Row],[QTY]]*表格1[[#This Row],[Unit Price]],"-")</f>
        <v>418</v>
      </c>
      <c r="O1115" s="134">
        <v>815778</v>
      </c>
      <c r="P1115" s="81"/>
      <c r="Q1115" s="81"/>
      <c r="R1115" s="81" t="str">
        <f>_xlfn.CONCAT(表格1[[#This Row],[Model]]," ",表格1[[#This Row],[inv no]])</f>
        <v>IC-S19RH 815778</v>
      </c>
      <c r="S1115" s="135">
        <f>_xlfn.XLOOKUP(表格1[[#This Row],[Model]],表格3[Model-Input-Ref2],表格3[SRP PRICE])</f>
        <v>638</v>
      </c>
      <c r="T1115" s="43">
        <f>表格1[[#This Row],[Unit Price]]/表格1[[#This Row],[SRP]]</f>
        <v>0.65517241379310343</v>
      </c>
      <c r="U1115" s="86" t="str">
        <f>_xlfn.XLOOKUP(表格1[[#This Row],[Model]],表格3[Model-Input-Ref2],表格3[TOSHIBA/HIGHEST])</f>
        <v>Toshiba SRP</v>
      </c>
      <c r="V1115" s="86" t="s">
        <v>1126</v>
      </c>
      <c r="W1115" s="86" t="str">
        <f>_xlfn.CONCAT(表格1[[#This Row],[欄4]],表格1[[#This Row],[inv no]])</f>
        <v>DA141815778</v>
      </c>
    </row>
    <row r="1116" spans="1:23" hidden="1">
      <c r="A1116" s="81">
        <v>1114</v>
      </c>
      <c r="B1116" s="81" t="s">
        <v>1477</v>
      </c>
      <c r="C1116" s="81" t="s">
        <v>1478</v>
      </c>
      <c r="D1116" s="82" t="str">
        <f ca="1">OFFSET(Roster!$A$3,MATCH(表格1[[#This Row],[Location]]&amp;" "&amp;表格1[[#This Row],[Shop]]&amp;"*",Roster!$A$4:$A$72,0),DAY(表格1[[#This Row],[date]]),1,1)</f>
        <v>Vicky L</v>
      </c>
      <c r="E1116" s="81">
        <f>MONTH(表格1[[#This Row],[date]])</f>
        <v>3</v>
      </c>
      <c r="F1116" s="101">
        <v>46099</v>
      </c>
      <c r="G1116" s="81" t="str">
        <f>VLOOKUP("*"&amp;表格1[[#This Row],[Input]]&amp;"*",'Ref-List'!$B:$D,2,)</f>
        <v>IC-S19RH</v>
      </c>
      <c r="H1116" s="81" t="str">
        <f>_xlfn.XLOOKUP(表格1[[#This Row],[Model]],表格3[Model-Input-Ref2],表格3[Product Line])</f>
        <v>輕便式電磁爐7個功能</v>
      </c>
      <c r="I1116" s="81" t="str">
        <f>_xlfn.XLOOKUP(表格1[[#This Row],[Model]],表格3[Model-Input-Ref2],表格3[大小電])</f>
        <v>細電</v>
      </c>
      <c r="J1116" s="81" t="str">
        <f>_xlfn.XLOOKUP(表格1[[#This Row],[Model]],表格3[Model-Input-Ref2],表格3[Code])</f>
        <v>SDA</v>
      </c>
      <c r="K1116" s="82" t="s">
        <v>1289</v>
      </c>
      <c r="L1116" s="81">
        <v>1</v>
      </c>
      <c r="M1116" s="85">
        <v>418</v>
      </c>
      <c r="N1116" s="85">
        <f>IFERROR(表格1[[#This Row],[QTY]]*表格1[[#This Row],[Unit Price]],"-")</f>
        <v>418</v>
      </c>
      <c r="O1116" s="134">
        <v>816114</v>
      </c>
      <c r="P1116" s="81"/>
      <c r="Q1116" s="81"/>
      <c r="R1116" s="81" t="str">
        <f>_xlfn.CONCAT(表格1[[#This Row],[Model]]," ",表格1[[#This Row],[inv no]])</f>
        <v>IC-S19RH 816114</v>
      </c>
      <c r="S1116" s="135">
        <f>_xlfn.XLOOKUP(表格1[[#This Row],[Model]],表格3[Model-Input-Ref2],表格3[SRP PRICE])</f>
        <v>638</v>
      </c>
      <c r="T1116" s="43">
        <f>表格1[[#This Row],[Unit Price]]/表格1[[#This Row],[SRP]]</f>
        <v>0.65517241379310343</v>
      </c>
      <c r="U1116" s="86" t="str">
        <f>_xlfn.XLOOKUP(表格1[[#This Row],[Model]],表格3[Model-Input-Ref2],表格3[TOSHIBA/HIGHEST])</f>
        <v>Toshiba SRP</v>
      </c>
      <c r="V1116" s="86" t="s">
        <v>1126</v>
      </c>
      <c r="W1116" s="86" t="str">
        <f>_xlfn.CONCAT(表格1[[#This Row],[欄4]],表格1[[#This Row],[inv no]])</f>
        <v>DA141816114</v>
      </c>
    </row>
    <row r="1117" spans="1:23" hidden="1">
      <c r="A1117" s="81">
        <v>1115</v>
      </c>
      <c r="B1117" s="81" t="s">
        <v>1477</v>
      </c>
      <c r="C1117" s="81" t="s">
        <v>1478</v>
      </c>
      <c r="D1117" s="82" t="str">
        <f ca="1">OFFSET(Roster!$A$3,MATCH(表格1[[#This Row],[Location]]&amp;" "&amp;表格1[[#This Row],[Shop]]&amp;"*",Roster!$A$4:$A$72,0),DAY(表格1[[#This Row],[date]]),1,1)</f>
        <v>Vicky L</v>
      </c>
      <c r="E1117" s="81">
        <f>MONTH(表格1[[#This Row],[date]])</f>
        <v>3</v>
      </c>
      <c r="F1117" s="101">
        <v>46106</v>
      </c>
      <c r="G1117" s="81" t="str">
        <f>VLOOKUP("*"&amp;表格1[[#This Row],[Input]]&amp;"*",'Ref-List'!$B:$D,2,)</f>
        <v>IC-S19RH</v>
      </c>
      <c r="H1117" s="81" t="str">
        <f>_xlfn.XLOOKUP(表格1[[#This Row],[Model]],表格3[Model-Input-Ref2],表格3[Product Line])</f>
        <v>輕便式電磁爐7個功能</v>
      </c>
      <c r="I1117" s="81" t="str">
        <f>_xlfn.XLOOKUP(表格1[[#This Row],[Model]],表格3[Model-Input-Ref2],表格3[大小電])</f>
        <v>細電</v>
      </c>
      <c r="J1117" s="81" t="str">
        <f>_xlfn.XLOOKUP(表格1[[#This Row],[Model]],表格3[Model-Input-Ref2],表格3[Code])</f>
        <v>SDA</v>
      </c>
      <c r="K1117" s="82" t="s">
        <v>1289</v>
      </c>
      <c r="L1117" s="81">
        <v>1</v>
      </c>
      <c r="M1117" s="85">
        <v>418</v>
      </c>
      <c r="N1117" s="85">
        <f>IFERROR(表格1[[#This Row],[QTY]]*表格1[[#This Row],[Unit Price]],"-")</f>
        <v>418</v>
      </c>
      <c r="O1117" s="134">
        <v>816760</v>
      </c>
      <c r="P1117" s="81"/>
      <c r="Q1117" s="81"/>
      <c r="R1117" s="81" t="str">
        <f>_xlfn.CONCAT(表格1[[#This Row],[Model]]," ",表格1[[#This Row],[inv no]])</f>
        <v>IC-S19RH 816760</v>
      </c>
      <c r="S1117" s="135">
        <f>_xlfn.XLOOKUP(表格1[[#This Row],[Model]],表格3[Model-Input-Ref2],表格3[SRP PRICE])</f>
        <v>638</v>
      </c>
      <c r="T1117" s="43">
        <f>表格1[[#This Row],[Unit Price]]/表格1[[#This Row],[SRP]]</f>
        <v>0.65517241379310343</v>
      </c>
      <c r="U1117" s="86" t="str">
        <f>_xlfn.XLOOKUP(表格1[[#This Row],[Model]],表格3[Model-Input-Ref2],表格3[TOSHIBA/HIGHEST])</f>
        <v>Toshiba SRP</v>
      </c>
      <c r="V1117" s="86" t="s">
        <v>1126</v>
      </c>
      <c r="W1117" s="86" t="str">
        <f>_xlfn.CONCAT(表格1[[#This Row],[欄4]],表格1[[#This Row],[inv no]])</f>
        <v>DA141816760</v>
      </c>
    </row>
    <row r="1118" spans="1:23" hidden="1">
      <c r="A1118" s="81">
        <v>1116</v>
      </c>
      <c r="B1118" s="81" t="s">
        <v>1477</v>
      </c>
      <c r="C1118" s="81" t="s">
        <v>1478</v>
      </c>
      <c r="D1118" s="82" t="str">
        <f ca="1">OFFSET(Roster!$A$3,MATCH(表格1[[#This Row],[Location]]&amp;" "&amp;表格1[[#This Row],[Shop]]&amp;"*",Roster!$A$4:$A$72,0),DAY(表格1[[#This Row],[date]]),1,1)</f>
        <v>Vicky L</v>
      </c>
      <c r="E1118" s="81">
        <f>MONTH(表格1[[#This Row],[date]])</f>
        <v>3</v>
      </c>
      <c r="F1118" s="101">
        <v>46097</v>
      </c>
      <c r="G1118" s="81" t="str">
        <f>VLOOKUP("*"&amp;表格1[[#This Row],[Input]]&amp;"*",'Ref-List'!$B:$D,2,)</f>
        <v>PLK-30FLIH(WT)</v>
      </c>
      <c r="H1118" s="81" t="str">
        <f>_xlfn.XLOOKUP(表格1[[#This Row],[Model]],表格3[Model-Input-Ref2],表格3[Product Line])</f>
        <v>電熱水瓶3L</v>
      </c>
      <c r="I1118" s="81" t="str">
        <f>_xlfn.XLOOKUP(表格1[[#This Row],[Model]],表格3[Model-Input-Ref2],表格3[大小電])</f>
        <v>細電</v>
      </c>
      <c r="J1118" s="81" t="str">
        <f>_xlfn.XLOOKUP(表格1[[#This Row],[Model]],表格3[Model-Input-Ref2],表格3[Code])</f>
        <v>SDA</v>
      </c>
      <c r="K1118" s="82" t="s">
        <v>1272</v>
      </c>
      <c r="L1118" s="81">
        <v>1</v>
      </c>
      <c r="M1118" s="85">
        <v>489</v>
      </c>
      <c r="N1118" s="85">
        <f>IFERROR(表格1[[#This Row],[QTY]]*表格1[[#This Row],[Unit Price]],"-")</f>
        <v>489</v>
      </c>
      <c r="O1118" s="134">
        <v>815974</v>
      </c>
      <c r="P1118" s="81"/>
      <c r="Q1118" s="81"/>
      <c r="R1118" s="81" t="str">
        <f>_xlfn.CONCAT(表格1[[#This Row],[Model]]," ",表格1[[#This Row],[inv no]])</f>
        <v>PLK-30FLIH(WT) 815974</v>
      </c>
      <c r="S1118" s="135">
        <f>_xlfn.XLOOKUP(表格1[[#This Row],[Model]],表格3[Model-Input-Ref2],表格3[SRP PRICE])</f>
        <v>658</v>
      </c>
      <c r="T1118" s="43">
        <f>表格1[[#This Row],[Unit Price]]/表格1[[#This Row],[SRP]]</f>
        <v>0.74316109422492405</v>
      </c>
      <c r="U1118" s="86" t="str">
        <f>_xlfn.XLOOKUP(表格1[[#This Row],[Model]],表格3[Model-Input-Ref2],表格3[TOSHIBA/HIGHEST])</f>
        <v>Toshiba SRP</v>
      </c>
      <c r="V1118" s="86" t="s">
        <v>1126</v>
      </c>
      <c r="W1118" s="86" t="str">
        <f>_xlfn.CONCAT(表格1[[#This Row],[欄4]],表格1[[#This Row],[inv no]])</f>
        <v>DA141815974</v>
      </c>
    </row>
    <row r="1119" spans="1:23" hidden="1">
      <c r="A1119" s="81">
        <v>1117</v>
      </c>
      <c r="B1119" s="81" t="s">
        <v>1477</v>
      </c>
      <c r="C1119" s="81" t="s">
        <v>1478</v>
      </c>
      <c r="D1119" s="82" t="str">
        <f ca="1">OFFSET(Roster!$A$3,MATCH(表格1[[#This Row],[Location]]&amp;" "&amp;表格1[[#This Row],[Shop]]&amp;"*",Roster!$A$4:$A$72,0),DAY(表格1[[#This Row],[date]]),1,1)</f>
        <v>Vicky L</v>
      </c>
      <c r="E1119" s="81">
        <f>MONTH(表格1[[#This Row],[date]])</f>
        <v>3</v>
      </c>
      <c r="F1119" s="101">
        <v>46099</v>
      </c>
      <c r="G1119" s="81" t="str">
        <f>VLOOKUP("*"&amp;表格1[[#This Row],[Input]]&amp;"*",'Ref-List'!$B:$D,2,)</f>
        <v>PLK-45SFIH(WT)</v>
      </c>
      <c r="H1119" s="81" t="str">
        <f>_xlfn.XLOOKUP(表格1[[#This Row],[Model]],表格3[Model-Input-Ref2],表格3[Product Line])</f>
        <v>電熱水瓶4.5L</v>
      </c>
      <c r="I1119" s="81" t="str">
        <f>_xlfn.XLOOKUP(表格1[[#This Row],[Model]],表格3[Model-Input-Ref2],表格3[大小電])</f>
        <v>細電</v>
      </c>
      <c r="J1119" s="81" t="str">
        <f>_xlfn.XLOOKUP(表格1[[#This Row],[Model]],表格3[Model-Input-Ref2],表格3[Code])</f>
        <v>SDA</v>
      </c>
      <c r="K1119" s="82" t="s">
        <v>1117</v>
      </c>
      <c r="L1119" s="81">
        <v>1</v>
      </c>
      <c r="M1119" s="85">
        <v>589</v>
      </c>
      <c r="N1119" s="85">
        <f>IFERROR(表格1[[#This Row],[QTY]]*表格1[[#This Row],[Unit Price]],"-")</f>
        <v>589</v>
      </c>
      <c r="O1119" s="134">
        <v>816164</v>
      </c>
      <c r="P1119" s="81"/>
      <c r="Q1119" s="81"/>
      <c r="R1119" s="81" t="str">
        <f>_xlfn.CONCAT(表格1[[#This Row],[Model]]," ",表格1[[#This Row],[inv no]])</f>
        <v>PLK-45SFIH(WT) 816164</v>
      </c>
      <c r="S1119" s="135">
        <f>_xlfn.XLOOKUP(表格1[[#This Row],[Model]],表格3[Model-Input-Ref2],表格3[SRP PRICE])</f>
        <v>788</v>
      </c>
      <c r="T1119" s="43">
        <f>表格1[[#This Row],[Unit Price]]/表格1[[#This Row],[SRP]]</f>
        <v>0.7474619289340102</v>
      </c>
      <c r="U1119" s="86" t="str">
        <f>_xlfn.XLOOKUP(表格1[[#This Row],[Model]],表格3[Model-Input-Ref2],表格3[TOSHIBA/HIGHEST])</f>
        <v>Toshiba SRP</v>
      </c>
      <c r="V1119" s="86" t="s">
        <v>1126</v>
      </c>
      <c r="W1119" s="86" t="str">
        <f>_xlfn.CONCAT(表格1[[#This Row],[欄4]],表格1[[#This Row],[inv no]])</f>
        <v>DA141816164</v>
      </c>
    </row>
    <row r="1120" spans="1:23" hidden="1">
      <c r="A1120" s="81">
        <v>1118</v>
      </c>
      <c r="B1120" s="81" t="s">
        <v>1477</v>
      </c>
      <c r="C1120" s="81" t="s">
        <v>1478</v>
      </c>
      <c r="D1120" s="82" t="str">
        <f ca="1">OFFSET(Roster!$A$3,MATCH(表格1[[#This Row],[Location]]&amp;" "&amp;表格1[[#This Row],[Shop]]&amp;"*",Roster!$A$4:$A$72,0),DAY(表格1[[#This Row],[date]]),1,1)</f>
        <v>Vicky L</v>
      </c>
      <c r="E1120" s="81">
        <f>MONTH(表格1[[#This Row],[date]])</f>
        <v>3</v>
      </c>
      <c r="F1120" s="101">
        <v>46111</v>
      </c>
      <c r="G1120" s="81" t="str">
        <f>VLOOKUP("*"&amp;表格1[[#This Row],[Input]]&amp;"*",'Ref-List'!$B:$D,2,)</f>
        <v>PLK-45SFIH(WT)</v>
      </c>
      <c r="H1120" s="81" t="str">
        <f>_xlfn.XLOOKUP(表格1[[#This Row],[Model]],表格3[Model-Input-Ref2],表格3[Product Line])</f>
        <v>電熱水瓶4.5L</v>
      </c>
      <c r="I1120" s="81" t="str">
        <f>_xlfn.XLOOKUP(表格1[[#This Row],[Model]],表格3[Model-Input-Ref2],表格3[大小電])</f>
        <v>細電</v>
      </c>
      <c r="J1120" s="81" t="str">
        <f>_xlfn.XLOOKUP(表格1[[#This Row],[Model]],表格3[Model-Input-Ref2],表格3[Code])</f>
        <v>SDA</v>
      </c>
      <c r="K1120" s="82" t="s">
        <v>1117</v>
      </c>
      <c r="L1120" s="81">
        <v>1</v>
      </c>
      <c r="M1120" s="85">
        <v>589</v>
      </c>
      <c r="N1120" s="85">
        <f>IFERROR(表格1[[#This Row],[QTY]]*表格1[[#This Row],[Unit Price]],"-")</f>
        <v>589</v>
      </c>
      <c r="O1120" s="134">
        <v>817235</v>
      </c>
      <c r="P1120" s="81"/>
      <c r="Q1120" s="81"/>
      <c r="R1120" s="81" t="str">
        <f>_xlfn.CONCAT(表格1[[#This Row],[Model]]," ",表格1[[#This Row],[inv no]])</f>
        <v>PLK-45SFIH(WT) 817235</v>
      </c>
      <c r="S1120" s="135">
        <f>_xlfn.XLOOKUP(表格1[[#This Row],[Model]],表格3[Model-Input-Ref2],表格3[SRP PRICE])</f>
        <v>788</v>
      </c>
      <c r="T1120" s="43">
        <f>表格1[[#This Row],[Unit Price]]/表格1[[#This Row],[SRP]]</f>
        <v>0.7474619289340102</v>
      </c>
      <c r="U1120" s="86" t="str">
        <f>_xlfn.XLOOKUP(表格1[[#This Row],[Model]],表格3[Model-Input-Ref2],表格3[TOSHIBA/HIGHEST])</f>
        <v>Toshiba SRP</v>
      </c>
      <c r="V1120" s="86" t="s">
        <v>1126</v>
      </c>
      <c r="W1120" s="86" t="str">
        <f>_xlfn.CONCAT(表格1[[#This Row],[欄4]],表格1[[#This Row],[inv no]])</f>
        <v>DA141817235</v>
      </c>
    </row>
    <row r="1121" spans="1:23" hidden="1">
      <c r="A1121" s="81">
        <v>1119</v>
      </c>
      <c r="B1121" s="81" t="s">
        <v>1477</v>
      </c>
      <c r="C1121" s="81" t="s">
        <v>1478</v>
      </c>
      <c r="D1121" s="82" t="str">
        <f ca="1">OFFSET(Roster!$A$3,MATCH(表格1[[#This Row],[Location]]&amp;" "&amp;表格1[[#This Row],[Shop]]&amp;"*",Roster!$A$4:$A$72,0),DAY(表格1[[#This Row],[date]]),1,1)</f>
        <v>Vicky L</v>
      </c>
      <c r="E1121" s="81">
        <f>MONTH(表格1[[#This Row],[date]])</f>
        <v>3</v>
      </c>
      <c r="F1121" s="101">
        <v>46097</v>
      </c>
      <c r="G1121" s="81" t="str">
        <f>VLOOKUP("*"&amp;表格1[[#This Row],[Input]]&amp;"*",'Ref-List'!$B:$D,2,)</f>
        <v>KT-17SHNH</v>
      </c>
      <c r="H1121" s="81" t="str">
        <f>_xlfn.XLOOKUP(表格1[[#This Row],[Model]],表格3[Model-Input-Ref2],表格3[Product Line])</f>
        <v>1.7L無線雙層電熱水壺</v>
      </c>
      <c r="I1121" s="81" t="str">
        <f>_xlfn.XLOOKUP(表格1[[#This Row],[Model]],表格3[Model-Input-Ref2],表格3[大小電])</f>
        <v>細電</v>
      </c>
      <c r="J1121" s="81" t="str">
        <f>_xlfn.XLOOKUP(表格1[[#This Row],[Model]],表格3[Model-Input-Ref2],表格3[Code])</f>
        <v>SDA</v>
      </c>
      <c r="K1121" s="82" t="s">
        <v>1283</v>
      </c>
      <c r="L1121" s="81">
        <v>1</v>
      </c>
      <c r="M1121" s="85">
        <v>198</v>
      </c>
      <c r="N1121" s="85">
        <f>IFERROR(表格1[[#This Row],[QTY]]*表格1[[#This Row],[Unit Price]],"-")</f>
        <v>198</v>
      </c>
      <c r="O1121" s="134">
        <v>815976</v>
      </c>
      <c r="P1121" s="81"/>
      <c r="Q1121" s="81"/>
      <c r="R1121" s="81" t="str">
        <f>_xlfn.CONCAT(表格1[[#This Row],[Model]]," ",表格1[[#This Row],[inv no]])</f>
        <v>KT-17SHNH 815976</v>
      </c>
      <c r="S1121" s="135">
        <f>_xlfn.XLOOKUP(表格1[[#This Row],[Model]],表格3[Model-Input-Ref2],表格3[SRP PRICE])</f>
        <v>299</v>
      </c>
      <c r="T1121" s="43">
        <f>表格1[[#This Row],[Unit Price]]/表格1[[#This Row],[SRP]]</f>
        <v>0.66220735785953178</v>
      </c>
      <c r="U1121" s="86" t="str">
        <f>_xlfn.XLOOKUP(表格1[[#This Row],[Model]],表格3[Model-Input-Ref2],表格3[TOSHIBA/HIGHEST])</f>
        <v>Shops Highest Price</v>
      </c>
      <c r="V1121" s="86" t="s">
        <v>1126</v>
      </c>
      <c r="W1121" s="86" t="str">
        <f>_xlfn.CONCAT(表格1[[#This Row],[欄4]],表格1[[#This Row],[inv no]])</f>
        <v>DA141815976</v>
      </c>
    </row>
    <row r="1122" spans="1:23" hidden="1">
      <c r="A1122" s="81">
        <v>1120</v>
      </c>
      <c r="B1122" s="81" t="s">
        <v>1477</v>
      </c>
      <c r="C1122" s="81" t="s">
        <v>1478</v>
      </c>
      <c r="D1122" s="82" t="str">
        <f ca="1">OFFSET(Roster!$A$3,MATCH(表格1[[#This Row],[Location]]&amp;" "&amp;表格1[[#This Row],[Shop]]&amp;"*",Roster!$A$4:$A$72,0),DAY(表格1[[#This Row],[date]]),1,1)</f>
        <v>Vicky L</v>
      </c>
      <c r="E1122" s="81">
        <f>MONTH(表格1[[#This Row],[date]])</f>
        <v>3</v>
      </c>
      <c r="F1122" s="101">
        <v>46107</v>
      </c>
      <c r="G1122" s="81" t="str">
        <f>VLOOKUP("*"&amp;表格1[[#This Row],[Input]]&amp;"*",'Ref-List'!$B:$D,2,)</f>
        <v>KT-17SHNH</v>
      </c>
      <c r="H1122" s="81" t="str">
        <f>_xlfn.XLOOKUP(表格1[[#This Row],[Model]],表格3[Model-Input-Ref2],表格3[Product Line])</f>
        <v>1.7L無線雙層電熱水壺</v>
      </c>
      <c r="I1122" s="81" t="str">
        <f>_xlfn.XLOOKUP(表格1[[#This Row],[Model]],表格3[Model-Input-Ref2],表格3[大小電])</f>
        <v>細電</v>
      </c>
      <c r="J1122" s="81" t="str">
        <f>_xlfn.XLOOKUP(表格1[[#This Row],[Model]],表格3[Model-Input-Ref2],表格3[Code])</f>
        <v>SDA</v>
      </c>
      <c r="K1122" s="82" t="s">
        <v>1283</v>
      </c>
      <c r="L1122" s="81">
        <v>1</v>
      </c>
      <c r="M1122" s="85">
        <v>198</v>
      </c>
      <c r="N1122" s="85">
        <f>IFERROR(表格1[[#This Row],[QTY]]*表格1[[#This Row],[Unit Price]],"-")</f>
        <v>198</v>
      </c>
      <c r="O1122" s="134">
        <v>816815</v>
      </c>
      <c r="P1122" s="81"/>
      <c r="Q1122" s="81"/>
      <c r="R1122" s="81" t="str">
        <f>_xlfn.CONCAT(表格1[[#This Row],[Model]]," ",表格1[[#This Row],[inv no]])</f>
        <v>KT-17SHNH 816815</v>
      </c>
      <c r="S1122" s="135">
        <f>_xlfn.XLOOKUP(表格1[[#This Row],[Model]],表格3[Model-Input-Ref2],表格3[SRP PRICE])</f>
        <v>299</v>
      </c>
      <c r="T1122" s="43">
        <f>表格1[[#This Row],[Unit Price]]/表格1[[#This Row],[SRP]]</f>
        <v>0.66220735785953178</v>
      </c>
      <c r="U1122" s="86" t="str">
        <f>_xlfn.XLOOKUP(表格1[[#This Row],[Model]],表格3[Model-Input-Ref2],表格3[TOSHIBA/HIGHEST])</f>
        <v>Shops Highest Price</v>
      </c>
      <c r="V1122" s="86" t="s">
        <v>1126</v>
      </c>
      <c r="W1122" s="86" t="str">
        <f>_xlfn.CONCAT(表格1[[#This Row],[欄4]],表格1[[#This Row],[inv no]])</f>
        <v>DA141816815</v>
      </c>
    </row>
    <row r="1123" spans="1:23" hidden="1">
      <c r="A1123" s="81">
        <v>1121</v>
      </c>
      <c r="B1123" s="81" t="s">
        <v>1477</v>
      </c>
      <c r="C1123" s="81" t="s">
        <v>1478</v>
      </c>
      <c r="D1123" s="82" t="str">
        <f ca="1">OFFSET(Roster!$A$3,MATCH(表格1[[#This Row],[Location]]&amp;" "&amp;表格1[[#This Row],[Shop]]&amp;"*",Roster!$A$4:$A$72,0),DAY(表格1[[#This Row],[date]]),1,1)</f>
        <v>Vicky L</v>
      </c>
      <c r="E1123" s="81">
        <f>MONTH(表格1[[#This Row],[date]])</f>
        <v>3</v>
      </c>
      <c r="F1123" s="101">
        <v>46110</v>
      </c>
      <c r="G1123" s="81" t="str">
        <f>VLOOKUP("*"&amp;表格1[[#This Row],[Input]]&amp;"*",'Ref-List'!$B:$D,2,)</f>
        <v>KT-17SHNH</v>
      </c>
      <c r="H1123" s="81" t="str">
        <f>_xlfn.XLOOKUP(表格1[[#This Row],[Model]],表格3[Model-Input-Ref2],表格3[Product Line])</f>
        <v>1.7L無線雙層電熱水壺</v>
      </c>
      <c r="I1123" s="81" t="str">
        <f>_xlfn.XLOOKUP(表格1[[#This Row],[Model]],表格3[Model-Input-Ref2],表格3[大小電])</f>
        <v>細電</v>
      </c>
      <c r="J1123" s="81" t="str">
        <f>_xlfn.XLOOKUP(表格1[[#This Row],[Model]],表格3[Model-Input-Ref2],表格3[Code])</f>
        <v>SDA</v>
      </c>
      <c r="K1123" s="82" t="s">
        <v>1283</v>
      </c>
      <c r="L1123" s="81">
        <v>1</v>
      </c>
      <c r="M1123" s="85">
        <v>198</v>
      </c>
      <c r="N1123" s="85">
        <f>IFERROR(表格1[[#This Row],[QTY]]*表格1[[#This Row],[Unit Price]],"-")</f>
        <v>198</v>
      </c>
      <c r="O1123" s="134">
        <v>817154</v>
      </c>
      <c r="P1123" s="81"/>
      <c r="Q1123" s="81"/>
      <c r="R1123" s="81" t="str">
        <f>_xlfn.CONCAT(表格1[[#This Row],[Model]]," ",表格1[[#This Row],[inv no]])</f>
        <v>KT-17SHNH 817154</v>
      </c>
      <c r="S1123" s="135">
        <f>_xlfn.XLOOKUP(表格1[[#This Row],[Model]],表格3[Model-Input-Ref2],表格3[SRP PRICE])</f>
        <v>299</v>
      </c>
      <c r="T1123" s="43">
        <f>表格1[[#This Row],[Unit Price]]/表格1[[#This Row],[SRP]]</f>
        <v>0.66220735785953178</v>
      </c>
      <c r="U1123" s="86" t="str">
        <f>_xlfn.XLOOKUP(表格1[[#This Row],[Model]],表格3[Model-Input-Ref2],表格3[TOSHIBA/HIGHEST])</f>
        <v>Shops Highest Price</v>
      </c>
      <c r="V1123" s="86" t="s">
        <v>1126</v>
      </c>
      <c r="W1123" s="86" t="str">
        <f>_xlfn.CONCAT(表格1[[#This Row],[欄4]],表格1[[#This Row],[inv no]])</f>
        <v>DA141817154</v>
      </c>
    </row>
    <row r="1124" spans="1:23" hidden="1">
      <c r="A1124" s="81">
        <v>1122</v>
      </c>
      <c r="B1124" s="81" t="s">
        <v>1477</v>
      </c>
      <c r="C1124" s="81" t="s">
        <v>1478</v>
      </c>
      <c r="D1124" s="82" t="str">
        <f ca="1">OFFSET(Roster!$A$3,MATCH(表格1[[#This Row],[Location]]&amp;" "&amp;表格1[[#This Row],[Shop]]&amp;"*",Roster!$A$4:$A$72,0),DAY(表格1[[#This Row],[date]]),1,1)</f>
        <v>Vicky L</v>
      </c>
      <c r="E1124" s="81">
        <f>MONTH(表格1[[#This Row],[date]])</f>
        <v>3</v>
      </c>
      <c r="F1124" s="101">
        <v>46102</v>
      </c>
      <c r="G1124" s="81" t="str">
        <f>VLOOKUP("*"&amp;表格1[[#This Row],[Input]]&amp;"*",'Ref-List'!$B:$D,2,)</f>
        <v>KT-15DRRH</v>
      </c>
      <c r="H1124" s="81" t="str">
        <f>_xlfn.XLOOKUP(表格1[[#This Row],[Model]],表格3[Model-Input-Ref2],表格3[Product Line])</f>
        <v>1.5L無線雙層電熱水壺</v>
      </c>
      <c r="I1124" s="81" t="str">
        <f>_xlfn.XLOOKUP(表格1[[#This Row],[Model]],表格3[Model-Input-Ref2],表格3[大小電])</f>
        <v>細電</v>
      </c>
      <c r="J1124" s="81" t="str">
        <f>_xlfn.XLOOKUP(表格1[[#This Row],[Model]],表格3[Model-Input-Ref2],表格3[Code])</f>
        <v>SDA</v>
      </c>
      <c r="K1124" s="82" t="s">
        <v>1488</v>
      </c>
      <c r="L1124" s="81">
        <v>1</v>
      </c>
      <c r="M1124" s="85">
        <v>298</v>
      </c>
      <c r="N1124" s="85">
        <f>IFERROR(表格1[[#This Row],[QTY]]*表格1[[#This Row],[Unit Price]],"-")</f>
        <v>298</v>
      </c>
      <c r="O1124" s="134">
        <v>901734</v>
      </c>
      <c r="P1124" s="81"/>
      <c r="Q1124" s="81"/>
      <c r="R1124" s="81" t="str">
        <f>_xlfn.CONCAT(表格1[[#This Row],[Model]]," ",表格1[[#This Row],[inv no]])</f>
        <v>KT-15DRRH 901734</v>
      </c>
      <c r="S1124" s="135">
        <f>_xlfn.XLOOKUP(表格1[[#This Row],[Model]],表格3[Model-Input-Ref2],表格3[SRP PRICE])</f>
        <v>438</v>
      </c>
      <c r="T1124" s="43">
        <f>表格1[[#This Row],[Unit Price]]/表格1[[#This Row],[SRP]]</f>
        <v>0.68036529680365299</v>
      </c>
      <c r="U1124" s="86" t="str">
        <f>_xlfn.XLOOKUP(表格1[[#This Row],[Model]],表格3[Model-Input-Ref2],表格3[TOSHIBA/HIGHEST])</f>
        <v>Toshiba SRP</v>
      </c>
      <c r="V1124" s="86" t="s">
        <v>1126</v>
      </c>
      <c r="W1124" s="86" t="str">
        <f>_xlfn.CONCAT(表格1[[#This Row],[欄4]],表格1[[#This Row],[inv no]])</f>
        <v>DA141901734</v>
      </c>
    </row>
    <row r="1125" spans="1:23" hidden="1">
      <c r="A1125" s="81">
        <v>1123</v>
      </c>
      <c r="B1125" s="81" t="s">
        <v>1477</v>
      </c>
      <c r="C1125" s="81" t="s">
        <v>1478</v>
      </c>
      <c r="D1125" s="82" t="str">
        <f ca="1">OFFSET(Roster!$A$3,MATCH(表格1[[#This Row],[Location]]&amp;" "&amp;表格1[[#This Row],[Shop]]&amp;"*",Roster!$A$4:$A$72,0),DAY(表格1[[#This Row],[date]]),1,1)</f>
        <v>Vicky L</v>
      </c>
      <c r="E1125" s="81">
        <f>MONTH(表格1[[#This Row],[date]])</f>
        <v>3</v>
      </c>
      <c r="F1125" s="101">
        <v>46104</v>
      </c>
      <c r="G1125" s="81" t="str">
        <f>VLOOKUP("*"&amp;表格1[[#This Row],[Input]]&amp;"*",'Ref-List'!$B:$D,2,)</f>
        <v>KT-15DRRH</v>
      </c>
      <c r="H1125" s="81" t="str">
        <f>_xlfn.XLOOKUP(表格1[[#This Row],[Model]],表格3[Model-Input-Ref2],表格3[Product Line])</f>
        <v>1.5L無線雙層電熱水壺</v>
      </c>
      <c r="I1125" s="81" t="str">
        <f>_xlfn.XLOOKUP(表格1[[#This Row],[Model]],表格3[Model-Input-Ref2],表格3[大小電])</f>
        <v>細電</v>
      </c>
      <c r="J1125" s="81" t="str">
        <f>_xlfn.XLOOKUP(表格1[[#This Row],[Model]],表格3[Model-Input-Ref2],表格3[Code])</f>
        <v>SDA</v>
      </c>
      <c r="K1125" s="82" t="s">
        <v>1488</v>
      </c>
      <c r="L1125" s="81">
        <v>1</v>
      </c>
      <c r="M1125" s="85">
        <v>298</v>
      </c>
      <c r="N1125" s="85">
        <f>IFERROR(表格1[[#This Row],[QTY]]*表格1[[#This Row],[Unit Price]],"-")</f>
        <v>298</v>
      </c>
      <c r="O1125" s="134">
        <v>816581</v>
      </c>
      <c r="P1125" s="81"/>
      <c r="Q1125" s="81"/>
      <c r="R1125" s="81" t="str">
        <f>_xlfn.CONCAT(表格1[[#This Row],[Model]]," ",表格1[[#This Row],[inv no]])</f>
        <v>KT-15DRRH 816581</v>
      </c>
      <c r="S1125" s="135">
        <f>_xlfn.XLOOKUP(表格1[[#This Row],[Model]],表格3[Model-Input-Ref2],表格3[SRP PRICE])</f>
        <v>438</v>
      </c>
      <c r="T1125" s="43">
        <f>表格1[[#This Row],[Unit Price]]/表格1[[#This Row],[SRP]]</f>
        <v>0.68036529680365299</v>
      </c>
      <c r="U1125" s="86" t="str">
        <f>_xlfn.XLOOKUP(表格1[[#This Row],[Model]],表格3[Model-Input-Ref2],表格3[TOSHIBA/HIGHEST])</f>
        <v>Toshiba SRP</v>
      </c>
      <c r="V1125" s="86" t="s">
        <v>1126</v>
      </c>
      <c r="W1125" s="86" t="str">
        <f>_xlfn.CONCAT(表格1[[#This Row],[欄4]],表格1[[#This Row],[inv no]])</f>
        <v>DA141816581</v>
      </c>
    </row>
    <row r="1126" spans="1:23" hidden="1">
      <c r="A1126" s="81">
        <v>1124</v>
      </c>
      <c r="B1126" s="81" t="s">
        <v>1477</v>
      </c>
      <c r="C1126" s="81" t="s">
        <v>1478</v>
      </c>
      <c r="D1126" s="82" t="str">
        <f ca="1">OFFSET(Roster!$A$3,MATCH(表格1[[#This Row],[Location]]&amp;" "&amp;表格1[[#This Row],[Shop]]&amp;"*",Roster!$A$4:$A$72,0),DAY(表格1[[#This Row],[date]]),1,1)</f>
        <v>Vicky L</v>
      </c>
      <c r="E1126" s="81">
        <f>MONTH(表格1[[#This Row],[date]])</f>
        <v>3</v>
      </c>
      <c r="F1126" s="101">
        <v>46104</v>
      </c>
      <c r="G1126" s="81" t="str">
        <f>VLOOKUP("*"&amp;表格1[[#This Row],[Input]]&amp;"*",'Ref-List'!$B:$D,2,)</f>
        <v>KT-15DRRH</v>
      </c>
      <c r="H1126" s="81" t="str">
        <f>_xlfn.XLOOKUP(表格1[[#This Row],[Model]],表格3[Model-Input-Ref2],表格3[Product Line])</f>
        <v>1.5L無線雙層電熱水壺</v>
      </c>
      <c r="I1126" s="81" t="str">
        <f>_xlfn.XLOOKUP(表格1[[#This Row],[Model]],表格3[Model-Input-Ref2],表格3[大小電])</f>
        <v>細電</v>
      </c>
      <c r="J1126" s="81" t="str">
        <f>_xlfn.XLOOKUP(表格1[[#This Row],[Model]],表格3[Model-Input-Ref2],表格3[Code])</f>
        <v>SDA</v>
      </c>
      <c r="K1126" s="82" t="s">
        <v>1487</v>
      </c>
      <c r="L1126" s="81">
        <v>1</v>
      </c>
      <c r="M1126" s="85">
        <v>298</v>
      </c>
      <c r="N1126" s="85">
        <f>IFERROR(表格1[[#This Row],[QTY]]*表格1[[#This Row],[Unit Price]],"-")</f>
        <v>298</v>
      </c>
      <c r="O1126" s="134">
        <v>901865</v>
      </c>
      <c r="P1126" s="81"/>
      <c r="Q1126" s="81"/>
      <c r="R1126" s="81" t="str">
        <f>_xlfn.CONCAT(表格1[[#This Row],[Model]]," ",表格1[[#This Row],[inv no]])</f>
        <v>KT-15DRRH 901865</v>
      </c>
      <c r="S1126" s="135">
        <f>_xlfn.XLOOKUP(表格1[[#This Row],[Model]],表格3[Model-Input-Ref2],表格3[SRP PRICE])</f>
        <v>438</v>
      </c>
      <c r="T1126" s="43">
        <f>表格1[[#This Row],[Unit Price]]/表格1[[#This Row],[SRP]]</f>
        <v>0.68036529680365299</v>
      </c>
      <c r="U1126" s="86" t="str">
        <f>_xlfn.XLOOKUP(表格1[[#This Row],[Model]],表格3[Model-Input-Ref2],表格3[TOSHIBA/HIGHEST])</f>
        <v>Toshiba SRP</v>
      </c>
      <c r="V1126" s="86" t="s">
        <v>1126</v>
      </c>
      <c r="W1126" s="86" t="str">
        <f>_xlfn.CONCAT(表格1[[#This Row],[欄4]],表格1[[#This Row],[inv no]])</f>
        <v>DA141901865</v>
      </c>
    </row>
    <row r="1127" spans="1:23" hidden="1">
      <c r="A1127" s="81">
        <v>1125</v>
      </c>
      <c r="B1127" s="81" t="s">
        <v>1477</v>
      </c>
      <c r="C1127" s="81" t="s">
        <v>1478</v>
      </c>
      <c r="D1127" s="82" t="str">
        <f ca="1">OFFSET(Roster!$A$3,MATCH(表格1[[#This Row],[Location]]&amp;" "&amp;表格1[[#This Row],[Shop]]&amp;"*",Roster!$A$4:$A$72,0),DAY(表格1[[#This Row],[date]]),1,1)</f>
        <v>Vicky L</v>
      </c>
      <c r="E1127" s="81">
        <f>MONTH(表格1[[#This Row],[date]])</f>
        <v>3</v>
      </c>
      <c r="F1127" s="101">
        <v>46109</v>
      </c>
      <c r="G1127" s="81" t="str">
        <f>VLOOKUP("*"&amp;表格1[[#This Row],[Input]]&amp;"*",'Ref-List'!$B:$D,2,)</f>
        <v>KT-15DRRH</v>
      </c>
      <c r="H1127" s="81" t="str">
        <f>_xlfn.XLOOKUP(表格1[[#This Row],[Model]],表格3[Model-Input-Ref2],表格3[Product Line])</f>
        <v>1.5L無線雙層電熱水壺</v>
      </c>
      <c r="I1127" s="81" t="str">
        <f>_xlfn.XLOOKUP(表格1[[#This Row],[Model]],表格3[Model-Input-Ref2],表格3[大小電])</f>
        <v>細電</v>
      </c>
      <c r="J1127" s="81" t="str">
        <f>_xlfn.XLOOKUP(表格1[[#This Row],[Model]],表格3[Model-Input-Ref2],表格3[Code])</f>
        <v>SDA</v>
      </c>
      <c r="K1127" s="82" t="s">
        <v>1487</v>
      </c>
      <c r="L1127" s="81">
        <v>1</v>
      </c>
      <c r="M1127" s="85">
        <v>298</v>
      </c>
      <c r="N1127" s="85">
        <f>IFERROR(表格1[[#This Row],[QTY]]*表格1[[#This Row],[Unit Price]],"-")</f>
        <v>298</v>
      </c>
      <c r="O1127" s="134">
        <v>902058</v>
      </c>
      <c r="P1127" s="81"/>
      <c r="Q1127" s="81"/>
      <c r="R1127" s="81" t="str">
        <f>_xlfn.CONCAT(表格1[[#This Row],[Model]]," ",表格1[[#This Row],[inv no]])</f>
        <v>KT-15DRRH 902058</v>
      </c>
      <c r="S1127" s="135">
        <f>_xlfn.XLOOKUP(表格1[[#This Row],[Model]],表格3[Model-Input-Ref2],表格3[SRP PRICE])</f>
        <v>438</v>
      </c>
      <c r="T1127" s="43">
        <f>表格1[[#This Row],[Unit Price]]/表格1[[#This Row],[SRP]]</f>
        <v>0.68036529680365299</v>
      </c>
      <c r="U1127" s="86" t="str">
        <f>_xlfn.XLOOKUP(表格1[[#This Row],[Model]],表格3[Model-Input-Ref2],表格3[TOSHIBA/HIGHEST])</f>
        <v>Toshiba SRP</v>
      </c>
      <c r="V1127" s="86" t="s">
        <v>1126</v>
      </c>
      <c r="W1127" s="86" t="str">
        <f>_xlfn.CONCAT(表格1[[#This Row],[欄4]],表格1[[#This Row],[inv no]])</f>
        <v>DA141902058</v>
      </c>
    </row>
    <row r="1128" spans="1:23" hidden="1">
      <c r="A1128" s="81">
        <v>1126</v>
      </c>
      <c r="B1128" s="81" t="s">
        <v>1477</v>
      </c>
      <c r="C1128" s="81" t="s">
        <v>1478</v>
      </c>
      <c r="D1128" s="82" t="str">
        <f ca="1">OFFSET(Roster!$A$3,MATCH(表格1[[#This Row],[Location]]&amp;" "&amp;表格1[[#This Row],[Shop]]&amp;"*",Roster!$A$4:$A$72,0),DAY(表格1[[#This Row],[date]]),1,1)</f>
        <v>Vicky L</v>
      </c>
      <c r="E1128" s="81">
        <f>MONTH(表格1[[#This Row],[date]])</f>
        <v>3</v>
      </c>
      <c r="F1128" s="101">
        <v>46110</v>
      </c>
      <c r="G1128" s="81" t="str">
        <f>VLOOKUP("*"&amp;表格1[[#This Row],[Input]]&amp;"*",'Ref-List'!$B:$D,2,)</f>
        <v>FIST(PRO)</v>
      </c>
      <c r="H1128" s="81" t="str">
        <f>_xlfn.XLOOKUP(表格1[[#This Row],[Model]],表格3[Model-Input-Ref2],表格3[Product Line])</f>
        <v>濾芯</v>
      </c>
      <c r="I1128" s="81" t="str">
        <f>_xlfn.XLOOKUP(表格1[[#This Row],[Model]],表格3[Model-Input-Ref2],表格3[大小電])</f>
        <v>細電</v>
      </c>
      <c r="J1128" s="81" t="str">
        <f>_xlfn.XLOOKUP(表格1[[#This Row],[Model]],表格3[Model-Input-Ref2],表格3[Code])</f>
        <v>KWH</v>
      </c>
      <c r="K1128" s="82" t="s">
        <v>1489</v>
      </c>
      <c r="L1128" s="81">
        <v>1</v>
      </c>
      <c r="M1128" s="85">
        <v>798</v>
      </c>
      <c r="N1128" s="85">
        <f>IFERROR(表格1[[#This Row],[QTY]]*表格1[[#This Row],[Unit Price]],"-")</f>
        <v>798</v>
      </c>
      <c r="O1128" s="134">
        <v>817088</v>
      </c>
      <c r="P1128" s="81"/>
      <c r="Q1128" s="81"/>
      <c r="R1128" s="81" t="str">
        <f>_xlfn.CONCAT(表格1[[#This Row],[Model]]," ",表格1[[#This Row],[inv no]])</f>
        <v>FIST(PRO) 817088</v>
      </c>
      <c r="S1128" s="135">
        <f>_xlfn.XLOOKUP(表格1[[#This Row],[Model]],表格3[Model-Input-Ref2],表格3[SRP PRICE])</f>
        <v>798</v>
      </c>
      <c r="T1128" s="43">
        <f>表格1[[#This Row],[Unit Price]]/表格1[[#This Row],[SRP]]</f>
        <v>1</v>
      </c>
      <c r="U1128" s="86" t="str">
        <f>_xlfn.XLOOKUP(表格1[[#This Row],[Model]],表格3[Model-Input-Ref2],表格3[TOSHIBA/HIGHEST])</f>
        <v>Shops Highest Price</v>
      </c>
      <c r="V1128" s="86" t="s">
        <v>1126</v>
      </c>
      <c r="W1128" s="86" t="str">
        <f>_xlfn.CONCAT(表格1[[#This Row],[欄4]],表格1[[#This Row],[inv no]])</f>
        <v>DA141817088</v>
      </c>
    </row>
    <row r="1129" spans="1:23" hidden="1">
      <c r="A1129" s="81">
        <v>1127</v>
      </c>
      <c r="B1129" s="81" t="s">
        <v>1477</v>
      </c>
      <c r="C1129" s="81" t="s">
        <v>1478</v>
      </c>
      <c r="D1129" s="82" t="str">
        <f ca="1">OFFSET(Roster!$A$3,MATCH(表格1[[#This Row],[Location]]&amp;" "&amp;表格1[[#This Row],[Shop]]&amp;"*",Roster!$A$4:$A$72,0),DAY(表格1[[#This Row],[date]]),1,1)</f>
        <v>Vicky L</v>
      </c>
      <c r="E1129" s="81">
        <f>MONTH(表格1[[#This Row],[date]])</f>
        <v>3</v>
      </c>
      <c r="F1129" s="101">
        <v>46112</v>
      </c>
      <c r="G1129" s="81" t="str">
        <f>VLOOKUP("*"&amp;表格1[[#This Row],[Input]]&amp;"*",'Ref-List'!$B:$D,2,)</f>
        <v>RAD-D300H</v>
      </c>
      <c r="H1129" s="81" t="str">
        <f>_xlfn.XLOOKUP(表格1[[#This Row],[Model]],表格3[Model-Input-Ref2],表格3[Product Line])</f>
        <v>壓縮式抽濕機 (30公升)</v>
      </c>
      <c r="I1129" s="81" t="str">
        <f>_xlfn.XLOOKUP(表格1[[#This Row],[Model]],表格3[Model-Input-Ref2],表格3[大小電])</f>
        <v>細電</v>
      </c>
      <c r="J1129" s="81" t="str">
        <f>_xlfn.XLOOKUP(表格1[[#This Row],[Model]],表格3[Model-Input-Ref2],表格3[Code])</f>
        <v>RAC</v>
      </c>
      <c r="K1129" s="82" t="s">
        <v>1252</v>
      </c>
      <c r="L1129" s="81">
        <v>1</v>
      </c>
      <c r="M1129" s="85">
        <v>2280</v>
      </c>
      <c r="N1129" s="85">
        <f>IFERROR(表格1[[#This Row],[QTY]]*表格1[[#This Row],[Unit Price]],"-")</f>
        <v>2280</v>
      </c>
      <c r="O1129" s="134">
        <v>817243</v>
      </c>
      <c r="P1129" s="81"/>
      <c r="Q1129" s="81"/>
      <c r="R1129" s="81" t="str">
        <f>_xlfn.CONCAT(表格1[[#This Row],[Model]]," ",表格1[[#This Row],[inv no]])</f>
        <v>RAD-D300H 817243</v>
      </c>
      <c r="S1129" s="135">
        <f>_xlfn.XLOOKUP(表格1[[#This Row],[Model]],表格3[Model-Input-Ref2],表格3[SRP PRICE])</f>
        <v>3380</v>
      </c>
      <c r="T1129" s="43">
        <f>表格1[[#This Row],[Unit Price]]/表格1[[#This Row],[SRP]]</f>
        <v>0.67455621301775148</v>
      </c>
      <c r="U1129" s="86" t="str">
        <f>_xlfn.XLOOKUP(表格1[[#This Row],[Model]],表格3[Model-Input-Ref2],表格3[TOSHIBA/HIGHEST])</f>
        <v>Shops Highest Price</v>
      </c>
      <c r="V1129" s="86" t="s">
        <v>1126</v>
      </c>
      <c r="W1129" s="86" t="str">
        <f>_xlfn.CONCAT(表格1[[#This Row],[欄4]],表格1[[#This Row],[inv no]])</f>
        <v>DA141817243</v>
      </c>
    </row>
    <row r="1130" spans="1:23" hidden="1">
      <c r="A1130" s="81">
        <v>1128</v>
      </c>
      <c r="B1130" s="81" t="s">
        <v>1477</v>
      </c>
      <c r="C1130" s="81" t="s">
        <v>1478</v>
      </c>
      <c r="D1130" s="82" t="str">
        <f ca="1">OFFSET(Roster!$A$3,MATCH(表格1[[#This Row],[Location]]&amp;" "&amp;表格1[[#This Row],[Shop]]&amp;"*",Roster!$A$4:$A$72,0),DAY(表格1[[#This Row],[date]]),1,1)</f>
        <v>Vicky L</v>
      </c>
      <c r="E1130" s="81">
        <f>MONTH(表格1[[#This Row],[date]])</f>
        <v>3</v>
      </c>
      <c r="F1130" s="101">
        <v>46104</v>
      </c>
      <c r="G1130" s="81" t="str">
        <f>VLOOKUP("*"&amp;表格1[[#This Row],[Input]]&amp;"*",'Ref-List'!$B:$D,2,)</f>
        <v>CAF-A400HK(H)</v>
      </c>
      <c r="H1130" s="81" t="str">
        <f>_xlfn.XLOOKUP(表格1[[#This Row],[Model]],表格3[Model-Input-Ref2],表格3[Product Line])</f>
        <v>抗菌除臭空氣清淨機</v>
      </c>
      <c r="I1130" s="81" t="str">
        <f>_xlfn.XLOOKUP(表格1[[#This Row],[Model]],表格3[Model-Input-Ref2],表格3[大小電])</f>
        <v>細電</v>
      </c>
      <c r="J1130" s="81" t="str">
        <f>_xlfn.XLOOKUP(表格1[[#This Row],[Model]],表格3[Model-Input-Ref2],表格3[Code])</f>
        <v>AP</v>
      </c>
      <c r="K1130" s="82" t="s">
        <v>1476</v>
      </c>
      <c r="L1130" s="81">
        <v>1</v>
      </c>
      <c r="M1130" s="85">
        <v>888</v>
      </c>
      <c r="N1130" s="85">
        <f>IFERROR(表格1[[#This Row],[QTY]]*表格1[[#This Row],[Unit Price]],"-")</f>
        <v>888</v>
      </c>
      <c r="O1130" s="134">
        <v>901856</v>
      </c>
      <c r="P1130" s="81"/>
      <c r="Q1130" s="81"/>
      <c r="R1130" s="81" t="str">
        <f>_xlfn.CONCAT(表格1[[#This Row],[Model]]," ",表格1[[#This Row],[inv no]])</f>
        <v>CAF-A400HK(H) 901856</v>
      </c>
      <c r="S1130" s="135">
        <f>_xlfn.XLOOKUP(表格1[[#This Row],[Model]],表格3[Model-Input-Ref2],表格3[SRP PRICE])</f>
        <v>1500</v>
      </c>
      <c r="T1130" s="43">
        <f>表格1[[#This Row],[Unit Price]]/表格1[[#This Row],[SRP]]</f>
        <v>0.59199999999999997</v>
      </c>
      <c r="U1130" s="86" t="str">
        <f>_xlfn.XLOOKUP(表格1[[#This Row],[Model]],表格3[Model-Input-Ref2],表格3[TOSHIBA/HIGHEST])</f>
        <v>Shops Highest Price</v>
      </c>
      <c r="V1130" s="86" t="s">
        <v>1126</v>
      </c>
      <c r="W1130" s="86" t="str">
        <f>_xlfn.CONCAT(表格1[[#This Row],[欄4]],表格1[[#This Row],[inv no]])</f>
        <v>DA141901856</v>
      </c>
    </row>
    <row r="1131" spans="1:23" hidden="1">
      <c r="A1131" s="81">
        <v>1129</v>
      </c>
      <c r="B1131" s="81" t="s">
        <v>1477</v>
      </c>
      <c r="C1131" s="81" t="s">
        <v>1478</v>
      </c>
      <c r="D1131" s="82" t="str">
        <f ca="1">OFFSET(Roster!$A$3,MATCH(表格1[[#This Row],[Location]]&amp;" "&amp;表格1[[#This Row],[Shop]]&amp;"*",Roster!$A$4:$A$72,0),DAY(表格1[[#This Row],[date]]),1,1)</f>
        <v>Vicky L</v>
      </c>
      <c r="E1131" s="81">
        <f>MONTH(表格1[[#This Row],[date]])</f>
        <v>3</v>
      </c>
      <c r="F1131" s="101">
        <v>46110</v>
      </c>
      <c r="G1131" s="81" t="str">
        <f>VLOOKUP("*"&amp;表格1[[#This Row],[Input]]&amp;"*",'Ref-List'!$B:$D,2,)</f>
        <v>RC-10AMXH(W)</v>
      </c>
      <c r="H1131" s="81" t="str">
        <f>_xlfn.XLOOKUP(表格1[[#This Row],[Model]],表格3[Model-Input-Ref2],表格3[Product Line])</f>
        <v>酵活炊電飯煲(1.0公升)</v>
      </c>
      <c r="I1131" s="81" t="str">
        <f>_xlfn.XLOOKUP(表格1[[#This Row],[Model]],表格3[Model-Input-Ref2],表格3[大小電])</f>
        <v>細電</v>
      </c>
      <c r="J1131" s="81" t="str">
        <f>_xlfn.XLOOKUP(表格1[[#This Row],[Model]],表格3[Model-Input-Ref2],表格3[Code])</f>
        <v>SDA</v>
      </c>
      <c r="K1131" s="82" t="s">
        <v>1279</v>
      </c>
      <c r="L1131" s="81">
        <v>1</v>
      </c>
      <c r="M1131" s="85">
        <v>990</v>
      </c>
      <c r="N1131" s="85">
        <f>IFERROR(表格1[[#This Row],[QTY]]*表格1[[#This Row],[Unit Price]],"-")</f>
        <v>990</v>
      </c>
      <c r="O1131" s="134">
        <v>817094</v>
      </c>
      <c r="P1131" s="81"/>
      <c r="Q1131" s="81"/>
      <c r="R1131" s="81" t="str">
        <f>_xlfn.CONCAT(表格1[[#This Row],[Model]]," ",表格1[[#This Row],[inv no]])</f>
        <v>RC-10AMXH(W) 817094</v>
      </c>
      <c r="S1131" s="135">
        <f>_xlfn.XLOOKUP(表格1[[#This Row],[Model]],表格3[Model-Input-Ref2],表格3[SRP PRICE])</f>
        <v>1288</v>
      </c>
      <c r="T1131" s="43">
        <f>表格1[[#This Row],[Unit Price]]/表格1[[#This Row],[SRP]]</f>
        <v>0.76863354037267084</v>
      </c>
      <c r="U1131" s="86" t="str">
        <f>_xlfn.XLOOKUP(表格1[[#This Row],[Model]],表格3[Model-Input-Ref2],表格3[TOSHIBA/HIGHEST])</f>
        <v>Toshiba SRP</v>
      </c>
      <c r="V1131" s="86" t="s">
        <v>1126</v>
      </c>
      <c r="W1131" s="86" t="str">
        <f>_xlfn.CONCAT(表格1[[#This Row],[欄4]],表格1[[#This Row],[inv no]])</f>
        <v>DA141817094</v>
      </c>
    </row>
    <row r="1132" spans="1:23" hidden="1">
      <c r="A1132" s="81">
        <v>1130</v>
      </c>
      <c r="B1132" s="81" t="s">
        <v>1477</v>
      </c>
      <c r="C1132" s="81" t="s">
        <v>1478</v>
      </c>
      <c r="D1132" s="82" t="str">
        <f ca="1">OFFSET(Roster!$A$3,MATCH(表格1[[#This Row],[Location]]&amp;" "&amp;表格1[[#This Row],[Shop]]&amp;"*",Roster!$A$4:$A$72,0),DAY(表格1[[#This Row],[date]]),1,1)</f>
        <v>Vicky L</v>
      </c>
      <c r="E1132" s="81">
        <f>MONTH(表格1[[#This Row],[date]])</f>
        <v>3</v>
      </c>
      <c r="F1132" s="101">
        <v>46098</v>
      </c>
      <c r="G1132" s="81" t="str">
        <f>VLOOKUP("*"&amp;表格1[[#This Row],[Input]]&amp;"*",'Ref-List'!$B:$D,2,)</f>
        <v>RC-7HMH</v>
      </c>
      <c r="H1132" s="81" t="str">
        <f>_xlfn.XLOOKUP(表格1[[#This Row],[Model]],表格3[Model-Input-Ref2],表格3[Product Line])</f>
        <v>備長炭本厚釜電飯煲0.7L</v>
      </c>
      <c r="I1132" s="81" t="str">
        <f>_xlfn.XLOOKUP(表格1[[#This Row],[Model]],表格3[Model-Input-Ref2],表格3[大小電])</f>
        <v>細電</v>
      </c>
      <c r="J1132" s="81" t="str">
        <f>_xlfn.XLOOKUP(表格1[[#This Row],[Model]],表格3[Model-Input-Ref2],表格3[Code])</f>
        <v>SDA</v>
      </c>
      <c r="K1132" s="82" t="s">
        <v>1284</v>
      </c>
      <c r="L1132" s="81">
        <v>1</v>
      </c>
      <c r="M1132" s="85">
        <v>838</v>
      </c>
      <c r="N1132" s="85">
        <f>IFERROR(表格1[[#This Row],[QTY]]*表格1[[#This Row],[Unit Price]],"-")</f>
        <v>838</v>
      </c>
      <c r="O1132" s="134">
        <v>816067</v>
      </c>
      <c r="P1132" s="81"/>
      <c r="Q1132" s="81"/>
      <c r="R1132" s="81" t="str">
        <f>_xlfn.CONCAT(表格1[[#This Row],[Model]]," ",表格1[[#This Row],[inv no]])</f>
        <v>RC-7HMH 816067</v>
      </c>
      <c r="S1132" s="135">
        <f>_xlfn.XLOOKUP(表格1[[#This Row],[Model]],表格3[Model-Input-Ref2],表格3[SRP PRICE])</f>
        <v>1288</v>
      </c>
      <c r="T1132" s="43">
        <f>表格1[[#This Row],[Unit Price]]/表格1[[#This Row],[SRP]]</f>
        <v>0.65062111801242239</v>
      </c>
      <c r="U1132" s="86" t="str">
        <f>_xlfn.XLOOKUP(表格1[[#This Row],[Model]],表格3[Model-Input-Ref2],表格3[TOSHIBA/HIGHEST])</f>
        <v>Toshiba SRP</v>
      </c>
      <c r="V1132" s="86" t="s">
        <v>1126</v>
      </c>
      <c r="W1132" s="86" t="str">
        <f>_xlfn.CONCAT(表格1[[#This Row],[欄4]],表格1[[#This Row],[inv no]])</f>
        <v>DA141816067</v>
      </c>
    </row>
    <row r="1133" spans="1:23" ht="16.5" hidden="1">
      <c r="A1133" s="81">
        <v>1131</v>
      </c>
      <c r="B1133" s="81" t="s">
        <v>1477</v>
      </c>
      <c r="C1133" s="81" t="s">
        <v>1478</v>
      </c>
      <c r="D1133" s="82" t="str">
        <f ca="1">OFFSET(Roster!$A$3,MATCH(表格1[[#This Row],[Location]]&amp;" "&amp;表格1[[#This Row],[Shop]]&amp;"*",Roster!$A$4:$A$72,0),DAY(表格1[[#This Row],[date]]),1,1)</f>
        <v>Vicky L</v>
      </c>
      <c r="E1133" s="81">
        <f>MONTH(表格1[[#This Row],[date]])</f>
        <v>3</v>
      </c>
      <c r="F1133" s="101">
        <v>46099</v>
      </c>
      <c r="G1133" s="81" t="str">
        <f>VLOOKUP("*"&amp;表格1[[#This Row],[Input]]&amp;"*",'Ref-List'!$B:$D,2,)</f>
        <v>RC-7HMH</v>
      </c>
      <c r="H1133" s="81" t="str">
        <f>_xlfn.XLOOKUP(表格1[[#This Row],[Model]],表格3[Model-Input-Ref2],表格3[Product Line])</f>
        <v>備長炭本厚釜電飯煲0.7L</v>
      </c>
      <c r="I1133" s="81" t="str">
        <f>_xlfn.XLOOKUP(表格1[[#This Row],[Model]],表格3[Model-Input-Ref2],表格3[大小電])</f>
        <v>細電</v>
      </c>
      <c r="J1133" s="81" t="str">
        <f>_xlfn.XLOOKUP(表格1[[#This Row],[Model]],表格3[Model-Input-Ref2],表格3[Code])</f>
        <v>SDA</v>
      </c>
      <c r="K1133" s="82" t="s">
        <v>1284</v>
      </c>
      <c r="L1133" s="81">
        <v>1</v>
      </c>
      <c r="M1133" s="85">
        <v>838</v>
      </c>
      <c r="N1133" s="85">
        <f>IFERROR(表格1[[#This Row],[QTY]]*表格1[[#This Row],[Unit Price]],"-")</f>
        <v>838</v>
      </c>
      <c r="O1133" s="134">
        <v>816165</v>
      </c>
      <c r="P1133" s="141"/>
      <c r="Q1133" s="81"/>
      <c r="R1133" s="81" t="str">
        <f>_xlfn.CONCAT(表格1[[#This Row],[Model]]," ",表格1[[#This Row],[inv no]])</f>
        <v>RC-7HMH 816165</v>
      </c>
      <c r="S1133" s="135">
        <f>_xlfn.XLOOKUP(表格1[[#This Row],[Model]],表格3[Model-Input-Ref2],表格3[SRP PRICE])</f>
        <v>1288</v>
      </c>
      <c r="T1133" s="43">
        <f>表格1[[#This Row],[Unit Price]]/表格1[[#This Row],[SRP]]</f>
        <v>0.65062111801242239</v>
      </c>
      <c r="U1133" s="86" t="str">
        <f>_xlfn.XLOOKUP(表格1[[#This Row],[Model]],表格3[Model-Input-Ref2],表格3[TOSHIBA/HIGHEST])</f>
        <v>Toshiba SRP</v>
      </c>
      <c r="V1133" s="86" t="s">
        <v>1126</v>
      </c>
      <c r="W1133" s="86" t="str">
        <f>_xlfn.CONCAT(表格1[[#This Row],[欄4]],表格1[[#This Row],[inv no]])</f>
        <v>DA141816165</v>
      </c>
    </row>
    <row r="1134" spans="1:23" ht="16.5" hidden="1">
      <c r="A1134" s="81">
        <v>1132</v>
      </c>
      <c r="B1134" s="81" t="s">
        <v>1477</v>
      </c>
      <c r="C1134" s="81" t="s">
        <v>1478</v>
      </c>
      <c r="D1134" s="82" t="str">
        <f ca="1">OFFSET(Roster!$A$3,MATCH(表格1[[#This Row],[Location]]&amp;" "&amp;表格1[[#This Row],[Shop]]&amp;"*",Roster!$A$4:$A$72,0),DAY(表格1[[#This Row],[date]]),1,1)</f>
        <v>Vicky L</v>
      </c>
      <c r="E1134" s="81">
        <f>MONTH(表格1[[#This Row],[date]])</f>
        <v>3</v>
      </c>
      <c r="F1134" s="101">
        <v>46110</v>
      </c>
      <c r="G1134" s="81" t="str">
        <f>VLOOKUP("*"&amp;表格1[[#This Row],[Input]]&amp;"*",'Ref-List'!$B:$D,2,)</f>
        <v>RC-7HMH</v>
      </c>
      <c r="H1134" s="81" t="str">
        <f>_xlfn.XLOOKUP(表格1[[#This Row],[Model]],表格3[Model-Input-Ref2],表格3[Product Line])</f>
        <v>備長炭本厚釜電飯煲0.7L</v>
      </c>
      <c r="I1134" s="81" t="str">
        <f>_xlfn.XLOOKUP(表格1[[#This Row],[Model]],表格3[Model-Input-Ref2],表格3[大小電])</f>
        <v>細電</v>
      </c>
      <c r="J1134" s="81" t="str">
        <f>_xlfn.XLOOKUP(表格1[[#This Row],[Model]],表格3[Model-Input-Ref2],表格3[Code])</f>
        <v>SDA</v>
      </c>
      <c r="K1134" s="82" t="s">
        <v>1284</v>
      </c>
      <c r="L1134" s="81">
        <v>1</v>
      </c>
      <c r="M1134" s="85">
        <v>838</v>
      </c>
      <c r="N1134" s="85">
        <f>IFERROR(表格1[[#This Row],[QTY]]*表格1[[#This Row],[Unit Price]],"-")</f>
        <v>838</v>
      </c>
      <c r="O1134" s="134">
        <v>817134</v>
      </c>
      <c r="P1134" s="137"/>
      <c r="Q1134" s="81"/>
      <c r="R1134" s="81" t="str">
        <f>_xlfn.CONCAT(表格1[[#This Row],[Model]]," ",表格1[[#This Row],[inv no]])</f>
        <v>RC-7HMH 817134</v>
      </c>
      <c r="S1134" s="135">
        <f>_xlfn.XLOOKUP(表格1[[#This Row],[Model]],表格3[Model-Input-Ref2],表格3[SRP PRICE])</f>
        <v>1288</v>
      </c>
      <c r="T1134" s="43">
        <f>表格1[[#This Row],[Unit Price]]/表格1[[#This Row],[SRP]]</f>
        <v>0.65062111801242239</v>
      </c>
      <c r="U1134" s="86" t="str">
        <f>_xlfn.XLOOKUP(表格1[[#This Row],[Model]],表格3[Model-Input-Ref2],表格3[TOSHIBA/HIGHEST])</f>
        <v>Toshiba SRP</v>
      </c>
      <c r="V1134" s="86" t="s">
        <v>1126</v>
      </c>
      <c r="W1134" s="86" t="str">
        <f>_xlfn.CONCAT(表格1[[#This Row],[欄4]],表格1[[#This Row],[inv no]])</f>
        <v>DA141817134</v>
      </c>
    </row>
    <row r="1135" spans="1:23" hidden="1">
      <c r="A1135" s="81">
        <v>1133</v>
      </c>
      <c r="B1135" s="81" t="s">
        <v>1477</v>
      </c>
      <c r="C1135" s="81" t="s">
        <v>1478</v>
      </c>
      <c r="D1135" s="82" t="str">
        <f ca="1">OFFSET(Roster!$A$3,MATCH(表格1[[#This Row],[Location]]&amp;" "&amp;表格1[[#This Row],[Shop]]&amp;"*",Roster!$A$4:$A$72,0),DAY(表格1[[#This Row],[date]]),1,1)</f>
        <v>Vicky L</v>
      </c>
      <c r="E1135" s="81">
        <f>MONTH(表格1[[#This Row],[date]])</f>
        <v>3</v>
      </c>
      <c r="F1135" s="101">
        <v>46109</v>
      </c>
      <c r="G1135" s="81" t="str">
        <f>VLOOKUP("*"&amp;表格1[[#This Row],[Input]]&amp;"*",'Ref-List'!$B:$D,2,)</f>
        <v>RC-10ISSHK(W)</v>
      </c>
      <c r="H1135" s="81" t="str">
        <f>_xlfn.XLOOKUP(表格1[[#This Row],[Model]],表格3[Model-Input-Ref2],表格3[Product Line])</f>
        <v>磁應電飯煲(1公升)</v>
      </c>
      <c r="I1135" s="81" t="str">
        <f>_xlfn.XLOOKUP(表格1[[#This Row],[Model]],表格3[Model-Input-Ref2],表格3[大小電])</f>
        <v>細電</v>
      </c>
      <c r="J1135" s="81" t="str">
        <f>_xlfn.XLOOKUP(表格1[[#This Row],[Model]],表格3[Model-Input-Ref2],表格3[Code])</f>
        <v>SDA</v>
      </c>
      <c r="K1135" s="82" t="s">
        <v>1286</v>
      </c>
      <c r="L1135" s="81">
        <v>1</v>
      </c>
      <c r="M1135" s="85">
        <v>938</v>
      </c>
      <c r="N1135" s="85">
        <f>IFERROR(表格1[[#This Row],[QTY]]*表格1[[#This Row],[Unit Price]],"-")</f>
        <v>938</v>
      </c>
      <c r="O1135" s="134">
        <v>816997</v>
      </c>
      <c r="P1135" s="81"/>
      <c r="Q1135" s="81"/>
      <c r="R1135" s="81" t="str">
        <f>_xlfn.CONCAT(表格1[[#This Row],[Model]]," ",表格1[[#This Row],[inv no]])</f>
        <v>RC-10ISSHK(W) 816997</v>
      </c>
      <c r="S1135" s="135">
        <f>_xlfn.XLOOKUP(表格1[[#This Row],[Model]],表格3[Model-Input-Ref2],表格3[SRP PRICE])</f>
        <v>1188</v>
      </c>
      <c r="T1135" s="43">
        <f>表格1[[#This Row],[Unit Price]]/表格1[[#This Row],[SRP]]</f>
        <v>0.78956228956228958</v>
      </c>
      <c r="U1135" s="86" t="str">
        <f>_xlfn.XLOOKUP(表格1[[#This Row],[Model]],表格3[Model-Input-Ref2],表格3[TOSHIBA/HIGHEST])</f>
        <v>Shops Highest Price</v>
      </c>
      <c r="V1135" s="86" t="s">
        <v>1126</v>
      </c>
      <c r="W1135" s="86" t="str">
        <f>_xlfn.CONCAT(表格1[[#This Row],[欄4]],表格1[[#This Row],[inv no]])</f>
        <v>DA141816997</v>
      </c>
    </row>
    <row r="1136" spans="1:23" hidden="1">
      <c r="A1136" s="81">
        <v>1134</v>
      </c>
      <c r="B1136" s="81" t="s">
        <v>1477</v>
      </c>
      <c r="C1136" s="81" t="s">
        <v>1478</v>
      </c>
      <c r="D1136" s="82" t="str">
        <f ca="1">OFFSET(Roster!$A$3,MATCH(表格1[[#This Row],[Location]]&amp;" "&amp;表格1[[#This Row],[Shop]]&amp;"*",Roster!$A$4:$A$72,0),DAY(表格1[[#This Row],[date]]),1,1)</f>
        <v>Vicky L</v>
      </c>
      <c r="E1136" s="81">
        <f>MONTH(表格1[[#This Row],[date]])</f>
        <v>3</v>
      </c>
      <c r="F1136" s="101">
        <v>46098</v>
      </c>
      <c r="G1136" s="81" t="str">
        <f>VLOOKUP("*"&amp;表格1[[#This Row],[Input]]&amp;"*",'Ref-List'!$B:$D,2,)</f>
        <v>RC-10NMFIH(WT)</v>
      </c>
      <c r="H1136" s="81" t="str">
        <f>_xlfn.XLOOKUP(表格1[[#This Row],[Model]],表格3[Model-Input-Ref2],表格3[Product Line])</f>
        <v>4毫米厚釜電飯煲1L</v>
      </c>
      <c r="I1136" s="81" t="str">
        <f>_xlfn.XLOOKUP(表格1[[#This Row],[Model]],表格3[Model-Input-Ref2],表格3[大小電])</f>
        <v>細電</v>
      </c>
      <c r="J1136" s="81" t="str">
        <f>_xlfn.XLOOKUP(表格1[[#This Row],[Model]],表格3[Model-Input-Ref2],表格3[Code])</f>
        <v>SDA</v>
      </c>
      <c r="K1136" s="82" t="s">
        <v>1244</v>
      </c>
      <c r="L1136" s="81">
        <v>1</v>
      </c>
      <c r="M1136" s="85">
        <v>719</v>
      </c>
      <c r="N1136" s="85">
        <f>IFERROR(表格1[[#This Row],[QTY]]*表格1[[#This Row],[Unit Price]],"-")</f>
        <v>719</v>
      </c>
      <c r="O1136" s="134">
        <v>816093</v>
      </c>
      <c r="P1136" s="81"/>
      <c r="Q1136" s="81"/>
      <c r="R1136" s="81" t="str">
        <f>_xlfn.CONCAT(表格1[[#This Row],[Model]]," ",表格1[[#This Row],[inv no]])</f>
        <v>RC-10NMFIH(WT) 816093</v>
      </c>
      <c r="S1136" s="135">
        <f>_xlfn.XLOOKUP(表格1[[#This Row],[Model]],表格3[Model-Input-Ref2],表格3[SRP PRICE])</f>
        <v>898</v>
      </c>
      <c r="T1136" s="43">
        <f>表格1[[#This Row],[Unit Price]]/表格1[[#This Row],[SRP]]</f>
        <v>0.80066815144766146</v>
      </c>
      <c r="U1136" s="86" t="str">
        <f>_xlfn.XLOOKUP(表格1[[#This Row],[Model]],表格3[Model-Input-Ref2],表格3[TOSHIBA/HIGHEST])</f>
        <v>Toshiba SRP</v>
      </c>
      <c r="V1136" s="86" t="s">
        <v>1126</v>
      </c>
      <c r="W1136" s="86" t="str">
        <f>_xlfn.CONCAT(表格1[[#This Row],[欄4]],表格1[[#This Row],[inv no]])</f>
        <v>DA141816093</v>
      </c>
    </row>
    <row r="1137" spans="1:23" hidden="1">
      <c r="A1137" s="81">
        <v>1135</v>
      </c>
      <c r="B1137" s="81" t="s">
        <v>1477</v>
      </c>
      <c r="C1137" s="81" t="s">
        <v>1478</v>
      </c>
      <c r="D1137" s="82" t="str">
        <f ca="1">OFFSET(Roster!$A$3,MATCH(表格1[[#This Row],[Location]]&amp;" "&amp;表格1[[#This Row],[Shop]]&amp;"*",Roster!$A$4:$A$72,0),DAY(表格1[[#This Row],[date]]),1,1)</f>
        <v>Vicky L</v>
      </c>
      <c r="E1137" s="81">
        <f>MONTH(表格1[[#This Row],[date]])</f>
        <v>3</v>
      </c>
      <c r="F1137" s="101">
        <v>46104</v>
      </c>
      <c r="G1137" s="81" t="str">
        <f>VLOOKUP("*"&amp;表格1[[#This Row],[Input]]&amp;"*",'Ref-List'!$B:$D,2,)</f>
        <v>RC-10NMFIH(WT)</v>
      </c>
      <c r="H1137" s="81" t="str">
        <f>_xlfn.XLOOKUP(表格1[[#This Row],[Model]],表格3[Model-Input-Ref2],表格3[Product Line])</f>
        <v>4毫米厚釜電飯煲1L</v>
      </c>
      <c r="I1137" s="81" t="str">
        <f>_xlfn.XLOOKUP(表格1[[#This Row],[Model]],表格3[Model-Input-Ref2],表格3[大小電])</f>
        <v>細電</v>
      </c>
      <c r="J1137" s="81" t="str">
        <f>_xlfn.XLOOKUP(表格1[[#This Row],[Model]],表格3[Model-Input-Ref2],表格3[Code])</f>
        <v>SDA</v>
      </c>
      <c r="K1137" s="82" t="s">
        <v>1244</v>
      </c>
      <c r="L1137" s="81">
        <v>1</v>
      </c>
      <c r="M1137" s="85">
        <v>719</v>
      </c>
      <c r="N1137" s="85">
        <f>IFERROR(表格1[[#This Row],[QTY]]*表格1[[#This Row],[Unit Price]],"-")</f>
        <v>719</v>
      </c>
      <c r="O1137" s="134">
        <v>816592</v>
      </c>
      <c r="P1137" s="81"/>
      <c r="Q1137" s="81"/>
      <c r="R1137" s="81" t="str">
        <f>_xlfn.CONCAT(表格1[[#This Row],[Model]]," ",表格1[[#This Row],[inv no]])</f>
        <v>RC-10NMFIH(WT) 816592</v>
      </c>
      <c r="S1137" s="135">
        <f>_xlfn.XLOOKUP(表格1[[#This Row],[Model]],表格3[Model-Input-Ref2],表格3[SRP PRICE])</f>
        <v>898</v>
      </c>
      <c r="T1137" s="43">
        <f>表格1[[#This Row],[Unit Price]]/表格1[[#This Row],[SRP]]</f>
        <v>0.80066815144766146</v>
      </c>
      <c r="U1137" s="86" t="str">
        <f>_xlfn.XLOOKUP(表格1[[#This Row],[Model]],表格3[Model-Input-Ref2],表格3[TOSHIBA/HIGHEST])</f>
        <v>Toshiba SRP</v>
      </c>
      <c r="V1137" s="86" t="s">
        <v>1126</v>
      </c>
      <c r="W1137" s="86" t="str">
        <f>_xlfn.CONCAT(表格1[[#This Row],[欄4]],表格1[[#This Row],[inv no]])</f>
        <v>DA141816592</v>
      </c>
    </row>
    <row r="1138" spans="1:23" hidden="1">
      <c r="A1138" s="81">
        <v>1136</v>
      </c>
      <c r="B1138" s="81" t="s">
        <v>1477</v>
      </c>
      <c r="C1138" s="81" t="s">
        <v>1478</v>
      </c>
      <c r="D1138" s="82" t="str">
        <f ca="1">OFFSET(Roster!$A$3,MATCH(表格1[[#This Row],[Location]]&amp;" "&amp;表格1[[#This Row],[Shop]]&amp;"*",Roster!$A$4:$A$72,0),DAY(表格1[[#This Row],[date]]),1,1)</f>
        <v>Vicky L</v>
      </c>
      <c r="E1138" s="81">
        <f>MONTH(表格1[[#This Row],[date]])</f>
        <v>3</v>
      </c>
      <c r="F1138" s="101">
        <v>46108</v>
      </c>
      <c r="G1138" s="81" t="str">
        <f>VLOOKUP("*"&amp;表格1[[#This Row],[Input]]&amp;"*",'Ref-List'!$B:$D,2,)</f>
        <v>RC-10NMFIH(WT)</v>
      </c>
      <c r="H1138" s="81" t="str">
        <f>_xlfn.XLOOKUP(表格1[[#This Row],[Model]],表格3[Model-Input-Ref2],表格3[Product Line])</f>
        <v>4毫米厚釜電飯煲1L</v>
      </c>
      <c r="I1138" s="81" t="str">
        <f>_xlfn.XLOOKUP(表格1[[#This Row],[Model]],表格3[Model-Input-Ref2],表格3[大小電])</f>
        <v>細電</v>
      </c>
      <c r="J1138" s="81" t="str">
        <f>_xlfn.XLOOKUP(表格1[[#This Row],[Model]],表格3[Model-Input-Ref2],表格3[Code])</f>
        <v>SDA</v>
      </c>
      <c r="K1138" s="82" t="s">
        <v>1377</v>
      </c>
      <c r="L1138" s="81">
        <v>1</v>
      </c>
      <c r="M1138" s="85">
        <v>719</v>
      </c>
      <c r="N1138" s="85">
        <f>IFERROR(表格1[[#This Row],[QTY]]*表格1[[#This Row],[Unit Price]],"-")</f>
        <v>719</v>
      </c>
      <c r="O1138" s="134">
        <v>816949</v>
      </c>
      <c r="P1138" s="81"/>
      <c r="Q1138" s="81"/>
      <c r="R1138" s="81" t="str">
        <f>_xlfn.CONCAT(表格1[[#This Row],[Model]]," ",表格1[[#This Row],[inv no]])</f>
        <v>RC-10NMFIH(WT) 816949</v>
      </c>
      <c r="S1138" s="135">
        <f>_xlfn.XLOOKUP(表格1[[#This Row],[Model]],表格3[Model-Input-Ref2],表格3[SRP PRICE])</f>
        <v>898</v>
      </c>
      <c r="T1138" s="43">
        <f>表格1[[#This Row],[Unit Price]]/表格1[[#This Row],[SRP]]</f>
        <v>0.80066815144766146</v>
      </c>
      <c r="U1138" s="86" t="str">
        <f>_xlfn.XLOOKUP(表格1[[#This Row],[Model]],表格3[Model-Input-Ref2],表格3[TOSHIBA/HIGHEST])</f>
        <v>Toshiba SRP</v>
      </c>
      <c r="V1138" s="86" t="s">
        <v>1126</v>
      </c>
      <c r="W1138" s="86" t="str">
        <f>_xlfn.CONCAT(表格1[[#This Row],[欄4]],表格1[[#This Row],[inv no]])</f>
        <v>DA141816949</v>
      </c>
    </row>
    <row r="1139" spans="1:23" hidden="1">
      <c r="A1139" s="81">
        <v>1137</v>
      </c>
      <c r="B1139" s="81" t="s">
        <v>1477</v>
      </c>
      <c r="C1139" s="81" t="s">
        <v>1478</v>
      </c>
      <c r="D1139" s="82" t="str">
        <f ca="1">OFFSET(Roster!$A$3,MATCH(表格1[[#This Row],[Location]]&amp;" "&amp;表格1[[#This Row],[Shop]]&amp;"*",Roster!$A$4:$A$72,0),DAY(表格1[[#This Row],[date]]),1,1)</f>
        <v>Vicky L</v>
      </c>
      <c r="E1139" s="81">
        <f>MONTH(表格1[[#This Row],[date]])</f>
        <v>3</v>
      </c>
      <c r="F1139" s="101">
        <v>46108</v>
      </c>
      <c r="G1139" s="81" t="str">
        <f>VLOOKUP("*"&amp;表格1[[#This Row],[Input]]&amp;"*",'Ref-List'!$B:$D,2,)</f>
        <v>RC-10NMFIH(WT)</v>
      </c>
      <c r="H1139" s="81" t="str">
        <f>_xlfn.XLOOKUP(表格1[[#This Row],[Model]],表格3[Model-Input-Ref2],表格3[Product Line])</f>
        <v>4毫米厚釜電飯煲1L</v>
      </c>
      <c r="I1139" s="81" t="str">
        <f>_xlfn.XLOOKUP(表格1[[#This Row],[Model]],表格3[Model-Input-Ref2],表格3[大小電])</f>
        <v>細電</v>
      </c>
      <c r="J1139" s="81" t="str">
        <f>_xlfn.XLOOKUP(表格1[[#This Row],[Model]],表格3[Model-Input-Ref2],表格3[Code])</f>
        <v>SDA</v>
      </c>
      <c r="K1139" s="82" t="s">
        <v>1377</v>
      </c>
      <c r="L1139" s="81">
        <v>1</v>
      </c>
      <c r="M1139" s="85">
        <v>719</v>
      </c>
      <c r="N1139" s="85">
        <f>IFERROR(表格1[[#This Row],[QTY]]*表格1[[#This Row],[Unit Price]],"-")</f>
        <v>719</v>
      </c>
      <c r="O1139" s="134">
        <v>816957</v>
      </c>
      <c r="P1139" s="136"/>
      <c r="Q1139" s="81"/>
      <c r="R1139" s="81" t="str">
        <f>_xlfn.CONCAT(表格1[[#This Row],[Model]]," ",表格1[[#This Row],[inv no]])</f>
        <v>RC-10NMFIH(WT) 816957</v>
      </c>
      <c r="S1139" s="135">
        <f>_xlfn.XLOOKUP(表格1[[#This Row],[Model]],表格3[Model-Input-Ref2],表格3[SRP PRICE])</f>
        <v>898</v>
      </c>
      <c r="T1139" s="43">
        <f>表格1[[#This Row],[Unit Price]]/表格1[[#This Row],[SRP]]</f>
        <v>0.80066815144766146</v>
      </c>
      <c r="U1139" s="86" t="str">
        <f>_xlfn.XLOOKUP(表格1[[#This Row],[Model]],表格3[Model-Input-Ref2],表格3[TOSHIBA/HIGHEST])</f>
        <v>Toshiba SRP</v>
      </c>
      <c r="V1139" s="86" t="s">
        <v>1126</v>
      </c>
      <c r="W1139" s="86" t="str">
        <f>_xlfn.CONCAT(表格1[[#This Row],[欄4]],表格1[[#This Row],[inv no]])</f>
        <v>DA141816957</v>
      </c>
    </row>
    <row r="1140" spans="1:23" hidden="1">
      <c r="A1140" s="81">
        <v>1138</v>
      </c>
      <c r="B1140" s="81" t="s">
        <v>1477</v>
      </c>
      <c r="C1140" s="81" t="s">
        <v>1478</v>
      </c>
      <c r="D1140" s="82" t="str">
        <f ca="1">OFFSET(Roster!$A$3,MATCH(表格1[[#This Row],[Location]]&amp;" "&amp;表格1[[#This Row],[Shop]]&amp;"*",Roster!$A$4:$A$72,0),DAY(表格1[[#This Row],[date]]),1,1)</f>
        <v>Vicky L</v>
      </c>
      <c r="E1140" s="81">
        <f>MONTH(表格1[[#This Row],[date]])</f>
        <v>3</v>
      </c>
      <c r="F1140" s="101">
        <v>46110</v>
      </c>
      <c r="G1140" s="81" t="str">
        <f>VLOOKUP("*"&amp;表格1[[#This Row],[Input]]&amp;"*",'Ref-List'!$B:$D,2,)</f>
        <v>RC-10NMFIH(WT)</v>
      </c>
      <c r="H1140" s="81" t="str">
        <f>_xlfn.XLOOKUP(表格1[[#This Row],[Model]],表格3[Model-Input-Ref2],表格3[Product Line])</f>
        <v>4毫米厚釜電飯煲1L</v>
      </c>
      <c r="I1140" s="81" t="str">
        <f>_xlfn.XLOOKUP(表格1[[#This Row],[Model]],表格3[Model-Input-Ref2],表格3[大小電])</f>
        <v>細電</v>
      </c>
      <c r="J1140" s="81" t="str">
        <f>_xlfn.XLOOKUP(表格1[[#This Row],[Model]],表格3[Model-Input-Ref2],表格3[Code])</f>
        <v>SDA</v>
      </c>
      <c r="K1140" s="82" t="s">
        <v>1377</v>
      </c>
      <c r="L1140" s="81">
        <v>1</v>
      </c>
      <c r="M1140" s="85">
        <v>719</v>
      </c>
      <c r="N1140" s="85">
        <f>IFERROR(表格1[[#This Row],[QTY]]*表格1[[#This Row],[Unit Price]],"-")</f>
        <v>719</v>
      </c>
      <c r="O1140" s="134">
        <v>817043</v>
      </c>
      <c r="P1140" s="136"/>
      <c r="Q1140" s="81"/>
      <c r="R1140" s="81" t="str">
        <f>_xlfn.CONCAT(表格1[[#This Row],[Model]]," ",表格1[[#This Row],[inv no]])</f>
        <v>RC-10NMFIH(WT) 817043</v>
      </c>
      <c r="S1140" s="135">
        <f>_xlfn.XLOOKUP(表格1[[#This Row],[Model]],表格3[Model-Input-Ref2],表格3[SRP PRICE])</f>
        <v>898</v>
      </c>
      <c r="T1140" s="43">
        <f>表格1[[#This Row],[Unit Price]]/表格1[[#This Row],[SRP]]</f>
        <v>0.80066815144766146</v>
      </c>
      <c r="U1140" s="86" t="str">
        <f>_xlfn.XLOOKUP(表格1[[#This Row],[Model]],表格3[Model-Input-Ref2],表格3[TOSHIBA/HIGHEST])</f>
        <v>Toshiba SRP</v>
      </c>
      <c r="V1140" s="86" t="s">
        <v>1126</v>
      </c>
      <c r="W1140" s="86" t="str">
        <f>_xlfn.CONCAT(表格1[[#This Row],[欄4]],表格1[[#This Row],[inv no]])</f>
        <v>DA141817043</v>
      </c>
    </row>
    <row r="1141" spans="1:23" hidden="1">
      <c r="A1141" s="81">
        <v>1139</v>
      </c>
      <c r="B1141" s="81" t="s">
        <v>1477</v>
      </c>
      <c r="C1141" s="81" t="s">
        <v>1478</v>
      </c>
      <c r="D1141" s="82" t="str">
        <f ca="1">OFFSET(Roster!$A$3,MATCH(表格1[[#This Row],[Location]]&amp;" "&amp;表格1[[#This Row],[Shop]]&amp;"*",Roster!$A$4:$A$72,0),DAY(表格1[[#This Row],[date]]),1,1)</f>
        <v>Vicky L</v>
      </c>
      <c r="E1141" s="81">
        <f>MONTH(表格1[[#This Row],[date]])</f>
        <v>3</v>
      </c>
      <c r="F1141" s="101">
        <v>46110</v>
      </c>
      <c r="G1141" s="81" t="str">
        <f>VLOOKUP("*"&amp;表格1[[#This Row],[Input]]&amp;"*",'Ref-List'!$B:$D,2,)</f>
        <v>RC-10NMFIH(WT)</v>
      </c>
      <c r="H1141" s="81" t="str">
        <f>_xlfn.XLOOKUP(表格1[[#This Row],[Model]],表格3[Model-Input-Ref2],表格3[Product Line])</f>
        <v>4毫米厚釜電飯煲1L</v>
      </c>
      <c r="I1141" s="81" t="str">
        <f>_xlfn.XLOOKUP(表格1[[#This Row],[Model]],表格3[Model-Input-Ref2],表格3[大小電])</f>
        <v>細電</v>
      </c>
      <c r="J1141" s="81" t="str">
        <f>_xlfn.XLOOKUP(表格1[[#This Row],[Model]],表格3[Model-Input-Ref2],表格3[Code])</f>
        <v>SDA</v>
      </c>
      <c r="K1141" s="82" t="s">
        <v>1377</v>
      </c>
      <c r="L1141" s="81">
        <v>1</v>
      </c>
      <c r="M1141" s="85">
        <v>719</v>
      </c>
      <c r="N1141" s="85">
        <f>IFERROR(表格1[[#This Row],[QTY]]*表格1[[#This Row],[Unit Price]],"-")</f>
        <v>719</v>
      </c>
      <c r="O1141" s="134">
        <v>817113</v>
      </c>
      <c r="P1141" s="81"/>
      <c r="Q1141" s="81"/>
      <c r="R1141" s="81" t="str">
        <f>_xlfn.CONCAT(表格1[[#This Row],[Model]]," ",表格1[[#This Row],[inv no]])</f>
        <v>RC-10NMFIH(WT) 817113</v>
      </c>
      <c r="S1141" s="135">
        <f>_xlfn.XLOOKUP(表格1[[#This Row],[Model]],表格3[Model-Input-Ref2],表格3[SRP PRICE])</f>
        <v>898</v>
      </c>
      <c r="T1141" s="43">
        <f>表格1[[#This Row],[Unit Price]]/表格1[[#This Row],[SRP]]</f>
        <v>0.80066815144766146</v>
      </c>
      <c r="U1141" s="86" t="str">
        <f>_xlfn.XLOOKUP(表格1[[#This Row],[Model]],表格3[Model-Input-Ref2],表格3[TOSHIBA/HIGHEST])</f>
        <v>Toshiba SRP</v>
      </c>
      <c r="V1141" s="86" t="s">
        <v>1126</v>
      </c>
      <c r="W1141" s="86" t="str">
        <f>_xlfn.CONCAT(表格1[[#This Row],[欄4]],表格1[[#This Row],[inv no]])</f>
        <v>DA141817113</v>
      </c>
    </row>
    <row r="1142" spans="1:23" hidden="1">
      <c r="A1142" s="81">
        <v>1140</v>
      </c>
      <c r="B1142" s="81" t="s">
        <v>1477</v>
      </c>
      <c r="C1142" s="81" t="s">
        <v>1478</v>
      </c>
      <c r="D1142" s="82" t="str">
        <f ca="1">OFFSET(Roster!$A$3,MATCH(表格1[[#This Row],[Location]]&amp;" "&amp;表格1[[#This Row],[Shop]]&amp;"*",Roster!$A$4:$A$72,0),DAY(表格1[[#This Row],[date]]),1,1)</f>
        <v>Vicky L</v>
      </c>
      <c r="E1142" s="81">
        <f>MONTH(表格1[[#This Row],[date]])</f>
        <v>3</v>
      </c>
      <c r="F1142" s="101">
        <v>46110</v>
      </c>
      <c r="G1142" s="81" t="str">
        <f>VLOOKUP("*"&amp;表格1[[#This Row],[Input]]&amp;"*",'Ref-List'!$B:$D,2,)</f>
        <v>RC-10NMFIH(WT)</v>
      </c>
      <c r="H1142" s="81" t="str">
        <f>_xlfn.XLOOKUP(表格1[[#This Row],[Model]],表格3[Model-Input-Ref2],表格3[Product Line])</f>
        <v>4毫米厚釜電飯煲1L</v>
      </c>
      <c r="I1142" s="81" t="str">
        <f>_xlfn.XLOOKUP(表格1[[#This Row],[Model]],表格3[Model-Input-Ref2],表格3[大小電])</f>
        <v>細電</v>
      </c>
      <c r="J1142" s="81" t="str">
        <f>_xlfn.XLOOKUP(表格1[[#This Row],[Model]],表格3[Model-Input-Ref2],表格3[Code])</f>
        <v>SDA</v>
      </c>
      <c r="K1142" s="82" t="s">
        <v>1377</v>
      </c>
      <c r="L1142" s="81">
        <v>1</v>
      </c>
      <c r="M1142" s="85">
        <v>719</v>
      </c>
      <c r="N1142" s="85">
        <f>IFERROR(表格1[[#This Row],[QTY]]*表格1[[#This Row],[Unit Price]],"-")</f>
        <v>719</v>
      </c>
      <c r="O1142" s="134">
        <v>817139</v>
      </c>
      <c r="P1142" s="81"/>
      <c r="Q1142" s="81"/>
      <c r="R1142" s="81" t="str">
        <f>_xlfn.CONCAT(表格1[[#This Row],[Model]]," ",表格1[[#This Row],[inv no]])</f>
        <v>RC-10NMFIH(WT) 817139</v>
      </c>
      <c r="S1142" s="135">
        <f>_xlfn.XLOOKUP(表格1[[#This Row],[Model]],表格3[Model-Input-Ref2],表格3[SRP PRICE])</f>
        <v>898</v>
      </c>
      <c r="T1142" s="43">
        <f>表格1[[#This Row],[Unit Price]]/表格1[[#This Row],[SRP]]</f>
        <v>0.80066815144766146</v>
      </c>
      <c r="U1142" s="86" t="str">
        <f>_xlfn.XLOOKUP(表格1[[#This Row],[Model]],表格3[Model-Input-Ref2],表格3[TOSHIBA/HIGHEST])</f>
        <v>Toshiba SRP</v>
      </c>
      <c r="V1142" s="86" t="s">
        <v>1126</v>
      </c>
      <c r="W1142" s="86" t="str">
        <f>_xlfn.CONCAT(表格1[[#This Row],[欄4]],表格1[[#This Row],[inv no]])</f>
        <v>DA141817139</v>
      </c>
    </row>
    <row r="1143" spans="1:23" hidden="1">
      <c r="A1143" s="81">
        <v>1141</v>
      </c>
      <c r="B1143" s="81" t="s">
        <v>1477</v>
      </c>
      <c r="C1143" s="81" t="s">
        <v>1478</v>
      </c>
      <c r="D1143" s="82" t="str">
        <f ca="1">OFFSET(Roster!$A$3,MATCH(表格1[[#This Row],[Location]]&amp;" "&amp;表格1[[#This Row],[Shop]]&amp;"*",Roster!$A$4:$A$72,0),DAY(表格1[[#This Row],[date]]),1,1)</f>
        <v>Vicky L</v>
      </c>
      <c r="E1143" s="81">
        <f>MONTH(表格1[[#This Row],[date]])</f>
        <v>3</v>
      </c>
      <c r="F1143" s="101">
        <v>46094</v>
      </c>
      <c r="G1143" s="81" t="str">
        <f>VLOOKUP("*"&amp;表格1[[#This Row],[Input]]&amp;"*",'Ref-List'!$B:$D,2,)</f>
        <v>RC-18NMFIH(WT)</v>
      </c>
      <c r="H1143" s="81" t="str">
        <f>_xlfn.XLOOKUP(表格1[[#This Row],[Model]],表格3[Model-Input-Ref2],表格3[Product Line])</f>
        <v>4毫米厚釜電飯煲1.8L</v>
      </c>
      <c r="I1143" s="81" t="str">
        <f>_xlfn.XLOOKUP(表格1[[#This Row],[Model]],表格3[Model-Input-Ref2],表格3[大小電])</f>
        <v>細電</v>
      </c>
      <c r="J1143" s="81" t="str">
        <f>_xlfn.XLOOKUP(表格1[[#This Row],[Model]],表格3[Model-Input-Ref2],表格3[Code])</f>
        <v>SDA</v>
      </c>
      <c r="K1143" s="82" t="s">
        <v>1267</v>
      </c>
      <c r="L1143" s="81">
        <v>1</v>
      </c>
      <c r="M1143" s="85">
        <v>799</v>
      </c>
      <c r="N1143" s="85">
        <f>IFERROR(表格1[[#This Row],[QTY]]*表格1[[#This Row],[Unit Price]],"-")</f>
        <v>799</v>
      </c>
      <c r="O1143" s="134">
        <v>815697</v>
      </c>
      <c r="P1143" s="136"/>
      <c r="Q1143" s="81"/>
      <c r="R1143" s="81" t="str">
        <f>_xlfn.CONCAT(表格1[[#This Row],[Model]]," ",表格1[[#This Row],[inv no]])</f>
        <v>RC-18NMFIH(WT) 815697</v>
      </c>
      <c r="S1143" s="135">
        <f>_xlfn.XLOOKUP(表格1[[#This Row],[Model]],表格3[Model-Input-Ref2],表格3[SRP PRICE])</f>
        <v>998</v>
      </c>
      <c r="T1143" s="43">
        <f>表格1[[#This Row],[Unit Price]]/表格1[[#This Row],[SRP]]</f>
        <v>0.80060120240480959</v>
      </c>
      <c r="U1143" s="86" t="str">
        <f>_xlfn.XLOOKUP(表格1[[#This Row],[Model]],表格3[Model-Input-Ref2],表格3[TOSHIBA/HIGHEST])</f>
        <v>Toshiba SRP</v>
      </c>
      <c r="V1143" s="86" t="s">
        <v>1126</v>
      </c>
      <c r="W1143" s="86" t="str">
        <f>_xlfn.CONCAT(表格1[[#This Row],[欄4]],表格1[[#This Row],[inv no]])</f>
        <v>DA141815697</v>
      </c>
    </row>
    <row r="1144" spans="1:23" hidden="1">
      <c r="A1144" s="81">
        <v>1142</v>
      </c>
      <c r="B1144" s="81" t="s">
        <v>1477</v>
      </c>
      <c r="C1144" s="81" t="s">
        <v>1478</v>
      </c>
      <c r="D1144" s="82" t="str">
        <f ca="1">OFFSET(Roster!$A$3,MATCH(表格1[[#This Row],[Location]]&amp;" "&amp;表格1[[#This Row],[Shop]]&amp;"*",Roster!$A$4:$A$72,0),DAY(表格1[[#This Row],[date]]),1,1)</f>
        <v>Vicky L</v>
      </c>
      <c r="E1144" s="81">
        <f>MONTH(表格1[[#This Row],[date]])</f>
        <v>3</v>
      </c>
      <c r="F1144" s="101">
        <v>46095</v>
      </c>
      <c r="G1144" s="81" t="str">
        <f>VLOOKUP("*"&amp;表格1[[#This Row],[Input]]&amp;"*",'Ref-List'!$B:$D,2,)</f>
        <v>RC-18NMFIH(WT)</v>
      </c>
      <c r="H1144" s="81" t="str">
        <f>_xlfn.XLOOKUP(表格1[[#This Row],[Model]],表格3[Model-Input-Ref2],表格3[Product Line])</f>
        <v>4毫米厚釜電飯煲1.8L</v>
      </c>
      <c r="I1144" s="81" t="str">
        <f>_xlfn.XLOOKUP(表格1[[#This Row],[Model]],表格3[Model-Input-Ref2],表格3[大小電])</f>
        <v>細電</v>
      </c>
      <c r="J1144" s="81" t="str">
        <f>_xlfn.XLOOKUP(表格1[[#This Row],[Model]],表格3[Model-Input-Ref2],表格3[Code])</f>
        <v>SDA</v>
      </c>
      <c r="K1144" s="82" t="s">
        <v>1267</v>
      </c>
      <c r="L1144" s="81">
        <v>1</v>
      </c>
      <c r="M1144" s="85">
        <v>799</v>
      </c>
      <c r="N1144" s="85">
        <f>IFERROR(表格1[[#This Row],[QTY]]*表格1[[#This Row],[Unit Price]],"-")</f>
        <v>799</v>
      </c>
      <c r="O1144" s="134">
        <v>815810</v>
      </c>
      <c r="P1144" s="81"/>
      <c r="Q1144" s="81"/>
      <c r="R1144" s="81" t="str">
        <f>_xlfn.CONCAT(表格1[[#This Row],[Model]]," ",表格1[[#This Row],[inv no]])</f>
        <v>RC-18NMFIH(WT) 815810</v>
      </c>
      <c r="S1144" s="135">
        <f>_xlfn.XLOOKUP(表格1[[#This Row],[Model]],表格3[Model-Input-Ref2],表格3[SRP PRICE])</f>
        <v>998</v>
      </c>
      <c r="T1144" s="43">
        <f>表格1[[#This Row],[Unit Price]]/表格1[[#This Row],[SRP]]</f>
        <v>0.80060120240480959</v>
      </c>
      <c r="U1144" s="86" t="str">
        <f>_xlfn.XLOOKUP(表格1[[#This Row],[Model]],表格3[Model-Input-Ref2],表格3[TOSHIBA/HIGHEST])</f>
        <v>Toshiba SRP</v>
      </c>
      <c r="V1144" s="86" t="s">
        <v>1126</v>
      </c>
      <c r="W1144" s="86" t="str">
        <f>_xlfn.CONCAT(表格1[[#This Row],[欄4]],表格1[[#This Row],[inv no]])</f>
        <v>DA141815810</v>
      </c>
    </row>
    <row r="1145" spans="1:23" hidden="1">
      <c r="A1145" s="81">
        <v>1143</v>
      </c>
      <c r="B1145" s="81" t="s">
        <v>1477</v>
      </c>
      <c r="C1145" s="81" t="s">
        <v>1478</v>
      </c>
      <c r="D1145" s="82" t="str">
        <f ca="1">OFFSET(Roster!$A$3,MATCH(表格1[[#This Row],[Location]]&amp;" "&amp;表格1[[#This Row],[Shop]]&amp;"*",Roster!$A$4:$A$72,0),DAY(表格1[[#This Row],[date]]),1,1)</f>
        <v>Vicky L</v>
      </c>
      <c r="E1145" s="81">
        <f>MONTH(表格1[[#This Row],[date]])</f>
        <v>3</v>
      </c>
      <c r="F1145" s="101">
        <v>46096</v>
      </c>
      <c r="G1145" s="81" t="str">
        <f>VLOOKUP("*"&amp;表格1[[#This Row],[Input]]&amp;"*",'Ref-List'!$B:$D,2,)</f>
        <v>RC-18NMFIH(WT)</v>
      </c>
      <c r="H1145" s="81" t="str">
        <f>_xlfn.XLOOKUP(表格1[[#This Row],[Model]],表格3[Model-Input-Ref2],表格3[Product Line])</f>
        <v>4毫米厚釜電飯煲1.8L</v>
      </c>
      <c r="I1145" s="81" t="str">
        <f>_xlfn.XLOOKUP(表格1[[#This Row],[Model]],表格3[Model-Input-Ref2],表格3[大小電])</f>
        <v>細電</v>
      </c>
      <c r="J1145" s="81" t="str">
        <f>_xlfn.XLOOKUP(表格1[[#This Row],[Model]],表格3[Model-Input-Ref2],表格3[Code])</f>
        <v>SDA</v>
      </c>
      <c r="K1145" s="82" t="s">
        <v>1267</v>
      </c>
      <c r="L1145" s="81">
        <v>1</v>
      </c>
      <c r="M1145" s="85">
        <v>799</v>
      </c>
      <c r="N1145" s="85">
        <f>IFERROR(表格1[[#This Row],[QTY]]*表格1[[#This Row],[Unit Price]],"-")</f>
        <v>799</v>
      </c>
      <c r="O1145" s="134">
        <v>815864</v>
      </c>
      <c r="P1145" s="81"/>
      <c r="Q1145" s="81"/>
      <c r="R1145" s="81" t="str">
        <f>_xlfn.CONCAT(表格1[[#This Row],[Model]]," ",表格1[[#This Row],[inv no]])</f>
        <v>RC-18NMFIH(WT) 815864</v>
      </c>
      <c r="S1145" s="135">
        <f>_xlfn.XLOOKUP(表格1[[#This Row],[Model]],表格3[Model-Input-Ref2],表格3[SRP PRICE])</f>
        <v>998</v>
      </c>
      <c r="T1145" s="43">
        <f>表格1[[#This Row],[Unit Price]]/表格1[[#This Row],[SRP]]</f>
        <v>0.80060120240480959</v>
      </c>
      <c r="U1145" s="86" t="str">
        <f>_xlfn.XLOOKUP(表格1[[#This Row],[Model]],表格3[Model-Input-Ref2],表格3[TOSHIBA/HIGHEST])</f>
        <v>Toshiba SRP</v>
      </c>
      <c r="V1145" s="86" t="s">
        <v>1126</v>
      </c>
      <c r="W1145" s="86" t="str">
        <f>_xlfn.CONCAT(表格1[[#This Row],[欄4]],表格1[[#This Row],[inv no]])</f>
        <v>DA141815864</v>
      </c>
    </row>
    <row r="1146" spans="1:23" hidden="1">
      <c r="A1146" s="81">
        <v>1144</v>
      </c>
      <c r="B1146" s="81" t="s">
        <v>1477</v>
      </c>
      <c r="C1146" s="81" t="s">
        <v>1478</v>
      </c>
      <c r="D1146" s="82" t="str">
        <f ca="1">OFFSET(Roster!$A$3,MATCH(表格1[[#This Row],[Location]]&amp;" "&amp;表格1[[#This Row],[Shop]]&amp;"*",Roster!$A$4:$A$72,0),DAY(表格1[[#This Row],[date]]),1,1)</f>
        <v>Vicky L</v>
      </c>
      <c r="E1146" s="81">
        <f>MONTH(表格1[[#This Row],[date]])</f>
        <v>3</v>
      </c>
      <c r="F1146" s="101">
        <v>46096</v>
      </c>
      <c r="G1146" s="81" t="str">
        <f>VLOOKUP("*"&amp;表格1[[#This Row],[Input]]&amp;"*",'Ref-List'!$B:$D,2,)</f>
        <v>RC-18NMFIH(WT)</v>
      </c>
      <c r="H1146" s="81" t="str">
        <f>_xlfn.XLOOKUP(表格1[[#This Row],[Model]],表格3[Model-Input-Ref2],表格3[Product Line])</f>
        <v>4毫米厚釜電飯煲1.8L</v>
      </c>
      <c r="I1146" s="81" t="str">
        <f>_xlfn.XLOOKUP(表格1[[#This Row],[Model]],表格3[Model-Input-Ref2],表格3[大小電])</f>
        <v>細電</v>
      </c>
      <c r="J1146" s="81" t="str">
        <f>_xlfn.XLOOKUP(表格1[[#This Row],[Model]],表格3[Model-Input-Ref2],表格3[Code])</f>
        <v>SDA</v>
      </c>
      <c r="K1146" s="82" t="s">
        <v>1267</v>
      </c>
      <c r="L1146" s="81">
        <v>1</v>
      </c>
      <c r="M1146" s="85">
        <v>799</v>
      </c>
      <c r="N1146" s="85">
        <f>IFERROR(表格1[[#This Row],[QTY]]*表格1[[#This Row],[Unit Price]],"-")</f>
        <v>799</v>
      </c>
      <c r="O1146" s="134">
        <v>815918</v>
      </c>
      <c r="P1146" s="81"/>
      <c r="Q1146" s="81"/>
      <c r="R1146" s="81" t="str">
        <f>_xlfn.CONCAT(表格1[[#This Row],[Model]]," ",表格1[[#This Row],[inv no]])</f>
        <v>RC-18NMFIH(WT) 815918</v>
      </c>
      <c r="S1146" s="135">
        <f>_xlfn.XLOOKUP(表格1[[#This Row],[Model]],表格3[Model-Input-Ref2],表格3[SRP PRICE])</f>
        <v>998</v>
      </c>
      <c r="T1146" s="43">
        <f>表格1[[#This Row],[Unit Price]]/表格1[[#This Row],[SRP]]</f>
        <v>0.80060120240480959</v>
      </c>
      <c r="U1146" s="86" t="str">
        <f>_xlfn.XLOOKUP(表格1[[#This Row],[Model]],表格3[Model-Input-Ref2],表格3[TOSHIBA/HIGHEST])</f>
        <v>Toshiba SRP</v>
      </c>
      <c r="V1146" s="86" t="s">
        <v>1126</v>
      </c>
      <c r="W1146" s="86" t="str">
        <f>_xlfn.CONCAT(表格1[[#This Row],[欄4]],表格1[[#This Row],[inv no]])</f>
        <v>DA141815918</v>
      </c>
    </row>
    <row r="1147" spans="1:23" hidden="1">
      <c r="A1147" s="81">
        <v>1145</v>
      </c>
      <c r="B1147" s="81" t="s">
        <v>1477</v>
      </c>
      <c r="C1147" s="81" t="s">
        <v>1478</v>
      </c>
      <c r="D1147" s="82" t="str">
        <f ca="1">OFFSET(Roster!$A$3,MATCH(表格1[[#This Row],[Location]]&amp;" "&amp;表格1[[#This Row],[Shop]]&amp;"*",Roster!$A$4:$A$72,0),DAY(表格1[[#This Row],[date]]),1,1)</f>
        <v>Vicky L</v>
      </c>
      <c r="E1147" s="81">
        <f>MONTH(表格1[[#This Row],[date]])</f>
        <v>3</v>
      </c>
      <c r="F1147" s="101">
        <v>46097</v>
      </c>
      <c r="G1147" s="81" t="str">
        <f>VLOOKUP("*"&amp;表格1[[#This Row],[Input]]&amp;"*",'Ref-List'!$B:$D,2,)</f>
        <v>RC-18NMFIH(WT)</v>
      </c>
      <c r="H1147" s="81" t="str">
        <f>_xlfn.XLOOKUP(表格1[[#This Row],[Model]],表格3[Model-Input-Ref2],表格3[Product Line])</f>
        <v>4毫米厚釜電飯煲1.8L</v>
      </c>
      <c r="I1147" s="81" t="str">
        <f>_xlfn.XLOOKUP(表格1[[#This Row],[Model]],表格3[Model-Input-Ref2],表格3[大小電])</f>
        <v>細電</v>
      </c>
      <c r="J1147" s="81" t="str">
        <f>_xlfn.XLOOKUP(表格1[[#This Row],[Model]],表格3[Model-Input-Ref2],表格3[Code])</f>
        <v>SDA</v>
      </c>
      <c r="K1147" s="82" t="s">
        <v>1267</v>
      </c>
      <c r="L1147" s="81">
        <v>1</v>
      </c>
      <c r="M1147" s="85">
        <v>799</v>
      </c>
      <c r="N1147" s="85">
        <f>IFERROR(表格1[[#This Row],[QTY]]*表格1[[#This Row],[Unit Price]],"-")</f>
        <v>799</v>
      </c>
      <c r="O1147" s="134">
        <v>815978</v>
      </c>
      <c r="P1147" s="81"/>
      <c r="Q1147" s="81"/>
      <c r="R1147" s="81" t="str">
        <f>_xlfn.CONCAT(表格1[[#This Row],[Model]]," ",表格1[[#This Row],[inv no]])</f>
        <v>RC-18NMFIH(WT) 815978</v>
      </c>
      <c r="S1147" s="135">
        <f>_xlfn.XLOOKUP(表格1[[#This Row],[Model]],表格3[Model-Input-Ref2],表格3[SRP PRICE])</f>
        <v>998</v>
      </c>
      <c r="T1147" s="43">
        <f>表格1[[#This Row],[Unit Price]]/表格1[[#This Row],[SRP]]</f>
        <v>0.80060120240480959</v>
      </c>
      <c r="U1147" s="86" t="str">
        <f>_xlfn.XLOOKUP(表格1[[#This Row],[Model]],表格3[Model-Input-Ref2],表格3[TOSHIBA/HIGHEST])</f>
        <v>Toshiba SRP</v>
      </c>
      <c r="V1147" s="86" t="s">
        <v>1126</v>
      </c>
      <c r="W1147" s="86" t="str">
        <f>_xlfn.CONCAT(表格1[[#This Row],[欄4]],表格1[[#This Row],[inv no]])</f>
        <v>DA141815978</v>
      </c>
    </row>
    <row r="1148" spans="1:23" ht="16.5" hidden="1">
      <c r="A1148" s="81">
        <v>1146</v>
      </c>
      <c r="B1148" s="81" t="s">
        <v>1477</v>
      </c>
      <c r="C1148" s="81" t="s">
        <v>1478</v>
      </c>
      <c r="D1148" s="82" t="str">
        <f ca="1">OFFSET(Roster!$A$3,MATCH(表格1[[#This Row],[Location]]&amp;" "&amp;表格1[[#This Row],[Shop]]&amp;"*",Roster!$A$4:$A$72,0),DAY(表格1[[#This Row],[date]]),1,1)</f>
        <v>Vicky L</v>
      </c>
      <c r="E1148" s="81">
        <f>MONTH(表格1[[#This Row],[date]])</f>
        <v>3</v>
      </c>
      <c r="F1148" s="101">
        <v>46098</v>
      </c>
      <c r="G1148" s="81" t="str">
        <f>VLOOKUP("*"&amp;表格1[[#This Row],[Input]]&amp;"*",'Ref-List'!$B:$D,2,)</f>
        <v>RC-18NMFIH(WT)</v>
      </c>
      <c r="H1148" s="81" t="str">
        <f>_xlfn.XLOOKUP(表格1[[#This Row],[Model]],表格3[Model-Input-Ref2],表格3[Product Line])</f>
        <v>4毫米厚釜電飯煲1.8L</v>
      </c>
      <c r="I1148" s="81" t="str">
        <f>_xlfn.XLOOKUP(表格1[[#This Row],[Model]],表格3[Model-Input-Ref2],表格3[大小電])</f>
        <v>細電</v>
      </c>
      <c r="J1148" s="81" t="str">
        <f>_xlfn.XLOOKUP(表格1[[#This Row],[Model]],表格3[Model-Input-Ref2],表格3[Code])</f>
        <v>SDA</v>
      </c>
      <c r="K1148" s="82" t="s">
        <v>1267</v>
      </c>
      <c r="L1148" s="81">
        <v>1</v>
      </c>
      <c r="M1148" s="85">
        <v>799</v>
      </c>
      <c r="N1148" s="85">
        <f>IFERROR(表格1[[#This Row],[QTY]]*表格1[[#This Row],[Unit Price]],"-")</f>
        <v>799</v>
      </c>
      <c r="O1148" s="134">
        <v>816088</v>
      </c>
      <c r="P1148" s="137"/>
      <c r="Q1148" s="81"/>
      <c r="R1148" s="81" t="str">
        <f>_xlfn.CONCAT(表格1[[#This Row],[Model]]," ",表格1[[#This Row],[inv no]])</f>
        <v>RC-18NMFIH(WT) 816088</v>
      </c>
      <c r="S1148" s="135">
        <f>_xlfn.XLOOKUP(表格1[[#This Row],[Model]],表格3[Model-Input-Ref2],表格3[SRP PRICE])</f>
        <v>998</v>
      </c>
      <c r="T1148" s="43">
        <f>表格1[[#This Row],[Unit Price]]/表格1[[#This Row],[SRP]]</f>
        <v>0.80060120240480959</v>
      </c>
      <c r="U1148" s="86" t="str">
        <f>_xlfn.XLOOKUP(表格1[[#This Row],[Model]],表格3[Model-Input-Ref2],表格3[TOSHIBA/HIGHEST])</f>
        <v>Toshiba SRP</v>
      </c>
      <c r="V1148" s="86" t="s">
        <v>1126</v>
      </c>
      <c r="W1148" s="86" t="str">
        <f>_xlfn.CONCAT(表格1[[#This Row],[欄4]],表格1[[#This Row],[inv no]])</f>
        <v>DA141816088</v>
      </c>
    </row>
    <row r="1149" spans="1:23" hidden="1">
      <c r="A1149" s="81">
        <v>1147</v>
      </c>
      <c r="B1149" s="81" t="s">
        <v>1477</v>
      </c>
      <c r="C1149" s="81" t="s">
        <v>1478</v>
      </c>
      <c r="D1149" s="82" t="str">
        <f ca="1">OFFSET(Roster!$A$3,MATCH(表格1[[#This Row],[Location]]&amp;" "&amp;表格1[[#This Row],[Shop]]&amp;"*",Roster!$A$4:$A$72,0),DAY(表格1[[#This Row],[date]]),1,1)</f>
        <v>Vicky L</v>
      </c>
      <c r="E1149" s="81">
        <f>MONTH(表格1[[#This Row],[date]])</f>
        <v>3</v>
      </c>
      <c r="F1149" s="101">
        <v>46099</v>
      </c>
      <c r="G1149" s="81" t="str">
        <f>VLOOKUP("*"&amp;表格1[[#This Row],[Input]]&amp;"*",'Ref-List'!$B:$D,2,)</f>
        <v>RC-18NMFIH(WT)</v>
      </c>
      <c r="H1149" s="81" t="str">
        <f>_xlfn.XLOOKUP(表格1[[#This Row],[Model]],表格3[Model-Input-Ref2],表格3[Product Line])</f>
        <v>4毫米厚釜電飯煲1.8L</v>
      </c>
      <c r="I1149" s="81" t="str">
        <f>_xlfn.XLOOKUP(表格1[[#This Row],[Model]],表格3[Model-Input-Ref2],表格3[大小電])</f>
        <v>細電</v>
      </c>
      <c r="J1149" s="81" t="str">
        <f>_xlfn.XLOOKUP(表格1[[#This Row],[Model]],表格3[Model-Input-Ref2],表格3[Code])</f>
        <v>SDA</v>
      </c>
      <c r="K1149" s="82" t="s">
        <v>1267</v>
      </c>
      <c r="L1149" s="81">
        <v>1</v>
      </c>
      <c r="M1149" s="85">
        <v>799</v>
      </c>
      <c r="N1149" s="85">
        <f>IFERROR(表格1[[#This Row],[QTY]]*表格1[[#This Row],[Unit Price]],"-")</f>
        <v>799</v>
      </c>
      <c r="O1149" s="134">
        <v>816208</v>
      </c>
      <c r="P1149" s="136"/>
      <c r="Q1149" s="81"/>
      <c r="R1149" s="81" t="str">
        <f>_xlfn.CONCAT(表格1[[#This Row],[Model]]," ",表格1[[#This Row],[inv no]])</f>
        <v>RC-18NMFIH(WT) 816208</v>
      </c>
      <c r="S1149" s="135">
        <f>_xlfn.XLOOKUP(表格1[[#This Row],[Model]],表格3[Model-Input-Ref2],表格3[SRP PRICE])</f>
        <v>998</v>
      </c>
      <c r="T1149" s="43">
        <f>表格1[[#This Row],[Unit Price]]/表格1[[#This Row],[SRP]]</f>
        <v>0.80060120240480959</v>
      </c>
      <c r="U1149" s="86" t="str">
        <f>_xlfn.XLOOKUP(表格1[[#This Row],[Model]],表格3[Model-Input-Ref2],表格3[TOSHIBA/HIGHEST])</f>
        <v>Toshiba SRP</v>
      </c>
      <c r="V1149" s="86" t="s">
        <v>1126</v>
      </c>
      <c r="W1149" s="86" t="str">
        <f>_xlfn.CONCAT(表格1[[#This Row],[欄4]],表格1[[#This Row],[inv no]])</f>
        <v>DA141816208</v>
      </c>
    </row>
    <row r="1150" spans="1:23" hidden="1">
      <c r="A1150" s="81">
        <v>1148</v>
      </c>
      <c r="B1150" s="81" t="s">
        <v>1477</v>
      </c>
      <c r="C1150" s="81" t="s">
        <v>1478</v>
      </c>
      <c r="D1150" s="82" t="str">
        <f ca="1">OFFSET(Roster!$A$3,MATCH(表格1[[#This Row],[Location]]&amp;" "&amp;表格1[[#This Row],[Shop]]&amp;"*",Roster!$A$4:$A$72,0),DAY(表格1[[#This Row],[date]]),1,1)</f>
        <v>Vicky L</v>
      </c>
      <c r="E1150" s="81">
        <f>MONTH(表格1[[#This Row],[date]])</f>
        <v>3</v>
      </c>
      <c r="F1150" s="101">
        <v>46100</v>
      </c>
      <c r="G1150" s="81" t="str">
        <f>VLOOKUP("*"&amp;表格1[[#This Row],[Input]]&amp;"*",'Ref-List'!$B:$D,2,)</f>
        <v>RC-18NMFIH(WT)</v>
      </c>
      <c r="H1150" s="81" t="str">
        <f>_xlfn.XLOOKUP(表格1[[#This Row],[Model]],表格3[Model-Input-Ref2],表格3[Product Line])</f>
        <v>4毫米厚釜電飯煲1.8L</v>
      </c>
      <c r="I1150" s="81" t="str">
        <f>_xlfn.XLOOKUP(表格1[[#This Row],[Model]],表格3[Model-Input-Ref2],表格3[大小電])</f>
        <v>細電</v>
      </c>
      <c r="J1150" s="81" t="str">
        <f>_xlfn.XLOOKUP(表格1[[#This Row],[Model]],表格3[Model-Input-Ref2],表格3[Code])</f>
        <v>SDA</v>
      </c>
      <c r="K1150" s="82" t="s">
        <v>1267</v>
      </c>
      <c r="L1150" s="81">
        <v>1</v>
      </c>
      <c r="M1150" s="85">
        <v>799</v>
      </c>
      <c r="N1150" s="85">
        <f>IFERROR(表格1[[#This Row],[QTY]]*表格1[[#This Row],[Unit Price]],"-")</f>
        <v>799</v>
      </c>
      <c r="O1150" s="134">
        <v>816209</v>
      </c>
      <c r="P1150" s="136"/>
      <c r="Q1150" s="81"/>
      <c r="R1150" s="81" t="str">
        <f>_xlfn.CONCAT(表格1[[#This Row],[Model]]," ",表格1[[#This Row],[inv no]])</f>
        <v>RC-18NMFIH(WT) 816209</v>
      </c>
      <c r="S1150" s="135">
        <f>_xlfn.XLOOKUP(表格1[[#This Row],[Model]],表格3[Model-Input-Ref2],表格3[SRP PRICE])</f>
        <v>998</v>
      </c>
      <c r="T1150" s="43">
        <f>表格1[[#This Row],[Unit Price]]/表格1[[#This Row],[SRP]]</f>
        <v>0.80060120240480959</v>
      </c>
      <c r="U1150" s="86" t="str">
        <f>_xlfn.XLOOKUP(表格1[[#This Row],[Model]],表格3[Model-Input-Ref2],表格3[TOSHIBA/HIGHEST])</f>
        <v>Toshiba SRP</v>
      </c>
      <c r="V1150" s="86" t="s">
        <v>1126</v>
      </c>
      <c r="W1150" s="86" t="str">
        <f>_xlfn.CONCAT(表格1[[#This Row],[欄4]],表格1[[#This Row],[inv no]])</f>
        <v>DA141816209</v>
      </c>
    </row>
    <row r="1151" spans="1:23" hidden="1">
      <c r="A1151" s="81">
        <v>1149</v>
      </c>
      <c r="B1151" s="81" t="s">
        <v>1477</v>
      </c>
      <c r="C1151" s="81" t="s">
        <v>1478</v>
      </c>
      <c r="D1151" s="82" t="str">
        <f ca="1">OFFSET(Roster!$A$3,MATCH(表格1[[#This Row],[Location]]&amp;" "&amp;表格1[[#This Row],[Shop]]&amp;"*",Roster!$A$4:$A$72,0),DAY(表格1[[#This Row],[date]]),1,1)</f>
        <v>Vicky L</v>
      </c>
      <c r="E1151" s="81">
        <f>MONTH(表格1[[#This Row],[date]])</f>
        <v>3</v>
      </c>
      <c r="F1151" s="101">
        <v>46100</v>
      </c>
      <c r="G1151" s="81" t="str">
        <f>VLOOKUP("*"&amp;表格1[[#This Row],[Input]]&amp;"*",'Ref-List'!$B:$D,2,)</f>
        <v>RC-18NMFIH(WT)</v>
      </c>
      <c r="H1151" s="81" t="str">
        <f>_xlfn.XLOOKUP(表格1[[#This Row],[Model]],表格3[Model-Input-Ref2],表格3[Product Line])</f>
        <v>4毫米厚釜電飯煲1.8L</v>
      </c>
      <c r="I1151" s="81" t="str">
        <f>_xlfn.XLOOKUP(表格1[[#This Row],[Model]],表格3[Model-Input-Ref2],表格3[大小電])</f>
        <v>細電</v>
      </c>
      <c r="J1151" s="81" t="str">
        <f>_xlfn.XLOOKUP(表格1[[#This Row],[Model]],表格3[Model-Input-Ref2],表格3[Code])</f>
        <v>SDA</v>
      </c>
      <c r="K1151" s="82" t="s">
        <v>1267</v>
      </c>
      <c r="L1151" s="81">
        <v>1</v>
      </c>
      <c r="M1151" s="85">
        <v>799</v>
      </c>
      <c r="N1151" s="85">
        <f>IFERROR(表格1[[#This Row],[QTY]]*表格1[[#This Row],[Unit Price]],"-")</f>
        <v>799</v>
      </c>
      <c r="O1151" s="134">
        <v>816109</v>
      </c>
      <c r="P1151" s="81"/>
      <c r="Q1151" s="81"/>
      <c r="R1151" s="81" t="str">
        <f>_xlfn.CONCAT(表格1[[#This Row],[Model]]," ",表格1[[#This Row],[inv no]])</f>
        <v>RC-18NMFIH(WT) 816109</v>
      </c>
      <c r="S1151" s="135">
        <f>_xlfn.XLOOKUP(表格1[[#This Row],[Model]],表格3[Model-Input-Ref2],表格3[SRP PRICE])</f>
        <v>998</v>
      </c>
      <c r="T1151" s="43">
        <f>表格1[[#This Row],[Unit Price]]/表格1[[#This Row],[SRP]]</f>
        <v>0.80060120240480959</v>
      </c>
      <c r="U1151" s="86" t="str">
        <f>_xlfn.XLOOKUP(表格1[[#This Row],[Model]],表格3[Model-Input-Ref2],表格3[TOSHIBA/HIGHEST])</f>
        <v>Toshiba SRP</v>
      </c>
      <c r="V1151" s="86" t="s">
        <v>1126</v>
      </c>
      <c r="W1151" s="86" t="str">
        <f>_xlfn.CONCAT(表格1[[#This Row],[欄4]],表格1[[#This Row],[inv no]])</f>
        <v>DA141816109</v>
      </c>
    </row>
    <row r="1152" spans="1:23" hidden="1">
      <c r="A1152" s="81">
        <v>1150</v>
      </c>
      <c r="B1152" s="81" t="s">
        <v>1477</v>
      </c>
      <c r="C1152" s="81" t="s">
        <v>1478</v>
      </c>
      <c r="D1152" s="82" t="str">
        <f ca="1">OFFSET(Roster!$A$3,MATCH(表格1[[#This Row],[Location]]&amp;" "&amp;表格1[[#This Row],[Shop]]&amp;"*",Roster!$A$4:$A$72,0),DAY(表格1[[#This Row],[date]]),1,1)</f>
        <v>Vicky L</v>
      </c>
      <c r="E1152" s="81">
        <f>MONTH(表格1[[#This Row],[date]])</f>
        <v>3</v>
      </c>
      <c r="F1152" s="101">
        <v>46110</v>
      </c>
      <c r="G1152" s="81" t="str">
        <f>VLOOKUP("*"&amp;表格1[[#This Row],[Input]]&amp;"*",'Ref-List'!$B:$D,2,)</f>
        <v>RC-18NMFIH(WT)</v>
      </c>
      <c r="H1152" s="81" t="str">
        <f>_xlfn.XLOOKUP(表格1[[#This Row],[Model]],表格3[Model-Input-Ref2],表格3[Product Line])</f>
        <v>4毫米厚釜電飯煲1.8L</v>
      </c>
      <c r="I1152" s="81" t="str">
        <f>_xlfn.XLOOKUP(表格1[[#This Row],[Model]],表格3[Model-Input-Ref2],表格3[大小電])</f>
        <v>細電</v>
      </c>
      <c r="J1152" s="81" t="str">
        <f>_xlfn.XLOOKUP(表格1[[#This Row],[Model]],表格3[Model-Input-Ref2],表格3[Code])</f>
        <v>SDA</v>
      </c>
      <c r="K1152" s="82" t="s">
        <v>1267</v>
      </c>
      <c r="L1152" s="81">
        <v>1</v>
      </c>
      <c r="M1152" s="85">
        <v>799</v>
      </c>
      <c r="N1152" s="85">
        <f>IFERROR(表格1[[#This Row],[QTY]]*表格1[[#This Row],[Unit Price]],"-")</f>
        <v>799</v>
      </c>
      <c r="O1152" s="134">
        <v>902176</v>
      </c>
      <c r="P1152" s="81"/>
      <c r="Q1152" s="81"/>
      <c r="R1152" s="81" t="str">
        <f>_xlfn.CONCAT(表格1[[#This Row],[Model]]," ",表格1[[#This Row],[inv no]])</f>
        <v>RC-18NMFIH(WT) 902176</v>
      </c>
      <c r="S1152" s="135">
        <f>_xlfn.XLOOKUP(表格1[[#This Row],[Model]],表格3[Model-Input-Ref2],表格3[SRP PRICE])</f>
        <v>998</v>
      </c>
      <c r="T1152" s="43">
        <f>表格1[[#This Row],[Unit Price]]/表格1[[#This Row],[SRP]]</f>
        <v>0.80060120240480959</v>
      </c>
      <c r="U1152" s="86" t="str">
        <f>_xlfn.XLOOKUP(表格1[[#This Row],[Model]],表格3[Model-Input-Ref2],表格3[TOSHIBA/HIGHEST])</f>
        <v>Toshiba SRP</v>
      </c>
      <c r="V1152" s="86" t="s">
        <v>1126</v>
      </c>
      <c r="W1152" s="86" t="str">
        <f>_xlfn.CONCAT(表格1[[#This Row],[欄4]],表格1[[#This Row],[inv no]])</f>
        <v>DA141902176</v>
      </c>
    </row>
    <row r="1153" spans="1:23" hidden="1">
      <c r="A1153" s="81">
        <v>1151</v>
      </c>
      <c r="B1153" s="81" t="s">
        <v>1477</v>
      </c>
      <c r="C1153" s="81" t="s">
        <v>1478</v>
      </c>
      <c r="D1153" s="82" t="str">
        <f ca="1">OFFSET(Roster!$A$3,MATCH(表格1[[#This Row],[Location]]&amp;" "&amp;表格1[[#This Row],[Shop]]&amp;"*",Roster!$A$4:$A$72,0),DAY(表格1[[#This Row],[date]]),1,1)</f>
        <v>Vicky L</v>
      </c>
      <c r="E1153" s="81">
        <f>MONTH(表格1[[#This Row],[date]])</f>
        <v>3</v>
      </c>
      <c r="F1153" s="101">
        <v>46109</v>
      </c>
      <c r="G1153" s="81" t="str">
        <f>VLOOKUP("*"&amp;表格1[[#This Row],[Input]]&amp;"*",'Ref-List'!$B:$D,2,)</f>
        <v>F-ALB60HK(B)</v>
      </c>
      <c r="H1153" s="81" t="str">
        <f>_xlfn.XLOOKUP(表格1[[#This Row],[Model]],表格3[Model-Input-Ref2],表格3[Product Line])</f>
        <v>12吋座地座檯電風扇</v>
      </c>
      <c r="I1153" s="81" t="str">
        <f>_xlfn.XLOOKUP(表格1[[#This Row],[Model]],表格3[Model-Input-Ref2],表格3[大小電])</f>
        <v>細電</v>
      </c>
      <c r="J1153" s="81" t="str">
        <f>_xlfn.XLOOKUP(表格1[[#This Row],[Model]],表格3[Model-Input-Ref2],表格3[Code])</f>
        <v>SDA</v>
      </c>
      <c r="K1153" s="82" t="s">
        <v>1490</v>
      </c>
      <c r="L1153" s="81">
        <v>1</v>
      </c>
      <c r="M1153" s="85">
        <v>499</v>
      </c>
      <c r="N1153" s="85">
        <f>IFERROR(表格1[[#This Row],[QTY]]*表格1[[#This Row],[Unit Price]],"-")</f>
        <v>499</v>
      </c>
      <c r="O1153" s="134">
        <v>902055</v>
      </c>
      <c r="P1153" s="81"/>
      <c r="Q1153" s="81"/>
      <c r="R1153" s="81" t="str">
        <f>_xlfn.CONCAT(表格1[[#This Row],[Model]]," ",表格1[[#This Row],[inv no]])</f>
        <v>F-ALB60HK(B) 902055</v>
      </c>
      <c r="S1153" s="135">
        <f>_xlfn.XLOOKUP(表格1[[#This Row],[Model]],表格3[Model-Input-Ref2],表格3[SRP PRICE])</f>
        <v>839</v>
      </c>
      <c r="T1153" s="43">
        <f>表格1[[#This Row],[Unit Price]]/表格1[[#This Row],[SRP]]</f>
        <v>0.59475566150178782</v>
      </c>
      <c r="U1153" s="86" t="str">
        <f>_xlfn.XLOOKUP(表格1[[#This Row],[Model]],表格3[Model-Input-Ref2],表格3[TOSHIBA/HIGHEST])</f>
        <v>Shops Highest Price</v>
      </c>
      <c r="V1153" s="86" t="s">
        <v>1126</v>
      </c>
      <c r="W1153" s="86" t="str">
        <f>_xlfn.CONCAT(表格1[[#This Row],[欄4]],表格1[[#This Row],[inv no]])</f>
        <v>DA141902055</v>
      </c>
    </row>
    <row r="1154" spans="1:23" hidden="1">
      <c r="A1154" s="81">
        <v>1152</v>
      </c>
      <c r="B1154" s="81" t="s">
        <v>1477</v>
      </c>
      <c r="C1154" s="81" t="s">
        <v>1478</v>
      </c>
      <c r="D1154" s="82" t="str">
        <f ca="1">OFFSET(Roster!$A$3,MATCH(表格1[[#This Row],[Location]]&amp;" "&amp;表格1[[#This Row],[Shop]]&amp;"*",Roster!$A$4:$A$72,0),DAY(表格1[[#This Row],[date]]),1,1)</f>
        <v>Vicky L</v>
      </c>
      <c r="E1154" s="81">
        <f>MONTH(表格1[[#This Row],[date]])</f>
        <v>3</v>
      </c>
      <c r="F1154" s="101">
        <v>46109</v>
      </c>
      <c r="G1154" s="81" t="str">
        <f>VLOOKUP("*"&amp;表格1[[#This Row],[Input]]&amp;"*",'Ref-List'!$B:$D,2,)</f>
        <v>F-ALB60HK(B)</v>
      </c>
      <c r="H1154" s="81" t="str">
        <f>_xlfn.XLOOKUP(表格1[[#This Row],[Model]],表格3[Model-Input-Ref2],表格3[Product Line])</f>
        <v>12吋座地座檯電風扇</v>
      </c>
      <c r="I1154" s="81" t="str">
        <f>_xlfn.XLOOKUP(表格1[[#This Row],[Model]],表格3[Model-Input-Ref2],表格3[大小電])</f>
        <v>細電</v>
      </c>
      <c r="J1154" s="81" t="str">
        <f>_xlfn.XLOOKUP(表格1[[#This Row],[Model]],表格3[Model-Input-Ref2],表格3[Code])</f>
        <v>SDA</v>
      </c>
      <c r="K1154" s="82" t="s">
        <v>1490</v>
      </c>
      <c r="L1154" s="81">
        <v>1</v>
      </c>
      <c r="M1154" s="85">
        <v>499</v>
      </c>
      <c r="N1154" s="85">
        <f>IFERROR(表格1[[#This Row],[QTY]]*表格1[[#This Row],[Unit Price]],"-")</f>
        <v>499</v>
      </c>
      <c r="O1154" s="134">
        <v>902062</v>
      </c>
      <c r="P1154" s="81"/>
      <c r="Q1154" s="81"/>
      <c r="R1154" s="81" t="str">
        <f>_xlfn.CONCAT(表格1[[#This Row],[Model]]," ",表格1[[#This Row],[inv no]])</f>
        <v>F-ALB60HK(B) 902062</v>
      </c>
      <c r="S1154" s="135">
        <f>_xlfn.XLOOKUP(表格1[[#This Row],[Model]],表格3[Model-Input-Ref2],表格3[SRP PRICE])</f>
        <v>839</v>
      </c>
      <c r="T1154" s="43">
        <f>表格1[[#This Row],[Unit Price]]/表格1[[#This Row],[SRP]]</f>
        <v>0.59475566150178782</v>
      </c>
      <c r="U1154" s="86" t="str">
        <f>_xlfn.XLOOKUP(表格1[[#This Row],[Model]],表格3[Model-Input-Ref2],表格3[TOSHIBA/HIGHEST])</f>
        <v>Shops Highest Price</v>
      </c>
      <c r="V1154" s="86" t="s">
        <v>1126</v>
      </c>
      <c r="W1154" s="86" t="str">
        <f>_xlfn.CONCAT(表格1[[#This Row],[欄4]],表格1[[#This Row],[inv no]])</f>
        <v>DA141902062</v>
      </c>
    </row>
    <row r="1155" spans="1:23" hidden="1">
      <c r="A1155" s="81">
        <v>1153</v>
      </c>
      <c r="B1155" s="81" t="s">
        <v>1477</v>
      </c>
      <c r="C1155" s="81" t="s">
        <v>1478</v>
      </c>
      <c r="D1155" s="82" t="str">
        <f ca="1">OFFSET(Roster!$A$3,MATCH(表格1[[#This Row],[Location]]&amp;" "&amp;表格1[[#This Row],[Shop]]&amp;"*",Roster!$A$4:$A$72,0),DAY(表格1[[#This Row],[date]]),1,1)</f>
        <v>Vicky L</v>
      </c>
      <c r="E1155" s="81">
        <f>MONTH(表格1[[#This Row],[date]])</f>
        <v>3</v>
      </c>
      <c r="F1155" s="101">
        <v>46112</v>
      </c>
      <c r="G1155" s="81" t="str">
        <f>VLOOKUP("*"&amp;表格1[[#This Row],[Input]]&amp;"*",'Ref-List'!$B:$D,2,)</f>
        <v>PLK-45SFIH(WT)</v>
      </c>
      <c r="H1155" s="81" t="str">
        <f>_xlfn.XLOOKUP(表格1[[#This Row],[Model]],表格3[Model-Input-Ref2],表格3[Product Line])</f>
        <v>電熱水瓶4.5L</v>
      </c>
      <c r="I1155" s="81" t="str">
        <f>_xlfn.XLOOKUP(表格1[[#This Row],[Model]],表格3[Model-Input-Ref2],表格3[大小電])</f>
        <v>細電</v>
      </c>
      <c r="J1155" s="81" t="str">
        <f>_xlfn.XLOOKUP(表格1[[#This Row],[Model]],表格3[Model-Input-Ref2],表格3[Code])</f>
        <v>SDA</v>
      </c>
      <c r="K1155" s="82" t="s">
        <v>1117</v>
      </c>
      <c r="L1155" s="81">
        <v>1</v>
      </c>
      <c r="M1155" s="85">
        <v>589</v>
      </c>
      <c r="N1155" s="85">
        <f>IFERROR(表格1[[#This Row],[QTY]]*表格1[[#This Row],[Unit Price]],"-")</f>
        <v>589</v>
      </c>
      <c r="O1155" s="134">
        <v>817251</v>
      </c>
      <c r="P1155" s="81"/>
      <c r="Q1155" s="81"/>
      <c r="R1155" s="81" t="str">
        <f>_xlfn.CONCAT(表格1[[#This Row],[Model]]," ",表格1[[#This Row],[inv no]])</f>
        <v>PLK-45SFIH(WT) 817251</v>
      </c>
      <c r="S1155" s="135">
        <f>_xlfn.XLOOKUP(表格1[[#This Row],[Model]],表格3[Model-Input-Ref2],表格3[SRP PRICE])</f>
        <v>788</v>
      </c>
      <c r="T1155" s="43">
        <f>表格1[[#This Row],[Unit Price]]/表格1[[#This Row],[SRP]]</f>
        <v>0.7474619289340102</v>
      </c>
      <c r="U1155" s="86" t="str">
        <f>_xlfn.XLOOKUP(表格1[[#This Row],[Model]],表格3[Model-Input-Ref2],表格3[TOSHIBA/HIGHEST])</f>
        <v>Toshiba SRP</v>
      </c>
      <c r="V1155" s="86" t="s">
        <v>1126</v>
      </c>
      <c r="W1155" s="86" t="str">
        <f>_xlfn.CONCAT(表格1[[#This Row],[欄4]],表格1[[#This Row],[inv no]])</f>
        <v>DA141817251</v>
      </c>
    </row>
    <row r="1156" spans="1:23" hidden="1">
      <c r="A1156" s="81">
        <v>1154</v>
      </c>
      <c r="B1156" s="81" t="s">
        <v>1477</v>
      </c>
      <c r="C1156" s="81" t="s">
        <v>1478</v>
      </c>
      <c r="D1156" s="82" t="str">
        <f ca="1">OFFSET(Roster!$A$3,MATCH(表格1[[#This Row],[Location]]&amp;" "&amp;表格1[[#This Row],[Shop]]&amp;"*",Roster!$A$4:$A$72,0),DAY(表格1[[#This Row],[date]]),1,1)</f>
        <v>Vicky L</v>
      </c>
      <c r="E1156" s="81">
        <f>MONTH(表格1[[#This Row],[date]])</f>
        <v>3</v>
      </c>
      <c r="F1156" s="101">
        <v>46112</v>
      </c>
      <c r="G1156" s="81" t="str">
        <f>VLOOKUP("*"&amp;表格1[[#This Row],[Input]]&amp;"*",'Ref-List'!$B:$D,2,)</f>
        <v>RC-10NMFIH(WT)</v>
      </c>
      <c r="H1156" s="81" t="str">
        <f>_xlfn.XLOOKUP(表格1[[#This Row],[Model]],表格3[Model-Input-Ref2],表格3[Product Line])</f>
        <v>4毫米厚釜電飯煲1L</v>
      </c>
      <c r="I1156" s="81" t="str">
        <f>_xlfn.XLOOKUP(表格1[[#This Row],[Model]],表格3[Model-Input-Ref2],表格3[大小電])</f>
        <v>細電</v>
      </c>
      <c r="J1156" s="81" t="str">
        <f>_xlfn.XLOOKUP(表格1[[#This Row],[Model]],表格3[Model-Input-Ref2],表格3[Code])</f>
        <v>SDA</v>
      </c>
      <c r="K1156" s="82" t="s">
        <v>1244</v>
      </c>
      <c r="L1156" s="81">
        <v>1</v>
      </c>
      <c r="M1156" s="85">
        <v>719</v>
      </c>
      <c r="N1156" s="85">
        <f>IFERROR(表格1[[#This Row],[QTY]]*表格1[[#This Row],[Unit Price]],"-")</f>
        <v>719</v>
      </c>
      <c r="O1156" s="134">
        <v>902234</v>
      </c>
      <c r="P1156" s="81"/>
      <c r="Q1156" s="81"/>
      <c r="R1156" s="81" t="str">
        <f>_xlfn.CONCAT(表格1[[#This Row],[Model]]," ",表格1[[#This Row],[inv no]])</f>
        <v>RC-10NMFIH(WT) 902234</v>
      </c>
      <c r="S1156" s="135">
        <f>_xlfn.XLOOKUP(表格1[[#This Row],[Model]],表格3[Model-Input-Ref2],表格3[SRP PRICE])</f>
        <v>898</v>
      </c>
      <c r="T1156" s="43">
        <f>表格1[[#This Row],[Unit Price]]/表格1[[#This Row],[SRP]]</f>
        <v>0.80066815144766146</v>
      </c>
      <c r="U1156" s="86" t="str">
        <f>_xlfn.XLOOKUP(表格1[[#This Row],[Model]],表格3[Model-Input-Ref2],表格3[TOSHIBA/HIGHEST])</f>
        <v>Toshiba SRP</v>
      </c>
      <c r="V1156" s="86" t="s">
        <v>1126</v>
      </c>
      <c r="W1156" s="86" t="str">
        <f>_xlfn.CONCAT(表格1[[#This Row],[欄4]],表格1[[#This Row],[inv no]])</f>
        <v>DA141902234</v>
      </c>
    </row>
    <row r="1157" spans="1:23" hidden="1">
      <c r="A1157" s="81">
        <v>1155</v>
      </c>
      <c r="B1157" s="81" t="s">
        <v>1477</v>
      </c>
      <c r="C1157" s="81" t="s">
        <v>1478</v>
      </c>
      <c r="D1157" s="82" t="str">
        <f ca="1">OFFSET(Roster!$A$3,MATCH(表格1[[#This Row],[Location]]&amp;" "&amp;表格1[[#This Row],[Shop]]&amp;"*",Roster!$A$4:$A$72,0),DAY(表格1[[#This Row],[date]]),1,1)</f>
        <v>Vicky L</v>
      </c>
      <c r="E1157" s="81">
        <f>MONTH(表格1[[#This Row],[date]])</f>
        <v>3</v>
      </c>
      <c r="F1157" s="101">
        <v>46112</v>
      </c>
      <c r="G1157" s="81" t="str">
        <f>VLOOKUP("*"&amp;表格1[[#This Row],[Input]]&amp;"*",'Ref-List'!$B:$D,2,)</f>
        <v>CFK01W80</v>
      </c>
      <c r="H1157" s="81" t="str">
        <f>_xlfn.XLOOKUP(表格1[[#This Row],[Model]],表格3[Model-Input-Ref2],表格3[Product Line])</f>
        <v>變頻頂揭式洗衣機 (8公斤)</v>
      </c>
      <c r="I1157" s="81" t="str">
        <f>_xlfn.XLOOKUP(表格1[[#This Row],[Model]],表格3[Model-Input-Ref2],表格3[大小電])</f>
        <v>大電</v>
      </c>
      <c r="J1157" s="81" t="str">
        <f>_xlfn.XLOOKUP(表格1[[#This Row],[Model]],表格3[Model-Input-Ref2],表格3[Code])</f>
        <v>LAD</v>
      </c>
      <c r="K1157" s="82" t="s">
        <v>1483</v>
      </c>
      <c r="L1157" s="81">
        <v>1</v>
      </c>
      <c r="M1157" s="85">
        <v>3690</v>
      </c>
      <c r="N1157" s="85">
        <f>IFERROR(表格1[[#This Row],[QTY]]*表格1[[#This Row],[Unit Price]],"-")</f>
        <v>3690</v>
      </c>
      <c r="O1157" s="134">
        <v>817276</v>
      </c>
      <c r="P1157" s="81"/>
      <c r="Q1157" s="81"/>
      <c r="R1157" s="81" t="str">
        <f>_xlfn.CONCAT(表格1[[#This Row],[Model]]," ",表格1[[#This Row],[inv no]])</f>
        <v>CFK01W80 817276</v>
      </c>
      <c r="S1157" s="135">
        <f>_xlfn.XLOOKUP(表格1[[#This Row],[Model]],表格3[Model-Input-Ref2],表格3[SRP PRICE])</f>
        <v>3690</v>
      </c>
      <c r="T1157" s="43">
        <f>表格1[[#This Row],[Unit Price]]/表格1[[#This Row],[SRP]]</f>
        <v>1</v>
      </c>
      <c r="U1157" s="86" t="str">
        <f>_xlfn.XLOOKUP(表格1[[#This Row],[Model]],表格3[Model-Input-Ref2],表格3[TOSHIBA/HIGHEST])</f>
        <v>Shops Highest Price</v>
      </c>
      <c r="V1157" s="86" t="s">
        <v>1126</v>
      </c>
      <c r="W1157" s="86" t="str">
        <f>_xlfn.CONCAT(表格1[[#This Row],[欄4]],表格1[[#This Row],[inv no]])</f>
        <v>DA141817276</v>
      </c>
    </row>
    <row r="1158" spans="1:23" hidden="1">
      <c r="A1158" s="81">
        <v>1156</v>
      </c>
      <c r="B1158" s="81" t="s">
        <v>1477</v>
      </c>
      <c r="C1158" s="81" t="s">
        <v>1478</v>
      </c>
      <c r="D1158" s="82" t="str">
        <f ca="1">OFFSET(Roster!$A$3,MATCH(表格1[[#This Row],[Location]]&amp;" "&amp;表格1[[#This Row],[Shop]]&amp;"*",Roster!$A$4:$A$72,0),DAY(表格1[[#This Row],[date]]),1,1)</f>
        <v>Vicky L</v>
      </c>
      <c r="E1158" s="81">
        <f>MONTH(表格1[[#This Row],[date]])</f>
        <v>3</v>
      </c>
      <c r="F1158" s="101">
        <v>46112</v>
      </c>
      <c r="G1158" s="81" t="str">
        <f>VLOOKUP("*"&amp;表格1[[#This Row],[Input]]&amp;"*",'Ref-List'!$B:$D,2,)</f>
        <v>GR-RM598WE-PGA(B3)</v>
      </c>
      <c r="H1158" s="81" t="str">
        <f>_xlfn.XLOOKUP(表格1[[#This Row],[Model]],表格3[Model-Input-Ref2],表格3[Product Line])</f>
        <v>變頻六門雪櫃(451L)</v>
      </c>
      <c r="I1158" s="81" t="str">
        <f>_xlfn.XLOOKUP(表格1[[#This Row],[Model]],表格3[Model-Input-Ref2],表格3[大小電])</f>
        <v>大電</v>
      </c>
      <c r="J1158" s="81" t="str">
        <f>_xlfn.XLOOKUP(表格1[[#This Row],[Model]],表格3[Model-Input-Ref2],表格3[Code])</f>
        <v>REF</v>
      </c>
      <c r="K1158" s="82" t="s">
        <v>1491</v>
      </c>
      <c r="L1158" s="81">
        <v>1</v>
      </c>
      <c r="M1158" s="85">
        <v>10990</v>
      </c>
      <c r="N1158" s="85">
        <f>IFERROR(表格1[[#This Row],[QTY]]*表格1[[#This Row],[Unit Price]],"-")</f>
        <v>10990</v>
      </c>
      <c r="O1158" s="134">
        <v>817266</v>
      </c>
      <c r="P1158" s="81"/>
      <c r="Q1158" s="81"/>
      <c r="R1158" s="81" t="str">
        <f>_xlfn.CONCAT(表格1[[#This Row],[Model]]," ",表格1[[#This Row],[inv no]])</f>
        <v>GR-RM598WE-PGA(B3) 817266</v>
      </c>
      <c r="S1158" s="135">
        <f>_xlfn.XLOOKUP(表格1[[#This Row],[Model]],表格3[Model-Input-Ref2],表格3[SRP PRICE])</f>
        <v>14980</v>
      </c>
      <c r="T1158" s="43">
        <f>表格1[[#This Row],[Unit Price]]/表格1[[#This Row],[SRP]]</f>
        <v>0.73364485981308414</v>
      </c>
      <c r="U1158" s="86" t="str">
        <f>_xlfn.XLOOKUP(表格1[[#This Row],[Model]],表格3[Model-Input-Ref2],表格3[TOSHIBA/HIGHEST])</f>
        <v>Toshiba SRP</v>
      </c>
      <c r="V1158" s="86" t="s">
        <v>1126</v>
      </c>
      <c r="W1158" s="86" t="str">
        <f>_xlfn.CONCAT(表格1[[#This Row],[欄4]],表格1[[#This Row],[inv no]])</f>
        <v>DA141817266</v>
      </c>
    </row>
    <row r="1159" spans="1:23" hidden="1">
      <c r="A1159" s="81">
        <v>1157</v>
      </c>
      <c r="B1159" s="81" t="s">
        <v>1477</v>
      </c>
      <c r="C1159" s="81" t="s">
        <v>1478</v>
      </c>
      <c r="D1159" s="82" t="str">
        <f ca="1">OFFSET(Roster!$A$3,MATCH(表格1[[#This Row],[Location]]&amp;" "&amp;表格1[[#This Row],[Shop]]&amp;"*",Roster!$A$4:$A$72,0),DAY(表格1[[#This Row],[date]]),1,1)</f>
        <v>Vicky L</v>
      </c>
      <c r="E1159" s="81">
        <f>MONTH(表格1[[#This Row],[date]])</f>
        <v>3</v>
      </c>
      <c r="F1159" s="101">
        <v>46087</v>
      </c>
      <c r="G1159" s="81" t="str">
        <f>VLOOKUP("*"&amp;表格1[[#This Row],[Input]]&amp;"*",'Ref-List'!$B:$D,2,)</f>
        <v>RAC-07G3CVRG-HK</v>
      </c>
      <c r="H1159" s="81" t="str">
        <f>_xlfn.XLOOKUP(表格1[[#This Row],[Model]],表格3[Model-Input-Ref2],表格3[Product Line])</f>
        <v>3/4 匹 窗口式冷氣機(remote/fortress)</v>
      </c>
      <c r="I1159" s="81" t="str">
        <f>_xlfn.XLOOKUP(表格1[[#This Row],[Model]],表格3[Model-Input-Ref2],表格3[大小電])</f>
        <v>大電</v>
      </c>
      <c r="J1159" s="81" t="str">
        <f>_xlfn.XLOOKUP(表格1[[#This Row],[Model]],表格3[Model-Input-Ref2],表格3[Code])</f>
        <v>AC</v>
      </c>
      <c r="K1159" s="82" t="s">
        <v>664</v>
      </c>
      <c r="L1159" s="81">
        <v>3</v>
      </c>
      <c r="M1159" s="85">
        <v>3880</v>
      </c>
      <c r="N1159" s="85">
        <f>IFERROR(表格1[[#This Row],[QTY]]*表格1[[#This Row],[Unit Price]],"-")</f>
        <v>11640</v>
      </c>
      <c r="O1159" s="134">
        <v>815038</v>
      </c>
      <c r="P1159" s="81" t="s">
        <v>1499</v>
      </c>
      <c r="Q1159" s="81"/>
      <c r="R1159" s="81" t="str">
        <f>_xlfn.CONCAT(表格1[[#This Row],[Model]]," ",表格1[[#This Row],[inv no]])</f>
        <v>RAC-07G3CVRG-HK 815038</v>
      </c>
      <c r="S1159" s="135">
        <f>_xlfn.XLOOKUP(表格1[[#This Row],[Model]],表格3[Model-Input-Ref2],表格3[SRP PRICE])</f>
        <v>5580</v>
      </c>
      <c r="T1159" s="43">
        <f>表格1[[#This Row],[Unit Price]]/表格1[[#This Row],[SRP]]</f>
        <v>0.69534050179211471</v>
      </c>
      <c r="U1159" s="86" t="str">
        <f>_xlfn.XLOOKUP(表格1[[#This Row],[Model]],表格3[Model-Input-Ref2],表格3[TOSHIBA/HIGHEST])</f>
        <v>Toshiba SRP</v>
      </c>
      <c r="V1159" s="86" t="s">
        <v>1126</v>
      </c>
      <c r="W1159" s="86" t="str">
        <f>_xlfn.CONCAT(表格1[[#This Row],[欄4]],表格1[[#This Row],[inv no]])</f>
        <v>DA141815038</v>
      </c>
    </row>
    <row r="1160" spans="1:23" ht="16.5" hidden="1">
      <c r="A1160" s="81">
        <v>1158</v>
      </c>
      <c r="B1160" s="81" t="s">
        <v>1477</v>
      </c>
      <c r="C1160" s="81" t="s">
        <v>1478</v>
      </c>
      <c r="D1160" s="82" t="str">
        <f ca="1">OFFSET(Roster!$A$3,MATCH(表格1[[#This Row],[Location]]&amp;" "&amp;表格1[[#This Row],[Shop]]&amp;"*",Roster!$A$4:$A$72,0),DAY(表格1[[#This Row],[date]]),1,1)</f>
        <v>Vicky L</v>
      </c>
      <c r="E1160" s="81">
        <f>MONTH(表格1[[#This Row],[date]])</f>
        <v>3</v>
      </c>
      <c r="F1160" s="101">
        <v>46087</v>
      </c>
      <c r="G1160" s="81" t="str">
        <f>VLOOKUP("*"&amp;表格1[[#This Row],[Input]]&amp;"*",'Ref-List'!$B:$D,2,)</f>
        <v>Model-Input-Ref2</v>
      </c>
      <c r="H1160" s="81" t="e">
        <f>_xlfn.XLOOKUP(表格1[[#This Row],[Model]],表格3[Model-Input-Ref2],表格3[Product Line])</f>
        <v>#N/A</v>
      </c>
      <c r="I1160" s="81" t="e">
        <f>_xlfn.XLOOKUP(表格1[[#This Row],[Model]],表格3[Model-Input-Ref2],表格3[大小電])</f>
        <v>#N/A</v>
      </c>
      <c r="J1160" s="81" t="e">
        <f>_xlfn.XLOOKUP(表格1[[#This Row],[Model]],表格3[Model-Input-Ref2],表格3[Code])</f>
        <v>#N/A</v>
      </c>
      <c r="K1160" s="82"/>
      <c r="L1160" s="81"/>
      <c r="M1160" s="85"/>
      <c r="N1160" s="85">
        <f>IFERROR(表格1[[#This Row],[QTY]]*表格1[[#This Row],[Unit Price]],"-")</f>
        <v>0</v>
      </c>
      <c r="O1160" s="134"/>
      <c r="P1160" s="81" t="s">
        <v>1500</v>
      </c>
      <c r="Q1160" s="81"/>
      <c r="R1160" s="81" t="str">
        <f>_xlfn.CONCAT(表格1[[#This Row],[Model]]," ",表格1[[#This Row],[inv no]])</f>
        <v xml:space="preserve">Model-Input-Ref2 </v>
      </c>
      <c r="S1160" s="135" t="e">
        <f>_xlfn.XLOOKUP(表格1[[#This Row],[Model]],表格3[Model-Input-Ref2],表格3[SRP PRICE])</f>
        <v>#N/A</v>
      </c>
      <c r="T1160" s="43" t="e">
        <f>表格1[[#This Row],[Unit Price]]/表格1[[#This Row],[SRP]]</f>
        <v>#N/A</v>
      </c>
      <c r="U1160" s="86" t="e">
        <f>_xlfn.XLOOKUP(表格1[[#This Row],[Model]],表格3[Model-Input-Ref2],表格3[TOSHIBA/HIGHEST])</f>
        <v>#N/A</v>
      </c>
      <c r="V1160" s="86" t="s">
        <v>1126</v>
      </c>
      <c r="W1160" s="86" t="str">
        <f>_xlfn.CONCAT(表格1[[#This Row],[欄4]],表格1[[#This Row],[inv no]])</f>
        <v>DA141</v>
      </c>
    </row>
    <row r="1161" spans="1:23" ht="16.5" hidden="1">
      <c r="A1161" s="81">
        <v>1159</v>
      </c>
      <c r="B1161" s="81" t="s">
        <v>1477</v>
      </c>
      <c r="C1161" s="81" t="s">
        <v>1478</v>
      </c>
      <c r="D1161" s="82" t="str">
        <f ca="1">OFFSET(Roster!$A$3,MATCH(表格1[[#This Row],[Location]]&amp;" "&amp;表格1[[#This Row],[Shop]]&amp;"*",Roster!$A$4:$A$72,0),DAY(表格1[[#This Row],[date]]),1,1)</f>
        <v>Vicky L</v>
      </c>
      <c r="E1161" s="81">
        <f>MONTH(表格1[[#This Row],[date]])</f>
        <v>3</v>
      </c>
      <c r="F1161" s="101">
        <v>46087</v>
      </c>
      <c r="G1161" s="81" t="str">
        <f>VLOOKUP("*"&amp;表格1[[#This Row],[Input]]&amp;"*",'Ref-List'!$B:$D,2,)</f>
        <v>Model-Input-Ref2</v>
      </c>
      <c r="H1161" s="81" t="e">
        <f>_xlfn.XLOOKUP(表格1[[#This Row],[Model]],表格3[Model-Input-Ref2],表格3[Product Line])</f>
        <v>#N/A</v>
      </c>
      <c r="I1161" s="81" t="e">
        <f>_xlfn.XLOOKUP(表格1[[#This Row],[Model]],表格3[Model-Input-Ref2],表格3[大小電])</f>
        <v>#N/A</v>
      </c>
      <c r="J1161" s="81" t="e">
        <f>_xlfn.XLOOKUP(表格1[[#This Row],[Model]],表格3[Model-Input-Ref2],表格3[Code])</f>
        <v>#N/A</v>
      </c>
      <c r="K1161" s="82"/>
      <c r="L1161" s="81"/>
      <c r="M1161" s="85"/>
      <c r="N1161" s="85">
        <f>IFERROR(表格1[[#This Row],[QTY]]*表格1[[#This Row],[Unit Price]],"-")</f>
        <v>0</v>
      </c>
      <c r="O1161" s="134"/>
      <c r="P1161" s="81" t="s">
        <v>1500</v>
      </c>
      <c r="Q1161" s="81"/>
      <c r="R1161" s="81" t="str">
        <f>_xlfn.CONCAT(表格1[[#This Row],[Model]]," ",表格1[[#This Row],[inv no]])</f>
        <v xml:space="preserve">Model-Input-Ref2 </v>
      </c>
      <c r="S1161" s="135" t="e">
        <f>_xlfn.XLOOKUP(表格1[[#This Row],[Model]],表格3[Model-Input-Ref2],表格3[SRP PRICE])</f>
        <v>#N/A</v>
      </c>
      <c r="T1161" s="43" t="e">
        <f>表格1[[#This Row],[Unit Price]]/表格1[[#This Row],[SRP]]</f>
        <v>#N/A</v>
      </c>
      <c r="U1161" s="86" t="e">
        <f>_xlfn.XLOOKUP(表格1[[#This Row],[Model]],表格3[Model-Input-Ref2],表格3[TOSHIBA/HIGHEST])</f>
        <v>#N/A</v>
      </c>
      <c r="V1161" s="86" t="s">
        <v>1126</v>
      </c>
      <c r="W1161" s="86" t="str">
        <f>_xlfn.CONCAT(表格1[[#This Row],[欄4]],表格1[[#This Row],[inv no]])</f>
        <v>DA141</v>
      </c>
    </row>
    <row r="1162" spans="1:23" hidden="1">
      <c r="A1162" s="81">
        <v>1160</v>
      </c>
      <c r="B1162" s="81" t="s">
        <v>1477</v>
      </c>
      <c r="C1162" s="81" t="s">
        <v>1478</v>
      </c>
      <c r="D1162" s="82" t="str">
        <f ca="1">OFFSET(Roster!$A$3,MATCH(表格1[[#This Row],[Location]]&amp;" "&amp;表格1[[#This Row],[Shop]]&amp;"*",Roster!$A$4:$A$72,0),DAY(表格1[[#This Row],[date]]),1,1)</f>
        <v>Vicky L off</v>
      </c>
      <c r="E1162" s="81">
        <f>MONTH(表格1[[#This Row],[date]])</f>
        <v>3</v>
      </c>
      <c r="F1162" s="101">
        <v>46091</v>
      </c>
      <c r="G1162" s="81" t="str">
        <f>VLOOKUP("*"&amp;表格1[[#This Row],[Input]]&amp;"*",'Ref-List'!$B:$D,2,)</f>
        <v>GR-RT300WE-PMA(57)</v>
      </c>
      <c r="H1162" s="81" t="str">
        <f>_xlfn.XLOOKUP(表格1[[#This Row],[Model]],表格3[Model-Input-Ref2],表格3[Product Line])</f>
        <v>變頻式環保雙門雪櫃(233L)</v>
      </c>
      <c r="I1162" s="81" t="str">
        <f>_xlfn.XLOOKUP(表格1[[#This Row],[Model]],表格3[Model-Input-Ref2],表格3[大小電])</f>
        <v>大電</v>
      </c>
      <c r="J1162" s="81" t="str">
        <f>_xlfn.XLOOKUP(表格1[[#This Row],[Model]],表格3[Model-Input-Ref2],表格3[Code])</f>
        <v>REF</v>
      </c>
      <c r="K1162" s="82" t="s">
        <v>1462</v>
      </c>
      <c r="L1162" s="81">
        <v>1</v>
      </c>
      <c r="M1162" s="85">
        <v>2780</v>
      </c>
      <c r="N1162" s="85">
        <f>IFERROR(表格1[[#This Row],[QTY]]*表格1[[#This Row],[Unit Price]],"-")</f>
        <v>2780</v>
      </c>
      <c r="O1162" s="134">
        <v>901272</v>
      </c>
      <c r="P1162" s="81"/>
      <c r="Q1162" s="81"/>
      <c r="R1162" s="81" t="str">
        <f>_xlfn.CONCAT(表格1[[#This Row],[Model]]," ",表格1[[#This Row],[inv no]])</f>
        <v>GR-RT300WE-PMA(57) 901272</v>
      </c>
      <c r="S1162" s="135">
        <f>_xlfn.XLOOKUP(表格1[[#This Row],[Model]],表格3[Model-Input-Ref2],表格3[SRP PRICE])</f>
        <v>4280</v>
      </c>
      <c r="T1162" s="43">
        <f>表格1[[#This Row],[Unit Price]]/表格1[[#This Row],[SRP]]</f>
        <v>0.64953271028037385</v>
      </c>
      <c r="U1162" s="86" t="str">
        <f>_xlfn.XLOOKUP(表格1[[#This Row],[Model]],表格3[Model-Input-Ref2],表格3[TOSHIBA/HIGHEST])</f>
        <v>Toshiba SRP</v>
      </c>
      <c r="V1162" s="86" t="s">
        <v>1126</v>
      </c>
      <c r="W1162" s="86" t="str">
        <f>_xlfn.CONCAT(表格1[[#This Row],[欄4]],表格1[[#This Row],[inv no]])</f>
        <v>DA141901272</v>
      </c>
    </row>
    <row r="1163" spans="1:23" hidden="1">
      <c r="A1163" s="81">
        <v>1161</v>
      </c>
      <c r="B1163" s="81" t="s">
        <v>1477</v>
      </c>
      <c r="C1163" s="81" t="s">
        <v>1478</v>
      </c>
      <c r="D1163" s="82" t="str">
        <f ca="1">OFFSET(Roster!$A$3,MATCH(表格1[[#This Row],[Location]]&amp;" "&amp;表格1[[#This Row],[Shop]]&amp;"*",Roster!$A$4:$A$72,0),DAY(表格1[[#This Row],[date]]),1,1)</f>
        <v>Vicky L off</v>
      </c>
      <c r="E1163" s="81">
        <f>MONTH(表格1[[#This Row],[date]])</f>
        <v>3</v>
      </c>
      <c r="F1163" s="101">
        <v>46093</v>
      </c>
      <c r="G1163" s="81" t="str">
        <f>VLOOKUP("*"&amp;表格1[[#This Row],[Input]]&amp;"*",'Ref-List'!$B:$D,2,)</f>
        <v>GR-RT300WE-PMA(57)</v>
      </c>
      <c r="H1163" s="81" t="str">
        <f>_xlfn.XLOOKUP(表格1[[#This Row],[Model]],表格3[Model-Input-Ref2],表格3[Product Line])</f>
        <v>變頻式環保雙門雪櫃(233L)</v>
      </c>
      <c r="I1163" s="81" t="str">
        <f>_xlfn.XLOOKUP(表格1[[#This Row],[Model]],表格3[Model-Input-Ref2],表格3[大小電])</f>
        <v>大電</v>
      </c>
      <c r="J1163" s="81" t="str">
        <f>_xlfn.XLOOKUP(表格1[[#This Row],[Model]],表格3[Model-Input-Ref2],表格3[Code])</f>
        <v>REF</v>
      </c>
      <c r="K1163" s="82" t="s">
        <v>1462</v>
      </c>
      <c r="L1163" s="81">
        <v>1</v>
      </c>
      <c r="M1163" s="85">
        <v>2780</v>
      </c>
      <c r="N1163" s="85">
        <f>IFERROR(表格1[[#This Row],[QTY]]*表格1[[#This Row],[Unit Price]],"-")</f>
        <v>2780</v>
      </c>
      <c r="O1163" s="134">
        <v>815615</v>
      </c>
      <c r="P1163" s="81"/>
      <c r="Q1163" s="81"/>
      <c r="R1163" s="81" t="str">
        <f>_xlfn.CONCAT(表格1[[#This Row],[Model]]," ",表格1[[#This Row],[inv no]])</f>
        <v>GR-RT300WE-PMA(57) 815615</v>
      </c>
      <c r="S1163" s="135">
        <f>_xlfn.XLOOKUP(表格1[[#This Row],[Model]],表格3[Model-Input-Ref2],表格3[SRP PRICE])</f>
        <v>4280</v>
      </c>
      <c r="T1163" s="43">
        <f>表格1[[#This Row],[Unit Price]]/表格1[[#This Row],[SRP]]</f>
        <v>0.64953271028037385</v>
      </c>
      <c r="U1163" s="86" t="str">
        <f>_xlfn.XLOOKUP(表格1[[#This Row],[Model]],表格3[Model-Input-Ref2],表格3[TOSHIBA/HIGHEST])</f>
        <v>Toshiba SRP</v>
      </c>
      <c r="V1163" s="86" t="s">
        <v>1126</v>
      </c>
      <c r="W1163" s="86" t="str">
        <f>_xlfn.CONCAT(表格1[[#This Row],[欄4]],表格1[[#This Row],[inv no]])</f>
        <v>DA141815615</v>
      </c>
    </row>
    <row r="1164" spans="1:23" hidden="1">
      <c r="A1164" s="81">
        <v>1162</v>
      </c>
      <c r="B1164" s="81" t="s">
        <v>1477</v>
      </c>
      <c r="C1164" s="81" t="s">
        <v>1478</v>
      </c>
      <c r="D1164" s="82" t="str">
        <f ca="1">OFFSET(Roster!$A$3,MATCH(表格1[[#This Row],[Location]]&amp;" "&amp;表格1[[#This Row],[Shop]]&amp;"*",Roster!$A$4:$A$72,0),DAY(表格1[[#This Row],[date]]),1,1)</f>
        <v>Vicky L</v>
      </c>
      <c r="E1164" s="81">
        <f>MONTH(表格1[[#This Row],[date]])</f>
        <v>3</v>
      </c>
      <c r="F1164" s="101">
        <v>46089</v>
      </c>
      <c r="G1164" s="81" t="str">
        <f>VLOOKUP("*"&amp;表格1[[#This Row],[Input]]&amp;"*",'Ref-List'!$B:$D,2,)</f>
        <v>RAD-D300H</v>
      </c>
      <c r="H1164" s="81" t="str">
        <f>_xlfn.XLOOKUP(表格1[[#This Row],[Model]],表格3[Model-Input-Ref2],表格3[Product Line])</f>
        <v>壓縮式抽濕機 (30公升)</v>
      </c>
      <c r="I1164" s="81" t="str">
        <f>_xlfn.XLOOKUP(表格1[[#This Row],[Model]],表格3[Model-Input-Ref2],表格3[大小電])</f>
        <v>細電</v>
      </c>
      <c r="J1164" s="81" t="str">
        <f>_xlfn.XLOOKUP(表格1[[#This Row],[Model]],表格3[Model-Input-Ref2],表格3[Code])</f>
        <v>RAC</v>
      </c>
      <c r="K1164" s="82" t="s">
        <v>1252</v>
      </c>
      <c r="L1164" s="81">
        <v>1</v>
      </c>
      <c r="M1164" s="85">
        <v>2280</v>
      </c>
      <c r="N1164" s="85">
        <f>IFERROR(表格1[[#This Row],[QTY]]*表格1[[#This Row],[Unit Price]],"-")</f>
        <v>2280</v>
      </c>
      <c r="O1164" s="134">
        <v>815203</v>
      </c>
      <c r="P1164" s="81"/>
      <c r="Q1164" s="81"/>
      <c r="R1164" s="81" t="str">
        <f>_xlfn.CONCAT(表格1[[#This Row],[Model]]," ",表格1[[#This Row],[inv no]])</f>
        <v>RAD-D300H 815203</v>
      </c>
      <c r="S1164" s="135">
        <f>_xlfn.XLOOKUP(表格1[[#This Row],[Model]],表格3[Model-Input-Ref2],表格3[SRP PRICE])</f>
        <v>3380</v>
      </c>
      <c r="T1164" s="43">
        <f>表格1[[#This Row],[Unit Price]]/表格1[[#This Row],[SRP]]</f>
        <v>0.67455621301775148</v>
      </c>
      <c r="U1164" s="86" t="str">
        <f>_xlfn.XLOOKUP(表格1[[#This Row],[Model]],表格3[Model-Input-Ref2],表格3[TOSHIBA/HIGHEST])</f>
        <v>Shops Highest Price</v>
      </c>
      <c r="V1164" s="86" t="s">
        <v>1126</v>
      </c>
      <c r="W1164" s="86" t="str">
        <f>_xlfn.CONCAT(表格1[[#This Row],[欄4]],表格1[[#This Row],[inv no]])</f>
        <v>DA141815203</v>
      </c>
    </row>
    <row r="1165" spans="1:23" hidden="1">
      <c r="A1165" s="81">
        <v>1163</v>
      </c>
      <c r="B1165" s="81" t="s">
        <v>1477</v>
      </c>
      <c r="C1165" s="81" t="s">
        <v>1478</v>
      </c>
      <c r="D1165" s="82" t="str">
        <f ca="1">OFFSET(Roster!$A$3,MATCH(表格1[[#This Row],[Location]]&amp;" "&amp;表格1[[#This Row],[Shop]]&amp;"*",Roster!$A$4:$A$72,0),DAY(表格1[[#This Row],[date]]),1,1)</f>
        <v>Vicky L off</v>
      </c>
      <c r="E1165" s="81">
        <f>MONTH(表格1[[#This Row],[date]])</f>
        <v>3</v>
      </c>
      <c r="F1165" s="101">
        <v>46093</v>
      </c>
      <c r="G1165" s="81" t="str">
        <f>VLOOKUP("*"&amp;表格1[[#This Row],[Input]]&amp;"*",'Ref-List'!$B:$D,2,)</f>
        <v>RAD-D300H</v>
      </c>
      <c r="H1165" s="81" t="str">
        <f>_xlfn.XLOOKUP(表格1[[#This Row],[Model]],表格3[Model-Input-Ref2],表格3[Product Line])</f>
        <v>壓縮式抽濕機 (30公升)</v>
      </c>
      <c r="I1165" s="81" t="str">
        <f>_xlfn.XLOOKUP(表格1[[#This Row],[Model]],表格3[Model-Input-Ref2],表格3[大小電])</f>
        <v>細電</v>
      </c>
      <c r="J1165" s="81" t="str">
        <f>_xlfn.XLOOKUP(表格1[[#This Row],[Model]],表格3[Model-Input-Ref2],表格3[Code])</f>
        <v>RAC</v>
      </c>
      <c r="K1165" s="82" t="s">
        <v>1252</v>
      </c>
      <c r="L1165" s="81">
        <v>1</v>
      </c>
      <c r="M1165" s="85">
        <v>2280</v>
      </c>
      <c r="N1165" s="85">
        <f>IFERROR(表格1[[#This Row],[QTY]]*表格1[[#This Row],[Unit Price]],"-")</f>
        <v>2280</v>
      </c>
      <c r="O1165" s="134">
        <v>815587</v>
      </c>
      <c r="P1165" s="81"/>
      <c r="Q1165" s="81"/>
      <c r="R1165" s="81" t="str">
        <f>_xlfn.CONCAT(表格1[[#This Row],[Model]]," ",表格1[[#This Row],[inv no]])</f>
        <v>RAD-D300H 815587</v>
      </c>
      <c r="S1165" s="135">
        <f>_xlfn.XLOOKUP(表格1[[#This Row],[Model]],表格3[Model-Input-Ref2],表格3[SRP PRICE])</f>
        <v>3380</v>
      </c>
      <c r="T1165" s="43">
        <f>表格1[[#This Row],[Unit Price]]/表格1[[#This Row],[SRP]]</f>
        <v>0.67455621301775148</v>
      </c>
      <c r="U1165" s="86" t="str">
        <f>_xlfn.XLOOKUP(表格1[[#This Row],[Model]],表格3[Model-Input-Ref2],表格3[TOSHIBA/HIGHEST])</f>
        <v>Shops Highest Price</v>
      </c>
      <c r="V1165" s="86" t="s">
        <v>1126</v>
      </c>
      <c r="W1165" s="86" t="str">
        <f>_xlfn.CONCAT(表格1[[#This Row],[欄4]],表格1[[#This Row],[inv no]])</f>
        <v>DA141815587</v>
      </c>
    </row>
    <row r="1166" spans="1:23" hidden="1">
      <c r="A1166" s="81">
        <v>1164</v>
      </c>
      <c r="B1166" s="81" t="s">
        <v>1477</v>
      </c>
      <c r="C1166" s="81" t="s">
        <v>1478</v>
      </c>
      <c r="D1166" s="82" t="str">
        <f ca="1">OFFSET(Roster!$A$3,MATCH(表格1[[#This Row],[Location]]&amp;" "&amp;表格1[[#This Row],[Shop]]&amp;"*",Roster!$A$4:$A$72,0),DAY(表格1[[#This Row],[date]]),1,1)</f>
        <v>Vicky L</v>
      </c>
      <c r="E1166" s="81">
        <f>MONTH(表格1[[#This Row],[date]])</f>
        <v>3</v>
      </c>
      <c r="F1166" s="101">
        <v>46089</v>
      </c>
      <c r="G1166" s="81" t="str">
        <f>VLOOKUP("*"&amp;表格1[[#This Row],[Input]]&amp;"*",'Ref-List'!$B:$D,2,)</f>
        <v>GR-RB221WE-PMA(57)</v>
      </c>
      <c r="H1166" s="81" t="str">
        <f>_xlfn.XLOOKUP(表格1[[#This Row],[Model]],表格3[Model-Input-Ref2],表格3[Product Line])</f>
        <v>變頻下置式雙門雪櫃（163L）</v>
      </c>
      <c r="I1166" s="81" t="str">
        <f>_xlfn.XLOOKUP(表格1[[#This Row],[Model]],表格3[Model-Input-Ref2],表格3[大小電])</f>
        <v>大電</v>
      </c>
      <c r="J1166" s="81" t="str">
        <f>_xlfn.XLOOKUP(表格1[[#This Row],[Model]],表格3[Model-Input-Ref2],表格3[Code])</f>
        <v>REF</v>
      </c>
      <c r="K1166" s="89" t="s">
        <v>1386</v>
      </c>
      <c r="L1166" s="81">
        <v>1</v>
      </c>
      <c r="M1166" s="87">
        <v>2190</v>
      </c>
      <c r="N1166" s="85">
        <f>IFERROR(表格1[[#This Row],[QTY]]*表格1[[#This Row],[Unit Price]],"-")</f>
        <v>2190</v>
      </c>
      <c r="O1166" s="86">
        <v>815205</v>
      </c>
      <c r="R1166" s="86" t="str">
        <f>_xlfn.CONCAT(表格1[[#This Row],[Model]]," ",表格1[[#This Row],[inv no]])</f>
        <v>GR-RB221WE-PMA(57) 815205</v>
      </c>
      <c r="S1166" s="86">
        <f>_xlfn.XLOOKUP(表格1[[#This Row],[Model]],表格3[Model-Input-Ref2],表格3[SRP PRICE])</f>
        <v>3480</v>
      </c>
      <c r="T1166" s="43">
        <f>表格1[[#This Row],[Unit Price]]/表格1[[#This Row],[SRP]]</f>
        <v>0.62931034482758619</v>
      </c>
      <c r="U1166" s="86" t="str">
        <f>_xlfn.XLOOKUP(表格1[[#This Row],[Model]],表格3[Model-Input-Ref2],表格3[TOSHIBA/HIGHEST])</f>
        <v>Toshiba SRP</v>
      </c>
      <c r="V1166" s="86" t="s">
        <v>1126</v>
      </c>
      <c r="W1166" s="86" t="str">
        <f>_xlfn.CONCAT(表格1[[#This Row],[欄4]],表格1[[#This Row],[inv no]])</f>
        <v>DA141815205</v>
      </c>
    </row>
    <row r="1167" spans="1:23" hidden="1">
      <c r="A1167" s="81">
        <v>1165</v>
      </c>
      <c r="B1167" s="81" t="s">
        <v>1477</v>
      </c>
      <c r="C1167" s="81" t="s">
        <v>1478</v>
      </c>
      <c r="D1167" s="82" t="str">
        <f ca="1">OFFSET(Roster!$A$3,MATCH(表格1[[#This Row],[Location]]&amp;" "&amp;表格1[[#This Row],[Shop]]&amp;"*",Roster!$A$4:$A$72,0),DAY(表格1[[#This Row],[date]]),1,1)</f>
        <v>Vicky L off</v>
      </c>
      <c r="E1167" s="81">
        <f>MONTH(表格1[[#This Row],[date]])</f>
        <v>3</v>
      </c>
      <c r="F1167" s="101">
        <v>46091</v>
      </c>
      <c r="G1167" s="81" t="str">
        <f>VLOOKUP("*"&amp;表格1[[#This Row],[Input]]&amp;"*",'Ref-List'!$B:$D,2,)</f>
        <v>GR-RB221WE-PMA(57)</v>
      </c>
      <c r="H1167" s="81" t="str">
        <f>_xlfn.XLOOKUP(表格1[[#This Row],[Model]],表格3[Model-Input-Ref2],表格3[Product Line])</f>
        <v>變頻下置式雙門雪櫃（163L）</v>
      </c>
      <c r="I1167" s="81" t="str">
        <f>_xlfn.XLOOKUP(表格1[[#This Row],[Model]],表格3[Model-Input-Ref2],表格3[大小電])</f>
        <v>大電</v>
      </c>
      <c r="J1167" s="81" t="str">
        <f>_xlfn.XLOOKUP(表格1[[#This Row],[Model]],表格3[Model-Input-Ref2],表格3[Code])</f>
        <v>REF</v>
      </c>
      <c r="K1167" s="89" t="s">
        <v>1386</v>
      </c>
      <c r="L1167" s="81">
        <v>1</v>
      </c>
      <c r="M1167" s="85">
        <v>2190</v>
      </c>
      <c r="N1167" s="85">
        <f>IFERROR(表格1[[#This Row],[QTY]]*表格1[[#This Row],[Unit Price]],"-")</f>
        <v>2190</v>
      </c>
      <c r="O1167" s="142">
        <v>901283</v>
      </c>
      <c r="R1167" s="86" t="str">
        <f>_xlfn.CONCAT(表格1[[#This Row],[Model]]," ",表格1[[#This Row],[inv no]])</f>
        <v>GR-RB221WE-PMA(57) 901283</v>
      </c>
      <c r="S1167" s="86">
        <f>_xlfn.XLOOKUP(表格1[[#This Row],[Model]],表格3[Model-Input-Ref2],表格3[SRP PRICE])</f>
        <v>3480</v>
      </c>
      <c r="T1167" s="43">
        <f>表格1[[#This Row],[Unit Price]]/表格1[[#This Row],[SRP]]</f>
        <v>0.62931034482758619</v>
      </c>
      <c r="U1167" s="86" t="str">
        <f>_xlfn.XLOOKUP(表格1[[#This Row],[Model]],表格3[Model-Input-Ref2],表格3[TOSHIBA/HIGHEST])</f>
        <v>Toshiba SRP</v>
      </c>
      <c r="V1167" s="86" t="s">
        <v>1126</v>
      </c>
      <c r="W1167" s="86" t="str">
        <f>_xlfn.CONCAT(表格1[[#This Row],[欄4]],表格1[[#This Row],[inv no]])</f>
        <v>DA141901283</v>
      </c>
    </row>
    <row r="1168" spans="1:23" hidden="1">
      <c r="A1168" s="81">
        <v>1166</v>
      </c>
      <c r="B1168" s="81" t="s">
        <v>1477</v>
      </c>
      <c r="C1168" s="81" t="s">
        <v>1478</v>
      </c>
      <c r="D1168" s="82" t="str">
        <f ca="1">OFFSET(Roster!$A$3,MATCH(表格1[[#This Row],[Location]]&amp;" "&amp;表格1[[#This Row],[Shop]]&amp;"*",Roster!$A$4:$A$72,0),DAY(表格1[[#This Row],[date]]),1,1)</f>
        <v>Vicky L off</v>
      </c>
      <c r="E1168" s="81">
        <f>MONTH(表格1[[#This Row],[date]])</f>
        <v>3</v>
      </c>
      <c r="F1168" s="101">
        <v>46093</v>
      </c>
      <c r="G1168" s="81" t="str">
        <f>VLOOKUP("*"&amp;表格1[[#This Row],[Input]]&amp;"*",'Ref-List'!$B:$D,2,)</f>
        <v>GR-RB221WE-PMA(57)</v>
      </c>
      <c r="H1168" s="81" t="str">
        <f>_xlfn.XLOOKUP(表格1[[#This Row],[Model]],表格3[Model-Input-Ref2],表格3[Product Line])</f>
        <v>變頻下置式雙門雪櫃（163L）</v>
      </c>
      <c r="I1168" s="81" t="str">
        <f>_xlfn.XLOOKUP(表格1[[#This Row],[Model]],表格3[Model-Input-Ref2],表格3[大小電])</f>
        <v>大電</v>
      </c>
      <c r="J1168" s="81" t="str">
        <f>_xlfn.XLOOKUP(表格1[[#This Row],[Model]],表格3[Model-Input-Ref2],表格3[Code])</f>
        <v>REF</v>
      </c>
      <c r="K1168" s="89" t="s">
        <v>1386</v>
      </c>
      <c r="L1168" s="81">
        <v>1</v>
      </c>
      <c r="M1168" s="87">
        <v>2190</v>
      </c>
      <c r="N1168" s="85">
        <f>IFERROR(表格1[[#This Row],[QTY]]*表格1[[#This Row],[Unit Price]],"-")</f>
        <v>2190</v>
      </c>
      <c r="O1168" s="86">
        <v>815594</v>
      </c>
      <c r="R1168" s="86" t="str">
        <f>_xlfn.CONCAT(表格1[[#This Row],[Model]]," ",表格1[[#This Row],[inv no]])</f>
        <v>GR-RB221WE-PMA(57) 815594</v>
      </c>
      <c r="S1168" s="86">
        <f>_xlfn.XLOOKUP(表格1[[#This Row],[Model]],表格3[Model-Input-Ref2],表格3[SRP PRICE])</f>
        <v>3480</v>
      </c>
      <c r="T1168" s="43">
        <f>表格1[[#This Row],[Unit Price]]/表格1[[#This Row],[SRP]]</f>
        <v>0.62931034482758619</v>
      </c>
      <c r="U1168" s="86" t="str">
        <f>_xlfn.XLOOKUP(表格1[[#This Row],[Model]],表格3[Model-Input-Ref2],表格3[TOSHIBA/HIGHEST])</f>
        <v>Toshiba SRP</v>
      </c>
      <c r="V1168" s="86" t="s">
        <v>1126</v>
      </c>
      <c r="W1168" s="86" t="str">
        <f>_xlfn.CONCAT(表格1[[#This Row],[欄4]],表格1[[#This Row],[inv no]])</f>
        <v>DA141815594</v>
      </c>
    </row>
    <row r="1169" spans="1:23" hidden="1">
      <c r="A1169" s="81">
        <v>1167</v>
      </c>
      <c r="B1169" s="81" t="s">
        <v>1477</v>
      </c>
      <c r="C1169" s="81" t="s">
        <v>1478</v>
      </c>
      <c r="D1169" s="82" t="str">
        <f ca="1">OFFSET(Roster!$A$3,MATCH(表格1[[#This Row],[Location]]&amp;" "&amp;表格1[[#This Row],[Shop]]&amp;"*",Roster!$A$4:$A$72,0),DAY(表格1[[#This Row],[date]]),1,1)</f>
        <v>Vicky L</v>
      </c>
      <c r="E1169" s="81">
        <f>MONTH(表格1[[#This Row],[date]])</f>
        <v>3</v>
      </c>
      <c r="F1169" s="101">
        <v>46089</v>
      </c>
      <c r="G1169" s="81" t="str">
        <f>VLOOKUP("*"&amp;表格1[[#This Row],[Input]]&amp;"*",'Ref-List'!$B:$D,2,)</f>
        <v>GR-RM612WE-PGA(B5)</v>
      </c>
      <c r="H1169" s="81" t="str">
        <f>_xlfn.XLOOKUP(表格1[[#This Row],[Model]],表格3[Model-Input-Ref2],表格3[Product Line])</f>
        <v>變頻五門雪櫃(375L)</v>
      </c>
      <c r="I1169" s="81" t="str">
        <f>_xlfn.XLOOKUP(表格1[[#This Row],[Model]],表格3[Model-Input-Ref2],表格3[大小電])</f>
        <v>大電</v>
      </c>
      <c r="J1169" s="81" t="str">
        <f>_xlfn.XLOOKUP(表格1[[#This Row],[Model]],表格3[Model-Input-Ref2],表格3[Code])</f>
        <v>REF</v>
      </c>
      <c r="K1169" s="89" t="s">
        <v>1257</v>
      </c>
      <c r="L1169" s="81">
        <v>1</v>
      </c>
      <c r="M1169" s="85">
        <v>9980</v>
      </c>
      <c r="N1169" s="85">
        <f>IFERROR(表格1[[#This Row],[QTY]]*表格1[[#This Row],[Unit Price]],"-")</f>
        <v>9980</v>
      </c>
      <c r="O1169" s="86">
        <v>815226</v>
      </c>
      <c r="R1169" s="86" t="str">
        <f>_xlfn.CONCAT(表格1[[#This Row],[Model]]," ",表格1[[#This Row],[inv no]])</f>
        <v>GR-RM612WE-PGA(B5) 815226</v>
      </c>
      <c r="S1169" s="86">
        <f>_xlfn.XLOOKUP(表格1[[#This Row],[Model]],表格3[Model-Input-Ref2],表格3[SRP PRICE])</f>
        <v>11000</v>
      </c>
      <c r="T1169" s="43">
        <f>表格1[[#This Row],[Unit Price]]/表格1[[#This Row],[SRP]]</f>
        <v>0.90727272727272723</v>
      </c>
      <c r="U1169" s="86" t="str">
        <f>_xlfn.XLOOKUP(表格1[[#This Row],[Model]],表格3[Model-Input-Ref2],表格3[TOSHIBA/HIGHEST])</f>
        <v>Shops Highest Price</v>
      </c>
      <c r="V1169" s="86" t="s">
        <v>1126</v>
      </c>
      <c r="W1169" s="86" t="str">
        <f>_xlfn.CONCAT(表格1[[#This Row],[欄4]],表格1[[#This Row],[inv no]])</f>
        <v>DA141815226</v>
      </c>
    </row>
    <row r="1170" spans="1:23" hidden="1">
      <c r="A1170" s="81">
        <v>1168</v>
      </c>
      <c r="B1170" s="81" t="s">
        <v>1477</v>
      </c>
      <c r="C1170" s="81" t="s">
        <v>1478</v>
      </c>
      <c r="D1170" s="82" t="str">
        <f ca="1">OFFSET(Roster!$A$3,MATCH(表格1[[#This Row],[Location]]&amp;" "&amp;表格1[[#This Row],[Shop]]&amp;"*",Roster!$A$4:$A$72,0),DAY(表格1[[#This Row],[date]]),1,1)</f>
        <v>Vicky L</v>
      </c>
      <c r="E1170" s="81">
        <f>MONTH(表格1[[#This Row],[date]])</f>
        <v>3</v>
      </c>
      <c r="F1170" s="101">
        <v>46089</v>
      </c>
      <c r="G1170" s="81" t="str">
        <f>VLOOKUP("*"&amp;表格1[[#This Row],[Input]]&amp;"*",'Ref-List'!$B:$D,2,)</f>
        <v>TW-T21BU95UWH(MG)</v>
      </c>
      <c r="H1170" s="81" t="str">
        <f>_xlfn.XLOOKUP(表格1[[#This Row],[Model]],表格3[Model-Input-Ref2],表格3[Product Line])</f>
        <v>470MM超薄身前置式變頻洗衣機(8.5公斤)</v>
      </c>
      <c r="I1170" s="81" t="str">
        <f>_xlfn.XLOOKUP(表格1[[#This Row],[Model]],表格3[Model-Input-Ref2],表格3[大小電])</f>
        <v>大電</v>
      </c>
      <c r="J1170" s="81" t="str">
        <f>_xlfn.XLOOKUP(表格1[[#This Row],[Model]],表格3[Model-Input-Ref2],表格3[Code])</f>
        <v>LAD</v>
      </c>
      <c r="K1170" s="89" t="s">
        <v>1492</v>
      </c>
      <c r="L1170" s="81">
        <v>1</v>
      </c>
      <c r="M1170" s="87">
        <v>3590</v>
      </c>
      <c r="N1170" s="85">
        <f>IFERROR(表格1[[#This Row],[QTY]]*表格1[[#This Row],[Unit Price]],"-")</f>
        <v>3590</v>
      </c>
      <c r="O1170" s="86">
        <v>815266</v>
      </c>
      <c r="R1170" s="86" t="str">
        <f>_xlfn.CONCAT(表格1[[#This Row],[Model]]," ",表格1[[#This Row],[inv no]])</f>
        <v>TW-T21BU95UWH(MG) 815266</v>
      </c>
      <c r="S1170" s="86">
        <f>_xlfn.XLOOKUP(表格1[[#This Row],[Model]],表格3[Model-Input-Ref2],表格3[SRP PRICE])</f>
        <v>3980</v>
      </c>
      <c r="T1170" s="43">
        <f>表格1[[#This Row],[Unit Price]]/表格1[[#This Row],[SRP]]</f>
        <v>0.90201005025125625</v>
      </c>
      <c r="U1170" s="86" t="str">
        <f>_xlfn.XLOOKUP(表格1[[#This Row],[Model]],表格3[Model-Input-Ref2],表格3[TOSHIBA/HIGHEST])</f>
        <v>Shops Highest Price</v>
      </c>
      <c r="V1170" s="86" t="s">
        <v>1126</v>
      </c>
      <c r="W1170" s="86" t="str">
        <f>_xlfn.CONCAT(表格1[[#This Row],[欄4]],表格1[[#This Row],[inv no]])</f>
        <v>DA141815266</v>
      </c>
    </row>
    <row r="1171" spans="1:23" hidden="1">
      <c r="A1171" s="81">
        <v>1169</v>
      </c>
      <c r="B1171" s="81" t="s">
        <v>1477</v>
      </c>
      <c r="C1171" s="81" t="s">
        <v>1478</v>
      </c>
      <c r="D1171" s="82" t="str">
        <f ca="1">OFFSET(Roster!$A$3,MATCH(表格1[[#This Row],[Location]]&amp;" "&amp;表格1[[#This Row],[Shop]]&amp;"*",Roster!$A$4:$A$72,0),DAY(表格1[[#This Row],[date]]),1,1)</f>
        <v>Vicky L</v>
      </c>
      <c r="E1171" s="81">
        <f>MONTH(表格1[[#This Row],[date]])</f>
        <v>3</v>
      </c>
      <c r="F1171" s="101">
        <v>46082</v>
      </c>
      <c r="G1171" s="81" t="str">
        <f>VLOOKUP("*"&amp;表格1[[#This Row],[Input]]&amp;"*",'Ref-List'!$B:$D,2,)</f>
        <v>MWP-MM20P(WH)</v>
      </c>
      <c r="H1171" s="81" t="str">
        <f>_xlfn.XLOOKUP(表格1[[#This Row],[Model]],表格3[Model-Input-Ref2],表格3[Product Line])</f>
        <v>旋鈕式燒烤微波爐20L</v>
      </c>
      <c r="I1171" s="81" t="str">
        <f>_xlfn.XLOOKUP(表格1[[#This Row],[Model]],表格3[Model-Input-Ref2],表格3[大小電])</f>
        <v>細電</v>
      </c>
      <c r="J1171" s="81" t="str">
        <f>_xlfn.XLOOKUP(表格1[[#This Row],[Model]],表格3[Model-Input-Ref2],表格3[Code])</f>
        <v>SDA</v>
      </c>
      <c r="K1171" s="89" t="s">
        <v>1270</v>
      </c>
      <c r="L1171" s="81">
        <v>1</v>
      </c>
      <c r="M1171" s="85">
        <v>488</v>
      </c>
      <c r="N1171" s="85">
        <f>IFERROR(表格1[[#This Row],[QTY]]*表格1[[#This Row],[Unit Price]],"-")</f>
        <v>488</v>
      </c>
      <c r="O1171" s="86">
        <v>900805</v>
      </c>
      <c r="R1171" s="86" t="str">
        <f>_xlfn.CONCAT(表格1[[#This Row],[Model]]," ",表格1[[#This Row],[inv no]])</f>
        <v>MWP-MM20P(WH) 900805</v>
      </c>
      <c r="S1171" s="86">
        <f>_xlfn.XLOOKUP(表格1[[#This Row],[Model]],表格3[Model-Input-Ref2],表格3[SRP PRICE])</f>
        <v>648</v>
      </c>
      <c r="T1171" s="43">
        <f>表格1[[#This Row],[Unit Price]]/表格1[[#This Row],[SRP]]</f>
        <v>0.75308641975308643</v>
      </c>
      <c r="U1171" s="86" t="str">
        <f>_xlfn.XLOOKUP(表格1[[#This Row],[Model]],表格3[Model-Input-Ref2],表格3[TOSHIBA/HIGHEST])</f>
        <v>Toshiba SRP</v>
      </c>
      <c r="V1171" s="86" t="s">
        <v>1126</v>
      </c>
      <c r="W1171" s="86" t="str">
        <f>_xlfn.CONCAT(表格1[[#This Row],[欄4]],表格1[[#This Row],[inv no]])</f>
        <v>DA141900805</v>
      </c>
    </row>
    <row r="1172" spans="1:23" hidden="1">
      <c r="A1172" s="81">
        <v>1170</v>
      </c>
      <c r="B1172" s="81" t="s">
        <v>1477</v>
      </c>
      <c r="C1172" s="81" t="s">
        <v>1478</v>
      </c>
      <c r="D1172" s="82" t="str">
        <f ca="1">OFFSET(Roster!$A$3,MATCH(表格1[[#This Row],[Location]]&amp;" "&amp;表格1[[#This Row],[Shop]]&amp;"*",Roster!$A$4:$A$72,0),DAY(表格1[[#This Row],[date]]),1,1)</f>
        <v>Vicky L</v>
      </c>
      <c r="E1172" s="81">
        <f>MONTH(表格1[[#This Row],[date]])</f>
        <v>3</v>
      </c>
      <c r="F1172" s="101">
        <v>46083</v>
      </c>
      <c r="G1172" s="81" t="str">
        <f>VLOOKUP("*"&amp;表格1[[#This Row],[Input]]&amp;"*",'Ref-List'!$B:$D,2,)</f>
        <v>MWP-MM20P(WH)</v>
      </c>
      <c r="H1172" s="81" t="str">
        <f>_xlfn.XLOOKUP(表格1[[#This Row],[Model]],表格3[Model-Input-Ref2],表格3[Product Line])</f>
        <v>旋鈕式燒烤微波爐20L</v>
      </c>
      <c r="I1172" s="81" t="str">
        <f>_xlfn.XLOOKUP(表格1[[#This Row],[Model]],表格3[Model-Input-Ref2],表格3[大小電])</f>
        <v>細電</v>
      </c>
      <c r="J1172" s="81" t="str">
        <f>_xlfn.XLOOKUP(表格1[[#This Row],[Model]],表格3[Model-Input-Ref2],表格3[Code])</f>
        <v>SDA</v>
      </c>
      <c r="K1172" s="89" t="s">
        <v>1270</v>
      </c>
      <c r="L1172" s="81">
        <v>1</v>
      </c>
      <c r="M1172" s="87">
        <v>488</v>
      </c>
      <c r="N1172" s="85">
        <f>IFERROR(表格1[[#This Row],[QTY]]*表格1[[#This Row],[Unit Price]],"-")</f>
        <v>488</v>
      </c>
      <c r="O1172" s="86">
        <v>814673</v>
      </c>
      <c r="R1172" s="86" t="str">
        <f>_xlfn.CONCAT(表格1[[#This Row],[Model]]," ",表格1[[#This Row],[inv no]])</f>
        <v>MWP-MM20P(WH) 814673</v>
      </c>
      <c r="S1172" s="86">
        <f>_xlfn.XLOOKUP(表格1[[#This Row],[Model]],表格3[Model-Input-Ref2],表格3[SRP PRICE])</f>
        <v>648</v>
      </c>
      <c r="T1172" s="43">
        <f>表格1[[#This Row],[Unit Price]]/表格1[[#This Row],[SRP]]</f>
        <v>0.75308641975308643</v>
      </c>
      <c r="U1172" s="86" t="str">
        <f>_xlfn.XLOOKUP(表格1[[#This Row],[Model]],表格3[Model-Input-Ref2],表格3[TOSHIBA/HIGHEST])</f>
        <v>Toshiba SRP</v>
      </c>
      <c r="V1172" s="86" t="s">
        <v>1126</v>
      </c>
      <c r="W1172" s="86" t="str">
        <f>_xlfn.CONCAT(表格1[[#This Row],[欄4]],表格1[[#This Row],[inv no]])</f>
        <v>DA141814673</v>
      </c>
    </row>
    <row r="1173" spans="1:23" hidden="1">
      <c r="A1173" s="81">
        <v>1171</v>
      </c>
      <c r="B1173" s="81" t="s">
        <v>1477</v>
      </c>
      <c r="C1173" s="81" t="s">
        <v>1478</v>
      </c>
      <c r="D1173" s="82" t="str">
        <f ca="1">OFFSET(Roster!$A$3,MATCH(表格1[[#This Row],[Location]]&amp;" "&amp;表格1[[#This Row],[Shop]]&amp;"*",Roster!$A$4:$A$72,0),DAY(表格1[[#This Row],[date]]),1,1)</f>
        <v>Vicky L</v>
      </c>
      <c r="E1173" s="81">
        <f>MONTH(表格1[[#This Row],[date]])</f>
        <v>3</v>
      </c>
      <c r="F1173" s="101">
        <v>46089</v>
      </c>
      <c r="G1173" s="81" t="str">
        <f>VLOOKUP("*"&amp;表格1[[#This Row],[Input]]&amp;"*",'Ref-List'!$B:$D,2,)</f>
        <v>MWP-MM20P(WH)</v>
      </c>
      <c r="H1173" s="81" t="str">
        <f>_xlfn.XLOOKUP(表格1[[#This Row],[Model]],表格3[Model-Input-Ref2],表格3[Product Line])</f>
        <v>旋鈕式燒烤微波爐20L</v>
      </c>
      <c r="I1173" s="81" t="str">
        <f>_xlfn.XLOOKUP(表格1[[#This Row],[Model]],表格3[Model-Input-Ref2],表格3[大小電])</f>
        <v>細電</v>
      </c>
      <c r="J1173" s="81" t="str">
        <f>_xlfn.XLOOKUP(表格1[[#This Row],[Model]],表格3[Model-Input-Ref2],表格3[Code])</f>
        <v>SDA</v>
      </c>
      <c r="K1173" s="89" t="s">
        <v>1270</v>
      </c>
      <c r="L1173" s="81">
        <v>1</v>
      </c>
      <c r="M1173" s="87">
        <v>488</v>
      </c>
      <c r="N1173" s="85">
        <f>IFERROR(表格1[[#This Row],[QTY]]*表格1[[#This Row],[Unit Price]],"-")</f>
        <v>488</v>
      </c>
      <c r="O1173" s="86">
        <v>815283</v>
      </c>
      <c r="R1173" s="86" t="str">
        <f>_xlfn.CONCAT(表格1[[#This Row],[Model]]," ",表格1[[#This Row],[inv no]])</f>
        <v>MWP-MM20P(WH) 815283</v>
      </c>
      <c r="S1173" s="86">
        <f>_xlfn.XLOOKUP(表格1[[#This Row],[Model]],表格3[Model-Input-Ref2],表格3[SRP PRICE])</f>
        <v>648</v>
      </c>
      <c r="T1173" s="43">
        <f>表格1[[#This Row],[Unit Price]]/表格1[[#This Row],[SRP]]</f>
        <v>0.75308641975308643</v>
      </c>
      <c r="U1173" s="86" t="str">
        <f>_xlfn.XLOOKUP(表格1[[#This Row],[Model]],表格3[Model-Input-Ref2],表格3[TOSHIBA/HIGHEST])</f>
        <v>Toshiba SRP</v>
      </c>
      <c r="V1173" s="86" t="s">
        <v>1126</v>
      </c>
      <c r="W1173" s="86" t="str">
        <f>_xlfn.CONCAT(表格1[[#This Row],[欄4]],表格1[[#This Row],[inv no]])</f>
        <v>DA141815283</v>
      </c>
    </row>
    <row r="1174" spans="1:23" hidden="1">
      <c r="A1174" s="81">
        <v>1172</v>
      </c>
      <c r="B1174" s="81" t="s">
        <v>1477</v>
      </c>
      <c r="C1174" s="81" t="s">
        <v>1478</v>
      </c>
      <c r="D1174" s="82" t="str">
        <f ca="1">OFFSET(Roster!$A$3,MATCH(表格1[[#This Row],[Location]]&amp;" "&amp;表格1[[#This Row],[Shop]]&amp;"*",Roster!$A$4:$A$72,0),DAY(表格1[[#This Row],[date]]),1,1)</f>
        <v>Vicky L</v>
      </c>
      <c r="E1174" s="81">
        <f>MONTH(表格1[[#This Row],[date]])</f>
        <v>3</v>
      </c>
      <c r="F1174" s="101">
        <v>46089</v>
      </c>
      <c r="G1174" s="81" t="str">
        <f>VLOOKUP("*"&amp;表格1[[#This Row],[Input]]&amp;"*",'Ref-List'!$B:$D,2,)</f>
        <v>MWP-MM20P(WH)</v>
      </c>
      <c r="H1174" s="81" t="str">
        <f>_xlfn.XLOOKUP(表格1[[#This Row],[Model]],表格3[Model-Input-Ref2],表格3[Product Line])</f>
        <v>旋鈕式燒烤微波爐20L</v>
      </c>
      <c r="I1174" s="81" t="str">
        <f>_xlfn.XLOOKUP(表格1[[#This Row],[Model]],表格3[Model-Input-Ref2],表格3[大小電])</f>
        <v>細電</v>
      </c>
      <c r="J1174" s="81" t="str">
        <f>_xlfn.XLOOKUP(表格1[[#This Row],[Model]],表格3[Model-Input-Ref2],表格3[Code])</f>
        <v>SDA</v>
      </c>
      <c r="K1174" s="89" t="s">
        <v>1270</v>
      </c>
      <c r="L1174" s="81">
        <v>1</v>
      </c>
      <c r="M1174" s="87">
        <v>488</v>
      </c>
      <c r="N1174" s="85">
        <f>IFERROR(表格1[[#This Row],[QTY]]*表格1[[#This Row],[Unit Price]],"-")</f>
        <v>488</v>
      </c>
      <c r="O1174" s="86">
        <v>901192</v>
      </c>
      <c r="R1174" s="86" t="str">
        <f>_xlfn.CONCAT(表格1[[#This Row],[Model]]," ",表格1[[#This Row],[inv no]])</f>
        <v>MWP-MM20P(WH) 901192</v>
      </c>
      <c r="S1174" s="86">
        <f>_xlfn.XLOOKUP(表格1[[#This Row],[Model]],表格3[Model-Input-Ref2],表格3[SRP PRICE])</f>
        <v>648</v>
      </c>
      <c r="T1174" s="43">
        <f>表格1[[#This Row],[Unit Price]]/表格1[[#This Row],[SRP]]</f>
        <v>0.75308641975308643</v>
      </c>
      <c r="U1174" s="86" t="str">
        <f>_xlfn.XLOOKUP(表格1[[#This Row],[Model]],表格3[Model-Input-Ref2],表格3[TOSHIBA/HIGHEST])</f>
        <v>Toshiba SRP</v>
      </c>
      <c r="V1174" s="86" t="s">
        <v>1126</v>
      </c>
      <c r="W1174" s="86" t="str">
        <f>_xlfn.CONCAT(表格1[[#This Row],[欄4]],表格1[[#This Row],[inv no]])</f>
        <v>DA141901192</v>
      </c>
    </row>
    <row r="1175" spans="1:23" hidden="1">
      <c r="A1175" s="81">
        <v>1173</v>
      </c>
      <c r="B1175" s="81" t="s">
        <v>1477</v>
      </c>
      <c r="C1175" s="81" t="s">
        <v>1478</v>
      </c>
      <c r="D1175" s="82" t="str">
        <f ca="1">OFFSET(Roster!$A$3,MATCH(表格1[[#This Row],[Location]]&amp;" "&amp;表格1[[#This Row],[Shop]]&amp;"*",Roster!$A$4:$A$72,0),DAY(表格1[[#This Row],[date]]),1,1)</f>
        <v>Vicky L</v>
      </c>
      <c r="E1175" s="81">
        <f>MONTH(表格1[[#This Row],[date]])</f>
        <v>3</v>
      </c>
      <c r="F1175" s="101">
        <v>46082</v>
      </c>
      <c r="G1175" s="81" t="str">
        <f>VLOOKUP("*"&amp;表格1[[#This Row],[Input]]&amp;"*",'Ref-List'!$B:$D,2,)</f>
        <v>MM-2MM20PC(WH)</v>
      </c>
      <c r="H1175" s="81" t="str">
        <f>_xlfn.XLOOKUP(表格1[[#This Row],[Model]],表格3[Model-Input-Ref2],表格3[Product Line])</f>
        <v>旋鈕式微波爐 (20公升)</v>
      </c>
      <c r="I1175" s="81" t="str">
        <f>_xlfn.XLOOKUP(表格1[[#This Row],[Model]],表格3[Model-Input-Ref2],表格3[大小電])</f>
        <v>細電</v>
      </c>
      <c r="J1175" s="81" t="str">
        <f>_xlfn.XLOOKUP(表格1[[#This Row],[Model]],表格3[Model-Input-Ref2],表格3[Code])</f>
        <v>MCA</v>
      </c>
      <c r="K1175" s="89" t="s">
        <v>1388</v>
      </c>
      <c r="L1175" s="81">
        <v>1</v>
      </c>
      <c r="M1175" s="87">
        <v>599</v>
      </c>
      <c r="N1175" s="85">
        <f>IFERROR(表格1[[#This Row],[QTY]]*表格1[[#This Row],[Unit Price]],"-")</f>
        <v>599</v>
      </c>
      <c r="O1175" s="86">
        <v>814544</v>
      </c>
      <c r="R1175" s="86" t="str">
        <f>_xlfn.CONCAT(表格1[[#This Row],[Model]]," ",表格1[[#This Row],[inv no]])</f>
        <v>MM-2MM20PC(WH) 814544</v>
      </c>
      <c r="S1175" s="86">
        <f>_xlfn.XLOOKUP(表格1[[#This Row],[Model]],表格3[Model-Input-Ref2],表格3[SRP PRICE])</f>
        <v>738</v>
      </c>
      <c r="T1175" s="43">
        <f>表格1[[#This Row],[Unit Price]]/表格1[[#This Row],[SRP]]</f>
        <v>0.81165311653116534</v>
      </c>
      <c r="U1175" s="86" t="str">
        <f>_xlfn.XLOOKUP(表格1[[#This Row],[Model]],表格3[Model-Input-Ref2],表格3[TOSHIBA/HIGHEST])</f>
        <v>Toshiba SRP</v>
      </c>
      <c r="V1175" s="86" t="s">
        <v>1126</v>
      </c>
      <c r="W1175" s="86" t="str">
        <f>_xlfn.CONCAT(表格1[[#This Row],[欄4]],表格1[[#This Row],[inv no]])</f>
        <v>DA141814544</v>
      </c>
    </row>
    <row r="1176" spans="1:23" hidden="1">
      <c r="A1176" s="81">
        <v>1174</v>
      </c>
      <c r="B1176" s="81" t="s">
        <v>1477</v>
      </c>
      <c r="C1176" s="81" t="s">
        <v>1478</v>
      </c>
      <c r="D1176" s="82" t="str">
        <f ca="1">OFFSET(Roster!$A$3,MATCH(表格1[[#This Row],[Location]]&amp;" "&amp;表格1[[#This Row],[Shop]]&amp;"*",Roster!$A$4:$A$72,0),DAY(表格1[[#This Row],[date]]),1,1)</f>
        <v>Vicky L</v>
      </c>
      <c r="E1176" s="81">
        <f>MONTH(表格1[[#This Row],[date]])</f>
        <v>3</v>
      </c>
      <c r="F1176" s="101">
        <v>46088</v>
      </c>
      <c r="G1176" s="81" t="str">
        <f>VLOOKUP("*"&amp;表格1[[#This Row],[Input]]&amp;"*",'Ref-List'!$B:$D,2,)</f>
        <v>MM-2MM20PC(WH)</v>
      </c>
      <c r="H1176" s="81" t="str">
        <f>_xlfn.XLOOKUP(表格1[[#This Row],[Model]],表格3[Model-Input-Ref2],表格3[Product Line])</f>
        <v>旋鈕式微波爐 (20公升)</v>
      </c>
      <c r="I1176" s="81" t="str">
        <f>_xlfn.XLOOKUP(表格1[[#This Row],[Model]],表格3[Model-Input-Ref2],表格3[大小電])</f>
        <v>細電</v>
      </c>
      <c r="J1176" s="81" t="str">
        <f>_xlfn.XLOOKUP(表格1[[#This Row],[Model]],表格3[Model-Input-Ref2],表格3[Code])</f>
        <v>MCA</v>
      </c>
      <c r="K1176" s="89" t="s">
        <v>1388</v>
      </c>
      <c r="L1176" s="81">
        <v>1</v>
      </c>
      <c r="M1176" s="87">
        <v>599</v>
      </c>
      <c r="N1176" s="85">
        <f>IFERROR(表格1[[#This Row],[QTY]]*表格1[[#This Row],[Unit Price]],"-")</f>
        <v>599</v>
      </c>
      <c r="O1176" s="86">
        <v>901024</v>
      </c>
      <c r="R1176" s="86" t="str">
        <f>_xlfn.CONCAT(表格1[[#This Row],[Model]]," ",表格1[[#This Row],[inv no]])</f>
        <v>MM-2MM20PC(WH) 901024</v>
      </c>
      <c r="S1176" s="86">
        <f>_xlfn.XLOOKUP(表格1[[#This Row],[Model]],表格3[Model-Input-Ref2],表格3[SRP PRICE])</f>
        <v>738</v>
      </c>
      <c r="T1176" s="43">
        <f>表格1[[#This Row],[Unit Price]]/表格1[[#This Row],[SRP]]</f>
        <v>0.81165311653116534</v>
      </c>
      <c r="U1176" s="86" t="str">
        <f>_xlfn.XLOOKUP(表格1[[#This Row],[Model]],表格3[Model-Input-Ref2],表格3[TOSHIBA/HIGHEST])</f>
        <v>Toshiba SRP</v>
      </c>
      <c r="V1176" s="86" t="s">
        <v>1126</v>
      </c>
      <c r="W1176" s="86" t="str">
        <f>_xlfn.CONCAT(表格1[[#This Row],[欄4]],表格1[[#This Row],[inv no]])</f>
        <v>DA141901024</v>
      </c>
    </row>
    <row r="1177" spans="1:23" hidden="1">
      <c r="A1177" s="81">
        <v>1175</v>
      </c>
      <c r="B1177" s="81" t="s">
        <v>1477</v>
      </c>
      <c r="C1177" s="81" t="s">
        <v>1478</v>
      </c>
      <c r="D1177" s="82" t="str">
        <f ca="1">OFFSET(Roster!$A$3,MATCH(表格1[[#This Row],[Location]]&amp;" "&amp;表格1[[#This Row],[Shop]]&amp;"*",Roster!$A$4:$A$72,0),DAY(表格1[[#This Row],[date]]),1,1)</f>
        <v>Vicky L</v>
      </c>
      <c r="E1177" s="81">
        <f>MONTH(表格1[[#This Row],[date]])</f>
        <v>3</v>
      </c>
      <c r="F1177" s="101">
        <v>46089</v>
      </c>
      <c r="G1177" s="81" t="str">
        <f>VLOOKUP("*"&amp;表格1[[#This Row],[Input]]&amp;"*",'Ref-List'!$B:$D,2,)</f>
        <v>MM-2MM20PC(WH)</v>
      </c>
      <c r="H1177" s="81" t="str">
        <f>_xlfn.XLOOKUP(表格1[[#This Row],[Model]],表格3[Model-Input-Ref2],表格3[Product Line])</f>
        <v>旋鈕式微波爐 (20公升)</v>
      </c>
      <c r="I1177" s="81" t="str">
        <f>_xlfn.XLOOKUP(表格1[[#This Row],[Model]],表格3[Model-Input-Ref2],表格3[大小電])</f>
        <v>細電</v>
      </c>
      <c r="J1177" s="81" t="str">
        <f>_xlfn.XLOOKUP(表格1[[#This Row],[Model]],表格3[Model-Input-Ref2],表格3[Code])</f>
        <v>MCA</v>
      </c>
      <c r="K1177" s="89" t="s">
        <v>1388</v>
      </c>
      <c r="L1177" s="81">
        <v>1</v>
      </c>
      <c r="M1177" s="87">
        <v>599</v>
      </c>
      <c r="N1177" s="85">
        <f>IFERROR(表格1[[#This Row],[QTY]]*表格1[[#This Row],[Unit Price]],"-")</f>
        <v>599</v>
      </c>
      <c r="O1177" s="142">
        <v>901156</v>
      </c>
      <c r="R1177" s="86" t="str">
        <f>_xlfn.CONCAT(表格1[[#This Row],[Model]]," ",表格1[[#This Row],[inv no]])</f>
        <v>MM-2MM20PC(WH) 901156</v>
      </c>
      <c r="S1177" s="86">
        <f>_xlfn.XLOOKUP(表格1[[#This Row],[Model]],表格3[Model-Input-Ref2],表格3[SRP PRICE])</f>
        <v>738</v>
      </c>
      <c r="T1177" s="43">
        <f>表格1[[#This Row],[Unit Price]]/表格1[[#This Row],[SRP]]</f>
        <v>0.81165311653116534</v>
      </c>
      <c r="U1177" s="86" t="str">
        <f>_xlfn.XLOOKUP(表格1[[#This Row],[Model]],表格3[Model-Input-Ref2],表格3[TOSHIBA/HIGHEST])</f>
        <v>Toshiba SRP</v>
      </c>
      <c r="V1177" s="86" t="s">
        <v>1126</v>
      </c>
      <c r="W1177" s="86" t="str">
        <f>_xlfn.CONCAT(表格1[[#This Row],[欄4]],表格1[[#This Row],[inv no]])</f>
        <v>DA141901156</v>
      </c>
    </row>
    <row r="1178" spans="1:23" hidden="1">
      <c r="A1178" s="81">
        <v>1176</v>
      </c>
      <c r="B1178" s="81" t="s">
        <v>1477</v>
      </c>
      <c r="C1178" s="81" t="s">
        <v>1478</v>
      </c>
      <c r="D1178" s="82" t="str">
        <f ca="1">OFFSET(Roster!$A$3,MATCH(表格1[[#This Row],[Location]]&amp;" "&amp;表格1[[#This Row],[Shop]]&amp;"*",Roster!$A$4:$A$72,0),DAY(表格1[[#This Row],[date]]),1,1)</f>
        <v>Vicky L</v>
      </c>
      <c r="E1178" s="81">
        <f>MONTH(表格1[[#This Row],[date]])</f>
        <v>3</v>
      </c>
      <c r="F1178" s="101">
        <v>46087</v>
      </c>
      <c r="G1178" s="81" t="str">
        <f>VLOOKUP("*"&amp;表格1[[#This Row],[Input]]&amp;"*",'Ref-List'!$B:$D,2,)</f>
        <v>MW2-MM24PC(BK)</v>
      </c>
      <c r="H1178" s="81" t="str">
        <f>_xlfn.XLOOKUP(表格1[[#This Row],[Model]],表格3[Model-Input-Ref2],表格3[Product Line])</f>
        <v>旋鈕式微波爐24L</v>
      </c>
      <c r="I1178" s="81" t="str">
        <f>_xlfn.XLOOKUP(表格1[[#This Row],[Model]],表格3[Model-Input-Ref2],表格3[大小電])</f>
        <v>細電</v>
      </c>
      <c r="J1178" s="81" t="str">
        <f>_xlfn.XLOOKUP(表格1[[#This Row],[Model]],表格3[Model-Input-Ref2],表格3[Code])</f>
        <v>SDA</v>
      </c>
      <c r="K1178" s="89" t="s">
        <v>1196</v>
      </c>
      <c r="L1178" s="81">
        <v>1</v>
      </c>
      <c r="M1178" s="87">
        <v>679</v>
      </c>
      <c r="N1178" s="85">
        <f>IFERROR(表格1[[#This Row],[QTY]]*表格1[[#This Row],[Unit Price]],"-")</f>
        <v>679</v>
      </c>
      <c r="O1178" s="142">
        <v>814962</v>
      </c>
      <c r="R1178" s="86" t="str">
        <f>_xlfn.CONCAT(表格1[[#This Row],[Model]]," ",表格1[[#This Row],[inv no]])</f>
        <v>MW2-MM24PC(BK) 814962</v>
      </c>
      <c r="S1178" s="86">
        <f>_xlfn.XLOOKUP(表格1[[#This Row],[Model]],表格3[Model-Input-Ref2],表格3[SRP PRICE])</f>
        <v>848</v>
      </c>
      <c r="T1178" s="43">
        <f>表格1[[#This Row],[Unit Price]]/表格1[[#This Row],[SRP]]</f>
        <v>0.8007075471698113</v>
      </c>
      <c r="U1178" s="86" t="str">
        <f>_xlfn.XLOOKUP(表格1[[#This Row],[Model]],表格3[Model-Input-Ref2],表格3[TOSHIBA/HIGHEST])</f>
        <v>Toshiba SRP</v>
      </c>
      <c r="V1178" s="86" t="s">
        <v>1126</v>
      </c>
      <c r="W1178" s="86" t="str">
        <f>_xlfn.CONCAT(表格1[[#This Row],[欄4]],表格1[[#This Row],[inv no]])</f>
        <v>DA141814962</v>
      </c>
    </row>
    <row r="1179" spans="1:23" hidden="1">
      <c r="A1179" s="81">
        <v>1177</v>
      </c>
      <c r="B1179" s="81" t="s">
        <v>1477</v>
      </c>
      <c r="C1179" s="81" t="s">
        <v>1478</v>
      </c>
      <c r="D1179" s="82" t="str">
        <f ca="1">OFFSET(Roster!$A$3,MATCH(表格1[[#This Row],[Location]]&amp;" "&amp;表格1[[#This Row],[Shop]]&amp;"*",Roster!$A$4:$A$72,0),DAY(表格1[[#This Row],[date]]),1,1)</f>
        <v>Vicky L off</v>
      </c>
      <c r="E1179" s="81">
        <f>MONTH(表格1[[#This Row],[date]])</f>
        <v>3</v>
      </c>
      <c r="F1179" s="101">
        <v>46091</v>
      </c>
      <c r="G1179" s="81" t="str">
        <f>VLOOKUP("*"&amp;表格1[[#This Row],[Input]]&amp;"*",'Ref-List'!$B:$D,2,)</f>
        <v>MW2-MM24PC(BK)</v>
      </c>
      <c r="H1179" s="81" t="str">
        <f>_xlfn.XLOOKUP(表格1[[#This Row],[Model]],表格3[Model-Input-Ref2],表格3[Product Line])</f>
        <v>旋鈕式微波爐24L</v>
      </c>
      <c r="I1179" s="81" t="str">
        <f>_xlfn.XLOOKUP(表格1[[#This Row],[Model]],表格3[Model-Input-Ref2],表格3[大小電])</f>
        <v>細電</v>
      </c>
      <c r="J1179" s="81" t="str">
        <f>_xlfn.XLOOKUP(表格1[[#This Row],[Model]],表格3[Model-Input-Ref2],表格3[Code])</f>
        <v>SDA</v>
      </c>
      <c r="K1179" s="89" t="s">
        <v>1196</v>
      </c>
      <c r="L1179" s="81">
        <v>1</v>
      </c>
      <c r="M1179" s="87">
        <v>679</v>
      </c>
      <c r="N1179" s="85">
        <f>IFERROR(表格1[[#This Row],[QTY]]*表格1[[#This Row],[Unit Price]],"-")</f>
        <v>679</v>
      </c>
      <c r="O1179" s="86">
        <v>901250</v>
      </c>
      <c r="R1179" s="86" t="str">
        <f>_xlfn.CONCAT(表格1[[#This Row],[Model]]," ",表格1[[#This Row],[inv no]])</f>
        <v>MW2-MM24PC(BK) 901250</v>
      </c>
      <c r="S1179" s="86">
        <f>_xlfn.XLOOKUP(表格1[[#This Row],[Model]],表格3[Model-Input-Ref2],表格3[SRP PRICE])</f>
        <v>848</v>
      </c>
      <c r="T1179" s="43">
        <f>表格1[[#This Row],[Unit Price]]/表格1[[#This Row],[SRP]]</f>
        <v>0.8007075471698113</v>
      </c>
      <c r="U1179" s="86" t="str">
        <f>_xlfn.XLOOKUP(表格1[[#This Row],[Model]],表格3[Model-Input-Ref2],表格3[TOSHIBA/HIGHEST])</f>
        <v>Toshiba SRP</v>
      </c>
      <c r="V1179" s="86" t="s">
        <v>1126</v>
      </c>
      <c r="W1179" s="86" t="str">
        <f>_xlfn.CONCAT(表格1[[#This Row],[欄4]],表格1[[#This Row],[inv no]])</f>
        <v>DA141901250</v>
      </c>
    </row>
    <row r="1180" spans="1:23" hidden="1">
      <c r="A1180" s="81">
        <v>1178</v>
      </c>
      <c r="B1180" s="81" t="s">
        <v>1477</v>
      </c>
      <c r="C1180" s="81" t="s">
        <v>1478</v>
      </c>
      <c r="D1180" s="82" t="str">
        <f ca="1">OFFSET(Roster!$A$3,MATCH(表格1[[#This Row],[Location]]&amp;" "&amp;表格1[[#This Row],[Shop]]&amp;"*",Roster!$A$4:$A$72,0),DAY(表格1[[#This Row],[date]]),1,1)</f>
        <v>Vicky L off</v>
      </c>
      <c r="E1180" s="81">
        <f>MONTH(表格1[[#This Row],[date]])</f>
        <v>3</v>
      </c>
      <c r="F1180" s="101">
        <v>46090</v>
      </c>
      <c r="G1180" s="81" t="str">
        <f>VLOOKUP("*"&amp;表格1[[#This Row],[Input]]&amp;"*",'Ref-List'!$B:$D,2,)</f>
        <v>ET-TD7080(PN)</v>
      </c>
      <c r="H1180" s="81" t="str">
        <f>_xlfn.XLOOKUP(表格1[[#This Row],[Model]],表格3[Model-Input-Ref2],表格3[Product Line])</f>
        <v>多士焗爐8L</v>
      </c>
      <c r="I1180" s="81" t="str">
        <f>_xlfn.XLOOKUP(表格1[[#This Row],[Model]],表格3[Model-Input-Ref2],表格3[大小電])</f>
        <v>細電</v>
      </c>
      <c r="J1180" s="81" t="str">
        <f>_xlfn.XLOOKUP(表格1[[#This Row],[Model]],表格3[Model-Input-Ref2],表格3[Code])</f>
        <v>SDA</v>
      </c>
      <c r="K1180" s="89">
        <v>7080</v>
      </c>
      <c r="L1180" s="81">
        <v>1</v>
      </c>
      <c r="M1180" s="87">
        <v>318</v>
      </c>
      <c r="N1180" s="85">
        <f>IFERROR(表格1[[#This Row],[QTY]]*表格1[[#This Row],[Unit Price]],"-")</f>
        <v>318</v>
      </c>
      <c r="O1180" s="86">
        <v>814869</v>
      </c>
      <c r="R1180" s="86" t="str">
        <f>_xlfn.CONCAT(表格1[[#This Row],[Model]]," ",表格1[[#This Row],[inv no]])</f>
        <v>ET-TD7080(PN) 814869</v>
      </c>
      <c r="S1180" s="86">
        <f>_xlfn.XLOOKUP(表格1[[#This Row],[Model]],表格3[Model-Input-Ref2],表格3[SRP PRICE])</f>
        <v>498</v>
      </c>
      <c r="T1180" s="43">
        <f>表格1[[#This Row],[Unit Price]]/表格1[[#This Row],[SRP]]</f>
        <v>0.63855421686746983</v>
      </c>
      <c r="U1180" s="86" t="str">
        <f>_xlfn.XLOOKUP(表格1[[#This Row],[Model]],表格3[Model-Input-Ref2],表格3[TOSHIBA/HIGHEST])</f>
        <v>Toshiba SRP</v>
      </c>
      <c r="V1180" s="86" t="s">
        <v>1126</v>
      </c>
      <c r="W1180" s="86" t="str">
        <f>_xlfn.CONCAT(表格1[[#This Row],[欄4]],表格1[[#This Row],[inv no]])</f>
        <v>DA141814869</v>
      </c>
    </row>
    <row r="1181" spans="1:23" hidden="1">
      <c r="A1181" s="81">
        <v>1179</v>
      </c>
      <c r="B1181" s="81" t="s">
        <v>1477</v>
      </c>
      <c r="C1181" s="81" t="s">
        <v>1478</v>
      </c>
      <c r="D1181" s="82" t="str">
        <f ca="1">OFFSET(Roster!$A$3,MATCH(表格1[[#This Row],[Location]]&amp;" "&amp;表格1[[#This Row],[Shop]]&amp;"*",Roster!$A$4:$A$72,0),DAY(表格1[[#This Row],[date]]),1,1)</f>
        <v>Vicky L off</v>
      </c>
      <c r="E1181" s="81">
        <f>MONTH(表格1[[#This Row],[date]])</f>
        <v>3</v>
      </c>
      <c r="F1181" s="101">
        <v>46084</v>
      </c>
      <c r="G1181" s="81" t="str">
        <f>VLOOKUP("*"&amp;表格1[[#This Row],[Input]]&amp;"*",'Ref-List'!$B:$D,2,)</f>
        <v>TL-MC35Z</v>
      </c>
      <c r="H1181" s="81" t="str">
        <f>_xlfn.XLOOKUP(表格1[[#This Row],[Model]],表格3[Model-Input-Ref2],表格3[Product Line])</f>
        <v>35L多功能電焗爐</v>
      </c>
      <c r="I1181" s="81" t="str">
        <f>_xlfn.XLOOKUP(表格1[[#This Row],[Model]],表格3[Model-Input-Ref2],表格3[大小電])</f>
        <v>細電</v>
      </c>
      <c r="J1181" s="81" t="str">
        <f>_xlfn.XLOOKUP(表格1[[#This Row],[Model]],表格3[Model-Input-Ref2],表格3[Code])</f>
        <v>SDA</v>
      </c>
      <c r="K1181" s="89" t="s">
        <v>1295</v>
      </c>
      <c r="L1181" s="81">
        <v>1</v>
      </c>
      <c r="M1181" s="87">
        <v>888</v>
      </c>
      <c r="N1181" s="85">
        <f>IFERROR(表格1[[#This Row],[QTY]]*表格1[[#This Row],[Unit Price]],"-")</f>
        <v>888</v>
      </c>
      <c r="O1181" s="86">
        <v>814773</v>
      </c>
      <c r="R1181" s="86" t="str">
        <f>_xlfn.CONCAT(表格1[[#This Row],[Model]]," ",表格1[[#This Row],[inv no]])</f>
        <v>TL-MC35Z 814773</v>
      </c>
      <c r="S1181" s="86">
        <f>_xlfn.XLOOKUP(表格1[[#This Row],[Model]],表格3[Model-Input-Ref2],表格3[SRP PRICE])</f>
        <v>1098</v>
      </c>
      <c r="T1181" s="43">
        <f>表格1[[#This Row],[Unit Price]]/表格1[[#This Row],[SRP]]</f>
        <v>0.80874316939890711</v>
      </c>
      <c r="U1181" s="86" t="str">
        <f>_xlfn.XLOOKUP(表格1[[#This Row],[Model]],表格3[Model-Input-Ref2],表格3[TOSHIBA/HIGHEST])</f>
        <v>Toshiba SRP</v>
      </c>
      <c r="V1181" s="86" t="s">
        <v>1126</v>
      </c>
      <c r="W1181" s="86" t="str">
        <f>_xlfn.CONCAT(表格1[[#This Row],[欄4]],表格1[[#This Row],[inv no]])</f>
        <v>DA141814773</v>
      </c>
    </row>
    <row r="1182" spans="1:23" hidden="1">
      <c r="A1182" s="81">
        <v>1180</v>
      </c>
      <c r="B1182" s="81" t="s">
        <v>1477</v>
      </c>
      <c r="C1182" s="81" t="s">
        <v>1478</v>
      </c>
      <c r="D1182" s="82" t="str">
        <f ca="1">OFFSET(Roster!$A$3,MATCH(表格1[[#This Row],[Location]]&amp;" "&amp;表格1[[#This Row],[Shop]]&amp;"*",Roster!$A$4:$A$72,0),DAY(表格1[[#This Row],[date]]),1,1)</f>
        <v>Vicky L</v>
      </c>
      <c r="E1182" s="81">
        <f>MONTH(表格1[[#This Row],[date]])</f>
        <v>3</v>
      </c>
      <c r="F1182" s="101">
        <v>46083</v>
      </c>
      <c r="G1182" s="81" t="str">
        <f>VLOOKUP("*"&amp;表格1[[#This Row],[Input]]&amp;"*",'Ref-List'!$B:$D,2,)</f>
        <v>IC-S19RH</v>
      </c>
      <c r="H1182" s="81" t="str">
        <f>_xlfn.XLOOKUP(表格1[[#This Row],[Model]],表格3[Model-Input-Ref2],表格3[Product Line])</f>
        <v>輕便式電磁爐7個功能</v>
      </c>
      <c r="I1182" s="81" t="str">
        <f>_xlfn.XLOOKUP(表格1[[#This Row],[Model]],表格3[Model-Input-Ref2],表格3[大小電])</f>
        <v>細電</v>
      </c>
      <c r="J1182" s="81" t="str">
        <f>_xlfn.XLOOKUP(表格1[[#This Row],[Model]],表格3[Model-Input-Ref2],表格3[Code])</f>
        <v>SDA</v>
      </c>
      <c r="K1182" s="89" t="s">
        <v>1289</v>
      </c>
      <c r="L1182" s="81">
        <v>1</v>
      </c>
      <c r="M1182" s="87">
        <v>418</v>
      </c>
      <c r="N1182" s="85">
        <f>IFERROR(表格1[[#This Row],[QTY]]*表格1[[#This Row],[Unit Price]],"-")</f>
        <v>418</v>
      </c>
      <c r="O1182" s="86">
        <v>900839</v>
      </c>
      <c r="R1182" s="86" t="str">
        <f>_xlfn.CONCAT(表格1[[#This Row],[Model]]," ",表格1[[#This Row],[inv no]])</f>
        <v>IC-S19RH 900839</v>
      </c>
      <c r="S1182" s="86">
        <f>_xlfn.XLOOKUP(表格1[[#This Row],[Model]],表格3[Model-Input-Ref2],表格3[SRP PRICE])</f>
        <v>638</v>
      </c>
      <c r="T1182" s="43">
        <f>表格1[[#This Row],[Unit Price]]/表格1[[#This Row],[SRP]]</f>
        <v>0.65517241379310343</v>
      </c>
      <c r="U1182" s="86" t="str">
        <f>_xlfn.XLOOKUP(表格1[[#This Row],[Model]],表格3[Model-Input-Ref2],表格3[TOSHIBA/HIGHEST])</f>
        <v>Toshiba SRP</v>
      </c>
      <c r="V1182" s="86" t="s">
        <v>1126</v>
      </c>
      <c r="W1182" s="86" t="str">
        <f>_xlfn.CONCAT(表格1[[#This Row],[欄4]],表格1[[#This Row],[inv no]])</f>
        <v>DA141900839</v>
      </c>
    </row>
    <row r="1183" spans="1:23" hidden="1">
      <c r="A1183" s="81">
        <v>1181</v>
      </c>
      <c r="B1183" s="81" t="s">
        <v>1477</v>
      </c>
      <c r="C1183" s="81" t="s">
        <v>1478</v>
      </c>
      <c r="D1183" s="82" t="str">
        <f ca="1">OFFSET(Roster!$A$3,MATCH(表格1[[#This Row],[Location]]&amp;" "&amp;表格1[[#This Row],[Shop]]&amp;"*",Roster!$A$4:$A$72,0),DAY(表格1[[#This Row],[date]]),1,1)</f>
        <v>Vicky L</v>
      </c>
      <c r="E1183" s="81">
        <f>MONTH(表格1[[#This Row],[date]])</f>
        <v>3</v>
      </c>
      <c r="F1183" s="101">
        <v>46083</v>
      </c>
      <c r="G1183" s="81" t="str">
        <f>VLOOKUP("*"&amp;表格1[[#This Row],[Input]]&amp;"*",'Ref-List'!$B:$D,2,)</f>
        <v>IC-S19RH</v>
      </c>
      <c r="H1183" s="81" t="str">
        <f>_xlfn.XLOOKUP(表格1[[#This Row],[Model]],表格3[Model-Input-Ref2],表格3[Product Line])</f>
        <v>輕便式電磁爐7個功能</v>
      </c>
      <c r="I1183" s="81" t="str">
        <f>_xlfn.XLOOKUP(表格1[[#This Row],[Model]],表格3[Model-Input-Ref2],表格3[大小電])</f>
        <v>細電</v>
      </c>
      <c r="J1183" s="81" t="str">
        <f>_xlfn.XLOOKUP(表格1[[#This Row],[Model]],表格3[Model-Input-Ref2],表格3[Code])</f>
        <v>SDA</v>
      </c>
      <c r="K1183" s="89" t="s">
        <v>1289</v>
      </c>
      <c r="L1183" s="81">
        <v>1</v>
      </c>
      <c r="M1183" s="87">
        <v>418</v>
      </c>
      <c r="N1183" s="85">
        <f>IFERROR(表格1[[#This Row],[QTY]]*表格1[[#This Row],[Unit Price]],"-")</f>
        <v>418</v>
      </c>
      <c r="O1183" s="86">
        <v>814641</v>
      </c>
      <c r="R1183" s="86" t="str">
        <f>_xlfn.CONCAT(表格1[[#This Row],[Model]]," ",表格1[[#This Row],[inv no]])</f>
        <v>IC-S19RH 814641</v>
      </c>
      <c r="S1183" s="86">
        <f>_xlfn.XLOOKUP(表格1[[#This Row],[Model]],表格3[Model-Input-Ref2],表格3[SRP PRICE])</f>
        <v>638</v>
      </c>
      <c r="T1183" s="43">
        <f>表格1[[#This Row],[Unit Price]]/表格1[[#This Row],[SRP]]</f>
        <v>0.65517241379310343</v>
      </c>
      <c r="U1183" s="86" t="str">
        <f>_xlfn.XLOOKUP(表格1[[#This Row],[Model]],表格3[Model-Input-Ref2],表格3[TOSHIBA/HIGHEST])</f>
        <v>Toshiba SRP</v>
      </c>
      <c r="V1183" s="86" t="s">
        <v>1126</v>
      </c>
      <c r="W1183" s="86" t="str">
        <f>_xlfn.CONCAT(表格1[[#This Row],[欄4]],表格1[[#This Row],[inv no]])</f>
        <v>DA141814641</v>
      </c>
    </row>
    <row r="1184" spans="1:23" hidden="1">
      <c r="A1184" s="81">
        <v>1182</v>
      </c>
      <c r="B1184" s="81" t="s">
        <v>1477</v>
      </c>
      <c r="C1184" s="81" t="s">
        <v>1478</v>
      </c>
      <c r="D1184" s="82" t="str">
        <f ca="1">OFFSET(Roster!$A$3,MATCH(表格1[[#This Row],[Location]]&amp;" "&amp;表格1[[#This Row],[Shop]]&amp;"*",Roster!$A$4:$A$72,0),DAY(表格1[[#This Row],[date]]),1,1)</f>
        <v>Vicky L</v>
      </c>
      <c r="E1184" s="81">
        <f>MONTH(表格1[[#This Row],[date]])</f>
        <v>3</v>
      </c>
      <c r="F1184" s="101">
        <v>46085</v>
      </c>
      <c r="G1184" s="81" t="str">
        <f>VLOOKUP("*"&amp;表格1[[#This Row],[Input]]&amp;"*",'Ref-List'!$B:$D,2,)</f>
        <v>IC-S19RH</v>
      </c>
      <c r="H1184" s="81" t="str">
        <f>_xlfn.XLOOKUP(表格1[[#This Row],[Model]],表格3[Model-Input-Ref2],表格3[Product Line])</f>
        <v>輕便式電磁爐7個功能</v>
      </c>
      <c r="I1184" s="81" t="str">
        <f>_xlfn.XLOOKUP(表格1[[#This Row],[Model]],表格3[Model-Input-Ref2],表格3[大小電])</f>
        <v>細電</v>
      </c>
      <c r="J1184" s="81" t="str">
        <f>_xlfn.XLOOKUP(表格1[[#This Row],[Model]],表格3[Model-Input-Ref2],表格3[Code])</f>
        <v>SDA</v>
      </c>
      <c r="K1184" s="89" t="s">
        <v>1408</v>
      </c>
      <c r="L1184" s="81">
        <v>1</v>
      </c>
      <c r="M1184" s="87">
        <v>418</v>
      </c>
      <c r="N1184" s="85">
        <f>IFERROR(表格1[[#This Row],[QTY]]*表格1[[#This Row],[Unit Price]],"-")</f>
        <v>418</v>
      </c>
      <c r="O1184" s="86">
        <v>814886</v>
      </c>
      <c r="R1184" s="86" t="str">
        <f>_xlfn.CONCAT(表格1[[#This Row],[Model]]," ",表格1[[#This Row],[inv no]])</f>
        <v>IC-S19RH 814886</v>
      </c>
      <c r="S1184" s="86">
        <f>_xlfn.XLOOKUP(表格1[[#This Row],[Model]],表格3[Model-Input-Ref2],表格3[SRP PRICE])</f>
        <v>638</v>
      </c>
      <c r="T1184" s="43">
        <f>表格1[[#This Row],[Unit Price]]/表格1[[#This Row],[SRP]]</f>
        <v>0.65517241379310343</v>
      </c>
      <c r="U1184" s="86" t="str">
        <f>_xlfn.XLOOKUP(表格1[[#This Row],[Model]],表格3[Model-Input-Ref2],表格3[TOSHIBA/HIGHEST])</f>
        <v>Toshiba SRP</v>
      </c>
      <c r="V1184" s="86" t="s">
        <v>1126</v>
      </c>
      <c r="W1184" s="86" t="str">
        <f>_xlfn.CONCAT(表格1[[#This Row],[欄4]],表格1[[#This Row],[inv no]])</f>
        <v>DA141814886</v>
      </c>
    </row>
    <row r="1185" spans="1:23" hidden="1">
      <c r="A1185" s="81">
        <v>1183</v>
      </c>
      <c r="B1185" s="81" t="s">
        <v>1477</v>
      </c>
      <c r="C1185" s="81" t="s">
        <v>1478</v>
      </c>
      <c r="D1185" s="82" t="str">
        <f ca="1">OFFSET(Roster!$A$3,MATCH(表格1[[#This Row],[Location]]&amp;" "&amp;表格1[[#This Row],[Shop]]&amp;"*",Roster!$A$4:$A$72,0),DAY(表格1[[#This Row],[date]]),1,1)</f>
        <v>Vicky L</v>
      </c>
      <c r="E1185" s="81">
        <f>MONTH(表格1[[#This Row],[date]])</f>
        <v>3</v>
      </c>
      <c r="F1185" s="101">
        <v>46085</v>
      </c>
      <c r="G1185" s="81" t="str">
        <f>VLOOKUP("*"&amp;表格1[[#This Row],[Input]]&amp;"*",'Ref-List'!$B:$D,2,)</f>
        <v>IC-S19RH</v>
      </c>
      <c r="H1185" s="81" t="str">
        <f>_xlfn.XLOOKUP(表格1[[#This Row],[Model]],表格3[Model-Input-Ref2],表格3[Product Line])</f>
        <v>輕便式電磁爐7個功能</v>
      </c>
      <c r="I1185" s="81" t="str">
        <f>_xlfn.XLOOKUP(表格1[[#This Row],[Model]],表格3[Model-Input-Ref2],表格3[大小電])</f>
        <v>細電</v>
      </c>
      <c r="J1185" s="81" t="str">
        <f>_xlfn.XLOOKUP(表格1[[#This Row],[Model]],表格3[Model-Input-Ref2],表格3[Code])</f>
        <v>SDA</v>
      </c>
      <c r="K1185" s="89" t="s">
        <v>1408</v>
      </c>
      <c r="L1185" s="81">
        <v>1</v>
      </c>
      <c r="M1185" s="87">
        <v>418</v>
      </c>
      <c r="N1185" s="85">
        <f>IFERROR(表格1[[#This Row],[QTY]]*表格1[[#This Row],[Unit Price]],"-")</f>
        <v>418</v>
      </c>
      <c r="O1185" s="142">
        <v>815357</v>
      </c>
      <c r="R1185" s="86" t="str">
        <f>_xlfn.CONCAT(表格1[[#This Row],[Model]]," ",表格1[[#This Row],[inv no]])</f>
        <v>IC-S19RH 815357</v>
      </c>
      <c r="S1185" s="86">
        <f>_xlfn.XLOOKUP(表格1[[#This Row],[Model]],表格3[Model-Input-Ref2],表格3[SRP PRICE])</f>
        <v>638</v>
      </c>
      <c r="T1185" s="43">
        <f>表格1[[#This Row],[Unit Price]]/表格1[[#This Row],[SRP]]</f>
        <v>0.65517241379310343</v>
      </c>
      <c r="U1185" s="86" t="str">
        <f>_xlfn.XLOOKUP(表格1[[#This Row],[Model]],表格3[Model-Input-Ref2],表格3[TOSHIBA/HIGHEST])</f>
        <v>Toshiba SRP</v>
      </c>
      <c r="V1185" s="86" t="s">
        <v>1126</v>
      </c>
      <c r="W1185" s="86" t="str">
        <f>_xlfn.CONCAT(表格1[[#This Row],[欄4]],表格1[[#This Row],[inv no]])</f>
        <v>DA141815357</v>
      </c>
    </row>
    <row r="1186" spans="1:23" hidden="1">
      <c r="A1186" s="81">
        <v>1184</v>
      </c>
      <c r="B1186" s="81" t="s">
        <v>1477</v>
      </c>
      <c r="C1186" s="81" t="s">
        <v>1478</v>
      </c>
      <c r="D1186" s="82" t="str">
        <f ca="1">OFFSET(Roster!$A$3,MATCH(表格1[[#This Row],[Location]]&amp;" "&amp;表格1[[#This Row],[Shop]]&amp;"*",Roster!$A$4:$A$72,0),DAY(表格1[[#This Row],[date]]),1,1)</f>
        <v>Vicky L off</v>
      </c>
      <c r="E1186" s="81">
        <f>MONTH(表格1[[#This Row],[date]])</f>
        <v>3</v>
      </c>
      <c r="F1186" s="101">
        <v>46090</v>
      </c>
      <c r="G1186" s="81" t="str">
        <f>VLOOKUP("*"&amp;表格1[[#This Row],[Input]]&amp;"*",'Ref-List'!$B:$D,2,)</f>
        <v>IC-S19RH</v>
      </c>
      <c r="H1186" s="81" t="str">
        <f>_xlfn.XLOOKUP(表格1[[#This Row],[Model]],表格3[Model-Input-Ref2],表格3[Product Line])</f>
        <v>輕便式電磁爐7個功能</v>
      </c>
      <c r="I1186" s="81" t="str">
        <f>_xlfn.XLOOKUP(表格1[[#This Row],[Model]],表格3[Model-Input-Ref2],表格3[大小電])</f>
        <v>細電</v>
      </c>
      <c r="J1186" s="81" t="str">
        <f>_xlfn.XLOOKUP(表格1[[#This Row],[Model]],表格3[Model-Input-Ref2],表格3[Code])</f>
        <v>SDA</v>
      </c>
      <c r="K1186" s="89" t="s">
        <v>1408</v>
      </c>
      <c r="L1186" s="81">
        <v>1</v>
      </c>
      <c r="M1186" s="87">
        <v>418</v>
      </c>
      <c r="N1186" s="85">
        <f>IFERROR(表格1[[#This Row],[QTY]]*表格1[[#This Row],[Unit Price]],"-")</f>
        <v>418</v>
      </c>
      <c r="O1186" s="86">
        <v>815444</v>
      </c>
      <c r="R1186" s="86" t="str">
        <f>_xlfn.CONCAT(表格1[[#This Row],[Model]]," ",表格1[[#This Row],[inv no]])</f>
        <v>IC-S19RH 815444</v>
      </c>
      <c r="S1186" s="86">
        <f>_xlfn.XLOOKUP(表格1[[#This Row],[Model]],表格3[Model-Input-Ref2],表格3[SRP PRICE])</f>
        <v>638</v>
      </c>
      <c r="T1186" s="43">
        <f>表格1[[#This Row],[Unit Price]]/表格1[[#This Row],[SRP]]</f>
        <v>0.65517241379310343</v>
      </c>
      <c r="U1186" s="86" t="str">
        <f>_xlfn.XLOOKUP(表格1[[#This Row],[Model]],表格3[Model-Input-Ref2],表格3[TOSHIBA/HIGHEST])</f>
        <v>Toshiba SRP</v>
      </c>
      <c r="V1186" s="86" t="s">
        <v>1126</v>
      </c>
      <c r="W1186" s="86" t="str">
        <f>_xlfn.CONCAT(表格1[[#This Row],[欄4]],表格1[[#This Row],[inv no]])</f>
        <v>DA141815444</v>
      </c>
    </row>
    <row r="1187" spans="1:23" hidden="1">
      <c r="A1187" s="81">
        <v>1185</v>
      </c>
      <c r="B1187" s="81" t="s">
        <v>1477</v>
      </c>
      <c r="C1187" s="81" t="s">
        <v>1478</v>
      </c>
      <c r="D1187" s="82" t="str">
        <f ca="1">OFFSET(Roster!$A$3,MATCH(表格1[[#This Row],[Location]]&amp;" "&amp;表格1[[#This Row],[Shop]]&amp;"*",Roster!$A$4:$A$72,0),DAY(表格1[[#This Row],[date]]),1,1)</f>
        <v>Vicky L</v>
      </c>
      <c r="E1187" s="81">
        <f>MONTH(表格1[[#This Row],[date]])</f>
        <v>3</v>
      </c>
      <c r="F1187" s="101">
        <v>46087</v>
      </c>
      <c r="G1187" s="81" t="str">
        <f>VLOOKUP("*"&amp;表格1[[#This Row],[Input]]&amp;"*",'Ref-List'!$B:$D,2,)</f>
        <v>AW-DQ950FPH(WW)</v>
      </c>
      <c r="H1187" s="81" t="str">
        <f>_xlfn.XLOOKUP(表格1[[#This Row],[Model]],表格3[Model-Input-Ref2],表格3[Product Line])</f>
        <v>變頻日式洗衣機 (8.5公斤 結合高低水位)</v>
      </c>
      <c r="I1187" s="81" t="str">
        <f>_xlfn.XLOOKUP(表格1[[#This Row],[Model]],表格3[Model-Input-Ref2],表格3[大小電])</f>
        <v>大電</v>
      </c>
      <c r="J1187" s="81" t="str">
        <f>_xlfn.XLOOKUP(表格1[[#This Row],[Model]],表格3[Model-Input-Ref2],表格3[Code])</f>
        <v>LAD</v>
      </c>
      <c r="K1187" s="89" t="s">
        <v>1493</v>
      </c>
      <c r="L1187" s="81">
        <v>1</v>
      </c>
      <c r="M1187" s="87">
        <v>2580</v>
      </c>
      <c r="N1187" s="85">
        <f>IFERROR(表格1[[#This Row],[QTY]]*表格1[[#This Row],[Unit Price]],"-")</f>
        <v>2580</v>
      </c>
      <c r="O1187" s="86">
        <v>814986</v>
      </c>
      <c r="R1187" s="86" t="str">
        <f>_xlfn.CONCAT(表格1[[#This Row],[Model]]," ",表格1[[#This Row],[inv no]])</f>
        <v>AW-DQ950FPH(WW) 814986</v>
      </c>
      <c r="S1187" s="86">
        <f>_xlfn.XLOOKUP(表格1[[#This Row],[Model]],表格3[Model-Input-Ref2],表格3[SRP PRICE])</f>
        <v>3980</v>
      </c>
      <c r="T1187" s="43">
        <f>表格1[[#This Row],[Unit Price]]/表格1[[#This Row],[SRP]]</f>
        <v>0.64824120603015079</v>
      </c>
      <c r="U1187" s="86" t="str">
        <f>_xlfn.XLOOKUP(表格1[[#This Row],[Model]],表格3[Model-Input-Ref2],表格3[TOSHIBA/HIGHEST])</f>
        <v>Toshiba SRP</v>
      </c>
      <c r="V1187" s="86" t="s">
        <v>1126</v>
      </c>
      <c r="W1187" s="86" t="str">
        <f>_xlfn.CONCAT(表格1[[#This Row],[欄4]],表格1[[#This Row],[inv no]])</f>
        <v>DA141814986</v>
      </c>
    </row>
    <row r="1188" spans="1:23" hidden="1">
      <c r="A1188" s="81">
        <v>1186</v>
      </c>
      <c r="B1188" s="81" t="s">
        <v>1477</v>
      </c>
      <c r="C1188" s="81" t="s">
        <v>1478</v>
      </c>
      <c r="D1188" s="82" t="str">
        <f ca="1">OFFSET(Roster!$A$3,MATCH(表格1[[#This Row],[Location]]&amp;" "&amp;表格1[[#This Row],[Shop]]&amp;"*",Roster!$A$4:$A$72,0),DAY(表格1[[#This Row],[date]]),1,1)</f>
        <v>Vicky L</v>
      </c>
      <c r="E1188" s="81">
        <f>MONTH(表格1[[#This Row],[date]])</f>
        <v>3</v>
      </c>
      <c r="F1188" s="101">
        <v>46088</v>
      </c>
      <c r="G1188" s="81" t="str">
        <f>VLOOKUP("*"&amp;表格1[[#This Row],[Input]]&amp;"*",'Ref-List'!$B:$D,2,)</f>
        <v>AW-DQ950FPH(WW)</v>
      </c>
      <c r="H1188" s="81" t="str">
        <f>_xlfn.XLOOKUP(表格1[[#This Row],[Model]],表格3[Model-Input-Ref2],表格3[Product Line])</f>
        <v>變頻日式洗衣機 (8.5公斤 結合高低水位)</v>
      </c>
      <c r="I1188" s="81" t="str">
        <f>_xlfn.XLOOKUP(表格1[[#This Row],[Model]],表格3[Model-Input-Ref2],表格3[大小電])</f>
        <v>大電</v>
      </c>
      <c r="J1188" s="81" t="str">
        <f>_xlfn.XLOOKUP(表格1[[#This Row],[Model]],表格3[Model-Input-Ref2],表格3[Code])</f>
        <v>LAD</v>
      </c>
      <c r="K1188" s="89" t="s">
        <v>1493</v>
      </c>
      <c r="L1188" s="81">
        <v>1</v>
      </c>
      <c r="M1188" s="87">
        <v>2580</v>
      </c>
      <c r="N1188" s="85">
        <f>IFERROR(表格1[[#This Row],[QTY]]*表格1[[#This Row],[Unit Price]],"-")</f>
        <v>2580</v>
      </c>
      <c r="O1188" s="86">
        <v>815169</v>
      </c>
      <c r="R1188" s="86" t="str">
        <f>_xlfn.CONCAT(表格1[[#This Row],[Model]]," ",表格1[[#This Row],[inv no]])</f>
        <v>AW-DQ950FPH(WW) 815169</v>
      </c>
      <c r="S1188" s="86">
        <f>_xlfn.XLOOKUP(表格1[[#This Row],[Model]],表格3[Model-Input-Ref2],表格3[SRP PRICE])</f>
        <v>3980</v>
      </c>
      <c r="T1188" s="43">
        <f>表格1[[#This Row],[Unit Price]]/表格1[[#This Row],[SRP]]</f>
        <v>0.64824120603015079</v>
      </c>
      <c r="U1188" s="86" t="str">
        <f>_xlfn.XLOOKUP(表格1[[#This Row],[Model]],表格3[Model-Input-Ref2],表格3[TOSHIBA/HIGHEST])</f>
        <v>Toshiba SRP</v>
      </c>
      <c r="V1188" s="86" t="s">
        <v>1126</v>
      </c>
      <c r="W1188" s="86" t="str">
        <f>_xlfn.CONCAT(表格1[[#This Row],[欄4]],表格1[[#This Row],[inv no]])</f>
        <v>DA141815169</v>
      </c>
    </row>
    <row r="1189" spans="1:23" ht="16.5" hidden="1">
      <c r="A1189" s="81">
        <v>1187</v>
      </c>
      <c r="B1189" s="81" t="s">
        <v>1477</v>
      </c>
      <c r="C1189" s="81" t="s">
        <v>1478</v>
      </c>
      <c r="D1189" s="82" t="str">
        <f ca="1">OFFSET(Roster!$A$3,MATCH(表格1[[#This Row],[Location]]&amp;" "&amp;表格1[[#This Row],[Shop]]&amp;"*",Roster!$A$4:$A$72,0),DAY(表格1[[#This Row],[date]]),1,1)</f>
        <v>Vicky L</v>
      </c>
      <c r="E1189" s="81">
        <f>MONTH(表格1[[#This Row],[date]])</f>
        <v>3</v>
      </c>
      <c r="F1189" s="101">
        <v>46088</v>
      </c>
      <c r="G1189" s="81" t="str">
        <f>VLOOKUP("*"&amp;表格1[[#This Row],[Input]]&amp;"*",'Ref-List'!$B:$D,2,)</f>
        <v>GR-RT300WE-PMA(57)</v>
      </c>
      <c r="H1189" s="81" t="str">
        <f>_xlfn.XLOOKUP(表格1[[#This Row],[Model]],表格3[Model-Input-Ref2],表格3[Product Line])</f>
        <v>變頻式環保雙門雪櫃(233L)</v>
      </c>
      <c r="I1189" s="81" t="str">
        <f>_xlfn.XLOOKUP(表格1[[#This Row],[Model]],表格3[Model-Input-Ref2],表格3[大小電])</f>
        <v>大電</v>
      </c>
      <c r="J1189" s="81" t="str">
        <f>_xlfn.XLOOKUP(表格1[[#This Row],[Model]],表格3[Model-Input-Ref2],表格3[Code])</f>
        <v>REF</v>
      </c>
      <c r="K1189" s="89" t="s">
        <v>1462</v>
      </c>
      <c r="L1189" s="81">
        <v>1</v>
      </c>
      <c r="M1189" s="87">
        <v>2780</v>
      </c>
      <c r="N1189" s="85">
        <f>IFERROR(表格1[[#This Row],[QTY]]*表格1[[#This Row],[Unit Price]],"-")</f>
        <v>2780</v>
      </c>
      <c r="O1189" s="142">
        <v>815069</v>
      </c>
      <c r="P1189" s="141"/>
      <c r="R1189" s="86" t="str">
        <f>_xlfn.CONCAT(表格1[[#This Row],[Model]]," ",表格1[[#This Row],[inv no]])</f>
        <v>GR-RT300WE-PMA(57) 815069</v>
      </c>
      <c r="S1189" s="86">
        <f>_xlfn.XLOOKUP(表格1[[#This Row],[Model]],表格3[Model-Input-Ref2],表格3[SRP PRICE])</f>
        <v>4280</v>
      </c>
      <c r="T1189" s="43">
        <f>表格1[[#This Row],[Unit Price]]/表格1[[#This Row],[SRP]]</f>
        <v>0.64953271028037385</v>
      </c>
      <c r="U1189" s="86" t="str">
        <f>_xlfn.XLOOKUP(表格1[[#This Row],[Model]],表格3[Model-Input-Ref2],表格3[TOSHIBA/HIGHEST])</f>
        <v>Toshiba SRP</v>
      </c>
      <c r="V1189" s="86" t="s">
        <v>1126</v>
      </c>
      <c r="W1189" s="86" t="str">
        <f>_xlfn.CONCAT(表格1[[#This Row],[欄4]],表格1[[#This Row],[inv no]])</f>
        <v>DA141815069</v>
      </c>
    </row>
    <row r="1190" spans="1:23" hidden="1">
      <c r="A1190" s="81">
        <v>1188</v>
      </c>
      <c r="B1190" s="81" t="s">
        <v>1477</v>
      </c>
      <c r="C1190" s="81" t="s">
        <v>1478</v>
      </c>
      <c r="D1190" s="82" t="str">
        <f ca="1">OFFSET(Roster!$A$3,MATCH(表格1[[#This Row],[Location]]&amp;" "&amp;表格1[[#This Row],[Shop]]&amp;"*",Roster!$A$4:$A$72,0),DAY(表格1[[#This Row],[date]]),1,1)</f>
        <v>Vicky L</v>
      </c>
      <c r="E1190" s="81">
        <f>MONTH(表格1[[#This Row],[date]])</f>
        <v>3</v>
      </c>
      <c r="F1190" s="101">
        <v>46088</v>
      </c>
      <c r="G1190" s="81" t="str">
        <f>VLOOKUP("*"&amp;表格1[[#This Row],[Input]]&amp;"*",'Ref-List'!$B:$D,2,)</f>
        <v>RAD-D300H</v>
      </c>
      <c r="H1190" s="81" t="str">
        <f>_xlfn.XLOOKUP(表格1[[#This Row],[Model]],表格3[Model-Input-Ref2],表格3[Product Line])</f>
        <v>壓縮式抽濕機 (30公升)</v>
      </c>
      <c r="I1190" s="81" t="str">
        <f>_xlfn.XLOOKUP(表格1[[#This Row],[Model]],表格3[Model-Input-Ref2],表格3[大小電])</f>
        <v>細電</v>
      </c>
      <c r="J1190" s="81" t="str">
        <f>_xlfn.XLOOKUP(表格1[[#This Row],[Model]],表格3[Model-Input-Ref2],表格3[Code])</f>
        <v>RAC</v>
      </c>
      <c r="K1190" s="89" t="s">
        <v>1252</v>
      </c>
      <c r="L1190" s="81">
        <v>1</v>
      </c>
      <c r="M1190" s="87">
        <v>2280</v>
      </c>
      <c r="N1190" s="85">
        <f>IFERROR(表格1[[#This Row],[QTY]]*表格1[[#This Row],[Unit Price]],"-")</f>
        <v>2280</v>
      </c>
      <c r="O1190" s="142">
        <v>815133</v>
      </c>
      <c r="R1190" s="86" t="str">
        <f>_xlfn.CONCAT(表格1[[#This Row],[Model]]," ",表格1[[#This Row],[inv no]])</f>
        <v>RAD-D300H 815133</v>
      </c>
      <c r="S1190" s="86">
        <f>_xlfn.XLOOKUP(表格1[[#This Row],[Model]],表格3[Model-Input-Ref2],表格3[SRP PRICE])</f>
        <v>3380</v>
      </c>
      <c r="T1190" s="43">
        <f>表格1[[#This Row],[Unit Price]]/表格1[[#This Row],[SRP]]</f>
        <v>0.67455621301775148</v>
      </c>
      <c r="U1190" s="86" t="str">
        <f>_xlfn.XLOOKUP(表格1[[#This Row],[Model]],表格3[Model-Input-Ref2],表格3[TOSHIBA/HIGHEST])</f>
        <v>Shops Highest Price</v>
      </c>
      <c r="V1190" s="86" t="s">
        <v>1126</v>
      </c>
      <c r="W1190" s="86" t="str">
        <f>_xlfn.CONCAT(表格1[[#This Row],[欄4]],表格1[[#This Row],[inv no]])</f>
        <v>DA141815133</v>
      </c>
    </row>
    <row r="1191" spans="1:23" hidden="1">
      <c r="A1191" s="81">
        <v>1189</v>
      </c>
      <c r="B1191" s="81" t="s">
        <v>1477</v>
      </c>
      <c r="C1191" s="81" t="s">
        <v>1478</v>
      </c>
      <c r="D1191" s="82" t="str">
        <f ca="1">OFFSET(Roster!$A$3,MATCH(表格1[[#This Row],[Location]]&amp;" "&amp;表格1[[#This Row],[Shop]]&amp;"*",Roster!$A$4:$A$72,0),DAY(表格1[[#This Row],[date]]),1,1)</f>
        <v>Vicky L</v>
      </c>
      <c r="E1191" s="81">
        <f>MONTH(表格1[[#This Row],[date]])</f>
        <v>3</v>
      </c>
      <c r="F1191" s="101">
        <v>46088</v>
      </c>
      <c r="G1191" s="81" t="str">
        <f>VLOOKUP("*"&amp;表格1[[#This Row],[Input]]&amp;"*",'Ref-List'!$B:$D,2,)</f>
        <v>RAD-D300H</v>
      </c>
      <c r="H1191" s="81" t="str">
        <f>_xlfn.XLOOKUP(表格1[[#This Row],[Model]],表格3[Model-Input-Ref2],表格3[Product Line])</f>
        <v>壓縮式抽濕機 (30公升)</v>
      </c>
      <c r="I1191" s="81" t="str">
        <f>_xlfn.XLOOKUP(表格1[[#This Row],[Model]],表格3[Model-Input-Ref2],表格3[大小電])</f>
        <v>細電</v>
      </c>
      <c r="J1191" s="81" t="str">
        <f>_xlfn.XLOOKUP(表格1[[#This Row],[Model]],表格3[Model-Input-Ref2],表格3[Code])</f>
        <v>RAC</v>
      </c>
      <c r="K1191" s="89" t="s">
        <v>1252</v>
      </c>
      <c r="L1191" s="81">
        <v>1</v>
      </c>
      <c r="M1191" s="87">
        <v>2280</v>
      </c>
      <c r="N1191" s="85">
        <f>IFERROR(表格1[[#This Row],[QTY]]*表格1[[#This Row],[Unit Price]],"-")</f>
        <v>2280</v>
      </c>
      <c r="O1191" s="86">
        <v>815152</v>
      </c>
      <c r="R1191" s="86" t="str">
        <f>_xlfn.CONCAT(表格1[[#This Row],[Model]]," ",表格1[[#This Row],[inv no]])</f>
        <v>RAD-D300H 815152</v>
      </c>
      <c r="S1191" s="86">
        <f>_xlfn.XLOOKUP(表格1[[#This Row],[Model]],表格3[Model-Input-Ref2],表格3[SRP PRICE])</f>
        <v>3380</v>
      </c>
      <c r="T1191" s="43">
        <f>表格1[[#This Row],[Unit Price]]/表格1[[#This Row],[SRP]]</f>
        <v>0.67455621301775148</v>
      </c>
      <c r="U1191" s="86" t="str">
        <f>_xlfn.XLOOKUP(表格1[[#This Row],[Model]],表格3[Model-Input-Ref2],表格3[TOSHIBA/HIGHEST])</f>
        <v>Shops Highest Price</v>
      </c>
      <c r="V1191" s="86" t="s">
        <v>1126</v>
      </c>
      <c r="W1191" s="86" t="str">
        <f>_xlfn.CONCAT(表格1[[#This Row],[欄4]],表格1[[#This Row],[inv no]])</f>
        <v>DA141815152</v>
      </c>
    </row>
    <row r="1192" spans="1:23" hidden="1">
      <c r="A1192" s="81">
        <v>1190</v>
      </c>
      <c r="B1192" s="81" t="s">
        <v>1477</v>
      </c>
      <c r="C1192" s="81" t="s">
        <v>1478</v>
      </c>
      <c r="D1192" s="82" t="str">
        <f ca="1">OFFSET(Roster!$A$3,MATCH(表格1[[#This Row],[Location]]&amp;" "&amp;表格1[[#This Row],[Shop]]&amp;"*",Roster!$A$4:$A$72,0),DAY(表格1[[#This Row],[date]]),1,1)</f>
        <v>Vicky L</v>
      </c>
      <c r="E1192" s="81">
        <f>MONTH(表格1[[#This Row],[date]])</f>
        <v>3</v>
      </c>
      <c r="F1192" s="101">
        <v>46088</v>
      </c>
      <c r="G1192" s="81" t="str">
        <f>VLOOKUP("*"&amp;表格1[[#This Row],[Input]]&amp;"*",'Ref-List'!$B:$D,2,)</f>
        <v>RAD-D300H</v>
      </c>
      <c r="H1192" s="81" t="str">
        <f>_xlfn.XLOOKUP(表格1[[#This Row],[Model]],表格3[Model-Input-Ref2],表格3[Product Line])</f>
        <v>壓縮式抽濕機 (30公升)</v>
      </c>
      <c r="I1192" s="81" t="str">
        <f>_xlfn.XLOOKUP(表格1[[#This Row],[Model]],表格3[Model-Input-Ref2],表格3[大小電])</f>
        <v>細電</v>
      </c>
      <c r="J1192" s="81" t="str">
        <f>_xlfn.XLOOKUP(表格1[[#This Row],[Model]],表格3[Model-Input-Ref2],表格3[Code])</f>
        <v>RAC</v>
      </c>
      <c r="K1192" s="89" t="s">
        <v>1252</v>
      </c>
      <c r="L1192" s="81">
        <v>1</v>
      </c>
      <c r="M1192" s="87">
        <v>2280</v>
      </c>
      <c r="N1192" s="85">
        <f>IFERROR(表格1[[#This Row],[QTY]]*表格1[[#This Row],[Unit Price]],"-")</f>
        <v>2280</v>
      </c>
      <c r="O1192" s="86">
        <v>815162</v>
      </c>
      <c r="R1192" s="86" t="str">
        <f>_xlfn.CONCAT(表格1[[#This Row],[Model]]," ",表格1[[#This Row],[inv no]])</f>
        <v>RAD-D300H 815162</v>
      </c>
      <c r="S1192" s="86">
        <f>_xlfn.XLOOKUP(表格1[[#This Row],[Model]],表格3[Model-Input-Ref2],表格3[SRP PRICE])</f>
        <v>3380</v>
      </c>
      <c r="T1192" s="43">
        <f>表格1[[#This Row],[Unit Price]]/表格1[[#This Row],[SRP]]</f>
        <v>0.67455621301775148</v>
      </c>
      <c r="U1192" s="86" t="str">
        <f>_xlfn.XLOOKUP(表格1[[#This Row],[Model]],表格3[Model-Input-Ref2],表格3[TOSHIBA/HIGHEST])</f>
        <v>Shops Highest Price</v>
      </c>
      <c r="V1192" s="86" t="s">
        <v>1126</v>
      </c>
      <c r="W1192" s="86" t="str">
        <f>_xlfn.CONCAT(表格1[[#This Row],[欄4]],表格1[[#This Row],[inv no]])</f>
        <v>DA141815162</v>
      </c>
    </row>
    <row r="1193" spans="1:23" hidden="1">
      <c r="A1193" s="81">
        <v>1191</v>
      </c>
      <c r="B1193" s="81" t="s">
        <v>1477</v>
      </c>
      <c r="C1193" s="81" t="s">
        <v>1478</v>
      </c>
      <c r="D1193" s="82" t="str">
        <f ca="1">OFFSET(Roster!$A$3,MATCH(表格1[[#This Row],[Location]]&amp;" "&amp;表格1[[#This Row],[Shop]]&amp;"*",Roster!$A$4:$A$72,0),DAY(表格1[[#This Row],[date]]),1,1)</f>
        <v>Vicky L off</v>
      </c>
      <c r="E1193" s="81">
        <f>MONTH(表格1[[#This Row],[date]])</f>
        <v>3</v>
      </c>
      <c r="F1193" s="101">
        <v>46091</v>
      </c>
      <c r="G1193" s="81" t="str">
        <f>VLOOKUP("*"&amp;表格1[[#This Row],[Input]]&amp;"*",'Ref-List'!$B:$D,2,)</f>
        <v>Model-Input-Ref2</v>
      </c>
      <c r="H1193" s="81" t="e">
        <f>_xlfn.XLOOKUP(表格1[[#This Row],[Model]],表格3[Model-Input-Ref2],表格3[Product Line])</f>
        <v>#N/A</v>
      </c>
      <c r="I1193" s="81" t="e">
        <f>_xlfn.XLOOKUP(表格1[[#This Row],[Model]],表格3[Model-Input-Ref2],表格3[大小電])</f>
        <v>#N/A</v>
      </c>
      <c r="J1193" s="81" t="e">
        <f>_xlfn.XLOOKUP(表格1[[#This Row],[Model]],表格3[Model-Input-Ref2],表格3[Code])</f>
        <v>#N/A</v>
      </c>
      <c r="L1193" s="81"/>
      <c r="N1193" s="85">
        <f>IFERROR(表格1[[#This Row],[QTY]]*表格1[[#This Row],[Unit Price]],"-")</f>
        <v>0</v>
      </c>
      <c r="P1193" s="86" t="s">
        <v>1503</v>
      </c>
      <c r="R1193" s="86" t="str">
        <f>_xlfn.CONCAT(表格1[[#This Row],[Model]]," ",表格1[[#This Row],[inv no]])</f>
        <v xml:space="preserve">Model-Input-Ref2 </v>
      </c>
      <c r="S1193" s="86" t="e">
        <f>_xlfn.XLOOKUP(表格1[[#This Row],[Model]],表格3[Model-Input-Ref2],表格3[SRP PRICE])</f>
        <v>#N/A</v>
      </c>
      <c r="T1193" s="43" t="e">
        <f>表格1[[#This Row],[Unit Price]]/表格1[[#This Row],[SRP]]</f>
        <v>#N/A</v>
      </c>
      <c r="U1193" s="86" t="e">
        <f>_xlfn.XLOOKUP(表格1[[#This Row],[Model]],表格3[Model-Input-Ref2],表格3[TOSHIBA/HIGHEST])</f>
        <v>#N/A</v>
      </c>
      <c r="V1193" s="86" t="s">
        <v>1126</v>
      </c>
      <c r="W1193" s="86" t="str">
        <f>_xlfn.CONCAT(表格1[[#This Row],[欄4]],表格1[[#This Row],[inv no]])</f>
        <v>DA141</v>
      </c>
    </row>
    <row r="1194" spans="1:23" hidden="1">
      <c r="A1194" s="81">
        <v>1192</v>
      </c>
      <c r="B1194" s="81" t="s">
        <v>1477</v>
      </c>
      <c r="C1194" s="81" t="s">
        <v>1478</v>
      </c>
      <c r="D1194" s="82" t="str">
        <f ca="1">OFFSET(Roster!$A$3,MATCH(表格1[[#This Row],[Location]]&amp;" "&amp;表格1[[#This Row],[Shop]]&amp;"*",Roster!$A$4:$A$72,0),DAY(表格1[[#This Row],[date]]),1,1)</f>
        <v>Vicky L</v>
      </c>
      <c r="E1194" s="81">
        <f>MONTH(表格1[[#This Row],[date]])</f>
        <v>3</v>
      </c>
      <c r="F1194" s="101">
        <v>46087</v>
      </c>
      <c r="G1194" s="81" t="str">
        <f>VLOOKUP("*"&amp;表格1[[#This Row],[Input]]&amp;"*",'Ref-List'!$B:$D,2,)</f>
        <v>PLK-30FLIH(WT)</v>
      </c>
      <c r="H1194" s="81" t="str">
        <f>_xlfn.XLOOKUP(表格1[[#This Row],[Model]],表格3[Model-Input-Ref2],表格3[Product Line])</f>
        <v>電熱水瓶3L</v>
      </c>
      <c r="I1194" s="81" t="str">
        <f>_xlfn.XLOOKUP(表格1[[#This Row],[Model]],表格3[Model-Input-Ref2],表格3[大小電])</f>
        <v>細電</v>
      </c>
      <c r="J1194" s="81" t="str">
        <f>_xlfn.XLOOKUP(表格1[[#This Row],[Model]],表格3[Model-Input-Ref2],表格3[Code])</f>
        <v>SDA</v>
      </c>
      <c r="K1194" s="89" t="s">
        <v>1272</v>
      </c>
      <c r="L1194" s="81">
        <v>1</v>
      </c>
      <c r="M1194" s="87">
        <v>489</v>
      </c>
      <c r="N1194" s="85">
        <f>IFERROR(表格1[[#This Row],[QTY]]*表格1[[#This Row],[Unit Price]],"-")</f>
        <v>489</v>
      </c>
      <c r="O1194" s="86">
        <v>814997</v>
      </c>
      <c r="R1194" s="86" t="str">
        <f>_xlfn.CONCAT(表格1[[#This Row],[Model]]," ",表格1[[#This Row],[inv no]])</f>
        <v>PLK-30FLIH(WT) 814997</v>
      </c>
      <c r="S1194" s="86">
        <f>_xlfn.XLOOKUP(表格1[[#This Row],[Model]],表格3[Model-Input-Ref2],表格3[SRP PRICE])</f>
        <v>658</v>
      </c>
      <c r="T1194" s="43">
        <f>表格1[[#This Row],[Unit Price]]/表格1[[#This Row],[SRP]]</f>
        <v>0.74316109422492405</v>
      </c>
      <c r="U1194" s="86" t="str">
        <f>_xlfn.XLOOKUP(表格1[[#This Row],[Model]],表格3[Model-Input-Ref2],表格3[TOSHIBA/HIGHEST])</f>
        <v>Toshiba SRP</v>
      </c>
      <c r="V1194" s="86" t="s">
        <v>1126</v>
      </c>
      <c r="W1194" s="86" t="str">
        <f>_xlfn.CONCAT(表格1[[#This Row],[欄4]],表格1[[#This Row],[inv no]])</f>
        <v>DA141814997</v>
      </c>
    </row>
    <row r="1195" spans="1:23" hidden="1">
      <c r="A1195" s="81">
        <v>1193</v>
      </c>
      <c r="B1195" s="81" t="s">
        <v>1477</v>
      </c>
      <c r="C1195" s="81" t="s">
        <v>1478</v>
      </c>
      <c r="D1195" s="82" t="str">
        <f ca="1">OFFSET(Roster!$A$3,MATCH(表格1[[#This Row],[Location]]&amp;" "&amp;表格1[[#This Row],[Shop]]&amp;"*",Roster!$A$4:$A$72,0),DAY(表格1[[#This Row],[date]]),1,1)</f>
        <v>Vicky L</v>
      </c>
      <c r="E1195" s="81">
        <f>MONTH(表格1[[#This Row],[date]])</f>
        <v>3</v>
      </c>
      <c r="F1195" s="90">
        <v>46089</v>
      </c>
      <c r="G1195" s="81" t="str">
        <f>VLOOKUP("*"&amp;表格1[[#This Row],[Input]]&amp;"*",'Ref-List'!$B:$D,2,)</f>
        <v>PLK-30FLIH(WT)</v>
      </c>
      <c r="H1195" s="81" t="str">
        <f>_xlfn.XLOOKUP(表格1[[#This Row],[Model]],表格3[Model-Input-Ref2],表格3[Product Line])</f>
        <v>電熱水瓶3L</v>
      </c>
      <c r="I1195" s="81" t="str">
        <f>_xlfn.XLOOKUP(表格1[[#This Row],[Model]],表格3[Model-Input-Ref2],表格3[大小電])</f>
        <v>細電</v>
      </c>
      <c r="J1195" s="81" t="str">
        <f>_xlfn.XLOOKUP(表格1[[#This Row],[Model]],表格3[Model-Input-Ref2],表格3[Code])</f>
        <v>SDA</v>
      </c>
      <c r="K1195" s="89" t="s">
        <v>1272</v>
      </c>
      <c r="L1195" s="81">
        <v>1</v>
      </c>
      <c r="M1195" s="87">
        <v>489</v>
      </c>
      <c r="N1195" s="85">
        <f>IFERROR(表格1[[#This Row],[QTY]]*表格1[[#This Row],[Unit Price]],"-")</f>
        <v>489</v>
      </c>
      <c r="O1195" s="86">
        <v>815315</v>
      </c>
      <c r="R1195" s="86" t="str">
        <f>_xlfn.CONCAT(表格1[[#This Row],[Model]]," ",表格1[[#This Row],[inv no]])</f>
        <v>PLK-30FLIH(WT) 815315</v>
      </c>
      <c r="S1195" s="86">
        <f>_xlfn.XLOOKUP(表格1[[#This Row],[Model]],表格3[Model-Input-Ref2],表格3[SRP PRICE])</f>
        <v>658</v>
      </c>
      <c r="T1195" s="43">
        <f>表格1[[#This Row],[Unit Price]]/表格1[[#This Row],[SRP]]</f>
        <v>0.74316109422492405</v>
      </c>
      <c r="U1195" s="86" t="str">
        <f>_xlfn.XLOOKUP(表格1[[#This Row],[Model]],表格3[Model-Input-Ref2],表格3[TOSHIBA/HIGHEST])</f>
        <v>Toshiba SRP</v>
      </c>
      <c r="V1195" s="86" t="s">
        <v>1126</v>
      </c>
      <c r="W1195" s="86" t="str">
        <f>_xlfn.CONCAT(表格1[[#This Row],[欄4]],表格1[[#This Row],[inv no]])</f>
        <v>DA141815315</v>
      </c>
    </row>
    <row r="1196" spans="1:23" hidden="1">
      <c r="A1196" s="81">
        <v>1194</v>
      </c>
      <c r="B1196" s="81" t="s">
        <v>1477</v>
      </c>
      <c r="C1196" s="81" t="s">
        <v>1478</v>
      </c>
      <c r="D1196" s="82" t="str">
        <f ca="1">OFFSET(Roster!$A$3,MATCH(表格1[[#This Row],[Location]]&amp;" "&amp;表格1[[#This Row],[Shop]]&amp;"*",Roster!$A$4:$A$72,0),DAY(表格1[[#This Row],[date]]),1,1)</f>
        <v>Vicky L</v>
      </c>
      <c r="E1196" s="81">
        <f>MONTH(表格1[[#This Row],[date]])</f>
        <v>3</v>
      </c>
      <c r="F1196" s="90">
        <v>46082</v>
      </c>
      <c r="G1196" s="81" t="str">
        <f>VLOOKUP("*"&amp;表格1[[#This Row],[Input]]&amp;"*",'Ref-List'!$B:$D,2,)</f>
        <v>PLK-45SFIH(WT)</v>
      </c>
      <c r="H1196" s="81" t="str">
        <f>_xlfn.XLOOKUP(表格1[[#This Row],[Model]],表格3[Model-Input-Ref2],表格3[Product Line])</f>
        <v>電熱水瓶4.5L</v>
      </c>
      <c r="I1196" s="81" t="str">
        <f>_xlfn.XLOOKUP(表格1[[#This Row],[Model]],表格3[Model-Input-Ref2],表格3[大小電])</f>
        <v>細電</v>
      </c>
      <c r="J1196" s="81" t="str">
        <f>_xlfn.XLOOKUP(表格1[[#This Row],[Model]],表格3[Model-Input-Ref2],表格3[Code])</f>
        <v>SDA</v>
      </c>
      <c r="K1196" s="89" t="s">
        <v>1117</v>
      </c>
      <c r="L1196" s="81">
        <v>1</v>
      </c>
      <c r="M1196" s="87">
        <v>589</v>
      </c>
      <c r="N1196" s="85">
        <f>IFERROR(表格1[[#This Row],[QTY]]*表格1[[#This Row],[Unit Price]],"-")</f>
        <v>589</v>
      </c>
      <c r="O1196" s="86">
        <v>814459</v>
      </c>
      <c r="R1196" s="86" t="str">
        <f>_xlfn.CONCAT(表格1[[#This Row],[Model]]," ",表格1[[#This Row],[inv no]])</f>
        <v>PLK-45SFIH(WT) 814459</v>
      </c>
      <c r="S1196" s="86">
        <f>_xlfn.XLOOKUP(表格1[[#This Row],[Model]],表格3[Model-Input-Ref2],表格3[SRP PRICE])</f>
        <v>788</v>
      </c>
      <c r="T1196" s="43">
        <f>表格1[[#This Row],[Unit Price]]/表格1[[#This Row],[SRP]]</f>
        <v>0.7474619289340102</v>
      </c>
      <c r="U1196" s="86" t="str">
        <f>_xlfn.XLOOKUP(表格1[[#This Row],[Model]],表格3[Model-Input-Ref2],表格3[TOSHIBA/HIGHEST])</f>
        <v>Toshiba SRP</v>
      </c>
      <c r="V1196" s="86" t="s">
        <v>1126</v>
      </c>
      <c r="W1196" s="86" t="str">
        <f>_xlfn.CONCAT(表格1[[#This Row],[欄4]],表格1[[#This Row],[inv no]])</f>
        <v>DA141814459</v>
      </c>
    </row>
    <row r="1197" spans="1:23" hidden="1">
      <c r="A1197" s="81">
        <v>1195</v>
      </c>
      <c r="B1197" s="81" t="s">
        <v>1477</v>
      </c>
      <c r="C1197" s="81" t="s">
        <v>1478</v>
      </c>
      <c r="D1197" s="82" t="str">
        <f ca="1">OFFSET(Roster!$A$3,MATCH(表格1[[#This Row],[Location]]&amp;" "&amp;表格1[[#This Row],[Shop]]&amp;"*",Roster!$A$4:$A$72,0),DAY(表格1[[#This Row],[date]]),1,1)</f>
        <v>Vicky L</v>
      </c>
      <c r="E1197" s="81">
        <f>MONTH(表格1[[#This Row],[date]])</f>
        <v>3</v>
      </c>
      <c r="F1197" s="90">
        <v>46085</v>
      </c>
      <c r="G1197" s="81" t="str">
        <f>VLOOKUP("*"&amp;表格1[[#This Row],[Input]]&amp;"*",'Ref-List'!$B:$D,2,)</f>
        <v>PLK-45SFIH(WT)</v>
      </c>
      <c r="H1197" s="81" t="str">
        <f>_xlfn.XLOOKUP(表格1[[#This Row],[Model]],表格3[Model-Input-Ref2],表格3[Product Line])</f>
        <v>電熱水瓶4.5L</v>
      </c>
      <c r="I1197" s="81" t="str">
        <f>_xlfn.XLOOKUP(表格1[[#This Row],[Model]],表格3[Model-Input-Ref2],表格3[大小電])</f>
        <v>細電</v>
      </c>
      <c r="J1197" s="81" t="str">
        <f>_xlfn.XLOOKUP(表格1[[#This Row],[Model]],表格3[Model-Input-Ref2],表格3[Code])</f>
        <v>SDA</v>
      </c>
      <c r="K1197" s="89" t="s">
        <v>1117</v>
      </c>
      <c r="L1197" s="81">
        <v>1</v>
      </c>
      <c r="M1197" s="87">
        <v>589</v>
      </c>
      <c r="N1197" s="85">
        <f>IFERROR(表格1[[#This Row],[QTY]]*表格1[[#This Row],[Unit Price]],"-")</f>
        <v>589</v>
      </c>
      <c r="O1197" s="86">
        <v>900895</v>
      </c>
      <c r="R1197" s="86" t="str">
        <f>_xlfn.CONCAT(表格1[[#This Row],[Model]]," ",表格1[[#This Row],[inv no]])</f>
        <v>PLK-45SFIH(WT) 900895</v>
      </c>
      <c r="S1197" s="86">
        <f>_xlfn.XLOOKUP(表格1[[#This Row],[Model]],表格3[Model-Input-Ref2],表格3[SRP PRICE])</f>
        <v>788</v>
      </c>
      <c r="T1197" s="43">
        <f>表格1[[#This Row],[Unit Price]]/表格1[[#This Row],[SRP]]</f>
        <v>0.7474619289340102</v>
      </c>
      <c r="U1197" s="86" t="str">
        <f>_xlfn.XLOOKUP(表格1[[#This Row],[Model]],表格3[Model-Input-Ref2],表格3[TOSHIBA/HIGHEST])</f>
        <v>Toshiba SRP</v>
      </c>
      <c r="V1197" s="86" t="s">
        <v>1126</v>
      </c>
      <c r="W1197" s="86" t="str">
        <f>_xlfn.CONCAT(表格1[[#This Row],[欄4]],表格1[[#This Row],[inv no]])</f>
        <v>DA141900895</v>
      </c>
    </row>
    <row r="1198" spans="1:23" hidden="1">
      <c r="A1198" s="81">
        <v>1196</v>
      </c>
      <c r="B1198" s="81" t="s">
        <v>1477</v>
      </c>
      <c r="C1198" s="81" t="s">
        <v>1478</v>
      </c>
      <c r="D1198" s="82" t="str">
        <f ca="1">OFFSET(Roster!$A$3,MATCH(表格1[[#This Row],[Location]]&amp;" "&amp;表格1[[#This Row],[Shop]]&amp;"*",Roster!$A$4:$A$72,0),DAY(表格1[[#This Row],[date]]),1,1)</f>
        <v>Vicky L</v>
      </c>
      <c r="E1198" s="81">
        <f>MONTH(表格1[[#This Row],[date]])</f>
        <v>3</v>
      </c>
      <c r="F1198" s="90">
        <v>46085</v>
      </c>
      <c r="G1198" s="81" t="str">
        <f>VLOOKUP("*"&amp;表格1[[#This Row],[Input]]&amp;"*",'Ref-List'!$B:$D,2,)</f>
        <v>PLK-45SFIH(WT)</v>
      </c>
      <c r="H1198" s="81" t="str">
        <f>_xlfn.XLOOKUP(表格1[[#This Row],[Model]],表格3[Model-Input-Ref2],表格3[Product Line])</f>
        <v>電熱水瓶4.5L</v>
      </c>
      <c r="I1198" s="81" t="str">
        <f>_xlfn.XLOOKUP(表格1[[#This Row],[Model]],表格3[Model-Input-Ref2],表格3[大小電])</f>
        <v>細電</v>
      </c>
      <c r="J1198" s="81" t="str">
        <f>_xlfn.XLOOKUP(表格1[[#This Row],[Model]],表格3[Model-Input-Ref2],表格3[Code])</f>
        <v>SDA</v>
      </c>
      <c r="K1198" s="89" t="s">
        <v>1117</v>
      </c>
      <c r="L1198" s="81">
        <v>1</v>
      </c>
      <c r="M1198" s="87">
        <v>589</v>
      </c>
      <c r="N1198" s="85">
        <f>IFERROR(表格1[[#This Row],[QTY]]*表格1[[#This Row],[Unit Price]],"-")</f>
        <v>589</v>
      </c>
      <c r="O1198" s="86">
        <v>814842</v>
      </c>
      <c r="R1198" s="86" t="str">
        <f>_xlfn.CONCAT(表格1[[#This Row],[Model]]," ",表格1[[#This Row],[inv no]])</f>
        <v>PLK-45SFIH(WT) 814842</v>
      </c>
      <c r="S1198" s="86">
        <f>_xlfn.XLOOKUP(表格1[[#This Row],[Model]],表格3[Model-Input-Ref2],表格3[SRP PRICE])</f>
        <v>788</v>
      </c>
      <c r="T1198" s="43">
        <f>表格1[[#This Row],[Unit Price]]/表格1[[#This Row],[SRP]]</f>
        <v>0.7474619289340102</v>
      </c>
      <c r="U1198" s="86" t="str">
        <f>_xlfn.XLOOKUP(表格1[[#This Row],[Model]],表格3[Model-Input-Ref2],表格3[TOSHIBA/HIGHEST])</f>
        <v>Toshiba SRP</v>
      </c>
      <c r="V1198" s="86" t="s">
        <v>1126</v>
      </c>
      <c r="W1198" s="86" t="str">
        <f>_xlfn.CONCAT(表格1[[#This Row],[欄4]],表格1[[#This Row],[inv no]])</f>
        <v>DA141814842</v>
      </c>
    </row>
    <row r="1199" spans="1:23" hidden="1">
      <c r="A1199" s="81">
        <v>1197</v>
      </c>
      <c r="B1199" s="81" t="s">
        <v>1477</v>
      </c>
      <c r="C1199" s="81" t="s">
        <v>1478</v>
      </c>
      <c r="D1199" s="82" t="str">
        <f ca="1">OFFSET(Roster!$A$3,MATCH(表格1[[#This Row],[Location]]&amp;" "&amp;表格1[[#This Row],[Shop]]&amp;"*",Roster!$A$4:$A$72,0),DAY(表格1[[#This Row],[date]]),1,1)</f>
        <v>Vicky L</v>
      </c>
      <c r="E1199" s="81">
        <f>MONTH(表格1[[#This Row],[date]])</f>
        <v>3</v>
      </c>
      <c r="F1199" s="90">
        <v>46088</v>
      </c>
      <c r="G1199" s="81" t="str">
        <f>VLOOKUP("*"&amp;表格1[[#This Row],[Input]]&amp;"*",'Ref-List'!$B:$D,2,)</f>
        <v>KT-17SHNH</v>
      </c>
      <c r="H1199" s="81" t="str">
        <f>_xlfn.XLOOKUP(表格1[[#This Row],[Model]],表格3[Model-Input-Ref2],表格3[Product Line])</f>
        <v>1.7L無線雙層電熱水壺</v>
      </c>
      <c r="I1199" s="81" t="str">
        <f>_xlfn.XLOOKUP(表格1[[#This Row],[Model]],表格3[Model-Input-Ref2],表格3[大小電])</f>
        <v>細電</v>
      </c>
      <c r="J1199" s="81" t="str">
        <f>_xlfn.XLOOKUP(表格1[[#This Row],[Model]],表格3[Model-Input-Ref2],表格3[Code])</f>
        <v>SDA</v>
      </c>
      <c r="K1199" s="89" t="s">
        <v>1283</v>
      </c>
      <c r="L1199" s="81">
        <v>1</v>
      </c>
      <c r="M1199" s="87">
        <v>198</v>
      </c>
      <c r="N1199" s="85">
        <f>IFERROR(表格1[[#This Row],[QTY]]*表格1[[#This Row],[Unit Price]],"-")</f>
        <v>198</v>
      </c>
      <c r="O1199" s="86">
        <v>901035</v>
      </c>
      <c r="R1199" s="86" t="str">
        <f>_xlfn.CONCAT(表格1[[#This Row],[Model]]," ",表格1[[#This Row],[inv no]])</f>
        <v>KT-17SHNH 901035</v>
      </c>
      <c r="S1199" s="86">
        <f>_xlfn.XLOOKUP(表格1[[#This Row],[Model]],表格3[Model-Input-Ref2],表格3[SRP PRICE])</f>
        <v>299</v>
      </c>
      <c r="T1199" s="43">
        <f>表格1[[#This Row],[Unit Price]]/表格1[[#This Row],[SRP]]</f>
        <v>0.66220735785953178</v>
      </c>
      <c r="U1199" s="86" t="str">
        <f>_xlfn.XLOOKUP(表格1[[#This Row],[Model]],表格3[Model-Input-Ref2],表格3[TOSHIBA/HIGHEST])</f>
        <v>Shops Highest Price</v>
      </c>
      <c r="V1199" s="86" t="s">
        <v>1126</v>
      </c>
      <c r="W1199" s="86" t="str">
        <f>_xlfn.CONCAT(表格1[[#This Row],[欄4]],表格1[[#This Row],[inv no]])</f>
        <v>DA141901035</v>
      </c>
    </row>
    <row r="1200" spans="1:23" hidden="1">
      <c r="A1200" s="81">
        <v>1198</v>
      </c>
      <c r="B1200" s="81" t="s">
        <v>1477</v>
      </c>
      <c r="C1200" s="81" t="s">
        <v>1478</v>
      </c>
      <c r="D1200" s="82" t="str">
        <f ca="1">OFFSET(Roster!$A$3,MATCH(表格1[[#This Row],[Location]]&amp;" "&amp;表格1[[#This Row],[Shop]]&amp;"*",Roster!$A$4:$A$72,0),DAY(表格1[[#This Row],[date]]),1,1)</f>
        <v>Vicky L</v>
      </c>
      <c r="E1200" s="81">
        <f>MONTH(表格1[[#This Row],[date]])</f>
        <v>3</v>
      </c>
      <c r="F1200" s="90">
        <v>46089</v>
      </c>
      <c r="G1200" s="81" t="str">
        <f>VLOOKUP("*"&amp;表格1[[#This Row],[Input]]&amp;"*",'Ref-List'!$B:$D,2,)</f>
        <v>KT-17SHNH</v>
      </c>
      <c r="H1200" s="81" t="str">
        <f>_xlfn.XLOOKUP(表格1[[#This Row],[Model]],表格3[Model-Input-Ref2],表格3[Product Line])</f>
        <v>1.7L無線雙層電熱水壺</v>
      </c>
      <c r="I1200" s="81" t="str">
        <f>_xlfn.XLOOKUP(表格1[[#This Row],[Model]],表格3[Model-Input-Ref2],表格3[大小電])</f>
        <v>細電</v>
      </c>
      <c r="J1200" s="81" t="str">
        <f>_xlfn.XLOOKUP(表格1[[#This Row],[Model]],表格3[Model-Input-Ref2],表格3[Code])</f>
        <v>SDA</v>
      </c>
      <c r="K1200" s="89" t="s">
        <v>1283</v>
      </c>
      <c r="L1200" s="81">
        <v>1</v>
      </c>
      <c r="M1200" s="87">
        <v>198</v>
      </c>
      <c r="N1200" s="85">
        <f>IFERROR(表格1[[#This Row],[QTY]]*表格1[[#This Row],[Unit Price]],"-")</f>
        <v>198</v>
      </c>
      <c r="O1200" s="86">
        <v>815286</v>
      </c>
      <c r="R1200" s="86" t="str">
        <f>_xlfn.CONCAT(表格1[[#This Row],[Model]]," ",表格1[[#This Row],[inv no]])</f>
        <v>KT-17SHNH 815286</v>
      </c>
      <c r="S1200" s="86">
        <f>_xlfn.XLOOKUP(表格1[[#This Row],[Model]],表格3[Model-Input-Ref2],表格3[SRP PRICE])</f>
        <v>299</v>
      </c>
      <c r="T1200" s="43">
        <f>表格1[[#This Row],[Unit Price]]/表格1[[#This Row],[SRP]]</f>
        <v>0.66220735785953178</v>
      </c>
      <c r="U1200" s="86" t="str">
        <f>_xlfn.XLOOKUP(表格1[[#This Row],[Model]],表格3[Model-Input-Ref2],表格3[TOSHIBA/HIGHEST])</f>
        <v>Shops Highest Price</v>
      </c>
      <c r="V1200" s="86" t="s">
        <v>1126</v>
      </c>
      <c r="W1200" s="86" t="str">
        <f>_xlfn.CONCAT(表格1[[#This Row],[欄4]],表格1[[#This Row],[inv no]])</f>
        <v>DA141815286</v>
      </c>
    </row>
    <row r="1201" spans="1:23" hidden="1">
      <c r="A1201" s="81">
        <v>1199</v>
      </c>
      <c r="B1201" s="81" t="s">
        <v>1477</v>
      </c>
      <c r="C1201" s="81" t="s">
        <v>1478</v>
      </c>
      <c r="D1201" s="82" t="str">
        <f ca="1">OFFSET(Roster!$A$3,MATCH(表格1[[#This Row],[Location]]&amp;" "&amp;表格1[[#This Row],[Shop]]&amp;"*",Roster!$A$4:$A$72,0),DAY(表格1[[#This Row],[date]]),1,1)</f>
        <v>Vicky L off</v>
      </c>
      <c r="E1201" s="81">
        <f>MONTH(表格1[[#This Row],[date]])</f>
        <v>3</v>
      </c>
      <c r="F1201" s="90">
        <v>46090</v>
      </c>
      <c r="G1201" s="81" t="str">
        <f>VLOOKUP("*"&amp;表格1[[#This Row],[Input]]&amp;"*",'Ref-List'!$B:$D,2,)</f>
        <v>KT-17SHNH</v>
      </c>
      <c r="H1201" s="81" t="str">
        <f>_xlfn.XLOOKUP(表格1[[#This Row],[Model]],表格3[Model-Input-Ref2],表格3[Product Line])</f>
        <v>1.7L無線雙層電熱水壺</v>
      </c>
      <c r="I1201" s="81" t="str">
        <f>_xlfn.XLOOKUP(表格1[[#This Row],[Model]],表格3[Model-Input-Ref2],表格3[大小電])</f>
        <v>細電</v>
      </c>
      <c r="J1201" s="81" t="str">
        <f>_xlfn.XLOOKUP(表格1[[#This Row],[Model]],表格3[Model-Input-Ref2],表格3[Code])</f>
        <v>SDA</v>
      </c>
      <c r="K1201" s="89" t="s">
        <v>1283</v>
      </c>
      <c r="L1201" s="81">
        <v>1</v>
      </c>
      <c r="M1201" s="87">
        <v>198</v>
      </c>
      <c r="N1201" s="85">
        <f>IFERROR(表格1[[#This Row],[QTY]]*表格1[[#This Row],[Unit Price]],"-")</f>
        <v>198</v>
      </c>
      <c r="O1201" s="86">
        <v>815349</v>
      </c>
      <c r="R1201" s="86" t="str">
        <f>_xlfn.CONCAT(表格1[[#This Row],[Model]]," ",表格1[[#This Row],[inv no]])</f>
        <v>KT-17SHNH 815349</v>
      </c>
      <c r="S1201" s="86">
        <f>_xlfn.XLOOKUP(表格1[[#This Row],[Model]],表格3[Model-Input-Ref2],表格3[SRP PRICE])</f>
        <v>299</v>
      </c>
      <c r="T1201" s="43">
        <f>表格1[[#This Row],[Unit Price]]/表格1[[#This Row],[SRP]]</f>
        <v>0.66220735785953178</v>
      </c>
      <c r="U1201" s="86" t="str">
        <f>_xlfn.XLOOKUP(表格1[[#This Row],[Model]],表格3[Model-Input-Ref2],表格3[TOSHIBA/HIGHEST])</f>
        <v>Shops Highest Price</v>
      </c>
      <c r="V1201" s="86" t="s">
        <v>1126</v>
      </c>
      <c r="W1201" s="86" t="str">
        <f>_xlfn.CONCAT(表格1[[#This Row],[欄4]],表格1[[#This Row],[inv no]])</f>
        <v>DA141815349</v>
      </c>
    </row>
    <row r="1202" spans="1:23" hidden="1">
      <c r="A1202" s="81">
        <v>1200</v>
      </c>
      <c r="B1202" s="81" t="s">
        <v>1477</v>
      </c>
      <c r="C1202" s="81" t="s">
        <v>1478</v>
      </c>
      <c r="D1202" s="82" t="str">
        <f ca="1">OFFSET(Roster!$A$3,MATCH(表格1[[#This Row],[Location]]&amp;" "&amp;表格1[[#This Row],[Shop]]&amp;"*",Roster!$A$4:$A$72,0),DAY(表格1[[#This Row],[date]]),1,1)</f>
        <v>Vicky L off</v>
      </c>
      <c r="E1202" s="81">
        <f>MONTH(表格1[[#This Row],[date]])</f>
        <v>3</v>
      </c>
      <c r="F1202" s="90">
        <v>46092</v>
      </c>
      <c r="G1202" s="81" t="str">
        <f>VLOOKUP("*"&amp;表格1[[#This Row],[Input]]&amp;"*",'Ref-List'!$B:$D,2,)</f>
        <v>KT-17SHNH</v>
      </c>
      <c r="H1202" s="81" t="str">
        <f>_xlfn.XLOOKUP(表格1[[#This Row],[Model]],表格3[Model-Input-Ref2],表格3[Product Line])</f>
        <v>1.7L無線雙層電熱水壺</v>
      </c>
      <c r="I1202" s="81" t="str">
        <f>_xlfn.XLOOKUP(表格1[[#This Row],[Model]],表格3[Model-Input-Ref2],表格3[大小電])</f>
        <v>細電</v>
      </c>
      <c r="J1202" s="81" t="str">
        <f>_xlfn.XLOOKUP(表格1[[#This Row],[Model]],表格3[Model-Input-Ref2],表格3[Code])</f>
        <v>SDA</v>
      </c>
      <c r="K1202" s="89" t="s">
        <v>1283</v>
      </c>
      <c r="L1202" s="81">
        <v>1</v>
      </c>
      <c r="M1202" s="87">
        <v>198</v>
      </c>
      <c r="N1202" s="85">
        <f>IFERROR(表格1[[#This Row],[QTY]]*表格1[[#This Row],[Unit Price]],"-")</f>
        <v>198</v>
      </c>
      <c r="O1202" s="86">
        <v>815512</v>
      </c>
      <c r="R1202" s="86" t="str">
        <f>_xlfn.CONCAT(表格1[[#This Row],[Model]]," ",表格1[[#This Row],[inv no]])</f>
        <v>KT-17SHNH 815512</v>
      </c>
      <c r="S1202" s="86">
        <f>_xlfn.XLOOKUP(表格1[[#This Row],[Model]],表格3[Model-Input-Ref2],表格3[SRP PRICE])</f>
        <v>299</v>
      </c>
      <c r="T1202" s="43">
        <f>表格1[[#This Row],[Unit Price]]/表格1[[#This Row],[SRP]]</f>
        <v>0.66220735785953178</v>
      </c>
      <c r="U1202" s="86" t="str">
        <f>_xlfn.XLOOKUP(表格1[[#This Row],[Model]],表格3[Model-Input-Ref2],表格3[TOSHIBA/HIGHEST])</f>
        <v>Shops Highest Price</v>
      </c>
      <c r="V1202" s="86" t="s">
        <v>1126</v>
      </c>
      <c r="W1202" s="86" t="str">
        <f>_xlfn.CONCAT(表格1[[#This Row],[欄4]],表格1[[#This Row],[inv no]])</f>
        <v>DA141815512</v>
      </c>
    </row>
    <row r="1203" spans="1:23" hidden="1">
      <c r="A1203" s="81">
        <v>1201</v>
      </c>
      <c r="B1203" s="81" t="s">
        <v>1477</v>
      </c>
      <c r="C1203" s="81" t="s">
        <v>1478</v>
      </c>
      <c r="D1203" s="82" t="str">
        <f ca="1">OFFSET(Roster!$A$3,MATCH(表格1[[#This Row],[Location]]&amp;" "&amp;表格1[[#This Row],[Shop]]&amp;"*",Roster!$A$4:$A$72,0),DAY(表格1[[#This Row],[date]]),1,1)</f>
        <v>Vicky L off</v>
      </c>
      <c r="E1203" s="81">
        <f>MONTH(表格1[[#This Row],[date]])</f>
        <v>3</v>
      </c>
      <c r="F1203" s="90">
        <v>46092</v>
      </c>
      <c r="G1203" s="81" t="str">
        <f>VLOOKUP("*"&amp;表格1[[#This Row],[Input]]&amp;"*",'Ref-List'!$B:$D,2,)</f>
        <v>KT-17SHNH</v>
      </c>
      <c r="H1203" s="81" t="str">
        <f>_xlfn.XLOOKUP(表格1[[#This Row],[Model]],表格3[Model-Input-Ref2],表格3[Product Line])</f>
        <v>1.7L無線雙層電熱水壺</v>
      </c>
      <c r="I1203" s="81" t="str">
        <f>_xlfn.XLOOKUP(表格1[[#This Row],[Model]],表格3[Model-Input-Ref2],表格3[大小電])</f>
        <v>細電</v>
      </c>
      <c r="J1203" s="81" t="str">
        <f>_xlfn.XLOOKUP(表格1[[#This Row],[Model]],表格3[Model-Input-Ref2],表格3[Code])</f>
        <v>SDA</v>
      </c>
      <c r="K1203" s="89" t="s">
        <v>1283</v>
      </c>
      <c r="L1203" s="81">
        <v>1</v>
      </c>
      <c r="M1203" s="87">
        <v>198</v>
      </c>
      <c r="N1203" s="85">
        <f>IFERROR(表格1[[#This Row],[QTY]]*表格1[[#This Row],[Unit Price]],"-")</f>
        <v>198</v>
      </c>
      <c r="O1203" s="86">
        <v>815549</v>
      </c>
      <c r="R1203" s="86" t="str">
        <f>_xlfn.CONCAT(表格1[[#This Row],[Model]]," ",表格1[[#This Row],[inv no]])</f>
        <v>KT-17SHNH 815549</v>
      </c>
      <c r="S1203" s="86">
        <f>_xlfn.XLOOKUP(表格1[[#This Row],[Model]],表格3[Model-Input-Ref2],表格3[SRP PRICE])</f>
        <v>299</v>
      </c>
      <c r="T1203" s="43">
        <f>表格1[[#This Row],[Unit Price]]/表格1[[#This Row],[SRP]]</f>
        <v>0.66220735785953178</v>
      </c>
      <c r="U1203" s="86" t="str">
        <f>_xlfn.XLOOKUP(表格1[[#This Row],[Model]],表格3[Model-Input-Ref2],表格3[TOSHIBA/HIGHEST])</f>
        <v>Shops Highest Price</v>
      </c>
      <c r="V1203" s="86" t="s">
        <v>1126</v>
      </c>
      <c r="W1203" s="86" t="str">
        <f>_xlfn.CONCAT(表格1[[#This Row],[欄4]],表格1[[#This Row],[inv no]])</f>
        <v>DA141815549</v>
      </c>
    </row>
    <row r="1204" spans="1:23" hidden="1">
      <c r="A1204" s="81">
        <v>1202</v>
      </c>
      <c r="B1204" s="81" t="s">
        <v>1477</v>
      </c>
      <c r="C1204" s="81" t="s">
        <v>1478</v>
      </c>
      <c r="D1204" s="82" t="str">
        <f ca="1">OFFSET(Roster!$A$3,MATCH(表格1[[#This Row],[Location]]&amp;" "&amp;表格1[[#This Row],[Shop]]&amp;"*",Roster!$A$4:$A$72,0),DAY(表格1[[#This Row],[date]]),1,1)</f>
        <v>Vicky L off</v>
      </c>
      <c r="E1204" s="81">
        <f>MONTH(表格1[[#This Row],[date]])</f>
        <v>3</v>
      </c>
      <c r="F1204" s="90">
        <v>46091</v>
      </c>
      <c r="G1204" s="81" t="str">
        <f>VLOOKUP("*"&amp;表格1[[#This Row],[Input]]&amp;"*",'Ref-List'!$B:$D,2,)</f>
        <v>KT-15DRRH</v>
      </c>
      <c r="H1204" s="81" t="str">
        <f>_xlfn.XLOOKUP(表格1[[#This Row],[Model]],表格3[Model-Input-Ref2],表格3[Product Line])</f>
        <v>1.5L無線雙層電熱水壺</v>
      </c>
      <c r="I1204" s="81" t="str">
        <f>_xlfn.XLOOKUP(表格1[[#This Row],[Model]],表格3[Model-Input-Ref2],表格3[大小電])</f>
        <v>細電</v>
      </c>
      <c r="J1204" s="81" t="str">
        <f>_xlfn.XLOOKUP(表格1[[#This Row],[Model]],表格3[Model-Input-Ref2],表格3[Code])</f>
        <v>SDA</v>
      </c>
      <c r="K1204" s="89" t="s">
        <v>1488</v>
      </c>
      <c r="L1204" s="81">
        <v>1</v>
      </c>
      <c r="M1204" s="87">
        <v>268</v>
      </c>
      <c r="N1204" s="85">
        <f>IFERROR(表格1[[#This Row],[QTY]]*表格1[[#This Row],[Unit Price]],"-")</f>
        <v>268</v>
      </c>
      <c r="O1204" s="86">
        <v>815486</v>
      </c>
      <c r="R1204" s="86" t="str">
        <f>_xlfn.CONCAT(表格1[[#This Row],[Model]]," ",表格1[[#This Row],[inv no]])</f>
        <v>KT-15DRRH 815486</v>
      </c>
      <c r="S1204" s="86">
        <f>_xlfn.XLOOKUP(表格1[[#This Row],[Model]],表格3[Model-Input-Ref2],表格3[SRP PRICE])</f>
        <v>438</v>
      </c>
      <c r="T1204" s="43">
        <f>表格1[[#This Row],[Unit Price]]/表格1[[#This Row],[SRP]]</f>
        <v>0.61187214611872143</v>
      </c>
      <c r="U1204" s="86" t="str">
        <f>_xlfn.XLOOKUP(表格1[[#This Row],[Model]],表格3[Model-Input-Ref2],表格3[TOSHIBA/HIGHEST])</f>
        <v>Toshiba SRP</v>
      </c>
      <c r="V1204" s="86" t="s">
        <v>1126</v>
      </c>
      <c r="W1204" s="86" t="str">
        <f>_xlfn.CONCAT(表格1[[#This Row],[欄4]],表格1[[#This Row],[inv no]])</f>
        <v>DA141815486</v>
      </c>
    </row>
    <row r="1205" spans="1:23" hidden="1">
      <c r="A1205" s="81">
        <v>1203</v>
      </c>
      <c r="B1205" s="81" t="s">
        <v>1477</v>
      </c>
      <c r="C1205" s="81" t="s">
        <v>1478</v>
      </c>
      <c r="D1205" s="82" t="str">
        <f ca="1">OFFSET(Roster!$A$3,MATCH(表格1[[#This Row],[Location]]&amp;" "&amp;表格1[[#This Row],[Shop]]&amp;"*",Roster!$A$4:$A$72,0),DAY(表格1[[#This Row],[date]]),1,1)</f>
        <v>Vicky L off</v>
      </c>
      <c r="E1205" s="81">
        <f>MONTH(表格1[[#This Row],[date]])</f>
        <v>3</v>
      </c>
      <c r="F1205" s="90">
        <v>46092</v>
      </c>
      <c r="G1205" s="81" t="str">
        <f>VLOOKUP("*"&amp;表格1[[#This Row],[Input]]&amp;"*",'Ref-List'!$B:$D,2,)</f>
        <v>KT-15DRRH</v>
      </c>
      <c r="H1205" s="81" t="str">
        <f>_xlfn.XLOOKUP(表格1[[#This Row],[Model]],表格3[Model-Input-Ref2],表格3[Product Line])</f>
        <v>1.5L無線雙層電熱水壺</v>
      </c>
      <c r="I1205" s="81" t="str">
        <f>_xlfn.XLOOKUP(表格1[[#This Row],[Model]],表格3[Model-Input-Ref2],表格3[大小電])</f>
        <v>細電</v>
      </c>
      <c r="J1205" s="81" t="str">
        <f>_xlfn.XLOOKUP(表格1[[#This Row],[Model]],表格3[Model-Input-Ref2],表格3[Code])</f>
        <v>SDA</v>
      </c>
      <c r="K1205" s="89" t="s">
        <v>1488</v>
      </c>
      <c r="L1205" s="81">
        <v>1</v>
      </c>
      <c r="M1205" s="87">
        <v>268</v>
      </c>
      <c r="N1205" s="85">
        <f>IFERROR(表格1[[#This Row],[QTY]]*表格1[[#This Row],[Unit Price]],"-")</f>
        <v>268</v>
      </c>
      <c r="O1205" s="86">
        <v>815526</v>
      </c>
      <c r="R1205" s="86" t="str">
        <f>_xlfn.CONCAT(表格1[[#This Row],[Model]]," ",表格1[[#This Row],[inv no]])</f>
        <v>KT-15DRRH 815526</v>
      </c>
      <c r="S1205" s="86">
        <f>_xlfn.XLOOKUP(表格1[[#This Row],[Model]],表格3[Model-Input-Ref2],表格3[SRP PRICE])</f>
        <v>438</v>
      </c>
      <c r="T1205" s="43">
        <f>表格1[[#This Row],[Unit Price]]/表格1[[#This Row],[SRP]]</f>
        <v>0.61187214611872143</v>
      </c>
      <c r="U1205" s="86" t="str">
        <f>_xlfn.XLOOKUP(表格1[[#This Row],[Model]],表格3[Model-Input-Ref2],表格3[TOSHIBA/HIGHEST])</f>
        <v>Toshiba SRP</v>
      </c>
      <c r="V1205" s="86" t="s">
        <v>1126</v>
      </c>
      <c r="W1205" s="86" t="str">
        <f>_xlfn.CONCAT(表格1[[#This Row],[欄4]],表格1[[#This Row],[inv no]])</f>
        <v>DA141815526</v>
      </c>
    </row>
    <row r="1206" spans="1:23" hidden="1">
      <c r="A1206" s="81">
        <v>1204</v>
      </c>
      <c r="B1206" s="81" t="s">
        <v>1477</v>
      </c>
      <c r="C1206" s="81" t="s">
        <v>1478</v>
      </c>
      <c r="D1206" s="82" t="str">
        <f ca="1">OFFSET(Roster!$A$3,MATCH(表格1[[#This Row],[Location]]&amp;" "&amp;表格1[[#This Row],[Shop]]&amp;"*",Roster!$A$4:$A$72,0),DAY(表格1[[#This Row],[date]]),1,1)</f>
        <v>Vicky L off</v>
      </c>
      <c r="E1206" s="81">
        <f>MONTH(表格1[[#This Row],[date]])</f>
        <v>3</v>
      </c>
      <c r="F1206" s="90">
        <v>46092</v>
      </c>
      <c r="G1206" s="81" t="str">
        <f>VLOOKUP("*"&amp;表格1[[#This Row],[Input]]&amp;"*",'Ref-List'!$B:$D,2,)</f>
        <v>TWD-T21BU95UWH(WW)</v>
      </c>
      <c r="H1206" s="81" t="str">
        <f>_xlfn.XLOOKUP(表格1[[#This Row],[Model]],表格3[Model-Input-Ref2],表格3[Product Line])</f>
        <v>470MM超薄身前置式變頻洗衣乾衣機 (洗8.5公斤 乾6公斤)</v>
      </c>
      <c r="I1206" s="81" t="str">
        <f>_xlfn.XLOOKUP(表格1[[#This Row],[Model]],表格3[Model-Input-Ref2],表格3[大小電])</f>
        <v>大電</v>
      </c>
      <c r="J1206" s="81" t="str">
        <f>_xlfn.XLOOKUP(表格1[[#This Row],[Model]],表格3[Model-Input-Ref2],表格3[Code])</f>
        <v>LAD</v>
      </c>
      <c r="K1206" s="89" t="s">
        <v>1461</v>
      </c>
      <c r="L1206" s="81">
        <v>1</v>
      </c>
      <c r="M1206" s="87">
        <v>4380</v>
      </c>
      <c r="N1206" s="85">
        <f>IFERROR(表格1[[#This Row],[QTY]]*表格1[[#This Row],[Unit Price]],"-")</f>
        <v>4380</v>
      </c>
      <c r="O1206" s="86">
        <v>815563</v>
      </c>
      <c r="R1206" s="86" t="str">
        <f>_xlfn.CONCAT(表格1[[#This Row],[Model]]," ",表格1[[#This Row],[inv no]])</f>
        <v>TWD-T21BU95UWH(WW) 815563</v>
      </c>
      <c r="S1206" s="86">
        <f>_xlfn.XLOOKUP(表格1[[#This Row],[Model]],表格3[Model-Input-Ref2],表格3[SRP PRICE])</f>
        <v>7280</v>
      </c>
      <c r="T1206" s="43">
        <f>表格1[[#This Row],[Unit Price]]/表格1[[#This Row],[SRP]]</f>
        <v>0.60164835164835162</v>
      </c>
      <c r="U1206" s="86" t="str">
        <f>_xlfn.XLOOKUP(表格1[[#This Row],[Model]],表格3[Model-Input-Ref2],表格3[TOSHIBA/HIGHEST])</f>
        <v>Toshiba SRP</v>
      </c>
      <c r="V1206" s="86" t="s">
        <v>1126</v>
      </c>
      <c r="W1206" s="86" t="str">
        <f>_xlfn.CONCAT(表格1[[#This Row],[欄4]],表格1[[#This Row],[inv no]])</f>
        <v>DA141815563</v>
      </c>
    </row>
    <row r="1207" spans="1:23" hidden="1">
      <c r="A1207" s="81">
        <v>1205</v>
      </c>
      <c r="B1207" s="81" t="s">
        <v>1477</v>
      </c>
      <c r="C1207" s="81" t="s">
        <v>1478</v>
      </c>
      <c r="D1207" s="82" t="str">
        <f ca="1">OFFSET(Roster!$A$3,MATCH(表格1[[#This Row],[Location]]&amp;" "&amp;表格1[[#This Row],[Shop]]&amp;"*",Roster!$A$4:$A$72,0),DAY(表格1[[#This Row],[date]]),1,1)</f>
        <v>Vicky L</v>
      </c>
      <c r="E1207" s="81">
        <f>MONTH(表格1[[#This Row],[date]])</f>
        <v>3</v>
      </c>
      <c r="F1207" s="90">
        <v>46082</v>
      </c>
      <c r="G1207" s="81" t="str">
        <f>VLOOKUP("*"&amp;表格1[[#This Row],[Input]]&amp;"*",'Ref-List'!$B:$D,2,)</f>
        <v>RC-6PXTHK(W)</v>
      </c>
      <c r="H1207" s="81" t="str">
        <f>_xlfn.XLOOKUP(表格1[[#This Row],[Model]],表格3[Model-Input-Ref2],表格3[Product Line])</f>
        <v>迷你壓力磁應電飯煲(0.63公升)</v>
      </c>
      <c r="I1207" s="81" t="str">
        <f>_xlfn.XLOOKUP(表格1[[#This Row],[Model]],表格3[Model-Input-Ref2],表格3[大小電])</f>
        <v>細電</v>
      </c>
      <c r="J1207" s="81" t="str">
        <f>_xlfn.XLOOKUP(表格1[[#This Row],[Model]],表格3[Model-Input-Ref2],表格3[Code])</f>
        <v>SDA</v>
      </c>
      <c r="K1207" s="89" t="s">
        <v>1494</v>
      </c>
      <c r="L1207" s="81">
        <v>1</v>
      </c>
      <c r="M1207" s="87">
        <v>938</v>
      </c>
      <c r="N1207" s="85">
        <f>IFERROR(表格1[[#This Row],[QTY]]*表格1[[#This Row],[Unit Price]],"-")</f>
        <v>938</v>
      </c>
      <c r="O1207" s="86">
        <v>814455</v>
      </c>
      <c r="R1207" s="86" t="str">
        <f>_xlfn.CONCAT(表格1[[#This Row],[Model]]," ",表格1[[#This Row],[inv no]])</f>
        <v>RC-6PXTHK(W) 814455</v>
      </c>
      <c r="S1207" s="86">
        <f>_xlfn.XLOOKUP(表格1[[#This Row],[Model]],表格3[Model-Input-Ref2],表格3[SRP PRICE])</f>
        <v>1398</v>
      </c>
      <c r="T1207" s="43">
        <f>表格1[[#This Row],[Unit Price]]/表格1[[#This Row],[SRP]]</f>
        <v>0.67095851216022895</v>
      </c>
      <c r="U1207" s="86" t="str">
        <f>_xlfn.XLOOKUP(表格1[[#This Row],[Model]],表格3[Model-Input-Ref2],表格3[TOSHIBA/HIGHEST])</f>
        <v>Toshiba SRP</v>
      </c>
      <c r="V1207" s="86" t="s">
        <v>1126</v>
      </c>
      <c r="W1207" s="86" t="str">
        <f>_xlfn.CONCAT(表格1[[#This Row],[欄4]],表格1[[#This Row],[inv no]])</f>
        <v>DA141814455</v>
      </c>
    </row>
    <row r="1208" spans="1:23" hidden="1">
      <c r="A1208" s="81">
        <v>1206</v>
      </c>
      <c r="B1208" s="81" t="s">
        <v>1477</v>
      </c>
      <c r="C1208" s="81" t="s">
        <v>1478</v>
      </c>
      <c r="D1208" s="82" t="str">
        <f ca="1">OFFSET(Roster!$A$3,MATCH(表格1[[#This Row],[Location]]&amp;" "&amp;表格1[[#This Row],[Shop]]&amp;"*",Roster!$A$4:$A$72,0),DAY(表格1[[#This Row],[date]]),1,1)</f>
        <v>Vicky L off</v>
      </c>
      <c r="E1208" s="81">
        <f>MONTH(表格1[[#This Row],[date]])</f>
        <v>3</v>
      </c>
      <c r="F1208" s="90">
        <v>46086</v>
      </c>
      <c r="G1208" s="81" t="str">
        <f>VLOOKUP("*"&amp;表格1[[#This Row],[Input]]&amp;"*",'Ref-List'!$B:$D,2,)</f>
        <v>RC-6PXTHK(W)</v>
      </c>
      <c r="H1208" s="81" t="str">
        <f>_xlfn.XLOOKUP(表格1[[#This Row],[Model]],表格3[Model-Input-Ref2],表格3[Product Line])</f>
        <v>迷你壓力磁應電飯煲(0.63公升)</v>
      </c>
      <c r="I1208" s="81" t="str">
        <f>_xlfn.XLOOKUP(表格1[[#This Row],[Model]],表格3[Model-Input-Ref2],表格3[大小電])</f>
        <v>細電</v>
      </c>
      <c r="J1208" s="81" t="str">
        <f>_xlfn.XLOOKUP(表格1[[#This Row],[Model]],表格3[Model-Input-Ref2],表格3[Code])</f>
        <v>SDA</v>
      </c>
      <c r="K1208" s="89" t="s">
        <v>1494</v>
      </c>
      <c r="L1208" s="81">
        <v>1</v>
      </c>
      <c r="M1208" s="87">
        <v>938</v>
      </c>
      <c r="N1208" s="85">
        <f>IFERROR(表格1[[#This Row],[QTY]]*表格1[[#This Row],[Unit Price]],"-")</f>
        <v>938</v>
      </c>
      <c r="O1208" s="86">
        <v>814967</v>
      </c>
      <c r="R1208" s="86" t="str">
        <f>_xlfn.CONCAT(表格1[[#This Row],[Model]]," ",表格1[[#This Row],[inv no]])</f>
        <v>RC-6PXTHK(W) 814967</v>
      </c>
      <c r="S1208" s="86">
        <f>_xlfn.XLOOKUP(表格1[[#This Row],[Model]],表格3[Model-Input-Ref2],表格3[SRP PRICE])</f>
        <v>1398</v>
      </c>
      <c r="T1208" s="43">
        <f>表格1[[#This Row],[Unit Price]]/表格1[[#This Row],[SRP]]</f>
        <v>0.67095851216022895</v>
      </c>
      <c r="U1208" s="86" t="str">
        <f>_xlfn.XLOOKUP(表格1[[#This Row],[Model]],表格3[Model-Input-Ref2],表格3[TOSHIBA/HIGHEST])</f>
        <v>Toshiba SRP</v>
      </c>
      <c r="V1208" s="86" t="s">
        <v>1126</v>
      </c>
      <c r="W1208" s="86" t="str">
        <f>_xlfn.CONCAT(表格1[[#This Row],[欄4]],表格1[[#This Row],[inv no]])</f>
        <v>DA141814967</v>
      </c>
    </row>
    <row r="1209" spans="1:23" hidden="1">
      <c r="A1209" s="81">
        <v>1207</v>
      </c>
      <c r="B1209" s="81" t="s">
        <v>1477</v>
      </c>
      <c r="C1209" s="81" t="s">
        <v>1478</v>
      </c>
      <c r="D1209" s="82" t="str">
        <f ca="1">OFFSET(Roster!$A$3,MATCH(表格1[[#This Row],[Location]]&amp;" "&amp;表格1[[#This Row],[Shop]]&amp;"*",Roster!$A$4:$A$72,0),DAY(表格1[[#This Row],[date]]),1,1)</f>
        <v>Vicky L</v>
      </c>
      <c r="E1209" s="81">
        <f>MONTH(表格1[[#This Row],[date]])</f>
        <v>3</v>
      </c>
      <c r="F1209" s="90">
        <v>46089</v>
      </c>
      <c r="G1209" s="81" t="str">
        <f>VLOOKUP("*"&amp;表格1[[#This Row],[Input]]&amp;"*",'Ref-List'!$B:$D,2,)</f>
        <v>RC-6PXTHK(W)</v>
      </c>
      <c r="H1209" s="81" t="str">
        <f>_xlfn.XLOOKUP(表格1[[#This Row],[Model]],表格3[Model-Input-Ref2],表格3[Product Line])</f>
        <v>迷你壓力磁應電飯煲(0.63公升)</v>
      </c>
      <c r="I1209" s="81" t="str">
        <f>_xlfn.XLOOKUP(表格1[[#This Row],[Model]],表格3[Model-Input-Ref2],表格3[大小電])</f>
        <v>細電</v>
      </c>
      <c r="J1209" s="81" t="str">
        <f>_xlfn.XLOOKUP(表格1[[#This Row],[Model]],表格3[Model-Input-Ref2],表格3[Code])</f>
        <v>SDA</v>
      </c>
      <c r="K1209" s="89" t="s">
        <v>1494</v>
      </c>
      <c r="L1209" s="81">
        <v>1</v>
      </c>
      <c r="M1209" s="87">
        <v>938</v>
      </c>
      <c r="N1209" s="85">
        <f>IFERROR(表格1[[#This Row],[QTY]]*表格1[[#This Row],[Unit Price]],"-")</f>
        <v>938</v>
      </c>
      <c r="O1209" s="142">
        <v>815254</v>
      </c>
      <c r="R1209" s="86" t="str">
        <f>_xlfn.CONCAT(表格1[[#This Row],[Model]]," ",表格1[[#This Row],[inv no]])</f>
        <v>RC-6PXTHK(W) 815254</v>
      </c>
      <c r="S1209" s="86">
        <f>_xlfn.XLOOKUP(表格1[[#This Row],[Model]],表格3[Model-Input-Ref2],表格3[SRP PRICE])</f>
        <v>1398</v>
      </c>
      <c r="T1209" s="43">
        <f>表格1[[#This Row],[Unit Price]]/表格1[[#This Row],[SRP]]</f>
        <v>0.67095851216022895</v>
      </c>
      <c r="U1209" s="86" t="str">
        <f>_xlfn.XLOOKUP(表格1[[#This Row],[Model]],表格3[Model-Input-Ref2],表格3[TOSHIBA/HIGHEST])</f>
        <v>Toshiba SRP</v>
      </c>
      <c r="V1209" s="86" t="s">
        <v>1126</v>
      </c>
      <c r="W1209" s="86" t="str">
        <f>_xlfn.CONCAT(表格1[[#This Row],[欄4]],表格1[[#This Row],[inv no]])</f>
        <v>DA141815254</v>
      </c>
    </row>
    <row r="1210" spans="1:23" ht="16.5" hidden="1">
      <c r="A1210" s="81">
        <v>1208</v>
      </c>
      <c r="B1210" s="81" t="s">
        <v>1477</v>
      </c>
      <c r="C1210" s="81" t="s">
        <v>1478</v>
      </c>
      <c r="D1210" s="82" t="str">
        <f ca="1">OFFSET(Roster!$A$3,MATCH(表格1[[#This Row],[Location]]&amp;" "&amp;表格1[[#This Row],[Shop]]&amp;"*",Roster!$A$4:$A$72,0),DAY(表格1[[#This Row],[date]]),1,1)</f>
        <v>Vicky L off</v>
      </c>
      <c r="E1210" s="81">
        <f>MONTH(表格1[[#This Row],[date]])</f>
        <v>3</v>
      </c>
      <c r="F1210" s="90">
        <v>46091</v>
      </c>
      <c r="G1210" s="81" t="str">
        <f>VLOOKUP("*"&amp;表格1[[#This Row],[Input]]&amp;"*",'Ref-List'!$B:$D,2,)</f>
        <v>RC-10AMXH(W)</v>
      </c>
      <c r="H1210" s="81" t="str">
        <f>_xlfn.XLOOKUP(表格1[[#This Row],[Model]],表格3[Model-Input-Ref2],表格3[Product Line])</f>
        <v>酵活炊電飯煲(1.0公升)</v>
      </c>
      <c r="I1210" s="81" t="str">
        <f>_xlfn.XLOOKUP(表格1[[#This Row],[Model]],表格3[Model-Input-Ref2],表格3[大小電])</f>
        <v>細電</v>
      </c>
      <c r="J1210" s="81" t="str">
        <f>_xlfn.XLOOKUP(表格1[[#This Row],[Model]],表格3[Model-Input-Ref2],表格3[Code])</f>
        <v>SDA</v>
      </c>
      <c r="K1210" s="89" t="s">
        <v>1279</v>
      </c>
      <c r="L1210" s="81">
        <v>1</v>
      </c>
      <c r="M1210" s="87">
        <v>990</v>
      </c>
      <c r="N1210" s="85">
        <f>IFERROR(表格1[[#This Row],[QTY]]*表格1[[#This Row],[Unit Price]],"-")</f>
        <v>990</v>
      </c>
      <c r="O1210" s="86">
        <v>901280</v>
      </c>
      <c r="P1210" s="141"/>
      <c r="R1210" s="86" t="str">
        <f>_xlfn.CONCAT(表格1[[#This Row],[Model]]," ",表格1[[#This Row],[inv no]])</f>
        <v>RC-10AMXH(W) 901280</v>
      </c>
      <c r="S1210" s="86">
        <f>_xlfn.XLOOKUP(表格1[[#This Row],[Model]],表格3[Model-Input-Ref2],表格3[SRP PRICE])</f>
        <v>1288</v>
      </c>
      <c r="T1210" s="43">
        <f>表格1[[#This Row],[Unit Price]]/表格1[[#This Row],[SRP]]</f>
        <v>0.76863354037267084</v>
      </c>
      <c r="U1210" s="86" t="str">
        <f>_xlfn.XLOOKUP(表格1[[#This Row],[Model]],表格3[Model-Input-Ref2],表格3[TOSHIBA/HIGHEST])</f>
        <v>Toshiba SRP</v>
      </c>
      <c r="V1210" s="86" t="s">
        <v>1126</v>
      </c>
      <c r="W1210" s="86" t="str">
        <f>_xlfn.CONCAT(表格1[[#This Row],[欄4]],表格1[[#This Row],[inv no]])</f>
        <v>DA141901280</v>
      </c>
    </row>
    <row r="1211" spans="1:23" hidden="1">
      <c r="A1211" s="81">
        <v>1209</v>
      </c>
      <c r="B1211" s="81" t="s">
        <v>1477</v>
      </c>
      <c r="C1211" s="81" t="s">
        <v>1478</v>
      </c>
      <c r="D1211" s="82" t="str">
        <f ca="1">OFFSET(Roster!$A$3,MATCH(表格1[[#This Row],[Location]]&amp;" "&amp;表格1[[#This Row],[Shop]]&amp;"*",Roster!$A$4:$A$72,0),DAY(表格1[[#This Row],[date]]),1,1)</f>
        <v>Vicky L</v>
      </c>
      <c r="E1211" s="81">
        <f>MONTH(表格1[[#This Row],[date]])</f>
        <v>3</v>
      </c>
      <c r="F1211" s="90">
        <v>46087</v>
      </c>
      <c r="G1211" s="81" t="str">
        <f>VLOOKUP("*"&amp;表格1[[#This Row],[Input]]&amp;"*",'Ref-List'!$B:$D,2,)</f>
        <v>RC-10NMFIH(WT)</v>
      </c>
      <c r="H1211" s="81" t="str">
        <f>_xlfn.XLOOKUP(表格1[[#This Row],[Model]],表格3[Model-Input-Ref2],表格3[Product Line])</f>
        <v>4毫米厚釜電飯煲1L</v>
      </c>
      <c r="I1211" s="81" t="str">
        <f>_xlfn.XLOOKUP(表格1[[#This Row],[Model]],表格3[Model-Input-Ref2],表格3[大小電])</f>
        <v>細電</v>
      </c>
      <c r="J1211" s="81" t="str">
        <f>_xlfn.XLOOKUP(表格1[[#This Row],[Model]],表格3[Model-Input-Ref2],表格3[Code])</f>
        <v>SDA</v>
      </c>
      <c r="K1211" s="89" t="s">
        <v>1244</v>
      </c>
      <c r="L1211" s="81">
        <v>1</v>
      </c>
      <c r="M1211" s="87">
        <v>719</v>
      </c>
      <c r="N1211" s="85">
        <f>IFERROR(表格1[[#This Row],[QTY]]*表格1[[#This Row],[Unit Price]],"-")</f>
        <v>719</v>
      </c>
      <c r="O1211" s="86">
        <v>814993</v>
      </c>
      <c r="R1211" s="86" t="str">
        <f>_xlfn.CONCAT(表格1[[#This Row],[Model]]," ",表格1[[#This Row],[inv no]])</f>
        <v>RC-10NMFIH(WT) 814993</v>
      </c>
      <c r="S1211" s="86">
        <f>_xlfn.XLOOKUP(表格1[[#This Row],[Model]],表格3[Model-Input-Ref2],表格3[SRP PRICE])</f>
        <v>898</v>
      </c>
      <c r="T1211" s="43">
        <f>表格1[[#This Row],[Unit Price]]/表格1[[#This Row],[SRP]]</f>
        <v>0.80066815144766146</v>
      </c>
      <c r="U1211" s="86" t="str">
        <f>_xlfn.XLOOKUP(表格1[[#This Row],[Model]],表格3[Model-Input-Ref2],表格3[TOSHIBA/HIGHEST])</f>
        <v>Toshiba SRP</v>
      </c>
      <c r="V1211" s="86" t="s">
        <v>1126</v>
      </c>
      <c r="W1211" s="86" t="str">
        <f>_xlfn.CONCAT(表格1[[#This Row],[欄4]],表格1[[#This Row],[inv no]])</f>
        <v>DA141814993</v>
      </c>
    </row>
    <row r="1212" spans="1:23" hidden="1">
      <c r="A1212" s="81">
        <v>1210</v>
      </c>
      <c r="B1212" s="81" t="s">
        <v>1477</v>
      </c>
      <c r="C1212" s="81" t="s">
        <v>1478</v>
      </c>
      <c r="D1212" s="82" t="str">
        <f ca="1">OFFSET(Roster!$A$3,MATCH(表格1[[#This Row],[Location]]&amp;" "&amp;表格1[[#This Row],[Shop]]&amp;"*",Roster!$A$4:$A$72,0),DAY(表格1[[#This Row],[date]]),1,1)</f>
        <v>Vicky L</v>
      </c>
      <c r="E1212" s="81">
        <f>MONTH(表格1[[#This Row],[date]])</f>
        <v>3</v>
      </c>
      <c r="F1212" s="90">
        <v>46089</v>
      </c>
      <c r="G1212" s="81" t="str">
        <f>VLOOKUP("*"&amp;表格1[[#This Row],[Input]]&amp;"*",'Ref-List'!$B:$D,2,)</f>
        <v>RC-10NMFIH(WT)</v>
      </c>
      <c r="H1212" s="81" t="str">
        <f>_xlfn.XLOOKUP(表格1[[#This Row],[Model]],表格3[Model-Input-Ref2],表格3[Product Line])</f>
        <v>4毫米厚釜電飯煲1L</v>
      </c>
      <c r="I1212" s="81" t="str">
        <f>_xlfn.XLOOKUP(表格1[[#This Row],[Model]],表格3[Model-Input-Ref2],表格3[大小電])</f>
        <v>細電</v>
      </c>
      <c r="J1212" s="81" t="str">
        <f>_xlfn.XLOOKUP(表格1[[#This Row],[Model]],表格3[Model-Input-Ref2],表格3[Code])</f>
        <v>SDA</v>
      </c>
      <c r="K1212" s="89" t="s">
        <v>1244</v>
      </c>
      <c r="L1212" s="81">
        <v>1</v>
      </c>
      <c r="M1212" s="87">
        <v>719</v>
      </c>
      <c r="N1212" s="85">
        <f>IFERROR(表格1[[#This Row],[QTY]]*表格1[[#This Row],[Unit Price]],"-")</f>
        <v>719</v>
      </c>
      <c r="O1212" s="86">
        <v>815308</v>
      </c>
      <c r="R1212" s="86" t="str">
        <f>_xlfn.CONCAT(表格1[[#This Row],[Model]]," ",表格1[[#This Row],[inv no]])</f>
        <v>RC-10NMFIH(WT) 815308</v>
      </c>
      <c r="S1212" s="86">
        <f>_xlfn.XLOOKUP(表格1[[#This Row],[Model]],表格3[Model-Input-Ref2],表格3[SRP PRICE])</f>
        <v>898</v>
      </c>
      <c r="T1212" s="43">
        <f>表格1[[#This Row],[Unit Price]]/表格1[[#This Row],[SRP]]</f>
        <v>0.80066815144766146</v>
      </c>
      <c r="U1212" s="86" t="str">
        <f>_xlfn.XLOOKUP(表格1[[#This Row],[Model]],表格3[Model-Input-Ref2],表格3[TOSHIBA/HIGHEST])</f>
        <v>Toshiba SRP</v>
      </c>
      <c r="V1212" s="86" t="s">
        <v>1126</v>
      </c>
      <c r="W1212" s="86" t="str">
        <f>_xlfn.CONCAT(表格1[[#This Row],[欄4]],表格1[[#This Row],[inv no]])</f>
        <v>DA141815308</v>
      </c>
    </row>
    <row r="1213" spans="1:23" hidden="1">
      <c r="A1213" s="81">
        <v>1211</v>
      </c>
      <c r="B1213" s="81" t="s">
        <v>1477</v>
      </c>
      <c r="C1213" s="81" t="s">
        <v>1478</v>
      </c>
      <c r="D1213" s="82" t="str">
        <f ca="1">OFFSET(Roster!$A$3,MATCH(表格1[[#This Row],[Location]]&amp;" "&amp;表格1[[#This Row],[Shop]]&amp;"*",Roster!$A$4:$A$72,0),DAY(表格1[[#This Row],[date]]),1,1)</f>
        <v>Vicky L off</v>
      </c>
      <c r="E1213" s="81">
        <f>MONTH(表格1[[#This Row],[date]])</f>
        <v>3</v>
      </c>
      <c r="F1213" s="90">
        <v>46091</v>
      </c>
      <c r="G1213" s="81" t="str">
        <f>VLOOKUP("*"&amp;表格1[[#This Row],[Input]]&amp;"*",'Ref-List'!$B:$D,2,)</f>
        <v>RC-10NMFIH(WT)</v>
      </c>
      <c r="H1213" s="81" t="str">
        <f>_xlfn.XLOOKUP(表格1[[#This Row],[Model]],表格3[Model-Input-Ref2],表格3[Product Line])</f>
        <v>4毫米厚釜電飯煲1L</v>
      </c>
      <c r="I1213" s="81" t="str">
        <f>_xlfn.XLOOKUP(表格1[[#This Row],[Model]],表格3[Model-Input-Ref2],表格3[大小電])</f>
        <v>細電</v>
      </c>
      <c r="J1213" s="81" t="str">
        <f>_xlfn.XLOOKUP(表格1[[#This Row],[Model]],表格3[Model-Input-Ref2],表格3[Code])</f>
        <v>SDA</v>
      </c>
      <c r="K1213" s="89" t="s">
        <v>1377</v>
      </c>
      <c r="L1213" s="81">
        <v>1</v>
      </c>
      <c r="M1213" s="87">
        <v>719</v>
      </c>
      <c r="N1213" s="85">
        <f>IFERROR(表格1[[#This Row],[QTY]]*表格1[[#This Row],[Unit Price]],"-")</f>
        <v>719</v>
      </c>
      <c r="O1213" s="86">
        <v>815402</v>
      </c>
      <c r="R1213" s="86" t="str">
        <f>_xlfn.CONCAT(表格1[[#This Row],[Model]]," ",表格1[[#This Row],[inv no]])</f>
        <v>RC-10NMFIH(WT) 815402</v>
      </c>
      <c r="S1213" s="86">
        <f>_xlfn.XLOOKUP(表格1[[#This Row],[Model]],表格3[Model-Input-Ref2],表格3[SRP PRICE])</f>
        <v>898</v>
      </c>
      <c r="T1213" s="43">
        <f>表格1[[#This Row],[Unit Price]]/表格1[[#This Row],[SRP]]</f>
        <v>0.80066815144766146</v>
      </c>
      <c r="U1213" s="86" t="str">
        <f>_xlfn.XLOOKUP(表格1[[#This Row],[Model]],表格3[Model-Input-Ref2],表格3[TOSHIBA/HIGHEST])</f>
        <v>Toshiba SRP</v>
      </c>
      <c r="V1213" s="86" t="s">
        <v>1126</v>
      </c>
      <c r="W1213" s="86" t="str">
        <f>_xlfn.CONCAT(表格1[[#This Row],[欄4]],表格1[[#This Row],[inv no]])</f>
        <v>DA141815402</v>
      </c>
    </row>
    <row r="1214" spans="1:23" hidden="1">
      <c r="A1214" s="81">
        <v>1212</v>
      </c>
      <c r="B1214" s="81" t="s">
        <v>1477</v>
      </c>
      <c r="C1214" s="81" t="s">
        <v>1478</v>
      </c>
      <c r="D1214" s="82" t="str">
        <f ca="1">OFFSET(Roster!$A$3,MATCH(表格1[[#This Row],[Location]]&amp;" "&amp;表格1[[#This Row],[Shop]]&amp;"*",Roster!$A$4:$A$72,0),DAY(表格1[[#This Row],[date]]),1,1)</f>
        <v>Vicky L off</v>
      </c>
      <c r="E1214" s="81">
        <f>MONTH(表格1[[#This Row],[date]])</f>
        <v>3</v>
      </c>
      <c r="F1214" s="90">
        <v>46091</v>
      </c>
      <c r="G1214" s="81" t="str">
        <f>VLOOKUP("*"&amp;表格1[[#This Row],[Input]]&amp;"*",'Ref-List'!$B:$D,2,)</f>
        <v>RC-10NMFIH(WT)</v>
      </c>
      <c r="H1214" s="81" t="str">
        <f>_xlfn.XLOOKUP(表格1[[#This Row],[Model]],表格3[Model-Input-Ref2],表格3[Product Line])</f>
        <v>4毫米厚釜電飯煲1L</v>
      </c>
      <c r="I1214" s="81" t="str">
        <f>_xlfn.XLOOKUP(表格1[[#This Row],[Model]],表格3[Model-Input-Ref2],表格3[大小電])</f>
        <v>細電</v>
      </c>
      <c r="J1214" s="81" t="str">
        <f>_xlfn.XLOOKUP(表格1[[#This Row],[Model]],表格3[Model-Input-Ref2],表格3[Code])</f>
        <v>SDA</v>
      </c>
      <c r="K1214" s="89" t="s">
        <v>1377</v>
      </c>
      <c r="L1214" s="81">
        <v>1</v>
      </c>
      <c r="M1214" s="87">
        <v>719</v>
      </c>
      <c r="N1214" s="85">
        <f>IFERROR(表格1[[#This Row],[QTY]]*表格1[[#This Row],[Unit Price]],"-")</f>
        <v>719</v>
      </c>
      <c r="O1214" s="86">
        <v>815403</v>
      </c>
      <c r="R1214" s="86" t="str">
        <f>_xlfn.CONCAT(表格1[[#This Row],[Model]]," ",表格1[[#This Row],[inv no]])</f>
        <v>RC-10NMFIH(WT) 815403</v>
      </c>
      <c r="S1214" s="86">
        <f>_xlfn.XLOOKUP(表格1[[#This Row],[Model]],表格3[Model-Input-Ref2],表格3[SRP PRICE])</f>
        <v>898</v>
      </c>
      <c r="T1214" s="43">
        <f>表格1[[#This Row],[Unit Price]]/表格1[[#This Row],[SRP]]</f>
        <v>0.80066815144766146</v>
      </c>
      <c r="U1214" s="86" t="str">
        <f>_xlfn.XLOOKUP(表格1[[#This Row],[Model]],表格3[Model-Input-Ref2],表格3[TOSHIBA/HIGHEST])</f>
        <v>Toshiba SRP</v>
      </c>
      <c r="V1214" s="86" t="s">
        <v>1126</v>
      </c>
      <c r="W1214" s="86" t="str">
        <f>_xlfn.CONCAT(表格1[[#This Row],[欄4]],表格1[[#This Row],[inv no]])</f>
        <v>DA141815403</v>
      </c>
    </row>
    <row r="1215" spans="1:23" hidden="1">
      <c r="A1215" s="81">
        <v>1213</v>
      </c>
      <c r="B1215" s="81" t="s">
        <v>1477</v>
      </c>
      <c r="C1215" s="81" t="s">
        <v>1478</v>
      </c>
      <c r="D1215" s="82" t="str">
        <f ca="1">OFFSET(Roster!$A$3,MATCH(表格1[[#This Row],[Location]]&amp;" "&amp;表格1[[#This Row],[Shop]]&amp;"*",Roster!$A$4:$A$72,0),DAY(表格1[[#This Row],[date]]),1,1)</f>
        <v>Vicky L</v>
      </c>
      <c r="E1215" s="81">
        <f>MONTH(表格1[[#This Row],[date]])</f>
        <v>3</v>
      </c>
      <c r="F1215" s="90">
        <v>46100</v>
      </c>
      <c r="G1215" s="81" t="str">
        <f>VLOOKUP("*"&amp;表格1[[#This Row],[Input]]&amp;"*",'Ref-List'!$B:$D,2,)</f>
        <v>Model-Input-Ref2</v>
      </c>
      <c r="H1215" s="81" t="e">
        <f>_xlfn.XLOOKUP(表格1[[#This Row],[Model]],表格3[Model-Input-Ref2],表格3[Product Line])</f>
        <v>#N/A</v>
      </c>
      <c r="I1215" s="81" t="e">
        <f>_xlfn.XLOOKUP(表格1[[#This Row],[Model]],表格3[Model-Input-Ref2],表格3[大小電])</f>
        <v>#N/A</v>
      </c>
      <c r="J1215" s="81" t="e">
        <f>_xlfn.XLOOKUP(表格1[[#This Row],[Model]],表格3[Model-Input-Ref2],表格3[Code])</f>
        <v>#N/A</v>
      </c>
      <c r="L1215" s="81"/>
      <c r="N1215" s="85">
        <f>IFERROR(表格1[[#This Row],[QTY]]*表格1[[#This Row],[Unit Price]],"-")</f>
        <v>0</v>
      </c>
      <c r="O1215" s="142"/>
      <c r="P1215" s="86" t="s">
        <v>1505</v>
      </c>
      <c r="R1215" s="86" t="str">
        <f>_xlfn.CONCAT(表格1[[#This Row],[Model]]," ",表格1[[#This Row],[inv no]])</f>
        <v xml:space="preserve">Model-Input-Ref2 </v>
      </c>
      <c r="S1215" s="86" t="e">
        <f>_xlfn.XLOOKUP(表格1[[#This Row],[Model]],表格3[Model-Input-Ref2],表格3[SRP PRICE])</f>
        <v>#N/A</v>
      </c>
      <c r="T1215" s="43" t="e">
        <f>表格1[[#This Row],[Unit Price]]/表格1[[#This Row],[SRP]]</f>
        <v>#N/A</v>
      </c>
      <c r="U1215" s="86" t="e">
        <f>_xlfn.XLOOKUP(表格1[[#This Row],[Model]],表格3[Model-Input-Ref2],表格3[TOSHIBA/HIGHEST])</f>
        <v>#N/A</v>
      </c>
      <c r="V1215" s="86" t="s">
        <v>1126</v>
      </c>
      <c r="W1215" s="86" t="str">
        <f>_xlfn.CONCAT(表格1[[#This Row],[欄4]],表格1[[#This Row],[inv no]])</f>
        <v>DA141</v>
      </c>
    </row>
    <row r="1216" spans="1:23" hidden="1">
      <c r="A1216" s="81">
        <v>1214</v>
      </c>
      <c r="B1216" s="81" t="s">
        <v>1477</v>
      </c>
      <c r="C1216" s="81" t="s">
        <v>1478</v>
      </c>
      <c r="D1216" s="82" t="str">
        <f ca="1">OFFSET(Roster!$A$3,MATCH(表格1[[#This Row],[Location]]&amp;" "&amp;表格1[[#This Row],[Shop]]&amp;"*",Roster!$A$4:$A$72,0),DAY(表格1[[#This Row],[date]]),1,1)</f>
        <v>Vicky L</v>
      </c>
      <c r="E1216" s="81">
        <f>MONTH(表格1[[#This Row],[date]])</f>
        <v>3</v>
      </c>
      <c r="F1216" s="90">
        <v>46082</v>
      </c>
      <c r="G1216" s="81" t="str">
        <f>VLOOKUP("*"&amp;表格1[[#This Row],[Input]]&amp;"*",'Ref-List'!$B:$D,2,)</f>
        <v>AW-Q901BPH(WW)</v>
      </c>
      <c r="H1216" s="81" t="str">
        <f>_xlfn.XLOOKUP(表格1[[#This Row],[Model]],表格3[Model-Input-Ref2],表格3[Product Line])</f>
        <v>日式洗衣機 (8公斤 結合高低水位)</v>
      </c>
      <c r="I1216" s="81" t="str">
        <f>_xlfn.XLOOKUP(表格1[[#This Row],[Model]],表格3[Model-Input-Ref2],表格3[大小電])</f>
        <v>大電</v>
      </c>
      <c r="J1216" s="81" t="str">
        <f>_xlfn.XLOOKUP(表格1[[#This Row],[Model]],表格3[Model-Input-Ref2],表格3[Code])</f>
        <v>LAD</v>
      </c>
      <c r="K1216" s="89" t="s">
        <v>1411</v>
      </c>
      <c r="L1216" s="81">
        <v>1</v>
      </c>
      <c r="M1216" s="87">
        <v>2280</v>
      </c>
      <c r="N1216" s="85">
        <f>IFERROR(表格1[[#This Row],[QTY]]*表格1[[#This Row],[Unit Price]],"-")</f>
        <v>2280</v>
      </c>
      <c r="O1216" s="142">
        <v>900771</v>
      </c>
      <c r="R1216" s="86" t="str">
        <f>_xlfn.CONCAT(表格1[[#This Row],[Model]]," ",表格1[[#This Row],[inv no]])</f>
        <v>AW-Q901BPH(WW) 900771</v>
      </c>
      <c r="S1216" s="86">
        <f>_xlfn.XLOOKUP(表格1[[#This Row],[Model]],表格3[Model-Input-Ref2],表格3[SRP PRICE])</f>
        <v>3780</v>
      </c>
      <c r="T1216" s="43">
        <f>表格1[[#This Row],[Unit Price]]/表格1[[#This Row],[SRP]]</f>
        <v>0.60317460317460314</v>
      </c>
      <c r="U1216" s="86" t="str">
        <f>_xlfn.XLOOKUP(表格1[[#This Row],[Model]],表格3[Model-Input-Ref2],表格3[TOSHIBA/HIGHEST])</f>
        <v>Toshiba SRP</v>
      </c>
      <c r="V1216" s="86" t="s">
        <v>1126</v>
      </c>
      <c r="W1216" s="86" t="str">
        <f>_xlfn.CONCAT(表格1[[#This Row],[欄4]],表格1[[#This Row],[inv no]])</f>
        <v>DA141900771</v>
      </c>
    </row>
    <row r="1217" spans="1:23" hidden="1">
      <c r="A1217" s="81">
        <v>1215</v>
      </c>
      <c r="B1217" s="81" t="s">
        <v>1477</v>
      </c>
      <c r="C1217" s="81" t="s">
        <v>1478</v>
      </c>
      <c r="D1217" s="82" t="str">
        <f ca="1">OFFSET(Roster!$A$3,MATCH(表格1[[#This Row],[Location]]&amp;" "&amp;表格1[[#This Row],[Shop]]&amp;"*",Roster!$A$4:$A$72,0),DAY(表格1[[#This Row],[date]]),1,1)</f>
        <v>Vicky L</v>
      </c>
      <c r="E1217" s="81">
        <f>MONTH(表格1[[#This Row],[date]])</f>
        <v>3</v>
      </c>
      <c r="F1217" s="90">
        <v>46082</v>
      </c>
      <c r="G1217" s="81" t="str">
        <f>VLOOKUP("*"&amp;表格1[[#This Row],[Input]]&amp;"*",'Ref-List'!$B:$D,2,)</f>
        <v>RAC-07G3CVRG-HK</v>
      </c>
      <c r="H1217" s="81" t="str">
        <f>_xlfn.XLOOKUP(表格1[[#This Row],[Model]],表格3[Model-Input-Ref2],表格3[Product Line])</f>
        <v>3/4 匹 窗口式冷氣機(remote/fortress)</v>
      </c>
      <c r="I1217" s="81" t="str">
        <f>_xlfn.XLOOKUP(表格1[[#This Row],[Model]],表格3[Model-Input-Ref2],表格3[大小電])</f>
        <v>大電</v>
      </c>
      <c r="J1217" s="81" t="str">
        <f>_xlfn.XLOOKUP(表格1[[#This Row],[Model]],表格3[Model-Input-Ref2],表格3[Code])</f>
        <v>AC</v>
      </c>
      <c r="K1217" s="89" t="s">
        <v>664</v>
      </c>
      <c r="L1217" s="81">
        <v>1</v>
      </c>
      <c r="M1217" s="87">
        <v>3880</v>
      </c>
      <c r="N1217" s="85">
        <f>IFERROR(表格1[[#This Row],[QTY]]*表格1[[#This Row],[Unit Price]],"-")</f>
        <v>3880</v>
      </c>
      <c r="O1217" s="142">
        <v>814428</v>
      </c>
      <c r="R1217" s="86" t="str">
        <f>_xlfn.CONCAT(表格1[[#This Row],[Model]]," ",表格1[[#This Row],[inv no]])</f>
        <v>RAC-07G3CVRG-HK 814428</v>
      </c>
      <c r="S1217" s="86">
        <f>_xlfn.XLOOKUP(表格1[[#This Row],[Model]],表格3[Model-Input-Ref2],表格3[SRP PRICE])</f>
        <v>5580</v>
      </c>
      <c r="T1217" s="43">
        <f>表格1[[#This Row],[Unit Price]]/表格1[[#This Row],[SRP]]</f>
        <v>0.69534050179211471</v>
      </c>
      <c r="U1217" s="86" t="str">
        <f>_xlfn.XLOOKUP(表格1[[#This Row],[Model]],表格3[Model-Input-Ref2],表格3[TOSHIBA/HIGHEST])</f>
        <v>Toshiba SRP</v>
      </c>
      <c r="V1217" s="86" t="s">
        <v>1126</v>
      </c>
      <c r="W1217" s="86" t="str">
        <f>_xlfn.CONCAT(表格1[[#This Row],[欄4]],表格1[[#This Row],[inv no]])</f>
        <v>DA141814428</v>
      </c>
    </row>
    <row r="1218" spans="1:23" hidden="1">
      <c r="A1218" s="81">
        <v>1216</v>
      </c>
      <c r="B1218" s="81" t="s">
        <v>1477</v>
      </c>
      <c r="C1218" s="81" t="s">
        <v>1478</v>
      </c>
      <c r="D1218" s="82" t="str">
        <f ca="1">OFFSET(Roster!$A$3,MATCH(表格1[[#This Row],[Location]]&amp;" "&amp;表格1[[#This Row],[Shop]]&amp;"*",Roster!$A$4:$A$72,0),DAY(表格1[[#This Row],[date]]),1,1)</f>
        <v>Vicky L</v>
      </c>
      <c r="E1218" s="81">
        <f>MONTH(表格1[[#This Row],[date]])</f>
        <v>3</v>
      </c>
      <c r="F1218" s="90">
        <v>46082</v>
      </c>
      <c r="G1218" s="81" t="str">
        <f>VLOOKUP("*"&amp;表格1[[#This Row],[Input]]&amp;"*",'Ref-List'!$B:$D,2,)</f>
        <v>RAC-07G3CVRG-HK</v>
      </c>
      <c r="H1218" s="81" t="str">
        <f>_xlfn.XLOOKUP(表格1[[#This Row],[Model]],表格3[Model-Input-Ref2],表格3[Product Line])</f>
        <v>3/4 匹 窗口式冷氣機(remote/fortress)</v>
      </c>
      <c r="I1218" s="81" t="str">
        <f>_xlfn.XLOOKUP(表格1[[#This Row],[Model]],表格3[Model-Input-Ref2],表格3[大小電])</f>
        <v>大電</v>
      </c>
      <c r="J1218" s="81" t="str">
        <f>_xlfn.XLOOKUP(表格1[[#This Row],[Model]],表格3[Model-Input-Ref2],表格3[Code])</f>
        <v>AC</v>
      </c>
      <c r="K1218" s="89" t="s">
        <v>664</v>
      </c>
      <c r="L1218" s="81">
        <v>1</v>
      </c>
      <c r="M1218" s="87">
        <v>3880</v>
      </c>
      <c r="N1218" s="85">
        <f>IFERROR(表格1[[#This Row],[QTY]]*表格1[[#This Row],[Unit Price]],"-")</f>
        <v>3880</v>
      </c>
      <c r="O1218" s="142">
        <v>814482</v>
      </c>
      <c r="R1218" s="86" t="str">
        <f>_xlfn.CONCAT(表格1[[#This Row],[Model]]," ",表格1[[#This Row],[inv no]])</f>
        <v>RAC-07G3CVRG-HK 814482</v>
      </c>
      <c r="S1218" s="86">
        <f>_xlfn.XLOOKUP(表格1[[#This Row],[Model]],表格3[Model-Input-Ref2],表格3[SRP PRICE])</f>
        <v>5580</v>
      </c>
      <c r="T1218" s="43">
        <f>表格1[[#This Row],[Unit Price]]/表格1[[#This Row],[SRP]]</f>
        <v>0.69534050179211471</v>
      </c>
      <c r="U1218" s="86" t="str">
        <f>_xlfn.XLOOKUP(表格1[[#This Row],[Model]],表格3[Model-Input-Ref2],表格3[TOSHIBA/HIGHEST])</f>
        <v>Toshiba SRP</v>
      </c>
      <c r="V1218" s="86" t="s">
        <v>1126</v>
      </c>
      <c r="W1218" s="86" t="str">
        <f>_xlfn.CONCAT(表格1[[#This Row],[欄4]],表格1[[#This Row],[inv no]])</f>
        <v>DA141814482</v>
      </c>
    </row>
    <row r="1219" spans="1:23" hidden="1">
      <c r="A1219" s="81">
        <v>1217</v>
      </c>
      <c r="B1219" s="81" t="s">
        <v>1477</v>
      </c>
      <c r="C1219" s="81" t="s">
        <v>1478</v>
      </c>
      <c r="D1219" s="82" t="str">
        <f ca="1">OFFSET(Roster!$A$3,MATCH(表格1[[#This Row],[Location]]&amp;" "&amp;表格1[[#This Row],[Shop]]&amp;"*",Roster!$A$4:$A$72,0),DAY(表格1[[#This Row],[date]]),1,1)</f>
        <v>Vicky L</v>
      </c>
      <c r="E1219" s="81">
        <f>MONTH(表格1[[#This Row],[date]])</f>
        <v>3</v>
      </c>
      <c r="F1219" s="90">
        <v>46082</v>
      </c>
      <c r="G1219" s="81" t="str">
        <f>VLOOKUP("*"&amp;表格1[[#This Row],[Input]]&amp;"*",'Ref-List'!$B:$D,2,)</f>
        <v>TWD-T21BU95UWH(WW)</v>
      </c>
      <c r="H1219" s="81" t="str">
        <f>_xlfn.XLOOKUP(表格1[[#This Row],[Model]],表格3[Model-Input-Ref2],表格3[Product Line])</f>
        <v>470MM超薄身前置式變頻洗衣乾衣機 (洗8.5公斤 乾6公斤)</v>
      </c>
      <c r="I1219" s="81" t="str">
        <f>_xlfn.XLOOKUP(表格1[[#This Row],[Model]],表格3[Model-Input-Ref2],表格3[大小電])</f>
        <v>大電</v>
      </c>
      <c r="J1219" s="81" t="str">
        <f>_xlfn.XLOOKUP(表格1[[#This Row],[Model]],表格3[Model-Input-Ref2],表格3[Code])</f>
        <v>LAD</v>
      </c>
      <c r="K1219" s="89" t="s">
        <v>1461</v>
      </c>
      <c r="L1219" s="81">
        <v>1</v>
      </c>
      <c r="M1219" s="87">
        <v>4380</v>
      </c>
      <c r="N1219" s="85">
        <f>IFERROR(表格1[[#This Row],[QTY]]*表格1[[#This Row],[Unit Price]],"-")</f>
        <v>4380</v>
      </c>
      <c r="O1219" s="142">
        <v>814478</v>
      </c>
      <c r="R1219" s="86" t="str">
        <f>_xlfn.CONCAT(表格1[[#This Row],[Model]]," ",表格1[[#This Row],[inv no]])</f>
        <v>TWD-T21BU95UWH(WW) 814478</v>
      </c>
      <c r="S1219" s="86">
        <f>_xlfn.XLOOKUP(表格1[[#This Row],[Model]],表格3[Model-Input-Ref2],表格3[SRP PRICE])</f>
        <v>7280</v>
      </c>
      <c r="T1219" s="43">
        <f>表格1[[#This Row],[Unit Price]]/表格1[[#This Row],[SRP]]</f>
        <v>0.60164835164835162</v>
      </c>
      <c r="U1219" s="86" t="str">
        <f>_xlfn.XLOOKUP(表格1[[#This Row],[Model]],表格3[Model-Input-Ref2],表格3[TOSHIBA/HIGHEST])</f>
        <v>Toshiba SRP</v>
      </c>
      <c r="V1219" s="86" t="s">
        <v>1126</v>
      </c>
      <c r="W1219" s="86" t="str">
        <f>_xlfn.CONCAT(表格1[[#This Row],[欄4]],表格1[[#This Row],[inv no]])</f>
        <v>DA141814478</v>
      </c>
    </row>
    <row r="1220" spans="1:23" hidden="1">
      <c r="A1220" s="81">
        <v>1218</v>
      </c>
      <c r="B1220" s="81" t="s">
        <v>1477</v>
      </c>
      <c r="C1220" s="81" t="s">
        <v>1478</v>
      </c>
      <c r="D1220" s="82" t="str">
        <f ca="1">OFFSET(Roster!$A$3,MATCH(表格1[[#This Row],[Location]]&amp;" "&amp;表格1[[#This Row],[Shop]]&amp;"*",Roster!$A$4:$A$72,0),DAY(表格1[[#This Row],[date]]),1,1)</f>
        <v>Vicky L</v>
      </c>
      <c r="E1220" s="81">
        <f>MONTH(表格1[[#This Row],[date]])</f>
        <v>3</v>
      </c>
      <c r="F1220" s="90">
        <v>46082</v>
      </c>
      <c r="G1220" s="81" t="str">
        <f>VLOOKUP("*"&amp;表格1[[#This Row],[Input]]&amp;"*",'Ref-List'!$B:$D,2,)</f>
        <v>GR-RT300WE-PMA(57)</v>
      </c>
      <c r="H1220" s="81" t="str">
        <f>_xlfn.XLOOKUP(表格1[[#This Row],[Model]],表格3[Model-Input-Ref2],表格3[Product Line])</f>
        <v>變頻式環保雙門雪櫃(233L)</v>
      </c>
      <c r="I1220" s="81" t="str">
        <f>_xlfn.XLOOKUP(表格1[[#This Row],[Model]],表格3[Model-Input-Ref2],表格3[大小電])</f>
        <v>大電</v>
      </c>
      <c r="J1220" s="81" t="str">
        <f>_xlfn.XLOOKUP(表格1[[#This Row],[Model]],表格3[Model-Input-Ref2],表格3[Code])</f>
        <v>REF</v>
      </c>
      <c r="K1220" s="89" t="s">
        <v>1462</v>
      </c>
      <c r="L1220" s="81">
        <v>1</v>
      </c>
      <c r="M1220" s="87">
        <v>2780</v>
      </c>
      <c r="N1220" s="85">
        <f>IFERROR(表格1[[#This Row],[QTY]]*表格1[[#This Row],[Unit Price]],"-")</f>
        <v>2780</v>
      </c>
      <c r="O1220" s="142">
        <v>814423</v>
      </c>
      <c r="R1220" s="86" t="str">
        <f>_xlfn.CONCAT(表格1[[#This Row],[Model]]," ",表格1[[#This Row],[inv no]])</f>
        <v>GR-RT300WE-PMA(57) 814423</v>
      </c>
      <c r="S1220" s="86">
        <f>_xlfn.XLOOKUP(表格1[[#This Row],[Model]],表格3[Model-Input-Ref2],表格3[SRP PRICE])</f>
        <v>4280</v>
      </c>
      <c r="T1220" s="43">
        <f>表格1[[#This Row],[Unit Price]]/表格1[[#This Row],[SRP]]</f>
        <v>0.64953271028037385</v>
      </c>
      <c r="U1220" s="86" t="str">
        <f>_xlfn.XLOOKUP(表格1[[#This Row],[Model]],表格3[Model-Input-Ref2],表格3[TOSHIBA/HIGHEST])</f>
        <v>Toshiba SRP</v>
      </c>
      <c r="V1220" s="86" t="s">
        <v>1126</v>
      </c>
      <c r="W1220" s="86" t="str">
        <f>_xlfn.CONCAT(表格1[[#This Row],[欄4]],表格1[[#This Row],[inv no]])</f>
        <v>DA141814423</v>
      </c>
    </row>
    <row r="1221" spans="1:23" hidden="1">
      <c r="A1221" s="81">
        <v>1219</v>
      </c>
      <c r="B1221" s="81" t="s">
        <v>1477</v>
      </c>
      <c r="C1221" s="81" t="s">
        <v>1478</v>
      </c>
      <c r="D1221" s="82" t="str">
        <f ca="1">OFFSET(Roster!$A$3,MATCH(表格1[[#This Row],[Location]]&amp;" "&amp;表格1[[#This Row],[Shop]]&amp;"*",Roster!$A$4:$A$72,0),DAY(表格1[[#This Row],[date]]),1,1)</f>
        <v>Vicky L</v>
      </c>
      <c r="E1221" s="81">
        <f>MONTH(表格1[[#This Row],[date]])</f>
        <v>3</v>
      </c>
      <c r="F1221" s="90">
        <v>46082</v>
      </c>
      <c r="G1221" s="81" t="str">
        <f>VLOOKUP("*"&amp;表格1[[#This Row],[Input]]&amp;"*",'Ref-List'!$B:$D,2,)</f>
        <v>RAD-D300H</v>
      </c>
      <c r="H1221" s="81" t="str">
        <f>_xlfn.XLOOKUP(表格1[[#This Row],[Model]],表格3[Model-Input-Ref2],表格3[Product Line])</f>
        <v>壓縮式抽濕機 (30公升)</v>
      </c>
      <c r="I1221" s="81" t="str">
        <f>_xlfn.XLOOKUP(表格1[[#This Row],[Model]],表格3[Model-Input-Ref2],表格3[大小電])</f>
        <v>細電</v>
      </c>
      <c r="J1221" s="81" t="str">
        <f>_xlfn.XLOOKUP(表格1[[#This Row],[Model]],表格3[Model-Input-Ref2],表格3[Code])</f>
        <v>RAC</v>
      </c>
      <c r="K1221" s="89" t="s">
        <v>1252</v>
      </c>
      <c r="L1221" s="81">
        <v>2</v>
      </c>
      <c r="M1221" s="87">
        <v>2280</v>
      </c>
      <c r="N1221" s="85">
        <f>IFERROR(表格1[[#This Row],[QTY]]*表格1[[#This Row],[Unit Price]],"-")</f>
        <v>4560</v>
      </c>
      <c r="O1221" s="86">
        <v>814438</v>
      </c>
      <c r="P1221" s="86" t="s">
        <v>1501</v>
      </c>
      <c r="R1221" s="86" t="str">
        <f>_xlfn.CONCAT(表格1[[#This Row],[Model]]," ",表格1[[#This Row],[inv no]])</f>
        <v>RAD-D300H 814438</v>
      </c>
      <c r="S1221" s="86">
        <f>_xlfn.XLOOKUP(表格1[[#This Row],[Model]],表格3[Model-Input-Ref2],表格3[SRP PRICE])</f>
        <v>3380</v>
      </c>
      <c r="T1221" s="43">
        <f>表格1[[#This Row],[Unit Price]]/表格1[[#This Row],[SRP]]</f>
        <v>0.67455621301775148</v>
      </c>
      <c r="U1221" s="86" t="str">
        <f>_xlfn.XLOOKUP(表格1[[#This Row],[Model]],表格3[Model-Input-Ref2],表格3[TOSHIBA/HIGHEST])</f>
        <v>Shops Highest Price</v>
      </c>
      <c r="V1221" s="86" t="s">
        <v>1126</v>
      </c>
      <c r="W1221" s="86" t="str">
        <f>_xlfn.CONCAT(表格1[[#This Row],[欄4]],表格1[[#This Row],[inv no]])</f>
        <v>DA141814438</v>
      </c>
    </row>
    <row r="1222" spans="1:23" hidden="1">
      <c r="A1222" s="81">
        <v>1220</v>
      </c>
      <c r="B1222" s="81" t="s">
        <v>1477</v>
      </c>
      <c r="C1222" s="81" t="s">
        <v>1478</v>
      </c>
      <c r="D1222" s="82" t="str">
        <f ca="1">OFFSET(Roster!$A$3,MATCH(表格1[[#This Row],[Location]]&amp;" "&amp;表格1[[#This Row],[Shop]]&amp;"*",Roster!$A$4:$A$72,0),DAY(表格1[[#This Row],[date]]),1,1)</f>
        <v>Vicky L</v>
      </c>
      <c r="E1222" s="81">
        <f>MONTH(表格1[[#This Row],[date]])</f>
        <v>3</v>
      </c>
      <c r="F1222" s="90">
        <v>46082</v>
      </c>
      <c r="G1222" s="81" t="str">
        <f>VLOOKUP("*"&amp;表格1[[#This Row],[Input]]&amp;"*",'Ref-List'!$B:$D,2,)</f>
        <v>Model-Input-Ref2</v>
      </c>
      <c r="H1222" s="81" t="e">
        <f>_xlfn.XLOOKUP(表格1[[#This Row],[Model]],表格3[Model-Input-Ref2],表格3[Product Line])</f>
        <v>#N/A</v>
      </c>
      <c r="I1222" s="81" t="e">
        <f>_xlfn.XLOOKUP(表格1[[#This Row],[Model]],表格3[Model-Input-Ref2],表格3[大小電])</f>
        <v>#N/A</v>
      </c>
      <c r="J1222" s="81" t="e">
        <f>_xlfn.XLOOKUP(表格1[[#This Row],[Model]],表格3[Model-Input-Ref2],表格3[Code])</f>
        <v>#N/A</v>
      </c>
      <c r="L1222" s="81"/>
      <c r="N1222" s="85">
        <f>IFERROR(表格1[[#This Row],[QTY]]*表格1[[#This Row],[Unit Price]],"-")</f>
        <v>0</v>
      </c>
      <c r="R1222" s="86" t="str">
        <f>_xlfn.CONCAT(表格1[[#This Row],[Model]]," ",表格1[[#This Row],[inv no]])</f>
        <v xml:space="preserve">Model-Input-Ref2 </v>
      </c>
      <c r="S1222" s="86" t="e">
        <f>_xlfn.XLOOKUP(表格1[[#This Row],[Model]],表格3[Model-Input-Ref2],表格3[SRP PRICE])</f>
        <v>#N/A</v>
      </c>
      <c r="T1222" s="43" t="e">
        <f>表格1[[#This Row],[Unit Price]]/表格1[[#This Row],[SRP]]</f>
        <v>#N/A</v>
      </c>
      <c r="U1222" s="86" t="e">
        <f>_xlfn.XLOOKUP(表格1[[#This Row],[Model]],表格3[Model-Input-Ref2],表格3[TOSHIBA/HIGHEST])</f>
        <v>#N/A</v>
      </c>
      <c r="V1222" s="86" t="s">
        <v>1126</v>
      </c>
      <c r="W1222" s="86" t="str">
        <f>_xlfn.CONCAT(表格1[[#This Row],[欄4]],表格1[[#This Row],[inv no]])</f>
        <v>DA141</v>
      </c>
    </row>
    <row r="1223" spans="1:23" hidden="1">
      <c r="A1223" s="81">
        <v>1221</v>
      </c>
      <c r="B1223" s="81" t="s">
        <v>1477</v>
      </c>
      <c r="C1223" s="81" t="s">
        <v>1478</v>
      </c>
      <c r="D1223" s="82" t="str">
        <f ca="1">OFFSET(Roster!$A$3,MATCH(表格1[[#This Row],[Location]]&amp;" "&amp;表格1[[#This Row],[Shop]]&amp;"*",Roster!$A$4:$A$72,0),DAY(表格1[[#This Row],[date]]),1,1)</f>
        <v>Vicky L</v>
      </c>
      <c r="E1223" s="81">
        <f>MONTH(表格1[[#This Row],[date]])</f>
        <v>3</v>
      </c>
      <c r="F1223" s="90">
        <v>46082</v>
      </c>
      <c r="G1223" s="81" t="str">
        <f>VLOOKUP("*"&amp;表格1[[#This Row],[Input]]&amp;"*",'Ref-List'!$B:$D,2,)</f>
        <v>MX2-TT20SC(WH)</v>
      </c>
      <c r="H1223" s="81" t="str">
        <f>_xlfn.XLOOKUP(表格1[[#This Row],[Model]],表格3[Model-Input-Ref2],表格3[Product Line])</f>
        <v>3合1 微波蒸焗爐 (20公升)</v>
      </c>
      <c r="I1223" s="81" t="str">
        <f>_xlfn.XLOOKUP(表格1[[#This Row],[Model]],表格3[Model-Input-Ref2],表格3[大小電])</f>
        <v>細電</v>
      </c>
      <c r="J1223" s="81" t="str">
        <f>_xlfn.XLOOKUP(表格1[[#This Row],[Model]],表格3[Model-Input-Ref2],表格3[Code])</f>
        <v>MCA</v>
      </c>
      <c r="K1223" s="89" t="s">
        <v>1287</v>
      </c>
      <c r="L1223" s="81">
        <v>1</v>
      </c>
      <c r="M1223" s="87">
        <v>2580</v>
      </c>
      <c r="N1223" s="85">
        <f>IFERROR(表格1[[#This Row],[QTY]]*表格1[[#This Row],[Unit Price]],"-")</f>
        <v>2580</v>
      </c>
      <c r="O1223" s="86">
        <v>814466</v>
      </c>
      <c r="R1223" s="86" t="str">
        <f>_xlfn.CONCAT(表格1[[#This Row],[Model]]," ",表格1[[#This Row],[inv no]])</f>
        <v>MX2-TT20SC(WH) 814466</v>
      </c>
      <c r="S1223" s="86">
        <f>_xlfn.XLOOKUP(表格1[[#This Row],[Model]],表格3[Model-Input-Ref2],表格3[SRP PRICE])</f>
        <v>3580</v>
      </c>
      <c r="T1223" s="43">
        <f>表格1[[#This Row],[Unit Price]]/表格1[[#This Row],[SRP]]</f>
        <v>0.72067039106145248</v>
      </c>
      <c r="U1223" s="86" t="str">
        <f>_xlfn.XLOOKUP(表格1[[#This Row],[Model]],表格3[Model-Input-Ref2],表格3[TOSHIBA/HIGHEST])</f>
        <v>Toshiba SRP</v>
      </c>
      <c r="V1223" s="86" t="s">
        <v>1126</v>
      </c>
      <c r="W1223" s="86" t="str">
        <f>_xlfn.CONCAT(表格1[[#This Row],[欄4]],表格1[[#This Row],[inv no]])</f>
        <v>DA141814466</v>
      </c>
    </row>
    <row r="1224" spans="1:23" hidden="1">
      <c r="A1224" s="81">
        <v>1222</v>
      </c>
      <c r="B1224" s="81" t="s">
        <v>1477</v>
      </c>
      <c r="C1224" s="81" t="s">
        <v>1478</v>
      </c>
      <c r="D1224" s="82" t="str">
        <f ca="1">OFFSET(Roster!$A$3,MATCH(表格1[[#This Row],[Location]]&amp;" "&amp;表格1[[#This Row],[Shop]]&amp;"*",Roster!$A$4:$A$72,0),DAY(表格1[[#This Row],[date]]),1,1)</f>
        <v>Vicky L</v>
      </c>
      <c r="E1224" s="81">
        <f>MONTH(表格1[[#This Row],[date]])</f>
        <v>3</v>
      </c>
      <c r="F1224" s="90">
        <v>46082</v>
      </c>
      <c r="G1224" s="81" t="str">
        <f>VLOOKUP("*"&amp;表格1[[#This Row],[Input]]&amp;"*",'Ref-List'!$B:$D,2,)</f>
        <v>RAD-D300H</v>
      </c>
      <c r="H1224" s="81" t="str">
        <f>_xlfn.XLOOKUP(表格1[[#This Row],[Model]],表格3[Model-Input-Ref2],表格3[Product Line])</f>
        <v>壓縮式抽濕機 (30公升)</v>
      </c>
      <c r="I1224" s="81" t="str">
        <f>_xlfn.XLOOKUP(表格1[[#This Row],[Model]],表格3[Model-Input-Ref2],表格3[大小電])</f>
        <v>細電</v>
      </c>
      <c r="J1224" s="81" t="str">
        <f>_xlfn.XLOOKUP(表格1[[#This Row],[Model]],表格3[Model-Input-Ref2],表格3[Code])</f>
        <v>RAC</v>
      </c>
      <c r="K1224" s="89" t="s">
        <v>1252</v>
      </c>
      <c r="L1224" s="81">
        <v>1</v>
      </c>
      <c r="M1224" s="87">
        <v>2280</v>
      </c>
      <c r="N1224" s="85">
        <f>IFERROR(表格1[[#This Row],[QTY]]*表格1[[#This Row],[Unit Price]],"-")</f>
        <v>2280</v>
      </c>
      <c r="O1224" s="86">
        <v>900774</v>
      </c>
      <c r="R1224" s="86" t="str">
        <f>_xlfn.CONCAT(表格1[[#This Row],[Model]]," ",表格1[[#This Row],[inv no]])</f>
        <v>RAD-D300H 900774</v>
      </c>
      <c r="S1224" s="86">
        <f>_xlfn.XLOOKUP(表格1[[#This Row],[Model]],表格3[Model-Input-Ref2],表格3[SRP PRICE])</f>
        <v>3380</v>
      </c>
      <c r="T1224" s="43">
        <f>表格1[[#This Row],[Unit Price]]/表格1[[#This Row],[SRP]]</f>
        <v>0.67455621301775148</v>
      </c>
      <c r="U1224" s="86" t="str">
        <f>_xlfn.XLOOKUP(表格1[[#This Row],[Model]],表格3[Model-Input-Ref2],表格3[TOSHIBA/HIGHEST])</f>
        <v>Shops Highest Price</v>
      </c>
      <c r="V1224" s="86" t="s">
        <v>1126</v>
      </c>
      <c r="W1224" s="86" t="str">
        <f>_xlfn.CONCAT(表格1[[#This Row],[欄4]],表格1[[#This Row],[inv no]])</f>
        <v>DA141900774</v>
      </c>
    </row>
    <row r="1225" spans="1:23" hidden="1">
      <c r="A1225" s="81">
        <v>1223</v>
      </c>
      <c r="B1225" s="81" t="s">
        <v>1477</v>
      </c>
      <c r="C1225" s="81" t="s">
        <v>1478</v>
      </c>
      <c r="D1225" s="82" t="str">
        <f ca="1">OFFSET(Roster!$A$3,MATCH(表格1[[#This Row],[Location]]&amp;" "&amp;表格1[[#This Row],[Shop]]&amp;"*",Roster!$A$4:$A$72,0),DAY(表格1[[#This Row],[date]]),1,1)</f>
        <v>Vicky L</v>
      </c>
      <c r="E1225" s="81">
        <f>MONTH(表格1[[#This Row],[date]])</f>
        <v>3</v>
      </c>
      <c r="F1225" s="90">
        <v>46082</v>
      </c>
      <c r="G1225" s="81" t="str">
        <f>VLOOKUP("*"&amp;表格1[[#This Row],[Input]]&amp;"*",'Ref-List'!$B:$D,2,)</f>
        <v>RAD-D300H</v>
      </c>
      <c r="H1225" s="81" t="str">
        <f>_xlfn.XLOOKUP(表格1[[#This Row],[Model]],表格3[Model-Input-Ref2],表格3[Product Line])</f>
        <v>壓縮式抽濕機 (30公升)</v>
      </c>
      <c r="I1225" s="81" t="str">
        <f>_xlfn.XLOOKUP(表格1[[#This Row],[Model]],表格3[Model-Input-Ref2],表格3[大小電])</f>
        <v>細電</v>
      </c>
      <c r="J1225" s="81" t="str">
        <f>_xlfn.XLOOKUP(表格1[[#This Row],[Model]],表格3[Model-Input-Ref2],表格3[Code])</f>
        <v>RAC</v>
      </c>
      <c r="K1225" s="89" t="s">
        <v>1252</v>
      </c>
      <c r="L1225" s="81">
        <v>1</v>
      </c>
      <c r="M1225" s="87">
        <v>2280</v>
      </c>
      <c r="N1225" s="85">
        <f>IFERROR(表格1[[#This Row],[QTY]]*表格1[[#This Row],[Unit Price]],"-")</f>
        <v>2280</v>
      </c>
      <c r="O1225" s="86">
        <v>900775</v>
      </c>
      <c r="R1225" s="86" t="str">
        <f>_xlfn.CONCAT(表格1[[#This Row],[Model]]," ",表格1[[#This Row],[inv no]])</f>
        <v>RAD-D300H 900775</v>
      </c>
      <c r="S1225" s="86">
        <f>_xlfn.XLOOKUP(表格1[[#This Row],[Model]],表格3[Model-Input-Ref2],表格3[SRP PRICE])</f>
        <v>3380</v>
      </c>
      <c r="T1225" s="43">
        <f>表格1[[#This Row],[Unit Price]]/表格1[[#This Row],[SRP]]</f>
        <v>0.67455621301775148</v>
      </c>
      <c r="U1225" s="86" t="str">
        <f>_xlfn.XLOOKUP(表格1[[#This Row],[Model]],表格3[Model-Input-Ref2],表格3[TOSHIBA/HIGHEST])</f>
        <v>Shops Highest Price</v>
      </c>
      <c r="V1225" s="86" t="s">
        <v>1126</v>
      </c>
      <c r="W1225" s="86" t="str">
        <f>_xlfn.CONCAT(表格1[[#This Row],[欄4]],表格1[[#This Row],[inv no]])</f>
        <v>DA141900775</v>
      </c>
    </row>
    <row r="1226" spans="1:23" hidden="1">
      <c r="A1226" s="81">
        <v>1224</v>
      </c>
      <c r="B1226" s="81" t="s">
        <v>1477</v>
      </c>
      <c r="C1226" s="81" t="s">
        <v>1478</v>
      </c>
      <c r="D1226" s="82" t="str">
        <f ca="1">OFFSET(Roster!$A$3,MATCH(表格1[[#This Row],[Location]]&amp;" "&amp;表格1[[#This Row],[Shop]]&amp;"*",Roster!$A$4:$A$72,0),DAY(表格1[[#This Row],[date]]),1,1)</f>
        <v>Vicky L</v>
      </c>
      <c r="E1226" s="81">
        <f>MONTH(表格1[[#This Row],[date]])</f>
        <v>3</v>
      </c>
      <c r="F1226" s="90">
        <v>46082</v>
      </c>
      <c r="G1226" s="81" t="str">
        <f>VLOOKUP("*"&amp;表格1[[#This Row],[Input]]&amp;"*",'Ref-List'!$B:$D,2,)</f>
        <v>GR-RM598WE-PGA(B3)</v>
      </c>
      <c r="H1226" s="81" t="str">
        <f>_xlfn.XLOOKUP(表格1[[#This Row],[Model]],表格3[Model-Input-Ref2],表格3[Product Line])</f>
        <v>變頻六門雪櫃(451L)</v>
      </c>
      <c r="I1226" s="81" t="str">
        <f>_xlfn.XLOOKUP(表格1[[#This Row],[Model]],表格3[Model-Input-Ref2],表格3[大小電])</f>
        <v>大電</v>
      </c>
      <c r="J1226" s="81" t="str">
        <f>_xlfn.XLOOKUP(表格1[[#This Row],[Model]],表格3[Model-Input-Ref2],表格3[Code])</f>
        <v>REF</v>
      </c>
      <c r="K1226" s="89" t="s">
        <v>1491</v>
      </c>
      <c r="L1226" s="81">
        <v>1</v>
      </c>
      <c r="M1226" s="87">
        <v>10990</v>
      </c>
      <c r="N1226" s="85">
        <f>IFERROR(表格1[[#This Row],[QTY]]*表格1[[#This Row],[Unit Price]],"-")</f>
        <v>10990</v>
      </c>
      <c r="O1226" s="142">
        <v>900816</v>
      </c>
      <c r="R1226" s="86" t="str">
        <f>_xlfn.CONCAT(表格1[[#This Row],[Model]]," ",表格1[[#This Row],[inv no]])</f>
        <v>GR-RM598WE-PGA(B3) 900816</v>
      </c>
      <c r="S1226" s="86">
        <f>_xlfn.XLOOKUP(表格1[[#This Row],[Model]],表格3[Model-Input-Ref2],表格3[SRP PRICE])</f>
        <v>14980</v>
      </c>
      <c r="T1226" s="43">
        <f>表格1[[#This Row],[Unit Price]]/表格1[[#This Row],[SRP]]</f>
        <v>0.73364485981308414</v>
      </c>
      <c r="U1226" s="86" t="str">
        <f>_xlfn.XLOOKUP(表格1[[#This Row],[Model]],表格3[Model-Input-Ref2],表格3[TOSHIBA/HIGHEST])</f>
        <v>Toshiba SRP</v>
      </c>
      <c r="V1226" s="86" t="s">
        <v>1126</v>
      </c>
      <c r="W1226" s="86" t="str">
        <f>_xlfn.CONCAT(表格1[[#This Row],[欄4]],表格1[[#This Row],[inv no]])</f>
        <v>DA141900816</v>
      </c>
    </row>
    <row r="1227" spans="1:23" hidden="1">
      <c r="A1227" s="81">
        <v>1225</v>
      </c>
      <c r="B1227" s="81" t="s">
        <v>1477</v>
      </c>
      <c r="C1227" s="81" t="s">
        <v>1478</v>
      </c>
      <c r="D1227" s="82" t="str">
        <f ca="1">OFFSET(Roster!$A$3,MATCH(表格1[[#This Row],[Location]]&amp;" "&amp;表格1[[#This Row],[Shop]]&amp;"*",Roster!$A$4:$A$72,0),DAY(表格1[[#This Row],[date]]),1,1)</f>
        <v>Vicky L</v>
      </c>
      <c r="E1227" s="81">
        <f>MONTH(表格1[[#This Row],[date]])</f>
        <v>3</v>
      </c>
      <c r="F1227" s="90">
        <v>46083</v>
      </c>
      <c r="G1227" s="81" t="str">
        <f>VLOOKUP("*"&amp;表格1[[#This Row],[Input]]&amp;"*",'Ref-List'!$B:$D,2,)</f>
        <v>GR-RT234WE-PMA(57)</v>
      </c>
      <c r="H1227" s="81" t="str">
        <f>_xlfn.XLOOKUP(表格1[[#This Row],[Model]],表格3[Model-Input-Ref2],表格3[Product Line])</f>
        <v>變頻式環保雙門雪櫃（179L）</v>
      </c>
      <c r="I1227" s="81" t="str">
        <f>_xlfn.XLOOKUP(表格1[[#This Row],[Model]],表格3[Model-Input-Ref2],表格3[大小電])</f>
        <v>大電</v>
      </c>
      <c r="J1227" s="81" t="str">
        <f>_xlfn.XLOOKUP(表格1[[#This Row],[Model]],表格3[Model-Input-Ref2],表格3[Code])</f>
        <v>REF</v>
      </c>
      <c r="K1227" s="89" t="s">
        <v>1423</v>
      </c>
      <c r="L1227" s="81">
        <v>1</v>
      </c>
      <c r="M1227" s="87">
        <v>1782</v>
      </c>
      <c r="N1227" s="85">
        <f>IFERROR(表格1[[#This Row],[QTY]]*表格1[[#This Row],[Unit Price]],"-")</f>
        <v>1782</v>
      </c>
      <c r="O1227" s="86">
        <v>814602</v>
      </c>
      <c r="R1227" s="86" t="str">
        <f>_xlfn.CONCAT(表格1[[#This Row],[Model]]," ",表格1[[#This Row],[inv no]])</f>
        <v>GR-RT234WE-PMA(57) 814602</v>
      </c>
      <c r="S1227" s="86">
        <f>_xlfn.XLOOKUP(表格1[[#This Row],[Model]],表格3[Model-Input-Ref2],表格3[SRP PRICE])</f>
        <v>3680</v>
      </c>
      <c r="T1227" s="43">
        <f>表格1[[#This Row],[Unit Price]]/表格1[[#This Row],[SRP]]</f>
        <v>0.48423913043478262</v>
      </c>
      <c r="U1227" s="86" t="str">
        <f>_xlfn.XLOOKUP(表格1[[#This Row],[Model]],表格3[Model-Input-Ref2],表格3[TOSHIBA/HIGHEST])</f>
        <v>Toshiba SRP</v>
      </c>
      <c r="V1227" s="86" t="s">
        <v>1126</v>
      </c>
      <c r="W1227" s="86" t="str">
        <f>_xlfn.CONCAT(表格1[[#This Row],[欄4]],表格1[[#This Row],[inv no]])</f>
        <v>DA141814602</v>
      </c>
    </row>
    <row r="1228" spans="1:23" hidden="1">
      <c r="A1228" s="81">
        <v>1226</v>
      </c>
      <c r="B1228" s="81" t="s">
        <v>1477</v>
      </c>
      <c r="C1228" s="81" t="s">
        <v>1478</v>
      </c>
      <c r="D1228" s="82" t="str">
        <f ca="1">OFFSET(Roster!$A$3,MATCH(表格1[[#This Row],[Location]]&amp;" "&amp;表格1[[#This Row],[Shop]]&amp;"*",Roster!$A$4:$A$72,0),DAY(表格1[[#This Row],[date]]),1,1)</f>
        <v>Vicky L</v>
      </c>
      <c r="E1228" s="81">
        <f>MONTH(表格1[[#This Row],[date]])</f>
        <v>3</v>
      </c>
      <c r="F1228" s="90">
        <v>46083</v>
      </c>
      <c r="G1228" s="81" t="str">
        <f>VLOOKUP("*"&amp;表格1[[#This Row],[Input]]&amp;"*",'Ref-List'!$B:$D,2,)</f>
        <v>TW-T21BU80UWH(MG)</v>
      </c>
      <c r="H1228" s="81" t="str">
        <f>_xlfn.XLOOKUP(表格1[[#This Row],[Model]],表格3[Model-Input-Ref2],表格3[Product Line])</f>
        <v>400MM超薄身前置式變頻洗衣機(7公斤)</v>
      </c>
      <c r="I1228" s="81" t="str">
        <f>_xlfn.XLOOKUP(表格1[[#This Row],[Model]],表格3[Model-Input-Ref2],表格3[大小電])</f>
        <v>大電</v>
      </c>
      <c r="J1228" s="81" t="str">
        <f>_xlfn.XLOOKUP(表格1[[#This Row],[Model]],表格3[Model-Input-Ref2],表格3[Code])</f>
        <v>LAD</v>
      </c>
      <c r="K1228" s="89" t="s">
        <v>1280</v>
      </c>
      <c r="L1228" s="81">
        <v>1</v>
      </c>
      <c r="M1228" s="87">
        <v>2781</v>
      </c>
      <c r="N1228" s="85">
        <f>IFERROR(表格1[[#This Row],[QTY]]*表格1[[#This Row],[Unit Price]],"-")</f>
        <v>2781</v>
      </c>
      <c r="O1228" s="86">
        <v>814602</v>
      </c>
      <c r="R1228" s="86" t="str">
        <f>_xlfn.CONCAT(表格1[[#This Row],[Model]]," ",表格1[[#This Row],[inv no]])</f>
        <v>TW-T21BU80UWH(MG) 814602</v>
      </c>
      <c r="S1228" s="86">
        <f>_xlfn.XLOOKUP(表格1[[#This Row],[Model]],表格3[Model-Input-Ref2],表格3[SRP PRICE])</f>
        <v>5180</v>
      </c>
      <c r="T1228" s="43">
        <f>表格1[[#This Row],[Unit Price]]/表格1[[#This Row],[SRP]]</f>
        <v>0.53687258687258688</v>
      </c>
      <c r="U1228" s="86" t="str">
        <f>_xlfn.XLOOKUP(表格1[[#This Row],[Model]],表格3[Model-Input-Ref2],表格3[TOSHIBA/HIGHEST])</f>
        <v>Toshiba SRP</v>
      </c>
      <c r="V1228" s="86" t="s">
        <v>1126</v>
      </c>
      <c r="W1228" s="86" t="str">
        <f>_xlfn.CONCAT(表格1[[#This Row],[欄4]],表格1[[#This Row],[inv no]])</f>
        <v>DA141814602</v>
      </c>
    </row>
    <row r="1229" spans="1:23" hidden="1">
      <c r="A1229" s="81">
        <v>1227</v>
      </c>
      <c r="B1229" s="81" t="s">
        <v>1477</v>
      </c>
      <c r="C1229" s="81" t="s">
        <v>1478</v>
      </c>
      <c r="D1229" s="82" t="str">
        <f ca="1">OFFSET(Roster!$A$3,MATCH(表格1[[#This Row],[Location]]&amp;" "&amp;表格1[[#This Row],[Shop]]&amp;"*",Roster!$A$4:$A$72,0),DAY(表格1[[#This Row],[date]]),1,1)</f>
        <v>Vicky L</v>
      </c>
      <c r="E1229" s="81">
        <f>MONTH(表格1[[#This Row],[date]])</f>
        <v>3</v>
      </c>
      <c r="F1229" s="90">
        <v>46083</v>
      </c>
      <c r="G1229" s="81" t="str">
        <f>VLOOKUP("*"&amp;表格1[[#This Row],[Input]]&amp;"*",'Ref-List'!$B:$D,2,)</f>
        <v>GR-RB221WE-PMA(57)</v>
      </c>
      <c r="H1229" s="81" t="str">
        <f>_xlfn.XLOOKUP(表格1[[#This Row],[Model]],表格3[Model-Input-Ref2],表格3[Product Line])</f>
        <v>變頻下置式雙門雪櫃（163L）</v>
      </c>
      <c r="I1229" s="81" t="str">
        <f>_xlfn.XLOOKUP(表格1[[#This Row],[Model]],表格3[Model-Input-Ref2],表格3[大小電])</f>
        <v>大電</v>
      </c>
      <c r="J1229" s="81" t="str">
        <f>_xlfn.XLOOKUP(表格1[[#This Row],[Model]],表格3[Model-Input-Ref2],表格3[Code])</f>
        <v>REF</v>
      </c>
      <c r="K1229" s="89" t="s">
        <v>1386</v>
      </c>
      <c r="L1229" s="81">
        <v>1</v>
      </c>
      <c r="M1229" s="87">
        <v>2380</v>
      </c>
      <c r="N1229" s="85">
        <f>IFERROR(表格1[[#This Row],[QTY]]*表格1[[#This Row],[Unit Price]],"-")</f>
        <v>2380</v>
      </c>
      <c r="O1229" s="142">
        <v>814611</v>
      </c>
      <c r="R1229" s="86" t="str">
        <f>_xlfn.CONCAT(表格1[[#This Row],[Model]]," ",表格1[[#This Row],[inv no]])</f>
        <v>GR-RB221WE-PMA(57) 814611</v>
      </c>
      <c r="S1229" s="86">
        <f>_xlfn.XLOOKUP(表格1[[#This Row],[Model]],表格3[Model-Input-Ref2],表格3[SRP PRICE])</f>
        <v>3480</v>
      </c>
      <c r="T1229" s="43">
        <f>表格1[[#This Row],[Unit Price]]/表格1[[#This Row],[SRP]]</f>
        <v>0.68390804597701149</v>
      </c>
      <c r="U1229" s="86" t="str">
        <f>_xlfn.XLOOKUP(表格1[[#This Row],[Model]],表格3[Model-Input-Ref2],表格3[TOSHIBA/HIGHEST])</f>
        <v>Toshiba SRP</v>
      </c>
      <c r="V1229" s="86" t="s">
        <v>1126</v>
      </c>
      <c r="W1229" s="86" t="str">
        <f>_xlfn.CONCAT(表格1[[#This Row],[欄4]],表格1[[#This Row],[inv no]])</f>
        <v>DA141814611</v>
      </c>
    </row>
    <row r="1230" spans="1:23" hidden="1">
      <c r="A1230" s="81">
        <v>1228</v>
      </c>
      <c r="B1230" s="81" t="s">
        <v>1477</v>
      </c>
      <c r="C1230" s="81" t="s">
        <v>1478</v>
      </c>
      <c r="D1230" s="82" t="str">
        <f ca="1">OFFSET(Roster!$A$3,MATCH(表格1[[#This Row],[Location]]&amp;" "&amp;表格1[[#This Row],[Shop]]&amp;"*",Roster!$A$4:$A$72,0),DAY(表格1[[#This Row],[date]]),1,1)</f>
        <v>Vicky L</v>
      </c>
      <c r="E1230" s="81">
        <f>MONTH(表格1[[#This Row],[date]])</f>
        <v>3</v>
      </c>
      <c r="F1230" s="90">
        <v>46083</v>
      </c>
      <c r="G1230" s="81" t="str">
        <f>VLOOKUP("*"&amp;表格1[[#This Row],[Input]]&amp;"*",'Ref-List'!$B:$D,2,)</f>
        <v>RAC-07G3CVRG-HK</v>
      </c>
      <c r="H1230" s="81" t="str">
        <f>_xlfn.XLOOKUP(表格1[[#This Row],[Model]],表格3[Model-Input-Ref2],表格3[Product Line])</f>
        <v>3/4 匹 窗口式冷氣機(remote/fortress)</v>
      </c>
      <c r="I1230" s="81" t="str">
        <f>_xlfn.XLOOKUP(表格1[[#This Row],[Model]],表格3[Model-Input-Ref2],表格3[大小電])</f>
        <v>大電</v>
      </c>
      <c r="J1230" s="81" t="str">
        <f>_xlfn.XLOOKUP(表格1[[#This Row],[Model]],表格3[Model-Input-Ref2],表格3[Code])</f>
        <v>AC</v>
      </c>
      <c r="K1230" s="89" t="s">
        <v>664</v>
      </c>
      <c r="L1230" s="81">
        <v>1</v>
      </c>
      <c r="M1230" s="87">
        <v>3880</v>
      </c>
      <c r="N1230" s="85">
        <f>IFERROR(表格1[[#This Row],[QTY]]*表格1[[#This Row],[Unit Price]],"-")</f>
        <v>3880</v>
      </c>
      <c r="O1230" s="142">
        <v>814571</v>
      </c>
      <c r="R1230" s="86" t="str">
        <f>_xlfn.CONCAT(表格1[[#This Row],[Model]]," ",表格1[[#This Row],[inv no]])</f>
        <v>RAC-07G3CVRG-HK 814571</v>
      </c>
      <c r="S1230" s="86">
        <f>_xlfn.XLOOKUP(表格1[[#This Row],[Model]],表格3[Model-Input-Ref2],表格3[SRP PRICE])</f>
        <v>5580</v>
      </c>
      <c r="T1230" s="43">
        <f>表格1[[#This Row],[Unit Price]]/表格1[[#This Row],[SRP]]</f>
        <v>0.69534050179211471</v>
      </c>
      <c r="U1230" s="86" t="str">
        <f>_xlfn.XLOOKUP(表格1[[#This Row],[Model]],表格3[Model-Input-Ref2],表格3[TOSHIBA/HIGHEST])</f>
        <v>Toshiba SRP</v>
      </c>
      <c r="V1230" s="86" t="s">
        <v>1126</v>
      </c>
      <c r="W1230" s="86" t="str">
        <f>_xlfn.CONCAT(表格1[[#This Row],[欄4]],表格1[[#This Row],[inv no]])</f>
        <v>DA141814571</v>
      </c>
    </row>
    <row r="1231" spans="1:23" hidden="1">
      <c r="A1231" s="81">
        <v>1229</v>
      </c>
      <c r="B1231" s="81" t="s">
        <v>1477</v>
      </c>
      <c r="C1231" s="81" t="s">
        <v>1478</v>
      </c>
      <c r="D1231" s="82" t="str">
        <f ca="1">OFFSET(Roster!$A$3,MATCH(表格1[[#This Row],[Location]]&amp;" "&amp;表格1[[#This Row],[Shop]]&amp;"*",Roster!$A$4:$A$72,0),DAY(表格1[[#This Row],[date]]),1,1)</f>
        <v>Vicky L</v>
      </c>
      <c r="E1231" s="81">
        <f>MONTH(表格1[[#This Row],[date]])</f>
        <v>3</v>
      </c>
      <c r="F1231" s="90">
        <v>46083</v>
      </c>
      <c r="G1231" s="81" t="str">
        <f>VLOOKUP("*"&amp;表格1[[#This Row],[Input]]&amp;"*",'Ref-List'!$B:$D,2,)</f>
        <v>TW-T21BU80UWH(MG)</v>
      </c>
      <c r="H1231" s="81" t="str">
        <f>_xlfn.XLOOKUP(表格1[[#This Row],[Model]],表格3[Model-Input-Ref2],表格3[Product Line])</f>
        <v>400MM超薄身前置式變頻洗衣機(7公斤)</v>
      </c>
      <c r="I1231" s="81" t="str">
        <f>_xlfn.XLOOKUP(表格1[[#This Row],[Model]],表格3[Model-Input-Ref2],表格3[大小電])</f>
        <v>大電</v>
      </c>
      <c r="J1231" s="81" t="str">
        <f>_xlfn.XLOOKUP(表格1[[#This Row],[Model]],表格3[Model-Input-Ref2],表格3[Code])</f>
        <v>LAD</v>
      </c>
      <c r="K1231" s="89" t="s">
        <v>1280</v>
      </c>
      <c r="L1231" s="81">
        <v>1</v>
      </c>
      <c r="M1231" s="87">
        <v>3090</v>
      </c>
      <c r="N1231" s="85">
        <f>IFERROR(表格1[[#This Row],[QTY]]*表格1[[#This Row],[Unit Price]],"-")</f>
        <v>3090</v>
      </c>
      <c r="O1231" s="142">
        <v>814634</v>
      </c>
      <c r="R1231" s="86" t="str">
        <f>_xlfn.CONCAT(表格1[[#This Row],[Model]]," ",表格1[[#This Row],[inv no]])</f>
        <v>TW-T21BU80UWH(MG) 814634</v>
      </c>
      <c r="S1231" s="86">
        <f>_xlfn.XLOOKUP(表格1[[#This Row],[Model]],表格3[Model-Input-Ref2],表格3[SRP PRICE])</f>
        <v>5180</v>
      </c>
      <c r="T1231" s="43">
        <f>表格1[[#This Row],[Unit Price]]/表格1[[#This Row],[SRP]]</f>
        <v>0.59652509652509655</v>
      </c>
      <c r="U1231" s="86" t="str">
        <f>_xlfn.XLOOKUP(表格1[[#This Row],[Model]],表格3[Model-Input-Ref2],表格3[TOSHIBA/HIGHEST])</f>
        <v>Toshiba SRP</v>
      </c>
      <c r="W1231" s="86" t="str">
        <f>_xlfn.CONCAT(表格1[[#This Row],[欄4]],表格1[[#This Row],[inv no]])</f>
        <v>814634</v>
      </c>
    </row>
    <row r="1232" spans="1:23" hidden="1">
      <c r="A1232" s="81">
        <v>1230</v>
      </c>
      <c r="B1232" s="81" t="s">
        <v>1477</v>
      </c>
      <c r="C1232" s="81" t="s">
        <v>1478</v>
      </c>
      <c r="D1232" s="82" t="str">
        <f ca="1">OFFSET(Roster!$A$3,MATCH(表格1[[#This Row],[Location]]&amp;" "&amp;表格1[[#This Row],[Shop]]&amp;"*",Roster!$A$4:$A$72,0),DAY(表格1[[#This Row],[date]]),1,1)</f>
        <v>Vicky L off</v>
      </c>
      <c r="E1232" s="81">
        <f>MONTH(表格1[[#This Row],[date]])</f>
        <v>3</v>
      </c>
      <c r="F1232" s="90">
        <v>46084</v>
      </c>
      <c r="G1232" s="81" t="str">
        <f>VLOOKUP("*"&amp;表格1[[#This Row],[Input]]&amp;"*",'Ref-List'!$B:$D,2,)</f>
        <v>RAD-D300H</v>
      </c>
      <c r="H1232" s="81" t="str">
        <f>_xlfn.XLOOKUP(表格1[[#This Row],[Model]],表格3[Model-Input-Ref2],表格3[Product Line])</f>
        <v>壓縮式抽濕機 (30公升)</v>
      </c>
      <c r="I1232" s="81" t="str">
        <f>_xlfn.XLOOKUP(表格1[[#This Row],[Model]],表格3[Model-Input-Ref2],表格3[大小電])</f>
        <v>細電</v>
      </c>
      <c r="J1232" s="81" t="str">
        <f>_xlfn.XLOOKUP(表格1[[#This Row],[Model]],表格3[Model-Input-Ref2],表格3[Code])</f>
        <v>RAC</v>
      </c>
      <c r="K1232" s="89" t="s">
        <v>1252</v>
      </c>
      <c r="L1232" s="81">
        <v>1</v>
      </c>
      <c r="M1232" s="87">
        <v>2280</v>
      </c>
      <c r="N1232" s="85">
        <f>IFERROR(表格1[[#This Row],[QTY]]*表格1[[#This Row],[Unit Price]],"-")</f>
        <v>2280</v>
      </c>
      <c r="O1232" s="142">
        <v>814760</v>
      </c>
      <c r="R1232" s="86" t="str">
        <f>_xlfn.CONCAT(表格1[[#This Row],[Model]]," ",表格1[[#This Row],[inv no]])</f>
        <v>RAD-D300H 814760</v>
      </c>
      <c r="S1232" s="86">
        <f>_xlfn.XLOOKUP(表格1[[#This Row],[Model]],表格3[Model-Input-Ref2],表格3[SRP PRICE])</f>
        <v>3380</v>
      </c>
      <c r="T1232" s="43">
        <f>表格1[[#This Row],[Unit Price]]/表格1[[#This Row],[SRP]]</f>
        <v>0.67455621301775148</v>
      </c>
      <c r="U1232" s="86" t="str">
        <f>_xlfn.XLOOKUP(表格1[[#This Row],[Model]],表格3[Model-Input-Ref2],表格3[TOSHIBA/HIGHEST])</f>
        <v>Shops Highest Price</v>
      </c>
      <c r="W1232" s="86" t="str">
        <f>_xlfn.CONCAT(表格1[[#This Row],[欄4]],表格1[[#This Row],[inv no]])</f>
        <v>814760</v>
      </c>
    </row>
    <row r="1233" spans="1:23" hidden="1">
      <c r="A1233" s="81">
        <v>1231</v>
      </c>
      <c r="B1233" s="81" t="s">
        <v>1477</v>
      </c>
      <c r="C1233" s="81" t="s">
        <v>1478</v>
      </c>
      <c r="D1233" s="82" t="str">
        <f ca="1">OFFSET(Roster!$A$3,MATCH(表格1[[#This Row],[Location]]&amp;" "&amp;表格1[[#This Row],[Shop]]&amp;"*",Roster!$A$4:$A$72,0),DAY(表格1[[#This Row],[date]]),1,1)</f>
        <v>Vicky L off</v>
      </c>
      <c r="E1233" s="81">
        <f>MONTH(表格1[[#This Row],[date]])</f>
        <v>3</v>
      </c>
      <c r="F1233" s="90">
        <v>46084</v>
      </c>
      <c r="G1233" s="81" t="str">
        <f>VLOOKUP("*"&amp;表格1[[#This Row],[Input]]&amp;"*",'Ref-List'!$B:$D,2,)</f>
        <v>RAD-D300H</v>
      </c>
      <c r="H1233" s="81" t="str">
        <f>_xlfn.XLOOKUP(表格1[[#This Row],[Model]],表格3[Model-Input-Ref2],表格3[Product Line])</f>
        <v>壓縮式抽濕機 (30公升)</v>
      </c>
      <c r="I1233" s="81" t="str">
        <f>_xlfn.XLOOKUP(表格1[[#This Row],[Model]],表格3[Model-Input-Ref2],表格3[大小電])</f>
        <v>細電</v>
      </c>
      <c r="J1233" s="81" t="str">
        <f>_xlfn.XLOOKUP(表格1[[#This Row],[Model]],表格3[Model-Input-Ref2],表格3[Code])</f>
        <v>RAC</v>
      </c>
      <c r="K1233" s="89" t="s">
        <v>1252</v>
      </c>
      <c r="L1233" s="81">
        <v>1</v>
      </c>
      <c r="M1233" s="87">
        <v>2280</v>
      </c>
      <c r="N1233" s="85">
        <f>IFERROR(表格1[[#This Row],[QTY]]*表格1[[#This Row],[Unit Price]],"-")</f>
        <v>2280</v>
      </c>
      <c r="O1233" s="86">
        <v>814765</v>
      </c>
      <c r="R1233" s="86" t="str">
        <f>_xlfn.CONCAT(表格1[[#This Row],[Model]]," ",表格1[[#This Row],[inv no]])</f>
        <v>RAD-D300H 814765</v>
      </c>
      <c r="S1233" s="86">
        <f>_xlfn.XLOOKUP(表格1[[#This Row],[Model]],表格3[Model-Input-Ref2],表格3[SRP PRICE])</f>
        <v>3380</v>
      </c>
      <c r="T1233" s="43">
        <f>表格1[[#This Row],[Unit Price]]/表格1[[#This Row],[SRP]]</f>
        <v>0.67455621301775148</v>
      </c>
      <c r="U1233" s="86" t="str">
        <f>_xlfn.XLOOKUP(表格1[[#This Row],[Model]],表格3[Model-Input-Ref2],表格3[TOSHIBA/HIGHEST])</f>
        <v>Shops Highest Price</v>
      </c>
      <c r="W1233" s="86" t="str">
        <f>_xlfn.CONCAT(表格1[[#This Row],[欄4]],表格1[[#This Row],[inv no]])</f>
        <v>814765</v>
      </c>
    </row>
    <row r="1234" spans="1:23" hidden="1">
      <c r="A1234" s="81">
        <v>1232</v>
      </c>
      <c r="B1234" s="81" t="s">
        <v>1477</v>
      </c>
      <c r="C1234" s="81" t="s">
        <v>1478</v>
      </c>
      <c r="D1234" s="82" t="str">
        <f ca="1">OFFSET(Roster!$A$3,MATCH(表格1[[#This Row],[Location]]&amp;" "&amp;表格1[[#This Row],[Shop]]&amp;"*",Roster!$A$4:$A$72,0),DAY(表格1[[#This Row],[date]]),1,1)</f>
        <v>Vicky L off</v>
      </c>
      <c r="E1234" s="81">
        <f>MONTH(表格1[[#This Row],[date]])</f>
        <v>3</v>
      </c>
      <c r="F1234" s="90">
        <v>46084</v>
      </c>
      <c r="G1234" s="81" t="str">
        <f>VLOOKUP("*"&amp;表格1[[#This Row],[Input]]&amp;"*",'Ref-List'!$B:$D,2,)</f>
        <v>RAD-D300H</v>
      </c>
      <c r="H1234" s="81" t="str">
        <f>_xlfn.XLOOKUP(表格1[[#This Row],[Model]],表格3[Model-Input-Ref2],表格3[Product Line])</f>
        <v>壓縮式抽濕機 (30公升)</v>
      </c>
      <c r="I1234" s="81" t="str">
        <f>_xlfn.XLOOKUP(表格1[[#This Row],[Model]],表格3[Model-Input-Ref2],表格3[大小電])</f>
        <v>細電</v>
      </c>
      <c r="J1234" s="81" t="str">
        <f>_xlfn.XLOOKUP(表格1[[#This Row],[Model]],表格3[Model-Input-Ref2],表格3[Code])</f>
        <v>RAC</v>
      </c>
      <c r="K1234" s="89" t="s">
        <v>1252</v>
      </c>
      <c r="L1234" s="81">
        <v>1</v>
      </c>
      <c r="M1234" s="87">
        <v>2280</v>
      </c>
      <c r="N1234" s="85">
        <f>IFERROR(表格1[[#This Row],[QTY]]*表格1[[#This Row],[Unit Price]],"-")</f>
        <v>2280</v>
      </c>
      <c r="O1234" s="86">
        <v>814781</v>
      </c>
      <c r="R1234" s="86" t="str">
        <f>_xlfn.CONCAT(表格1[[#This Row],[Model]]," ",表格1[[#This Row],[inv no]])</f>
        <v>RAD-D300H 814781</v>
      </c>
      <c r="S1234" s="86">
        <f>_xlfn.XLOOKUP(表格1[[#This Row],[Model]],表格3[Model-Input-Ref2],表格3[SRP PRICE])</f>
        <v>3380</v>
      </c>
      <c r="T1234" s="43">
        <f>表格1[[#This Row],[Unit Price]]/表格1[[#This Row],[SRP]]</f>
        <v>0.67455621301775148</v>
      </c>
      <c r="U1234" s="86" t="str">
        <f>_xlfn.XLOOKUP(表格1[[#This Row],[Model]],表格3[Model-Input-Ref2],表格3[TOSHIBA/HIGHEST])</f>
        <v>Shops Highest Price</v>
      </c>
      <c r="W1234" s="86" t="str">
        <f>_xlfn.CONCAT(表格1[[#This Row],[欄4]],表格1[[#This Row],[inv no]])</f>
        <v>814781</v>
      </c>
    </row>
    <row r="1235" spans="1:23" hidden="1">
      <c r="A1235" s="81">
        <v>1233</v>
      </c>
      <c r="B1235" s="81" t="s">
        <v>1477</v>
      </c>
      <c r="C1235" s="81" t="s">
        <v>1478</v>
      </c>
      <c r="D1235" s="82" t="str">
        <f ca="1">OFFSET(Roster!$A$3,MATCH(表格1[[#This Row],[Location]]&amp;" "&amp;表格1[[#This Row],[Shop]]&amp;"*",Roster!$A$4:$A$72,0),DAY(表格1[[#This Row],[date]]),1,1)</f>
        <v>Vicky L</v>
      </c>
      <c r="E1235" s="81">
        <f>MONTH(表格1[[#This Row],[date]])</f>
        <v>3</v>
      </c>
      <c r="F1235" s="90">
        <v>46083</v>
      </c>
      <c r="G1235" s="81" t="str">
        <f>VLOOKUP("*"&amp;表格1[[#This Row],[Input]]&amp;"*",'Ref-List'!$B:$D,2,)</f>
        <v>GR-RM352WI-PMA(53)</v>
      </c>
      <c r="H1235" s="81" t="str">
        <f>_xlfn.XLOOKUP(表格1[[#This Row],[Model]],表格3[Model-Input-Ref2],表格3[Product Line])</f>
        <v>變頻三門雪櫃 (233L)</v>
      </c>
      <c r="I1235" s="81" t="str">
        <f>_xlfn.XLOOKUP(表格1[[#This Row],[Model]],表格3[Model-Input-Ref2],表格3[大小電])</f>
        <v>大電</v>
      </c>
      <c r="J1235" s="81" t="str">
        <f>_xlfn.XLOOKUP(表格1[[#This Row],[Model]],表格3[Model-Input-Ref2],表格3[Code])</f>
        <v>REF</v>
      </c>
      <c r="K1235" s="89" t="s">
        <v>1495</v>
      </c>
      <c r="L1235" s="81">
        <v>1</v>
      </c>
      <c r="M1235" s="87">
        <v>3790</v>
      </c>
      <c r="N1235" s="85">
        <f>IFERROR(表格1[[#This Row],[QTY]]*表格1[[#This Row],[Unit Price]],"-")</f>
        <v>3790</v>
      </c>
      <c r="O1235" s="86">
        <v>814666</v>
      </c>
      <c r="R1235" s="86" t="str">
        <f>_xlfn.CONCAT(表格1[[#This Row],[Model]]," ",表格1[[#This Row],[inv no]])</f>
        <v>GR-RM352WI-PMA(53) 814666</v>
      </c>
      <c r="S1235" s="86">
        <f>_xlfn.XLOOKUP(表格1[[#This Row],[Model]],表格3[Model-Input-Ref2],表格3[SRP PRICE])</f>
        <v>5580</v>
      </c>
      <c r="T1235" s="43">
        <f>表格1[[#This Row],[Unit Price]]/表格1[[#This Row],[SRP]]</f>
        <v>0.67921146953405021</v>
      </c>
      <c r="U1235" s="86" t="str">
        <f>_xlfn.XLOOKUP(表格1[[#This Row],[Model]],表格3[Model-Input-Ref2],表格3[TOSHIBA/HIGHEST])</f>
        <v>Toshiba SRP</v>
      </c>
      <c r="W1235" s="86" t="str">
        <f>_xlfn.CONCAT(表格1[[#This Row],[欄4]],表格1[[#This Row],[inv no]])</f>
        <v>814666</v>
      </c>
    </row>
    <row r="1236" spans="1:23" hidden="1">
      <c r="A1236" s="81">
        <v>1234</v>
      </c>
      <c r="B1236" s="81" t="s">
        <v>1477</v>
      </c>
      <c r="C1236" s="81" t="s">
        <v>1478</v>
      </c>
      <c r="D1236" s="82" t="str">
        <f ca="1">OFFSET(Roster!$A$3,MATCH(表格1[[#This Row],[Location]]&amp;" "&amp;表格1[[#This Row],[Shop]]&amp;"*",Roster!$A$4:$A$72,0),DAY(表格1[[#This Row],[date]]),1,1)</f>
        <v>Vicky L</v>
      </c>
      <c r="E1236" s="81">
        <f>MONTH(表格1[[#This Row],[date]])</f>
        <v>3</v>
      </c>
      <c r="F1236" s="90">
        <v>46085</v>
      </c>
      <c r="G1236" s="81" t="str">
        <f>VLOOKUP("*"&amp;表格1[[#This Row],[Input]]&amp;"*",'Ref-List'!$B:$D,2,)</f>
        <v>GR-RM352WI-PMA(53)</v>
      </c>
      <c r="H1236" s="81" t="str">
        <f>_xlfn.XLOOKUP(表格1[[#This Row],[Model]],表格3[Model-Input-Ref2],表格3[Product Line])</f>
        <v>變頻三門雪櫃 (233L)</v>
      </c>
      <c r="I1236" s="81" t="str">
        <f>_xlfn.XLOOKUP(表格1[[#This Row],[Model]],表格3[Model-Input-Ref2],表格3[大小電])</f>
        <v>大電</v>
      </c>
      <c r="J1236" s="81" t="str">
        <f>_xlfn.XLOOKUP(表格1[[#This Row],[Model]],表格3[Model-Input-Ref2],表格3[Code])</f>
        <v>REF</v>
      </c>
      <c r="K1236" s="89" t="s">
        <v>1495</v>
      </c>
      <c r="L1236" s="81">
        <v>1</v>
      </c>
      <c r="M1236" s="87">
        <v>3411</v>
      </c>
      <c r="N1236" s="85">
        <f>IFERROR(表格1[[#This Row],[QTY]]*表格1[[#This Row],[Unit Price]],"-")</f>
        <v>3411</v>
      </c>
      <c r="O1236" s="142">
        <v>900896</v>
      </c>
      <c r="R1236" s="86" t="str">
        <f>_xlfn.CONCAT(表格1[[#This Row],[Model]]," ",表格1[[#This Row],[inv no]])</f>
        <v>GR-RM352WI-PMA(53) 900896</v>
      </c>
      <c r="S1236" s="86">
        <f>_xlfn.XLOOKUP(表格1[[#This Row],[Model]],表格3[Model-Input-Ref2],表格3[SRP PRICE])</f>
        <v>5580</v>
      </c>
      <c r="T1236" s="43">
        <f>表格1[[#This Row],[Unit Price]]/表格1[[#This Row],[SRP]]</f>
        <v>0.6112903225806452</v>
      </c>
      <c r="U1236" s="86" t="str">
        <f>_xlfn.XLOOKUP(表格1[[#This Row],[Model]],表格3[Model-Input-Ref2],表格3[TOSHIBA/HIGHEST])</f>
        <v>Toshiba SRP</v>
      </c>
      <c r="W1236" s="86" t="str">
        <f>_xlfn.CONCAT(表格1[[#This Row],[欄4]],表格1[[#This Row],[inv no]])</f>
        <v>900896</v>
      </c>
    </row>
    <row r="1237" spans="1:23" hidden="1">
      <c r="A1237" s="81">
        <v>1235</v>
      </c>
      <c r="B1237" s="81" t="s">
        <v>1477</v>
      </c>
      <c r="C1237" s="81" t="s">
        <v>1478</v>
      </c>
      <c r="D1237" s="82" t="str">
        <f ca="1">OFFSET(Roster!$A$3,MATCH(表格1[[#This Row],[Location]]&amp;" "&amp;表格1[[#This Row],[Shop]]&amp;"*",Roster!$A$4:$A$72,0),DAY(表格1[[#This Row],[date]]),1,1)</f>
        <v>Vicky L</v>
      </c>
      <c r="E1237" s="81">
        <f>MONTH(表格1[[#This Row],[date]])</f>
        <v>3</v>
      </c>
      <c r="F1237" s="90">
        <v>46085</v>
      </c>
      <c r="G1237" s="81" t="str">
        <f>VLOOKUP("*"&amp;表格1[[#This Row],[Input]]&amp;"*",'Ref-List'!$B:$D,2,)</f>
        <v>MX2-TT20SC(WH)</v>
      </c>
      <c r="H1237" s="81" t="str">
        <f>_xlfn.XLOOKUP(表格1[[#This Row],[Model]],表格3[Model-Input-Ref2],表格3[Product Line])</f>
        <v>3合1 微波蒸焗爐 (20公升)</v>
      </c>
      <c r="I1237" s="81" t="str">
        <f>_xlfn.XLOOKUP(表格1[[#This Row],[Model]],表格3[Model-Input-Ref2],表格3[大小電])</f>
        <v>細電</v>
      </c>
      <c r="J1237" s="81" t="str">
        <f>_xlfn.XLOOKUP(表格1[[#This Row],[Model]],表格3[Model-Input-Ref2],表格3[Code])</f>
        <v>MCA</v>
      </c>
      <c r="K1237" s="89" t="s">
        <v>1287</v>
      </c>
      <c r="L1237" s="81">
        <v>1</v>
      </c>
      <c r="M1237" s="87">
        <v>2580</v>
      </c>
      <c r="N1237" s="85">
        <f>IFERROR(表格1[[#This Row],[QTY]]*表格1[[#This Row],[Unit Price]],"-")</f>
        <v>2580</v>
      </c>
      <c r="O1237" s="86">
        <v>814840</v>
      </c>
      <c r="R1237" s="86" t="str">
        <f>_xlfn.CONCAT(表格1[[#This Row],[Model]]," ",表格1[[#This Row],[inv no]])</f>
        <v>MX2-TT20SC(WH) 814840</v>
      </c>
      <c r="S1237" s="86">
        <f>_xlfn.XLOOKUP(表格1[[#This Row],[Model]],表格3[Model-Input-Ref2],表格3[SRP PRICE])</f>
        <v>3580</v>
      </c>
      <c r="T1237" s="43">
        <f>表格1[[#This Row],[Unit Price]]/表格1[[#This Row],[SRP]]</f>
        <v>0.72067039106145248</v>
      </c>
      <c r="U1237" s="86" t="str">
        <f>_xlfn.XLOOKUP(表格1[[#This Row],[Model]],表格3[Model-Input-Ref2],表格3[TOSHIBA/HIGHEST])</f>
        <v>Toshiba SRP</v>
      </c>
      <c r="W1237" s="86" t="str">
        <f>_xlfn.CONCAT(表格1[[#This Row],[欄4]],表格1[[#This Row],[inv no]])</f>
        <v>814840</v>
      </c>
    </row>
    <row r="1238" spans="1:23" hidden="1">
      <c r="A1238" s="81">
        <v>1236</v>
      </c>
      <c r="B1238" s="81" t="s">
        <v>1477</v>
      </c>
      <c r="C1238" s="81" t="s">
        <v>1478</v>
      </c>
      <c r="D1238" s="82" t="str">
        <f ca="1">OFFSET(Roster!$A$3,MATCH(表格1[[#This Row],[Location]]&amp;" "&amp;表格1[[#This Row],[Shop]]&amp;"*",Roster!$A$4:$A$72,0),DAY(表格1[[#This Row],[date]]),1,1)</f>
        <v>Vicky L</v>
      </c>
      <c r="E1238" s="81">
        <f>MONTH(表格1[[#This Row],[date]])</f>
        <v>3</v>
      </c>
      <c r="F1238" s="90">
        <v>46085</v>
      </c>
      <c r="G1238" s="81" t="str">
        <f>VLOOKUP("*"&amp;表格1[[#This Row],[Input]]&amp;"*",'Ref-List'!$B:$D,2,)</f>
        <v>RAD-DIA17HK</v>
      </c>
      <c r="H1238" s="81" t="str">
        <f>_xlfn.XLOOKUP(表格1[[#This Row],[Model]],表格3[Model-Input-Ref2],表格3[Product Line])</f>
        <v>變頻二合一空氣淨化抽濕機 (28公升)</v>
      </c>
      <c r="I1238" s="81" t="str">
        <f>_xlfn.XLOOKUP(表格1[[#This Row],[Model]],表格3[Model-Input-Ref2],表格3[大小電])</f>
        <v>大電</v>
      </c>
      <c r="J1238" s="81" t="str">
        <f>_xlfn.XLOOKUP(表格1[[#This Row],[Model]],表格3[Model-Input-Ref2],表格3[Code])</f>
        <v>RAC</v>
      </c>
      <c r="K1238" s="89" t="s">
        <v>1480</v>
      </c>
      <c r="L1238" s="81">
        <v>1</v>
      </c>
      <c r="M1238" s="87">
        <v>3580</v>
      </c>
      <c r="N1238" s="85">
        <f>IFERROR(表格1[[#This Row],[QTY]]*表格1[[#This Row],[Unit Price]],"-")</f>
        <v>3580</v>
      </c>
      <c r="O1238" s="86">
        <v>814846</v>
      </c>
      <c r="R1238" s="86" t="str">
        <f>_xlfn.CONCAT(表格1[[#This Row],[Model]]," ",表格1[[#This Row],[inv no]])</f>
        <v>RAD-DIA17HK 814846</v>
      </c>
      <c r="S1238" s="86">
        <f>_xlfn.XLOOKUP(表格1[[#This Row],[Model]],表格3[Model-Input-Ref2],表格3[SRP PRICE])</f>
        <v>4980</v>
      </c>
      <c r="T1238" s="43">
        <f>表格1[[#This Row],[Unit Price]]/表格1[[#This Row],[SRP]]</f>
        <v>0.71887550200803207</v>
      </c>
      <c r="U1238" s="86" t="str">
        <f>_xlfn.XLOOKUP(表格1[[#This Row],[Model]],表格3[Model-Input-Ref2],表格3[TOSHIBA/HIGHEST])</f>
        <v>Toshiba SRP</v>
      </c>
      <c r="W1238" s="86" t="str">
        <f>_xlfn.CONCAT(表格1[[#This Row],[欄4]],表格1[[#This Row],[inv no]])</f>
        <v>814846</v>
      </c>
    </row>
    <row r="1239" spans="1:23" hidden="1">
      <c r="A1239" s="81">
        <v>1237</v>
      </c>
      <c r="B1239" s="81" t="s">
        <v>1477</v>
      </c>
      <c r="C1239" s="81" t="s">
        <v>1478</v>
      </c>
      <c r="D1239" s="82" t="str">
        <f ca="1">OFFSET(Roster!$A$3,MATCH(表格1[[#This Row],[Location]]&amp;" "&amp;表格1[[#This Row],[Shop]]&amp;"*",Roster!$A$4:$A$72,0),DAY(表格1[[#This Row],[date]]),1,1)</f>
        <v>Vicky L</v>
      </c>
      <c r="E1239" s="81">
        <f>MONTH(表格1[[#This Row],[date]])</f>
        <v>3</v>
      </c>
      <c r="F1239" s="90">
        <v>46085</v>
      </c>
      <c r="G1239" s="81" t="str">
        <f>VLOOKUP("*"&amp;表格1[[#This Row],[Input]]&amp;"*",'Ref-List'!$B:$D,2,)</f>
        <v>GR-RM598WE-PGA(B3)</v>
      </c>
      <c r="H1239" s="81" t="str">
        <f>_xlfn.XLOOKUP(表格1[[#This Row],[Model]],表格3[Model-Input-Ref2],表格3[Product Line])</f>
        <v>變頻六門雪櫃(451L)</v>
      </c>
      <c r="I1239" s="81" t="str">
        <f>_xlfn.XLOOKUP(表格1[[#This Row],[Model]],表格3[Model-Input-Ref2],表格3[大小電])</f>
        <v>大電</v>
      </c>
      <c r="J1239" s="81" t="str">
        <f>_xlfn.XLOOKUP(表格1[[#This Row],[Model]],表格3[Model-Input-Ref2],表格3[Code])</f>
        <v>REF</v>
      </c>
      <c r="K1239" s="89" t="s">
        <v>1491</v>
      </c>
      <c r="L1239" s="81">
        <v>1</v>
      </c>
      <c r="M1239" s="87">
        <v>10590</v>
      </c>
      <c r="N1239" s="85">
        <f>IFERROR(表格1[[#This Row],[QTY]]*表格1[[#This Row],[Unit Price]],"-")</f>
        <v>10590</v>
      </c>
      <c r="O1239" s="86">
        <v>814833</v>
      </c>
      <c r="R1239" s="86" t="str">
        <f>_xlfn.CONCAT(表格1[[#This Row],[Model]]," ",表格1[[#This Row],[inv no]])</f>
        <v>GR-RM598WE-PGA(B3) 814833</v>
      </c>
      <c r="S1239" s="86">
        <f>_xlfn.XLOOKUP(表格1[[#This Row],[Model]],表格3[Model-Input-Ref2],表格3[SRP PRICE])</f>
        <v>14980</v>
      </c>
      <c r="T1239" s="43">
        <f>表格1[[#This Row],[Unit Price]]/表格1[[#This Row],[SRP]]</f>
        <v>0.70694259012016025</v>
      </c>
      <c r="U1239" s="86" t="str">
        <f>_xlfn.XLOOKUP(表格1[[#This Row],[Model]],表格3[Model-Input-Ref2],表格3[TOSHIBA/HIGHEST])</f>
        <v>Toshiba SRP</v>
      </c>
      <c r="W1239" s="86" t="str">
        <f>_xlfn.CONCAT(表格1[[#This Row],[欄4]],表格1[[#This Row],[inv no]])</f>
        <v>814833</v>
      </c>
    </row>
    <row r="1240" spans="1:23" hidden="1">
      <c r="A1240" s="81">
        <v>1238</v>
      </c>
      <c r="B1240" s="81" t="s">
        <v>1477</v>
      </c>
      <c r="C1240" s="81" t="s">
        <v>1478</v>
      </c>
      <c r="D1240" s="82" t="str">
        <f ca="1">OFFSET(Roster!$A$3,MATCH(表格1[[#This Row],[Location]]&amp;" "&amp;表格1[[#This Row],[Shop]]&amp;"*",Roster!$A$4:$A$72,0),DAY(表格1[[#This Row],[date]]),1,1)</f>
        <v>Vicky L</v>
      </c>
      <c r="E1240" s="81">
        <f>MONTH(表格1[[#This Row],[date]])</f>
        <v>3</v>
      </c>
      <c r="F1240" s="90">
        <v>46085</v>
      </c>
      <c r="G1240" s="81" t="str">
        <f>VLOOKUP("*"&amp;表格1[[#This Row],[Input]]&amp;"*",'Ref-List'!$B:$D,2,)</f>
        <v>RAC-07G3CVRG-HK</v>
      </c>
      <c r="H1240" s="81" t="str">
        <f>_xlfn.XLOOKUP(表格1[[#This Row],[Model]],表格3[Model-Input-Ref2],表格3[Product Line])</f>
        <v>3/4 匹 窗口式冷氣機(remote/fortress)</v>
      </c>
      <c r="I1240" s="81" t="str">
        <f>_xlfn.XLOOKUP(表格1[[#This Row],[Model]],表格3[Model-Input-Ref2],表格3[大小電])</f>
        <v>大電</v>
      </c>
      <c r="J1240" s="81" t="str">
        <f>_xlfn.XLOOKUP(表格1[[#This Row],[Model]],表格3[Model-Input-Ref2],表格3[Code])</f>
        <v>AC</v>
      </c>
      <c r="K1240" s="89" t="s">
        <v>664</v>
      </c>
      <c r="L1240" s="81">
        <v>1</v>
      </c>
      <c r="M1240" s="87">
        <v>3880</v>
      </c>
      <c r="N1240" s="85">
        <f>IFERROR(表格1[[#This Row],[QTY]]*表格1[[#This Row],[Unit Price]],"-")</f>
        <v>3880</v>
      </c>
      <c r="O1240" s="86">
        <v>814873</v>
      </c>
      <c r="R1240" s="86" t="str">
        <f>_xlfn.CONCAT(表格1[[#This Row],[Model]]," ",表格1[[#This Row],[inv no]])</f>
        <v>RAC-07G3CVRG-HK 814873</v>
      </c>
      <c r="S1240" s="86">
        <f>_xlfn.XLOOKUP(表格1[[#This Row],[Model]],表格3[Model-Input-Ref2],表格3[SRP PRICE])</f>
        <v>5580</v>
      </c>
      <c r="T1240" s="43">
        <f>表格1[[#This Row],[Unit Price]]/表格1[[#This Row],[SRP]]</f>
        <v>0.69534050179211471</v>
      </c>
      <c r="U1240" s="86" t="str">
        <f>_xlfn.XLOOKUP(表格1[[#This Row],[Model]],表格3[Model-Input-Ref2],表格3[TOSHIBA/HIGHEST])</f>
        <v>Toshiba SRP</v>
      </c>
      <c r="W1240" s="86" t="str">
        <f>_xlfn.CONCAT(表格1[[#This Row],[欄4]],表格1[[#This Row],[inv no]])</f>
        <v>814873</v>
      </c>
    </row>
    <row r="1241" spans="1:23" hidden="1">
      <c r="A1241" s="81">
        <v>1239</v>
      </c>
      <c r="B1241" s="81" t="s">
        <v>1477</v>
      </c>
      <c r="C1241" s="81" t="s">
        <v>1478</v>
      </c>
      <c r="D1241" s="82" t="str">
        <f ca="1">OFFSET(Roster!$A$3,MATCH(表格1[[#This Row],[Location]]&amp;" "&amp;表格1[[#This Row],[Shop]]&amp;"*",Roster!$A$4:$A$72,0),DAY(表格1[[#This Row],[date]]),1,1)</f>
        <v>Vicky L</v>
      </c>
      <c r="E1241" s="81">
        <f>MONTH(表格1[[#This Row],[date]])</f>
        <v>3</v>
      </c>
      <c r="F1241" s="90">
        <v>46085</v>
      </c>
      <c r="G1241" s="81" t="str">
        <f>VLOOKUP("*"&amp;表格1[[#This Row],[Input]]&amp;"*",'Ref-List'!$B:$D,2,)</f>
        <v>RAC-09G3CVRGR-HK</v>
      </c>
      <c r="H1241" s="81" t="str">
        <f>_xlfn.XLOOKUP(表格1[[#This Row],[Model]],表格3[Model-Input-Ref2],表格3[Product Line])</f>
        <v>1 匹 R32變頻窗口式冷氣機 (獨立抽濕遙控</v>
      </c>
      <c r="I1241" s="81" t="str">
        <f>_xlfn.XLOOKUP(表格1[[#This Row],[Model]],表格3[Model-Input-Ref2],表格3[大小電])</f>
        <v>大電</v>
      </c>
      <c r="J1241" s="81" t="str">
        <f>_xlfn.XLOOKUP(表格1[[#This Row],[Model]],表格3[Model-Input-Ref2],表格3[Code])</f>
        <v>AC</v>
      </c>
      <c r="K1241" s="89" t="s">
        <v>1474</v>
      </c>
      <c r="L1241" s="81">
        <v>1</v>
      </c>
      <c r="M1241" s="87">
        <v>4980</v>
      </c>
      <c r="N1241" s="85">
        <f>IFERROR(表格1[[#This Row],[QTY]]*表格1[[#This Row],[Unit Price]],"-")</f>
        <v>4980</v>
      </c>
      <c r="O1241" s="86">
        <v>814873</v>
      </c>
      <c r="R1241" s="86" t="str">
        <f>_xlfn.CONCAT(表格1[[#This Row],[Model]]," ",表格1[[#This Row],[inv no]])</f>
        <v>RAC-09G3CVRGR-HK 814873</v>
      </c>
      <c r="S1241" s="86">
        <f>_xlfn.XLOOKUP(表格1[[#This Row],[Model]],表格3[Model-Input-Ref2],表格3[SRP PRICE])</f>
        <v>6980</v>
      </c>
      <c r="T1241" s="43">
        <f>表格1[[#This Row],[Unit Price]]/表格1[[#This Row],[SRP]]</f>
        <v>0.71346704871060174</v>
      </c>
      <c r="U1241" s="86" t="str">
        <f>_xlfn.XLOOKUP(表格1[[#This Row],[Model]],表格3[Model-Input-Ref2],表格3[TOSHIBA/HIGHEST])</f>
        <v>Toshiba SRP</v>
      </c>
      <c r="W1241" s="86" t="str">
        <f>_xlfn.CONCAT(表格1[[#This Row],[欄4]],表格1[[#This Row],[inv no]])</f>
        <v>814873</v>
      </c>
    </row>
    <row r="1242" spans="1:23" hidden="1">
      <c r="A1242" s="81">
        <v>1240</v>
      </c>
      <c r="B1242" s="81" t="s">
        <v>1477</v>
      </c>
      <c r="C1242" s="81" t="s">
        <v>1478</v>
      </c>
      <c r="D1242" s="82" t="str">
        <f ca="1">OFFSET(Roster!$A$3,MATCH(表格1[[#This Row],[Location]]&amp;" "&amp;表格1[[#This Row],[Shop]]&amp;"*",Roster!$A$4:$A$72,0),DAY(表格1[[#This Row],[date]]),1,1)</f>
        <v>Vicky L</v>
      </c>
      <c r="E1242" s="81">
        <f>MONTH(表格1[[#This Row],[date]])</f>
        <v>3</v>
      </c>
      <c r="F1242" s="90">
        <v>46085</v>
      </c>
      <c r="G1242" s="81" t="str">
        <f>VLOOKUP("*"&amp;表格1[[#This Row],[Input]]&amp;"*",'Ref-List'!$B:$D,2,)</f>
        <v>RAC-12G3CVRGR-HK</v>
      </c>
      <c r="H1242" s="81" t="str">
        <f>_xlfn.XLOOKUP(表格1[[#This Row],[Model]],表格3[Model-Input-Ref2],表格3[Product Line])</f>
        <v>R32變頻窗口式冷氣機 (獨立抽濕遙控</v>
      </c>
      <c r="I1242" s="81" t="str">
        <f>_xlfn.XLOOKUP(表格1[[#This Row],[Model]],表格3[Model-Input-Ref2],表格3[大小電])</f>
        <v>大電</v>
      </c>
      <c r="J1242" s="81" t="str">
        <f>_xlfn.XLOOKUP(表格1[[#This Row],[Model]],表格3[Model-Input-Ref2],表格3[Code])</f>
        <v>AC</v>
      </c>
      <c r="K1242" s="89" t="s">
        <v>1454</v>
      </c>
      <c r="L1242" s="81">
        <v>1</v>
      </c>
      <c r="M1242" s="87">
        <v>3980</v>
      </c>
      <c r="N1242" s="85">
        <f>IFERROR(表格1[[#This Row],[QTY]]*表格1[[#This Row],[Unit Price]],"-")</f>
        <v>3980</v>
      </c>
      <c r="O1242" s="142">
        <v>814874</v>
      </c>
      <c r="R1242" s="86" t="str">
        <f>_xlfn.CONCAT(表格1[[#This Row],[Model]]," ",表格1[[#This Row],[inv no]])</f>
        <v>RAC-12G3CVRGR-HK 814874</v>
      </c>
      <c r="S1242" s="86">
        <f>_xlfn.XLOOKUP(表格1[[#This Row],[Model]],表格3[Model-Input-Ref2],表格3[SRP PRICE])</f>
        <v>8680</v>
      </c>
      <c r="T1242" s="43">
        <f>表格1[[#This Row],[Unit Price]]/表格1[[#This Row],[SRP]]</f>
        <v>0.45852534562211983</v>
      </c>
      <c r="U1242" s="86" t="str">
        <f>_xlfn.XLOOKUP(表格1[[#This Row],[Model]],表格3[Model-Input-Ref2],表格3[TOSHIBA/HIGHEST])</f>
        <v>Toshiba SRP</v>
      </c>
      <c r="W1242" s="86" t="str">
        <f>_xlfn.CONCAT(表格1[[#This Row],[欄4]],表格1[[#This Row],[inv no]])</f>
        <v>814874</v>
      </c>
    </row>
    <row r="1243" spans="1:23" hidden="1">
      <c r="A1243" s="81">
        <v>1241</v>
      </c>
      <c r="B1243" s="81" t="s">
        <v>1477</v>
      </c>
      <c r="C1243" s="81" t="s">
        <v>1478</v>
      </c>
      <c r="D1243" s="82" t="str">
        <f ca="1">OFFSET(Roster!$A$3,MATCH(表格1[[#This Row],[Location]]&amp;" "&amp;表格1[[#This Row],[Shop]]&amp;"*",Roster!$A$4:$A$72,0),DAY(表格1[[#This Row],[date]]),1,1)</f>
        <v>Vicky L</v>
      </c>
      <c r="E1243" s="81">
        <f>MONTH(表格1[[#This Row],[date]])</f>
        <v>3</v>
      </c>
      <c r="F1243" s="90">
        <v>46087</v>
      </c>
      <c r="G1243" s="81" t="str">
        <f>VLOOKUP("*"&amp;表格1[[#This Row],[Input]]&amp;"*",'Ref-List'!$B:$D,2,)</f>
        <v>GR-RT300WE-PMA(57)</v>
      </c>
      <c r="H1243" s="81" t="str">
        <f>_xlfn.XLOOKUP(表格1[[#This Row],[Model]],表格3[Model-Input-Ref2],表格3[Product Line])</f>
        <v>變頻式環保雙門雪櫃(233L)</v>
      </c>
      <c r="I1243" s="81" t="str">
        <f>_xlfn.XLOOKUP(表格1[[#This Row],[Model]],表格3[Model-Input-Ref2],表格3[大小電])</f>
        <v>大電</v>
      </c>
      <c r="J1243" s="81" t="str">
        <f>_xlfn.XLOOKUP(表格1[[#This Row],[Model]],表格3[Model-Input-Ref2],表格3[Code])</f>
        <v>REF</v>
      </c>
      <c r="K1243" s="89" t="s">
        <v>1462</v>
      </c>
      <c r="L1243" s="81">
        <v>1</v>
      </c>
      <c r="M1243" s="87">
        <v>2780</v>
      </c>
      <c r="N1243" s="85">
        <f>IFERROR(表格1[[#This Row],[QTY]]*表格1[[#This Row],[Unit Price]],"-")</f>
        <v>2780</v>
      </c>
      <c r="O1243" s="142">
        <v>817986</v>
      </c>
      <c r="R1243" s="86" t="str">
        <f>_xlfn.CONCAT(表格1[[#This Row],[Model]]," ",表格1[[#This Row],[inv no]])</f>
        <v>GR-RT300WE-PMA(57) 817986</v>
      </c>
      <c r="S1243" s="86">
        <f>_xlfn.XLOOKUP(表格1[[#This Row],[Model]],表格3[Model-Input-Ref2],表格3[SRP PRICE])</f>
        <v>4280</v>
      </c>
      <c r="T1243" s="43">
        <f>表格1[[#This Row],[Unit Price]]/表格1[[#This Row],[SRP]]</f>
        <v>0.64953271028037385</v>
      </c>
      <c r="U1243" s="86" t="str">
        <f>_xlfn.XLOOKUP(表格1[[#This Row],[Model]],表格3[Model-Input-Ref2],表格3[TOSHIBA/HIGHEST])</f>
        <v>Toshiba SRP</v>
      </c>
      <c r="W1243" s="86" t="str">
        <f>_xlfn.CONCAT(表格1[[#This Row],[欄4]],表格1[[#This Row],[inv no]])</f>
        <v>817986</v>
      </c>
    </row>
    <row r="1244" spans="1:23" hidden="1">
      <c r="A1244" s="81">
        <v>1242</v>
      </c>
      <c r="B1244" s="81" t="s">
        <v>1477</v>
      </c>
      <c r="C1244" s="81" t="s">
        <v>1478</v>
      </c>
      <c r="D1244" s="82" t="str">
        <f ca="1">OFFSET(Roster!$A$3,MATCH(表格1[[#This Row],[Location]]&amp;" "&amp;表格1[[#This Row],[Shop]]&amp;"*",Roster!$A$4:$A$72,0),DAY(表格1[[#This Row],[date]]),1,1)</f>
        <v>Vicky L</v>
      </c>
      <c r="E1244" s="81">
        <f>MONTH(表格1[[#This Row],[date]])</f>
        <v>3</v>
      </c>
      <c r="F1244" s="90">
        <v>46087</v>
      </c>
      <c r="G1244" s="81" t="str">
        <f>VLOOKUP("*"&amp;表格1[[#This Row],[Input]]&amp;"*",'Ref-List'!$B:$D,2,)</f>
        <v>Model-Input-Ref2</v>
      </c>
      <c r="H1244" s="81" t="e">
        <f>_xlfn.XLOOKUP(表格1[[#This Row],[Model]],表格3[Model-Input-Ref2],表格3[Product Line])</f>
        <v>#N/A</v>
      </c>
      <c r="I1244" s="81" t="e">
        <f>_xlfn.XLOOKUP(表格1[[#This Row],[Model]],表格3[Model-Input-Ref2],表格3[大小電])</f>
        <v>#N/A</v>
      </c>
      <c r="J1244" s="81" t="e">
        <f>_xlfn.XLOOKUP(表格1[[#This Row],[Model]],表格3[Model-Input-Ref2],表格3[Code])</f>
        <v>#N/A</v>
      </c>
      <c r="L1244" s="81"/>
      <c r="N1244" s="85">
        <f>IFERROR(表格1[[#This Row],[QTY]]*表格1[[#This Row],[Unit Price]],"-")</f>
        <v>0</v>
      </c>
      <c r="P1244" s="86" t="s">
        <v>1504</v>
      </c>
      <c r="R1244" s="86" t="str">
        <f>_xlfn.CONCAT(表格1[[#This Row],[Model]]," ",表格1[[#This Row],[inv no]])</f>
        <v xml:space="preserve">Model-Input-Ref2 </v>
      </c>
      <c r="S1244" s="86" t="e">
        <f>_xlfn.XLOOKUP(表格1[[#This Row],[Model]],表格3[Model-Input-Ref2],表格3[SRP PRICE])</f>
        <v>#N/A</v>
      </c>
      <c r="T1244" s="43" t="e">
        <f>表格1[[#This Row],[Unit Price]]/表格1[[#This Row],[SRP]]</f>
        <v>#N/A</v>
      </c>
      <c r="U1244" s="86" t="e">
        <f>_xlfn.XLOOKUP(表格1[[#This Row],[Model]],表格3[Model-Input-Ref2],表格3[TOSHIBA/HIGHEST])</f>
        <v>#N/A</v>
      </c>
      <c r="W1244" s="86" t="str">
        <f>_xlfn.CONCAT(表格1[[#This Row],[欄4]],表格1[[#This Row],[inv no]])</f>
        <v/>
      </c>
    </row>
    <row r="1245" spans="1:23" hidden="1">
      <c r="A1245" s="81">
        <v>1243</v>
      </c>
      <c r="B1245" s="81" t="s">
        <v>1477</v>
      </c>
      <c r="C1245" s="81" t="s">
        <v>1478</v>
      </c>
      <c r="D1245" s="82" t="str">
        <f ca="1">OFFSET(Roster!$A$3,MATCH(表格1[[#This Row],[Location]]&amp;" "&amp;表格1[[#This Row],[Shop]]&amp;"*",Roster!$A$4:$A$72,0),DAY(表格1[[#This Row],[date]]),1,1)</f>
        <v>Vicky L off</v>
      </c>
      <c r="E1245" s="81">
        <f>MONTH(表格1[[#This Row],[date]])</f>
        <v>3</v>
      </c>
      <c r="F1245" s="90">
        <v>46086</v>
      </c>
      <c r="G1245" s="81" t="str">
        <f>VLOOKUP("*"&amp;表格1[[#This Row],[Input]]&amp;"*",'Ref-List'!$B:$D,2,)</f>
        <v>GR-RT300WE-PMA(57)</v>
      </c>
      <c r="H1245" s="81" t="str">
        <f>_xlfn.XLOOKUP(表格1[[#This Row],[Model]],表格3[Model-Input-Ref2],表格3[Product Line])</f>
        <v>變頻式環保雙門雪櫃(233L)</v>
      </c>
      <c r="I1245" s="81" t="str">
        <f>_xlfn.XLOOKUP(表格1[[#This Row],[Model]],表格3[Model-Input-Ref2],表格3[大小電])</f>
        <v>大電</v>
      </c>
      <c r="J1245" s="81" t="str">
        <f>_xlfn.XLOOKUP(表格1[[#This Row],[Model]],表格3[Model-Input-Ref2],表格3[Code])</f>
        <v>REF</v>
      </c>
      <c r="K1245" s="89" t="s">
        <v>1462</v>
      </c>
      <c r="L1245" s="81">
        <v>1</v>
      </c>
      <c r="M1245" s="87">
        <v>2780</v>
      </c>
      <c r="N1245" s="85">
        <f>IFERROR(表格1[[#This Row],[QTY]]*表格1[[#This Row],[Unit Price]],"-")</f>
        <v>2780</v>
      </c>
      <c r="O1245" s="142">
        <v>814902</v>
      </c>
      <c r="R1245" s="86" t="str">
        <f>_xlfn.CONCAT(表格1[[#This Row],[Model]]," ",表格1[[#This Row],[inv no]])</f>
        <v>GR-RT300WE-PMA(57) 814902</v>
      </c>
      <c r="S1245" s="86">
        <f>_xlfn.XLOOKUP(表格1[[#This Row],[Model]],表格3[Model-Input-Ref2],表格3[SRP PRICE])</f>
        <v>4280</v>
      </c>
      <c r="T1245" s="43">
        <f>表格1[[#This Row],[Unit Price]]/表格1[[#This Row],[SRP]]</f>
        <v>0.64953271028037385</v>
      </c>
      <c r="U1245" s="86" t="str">
        <f>_xlfn.XLOOKUP(表格1[[#This Row],[Model]],表格3[Model-Input-Ref2],表格3[TOSHIBA/HIGHEST])</f>
        <v>Toshiba SRP</v>
      </c>
      <c r="W1245" s="86" t="str">
        <f>_xlfn.CONCAT(表格1[[#This Row],[欄4]],表格1[[#This Row],[inv no]])</f>
        <v>814902</v>
      </c>
    </row>
    <row r="1246" spans="1:23" hidden="1">
      <c r="A1246" s="81">
        <v>1244</v>
      </c>
      <c r="B1246" s="81" t="s">
        <v>1477</v>
      </c>
      <c r="C1246" s="81" t="s">
        <v>1478</v>
      </c>
      <c r="D1246" s="82" t="str">
        <f ca="1">OFFSET(Roster!$A$3,MATCH(表格1[[#This Row],[Location]]&amp;" "&amp;表格1[[#This Row],[Shop]]&amp;"*",Roster!$A$4:$A$72,0),DAY(表格1[[#This Row],[date]]),1,1)</f>
        <v>Vicky L</v>
      </c>
      <c r="E1246" s="81">
        <f>MONTH(表格1[[#This Row],[date]])</f>
        <v>3</v>
      </c>
      <c r="F1246" s="90">
        <v>46112</v>
      </c>
      <c r="G1246" s="81" t="str">
        <f>VLOOKUP("*"&amp;表格1[[#This Row],[Input]]&amp;"*",'Ref-List'!$B:$D,2,)</f>
        <v>RAD-D300H</v>
      </c>
      <c r="H1246" s="81" t="str">
        <f>_xlfn.XLOOKUP(表格1[[#This Row],[Model]],表格3[Model-Input-Ref2],表格3[Product Line])</f>
        <v>壓縮式抽濕機 (30公升)</v>
      </c>
      <c r="I1246" s="81" t="str">
        <f>_xlfn.XLOOKUP(表格1[[#This Row],[Model]],表格3[Model-Input-Ref2],表格3[大小電])</f>
        <v>細電</v>
      </c>
      <c r="J1246" s="81" t="str">
        <f>_xlfn.XLOOKUP(表格1[[#This Row],[Model]],表格3[Model-Input-Ref2],表格3[Code])</f>
        <v>RAC</v>
      </c>
      <c r="K1246" s="89" t="s">
        <v>1252</v>
      </c>
      <c r="L1246" s="81">
        <v>1</v>
      </c>
      <c r="M1246" s="87">
        <v>2280</v>
      </c>
      <c r="N1246" s="85">
        <f>IFERROR(表格1[[#This Row],[QTY]]*表格1[[#This Row],[Unit Price]],"-")</f>
        <v>2280</v>
      </c>
      <c r="O1246" s="86">
        <v>817279</v>
      </c>
      <c r="R1246" s="86" t="str">
        <f>_xlfn.CONCAT(表格1[[#This Row],[Model]]," ",表格1[[#This Row],[inv no]])</f>
        <v>RAD-D300H 817279</v>
      </c>
      <c r="S1246" s="86">
        <f>_xlfn.XLOOKUP(表格1[[#This Row],[Model]],表格3[Model-Input-Ref2],表格3[SRP PRICE])</f>
        <v>3380</v>
      </c>
      <c r="T1246" s="43">
        <f>表格1[[#This Row],[Unit Price]]/表格1[[#This Row],[SRP]]</f>
        <v>0.67455621301775148</v>
      </c>
      <c r="U1246" s="86" t="str">
        <f>_xlfn.XLOOKUP(表格1[[#This Row],[Model]],表格3[Model-Input-Ref2],表格3[TOSHIBA/HIGHEST])</f>
        <v>Shops Highest Price</v>
      </c>
      <c r="W1246" s="86" t="str">
        <f>_xlfn.CONCAT(表格1[[#This Row],[欄4]],表格1[[#This Row],[inv no]])</f>
        <v>817279</v>
      </c>
    </row>
    <row r="1247" spans="1:23" hidden="1">
      <c r="A1247" s="81">
        <v>1245</v>
      </c>
      <c r="B1247" s="81" t="s">
        <v>1477</v>
      </c>
      <c r="C1247" s="81" t="s">
        <v>1478</v>
      </c>
      <c r="D1247" s="82" t="str">
        <f ca="1">OFFSET(Roster!$A$3,MATCH(表格1[[#This Row],[Location]]&amp;" "&amp;表格1[[#This Row],[Shop]]&amp;"*",Roster!$A$4:$A$72,0),DAY(表格1[[#This Row],[date]]),1,1)</f>
        <v>Vicky L</v>
      </c>
      <c r="E1247" s="81">
        <f>MONTH(表格1[[#This Row],[date]])</f>
        <v>3</v>
      </c>
      <c r="F1247" s="90">
        <v>46112</v>
      </c>
      <c r="G1247" s="81" t="str">
        <f>VLOOKUP("*"&amp;表格1[[#This Row],[Input]]&amp;"*",'Ref-List'!$B:$D,2,)</f>
        <v>KT-15DRRH</v>
      </c>
      <c r="H1247" s="81" t="str">
        <f>_xlfn.XLOOKUP(表格1[[#This Row],[Model]],表格3[Model-Input-Ref2],表格3[Product Line])</f>
        <v>1.5L無線雙層電熱水壺</v>
      </c>
      <c r="I1247" s="81" t="str">
        <f>_xlfn.XLOOKUP(表格1[[#This Row],[Model]],表格3[Model-Input-Ref2],表格3[大小電])</f>
        <v>細電</v>
      </c>
      <c r="J1247" s="81" t="str">
        <f>_xlfn.XLOOKUP(表格1[[#This Row],[Model]],表格3[Model-Input-Ref2],表格3[Code])</f>
        <v>SDA</v>
      </c>
      <c r="K1247" s="89" t="s">
        <v>1488</v>
      </c>
      <c r="L1247" s="81">
        <v>1</v>
      </c>
      <c r="M1247" s="87">
        <v>298</v>
      </c>
      <c r="N1247" s="85">
        <f>IFERROR(表格1[[#This Row],[QTY]]*表格1[[#This Row],[Unit Price]],"-")</f>
        <v>298</v>
      </c>
      <c r="O1247" s="86">
        <v>902250</v>
      </c>
      <c r="R1247" s="86" t="str">
        <f>_xlfn.CONCAT(表格1[[#This Row],[Model]]," ",表格1[[#This Row],[inv no]])</f>
        <v>KT-15DRRH 902250</v>
      </c>
      <c r="S1247" s="86">
        <f>_xlfn.XLOOKUP(表格1[[#This Row],[Model]],表格3[Model-Input-Ref2],表格3[SRP PRICE])</f>
        <v>438</v>
      </c>
      <c r="T1247" s="43">
        <f>表格1[[#This Row],[Unit Price]]/表格1[[#This Row],[SRP]]</f>
        <v>0.68036529680365299</v>
      </c>
      <c r="U1247" s="86" t="str">
        <f>_xlfn.XLOOKUP(表格1[[#This Row],[Model]],表格3[Model-Input-Ref2],表格3[TOSHIBA/HIGHEST])</f>
        <v>Toshiba SRP</v>
      </c>
      <c r="W1247" s="86" t="str">
        <f>_xlfn.CONCAT(表格1[[#This Row],[欄4]],表格1[[#This Row],[inv no]])</f>
        <v>902250</v>
      </c>
    </row>
    <row r="1248" spans="1:23" hidden="1">
      <c r="A1248" s="81">
        <v>1246</v>
      </c>
      <c r="B1248" s="81" t="s">
        <v>1477</v>
      </c>
      <c r="C1248" s="81" t="s">
        <v>1478</v>
      </c>
      <c r="D1248" s="82" t="str">
        <f ca="1">OFFSET(Roster!$A$3,MATCH(表格1[[#This Row],[Location]]&amp;" "&amp;表格1[[#This Row],[Shop]]&amp;"*",Roster!$A$4:$A$72,0),DAY(表格1[[#This Row],[date]]),1,1)</f>
        <v>Vicky L</v>
      </c>
      <c r="E1248" s="81">
        <f>MONTH(表格1[[#This Row],[date]])</f>
        <v>3</v>
      </c>
      <c r="F1248" s="90">
        <v>46112</v>
      </c>
      <c r="G1248" s="81" t="str">
        <f>VLOOKUP("*"&amp;表格1[[#This Row],[Input]]&amp;"*",'Ref-List'!$B:$D,2,)</f>
        <v>GR-RM612WE-PGA(B5)</v>
      </c>
      <c r="H1248" s="81" t="str">
        <f>_xlfn.XLOOKUP(表格1[[#This Row],[Model]],表格3[Model-Input-Ref2],表格3[Product Line])</f>
        <v>變頻五門雪櫃(375L)</v>
      </c>
      <c r="I1248" s="81" t="str">
        <f>_xlfn.XLOOKUP(表格1[[#This Row],[Model]],表格3[Model-Input-Ref2],表格3[大小電])</f>
        <v>大電</v>
      </c>
      <c r="J1248" s="81" t="str">
        <f>_xlfn.XLOOKUP(表格1[[#This Row],[Model]],表格3[Model-Input-Ref2],表格3[Code])</f>
        <v>REF</v>
      </c>
      <c r="K1248" s="89" t="s">
        <v>1257</v>
      </c>
      <c r="L1248" s="81">
        <v>1</v>
      </c>
      <c r="M1248" s="87">
        <v>9980</v>
      </c>
      <c r="N1248" s="85">
        <f>IFERROR(表格1[[#This Row],[QTY]]*表格1[[#This Row],[Unit Price]],"-")</f>
        <v>9980</v>
      </c>
      <c r="O1248" s="142">
        <v>817311</v>
      </c>
      <c r="R1248" s="86" t="str">
        <f>_xlfn.CONCAT(表格1[[#This Row],[Model]]," ",表格1[[#This Row],[inv no]])</f>
        <v>GR-RM612WE-PGA(B5) 817311</v>
      </c>
      <c r="S1248" s="86">
        <f>_xlfn.XLOOKUP(表格1[[#This Row],[Model]],表格3[Model-Input-Ref2],表格3[SRP PRICE])</f>
        <v>11000</v>
      </c>
      <c r="T1248" s="43">
        <f>表格1[[#This Row],[Unit Price]]/表格1[[#This Row],[SRP]]</f>
        <v>0.90727272727272723</v>
      </c>
      <c r="U1248" s="86" t="str">
        <f>_xlfn.XLOOKUP(表格1[[#This Row],[Model]],表格3[Model-Input-Ref2],表格3[TOSHIBA/HIGHEST])</f>
        <v>Shops Highest Price</v>
      </c>
      <c r="W1248" s="86" t="str">
        <f>_xlfn.CONCAT(表格1[[#This Row],[欄4]],表格1[[#This Row],[inv no]])</f>
        <v>817311</v>
      </c>
    </row>
    <row r="1249" spans="1:23" hidden="1">
      <c r="A1249" s="81">
        <v>1247</v>
      </c>
      <c r="B1249" s="81" t="s">
        <v>1477</v>
      </c>
      <c r="C1249" s="81" t="s">
        <v>1478</v>
      </c>
      <c r="D1249" s="82" t="str">
        <f ca="1">OFFSET(Roster!$A$3,MATCH(表格1[[#This Row],[Location]]&amp;" "&amp;表格1[[#This Row],[Shop]]&amp;"*",Roster!$A$4:$A$72,0),DAY(表格1[[#This Row],[date]]),1,1)</f>
        <v>Vicky L</v>
      </c>
      <c r="E1249" s="81">
        <f>MONTH(表格1[[#This Row],[date]])</f>
        <v>3</v>
      </c>
      <c r="F1249" s="90">
        <v>46112</v>
      </c>
      <c r="G1249" s="81" t="str">
        <f>VLOOKUP("*"&amp;表格1[[#This Row],[Input]]&amp;"*",'Ref-List'!$B:$D,2,)</f>
        <v>MX1-TH23SC(WH)</v>
      </c>
      <c r="H1249" s="81" t="str">
        <f>_xlfn.XLOOKUP(表格1[[#This Row],[Model]],表格3[Model-Input-Ref2],表格3[Product Line])</f>
        <v>微波蒸焗爐23L</v>
      </c>
      <c r="I1249" s="81" t="str">
        <f>_xlfn.XLOOKUP(表格1[[#This Row],[Model]],表格3[Model-Input-Ref2],表格3[大小電])</f>
        <v>細電</v>
      </c>
      <c r="J1249" s="81" t="str">
        <f>_xlfn.XLOOKUP(表格1[[#This Row],[Model]],表格3[Model-Input-Ref2],表格3[Code])</f>
        <v>SDA</v>
      </c>
      <c r="K1249" s="89" t="s">
        <v>1496</v>
      </c>
      <c r="L1249" s="81">
        <v>1</v>
      </c>
      <c r="M1249" s="87">
        <v>2580</v>
      </c>
      <c r="N1249" s="85">
        <f>IFERROR(表格1[[#This Row],[QTY]]*表格1[[#This Row],[Unit Price]],"-")</f>
        <v>2580</v>
      </c>
      <c r="O1249" s="86">
        <v>902261</v>
      </c>
      <c r="P1249" s="86" t="s">
        <v>1497</v>
      </c>
      <c r="R1249" s="86" t="str">
        <f>_xlfn.CONCAT(表格1[[#This Row],[Model]]," ",表格1[[#This Row],[inv no]])</f>
        <v>MX1-TH23SC(WH) 902261</v>
      </c>
      <c r="S1249" s="86">
        <f>_xlfn.XLOOKUP(表格1[[#This Row],[Model]],表格3[Model-Input-Ref2],表格3[SRP PRICE])</f>
        <v>3380</v>
      </c>
      <c r="T1249" s="43">
        <f>表格1[[#This Row],[Unit Price]]/表格1[[#This Row],[SRP]]</f>
        <v>0.76331360946745563</v>
      </c>
      <c r="U1249" s="86" t="str">
        <f>_xlfn.XLOOKUP(表格1[[#This Row],[Model]],表格3[Model-Input-Ref2],表格3[TOSHIBA/HIGHEST])</f>
        <v>Toshiba SRP</v>
      </c>
      <c r="W1249" s="86" t="str">
        <f>_xlfn.CONCAT(表格1[[#This Row],[欄4]],表格1[[#This Row],[inv no]])</f>
        <v>902261</v>
      </c>
    </row>
    <row r="1250" spans="1:23" hidden="1">
      <c r="A1250" s="81">
        <v>1248</v>
      </c>
      <c r="B1250" s="81" t="s">
        <v>1477</v>
      </c>
      <c r="C1250" s="81" t="s">
        <v>1478</v>
      </c>
      <c r="D1250" s="82" t="str">
        <f ca="1">OFFSET(Roster!$A$3,MATCH(表格1[[#This Row],[Location]]&amp;" "&amp;表格1[[#This Row],[Shop]]&amp;"*",Roster!$A$4:$A$72,0),DAY(表格1[[#This Row],[date]]),1,1)</f>
        <v>Vicky L</v>
      </c>
      <c r="E1250" s="81">
        <f>MONTH(表格1[[#This Row],[date]])</f>
        <v>3</v>
      </c>
      <c r="F1250" s="90">
        <v>46099</v>
      </c>
      <c r="G1250" s="81" t="str">
        <f>VLOOKUP("*"&amp;表格1[[#This Row],[Input]]&amp;"*",'Ref-List'!$B:$D,2,)</f>
        <v>TWD-T21BU95UWH(WW)</v>
      </c>
      <c r="H1250" s="81" t="str">
        <f>_xlfn.XLOOKUP(表格1[[#This Row],[Model]],表格3[Model-Input-Ref2],表格3[Product Line])</f>
        <v>470MM超薄身前置式變頻洗衣乾衣機 (洗8.5公斤 乾6公斤)</v>
      </c>
      <c r="I1250" s="81" t="str">
        <f>_xlfn.XLOOKUP(表格1[[#This Row],[Model]],表格3[Model-Input-Ref2],表格3[大小電])</f>
        <v>大電</v>
      </c>
      <c r="J1250" s="81" t="str">
        <f>_xlfn.XLOOKUP(表格1[[#This Row],[Model]],表格3[Model-Input-Ref2],表格3[Code])</f>
        <v>LAD</v>
      </c>
      <c r="K1250" s="89" t="s">
        <v>1461</v>
      </c>
      <c r="L1250" s="81">
        <v>1</v>
      </c>
      <c r="M1250" s="87">
        <v>3999</v>
      </c>
      <c r="N1250" s="85">
        <f>IFERROR(表格1[[#This Row],[QTY]]*表格1[[#This Row],[Unit Price]],"-")</f>
        <v>3999</v>
      </c>
      <c r="O1250" s="142">
        <v>816157</v>
      </c>
      <c r="R1250" s="86" t="str">
        <f>_xlfn.CONCAT(表格1[[#This Row],[Model]]," ",表格1[[#This Row],[inv no]])</f>
        <v>TWD-T21BU95UWH(WW) 816157</v>
      </c>
      <c r="S1250" s="86">
        <f>_xlfn.XLOOKUP(表格1[[#This Row],[Model]],表格3[Model-Input-Ref2],表格3[SRP PRICE])</f>
        <v>7280</v>
      </c>
      <c r="T1250" s="43">
        <f>表格1[[#This Row],[Unit Price]]/表格1[[#This Row],[SRP]]</f>
        <v>0.54931318681318686</v>
      </c>
      <c r="U1250" s="86" t="str">
        <f>_xlfn.XLOOKUP(表格1[[#This Row],[Model]],表格3[Model-Input-Ref2],表格3[TOSHIBA/HIGHEST])</f>
        <v>Toshiba SRP</v>
      </c>
      <c r="W1250" s="86" t="str">
        <f>_xlfn.CONCAT(表格1[[#This Row],[欄4]],表格1[[#This Row],[inv no]])</f>
        <v>816157</v>
      </c>
    </row>
    <row r="1251" spans="1:23" hidden="1">
      <c r="A1251" s="81">
        <v>1249</v>
      </c>
      <c r="B1251" s="81" t="s">
        <v>1477</v>
      </c>
      <c r="C1251" s="81" t="s">
        <v>1478</v>
      </c>
      <c r="D1251" s="82" t="str">
        <f ca="1">OFFSET(Roster!$A$3,MATCH(表格1[[#This Row],[Location]]&amp;" "&amp;表格1[[#This Row],[Shop]]&amp;"*",Roster!$A$4:$A$72,0),DAY(表格1[[#This Row],[date]]),1,1)</f>
        <v>Vicky L</v>
      </c>
      <c r="E1251" s="81">
        <f>MONTH(表格1[[#This Row],[date]])</f>
        <v>3</v>
      </c>
      <c r="F1251" s="90">
        <v>46107</v>
      </c>
      <c r="G1251" s="81" t="str">
        <f>VLOOKUP("*"&amp;表格1[[#This Row],[Input]]&amp;"*",'Ref-List'!$B:$D,2,)</f>
        <v>GR-RB360WE-PMA(06)</v>
      </c>
      <c r="H1251" s="81" t="str">
        <f>_xlfn.XLOOKUP(表格1[[#This Row],[Model]],表格3[Model-Input-Ref2],表格3[Product Line])</f>
        <v>變頻下置式雙門雪櫃系列270L</v>
      </c>
      <c r="I1251" s="81" t="str">
        <f>_xlfn.XLOOKUP(表格1[[#This Row],[Model]],表格3[Model-Input-Ref2],表格3[大小電])</f>
        <v>大電</v>
      </c>
      <c r="J1251" s="81" t="str">
        <f>_xlfn.XLOOKUP(表格1[[#This Row],[Model]],表格3[Model-Input-Ref2],表格3[Code])</f>
        <v>REF</v>
      </c>
      <c r="K1251" s="89" t="s">
        <v>1282</v>
      </c>
      <c r="L1251" s="81">
        <v>1</v>
      </c>
      <c r="M1251" s="87">
        <v>3580</v>
      </c>
      <c r="N1251" s="85">
        <f>IFERROR(表格1[[#This Row],[QTY]]*表格1[[#This Row],[Unit Price]],"-")</f>
        <v>3580</v>
      </c>
      <c r="O1251" s="86">
        <v>816848</v>
      </c>
      <c r="R1251" s="86" t="str">
        <f>_xlfn.CONCAT(表格1[[#This Row],[Model]]," ",表格1[[#This Row],[inv no]])</f>
        <v>GR-RB360WE-PMA(06) 816848</v>
      </c>
      <c r="S1251" s="86">
        <f>_xlfn.XLOOKUP(表格1[[#This Row],[Model]],表格3[Model-Input-Ref2],表格3[SRP PRICE])</f>
        <v>5080</v>
      </c>
      <c r="T1251" s="43">
        <f>表格1[[#This Row],[Unit Price]]/表格1[[#This Row],[SRP]]</f>
        <v>0.70472440944881887</v>
      </c>
      <c r="U1251" s="86" t="str">
        <f>_xlfn.XLOOKUP(表格1[[#This Row],[Model]],表格3[Model-Input-Ref2],表格3[TOSHIBA/HIGHEST])</f>
        <v>Toshiba SRP</v>
      </c>
      <c r="W1251" s="86" t="str">
        <f>_xlfn.CONCAT(表格1[[#This Row],[欄4]],表格1[[#This Row],[inv no]])</f>
        <v>816848</v>
      </c>
    </row>
    <row r="1252" spans="1:23" hidden="1">
      <c r="A1252" s="81">
        <v>1250</v>
      </c>
      <c r="B1252" s="81" t="s">
        <v>1477</v>
      </c>
      <c r="C1252" s="81" t="s">
        <v>1478</v>
      </c>
      <c r="D1252" s="82" t="str">
        <f ca="1">OFFSET(Roster!$A$3,MATCH(表格1[[#This Row],[Location]]&amp;" "&amp;表格1[[#This Row],[Shop]]&amp;"*",Roster!$A$4:$A$72,0),DAY(表格1[[#This Row],[date]]),1,1)</f>
        <v>Vicky L</v>
      </c>
      <c r="E1252" s="81">
        <f>MONTH(表格1[[#This Row],[date]])</f>
        <v>3</v>
      </c>
      <c r="F1252" s="90">
        <v>46107</v>
      </c>
      <c r="G1252" s="81" t="str">
        <f>VLOOKUP("*"&amp;表格1[[#This Row],[Input]]&amp;"*",'Ref-List'!$B:$D,2,)</f>
        <v>TW-T21BU80UWH(MG)</v>
      </c>
      <c r="H1252" s="81" t="str">
        <f>_xlfn.XLOOKUP(表格1[[#This Row],[Model]],表格3[Model-Input-Ref2],表格3[Product Line])</f>
        <v>400MM超薄身前置式變頻洗衣機(7公斤)</v>
      </c>
      <c r="I1252" s="81" t="str">
        <f>_xlfn.XLOOKUP(表格1[[#This Row],[Model]],表格3[Model-Input-Ref2],表格3[大小電])</f>
        <v>大電</v>
      </c>
      <c r="J1252" s="81" t="str">
        <f>_xlfn.XLOOKUP(表格1[[#This Row],[Model]],表格3[Model-Input-Ref2],表格3[Code])</f>
        <v>LAD</v>
      </c>
      <c r="K1252" s="89" t="s">
        <v>1280</v>
      </c>
      <c r="L1252" s="81">
        <v>1</v>
      </c>
      <c r="M1252" s="87">
        <v>3190</v>
      </c>
      <c r="N1252" s="85">
        <f>IFERROR(表格1[[#This Row],[QTY]]*表格1[[#This Row],[Unit Price]],"-")</f>
        <v>3190</v>
      </c>
      <c r="O1252" s="142">
        <v>816814</v>
      </c>
      <c r="R1252" s="86" t="str">
        <f>_xlfn.CONCAT(表格1[[#This Row],[Model]]," ",表格1[[#This Row],[inv no]])</f>
        <v>TW-T21BU80UWH(MG) 816814</v>
      </c>
      <c r="S1252" s="86">
        <f>_xlfn.XLOOKUP(表格1[[#This Row],[Model]],表格3[Model-Input-Ref2],表格3[SRP PRICE])</f>
        <v>5180</v>
      </c>
      <c r="T1252" s="43">
        <f>表格1[[#This Row],[Unit Price]]/表格1[[#This Row],[SRP]]</f>
        <v>0.61583011583011582</v>
      </c>
      <c r="U1252" s="86" t="str">
        <f>_xlfn.XLOOKUP(表格1[[#This Row],[Model]],表格3[Model-Input-Ref2],表格3[TOSHIBA/HIGHEST])</f>
        <v>Toshiba SRP</v>
      </c>
      <c r="W1252" s="86" t="str">
        <f>_xlfn.CONCAT(表格1[[#This Row],[欄4]],表格1[[#This Row],[inv no]])</f>
        <v>816814</v>
      </c>
    </row>
    <row r="1253" spans="1:23" hidden="1">
      <c r="A1253" s="81">
        <v>1251</v>
      </c>
      <c r="B1253" s="81" t="s">
        <v>1477</v>
      </c>
      <c r="C1253" s="81" t="s">
        <v>1478</v>
      </c>
      <c r="D1253" s="82" t="str">
        <f ca="1">OFFSET(Roster!$A$3,MATCH(表格1[[#This Row],[Location]]&amp;" "&amp;表格1[[#This Row],[Shop]]&amp;"*",Roster!$A$4:$A$72,0),DAY(表格1[[#This Row],[date]]),1,1)</f>
        <v>Vicky L</v>
      </c>
      <c r="E1253" s="81">
        <f>MONTH(表格1[[#This Row],[date]])</f>
        <v>3</v>
      </c>
      <c r="F1253" s="90">
        <v>46107</v>
      </c>
      <c r="G1253" s="81" t="str">
        <f>VLOOKUP("*"&amp;表格1[[#This Row],[Input]]&amp;"*",'Ref-List'!$B:$D,2,)</f>
        <v>AW-Q901BPH(WW)</v>
      </c>
      <c r="H1253" s="81" t="str">
        <f>_xlfn.XLOOKUP(表格1[[#This Row],[Model]],表格3[Model-Input-Ref2],表格3[Product Line])</f>
        <v>日式洗衣機 (8公斤 結合高低水位)</v>
      </c>
      <c r="I1253" s="81" t="str">
        <f>_xlfn.XLOOKUP(表格1[[#This Row],[Model]],表格3[Model-Input-Ref2],表格3[大小電])</f>
        <v>大電</v>
      </c>
      <c r="J1253" s="81" t="str">
        <f>_xlfn.XLOOKUP(表格1[[#This Row],[Model]],表格3[Model-Input-Ref2],表格3[Code])</f>
        <v>LAD</v>
      </c>
      <c r="K1253" s="89" t="s">
        <v>1411</v>
      </c>
      <c r="L1253" s="81">
        <v>1</v>
      </c>
      <c r="M1253" s="87">
        <v>2280</v>
      </c>
      <c r="N1253" s="85">
        <f>IFERROR(表格1[[#This Row],[QTY]]*表格1[[#This Row],[Unit Price]],"-")</f>
        <v>2280</v>
      </c>
      <c r="O1253" s="86">
        <v>816839</v>
      </c>
      <c r="R1253" s="86" t="str">
        <f>_xlfn.CONCAT(表格1[[#This Row],[Model]]," ",表格1[[#This Row],[inv no]])</f>
        <v>AW-Q901BPH(WW) 816839</v>
      </c>
      <c r="S1253" s="86">
        <f>_xlfn.XLOOKUP(表格1[[#This Row],[Model]],表格3[Model-Input-Ref2],表格3[SRP PRICE])</f>
        <v>3780</v>
      </c>
      <c r="T1253" s="43">
        <f>表格1[[#This Row],[Unit Price]]/表格1[[#This Row],[SRP]]</f>
        <v>0.60317460317460314</v>
      </c>
      <c r="U1253" s="86" t="str">
        <f>_xlfn.XLOOKUP(表格1[[#This Row],[Model]],表格3[Model-Input-Ref2],表格3[TOSHIBA/HIGHEST])</f>
        <v>Toshiba SRP</v>
      </c>
      <c r="W1253" s="86" t="str">
        <f>_xlfn.CONCAT(表格1[[#This Row],[欄4]],表格1[[#This Row],[inv no]])</f>
        <v>816839</v>
      </c>
    </row>
    <row r="1254" spans="1:23" hidden="1">
      <c r="A1254" s="81">
        <v>1252</v>
      </c>
      <c r="B1254" s="81" t="s">
        <v>1477</v>
      </c>
      <c r="C1254" s="81" t="s">
        <v>1478</v>
      </c>
      <c r="D1254" s="82" t="str">
        <f ca="1">OFFSET(Roster!$A$3,MATCH(表格1[[#This Row],[Location]]&amp;" "&amp;表格1[[#This Row],[Shop]]&amp;"*",Roster!$A$4:$A$72,0),DAY(表格1[[#This Row],[date]]),1,1)</f>
        <v>Vicky L</v>
      </c>
      <c r="E1254" s="81">
        <f>MONTH(表格1[[#This Row],[date]])</f>
        <v>3</v>
      </c>
      <c r="F1254" s="90">
        <v>46107</v>
      </c>
      <c r="G1254" s="81" t="str">
        <f>VLOOKUP("*"&amp;表格1[[#This Row],[Input]]&amp;"*",'Ref-List'!$B:$D,2,)</f>
        <v>GR-RB221WE-PMA(57)</v>
      </c>
      <c r="H1254" s="81" t="str">
        <f>_xlfn.XLOOKUP(表格1[[#This Row],[Model]],表格3[Model-Input-Ref2],表格3[Product Line])</f>
        <v>變頻下置式雙門雪櫃（163L）</v>
      </c>
      <c r="I1254" s="81" t="str">
        <f>_xlfn.XLOOKUP(表格1[[#This Row],[Model]],表格3[Model-Input-Ref2],表格3[大小電])</f>
        <v>大電</v>
      </c>
      <c r="J1254" s="81" t="str">
        <f>_xlfn.XLOOKUP(表格1[[#This Row],[Model]],表格3[Model-Input-Ref2],表格3[Code])</f>
        <v>REF</v>
      </c>
      <c r="K1254" s="89" t="s">
        <v>1386</v>
      </c>
      <c r="L1254" s="81">
        <v>1</v>
      </c>
      <c r="M1254" s="87">
        <v>1880</v>
      </c>
      <c r="N1254" s="85">
        <f>IFERROR(表格1[[#This Row],[QTY]]*表格1[[#This Row],[Unit Price]],"-")</f>
        <v>1880</v>
      </c>
      <c r="O1254" s="86">
        <v>816823</v>
      </c>
      <c r="R1254" s="86" t="str">
        <f>_xlfn.CONCAT(表格1[[#This Row],[Model]]," ",表格1[[#This Row],[inv no]])</f>
        <v>GR-RB221WE-PMA(57) 816823</v>
      </c>
      <c r="S1254" s="86">
        <f>_xlfn.XLOOKUP(表格1[[#This Row],[Model]],表格3[Model-Input-Ref2],表格3[SRP PRICE])</f>
        <v>3480</v>
      </c>
      <c r="T1254" s="43">
        <f>表格1[[#This Row],[Unit Price]]/表格1[[#This Row],[SRP]]</f>
        <v>0.54022988505747127</v>
      </c>
      <c r="U1254" s="86" t="str">
        <f>_xlfn.XLOOKUP(表格1[[#This Row],[Model]],表格3[Model-Input-Ref2],表格3[TOSHIBA/HIGHEST])</f>
        <v>Toshiba SRP</v>
      </c>
      <c r="W1254" s="86" t="str">
        <f>_xlfn.CONCAT(表格1[[#This Row],[欄4]],表格1[[#This Row],[inv no]])</f>
        <v>816823</v>
      </c>
    </row>
    <row r="1255" spans="1:23" hidden="1">
      <c r="A1255" s="81">
        <v>1253</v>
      </c>
      <c r="B1255" s="81" t="s">
        <v>1477</v>
      </c>
      <c r="C1255" s="81" t="s">
        <v>1478</v>
      </c>
      <c r="D1255" s="82" t="str">
        <f ca="1">OFFSET(Roster!$A$3,MATCH(表格1[[#This Row],[Location]]&amp;" "&amp;表格1[[#This Row],[Shop]]&amp;"*",Roster!$A$4:$A$72,0),DAY(表格1[[#This Row],[date]]),1,1)</f>
        <v>Vicky L</v>
      </c>
      <c r="E1255" s="81">
        <f>MONTH(表格1[[#This Row],[date]])</f>
        <v>3</v>
      </c>
      <c r="F1255" s="90">
        <v>46108</v>
      </c>
      <c r="G1255" s="81" t="str">
        <f>VLOOKUP("*"&amp;表格1[[#This Row],[Input]]&amp;"*",'Ref-List'!$B:$D,2,)</f>
        <v>AW-Q800APH(WW)</v>
      </c>
      <c r="H1255" s="81" t="str">
        <f>_xlfn.XLOOKUP(表格1[[#This Row],[Model]],表格3[Model-Input-Ref2],表格3[Product Line])</f>
        <v>日式洗衣機 (7公斤 結合高低水位)</v>
      </c>
      <c r="I1255" s="81" t="str">
        <f>_xlfn.XLOOKUP(表格1[[#This Row],[Model]],表格3[Model-Input-Ref2],表格3[大小電])</f>
        <v>大電</v>
      </c>
      <c r="J1255" s="81" t="str">
        <f>_xlfn.XLOOKUP(表格1[[#This Row],[Model]],表格3[Model-Input-Ref2],表格3[Code])</f>
        <v>LAD</v>
      </c>
      <c r="K1255" s="89" t="s">
        <v>1479</v>
      </c>
      <c r="L1255" s="81">
        <v>1</v>
      </c>
      <c r="M1255" s="87">
        <v>1980</v>
      </c>
      <c r="N1255" s="85">
        <f>IFERROR(表格1[[#This Row],[QTY]]*表格1[[#This Row],[Unit Price]],"-")</f>
        <v>1980</v>
      </c>
      <c r="O1255" s="86">
        <v>816903</v>
      </c>
      <c r="R1255" s="86" t="str">
        <f>_xlfn.CONCAT(表格1[[#This Row],[Model]]," ",表格1[[#This Row],[inv no]])</f>
        <v>AW-Q800APH(WW) 816903</v>
      </c>
      <c r="S1255" s="86">
        <f>_xlfn.XLOOKUP(表格1[[#This Row],[Model]],表格3[Model-Input-Ref2],表格3[SRP PRICE])</f>
        <v>3580</v>
      </c>
      <c r="T1255" s="43">
        <f>表格1[[#This Row],[Unit Price]]/表格1[[#This Row],[SRP]]</f>
        <v>0.55307262569832405</v>
      </c>
      <c r="U1255" s="86" t="str">
        <f>_xlfn.XLOOKUP(表格1[[#This Row],[Model]],表格3[Model-Input-Ref2],表格3[TOSHIBA/HIGHEST])</f>
        <v>Toshiba SRP</v>
      </c>
      <c r="W1255" s="86" t="str">
        <f>_xlfn.CONCAT(表格1[[#This Row],[欄4]],表格1[[#This Row],[inv no]])</f>
        <v>816903</v>
      </c>
    </row>
    <row r="1256" spans="1:23" hidden="1">
      <c r="A1256" s="81">
        <v>1254</v>
      </c>
      <c r="B1256" s="81" t="s">
        <v>1477</v>
      </c>
      <c r="C1256" s="81" t="s">
        <v>1478</v>
      </c>
      <c r="D1256" s="82" t="str">
        <f ca="1">OFFSET(Roster!$A$3,MATCH(表格1[[#This Row],[Location]]&amp;" "&amp;表格1[[#This Row],[Shop]]&amp;"*",Roster!$A$4:$A$72,0),DAY(表格1[[#This Row],[date]]),1,1)</f>
        <v>Vicky L</v>
      </c>
      <c r="E1256" s="81">
        <f>MONTH(表格1[[#This Row],[date]])</f>
        <v>3</v>
      </c>
      <c r="F1256" s="90">
        <v>46108</v>
      </c>
      <c r="G1256" s="81" t="str">
        <f>VLOOKUP("*"&amp;表格1[[#This Row],[Input]]&amp;"*",'Ref-List'!$B:$D,2,)</f>
        <v>TWD-T22BU95UWH(WK)-B</v>
      </c>
      <c r="H1256" s="81" t="str">
        <f>_xlfn.XLOOKUP(表格1[[#This Row],[Model]],表格3[Model-Input-Ref2],表格3[Product Line])</f>
        <v>470MM超薄身前置式變頻洗衣乾衣機 (洗8.5公斤/乾6公斤, 可飛頂)</v>
      </c>
      <c r="I1256" s="81" t="str">
        <f>_xlfn.XLOOKUP(表格1[[#This Row],[Model]],表格3[Model-Input-Ref2],表格3[大小電])</f>
        <v>大電</v>
      </c>
      <c r="J1256" s="81" t="str">
        <f>_xlfn.XLOOKUP(表格1[[#This Row],[Model]],表格3[Model-Input-Ref2],表格3[Code])</f>
        <v>LAD</v>
      </c>
      <c r="K1256" s="89" t="s">
        <v>1421</v>
      </c>
      <c r="L1256" s="81">
        <v>1</v>
      </c>
      <c r="M1256" s="87">
        <v>4780</v>
      </c>
      <c r="N1256" s="85">
        <f>IFERROR(表格1[[#This Row],[QTY]]*表格1[[#This Row],[Unit Price]],"-")</f>
        <v>4780</v>
      </c>
      <c r="O1256" s="142">
        <v>816877</v>
      </c>
      <c r="R1256" s="86" t="str">
        <f>_xlfn.CONCAT(表格1[[#This Row],[Model]]," ",表格1[[#This Row],[inv no]])</f>
        <v>TWD-T22BU95UWH(WK)-B 816877</v>
      </c>
      <c r="S1256" s="86">
        <f>_xlfn.XLOOKUP(表格1[[#This Row],[Model]],表格3[Model-Input-Ref2],表格3[SRP PRICE])</f>
        <v>7480</v>
      </c>
      <c r="T1256" s="43">
        <f>表格1[[#This Row],[Unit Price]]/表格1[[#This Row],[SRP]]</f>
        <v>0.63903743315508021</v>
      </c>
      <c r="U1256" s="86" t="str">
        <f>_xlfn.XLOOKUP(表格1[[#This Row],[Model]],表格3[Model-Input-Ref2],表格3[TOSHIBA/HIGHEST])</f>
        <v>Toshiba SRP</v>
      </c>
      <c r="W1256" s="86" t="str">
        <f>_xlfn.CONCAT(表格1[[#This Row],[欄4]],表格1[[#This Row],[inv no]])</f>
        <v>816877</v>
      </c>
    </row>
    <row r="1257" spans="1:23" hidden="1">
      <c r="A1257" s="81">
        <v>1255</v>
      </c>
      <c r="B1257" s="81" t="s">
        <v>1477</v>
      </c>
      <c r="C1257" s="81" t="s">
        <v>1478</v>
      </c>
      <c r="D1257" s="82" t="str">
        <f ca="1">OFFSET(Roster!$A$3,MATCH(表格1[[#This Row],[Location]]&amp;" "&amp;表格1[[#This Row],[Shop]]&amp;"*",Roster!$A$4:$A$72,0),DAY(表格1[[#This Row],[date]]),1,1)</f>
        <v>Vicky L</v>
      </c>
      <c r="E1257" s="81">
        <f>MONTH(表格1[[#This Row],[date]])</f>
        <v>3</v>
      </c>
      <c r="F1257" s="90">
        <v>46108</v>
      </c>
      <c r="G1257" s="81" t="str">
        <f>VLOOKUP("*"&amp;表格1[[#This Row],[Input]]&amp;"*",'Ref-List'!$B:$D,2,)</f>
        <v>DW-05T2-HK</v>
      </c>
      <c r="H1257" s="81" t="str">
        <f>_xlfn.XLOOKUP(表格1[[#This Row],[Model]],表格3[Model-Input-Ref2],表格3[Product Line])</f>
        <v>座檯式洗碗碟機</v>
      </c>
      <c r="I1257" s="81" t="str">
        <f>_xlfn.XLOOKUP(表格1[[#This Row],[Model]],表格3[Model-Input-Ref2],表格3[大小電])</f>
        <v>細電</v>
      </c>
      <c r="J1257" s="81" t="str">
        <f>_xlfn.XLOOKUP(表格1[[#This Row],[Model]],表格3[Model-Input-Ref2],表格3[Code])</f>
        <v>DW</v>
      </c>
      <c r="K1257" s="89" t="s">
        <v>1475</v>
      </c>
      <c r="L1257" s="81">
        <v>1</v>
      </c>
      <c r="M1257" s="87">
        <v>3780</v>
      </c>
      <c r="N1257" s="85">
        <f>IFERROR(表格1[[#This Row],[QTY]]*表格1[[#This Row],[Unit Price]],"-")</f>
        <v>3780</v>
      </c>
      <c r="O1257" s="86">
        <v>816927</v>
      </c>
      <c r="R1257" s="86" t="str">
        <f>_xlfn.CONCAT(表格1[[#This Row],[Model]]," ",表格1[[#This Row],[inv no]])</f>
        <v>DW-05T2-HK 816927</v>
      </c>
      <c r="S1257" s="86">
        <f>_xlfn.XLOOKUP(表格1[[#This Row],[Model]],表格3[Model-Input-Ref2],表格3[SRP PRICE])</f>
        <v>4580</v>
      </c>
      <c r="T1257" s="43">
        <f>表格1[[#This Row],[Unit Price]]/表格1[[#This Row],[SRP]]</f>
        <v>0.8253275109170306</v>
      </c>
      <c r="U1257" s="86" t="str">
        <f>_xlfn.XLOOKUP(表格1[[#This Row],[Model]],表格3[Model-Input-Ref2],表格3[TOSHIBA/HIGHEST])</f>
        <v>Toshiba SRP</v>
      </c>
      <c r="W1257" s="86" t="str">
        <f>_xlfn.CONCAT(表格1[[#This Row],[欄4]],表格1[[#This Row],[inv no]])</f>
        <v>816927</v>
      </c>
    </row>
    <row r="1258" spans="1:23" hidden="1">
      <c r="A1258" s="81">
        <v>1256</v>
      </c>
      <c r="B1258" s="81" t="s">
        <v>1477</v>
      </c>
      <c r="C1258" s="81" t="s">
        <v>1478</v>
      </c>
      <c r="D1258" s="82" t="str">
        <f ca="1">OFFSET(Roster!$A$3,MATCH(表格1[[#This Row],[Location]]&amp;" "&amp;表格1[[#This Row],[Shop]]&amp;"*",Roster!$A$4:$A$72,0),DAY(表格1[[#This Row],[date]]),1,1)</f>
        <v>Vicky L</v>
      </c>
      <c r="E1258" s="81">
        <f>MONTH(表格1[[#This Row],[date]])</f>
        <v>3</v>
      </c>
      <c r="F1258" s="90">
        <v>46109</v>
      </c>
      <c r="G1258" s="81" t="str">
        <f>VLOOKUP("*"&amp;表格1[[#This Row],[Input]]&amp;"*",'Ref-List'!$B:$D,2,)</f>
        <v>AW-Q901BPH(WW)</v>
      </c>
      <c r="H1258" s="81" t="str">
        <f>_xlfn.XLOOKUP(表格1[[#This Row],[Model]],表格3[Model-Input-Ref2],表格3[Product Line])</f>
        <v>日式洗衣機 (8公斤 結合高低水位)</v>
      </c>
      <c r="I1258" s="81" t="str">
        <f>_xlfn.XLOOKUP(表格1[[#This Row],[Model]],表格3[Model-Input-Ref2],表格3[大小電])</f>
        <v>大電</v>
      </c>
      <c r="J1258" s="81" t="str">
        <f>_xlfn.XLOOKUP(表格1[[#This Row],[Model]],表格3[Model-Input-Ref2],表格3[Code])</f>
        <v>LAD</v>
      </c>
      <c r="K1258" s="89" t="s">
        <v>1411</v>
      </c>
      <c r="L1258" s="81">
        <v>1</v>
      </c>
      <c r="M1258" s="87">
        <v>2280</v>
      </c>
      <c r="N1258" s="85">
        <f>IFERROR(表格1[[#This Row],[QTY]]*表格1[[#This Row],[Unit Price]],"-")</f>
        <v>2280</v>
      </c>
      <c r="O1258" s="86">
        <v>816969</v>
      </c>
      <c r="R1258" s="86" t="str">
        <f>_xlfn.CONCAT(表格1[[#This Row],[Model]]," ",表格1[[#This Row],[inv no]])</f>
        <v>AW-Q901BPH(WW) 816969</v>
      </c>
      <c r="S1258" s="86">
        <f>_xlfn.XLOOKUP(表格1[[#This Row],[Model]],表格3[Model-Input-Ref2],表格3[SRP PRICE])</f>
        <v>3780</v>
      </c>
      <c r="T1258" s="43">
        <f>表格1[[#This Row],[Unit Price]]/表格1[[#This Row],[SRP]]</f>
        <v>0.60317460317460314</v>
      </c>
      <c r="U1258" s="86" t="str">
        <f>_xlfn.XLOOKUP(表格1[[#This Row],[Model]],表格3[Model-Input-Ref2],表格3[TOSHIBA/HIGHEST])</f>
        <v>Toshiba SRP</v>
      </c>
      <c r="W1258" s="86" t="str">
        <f>_xlfn.CONCAT(表格1[[#This Row],[欄4]],表格1[[#This Row],[inv no]])</f>
        <v>816969</v>
      </c>
    </row>
    <row r="1259" spans="1:23" ht="16.5" hidden="1">
      <c r="A1259" s="81">
        <v>1257</v>
      </c>
      <c r="B1259" s="81" t="s">
        <v>1477</v>
      </c>
      <c r="C1259" s="81" t="s">
        <v>1478</v>
      </c>
      <c r="D1259" s="82" t="str">
        <f ca="1">OFFSET(Roster!$A$3,MATCH(表格1[[#This Row],[Location]]&amp;" "&amp;表格1[[#This Row],[Shop]]&amp;"*",Roster!$A$4:$A$72,0),DAY(表格1[[#This Row],[date]]),1,1)</f>
        <v>Vicky L</v>
      </c>
      <c r="E1259" s="81">
        <f>MONTH(表格1[[#This Row],[date]])</f>
        <v>3</v>
      </c>
      <c r="F1259" s="90">
        <v>46109</v>
      </c>
      <c r="G1259" s="81" t="str">
        <f>VLOOKUP("*"&amp;表格1[[#This Row],[Input]]&amp;"*",'Ref-List'!$B:$D,2,)</f>
        <v>RAC-07G3CVRG-HK</v>
      </c>
      <c r="H1259" s="81" t="str">
        <f>_xlfn.XLOOKUP(表格1[[#This Row],[Model]],表格3[Model-Input-Ref2],表格3[Product Line])</f>
        <v>3/4 匹 窗口式冷氣機(remote/fortress)</v>
      </c>
      <c r="I1259" s="81" t="str">
        <f>_xlfn.XLOOKUP(表格1[[#This Row],[Model]],表格3[Model-Input-Ref2],表格3[大小電])</f>
        <v>大電</v>
      </c>
      <c r="J1259" s="81" t="str">
        <f>_xlfn.XLOOKUP(表格1[[#This Row],[Model]],表格3[Model-Input-Ref2],表格3[Code])</f>
        <v>AC</v>
      </c>
      <c r="K1259" s="89" t="s">
        <v>664</v>
      </c>
      <c r="L1259" s="81">
        <v>1</v>
      </c>
      <c r="M1259" s="87">
        <v>3400</v>
      </c>
      <c r="N1259" s="85">
        <f>IFERROR(表格1[[#This Row],[QTY]]*表格1[[#This Row],[Unit Price]],"-")</f>
        <v>3400</v>
      </c>
      <c r="O1259" s="86">
        <v>816970</v>
      </c>
      <c r="P1259" s="141"/>
      <c r="R1259" s="86" t="str">
        <f>_xlfn.CONCAT(表格1[[#This Row],[Model]]," ",表格1[[#This Row],[inv no]])</f>
        <v>RAC-07G3CVRG-HK 816970</v>
      </c>
      <c r="S1259" s="86">
        <f>_xlfn.XLOOKUP(表格1[[#This Row],[Model]],表格3[Model-Input-Ref2],表格3[SRP PRICE])</f>
        <v>5580</v>
      </c>
      <c r="T1259" s="43">
        <f>表格1[[#This Row],[Unit Price]]/表格1[[#This Row],[SRP]]</f>
        <v>0.60931899641577059</v>
      </c>
      <c r="U1259" s="86" t="str">
        <f>_xlfn.XLOOKUP(表格1[[#This Row],[Model]],表格3[Model-Input-Ref2],表格3[TOSHIBA/HIGHEST])</f>
        <v>Toshiba SRP</v>
      </c>
      <c r="W1259" s="86" t="str">
        <f>_xlfn.CONCAT(表格1[[#This Row],[欄4]],表格1[[#This Row],[inv no]])</f>
        <v>816970</v>
      </c>
    </row>
    <row r="1260" spans="1:23" hidden="1">
      <c r="A1260" s="81">
        <v>1258</v>
      </c>
      <c r="B1260" s="81" t="s">
        <v>1477</v>
      </c>
      <c r="C1260" s="81" t="s">
        <v>1478</v>
      </c>
      <c r="D1260" s="82" t="str">
        <f ca="1">OFFSET(Roster!$A$3,MATCH(表格1[[#This Row],[Location]]&amp;" "&amp;表格1[[#This Row],[Shop]]&amp;"*",Roster!$A$4:$A$72,0),DAY(表格1[[#This Row],[date]]),1,1)</f>
        <v>Vicky L</v>
      </c>
      <c r="E1260" s="81">
        <f>MONTH(表格1[[#This Row],[date]])</f>
        <v>3</v>
      </c>
      <c r="F1260" s="90">
        <v>46109</v>
      </c>
      <c r="G1260" s="81" t="str">
        <f>VLOOKUP("*"&amp;表格1[[#This Row],[Input]]&amp;"*",'Ref-List'!$B:$D,2,)</f>
        <v>RAD-D300H</v>
      </c>
      <c r="H1260" s="81" t="str">
        <f>_xlfn.XLOOKUP(表格1[[#This Row],[Model]],表格3[Model-Input-Ref2],表格3[Product Line])</f>
        <v>壓縮式抽濕機 (30公升)</v>
      </c>
      <c r="I1260" s="81" t="str">
        <f>_xlfn.XLOOKUP(表格1[[#This Row],[Model]],表格3[Model-Input-Ref2],表格3[大小電])</f>
        <v>細電</v>
      </c>
      <c r="J1260" s="81" t="str">
        <f>_xlfn.XLOOKUP(表格1[[#This Row],[Model]],表格3[Model-Input-Ref2],表格3[Code])</f>
        <v>RAC</v>
      </c>
      <c r="K1260" s="89" t="s">
        <v>1252</v>
      </c>
      <c r="L1260" s="81">
        <v>1</v>
      </c>
      <c r="M1260" s="87">
        <v>2280</v>
      </c>
      <c r="N1260" s="85">
        <f>IFERROR(表格1[[#This Row],[QTY]]*表格1[[#This Row],[Unit Price]],"-")</f>
        <v>2280</v>
      </c>
      <c r="O1260" s="86">
        <v>902062</v>
      </c>
      <c r="R1260" s="86" t="str">
        <f>_xlfn.CONCAT(表格1[[#This Row],[Model]]," ",表格1[[#This Row],[inv no]])</f>
        <v>RAD-D300H 902062</v>
      </c>
      <c r="S1260" s="86">
        <f>_xlfn.XLOOKUP(表格1[[#This Row],[Model]],表格3[Model-Input-Ref2],表格3[SRP PRICE])</f>
        <v>3380</v>
      </c>
      <c r="T1260" s="43">
        <f>表格1[[#This Row],[Unit Price]]/表格1[[#This Row],[SRP]]</f>
        <v>0.67455621301775148</v>
      </c>
      <c r="U1260" s="86" t="str">
        <f>_xlfn.XLOOKUP(表格1[[#This Row],[Model]],表格3[Model-Input-Ref2],表格3[TOSHIBA/HIGHEST])</f>
        <v>Shops Highest Price</v>
      </c>
      <c r="W1260" s="86" t="str">
        <f>_xlfn.CONCAT(表格1[[#This Row],[欄4]],表格1[[#This Row],[inv no]])</f>
        <v>902062</v>
      </c>
    </row>
    <row r="1261" spans="1:23" hidden="1">
      <c r="A1261" s="81">
        <v>1259</v>
      </c>
      <c r="B1261" s="81" t="s">
        <v>1477</v>
      </c>
      <c r="C1261" s="81" t="s">
        <v>1478</v>
      </c>
      <c r="D1261" s="82" t="str">
        <f ca="1">OFFSET(Roster!$A$3,MATCH(表格1[[#This Row],[Location]]&amp;" "&amp;表格1[[#This Row],[Shop]]&amp;"*",Roster!$A$4:$A$72,0),DAY(表格1[[#This Row],[date]]),1,1)</f>
        <v>Vicky L</v>
      </c>
      <c r="E1261" s="81">
        <f>MONTH(表格1[[#This Row],[date]])</f>
        <v>3</v>
      </c>
      <c r="F1261" s="90">
        <v>46109</v>
      </c>
      <c r="G1261" s="81" t="str">
        <f>VLOOKUP("*"&amp;表格1[[#This Row],[Input]]&amp;"*",'Ref-List'!$B:$D,2,)</f>
        <v>GR-RM612WE-PGA(B5)</v>
      </c>
      <c r="H1261" s="81" t="str">
        <f>_xlfn.XLOOKUP(表格1[[#This Row],[Model]],表格3[Model-Input-Ref2],表格3[Product Line])</f>
        <v>變頻五門雪櫃(375L)</v>
      </c>
      <c r="I1261" s="81" t="str">
        <f>_xlfn.XLOOKUP(表格1[[#This Row],[Model]],表格3[Model-Input-Ref2],表格3[大小電])</f>
        <v>大電</v>
      </c>
      <c r="J1261" s="81" t="str">
        <f>_xlfn.XLOOKUP(表格1[[#This Row],[Model]],表格3[Model-Input-Ref2],表格3[Code])</f>
        <v>REF</v>
      </c>
      <c r="K1261" s="89" t="s">
        <v>1257</v>
      </c>
      <c r="L1261" s="81">
        <v>1</v>
      </c>
      <c r="M1261" s="87">
        <v>8847</v>
      </c>
      <c r="N1261" s="85">
        <f>IFERROR(表格1[[#This Row],[QTY]]*表格1[[#This Row],[Unit Price]],"-")</f>
        <v>8847</v>
      </c>
      <c r="O1261" s="86">
        <v>902086</v>
      </c>
      <c r="R1261" s="86" t="str">
        <f>_xlfn.CONCAT(表格1[[#This Row],[Model]]," ",表格1[[#This Row],[inv no]])</f>
        <v>GR-RM612WE-PGA(B5) 902086</v>
      </c>
      <c r="S1261" s="86">
        <f>_xlfn.XLOOKUP(表格1[[#This Row],[Model]],表格3[Model-Input-Ref2],表格3[SRP PRICE])</f>
        <v>11000</v>
      </c>
      <c r="T1261" s="43">
        <f>表格1[[#This Row],[Unit Price]]/表格1[[#This Row],[SRP]]</f>
        <v>0.80427272727272725</v>
      </c>
      <c r="U1261" s="86" t="str">
        <f>_xlfn.XLOOKUP(表格1[[#This Row],[Model]],表格3[Model-Input-Ref2],表格3[TOSHIBA/HIGHEST])</f>
        <v>Shops Highest Price</v>
      </c>
      <c r="W1261" s="86" t="str">
        <f>_xlfn.CONCAT(表格1[[#This Row],[欄4]],表格1[[#This Row],[inv no]])</f>
        <v>902086</v>
      </c>
    </row>
    <row r="1262" spans="1:23" hidden="1">
      <c r="A1262" s="81">
        <v>1260</v>
      </c>
      <c r="B1262" s="81" t="s">
        <v>1477</v>
      </c>
      <c r="C1262" s="81" t="s">
        <v>1478</v>
      </c>
      <c r="D1262" s="82" t="str">
        <f ca="1">OFFSET(Roster!$A$3,MATCH(表格1[[#This Row],[Location]]&amp;" "&amp;表格1[[#This Row],[Shop]]&amp;"*",Roster!$A$4:$A$72,0),DAY(表格1[[#This Row],[date]]),1,1)</f>
        <v>Vicky L</v>
      </c>
      <c r="E1262" s="81">
        <f>MONTH(表格1[[#This Row],[date]])</f>
        <v>3</v>
      </c>
      <c r="F1262" s="90">
        <v>46109</v>
      </c>
      <c r="G1262" s="81" t="str">
        <f>VLOOKUP("*"&amp;表格1[[#This Row],[Input]]&amp;"*",'Ref-List'!$B:$D,2,)</f>
        <v>AW-Q800APH(WW)</v>
      </c>
      <c r="H1262" s="81" t="str">
        <f>_xlfn.XLOOKUP(表格1[[#This Row],[Model]],表格3[Model-Input-Ref2],表格3[Product Line])</f>
        <v>日式洗衣機 (7公斤 結合高低水位)</v>
      </c>
      <c r="I1262" s="81" t="str">
        <f>_xlfn.XLOOKUP(表格1[[#This Row],[Model]],表格3[Model-Input-Ref2],表格3[大小電])</f>
        <v>大電</v>
      </c>
      <c r="J1262" s="81" t="str">
        <f>_xlfn.XLOOKUP(表格1[[#This Row],[Model]],表格3[Model-Input-Ref2],表格3[Code])</f>
        <v>LAD</v>
      </c>
      <c r="K1262" s="89" t="s">
        <v>1479</v>
      </c>
      <c r="L1262" s="81">
        <v>1</v>
      </c>
      <c r="M1262" s="87">
        <v>1980</v>
      </c>
      <c r="N1262" s="85">
        <f>IFERROR(表格1[[#This Row],[QTY]]*表格1[[#This Row],[Unit Price]],"-")</f>
        <v>1980</v>
      </c>
      <c r="O1262" s="142">
        <v>817017</v>
      </c>
      <c r="R1262" s="86" t="str">
        <f>_xlfn.CONCAT(表格1[[#This Row],[Model]]," ",表格1[[#This Row],[inv no]])</f>
        <v>AW-Q800APH(WW) 817017</v>
      </c>
      <c r="S1262" s="86">
        <f>_xlfn.XLOOKUP(表格1[[#This Row],[Model]],表格3[Model-Input-Ref2],表格3[SRP PRICE])</f>
        <v>3580</v>
      </c>
      <c r="T1262" s="43">
        <f>表格1[[#This Row],[Unit Price]]/表格1[[#This Row],[SRP]]</f>
        <v>0.55307262569832405</v>
      </c>
      <c r="U1262" s="86" t="str">
        <f>_xlfn.XLOOKUP(表格1[[#This Row],[Model]],表格3[Model-Input-Ref2],表格3[TOSHIBA/HIGHEST])</f>
        <v>Toshiba SRP</v>
      </c>
      <c r="W1262" s="86" t="str">
        <f>_xlfn.CONCAT(表格1[[#This Row],[欄4]],表格1[[#This Row],[inv no]])</f>
        <v>817017</v>
      </c>
    </row>
    <row r="1263" spans="1:23" hidden="1">
      <c r="A1263" s="81">
        <v>1261</v>
      </c>
      <c r="B1263" s="81" t="s">
        <v>1477</v>
      </c>
      <c r="C1263" s="81" t="s">
        <v>1478</v>
      </c>
      <c r="D1263" s="82" t="str">
        <f ca="1">OFFSET(Roster!$A$3,MATCH(表格1[[#This Row],[Location]]&amp;" "&amp;表格1[[#This Row],[Shop]]&amp;"*",Roster!$A$4:$A$72,0),DAY(表格1[[#This Row],[date]]),1,1)</f>
        <v>Vicky L</v>
      </c>
      <c r="E1263" s="81">
        <f>MONTH(表格1[[#This Row],[date]])</f>
        <v>3</v>
      </c>
      <c r="F1263" s="90">
        <v>46109</v>
      </c>
      <c r="G1263" s="81" t="str">
        <f>VLOOKUP("*"&amp;表格1[[#This Row],[Input]]&amp;"*",'Ref-List'!$B:$D,2,)</f>
        <v>RC-DS18K(N)</v>
      </c>
      <c r="H1263" s="81" t="str">
        <f>_xlfn.XLOOKUP(表格1[[#This Row],[Model]],表格3[Model-Input-Ref2],表格3[Product Line])</f>
        <v>IH磁應電飯煲</v>
      </c>
      <c r="I1263" s="81" t="str">
        <f>_xlfn.XLOOKUP(表格1[[#This Row],[Model]],表格3[Model-Input-Ref2],表格3[大小電])</f>
        <v>細電</v>
      </c>
      <c r="J1263" s="81" t="str">
        <f>_xlfn.XLOOKUP(表格1[[#This Row],[Model]],表格3[Model-Input-Ref2],表格3[Code])</f>
        <v>SDA</v>
      </c>
      <c r="K1263" s="89" t="s">
        <v>1498</v>
      </c>
      <c r="L1263" s="81">
        <v>1</v>
      </c>
      <c r="M1263" s="87">
        <v>3490</v>
      </c>
      <c r="N1263" s="85">
        <f>IFERROR(表格1[[#This Row],[QTY]]*表格1[[#This Row],[Unit Price]],"-")</f>
        <v>3490</v>
      </c>
      <c r="O1263" s="86">
        <v>902070</v>
      </c>
      <c r="R1263" s="86" t="str">
        <f>_xlfn.CONCAT(表格1[[#This Row],[Model]]," ",表格1[[#This Row],[inv no]])</f>
        <v>RC-DS18K(N) 902070</v>
      </c>
      <c r="S1263" s="86">
        <f>_xlfn.XLOOKUP(表格1[[#This Row],[Model]],表格3[Model-Input-Ref2],表格3[SRP PRICE])</f>
        <v>4988</v>
      </c>
      <c r="T1263" s="43">
        <f>表格1[[#This Row],[Unit Price]]/表格1[[#This Row],[SRP]]</f>
        <v>0.69967923015236566</v>
      </c>
      <c r="U1263" s="86" t="str">
        <f>_xlfn.XLOOKUP(表格1[[#This Row],[Model]],表格3[Model-Input-Ref2],表格3[TOSHIBA/HIGHEST])</f>
        <v>Toshiba SRP</v>
      </c>
      <c r="W1263" s="86" t="str">
        <f>_xlfn.CONCAT(表格1[[#This Row],[欄4]],表格1[[#This Row],[inv no]])</f>
        <v>902070</v>
      </c>
    </row>
    <row r="1264" spans="1:23" hidden="1">
      <c r="A1264" s="81">
        <v>1262</v>
      </c>
      <c r="B1264" s="81" t="s">
        <v>1477</v>
      </c>
      <c r="C1264" s="81" t="s">
        <v>1478</v>
      </c>
      <c r="D1264" s="82" t="str">
        <f ca="1">OFFSET(Roster!$A$3,MATCH(表格1[[#This Row],[Location]]&amp;" "&amp;表格1[[#This Row],[Shop]]&amp;"*",Roster!$A$4:$A$72,0),DAY(表格1[[#This Row],[date]]),1,1)</f>
        <v>Vicky L</v>
      </c>
      <c r="E1264" s="81">
        <f>MONTH(表格1[[#This Row],[date]])</f>
        <v>3</v>
      </c>
      <c r="F1264" s="90">
        <v>46110</v>
      </c>
      <c r="G1264" s="81" t="str">
        <f>VLOOKUP("*"&amp;表格1[[#This Row],[Input]]&amp;"*",'Ref-List'!$B:$D,2,)</f>
        <v>GR-RB221WE-PMA(57)</v>
      </c>
      <c r="H1264" s="81" t="str">
        <f>_xlfn.XLOOKUP(表格1[[#This Row],[Model]],表格3[Model-Input-Ref2],表格3[Product Line])</f>
        <v>變頻下置式雙門雪櫃（163L）</v>
      </c>
      <c r="I1264" s="81" t="str">
        <f>_xlfn.XLOOKUP(表格1[[#This Row],[Model]],表格3[Model-Input-Ref2],表格3[大小電])</f>
        <v>大電</v>
      </c>
      <c r="J1264" s="81" t="str">
        <f>_xlfn.XLOOKUP(表格1[[#This Row],[Model]],表格3[Model-Input-Ref2],表格3[Code])</f>
        <v>REF</v>
      </c>
      <c r="K1264" s="89" t="s">
        <v>1386</v>
      </c>
      <c r="L1264" s="81">
        <v>1</v>
      </c>
      <c r="M1264" s="87">
        <v>1880</v>
      </c>
      <c r="N1264" s="85">
        <f>IFERROR(表格1[[#This Row],[QTY]]*表格1[[#This Row],[Unit Price]],"-")</f>
        <v>1880</v>
      </c>
      <c r="O1264" s="142">
        <v>902134</v>
      </c>
      <c r="R1264" s="86" t="str">
        <f>_xlfn.CONCAT(表格1[[#This Row],[Model]]," ",表格1[[#This Row],[inv no]])</f>
        <v>GR-RB221WE-PMA(57) 902134</v>
      </c>
      <c r="S1264" s="86">
        <f>_xlfn.XLOOKUP(表格1[[#This Row],[Model]],表格3[Model-Input-Ref2],表格3[SRP PRICE])</f>
        <v>3480</v>
      </c>
      <c r="T1264" s="43">
        <f>表格1[[#This Row],[Unit Price]]/表格1[[#This Row],[SRP]]</f>
        <v>0.54022988505747127</v>
      </c>
      <c r="U1264" s="86" t="str">
        <f>_xlfn.XLOOKUP(表格1[[#This Row],[Model]],表格3[Model-Input-Ref2],表格3[TOSHIBA/HIGHEST])</f>
        <v>Toshiba SRP</v>
      </c>
      <c r="W1264" s="86" t="str">
        <f>_xlfn.CONCAT(表格1[[#This Row],[欄4]],表格1[[#This Row],[inv no]])</f>
        <v>902134</v>
      </c>
    </row>
    <row r="1265" spans="1:23" hidden="1">
      <c r="A1265" s="81">
        <v>1263</v>
      </c>
      <c r="B1265" s="81" t="s">
        <v>1477</v>
      </c>
      <c r="C1265" s="81" t="s">
        <v>1478</v>
      </c>
      <c r="D1265" s="82" t="str">
        <f ca="1">OFFSET(Roster!$A$3,MATCH(表格1[[#This Row],[Location]]&amp;" "&amp;表格1[[#This Row],[Shop]]&amp;"*",Roster!$A$4:$A$72,0),DAY(表格1[[#This Row],[date]]),1,1)</f>
        <v>Vicky L</v>
      </c>
      <c r="E1265" s="81">
        <f>MONTH(表格1[[#This Row],[date]])</f>
        <v>3</v>
      </c>
      <c r="F1265" s="90">
        <v>46110</v>
      </c>
      <c r="G1265" s="81" t="str">
        <f>VLOOKUP("*"&amp;表格1[[#This Row],[Input]]&amp;"*",'Ref-List'!$B:$D,2,)</f>
        <v>RAC-07G3CVRG-HK</v>
      </c>
      <c r="H1265" s="81" t="str">
        <f>_xlfn.XLOOKUP(表格1[[#This Row],[Model]],表格3[Model-Input-Ref2],表格3[Product Line])</f>
        <v>3/4 匹 窗口式冷氣機(remote/fortress)</v>
      </c>
      <c r="I1265" s="81" t="str">
        <f>_xlfn.XLOOKUP(表格1[[#This Row],[Model]],表格3[Model-Input-Ref2],表格3[大小電])</f>
        <v>大電</v>
      </c>
      <c r="J1265" s="81" t="str">
        <f>_xlfn.XLOOKUP(表格1[[#This Row],[Model]],表格3[Model-Input-Ref2],表格3[Code])</f>
        <v>AC</v>
      </c>
      <c r="K1265" s="89" t="s">
        <v>664</v>
      </c>
      <c r="L1265" s="81">
        <v>1</v>
      </c>
      <c r="M1265" s="87">
        <v>3880</v>
      </c>
      <c r="N1265" s="85">
        <f>IFERROR(表格1[[#This Row],[QTY]]*表格1[[#This Row],[Unit Price]],"-")</f>
        <v>3880</v>
      </c>
      <c r="O1265" s="86">
        <v>902148</v>
      </c>
      <c r="R1265" s="86" t="str">
        <f>_xlfn.CONCAT(表格1[[#This Row],[Model]]," ",表格1[[#This Row],[inv no]])</f>
        <v>RAC-07G3CVRG-HK 902148</v>
      </c>
      <c r="S1265" s="86">
        <f>_xlfn.XLOOKUP(表格1[[#This Row],[Model]],表格3[Model-Input-Ref2],表格3[SRP PRICE])</f>
        <v>5580</v>
      </c>
      <c r="T1265" s="43">
        <f>表格1[[#This Row],[Unit Price]]/表格1[[#This Row],[SRP]]</f>
        <v>0.69534050179211471</v>
      </c>
      <c r="U1265" s="86" t="str">
        <f>_xlfn.XLOOKUP(表格1[[#This Row],[Model]],表格3[Model-Input-Ref2],表格3[TOSHIBA/HIGHEST])</f>
        <v>Toshiba SRP</v>
      </c>
      <c r="W1265" s="86" t="str">
        <f>_xlfn.CONCAT(表格1[[#This Row],[欄4]],表格1[[#This Row],[inv no]])</f>
        <v>902148</v>
      </c>
    </row>
    <row r="1266" spans="1:23" hidden="1">
      <c r="A1266" s="81">
        <v>1264</v>
      </c>
      <c r="B1266" s="81" t="s">
        <v>1477</v>
      </c>
      <c r="C1266" s="81" t="s">
        <v>1478</v>
      </c>
      <c r="D1266" s="82" t="str">
        <f ca="1">OFFSET(Roster!$A$3,MATCH(表格1[[#This Row],[Location]]&amp;" "&amp;表格1[[#This Row],[Shop]]&amp;"*",Roster!$A$4:$A$72,0),DAY(表格1[[#This Row],[date]]),1,1)</f>
        <v>Vicky L</v>
      </c>
      <c r="E1266" s="81">
        <f>MONTH(表格1[[#This Row],[date]])</f>
        <v>3</v>
      </c>
      <c r="F1266" s="90">
        <v>46110</v>
      </c>
      <c r="G1266" s="81" t="str">
        <f>VLOOKUP("*"&amp;表格1[[#This Row],[Input]]&amp;"*",'Ref-List'!$B:$D,2,)</f>
        <v>RAD-DIA17HK</v>
      </c>
      <c r="H1266" s="81" t="str">
        <f>_xlfn.XLOOKUP(表格1[[#This Row],[Model]],表格3[Model-Input-Ref2],表格3[Product Line])</f>
        <v>變頻二合一空氣淨化抽濕機 (28公升)</v>
      </c>
      <c r="I1266" s="81" t="str">
        <f>_xlfn.XLOOKUP(表格1[[#This Row],[Model]],表格3[Model-Input-Ref2],表格3[大小電])</f>
        <v>大電</v>
      </c>
      <c r="J1266" s="81" t="str">
        <f>_xlfn.XLOOKUP(表格1[[#This Row],[Model]],表格3[Model-Input-Ref2],表格3[Code])</f>
        <v>RAC</v>
      </c>
      <c r="K1266" s="89" t="s">
        <v>1480</v>
      </c>
      <c r="L1266" s="81">
        <v>1</v>
      </c>
      <c r="M1266" s="87">
        <v>3398</v>
      </c>
      <c r="N1266" s="85">
        <f>IFERROR(表格1[[#This Row],[QTY]]*表格1[[#This Row],[Unit Price]],"-")</f>
        <v>3398</v>
      </c>
      <c r="O1266" s="86">
        <v>817069</v>
      </c>
      <c r="R1266" s="86" t="str">
        <f>_xlfn.CONCAT(表格1[[#This Row],[Model]]," ",表格1[[#This Row],[inv no]])</f>
        <v>RAD-DIA17HK 817069</v>
      </c>
      <c r="S1266" s="86">
        <f>_xlfn.XLOOKUP(表格1[[#This Row],[Model]],表格3[Model-Input-Ref2],表格3[SRP PRICE])</f>
        <v>4980</v>
      </c>
      <c r="T1266" s="43">
        <f>表格1[[#This Row],[Unit Price]]/表格1[[#This Row],[SRP]]</f>
        <v>0.68232931726907631</v>
      </c>
      <c r="U1266" s="86" t="str">
        <f>_xlfn.XLOOKUP(表格1[[#This Row],[Model]],表格3[Model-Input-Ref2],表格3[TOSHIBA/HIGHEST])</f>
        <v>Toshiba SRP</v>
      </c>
      <c r="W1266" s="86" t="str">
        <f>_xlfn.CONCAT(表格1[[#This Row],[欄4]],表格1[[#This Row],[inv no]])</f>
        <v>817069</v>
      </c>
    </row>
    <row r="1267" spans="1:23" hidden="1">
      <c r="A1267" s="81">
        <v>1265</v>
      </c>
      <c r="B1267" s="81" t="s">
        <v>1477</v>
      </c>
      <c r="C1267" s="81" t="s">
        <v>1478</v>
      </c>
      <c r="D1267" s="82" t="str">
        <f ca="1">OFFSET(Roster!$A$3,MATCH(表格1[[#This Row],[Location]]&amp;" "&amp;表格1[[#This Row],[Shop]]&amp;"*",Roster!$A$4:$A$72,0),DAY(表格1[[#This Row],[date]]),1,1)</f>
        <v>Vicky L</v>
      </c>
      <c r="E1267" s="81">
        <f>MONTH(表格1[[#This Row],[date]])</f>
        <v>3</v>
      </c>
      <c r="F1267" s="90">
        <v>46110</v>
      </c>
      <c r="G1267" s="81" t="str">
        <f>VLOOKUP("*"&amp;表格1[[#This Row],[Input]]&amp;"*",'Ref-List'!$B:$D,2,)</f>
        <v>GR-RM598WE-PGA(B3)</v>
      </c>
      <c r="H1267" s="81" t="str">
        <f>_xlfn.XLOOKUP(表格1[[#This Row],[Model]],表格3[Model-Input-Ref2],表格3[Product Line])</f>
        <v>變頻六門雪櫃(451L)</v>
      </c>
      <c r="I1267" s="81" t="str">
        <f>_xlfn.XLOOKUP(表格1[[#This Row],[Model]],表格3[Model-Input-Ref2],表格3[大小電])</f>
        <v>大電</v>
      </c>
      <c r="J1267" s="81" t="str">
        <f>_xlfn.XLOOKUP(表格1[[#This Row],[Model]],表格3[Model-Input-Ref2],表格3[Code])</f>
        <v>REF</v>
      </c>
      <c r="K1267" s="89" t="s">
        <v>1491</v>
      </c>
      <c r="L1267" s="81">
        <v>1</v>
      </c>
      <c r="M1267" s="87">
        <v>10990</v>
      </c>
      <c r="N1267" s="85">
        <f>IFERROR(表格1[[#This Row],[QTY]]*表格1[[#This Row],[Unit Price]],"-")</f>
        <v>10990</v>
      </c>
      <c r="O1267" s="86">
        <v>817097</v>
      </c>
      <c r="R1267" s="86" t="str">
        <f>_xlfn.CONCAT(表格1[[#This Row],[Model]]," ",表格1[[#This Row],[inv no]])</f>
        <v>GR-RM598WE-PGA(B3) 817097</v>
      </c>
      <c r="S1267" s="86">
        <f>_xlfn.XLOOKUP(表格1[[#This Row],[Model]],表格3[Model-Input-Ref2],表格3[SRP PRICE])</f>
        <v>14980</v>
      </c>
      <c r="T1267" s="43">
        <f>表格1[[#This Row],[Unit Price]]/表格1[[#This Row],[SRP]]</f>
        <v>0.73364485981308414</v>
      </c>
      <c r="U1267" s="86" t="str">
        <f>_xlfn.XLOOKUP(表格1[[#This Row],[Model]],表格3[Model-Input-Ref2],表格3[TOSHIBA/HIGHEST])</f>
        <v>Toshiba SRP</v>
      </c>
      <c r="W1267" s="86" t="str">
        <f>_xlfn.CONCAT(表格1[[#This Row],[欄4]],表格1[[#This Row],[inv no]])</f>
        <v>817097</v>
      </c>
    </row>
    <row r="1268" spans="1:23" hidden="1">
      <c r="A1268" s="81">
        <v>1266</v>
      </c>
      <c r="B1268" s="81" t="s">
        <v>1477</v>
      </c>
      <c r="C1268" s="81" t="s">
        <v>1478</v>
      </c>
      <c r="D1268" s="82" t="str">
        <f ca="1">OFFSET(Roster!$A$3,MATCH(表格1[[#This Row],[Location]]&amp;" "&amp;表格1[[#This Row],[Shop]]&amp;"*",Roster!$A$4:$A$72,0),DAY(表格1[[#This Row],[date]]),1,1)</f>
        <v>Vicky L</v>
      </c>
      <c r="E1268" s="81">
        <f>MONTH(表格1[[#This Row],[date]])</f>
        <v>3</v>
      </c>
      <c r="F1268" s="90">
        <v>46110</v>
      </c>
      <c r="G1268" s="81" t="str">
        <f>VLOOKUP("*"&amp;表格1[[#This Row],[Input]]&amp;"*",'Ref-List'!$B:$D,2,)</f>
        <v>CFK01W80</v>
      </c>
      <c r="H1268" s="81" t="str">
        <f>_xlfn.XLOOKUP(表格1[[#This Row],[Model]],表格3[Model-Input-Ref2],表格3[Product Line])</f>
        <v>變頻頂揭式洗衣機 (8公斤)</v>
      </c>
      <c r="I1268" s="81" t="str">
        <f>_xlfn.XLOOKUP(表格1[[#This Row],[Model]],表格3[Model-Input-Ref2],表格3[大小電])</f>
        <v>大電</v>
      </c>
      <c r="J1268" s="81" t="str">
        <f>_xlfn.XLOOKUP(表格1[[#This Row],[Model]],表格3[Model-Input-Ref2],表格3[Code])</f>
        <v>LAD</v>
      </c>
      <c r="K1268" s="89" t="s">
        <v>1483</v>
      </c>
      <c r="L1268" s="81">
        <v>1</v>
      </c>
      <c r="M1268" s="87">
        <v>3690</v>
      </c>
      <c r="N1268" s="85">
        <f>IFERROR(表格1[[#This Row],[QTY]]*表格1[[#This Row],[Unit Price]],"-")</f>
        <v>3690</v>
      </c>
      <c r="O1268" s="142">
        <v>902177</v>
      </c>
      <c r="R1268" s="86" t="str">
        <f>_xlfn.CONCAT(表格1[[#This Row],[Model]]," ",表格1[[#This Row],[inv no]])</f>
        <v>CFK01W80 902177</v>
      </c>
      <c r="S1268" s="86">
        <f>_xlfn.XLOOKUP(表格1[[#This Row],[Model]],表格3[Model-Input-Ref2],表格3[SRP PRICE])</f>
        <v>3690</v>
      </c>
      <c r="T1268" s="43">
        <f>表格1[[#This Row],[Unit Price]]/表格1[[#This Row],[SRP]]</f>
        <v>1</v>
      </c>
      <c r="U1268" s="86" t="str">
        <f>_xlfn.XLOOKUP(表格1[[#This Row],[Model]],表格3[Model-Input-Ref2],表格3[TOSHIBA/HIGHEST])</f>
        <v>Shops Highest Price</v>
      </c>
      <c r="W1268" s="86" t="str">
        <f>_xlfn.CONCAT(表格1[[#This Row],[欄4]],表格1[[#This Row],[inv no]])</f>
        <v>902177</v>
      </c>
    </row>
    <row r="1269" spans="1:23" hidden="1">
      <c r="A1269" s="81">
        <v>1267</v>
      </c>
      <c r="B1269" s="81" t="s">
        <v>1477</v>
      </c>
      <c r="C1269" s="81" t="s">
        <v>1478</v>
      </c>
      <c r="D1269" s="82" t="str">
        <f ca="1">OFFSET(Roster!$A$3,MATCH(表格1[[#This Row],[Location]]&amp;" "&amp;表格1[[#This Row],[Shop]]&amp;"*",Roster!$A$4:$A$72,0),DAY(表格1[[#This Row],[date]]),1,1)</f>
        <v>Vicky L</v>
      </c>
      <c r="E1269" s="81">
        <f>MONTH(表格1[[#This Row],[date]])</f>
        <v>3</v>
      </c>
      <c r="F1269" s="90">
        <v>46111</v>
      </c>
      <c r="G1269" s="81" t="str">
        <f>VLOOKUP("*"&amp;表格1[[#This Row],[Input]]&amp;"*",'Ref-List'!$B:$D,2,)</f>
        <v>TWD-T21BU95UWH(WW)</v>
      </c>
      <c r="H1269" s="81" t="str">
        <f>_xlfn.XLOOKUP(表格1[[#This Row],[Model]],表格3[Model-Input-Ref2],表格3[Product Line])</f>
        <v>470MM超薄身前置式變頻洗衣乾衣機 (洗8.5公斤 乾6公斤)</v>
      </c>
      <c r="I1269" s="81" t="str">
        <f>_xlfn.XLOOKUP(表格1[[#This Row],[Model]],表格3[Model-Input-Ref2],表格3[大小電])</f>
        <v>大電</v>
      </c>
      <c r="J1269" s="81" t="str">
        <f>_xlfn.XLOOKUP(表格1[[#This Row],[Model]],表格3[Model-Input-Ref2],表格3[Code])</f>
        <v>LAD</v>
      </c>
      <c r="K1269" s="89" t="s">
        <v>1461</v>
      </c>
      <c r="L1269" s="81">
        <v>1</v>
      </c>
      <c r="M1269" s="87">
        <v>3999</v>
      </c>
      <c r="N1269" s="85">
        <f>IFERROR(表格1[[#This Row],[QTY]]*表格1[[#This Row],[Unit Price]],"-")</f>
        <v>3999</v>
      </c>
      <c r="O1269" s="86">
        <v>817176</v>
      </c>
      <c r="R1269" s="86" t="str">
        <f>_xlfn.CONCAT(表格1[[#This Row],[Model]]," ",表格1[[#This Row],[inv no]])</f>
        <v>TWD-T21BU95UWH(WW) 817176</v>
      </c>
      <c r="S1269" s="86">
        <f>_xlfn.XLOOKUP(表格1[[#This Row],[Model]],表格3[Model-Input-Ref2],表格3[SRP PRICE])</f>
        <v>7280</v>
      </c>
      <c r="T1269" s="43">
        <f>表格1[[#This Row],[Unit Price]]/表格1[[#This Row],[SRP]]</f>
        <v>0.54931318681318686</v>
      </c>
      <c r="U1269" s="86" t="str">
        <f>_xlfn.XLOOKUP(表格1[[#This Row],[Model]],表格3[Model-Input-Ref2],表格3[TOSHIBA/HIGHEST])</f>
        <v>Toshiba SRP</v>
      </c>
      <c r="W1269" s="86" t="str">
        <f>_xlfn.CONCAT(表格1[[#This Row],[欄4]],表格1[[#This Row],[inv no]])</f>
        <v>817176</v>
      </c>
    </row>
    <row r="1270" spans="1:23" hidden="1">
      <c r="A1270" s="81">
        <v>1268</v>
      </c>
      <c r="B1270" s="81" t="s">
        <v>1477</v>
      </c>
      <c r="C1270" s="81" t="s">
        <v>1478</v>
      </c>
      <c r="D1270" s="82" t="str">
        <f ca="1">OFFSET(Roster!$A$3,MATCH(表格1[[#This Row],[Location]]&amp;" "&amp;表格1[[#This Row],[Shop]]&amp;"*",Roster!$A$4:$A$72,0),DAY(表格1[[#This Row],[date]]),1,1)</f>
        <v>Vicky L</v>
      </c>
      <c r="E1270" s="81">
        <f>MONTH(表格1[[#This Row],[date]])</f>
        <v>3</v>
      </c>
      <c r="F1270" s="90">
        <v>46111</v>
      </c>
      <c r="G1270" s="81" t="str">
        <f>VLOOKUP("*"&amp;表格1[[#This Row],[Input]]&amp;"*",'Ref-List'!$B:$D,2,)</f>
        <v>TW-T22BU95UWH(WK)-B</v>
      </c>
      <c r="H1270" s="81" t="str">
        <f>_xlfn.XLOOKUP(表格1[[#This Row],[Model]],表格3[Model-Input-Ref2],表格3[Product Line])</f>
        <v>470MM超薄身前置式變頻洗衣機(8.5公斤, 可飛頂)</v>
      </c>
      <c r="I1270" s="81" t="str">
        <f>_xlfn.XLOOKUP(表格1[[#This Row],[Model]],表格3[Model-Input-Ref2],表格3[大小電])</f>
        <v>大電</v>
      </c>
      <c r="J1270" s="81" t="str">
        <f>_xlfn.XLOOKUP(表格1[[#This Row],[Model]],表格3[Model-Input-Ref2],表格3[Code])</f>
        <v>LAD</v>
      </c>
      <c r="K1270" s="89" t="s">
        <v>969</v>
      </c>
      <c r="L1270" s="81">
        <v>1</v>
      </c>
      <c r="M1270" s="87">
        <v>3680</v>
      </c>
      <c r="N1270" s="85">
        <f>IFERROR(表格1[[#This Row],[QTY]]*表格1[[#This Row],[Unit Price]],"-")</f>
        <v>3680</v>
      </c>
      <c r="O1270" s="86">
        <v>817221</v>
      </c>
      <c r="R1270" s="86" t="str">
        <f>_xlfn.CONCAT(表格1[[#This Row],[Model]]," ",表格1[[#This Row],[inv no]])</f>
        <v>TW-T22BU95UWH(WK)-B 817221</v>
      </c>
      <c r="S1270" s="86">
        <f>_xlfn.XLOOKUP(表格1[[#This Row],[Model]],表格3[Model-Input-Ref2],表格3[SRP PRICE])</f>
        <v>5880</v>
      </c>
      <c r="T1270" s="43">
        <f>表格1[[#This Row],[Unit Price]]/表格1[[#This Row],[SRP]]</f>
        <v>0.62585034013605445</v>
      </c>
      <c r="U1270" s="86" t="str">
        <f>_xlfn.XLOOKUP(表格1[[#This Row],[Model]],表格3[Model-Input-Ref2],表格3[TOSHIBA/HIGHEST])</f>
        <v>Toshiba SRP</v>
      </c>
      <c r="W1270" s="86" t="str">
        <f>_xlfn.CONCAT(表格1[[#This Row],[欄4]],表格1[[#This Row],[inv no]])</f>
        <v>817221</v>
      </c>
    </row>
    <row r="1271" spans="1:23" hidden="1">
      <c r="A1271" s="81">
        <v>1269</v>
      </c>
      <c r="B1271" s="81" t="s">
        <v>1477</v>
      </c>
      <c r="C1271" s="81" t="s">
        <v>1478</v>
      </c>
      <c r="D1271" s="82" t="str">
        <f ca="1">OFFSET(Roster!$A$3,MATCH(表格1[[#This Row],[Location]]&amp;" "&amp;表格1[[#This Row],[Shop]]&amp;"*",Roster!$A$4:$A$72,0),DAY(表格1[[#This Row],[date]]),1,1)</f>
        <v>Vicky L</v>
      </c>
      <c r="E1271" s="81">
        <f>MONTH(表格1[[#This Row],[date]])</f>
        <v>3</v>
      </c>
      <c r="F1271" s="90">
        <v>46095</v>
      </c>
      <c r="G1271" s="81" t="str">
        <f>VLOOKUP("*"&amp;表格1[[#This Row],[Input]]&amp;"*",'Ref-List'!$B:$D,2,)</f>
        <v>MWP-MM20P(WH)</v>
      </c>
      <c r="H1271" s="81" t="str">
        <f>_xlfn.XLOOKUP(表格1[[#This Row],[Model]],表格3[Model-Input-Ref2],表格3[Product Line])</f>
        <v>旋鈕式燒烤微波爐20L</v>
      </c>
      <c r="I1271" s="81" t="str">
        <f>_xlfn.XLOOKUP(表格1[[#This Row],[Model]],表格3[Model-Input-Ref2],表格3[大小電])</f>
        <v>細電</v>
      </c>
      <c r="J1271" s="81" t="str">
        <f>_xlfn.XLOOKUP(表格1[[#This Row],[Model]],表格3[Model-Input-Ref2],表格3[Code])</f>
        <v>SDA</v>
      </c>
      <c r="K1271" s="89" t="s">
        <v>1270</v>
      </c>
      <c r="L1271" s="81">
        <v>1</v>
      </c>
      <c r="M1271" s="87">
        <v>488</v>
      </c>
      <c r="N1271" s="85">
        <f>IFERROR(表格1[[#This Row],[QTY]]*表格1[[#This Row],[Unit Price]],"-")</f>
        <v>488</v>
      </c>
      <c r="O1271" s="86">
        <v>815777</v>
      </c>
      <c r="R1271" s="86" t="str">
        <f>_xlfn.CONCAT(表格1[[#This Row],[Model]]," ",表格1[[#This Row],[inv no]])</f>
        <v>MWP-MM20P(WH) 815777</v>
      </c>
      <c r="S1271" s="86">
        <f>_xlfn.XLOOKUP(表格1[[#This Row],[Model]],表格3[Model-Input-Ref2],表格3[SRP PRICE])</f>
        <v>648</v>
      </c>
      <c r="T1271" s="43">
        <f>表格1[[#This Row],[Unit Price]]/表格1[[#This Row],[SRP]]</f>
        <v>0.75308641975308643</v>
      </c>
      <c r="U1271" s="86" t="str">
        <f>_xlfn.XLOOKUP(表格1[[#This Row],[Model]],表格3[Model-Input-Ref2],表格3[TOSHIBA/HIGHEST])</f>
        <v>Toshiba SRP</v>
      </c>
      <c r="W1271" s="86" t="str">
        <f>_xlfn.CONCAT(表格1[[#This Row],[欄4]],表格1[[#This Row],[inv no]])</f>
        <v>815777</v>
      </c>
    </row>
    <row r="1272" spans="1:23" hidden="1">
      <c r="A1272" s="81">
        <v>1270</v>
      </c>
      <c r="B1272" s="81" t="s">
        <v>1477</v>
      </c>
      <c r="C1272" s="81" t="s">
        <v>1478</v>
      </c>
      <c r="D1272" s="82" t="str">
        <f ca="1">OFFSET(Roster!$A$3,MATCH(表格1[[#This Row],[Location]]&amp;" "&amp;表格1[[#This Row],[Shop]]&amp;"*",Roster!$A$4:$A$72,0),DAY(表格1[[#This Row],[date]]),1,1)</f>
        <v>Vicky L</v>
      </c>
      <c r="E1272" s="81">
        <f>MONTH(表格1[[#This Row],[date]])</f>
        <v>3</v>
      </c>
      <c r="F1272" s="90">
        <v>46098</v>
      </c>
      <c r="G1272" s="81" t="str">
        <f>VLOOKUP("*"&amp;表格1[[#This Row],[Input]]&amp;"*",'Ref-List'!$B:$D,2,)</f>
        <v>MWP-MM20P(WH)</v>
      </c>
      <c r="H1272" s="81" t="str">
        <f>_xlfn.XLOOKUP(表格1[[#This Row],[Model]],表格3[Model-Input-Ref2],表格3[Product Line])</f>
        <v>旋鈕式燒烤微波爐20L</v>
      </c>
      <c r="I1272" s="81" t="str">
        <f>_xlfn.XLOOKUP(表格1[[#This Row],[Model]],表格3[Model-Input-Ref2],表格3[大小電])</f>
        <v>細電</v>
      </c>
      <c r="J1272" s="81" t="str">
        <f>_xlfn.XLOOKUP(表格1[[#This Row],[Model]],表格3[Model-Input-Ref2],表格3[Code])</f>
        <v>SDA</v>
      </c>
      <c r="K1272" s="89" t="s">
        <v>1270</v>
      </c>
      <c r="L1272" s="81">
        <v>1</v>
      </c>
      <c r="M1272" s="87">
        <v>488</v>
      </c>
      <c r="N1272" s="85">
        <f>IFERROR(表格1[[#This Row],[QTY]]*表格1[[#This Row],[Unit Price]],"-")</f>
        <v>488</v>
      </c>
      <c r="O1272" s="142">
        <v>901804</v>
      </c>
      <c r="R1272" s="86" t="str">
        <f>_xlfn.CONCAT(表格1[[#This Row],[Model]]," ",表格1[[#This Row],[inv no]])</f>
        <v>MWP-MM20P(WH) 901804</v>
      </c>
      <c r="S1272" s="86">
        <f>_xlfn.XLOOKUP(表格1[[#This Row],[Model]],表格3[Model-Input-Ref2],表格3[SRP PRICE])</f>
        <v>648</v>
      </c>
      <c r="T1272" s="43">
        <f>表格1[[#This Row],[Unit Price]]/表格1[[#This Row],[SRP]]</f>
        <v>0.75308641975308643</v>
      </c>
      <c r="U1272" s="86" t="str">
        <f>_xlfn.XLOOKUP(表格1[[#This Row],[Model]],表格3[Model-Input-Ref2],表格3[TOSHIBA/HIGHEST])</f>
        <v>Toshiba SRP</v>
      </c>
      <c r="W1272" s="86" t="str">
        <f>_xlfn.CONCAT(表格1[[#This Row],[欄4]],表格1[[#This Row],[inv no]])</f>
        <v>901804</v>
      </c>
    </row>
    <row r="1273" spans="1:23" hidden="1">
      <c r="A1273" s="81">
        <v>1271</v>
      </c>
      <c r="B1273" s="81" t="s">
        <v>1477</v>
      </c>
      <c r="C1273" s="81" t="s">
        <v>1478</v>
      </c>
      <c r="D1273" s="82" t="str">
        <f ca="1">OFFSET(Roster!$A$3,MATCH(表格1[[#This Row],[Location]]&amp;" "&amp;表格1[[#This Row],[Shop]]&amp;"*",Roster!$A$4:$A$72,0),DAY(表格1[[#This Row],[date]]),1,1)</f>
        <v>Vicky L</v>
      </c>
      <c r="E1273" s="81">
        <f>MONTH(表格1[[#This Row],[date]])</f>
        <v>3</v>
      </c>
      <c r="F1273" s="90">
        <v>46100</v>
      </c>
      <c r="G1273" s="81" t="str">
        <f>VLOOKUP("*"&amp;表格1[[#This Row],[Input]]&amp;"*",'Ref-List'!$B:$D,2,)</f>
        <v>MWP-MM20P(WH)</v>
      </c>
      <c r="H1273" s="81" t="str">
        <f>_xlfn.XLOOKUP(表格1[[#This Row],[Model]],表格3[Model-Input-Ref2],表格3[Product Line])</f>
        <v>旋鈕式燒烤微波爐20L</v>
      </c>
      <c r="I1273" s="81" t="str">
        <f>_xlfn.XLOOKUP(表格1[[#This Row],[Model]],表格3[Model-Input-Ref2],表格3[大小電])</f>
        <v>細電</v>
      </c>
      <c r="J1273" s="81" t="str">
        <f>_xlfn.XLOOKUP(表格1[[#This Row],[Model]],表格3[Model-Input-Ref2],表格3[Code])</f>
        <v>SDA</v>
      </c>
      <c r="K1273" s="89" t="s">
        <v>1375</v>
      </c>
      <c r="L1273" s="81">
        <v>1</v>
      </c>
      <c r="M1273" s="87">
        <v>488</v>
      </c>
      <c r="N1273" s="85">
        <f>IFERROR(表格1[[#This Row],[QTY]]*表格1[[#This Row],[Unit Price]],"-")</f>
        <v>488</v>
      </c>
      <c r="O1273" s="86">
        <v>901850</v>
      </c>
      <c r="R1273" s="86" t="str">
        <f>_xlfn.CONCAT(表格1[[#This Row],[Model]]," ",表格1[[#This Row],[inv no]])</f>
        <v>MWP-MM20P(WH) 901850</v>
      </c>
      <c r="S1273" s="86">
        <f>_xlfn.XLOOKUP(表格1[[#This Row],[Model]],表格3[Model-Input-Ref2],表格3[SRP PRICE])</f>
        <v>648</v>
      </c>
      <c r="T1273" s="43">
        <f>表格1[[#This Row],[Unit Price]]/表格1[[#This Row],[SRP]]</f>
        <v>0.75308641975308643</v>
      </c>
      <c r="U1273" s="86" t="str">
        <f>_xlfn.XLOOKUP(表格1[[#This Row],[Model]],表格3[Model-Input-Ref2],表格3[TOSHIBA/HIGHEST])</f>
        <v>Toshiba SRP</v>
      </c>
      <c r="W1273" s="86" t="str">
        <f>_xlfn.CONCAT(表格1[[#This Row],[欄4]],表格1[[#This Row],[inv no]])</f>
        <v>901850</v>
      </c>
    </row>
    <row r="1274" spans="1:23" hidden="1">
      <c r="A1274" s="81">
        <v>1272</v>
      </c>
      <c r="B1274" s="81" t="s">
        <v>1477</v>
      </c>
      <c r="C1274" s="81" t="s">
        <v>1478</v>
      </c>
      <c r="D1274" s="82" t="str">
        <f ca="1">OFFSET(Roster!$A$3,MATCH(表格1[[#This Row],[Location]]&amp;" "&amp;表格1[[#This Row],[Shop]]&amp;"*",Roster!$A$4:$A$72,0),DAY(表格1[[#This Row],[date]]),1,1)</f>
        <v>Vicky L</v>
      </c>
      <c r="E1274" s="81">
        <f>MONTH(表格1[[#This Row],[date]])</f>
        <v>3</v>
      </c>
      <c r="F1274" s="90">
        <v>46103</v>
      </c>
      <c r="G1274" s="81" t="str">
        <f>VLOOKUP("*"&amp;表格1[[#This Row],[Input]]&amp;"*",'Ref-List'!$B:$D,2,)</f>
        <v>MWP-MM20P(WH)</v>
      </c>
      <c r="H1274" s="81" t="str">
        <f>_xlfn.XLOOKUP(表格1[[#This Row],[Model]],表格3[Model-Input-Ref2],表格3[Product Line])</f>
        <v>旋鈕式燒烤微波爐20L</v>
      </c>
      <c r="I1274" s="81" t="str">
        <f>_xlfn.XLOOKUP(表格1[[#This Row],[Model]],表格3[Model-Input-Ref2],表格3[大小電])</f>
        <v>細電</v>
      </c>
      <c r="J1274" s="81" t="str">
        <f>_xlfn.XLOOKUP(表格1[[#This Row],[Model]],表格3[Model-Input-Ref2],表格3[Code])</f>
        <v>SDA</v>
      </c>
      <c r="K1274" s="89" t="s">
        <v>1375</v>
      </c>
      <c r="L1274" s="81">
        <v>1</v>
      </c>
      <c r="M1274" s="87">
        <v>488</v>
      </c>
      <c r="N1274" s="85">
        <f>IFERROR(表格1[[#This Row],[QTY]]*表格1[[#This Row],[Unit Price]],"-")</f>
        <v>488</v>
      </c>
      <c r="O1274" s="86">
        <v>901887</v>
      </c>
      <c r="R1274" s="86" t="str">
        <f>_xlfn.CONCAT(表格1[[#This Row],[Model]]," ",表格1[[#This Row],[inv no]])</f>
        <v>MWP-MM20P(WH) 901887</v>
      </c>
      <c r="S1274" s="86">
        <f>_xlfn.XLOOKUP(表格1[[#This Row],[Model]],表格3[Model-Input-Ref2],表格3[SRP PRICE])</f>
        <v>648</v>
      </c>
      <c r="T1274" s="43">
        <f>表格1[[#This Row],[Unit Price]]/表格1[[#This Row],[SRP]]</f>
        <v>0.75308641975308643</v>
      </c>
      <c r="U1274" s="86" t="str">
        <f>_xlfn.XLOOKUP(表格1[[#This Row],[Model]],表格3[Model-Input-Ref2],表格3[TOSHIBA/HIGHEST])</f>
        <v>Toshiba SRP</v>
      </c>
      <c r="W1274" s="86" t="str">
        <f>_xlfn.CONCAT(表格1[[#This Row],[欄4]],表格1[[#This Row],[inv no]])</f>
        <v>901887</v>
      </c>
    </row>
    <row r="1275" spans="1:23" ht="16.5" hidden="1">
      <c r="A1275" s="81">
        <v>1273</v>
      </c>
      <c r="B1275" s="81" t="s">
        <v>1477</v>
      </c>
      <c r="C1275" s="81" t="s">
        <v>1478</v>
      </c>
      <c r="D1275" s="82" t="str">
        <f ca="1">OFFSET(Roster!$A$3,MATCH(表格1[[#This Row],[Location]]&amp;" "&amp;表格1[[#This Row],[Shop]]&amp;"*",Roster!$A$4:$A$72,0),DAY(表格1[[#This Row],[date]]),1,1)</f>
        <v>Vicky L</v>
      </c>
      <c r="E1275" s="81">
        <f>MONTH(表格1[[#This Row],[date]])</f>
        <v>3</v>
      </c>
      <c r="F1275" s="90">
        <v>46104</v>
      </c>
      <c r="G1275" s="81" t="str">
        <f>VLOOKUP("*"&amp;表格1[[#This Row],[Input]]&amp;"*",'Ref-List'!$B:$D,2,)</f>
        <v>MWP-MM20P(WH)</v>
      </c>
      <c r="H1275" s="81" t="str">
        <f>_xlfn.XLOOKUP(表格1[[#This Row],[Model]],表格3[Model-Input-Ref2],表格3[Product Line])</f>
        <v>旋鈕式燒烤微波爐20L</v>
      </c>
      <c r="I1275" s="81" t="str">
        <f>_xlfn.XLOOKUP(表格1[[#This Row],[Model]],表格3[Model-Input-Ref2],表格3[大小電])</f>
        <v>細電</v>
      </c>
      <c r="J1275" s="81" t="str">
        <f>_xlfn.XLOOKUP(表格1[[#This Row],[Model]],表格3[Model-Input-Ref2],表格3[Code])</f>
        <v>SDA</v>
      </c>
      <c r="K1275" s="89" t="s">
        <v>1375</v>
      </c>
      <c r="L1275" s="81">
        <v>1</v>
      </c>
      <c r="M1275" s="87">
        <v>488</v>
      </c>
      <c r="N1275" s="85">
        <f>IFERROR(表格1[[#This Row],[QTY]]*表格1[[#This Row],[Unit Price]],"-")</f>
        <v>488</v>
      </c>
      <c r="O1275" s="86">
        <v>901978</v>
      </c>
      <c r="P1275" s="137"/>
      <c r="R1275" s="86" t="str">
        <f>_xlfn.CONCAT(表格1[[#This Row],[Model]]," ",表格1[[#This Row],[inv no]])</f>
        <v>MWP-MM20P(WH) 901978</v>
      </c>
      <c r="S1275" s="86">
        <f>_xlfn.XLOOKUP(表格1[[#This Row],[Model]],表格3[Model-Input-Ref2],表格3[SRP PRICE])</f>
        <v>648</v>
      </c>
      <c r="T1275" s="43">
        <f>表格1[[#This Row],[Unit Price]]/表格1[[#This Row],[SRP]]</f>
        <v>0.75308641975308643</v>
      </c>
      <c r="U1275" s="86" t="str">
        <f>_xlfn.XLOOKUP(表格1[[#This Row],[Model]],表格3[Model-Input-Ref2],表格3[TOSHIBA/HIGHEST])</f>
        <v>Toshiba SRP</v>
      </c>
      <c r="W1275" s="86" t="str">
        <f>_xlfn.CONCAT(表格1[[#This Row],[欄4]],表格1[[#This Row],[inv no]])</f>
        <v>901978</v>
      </c>
    </row>
    <row r="1276" spans="1:23" hidden="1">
      <c r="A1276" s="81">
        <v>1274</v>
      </c>
      <c r="B1276" s="81" t="s">
        <v>1477</v>
      </c>
      <c r="C1276" s="81" t="s">
        <v>1478</v>
      </c>
      <c r="D1276" s="82" t="str">
        <f ca="1">OFFSET(Roster!$A$3,MATCH(表格1[[#This Row],[Location]]&amp;" "&amp;表格1[[#This Row],[Shop]]&amp;"*",Roster!$A$4:$A$72,0),DAY(表格1[[#This Row],[date]]),1,1)</f>
        <v>Vicky L</v>
      </c>
      <c r="E1276" s="81">
        <f>MONTH(表格1[[#This Row],[date]])</f>
        <v>3</v>
      </c>
      <c r="F1276" s="90">
        <v>46104</v>
      </c>
      <c r="G1276" s="81" t="str">
        <f>VLOOKUP("*"&amp;表格1[[#This Row],[Input]]&amp;"*",'Ref-List'!$B:$D,2,)</f>
        <v>MWP-MM20P(WH)</v>
      </c>
      <c r="H1276" s="81" t="str">
        <f>_xlfn.XLOOKUP(表格1[[#This Row],[Model]],表格3[Model-Input-Ref2],表格3[Product Line])</f>
        <v>旋鈕式燒烤微波爐20L</v>
      </c>
      <c r="I1276" s="81" t="str">
        <f>_xlfn.XLOOKUP(表格1[[#This Row],[Model]],表格3[Model-Input-Ref2],表格3[大小電])</f>
        <v>細電</v>
      </c>
      <c r="J1276" s="81" t="str">
        <f>_xlfn.XLOOKUP(表格1[[#This Row],[Model]],表格3[Model-Input-Ref2],表格3[Code])</f>
        <v>SDA</v>
      </c>
      <c r="K1276" s="89" t="s">
        <v>1375</v>
      </c>
      <c r="L1276" s="81">
        <v>1</v>
      </c>
      <c r="M1276" s="87">
        <v>488</v>
      </c>
      <c r="N1276" s="85">
        <f>IFERROR(表格1[[#This Row],[QTY]]*表格1[[#This Row],[Unit Price]],"-")</f>
        <v>488</v>
      </c>
      <c r="O1276" s="142">
        <v>901563</v>
      </c>
      <c r="R1276" s="86" t="str">
        <f>_xlfn.CONCAT(表格1[[#This Row],[Model]]," ",表格1[[#This Row],[inv no]])</f>
        <v>MWP-MM20P(WH) 901563</v>
      </c>
      <c r="S1276" s="86">
        <f>_xlfn.XLOOKUP(表格1[[#This Row],[Model]],表格3[Model-Input-Ref2],表格3[SRP PRICE])</f>
        <v>648</v>
      </c>
      <c r="T1276" s="43">
        <f>表格1[[#This Row],[Unit Price]]/表格1[[#This Row],[SRP]]</f>
        <v>0.75308641975308643</v>
      </c>
      <c r="U1276" s="86" t="str">
        <f>_xlfn.XLOOKUP(表格1[[#This Row],[Model]],表格3[Model-Input-Ref2],表格3[TOSHIBA/HIGHEST])</f>
        <v>Toshiba SRP</v>
      </c>
      <c r="W1276" s="86" t="str">
        <f>_xlfn.CONCAT(表格1[[#This Row],[欄4]],表格1[[#This Row],[inv no]])</f>
        <v>901563</v>
      </c>
    </row>
    <row r="1277" spans="1:23" hidden="1">
      <c r="A1277" s="81">
        <v>1275</v>
      </c>
      <c r="B1277" s="81" t="s">
        <v>1477</v>
      </c>
      <c r="C1277" s="81" t="s">
        <v>1478</v>
      </c>
      <c r="D1277" s="82" t="str">
        <f ca="1">OFFSET(Roster!$A$3,MATCH(表格1[[#This Row],[Location]]&amp;" "&amp;表格1[[#This Row],[Shop]]&amp;"*",Roster!$A$4:$A$72,0),DAY(表格1[[#This Row],[date]]),1,1)</f>
        <v>Vicky L</v>
      </c>
      <c r="E1277" s="81">
        <f>MONTH(表格1[[#This Row],[date]])</f>
        <v>3</v>
      </c>
      <c r="F1277" s="90">
        <v>46105</v>
      </c>
      <c r="G1277" s="81" t="str">
        <f>VLOOKUP("*"&amp;表格1[[#This Row],[Input]]&amp;"*",'Ref-List'!$B:$D,2,)</f>
        <v>MWP-MM20P(WH)</v>
      </c>
      <c r="H1277" s="81" t="str">
        <f>_xlfn.XLOOKUP(表格1[[#This Row],[Model]],表格3[Model-Input-Ref2],表格3[Product Line])</f>
        <v>旋鈕式燒烤微波爐20L</v>
      </c>
      <c r="I1277" s="81" t="str">
        <f>_xlfn.XLOOKUP(表格1[[#This Row],[Model]],表格3[Model-Input-Ref2],表格3[大小電])</f>
        <v>細電</v>
      </c>
      <c r="J1277" s="81" t="str">
        <f>_xlfn.XLOOKUP(表格1[[#This Row],[Model]],表格3[Model-Input-Ref2],表格3[Code])</f>
        <v>SDA</v>
      </c>
      <c r="K1277" s="89" t="s">
        <v>1375</v>
      </c>
      <c r="L1277" s="81">
        <v>1</v>
      </c>
      <c r="M1277" s="87">
        <v>488</v>
      </c>
      <c r="N1277" s="85">
        <f>IFERROR(表格1[[#This Row],[QTY]]*表格1[[#This Row],[Unit Price]],"-")</f>
        <v>488</v>
      </c>
      <c r="O1277" s="142">
        <v>901648</v>
      </c>
      <c r="R1277" s="86" t="str">
        <f>_xlfn.CONCAT(表格1[[#This Row],[Model]]," ",表格1[[#This Row],[inv no]])</f>
        <v>MWP-MM20P(WH) 901648</v>
      </c>
      <c r="S1277" s="86">
        <f>_xlfn.XLOOKUP(表格1[[#This Row],[Model]],表格3[Model-Input-Ref2],表格3[SRP PRICE])</f>
        <v>648</v>
      </c>
      <c r="T1277" s="43">
        <f>表格1[[#This Row],[Unit Price]]/表格1[[#This Row],[SRP]]</f>
        <v>0.75308641975308643</v>
      </c>
      <c r="U1277" s="86" t="str">
        <f>_xlfn.XLOOKUP(表格1[[#This Row],[Model]],表格3[Model-Input-Ref2],表格3[TOSHIBA/HIGHEST])</f>
        <v>Toshiba SRP</v>
      </c>
      <c r="W1277" s="86" t="str">
        <f>_xlfn.CONCAT(表格1[[#This Row],[欄4]],表格1[[#This Row],[inv no]])</f>
        <v>901648</v>
      </c>
    </row>
    <row r="1278" spans="1:23" hidden="1">
      <c r="A1278" s="81">
        <v>1276</v>
      </c>
      <c r="B1278" s="81" t="s">
        <v>1477</v>
      </c>
      <c r="C1278" s="81" t="s">
        <v>1478</v>
      </c>
      <c r="D1278" s="82" t="str">
        <f ca="1">OFFSET(Roster!$A$3,MATCH(表格1[[#This Row],[Location]]&amp;" "&amp;表格1[[#This Row],[Shop]]&amp;"*",Roster!$A$4:$A$72,0),DAY(表格1[[#This Row],[date]]),1,1)</f>
        <v>Vicky L</v>
      </c>
      <c r="E1278" s="81">
        <f>MONTH(表格1[[#This Row],[date]])</f>
        <v>3</v>
      </c>
      <c r="F1278" s="90">
        <v>46107</v>
      </c>
      <c r="G1278" s="81" t="str">
        <f>VLOOKUP("*"&amp;表格1[[#This Row],[Input]]&amp;"*",'Ref-List'!$B:$D,2,)</f>
        <v>MWP-MM20P(WH)</v>
      </c>
      <c r="H1278" s="81" t="str">
        <f>_xlfn.XLOOKUP(表格1[[#This Row],[Model]],表格3[Model-Input-Ref2],表格3[Product Line])</f>
        <v>旋鈕式燒烤微波爐20L</v>
      </c>
      <c r="I1278" s="81" t="str">
        <f>_xlfn.XLOOKUP(表格1[[#This Row],[Model]],表格3[Model-Input-Ref2],表格3[大小電])</f>
        <v>細電</v>
      </c>
      <c r="J1278" s="81" t="str">
        <f>_xlfn.XLOOKUP(表格1[[#This Row],[Model]],表格3[Model-Input-Ref2],表格3[Code])</f>
        <v>SDA</v>
      </c>
      <c r="K1278" s="89" t="s">
        <v>1375</v>
      </c>
      <c r="L1278" s="81">
        <v>1</v>
      </c>
      <c r="M1278" s="87">
        <v>488</v>
      </c>
      <c r="N1278" s="85">
        <f>IFERROR(表格1[[#This Row],[QTY]]*表格1[[#This Row],[Unit Price]],"-")</f>
        <v>488</v>
      </c>
      <c r="O1278" s="86">
        <v>901831</v>
      </c>
      <c r="R1278" s="86" t="str">
        <f>_xlfn.CONCAT(表格1[[#This Row],[Model]]," ",表格1[[#This Row],[inv no]])</f>
        <v>MWP-MM20P(WH) 901831</v>
      </c>
      <c r="S1278" s="86">
        <f>_xlfn.XLOOKUP(表格1[[#This Row],[Model]],表格3[Model-Input-Ref2],表格3[SRP PRICE])</f>
        <v>648</v>
      </c>
      <c r="T1278" s="43">
        <f>表格1[[#This Row],[Unit Price]]/表格1[[#This Row],[SRP]]</f>
        <v>0.75308641975308643</v>
      </c>
      <c r="U1278" s="86" t="str">
        <f>_xlfn.XLOOKUP(表格1[[#This Row],[Model]],表格3[Model-Input-Ref2],表格3[TOSHIBA/HIGHEST])</f>
        <v>Toshiba SRP</v>
      </c>
      <c r="W1278" s="86" t="str">
        <f>_xlfn.CONCAT(表格1[[#This Row],[欄4]],表格1[[#This Row],[inv no]])</f>
        <v>901831</v>
      </c>
    </row>
    <row r="1279" spans="1:23" hidden="1">
      <c r="A1279" s="81">
        <v>1277</v>
      </c>
      <c r="B1279" s="81" t="s">
        <v>1477</v>
      </c>
      <c r="C1279" s="81" t="s">
        <v>1478</v>
      </c>
      <c r="D1279" s="82" t="str">
        <f ca="1">OFFSET(Roster!$A$3,MATCH(表格1[[#This Row],[Location]]&amp;" "&amp;表格1[[#This Row],[Shop]]&amp;"*",Roster!$A$4:$A$72,0),DAY(表格1[[#This Row],[date]]),1,1)</f>
        <v>Vicky L</v>
      </c>
      <c r="E1279" s="81">
        <f>MONTH(表格1[[#This Row],[date]])</f>
        <v>3</v>
      </c>
      <c r="F1279" s="90">
        <v>46108</v>
      </c>
      <c r="G1279" s="81" t="str">
        <f>VLOOKUP("*"&amp;表格1[[#This Row],[Input]]&amp;"*",'Ref-List'!$B:$D,2,)</f>
        <v>MWP-MM20P(WH)</v>
      </c>
      <c r="H1279" s="81" t="str">
        <f>_xlfn.XLOOKUP(表格1[[#This Row],[Model]],表格3[Model-Input-Ref2],表格3[Product Line])</f>
        <v>旋鈕式燒烤微波爐20L</v>
      </c>
      <c r="I1279" s="81" t="str">
        <f>_xlfn.XLOOKUP(表格1[[#This Row],[Model]],表格3[Model-Input-Ref2],表格3[大小電])</f>
        <v>細電</v>
      </c>
      <c r="J1279" s="81" t="str">
        <f>_xlfn.XLOOKUP(表格1[[#This Row],[Model]],表格3[Model-Input-Ref2],表格3[Code])</f>
        <v>SDA</v>
      </c>
      <c r="K1279" s="89" t="s">
        <v>1375</v>
      </c>
      <c r="L1279" s="81">
        <v>1</v>
      </c>
      <c r="M1279" s="87">
        <v>488</v>
      </c>
      <c r="N1279" s="85">
        <f>IFERROR(表格1[[#This Row],[QTY]]*表格1[[#This Row],[Unit Price]],"-")</f>
        <v>488</v>
      </c>
      <c r="O1279" s="142">
        <v>902004</v>
      </c>
      <c r="R1279" s="86" t="str">
        <f>_xlfn.CONCAT(表格1[[#This Row],[Model]]," ",表格1[[#This Row],[inv no]])</f>
        <v>MWP-MM20P(WH) 902004</v>
      </c>
      <c r="S1279" s="86">
        <f>_xlfn.XLOOKUP(表格1[[#This Row],[Model]],表格3[Model-Input-Ref2],表格3[SRP PRICE])</f>
        <v>648</v>
      </c>
      <c r="T1279" s="43">
        <f>表格1[[#This Row],[Unit Price]]/表格1[[#This Row],[SRP]]</f>
        <v>0.75308641975308643</v>
      </c>
      <c r="U1279" s="86" t="str">
        <f>_xlfn.XLOOKUP(表格1[[#This Row],[Model]],表格3[Model-Input-Ref2],表格3[TOSHIBA/HIGHEST])</f>
        <v>Toshiba SRP</v>
      </c>
      <c r="W1279" s="86" t="str">
        <f>_xlfn.CONCAT(表格1[[#This Row],[欄4]],表格1[[#This Row],[inv no]])</f>
        <v>902004</v>
      </c>
    </row>
    <row r="1280" spans="1:23" hidden="1">
      <c r="A1280" s="81">
        <v>1278</v>
      </c>
      <c r="B1280" s="81" t="s">
        <v>1477</v>
      </c>
      <c r="C1280" s="81" t="s">
        <v>1478</v>
      </c>
      <c r="D1280" s="82" t="str">
        <f ca="1">OFFSET(Roster!$A$3,MATCH(表格1[[#This Row],[Location]]&amp;" "&amp;表格1[[#This Row],[Shop]]&amp;"*",Roster!$A$4:$A$72,0),DAY(表格1[[#This Row],[date]]),1,1)</f>
        <v>Vicky L</v>
      </c>
      <c r="E1280" s="81">
        <f>MONTH(表格1[[#This Row],[date]])</f>
        <v>3</v>
      </c>
      <c r="F1280" s="90">
        <v>46110</v>
      </c>
      <c r="G1280" s="81" t="str">
        <f>VLOOKUP("*"&amp;表格1[[#This Row],[Input]]&amp;"*",'Ref-List'!$B:$D,2,)</f>
        <v>MWP-MM20P(WH)</v>
      </c>
      <c r="H1280" s="81" t="str">
        <f>_xlfn.XLOOKUP(表格1[[#This Row],[Model]],表格3[Model-Input-Ref2],表格3[Product Line])</f>
        <v>旋鈕式燒烤微波爐20L</v>
      </c>
      <c r="I1280" s="81" t="str">
        <f>_xlfn.XLOOKUP(表格1[[#This Row],[Model]],表格3[Model-Input-Ref2],表格3[大小電])</f>
        <v>細電</v>
      </c>
      <c r="J1280" s="81" t="str">
        <f>_xlfn.XLOOKUP(表格1[[#This Row],[Model]],表格3[Model-Input-Ref2],表格3[Code])</f>
        <v>SDA</v>
      </c>
      <c r="K1280" s="89" t="s">
        <v>1375</v>
      </c>
      <c r="L1280" s="81">
        <v>1</v>
      </c>
      <c r="M1280" s="87">
        <v>488</v>
      </c>
      <c r="N1280" s="85">
        <f>IFERROR(表格1[[#This Row],[QTY]]*表格1[[#This Row],[Unit Price]],"-")</f>
        <v>488</v>
      </c>
      <c r="O1280" s="142">
        <v>902158</v>
      </c>
      <c r="R1280" s="86" t="str">
        <f>_xlfn.CONCAT(表格1[[#This Row],[Model]]," ",表格1[[#This Row],[inv no]])</f>
        <v>MWP-MM20P(WH) 902158</v>
      </c>
      <c r="S1280" s="86">
        <f>_xlfn.XLOOKUP(表格1[[#This Row],[Model]],表格3[Model-Input-Ref2],表格3[SRP PRICE])</f>
        <v>648</v>
      </c>
      <c r="T1280" s="43">
        <f>表格1[[#This Row],[Unit Price]]/表格1[[#This Row],[SRP]]</f>
        <v>0.75308641975308643</v>
      </c>
      <c r="U1280" s="86" t="str">
        <f>_xlfn.XLOOKUP(表格1[[#This Row],[Model]],表格3[Model-Input-Ref2],表格3[TOSHIBA/HIGHEST])</f>
        <v>Toshiba SRP</v>
      </c>
      <c r="W1280" s="86" t="str">
        <f>_xlfn.CONCAT(表格1[[#This Row],[欄4]],表格1[[#This Row],[inv no]])</f>
        <v>902158</v>
      </c>
    </row>
    <row r="1281" spans="1:23" hidden="1">
      <c r="A1281" s="81">
        <v>1279</v>
      </c>
      <c r="B1281" s="81" t="s">
        <v>1417</v>
      </c>
      <c r="C1281" s="81" t="s">
        <v>1508</v>
      </c>
      <c r="D1281" s="82" t="str">
        <f ca="1">OFFSET(Roster!$A$3,MATCH(表格1[[#This Row],[Location]]&amp;" "&amp;表格1[[#This Row],[Shop]]&amp;"*",Roster!$A$4:$A$72,0),DAY(表格1[[#This Row],[date]]),1,1)</f>
        <v>Mui Chan_1</v>
      </c>
      <c r="E1281" s="81">
        <f>MONTH(表格1[[#This Row],[date]])</f>
        <v>3</v>
      </c>
      <c r="F1281" s="90">
        <v>46086</v>
      </c>
      <c r="G1281" s="81" t="str">
        <f>VLOOKUP("*"&amp;表格1[[#This Row],[Input]]&amp;"*",'Ref-List'!$B:$D,2,)</f>
        <v>F-LYA20(W)HKG</v>
      </c>
      <c r="H1281" s="81" t="str">
        <f>_xlfn.XLOOKUP(表格1[[#This Row],[Model]],表格3[Model-Input-Ref2],表格3[Product Line])</f>
        <v>12吋2合1座地座檯電風扇連遙控</v>
      </c>
      <c r="I1281" s="81" t="str">
        <f>_xlfn.XLOOKUP(表格1[[#This Row],[Model]],表格3[Model-Input-Ref2],表格3[大小電])</f>
        <v>細電</v>
      </c>
      <c r="J1281" s="81" t="str">
        <f>_xlfn.XLOOKUP(表格1[[#This Row],[Model]],表格3[Model-Input-Ref2],表格3[Code])</f>
        <v>EAD</v>
      </c>
      <c r="K1281" s="89" t="s">
        <v>1391</v>
      </c>
      <c r="L1281" s="81">
        <v>1</v>
      </c>
      <c r="M1281" s="87">
        <v>398</v>
      </c>
      <c r="N1281" s="85">
        <f>IFERROR(表格1[[#This Row],[QTY]]*表格1[[#This Row],[Unit Price]],"-")</f>
        <v>398</v>
      </c>
      <c r="O1281" s="86" t="s">
        <v>1509</v>
      </c>
      <c r="R1281" s="86" t="str">
        <f>_xlfn.CONCAT(表格1[[#This Row],[Model]]," ",表格1[[#This Row],[inv no]])</f>
        <v>F-LYA20(W)HKG S056-24756</v>
      </c>
      <c r="S1281" s="86">
        <f>_xlfn.XLOOKUP(表格1[[#This Row],[Model]],表格3[Model-Input-Ref2],表格3[SRP PRICE])</f>
        <v>988</v>
      </c>
      <c r="T1281" s="43">
        <f>表格1[[#This Row],[Unit Price]]/表格1[[#This Row],[SRP]]</f>
        <v>0.40283400809716602</v>
      </c>
      <c r="U1281" s="86" t="str">
        <f>_xlfn.XLOOKUP(表格1[[#This Row],[Model]],表格3[Model-Input-Ref2],表格3[TOSHIBA/HIGHEST])</f>
        <v>Toshiba SRP</v>
      </c>
      <c r="W1281" s="86" t="str">
        <f>_xlfn.CONCAT(表格1[[#This Row],[欄4]],表格1[[#This Row],[inv no]])</f>
        <v>S056-24756</v>
      </c>
    </row>
    <row r="1282" spans="1:23" hidden="1">
      <c r="A1282" s="81">
        <v>1280</v>
      </c>
      <c r="B1282" s="81" t="s">
        <v>1417</v>
      </c>
      <c r="C1282" s="81" t="s">
        <v>1508</v>
      </c>
      <c r="D1282" s="82" t="str">
        <f ca="1">OFFSET(Roster!$A$3,MATCH(表格1[[#This Row],[Location]]&amp;" "&amp;表格1[[#This Row],[Shop]]&amp;"*",Roster!$A$4:$A$72,0),DAY(表格1[[#This Row],[date]]),1,1)</f>
        <v>Mui Chan_1</v>
      </c>
      <c r="E1282" s="81">
        <f>MONTH(表格1[[#This Row],[date]])</f>
        <v>3</v>
      </c>
      <c r="F1282" s="90">
        <v>46086</v>
      </c>
      <c r="G1282" s="81" t="str">
        <f>VLOOKUP("*"&amp;表格1[[#This Row],[Input]]&amp;"*",'Ref-List'!$B:$D,2,)</f>
        <v>RAD-D300H</v>
      </c>
      <c r="H1282" s="81" t="str">
        <f>_xlfn.XLOOKUP(表格1[[#This Row],[Model]],表格3[Model-Input-Ref2],表格3[Product Line])</f>
        <v>壓縮式抽濕機 (30公升)</v>
      </c>
      <c r="I1282" s="81" t="str">
        <f>_xlfn.XLOOKUP(表格1[[#This Row],[Model]],表格3[Model-Input-Ref2],表格3[大小電])</f>
        <v>細電</v>
      </c>
      <c r="J1282" s="81" t="str">
        <f>_xlfn.XLOOKUP(表格1[[#This Row],[Model]],表格3[Model-Input-Ref2],表格3[Code])</f>
        <v>RAC</v>
      </c>
      <c r="K1282" s="89" t="s">
        <v>1252</v>
      </c>
      <c r="L1282" s="81">
        <v>1</v>
      </c>
      <c r="M1282" s="87">
        <v>2280</v>
      </c>
      <c r="N1282" s="85">
        <f>IFERROR(表格1[[#This Row],[QTY]]*表格1[[#This Row],[Unit Price]],"-")</f>
        <v>2280</v>
      </c>
      <c r="O1282" s="86" t="s">
        <v>1510</v>
      </c>
      <c r="R1282" s="86" t="str">
        <f>_xlfn.CONCAT(表格1[[#This Row],[Model]]," ",表格1[[#This Row],[inv no]])</f>
        <v>RAD-D300H S056-24782</v>
      </c>
      <c r="S1282" s="86">
        <f>_xlfn.XLOOKUP(表格1[[#This Row],[Model]],表格3[Model-Input-Ref2],表格3[SRP PRICE])</f>
        <v>3380</v>
      </c>
      <c r="T1282" s="43">
        <f>表格1[[#This Row],[Unit Price]]/表格1[[#This Row],[SRP]]</f>
        <v>0.67455621301775148</v>
      </c>
      <c r="U1282" s="86" t="str">
        <f>_xlfn.XLOOKUP(表格1[[#This Row],[Model]],表格3[Model-Input-Ref2],表格3[TOSHIBA/HIGHEST])</f>
        <v>Shops Highest Price</v>
      </c>
      <c r="W1282" s="86" t="str">
        <f>_xlfn.CONCAT(表格1[[#This Row],[欄4]],表格1[[#This Row],[inv no]])</f>
        <v>S056-24782</v>
      </c>
    </row>
    <row r="1283" spans="1:23" ht="16.5" hidden="1">
      <c r="A1283" s="81">
        <v>1281</v>
      </c>
      <c r="B1283" s="81" t="s">
        <v>1417</v>
      </c>
      <c r="C1283" s="81" t="s">
        <v>1508</v>
      </c>
      <c r="D1283" s="82" t="str">
        <f ca="1">OFFSET(Roster!$A$3,MATCH(表格1[[#This Row],[Location]]&amp;" "&amp;表格1[[#This Row],[Shop]]&amp;"*",Roster!$A$4:$A$72,0),DAY(表格1[[#This Row],[date]]),1,1)</f>
        <v>Mui Chan_1</v>
      </c>
      <c r="E1283" s="81">
        <f>MONTH(表格1[[#This Row],[date]])</f>
        <v>3</v>
      </c>
      <c r="F1283" s="90">
        <v>46086</v>
      </c>
      <c r="G1283" s="81" t="str">
        <f>VLOOKUP("*"&amp;表格1[[#This Row],[Input]]&amp;"*",'Ref-List'!$B:$D,2,)</f>
        <v>F-LYA20(W)HKG</v>
      </c>
      <c r="H1283" s="81" t="str">
        <f>_xlfn.XLOOKUP(表格1[[#This Row],[Model]],表格3[Model-Input-Ref2],表格3[Product Line])</f>
        <v>12吋2合1座地座檯電風扇連遙控</v>
      </c>
      <c r="I1283" s="81" t="str">
        <f>_xlfn.XLOOKUP(表格1[[#This Row],[Model]],表格3[Model-Input-Ref2],表格3[大小電])</f>
        <v>細電</v>
      </c>
      <c r="J1283" s="81" t="str">
        <f>_xlfn.XLOOKUP(表格1[[#This Row],[Model]],表格3[Model-Input-Ref2],表格3[Code])</f>
        <v>EAD</v>
      </c>
      <c r="K1283" s="89" t="s">
        <v>1391</v>
      </c>
      <c r="L1283" s="81">
        <v>1</v>
      </c>
      <c r="M1283" s="87">
        <v>398</v>
      </c>
      <c r="N1283" s="85">
        <f>IFERROR(表格1[[#This Row],[QTY]]*表格1[[#This Row],[Unit Price]],"-")</f>
        <v>398</v>
      </c>
      <c r="O1283" s="142" t="s">
        <v>1510</v>
      </c>
      <c r="P1283" s="137"/>
      <c r="R1283" s="86" t="str">
        <f>_xlfn.CONCAT(表格1[[#This Row],[Model]]," ",表格1[[#This Row],[inv no]])</f>
        <v>F-LYA20(W)HKG S056-24782</v>
      </c>
      <c r="S1283" s="86">
        <f>_xlfn.XLOOKUP(表格1[[#This Row],[Model]],表格3[Model-Input-Ref2],表格3[SRP PRICE])</f>
        <v>988</v>
      </c>
      <c r="T1283" s="43">
        <f>表格1[[#This Row],[Unit Price]]/表格1[[#This Row],[SRP]]</f>
        <v>0.40283400809716602</v>
      </c>
      <c r="U1283" s="86" t="str">
        <f>_xlfn.XLOOKUP(表格1[[#This Row],[Model]],表格3[Model-Input-Ref2],表格3[TOSHIBA/HIGHEST])</f>
        <v>Toshiba SRP</v>
      </c>
      <c r="W1283" s="86" t="str">
        <f>_xlfn.CONCAT(表格1[[#This Row],[欄4]],表格1[[#This Row],[inv no]])</f>
        <v>S056-24782</v>
      </c>
    </row>
    <row r="1284" spans="1:23" ht="16.5" hidden="1">
      <c r="A1284" s="81">
        <v>1282</v>
      </c>
      <c r="B1284" s="81" t="s">
        <v>1417</v>
      </c>
      <c r="C1284" s="81" t="s">
        <v>1508</v>
      </c>
      <c r="D1284" s="82" t="str">
        <f ca="1">OFFSET(Roster!$A$3,MATCH(表格1[[#This Row],[Location]]&amp;" "&amp;表格1[[#This Row],[Shop]]&amp;"*",Roster!$A$4:$A$72,0),DAY(表格1[[#This Row],[date]]),1,1)</f>
        <v>Mui Chan_1</v>
      </c>
      <c r="E1284" s="81">
        <f>MONTH(表格1[[#This Row],[date]])</f>
        <v>3</v>
      </c>
      <c r="F1284" s="90">
        <v>46086</v>
      </c>
      <c r="G1284" s="81" t="str">
        <f>VLOOKUP("*"&amp;表格1[[#This Row],[Input]]&amp;"*",'Ref-List'!$B:$D,2,)</f>
        <v>RC-7HMH</v>
      </c>
      <c r="H1284" s="81" t="str">
        <f>_xlfn.XLOOKUP(表格1[[#This Row],[Model]],表格3[Model-Input-Ref2],表格3[Product Line])</f>
        <v>備長炭本厚釜電飯煲0.7L</v>
      </c>
      <c r="I1284" s="81" t="str">
        <f>_xlfn.XLOOKUP(表格1[[#This Row],[Model]],表格3[Model-Input-Ref2],表格3[大小電])</f>
        <v>細電</v>
      </c>
      <c r="J1284" s="81" t="str">
        <f>_xlfn.XLOOKUP(表格1[[#This Row],[Model]],表格3[Model-Input-Ref2],表格3[Code])</f>
        <v>SDA</v>
      </c>
      <c r="K1284" s="89" t="s">
        <v>1284</v>
      </c>
      <c r="L1284" s="81">
        <v>1</v>
      </c>
      <c r="M1284" s="87">
        <v>838</v>
      </c>
      <c r="N1284" s="85">
        <f>IFERROR(表格1[[#This Row],[QTY]]*表格1[[#This Row],[Unit Price]],"-")</f>
        <v>838</v>
      </c>
      <c r="O1284" s="86" t="s">
        <v>1511</v>
      </c>
      <c r="P1284" s="141"/>
      <c r="R1284" s="86" t="str">
        <f>_xlfn.CONCAT(表格1[[#This Row],[Model]]," ",表格1[[#This Row],[inv no]])</f>
        <v>RC-7HMH S056-24787</v>
      </c>
      <c r="S1284" s="86">
        <f>_xlfn.XLOOKUP(表格1[[#This Row],[Model]],表格3[Model-Input-Ref2],表格3[SRP PRICE])</f>
        <v>1288</v>
      </c>
      <c r="T1284" s="43">
        <f>表格1[[#This Row],[Unit Price]]/表格1[[#This Row],[SRP]]</f>
        <v>0.65062111801242239</v>
      </c>
      <c r="U1284" s="86" t="str">
        <f>_xlfn.XLOOKUP(表格1[[#This Row],[Model]],表格3[Model-Input-Ref2],表格3[TOSHIBA/HIGHEST])</f>
        <v>Toshiba SRP</v>
      </c>
      <c r="W1284" s="86" t="str">
        <f>_xlfn.CONCAT(表格1[[#This Row],[欄4]],表格1[[#This Row],[inv no]])</f>
        <v>S056-24787</v>
      </c>
    </row>
    <row r="1285" spans="1:23" hidden="1">
      <c r="A1285" s="81">
        <v>1283</v>
      </c>
      <c r="B1285" s="81" t="s">
        <v>1417</v>
      </c>
      <c r="C1285" s="81" t="s">
        <v>1508</v>
      </c>
      <c r="D1285" s="82" t="str">
        <f ca="1">OFFSET(Roster!$A$3,MATCH(表格1[[#This Row],[Location]]&amp;" "&amp;表格1[[#This Row],[Shop]]&amp;"*",Roster!$A$4:$A$72,0),DAY(表格1[[#This Row],[date]]),1,1)</f>
        <v>Mui Chan_1</v>
      </c>
      <c r="E1285" s="81">
        <f>MONTH(表格1[[#This Row],[date]])</f>
        <v>3</v>
      </c>
      <c r="F1285" s="90">
        <v>46090</v>
      </c>
      <c r="G1285" s="81" t="str">
        <f>VLOOKUP("*"&amp;表格1[[#This Row],[Input]]&amp;"*",'Ref-List'!$B:$D,2,)</f>
        <v>RC-18AMXH(W)</v>
      </c>
      <c r="H1285" s="81" t="str">
        <f>_xlfn.XLOOKUP(表格1[[#This Row],[Model]],表格3[Model-Input-Ref2],表格3[Product Line])</f>
        <v>酵活炊電飯煲(1.8公升)</v>
      </c>
      <c r="I1285" s="81" t="str">
        <f>_xlfn.XLOOKUP(表格1[[#This Row],[Model]],表格3[Model-Input-Ref2],表格3[大小電])</f>
        <v>細電</v>
      </c>
      <c r="J1285" s="81" t="str">
        <f>_xlfn.XLOOKUP(表格1[[#This Row],[Model]],表格3[Model-Input-Ref2],表格3[Code])</f>
        <v>SDA</v>
      </c>
      <c r="K1285" s="89" t="s">
        <v>1362</v>
      </c>
      <c r="L1285" s="81">
        <v>1</v>
      </c>
      <c r="M1285" s="87">
        <v>1000</v>
      </c>
      <c r="N1285" s="85">
        <f>IFERROR(表格1[[#This Row],[QTY]]*表格1[[#This Row],[Unit Price]],"-")</f>
        <v>1000</v>
      </c>
      <c r="O1285" s="86" t="s">
        <v>1512</v>
      </c>
      <c r="R1285" s="86" t="str">
        <f>_xlfn.CONCAT(表格1[[#This Row],[Model]]," ",表格1[[#This Row],[inv no]])</f>
        <v>RC-18AMXH(W) S056-25481</v>
      </c>
      <c r="S1285" s="86">
        <f>_xlfn.XLOOKUP(表格1[[#This Row],[Model]],表格3[Model-Input-Ref2],表格3[SRP PRICE])</f>
        <v>1588</v>
      </c>
      <c r="T1285" s="43">
        <f>表格1[[#This Row],[Unit Price]]/表格1[[#This Row],[SRP]]</f>
        <v>0.62972292191435764</v>
      </c>
      <c r="U1285" s="86" t="str">
        <f>_xlfn.XLOOKUP(表格1[[#This Row],[Model]],表格3[Model-Input-Ref2],表格3[TOSHIBA/HIGHEST])</f>
        <v>Toshiba SRP</v>
      </c>
      <c r="W1285" s="86" t="str">
        <f>_xlfn.CONCAT(表格1[[#This Row],[欄4]],表格1[[#This Row],[inv no]])</f>
        <v>S056-25481</v>
      </c>
    </row>
    <row r="1286" spans="1:23" hidden="1">
      <c r="A1286" s="81">
        <v>1284</v>
      </c>
      <c r="B1286" s="81" t="s">
        <v>1417</v>
      </c>
      <c r="C1286" s="81" t="s">
        <v>1508</v>
      </c>
      <c r="D1286" s="82" t="str">
        <f ca="1">OFFSET(Roster!$A$3,MATCH(表格1[[#This Row],[Location]]&amp;" "&amp;表格1[[#This Row],[Shop]]&amp;"*",Roster!$A$4:$A$72,0),DAY(表格1[[#This Row],[date]]),1,1)</f>
        <v>Mui Chan_1</v>
      </c>
      <c r="E1286" s="81">
        <f>MONTH(表格1[[#This Row],[date]])</f>
        <v>3</v>
      </c>
      <c r="F1286" s="90">
        <v>46090</v>
      </c>
      <c r="G1286" s="81" t="str">
        <f>VLOOKUP("*"&amp;表格1[[#This Row],[Input]]&amp;"*",'Ref-List'!$B:$D,2,)</f>
        <v>IC-21TSHK</v>
      </c>
      <c r="H1286" s="81" t="str">
        <f>_xlfn.XLOOKUP(表格1[[#This Row],[Model]],表格3[Model-Input-Ref2],表格3[Product Line])</f>
        <v>Induction Cooker</v>
      </c>
      <c r="I1286" s="81" t="str">
        <f>_xlfn.XLOOKUP(表格1[[#This Row],[Model]],表格3[Model-Input-Ref2],表格3[大小電])</f>
        <v>細電</v>
      </c>
      <c r="J1286" s="81" t="str">
        <f>_xlfn.XLOOKUP(表格1[[#This Row],[Model]],表格3[Model-Input-Ref2],表格3[Code])</f>
        <v>SDA</v>
      </c>
      <c r="K1286" s="89" t="s">
        <v>1242</v>
      </c>
      <c r="L1286" s="81">
        <v>1</v>
      </c>
      <c r="M1286" s="87">
        <v>698</v>
      </c>
      <c r="N1286" s="85">
        <f>IFERROR(表格1[[#This Row],[QTY]]*表格1[[#This Row],[Unit Price]],"-")</f>
        <v>698</v>
      </c>
      <c r="O1286" s="86" t="s">
        <v>1513</v>
      </c>
      <c r="R1286" s="86" t="str">
        <f>_xlfn.CONCAT(表格1[[#This Row],[Model]]," ",表格1[[#This Row],[inv no]])</f>
        <v>IC-21TSHK S056-10279</v>
      </c>
      <c r="S1286" s="86">
        <f>_xlfn.XLOOKUP(表格1[[#This Row],[Model]],表格3[Model-Input-Ref2],表格3[SRP PRICE])</f>
        <v>998</v>
      </c>
      <c r="T1286" s="43">
        <f>表格1[[#This Row],[Unit Price]]/表格1[[#This Row],[SRP]]</f>
        <v>0.69939879759519041</v>
      </c>
      <c r="U1286" s="86" t="str">
        <f>_xlfn.XLOOKUP(表格1[[#This Row],[Model]],表格3[Model-Input-Ref2],表格3[TOSHIBA/HIGHEST])</f>
        <v>web SRP</v>
      </c>
      <c r="W1286" s="86" t="str">
        <f>_xlfn.CONCAT(表格1[[#This Row],[欄4]],表格1[[#This Row],[inv no]])</f>
        <v>S056-10279</v>
      </c>
    </row>
    <row r="1287" spans="1:23" hidden="1">
      <c r="A1287" s="81">
        <v>1285</v>
      </c>
      <c r="B1287" s="81" t="s">
        <v>1417</v>
      </c>
      <c r="C1287" s="81" t="s">
        <v>1508</v>
      </c>
      <c r="D1287" s="82" t="str">
        <f ca="1">OFFSET(Roster!$A$3,MATCH(表格1[[#This Row],[Location]]&amp;" "&amp;表格1[[#This Row],[Shop]]&amp;"*",Roster!$A$4:$A$72,0),DAY(表格1[[#This Row],[date]]),1,1)</f>
        <v>Mui Chan_1</v>
      </c>
      <c r="E1287" s="81">
        <f>MONTH(表格1[[#This Row],[date]])</f>
        <v>3</v>
      </c>
      <c r="F1287" s="90">
        <v>46091</v>
      </c>
      <c r="G1287" s="81" t="str">
        <f>VLOOKUP("*"&amp;表格1[[#This Row],[Input]]&amp;"*",'Ref-List'!$B:$D,2,)</f>
        <v>AW-Q801APH(WW)</v>
      </c>
      <c r="H1287" s="81" t="str">
        <f>_xlfn.XLOOKUP(表格1[[#This Row],[Model]],表格3[Model-Input-Ref2],表格3[Product Line])</f>
        <v>日式洗衣機 (7公斤 結合高低水位)</v>
      </c>
      <c r="I1287" s="81" t="str">
        <f>_xlfn.XLOOKUP(表格1[[#This Row],[Model]],表格3[Model-Input-Ref2],表格3[大小電])</f>
        <v>大電</v>
      </c>
      <c r="J1287" s="81" t="str">
        <f>_xlfn.XLOOKUP(表格1[[#This Row],[Model]],表格3[Model-Input-Ref2],表格3[Code])</f>
        <v>LAD</v>
      </c>
      <c r="K1287" s="89" t="s">
        <v>1420</v>
      </c>
      <c r="L1287" s="81">
        <v>1</v>
      </c>
      <c r="M1287" s="87">
        <v>2000</v>
      </c>
      <c r="N1287" s="85">
        <f>IFERROR(表格1[[#This Row],[QTY]]*表格1[[#This Row],[Unit Price]],"-")</f>
        <v>2000</v>
      </c>
      <c r="O1287" s="86" t="s">
        <v>1514</v>
      </c>
      <c r="R1287" s="86" t="str">
        <f>_xlfn.CONCAT(表格1[[#This Row],[Model]]," ",表格1[[#This Row],[inv no]])</f>
        <v>AW-Q801APH(WW) S056-25124</v>
      </c>
      <c r="S1287" s="86">
        <f>_xlfn.XLOOKUP(表格1[[#This Row],[Model]],表格3[Model-Input-Ref2],表格3[SRP PRICE])</f>
        <v>3380</v>
      </c>
      <c r="T1287" s="43">
        <f>表格1[[#This Row],[Unit Price]]/表格1[[#This Row],[SRP]]</f>
        <v>0.59171597633136097</v>
      </c>
      <c r="U1287" s="86" t="str">
        <f>_xlfn.XLOOKUP(表格1[[#This Row],[Model]],表格3[Model-Input-Ref2],表格3[TOSHIBA/HIGHEST])</f>
        <v>Toshiba SRP</v>
      </c>
      <c r="W1287" s="86" t="str">
        <f>_xlfn.CONCAT(表格1[[#This Row],[欄4]],表格1[[#This Row],[inv no]])</f>
        <v>S056-25124</v>
      </c>
    </row>
    <row r="1288" spans="1:23" ht="16.5" hidden="1">
      <c r="A1288" s="81">
        <v>1286</v>
      </c>
      <c r="B1288" s="81" t="s">
        <v>1417</v>
      </c>
      <c r="C1288" s="81" t="s">
        <v>1508</v>
      </c>
      <c r="D1288" s="82" t="str">
        <f ca="1">OFFSET(Roster!$A$3,MATCH(表格1[[#This Row],[Location]]&amp;" "&amp;表格1[[#This Row],[Shop]]&amp;"*",Roster!$A$4:$A$72,0),DAY(表格1[[#This Row],[date]]),1,1)</f>
        <v>Mui Chan_1</v>
      </c>
      <c r="E1288" s="81">
        <f>MONTH(表格1[[#This Row],[date]])</f>
        <v>3</v>
      </c>
      <c r="F1288" s="90">
        <v>46092</v>
      </c>
      <c r="G1288" s="81" t="str">
        <f>VLOOKUP("*"&amp;表格1[[#This Row],[Input]]&amp;"*",'Ref-List'!$B:$D,2,)</f>
        <v>KT-08DH1VHK(W)</v>
      </c>
      <c r="H1288" s="81" t="str">
        <f>_xlfn.XLOOKUP(表格1[[#This Row],[Model]],表格3[Model-Input-Ref2],表格3[Product Line])</f>
        <v>無線雙層電熱水壺-附可鎖壺蓋(0.8公升)</v>
      </c>
      <c r="I1288" s="81" t="str">
        <f>_xlfn.XLOOKUP(表格1[[#This Row],[Model]],表格3[Model-Input-Ref2],表格3[大小電])</f>
        <v>細電</v>
      </c>
      <c r="J1288" s="81" t="str">
        <f>_xlfn.XLOOKUP(表格1[[#This Row],[Model]],表格3[Model-Input-Ref2],表格3[Code])</f>
        <v>SDA</v>
      </c>
      <c r="K1288" s="89" t="s">
        <v>1268</v>
      </c>
      <c r="L1288" s="81">
        <v>1</v>
      </c>
      <c r="M1288" s="87">
        <v>268</v>
      </c>
      <c r="N1288" s="85">
        <f>IFERROR(表格1[[#This Row],[QTY]]*表格1[[#This Row],[Unit Price]],"-")</f>
        <v>268</v>
      </c>
      <c r="O1288" s="86" t="s">
        <v>1515</v>
      </c>
      <c r="P1288" s="141"/>
      <c r="R1288" s="86" t="str">
        <f>_xlfn.CONCAT(表格1[[#This Row],[Model]]," ",表格1[[#This Row],[inv no]])</f>
        <v>KT-08DH1VHK(W) S056-25160</v>
      </c>
      <c r="S1288" s="86">
        <f>_xlfn.XLOOKUP(表格1[[#This Row],[Model]],表格3[Model-Input-Ref2],表格3[SRP PRICE])</f>
        <v>428</v>
      </c>
      <c r="T1288" s="43">
        <f>表格1[[#This Row],[Unit Price]]/表格1[[#This Row],[SRP]]</f>
        <v>0.62616822429906538</v>
      </c>
      <c r="U1288" s="86" t="str">
        <f>_xlfn.XLOOKUP(表格1[[#This Row],[Model]],表格3[Model-Input-Ref2],表格3[TOSHIBA/HIGHEST])</f>
        <v>Toshiba SRP</v>
      </c>
      <c r="W1288" s="86" t="str">
        <f>_xlfn.CONCAT(表格1[[#This Row],[欄4]],表格1[[#This Row],[inv no]])</f>
        <v>S056-25160</v>
      </c>
    </row>
    <row r="1289" spans="1:23" hidden="1">
      <c r="A1289" s="81">
        <v>1287</v>
      </c>
      <c r="B1289" s="81" t="s">
        <v>1417</v>
      </c>
      <c r="C1289" s="81" t="s">
        <v>1508</v>
      </c>
      <c r="D1289" s="82" t="str">
        <f ca="1">OFFSET(Roster!$A$3,MATCH(表格1[[#This Row],[Location]]&amp;" "&amp;表格1[[#This Row],[Shop]]&amp;"*",Roster!$A$4:$A$72,0),DAY(表格1[[#This Row],[date]]),1,1)</f>
        <v>Mui Chan_1</v>
      </c>
      <c r="E1289" s="81">
        <f>MONTH(表格1[[#This Row],[date]])</f>
        <v>3</v>
      </c>
      <c r="F1289" s="90">
        <v>46092</v>
      </c>
      <c r="G1289" s="81" t="str">
        <f>VLOOKUP("*"&amp;表格1[[#This Row],[Input]]&amp;"*",'Ref-List'!$B:$D,2,)</f>
        <v>MM2-EM20PC(WH)</v>
      </c>
      <c r="H1289" s="81" t="str">
        <f>_xlfn.XLOOKUP(表格1[[#This Row],[Model]],表格3[Model-Input-Ref2],表格3[Product Line])</f>
        <v>輕觸式微波爐 (20公升)</v>
      </c>
      <c r="I1289" s="81" t="str">
        <f>_xlfn.XLOOKUP(表格1[[#This Row],[Model]],表格3[Model-Input-Ref2],表格3[大小電])</f>
        <v>細電</v>
      </c>
      <c r="J1289" s="81" t="str">
        <f>_xlfn.XLOOKUP(表格1[[#This Row],[Model]],表格3[Model-Input-Ref2],表格3[Code])</f>
        <v>MCA</v>
      </c>
      <c r="K1289" s="89" t="s">
        <v>1276</v>
      </c>
      <c r="L1289" s="81">
        <v>1</v>
      </c>
      <c r="M1289" s="87">
        <v>598</v>
      </c>
      <c r="N1289" s="85">
        <f>IFERROR(表格1[[#This Row],[QTY]]*表格1[[#This Row],[Unit Price]],"-")</f>
        <v>598</v>
      </c>
      <c r="O1289" s="86" t="s">
        <v>1522</v>
      </c>
      <c r="R1289" s="86" t="str">
        <f>_xlfn.CONCAT(表格1[[#This Row],[Model]]," ",表格1[[#This Row],[inv no]])</f>
        <v>MM2-EM20PC(WH) S055-10341</v>
      </c>
      <c r="S1289" s="86">
        <f>_xlfn.XLOOKUP(表格1[[#This Row],[Model]],表格3[Model-Input-Ref2],表格3[SRP PRICE])</f>
        <v>788</v>
      </c>
      <c r="T1289" s="43">
        <f>表格1[[#This Row],[Unit Price]]/表格1[[#This Row],[SRP]]</f>
        <v>0.75888324873096447</v>
      </c>
      <c r="U1289" s="86" t="str">
        <f>_xlfn.XLOOKUP(表格1[[#This Row],[Model]],表格3[Model-Input-Ref2],表格3[TOSHIBA/HIGHEST])</f>
        <v>Toshiba SRP</v>
      </c>
      <c r="W1289" s="86" t="str">
        <f>_xlfn.CONCAT(表格1[[#This Row],[欄4]],表格1[[#This Row],[inv no]])</f>
        <v>S055-10341</v>
      </c>
    </row>
    <row r="1290" spans="1:23" hidden="1">
      <c r="A1290" s="81">
        <v>1288</v>
      </c>
      <c r="B1290" s="81" t="s">
        <v>1417</v>
      </c>
      <c r="C1290" s="81" t="s">
        <v>1508</v>
      </c>
      <c r="D1290" s="82" t="str">
        <f ca="1">OFFSET(Roster!$A$3,MATCH(表格1[[#This Row],[Location]]&amp;" "&amp;表格1[[#This Row],[Shop]]&amp;"*",Roster!$A$4:$A$72,0),DAY(表格1[[#This Row],[date]]),1,1)</f>
        <v>Mui Chan_1</v>
      </c>
      <c r="E1290" s="81">
        <f>MONTH(表格1[[#This Row],[date]])</f>
        <v>3</v>
      </c>
      <c r="F1290" s="90">
        <v>46093</v>
      </c>
      <c r="G1290" s="81" t="str">
        <f>VLOOKUP("*"&amp;表格1[[#This Row],[Input]]&amp;"*",'Ref-List'!$B:$D,2,)</f>
        <v>GR-RM612WE-PGA(B5)</v>
      </c>
      <c r="H1290" s="81" t="str">
        <f>_xlfn.XLOOKUP(表格1[[#This Row],[Model]],表格3[Model-Input-Ref2],表格3[Product Line])</f>
        <v>變頻五門雪櫃(375L)</v>
      </c>
      <c r="I1290" s="81" t="str">
        <f>_xlfn.XLOOKUP(表格1[[#This Row],[Model]],表格3[Model-Input-Ref2],表格3[大小電])</f>
        <v>大電</v>
      </c>
      <c r="J1290" s="81" t="str">
        <f>_xlfn.XLOOKUP(表格1[[#This Row],[Model]],表格3[Model-Input-Ref2],表格3[Code])</f>
        <v>REF</v>
      </c>
      <c r="K1290" s="89" t="s">
        <v>1257</v>
      </c>
      <c r="L1290" s="81">
        <v>1</v>
      </c>
      <c r="M1290" s="87">
        <v>10000</v>
      </c>
      <c r="N1290" s="85">
        <f>IFERROR(表格1[[#This Row],[QTY]]*表格1[[#This Row],[Unit Price]],"-")</f>
        <v>10000</v>
      </c>
      <c r="O1290" s="142" t="s">
        <v>1516</v>
      </c>
      <c r="R1290" s="86" t="str">
        <f>_xlfn.CONCAT(表格1[[#This Row],[Model]]," ",表格1[[#This Row],[inv no]])</f>
        <v>GR-RM612WE-PGA(B5) S056-25184</v>
      </c>
      <c r="S1290" s="86">
        <f>_xlfn.XLOOKUP(表格1[[#This Row],[Model]],表格3[Model-Input-Ref2],表格3[SRP PRICE])</f>
        <v>11000</v>
      </c>
      <c r="T1290" s="43">
        <f>表格1[[#This Row],[Unit Price]]/表格1[[#This Row],[SRP]]</f>
        <v>0.90909090909090906</v>
      </c>
      <c r="U1290" s="86" t="str">
        <f>_xlfn.XLOOKUP(表格1[[#This Row],[Model]],表格3[Model-Input-Ref2],表格3[TOSHIBA/HIGHEST])</f>
        <v>Shops Highest Price</v>
      </c>
      <c r="W1290" s="86" t="str">
        <f>_xlfn.CONCAT(表格1[[#This Row],[欄4]],表格1[[#This Row],[inv no]])</f>
        <v>S056-25184</v>
      </c>
    </row>
    <row r="1291" spans="1:23" hidden="1">
      <c r="A1291" s="81">
        <v>1289</v>
      </c>
      <c r="B1291" s="81" t="s">
        <v>1417</v>
      </c>
      <c r="C1291" s="81" t="s">
        <v>1508</v>
      </c>
      <c r="D1291" s="82" t="str">
        <f ca="1">OFFSET(Roster!$A$3,MATCH(表格1[[#This Row],[Location]]&amp;" "&amp;表格1[[#This Row],[Shop]]&amp;"*",Roster!$A$4:$A$72,0),DAY(表格1[[#This Row],[date]]),1,1)</f>
        <v>Mui Chan_1</v>
      </c>
      <c r="E1291" s="81">
        <f>MONTH(表格1[[#This Row],[date]])</f>
        <v>3</v>
      </c>
      <c r="F1291" s="90">
        <v>46093</v>
      </c>
      <c r="G1291" s="81" t="str">
        <f>VLOOKUP("*"&amp;表格1[[#This Row],[Input]]&amp;"*",'Ref-List'!$B:$D,2,)</f>
        <v>MM2-EM20PC(WH)</v>
      </c>
      <c r="H1291" s="81" t="str">
        <f>_xlfn.XLOOKUP(表格1[[#This Row],[Model]],表格3[Model-Input-Ref2],表格3[Product Line])</f>
        <v>輕觸式微波爐 (20公升)</v>
      </c>
      <c r="I1291" s="81" t="str">
        <f>_xlfn.XLOOKUP(表格1[[#This Row],[Model]],表格3[Model-Input-Ref2],表格3[大小電])</f>
        <v>細電</v>
      </c>
      <c r="J1291" s="81" t="str">
        <f>_xlfn.XLOOKUP(表格1[[#This Row],[Model]],表格3[Model-Input-Ref2],表格3[Code])</f>
        <v>MCA</v>
      </c>
      <c r="K1291" s="89" t="s">
        <v>1276</v>
      </c>
      <c r="L1291" s="81">
        <v>1</v>
      </c>
      <c r="M1291" s="87">
        <v>598</v>
      </c>
      <c r="N1291" s="85">
        <f>IFERROR(表格1[[#This Row],[QTY]]*表格1[[#This Row],[Unit Price]],"-")</f>
        <v>598</v>
      </c>
      <c r="O1291" s="142" t="s">
        <v>1517</v>
      </c>
      <c r="R1291" s="86" t="str">
        <f>_xlfn.CONCAT(表格1[[#This Row],[Model]]," ",表格1[[#This Row],[inv no]])</f>
        <v>MM2-EM20PC(WH) S056-25199</v>
      </c>
      <c r="S1291" s="86">
        <f>_xlfn.XLOOKUP(表格1[[#This Row],[Model]],表格3[Model-Input-Ref2],表格3[SRP PRICE])</f>
        <v>788</v>
      </c>
      <c r="T1291" s="43">
        <f>表格1[[#This Row],[Unit Price]]/表格1[[#This Row],[SRP]]</f>
        <v>0.75888324873096447</v>
      </c>
      <c r="U1291" s="86" t="str">
        <f>_xlfn.XLOOKUP(表格1[[#This Row],[Model]],表格3[Model-Input-Ref2],表格3[TOSHIBA/HIGHEST])</f>
        <v>Toshiba SRP</v>
      </c>
      <c r="W1291" s="86" t="str">
        <f>_xlfn.CONCAT(表格1[[#This Row],[欄4]],表格1[[#This Row],[inv no]])</f>
        <v>S056-25199</v>
      </c>
    </row>
    <row r="1292" spans="1:23" hidden="1">
      <c r="A1292" s="81">
        <v>1290</v>
      </c>
      <c r="B1292" s="81" t="s">
        <v>1417</v>
      </c>
      <c r="C1292" s="81" t="s">
        <v>1508</v>
      </c>
      <c r="D1292" s="82" t="str">
        <f ca="1">OFFSET(Roster!$A$3,MATCH(表格1[[#This Row],[Location]]&amp;" "&amp;表格1[[#This Row],[Shop]]&amp;"*",Roster!$A$4:$A$72,0),DAY(表格1[[#This Row],[date]]),1,1)</f>
        <v>Mui Chan_1</v>
      </c>
      <c r="E1292" s="81">
        <f>MONTH(表格1[[#This Row],[date]])</f>
        <v>3</v>
      </c>
      <c r="F1292" s="90">
        <v>46093</v>
      </c>
      <c r="G1292" s="81" t="str">
        <f>VLOOKUP("*"&amp;表格1[[#This Row],[Input]]&amp;"*",'Ref-List'!$B:$D,2,)</f>
        <v>MM2-EM20PC(WH)</v>
      </c>
      <c r="H1292" s="81" t="str">
        <f>_xlfn.XLOOKUP(表格1[[#This Row],[Model]],表格3[Model-Input-Ref2],表格3[Product Line])</f>
        <v>輕觸式微波爐 (20公升)</v>
      </c>
      <c r="I1292" s="81" t="str">
        <f>_xlfn.XLOOKUP(表格1[[#This Row],[Model]],表格3[Model-Input-Ref2],表格3[大小電])</f>
        <v>細電</v>
      </c>
      <c r="J1292" s="81" t="str">
        <f>_xlfn.XLOOKUP(表格1[[#This Row],[Model]],表格3[Model-Input-Ref2],表格3[Code])</f>
        <v>MCA</v>
      </c>
      <c r="K1292" s="89" t="s">
        <v>1276</v>
      </c>
      <c r="L1292" s="81">
        <v>1</v>
      </c>
      <c r="M1292" s="87">
        <v>598</v>
      </c>
      <c r="N1292" s="85">
        <f>IFERROR(表格1[[#This Row],[QTY]]*表格1[[#This Row],[Unit Price]],"-")</f>
        <v>598</v>
      </c>
      <c r="O1292" s="86" t="s">
        <v>1518</v>
      </c>
      <c r="R1292" s="86" t="str">
        <f>_xlfn.CONCAT(表格1[[#This Row],[Model]]," ",表格1[[#This Row],[inv no]])</f>
        <v>MM2-EM20PC(WH) S056-25203</v>
      </c>
      <c r="S1292" s="86">
        <f>_xlfn.XLOOKUP(表格1[[#This Row],[Model]],表格3[Model-Input-Ref2],表格3[SRP PRICE])</f>
        <v>788</v>
      </c>
      <c r="T1292" s="43">
        <f>表格1[[#This Row],[Unit Price]]/表格1[[#This Row],[SRP]]</f>
        <v>0.75888324873096447</v>
      </c>
      <c r="U1292" s="86" t="str">
        <f>_xlfn.XLOOKUP(表格1[[#This Row],[Model]],表格3[Model-Input-Ref2],表格3[TOSHIBA/HIGHEST])</f>
        <v>Toshiba SRP</v>
      </c>
      <c r="W1292" s="86" t="str">
        <f>_xlfn.CONCAT(表格1[[#This Row],[欄4]],表格1[[#This Row],[inv no]])</f>
        <v>S056-25203</v>
      </c>
    </row>
    <row r="1293" spans="1:23" hidden="1">
      <c r="A1293" s="81">
        <v>1291</v>
      </c>
      <c r="B1293" s="81" t="s">
        <v>1417</v>
      </c>
      <c r="C1293" s="81" t="s">
        <v>1508</v>
      </c>
      <c r="D1293" s="82" t="str">
        <f ca="1">OFFSET(Roster!$A$3,MATCH(表格1[[#This Row],[Location]]&amp;" "&amp;表格1[[#This Row],[Shop]]&amp;"*",Roster!$A$4:$A$72,0),DAY(表格1[[#This Row],[date]]),1,1)</f>
        <v>Mui Chan_1</v>
      </c>
      <c r="E1293" s="81">
        <f>MONTH(表格1[[#This Row],[date]])</f>
        <v>3</v>
      </c>
      <c r="F1293" s="90">
        <v>46093</v>
      </c>
      <c r="G1293" s="81" t="str">
        <f>VLOOKUP("*"&amp;表格1[[#This Row],[Input]]&amp;"*",'Ref-List'!$B:$D,2,)</f>
        <v>DW-05T2-HK</v>
      </c>
      <c r="H1293" s="81" t="str">
        <f>_xlfn.XLOOKUP(表格1[[#This Row],[Model]],表格3[Model-Input-Ref2],表格3[Product Line])</f>
        <v>座檯式洗碗碟機</v>
      </c>
      <c r="I1293" s="81" t="str">
        <f>_xlfn.XLOOKUP(表格1[[#This Row],[Model]],表格3[Model-Input-Ref2],表格3[大小電])</f>
        <v>細電</v>
      </c>
      <c r="J1293" s="81" t="str">
        <f>_xlfn.XLOOKUP(表格1[[#This Row],[Model]],表格3[Model-Input-Ref2],表格3[Code])</f>
        <v>DW</v>
      </c>
      <c r="K1293" s="89" t="s">
        <v>1475</v>
      </c>
      <c r="L1293" s="81">
        <v>1</v>
      </c>
      <c r="M1293" s="87">
        <v>4000</v>
      </c>
      <c r="N1293" s="85">
        <f>IFERROR(表格1[[#This Row],[QTY]]*表格1[[#This Row],[Unit Price]],"-")</f>
        <v>4000</v>
      </c>
      <c r="O1293" s="86" t="s">
        <v>1523</v>
      </c>
      <c r="R1293" s="86" t="str">
        <f>_xlfn.CONCAT(表格1[[#This Row],[Model]]," ",表格1[[#This Row],[inv no]])</f>
        <v>DW-05T2-HK S053-2384</v>
      </c>
      <c r="S1293" s="86">
        <f>_xlfn.XLOOKUP(表格1[[#This Row],[Model]],表格3[Model-Input-Ref2],表格3[SRP PRICE])</f>
        <v>4580</v>
      </c>
      <c r="T1293" s="43">
        <f>表格1[[#This Row],[Unit Price]]/表格1[[#This Row],[SRP]]</f>
        <v>0.8733624454148472</v>
      </c>
      <c r="U1293" s="86" t="str">
        <f>_xlfn.XLOOKUP(表格1[[#This Row],[Model]],表格3[Model-Input-Ref2],表格3[TOSHIBA/HIGHEST])</f>
        <v>Toshiba SRP</v>
      </c>
      <c r="W1293" s="86" t="str">
        <f>_xlfn.CONCAT(表格1[[#This Row],[欄4]],表格1[[#This Row],[inv no]])</f>
        <v>S053-2384</v>
      </c>
    </row>
    <row r="1294" spans="1:23" ht="16.5" hidden="1">
      <c r="A1294" s="81">
        <v>1292</v>
      </c>
      <c r="B1294" s="81" t="s">
        <v>1417</v>
      </c>
      <c r="C1294" s="81" t="s">
        <v>1508</v>
      </c>
      <c r="D1294" s="82" t="str">
        <f ca="1">OFFSET(Roster!$A$3,MATCH(表格1[[#This Row],[Location]]&amp;" "&amp;表格1[[#This Row],[Shop]]&amp;"*",Roster!$A$4:$A$72,0),DAY(表格1[[#This Row],[date]]),1,1)</f>
        <v>Mui Chan_1</v>
      </c>
      <c r="E1294" s="81">
        <f>MONTH(表格1[[#This Row],[date]])</f>
        <v>3</v>
      </c>
      <c r="F1294" s="90">
        <v>46093</v>
      </c>
      <c r="G1294" s="81" t="str">
        <f>VLOOKUP("*"&amp;表格1[[#This Row],[Input]]&amp;"*",'Ref-List'!$B:$D,2,)</f>
        <v>MX2-STR25SC(WH)</v>
      </c>
      <c r="H1294" s="81" t="str">
        <f>_xlfn.XLOOKUP(表格1[[#This Row],[Model]],表格3[Model-Input-Ref2],表格3[Product Line])</f>
        <v>4合1氣炸微波蒸焗爐(25公升)</v>
      </c>
      <c r="I1294" s="81" t="str">
        <f>_xlfn.XLOOKUP(表格1[[#This Row],[Model]],表格3[Model-Input-Ref2],表格3[大小電])</f>
        <v>細電</v>
      </c>
      <c r="J1294" s="81" t="str">
        <f>_xlfn.XLOOKUP(表格1[[#This Row],[Model]],表格3[Model-Input-Ref2],表格3[Code])</f>
        <v>MCA</v>
      </c>
      <c r="K1294" s="89" t="s">
        <v>1410</v>
      </c>
      <c r="L1294" s="81">
        <v>1</v>
      </c>
      <c r="M1294" s="87">
        <v>3580</v>
      </c>
      <c r="N1294" s="85">
        <f>IFERROR(表格1[[#This Row],[QTY]]*表格1[[#This Row],[Unit Price]],"-")</f>
        <v>3580</v>
      </c>
      <c r="O1294" s="86" t="s">
        <v>1519</v>
      </c>
      <c r="P1294" s="141"/>
      <c r="R1294" s="86" t="str">
        <f>_xlfn.CONCAT(表格1[[#This Row],[Model]]," ",表格1[[#This Row],[inv no]])</f>
        <v>MX2-STR25SC(WH) S053-2390</v>
      </c>
      <c r="S1294" s="86">
        <f>_xlfn.XLOOKUP(表格1[[#This Row],[Model]],表格3[Model-Input-Ref2],表格3[SRP PRICE])</f>
        <v>4998</v>
      </c>
      <c r="T1294" s="43">
        <f>表格1[[#This Row],[Unit Price]]/表格1[[#This Row],[SRP]]</f>
        <v>0.71628651460584236</v>
      </c>
      <c r="U1294" s="86" t="str">
        <f>_xlfn.XLOOKUP(表格1[[#This Row],[Model]],表格3[Model-Input-Ref2],表格3[TOSHIBA/HIGHEST])</f>
        <v>Toshiba SRP</v>
      </c>
      <c r="W1294" s="86" t="str">
        <f>_xlfn.CONCAT(表格1[[#This Row],[欄4]],表格1[[#This Row],[inv no]])</f>
        <v>S053-2390</v>
      </c>
    </row>
    <row r="1295" spans="1:23" ht="16.5" hidden="1">
      <c r="A1295" s="81">
        <v>1293</v>
      </c>
      <c r="B1295" s="81" t="s">
        <v>1417</v>
      </c>
      <c r="C1295" s="81" t="s">
        <v>1508</v>
      </c>
      <c r="D1295" s="82" t="str">
        <f ca="1">OFFSET(Roster!$A$3,MATCH(表格1[[#This Row],[Location]]&amp;" "&amp;表格1[[#This Row],[Shop]]&amp;"*",Roster!$A$4:$A$72,0),DAY(表格1[[#This Row],[date]]),1,1)</f>
        <v>Mui Chan_1</v>
      </c>
      <c r="E1295" s="81">
        <f>MONTH(表格1[[#This Row],[date]])</f>
        <v>3</v>
      </c>
      <c r="F1295" s="90">
        <v>46094</v>
      </c>
      <c r="G1295" s="81" t="str">
        <f>VLOOKUP("*"&amp;表格1[[#This Row],[Input]]&amp;"*",'Ref-List'!$B:$D,2,)</f>
        <v>RC-DR10T(W)</v>
      </c>
      <c r="H1295" s="81" t="str">
        <f>_xlfn.XLOOKUP(表格1[[#This Row],[Model]],表格3[Model-Input-Ref2],表格3[Product Line])</f>
        <v>IH磁應電飯煲</v>
      </c>
      <c r="I1295" s="81" t="str">
        <f>_xlfn.XLOOKUP(表格1[[#This Row],[Model]],表格3[Model-Input-Ref2],表格3[大小電])</f>
        <v>細電</v>
      </c>
      <c r="J1295" s="81" t="str">
        <f>_xlfn.XLOOKUP(表格1[[#This Row],[Model]],表格3[Model-Input-Ref2],表格3[Code])</f>
        <v>SDA</v>
      </c>
      <c r="K1295" s="89" t="s">
        <v>1294</v>
      </c>
      <c r="L1295" s="81">
        <v>1</v>
      </c>
      <c r="M1295" s="87">
        <v>2380</v>
      </c>
      <c r="N1295" s="85">
        <f>IFERROR(表格1[[#This Row],[QTY]]*表格1[[#This Row],[Unit Price]],"-")</f>
        <v>2380</v>
      </c>
      <c r="O1295" s="86" t="s">
        <v>1520</v>
      </c>
      <c r="P1295" s="141"/>
      <c r="R1295" s="86" t="str">
        <f>_xlfn.CONCAT(表格1[[#This Row],[Model]]," ",表格1[[#This Row],[inv no]])</f>
        <v>RC-DR10T(W) S056-25214</v>
      </c>
      <c r="S1295" s="86">
        <f>_xlfn.XLOOKUP(表格1[[#This Row],[Model]],表格3[Model-Input-Ref2],表格3[SRP PRICE])</f>
        <v>3188</v>
      </c>
      <c r="T1295" s="43">
        <f>表格1[[#This Row],[Unit Price]]/表格1[[#This Row],[SRP]]</f>
        <v>0.74654956085319946</v>
      </c>
      <c r="U1295" s="86" t="str">
        <f>_xlfn.XLOOKUP(表格1[[#This Row],[Model]],表格3[Model-Input-Ref2],表格3[TOSHIBA/HIGHEST])</f>
        <v>Toshiba SRP</v>
      </c>
      <c r="W1295" s="86" t="str">
        <f>_xlfn.CONCAT(表格1[[#This Row],[欄4]],表格1[[#This Row],[inv no]])</f>
        <v>S056-25214</v>
      </c>
    </row>
    <row r="1296" spans="1:23" hidden="1">
      <c r="A1296" s="81">
        <v>1294</v>
      </c>
      <c r="B1296" s="81" t="s">
        <v>1417</v>
      </c>
      <c r="C1296" s="81" t="s">
        <v>1508</v>
      </c>
      <c r="D1296" s="82" t="str">
        <f ca="1">OFFSET(Roster!$A$3,MATCH(表格1[[#This Row],[Location]]&amp;" "&amp;表格1[[#This Row],[Shop]]&amp;"*",Roster!$A$4:$A$72,0),DAY(表格1[[#This Row],[date]]),1,1)</f>
        <v>Mui Chan_1</v>
      </c>
      <c r="E1296" s="81">
        <f>MONTH(表格1[[#This Row],[date]])</f>
        <v>3</v>
      </c>
      <c r="F1296" s="90">
        <v>46094</v>
      </c>
      <c r="G1296" s="81" t="str">
        <f>VLOOKUP("*"&amp;表格1[[#This Row],[Input]]&amp;"*",'Ref-List'!$B:$D,2,)</f>
        <v>MX2-STR25SC(WH)</v>
      </c>
      <c r="H1296" s="81" t="str">
        <f>_xlfn.XLOOKUP(表格1[[#This Row],[Model]],表格3[Model-Input-Ref2],表格3[Product Line])</f>
        <v>4合1氣炸微波蒸焗爐(25公升)</v>
      </c>
      <c r="I1296" s="81" t="str">
        <f>_xlfn.XLOOKUP(表格1[[#This Row],[Model]],表格3[Model-Input-Ref2],表格3[大小電])</f>
        <v>細電</v>
      </c>
      <c r="J1296" s="81" t="str">
        <f>_xlfn.XLOOKUP(表格1[[#This Row],[Model]],表格3[Model-Input-Ref2],表格3[Code])</f>
        <v>MCA</v>
      </c>
      <c r="K1296" s="89" t="s">
        <v>1410</v>
      </c>
      <c r="L1296" s="81">
        <v>1</v>
      </c>
      <c r="M1296" s="87">
        <v>3580</v>
      </c>
      <c r="N1296" s="85">
        <f>IFERROR(表格1[[#This Row],[QTY]]*表格1[[#This Row],[Unit Price]],"-")</f>
        <v>3580</v>
      </c>
      <c r="O1296" s="142" t="s">
        <v>1521</v>
      </c>
      <c r="R1296" s="86" t="str">
        <f>_xlfn.CONCAT(表格1[[#This Row],[Model]]," ",表格1[[#This Row],[inv no]])</f>
        <v>MX2-STR25SC(WH) S055-10377</v>
      </c>
      <c r="S1296" s="86">
        <f>_xlfn.XLOOKUP(表格1[[#This Row],[Model]],表格3[Model-Input-Ref2],表格3[SRP PRICE])</f>
        <v>4998</v>
      </c>
      <c r="T1296" s="43">
        <f>表格1[[#This Row],[Unit Price]]/表格1[[#This Row],[SRP]]</f>
        <v>0.71628651460584236</v>
      </c>
      <c r="U1296" s="86" t="str">
        <f>_xlfn.XLOOKUP(表格1[[#This Row],[Model]],表格3[Model-Input-Ref2],表格3[TOSHIBA/HIGHEST])</f>
        <v>Toshiba SRP</v>
      </c>
      <c r="W1296" s="86" t="str">
        <f>_xlfn.CONCAT(表格1[[#This Row],[欄4]],表格1[[#This Row],[inv no]])</f>
        <v>S055-10377</v>
      </c>
    </row>
    <row r="1297" spans="1:23" hidden="1">
      <c r="A1297" s="81">
        <v>1295</v>
      </c>
      <c r="B1297" s="81" t="s">
        <v>1417</v>
      </c>
      <c r="C1297" s="81" t="s">
        <v>1508</v>
      </c>
      <c r="D1297" s="82" t="str">
        <f ca="1">OFFSET(Roster!$A$3,MATCH(表格1[[#This Row],[Location]]&amp;" "&amp;表格1[[#This Row],[Shop]]&amp;"*",Roster!$A$4:$A$72,0),DAY(表格1[[#This Row],[date]]),1,1)</f>
        <v>Mui Chan_1</v>
      </c>
      <c r="E1297" s="81">
        <f>MONTH(表格1[[#This Row],[date]])</f>
        <v>3</v>
      </c>
      <c r="F1297" s="90">
        <v>46094</v>
      </c>
      <c r="G1297" s="81" t="str">
        <f>VLOOKUP("*"&amp;表格1[[#This Row],[Input]]&amp;"*",'Ref-List'!$B:$D,2,)</f>
        <v>DW-05T2-HK</v>
      </c>
      <c r="H1297" s="81" t="str">
        <f>_xlfn.XLOOKUP(表格1[[#This Row],[Model]],表格3[Model-Input-Ref2],表格3[Product Line])</f>
        <v>座檯式洗碗碟機</v>
      </c>
      <c r="I1297" s="81" t="str">
        <f>_xlfn.XLOOKUP(表格1[[#This Row],[Model]],表格3[Model-Input-Ref2],表格3[大小電])</f>
        <v>細電</v>
      </c>
      <c r="J1297" s="81" t="str">
        <f>_xlfn.XLOOKUP(表格1[[#This Row],[Model]],表格3[Model-Input-Ref2],表格3[Code])</f>
        <v>DW</v>
      </c>
      <c r="K1297" s="89" t="s">
        <v>1475</v>
      </c>
      <c r="L1297" s="81">
        <v>1</v>
      </c>
      <c r="M1297" s="87">
        <v>4000</v>
      </c>
      <c r="N1297" s="85">
        <f>IFERROR(表格1[[#This Row],[QTY]]*表格1[[#This Row],[Unit Price]],"-")</f>
        <v>4000</v>
      </c>
      <c r="O1297" s="86" t="s">
        <v>1524</v>
      </c>
      <c r="R1297" s="86" t="str">
        <f>_xlfn.CONCAT(表格1[[#This Row],[Model]]," ",表格1[[#This Row],[inv no]])</f>
        <v>DW-05T2-HK S053-2395</v>
      </c>
      <c r="S1297" s="86">
        <f>_xlfn.XLOOKUP(表格1[[#This Row],[Model]],表格3[Model-Input-Ref2],表格3[SRP PRICE])</f>
        <v>4580</v>
      </c>
      <c r="T1297" s="43">
        <f>表格1[[#This Row],[Unit Price]]/表格1[[#This Row],[SRP]]</f>
        <v>0.8733624454148472</v>
      </c>
      <c r="U1297" s="86" t="str">
        <f>_xlfn.XLOOKUP(表格1[[#This Row],[Model]],表格3[Model-Input-Ref2],表格3[TOSHIBA/HIGHEST])</f>
        <v>Toshiba SRP</v>
      </c>
      <c r="W1297" s="86" t="str">
        <f>_xlfn.CONCAT(表格1[[#This Row],[欄4]],表格1[[#This Row],[inv no]])</f>
        <v>S053-2395</v>
      </c>
    </row>
    <row r="1298" spans="1:23" hidden="1">
      <c r="A1298" s="81">
        <v>1296</v>
      </c>
      <c r="B1298" s="81" t="s">
        <v>1417</v>
      </c>
      <c r="C1298" s="81" t="s">
        <v>1508</v>
      </c>
      <c r="D1298" s="82" t="str">
        <f ca="1">OFFSET(Roster!$A$3,MATCH(表格1[[#This Row],[Location]]&amp;" "&amp;表格1[[#This Row],[Shop]]&amp;"*",Roster!$A$4:$A$72,0),DAY(表格1[[#This Row],[date]]),1,1)</f>
        <v>Mui Chan_1</v>
      </c>
      <c r="E1298" s="81">
        <f>MONTH(表格1[[#This Row],[date]])</f>
        <v>3</v>
      </c>
      <c r="F1298" s="90">
        <v>46094</v>
      </c>
      <c r="G1298" s="81" t="str">
        <f>VLOOKUP("*"&amp;表格1[[#This Row],[Input]]&amp;"*",'Ref-List'!$B:$D,2,)</f>
        <v>MM2-EM20PC(WH)</v>
      </c>
      <c r="H1298" s="81" t="str">
        <f>_xlfn.XLOOKUP(表格1[[#This Row],[Model]],表格3[Model-Input-Ref2],表格3[Product Line])</f>
        <v>輕觸式微波爐 (20公升)</v>
      </c>
      <c r="I1298" s="81" t="str">
        <f>_xlfn.XLOOKUP(表格1[[#This Row],[Model]],表格3[Model-Input-Ref2],表格3[大小電])</f>
        <v>細電</v>
      </c>
      <c r="J1298" s="81" t="str">
        <f>_xlfn.XLOOKUP(表格1[[#This Row],[Model]],表格3[Model-Input-Ref2],表格3[Code])</f>
        <v>MCA</v>
      </c>
      <c r="K1298" s="89" t="s">
        <v>1276</v>
      </c>
      <c r="L1298" s="81">
        <v>1</v>
      </c>
      <c r="M1298" s="87">
        <v>598</v>
      </c>
      <c r="N1298" s="85">
        <f>IFERROR(表格1[[#This Row],[QTY]]*表格1[[#This Row],[Unit Price]],"-")</f>
        <v>598</v>
      </c>
      <c r="O1298" s="86" t="s">
        <v>1525</v>
      </c>
      <c r="R1298" s="86" t="str">
        <f>_xlfn.CONCAT(表格1[[#This Row],[Model]]," ",表格1[[#This Row],[inv no]])</f>
        <v>MM2-EM20PC(WH) S055-10383</v>
      </c>
      <c r="S1298" s="86">
        <f>_xlfn.XLOOKUP(表格1[[#This Row],[Model]],表格3[Model-Input-Ref2],表格3[SRP PRICE])</f>
        <v>788</v>
      </c>
      <c r="T1298" s="43">
        <f>表格1[[#This Row],[Unit Price]]/表格1[[#This Row],[SRP]]</f>
        <v>0.75888324873096447</v>
      </c>
      <c r="U1298" s="86" t="str">
        <f>_xlfn.XLOOKUP(表格1[[#This Row],[Model]],表格3[Model-Input-Ref2],表格3[TOSHIBA/HIGHEST])</f>
        <v>Toshiba SRP</v>
      </c>
      <c r="W1298" s="86" t="str">
        <f>_xlfn.CONCAT(表格1[[#This Row],[欄4]],表格1[[#This Row],[inv no]])</f>
        <v>S055-10383</v>
      </c>
    </row>
    <row r="1299" spans="1:23" hidden="1">
      <c r="A1299" s="81">
        <v>1297</v>
      </c>
      <c r="B1299" s="81" t="s">
        <v>1417</v>
      </c>
      <c r="C1299" s="81" t="s">
        <v>1508</v>
      </c>
      <c r="D1299" s="82" t="str">
        <f ca="1">OFFSET(Roster!$A$3,MATCH(表格1[[#This Row],[Location]]&amp;" "&amp;表格1[[#This Row],[Shop]]&amp;"*",Roster!$A$4:$A$72,0),DAY(表格1[[#This Row],[date]]),1,1)</f>
        <v>Mui Chan_1</v>
      </c>
      <c r="E1299" s="81">
        <f>MONTH(表格1[[#This Row],[date]])</f>
        <v>3</v>
      </c>
      <c r="F1299" s="90">
        <v>46094</v>
      </c>
      <c r="G1299" s="81" t="str">
        <f>VLOOKUP("*"&amp;表格1[[#This Row],[Input]]&amp;"*",'Ref-List'!$B:$D,2,)</f>
        <v>RC-DR10T(W)</v>
      </c>
      <c r="H1299" s="81" t="str">
        <f>_xlfn.XLOOKUP(表格1[[#This Row],[Model]],表格3[Model-Input-Ref2],表格3[Product Line])</f>
        <v>IH磁應電飯煲</v>
      </c>
      <c r="I1299" s="81" t="str">
        <f>_xlfn.XLOOKUP(表格1[[#This Row],[Model]],表格3[Model-Input-Ref2],表格3[大小電])</f>
        <v>細電</v>
      </c>
      <c r="J1299" s="81" t="str">
        <f>_xlfn.XLOOKUP(表格1[[#This Row],[Model]],表格3[Model-Input-Ref2],表格3[Code])</f>
        <v>SDA</v>
      </c>
      <c r="K1299" s="89" t="s">
        <v>1294</v>
      </c>
      <c r="L1299" s="81">
        <v>1</v>
      </c>
      <c r="M1299" s="87">
        <v>2380</v>
      </c>
      <c r="N1299" s="85">
        <f>IFERROR(表格1[[#This Row],[QTY]]*表格1[[#This Row],[Unit Price]],"-")</f>
        <v>2380</v>
      </c>
      <c r="O1299" s="86" t="s">
        <v>1526</v>
      </c>
      <c r="R1299" s="86" t="str">
        <f>_xlfn.CONCAT(表格1[[#This Row],[Model]]," ",表格1[[#This Row],[inv no]])</f>
        <v>RC-DR10T(W) S056-25233</v>
      </c>
      <c r="S1299" s="86">
        <f>_xlfn.XLOOKUP(表格1[[#This Row],[Model]],表格3[Model-Input-Ref2],表格3[SRP PRICE])</f>
        <v>3188</v>
      </c>
      <c r="T1299" s="43">
        <f>表格1[[#This Row],[Unit Price]]/表格1[[#This Row],[SRP]]</f>
        <v>0.74654956085319946</v>
      </c>
      <c r="U1299" s="86" t="str">
        <f>_xlfn.XLOOKUP(表格1[[#This Row],[Model]],表格3[Model-Input-Ref2],表格3[TOSHIBA/HIGHEST])</f>
        <v>Toshiba SRP</v>
      </c>
      <c r="W1299" s="86" t="str">
        <f>_xlfn.CONCAT(表格1[[#This Row],[欄4]],表格1[[#This Row],[inv no]])</f>
        <v>S056-25233</v>
      </c>
    </row>
    <row r="1300" spans="1:23" hidden="1">
      <c r="A1300" s="81">
        <v>1298</v>
      </c>
      <c r="B1300" s="81" t="s">
        <v>1417</v>
      </c>
      <c r="C1300" s="81" t="s">
        <v>1508</v>
      </c>
      <c r="D1300" s="82" t="str">
        <f ca="1">OFFSET(Roster!$A$3,MATCH(表格1[[#This Row],[Location]]&amp;" "&amp;表格1[[#This Row],[Shop]]&amp;"*",Roster!$A$4:$A$72,0),DAY(表格1[[#This Row],[date]]),1,1)</f>
        <v>Mui Chan_1</v>
      </c>
      <c r="E1300" s="81">
        <f>MONTH(表格1[[#This Row],[date]])</f>
        <v>3</v>
      </c>
      <c r="F1300" s="90">
        <v>46094</v>
      </c>
      <c r="G1300" s="81" t="str">
        <f>VLOOKUP("*"&amp;表格1[[#This Row],[Input]]&amp;"*",'Ref-List'!$B:$D,2,)</f>
        <v>MX2-STR25SC(WH)</v>
      </c>
      <c r="H1300" s="81" t="str">
        <f>_xlfn.XLOOKUP(表格1[[#This Row],[Model]],表格3[Model-Input-Ref2],表格3[Product Line])</f>
        <v>4合1氣炸微波蒸焗爐(25公升)</v>
      </c>
      <c r="I1300" s="81" t="str">
        <f>_xlfn.XLOOKUP(表格1[[#This Row],[Model]],表格3[Model-Input-Ref2],表格3[大小電])</f>
        <v>細電</v>
      </c>
      <c r="J1300" s="81" t="str">
        <f>_xlfn.XLOOKUP(表格1[[#This Row],[Model]],表格3[Model-Input-Ref2],表格3[Code])</f>
        <v>MCA</v>
      </c>
      <c r="K1300" s="89" t="s">
        <v>1410</v>
      </c>
      <c r="L1300" s="81">
        <v>1</v>
      </c>
      <c r="M1300" s="87">
        <v>3580</v>
      </c>
      <c r="N1300" s="85">
        <f>IFERROR(表格1[[#This Row],[QTY]]*表格1[[#This Row],[Unit Price]],"-")</f>
        <v>3580</v>
      </c>
      <c r="O1300" s="142" t="s">
        <v>1526</v>
      </c>
      <c r="R1300" s="86" t="str">
        <f>_xlfn.CONCAT(表格1[[#This Row],[Model]]," ",表格1[[#This Row],[inv no]])</f>
        <v>MX2-STR25SC(WH) S056-25233</v>
      </c>
      <c r="S1300" s="86">
        <f>_xlfn.XLOOKUP(表格1[[#This Row],[Model]],表格3[Model-Input-Ref2],表格3[SRP PRICE])</f>
        <v>4998</v>
      </c>
      <c r="T1300" s="43">
        <f>表格1[[#This Row],[Unit Price]]/表格1[[#This Row],[SRP]]</f>
        <v>0.71628651460584236</v>
      </c>
      <c r="U1300" s="86" t="str">
        <f>_xlfn.XLOOKUP(表格1[[#This Row],[Model]],表格3[Model-Input-Ref2],表格3[TOSHIBA/HIGHEST])</f>
        <v>Toshiba SRP</v>
      </c>
      <c r="W1300" s="86" t="str">
        <f>_xlfn.CONCAT(表格1[[#This Row],[欄4]],表格1[[#This Row],[inv no]])</f>
        <v>S056-25233</v>
      </c>
    </row>
    <row r="1301" spans="1:23" hidden="1">
      <c r="A1301" s="81">
        <v>1299</v>
      </c>
      <c r="B1301" s="81" t="s">
        <v>1417</v>
      </c>
      <c r="C1301" s="81" t="s">
        <v>1508</v>
      </c>
      <c r="D1301" s="82" t="str">
        <f ca="1">OFFSET(Roster!$A$3,MATCH(表格1[[#This Row],[Location]]&amp;" "&amp;表格1[[#This Row],[Shop]]&amp;"*",Roster!$A$4:$A$72,0),DAY(表格1[[#This Row],[date]]),1,1)</f>
        <v>Mui Chan_1</v>
      </c>
      <c r="E1301" s="81">
        <f>MONTH(表格1[[#This Row],[date]])</f>
        <v>3</v>
      </c>
      <c r="F1301" s="90">
        <v>46094</v>
      </c>
      <c r="G1301" s="81" t="str">
        <f>VLOOKUP("*"&amp;表格1[[#This Row],[Input]]&amp;"*",'Ref-List'!$B:$D,2,)</f>
        <v>KT-17DRTHK(H)</v>
      </c>
      <c r="H1301" s="81" t="str">
        <f>_xlfn.XLOOKUP(表格1[[#This Row],[Model]],表格3[Model-Input-Ref2],表格3[Product Line])</f>
        <v>無線雙層電熱水壺(1.7公升)</v>
      </c>
      <c r="I1301" s="81" t="str">
        <f>_xlfn.XLOOKUP(表格1[[#This Row],[Model]],表格3[Model-Input-Ref2],表格3[大小電])</f>
        <v>細電</v>
      </c>
      <c r="J1301" s="81" t="str">
        <f>_xlfn.XLOOKUP(表格1[[#This Row],[Model]],表格3[Model-Input-Ref2],表格3[Code])</f>
        <v>SDA</v>
      </c>
      <c r="K1301" s="89" t="s">
        <v>1271</v>
      </c>
      <c r="L1301" s="81">
        <v>1</v>
      </c>
      <c r="M1301" s="87">
        <v>388</v>
      </c>
      <c r="N1301" s="85">
        <f>IFERROR(表格1[[#This Row],[QTY]]*表格1[[#This Row],[Unit Price]],"-")</f>
        <v>388</v>
      </c>
      <c r="O1301" s="86" t="s">
        <v>1526</v>
      </c>
      <c r="R1301" s="86" t="str">
        <f>_xlfn.CONCAT(表格1[[#This Row],[Model]]," ",表格1[[#This Row],[inv no]])</f>
        <v>KT-17DRTHK(H) S056-25233</v>
      </c>
      <c r="S1301" s="86">
        <f>_xlfn.XLOOKUP(表格1[[#This Row],[Model]],表格3[Model-Input-Ref2],表格3[SRP PRICE])</f>
        <v>498</v>
      </c>
      <c r="T1301" s="43">
        <f>表格1[[#This Row],[Unit Price]]/表格1[[#This Row],[SRP]]</f>
        <v>0.77911646586345384</v>
      </c>
      <c r="U1301" s="86" t="str">
        <f>_xlfn.XLOOKUP(表格1[[#This Row],[Model]],表格3[Model-Input-Ref2],表格3[TOSHIBA/HIGHEST])</f>
        <v>Toshiba SRP</v>
      </c>
      <c r="W1301" s="86" t="str">
        <f>_xlfn.CONCAT(表格1[[#This Row],[欄4]],表格1[[#This Row],[inv no]])</f>
        <v>S056-25233</v>
      </c>
    </row>
    <row r="1302" spans="1:23" hidden="1">
      <c r="A1302" s="81">
        <v>1300</v>
      </c>
      <c r="B1302" s="81" t="s">
        <v>1417</v>
      </c>
      <c r="C1302" s="81" t="s">
        <v>1508</v>
      </c>
      <c r="D1302" s="82" t="str">
        <f ca="1">OFFSET(Roster!$A$3,MATCH(表格1[[#This Row],[Location]]&amp;" "&amp;表格1[[#This Row],[Shop]]&amp;"*",Roster!$A$4:$A$72,0),DAY(表格1[[#This Row],[date]]),1,1)</f>
        <v>Mui Chan_1</v>
      </c>
      <c r="E1302" s="81">
        <f>MONTH(表格1[[#This Row],[date]])</f>
        <v>3</v>
      </c>
      <c r="F1302" s="90">
        <v>46094</v>
      </c>
      <c r="G1302" s="81" t="str">
        <f>VLOOKUP("*"&amp;表格1[[#This Row],[Input]]&amp;"*",'Ref-List'!$B:$D,2,)</f>
        <v>RC-10NMFIH(WT)</v>
      </c>
      <c r="H1302" s="81" t="str">
        <f>_xlfn.XLOOKUP(表格1[[#This Row],[Model]],表格3[Model-Input-Ref2],表格3[Product Line])</f>
        <v>4毫米厚釜電飯煲1L</v>
      </c>
      <c r="I1302" s="81" t="str">
        <f>_xlfn.XLOOKUP(表格1[[#This Row],[Model]],表格3[Model-Input-Ref2],表格3[大小電])</f>
        <v>細電</v>
      </c>
      <c r="J1302" s="81" t="str">
        <f>_xlfn.XLOOKUP(表格1[[#This Row],[Model]],表格3[Model-Input-Ref2],表格3[Code])</f>
        <v>SDA</v>
      </c>
      <c r="K1302" s="89" t="s">
        <v>1244</v>
      </c>
      <c r="L1302" s="81">
        <v>1</v>
      </c>
      <c r="M1302" s="87">
        <v>718</v>
      </c>
      <c r="N1302" s="85">
        <f>IFERROR(表格1[[#This Row],[QTY]]*表格1[[#This Row],[Unit Price]],"-")</f>
        <v>718</v>
      </c>
      <c r="O1302" s="86" t="s">
        <v>1527</v>
      </c>
      <c r="R1302" s="86" t="str">
        <f>_xlfn.CONCAT(表格1[[#This Row],[Model]]," ",表格1[[#This Row],[inv no]])</f>
        <v>RC-10NMFIH(WT) S056-25243</v>
      </c>
      <c r="S1302" s="86">
        <f>_xlfn.XLOOKUP(表格1[[#This Row],[Model]],表格3[Model-Input-Ref2],表格3[SRP PRICE])</f>
        <v>898</v>
      </c>
      <c r="T1302" s="43">
        <f>表格1[[#This Row],[Unit Price]]/表格1[[#This Row],[SRP]]</f>
        <v>0.79955456570155903</v>
      </c>
      <c r="U1302" s="86" t="str">
        <f>_xlfn.XLOOKUP(表格1[[#This Row],[Model]],表格3[Model-Input-Ref2],表格3[TOSHIBA/HIGHEST])</f>
        <v>Toshiba SRP</v>
      </c>
      <c r="W1302" s="86" t="str">
        <f>_xlfn.CONCAT(表格1[[#This Row],[欄4]],表格1[[#This Row],[inv no]])</f>
        <v>S056-25243</v>
      </c>
    </row>
    <row r="1303" spans="1:23" hidden="1">
      <c r="A1303" s="81">
        <v>1301</v>
      </c>
      <c r="B1303" s="81" t="s">
        <v>1417</v>
      </c>
      <c r="C1303" s="81" t="s">
        <v>1507</v>
      </c>
      <c r="D1303" s="82" t="str">
        <f ca="1">OFFSET(Roster!$A$3,MATCH(表格1[[#This Row],[Location]]&amp;" "&amp;表格1[[#This Row],[Shop]]&amp;"*",Roster!$A$4:$A$72,0),DAY(表格1[[#This Row],[date]]),1,1)</f>
        <v>Mui Chan_1</v>
      </c>
      <c r="E1303" s="81">
        <f>MONTH(表格1[[#This Row],[date]])</f>
        <v>3</v>
      </c>
      <c r="F1303" s="90">
        <v>46097</v>
      </c>
      <c r="G1303" s="81" t="str">
        <f>VLOOKUP("*"&amp;表格1[[#This Row],[Input]]&amp;"*",'Ref-List'!$B:$D,2,)</f>
        <v>MM2-EM20PC(WH)</v>
      </c>
      <c r="H1303" s="81" t="str">
        <f>_xlfn.XLOOKUP(表格1[[#This Row],[Model]],表格3[Model-Input-Ref2],表格3[Product Line])</f>
        <v>輕觸式微波爐 (20公升)</v>
      </c>
      <c r="I1303" s="81" t="str">
        <f>_xlfn.XLOOKUP(表格1[[#This Row],[Model]],表格3[Model-Input-Ref2],表格3[大小電])</f>
        <v>細電</v>
      </c>
      <c r="J1303" s="81" t="str">
        <f>_xlfn.XLOOKUP(表格1[[#This Row],[Model]],表格3[Model-Input-Ref2],表格3[Code])</f>
        <v>MCA</v>
      </c>
      <c r="K1303" s="89" t="s">
        <v>1276</v>
      </c>
      <c r="L1303" s="81">
        <v>1</v>
      </c>
      <c r="M1303" s="87">
        <v>598</v>
      </c>
      <c r="N1303" s="85">
        <f>IFERROR(表格1[[#This Row],[QTY]]*表格1[[#This Row],[Unit Price]],"-")</f>
        <v>598</v>
      </c>
      <c r="O1303" s="86" t="s">
        <v>1529</v>
      </c>
      <c r="R1303" s="86" t="str">
        <f>_xlfn.CONCAT(表格1[[#This Row],[Model]]," ",表格1[[#This Row],[inv no]])</f>
        <v>MM2-EM20PC(WH) S050-2544</v>
      </c>
      <c r="S1303" s="86">
        <f>_xlfn.XLOOKUP(表格1[[#This Row],[Model]],表格3[Model-Input-Ref2],表格3[SRP PRICE])</f>
        <v>788</v>
      </c>
      <c r="T1303" s="43">
        <f>表格1[[#This Row],[Unit Price]]/表格1[[#This Row],[SRP]]</f>
        <v>0.75888324873096447</v>
      </c>
      <c r="U1303" s="86" t="str">
        <f>_xlfn.XLOOKUP(表格1[[#This Row],[Model]],表格3[Model-Input-Ref2],表格3[TOSHIBA/HIGHEST])</f>
        <v>Toshiba SRP</v>
      </c>
      <c r="W1303" s="86" t="str">
        <f>_xlfn.CONCAT(表格1[[#This Row],[欄4]],表格1[[#This Row],[inv no]])</f>
        <v>S050-2544</v>
      </c>
    </row>
    <row r="1304" spans="1:23" hidden="1">
      <c r="A1304" s="81">
        <v>1302</v>
      </c>
      <c r="B1304" s="81" t="s">
        <v>1417</v>
      </c>
      <c r="C1304" s="81" t="s">
        <v>1507</v>
      </c>
      <c r="D1304" s="82" t="str">
        <f ca="1">OFFSET(Roster!$A$3,MATCH(表格1[[#This Row],[Location]]&amp;" "&amp;表格1[[#This Row],[Shop]]&amp;"*",Roster!$A$4:$A$72,0),DAY(表格1[[#This Row],[date]]),1,1)</f>
        <v>Mui Chan_1</v>
      </c>
      <c r="E1304" s="81">
        <f>MONTH(表格1[[#This Row],[date]])</f>
        <v>3</v>
      </c>
      <c r="F1304" s="90">
        <v>46097</v>
      </c>
      <c r="G1304" s="81" t="str">
        <f>VLOOKUP("*"&amp;表格1[[#This Row],[Input]]&amp;"*",'Ref-List'!$B:$D,2,)</f>
        <v>TW-T21BU80UWH(MG)</v>
      </c>
      <c r="H1304" s="81" t="str">
        <f>_xlfn.XLOOKUP(表格1[[#This Row],[Model]],表格3[Model-Input-Ref2],表格3[Product Line])</f>
        <v>400MM超薄身前置式變頻洗衣機(7公斤)</v>
      </c>
      <c r="I1304" s="81" t="str">
        <f>_xlfn.XLOOKUP(表格1[[#This Row],[Model]],表格3[Model-Input-Ref2],表格3[大小電])</f>
        <v>大電</v>
      </c>
      <c r="J1304" s="81" t="str">
        <f>_xlfn.XLOOKUP(表格1[[#This Row],[Model]],表格3[Model-Input-Ref2],表格3[Code])</f>
        <v>LAD</v>
      </c>
      <c r="K1304" s="89" t="s">
        <v>1280</v>
      </c>
      <c r="L1304" s="81">
        <v>1</v>
      </c>
      <c r="M1304" s="87">
        <v>3180</v>
      </c>
      <c r="N1304" s="85">
        <f>IFERROR(表格1[[#This Row],[QTY]]*表格1[[#This Row],[Unit Price]],"-")</f>
        <v>3180</v>
      </c>
      <c r="O1304" s="86" t="s">
        <v>1530</v>
      </c>
      <c r="R1304" s="86" t="str">
        <f>_xlfn.CONCAT(表格1[[#This Row],[Model]]," ",表格1[[#This Row],[inv no]])</f>
        <v>TW-T21BU80UWH(MG) S056-25421</v>
      </c>
      <c r="S1304" s="86">
        <f>_xlfn.XLOOKUP(表格1[[#This Row],[Model]],表格3[Model-Input-Ref2],表格3[SRP PRICE])</f>
        <v>5180</v>
      </c>
      <c r="T1304" s="43">
        <f>表格1[[#This Row],[Unit Price]]/表格1[[#This Row],[SRP]]</f>
        <v>0.61389961389961389</v>
      </c>
      <c r="U1304" s="86" t="str">
        <f>_xlfn.XLOOKUP(表格1[[#This Row],[Model]],表格3[Model-Input-Ref2],表格3[TOSHIBA/HIGHEST])</f>
        <v>Toshiba SRP</v>
      </c>
      <c r="W1304" s="86" t="str">
        <f>_xlfn.CONCAT(表格1[[#This Row],[欄4]],表格1[[#This Row],[inv no]])</f>
        <v>S056-25421</v>
      </c>
    </row>
    <row r="1305" spans="1:23" ht="16.5" hidden="1">
      <c r="A1305" s="81">
        <v>1303</v>
      </c>
      <c r="B1305" s="81" t="s">
        <v>1417</v>
      </c>
      <c r="C1305" s="81" t="s">
        <v>1507</v>
      </c>
      <c r="D1305" s="82" t="str">
        <f ca="1">OFFSET(Roster!$A$3,MATCH(表格1[[#This Row],[Location]]&amp;" "&amp;表格1[[#This Row],[Shop]]&amp;"*",Roster!$A$4:$A$72,0),DAY(表格1[[#This Row],[date]]),1,1)</f>
        <v>Mui Chan_1</v>
      </c>
      <c r="E1305" s="81">
        <f>MONTH(表格1[[#This Row],[date]])</f>
        <v>3</v>
      </c>
      <c r="F1305" s="90">
        <v>46097</v>
      </c>
      <c r="G1305" s="81" t="str">
        <f>VLOOKUP("*"&amp;表格1[[#This Row],[Input]]&amp;"*",'Ref-List'!$B:$D,2,)</f>
        <v>CFS-09PGR0A0</v>
      </c>
      <c r="H1305" s="81" t="str">
        <f>_xlfn.XLOOKUP(表格1[[#This Row],[Model]],表格3[Model-Input-Ref2],表格3[Product Line])</f>
        <v>9吋座檯座地循環扇連遙控</v>
      </c>
      <c r="I1305" s="81" t="str">
        <f>_xlfn.XLOOKUP(表格1[[#This Row],[Model]],表格3[Model-Input-Ref2],表格3[大小電])</f>
        <v>細電</v>
      </c>
      <c r="J1305" s="81" t="str">
        <f>_xlfn.XLOOKUP(表格1[[#This Row],[Model]],表格3[Model-Input-Ref2],表格3[Code])</f>
        <v>SDA</v>
      </c>
      <c r="K1305" s="89" t="s">
        <v>1457</v>
      </c>
      <c r="L1305" s="81">
        <v>1</v>
      </c>
      <c r="M1305" s="87">
        <v>299</v>
      </c>
      <c r="N1305" s="85">
        <f>IFERROR(表格1[[#This Row],[QTY]]*表格1[[#This Row],[Unit Price]],"-")</f>
        <v>299</v>
      </c>
      <c r="O1305" s="86" t="s">
        <v>1530</v>
      </c>
      <c r="P1305" s="137"/>
      <c r="R1305" s="86" t="str">
        <f>_xlfn.CONCAT(表格1[[#This Row],[Model]]," ",表格1[[#This Row],[inv no]])</f>
        <v>CFS-09PGR0A0 S056-25421</v>
      </c>
      <c r="S1305" s="86">
        <f>_xlfn.XLOOKUP(表格1[[#This Row],[Model]],表格3[Model-Input-Ref2],表格3[SRP PRICE])</f>
        <v>350</v>
      </c>
      <c r="T1305" s="43">
        <f>表格1[[#This Row],[Unit Price]]/表格1[[#This Row],[SRP]]</f>
        <v>0.85428571428571431</v>
      </c>
      <c r="U1305" s="86">
        <f>_xlfn.XLOOKUP(表格1[[#This Row],[Model]],表格3[Model-Input-Ref2],表格3[TOSHIBA/HIGHEST])</f>
        <v>0</v>
      </c>
      <c r="V1305" s="86" t="s">
        <v>909</v>
      </c>
      <c r="W1305" s="86" t="str">
        <f>_xlfn.CONCAT(表格1[[#This Row],[欄4]],表格1[[#This Row],[inv no]])</f>
        <v>DA138S056-25421</v>
      </c>
    </row>
    <row r="1306" spans="1:23" hidden="1">
      <c r="A1306" s="81">
        <v>1304</v>
      </c>
      <c r="B1306" s="81" t="s">
        <v>1417</v>
      </c>
      <c r="C1306" s="81" t="s">
        <v>1507</v>
      </c>
      <c r="D1306" s="82" t="str">
        <f ca="1">OFFSET(Roster!$A$3,MATCH(表格1[[#This Row],[Location]]&amp;" "&amp;表格1[[#This Row],[Shop]]&amp;"*",Roster!$A$4:$A$72,0),DAY(表格1[[#This Row],[date]]),1,1)</f>
        <v>Mui Chan_1</v>
      </c>
      <c r="E1306" s="81">
        <f>MONTH(表格1[[#This Row],[date]])</f>
        <v>3</v>
      </c>
      <c r="F1306" s="90">
        <v>46097</v>
      </c>
      <c r="G1306" s="81" t="str">
        <f>VLOOKUP("*"&amp;表格1[[#This Row],[Input]]&amp;"*",'Ref-List'!$B:$D,2,)</f>
        <v>RC-18AMXH(W)</v>
      </c>
      <c r="H1306" s="81" t="str">
        <f>_xlfn.XLOOKUP(表格1[[#This Row],[Model]],表格3[Model-Input-Ref2],表格3[Product Line])</f>
        <v>酵活炊電飯煲(1.8公升)</v>
      </c>
      <c r="I1306" s="81" t="str">
        <f>_xlfn.XLOOKUP(表格1[[#This Row],[Model]],表格3[Model-Input-Ref2],表格3[大小電])</f>
        <v>細電</v>
      </c>
      <c r="J1306" s="81" t="str">
        <f>_xlfn.XLOOKUP(表格1[[#This Row],[Model]],表格3[Model-Input-Ref2],表格3[Code])</f>
        <v>SDA</v>
      </c>
      <c r="K1306" s="89" t="s">
        <v>1362</v>
      </c>
      <c r="L1306" s="81">
        <v>2</v>
      </c>
      <c r="M1306" s="87">
        <v>990</v>
      </c>
      <c r="N1306" s="85">
        <f>IFERROR(表格1[[#This Row],[QTY]]*表格1[[#This Row],[Unit Price]],"-")</f>
        <v>1980</v>
      </c>
      <c r="O1306" s="86" t="s">
        <v>1531</v>
      </c>
      <c r="R1306" s="86" t="str">
        <f>_xlfn.CONCAT(表格1[[#This Row],[Model]]," ",表格1[[#This Row],[inv no]])</f>
        <v>RC-18AMXH(W) S056-25432</v>
      </c>
      <c r="S1306" s="86">
        <f>_xlfn.XLOOKUP(表格1[[#This Row],[Model]],表格3[Model-Input-Ref2],表格3[SRP PRICE])</f>
        <v>1588</v>
      </c>
      <c r="T1306" s="43">
        <f>表格1[[#This Row],[Unit Price]]/表格1[[#This Row],[SRP]]</f>
        <v>0.62342569269521408</v>
      </c>
      <c r="U1306" s="86" t="str">
        <f>_xlfn.XLOOKUP(表格1[[#This Row],[Model]],表格3[Model-Input-Ref2],表格3[TOSHIBA/HIGHEST])</f>
        <v>Toshiba SRP</v>
      </c>
      <c r="V1306" s="86" t="s">
        <v>909</v>
      </c>
      <c r="W1306" s="86" t="str">
        <f>_xlfn.CONCAT(表格1[[#This Row],[欄4]],表格1[[#This Row],[inv no]])</f>
        <v>DA138S056-25432</v>
      </c>
    </row>
    <row r="1307" spans="1:23" hidden="1">
      <c r="A1307" s="81">
        <v>1305</v>
      </c>
      <c r="B1307" s="81" t="s">
        <v>1417</v>
      </c>
      <c r="C1307" s="81" t="s">
        <v>1507</v>
      </c>
      <c r="D1307" s="82" t="str">
        <f ca="1">OFFSET(Roster!$A$3,MATCH(表格1[[#This Row],[Location]]&amp;" "&amp;表格1[[#This Row],[Shop]]&amp;"*",Roster!$A$4:$A$72,0),DAY(表格1[[#This Row],[date]]),1,1)</f>
        <v>Mui Chan_1</v>
      </c>
      <c r="E1307" s="81">
        <f>MONTH(表格1[[#This Row],[date]])</f>
        <v>3</v>
      </c>
      <c r="F1307" s="90">
        <v>46097</v>
      </c>
      <c r="G1307" s="81" t="str">
        <f>VLOOKUP("*"&amp;表格1[[#This Row],[Input]]&amp;"*",'Ref-List'!$B:$D,2,)</f>
        <v>Model-Input-Ref2</v>
      </c>
      <c r="H1307" s="81" t="e">
        <f>_xlfn.XLOOKUP(表格1[[#This Row],[Model]],表格3[Model-Input-Ref2],表格3[Product Line])</f>
        <v>#N/A</v>
      </c>
      <c r="I1307" s="81" t="e">
        <f>_xlfn.XLOOKUP(表格1[[#This Row],[Model]],表格3[Model-Input-Ref2],表格3[大小電])</f>
        <v>#N/A</v>
      </c>
      <c r="J1307" s="81" t="e">
        <f>_xlfn.XLOOKUP(表格1[[#This Row],[Model]],表格3[Model-Input-Ref2],表格3[Code])</f>
        <v>#N/A</v>
      </c>
      <c r="L1307" s="81"/>
      <c r="N1307" s="85">
        <f>IFERROR(表格1[[#This Row],[QTY]]*表格1[[#This Row],[Unit Price]],"-")</f>
        <v>0</v>
      </c>
      <c r="R1307" s="86" t="str">
        <f>_xlfn.CONCAT(表格1[[#This Row],[Model]]," ",表格1[[#This Row],[inv no]])</f>
        <v xml:space="preserve">Model-Input-Ref2 </v>
      </c>
      <c r="S1307" s="86" t="e">
        <f>_xlfn.XLOOKUP(表格1[[#This Row],[Model]],表格3[Model-Input-Ref2],表格3[SRP PRICE])</f>
        <v>#N/A</v>
      </c>
      <c r="T1307" s="43" t="e">
        <f>表格1[[#This Row],[Unit Price]]/表格1[[#This Row],[SRP]]</f>
        <v>#N/A</v>
      </c>
      <c r="U1307" s="86" t="e">
        <f>_xlfn.XLOOKUP(表格1[[#This Row],[Model]],表格3[Model-Input-Ref2],表格3[TOSHIBA/HIGHEST])</f>
        <v>#N/A</v>
      </c>
      <c r="V1307" s="86" t="s">
        <v>908</v>
      </c>
      <c r="W1307" s="86" t="str">
        <f>_xlfn.CONCAT(表格1[[#This Row],[欄4]],表格1[[#This Row],[inv no]])</f>
        <v>DA138</v>
      </c>
    </row>
    <row r="1308" spans="1:23" hidden="1">
      <c r="A1308" s="81">
        <v>1306</v>
      </c>
      <c r="B1308" s="81" t="s">
        <v>1417</v>
      </c>
      <c r="C1308" s="81" t="s">
        <v>1507</v>
      </c>
      <c r="D1308" s="82" t="str">
        <f ca="1">OFFSET(Roster!$A$3,MATCH(表格1[[#This Row],[Location]]&amp;" "&amp;表格1[[#This Row],[Shop]]&amp;"*",Roster!$A$4:$A$72,0),DAY(表格1[[#This Row],[date]]),1,1)</f>
        <v>Mui Chan_1</v>
      </c>
      <c r="E1308" s="81">
        <f>MONTH(表格1[[#This Row],[date]])</f>
        <v>3</v>
      </c>
      <c r="F1308" s="90">
        <v>46097</v>
      </c>
      <c r="G1308" s="81" t="str">
        <f>VLOOKUP("*"&amp;表格1[[#This Row],[Input]]&amp;"*",'Ref-List'!$B:$D,2,)</f>
        <v>RC-10AMXH(W)</v>
      </c>
      <c r="H1308" s="81" t="str">
        <f>_xlfn.XLOOKUP(表格1[[#This Row],[Model]],表格3[Model-Input-Ref2],表格3[Product Line])</f>
        <v>酵活炊電飯煲(1.0公升)</v>
      </c>
      <c r="I1308" s="81" t="str">
        <f>_xlfn.XLOOKUP(表格1[[#This Row],[Model]],表格3[Model-Input-Ref2],表格3[大小電])</f>
        <v>細電</v>
      </c>
      <c r="J1308" s="81" t="str">
        <f>_xlfn.XLOOKUP(表格1[[#This Row],[Model]],表格3[Model-Input-Ref2],表格3[Code])</f>
        <v>SDA</v>
      </c>
      <c r="K1308" s="89" t="s">
        <v>1279</v>
      </c>
      <c r="L1308" s="81">
        <v>1</v>
      </c>
      <c r="M1308" s="87">
        <v>1000</v>
      </c>
      <c r="N1308" s="85">
        <f>IFERROR(表格1[[#This Row],[QTY]]*表格1[[#This Row],[Unit Price]],"-")</f>
        <v>1000</v>
      </c>
      <c r="O1308" s="86" t="s">
        <v>1532</v>
      </c>
      <c r="R1308" s="86" t="str">
        <f>_xlfn.CONCAT(表格1[[#This Row],[Model]]," ",表格1[[#This Row],[inv no]])</f>
        <v>RC-10AMXH(W) S056-25444</v>
      </c>
      <c r="S1308" s="86">
        <f>_xlfn.XLOOKUP(表格1[[#This Row],[Model]],表格3[Model-Input-Ref2],表格3[SRP PRICE])</f>
        <v>1288</v>
      </c>
      <c r="T1308" s="43">
        <f>表格1[[#This Row],[Unit Price]]/表格1[[#This Row],[SRP]]</f>
        <v>0.77639751552795033</v>
      </c>
      <c r="U1308" s="86" t="str">
        <f>_xlfn.XLOOKUP(表格1[[#This Row],[Model]],表格3[Model-Input-Ref2],表格3[TOSHIBA/HIGHEST])</f>
        <v>Toshiba SRP</v>
      </c>
      <c r="V1308" s="86" t="s">
        <v>908</v>
      </c>
      <c r="W1308" s="86" t="str">
        <f>_xlfn.CONCAT(表格1[[#This Row],[欄4]],表格1[[#This Row],[inv no]])</f>
        <v>DA138S056-25444</v>
      </c>
    </row>
    <row r="1309" spans="1:23" hidden="1">
      <c r="A1309" s="81">
        <v>1307</v>
      </c>
      <c r="B1309" s="81" t="s">
        <v>1417</v>
      </c>
      <c r="C1309" s="81" t="s">
        <v>1507</v>
      </c>
      <c r="D1309" s="82" t="str">
        <f ca="1">OFFSET(Roster!$A$3,MATCH(表格1[[#This Row],[Location]]&amp;" "&amp;表格1[[#This Row],[Shop]]&amp;"*",Roster!$A$4:$A$72,0),DAY(表格1[[#This Row],[date]]),1,1)</f>
        <v>Mui Chan_1</v>
      </c>
      <c r="E1309" s="81">
        <f>MONTH(表格1[[#This Row],[date]])</f>
        <v>3</v>
      </c>
      <c r="F1309" s="90">
        <v>46097</v>
      </c>
      <c r="G1309" s="81" t="str">
        <f>VLOOKUP("*"&amp;表格1[[#This Row],[Input]]&amp;"*",'Ref-List'!$B:$D,2,)</f>
        <v>MM2-EM20PC(WH)</v>
      </c>
      <c r="H1309" s="81" t="str">
        <f>_xlfn.XLOOKUP(表格1[[#This Row],[Model]],表格3[Model-Input-Ref2],表格3[Product Line])</f>
        <v>輕觸式微波爐 (20公升)</v>
      </c>
      <c r="I1309" s="81" t="str">
        <f>_xlfn.XLOOKUP(表格1[[#This Row],[Model]],表格3[Model-Input-Ref2],表格3[大小電])</f>
        <v>細電</v>
      </c>
      <c r="J1309" s="81" t="str">
        <f>_xlfn.XLOOKUP(表格1[[#This Row],[Model]],表格3[Model-Input-Ref2],表格3[Code])</f>
        <v>MCA</v>
      </c>
      <c r="K1309" s="89" t="s">
        <v>1276</v>
      </c>
      <c r="L1309" s="81">
        <v>1</v>
      </c>
      <c r="M1309" s="87">
        <v>598</v>
      </c>
      <c r="N1309" s="85">
        <f>IFERROR(表格1[[#This Row],[QTY]]*表格1[[#This Row],[Unit Price]],"-")</f>
        <v>598</v>
      </c>
      <c r="O1309" s="86" t="s">
        <v>1533</v>
      </c>
      <c r="R1309" s="86" t="str">
        <f>_xlfn.CONCAT(表格1[[#This Row],[Model]]," ",表格1[[#This Row],[inv no]])</f>
        <v>MM2-EM20PC(WH) S056-25448</v>
      </c>
      <c r="S1309" s="86">
        <f>_xlfn.XLOOKUP(表格1[[#This Row],[Model]],表格3[Model-Input-Ref2],表格3[SRP PRICE])</f>
        <v>788</v>
      </c>
      <c r="T1309" s="43">
        <f>表格1[[#This Row],[Unit Price]]/表格1[[#This Row],[SRP]]</f>
        <v>0.75888324873096447</v>
      </c>
      <c r="U1309" s="86" t="str">
        <f>_xlfn.XLOOKUP(表格1[[#This Row],[Model]],表格3[Model-Input-Ref2],表格3[TOSHIBA/HIGHEST])</f>
        <v>Toshiba SRP</v>
      </c>
      <c r="V1309" s="86" t="s">
        <v>908</v>
      </c>
      <c r="W1309" s="86" t="str">
        <f>_xlfn.CONCAT(表格1[[#This Row],[欄4]],表格1[[#This Row],[inv no]])</f>
        <v>DA138S056-25448</v>
      </c>
    </row>
    <row r="1310" spans="1:23" hidden="1">
      <c r="A1310" s="81">
        <v>1308</v>
      </c>
      <c r="B1310" s="81" t="s">
        <v>1417</v>
      </c>
      <c r="C1310" s="81" t="s">
        <v>1507</v>
      </c>
      <c r="D1310" s="82" t="str">
        <f ca="1">OFFSET(Roster!$A$3,MATCH(表格1[[#This Row],[Location]]&amp;" "&amp;表格1[[#This Row],[Shop]]&amp;"*",Roster!$A$4:$A$72,0),DAY(表格1[[#This Row],[date]]),1,1)</f>
        <v>Mui Chan_1</v>
      </c>
      <c r="E1310" s="81">
        <f>MONTH(表格1[[#This Row],[date]])</f>
        <v>3</v>
      </c>
      <c r="F1310" s="90">
        <v>46097</v>
      </c>
      <c r="G1310" s="81" t="str">
        <f>VLOOKUP("*"&amp;表格1[[#This Row],[Input]]&amp;"*",'Ref-List'!$B:$D,2,)</f>
        <v>TW-T22BU95UWH(WK)-B</v>
      </c>
      <c r="H1310" s="81" t="str">
        <f>_xlfn.XLOOKUP(表格1[[#This Row],[Model]],表格3[Model-Input-Ref2],表格3[Product Line])</f>
        <v>470MM超薄身前置式變頻洗衣機(8.5公斤, 可飛頂)</v>
      </c>
      <c r="I1310" s="81" t="str">
        <f>_xlfn.XLOOKUP(表格1[[#This Row],[Model]],表格3[Model-Input-Ref2],表格3[大小電])</f>
        <v>大電</v>
      </c>
      <c r="J1310" s="81" t="str">
        <f>_xlfn.XLOOKUP(表格1[[#This Row],[Model]],表格3[Model-Input-Ref2],表格3[Code])</f>
        <v>LAD</v>
      </c>
      <c r="K1310" s="89" t="s">
        <v>969</v>
      </c>
      <c r="L1310" s="81">
        <v>1</v>
      </c>
      <c r="M1310" s="87">
        <v>3680</v>
      </c>
      <c r="N1310" s="85">
        <f>IFERROR(表格1[[#This Row],[QTY]]*表格1[[#This Row],[Unit Price]],"-")</f>
        <v>3680</v>
      </c>
      <c r="O1310" s="86" t="s">
        <v>1534</v>
      </c>
      <c r="R1310" s="86" t="str">
        <f>_xlfn.CONCAT(表格1[[#This Row],[Model]]," ",表格1[[#This Row],[inv no]])</f>
        <v>TW-T22BU95UWH(WK)-B S056-25451</v>
      </c>
      <c r="S1310" s="86">
        <f>_xlfn.XLOOKUP(表格1[[#This Row],[Model]],表格3[Model-Input-Ref2],表格3[SRP PRICE])</f>
        <v>5880</v>
      </c>
      <c r="T1310" s="43">
        <f>表格1[[#This Row],[Unit Price]]/表格1[[#This Row],[SRP]]</f>
        <v>0.62585034013605445</v>
      </c>
      <c r="U1310" s="86" t="str">
        <f>_xlfn.XLOOKUP(表格1[[#This Row],[Model]],表格3[Model-Input-Ref2],表格3[TOSHIBA/HIGHEST])</f>
        <v>Toshiba SRP</v>
      </c>
      <c r="V1310" s="86" t="s">
        <v>908</v>
      </c>
      <c r="W1310" s="86" t="str">
        <f>_xlfn.CONCAT(表格1[[#This Row],[欄4]],表格1[[#This Row],[inv no]])</f>
        <v>DA138S056-25451</v>
      </c>
    </row>
    <row r="1311" spans="1:23" hidden="1">
      <c r="A1311" s="81">
        <v>1309</v>
      </c>
      <c r="B1311" s="81" t="s">
        <v>1417</v>
      </c>
      <c r="C1311" s="81" t="s">
        <v>1507</v>
      </c>
      <c r="D1311" s="82" t="str">
        <f ca="1">OFFSET(Roster!$A$3,MATCH(表格1[[#This Row],[Location]]&amp;" "&amp;表格1[[#This Row],[Shop]]&amp;"*",Roster!$A$4:$A$72,0),DAY(表格1[[#This Row],[date]]),1,1)</f>
        <v>Mui Chan_1</v>
      </c>
      <c r="E1311" s="81">
        <f>MONTH(表格1[[#This Row],[date]])</f>
        <v>3</v>
      </c>
      <c r="F1311" s="90">
        <v>46097</v>
      </c>
      <c r="G1311" s="81" t="str">
        <f>VLOOKUP("*"&amp;表格1[[#This Row],[Input]]&amp;"*",'Ref-List'!$B:$D,2,)</f>
        <v>CFS-09PGR0A0</v>
      </c>
      <c r="H1311" s="81" t="str">
        <f>_xlfn.XLOOKUP(表格1[[#This Row],[Model]],表格3[Model-Input-Ref2],表格3[Product Line])</f>
        <v>9吋座檯座地循環扇連遙控</v>
      </c>
      <c r="I1311" s="81" t="str">
        <f>_xlfn.XLOOKUP(表格1[[#This Row],[Model]],表格3[Model-Input-Ref2],表格3[大小電])</f>
        <v>細電</v>
      </c>
      <c r="J1311" s="81" t="str">
        <f>_xlfn.XLOOKUP(表格1[[#This Row],[Model]],表格3[Model-Input-Ref2],表格3[Code])</f>
        <v>SDA</v>
      </c>
      <c r="K1311" s="89" t="s">
        <v>1457</v>
      </c>
      <c r="L1311" s="81">
        <v>1</v>
      </c>
      <c r="M1311" s="87">
        <v>299</v>
      </c>
      <c r="N1311" s="85">
        <f>IFERROR(表格1[[#This Row],[QTY]]*表格1[[#This Row],[Unit Price]],"-")</f>
        <v>299</v>
      </c>
      <c r="O1311" s="86" t="s">
        <v>1535</v>
      </c>
      <c r="R1311" s="86" t="str">
        <f>_xlfn.CONCAT(表格1[[#This Row],[Model]]," ",表格1[[#This Row],[inv no]])</f>
        <v>CFS-09PGR0A0 S056-25466</v>
      </c>
      <c r="S1311" s="86">
        <f>_xlfn.XLOOKUP(表格1[[#This Row],[Model]],表格3[Model-Input-Ref2],表格3[SRP PRICE])</f>
        <v>350</v>
      </c>
      <c r="T1311" s="43">
        <f>表格1[[#This Row],[Unit Price]]/表格1[[#This Row],[SRP]]</f>
        <v>0.85428571428571431</v>
      </c>
      <c r="U1311" s="86">
        <f>_xlfn.XLOOKUP(表格1[[#This Row],[Model]],表格3[Model-Input-Ref2],表格3[TOSHIBA/HIGHEST])</f>
        <v>0</v>
      </c>
      <c r="V1311" s="86" t="s">
        <v>908</v>
      </c>
      <c r="W1311" s="86" t="str">
        <f>_xlfn.CONCAT(表格1[[#This Row],[欄4]],表格1[[#This Row],[inv no]])</f>
        <v>DA138S056-25466</v>
      </c>
    </row>
    <row r="1312" spans="1:23" hidden="1">
      <c r="A1312" s="81">
        <v>1310</v>
      </c>
      <c r="B1312" s="81" t="s">
        <v>1417</v>
      </c>
      <c r="C1312" s="81" t="s">
        <v>1507</v>
      </c>
      <c r="D1312" s="82" t="str">
        <f ca="1">OFFSET(Roster!$A$3,MATCH(表格1[[#This Row],[Location]]&amp;" "&amp;表格1[[#This Row],[Shop]]&amp;"*",Roster!$A$4:$A$72,0),DAY(表格1[[#This Row],[date]]),1,1)</f>
        <v>Mui Chan_1</v>
      </c>
      <c r="E1312" s="81">
        <f>MONTH(表格1[[#This Row],[date]])</f>
        <v>3</v>
      </c>
      <c r="F1312" s="90">
        <v>46097</v>
      </c>
      <c r="G1312" s="81" t="str">
        <f>VLOOKUP("*"&amp;表格1[[#This Row],[Input]]&amp;"*",'Ref-List'!$B:$D,2,)</f>
        <v>EB-T500APW</v>
      </c>
      <c r="H1312" s="81" t="str">
        <f>_xlfn.XLOOKUP(表格1[[#This Row],[Model]],表格3[Model-Input-Ref2],表格3[Product Line])</f>
        <v>JAPANDi 嵌入式微波氣炸蒸焗爐 (45厘米)</v>
      </c>
      <c r="I1312" s="81" t="str">
        <f>_xlfn.XLOOKUP(表格1[[#This Row],[Model]],表格3[Model-Input-Ref2],表格3[大小電])</f>
        <v>大電</v>
      </c>
      <c r="J1312" s="81" t="str">
        <f>_xlfn.XLOOKUP(表格1[[#This Row],[Model]],表格3[Model-Input-Ref2],表格3[Code])</f>
        <v>MCA</v>
      </c>
      <c r="K1312" s="89" t="s">
        <v>1528</v>
      </c>
      <c r="L1312" s="81">
        <v>1</v>
      </c>
      <c r="M1312" s="87">
        <v>13800</v>
      </c>
      <c r="N1312" s="85">
        <f>IFERROR(表格1[[#This Row],[QTY]]*表格1[[#This Row],[Unit Price]],"-")</f>
        <v>13800</v>
      </c>
      <c r="O1312" s="86" t="s">
        <v>1535</v>
      </c>
      <c r="R1312" s="86" t="str">
        <f>_xlfn.CONCAT(表格1[[#This Row],[Model]]," ",表格1[[#This Row],[inv no]])</f>
        <v>EB-T500APW S056-25466</v>
      </c>
      <c r="S1312" s="86">
        <f>_xlfn.XLOOKUP(表格1[[#This Row],[Model]],表格3[Model-Input-Ref2],表格3[SRP PRICE])</f>
        <v>28800</v>
      </c>
      <c r="T1312" s="43">
        <f>表格1[[#This Row],[Unit Price]]/表格1[[#This Row],[SRP]]</f>
        <v>0.47916666666666669</v>
      </c>
      <c r="U1312" s="86" t="str">
        <f>_xlfn.XLOOKUP(表格1[[#This Row],[Model]],表格3[Model-Input-Ref2],表格3[TOSHIBA/HIGHEST])</f>
        <v>Toshiba SRP</v>
      </c>
      <c r="V1312" s="86" t="s">
        <v>908</v>
      </c>
      <c r="W1312" s="86" t="str">
        <f>_xlfn.CONCAT(表格1[[#This Row],[欄4]],表格1[[#This Row],[inv no]])</f>
        <v>DA138S056-25466</v>
      </c>
    </row>
    <row r="1313" spans="1:23" hidden="1">
      <c r="A1313" s="81">
        <v>1311</v>
      </c>
      <c r="B1313" s="81" t="s">
        <v>1417</v>
      </c>
      <c r="C1313" s="81" t="s">
        <v>1507</v>
      </c>
      <c r="D1313" s="82" t="str">
        <f ca="1">OFFSET(Roster!$A$3,MATCH(表格1[[#This Row],[Location]]&amp;" "&amp;表格1[[#This Row],[Shop]]&amp;"*",Roster!$A$4:$A$72,0),DAY(表格1[[#This Row],[date]]),1,1)</f>
        <v>Mui Chan_1</v>
      </c>
      <c r="E1313" s="81">
        <f>MONTH(表格1[[#This Row],[date]])</f>
        <v>3</v>
      </c>
      <c r="F1313" s="90">
        <v>46098</v>
      </c>
      <c r="G1313" s="81" t="str">
        <f>VLOOKUP("*"&amp;表格1[[#This Row],[Input]]&amp;"*",'Ref-List'!$B:$D,2,)</f>
        <v>ER-TD5000HK(XK)</v>
      </c>
      <c r="H1313" s="81" t="str">
        <f>_xlfn.XLOOKUP(表格1[[#This Row],[Model]],表格3[Model-Input-Ref2],表格3[Product Line])</f>
        <v>座檯式純蒸氣烤焗水波爐30L</v>
      </c>
      <c r="I1313" s="81" t="str">
        <f>_xlfn.XLOOKUP(表格1[[#This Row],[Model]],表格3[Model-Input-Ref2],表格3[大小電])</f>
        <v>細電</v>
      </c>
      <c r="J1313" s="81" t="str">
        <f>_xlfn.XLOOKUP(表格1[[#This Row],[Model]],表格3[Model-Input-Ref2],表格3[Code])</f>
        <v>SDA</v>
      </c>
      <c r="K1313" s="89" t="s">
        <v>1205</v>
      </c>
      <c r="L1313" s="81">
        <v>1</v>
      </c>
      <c r="M1313" s="87">
        <v>5000</v>
      </c>
      <c r="N1313" s="85">
        <f>IFERROR(表格1[[#This Row],[QTY]]*表格1[[#This Row],[Unit Price]],"-")</f>
        <v>5000</v>
      </c>
      <c r="O1313" s="86" t="s">
        <v>1512</v>
      </c>
      <c r="R1313" s="86" t="str">
        <f>_xlfn.CONCAT(表格1[[#This Row],[Model]]," ",表格1[[#This Row],[inv no]])</f>
        <v>ER-TD5000HK(XK) S056-25481</v>
      </c>
      <c r="S1313" s="86">
        <f>_xlfn.XLOOKUP(表格1[[#This Row],[Model]],表格3[Model-Input-Ref2],表格3[SRP PRICE])</f>
        <v>7998</v>
      </c>
      <c r="T1313" s="43">
        <f>表格1[[#This Row],[Unit Price]]/表格1[[#This Row],[SRP]]</f>
        <v>0.62515628907226806</v>
      </c>
      <c r="U1313" s="86" t="str">
        <f>_xlfn.XLOOKUP(表格1[[#This Row],[Model]],表格3[Model-Input-Ref2],表格3[TOSHIBA/HIGHEST])</f>
        <v>Toshiba SRP</v>
      </c>
      <c r="V1313" s="86" t="s">
        <v>908</v>
      </c>
      <c r="W1313" s="86" t="str">
        <f>_xlfn.CONCAT(表格1[[#This Row],[欄4]],表格1[[#This Row],[inv no]])</f>
        <v>DA138S056-25481</v>
      </c>
    </row>
    <row r="1314" spans="1:23" hidden="1">
      <c r="A1314" s="81">
        <v>1312</v>
      </c>
      <c r="B1314" s="81" t="s">
        <v>1417</v>
      </c>
      <c r="C1314" s="81" t="s">
        <v>1507</v>
      </c>
      <c r="D1314" s="82" t="str">
        <f ca="1">OFFSET(Roster!$A$3,MATCH(表格1[[#This Row],[Location]]&amp;" "&amp;表格1[[#This Row],[Shop]]&amp;"*",Roster!$A$4:$A$72,0),DAY(表格1[[#This Row],[date]]),1,1)</f>
        <v>Mui Chan_1</v>
      </c>
      <c r="E1314" s="81">
        <f>MONTH(表格1[[#This Row],[date]])</f>
        <v>3</v>
      </c>
      <c r="F1314" s="90">
        <v>46098</v>
      </c>
      <c r="G1314" s="81" t="str">
        <f>VLOOKUP("*"&amp;表格1[[#This Row],[Input]]&amp;"*",'Ref-List'!$B:$D,2,)</f>
        <v>RC-15BHH(W)</v>
      </c>
      <c r="H1314" s="81" t="str">
        <f>_xlfn.XLOOKUP(表格1[[#This Row],[Model]],表格3[Model-Input-Ref2],表格3[Product Line])</f>
        <v>酵活炊磁應電飯煲(1.5公升)</v>
      </c>
      <c r="I1314" s="81" t="str">
        <f>_xlfn.XLOOKUP(表格1[[#This Row],[Model]],表格3[Model-Input-Ref2],表格3[大小電])</f>
        <v>細電</v>
      </c>
      <c r="J1314" s="81" t="str">
        <f>_xlfn.XLOOKUP(表格1[[#This Row],[Model]],表格3[Model-Input-Ref2],表格3[Code])</f>
        <v>SDA</v>
      </c>
      <c r="K1314" s="89" t="s">
        <v>1381</v>
      </c>
      <c r="L1314" s="81">
        <v>1</v>
      </c>
      <c r="M1314" s="87">
        <v>1888</v>
      </c>
      <c r="N1314" s="85">
        <f>IFERROR(表格1[[#This Row],[QTY]]*表格1[[#This Row],[Unit Price]],"-")</f>
        <v>1888</v>
      </c>
      <c r="O1314" s="86" t="s">
        <v>1536</v>
      </c>
      <c r="R1314" s="86" t="str">
        <f>_xlfn.CONCAT(表格1[[#This Row],[Model]]," ",表格1[[#This Row],[inv no]])</f>
        <v>RC-15BHH(W) S056-25488</v>
      </c>
      <c r="S1314" s="86">
        <f>_xlfn.XLOOKUP(表格1[[#This Row],[Model]],表格3[Model-Input-Ref2],表格3[SRP PRICE])</f>
        <v>2388</v>
      </c>
      <c r="T1314" s="43">
        <f>表格1[[#This Row],[Unit Price]]/表格1[[#This Row],[SRP]]</f>
        <v>0.79061976549413737</v>
      </c>
      <c r="U1314" s="86" t="str">
        <f>_xlfn.XLOOKUP(表格1[[#This Row],[Model]],表格3[Model-Input-Ref2],表格3[TOSHIBA/HIGHEST])</f>
        <v>Toshiba SRP</v>
      </c>
      <c r="V1314" s="86" t="s">
        <v>908</v>
      </c>
      <c r="W1314" s="86" t="str">
        <f>_xlfn.CONCAT(表格1[[#This Row],[欄4]],表格1[[#This Row],[inv no]])</f>
        <v>DA138S056-25488</v>
      </c>
    </row>
    <row r="1315" spans="1:23" hidden="1">
      <c r="A1315" s="81">
        <v>1313</v>
      </c>
      <c r="B1315" s="81" t="s">
        <v>1417</v>
      </c>
      <c r="C1315" s="81" t="s">
        <v>1507</v>
      </c>
      <c r="D1315" s="82" t="str">
        <f ca="1">OFFSET(Roster!$A$3,MATCH(表格1[[#This Row],[Location]]&amp;" "&amp;表格1[[#This Row],[Shop]]&amp;"*",Roster!$A$4:$A$72,0),DAY(表格1[[#This Row],[date]]),1,1)</f>
        <v>Mui Chan_1</v>
      </c>
      <c r="E1315" s="81">
        <f>MONTH(表格1[[#This Row],[date]])</f>
        <v>3</v>
      </c>
      <c r="F1315" s="90">
        <v>46098</v>
      </c>
      <c r="G1315" s="81" t="str">
        <f>VLOOKUP("*"&amp;表格1[[#This Row],[Input]]&amp;"*",'Ref-List'!$B:$D,2,)</f>
        <v>F-LYA20(W)HKG</v>
      </c>
      <c r="H1315" s="81" t="str">
        <f>_xlfn.XLOOKUP(表格1[[#This Row],[Model]],表格3[Model-Input-Ref2],表格3[Product Line])</f>
        <v>12吋2合1座地座檯電風扇連遙控</v>
      </c>
      <c r="I1315" s="81" t="str">
        <f>_xlfn.XLOOKUP(表格1[[#This Row],[Model]],表格3[Model-Input-Ref2],表格3[大小電])</f>
        <v>細電</v>
      </c>
      <c r="J1315" s="81" t="str">
        <f>_xlfn.XLOOKUP(表格1[[#This Row],[Model]],表格3[Model-Input-Ref2],表格3[Code])</f>
        <v>EAD</v>
      </c>
      <c r="K1315" s="89" t="s">
        <v>1391</v>
      </c>
      <c r="L1315" s="81">
        <v>1</v>
      </c>
      <c r="M1315" s="87">
        <v>398</v>
      </c>
      <c r="N1315" s="85">
        <f>IFERROR(表格1[[#This Row],[QTY]]*表格1[[#This Row],[Unit Price]],"-")</f>
        <v>398</v>
      </c>
      <c r="O1315" s="86" t="s">
        <v>1536</v>
      </c>
      <c r="R1315" s="86" t="str">
        <f>_xlfn.CONCAT(表格1[[#This Row],[Model]]," ",表格1[[#This Row],[inv no]])</f>
        <v>F-LYA20(W)HKG S056-25488</v>
      </c>
      <c r="S1315" s="86">
        <f>_xlfn.XLOOKUP(表格1[[#This Row],[Model]],表格3[Model-Input-Ref2],表格3[SRP PRICE])</f>
        <v>988</v>
      </c>
      <c r="T1315" s="43">
        <f>表格1[[#This Row],[Unit Price]]/表格1[[#This Row],[SRP]]</f>
        <v>0.40283400809716602</v>
      </c>
      <c r="U1315" s="86" t="str">
        <f>_xlfn.XLOOKUP(表格1[[#This Row],[Model]],表格3[Model-Input-Ref2],表格3[TOSHIBA/HIGHEST])</f>
        <v>Toshiba SRP</v>
      </c>
      <c r="V1315" s="86" t="s">
        <v>908</v>
      </c>
      <c r="W1315" s="86" t="str">
        <f>_xlfn.CONCAT(表格1[[#This Row],[欄4]],表格1[[#This Row],[inv no]])</f>
        <v>DA138S056-25488</v>
      </c>
    </row>
    <row r="1316" spans="1:23" hidden="1">
      <c r="A1316" s="81">
        <v>1314</v>
      </c>
      <c r="B1316" s="81" t="s">
        <v>1417</v>
      </c>
      <c r="C1316" s="81" t="s">
        <v>1507</v>
      </c>
      <c r="D1316" s="82" t="str">
        <f ca="1">OFFSET(Roster!$A$3,MATCH(表格1[[#This Row],[Location]]&amp;" "&amp;表格1[[#This Row],[Shop]]&amp;"*",Roster!$A$4:$A$72,0),DAY(表格1[[#This Row],[date]]),1,1)</f>
        <v>Mui Chan_1</v>
      </c>
      <c r="E1316" s="81">
        <f>MONTH(表格1[[#This Row],[date]])</f>
        <v>3</v>
      </c>
      <c r="F1316" s="90">
        <v>46098</v>
      </c>
      <c r="G1316" s="81" t="str">
        <f>VLOOKUP("*"&amp;表格1[[#This Row],[Input]]&amp;"*",'Ref-List'!$B:$D,2,)</f>
        <v>RC-10NMFIH(WT)</v>
      </c>
      <c r="H1316" s="81" t="str">
        <f>_xlfn.XLOOKUP(表格1[[#This Row],[Model]],表格3[Model-Input-Ref2],表格3[Product Line])</f>
        <v>4毫米厚釜電飯煲1L</v>
      </c>
      <c r="I1316" s="81" t="str">
        <f>_xlfn.XLOOKUP(表格1[[#This Row],[Model]],表格3[Model-Input-Ref2],表格3[大小電])</f>
        <v>細電</v>
      </c>
      <c r="J1316" s="81" t="str">
        <f>_xlfn.XLOOKUP(表格1[[#This Row],[Model]],表格3[Model-Input-Ref2],表格3[Code])</f>
        <v>SDA</v>
      </c>
      <c r="K1316" s="89" t="s">
        <v>1244</v>
      </c>
      <c r="L1316" s="81">
        <v>1</v>
      </c>
      <c r="M1316" s="87">
        <v>718</v>
      </c>
      <c r="N1316" s="85">
        <f>IFERROR(表格1[[#This Row],[QTY]]*表格1[[#This Row],[Unit Price]],"-")</f>
        <v>718</v>
      </c>
      <c r="O1316" s="86" t="s">
        <v>1537</v>
      </c>
      <c r="R1316" s="86" t="str">
        <f>_xlfn.CONCAT(表格1[[#This Row],[Model]]," ",表格1[[#This Row],[inv no]])</f>
        <v>RC-10NMFIH(WT) S056-25496</v>
      </c>
      <c r="S1316" s="86">
        <f>_xlfn.XLOOKUP(表格1[[#This Row],[Model]],表格3[Model-Input-Ref2],表格3[SRP PRICE])</f>
        <v>898</v>
      </c>
      <c r="T1316" s="43">
        <f>表格1[[#This Row],[Unit Price]]/表格1[[#This Row],[SRP]]</f>
        <v>0.79955456570155903</v>
      </c>
      <c r="U1316" s="86" t="str">
        <f>_xlfn.XLOOKUP(表格1[[#This Row],[Model]],表格3[Model-Input-Ref2],表格3[TOSHIBA/HIGHEST])</f>
        <v>Toshiba SRP</v>
      </c>
      <c r="V1316" s="86" t="s">
        <v>908</v>
      </c>
      <c r="W1316" s="86" t="str">
        <f>_xlfn.CONCAT(表格1[[#This Row],[欄4]],表格1[[#This Row],[inv no]])</f>
        <v>DA138S056-25496</v>
      </c>
    </row>
    <row r="1317" spans="1:23" hidden="1">
      <c r="A1317" s="81">
        <v>1315</v>
      </c>
      <c r="B1317" s="81" t="s">
        <v>1417</v>
      </c>
      <c r="C1317" s="81" t="s">
        <v>1507</v>
      </c>
      <c r="D1317" s="82" t="str">
        <f ca="1">OFFSET(Roster!$A$3,MATCH(表格1[[#This Row],[Location]]&amp;" "&amp;表格1[[#This Row],[Shop]]&amp;"*",Roster!$A$4:$A$72,0),DAY(表格1[[#This Row],[date]]),1,1)</f>
        <v>Mui Chan_1</v>
      </c>
      <c r="E1317" s="81">
        <f>MONTH(表格1[[#This Row],[date]])</f>
        <v>3</v>
      </c>
      <c r="F1317" s="90">
        <v>46098</v>
      </c>
      <c r="G1317" s="81" t="str">
        <f>VLOOKUP("*"&amp;表格1[[#This Row],[Input]]&amp;"*",'Ref-List'!$B:$D,2,)</f>
        <v>RC-DS18K(N)</v>
      </c>
      <c r="H1317" s="81" t="str">
        <f>_xlfn.XLOOKUP(表格1[[#This Row],[Model]],表格3[Model-Input-Ref2],表格3[Product Line])</f>
        <v>IH磁應電飯煲</v>
      </c>
      <c r="I1317" s="81" t="str">
        <f>_xlfn.XLOOKUP(表格1[[#This Row],[Model]],表格3[Model-Input-Ref2],表格3[大小電])</f>
        <v>細電</v>
      </c>
      <c r="J1317" s="81" t="str">
        <f>_xlfn.XLOOKUP(表格1[[#This Row],[Model]],表格3[Model-Input-Ref2],表格3[Code])</f>
        <v>SDA</v>
      </c>
      <c r="K1317" s="89" t="s">
        <v>1498</v>
      </c>
      <c r="L1317" s="81">
        <v>1</v>
      </c>
      <c r="M1317" s="87">
        <v>3490</v>
      </c>
      <c r="N1317" s="85">
        <f>IFERROR(表格1[[#This Row],[QTY]]*表格1[[#This Row],[Unit Price]],"-")</f>
        <v>3490</v>
      </c>
      <c r="O1317" s="86" t="s">
        <v>1538</v>
      </c>
      <c r="R1317" s="86" t="str">
        <f>_xlfn.CONCAT(表格1[[#This Row],[Model]]," ",表格1[[#This Row],[inv no]])</f>
        <v>RC-DS18K(N) S056-25503</v>
      </c>
      <c r="S1317" s="86">
        <f>_xlfn.XLOOKUP(表格1[[#This Row],[Model]],表格3[Model-Input-Ref2],表格3[SRP PRICE])</f>
        <v>4988</v>
      </c>
      <c r="T1317" s="43">
        <f>表格1[[#This Row],[Unit Price]]/表格1[[#This Row],[SRP]]</f>
        <v>0.69967923015236566</v>
      </c>
      <c r="U1317" s="86" t="str">
        <f>_xlfn.XLOOKUP(表格1[[#This Row],[Model]],表格3[Model-Input-Ref2],表格3[TOSHIBA/HIGHEST])</f>
        <v>Toshiba SRP</v>
      </c>
      <c r="V1317" s="86" t="s">
        <v>908</v>
      </c>
      <c r="W1317" s="86" t="str">
        <f>_xlfn.CONCAT(表格1[[#This Row],[欄4]],表格1[[#This Row],[inv no]])</f>
        <v>DA138S056-25503</v>
      </c>
    </row>
    <row r="1318" spans="1:23" hidden="1">
      <c r="A1318" s="81">
        <v>1316</v>
      </c>
      <c r="B1318" s="81" t="s">
        <v>1417</v>
      </c>
      <c r="C1318" s="81" t="s">
        <v>1507</v>
      </c>
      <c r="D1318" s="82" t="str">
        <f ca="1">OFFSET(Roster!$A$3,MATCH(表格1[[#This Row],[Location]]&amp;" "&amp;表格1[[#This Row],[Shop]]&amp;"*",Roster!$A$4:$A$72,0),DAY(表格1[[#This Row],[date]]),1,1)</f>
        <v>Mui Chan_1</v>
      </c>
      <c r="E1318" s="81">
        <f>MONTH(表格1[[#This Row],[date]])</f>
        <v>3</v>
      </c>
      <c r="F1318" s="90">
        <v>46098</v>
      </c>
      <c r="G1318" s="81" t="str">
        <f>VLOOKUP("*"&amp;表格1[[#This Row],[Input]]&amp;"*",'Ref-List'!$B:$D,2,)</f>
        <v>MX2-TT20SC(WH)</v>
      </c>
      <c r="H1318" s="81" t="str">
        <f>_xlfn.XLOOKUP(表格1[[#This Row],[Model]],表格3[Model-Input-Ref2],表格3[Product Line])</f>
        <v>3合1 微波蒸焗爐 (20公升)</v>
      </c>
      <c r="I1318" s="81" t="str">
        <f>_xlfn.XLOOKUP(表格1[[#This Row],[Model]],表格3[Model-Input-Ref2],表格3[大小電])</f>
        <v>細電</v>
      </c>
      <c r="J1318" s="81" t="str">
        <f>_xlfn.XLOOKUP(表格1[[#This Row],[Model]],表格3[Model-Input-Ref2],表格3[Code])</f>
        <v>MCA</v>
      </c>
      <c r="K1318" s="89" t="s">
        <v>1287</v>
      </c>
      <c r="L1318" s="81">
        <v>1</v>
      </c>
      <c r="M1318" s="87">
        <v>2600</v>
      </c>
      <c r="N1318" s="85">
        <f>IFERROR(表格1[[#This Row],[QTY]]*表格1[[#This Row],[Unit Price]],"-")</f>
        <v>2600</v>
      </c>
      <c r="O1318" s="86" t="s">
        <v>1538</v>
      </c>
      <c r="R1318" s="86" t="str">
        <f>_xlfn.CONCAT(表格1[[#This Row],[Model]]," ",表格1[[#This Row],[inv no]])</f>
        <v>MX2-TT20SC(WH) S056-25503</v>
      </c>
      <c r="S1318" s="86">
        <f>_xlfn.XLOOKUP(表格1[[#This Row],[Model]],表格3[Model-Input-Ref2],表格3[SRP PRICE])</f>
        <v>3580</v>
      </c>
      <c r="T1318" s="43">
        <f>表格1[[#This Row],[Unit Price]]/表格1[[#This Row],[SRP]]</f>
        <v>0.72625698324022347</v>
      </c>
      <c r="U1318" s="86" t="str">
        <f>_xlfn.XLOOKUP(表格1[[#This Row],[Model]],表格3[Model-Input-Ref2],表格3[TOSHIBA/HIGHEST])</f>
        <v>Toshiba SRP</v>
      </c>
      <c r="V1318" s="86" t="s">
        <v>908</v>
      </c>
      <c r="W1318" s="86" t="str">
        <f>_xlfn.CONCAT(表格1[[#This Row],[欄4]],表格1[[#This Row],[inv no]])</f>
        <v>DA138S056-25503</v>
      </c>
    </row>
    <row r="1319" spans="1:23" hidden="1">
      <c r="A1319" s="81">
        <v>1317</v>
      </c>
      <c r="B1319" s="81" t="s">
        <v>1417</v>
      </c>
      <c r="C1319" s="81" t="s">
        <v>1507</v>
      </c>
      <c r="D1319" s="82" t="str">
        <f ca="1">OFFSET(Roster!$A$3,MATCH(表格1[[#This Row],[Location]]&amp;" "&amp;表格1[[#This Row],[Shop]]&amp;"*",Roster!$A$4:$A$72,0),DAY(表格1[[#This Row],[date]]),1,1)</f>
        <v>Mui Chan_1</v>
      </c>
      <c r="E1319" s="81">
        <f>MONTH(表格1[[#This Row],[date]])</f>
        <v>3</v>
      </c>
      <c r="F1319" s="90">
        <v>46098</v>
      </c>
      <c r="G1319" s="81" t="str">
        <f>VLOOKUP("*"&amp;表格1[[#This Row],[Input]]&amp;"*",'Ref-List'!$B:$D,2,)</f>
        <v>RC-10AMXH(W)</v>
      </c>
      <c r="H1319" s="81" t="str">
        <f>_xlfn.XLOOKUP(表格1[[#This Row],[Model]],表格3[Model-Input-Ref2],表格3[Product Line])</f>
        <v>酵活炊電飯煲(1.0公升)</v>
      </c>
      <c r="I1319" s="81" t="str">
        <f>_xlfn.XLOOKUP(表格1[[#This Row],[Model]],表格3[Model-Input-Ref2],表格3[大小電])</f>
        <v>細電</v>
      </c>
      <c r="J1319" s="81" t="str">
        <f>_xlfn.XLOOKUP(表格1[[#This Row],[Model]],表格3[Model-Input-Ref2],表格3[Code])</f>
        <v>SDA</v>
      </c>
      <c r="K1319" s="89" t="s">
        <v>1279</v>
      </c>
      <c r="L1319" s="81">
        <v>1</v>
      </c>
      <c r="M1319" s="87">
        <v>1000</v>
      </c>
      <c r="N1319" s="85">
        <f>IFERROR(表格1[[#This Row],[QTY]]*表格1[[#This Row],[Unit Price]],"-")</f>
        <v>1000</v>
      </c>
      <c r="O1319" s="86" t="s">
        <v>1538</v>
      </c>
      <c r="R1319" s="86" t="str">
        <f>_xlfn.CONCAT(表格1[[#This Row],[Model]]," ",表格1[[#This Row],[inv no]])</f>
        <v>RC-10AMXH(W) S056-25503</v>
      </c>
      <c r="S1319" s="86">
        <f>_xlfn.XLOOKUP(表格1[[#This Row],[Model]],表格3[Model-Input-Ref2],表格3[SRP PRICE])</f>
        <v>1288</v>
      </c>
      <c r="T1319" s="43">
        <f>表格1[[#This Row],[Unit Price]]/表格1[[#This Row],[SRP]]</f>
        <v>0.77639751552795033</v>
      </c>
      <c r="U1319" s="86" t="str">
        <f>_xlfn.XLOOKUP(表格1[[#This Row],[Model]],表格3[Model-Input-Ref2],表格3[TOSHIBA/HIGHEST])</f>
        <v>Toshiba SRP</v>
      </c>
      <c r="V1319" s="86" t="s">
        <v>908</v>
      </c>
      <c r="W1319" s="86" t="str">
        <f>_xlfn.CONCAT(表格1[[#This Row],[欄4]],表格1[[#This Row],[inv no]])</f>
        <v>DA138S056-25503</v>
      </c>
    </row>
    <row r="1320" spans="1:23" hidden="1">
      <c r="A1320" s="81">
        <v>1318</v>
      </c>
      <c r="B1320" s="81" t="s">
        <v>1417</v>
      </c>
      <c r="C1320" s="81" t="s">
        <v>1507</v>
      </c>
      <c r="D1320" s="82" t="str">
        <f ca="1">OFFSET(Roster!$A$3,MATCH(表格1[[#This Row],[Location]]&amp;" "&amp;表格1[[#This Row],[Shop]]&amp;"*",Roster!$A$4:$A$72,0),DAY(表格1[[#This Row],[date]]),1,1)</f>
        <v>Mui Chan_1</v>
      </c>
      <c r="E1320" s="81">
        <f>MONTH(表格1[[#This Row],[date]])</f>
        <v>3</v>
      </c>
      <c r="F1320" s="90">
        <v>46098</v>
      </c>
      <c r="G1320" s="81" t="str">
        <f>VLOOKUP("*"&amp;表格1[[#This Row],[Input]]&amp;"*",'Ref-List'!$B:$D,2,)</f>
        <v>F-LYA20(W)HKG</v>
      </c>
      <c r="H1320" s="81" t="str">
        <f>_xlfn.XLOOKUP(表格1[[#This Row],[Model]],表格3[Model-Input-Ref2],表格3[Product Line])</f>
        <v>12吋2合1座地座檯電風扇連遙控</v>
      </c>
      <c r="I1320" s="81" t="str">
        <f>_xlfn.XLOOKUP(表格1[[#This Row],[Model]],表格3[Model-Input-Ref2],表格3[大小電])</f>
        <v>細電</v>
      </c>
      <c r="J1320" s="81" t="str">
        <f>_xlfn.XLOOKUP(表格1[[#This Row],[Model]],表格3[Model-Input-Ref2],表格3[Code])</f>
        <v>EAD</v>
      </c>
      <c r="K1320" s="89" t="s">
        <v>1391</v>
      </c>
      <c r="L1320" s="81">
        <v>1</v>
      </c>
      <c r="M1320" s="87">
        <v>400</v>
      </c>
      <c r="N1320" s="85">
        <f>IFERROR(表格1[[#This Row],[QTY]]*表格1[[#This Row],[Unit Price]],"-")</f>
        <v>400</v>
      </c>
      <c r="O1320" s="86" t="s">
        <v>1539</v>
      </c>
      <c r="R1320" s="86" t="str">
        <f>_xlfn.CONCAT(表格1[[#This Row],[Model]]," ",表格1[[#This Row],[inv no]])</f>
        <v>F-LYA20(W)HKG S056-25505</v>
      </c>
      <c r="S1320" s="86">
        <f>_xlfn.XLOOKUP(表格1[[#This Row],[Model]],表格3[Model-Input-Ref2],表格3[SRP PRICE])</f>
        <v>988</v>
      </c>
      <c r="T1320" s="43">
        <f>表格1[[#This Row],[Unit Price]]/表格1[[#This Row],[SRP]]</f>
        <v>0.40485829959514169</v>
      </c>
      <c r="U1320" s="86" t="str">
        <f>_xlfn.XLOOKUP(表格1[[#This Row],[Model]],表格3[Model-Input-Ref2],表格3[TOSHIBA/HIGHEST])</f>
        <v>Toshiba SRP</v>
      </c>
      <c r="V1320" s="86" t="s">
        <v>908</v>
      </c>
      <c r="W1320" s="86" t="str">
        <f>_xlfn.CONCAT(表格1[[#This Row],[欄4]],表格1[[#This Row],[inv no]])</f>
        <v>DA138S056-25505</v>
      </c>
    </row>
    <row r="1321" spans="1:23" hidden="1">
      <c r="A1321" s="81">
        <v>1319</v>
      </c>
      <c r="B1321" s="81" t="s">
        <v>1417</v>
      </c>
      <c r="C1321" s="81" t="s">
        <v>1507</v>
      </c>
      <c r="D1321" s="82" t="str">
        <f ca="1">OFFSET(Roster!$A$3,MATCH(表格1[[#This Row],[Location]]&amp;" "&amp;表格1[[#This Row],[Shop]]&amp;"*",Roster!$A$4:$A$72,0),DAY(表格1[[#This Row],[date]]),1,1)</f>
        <v>Mui Chan_1</v>
      </c>
      <c r="E1321" s="81">
        <f>MONTH(表格1[[#This Row],[date]])</f>
        <v>3</v>
      </c>
      <c r="F1321" s="90">
        <v>46099</v>
      </c>
      <c r="G1321" s="81" t="str">
        <f>VLOOKUP("*"&amp;表格1[[#This Row],[Input]]&amp;"*",'Ref-List'!$B:$D,2,)</f>
        <v>RC-DR10T(R)</v>
      </c>
      <c r="H1321" s="81" t="str">
        <f>_xlfn.XLOOKUP(表格1[[#This Row],[Model]],表格3[Model-Input-Ref2],表格3[Product Line])</f>
        <v>IH磁應電飯煲</v>
      </c>
      <c r="I1321" s="81" t="str">
        <f>_xlfn.XLOOKUP(表格1[[#This Row],[Model]],表格3[Model-Input-Ref2],表格3[大小電])</f>
        <v>細電</v>
      </c>
      <c r="J1321" s="81" t="str">
        <f>_xlfn.XLOOKUP(表格1[[#This Row],[Model]],表格3[Model-Input-Ref2],表格3[Code])</f>
        <v>SDA</v>
      </c>
      <c r="K1321" s="89" t="s">
        <v>1296</v>
      </c>
      <c r="L1321" s="81">
        <v>1</v>
      </c>
      <c r="M1321" s="87">
        <v>2380</v>
      </c>
      <c r="N1321" s="85">
        <f>IFERROR(表格1[[#This Row],[QTY]]*表格1[[#This Row],[Unit Price]],"-")</f>
        <v>2380</v>
      </c>
      <c r="O1321" s="86" t="s">
        <v>1540</v>
      </c>
      <c r="R1321" s="86" t="str">
        <f>_xlfn.CONCAT(表格1[[#This Row],[Model]]," ",表格1[[#This Row],[inv no]])</f>
        <v>RC-DR10T(R) S053-2454</v>
      </c>
      <c r="S1321" s="86">
        <f>_xlfn.XLOOKUP(表格1[[#This Row],[Model]],表格3[Model-Input-Ref2],表格3[SRP PRICE])</f>
        <v>3188</v>
      </c>
      <c r="T1321" s="43">
        <f>表格1[[#This Row],[Unit Price]]/表格1[[#This Row],[SRP]]</f>
        <v>0.74654956085319946</v>
      </c>
      <c r="U1321" s="86" t="str">
        <f>_xlfn.XLOOKUP(表格1[[#This Row],[Model]],表格3[Model-Input-Ref2],表格3[TOSHIBA/HIGHEST])</f>
        <v>Toshiba SRP</v>
      </c>
      <c r="V1321" s="86" t="s">
        <v>908</v>
      </c>
      <c r="W1321" s="86" t="str">
        <f>_xlfn.CONCAT(表格1[[#This Row],[欄4]],表格1[[#This Row],[inv no]])</f>
        <v>DA138S053-2454</v>
      </c>
    </row>
    <row r="1322" spans="1:23" hidden="1">
      <c r="A1322" s="81">
        <v>1320</v>
      </c>
      <c r="B1322" s="81" t="s">
        <v>1417</v>
      </c>
      <c r="C1322" s="81" t="s">
        <v>1507</v>
      </c>
      <c r="D1322" s="82" t="str">
        <f ca="1">OFFSET(Roster!$A$3,MATCH(表格1[[#This Row],[Location]]&amp;" "&amp;表格1[[#This Row],[Shop]]&amp;"*",Roster!$A$4:$A$72,0),DAY(表格1[[#This Row],[date]]),1,1)</f>
        <v>Mui Chan_1</v>
      </c>
      <c r="E1322" s="81">
        <f>MONTH(表格1[[#This Row],[date]])</f>
        <v>3</v>
      </c>
      <c r="F1322" s="90">
        <v>46099</v>
      </c>
      <c r="G1322" s="81" t="str">
        <f>VLOOKUP("*"&amp;表格1[[#This Row],[Input]]&amp;"*",'Ref-List'!$B:$D,2,)</f>
        <v>RAD-D300H</v>
      </c>
      <c r="H1322" s="81" t="str">
        <f>_xlfn.XLOOKUP(表格1[[#This Row],[Model]],表格3[Model-Input-Ref2],表格3[Product Line])</f>
        <v>壓縮式抽濕機 (30公升)</v>
      </c>
      <c r="I1322" s="81" t="str">
        <f>_xlfn.XLOOKUP(表格1[[#This Row],[Model]],表格3[Model-Input-Ref2],表格3[大小電])</f>
        <v>細電</v>
      </c>
      <c r="J1322" s="81" t="str">
        <f>_xlfn.XLOOKUP(表格1[[#This Row],[Model]],表格3[Model-Input-Ref2],表格3[Code])</f>
        <v>RAC</v>
      </c>
      <c r="K1322" s="89" t="s">
        <v>1252</v>
      </c>
      <c r="L1322" s="81">
        <v>1</v>
      </c>
      <c r="M1322" s="87">
        <v>2280</v>
      </c>
      <c r="N1322" s="85">
        <f>IFERROR(表格1[[#This Row],[QTY]]*表格1[[#This Row],[Unit Price]],"-")</f>
        <v>2280</v>
      </c>
      <c r="O1322" s="142" t="s">
        <v>1541</v>
      </c>
      <c r="R1322" s="86" t="str">
        <f>_xlfn.CONCAT(表格1[[#This Row],[Model]]," ",表格1[[#This Row],[inv no]])</f>
        <v>RAD-D300H S056-25533</v>
      </c>
      <c r="S1322" s="86">
        <f>_xlfn.XLOOKUP(表格1[[#This Row],[Model]],表格3[Model-Input-Ref2],表格3[SRP PRICE])</f>
        <v>3380</v>
      </c>
      <c r="T1322" s="43">
        <f>表格1[[#This Row],[Unit Price]]/表格1[[#This Row],[SRP]]</f>
        <v>0.67455621301775148</v>
      </c>
      <c r="U1322" s="86" t="str">
        <f>_xlfn.XLOOKUP(表格1[[#This Row],[Model]],表格3[Model-Input-Ref2],表格3[TOSHIBA/HIGHEST])</f>
        <v>Shops Highest Price</v>
      </c>
      <c r="V1322" s="86" t="s">
        <v>908</v>
      </c>
      <c r="W1322" s="86" t="str">
        <f>_xlfn.CONCAT(表格1[[#This Row],[欄4]],表格1[[#This Row],[inv no]])</f>
        <v>DA138S056-25533</v>
      </c>
    </row>
    <row r="1323" spans="1:23" hidden="1">
      <c r="A1323" s="81">
        <v>1321</v>
      </c>
      <c r="B1323" s="81" t="s">
        <v>1417</v>
      </c>
      <c r="C1323" s="81" t="s">
        <v>1507</v>
      </c>
      <c r="D1323" s="82" t="str">
        <f ca="1">OFFSET(Roster!$A$3,MATCH(表格1[[#This Row],[Location]]&amp;" "&amp;表格1[[#This Row],[Shop]]&amp;"*",Roster!$A$4:$A$72,0),DAY(表格1[[#This Row],[date]]),1,1)</f>
        <v>Mui Chan_1</v>
      </c>
      <c r="E1323" s="81">
        <f>MONTH(表格1[[#This Row],[date]])</f>
        <v>3</v>
      </c>
      <c r="F1323" s="90">
        <v>46099</v>
      </c>
      <c r="G1323" s="81" t="str">
        <f>VLOOKUP("*"&amp;表格1[[#This Row],[Input]]&amp;"*",'Ref-List'!$B:$D,2,)</f>
        <v>TW-T21BU80UWH(MG)</v>
      </c>
      <c r="H1323" s="81" t="str">
        <f>_xlfn.XLOOKUP(表格1[[#This Row],[Model]],表格3[Model-Input-Ref2],表格3[Product Line])</f>
        <v>400MM超薄身前置式變頻洗衣機(7公斤)</v>
      </c>
      <c r="I1323" s="81" t="str">
        <f>_xlfn.XLOOKUP(表格1[[#This Row],[Model]],表格3[Model-Input-Ref2],表格3[大小電])</f>
        <v>大電</v>
      </c>
      <c r="J1323" s="81" t="str">
        <f>_xlfn.XLOOKUP(表格1[[#This Row],[Model]],表格3[Model-Input-Ref2],表格3[Code])</f>
        <v>LAD</v>
      </c>
      <c r="K1323" s="89" t="s">
        <v>1280</v>
      </c>
      <c r="L1323" s="81">
        <v>1</v>
      </c>
      <c r="M1323" s="87">
        <v>3180</v>
      </c>
      <c r="N1323" s="85">
        <f>IFERROR(表格1[[#This Row],[QTY]]*表格1[[#This Row],[Unit Price]],"-")</f>
        <v>3180</v>
      </c>
      <c r="O1323" s="86" t="s">
        <v>1542</v>
      </c>
      <c r="R1323" s="86" t="str">
        <f>_xlfn.CONCAT(表格1[[#This Row],[Model]]," ",表格1[[#This Row],[inv no]])</f>
        <v>TW-T21BU80UWH(MG) S053-2459</v>
      </c>
      <c r="S1323" s="86">
        <f>_xlfn.XLOOKUP(表格1[[#This Row],[Model]],表格3[Model-Input-Ref2],表格3[SRP PRICE])</f>
        <v>5180</v>
      </c>
      <c r="T1323" s="43">
        <f>表格1[[#This Row],[Unit Price]]/表格1[[#This Row],[SRP]]</f>
        <v>0.61389961389961389</v>
      </c>
      <c r="U1323" s="86" t="str">
        <f>_xlfn.XLOOKUP(表格1[[#This Row],[Model]],表格3[Model-Input-Ref2],表格3[TOSHIBA/HIGHEST])</f>
        <v>Toshiba SRP</v>
      </c>
      <c r="V1323" s="86" t="s">
        <v>908</v>
      </c>
      <c r="W1323" s="86" t="str">
        <f>_xlfn.CONCAT(表格1[[#This Row],[欄4]],表格1[[#This Row],[inv no]])</f>
        <v>DA138S053-2459</v>
      </c>
    </row>
    <row r="1324" spans="1:23" hidden="1">
      <c r="A1324" s="81">
        <v>1322</v>
      </c>
      <c r="B1324" s="81" t="s">
        <v>1417</v>
      </c>
      <c r="C1324" s="81" t="s">
        <v>1507</v>
      </c>
      <c r="D1324" s="82" t="str">
        <f ca="1">OFFSET(Roster!$A$3,MATCH(表格1[[#This Row],[Location]]&amp;" "&amp;表格1[[#This Row],[Shop]]&amp;"*",Roster!$A$4:$A$72,0),DAY(表格1[[#This Row],[date]]),1,1)</f>
        <v>Mui Chan_1</v>
      </c>
      <c r="E1324" s="81">
        <f>MONTH(表格1[[#This Row],[date]])</f>
        <v>3</v>
      </c>
      <c r="F1324" s="90">
        <v>46099</v>
      </c>
      <c r="G1324" s="81" t="str">
        <f>VLOOKUP("*"&amp;表格1[[#This Row],[Input]]&amp;"*",'Ref-List'!$B:$D,2,)</f>
        <v>RC-18NMFIH(WT)</v>
      </c>
      <c r="H1324" s="81" t="str">
        <f>_xlfn.XLOOKUP(表格1[[#This Row],[Model]],表格3[Model-Input-Ref2],表格3[Product Line])</f>
        <v>4毫米厚釜電飯煲1.8L</v>
      </c>
      <c r="I1324" s="81" t="str">
        <f>_xlfn.XLOOKUP(表格1[[#This Row],[Model]],表格3[Model-Input-Ref2],表格3[大小電])</f>
        <v>細電</v>
      </c>
      <c r="J1324" s="81" t="str">
        <f>_xlfn.XLOOKUP(表格1[[#This Row],[Model]],表格3[Model-Input-Ref2],表格3[Code])</f>
        <v>SDA</v>
      </c>
      <c r="K1324" s="89" t="s">
        <v>1267</v>
      </c>
      <c r="L1324" s="81">
        <v>1</v>
      </c>
      <c r="M1324" s="87">
        <v>798</v>
      </c>
      <c r="N1324" s="85">
        <f>IFERROR(表格1[[#This Row],[QTY]]*表格1[[#This Row],[Unit Price]],"-")</f>
        <v>798</v>
      </c>
      <c r="O1324" s="142" t="s">
        <v>1543</v>
      </c>
      <c r="R1324" s="86" t="str">
        <f>_xlfn.CONCAT(表格1[[#This Row],[Model]]," ",表格1[[#This Row],[inv no]])</f>
        <v>RC-18NMFIH(WT) S055-10638</v>
      </c>
      <c r="S1324" s="86">
        <f>_xlfn.XLOOKUP(表格1[[#This Row],[Model]],表格3[Model-Input-Ref2],表格3[SRP PRICE])</f>
        <v>998</v>
      </c>
      <c r="T1324" s="43">
        <f>表格1[[#This Row],[Unit Price]]/表格1[[#This Row],[SRP]]</f>
        <v>0.79959919839679361</v>
      </c>
      <c r="U1324" s="86" t="str">
        <f>_xlfn.XLOOKUP(表格1[[#This Row],[Model]],表格3[Model-Input-Ref2],表格3[TOSHIBA/HIGHEST])</f>
        <v>Toshiba SRP</v>
      </c>
      <c r="V1324" s="86" t="s">
        <v>908</v>
      </c>
      <c r="W1324" s="86" t="str">
        <f>_xlfn.CONCAT(表格1[[#This Row],[欄4]],表格1[[#This Row],[inv no]])</f>
        <v>DA138S055-10638</v>
      </c>
    </row>
    <row r="1325" spans="1:23" hidden="1">
      <c r="A1325" s="81">
        <v>1323</v>
      </c>
      <c r="B1325" s="81" t="s">
        <v>1417</v>
      </c>
      <c r="C1325" s="81" t="s">
        <v>1507</v>
      </c>
      <c r="D1325" s="82" t="str">
        <f ca="1">OFFSET(Roster!$A$3,MATCH(表格1[[#This Row],[Location]]&amp;" "&amp;表格1[[#This Row],[Shop]]&amp;"*",Roster!$A$4:$A$72,0),DAY(表格1[[#This Row],[date]]),1,1)</f>
        <v>Mui Chan_1</v>
      </c>
      <c r="E1325" s="81">
        <f>MONTH(表格1[[#This Row],[date]])</f>
        <v>3</v>
      </c>
      <c r="F1325" s="90">
        <v>46099</v>
      </c>
      <c r="G1325" s="81" t="str">
        <f>VLOOKUP("*"&amp;表格1[[#This Row],[Input]]&amp;"*",'Ref-List'!$B:$D,2,)</f>
        <v>ER-TD5000HK(XK)</v>
      </c>
      <c r="H1325" s="81" t="str">
        <f>_xlfn.XLOOKUP(表格1[[#This Row],[Model]],表格3[Model-Input-Ref2],表格3[Product Line])</f>
        <v>座檯式純蒸氣烤焗水波爐30L</v>
      </c>
      <c r="I1325" s="81" t="str">
        <f>_xlfn.XLOOKUP(表格1[[#This Row],[Model]],表格3[Model-Input-Ref2],表格3[大小電])</f>
        <v>細電</v>
      </c>
      <c r="J1325" s="81" t="str">
        <f>_xlfn.XLOOKUP(表格1[[#This Row],[Model]],表格3[Model-Input-Ref2],表格3[Code])</f>
        <v>SDA</v>
      </c>
      <c r="K1325" s="89" t="s">
        <v>1205</v>
      </c>
      <c r="L1325" s="81">
        <v>1</v>
      </c>
      <c r="M1325" s="87">
        <v>5000</v>
      </c>
      <c r="N1325" s="85">
        <f>IFERROR(表格1[[#This Row],[QTY]]*表格1[[#This Row],[Unit Price]],"-")</f>
        <v>5000</v>
      </c>
      <c r="O1325" s="86" t="s">
        <v>1544</v>
      </c>
      <c r="R1325" s="86" t="str">
        <f>_xlfn.CONCAT(表格1[[#This Row],[Model]]," ",表格1[[#This Row],[inv no]])</f>
        <v>ER-TD5000HK(XK) S056-25550</v>
      </c>
      <c r="S1325" s="86">
        <f>_xlfn.XLOOKUP(表格1[[#This Row],[Model]],表格3[Model-Input-Ref2],表格3[SRP PRICE])</f>
        <v>7998</v>
      </c>
      <c r="T1325" s="43">
        <f>表格1[[#This Row],[Unit Price]]/表格1[[#This Row],[SRP]]</f>
        <v>0.62515628907226806</v>
      </c>
      <c r="U1325" s="86" t="str">
        <f>_xlfn.XLOOKUP(表格1[[#This Row],[Model]],表格3[Model-Input-Ref2],表格3[TOSHIBA/HIGHEST])</f>
        <v>Toshiba SRP</v>
      </c>
      <c r="V1325" s="86" t="s">
        <v>908</v>
      </c>
      <c r="W1325" s="86" t="str">
        <f>_xlfn.CONCAT(表格1[[#This Row],[欄4]],表格1[[#This Row],[inv no]])</f>
        <v>DA138S056-25550</v>
      </c>
    </row>
    <row r="1326" spans="1:23" hidden="1">
      <c r="A1326" s="81">
        <v>1324</v>
      </c>
      <c r="B1326" s="81" t="s">
        <v>1417</v>
      </c>
      <c r="C1326" s="81" t="s">
        <v>1507</v>
      </c>
      <c r="D1326" s="82" t="str">
        <f ca="1">OFFSET(Roster!$A$3,MATCH(表格1[[#This Row],[Location]]&amp;" "&amp;表格1[[#This Row],[Shop]]&amp;"*",Roster!$A$4:$A$72,0),DAY(表格1[[#This Row],[date]]),1,1)</f>
        <v>Mui Chan_1</v>
      </c>
      <c r="E1326" s="81">
        <f>MONTH(表格1[[#This Row],[date]])</f>
        <v>3</v>
      </c>
      <c r="F1326" s="90">
        <v>46100</v>
      </c>
      <c r="G1326" s="81" t="str">
        <f>VLOOKUP("*"&amp;表格1[[#This Row],[Input]]&amp;"*",'Ref-List'!$B:$D,2,)</f>
        <v>GR-RB449WE-PMA(57)</v>
      </c>
      <c r="H1326" s="81" t="str">
        <f>_xlfn.XLOOKUP(表格1[[#This Row],[Model]],表格3[Model-Input-Ref2],表格3[Product Line])</f>
        <v>變頻下置式雙門雪櫃</v>
      </c>
      <c r="I1326" s="81" t="str">
        <f>_xlfn.XLOOKUP(表格1[[#This Row],[Model]],表格3[Model-Input-Ref2],表格3[大小電])</f>
        <v>大電</v>
      </c>
      <c r="J1326" s="81" t="str">
        <f>_xlfn.XLOOKUP(表格1[[#This Row],[Model]],表格3[Model-Input-Ref2],表格3[Code])</f>
        <v>REF</v>
      </c>
      <c r="K1326" s="89" t="s">
        <v>1484</v>
      </c>
      <c r="L1326" s="81">
        <v>1</v>
      </c>
      <c r="M1326" s="87">
        <v>4880</v>
      </c>
      <c r="N1326" s="85">
        <f>IFERROR(表格1[[#This Row],[QTY]]*表格1[[#This Row],[Unit Price]],"-")</f>
        <v>4880</v>
      </c>
      <c r="O1326" s="86" t="s">
        <v>1545</v>
      </c>
      <c r="R1326" s="86" t="str">
        <f>_xlfn.CONCAT(表格1[[#This Row],[Model]]," ",表格1[[#This Row],[inv no]])</f>
        <v>GR-RB449WE-PMA(57) S053-2475</v>
      </c>
      <c r="S1326" s="86">
        <f>_xlfn.XLOOKUP(表格1[[#This Row],[Model]],表格3[Model-Input-Ref2],表格3[SRP PRICE])</f>
        <v>6280</v>
      </c>
      <c r="T1326" s="43">
        <f>表格1[[#This Row],[Unit Price]]/表格1[[#This Row],[SRP]]</f>
        <v>0.77707006369426757</v>
      </c>
      <c r="U1326" s="86" t="str">
        <f>_xlfn.XLOOKUP(表格1[[#This Row],[Model]],表格3[Model-Input-Ref2],表格3[TOSHIBA/HIGHEST])</f>
        <v>Toshiba SRP</v>
      </c>
      <c r="V1326" s="86" t="s">
        <v>908</v>
      </c>
      <c r="W1326" s="86" t="str">
        <f>_xlfn.CONCAT(表格1[[#This Row],[欄4]],表格1[[#This Row],[inv no]])</f>
        <v>DA138S053-2475</v>
      </c>
    </row>
    <row r="1327" spans="1:23" hidden="1">
      <c r="A1327" s="81">
        <v>1325</v>
      </c>
      <c r="B1327" s="81" t="s">
        <v>1417</v>
      </c>
      <c r="C1327" s="81" t="s">
        <v>1507</v>
      </c>
      <c r="D1327" s="82" t="str">
        <f ca="1">OFFSET(Roster!$A$3,MATCH(表格1[[#This Row],[Location]]&amp;" "&amp;表格1[[#This Row],[Shop]]&amp;"*",Roster!$A$4:$A$72,0),DAY(表格1[[#This Row],[date]]),1,1)</f>
        <v>Mui Chan_1</v>
      </c>
      <c r="E1327" s="81">
        <f>MONTH(表格1[[#This Row],[date]])</f>
        <v>3</v>
      </c>
      <c r="F1327" s="90">
        <v>46100</v>
      </c>
      <c r="G1327" s="81" t="str">
        <f>VLOOKUP("*"&amp;表格1[[#This Row],[Input]]&amp;"*",'Ref-List'!$B:$D,2,)</f>
        <v>GR-RB360WE-PMA(06)</v>
      </c>
      <c r="H1327" s="81" t="str">
        <f>_xlfn.XLOOKUP(表格1[[#This Row],[Model]],表格3[Model-Input-Ref2],表格3[Product Line])</f>
        <v>變頻下置式雙門雪櫃系列270L</v>
      </c>
      <c r="I1327" s="81" t="str">
        <f>_xlfn.XLOOKUP(表格1[[#This Row],[Model]],表格3[Model-Input-Ref2],表格3[大小電])</f>
        <v>大電</v>
      </c>
      <c r="J1327" s="81" t="str">
        <f>_xlfn.XLOOKUP(表格1[[#This Row],[Model]],表格3[Model-Input-Ref2],表格3[Code])</f>
        <v>REF</v>
      </c>
      <c r="K1327" s="89" t="s">
        <v>1282</v>
      </c>
      <c r="L1327" s="81">
        <v>1</v>
      </c>
      <c r="M1327" s="87">
        <v>4000</v>
      </c>
      <c r="N1327" s="85">
        <f>IFERROR(表格1[[#This Row],[QTY]]*表格1[[#This Row],[Unit Price]],"-")</f>
        <v>4000</v>
      </c>
      <c r="O1327" s="86" t="s">
        <v>1546</v>
      </c>
      <c r="R1327" s="86" t="str">
        <f>_xlfn.CONCAT(表格1[[#This Row],[Model]]," ",表格1[[#This Row],[inv no]])</f>
        <v>GR-RB360WE-PMA(06) S056-25587</v>
      </c>
      <c r="S1327" s="86">
        <f>_xlfn.XLOOKUP(表格1[[#This Row],[Model]],表格3[Model-Input-Ref2],表格3[SRP PRICE])</f>
        <v>5080</v>
      </c>
      <c r="T1327" s="43">
        <f>表格1[[#This Row],[Unit Price]]/表格1[[#This Row],[SRP]]</f>
        <v>0.78740157480314965</v>
      </c>
      <c r="U1327" s="86" t="str">
        <f>_xlfn.XLOOKUP(表格1[[#This Row],[Model]],表格3[Model-Input-Ref2],表格3[TOSHIBA/HIGHEST])</f>
        <v>Toshiba SRP</v>
      </c>
      <c r="V1327" s="86" t="s">
        <v>908</v>
      </c>
      <c r="W1327" s="86" t="str">
        <f>_xlfn.CONCAT(表格1[[#This Row],[欄4]],表格1[[#This Row],[inv no]])</f>
        <v>DA138S056-25587</v>
      </c>
    </row>
    <row r="1328" spans="1:23" hidden="1">
      <c r="A1328" s="81">
        <v>1326</v>
      </c>
      <c r="B1328" s="81" t="s">
        <v>1417</v>
      </c>
      <c r="C1328" s="81" t="s">
        <v>1507</v>
      </c>
      <c r="D1328" s="82" t="str">
        <f ca="1">OFFSET(Roster!$A$3,MATCH(表格1[[#This Row],[Location]]&amp;" "&amp;表格1[[#This Row],[Shop]]&amp;"*",Roster!$A$4:$A$72,0),DAY(表格1[[#This Row],[date]]),1,1)</f>
        <v>Mui Chan_1</v>
      </c>
      <c r="E1328" s="81">
        <f>MONTH(表格1[[#This Row],[date]])</f>
        <v>3</v>
      </c>
      <c r="F1328" s="90">
        <v>46100</v>
      </c>
      <c r="G1328" s="81" t="str">
        <f>VLOOKUP("*"&amp;表格1[[#This Row],[Input]]&amp;"*",'Ref-List'!$B:$D,2,)</f>
        <v>DW-05T2-HK</v>
      </c>
      <c r="H1328" s="81" t="str">
        <f>_xlfn.XLOOKUP(表格1[[#This Row],[Model]],表格3[Model-Input-Ref2],表格3[Product Line])</f>
        <v>座檯式洗碗碟機</v>
      </c>
      <c r="I1328" s="81" t="str">
        <f>_xlfn.XLOOKUP(表格1[[#This Row],[Model]],表格3[Model-Input-Ref2],表格3[大小電])</f>
        <v>細電</v>
      </c>
      <c r="J1328" s="81" t="str">
        <f>_xlfn.XLOOKUP(表格1[[#This Row],[Model]],表格3[Model-Input-Ref2],表格3[Code])</f>
        <v>DW</v>
      </c>
      <c r="K1328" s="89" t="s">
        <v>1475</v>
      </c>
      <c r="L1328" s="81">
        <v>1</v>
      </c>
      <c r="M1328" s="87">
        <v>4000</v>
      </c>
      <c r="N1328" s="85">
        <f>IFERROR(表格1[[#This Row],[QTY]]*表格1[[#This Row],[Unit Price]],"-")</f>
        <v>4000</v>
      </c>
      <c r="O1328" s="86" t="s">
        <v>1547</v>
      </c>
      <c r="R1328" s="86" t="str">
        <f>_xlfn.CONCAT(表格1[[#This Row],[Model]]," ",表格1[[#This Row],[inv no]])</f>
        <v>DW-05T2-HK S055-10670</v>
      </c>
      <c r="S1328" s="86">
        <f>_xlfn.XLOOKUP(表格1[[#This Row],[Model]],表格3[Model-Input-Ref2],表格3[SRP PRICE])</f>
        <v>4580</v>
      </c>
      <c r="T1328" s="43">
        <f>表格1[[#This Row],[Unit Price]]/表格1[[#This Row],[SRP]]</f>
        <v>0.8733624454148472</v>
      </c>
      <c r="U1328" s="86" t="str">
        <f>_xlfn.XLOOKUP(表格1[[#This Row],[Model]],表格3[Model-Input-Ref2],表格3[TOSHIBA/HIGHEST])</f>
        <v>Toshiba SRP</v>
      </c>
      <c r="V1328" s="86" t="s">
        <v>908</v>
      </c>
      <c r="W1328" s="86" t="str">
        <f>_xlfn.CONCAT(表格1[[#This Row],[欄4]],表格1[[#This Row],[inv no]])</f>
        <v>DA138S055-10670</v>
      </c>
    </row>
    <row r="1329" spans="1:23" hidden="1">
      <c r="A1329" s="81">
        <v>1327</v>
      </c>
      <c r="B1329" s="81" t="s">
        <v>1417</v>
      </c>
      <c r="C1329" s="81" t="s">
        <v>1507</v>
      </c>
      <c r="D1329" s="82" t="str">
        <f ca="1">OFFSET(Roster!$A$3,MATCH(表格1[[#This Row],[Location]]&amp;" "&amp;表格1[[#This Row],[Shop]]&amp;"*",Roster!$A$4:$A$72,0),DAY(表格1[[#This Row],[date]]),1,1)</f>
        <v>Mui Chan_1</v>
      </c>
      <c r="E1329" s="81">
        <f>MONTH(表格1[[#This Row],[date]])</f>
        <v>3</v>
      </c>
      <c r="F1329" s="90">
        <v>46100</v>
      </c>
      <c r="G1329" s="81" t="str">
        <f>VLOOKUP("*"&amp;表格1[[#This Row],[Input]]&amp;"*",'Ref-List'!$B:$D,2,)</f>
        <v>TW-T21BU80UWH(MG)</v>
      </c>
      <c r="H1329" s="81" t="str">
        <f>_xlfn.XLOOKUP(表格1[[#This Row],[Model]],表格3[Model-Input-Ref2],表格3[Product Line])</f>
        <v>400MM超薄身前置式變頻洗衣機(7公斤)</v>
      </c>
      <c r="I1329" s="81" t="str">
        <f>_xlfn.XLOOKUP(表格1[[#This Row],[Model]],表格3[Model-Input-Ref2],表格3[大小電])</f>
        <v>大電</v>
      </c>
      <c r="J1329" s="81" t="str">
        <f>_xlfn.XLOOKUP(表格1[[#This Row],[Model]],表格3[Model-Input-Ref2],表格3[Code])</f>
        <v>LAD</v>
      </c>
      <c r="K1329" s="89" t="s">
        <v>1280</v>
      </c>
      <c r="L1329" s="81">
        <v>1</v>
      </c>
      <c r="M1329" s="87">
        <v>3180</v>
      </c>
      <c r="N1329" s="85">
        <f>IFERROR(表格1[[#This Row],[QTY]]*表格1[[#This Row],[Unit Price]],"-")</f>
        <v>3180</v>
      </c>
      <c r="O1329" s="86" t="s">
        <v>1548</v>
      </c>
      <c r="R1329" s="86" t="str">
        <f>_xlfn.CONCAT(表格1[[#This Row],[Model]]," ",表格1[[#This Row],[inv no]])</f>
        <v>TW-T21BU80UWH(MG) S056-25598</v>
      </c>
      <c r="S1329" s="86">
        <f>_xlfn.XLOOKUP(表格1[[#This Row],[Model]],表格3[Model-Input-Ref2],表格3[SRP PRICE])</f>
        <v>5180</v>
      </c>
      <c r="T1329" s="43">
        <f>表格1[[#This Row],[Unit Price]]/表格1[[#This Row],[SRP]]</f>
        <v>0.61389961389961389</v>
      </c>
      <c r="U1329" s="86" t="str">
        <f>_xlfn.XLOOKUP(表格1[[#This Row],[Model]],表格3[Model-Input-Ref2],表格3[TOSHIBA/HIGHEST])</f>
        <v>Toshiba SRP</v>
      </c>
      <c r="V1329" s="86" t="s">
        <v>908</v>
      </c>
      <c r="W1329" s="86" t="str">
        <f>_xlfn.CONCAT(表格1[[#This Row],[欄4]],表格1[[#This Row],[inv no]])</f>
        <v>DA138S056-25598</v>
      </c>
    </row>
    <row r="1330" spans="1:23" hidden="1">
      <c r="A1330" s="81">
        <v>1328</v>
      </c>
      <c r="B1330" s="81" t="s">
        <v>1417</v>
      </c>
      <c r="C1330" s="81" t="s">
        <v>1507</v>
      </c>
      <c r="D1330" s="82" t="str">
        <f ca="1">OFFSET(Roster!$A$3,MATCH(表格1[[#This Row],[Location]]&amp;" "&amp;表格1[[#This Row],[Shop]]&amp;"*",Roster!$A$4:$A$72,0),DAY(表格1[[#This Row],[date]]),1,1)</f>
        <v>Mui Chan_1 off</v>
      </c>
      <c r="E1330" s="81">
        <f>MONTH(表格1[[#This Row],[date]])</f>
        <v>3</v>
      </c>
      <c r="F1330" s="90">
        <v>46101</v>
      </c>
      <c r="G1330" s="81" t="str">
        <f>VLOOKUP("*"&amp;表格1[[#This Row],[Input]]&amp;"*",'Ref-List'!$B:$D,2,)</f>
        <v>KT-17DRTHK(H)</v>
      </c>
      <c r="H1330" s="81" t="str">
        <f>_xlfn.XLOOKUP(表格1[[#This Row],[Model]],表格3[Model-Input-Ref2],表格3[Product Line])</f>
        <v>無線雙層電熱水壺(1.7公升)</v>
      </c>
      <c r="I1330" s="81" t="str">
        <f>_xlfn.XLOOKUP(表格1[[#This Row],[Model]],表格3[Model-Input-Ref2],表格3[大小電])</f>
        <v>細電</v>
      </c>
      <c r="J1330" s="81" t="str">
        <f>_xlfn.XLOOKUP(表格1[[#This Row],[Model]],表格3[Model-Input-Ref2],表格3[Code])</f>
        <v>SDA</v>
      </c>
      <c r="K1330" s="89" t="s">
        <v>1271</v>
      </c>
      <c r="L1330" s="81">
        <v>1</v>
      </c>
      <c r="M1330" s="87">
        <v>388</v>
      </c>
      <c r="N1330" s="85">
        <f>IFERROR(表格1[[#This Row],[QTY]]*表格1[[#This Row],[Unit Price]],"-")</f>
        <v>388</v>
      </c>
      <c r="O1330" s="142" t="s">
        <v>1549</v>
      </c>
      <c r="R1330" s="86" t="str">
        <f>_xlfn.CONCAT(表格1[[#This Row],[Model]]," ",表格1[[#This Row],[inv no]])</f>
        <v>KT-17DRTHK(H) S056-25617</v>
      </c>
      <c r="S1330" s="86">
        <f>_xlfn.XLOOKUP(表格1[[#This Row],[Model]],表格3[Model-Input-Ref2],表格3[SRP PRICE])</f>
        <v>498</v>
      </c>
      <c r="T1330" s="43">
        <f>表格1[[#This Row],[Unit Price]]/表格1[[#This Row],[SRP]]</f>
        <v>0.77911646586345384</v>
      </c>
      <c r="U1330" s="86" t="str">
        <f>_xlfn.XLOOKUP(表格1[[#This Row],[Model]],表格3[Model-Input-Ref2],表格3[TOSHIBA/HIGHEST])</f>
        <v>Toshiba SRP</v>
      </c>
      <c r="V1330" s="86" t="s">
        <v>908</v>
      </c>
      <c r="W1330" s="86" t="str">
        <f>_xlfn.CONCAT(表格1[[#This Row],[欄4]],表格1[[#This Row],[inv no]])</f>
        <v>DA138S056-25617</v>
      </c>
    </row>
    <row r="1331" spans="1:23" hidden="1">
      <c r="A1331" s="81">
        <v>1329</v>
      </c>
      <c r="B1331" s="81" t="s">
        <v>1417</v>
      </c>
      <c r="C1331" s="81" t="s">
        <v>1507</v>
      </c>
      <c r="D1331" s="82" t="str">
        <f ca="1">OFFSET(Roster!$A$3,MATCH(表格1[[#This Row],[Location]]&amp;" "&amp;表格1[[#This Row],[Shop]]&amp;"*",Roster!$A$4:$A$72,0),DAY(表格1[[#This Row],[date]]),1,1)</f>
        <v>Mui Chan_1 off</v>
      </c>
      <c r="E1331" s="81">
        <f>MONTH(表格1[[#This Row],[date]])</f>
        <v>3</v>
      </c>
      <c r="F1331" s="90">
        <v>46101</v>
      </c>
      <c r="G1331" s="81" t="str">
        <f>VLOOKUP("*"&amp;表格1[[#This Row],[Input]]&amp;"*",'Ref-List'!$B:$D,2,)</f>
        <v>RC-18AMXH(W)</v>
      </c>
      <c r="H1331" s="81" t="str">
        <f>_xlfn.XLOOKUP(表格1[[#This Row],[Model]],表格3[Model-Input-Ref2],表格3[Product Line])</f>
        <v>酵活炊電飯煲(1.8公升)</v>
      </c>
      <c r="I1331" s="81" t="str">
        <f>_xlfn.XLOOKUP(表格1[[#This Row],[Model]],表格3[Model-Input-Ref2],表格3[大小電])</f>
        <v>細電</v>
      </c>
      <c r="J1331" s="81" t="str">
        <f>_xlfn.XLOOKUP(表格1[[#This Row],[Model]],表格3[Model-Input-Ref2],表格3[Code])</f>
        <v>SDA</v>
      </c>
      <c r="K1331" s="89" t="s">
        <v>1362</v>
      </c>
      <c r="L1331" s="81">
        <v>1</v>
      </c>
      <c r="M1331" s="87">
        <v>1100</v>
      </c>
      <c r="N1331" s="85">
        <f>IFERROR(表格1[[#This Row],[QTY]]*表格1[[#This Row],[Unit Price]],"-")</f>
        <v>1100</v>
      </c>
      <c r="O1331" s="86" t="s">
        <v>1549</v>
      </c>
      <c r="R1331" s="86" t="str">
        <f>_xlfn.CONCAT(表格1[[#This Row],[Model]]," ",表格1[[#This Row],[inv no]])</f>
        <v>RC-18AMXH(W) S056-25617</v>
      </c>
      <c r="S1331" s="86">
        <f>_xlfn.XLOOKUP(表格1[[#This Row],[Model]],表格3[Model-Input-Ref2],表格3[SRP PRICE])</f>
        <v>1588</v>
      </c>
      <c r="T1331" s="43">
        <f>表格1[[#This Row],[Unit Price]]/表格1[[#This Row],[SRP]]</f>
        <v>0.69269521410579349</v>
      </c>
      <c r="U1331" s="86" t="str">
        <f>_xlfn.XLOOKUP(表格1[[#This Row],[Model]],表格3[Model-Input-Ref2],表格3[TOSHIBA/HIGHEST])</f>
        <v>Toshiba SRP</v>
      </c>
      <c r="V1331" s="86" t="s">
        <v>908</v>
      </c>
      <c r="W1331" s="86" t="str">
        <f>_xlfn.CONCAT(表格1[[#This Row],[欄4]],表格1[[#This Row],[inv no]])</f>
        <v>DA138S056-25617</v>
      </c>
    </row>
    <row r="1332" spans="1:23" hidden="1">
      <c r="A1332" s="81">
        <v>1330</v>
      </c>
      <c r="B1332" s="81" t="s">
        <v>1417</v>
      </c>
      <c r="C1332" s="81" t="s">
        <v>1507</v>
      </c>
      <c r="D1332" s="82" t="str">
        <f ca="1">OFFSET(Roster!$A$3,MATCH(表格1[[#This Row],[Location]]&amp;" "&amp;表格1[[#This Row],[Shop]]&amp;"*",Roster!$A$4:$A$72,0),DAY(表格1[[#This Row],[date]]),1,1)</f>
        <v>Mui Chan_1 off</v>
      </c>
      <c r="E1332" s="81">
        <f>MONTH(表格1[[#This Row],[date]])</f>
        <v>3</v>
      </c>
      <c r="F1332" s="90">
        <v>46101</v>
      </c>
      <c r="G1332" s="81" t="str">
        <f>VLOOKUP("*"&amp;表格1[[#This Row],[Input]]&amp;"*",'Ref-List'!$B:$D,2,)</f>
        <v>RC-DS10K(R)</v>
      </c>
      <c r="H1332" s="81" t="str">
        <f>_xlfn.XLOOKUP(表格1[[#This Row],[Model]],表格3[Model-Input-Ref2],表格3[Product Line])</f>
        <v>IH磁應電飯煲</v>
      </c>
      <c r="I1332" s="81" t="str">
        <f>_xlfn.XLOOKUP(表格1[[#This Row],[Model]],表格3[Model-Input-Ref2],表格3[大小電])</f>
        <v>細電</v>
      </c>
      <c r="J1332" s="81" t="str">
        <f>_xlfn.XLOOKUP(表格1[[#This Row],[Model]],表格3[Model-Input-Ref2],表格3[Code])</f>
        <v>SDA</v>
      </c>
      <c r="K1332" s="89" t="s">
        <v>1424</v>
      </c>
      <c r="L1332" s="81">
        <v>1</v>
      </c>
      <c r="M1332" s="87">
        <v>2800</v>
      </c>
      <c r="N1332" s="85">
        <f>IFERROR(表格1[[#This Row],[QTY]]*表格1[[#This Row],[Unit Price]],"-")</f>
        <v>2800</v>
      </c>
      <c r="O1332" s="86" t="s">
        <v>1550</v>
      </c>
      <c r="R1332" s="86" t="str">
        <f>_xlfn.CONCAT(表格1[[#This Row],[Model]]," ",表格1[[#This Row],[inv no]])</f>
        <v>RC-DS10K(R) S056-25849</v>
      </c>
      <c r="S1332" s="86">
        <f>_xlfn.XLOOKUP(表格1[[#This Row],[Model]],表格3[Model-Input-Ref2],表格3[SRP PRICE])</f>
        <v>4588</v>
      </c>
      <c r="T1332" s="43">
        <f>表格1[[#This Row],[Unit Price]]/表格1[[#This Row],[SRP]]</f>
        <v>0.61028770706190061</v>
      </c>
      <c r="U1332" s="86" t="str">
        <f>_xlfn.XLOOKUP(表格1[[#This Row],[Model]],表格3[Model-Input-Ref2],表格3[TOSHIBA/HIGHEST])</f>
        <v>Toshiba SRP</v>
      </c>
      <c r="V1332" s="86" t="s">
        <v>908</v>
      </c>
      <c r="W1332" s="86" t="str">
        <f>_xlfn.CONCAT(表格1[[#This Row],[欄4]],表格1[[#This Row],[inv no]])</f>
        <v>DA138S056-25849</v>
      </c>
    </row>
    <row r="1333" spans="1:23" hidden="1">
      <c r="A1333" s="81">
        <v>1331</v>
      </c>
      <c r="B1333" s="81" t="s">
        <v>1417</v>
      </c>
      <c r="C1333" s="81" t="s">
        <v>1507</v>
      </c>
      <c r="D1333" s="82" t="str">
        <f ca="1">OFFSET(Roster!$A$3,MATCH(表格1[[#This Row],[Location]]&amp;" "&amp;表格1[[#This Row],[Shop]]&amp;"*",Roster!$A$4:$A$72,0),DAY(表格1[[#This Row],[date]]),1,1)</f>
        <v>Mui Chan_1 off</v>
      </c>
      <c r="E1333" s="81">
        <f>MONTH(表格1[[#This Row],[date]])</f>
        <v>3</v>
      </c>
      <c r="F1333" s="90">
        <v>46101</v>
      </c>
      <c r="G1333" s="81" t="str">
        <f>VLOOKUP("*"&amp;表格1[[#This Row],[Input]]&amp;"*",'Ref-List'!$B:$D,2,)</f>
        <v>RC-10NMFIH(WT)</v>
      </c>
      <c r="H1333" s="81" t="str">
        <f>_xlfn.XLOOKUP(表格1[[#This Row],[Model]],表格3[Model-Input-Ref2],表格3[Product Line])</f>
        <v>4毫米厚釜電飯煲1L</v>
      </c>
      <c r="I1333" s="81" t="str">
        <f>_xlfn.XLOOKUP(表格1[[#This Row],[Model]],表格3[Model-Input-Ref2],表格3[大小電])</f>
        <v>細電</v>
      </c>
      <c r="J1333" s="81" t="str">
        <f>_xlfn.XLOOKUP(表格1[[#This Row],[Model]],表格3[Model-Input-Ref2],表格3[Code])</f>
        <v>SDA</v>
      </c>
      <c r="K1333" s="89" t="s">
        <v>1244</v>
      </c>
      <c r="L1333" s="81">
        <v>1</v>
      </c>
      <c r="M1333" s="87">
        <v>718</v>
      </c>
      <c r="N1333" s="85">
        <f>IFERROR(表格1[[#This Row],[QTY]]*表格1[[#This Row],[Unit Price]],"-")</f>
        <v>718</v>
      </c>
      <c r="O1333" s="86" t="s">
        <v>1551</v>
      </c>
      <c r="R1333" s="86" t="str">
        <f>_xlfn.CONCAT(表格1[[#This Row],[Model]]," ",表格1[[#This Row],[inv no]])</f>
        <v>RC-10NMFIH(WT) S056-5853</v>
      </c>
      <c r="S1333" s="86">
        <f>_xlfn.XLOOKUP(表格1[[#This Row],[Model]],表格3[Model-Input-Ref2],表格3[SRP PRICE])</f>
        <v>898</v>
      </c>
      <c r="T1333" s="43">
        <f>表格1[[#This Row],[Unit Price]]/表格1[[#This Row],[SRP]]</f>
        <v>0.79955456570155903</v>
      </c>
      <c r="U1333" s="86" t="str">
        <f>_xlfn.XLOOKUP(表格1[[#This Row],[Model]],表格3[Model-Input-Ref2],表格3[TOSHIBA/HIGHEST])</f>
        <v>Toshiba SRP</v>
      </c>
      <c r="V1333" s="86" t="s">
        <v>908</v>
      </c>
      <c r="W1333" s="86" t="str">
        <f>_xlfn.CONCAT(表格1[[#This Row],[欄4]],表格1[[#This Row],[inv no]])</f>
        <v>DA138S056-5853</v>
      </c>
    </row>
    <row r="1334" spans="1:23" hidden="1">
      <c r="A1334" s="81">
        <v>1332</v>
      </c>
      <c r="B1334" s="81" t="s">
        <v>1417</v>
      </c>
      <c r="C1334" s="81" t="s">
        <v>1507</v>
      </c>
      <c r="D1334" s="82" t="str">
        <f ca="1">OFFSET(Roster!$A$3,MATCH(表格1[[#This Row],[Location]]&amp;" "&amp;表格1[[#This Row],[Shop]]&amp;"*",Roster!$A$4:$A$72,0),DAY(表格1[[#This Row],[date]]),1,1)</f>
        <v>Mui Chan_1</v>
      </c>
      <c r="E1334" s="81">
        <f>MONTH(表格1[[#This Row],[date]])</f>
        <v>3</v>
      </c>
      <c r="F1334" s="90">
        <v>46106</v>
      </c>
      <c r="G1334" s="81" t="str">
        <f>VLOOKUP("*"&amp;表格1[[#This Row],[Input]]&amp;"*",'Ref-List'!$B:$D,2,)</f>
        <v>RC-7HMH</v>
      </c>
      <c r="H1334" s="81" t="str">
        <f>_xlfn.XLOOKUP(表格1[[#This Row],[Model]],表格3[Model-Input-Ref2],表格3[Product Line])</f>
        <v>備長炭本厚釜電飯煲0.7L</v>
      </c>
      <c r="I1334" s="81" t="str">
        <f>_xlfn.XLOOKUP(表格1[[#This Row],[Model]],表格3[Model-Input-Ref2],表格3[大小電])</f>
        <v>細電</v>
      </c>
      <c r="J1334" s="81" t="str">
        <f>_xlfn.XLOOKUP(表格1[[#This Row],[Model]],表格3[Model-Input-Ref2],表格3[Code])</f>
        <v>SDA</v>
      </c>
      <c r="K1334" s="89" t="s">
        <v>1284</v>
      </c>
      <c r="L1334" s="81">
        <v>1</v>
      </c>
      <c r="M1334" s="87">
        <v>838</v>
      </c>
      <c r="N1334" s="85">
        <f>IFERROR(表格1[[#This Row],[QTY]]*表格1[[#This Row],[Unit Price]],"-")</f>
        <v>838</v>
      </c>
      <c r="O1334" s="86" t="s">
        <v>1552</v>
      </c>
      <c r="R1334" s="86" t="str">
        <f>_xlfn.CONCAT(表格1[[#This Row],[Model]]," ",表格1[[#This Row],[inv no]])</f>
        <v>RC-7HMH S056-25926</v>
      </c>
      <c r="S1334" s="86">
        <f>_xlfn.XLOOKUP(表格1[[#This Row],[Model]],表格3[Model-Input-Ref2],表格3[SRP PRICE])</f>
        <v>1288</v>
      </c>
      <c r="T1334" s="43">
        <f>表格1[[#This Row],[Unit Price]]/表格1[[#This Row],[SRP]]</f>
        <v>0.65062111801242239</v>
      </c>
      <c r="U1334" s="86" t="str">
        <f>_xlfn.XLOOKUP(表格1[[#This Row],[Model]],表格3[Model-Input-Ref2],表格3[TOSHIBA/HIGHEST])</f>
        <v>Toshiba SRP</v>
      </c>
      <c r="V1334" s="86" t="s">
        <v>908</v>
      </c>
      <c r="W1334" s="86" t="str">
        <f>_xlfn.CONCAT(表格1[[#This Row],[欄4]],表格1[[#This Row],[inv no]])</f>
        <v>DA138S056-25926</v>
      </c>
    </row>
    <row r="1335" spans="1:23" hidden="1">
      <c r="A1335" s="81">
        <v>1333</v>
      </c>
      <c r="B1335" s="81" t="s">
        <v>1417</v>
      </c>
      <c r="C1335" s="81" t="s">
        <v>1507</v>
      </c>
      <c r="D1335" s="82" t="str">
        <f ca="1">OFFSET(Roster!$A$3,MATCH(表格1[[#This Row],[Location]]&amp;" "&amp;表格1[[#This Row],[Shop]]&amp;"*",Roster!$A$4:$A$72,0),DAY(表格1[[#This Row],[date]]),1,1)</f>
        <v>Mui Chan_1</v>
      </c>
      <c r="E1335" s="81">
        <f>MONTH(表格1[[#This Row],[date]])</f>
        <v>3</v>
      </c>
      <c r="F1335" s="90">
        <v>46107</v>
      </c>
      <c r="G1335" s="81" t="str">
        <f>VLOOKUP("*"&amp;表格1[[#This Row],[Input]]&amp;"*",'Ref-List'!$B:$D,2,)</f>
        <v>RC-5SLIH(W)</v>
      </c>
      <c r="H1335" s="81" t="str">
        <f>_xlfn.XLOOKUP(表格1[[#This Row],[Model]],表格3[Model-Input-Ref2],表格3[Product Line])</f>
        <v>微型電腦珍珠飯煲</v>
      </c>
      <c r="I1335" s="81" t="str">
        <f>_xlfn.XLOOKUP(表格1[[#This Row],[Model]],表格3[Model-Input-Ref2],表格3[大小電])</f>
        <v>細電</v>
      </c>
      <c r="J1335" s="81" t="str">
        <f>_xlfn.XLOOKUP(表格1[[#This Row],[Model]],表格3[Model-Input-Ref2],表格3[Code])</f>
        <v>SDA</v>
      </c>
      <c r="K1335" s="89" t="s">
        <v>1264</v>
      </c>
      <c r="L1335" s="81">
        <v>1</v>
      </c>
      <c r="M1335" s="87">
        <v>592</v>
      </c>
      <c r="N1335" s="85">
        <f>IFERROR(表格1[[#This Row],[QTY]]*表格1[[#This Row],[Unit Price]],"-")</f>
        <v>592</v>
      </c>
      <c r="O1335" s="86" t="s">
        <v>1553</v>
      </c>
      <c r="R1335" s="86" t="str">
        <f>_xlfn.CONCAT(表格1[[#This Row],[Model]]," ",表格1[[#This Row],[inv no]])</f>
        <v>RC-5SLIH(W) S056-25991</v>
      </c>
      <c r="S1335" s="86">
        <f>_xlfn.XLOOKUP(表格1[[#This Row],[Model]],表格3[Model-Input-Ref2],表格3[SRP PRICE])</f>
        <v>658</v>
      </c>
      <c r="T1335" s="43">
        <f>表格1[[#This Row],[Unit Price]]/表格1[[#This Row],[SRP]]</f>
        <v>0.89969604863221886</v>
      </c>
      <c r="U1335" s="86" t="str">
        <f>_xlfn.XLOOKUP(表格1[[#This Row],[Model]],表格3[Model-Input-Ref2],表格3[TOSHIBA/HIGHEST])</f>
        <v>Toshiba SRP</v>
      </c>
      <c r="V1335" s="86" t="s">
        <v>908</v>
      </c>
      <c r="W1335" s="86" t="str">
        <f>_xlfn.CONCAT(表格1[[#This Row],[欄4]],表格1[[#This Row],[inv no]])</f>
        <v>DA138S056-25991</v>
      </c>
    </row>
    <row r="1336" spans="1:23" hidden="1">
      <c r="A1336" s="81">
        <v>1334</v>
      </c>
      <c r="B1336" s="81" t="s">
        <v>1417</v>
      </c>
      <c r="C1336" s="81" t="s">
        <v>1507</v>
      </c>
      <c r="D1336" s="82" t="str">
        <f ca="1">OFFSET(Roster!$A$3,MATCH(表格1[[#This Row],[Location]]&amp;" "&amp;表格1[[#This Row],[Shop]]&amp;"*",Roster!$A$4:$A$72,0),DAY(表格1[[#This Row],[date]]),1,1)</f>
        <v>Mui Chan_1</v>
      </c>
      <c r="E1336" s="81">
        <f>MONTH(表格1[[#This Row],[date]])</f>
        <v>3</v>
      </c>
      <c r="F1336" s="90">
        <v>46107</v>
      </c>
      <c r="G1336" s="81" t="str">
        <f>VLOOKUP("*"&amp;表格1[[#This Row],[Input]]&amp;"*",'Ref-List'!$B:$D,2,)</f>
        <v>RC-18NMFIH(WT)</v>
      </c>
      <c r="H1336" s="81" t="str">
        <f>_xlfn.XLOOKUP(表格1[[#This Row],[Model]],表格3[Model-Input-Ref2],表格3[Product Line])</f>
        <v>4毫米厚釜電飯煲1.8L</v>
      </c>
      <c r="I1336" s="81" t="str">
        <f>_xlfn.XLOOKUP(表格1[[#This Row],[Model]],表格3[Model-Input-Ref2],表格3[大小電])</f>
        <v>細電</v>
      </c>
      <c r="J1336" s="81" t="str">
        <f>_xlfn.XLOOKUP(表格1[[#This Row],[Model]],表格3[Model-Input-Ref2],表格3[Code])</f>
        <v>SDA</v>
      </c>
      <c r="K1336" s="89" t="s">
        <v>1267</v>
      </c>
      <c r="L1336" s="81">
        <v>1</v>
      </c>
      <c r="M1336" s="87">
        <v>798</v>
      </c>
      <c r="N1336" s="85">
        <f>IFERROR(表格1[[#This Row],[QTY]]*表格1[[#This Row],[Unit Price]],"-")</f>
        <v>798</v>
      </c>
      <c r="O1336" s="86" t="s">
        <v>1553</v>
      </c>
      <c r="R1336" s="86" t="str">
        <f>_xlfn.CONCAT(表格1[[#This Row],[Model]]," ",表格1[[#This Row],[inv no]])</f>
        <v>RC-18NMFIH(WT) S056-25991</v>
      </c>
      <c r="S1336" s="86">
        <f>_xlfn.XLOOKUP(表格1[[#This Row],[Model]],表格3[Model-Input-Ref2],表格3[SRP PRICE])</f>
        <v>998</v>
      </c>
      <c r="T1336" s="43">
        <f>表格1[[#This Row],[Unit Price]]/表格1[[#This Row],[SRP]]</f>
        <v>0.79959919839679361</v>
      </c>
      <c r="U1336" s="86" t="str">
        <f>_xlfn.XLOOKUP(表格1[[#This Row],[Model]],表格3[Model-Input-Ref2],表格3[TOSHIBA/HIGHEST])</f>
        <v>Toshiba SRP</v>
      </c>
      <c r="V1336" s="86" t="s">
        <v>908</v>
      </c>
      <c r="W1336" s="86" t="str">
        <f>_xlfn.CONCAT(表格1[[#This Row],[欄4]],表格1[[#This Row],[inv no]])</f>
        <v>DA138S056-25991</v>
      </c>
    </row>
    <row r="1337" spans="1:23" hidden="1">
      <c r="A1337" s="81">
        <v>1335</v>
      </c>
      <c r="B1337" s="81" t="s">
        <v>1470</v>
      </c>
      <c r="C1337" s="81" t="s">
        <v>1557</v>
      </c>
      <c r="D1337" s="82" t="str">
        <f ca="1">OFFSET(Roster!$A$3,MATCH(表格1[[#This Row],[Location]]&amp;" "&amp;表格1[[#This Row],[Shop]]&amp;"*",Roster!$A$4:$A$72,0),DAY(表格1[[#This Row],[date]]),1,1)</f>
        <v>Kitty Yeung</v>
      </c>
      <c r="E1337" s="81">
        <f>MONTH(表格1[[#This Row],[date]])</f>
        <v>3</v>
      </c>
      <c r="F1337" s="90">
        <v>46082</v>
      </c>
      <c r="G1337" s="81" t="str">
        <f>VLOOKUP("*"&amp;表格1[[#This Row],[Input]]&amp;"*",'Ref-List'!$B:$D,2,)</f>
        <v>AW-M901BPH(WW)</v>
      </c>
      <c r="H1337" s="81" t="str">
        <f>_xlfn.XLOOKUP(表格1[[#This Row],[Model]],表格3[Model-Input-Ref2],表格3[Product Line])</f>
        <v>全自動洗衣機 (8公斤 結合高低水位)</v>
      </c>
      <c r="I1337" s="81" t="str">
        <f>_xlfn.XLOOKUP(表格1[[#This Row],[Model]],表格3[Model-Input-Ref2],表格3[大小電])</f>
        <v>大電</v>
      </c>
      <c r="J1337" s="81" t="str">
        <f>_xlfn.XLOOKUP(表格1[[#This Row],[Model]],表格3[Model-Input-Ref2],表格3[Code])</f>
        <v>WM</v>
      </c>
      <c r="K1337" s="89" t="s">
        <v>1202</v>
      </c>
      <c r="L1337" s="81">
        <v>1</v>
      </c>
      <c r="M1337" s="87">
        <v>1980</v>
      </c>
      <c r="N1337" s="85">
        <f>IFERROR(表格1[[#This Row],[QTY]]*表格1[[#This Row],[Unit Price]],"-")</f>
        <v>1980</v>
      </c>
      <c r="O1337" s="86">
        <v>4015</v>
      </c>
      <c r="R1337" s="86" t="str">
        <f>_xlfn.CONCAT(表格1[[#This Row],[Model]]," ",表格1[[#This Row],[inv no]])</f>
        <v>AW-M901BPH(WW) 4015</v>
      </c>
      <c r="S1337" s="86">
        <f>_xlfn.XLOOKUP(表格1[[#This Row],[Model]],表格3[Model-Input-Ref2],表格3[SRP PRICE])</f>
        <v>3580</v>
      </c>
      <c r="T1337" s="43">
        <f>表格1[[#This Row],[Unit Price]]/表格1[[#This Row],[SRP]]</f>
        <v>0.55307262569832405</v>
      </c>
      <c r="U1337" s="86" t="str">
        <f>_xlfn.XLOOKUP(表格1[[#This Row],[Model]],表格3[Model-Input-Ref2],表格3[TOSHIBA/HIGHEST])</f>
        <v>Toshiba SRP</v>
      </c>
      <c r="V1337" s="86" t="s">
        <v>908</v>
      </c>
      <c r="W1337" s="86" t="str">
        <f>_xlfn.CONCAT(表格1[[#This Row],[欄4]],表格1[[#This Row],[inv no]])</f>
        <v>DA1384015</v>
      </c>
    </row>
    <row r="1338" spans="1:23" hidden="1">
      <c r="A1338" s="81">
        <v>1336</v>
      </c>
      <c r="B1338" s="81" t="s">
        <v>1470</v>
      </c>
      <c r="C1338" s="81" t="s">
        <v>1557</v>
      </c>
      <c r="D1338" s="82" t="str">
        <f ca="1">OFFSET(Roster!$A$3,MATCH(表格1[[#This Row],[Location]]&amp;" "&amp;表格1[[#This Row],[Shop]]&amp;"*",Roster!$A$4:$A$72,0),DAY(表格1[[#This Row],[date]]),1,1)</f>
        <v>Kitty Yeung</v>
      </c>
      <c r="E1338" s="81">
        <f>MONTH(表格1[[#This Row],[date]])</f>
        <v>3</v>
      </c>
      <c r="F1338" s="90">
        <v>46082</v>
      </c>
      <c r="G1338" s="81" t="str">
        <f>VLOOKUP("*"&amp;表格1[[#This Row],[Input]]&amp;"*",'Ref-List'!$B:$D,2,)</f>
        <v>RC-10NMFIH(WT)</v>
      </c>
      <c r="H1338" s="81" t="str">
        <f>_xlfn.XLOOKUP(表格1[[#This Row],[Model]],表格3[Model-Input-Ref2],表格3[Product Line])</f>
        <v>4毫米厚釜電飯煲1L</v>
      </c>
      <c r="I1338" s="81" t="str">
        <f>_xlfn.XLOOKUP(表格1[[#This Row],[Model]],表格3[Model-Input-Ref2],表格3[大小電])</f>
        <v>細電</v>
      </c>
      <c r="J1338" s="81" t="str">
        <f>_xlfn.XLOOKUP(表格1[[#This Row],[Model]],表格3[Model-Input-Ref2],表格3[Code])</f>
        <v>SDA</v>
      </c>
      <c r="K1338" s="89" t="s">
        <v>1244</v>
      </c>
      <c r="L1338" s="81">
        <v>1</v>
      </c>
      <c r="M1338" s="87">
        <v>720</v>
      </c>
      <c r="N1338" s="85">
        <f>IFERROR(表格1[[#This Row],[QTY]]*表格1[[#This Row],[Unit Price]],"-")</f>
        <v>720</v>
      </c>
      <c r="O1338" s="142">
        <v>4014</v>
      </c>
      <c r="R1338" s="86" t="str">
        <f>_xlfn.CONCAT(表格1[[#This Row],[Model]]," ",表格1[[#This Row],[inv no]])</f>
        <v>RC-10NMFIH(WT) 4014</v>
      </c>
      <c r="S1338" s="86">
        <f>_xlfn.XLOOKUP(表格1[[#This Row],[Model]],表格3[Model-Input-Ref2],表格3[SRP PRICE])</f>
        <v>898</v>
      </c>
      <c r="T1338" s="43">
        <f>表格1[[#This Row],[Unit Price]]/表格1[[#This Row],[SRP]]</f>
        <v>0.80178173719376389</v>
      </c>
      <c r="U1338" s="86" t="str">
        <f>_xlfn.XLOOKUP(表格1[[#This Row],[Model]],表格3[Model-Input-Ref2],表格3[TOSHIBA/HIGHEST])</f>
        <v>Toshiba SRP</v>
      </c>
      <c r="V1338" s="86" t="s">
        <v>908</v>
      </c>
      <c r="W1338" s="86" t="str">
        <f>_xlfn.CONCAT(表格1[[#This Row],[欄4]],表格1[[#This Row],[inv no]])</f>
        <v>DA1384014</v>
      </c>
    </row>
    <row r="1339" spans="1:23" hidden="1">
      <c r="A1339" s="81">
        <v>1337</v>
      </c>
      <c r="B1339" s="81" t="s">
        <v>1470</v>
      </c>
      <c r="C1339" s="81" t="s">
        <v>1557</v>
      </c>
      <c r="D1339" s="82" t="str">
        <f ca="1">OFFSET(Roster!$A$3,MATCH(表格1[[#This Row],[Location]]&amp;" "&amp;表格1[[#This Row],[Shop]]&amp;"*",Roster!$A$4:$A$72,0),DAY(表格1[[#This Row],[date]]),1,1)</f>
        <v>Kitty Yeung</v>
      </c>
      <c r="E1339" s="81">
        <f>MONTH(表格1[[#This Row],[date]])</f>
        <v>3</v>
      </c>
      <c r="F1339" s="90">
        <v>46082</v>
      </c>
      <c r="G1339" s="81" t="str">
        <f>VLOOKUP("*"&amp;表格1[[#This Row],[Input]]&amp;"*",'Ref-List'!$B:$D,2,)</f>
        <v>AW-M901BPH(WW)</v>
      </c>
      <c r="H1339" s="81" t="str">
        <f>_xlfn.XLOOKUP(表格1[[#This Row],[Model]],表格3[Model-Input-Ref2],表格3[Product Line])</f>
        <v>全自動洗衣機 (8公斤 結合高低水位)</v>
      </c>
      <c r="I1339" s="81" t="str">
        <f>_xlfn.XLOOKUP(表格1[[#This Row],[Model]],表格3[Model-Input-Ref2],表格3[大小電])</f>
        <v>大電</v>
      </c>
      <c r="J1339" s="81" t="str">
        <f>_xlfn.XLOOKUP(表格1[[#This Row],[Model]],表格3[Model-Input-Ref2],表格3[Code])</f>
        <v>WM</v>
      </c>
      <c r="K1339" s="89" t="s">
        <v>1202</v>
      </c>
      <c r="L1339" s="81">
        <v>1</v>
      </c>
      <c r="M1339" s="87">
        <v>1980</v>
      </c>
      <c r="N1339" s="85">
        <f>IFERROR(表格1[[#This Row],[QTY]]*表格1[[#This Row],[Unit Price]],"-")</f>
        <v>1980</v>
      </c>
      <c r="O1339" s="142">
        <v>4011</v>
      </c>
      <c r="R1339" s="86" t="str">
        <f>_xlfn.CONCAT(表格1[[#This Row],[Model]]," ",表格1[[#This Row],[inv no]])</f>
        <v>AW-M901BPH(WW) 4011</v>
      </c>
      <c r="S1339" s="86">
        <f>_xlfn.XLOOKUP(表格1[[#This Row],[Model]],表格3[Model-Input-Ref2],表格3[SRP PRICE])</f>
        <v>3580</v>
      </c>
      <c r="T1339" s="43">
        <f>表格1[[#This Row],[Unit Price]]/表格1[[#This Row],[SRP]]</f>
        <v>0.55307262569832405</v>
      </c>
      <c r="U1339" s="86" t="str">
        <f>_xlfn.XLOOKUP(表格1[[#This Row],[Model]],表格3[Model-Input-Ref2],表格3[TOSHIBA/HIGHEST])</f>
        <v>Toshiba SRP</v>
      </c>
      <c r="V1339" s="86" t="s">
        <v>908</v>
      </c>
      <c r="W1339" s="86" t="str">
        <f>_xlfn.CONCAT(表格1[[#This Row],[欄4]],表格1[[#This Row],[inv no]])</f>
        <v>DA1384011</v>
      </c>
    </row>
    <row r="1340" spans="1:23" hidden="1">
      <c r="A1340" s="81">
        <v>1338</v>
      </c>
      <c r="B1340" s="81" t="s">
        <v>1470</v>
      </c>
      <c r="C1340" s="81" t="s">
        <v>1557</v>
      </c>
      <c r="D1340" s="82" t="str">
        <f ca="1">OFFSET(Roster!$A$3,MATCH(表格1[[#This Row],[Location]]&amp;" "&amp;表格1[[#This Row],[Shop]]&amp;"*",Roster!$A$4:$A$72,0),DAY(表格1[[#This Row],[date]]),1,1)</f>
        <v>Kitty Yeung</v>
      </c>
      <c r="E1340" s="81">
        <f>MONTH(表格1[[#This Row],[date]])</f>
        <v>3</v>
      </c>
      <c r="F1340" s="90">
        <v>46082</v>
      </c>
      <c r="G1340" s="81" t="str">
        <f>VLOOKUP("*"&amp;表格1[[#This Row],[Input]]&amp;"*",'Ref-List'!$B:$D,2,)</f>
        <v>CFK01W75</v>
      </c>
      <c r="H1340" s="81" t="str">
        <f>_xlfn.XLOOKUP(表格1[[#This Row],[Model]],表格3[Model-Input-Ref2],表格3[Product Line])</f>
        <v>變頻頂揭式洗衣機 (7.5公斤)</v>
      </c>
      <c r="I1340" s="81" t="str">
        <f>_xlfn.XLOOKUP(表格1[[#This Row],[Model]],表格3[Model-Input-Ref2],表格3[大小電])</f>
        <v>大電</v>
      </c>
      <c r="J1340" s="81" t="str">
        <f>_xlfn.XLOOKUP(表格1[[#This Row],[Model]],表格3[Model-Input-Ref2],表格3[Code])</f>
        <v>LAD</v>
      </c>
      <c r="K1340" s="89" t="s">
        <v>1266</v>
      </c>
      <c r="L1340" s="81">
        <v>1</v>
      </c>
      <c r="M1340" s="87">
        <v>3580</v>
      </c>
      <c r="N1340" s="85">
        <f>IFERROR(表格1[[#This Row],[QTY]]*表格1[[#This Row],[Unit Price]],"-")</f>
        <v>3580</v>
      </c>
      <c r="O1340" s="142">
        <v>4013</v>
      </c>
      <c r="R1340" s="86" t="str">
        <f>_xlfn.CONCAT(表格1[[#This Row],[Model]]," ",表格1[[#This Row],[inv no]])</f>
        <v>CFK01W75 4013</v>
      </c>
      <c r="S1340" s="86">
        <f>_xlfn.XLOOKUP(表格1[[#This Row],[Model]],表格3[Model-Input-Ref2],表格3[SRP PRICE])</f>
        <v>3888</v>
      </c>
      <c r="T1340" s="43">
        <f>表格1[[#This Row],[Unit Price]]/表格1[[#This Row],[SRP]]</f>
        <v>0.92078189300411528</v>
      </c>
      <c r="U1340" s="86" t="str">
        <f>_xlfn.XLOOKUP(表格1[[#This Row],[Model]],表格3[Model-Input-Ref2],表格3[TOSHIBA/HIGHEST])</f>
        <v>Shops Highest Price</v>
      </c>
      <c r="V1340" s="86" t="s">
        <v>908</v>
      </c>
      <c r="W1340" s="86" t="str">
        <f>_xlfn.CONCAT(表格1[[#This Row],[欄4]],表格1[[#This Row],[inv no]])</f>
        <v>DA1384013</v>
      </c>
    </row>
    <row r="1341" spans="1:23" hidden="1">
      <c r="A1341" s="81">
        <v>1339</v>
      </c>
      <c r="B1341" s="81" t="s">
        <v>1470</v>
      </c>
      <c r="C1341" s="81" t="s">
        <v>1557</v>
      </c>
      <c r="D1341" s="82" t="str">
        <f ca="1">OFFSET(Roster!$A$3,MATCH(表格1[[#This Row],[Location]]&amp;" "&amp;表格1[[#This Row],[Shop]]&amp;"*",Roster!$A$4:$A$72,0),DAY(表格1[[#This Row],[date]]),1,1)</f>
        <v>Kitty Yeung</v>
      </c>
      <c r="E1341" s="81">
        <f>MONTH(表格1[[#This Row],[date]])</f>
        <v>3</v>
      </c>
      <c r="F1341" s="90">
        <v>46082</v>
      </c>
      <c r="G1341" s="81" t="str">
        <f>VLOOKUP("*"&amp;表格1[[#This Row],[Input]]&amp;"*",'Ref-List'!$B:$D,2,)</f>
        <v>RC-10NMFIH(WT)</v>
      </c>
      <c r="H1341" s="81" t="str">
        <f>_xlfn.XLOOKUP(表格1[[#This Row],[Model]],表格3[Model-Input-Ref2],表格3[Product Line])</f>
        <v>4毫米厚釜電飯煲1L</v>
      </c>
      <c r="I1341" s="81" t="str">
        <f>_xlfn.XLOOKUP(表格1[[#This Row],[Model]],表格3[Model-Input-Ref2],表格3[大小電])</f>
        <v>細電</v>
      </c>
      <c r="J1341" s="81" t="str">
        <f>_xlfn.XLOOKUP(表格1[[#This Row],[Model]],表格3[Model-Input-Ref2],表格3[Code])</f>
        <v>SDA</v>
      </c>
      <c r="K1341" s="89" t="s">
        <v>1244</v>
      </c>
      <c r="L1341" s="81">
        <v>1</v>
      </c>
      <c r="M1341" s="87">
        <v>720</v>
      </c>
      <c r="N1341" s="85">
        <f>IFERROR(表格1[[#This Row],[QTY]]*表格1[[#This Row],[Unit Price]],"-")</f>
        <v>720</v>
      </c>
      <c r="O1341" s="86">
        <v>4007</v>
      </c>
      <c r="R1341" s="86" t="str">
        <f>_xlfn.CONCAT(表格1[[#This Row],[Model]]," ",表格1[[#This Row],[inv no]])</f>
        <v>RC-10NMFIH(WT) 4007</v>
      </c>
      <c r="S1341" s="86">
        <f>_xlfn.XLOOKUP(表格1[[#This Row],[Model]],表格3[Model-Input-Ref2],表格3[SRP PRICE])</f>
        <v>898</v>
      </c>
      <c r="T1341" s="43">
        <f>表格1[[#This Row],[Unit Price]]/表格1[[#This Row],[SRP]]</f>
        <v>0.80178173719376389</v>
      </c>
      <c r="U1341" s="86" t="str">
        <f>_xlfn.XLOOKUP(表格1[[#This Row],[Model]],表格3[Model-Input-Ref2],表格3[TOSHIBA/HIGHEST])</f>
        <v>Toshiba SRP</v>
      </c>
      <c r="V1341" s="86" t="s">
        <v>908</v>
      </c>
      <c r="W1341" s="86" t="str">
        <f>_xlfn.CONCAT(表格1[[#This Row],[欄4]],表格1[[#This Row],[inv no]])</f>
        <v>DA1384007</v>
      </c>
    </row>
    <row r="1342" spans="1:23" hidden="1">
      <c r="A1342" s="81">
        <v>1340</v>
      </c>
      <c r="B1342" s="81" t="s">
        <v>1470</v>
      </c>
      <c r="C1342" s="81" t="s">
        <v>1557</v>
      </c>
      <c r="D1342" s="82" t="str">
        <f ca="1">OFFSET(Roster!$A$3,MATCH(表格1[[#This Row],[Location]]&amp;" "&amp;表格1[[#This Row],[Shop]]&amp;"*",Roster!$A$4:$A$72,0),DAY(表格1[[#This Row],[date]]),1,1)</f>
        <v>Kitty Yeung</v>
      </c>
      <c r="E1342" s="81">
        <f>MONTH(表格1[[#This Row],[date]])</f>
        <v>3</v>
      </c>
      <c r="F1342" s="90">
        <v>46083</v>
      </c>
      <c r="G1342" s="81" t="str">
        <f>VLOOKUP("*"&amp;表格1[[#This Row],[Input]]&amp;"*",'Ref-List'!$B:$D,2,)</f>
        <v>RAD-D300H</v>
      </c>
      <c r="H1342" s="81" t="str">
        <f>_xlfn.XLOOKUP(表格1[[#This Row],[Model]],表格3[Model-Input-Ref2],表格3[Product Line])</f>
        <v>壓縮式抽濕機 (30公升)</v>
      </c>
      <c r="I1342" s="81" t="str">
        <f>_xlfn.XLOOKUP(表格1[[#This Row],[Model]],表格3[Model-Input-Ref2],表格3[大小電])</f>
        <v>細電</v>
      </c>
      <c r="J1342" s="81" t="str">
        <f>_xlfn.XLOOKUP(表格1[[#This Row],[Model]],表格3[Model-Input-Ref2],表格3[Code])</f>
        <v>RAC</v>
      </c>
      <c r="K1342" s="89" t="s">
        <v>1252</v>
      </c>
      <c r="L1342" s="81">
        <v>1</v>
      </c>
      <c r="M1342" s="87">
        <v>2180</v>
      </c>
      <c r="N1342" s="85">
        <f>IFERROR(表格1[[#This Row],[QTY]]*表格1[[#This Row],[Unit Price]],"-")</f>
        <v>2180</v>
      </c>
      <c r="O1342" s="142">
        <v>4019</v>
      </c>
      <c r="R1342" s="86" t="str">
        <f>_xlfn.CONCAT(表格1[[#This Row],[Model]]," ",表格1[[#This Row],[inv no]])</f>
        <v>RAD-D300H 4019</v>
      </c>
      <c r="S1342" s="86">
        <f>_xlfn.XLOOKUP(表格1[[#This Row],[Model]],表格3[Model-Input-Ref2],表格3[SRP PRICE])</f>
        <v>3380</v>
      </c>
      <c r="T1342" s="43">
        <f>表格1[[#This Row],[Unit Price]]/表格1[[#This Row],[SRP]]</f>
        <v>0.6449704142011834</v>
      </c>
      <c r="U1342" s="86" t="str">
        <f>_xlfn.XLOOKUP(表格1[[#This Row],[Model]],表格3[Model-Input-Ref2],表格3[TOSHIBA/HIGHEST])</f>
        <v>Shops Highest Price</v>
      </c>
      <c r="V1342" s="86" t="s">
        <v>908</v>
      </c>
      <c r="W1342" s="86" t="str">
        <f>_xlfn.CONCAT(表格1[[#This Row],[欄4]],表格1[[#This Row],[inv no]])</f>
        <v>DA1384019</v>
      </c>
    </row>
    <row r="1343" spans="1:23" hidden="1">
      <c r="A1343" s="81">
        <v>1341</v>
      </c>
      <c r="B1343" s="81" t="s">
        <v>1470</v>
      </c>
      <c r="C1343" s="81" t="s">
        <v>1557</v>
      </c>
      <c r="D1343" s="82" t="str">
        <f ca="1">OFFSET(Roster!$A$3,MATCH(表格1[[#This Row],[Location]]&amp;" "&amp;表格1[[#This Row],[Shop]]&amp;"*",Roster!$A$4:$A$72,0),DAY(表格1[[#This Row],[date]]),1,1)</f>
        <v>Kitty Yeung</v>
      </c>
      <c r="E1343" s="81">
        <f>MONTH(表格1[[#This Row],[date]])</f>
        <v>3</v>
      </c>
      <c r="F1343" s="90">
        <v>46083</v>
      </c>
      <c r="G1343" s="81" t="str">
        <f>VLOOKUP("*"&amp;表格1[[#This Row],[Input]]&amp;"*",'Ref-List'!$B:$D,2,)</f>
        <v>RC-10NMFIH(WT)</v>
      </c>
      <c r="H1343" s="81" t="str">
        <f>_xlfn.XLOOKUP(表格1[[#This Row],[Model]],表格3[Model-Input-Ref2],表格3[Product Line])</f>
        <v>4毫米厚釜電飯煲1L</v>
      </c>
      <c r="I1343" s="81" t="str">
        <f>_xlfn.XLOOKUP(表格1[[#This Row],[Model]],表格3[Model-Input-Ref2],表格3[大小電])</f>
        <v>細電</v>
      </c>
      <c r="J1343" s="81" t="str">
        <f>_xlfn.XLOOKUP(表格1[[#This Row],[Model]],表格3[Model-Input-Ref2],表格3[Code])</f>
        <v>SDA</v>
      </c>
      <c r="K1343" s="89" t="s">
        <v>1244</v>
      </c>
      <c r="L1343" s="81">
        <v>1</v>
      </c>
      <c r="M1343" s="87">
        <v>720</v>
      </c>
      <c r="N1343" s="85">
        <f>IFERROR(表格1[[#This Row],[QTY]]*表格1[[#This Row],[Unit Price]],"-")</f>
        <v>720</v>
      </c>
      <c r="O1343" s="142">
        <v>4026</v>
      </c>
      <c r="R1343" s="86" t="str">
        <f>_xlfn.CONCAT(表格1[[#This Row],[Model]]," ",表格1[[#This Row],[inv no]])</f>
        <v>RC-10NMFIH(WT) 4026</v>
      </c>
      <c r="S1343" s="86">
        <f>_xlfn.XLOOKUP(表格1[[#This Row],[Model]],表格3[Model-Input-Ref2],表格3[SRP PRICE])</f>
        <v>898</v>
      </c>
      <c r="T1343" s="43">
        <f>表格1[[#This Row],[Unit Price]]/表格1[[#This Row],[SRP]]</f>
        <v>0.80178173719376389</v>
      </c>
      <c r="U1343" s="86" t="str">
        <f>_xlfn.XLOOKUP(表格1[[#This Row],[Model]],表格3[Model-Input-Ref2],表格3[TOSHIBA/HIGHEST])</f>
        <v>Toshiba SRP</v>
      </c>
      <c r="V1343" s="86" t="s">
        <v>908</v>
      </c>
      <c r="W1343" s="86" t="str">
        <f>_xlfn.CONCAT(表格1[[#This Row],[欄4]],表格1[[#This Row],[inv no]])</f>
        <v>DA1384026</v>
      </c>
    </row>
    <row r="1344" spans="1:23" hidden="1">
      <c r="A1344" s="81">
        <v>1342</v>
      </c>
      <c r="B1344" s="81" t="s">
        <v>1470</v>
      </c>
      <c r="C1344" s="81" t="s">
        <v>1557</v>
      </c>
      <c r="D1344" s="82" t="str">
        <f ca="1">OFFSET(Roster!$A$3,MATCH(表格1[[#This Row],[Location]]&amp;" "&amp;表格1[[#This Row],[Shop]]&amp;"*",Roster!$A$4:$A$72,0),DAY(表格1[[#This Row],[date]]),1,1)</f>
        <v>Kitty Yeung</v>
      </c>
      <c r="E1344" s="81">
        <f>MONTH(表格1[[#This Row],[date]])</f>
        <v>3</v>
      </c>
      <c r="F1344" s="90">
        <v>46083</v>
      </c>
      <c r="G1344" s="81" t="str">
        <f>VLOOKUP("*"&amp;表格1[[#This Row],[Input]]&amp;"*",'Ref-List'!$B:$D,2,)</f>
        <v>TWD-T22BU95UWH(WK)-B</v>
      </c>
      <c r="H1344" s="81" t="str">
        <f>_xlfn.XLOOKUP(表格1[[#This Row],[Model]],表格3[Model-Input-Ref2],表格3[Product Line])</f>
        <v>470MM超薄身前置式變頻洗衣乾衣機 (洗8.5公斤/乾6公斤, 可飛頂)</v>
      </c>
      <c r="I1344" s="81" t="str">
        <f>_xlfn.XLOOKUP(表格1[[#This Row],[Model]],表格3[Model-Input-Ref2],表格3[大小電])</f>
        <v>大電</v>
      </c>
      <c r="J1344" s="81" t="str">
        <f>_xlfn.XLOOKUP(表格1[[#This Row],[Model]],表格3[Model-Input-Ref2],表格3[Code])</f>
        <v>LAD</v>
      </c>
      <c r="K1344" s="89" t="s">
        <v>1421</v>
      </c>
      <c r="L1344" s="81">
        <v>1</v>
      </c>
      <c r="M1344" s="87">
        <v>4880</v>
      </c>
      <c r="N1344" s="85">
        <f>IFERROR(表格1[[#This Row],[QTY]]*表格1[[#This Row],[Unit Price]],"-")</f>
        <v>4880</v>
      </c>
      <c r="O1344" s="86">
        <v>4021</v>
      </c>
      <c r="R1344" s="86" t="str">
        <f>_xlfn.CONCAT(表格1[[#This Row],[Model]]," ",表格1[[#This Row],[inv no]])</f>
        <v>TWD-T22BU95UWH(WK)-B 4021</v>
      </c>
      <c r="S1344" s="86">
        <f>_xlfn.XLOOKUP(表格1[[#This Row],[Model]],表格3[Model-Input-Ref2],表格3[SRP PRICE])</f>
        <v>7480</v>
      </c>
      <c r="T1344" s="43">
        <f>表格1[[#This Row],[Unit Price]]/表格1[[#This Row],[SRP]]</f>
        <v>0.65240641711229952</v>
      </c>
      <c r="U1344" s="86" t="str">
        <f>_xlfn.XLOOKUP(表格1[[#This Row],[Model]],表格3[Model-Input-Ref2],表格3[TOSHIBA/HIGHEST])</f>
        <v>Toshiba SRP</v>
      </c>
      <c r="V1344" s="86" t="s">
        <v>908</v>
      </c>
      <c r="W1344" s="86" t="str">
        <f>_xlfn.CONCAT(表格1[[#This Row],[欄4]],表格1[[#This Row],[inv no]])</f>
        <v>DA1384021</v>
      </c>
    </row>
    <row r="1345" spans="1:23" hidden="1">
      <c r="A1345" s="81">
        <v>1343</v>
      </c>
      <c r="B1345" s="81" t="s">
        <v>1470</v>
      </c>
      <c r="C1345" s="81" t="s">
        <v>1557</v>
      </c>
      <c r="D1345" s="82" t="str">
        <f ca="1">OFFSET(Roster!$A$3,MATCH(表格1[[#This Row],[Location]]&amp;" "&amp;表格1[[#This Row],[Shop]]&amp;"*",Roster!$A$4:$A$72,0),DAY(表格1[[#This Row],[date]]),1,1)</f>
        <v>Kitty Yeung</v>
      </c>
      <c r="E1345" s="81">
        <f>MONTH(表格1[[#This Row],[date]])</f>
        <v>3</v>
      </c>
      <c r="F1345" s="90">
        <v>46083</v>
      </c>
      <c r="G1345" s="81" t="str">
        <f>VLOOKUP("*"&amp;表格1[[#This Row],[Input]]&amp;"*",'Ref-List'!$B:$D,2,)</f>
        <v>RAC-07G3CVRGR-HK</v>
      </c>
      <c r="H1345" s="81" t="str">
        <f>_xlfn.XLOOKUP(表格1[[#This Row],[Model]],表格3[Model-Input-Ref2],表格3[Product Line])</f>
        <v>3/4 匹 窗口式冷氣機(remote)</v>
      </c>
      <c r="I1345" s="81" t="str">
        <f>_xlfn.XLOOKUP(表格1[[#This Row],[Model]],表格3[Model-Input-Ref2],表格3[大小電])</f>
        <v>大電</v>
      </c>
      <c r="J1345" s="81" t="str">
        <f>_xlfn.XLOOKUP(表格1[[#This Row],[Model]],表格3[Model-Input-Ref2],表格3[Code])</f>
        <v>AC</v>
      </c>
      <c r="K1345" s="89" t="s">
        <v>656</v>
      </c>
      <c r="L1345" s="81">
        <v>1</v>
      </c>
      <c r="M1345" s="87">
        <v>3798</v>
      </c>
      <c r="N1345" s="85">
        <f>IFERROR(表格1[[#This Row],[QTY]]*表格1[[#This Row],[Unit Price]],"-")</f>
        <v>3798</v>
      </c>
      <c r="O1345" s="86">
        <v>4022</v>
      </c>
      <c r="R1345" s="86" t="str">
        <f>_xlfn.CONCAT(表格1[[#This Row],[Model]]," ",表格1[[#This Row],[inv no]])</f>
        <v>RAC-07G3CVRGR-HK 4022</v>
      </c>
      <c r="S1345" s="86">
        <f>_xlfn.XLOOKUP(表格1[[#This Row],[Model]],表格3[Model-Input-Ref2],表格3[SRP PRICE])</f>
        <v>5580</v>
      </c>
      <c r="T1345" s="43">
        <f>表格1[[#This Row],[Unit Price]]/表格1[[#This Row],[SRP]]</f>
        <v>0.6806451612903226</v>
      </c>
      <c r="U1345" s="86" t="str">
        <f>_xlfn.XLOOKUP(表格1[[#This Row],[Model]],表格3[Model-Input-Ref2],表格3[TOSHIBA/HIGHEST])</f>
        <v>Toshiba SRP</v>
      </c>
      <c r="V1345" s="86" t="s">
        <v>908</v>
      </c>
      <c r="W1345" s="86" t="str">
        <f>_xlfn.CONCAT(表格1[[#This Row],[欄4]],表格1[[#This Row],[inv no]])</f>
        <v>DA1384022</v>
      </c>
    </row>
    <row r="1346" spans="1:23" hidden="1">
      <c r="A1346" s="81">
        <v>1344</v>
      </c>
      <c r="B1346" s="81" t="s">
        <v>1470</v>
      </c>
      <c r="C1346" s="81" t="s">
        <v>1557</v>
      </c>
      <c r="D1346" s="82" t="str">
        <f ca="1">OFFSET(Roster!$A$3,MATCH(表格1[[#This Row],[Location]]&amp;" "&amp;表格1[[#This Row],[Shop]]&amp;"*",Roster!$A$4:$A$72,0),DAY(表格1[[#This Row],[date]]),1,1)</f>
        <v>Kitty Yeung</v>
      </c>
      <c r="E1346" s="81">
        <f>MONTH(表格1[[#This Row],[date]])</f>
        <v>3</v>
      </c>
      <c r="F1346" s="90">
        <v>46083</v>
      </c>
      <c r="G1346" s="81" t="str">
        <f>VLOOKUP("*"&amp;表格1[[#This Row],[Input]]&amp;"*",'Ref-List'!$B:$D,2,)</f>
        <v>AW-M901BPH(WW)</v>
      </c>
      <c r="H1346" s="81" t="str">
        <f>_xlfn.XLOOKUP(表格1[[#This Row],[Model]],表格3[Model-Input-Ref2],表格3[Product Line])</f>
        <v>全自動洗衣機 (8公斤 結合高低水位)</v>
      </c>
      <c r="I1346" s="81" t="str">
        <f>_xlfn.XLOOKUP(表格1[[#This Row],[Model]],表格3[Model-Input-Ref2],表格3[大小電])</f>
        <v>大電</v>
      </c>
      <c r="J1346" s="81" t="str">
        <f>_xlfn.XLOOKUP(表格1[[#This Row],[Model]],表格3[Model-Input-Ref2],表格3[Code])</f>
        <v>WM</v>
      </c>
      <c r="K1346" s="89" t="s">
        <v>1202</v>
      </c>
      <c r="L1346" s="81">
        <v>1</v>
      </c>
      <c r="M1346" s="87">
        <v>1980</v>
      </c>
      <c r="N1346" s="85">
        <f>IFERROR(表格1[[#This Row],[QTY]]*表格1[[#This Row],[Unit Price]],"-")</f>
        <v>1980</v>
      </c>
      <c r="O1346" s="86">
        <v>4029</v>
      </c>
      <c r="R1346" s="86" t="str">
        <f>_xlfn.CONCAT(表格1[[#This Row],[Model]]," ",表格1[[#This Row],[inv no]])</f>
        <v>AW-M901BPH(WW) 4029</v>
      </c>
      <c r="S1346" s="86">
        <f>_xlfn.XLOOKUP(表格1[[#This Row],[Model]],表格3[Model-Input-Ref2],表格3[SRP PRICE])</f>
        <v>3580</v>
      </c>
      <c r="T1346" s="43">
        <f>表格1[[#This Row],[Unit Price]]/表格1[[#This Row],[SRP]]</f>
        <v>0.55307262569832405</v>
      </c>
      <c r="U1346" s="86" t="str">
        <f>_xlfn.XLOOKUP(表格1[[#This Row],[Model]],表格3[Model-Input-Ref2],表格3[TOSHIBA/HIGHEST])</f>
        <v>Toshiba SRP</v>
      </c>
      <c r="V1346" s="86" t="s">
        <v>908</v>
      </c>
      <c r="W1346" s="86" t="str">
        <f>_xlfn.CONCAT(表格1[[#This Row],[欄4]],表格1[[#This Row],[inv no]])</f>
        <v>DA1384029</v>
      </c>
    </row>
    <row r="1347" spans="1:23" hidden="1">
      <c r="A1347" s="81">
        <v>1345</v>
      </c>
      <c r="B1347" s="81" t="s">
        <v>1470</v>
      </c>
      <c r="C1347" s="81" t="s">
        <v>1557</v>
      </c>
      <c r="D1347" s="82" t="str">
        <f ca="1">OFFSET(Roster!$A$3,MATCH(表格1[[#This Row],[Location]]&amp;" "&amp;表格1[[#This Row],[Shop]]&amp;"*",Roster!$A$4:$A$72,0),DAY(表格1[[#This Row],[date]]),1,1)</f>
        <v>Kitty Yeung</v>
      </c>
      <c r="E1347" s="81">
        <f>MONTH(表格1[[#This Row],[date]])</f>
        <v>3</v>
      </c>
      <c r="F1347" s="90">
        <v>46083</v>
      </c>
      <c r="G1347" s="81" t="str">
        <f>VLOOKUP("*"&amp;表格1[[#This Row],[Input]]&amp;"*",'Ref-List'!$B:$D,2,)</f>
        <v>TW-T21BU90UWH(WW)</v>
      </c>
      <c r="H1347" s="81" t="str">
        <f>_xlfn.XLOOKUP(表格1[[#This Row],[Model]],表格3[Model-Input-Ref2],表格3[Product Line])</f>
        <v>8公斤超薄身前置式變頻洗衣機</v>
      </c>
      <c r="I1347" s="81" t="str">
        <f>_xlfn.XLOOKUP(表格1[[#This Row],[Model]],表格3[Model-Input-Ref2],表格3[大小電])</f>
        <v>大電</v>
      </c>
      <c r="J1347" s="81" t="str">
        <f>_xlfn.XLOOKUP(表格1[[#This Row],[Model]],表格3[Model-Input-Ref2],表格3[Code])</f>
        <v>LAD</v>
      </c>
      <c r="K1347" s="89" t="s">
        <v>1472</v>
      </c>
      <c r="L1347" s="81">
        <v>1</v>
      </c>
      <c r="M1347" s="87">
        <v>3180</v>
      </c>
      <c r="N1347" s="85">
        <f>IFERROR(表格1[[#This Row],[QTY]]*表格1[[#This Row],[Unit Price]],"-")</f>
        <v>3180</v>
      </c>
      <c r="O1347" s="86">
        <v>4020</v>
      </c>
      <c r="R1347" s="86" t="str">
        <f>_xlfn.CONCAT(表格1[[#This Row],[Model]]," ",表格1[[#This Row],[inv no]])</f>
        <v>TW-T21BU90UWH(WW) 4020</v>
      </c>
      <c r="S1347" s="86">
        <f>_xlfn.XLOOKUP(表格1[[#This Row],[Model]],表格3[Model-Input-Ref2],表格3[SRP PRICE])</f>
        <v>5480</v>
      </c>
      <c r="T1347" s="43">
        <f>表格1[[#This Row],[Unit Price]]/表格1[[#This Row],[SRP]]</f>
        <v>0.58029197080291972</v>
      </c>
      <c r="U1347" s="86" t="str">
        <f>_xlfn.XLOOKUP(表格1[[#This Row],[Model]],表格3[Model-Input-Ref2],表格3[TOSHIBA/HIGHEST])</f>
        <v>Toshiba SRP</v>
      </c>
      <c r="V1347" s="86" t="s">
        <v>908</v>
      </c>
      <c r="W1347" s="86" t="str">
        <f>_xlfn.CONCAT(表格1[[#This Row],[欄4]],表格1[[#This Row],[inv no]])</f>
        <v>DA1384020</v>
      </c>
    </row>
    <row r="1348" spans="1:23" hidden="1">
      <c r="A1348" s="81">
        <v>1346</v>
      </c>
      <c r="B1348" s="81" t="s">
        <v>1470</v>
      </c>
      <c r="C1348" s="81" t="s">
        <v>1557</v>
      </c>
      <c r="D1348" s="82" t="str">
        <f ca="1">OFFSET(Roster!$A$3,MATCH(表格1[[#This Row],[Location]]&amp;" "&amp;表格1[[#This Row],[Shop]]&amp;"*",Roster!$A$4:$A$72,0),DAY(表格1[[#This Row],[date]]),1,1)</f>
        <v>Kitty Yeung</v>
      </c>
      <c r="E1348" s="81">
        <f>MONTH(表格1[[#This Row],[date]])</f>
        <v>3</v>
      </c>
      <c r="F1348" s="90">
        <v>46083</v>
      </c>
      <c r="G1348" s="81" t="str">
        <f>VLOOKUP("*"&amp;表格1[[#This Row],[Input]]&amp;"*",'Ref-List'!$B:$D,2,)</f>
        <v>GR-RT300WE-PMA(57)</v>
      </c>
      <c r="H1348" s="81" t="str">
        <f>_xlfn.XLOOKUP(表格1[[#This Row],[Model]],表格3[Model-Input-Ref2],表格3[Product Line])</f>
        <v>變頻式環保雙門雪櫃(233L)</v>
      </c>
      <c r="I1348" s="81" t="str">
        <f>_xlfn.XLOOKUP(表格1[[#This Row],[Model]],表格3[Model-Input-Ref2],表格3[大小電])</f>
        <v>大電</v>
      </c>
      <c r="J1348" s="81" t="str">
        <f>_xlfn.XLOOKUP(表格1[[#This Row],[Model]],表格3[Model-Input-Ref2],表格3[Code])</f>
        <v>REF</v>
      </c>
      <c r="K1348" s="89" t="s">
        <v>1462</v>
      </c>
      <c r="L1348" s="81">
        <v>1</v>
      </c>
      <c r="M1348" s="87">
        <v>2780</v>
      </c>
      <c r="N1348" s="85">
        <f>IFERROR(表格1[[#This Row],[QTY]]*表格1[[#This Row],[Unit Price]],"-")</f>
        <v>2780</v>
      </c>
      <c r="O1348" s="86">
        <v>4030</v>
      </c>
      <c r="R1348" s="86" t="str">
        <f>_xlfn.CONCAT(表格1[[#This Row],[Model]]," ",表格1[[#This Row],[inv no]])</f>
        <v>GR-RT300WE-PMA(57) 4030</v>
      </c>
      <c r="S1348" s="86">
        <f>_xlfn.XLOOKUP(表格1[[#This Row],[Model]],表格3[Model-Input-Ref2],表格3[SRP PRICE])</f>
        <v>4280</v>
      </c>
      <c r="T1348" s="43">
        <f>表格1[[#This Row],[Unit Price]]/表格1[[#This Row],[SRP]]</f>
        <v>0.64953271028037385</v>
      </c>
      <c r="U1348" s="86" t="str">
        <f>_xlfn.XLOOKUP(表格1[[#This Row],[Model]],表格3[Model-Input-Ref2],表格3[TOSHIBA/HIGHEST])</f>
        <v>Toshiba SRP</v>
      </c>
      <c r="V1348" s="86" t="s">
        <v>908</v>
      </c>
      <c r="W1348" s="86" t="str">
        <f>_xlfn.CONCAT(表格1[[#This Row],[欄4]],表格1[[#This Row],[inv no]])</f>
        <v>DA1384030</v>
      </c>
    </row>
    <row r="1349" spans="1:23" hidden="1">
      <c r="A1349" s="81">
        <v>1347</v>
      </c>
      <c r="B1349" s="81" t="s">
        <v>1470</v>
      </c>
      <c r="C1349" s="81" t="s">
        <v>1557</v>
      </c>
      <c r="D1349" s="82" t="str">
        <f ca="1">OFFSET(Roster!$A$3,MATCH(表格1[[#This Row],[Location]]&amp;" "&amp;表格1[[#This Row],[Shop]]&amp;"*",Roster!$A$4:$A$72,0),DAY(表格1[[#This Row],[date]]),1,1)</f>
        <v>Kitty Yeung</v>
      </c>
      <c r="E1349" s="81">
        <f>MONTH(表格1[[#This Row],[date]])</f>
        <v>3</v>
      </c>
      <c r="F1349" s="90">
        <v>46083</v>
      </c>
      <c r="G1349" s="81" t="str">
        <f>VLOOKUP("*"&amp;表格1[[#This Row],[Input]]&amp;"*",'Ref-List'!$B:$D,2,)</f>
        <v>GR-RT300WE-PMA(57)</v>
      </c>
      <c r="H1349" s="81" t="str">
        <f>_xlfn.XLOOKUP(表格1[[#This Row],[Model]],表格3[Model-Input-Ref2],表格3[Product Line])</f>
        <v>變頻式環保雙門雪櫃(233L)</v>
      </c>
      <c r="I1349" s="81" t="str">
        <f>_xlfn.XLOOKUP(表格1[[#This Row],[Model]],表格3[Model-Input-Ref2],表格3[大小電])</f>
        <v>大電</v>
      </c>
      <c r="J1349" s="81" t="str">
        <f>_xlfn.XLOOKUP(表格1[[#This Row],[Model]],表格3[Model-Input-Ref2],表格3[Code])</f>
        <v>REF</v>
      </c>
      <c r="K1349" s="89" t="s">
        <v>1462</v>
      </c>
      <c r="L1349" s="81">
        <v>1</v>
      </c>
      <c r="M1349" s="87">
        <v>2780</v>
      </c>
      <c r="N1349" s="85">
        <f>IFERROR(表格1[[#This Row],[QTY]]*表格1[[#This Row],[Unit Price]],"-")</f>
        <v>2780</v>
      </c>
      <c r="O1349" s="86">
        <v>4033</v>
      </c>
      <c r="R1349" s="86" t="str">
        <f>_xlfn.CONCAT(表格1[[#This Row],[Model]]," ",表格1[[#This Row],[inv no]])</f>
        <v>GR-RT300WE-PMA(57) 4033</v>
      </c>
      <c r="S1349" s="86">
        <f>_xlfn.XLOOKUP(表格1[[#This Row],[Model]],表格3[Model-Input-Ref2],表格3[SRP PRICE])</f>
        <v>4280</v>
      </c>
      <c r="T1349" s="43">
        <f>表格1[[#This Row],[Unit Price]]/表格1[[#This Row],[SRP]]</f>
        <v>0.64953271028037385</v>
      </c>
      <c r="U1349" s="86" t="str">
        <f>_xlfn.XLOOKUP(表格1[[#This Row],[Model]],表格3[Model-Input-Ref2],表格3[TOSHIBA/HIGHEST])</f>
        <v>Toshiba SRP</v>
      </c>
      <c r="V1349" s="86" t="s">
        <v>908</v>
      </c>
      <c r="W1349" s="86" t="str">
        <f>_xlfn.CONCAT(表格1[[#This Row],[欄4]],表格1[[#This Row],[inv no]])</f>
        <v>DA1384033</v>
      </c>
    </row>
    <row r="1350" spans="1:23" hidden="1">
      <c r="A1350" s="81">
        <v>1348</v>
      </c>
      <c r="B1350" s="81" t="s">
        <v>1470</v>
      </c>
      <c r="C1350" s="81" t="s">
        <v>1557</v>
      </c>
      <c r="D1350" s="82" t="str">
        <f ca="1">OFFSET(Roster!$A$3,MATCH(表格1[[#This Row],[Location]]&amp;" "&amp;表格1[[#This Row],[Shop]]&amp;"*",Roster!$A$4:$A$72,0),DAY(表格1[[#This Row],[date]]),1,1)</f>
        <v>Kitty Yeung</v>
      </c>
      <c r="E1350" s="81">
        <f>MONTH(表格1[[#This Row],[date]])</f>
        <v>3</v>
      </c>
      <c r="F1350" s="90">
        <v>46083</v>
      </c>
      <c r="G1350" s="81" t="str">
        <f>VLOOKUP("*"&amp;表格1[[#This Row],[Input]]&amp;"*",'Ref-List'!$B:$D,2,)</f>
        <v>RC-5SLIH(W)</v>
      </c>
      <c r="H1350" s="81" t="str">
        <f>_xlfn.XLOOKUP(表格1[[#This Row],[Model]],表格3[Model-Input-Ref2],表格3[Product Line])</f>
        <v>微型電腦珍珠飯煲</v>
      </c>
      <c r="I1350" s="81" t="str">
        <f>_xlfn.XLOOKUP(表格1[[#This Row],[Model]],表格3[Model-Input-Ref2],表格3[大小電])</f>
        <v>細電</v>
      </c>
      <c r="J1350" s="81" t="str">
        <f>_xlfn.XLOOKUP(表格1[[#This Row],[Model]],表格3[Model-Input-Ref2],表格3[Code])</f>
        <v>SDA</v>
      </c>
      <c r="K1350" s="89" t="s">
        <v>1264</v>
      </c>
      <c r="L1350" s="81">
        <v>1</v>
      </c>
      <c r="M1350" s="87">
        <v>598</v>
      </c>
      <c r="N1350" s="85">
        <f>IFERROR(表格1[[#This Row],[QTY]]*表格1[[#This Row],[Unit Price]],"-")</f>
        <v>598</v>
      </c>
      <c r="O1350" s="86">
        <v>4032</v>
      </c>
      <c r="R1350" s="86" t="str">
        <f>_xlfn.CONCAT(表格1[[#This Row],[Model]]," ",表格1[[#This Row],[inv no]])</f>
        <v>RC-5SLIH(W) 4032</v>
      </c>
      <c r="S1350" s="86">
        <f>_xlfn.XLOOKUP(表格1[[#This Row],[Model]],表格3[Model-Input-Ref2],表格3[SRP PRICE])</f>
        <v>658</v>
      </c>
      <c r="T1350" s="43">
        <f>表格1[[#This Row],[Unit Price]]/表格1[[#This Row],[SRP]]</f>
        <v>0.90881458966565354</v>
      </c>
      <c r="U1350" s="86" t="str">
        <f>_xlfn.XLOOKUP(表格1[[#This Row],[Model]],表格3[Model-Input-Ref2],表格3[TOSHIBA/HIGHEST])</f>
        <v>Toshiba SRP</v>
      </c>
      <c r="V1350" s="86" t="s">
        <v>908</v>
      </c>
      <c r="W1350" s="86" t="str">
        <f>_xlfn.CONCAT(表格1[[#This Row],[欄4]],表格1[[#This Row],[inv no]])</f>
        <v>DA1384032</v>
      </c>
    </row>
    <row r="1351" spans="1:23" hidden="1">
      <c r="A1351" s="81">
        <v>1349</v>
      </c>
      <c r="B1351" s="81" t="s">
        <v>1470</v>
      </c>
      <c r="C1351" s="81" t="s">
        <v>1557</v>
      </c>
      <c r="D1351" s="82" t="str">
        <f ca="1">OFFSET(Roster!$A$3,MATCH(表格1[[#This Row],[Location]]&amp;" "&amp;表格1[[#This Row],[Shop]]&amp;"*",Roster!$A$4:$A$72,0),DAY(表格1[[#This Row],[date]]),1,1)</f>
        <v>Kitty Yeung</v>
      </c>
      <c r="E1351" s="81">
        <f>MONTH(表格1[[#This Row],[date]])</f>
        <v>3</v>
      </c>
      <c r="F1351" s="90">
        <v>46083</v>
      </c>
      <c r="G1351" s="81" t="str">
        <f>VLOOKUP("*"&amp;表格1[[#This Row],[Input]]&amp;"*",'Ref-List'!$B:$D,2,)</f>
        <v>RAD-Y200H</v>
      </c>
      <c r="H1351" s="81" t="str">
        <f>_xlfn.XLOOKUP(表格1[[#This Row],[Model]],表格3[Model-Input-Ref2],表格3[Product Line])</f>
        <v>21L壓縮式抽濕機</v>
      </c>
      <c r="I1351" s="81" t="str">
        <f>_xlfn.XLOOKUP(表格1[[#This Row],[Model]],表格3[Model-Input-Ref2],表格3[大小電])</f>
        <v>大電</v>
      </c>
      <c r="J1351" s="81" t="str">
        <f>_xlfn.XLOOKUP(表格1[[#This Row],[Model]],表格3[Model-Input-Ref2],表格3[Code])</f>
        <v>RAC</v>
      </c>
      <c r="K1351" s="89" t="s">
        <v>1241</v>
      </c>
      <c r="L1351" s="81">
        <v>1</v>
      </c>
      <c r="M1351" s="87">
        <v>1988</v>
      </c>
      <c r="N1351" s="85">
        <f>IFERROR(表格1[[#This Row],[QTY]]*表格1[[#This Row],[Unit Price]],"-")</f>
        <v>1988</v>
      </c>
      <c r="O1351" s="86">
        <v>4018</v>
      </c>
      <c r="R1351" s="86" t="str">
        <f>_xlfn.CONCAT(表格1[[#This Row],[Model]]," ",表格1[[#This Row],[inv no]])</f>
        <v>RAD-Y200H 4018</v>
      </c>
      <c r="S1351" s="86">
        <f>_xlfn.XLOOKUP(表格1[[#This Row],[Model]],表格3[Model-Input-Ref2],表格3[SRP PRICE])</f>
        <v>3280</v>
      </c>
      <c r="T1351" s="43">
        <f>表格1[[#This Row],[Unit Price]]/表格1[[#This Row],[SRP]]</f>
        <v>0.60609756097560974</v>
      </c>
      <c r="U1351" s="86" t="str">
        <f>_xlfn.XLOOKUP(表格1[[#This Row],[Model]],表格3[Model-Input-Ref2],表格3[TOSHIBA/HIGHEST])</f>
        <v>Toshiba SRP</v>
      </c>
      <c r="V1351" s="86" t="s">
        <v>908</v>
      </c>
      <c r="W1351" s="86" t="str">
        <f>_xlfn.CONCAT(表格1[[#This Row],[欄4]],表格1[[#This Row],[inv no]])</f>
        <v>DA1384018</v>
      </c>
    </row>
    <row r="1352" spans="1:23" ht="16.5" hidden="1">
      <c r="A1352" s="81">
        <v>1350</v>
      </c>
      <c r="B1352" s="81" t="s">
        <v>1470</v>
      </c>
      <c r="C1352" s="81" t="s">
        <v>1557</v>
      </c>
      <c r="D1352" s="82" t="str">
        <f ca="1">OFFSET(Roster!$A$3,MATCH(表格1[[#This Row],[Location]]&amp;" "&amp;表格1[[#This Row],[Shop]]&amp;"*",Roster!$A$4:$A$72,0),DAY(表格1[[#This Row],[date]]),1,1)</f>
        <v>Kitty Yeung</v>
      </c>
      <c r="E1352" s="81">
        <f>MONTH(表格1[[#This Row],[date]])</f>
        <v>3</v>
      </c>
      <c r="F1352" s="90">
        <v>46084</v>
      </c>
      <c r="G1352" s="81" t="str">
        <f>VLOOKUP("*"&amp;表格1[[#This Row],[Input]]&amp;"*",'Ref-List'!$B:$D,2,)</f>
        <v>F-DSB35HK(W)</v>
      </c>
      <c r="H1352" s="81" t="str">
        <f>_xlfn.XLOOKUP(表格1[[#This Row],[Model]],表格3[Model-Input-Ref2],表格3[Product Line])</f>
        <v>Electric Fan</v>
      </c>
      <c r="I1352" s="81" t="str">
        <f>_xlfn.XLOOKUP(表格1[[#This Row],[Model]],表格3[Model-Input-Ref2],表格3[大小電])</f>
        <v>細電</v>
      </c>
      <c r="J1352" s="81" t="str">
        <f>_xlfn.XLOOKUP(表格1[[#This Row],[Model]],表格3[Model-Input-Ref2],表格3[Code])</f>
        <v>SDA</v>
      </c>
      <c r="K1352" s="89" t="s">
        <v>1453</v>
      </c>
      <c r="L1352" s="81">
        <v>1</v>
      </c>
      <c r="M1352" s="87">
        <v>340</v>
      </c>
      <c r="N1352" s="85">
        <f>IFERROR(表格1[[#This Row],[QTY]]*表格1[[#This Row],[Unit Price]],"-")</f>
        <v>340</v>
      </c>
      <c r="O1352" s="86">
        <v>4040</v>
      </c>
      <c r="P1352" s="141"/>
      <c r="R1352" s="86" t="str">
        <f>_xlfn.CONCAT(表格1[[#This Row],[Model]]," ",表格1[[#This Row],[inv no]])</f>
        <v>F-DSB35HK(W) 4040</v>
      </c>
      <c r="S1352" s="86">
        <f>_xlfn.XLOOKUP(表格1[[#This Row],[Model]],表格3[Model-Input-Ref2],表格3[SRP PRICE])</f>
        <v>1088</v>
      </c>
      <c r="T1352" s="43">
        <f>表格1[[#This Row],[Unit Price]]/表格1[[#This Row],[SRP]]</f>
        <v>0.3125</v>
      </c>
      <c r="U1352" s="86" t="str">
        <f>_xlfn.XLOOKUP(表格1[[#This Row],[Model]],表格3[Model-Input-Ref2],表格3[TOSHIBA/HIGHEST])</f>
        <v>Toshiba SRP</v>
      </c>
      <c r="V1352" s="86" t="s">
        <v>908</v>
      </c>
      <c r="W1352" s="86" t="str">
        <f>_xlfn.CONCAT(表格1[[#This Row],[欄4]],表格1[[#This Row],[inv no]])</f>
        <v>DA1384040</v>
      </c>
    </row>
    <row r="1353" spans="1:23" hidden="1">
      <c r="A1353" s="81">
        <v>1351</v>
      </c>
      <c r="B1353" s="81" t="s">
        <v>1470</v>
      </c>
      <c r="C1353" s="81" t="s">
        <v>1557</v>
      </c>
      <c r="D1353" s="82" t="str">
        <f ca="1">OFFSET(Roster!$A$3,MATCH(表格1[[#This Row],[Location]]&amp;" "&amp;表格1[[#This Row],[Shop]]&amp;"*",Roster!$A$4:$A$72,0),DAY(表格1[[#This Row],[date]]),1,1)</f>
        <v>Kitty Yeung</v>
      </c>
      <c r="E1353" s="81">
        <f>MONTH(表格1[[#This Row],[date]])</f>
        <v>3</v>
      </c>
      <c r="F1353" s="90">
        <v>46084</v>
      </c>
      <c r="G1353" s="81" t="str">
        <f>VLOOKUP("*"&amp;表格1[[#This Row],[Input]]&amp;"*",'Ref-List'!$B:$D,2,)</f>
        <v>GR-RT300WE-PMA(57)</v>
      </c>
      <c r="H1353" s="81" t="str">
        <f>_xlfn.XLOOKUP(表格1[[#This Row],[Model]],表格3[Model-Input-Ref2],表格3[Product Line])</f>
        <v>變頻式環保雙門雪櫃(233L)</v>
      </c>
      <c r="I1353" s="81" t="str">
        <f>_xlfn.XLOOKUP(表格1[[#This Row],[Model]],表格3[Model-Input-Ref2],表格3[大小電])</f>
        <v>大電</v>
      </c>
      <c r="J1353" s="81" t="str">
        <f>_xlfn.XLOOKUP(表格1[[#This Row],[Model]],表格3[Model-Input-Ref2],表格3[Code])</f>
        <v>REF</v>
      </c>
      <c r="K1353" s="89" t="s">
        <v>1462</v>
      </c>
      <c r="L1353" s="81">
        <v>1</v>
      </c>
      <c r="M1353" s="87">
        <v>2780</v>
      </c>
      <c r="N1353" s="85">
        <f>IFERROR(表格1[[#This Row],[QTY]]*表格1[[#This Row],[Unit Price]],"-")</f>
        <v>2780</v>
      </c>
      <c r="O1353" s="142">
        <v>4044</v>
      </c>
      <c r="R1353" s="86" t="str">
        <f>_xlfn.CONCAT(表格1[[#This Row],[Model]]," ",表格1[[#This Row],[inv no]])</f>
        <v>GR-RT300WE-PMA(57) 4044</v>
      </c>
      <c r="S1353" s="86">
        <f>_xlfn.XLOOKUP(表格1[[#This Row],[Model]],表格3[Model-Input-Ref2],表格3[SRP PRICE])</f>
        <v>4280</v>
      </c>
      <c r="T1353" s="43">
        <f>表格1[[#This Row],[Unit Price]]/表格1[[#This Row],[SRP]]</f>
        <v>0.64953271028037385</v>
      </c>
      <c r="U1353" s="86" t="str">
        <f>_xlfn.XLOOKUP(表格1[[#This Row],[Model]],表格3[Model-Input-Ref2],表格3[TOSHIBA/HIGHEST])</f>
        <v>Toshiba SRP</v>
      </c>
      <c r="V1353" s="86" t="s">
        <v>908</v>
      </c>
      <c r="W1353" s="86" t="str">
        <f>_xlfn.CONCAT(表格1[[#This Row],[欄4]],表格1[[#This Row],[inv no]])</f>
        <v>DA1384044</v>
      </c>
    </row>
    <row r="1354" spans="1:23" hidden="1">
      <c r="A1354" s="81">
        <v>1352</v>
      </c>
      <c r="B1354" s="81" t="s">
        <v>1470</v>
      </c>
      <c r="C1354" s="81" t="s">
        <v>1557</v>
      </c>
      <c r="D1354" s="82" t="str">
        <f ca="1">OFFSET(Roster!$A$3,MATCH(表格1[[#This Row],[Location]]&amp;" "&amp;表格1[[#This Row],[Shop]]&amp;"*",Roster!$A$4:$A$72,0),DAY(表格1[[#This Row],[date]]),1,1)</f>
        <v>Kitty Yeung</v>
      </c>
      <c r="E1354" s="81">
        <f>MONTH(表格1[[#This Row],[date]])</f>
        <v>3</v>
      </c>
      <c r="F1354" s="90">
        <v>46084</v>
      </c>
      <c r="G1354" s="81" t="str">
        <f>VLOOKUP("*"&amp;表格1[[#This Row],[Input]]&amp;"*",'Ref-List'!$B:$D,2,)</f>
        <v>RAD-Y200H</v>
      </c>
      <c r="H1354" s="81" t="str">
        <f>_xlfn.XLOOKUP(表格1[[#This Row],[Model]],表格3[Model-Input-Ref2],表格3[Product Line])</f>
        <v>21L壓縮式抽濕機</v>
      </c>
      <c r="I1354" s="81" t="str">
        <f>_xlfn.XLOOKUP(表格1[[#This Row],[Model]],表格3[Model-Input-Ref2],表格3[大小電])</f>
        <v>大電</v>
      </c>
      <c r="J1354" s="81" t="str">
        <f>_xlfn.XLOOKUP(表格1[[#This Row],[Model]],表格3[Model-Input-Ref2],表格3[Code])</f>
        <v>RAC</v>
      </c>
      <c r="K1354" s="89" t="s">
        <v>1241</v>
      </c>
      <c r="L1354" s="81">
        <v>1</v>
      </c>
      <c r="M1354" s="87">
        <v>1988</v>
      </c>
      <c r="N1354" s="85">
        <f>IFERROR(表格1[[#This Row],[QTY]]*表格1[[#This Row],[Unit Price]],"-")</f>
        <v>1988</v>
      </c>
      <c r="O1354" s="86">
        <v>4049</v>
      </c>
      <c r="R1354" s="86" t="str">
        <f>_xlfn.CONCAT(表格1[[#This Row],[Model]]," ",表格1[[#This Row],[inv no]])</f>
        <v>RAD-Y200H 4049</v>
      </c>
      <c r="S1354" s="86">
        <f>_xlfn.XLOOKUP(表格1[[#This Row],[Model]],表格3[Model-Input-Ref2],表格3[SRP PRICE])</f>
        <v>3280</v>
      </c>
      <c r="T1354" s="43">
        <f>表格1[[#This Row],[Unit Price]]/表格1[[#This Row],[SRP]]</f>
        <v>0.60609756097560974</v>
      </c>
      <c r="U1354" s="86" t="str">
        <f>_xlfn.XLOOKUP(表格1[[#This Row],[Model]],表格3[Model-Input-Ref2],表格3[TOSHIBA/HIGHEST])</f>
        <v>Toshiba SRP</v>
      </c>
      <c r="V1354" s="86" t="s">
        <v>908</v>
      </c>
      <c r="W1354" s="86" t="str">
        <f>_xlfn.CONCAT(表格1[[#This Row],[欄4]],表格1[[#This Row],[inv no]])</f>
        <v>DA1384049</v>
      </c>
    </row>
    <row r="1355" spans="1:23" hidden="1">
      <c r="A1355" s="81">
        <v>1353</v>
      </c>
      <c r="B1355" s="81" t="s">
        <v>1470</v>
      </c>
      <c r="C1355" s="81" t="s">
        <v>1557</v>
      </c>
      <c r="D1355" s="82" t="str">
        <f ca="1">OFFSET(Roster!$A$3,MATCH(表格1[[#This Row],[Location]]&amp;" "&amp;表格1[[#This Row],[Shop]]&amp;"*",Roster!$A$4:$A$72,0),DAY(表格1[[#This Row],[date]]),1,1)</f>
        <v>Kitty Yeung</v>
      </c>
      <c r="E1355" s="81">
        <f>MONTH(表格1[[#This Row],[date]])</f>
        <v>3</v>
      </c>
      <c r="F1355" s="90">
        <v>46084</v>
      </c>
      <c r="G1355" s="81" t="str">
        <f>VLOOKUP("*"&amp;表格1[[#This Row],[Input]]&amp;"*",'Ref-List'!$B:$D,2,)</f>
        <v>KT-14DHUHK(W)</v>
      </c>
      <c r="H1355" s="81" t="str">
        <f>_xlfn.XLOOKUP(表格1[[#This Row],[Model]],表格3[Model-Input-Ref2],表格3[Product Line])</f>
        <v>無線雙層電熱水壺(1.4公升)</v>
      </c>
      <c r="I1355" s="81" t="str">
        <f>_xlfn.XLOOKUP(表格1[[#This Row],[Model]],表格3[Model-Input-Ref2],表格3[大小電])</f>
        <v>細電</v>
      </c>
      <c r="J1355" s="81" t="str">
        <f>_xlfn.XLOOKUP(表格1[[#This Row],[Model]],表格3[Model-Input-Ref2],表格3[Code])</f>
        <v>SDA</v>
      </c>
      <c r="K1355" s="89" t="s">
        <v>1425</v>
      </c>
      <c r="L1355" s="81">
        <v>1</v>
      </c>
      <c r="M1355" s="87">
        <v>280</v>
      </c>
      <c r="N1355" s="85">
        <f>IFERROR(表格1[[#This Row],[QTY]]*表格1[[#This Row],[Unit Price]],"-")</f>
        <v>280</v>
      </c>
      <c r="O1355" s="86">
        <v>4039</v>
      </c>
      <c r="R1355" s="86" t="str">
        <f>_xlfn.CONCAT(表格1[[#This Row],[Model]]," ",表格1[[#This Row],[inv no]])</f>
        <v>KT-14DHUHK(W) 4039</v>
      </c>
      <c r="S1355" s="86">
        <f>_xlfn.XLOOKUP(表格1[[#This Row],[Model]],表格3[Model-Input-Ref2],表格3[SRP PRICE])</f>
        <v>458</v>
      </c>
      <c r="T1355" s="43">
        <f>表格1[[#This Row],[Unit Price]]/表格1[[#This Row],[SRP]]</f>
        <v>0.611353711790393</v>
      </c>
      <c r="U1355" s="86" t="str">
        <f>_xlfn.XLOOKUP(表格1[[#This Row],[Model]],表格3[Model-Input-Ref2],表格3[TOSHIBA/HIGHEST])</f>
        <v>Toshiba SRP</v>
      </c>
      <c r="V1355" s="86" t="s">
        <v>908</v>
      </c>
      <c r="W1355" s="86" t="str">
        <f>_xlfn.CONCAT(表格1[[#This Row],[欄4]],表格1[[#This Row],[inv no]])</f>
        <v>DA1384039</v>
      </c>
    </row>
    <row r="1356" spans="1:23" hidden="1">
      <c r="A1356" s="81">
        <v>1354</v>
      </c>
      <c r="B1356" s="81" t="s">
        <v>1470</v>
      </c>
      <c r="C1356" s="81" t="s">
        <v>1557</v>
      </c>
      <c r="D1356" s="82" t="str">
        <f ca="1">OFFSET(Roster!$A$3,MATCH(表格1[[#This Row],[Location]]&amp;" "&amp;表格1[[#This Row],[Shop]]&amp;"*",Roster!$A$4:$A$72,0),DAY(表格1[[#This Row],[date]]),1,1)</f>
        <v>Kitty Yeung</v>
      </c>
      <c r="E1356" s="81">
        <f>MONTH(表格1[[#This Row],[date]])</f>
        <v>3</v>
      </c>
      <c r="F1356" s="90">
        <v>46084</v>
      </c>
      <c r="G1356" s="81" t="str">
        <f>VLOOKUP("*"&amp;表格1[[#This Row],[Input]]&amp;"*",'Ref-List'!$B:$D,2,)</f>
        <v>AW-M901BPH(WW)</v>
      </c>
      <c r="H1356" s="81" t="str">
        <f>_xlfn.XLOOKUP(表格1[[#This Row],[Model]],表格3[Model-Input-Ref2],表格3[Product Line])</f>
        <v>全自動洗衣機 (8公斤 結合高低水位)</v>
      </c>
      <c r="I1356" s="81" t="str">
        <f>_xlfn.XLOOKUP(表格1[[#This Row],[Model]],表格3[Model-Input-Ref2],表格3[大小電])</f>
        <v>大電</v>
      </c>
      <c r="J1356" s="81" t="str">
        <f>_xlfn.XLOOKUP(表格1[[#This Row],[Model]],表格3[Model-Input-Ref2],表格3[Code])</f>
        <v>WM</v>
      </c>
      <c r="K1356" s="89" t="s">
        <v>1202</v>
      </c>
      <c r="L1356" s="81">
        <v>1</v>
      </c>
      <c r="M1356" s="87">
        <v>1980</v>
      </c>
      <c r="N1356" s="85">
        <f>IFERROR(表格1[[#This Row],[QTY]]*表格1[[#This Row],[Unit Price]],"-")</f>
        <v>1980</v>
      </c>
      <c r="O1356" s="86">
        <v>4042</v>
      </c>
      <c r="R1356" s="86" t="str">
        <f>_xlfn.CONCAT(表格1[[#This Row],[Model]]," ",表格1[[#This Row],[inv no]])</f>
        <v>AW-M901BPH(WW) 4042</v>
      </c>
      <c r="S1356" s="86">
        <f>_xlfn.XLOOKUP(表格1[[#This Row],[Model]],表格3[Model-Input-Ref2],表格3[SRP PRICE])</f>
        <v>3580</v>
      </c>
      <c r="T1356" s="43">
        <f>表格1[[#This Row],[Unit Price]]/表格1[[#This Row],[SRP]]</f>
        <v>0.55307262569832405</v>
      </c>
      <c r="U1356" s="86" t="str">
        <f>_xlfn.XLOOKUP(表格1[[#This Row],[Model]],表格3[Model-Input-Ref2],表格3[TOSHIBA/HIGHEST])</f>
        <v>Toshiba SRP</v>
      </c>
      <c r="V1356" s="86" t="s">
        <v>908</v>
      </c>
      <c r="W1356" s="86" t="str">
        <f>_xlfn.CONCAT(表格1[[#This Row],[欄4]],表格1[[#This Row],[inv no]])</f>
        <v>DA1384042</v>
      </c>
    </row>
    <row r="1357" spans="1:23" hidden="1">
      <c r="A1357" s="81">
        <v>1355</v>
      </c>
      <c r="B1357" s="81" t="s">
        <v>1470</v>
      </c>
      <c r="C1357" s="81" t="s">
        <v>1557</v>
      </c>
      <c r="D1357" s="82" t="str">
        <f ca="1">OFFSET(Roster!$A$3,MATCH(表格1[[#This Row],[Location]]&amp;" "&amp;表格1[[#This Row],[Shop]]&amp;"*",Roster!$A$4:$A$72,0),DAY(表格1[[#This Row],[date]]),1,1)</f>
        <v>Kitty Yeung</v>
      </c>
      <c r="E1357" s="81">
        <f>MONTH(表格1[[#This Row],[date]])</f>
        <v>3</v>
      </c>
      <c r="F1357" s="90">
        <v>46085</v>
      </c>
      <c r="G1357" s="81" t="str">
        <f>VLOOKUP("*"&amp;表格1[[#This Row],[Input]]&amp;"*",'Ref-List'!$B:$D,2,)</f>
        <v>RAD-D200H</v>
      </c>
      <c r="H1357" s="81" t="str">
        <f>_xlfn.XLOOKUP(表格1[[#This Row],[Model]],表格3[Model-Input-Ref2],表格3[Product Line])</f>
        <v>壓縮式抽濕機 (22公升)</v>
      </c>
      <c r="I1357" s="81" t="str">
        <f>_xlfn.XLOOKUP(表格1[[#This Row],[Model]],表格3[Model-Input-Ref2],表格3[大小電])</f>
        <v>細電</v>
      </c>
      <c r="J1357" s="81" t="str">
        <f>_xlfn.XLOOKUP(表格1[[#This Row],[Model]],表格3[Model-Input-Ref2],表格3[Code])</f>
        <v>RAC</v>
      </c>
      <c r="K1357" s="89" t="s">
        <v>1250</v>
      </c>
      <c r="L1357" s="81">
        <v>1</v>
      </c>
      <c r="M1357" s="87">
        <v>2040</v>
      </c>
      <c r="N1357" s="85">
        <f>IFERROR(表格1[[#This Row],[QTY]]*表格1[[#This Row],[Unit Price]],"-")</f>
        <v>2040</v>
      </c>
      <c r="O1357" s="86">
        <v>4057</v>
      </c>
      <c r="R1357" s="86" t="str">
        <f>_xlfn.CONCAT(表格1[[#This Row],[Model]]," ",表格1[[#This Row],[inv no]])</f>
        <v>RAD-D200H 4057</v>
      </c>
      <c r="S1357" s="86">
        <f>_xlfn.XLOOKUP(表格1[[#This Row],[Model]],表格3[Model-Input-Ref2],表格3[SRP PRICE])</f>
        <v>2880</v>
      </c>
      <c r="T1357" s="43">
        <f>表格1[[#This Row],[Unit Price]]/表格1[[#This Row],[SRP]]</f>
        <v>0.70833333333333337</v>
      </c>
      <c r="U1357" s="86" t="str">
        <f>_xlfn.XLOOKUP(表格1[[#This Row],[Model]],表格3[Model-Input-Ref2],表格3[TOSHIBA/HIGHEST])</f>
        <v>Shops Highest Price</v>
      </c>
      <c r="V1357" s="86" t="s">
        <v>908</v>
      </c>
      <c r="W1357" s="86" t="str">
        <f>_xlfn.CONCAT(表格1[[#This Row],[欄4]],表格1[[#This Row],[inv no]])</f>
        <v>DA1384057</v>
      </c>
    </row>
    <row r="1358" spans="1:23" hidden="1">
      <c r="A1358" s="81">
        <v>1356</v>
      </c>
      <c r="B1358" s="81" t="s">
        <v>1470</v>
      </c>
      <c r="C1358" s="81" t="s">
        <v>1557</v>
      </c>
      <c r="D1358" s="82" t="str">
        <f ca="1">OFFSET(Roster!$A$3,MATCH(表格1[[#This Row],[Location]]&amp;" "&amp;表格1[[#This Row],[Shop]]&amp;"*",Roster!$A$4:$A$72,0),DAY(表格1[[#This Row],[date]]),1,1)</f>
        <v>Kitty Yeung</v>
      </c>
      <c r="E1358" s="81">
        <f>MONTH(表格1[[#This Row],[date]])</f>
        <v>3</v>
      </c>
      <c r="F1358" s="90">
        <v>46085</v>
      </c>
      <c r="G1358" s="81" t="str">
        <f>VLOOKUP("*"&amp;表格1[[#This Row],[Input]]&amp;"*",'Ref-List'!$B:$D,2,)</f>
        <v>GR-RB221WE-PMA(57)</v>
      </c>
      <c r="H1358" s="81" t="str">
        <f>_xlfn.XLOOKUP(表格1[[#This Row],[Model]],表格3[Model-Input-Ref2],表格3[Product Line])</f>
        <v>變頻下置式雙門雪櫃（163L）</v>
      </c>
      <c r="I1358" s="81" t="str">
        <f>_xlfn.XLOOKUP(表格1[[#This Row],[Model]],表格3[Model-Input-Ref2],表格3[大小電])</f>
        <v>大電</v>
      </c>
      <c r="J1358" s="81" t="str">
        <f>_xlfn.XLOOKUP(表格1[[#This Row],[Model]],表格3[Model-Input-Ref2],表格3[Code])</f>
        <v>REF</v>
      </c>
      <c r="K1358" s="89" t="s">
        <v>1386</v>
      </c>
      <c r="L1358" s="81">
        <v>1</v>
      </c>
      <c r="M1358" s="87">
        <v>2080</v>
      </c>
      <c r="N1358" s="85">
        <f>IFERROR(表格1[[#This Row],[QTY]]*表格1[[#This Row],[Unit Price]],"-")</f>
        <v>2080</v>
      </c>
      <c r="O1358" s="86">
        <v>4066</v>
      </c>
      <c r="R1358" s="86" t="str">
        <f>_xlfn.CONCAT(表格1[[#This Row],[Model]]," ",表格1[[#This Row],[inv no]])</f>
        <v>GR-RB221WE-PMA(57) 4066</v>
      </c>
      <c r="S1358" s="86">
        <f>_xlfn.XLOOKUP(表格1[[#This Row],[Model]],表格3[Model-Input-Ref2],表格3[SRP PRICE])</f>
        <v>3480</v>
      </c>
      <c r="T1358" s="43">
        <f>表格1[[#This Row],[Unit Price]]/表格1[[#This Row],[SRP]]</f>
        <v>0.5977011494252874</v>
      </c>
      <c r="U1358" s="86" t="str">
        <f>_xlfn.XLOOKUP(表格1[[#This Row],[Model]],表格3[Model-Input-Ref2],表格3[TOSHIBA/HIGHEST])</f>
        <v>Toshiba SRP</v>
      </c>
      <c r="V1358" s="86" t="s">
        <v>908</v>
      </c>
      <c r="W1358" s="86" t="str">
        <f>_xlfn.CONCAT(表格1[[#This Row],[欄4]],表格1[[#This Row],[inv no]])</f>
        <v>DA1384066</v>
      </c>
    </row>
    <row r="1359" spans="1:23" hidden="1">
      <c r="A1359" s="81">
        <v>1357</v>
      </c>
      <c r="B1359" s="81" t="s">
        <v>1470</v>
      </c>
      <c r="C1359" s="81" t="s">
        <v>1557</v>
      </c>
      <c r="D1359" s="82" t="str">
        <f ca="1">OFFSET(Roster!$A$3,MATCH(表格1[[#This Row],[Location]]&amp;" "&amp;表格1[[#This Row],[Shop]]&amp;"*",Roster!$A$4:$A$72,0),DAY(表格1[[#This Row],[date]]),1,1)</f>
        <v>Kitty Yeung</v>
      </c>
      <c r="E1359" s="81">
        <f>MONTH(表格1[[#This Row],[date]])</f>
        <v>3</v>
      </c>
      <c r="F1359" s="90">
        <v>46085</v>
      </c>
      <c r="G1359" s="81" t="str">
        <f>VLOOKUP("*"&amp;表格1[[#This Row],[Input]]&amp;"*",'Ref-List'!$B:$D,2,)</f>
        <v>TW-T21BU80UWH(MG)</v>
      </c>
      <c r="H1359" s="81" t="str">
        <f>_xlfn.XLOOKUP(表格1[[#This Row],[Model]],表格3[Model-Input-Ref2],表格3[Product Line])</f>
        <v>400MM超薄身前置式變頻洗衣機(7公斤)</v>
      </c>
      <c r="I1359" s="81" t="str">
        <f>_xlfn.XLOOKUP(表格1[[#This Row],[Model]],表格3[Model-Input-Ref2],表格3[大小電])</f>
        <v>大電</v>
      </c>
      <c r="J1359" s="81" t="str">
        <f>_xlfn.XLOOKUP(表格1[[#This Row],[Model]],表格3[Model-Input-Ref2],表格3[Code])</f>
        <v>LAD</v>
      </c>
      <c r="K1359" s="89" t="s">
        <v>1280</v>
      </c>
      <c r="L1359" s="81">
        <v>1</v>
      </c>
      <c r="M1359" s="87">
        <v>2880</v>
      </c>
      <c r="N1359" s="85">
        <f>IFERROR(表格1[[#This Row],[QTY]]*表格1[[#This Row],[Unit Price]],"-")</f>
        <v>2880</v>
      </c>
      <c r="O1359" s="142">
        <v>4067</v>
      </c>
      <c r="R1359" s="86" t="str">
        <f>_xlfn.CONCAT(表格1[[#This Row],[Model]]," ",表格1[[#This Row],[inv no]])</f>
        <v>TW-T21BU80UWH(MG) 4067</v>
      </c>
      <c r="S1359" s="86">
        <f>_xlfn.XLOOKUP(表格1[[#This Row],[Model]],表格3[Model-Input-Ref2],表格3[SRP PRICE])</f>
        <v>5180</v>
      </c>
      <c r="T1359" s="43">
        <f>表格1[[#This Row],[Unit Price]]/表格1[[#This Row],[SRP]]</f>
        <v>0.55598455598455598</v>
      </c>
      <c r="U1359" s="86" t="str">
        <f>_xlfn.XLOOKUP(表格1[[#This Row],[Model]],表格3[Model-Input-Ref2],表格3[TOSHIBA/HIGHEST])</f>
        <v>Toshiba SRP</v>
      </c>
      <c r="V1359" s="86" t="s">
        <v>908</v>
      </c>
      <c r="W1359" s="86" t="str">
        <f>_xlfn.CONCAT(表格1[[#This Row],[欄4]],表格1[[#This Row],[inv no]])</f>
        <v>DA1384067</v>
      </c>
    </row>
    <row r="1360" spans="1:23" hidden="1">
      <c r="A1360" s="81">
        <v>1358</v>
      </c>
      <c r="B1360" s="81" t="s">
        <v>1470</v>
      </c>
      <c r="C1360" s="81" t="s">
        <v>1557</v>
      </c>
      <c r="D1360" s="82" t="str">
        <f ca="1">OFFSET(Roster!$A$3,MATCH(表格1[[#This Row],[Location]]&amp;" "&amp;表格1[[#This Row],[Shop]]&amp;"*",Roster!$A$4:$A$72,0),DAY(表格1[[#This Row],[date]]),1,1)</f>
        <v>Kitty Yeung</v>
      </c>
      <c r="E1360" s="81">
        <f>MONTH(表格1[[#This Row],[date]])</f>
        <v>3</v>
      </c>
      <c r="F1360" s="90">
        <v>46085</v>
      </c>
      <c r="G1360" s="81" t="str">
        <f>VLOOKUP("*"&amp;表格1[[#This Row],[Input]]&amp;"*",'Ref-List'!$B:$D,2,)</f>
        <v>TW-T21BU90UWH(WW)</v>
      </c>
      <c r="H1360" s="81" t="str">
        <f>_xlfn.XLOOKUP(表格1[[#This Row],[Model]],表格3[Model-Input-Ref2],表格3[Product Line])</f>
        <v>8公斤超薄身前置式變頻洗衣機</v>
      </c>
      <c r="I1360" s="81" t="str">
        <f>_xlfn.XLOOKUP(表格1[[#This Row],[Model]],表格3[Model-Input-Ref2],表格3[大小電])</f>
        <v>大電</v>
      </c>
      <c r="J1360" s="81" t="str">
        <f>_xlfn.XLOOKUP(表格1[[#This Row],[Model]],表格3[Model-Input-Ref2],表格3[Code])</f>
        <v>LAD</v>
      </c>
      <c r="K1360" s="89" t="s">
        <v>1472</v>
      </c>
      <c r="L1360" s="81">
        <v>1</v>
      </c>
      <c r="M1360" s="87">
        <v>3080</v>
      </c>
      <c r="N1360" s="85">
        <f>IFERROR(表格1[[#This Row],[QTY]]*表格1[[#This Row],[Unit Price]],"-")</f>
        <v>3080</v>
      </c>
      <c r="O1360" s="86">
        <v>4073</v>
      </c>
      <c r="R1360" s="86" t="str">
        <f>_xlfn.CONCAT(表格1[[#This Row],[Model]]," ",表格1[[#This Row],[inv no]])</f>
        <v>TW-T21BU90UWH(WW) 4073</v>
      </c>
      <c r="S1360" s="86">
        <f>_xlfn.XLOOKUP(表格1[[#This Row],[Model]],表格3[Model-Input-Ref2],表格3[SRP PRICE])</f>
        <v>5480</v>
      </c>
      <c r="T1360" s="43">
        <f>表格1[[#This Row],[Unit Price]]/表格1[[#This Row],[SRP]]</f>
        <v>0.56204379562043794</v>
      </c>
      <c r="U1360" s="86" t="str">
        <f>_xlfn.XLOOKUP(表格1[[#This Row],[Model]],表格3[Model-Input-Ref2],表格3[TOSHIBA/HIGHEST])</f>
        <v>Toshiba SRP</v>
      </c>
      <c r="V1360" s="86" t="s">
        <v>908</v>
      </c>
      <c r="W1360" s="86" t="str">
        <f>_xlfn.CONCAT(表格1[[#This Row],[欄4]],表格1[[#This Row],[inv no]])</f>
        <v>DA1384073</v>
      </c>
    </row>
    <row r="1361" spans="1:23" hidden="1">
      <c r="A1361" s="81">
        <v>1359</v>
      </c>
      <c r="B1361" s="81" t="s">
        <v>1470</v>
      </c>
      <c r="C1361" s="81" t="s">
        <v>1557</v>
      </c>
      <c r="D1361" s="82" t="str">
        <f ca="1">OFFSET(Roster!$A$3,MATCH(表格1[[#This Row],[Location]]&amp;" "&amp;表格1[[#This Row],[Shop]]&amp;"*",Roster!$A$4:$A$72,0),DAY(表格1[[#This Row],[date]]),1,1)</f>
        <v>Kitty Yeung</v>
      </c>
      <c r="E1361" s="81">
        <f>MONTH(表格1[[#This Row],[date]])</f>
        <v>3</v>
      </c>
      <c r="F1361" s="90">
        <v>46088</v>
      </c>
      <c r="G1361" s="81" t="str">
        <f>VLOOKUP("*"&amp;表格1[[#This Row],[Input]]&amp;"*",'Ref-List'!$B:$D,2,)</f>
        <v>CFK01W75</v>
      </c>
      <c r="H1361" s="81" t="str">
        <f>_xlfn.XLOOKUP(表格1[[#This Row],[Model]],表格3[Model-Input-Ref2],表格3[Product Line])</f>
        <v>變頻頂揭式洗衣機 (7.5公斤)</v>
      </c>
      <c r="I1361" s="81" t="str">
        <f>_xlfn.XLOOKUP(表格1[[#This Row],[Model]],表格3[Model-Input-Ref2],表格3[大小電])</f>
        <v>大電</v>
      </c>
      <c r="J1361" s="81" t="str">
        <f>_xlfn.XLOOKUP(表格1[[#This Row],[Model]],表格3[Model-Input-Ref2],表格3[Code])</f>
        <v>LAD</v>
      </c>
      <c r="K1361" s="89" t="s">
        <v>1266</v>
      </c>
      <c r="L1361" s="81">
        <v>1</v>
      </c>
      <c r="M1361" s="87">
        <v>3580</v>
      </c>
      <c r="N1361" s="85">
        <f>IFERROR(表格1[[#This Row],[QTY]]*表格1[[#This Row],[Unit Price]],"-")</f>
        <v>3580</v>
      </c>
      <c r="O1361" s="86">
        <v>4079</v>
      </c>
      <c r="R1361" s="86" t="str">
        <f>_xlfn.CONCAT(表格1[[#This Row],[Model]]," ",表格1[[#This Row],[inv no]])</f>
        <v>CFK01W75 4079</v>
      </c>
      <c r="S1361" s="86">
        <f>_xlfn.XLOOKUP(表格1[[#This Row],[Model]],表格3[Model-Input-Ref2],表格3[SRP PRICE])</f>
        <v>3888</v>
      </c>
      <c r="T1361" s="43">
        <f>表格1[[#This Row],[Unit Price]]/表格1[[#This Row],[SRP]]</f>
        <v>0.92078189300411528</v>
      </c>
      <c r="U1361" s="86" t="str">
        <f>_xlfn.XLOOKUP(表格1[[#This Row],[Model]],表格3[Model-Input-Ref2],表格3[TOSHIBA/HIGHEST])</f>
        <v>Shops Highest Price</v>
      </c>
      <c r="V1361" s="86" t="s">
        <v>908</v>
      </c>
      <c r="W1361" s="86" t="str">
        <f>_xlfn.CONCAT(表格1[[#This Row],[欄4]],表格1[[#This Row],[inv no]])</f>
        <v>DA1384079</v>
      </c>
    </row>
    <row r="1362" spans="1:23" hidden="1">
      <c r="A1362" s="81">
        <v>1360</v>
      </c>
      <c r="B1362" s="81" t="s">
        <v>1470</v>
      </c>
      <c r="C1362" s="81" t="s">
        <v>1557</v>
      </c>
      <c r="D1362" s="82" t="str">
        <f ca="1">OFFSET(Roster!$A$3,MATCH(表格1[[#This Row],[Location]]&amp;" "&amp;表格1[[#This Row],[Shop]]&amp;"*",Roster!$A$4:$A$72,0),DAY(表格1[[#This Row],[date]]),1,1)</f>
        <v>Kitty Yeung</v>
      </c>
      <c r="E1362" s="81">
        <f>MONTH(表格1[[#This Row],[date]])</f>
        <v>3</v>
      </c>
      <c r="F1362" s="90">
        <v>46088</v>
      </c>
      <c r="G1362" s="81" t="str">
        <f>VLOOKUP("*"&amp;表格1[[#This Row],[Input]]&amp;"*",'Ref-List'!$B:$D,2,)</f>
        <v>IC-S19RH</v>
      </c>
      <c r="H1362" s="81" t="str">
        <f>_xlfn.XLOOKUP(表格1[[#This Row],[Model]],表格3[Model-Input-Ref2],表格3[Product Line])</f>
        <v>輕便式電磁爐7個功能</v>
      </c>
      <c r="I1362" s="81" t="str">
        <f>_xlfn.XLOOKUP(表格1[[#This Row],[Model]],表格3[Model-Input-Ref2],表格3[大小電])</f>
        <v>細電</v>
      </c>
      <c r="J1362" s="81" t="str">
        <f>_xlfn.XLOOKUP(表格1[[#This Row],[Model]],表格3[Model-Input-Ref2],表格3[Code])</f>
        <v>SDA</v>
      </c>
      <c r="K1362" s="89" t="s">
        <v>1289</v>
      </c>
      <c r="L1362" s="81">
        <v>1</v>
      </c>
      <c r="M1362" s="87">
        <v>400</v>
      </c>
      <c r="N1362" s="85">
        <f>IFERROR(表格1[[#This Row],[QTY]]*表格1[[#This Row],[Unit Price]],"-")</f>
        <v>400</v>
      </c>
      <c r="O1362" s="86">
        <v>4089</v>
      </c>
      <c r="R1362" s="86" t="str">
        <f>_xlfn.CONCAT(表格1[[#This Row],[Model]]," ",表格1[[#This Row],[inv no]])</f>
        <v>IC-S19RH 4089</v>
      </c>
      <c r="S1362" s="86">
        <f>_xlfn.XLOOKUP(表格1[[#This Row],[Model]],表格3[Model-Input-Ref2],表格3[SRP PRICE])</f>
        <v>638</v>
      </c>
      <c r="T1362" s="43">
        <f>表格1[[#This Row],[Unit Price]]/表格1[[#This Row],[SRP]]</f>
        <v>0.62695924764890287</v>
      </c>
      <c r="U1362" s="86" t="str">
        <f>_xlfn.XLOOKUP(表格1[[#This Row],[Model]],表格3[Model-Input-Ref2],表格3[TOSHIBA/HIGHEST])</f>
        <v>Toshiba SRP</v>
      </c>
      <c r="V1362" s="86" t="s">
        <v>908</v>
      </c>
      <c r="W1362" s="86" t="str">
        <f>_xlfn.CONCAT(表格1[[#This Row],[欄4]],表格1[[#This Row],[inv no]])</f>
        <v>DA1384089</v>
      </c>
    </row>
    <row r="1363" spans="1:23" ht="16.5" hidden="1">
      <c r="A1363" s="81">
        <v>1361</v>
      </c>
      <c r="B1363" s="81" t="s">
        <v>1470</v>
      </c>
      <c r="C1363" s="81" t="s">
        <v>1557</v>
      </c>
      <c r="D1363" s="82" t="str">
        <f ca="1">OFFSET(Roster!$A$3,MATCH(表格1[[#This Row],[Location]]&amp;" "&amp;表格1[[#This Row],[Shop]]&amp;"*",Roster!$A$4:$A$72,0),DAY(表格1[[#This Row],[date]]),1,1)</f>
        <v>Kitty Yeung</v>
      </c>
      <c r="E1363" s="81">
        <f>MONTH(表格1[[#This Row],[date]])</f>
        <v>3</v>
      </c>
      <c r="F1363" s="90">
        <v>46088</v>
      </c>
      <c r="G1363" s="81" t="str">
        <f>VLOOKUP("*"&amp;表格1[[#This Row],[Input]]&amp;"*",'Ref-List'!$B:$D,2,)</f>
        <v>RAD-D300H</v>
      </c>
      <c r="H1363" s="81" t="str">
        <f>_xlfn.XLOOKUP(表格1[[#This Row],[Model]],表格3[Model-Input-Ref2],表格3[Product Line])</f>
        <v>壓縮式抽濕機 (30公升)</v>
      </c>
      <c r="I1363" s="81" t="str">
        <f>_xlfn.XLOOKUP(表格1[[#This Row],[Model]],表格3[Model-Input-Ref2],表格3[大小電])</f>
        <v>細電</v>
      </c>
      <c r="J1363" s="81" t="str">
        <f>_xlfn.XLOOKUP(表格1[[#This Row],[Model]],表格3[Model-Input-Ref2],表格3[Code])</f>
        <v>RAC</v>
      </c>
      <c r="K1363" s="89" t="s">
        <v>1252</v>
      </c>
      <c r="L1363" s="81">
        <v>1</v>
      </c>
      <c r="M1363" s="87">
        <v>2180</v>
      </c>
      <c r="N1363" s="85">
        <f>IFERROR(表格1[[#This Row],[QTY]]*表格1[[#This Row],[Unit Price]],"-")</f>
        <v>2180</v>
      </c>
      <c r="O1363" s="86">
        <v>4084</v>
      </c>
      <c r="P1363" s="141"/>
      <c r="R1363" s="86" t="str">
        <f>_xlfn.CONCAT(表格1[[#This Row],[Model]]," ",表格1[[#This Row],[inv no]])</f>
        <v>RAD-D300H 4084</v>
      </c>
      <c r="S1363" s="86">
        <f>_xlfn.XLOOKUP(表格1[[#This Row],[Model]],表格3[Model-Input-Ref2],表格3[SRP PRICE])</f>
        <v>3380</v>
      </c>
      <c r="T1363" s="43">
        <f>表格1[[#This Row],[Unit Price]]/表格1[[#This Row],[SRP]]</f>
        <v>0.6449704142011834</v>
      </c>
      <c r="U1363" s="86" t="str">
        <f>_xlfn.XLOOKUP(表格1[[#This Row],[Model]],表格3[Model-Input-Ref2],表格3[TOSHIBA/HIGHEST])</f>
        <v>Shops Highest Price</v>
      </c>
      <c r="V1363" s="86" t="s">
        <v>908</v>
      </c>
      <c r="W1363" s="86" t="str">
        <f>_xlfn.CONCAT(表格1[[#This Row],[欄4]],表格1[[#This Row],[inv no]])</f>
        <v>DA1384084</v>
      </c>
    </row>
    <row r="1364" spans="1:23" hidden="1">
      <c r="A1364" s="81">
        <v>1362</v>
      </c>
      <c r="B1364" s="81" t="s">
        <v>1470</v>
      </c>
      <c r="C1364" s="81" t="s">
        <v>1557</v>
      </c>
      <c r="D1364" s="82" t="str">
        <f ca="1">OFFSET(Roster!$A$3,MATCH(表格1[[#This Row],[Location]]&amp;" "&amp;表格1[[#This Row],[Shop]]&amp;"*",Roster!$A$4:$A$72,0),DAY(表格1[[#This Row],[date]]),1,1)</f>
        <v>Kitty Yeung</v>
      </c>
      <c r="E1364" s="81">
        <f>MONTH(表格1[[#This Row],[date]])</f>
        <v>3</v>
      </c>
      <c r="F1364" s="90">
        <v>46088</v>
      </c>
      <c r="G1364" s="81" t="str">
        <f>VLOOKUP("*"&amp;表格1[[#This Row],[Input]]&amp;"*",'Ref-List'!$B:$D,2,)</f>
        <v>RAD-D300H</v>
      </c>
      <c r="H1364" s="81" t="str">
        <f>_xlfn.XLOOKUP(表格1[[#This Row],[Model]],表格3[Model-Input-Ref2],表格3[Product Line])</f>
        <v>壓縮式抽濕機 (30公升)</v>
      </c>
      <c r="I1364" s="81" t="str">
        <f>_xlfn.XLOOKUP(表格1[[#This Row],[Model]],表格3[Model-Input-Ref2],表格3[大小電])</f>
        <v>細電</v>
      </c>
      <c r="J1364" s="81" t="str">
        <f>_xlfn.XLOOKUP(表格1[[#This Row],[Model]],表格3[Model-Input-Ref2],表格3[Code])</f>
        <v>RAC</v>
      </c>
      <c r="K1364" s="89" t="s">
        <v>1252</v>
      </c>
      <c r="L1364" s="81">
        <v>1</v>
      </c>
      <c r="M1364" s="87">
        <v>2180</v>
      </c>
      <c r="N1364" s="85">
        <f>IFERROR(表格1[[#This Row],[QTY]]*表格1[[#This Row],[Unit Price]],"-")</f>
        <v>2180</v>
      </c>
      <c r="O1364" s="86">
        <v>4083</v>
      </c>
      <c r="R1364" s="86" t="str">
        <f>_xlfn.CONCAT(表格1[[#This Row],[Model]]," ",表格1[[#This Row],[inv no]])</f>
        <v>RAD-D300H 4083</v>
      </c>
      <c r="S1364" s="86">
        <f>_xlfn.XLOOKUP(表格1[[#This Row],[Model]],表格3[Model-Input-Ref2],表格3[SRP PRICE])</f>
        <v>3380</v>
      </c>
      <c r="T1364" s="43">
        <f>表格1[[#This Row],[Unit Price]]/表格1[[#This Row],[SRP]]</f>
        <v>0.6449704142011834</v>
      </c>
      <c r="U1364" s="86" t="str">
        <f>_xlfn.XLOOKUP(表格1[[#This Row],[Model]],表格3[Model-Input-Ref2],表格3[TOSHIBA/HIGHEST])</f>
        <v>Shops Highest Price</v>
      </c>
      <c r="V1364" s="86" t="s">
        <v>908</v>
      </c>
      <c r="W1364" s="86" t="str">
        <f>_xlfn.CONCAT(表格1[[#This Row],[欄4]],表格1[[#This Row],[inv no]])</f>
        <v>DA1384083</v>
      </c>
    </row>
    <row r="1365" spans="1:23" hidden="1">
      <c r="A1365" s="81">
        <v>1363</v>
      </c>
      <c r="B1365" s="81" t="s">
        <v>1470</v>
      </c>
      <c r="C1365" s="81" t="s">
        <v>1557</v>
      </c>
      <c r="D1365" s="82" t="str">
        <f ca="1">OFFSET(Roster!$A$3,MATCH(表格1[[#This Row],[Location]]&amp;" "&amp;表格1[[#This Row],[Shop]]&amp;"*",Roster!$A$4:$A$72,0),DAY(表格1[[#This Row],[date]]),1,1)</f>
        <v>Kitty Yeung</v>
      </c>
      <c r="E1365" s="81">
        <f>MONTH(表格1[[#This Row],[date]])</f>
        <v>3</v>
      </c>
      <c r="F1365" s="90">
        <v>46089</v>
      </c>
      <c r="G1365" s="81" t="str">
        <f>VLOOKUP("*"&amp;表格1[[#This Row],[Input]]&amp;"*",'Ref-List'!$B:$D,2,)</f>
        <v>AW-M901BPH(WW)</v>
      </c>
      <c r="H1365" s="81" t="str">
        <f>_xlfn.XLOOKUP(表格1[[#This Row],[Model]],表格3[Model-Input-Ref2],表格3[Product Line])</f>
        <v>全自動洗衣機 (8公斤 結合高低水位)</v>
      </c>
      <c r="I1365" s="81" t="str">
        <f>_xlfn.XLOOKUP(表格1[[#This Row],[Model]],表格3[Model-Input-Ref2],表格3[大小電])</f>
        <v>大電</v>
      </c>
      <c r="J1365" s="81" t="str">
        <f>_xlfn.XLOOKUP(表格1[[#This Row],[Model]],表格3[Model-Input-Ref2],表格3[Code])</f>
        <v>WM</v>
      </c>
      <c r="K1365" s="89" t="s">
        <v>1202</v>
      </c>
      <c r="L1365" s="81">
        <v>1</v>
      </c>
      <c r="M1365" s="87">
        <v>1980</v>
      </c>
      <c r="N1365" s="85">
        <f>IFERROR(表格1[[#This Row],[QTY]]*表格1[[#This Row],[Unit Price]],"-")</f>
        <v>1980</v>
      </c>
      <c r="O1365" s="142">
        <v>4093</v>
      </c>
      <c r="R1365" s="86" t="str">
        <f>_xlfn.CONCAT(表格1[[#This Row],[Model]]," ",表格1[[#This Row],[inv no]])</f>
        <v>AW-M901BPH(WW) 4093</v>
      </c>
      <c r="S1365" s="86">
        <f>_xlfn.XLOOKUP(表格1[[#This Row],[Model]],表格3[Model-Input-Ref2],表格3[SRP PRICE])</f>
        <v>3580</v>
      </c>
      <c r="T1365" s="43">
        <f>表格1[[#This Row],[Unit Price]]/表格1[[#This Row],[SRP]]</f>
        <v>0.55307262569832405</v>
      </c>
      <c r="U1365" s="86" t="str">
        <f>_xlfn.XLOOKUP(表格1[[#This Row],[Model]],表格3[Model-Input-Ref2],表格3[TOSHIBA/HIGHEST])</f>
        <v>Toshiba SRP</v>
      </c>
      <c r="V1365" s="86" t="s">
        <v>908</v>
      </c>
      <c r="W1365" s="86" t="str">
        <f>_xlfn.CONCAT(表格1[[#This Row],[欄4]],表格1[[#This Row],[inv no]])</f>
        <v>DA1384093</v>
      </c>
    </row>
    <row r="1366" spans="1:23" hidden="1">
      <c r="A1366" s="81">
        <v>1364</v>
      </c>
      <c r="B1366" s="81" t="s">
        <v>1470</v>
      </c>
      <c r="C1366" s="81" t="s">
        <v>1557</v>
      </c>
      <c r="D1366" s="82" t="str">
        <f ca="1">OFFSET(Roster!$A$3,MATCH(表格1[[#This Row],[Location]]&amp;" "&amp;表格1[[#This Row],[Shop]]&amp;"*",Roster!$A$4:$A$72,0),DAY(表格1[[#This Row],[date]]),1,1)</f>
        <v>Kitty Yeung</v>
      </c>
      <c r="E1366" s="81">
        <f>MONTH(表格1[[#This Row],[date]])</f>
        <v>3</v>
      </c>
      <c r="F1366" s="90">
        <v>46089</v>
      </c>
      <c r="G1366" s="81" t="str">
        <f>VLOOKUP("*"&amp;表格1[[#This Row],[Input]]&amp;"*",'Ref-List'!$B:$D,2,)</f>
        <v>RAC-12G3CVRGR-HK</v>
      </c>
      <c r="H1366" s="81" t="str">
        <f>_xlfn.XLOOKUP(表格1[[#This Row],[Model]],表格3[Model-Input-Ref2],表格3[Product Line])</f>
        <v>R32變頻窗口式冷氣機 (獨立抽濕遙控</v>
      </c>
      <c r="I1366" s="81" t="str">
        <f>_xlfn.XLOOKUP(表格1[[#This Row],[Model]],表格3[Model-Input-Ref2],表格3[大小電])</f>
        <v>大電</v>
      </c>
      <c r="J1366" s="81" t="str">
        <f>_xlfn.XLOOKUP(表格1[[#This Row],[Model]],表格3[Model-Input-Ref2],表格3[Code])</f>
        <v>AC</v>
      </c>
      <c r="K1366" s="89" t="s">
        <v>1454</v>
      </c>
      <c r="L1366" s="81">
        <v>1</v>
      </c>
      <c r="M1366" s="87">
        <v>5480</v>
      </c>
      <c r="N1366" s="85">
        <f>IFERROR(表格1[[#This Row],[QTY]]*表格1[[#This Row],[Unit Price]],"-")</f>
        <v>5480</v>
      </c>
      <c r="O1366" s="142">
        <v>4094</v>
      </c>
      <c r="R1366" s="86" t="str">
        <f>_xlfn.CONCAT(表格1[[#This Row],[Model]]," ",表格1[[#This Row],[inv no]])</f>
        <v>RAC-12G3CVRGR-HK 4094</v>
      </c>
      <c r="S1366" s="86">
        <f>_xlfn.XLOOKUP(表格1[[#This Row],[Model]],表格3[Model-Input-Ref2],表格3[SRP PRICE])</f>
        <v>8680</v>
      </c>
      <c r="T1366" s="43">
        <f>表格1[[#This Row],[Unit Price]]/表格1[[#This Row],[SRP]]</f>
        <v>0.63133640552995396</v>
      </c>
      <c r="U1366" s="86" t="str">
        <f>_xlfn.XLOOKUP(表格1[[#This Row],[Model]],表格3[Model-Input-Ref2],表格3[TOSHIBA/HIGHEST])</f>
        <v>Toshiba SRP</v>
      </c>
      <c r="V1366" s="86" t="s">
        <v>908</v>
      </c>
      <c r="W1366" s="86" t="str">
        <f>_xlfn.CONCAT(表格1[[#This Row],[欄4]],表格1[[#This Row],[inv no]])</f>
        <v>DA1384094</v>
      </c>
    </row>
    <row r="1367" spans="1:23" hidden="1">
      <c r="A1367" s="81">
        <v>1365</v>
      </c>
      <c r="B1367" s="81" t="s">
        <v>1470</v>
      </c>
      <c r="C1367" s="81" t="s">
        <v>1557</v>
      </c>
      <c r="D1367" s="82" t="str">
        <f ca="1">OFFSET(Roster!$A$3,MATCH(表格1[[#This Row],[Location]]&amp;" "&amp;表格1[[#This Row],[Shop]]&amp;"*",Roster!$A$4:$A$72,0),DAY(表格1[[#This Row],[date]]),1,1)</f>
        <v>Kitty Yeung</v>
      </c>
      <c r="E1367" s="81">
        <f>MONTH(表格1[[#This Row],[date]])</f>
        <v>3</v>
      </c>
      <c r="F1367" s="90">
        <v>46089</v>
      </c>
      <c r="G1367" s="81" t="str">
        <f>VLOOKUP("*"&amp;表格1[[#This Row],[Input]]&amp;"*",'Ref-List'!$B:$D,2,)</f>
        <v>TP-25DR2UHK(W)</v>
      </c>
      <c r="H1367" s="81" t="str">
        <f>_xlfn.XLOOKUP(表格1[[#This Row],[Model]],表格3[Model-Input-Ref2],表格3[Product Line])</f>
        <v>電熱水瓶 (2.5公升)</v>
      </c>
      <c r="I1367" s="81" t="str">
        <f>_xlfn.XLOOKUP(表格1[[#This Row],[Model]],表格3[Model-Input-Ref2],表格3[大小電])</f>
        <v>細電</v>
      </c>
      <c r="J1367" s="81" t="str">
        <f>_xlfn.XLOOKUP(表格1[[#This Row],[Model]],表格3[Model-Input-Ref2],表格3[Code])</f>
        <v>SDA</v>
      </c>
      <c r="K1367" s="89" t="s">
        <v>1285</v>
      </c>
      <c r="L1367" s="81">
        <v>1</v>
      </c>
      <c r="M1367" s="87">
        <v>388</v>
      </c>
      <c r="N1367" s="85">
        <f>IFERROR(表格1[[#This Row],[QTY]]*表格1[[#This Row],[Unit Price]],"-")</f>
        <v>388</v>
      </c>
      <c r="O1367" s="86">
        <v>4097</v>
      </c>
      <c r="R1367" s="86" t="str">
        <f>_xlfn.CONCAT(表格1[[#This Row],[Model]]," ",表格1[[#This Row],[inv no]])</f>
        <v>TP-25DR2UHK(W) 4097</v>
      </c>
      <c r="S1367" s="86">
        <f>_xlfn.XLOOKUP(表格1[[#This Row],[Model]],表格3[Model-Input-Ref2],表格3[SRP PRICE])</f>
        <v>538</v>
      </c>
      <c r="T1367" s="43">
        <f>表格1[[#This Row],[Unit Price]]/表格1[[#This Row],[SRP]]</f>
        <v>0.72118959107806691</v>
      </c>
      <c r="U1367" s="86" t="str">
        <f>_xlfn.XLOOKUP(表格1[[#This Row],[Model]],表格3[Model-Input-Ref2],表格3[TOSHIBA/HIGHEST])</f>
        <v>Toshiba SRP</v>
      </c>
      <c r="V1367" s="86" t="s">
        <v>908</v>
      </c>
      <c r="W1367" s="86" t="str">
        <f>_xlfn.CONCAT(表格1[[#This Row],[欄4]],表格1[[#This Row],[inv no]])</f>
        <v>DA1384097</v>
      </c>
    </row>
    <row r="1368" spans="1:23" hidden="1">
      <c r="A1368" s="81">
        <v>1366</v>
      </c>
      <c r="B1368" s="81" t="s">
        <v>1470</v>
      </c>
      <c r="C1368" s="81" t="s">
        <v>1557</v>
      </c>
      <c r="D1368" s="82" t="str">
        <f ca="1">OFFSET(Roster!$A$3,MATCH(表格1[[#This Row],[Location]]&amp;" "&amp;表格1[[#This Row],[Shop]]&amp;"*",Roster!$A$4:$A$72,0),DAY(表格1[[#This Row],[date]]),1,1)</f>
        <v>Kitty Yeung</v>
      </c>
      <c r="E1368" s="81">
        <f>MONTH(表格1[[#This Row],[date]])</f>
        <v>3</v>
      </c>
      <c r="F1368" s="90">
        <v>46090</v>
      </c>
      <c r="G1368" s="81" t="str">
        <f>VLOOKUP("*"&amp;表格1[[#This Row],[Input]]&amp;"*",'Ref-List'!$B:$D,2,)</f>
        <v>IC-21TSHK</v>
      </c>
      <c r="H1368" s="81" t="str">
        <f>_xlfn.XLOOKUP(表格1[[#This Row],[Model]],表格3[Model-Input-Ref2],表格3[Product Line])</f>
        <v>Induction Cooker</v>
      </c>
      <c r="I1368" s="81" t="str">
        <f>_xlfn.XLOOKUP(表格1[[#This Row],[Model]],表格3[Model-Input-Ref2],表格3[大小電])</f>
        <v>細電</v>
      </c>
      <c r="J1368" s="81" t="str">
        <f>_xlfn.XLOOKUP(表格1[[#This Row],[Model]],表格3[Model-Input-Ref2],表格3[Code])</f>
        <v>SDA</v>
      </c>
      <c r="K1368" s="89" t="s">
        <v>1242</v>
      </c>
      <c r="L1368" s="81">
        <v>1</v>
      </c>
      <c r="M1368" s="87">
        <v>798</v>
      </c>
      <c r="N1368" s="85">
        <f>IFERROR(表格1[[#This Row],[QTY]]*表格1[[#This Row],[Unit Price]],"-")</f>
        <v>798</v>
      </c>
      <c r="O1368" s="86">
        <v>4112</v>
      </c>
      <c r="R1368" s="86" t="str">
        <f>_xlfn.CONCAT(表格1[[#This Row],[Model]]," ",表格1[[#This Row],[inv no]])</f>
        <v>IC-21TSHK 4112</v>
      </c>
      <c r="S1368" s="86">
        <f>_xlfn.XLOOKUP(表格1[[#This Row],[Model]],表格3[Model-Input-Ref2],表格3[SRP PRICE])</f>
        <v>998</v>
      </c>
      <c r="T1368" s="43">
        <f>表格1[[#This Row],[Unit Price]]/表格1[[#This Row],[SRP]]</f>
        <v>0.79959919839679361</v>
      </c>
      <c r="U1368" s="86" t="str">
        <f>_xlfn.XLOOKUP(表格1[[#This Row],[Model]],表格3[Model-Input-Ref2],表格3[TOSHIBA/HIGHEST])</f>
        <v>web SRP</v>
      </c>
      <c r="V1368" s="86" t="s">
        <v>908</v>
      </c>
      <c r="W1368" s="86" t="str">
        <f>_xlfn.CONCAT(表格1[[#This Row],[欄4]],表格1[[#This Row],[inv no]])</f>
        <v>DA1384112</v>
      </c>
    </row>
    <row r="1369" spans="1:23" hidden="1">
      <c r="A1369" s="81">
        <v>1367</v>
      </c>
      <c r="B1369" s="81" t="s">
        <v>1470</v>
      </c>
      <c r="C1369" s="81" t="s">
        <v>1557</v>
      </c>
      <c r="D1369" s="82" t="str">
        <f ca="1">OFFSET(Roster!$A$3,MATCH(表格1[[#This Row],[Location]]&amp;" "&amp;表格1[[#This Row],[Shop]]&amp;"*",Roster!$A$4:$A$72,0),DAY(表格1[[#This Row],[date]]),1,1)</f>
        <v>Kitty Yeung</v>
      </c>
      <c r="E1369" s="81">
        <f>MONTH(表格1[[#This Row],[date]])</f>
        <v>3</v>
      </c>
      <c r="F1369" s="90">
        <v>46090</v>
      </c>
      <c r="G1369" s="81" t="str">
        <f>VLOOKUP("*"&amp;表格1[[#This Row],[Input]]&amp;"*",'Ref-List'!$B:$D,2,)</f>
        <v>TW-T22BU95UWH(WK)-B</v>
      </c>
      <c r="H1369" s="81" t="str">
        <f>_xlfn.XLOOKUP(表格1[[#This Row],[Model]],表格3[Model-Input-Ref2],表格3[Product Line])</f>
        <v>470MM超薄身前置式變頻洗衣機(8.5公斤, 可飛頂)</v>
      </c>
      <c r="I1369" s="81" t="str">
        <f>_xlfn.XLOOKUP(表格1[[#This Row],[Model]],表格3[Model-Input-Ref2],表格3[大小電])</f>
        <v>大電</v>
      </c>
      <c r="J1369" s="81" t="str">
        <f>_xlfn.XLOOKUP(表格1[[#This Row],[Model]],表格3[Model-Input-Ref2],表格3[Code])</f>
        <v>LAD</v>
      </c>
      <c r="K1369" s="89" t="s">
        <v>969</v>
      </c>
      <c r="L1369" s="81">
        <v>1</v>
      </c>
      <c r="M1369" s="87">
        <v>3680</v>
      </c>
      <c r="N1369" s="85">
        <f>IFERROR(表格1[[#This Row],[QTY]]*表格1[[#This Row],[Unit Price]],"-")</f>
        <v>3680</v>
      </c>
      <c r="O1369" s="142">
        <v>4106</v>
      </c>
      <c r="R1369" s="86" t="str">
        <f>_xlfn.CONCAT(表格1[[#This Row],[Model]]," ",表格1[[#This Row],[inv no]])</f>
        <v>TW-T22BU95UWH(WK)-B 4106</v>
      </c>
      <c r="S1369" s="86">
        <f>_xlfn.XLOOKUP(表格1[[#This Row],[Model]],表格3[Model-Input-Ref2],表格3[SRP PRICE])</f>
        <v>5880</v>
      </c>
      <c r="T1369" s="43">
        <f>表格1[[#This Row],[Unit Price]]/表格1[[#This Row],[SRP]]</f>
        <v>0.62585034013605445</v>
      </c>
      <c r="U1369" s="86" t="str">
        <f>_xlfn.XLOOKUP(表格1[[#This Row],[Model]],表格3[Model-Input-Ref2],表格3[TOSHIBA/HIGHEST])</f>
        <v>Toshiba SRP</v>
      </c>
      <c r="V1369" s="86" t="s">
        <v>908</v>
      </c>
      <c r="W1369" s="86" t="str">
        <f>_xlfn.CONCAT(表格1[[#This Row],[欄4]],表格1[[#This Row],[inv no]])</f>
        <v>DA1384106</v>
      </c>
    </row>
    <row r="1370" spans="1:23" hidden="1">
      <c r="A1370" s="81">
        <v>1368</v>
      </c>
      <c r="B1370" s="81" t="s">
        <v>1470</v>
      </c>
      <c r="C1370" s="81" t="s">
        <v>1557</v>
      </c>
      <c r="D1370" s="82" t="str">
        <f ca="1">OFFSET(Roster!$A$3,MATCH(表格1[[#This Row],[Location]]&amp;" "&amp;表格1[[#This Row],[Shop]]&amp;"*",Roster!$A$4:$A$72,0),DAY(表格1[[#This Row],[date]]),1,1)</f>
        <v>Kitty Yeung</v>
      </c>
      <c r="E1370" s="81">
        <f>MONTH(表格1[[#This Row],[date]])</f>
        <v>3</v>
      </c>
      <c r="F1370" s="90">
        <v>46090</v>
      </c>
      <c r="G1370" s="81" t="str">
        <f>VLOOKUP("*"&amp;表格1[[#This Row],[Input]]&amp;"*",'Ref-List'!$B:$D,2,)</f>
        <v>AW-Q801APH(WW)</v>
      </c>
      <c r="H1370" s="81" t="str">
        <f>_xlfn.XLOOKUP(表格1[[#This Row],[Model]],表格3[Model-Input-Ref2],表格3[Product Line])</f>
        <v>日式洗衣機 (7公斤 結合高低水位)</v>
      </c>
      <c r="I1370" s="81" t="str">
        <f>_xlfn.XLOOKUP(表格1[[#This Row],[Model]],表格3[Model-Input-Ref2],表格3[大小電])</f>
        <v>大電</v>
      </c>
      <c r="J1370" s="81" t="str">
        <f>_xlfn.XLOOKUP(表格1[[#This Row],[Model]],表格3[Model-Input-Ref2],表格3[Code])</f>
        <v>LAD</v>
      </c>
      <c r="K1370" s="89" t="s">
        <v>1420</v>
      </c>
      <c r="L1370" s="81">
        <v>1</v>
      </c>
      <c r="M1370" s="87">
        <v>2080</v>
      </c>
      <c r="N1370" s="85">
        <f>IFERROR(表格1[[#This Row],[QTY]]*表格1[[#This Row],[Unit Price]],"-")</f>
        <v>2080</v>
      </c>
      <c r="O1370" s="86">
        <v>4103</v>
      </c>
      <c r="R1370" s="86" t="str">
        <f>_xlfn.CONCAT(表格1[[#This Row],[Model]]," ",表格1[[#This Row],[inv no]])</f>
        <v>AW-Q801APH(WW) 4103</v>
      </c>
      <c r="S1370" s="86">
        <f>_xlfn.XLOOKUP(表格1[[#This Row],[Model]],表格3[Model-Input-Ref2],表格3[SRP PRICE])</f>
        <v>3380</v>
      </c>
      <c r="T1370" s="43">
        <f>表格1[[#This Row],[Unit Price]]/表格1[[#This Row],[SRP]]</f>
        <v>0.61538461538461542</v>
      </c>
      <c r="U1370" s="86" t="str">
        <f>_xlfn.XLOOKUP(表格1[[#This Row],[Model]],表格3[Model-Input-Ref2],表格3[TOSHIBA/HIGHEST])</f>
        <v>Toshiba SRP</v>
      </c>
      <c r="V1370" s="86" t="s">
        <v>908</v>
      </c>
      <c r="W1370" s="86" t="str">
        <f>_xlfn.CONCAT(表格1[[#This Row],[欄4]],表格1[[#This Row],[inv no]])</f>
        <v>DA1384103</v>
      </c>
    </row>
    <row r="1371" spans="1:23" hidden="1">
      <c r="A1371" s="81">
        <v>1369</v>
      </c>
      <c r="B1371" s="81" t="s">
        <v>1470</v>
      </c>
      <c r="C1371" s="81" t="s">
        <v>1557</v>
      </c>
      <c r="D1371" s="82" t="str">
        <f ca="1">OFFSET(Roster!$A$3,MATCH(表格1[[#This Row],[Location]]&amp;" "&amp;表格1[[#This Row],[Shop]]&amp;"*",Roster!$A$4:$A$72,0),DAY(表格1[[#This Row],[date]]),1,1)</f>
        <v>Kitty Yeung</v>
      </c>
      <c r="E1371" s="81">
        <f>MONTH(表格1[[#This Row],[date]])</f>
        <v>3</v>
      </c>
      <c r="F1371" s="90">
        <v>46090</v>
      </c>
      <c r="G1371" s="81" t="str">
        <f>VLOOKUP("*"&amp;表格1[[#This Row],[Input]]&amp;"*",'Ref-List'!$B:$D,2,)</f>
        <v>TWD-T22BU95UWH(WK)-B</v>
      </c>
      <c r="H1371" s="81" t="str">
        <f>_xlfn.XLOOKUP(表格1[[#This Row],[Model]],表格3[Model-Input-Ref2],表格3[Product Line])</f>
        <v>470MM超薄身前置式變頻洗衣乾衣機 (洗8.5公斤/乾6公斤, 可飛頂)</v>
      </c>
      <c r="I1371" s="81" t="str">
        <f>_xlfn.XLOOKUP(表格1[[#This Row],[Model]],表格3[Model-Input-Ref2],表格3[大小電])</f>
        <v>大電</v>
      </c>
      <c r="J1371" s="81" t="str">
        <f>_xlfn.XLOOKUP(表格1[[#This Row],[Model]],表格3[Model-Input-Ref2],表格3[Code])</f>
        <v>LAD</v>
      </c>
      <c r="K1371" s="89" t="s">
        <v>1421</v>
      </c>
      <c r="L1371" s="81">
        <v>1</v>
      </c>
      <c r="M1371" s="87">
        <v>4580</v>
      </c>
      <c r="N1371" s="85">
        <f>IFERROR(表格1[[#This Row],[QTY]]*表格1[[#This Row],[Unit Price]],"-")</f>
        <v>4580</v>
      </c>
      <c r="O1371" s="86">
        <v>4121</v>
      </c>
      <c r="R1371" s="86" t="str">
        <f>_xlfn.CONCAT(表格1[[#This Row],[Model]]," ",表格1[[#This Row],[inv no]])</f>
        <v>TWD-T22BU95UWH(WK)-B 4121</v>
      </c>
      <c r="S1371" s="86">
        <f>_xlfn.XLOOKUP(表格1[[#This Row],[Model]],表格3[Model-Input-Ref2],表格3[SRP PRICE])</f>
        <v>7480</v>
      </c>
      <c r="T1371" s="43">
        <f>表格1[[#This Row],[Unit Price]]/表格1[[#This Row],[SRP]]</f>
        <v>0.61229946524064172</v>
      </c>
      <c r="U1371" s="86" t="str">
        <f>_xlfn.XLOOKUP(表格1[[#This Row],[Model]],表格3[Model-Input-Ref2],表格3[TOSHIBA/HIGHEST])</f>
        <v>Toshiba SRP</v>
      </c>
      <c r="V1371" s="86" t="s">
        <v>989</v>
      </c>
      <c r="W1371" s="86" t="str">
        <f>_xlfn.CONCAT(表格1[[#This Row],[欄4]],表格1[[#This Row],[inv no]])</f>
        <v>DA1404121</v>
      </c>
    </row>
    <row r="1372" spans="1:23" hidden="1">
      <c r="A1372" s="81">
        <v>1370</v>
      </c>
      <c r="B1372" s="81" t="s">
        <v>1470</v>
      </c>
      <c r="C1372" s="81" t="s">
        <v>1557</v>
      </c>
      <c r="D1372" s="82" t="str">
        <f ca="1">OFFSET(Roster!$A$3,MATCH(表格1[[#This Row],[Location]]&amp;" "&amp;表格1[[#This Row],[Shop]]&amp;"*",Roster!$A$4:$A$72,0),DAY(表格1[[#This Row],[date]]),1,1)</f>
        <v>Kitty Yeung</v>
      </c>
      <c r="E1372" s="81">
        <f>MONTH(表格1[[#This Row],[date]])</f>
        <v>3</v>
      </c>
      <c r="F1372" s="90">
        <v>46090</v>
      </c>
      <c r="G1372" s="81" t="str">
        <f>VLOOKUP("*"&amp;表格1[[#This Row],[Input]]&amp;"*",'Ref-List'!$B:$D,2,)</f>
        <v>TWD-T22BU95UWH(WK)-B</v>
      </c>
      <c r="H1372" s="81" t="str">
        <f>_xlfn.XLOOKUP(表格1[[#This Row],[Model]],表格3[Model-Input-Ref2],表格3[Product Line])</f>
        <v>470MM超薄身前置式變頻洗衣乾衣機 (洗8.5公斤/乾6公斤, 可飛頂)</v>
      </c>
      <c r="I1372" s="81" t="str">
        <f>_xlfn.XLOOKUP(表格1[[#This Row],[Model]],表格3[Model-Input-Ref2],表格3[大小電])</f>
        <v>大電</v>
      </c>
      <c r="J1372" s="81" t="str">
        <f>_xlfn.XLOOKUP(表格1[[#This Row],[Model]],表格3[Model-Input-Ref2],表格3[Code])</f>
        <v>LAD</v>
      </c>
      <c r="K1372" s="89" t="s">
        <v>1421</v>
      </c>
      <c r="L1372" s="81">
        <v>1</v>
      </c>
      <c r="M1372" s="87">
        <v>4580</v>
      </c>
      <c r="N1372" s="85">
        <f>IFERROR(表格1[[#This Row],[QTY]]*表格1[[#This Row],[Unit Price]],"-")</f>
        <v>4580</v>
      </c>
      <c r="O1372" s="86">
        <v>4116</v>
      </c>
      <c r="R1372" s="86" t="str">
        <f>_xlfn.CONCAT(表格1[[#This Row],[Model]]," ",表格1[[#This Row],[inv no]])</f>
        <v>TWD-T22BU95UWH(WK)-B 4116</v>
      </c>
      <c r="S1372" s="86">
        <f>_xlfn.XLOOKUP(表格1[[#This Row],[Model]],表格3[Model-Input-Ref2],表格3[SRP PRICE])</f>
        <v>7480</v>
      </c>
      <c r="T1372" s="43">
        <f>表格1[[#This Row],[Unit Price]]/表格1[[#This Row],[SRP]]</f>
        <v>0.61229946524064172</v>
      </c>
      <c r="U1372" s="86" t="str">
        <f>_xlfn.XLOOKUP(表格1[[#This Row],[Model]],表格3[Model-Input-Ref2],表格3[TOSHIBA/HIGHEST])</f>
        <v>Toshiba SRP</v>
      </c>
      <c r="V1372" s="86" t="s">
        <v>989</v>
      </c>
      <c r="W1372" s="86" t="str">
        <f>_xlfn.CONCAT(表格1[[#This Row],[欄4]],表格1[[#This Row],[inv no]])</f>
        <v>DA1404116</v>
      </c>
    </row>
    <row r="1373" spans="1:23" hidden="1">
      <c r="A1373" s="81">
        <v>1371</v>
      </c>
      <c r="B1373" s="81" t="s">
        <v>1470</v>
      </c>
      <c r="C1373" s="81" t="s">
        <v>1557</v>
      </c>
      <c r="D1373" s="82" t="str">
        <f ca="1">OFFSET(Roster!$A$3,MATCH(表格1[[#This Row],[Location]]&amp;" "&amp;表格1[[#This Row],[Shop]]&amp;"*",Roster!$A$4:$A$72,0),DAY(表格1[[#This Row],[date]]),1,1)</f>
        <v>Kitty Yeung</v>
      </c>
      <c r="E1373" s="81">
        <f>MONTH(表格1[[#This Row],[date]])</f>
        <v>3</v>
      </c>
      <c r="F1373" s="90">
        <v>46090</v>
      </c>
      <c r="G1373" s="81" t="str">
        <f>VLOOKUP("*"&amp;表格1[[#This Row],[Input]]&amp;"*",'Ref-List'!$B:$D,2,)</f>
        <v>TW-T22BU95UWH(WK)-B</v>
      </c>
      <c r="H1373" s="81" t="str">
        <f>_xlfn.XLOOKUP(表格1[[#This Row],[Model]],表格3[Model-Input-Ref2],表格3[Product Line])</f>
        <v>470MM超薄身前置式變頻洗衣機(8.5公斤, 可飛頂)</v>
      </c>
      <c r="I1373" s="81" t="str">
        <f>_xlfn.XLOOKUP(表格1[[#This Row],[Model]],表格3[Model-Input-Ref2],表格3[大小電])</f>
        <v>大電</v>
      </c>
      <c r="J1373" s="81" t="str">
        <f>_xlfn.XLOOKUP(表格1[[#This Row],[Model]],表格3[Model-Input-Ref2],表格3[Code])</f>
        <v>LAD</v>
      </c>
      <c r="K1373" s="89" t="s">
        <v>969</v>
      </c>
      <c r="L1373" s="81">
        <v>1</v>
      </c>
      <c r="M1373" s="87">
        <v>3480</v>
      </c>
      <c r="N1373" s="85">
        <f>IFERROR(表格1[[#This Row],[QTY]]*表格1[[#This Row],[Unit Price]],"-")</f>
        <v>3480</v>
      </c>
      <c r="O1373" s="86">
        <v>4115</v>
      </c>
      <c r="R1373" s="86" t="str">
        <f>_xlfn.CONCAT(表格1[[#This Row],[Model]]," ",表格1[[#This Row],[inv no]])</f>
        <v>TW-T22BU95UWH(WK)-B 4115</v>
      </c>
      <c r="S1373" s="86">
        <f>_xlfn.XLOOKUP(表格1[[#This Row],[Model]],表格3[Model-Input-Ref2],表格3[SRP PRICE])</f>
        <v>5880</v>
      </c>
      <c r="T1373" s="43">
        <f>表格1[[#This Row],[Unit Price]]/表格1[[#This Row],[SRP]]</f>
        <v>0.59183673469387754</v>
      </c>
      <c r="U1373" s="86" t="str">
        <f>_xlfn.XLOOKUP(表格1[[#This Row],[Model]],表格3[Model-Input-Ref2],表格3[TOSHIBA/HIGHEST])</f>
        <v>Toshiba SRP</v>
      </c>
      <c r="V1373" s="86" t="s">
        <v>988</v>
      </c>
      <c r="W1373" s="86" t="str">
        <f>_xlfn.CONCAT(表格1[[#This Row],[欄4]],表格1[[#This Row],[inv no]])</f>
        <v>DA1404115</v>
      </c>
    </row>
    <row r="1374" spans="1:23" hidden="1">
      <c r="A1374" s="81">
        <v>1372</v>
      </c>
      <c r="B1374" s="81" t="s">
        <v>1470</v>
      </c>
      <c r="C1374" s="81" t="s">
        <v>1557</v>
      </c>
      <c r="D1374" s="82" t="str">
        <f ca="1">OFFSET(Roster!$A$3,MATCH(表格1[[#This Row],[Location]]&amp;" "&amp;表格1[[#This Row],[Shop]]&amp;"*",Roster!$A$4:$A$72,0),DAY(表格1[[#This Row],[date]]),1,1)</f>
        <v>Kitty Yeung</v>
      </c>
      <c r="E1374" s="81">
        <f>MONTH(表格1[[#This Row],[date]])</f>
        <v>3</v>
      </c>
      <c r="F1374" s="90">
        <v>46091</v>
      </c>
      <c r="G1374" s="81" t="str">
        <f>VLOOKUP("*"&amp;表格1[[#This Row],[Input]]&amp;"*",'Ref-List'!$B:$D,2,)</f>
        <v>AW-M901BPH(WW)</v>
      </c>
      <c r="H1374" s="81" t="str">
        <f>_xlfn.XLOOKUP(表格1[[#This Row],[Model]],表格3[Model-Input-Ref2],表格3[Product Line])</f>
        <v>全自動洗衣機 (8公斤 結合高低水位)</v>
      </c>
      <c r="I1374" s="81" t="str">
        <f>_xlfn.XLOOKUP(表格1[[#This Row],[Model]],表格3[Model-Input-Ref2],表格3[大小電])</f>
        <v>大電</v>
      </c>
      <c r="J1374" s="81" t="str">
        <f>_xlfn.XLOOKUP(表格1[[#This Row],[Model]],表格3[Model-Input-Ref2],表格3[Code])</f>
        <v>WM</v>
      </c>
      <c r="K1374" s="89" t="s">
        <v>1202</v>
      </c>
      <c r="L1374" s="81">
        <v>1</v>
      </c>
      <c r="M1374" s="87">
        <v>1980</v>
      </c>
      <c r="N1374" s="85">
        <f>IFERROR(表格1[[#This Row],[QTY]]*表格1[[#This Row],[Unit Price]],"-")</f>
        <v>1980</v>
      </c>
      <c r="O1374" s="142">
        <v>4123</v>
      </c>
      <c r="R1374" s="86" t="str">
        <f>_xlfn.CONCAT(表格1[[#This Row],[Model]]," ",表格1[[#This Row],[inv no]])</f>
        <v>AW-M901BPH(WW) 4123</v>
      </c>
      <c r="S1374" s="86">
        <f>_xlfn.XLOOKUP(表格1[[#This Row],[Model]],表格3[Model-Input-Ref2],表格3[SRP PRICE])</f>
        <v>3580</v>
      </c>
      <c r="T1374" s="43">
        <f>表格1[[#This Row],[Unit Price]]/表格1[[#This Row],[SRP]]</f>
        <v>0.55307262569832405</v>
      </c>
      <c r="U1374" s="86" t="str">
        <f>_xlfn.XLOOKUP(表格1[[#This Row],[Model]],表格3[Model-Input-Ref2],表格3[TOSHIBA/HIGHEST])</f>
        <v>Toshiba SRP</v>
      </c>
      <c r="V1374" s="86" t="s">
        <v>988</v>
      </c>
      <c r="W1374" s="86" t="str">
        <f>_xlfn.CONCAT(表格1[[#This Row],[欄4]],表格1[[#This Row],[inv no]])</f>
        <v>DA1404123</v>
      </c>
    </row>
    <row r="1375" spans="1:23" hidden="1">
      <c r="A1375" s="81">
        <v>1373</v>
      </c>
      <c r="B1375" s="81" t="s">
        <v>1470</v>
      </c>
      <c r="C1375" s="81" t="s">
        <v>1557</v>
      </c>
      <c r="D1375" s="82" t="str">
        <f ca="1">OFFSET(Roster!$A$3,MATCH(表格1[[#This Row],[Location]]&amp;" "&amp;表格1[[#This Row],[Shop]]&amp;"*",Roster!$A$4:$A$72,0),DAY(表格1[[#This Row],[date]]),1,1)</f>
        <v>Kitty Yeung</v>
      </c>
      <c r="E1375" s="81">
        <f>MONTH(表格1[[#This Row],[date]])</f>
        <v>3</v>
      </c>
      <c r="F1375" s="90">
        <v>46091</v>
      </c>
      <c r="G1375" s="81" t="str">
        <f>VLOOKUP("*"&amp;表格1[[#This Row],[Input]]&amp;"*",'Ref-List'!$B:$D,2,)</f>
        <v>TW-T21BU90UWH(WW)</v>
      </c>
      <c r="H1375" s="81" t="str">
        <f>_xlfn.XLOOKUP(表格1[[#This Row],[Model]],表格3[Model-Input-Ref2],表格3[Product Line])</f>
        <v>8公斤超薄身前置式變頻洗衣機</v>
      </c>
      <c r="I1375" s="81" t="str">
        <f>_xlfn.XLOOKUP(表格1[[#This Row],[Model]],表格3[Model-Input-Ref2],表格3[大小電])</f>
        <v>大電</v>
      </c>
      <c r="J1375" s="81" t="str">
        <f>_xlfn.XLOOKUP(表格1[[#This Row],[Model]],表格3[Model-Input-Ref2],表格3[Code])</f>
        <v>LAD</v>
      </c>
      <c r="K1375" s="89" t="s">
        <v>1472</v>
      </c>
      <c r="L1375" s="81">
        <v>1</v>
      </c>
      <c r="M1375" s="87">
        <v>3180</v>
      </c>
      <c r="N1375" s="85">
        <f>IFERROR(表格1[[#This Row],[QTY]]*表格1[[#This Row],[Unit Price]],"-")</f>
        <v>3180</v>
      </c>
      <c r="O1375" s="142">
        <v>4125</v>
      </c>
      <c r="R1375" s="86" t="str">
        <f>_xlfn.CONCAT(表格1[[#This Row],[Model]]," ",表格1[[#This Row],[inv no]])</f>
        <v>TW-T21BU90UWH(WW) 4125</v>
      </c>
      <c r="S1375" s="86">
        <f>_xlfn.XLOOKUP(表格1[[#This Row],[Model]],表格3[Model-Input-Ref2],表格3[SRP PRICE])</f>
        <v>5480</v>
      </c>
      <c r="T1375" s="43">
        <f>表格1[[#This Row],[Unit Price]]/表格1[[#This Row],[SRP]]</f>
        <v>0.58029197080291972</v>
      </c>
      <c r="U1375" s="86" t="str">
        <f>_xlfn.XLOOKUP(表格1[[#This Row],[Model]],表格3[Model-Input-Ref2],表格3[TOSHIBA/HIGHEST])</f>
        <v>Toshiba SRP</v>
      </c>
      <c r="V1375" s="86" t="s">
        <v>988</v>
      </c>
      <c r="W1375" s="86" t="str">
        <f>_xlfn.CONCAT(表格1[[#This Row],[欄4]],表格1[[#This Row],[inv no]])</f>
        <v>DA1404125</v>
      </c>
    </row>
    <row r="1376" spans="1:23" hidden="1">
      <c r="A1376" s="81">
        <v>1374</v>
      </c>
      <c r="B1376" s="81" t="s">
        <v>1470</v>
      </c>
      <c r="C1376" s="81" t="s">
        <v>1557</v>
      </c>
      <c r="D1376" s="82" t="str">
        <f ca="1">OFFSET(Roster!$A$3,MATCH(表格1[[#This Row],[Location]]&amp;" "&amp;表格1[[#This Row],[Shop]]&amp;"*",Roster!$A$4:$A$72,0),DAY(表格1[[#This Row],[date]]),1,1)</f>
        <v>Kitty Yeung</v>
      </c>
      <c r="E1376" s="81">
        <f>MONTH(表格1[[#This Row],[date]])</f>
        <v>3</v>
      </c>
      <c r="F1376" s="90">
        <v>46092</v>
      </c>
      <c r="G1376" s="81" t="str">
        <f>VLOOKUP("*"&amp;表格1[[#This Row],[Input]]&amp;"*",'Ref-List'!$B:$D,2,)</f>
        <v>AW-Q801APH(WW)</v>
      </c>
      <c r="H1376" s="81" t="str">
        <f>_xlfn.XLOOKUP(表格1[[#This Row],[Model]],表格3[Model-Input-Ref2],表格3[Product Line])</f>
        <v>日式洗衣機 (7公斤 結合高低水位)</v>
      </c>
      <c r="I1376" s="81" t="str">
        <f>_xlfn.XLOOKUP(表格1[[#This Row],[Model]],表格3[Model-Input-Ref2],表格3[大小電])</f>
        <v>大電</v>
      </c>
      <c r="J1376" s="81" t="str">
        <f>_xlfn.XLOOKUP(表格1[[#This Row],[Model]],表格3[Model-Input-Ref2],表格3[Code])</f>
        <v>LAD</v>
      </c>
      <c r="K1376" s="89" t="s">
        <v>1420</v>
      </c>
      <c r="L1376" s="81">
        <v>1</v>
      </c>
      <c r="M1376" s="87">
        <v>2080</v>
      </c>
      <c r="N1376" s="85">
        <f>IFERROR(表格1[[#This Row],[QTY]]*表格1[[#This Row],[Unit Price]],"-")</f>
        <v>2080</v>
      </c>
      <c r="O1376" s="86">
        <v>4128</v>
      </c>
      <c r="R1376" s="86" t="str">
        <f>_xlfn.CONCAT(表格1[[#This Row],[Model]]," ",表格1[[#This Row],[inv no]])</f>
        <v>AW-Q801APH(WW) 4128</v>
      </c>
      <c r="S1376" s="86">
        <f>_xlfn.XLOOKUP(表格1[[#This Row],[Model]],表格3[Model-Input-Ref2],表格3[SRP PRICE])</f>
        <v>3380</v>
      </c>
      <c r="T1376" s="43">
        <f>表格1[[#This Row],[Unit Price]]/表格1[[#This Row],[SRP]]</f>
        <v>0.61538461538461542</v>
      </c>
      <c r="U1376" s="86" t="str">
        <f>_xlfn.XLOOKUP(表格1[[#This Row],[Model]],表格3[Model-Input-Ref2],表格3[TOSHIBA/HIGHEST])</f>
        <v>Toshiba SRP</v>
      </c>
      <c r="V1376" s="86" t="s">
        <v>988</v>
      </c>
      <c r="W1376" s="86" t="str">
        <f>_xlfn.CONCAT(表格1[[#This Row],[欄4]],表格1[[#This Row],[inv no]])</f>
        <v>DA1404128</v>
      </c>
    </row>
    <row r="1377" spans="1:23" hidden="1">
      <c r="A1377" s="81">
        <v>1375</v>
      </c>
      <c r="B1377" s="81" t="s">
        <v>1470</v>
      </c>
      <c r="C1377" s="81" t="s">
        <v>1557</v>
      </c>
      <c r="D1377" s="82" t="str">
        <f ca="1">OFFSET(Roster!$A$3,MATCH(表格1[[#This Row],[Location]]&amp;" "&amp;表格1[[#This Row],[Shop]]&amp;"*",Roster!$A$4:$A$72,0),DAY(表格1[[#This Row],[date]]),1,1)</f>
        <v>Kitty Yeung</v>
      </c>
      <c r="E1377" s="81">
        <f>MONTH(表格1[[#This Row],[date]])</f>
        <v>3</v>
      </c>
      <c r="F1377" s="90">
        <v>46092</v>
      </c>
      <c r="G1377" s="81" t="str">
        <f>VLOOKUP("*"&amp;表格1[[#This Row],[Input]]&amp;"*",'Ref-List'!$B:$D,2,)</f>
        <v>RC-10NMFIH(WT)</v>
      </c>
      <c r="H1377" s="81" t="str">
        <f>_xlfn.XLOOKUP(表格1[[#This Row],[Model]],表格3[Model-Input-Ref2],表格3[Product Line])</f>
        <v>4毫米厚釜電飯煲1L</v>
      </c>
      <c r="I1377" s="81" t="str">
        <f>_xlfn.XLOOKUP(表格1[[#This Row],[Model]],表格3[Model-Input-Ref2],表格3[大小電])</f>
        <v>細電</v>
      </c>
      <c r="J1377" s="81" t="str">
        <f>_xlfn.XLOOKUP(表格1[[#This Row],[Model]],表格3[Model-Input-Ref2],表格3[Code])</f>
        <v>SDA</v>
      </c>
      <c r="K1377" s="89" t="s">
        <v>1244</v>
      </c>
      <c r="L1377" s="81">
        <v>1</v>
      </c>
      <c r="M1377" s="87">
        <v>720</v>
      </c>
      <c r="N1377" s="85">
        <f>IFERROR(表格1[[#This Row],[QTY]]*表格1[[#This Row],[Unit Price]],"-")</f>
        <v>720</v>
      </c>
      <c r="O1377" s="86">
        <v>4130</v>
      </c>
      <c r="R1377" s="86" t="str">
        <f>_xlfn.CONCAT(表格1[[#This Row],[Model]]," ",表格1[[#This Row],[inv no]])</f>
        <v>RC-10NMFIH(WT) 4130</v>
      </c>
      <c r="S1377" s="86">
        <f>_xlfn.XLOOKUP(表格1[[#This Row],[Model]],表格3[Model-Input-Ref2],表格3[SRP PRICE])</f>
        <v>898</v>
      </c>
      <c r="T1377" s="43">
        <f>表格1[[#This Row],[Unit Price]]/表格1[[#This Row],[SRP]]</f>
        <v>0.80178173719376389</v>
      </c>
      <c r="U1377" s="86" t="str">
        <f>_xlfn.XLOOKUP(表格1[[#This Row],[Model]],表格3[Model-Input-Ref2],表格3[TOSHIBA/HIGHEST])</f>
        <v>Toshiba SRP</v>
      </c>
      <c r="V1377" s="86" t="s">
        <v>988</v>
      </c>
      <c r="W1377" s="86" t="str">
        <f>_xlfn.CONCAT(表格1[[#This Row],[欄4]],表格1[[#This Row],[inv no]])</f>
        <v>DA1404130</v>
      </c>
    </row>
    <row r="1378" spans="1:23" hidden="1">
      <c r="A1378" s="81">
        <v>1376</v>
      </c>
      <c r="B1378" s="81" t="s">
        <v>1470</v>
      </c>
      <c r="C1378" s="81" t="s">
        <v>1557</v>
      </c>
      <c r="D1378" s="82" t="str">
        <f ca="1">OFFSET(Roster!$A$3,MATCH(表格1[[#This Row],[Location]]&amp;" "&amp;表格1[[#This Row],[Shop]]&amp;"*",Roster!$A$4:$A$72,0),DAY(表格1[[#This Row],[date]]),1,1)</f>
        <v>Kitty Yeung</v>
      </c>
      <c r="E1378" s="81">
        <f>MONTH(表格1[[#This Row],[date]])</f>
        <v>3</v>
      </c>
      <c r="F1378" s="90">
        <v>46092</v>
      </c>
      <c r="G1378" s="81" t="str">
        <f>VLOOKUP("*"&amp;表格1[[#This Row],[Input]]&amp;"*",'Ref-List'!$B:$D,2,)</f>
        <v>TP-25DR2UHK(W)</v>
      </c>
      <c r="H1378" s="81" t="str">
        <f>_xlfn.XLOOKUP(表格1[[#This Row],[Model]],表格3[Model-Input-Ref2],表格3[Product Line])</f>
        <v>電熱水瓶 (2.5公升)</v>
      </c>
      <c r="I1378" s="81" t="str">
        <f>_xlfn.XLOOKUP(表格1[[#This Row],[Model]],表格3[Model-Input-Ref2],表格3[大小電])</f>
        <v>細電</v>
      </c>
      <c r="J1378" s="81" t="str">
        <f>_xlfn.XLOOKUP(表格1[[#This Row],[Model]],表格3[Model-Input-Ref2],表格3[Code])</f>
        <v>SDA</v>
      </c>
      <c r="K1378" s="89" t="s">
        <v>1285</v>
      </c>
      <c r="L1378" s="81">
        <v>1</v>
      </c>
      <c r="M1378" s="87">
        <v>388</v>
      </c>
      <c r="N1378" s="85">
        <f>IFERROR(表格1[[#This Row],[QTY]]*表格1[[#This Row],[Unit Price]],"-")</f>
        <v>388</v>
      </c>
      <c r="O1378" s="142">
        <v>4129</v>
      </c>
      <c r="R1378" s="86" t="str">
        <f>_xlfn.CONCAT(表格1[[#This Row],[Model]]," ",表格1[[#This Row],[inv no]])</f>
        <v>TP-25DR2UHK(W) 4129</v>
      </c>
      <c r="S1378" s="86">
        <f>_xlfn.XLOOKUP(表格1[[#This Row],[Model]],表格3[Model-Input-Ref2],表格3[SRP PRICE])</f>
        <v>538</v>
      </c>
      <c r="T1378" s="43">
        <f>表格1[[#This Row],[Unit Price]]/表格1[[#This Row],[SRP]]</f>
        <v>0.72118959107806691</v>
      </c>
      <c r="U1378" s="86" t="str">
        <f>_xlfn.XLOOKUP(表格1[[#This Row],[Model]],表格3[Model-Input-Ref2],表格3[TOSHIBA/HIGHEST])</f>
        <v>Toshiba SRP</v>
      </c>
      <c r="V1378" s="86" t="s">
        <v>988</v>
      </c>
      <c r="W1378" s="86" t="str">
        <f>_xlfn.CONCAT(表格1[[#This Row],[欄4]],表格1[[#This Row],[inv no]])</f>
        <v>DA1404129</v>
      </c>
    </row>
    <row r="1379" spans="1:23" hidden="1">
      <c r="A1379" s="81">
        <v>1377</v>
      </c>
      <c r="B1379" s="81" t="s">
        <v>1470</v>
      </c>
      <c r="C1379" s="81" t="s">
        <v>1557</v>
      </c>
      <c r="D1379" s="82" t="str">
        <f ca="1">OFFSET(Roster!$A$3,MATCH(表格1[[#This Row],[Location]]&amp;" "&amp;表格1[[#This Row],[Shop]]&amp;"*",Roster!$A$4:$A$72,0),DAY(表格1[[#This Row],[date]]),1,1)</f>
        <v>Kitty Yeung</v>
      </c>
      <c r="E1379" s="81">
        <f>MONTH(表格1[[#This Row],[date]])</f>
        <v>3</v>
      </c>
      <c r="F1379" s="90">
        <v>46095</v>
      </c>
      <c r="G1379" s="81" t="str">
        <f>VLOOKUP("*"&amp;表格1[[#This Row],[Input]]&amp;"*",'Ref-List'!$B:$D,2,)</f>
        <v>RC-5SLIH(W)</v>
      </c>
      <c r="H1379" s="81" t="str">
        <f>_xlfn.XLOOKUP(表格1[[#This Row],[Model]],表格3[Model-Input-Ref2],表格3[Product Line])</f>
        <v>微型電腦珍珠飯煲</v>
      </c>
      <c r="I1379" s="81" t="str">
        <f>_xlfn.XLOOKUP(表格1[[#This Row],[Model]],表格3[Model-Input-Ref2],表格3[大小電])</f>
        <v>細電</v>
      </c>
      <c r="J1379" s="81" t="str">
        <f>_xlfn.XLOOKUP(表格1[[#This Row],[Model]],表格3[Model-Input-Ref2],表格3[Code])</f>
        <v>SDA</v>
      </c>
      <c r="K1379" s="89" t="s">
        <v>1264</v>
      </c>
      <c r="L1379" s="81">
        <v>1</v>
      </c>
      <c r="M1379" s="87">
        <v>598</v>
      </c>
      <c r="N1379" s="85">
        <f>IFERROR(表格1[[#This Row],[QTY]]*表格1[[#This Row],[Unit Price]],"-")</f>
        <v>598</v>
      </c>
      <c r="O1379" s="86">
        <v>4144</v>
      </c>
      <c r="R1379" s="86" t="str">
        <f>_xlfn.CONCAT(表格1[[#This Row],[Model]]," ",表格1[[#This Row],[inv no]])</f>
        <v>RC-5SLIH(W) 4144</v>
      </c>
      <c r="S1379" s="86">
        <f>_xlfn.XLOOKUP(表格1[[#This Row],[Model]],表格3[Model-Input-Ref2],表格3[SRP PRICE])</f>
        <v>658</v>
      </c>
      <c r="T1379" s="43">
        <f>表格1[[#This Row],[Unit Price]]/表格1[[#This Row],[SRP]]</f>
        <v>0.90881458966565354</v>
      </c>
      <c r="U1379" s="86" t="str">
        <f>_xlfn.XLOOKUP(表格1[[#This Row],[Model]],表格3[Model-Input-Ref2],表格3[TOSHIBA/HIGHEST])</f>
        <v>Toshiba SRP</v>
      </c>
      <c r="V1379" s="86" t="s">
        <v>988</v>
      </c>
      <c r="W1379" s="86" t="str">
        <f>_xlfn.CONCAT(表格1[[#This Row],[欄4]],表格1[[#This Row],[inv no]])</f>
        <v>DA1404144</v>
      </c>
    </row>
    <row r="1380" spans="1:23" hidden="1">
      <c r="A1380" s="81">
        <v>1378</v>
      </c>
      <c r="B1380" s="81" t="s">
        <v>1470</v>
      </c>
      <c r="C1380" s="81" t="s">
        <v>1557</v>
      </c>
      <c r="D1380" s="82" t="str">
        <f ca="1">OFFSET(Roster!$A$3,MATCH(表格1[[#This Row],[Location]]&amp;" "&amp;表格1[[#This Row],[Shop]]&amp;"*",Roster!$A$4:$A$72,0),DAY(表格1[[#This Row],[date]]),1,1)</f>
        <v>Kitty Yeung</v>
      </c>
      <c r="E1380" s="81">
        <f>MONTH(表格1[[#This Row],[date]])</f>
        <v>3</v>
      </c>
      <c r="F1380" s="90">
        <v>46095</v>
      </c>
      <c r="G1380" s="81" t="str">
        <f>VLOOKUP("*"&amp;表格1[[#This Row],[Input]]&amp;"*",'Ref-List'!$B:$D,2,)</f>
        <v>RAD-D300H</v>
      </c>
      <c r="H1380" s="81" t="str">
        <f>_xlfn.XLOOKUP(表格1[[#This Row],[Model]],表格3[Model-Input-Ref2],表格3[Product Line])</f>
        <v>壓縮式抽濕機 (30公升)</v>
      </c>
      <c r="I1380" s="81" t="str">
        <f>_xlfn.XLOOKUP(表格1[[#This Row],[Model]],表格3[Model-Input-Ref2],表格3[大小電])</f>
        <v>細電</v>
      </c>
      <c r="J1380" s="81" t="str">
        <f>_xlfn.XLOOKUP(表格1[[#This Row],[Model]],表格3[Model-Input-Ref2],表格3[Code])</f>
        <v>RAC</v>
      </c>
      <c r="K1380" s="89" t="s">
        <v>1252</v>
      </c>
      <c r="L1380" s="81">
        <v>1</v>
      </c>
      <c r="M1380" s="87">
        <v>2180</v>
      </c>
      <c r="N1380" s="85">
        <f>IFERROR(表格1[[#This Row],[QTY]]*表格1[[#This Row],[Unit Price]],"-")</f>
        <v>2180</v>
      </c>
      <c r="O1380" s="142">
        <v>4153</v>
      </c>
      <c r="R1380" s="86" t="str">
        <f>_xlfn.CONCAT(表格1[[#This Row],[Model]]," ",表格1[[#This Row],[inv no]])</f>
        <v>RAD-D300H 4153</v>
      </c>
      <c r="S1380" s="86">
        <f>_xlfn.XLOOKUP(表格1[[#This Row],[Model]],表格3[Model-Input-Ref2],表格3[SRP PRICE])</f>
        <v>3380</v>
      </c>
      <c r="T1380" s="43">
        <f>表格1[[#This Row],[Unit Price]]/表格1[[#This Row],[SRP]]</f>
        <v>0.6449704142011834</v>
      </c>
      <c r="U1380" s="86" t="str">
        <f>_xlfn.XLOOKUP(表格1[[#This Row],[Model]],表格3[Model-Input-Ref2],表格3[TOSHIBA/HIGHEST])</f>
        <v>Shops Highest Price</v>
      </c>
      <c r="V1380" s="86" t="s">
        <v>988</v>
      </c>
      <c r="W1380" s="86" t="str">
        <f>_xlfn.CONCAT(表格1[[#This Row],[欄4]],表格1[[#This Row],[inv no]])</f>
        <v>DA1404153</v>
      </c>
    </row>
    <row r="1381" spans="1:23" hidden="1">
      <c r="A1381" s="81">
        <v>1379</v>
      </c>
      <c r="B1381" s="81" t="s">
        <v>1470</v>
      </c>
      <c r="C1381" s="81" t="s">
        <v>1557</v>
      </c>
      <c r="D1381" s="82" t="str">
        <f ca="1">OFFSET(Roster!$A$3,MATCH(表格1[[#This Row],[Location]]&amp;" "&amp;表格1[[#This Row],[Shop]]&amp;"*",Roster!$A$4:$A$72,0),DAY(表格1[[#This Row],[date]]),1,1)</f>
        <v>Kitty Yeung</v>
      </c>
      <c r="E1381" s="81">
        <f>MONTH(表格1[[#This Row],[date]])</f>
        <v>3</v>
      </c>
      <c r="F1381" s="90">
        <v>46095</v>
      </c>
      <c r="G1381" s="81" t="str">
        <f>VLOOKUP("*"&amp;表格1[[#This Row],[Input]]&amp;"*",'Ref-List'!$B:$D,2,)</f>
        <v>RAC-07G3CVG-HK</v>
      </c>
      <c r="H1381" s="81" t="str">
        <f>_xlfn.XLOOKUP(表格1[[#This Row],[Model]],表格3[Model-Input-Ref2],表格3[Product Line])</f>
        <v>3/4 匹 R32變頻窗口式冷氣機</v>
      </c>
      <c r="I1381" s="81" t="str">
        <f>_xlfn.XLOOKUP(表格1[[#This Row],[Model]],表格3[Model-Input-Ref2],表格3[大小電])</f>
        <v>大電</v>
      </c>
      <c r="J1381" s="81" t="str">
        <f>_xlfn.XLOOKUP(表格1[[#This Row],[Model]],表格3[Model-Input-Ref2],表格3[Code])</f>
        <v>AC</v>
      </c>
      <c r="K1381" s="89" t="s">
        <v>1473</v>
      </c>
      <c r="L1381" s="81">
        <v>1</v>
      </c>
      <c r="M1381" s="87">
        <v>3099</v>
      </c>
      <c r="N1381" s="85">
        <f>IFERROR(表格1[[#This Row],[QTY]]*表格1[[#This Row],[Unit Price]],"-")</f>
        <v>3099</v>
      </c>
      <c r="O1381" s="142">
        <v>4151</v>
      </c>
      <c r="R1381" s="86" t="str">
        <f>_xlfn.CONCAT(表格1[[#This Row],[Model]]," ",表格1[[#This Row],[inv no]])</f>
        <v>RAC-07G3CVG-HK 4151</v>
      </c>
      <c r="S1381" s="86">
        <f>_xlfn.XLOOKUP(表格1[[#This Row],[Model]],表格3[Model-Input-Ref2],表格3[SRP PRICE])</f>
        <v>4980</v>
      </c>
      <c r="T1381" s="43">
        <f>表格1[[#This Row],[Unit Price]]/表格1[[#This Row],[SRP]]</f>
        <v>0.62228915662650608</v>
      </c>
      <c r="U1381" s="86" t="str">
        <f>_xlfn.XLOOKUP(表格1[[#This Row],[Model]],表格3[Model-Input-Ref2],表格3[TOSHIBA/HIGHEST])</f>
        <v>Toshiba SRP</v>
      </c>
      <c r="V1381" s="86" t="s">
        <v>988</v>
      </c>
      <c r="W1381" s="86" t="str">
        <f>_xlfn.CONCAT(表格1[[#This Row],[欄4]],表格1[[#This Row],[inv no]])</f>
        <v>DA1404151</v>
      </c>
    </row>
    <row r="1382" spans="1:23" hidden="1">
      <c r="A1382" s="81">
        <v>1380</v>
      </c>
      <c r="B1382" s="81" t="s">
        <v>1470</v>
      </c>
      <c r="C1382" s="81" t="s">
        <v>1557</v>
      </c>
      <c r="D1382" s="82" t="str">
        <f ca="1">OFFSET(Roster!$A$3,MATCH(表格1[[#This Row],[Location]]&amp;" "&amp;表格1[[#This Row],[Shop]]&amp;"*",Roster!$A$4:$A$72,0),DAY(表格1[[#This Row],[date]]),1,1)</f>
        <v>Kitty Yeung</v>
      </c>
      <c r="E1382" s="81">
        <f>MONTH(表格1[[#This Row],[date]])</f>
        <v>3</v>
      </c>
      <c r="F1382" s="90">
        <v>46095</v>
      </c>
      <c r="G1382" s="81" t="str">
        <f>VLOOKUP("*"&amp;表格1[[#This Row],[Input]]&amp;"*",'Ref-List'!$B:$D,2,)</f>
        <v>RAC-12G3CVRGR-HK</v>
      </c>
      <c r="H1382" s="81" t="str">
        <f>_xlfn.XLOOKUP(表格1[[#This Row],[Model]],表格3[Model-Input-Ref2],表格3[Product Line])</f>
        <v>R32變頻窗口式冷氣機 (獨立抽濕遙控</v>
      </c>
      <c r="I1382" s="81" t="str">
        <f>_xlfn.XLOOKUP(表格1[[#This Row],[Model]],表格3[Model-Input-Ref2],表格3[大小電])</f>
        <v>大電</v>
      </c>
      <c r="J1382" s="81" t="str">
        <f>_xlfn.XLOOKUP(表格1[[#This Row],[Model]],表格3[Model-Input-Ref2],表格3[Code])</f>
        <v>AC</v>
      </c>
      <c r="K1382" s="89" t="s">
        <v>1454</v>
      </c>
      <c r="L1382" s="81">
        <v>1</v>
      </c>
      <c r="M1382" s="87">
        <v>5480</v>
      </c>
      <c r="N1382" s="85">
        <f>IFERROR(表格1[[#This Row],[QTY]]*表格1[[#This Row],[Unit Price]],"-")</f>
        <v>5480</v>
      </c>
      <c r="O1382" s="86">
        <v>4152</v>
      </c>
      <c r="R1382" s="86" t="str">
        <f>_xlfn.CONCAT(表格1[[#This Row],[Model]]," ",表格1[[#This Row],[inv no]])</f>
        <v>RAC-12G3CVRGR-HK 4152</v>
      </c>
      <c r="S1382" s="86">
        <f>_xlfn.XLOOKUP(表格1[[#This Row],[Model]],表格3[Model-Input-Ref2],表格3[SRP PRICE])</f>
        <v>8680</v>
      </c>
      <c r="T1382" s="43">
        <f>表格1[[#This Row],[Unit Price]]/表格1[[#This Row],[SRP]]</f>
        <v>0.63133640552995396</v>
      </c>
      <c r="U1382" s="86" t="str">
        <f>_xlfn.XLOOKUP(表格1[[#This Row],[Model]],表格3[Model-Input-Ref2],表格3[TOSHIBA/HIGHEST])</f>
        <v>Toshiba SRP</v>
      </c>
      <c r="V1382" s="86" t="s">
        <v>988</v>
      </c>
      <c r="W1382" s="86" t="str">
        <f>_xlfn.CONCAT(表格1[[#This Row],[欄4]],表格1[[#This Row],[inv no]])</f>
        <v>DA1404152</v>
      </c>
    </row>
    <row r="1383" spans="1:23" hidden="1">
      <c r="A1383" s="81">
        <v>1381</v>
      </c>
      <c r="B1383" s="81" t="s">
        <v>1470</v>
      </c>
      <c r="C1383" s="81" t="s">
        <v>1557</v>
      </c>
      <c r="D1383" s="82" t="str">
        <f ca="1">OFFSET(Roster!$A$3,MATCH(表格1[[#This Row],[Location]]&amp;" "&amp;表格1[[#This Row],[Shop]]&amp;"*",Roster!$A$4:$A$72,0),DAY(表格1[[#This Row],[date]]),1,1)</f>
        <v>Kitty Yeung</v>
      </c>
      <c r="E1383" s="81">
        <f>MONTH(表格1[[#This Row],[date]])</f>
        <v>3</v>
      </c>
      <c r="F1383" s="90">
        <v>46095</v>
      </c>
      <c r="G1383" s="81" t="str">
        <f>VLOOKUP("*"&amp;表格1[[#This Row],[Input]]&amp;"*",'Ref-List'!$B:$D,2,)</f>
        <v>AW-M901BPH(WW)</v>
      </c>
      <c r="H1383" s="81" t="str">
        <f>_xlfn.XLOOKUP(表格1[[#This Row],[Model]],表格3[Model-Input-Ref2],表格3[Product Line])</f>
        <v>全自動洗衣機 (8公斤 結合高低水位)</v>
      </c>
      <c r="I1383" s="81" t="str">
        <f>_xlfn.XLOOKUP(表格1[[#This Row],[Model]],表格3[Model-Input-Ref2],表格3[大小電])</f>
        <v>大電</v>
      </c>
      <c r="J1383" s="81" t="str">
        <f>_xlfn.XLOOKUP(表格1[[#This Row],[Model]],表格3[Model-Input-Ref2],表格3[Code])</f>
        <v>WM</v>
      </c>
      <c r="K1383" s="89" t="s">
        <v>1202</v>
      </c>
      <c r="L1383" s="81">
        <v>1</v>
      </c>
      <c r="M1383" s="87">
        <v>1980</v>
      </c>
      <c r="N1383" s="85">
        <f>IFERROR(表格1[[#This Row],[QTY]]*表格1[[#This Row],[Unit Price]],"-")</f>
        <v>1980</v>
      </c>
      <c r="O1383" s="142">
        <v>4155</v>
      </c>
      <c r="R1383" s="86" t="str">
        <f>_xlfn.CONCAT(表格1[[#This Row],[Model]]," ",表格1[[#This Row],[inv no]])</f>
        <v>AW-M901BPH(WW) 4155</v>
      </c>
      <c r="S1383" s="86">
        <f>_xlfn.XLOOKUP(表格1[[#This Row],[Model]],表格3[Model-Input-Ref2],表格3[SRP PRICE])</f>
        <v>3580</v>
      </c>
      <c r="T1383" s="43">
        <f>表格1[[#This Row],[Unit Price]]/表格1[[#This Row],[SRP]]</f>
        <v>0.55307262569832405</v>
      </c>
      <c r="U1383" s="86" t="str">
        <f>_xlfn.XLOOKUP(表格1[[#This Row],[Model]],表格3[Model-Input-Ref2],表格3[TOSHIBA/HIGHEST])</f>
        <v>Toshiba SRP</v>
      </c>
      <c r="V1383" s="86" t="s">
        <v>988</v>
      </c>
      <c r="W1383" s="86" t="str">
        <f>_xlfn.CONCAT(表格1[[#This Row],[欄4]],表格1[[#This Row],[inv no]])</f>
        <v>DA1404155</v>
      </c>
    </row>
    <row r="1384" spans="1:23" hidden="1">
      <c r="A1384" s="81">
        <v>1382</v>
      </c>
      <c r="B1384" s="81" t="s">
        <v>1470</v>
      </c>
      <c r="C1384" s="81" t="s">
        <v>1557</v>
      </c>
      <c r="D1384" s="82" t="str">
        <f ca="1">OFFSET(Roster!$A$3,MATCH(表格1[[#This Row],[Location]]&amp;" "&amp;表格1[[#This Row],[Shop]]&amp;"*",Roster!$A$4:$A$72,0),DAY(表格1[[#This Row],[date]]),1,1)</f>
        <v>Kitty Yeung</v>
      </c>
      <c r="E1384" s="81">
        <f>MONTH(表格1[[#This Row],[date]])</f>
        <v>3</v>
      </c>
      <c r="F1384" s="90">
        <v>46095</v>
      </c>
      <c r="G1384" s="81" t="str">
        <f>VLOOKUP("*"&amp;表格1[[#This Row],[Input]]&amp;"*",'Ref-List'!$B:$D,2,)</f>
        <v>GR-RT300WE-PMA(57)</v>
      </c>
      <c r="H1384" s="81" t="str">
        <f>_xlfn.XLOOKUP(表格1[[#This Row],[Model]],表格3[Model-Input-Ref2],表格3[Product Line])</f>
        <v>變頻式環保雙門雪櫃(233L)</v>
      </c>
      <c r="I1384" s="81" t="str">
        <f>_xlfn.XLOOKUP(表格1[[#This Row],[Model]],表格3[Model-Input-Ref2],表格3[大小電])</f>
        <v>大電</v>
      </c>
      <c r="J1384" s="81" t="str">
        <f>_xlfn.XLOOKUP(表格1[[#This Row],[Model]],表格3[Model-Input-Ref2],表格3[Code])</f>
        <v>REF</v>
      </c>
      <c r="K1384" s="89" t="s">
        <v>1462</v>
      </c>
      <c r="L1384" s="81">
        <v>1</v>
      </c>
      <c r="M1384" s="87">
        <v>2780</v>
      </c>
      <c r="N1384" s="85">
        <f>IFERROR(表格1[[#This Row],[QTY]]*表格1[[#This Row],[Unit Price]],"-")</f>
        <v>2780</v>
      </c>
      <c r="O1384" s="86">
        <v>4149</v>
      </c>
      <c r="R1384" s="86" t="str">
        <f>_xlfn.CONCAT(表格1[[#This Row],[Model]]," ",表格1[[#This Row],[inv no]])</f>
        <v>GR-RT300WE-PMA(57) 4149</v>
      </c>
      <c r="S1384" s="86">
        <f>_xlfn.XLOOKUP(表格1[[#This Row],[Model]],表格3[Model-Input-Ref2],表格3[SRP PRICE])</f>
        <v>4280</v>
      </c>
      <c r="T1384" s="43">
        <f>表格1[[#This Row],[Unit Price]]/表格1[[#This Row],[SRP]]</f>
        <v>0.64953271028037385</v>
      </c>
      <c r="U1384" s="86" t="str">
        <f>_xlfn.XLOOKUP(表格1[[#This Row],[Model]],表格3[Model-Input-Ref2],表格3[TOSHIBA/HIGHEST])</f>
        <v>Toshiba SRP</v>
      </c>
      <c r="V1384" s="86" t="s">
        <v>988</v>
      </c>
      <c r="W1384" s="86" t="str">
        <f>_xlfn.CONCAT(表格1[[#This Row],[欄4]],表格1[[#This Row],[inv no]])</f>
        <v>DA1404149</v>
      </c>
    </row>
    <row r="1385" spans="1:23" hidden="1">
      <c r="A1385" s="81">
        <v>1383</v>
      </c>
      <c r="B1385" s="81" t="s">
        <v>1470</v>
      </c>
      <c r="C1385" s="81" t="s">
        <v>1557</v>
      </c>
      <c r="D1385" s="82" t="str">
        <f ca="1">OFFSET(Roster!$A$3,MATCH(表格1[[#This Row],[Location]]&amp;" "&amp;表格1[[#This Row],[Shop]]&amp;"*",Roster!$A$4:$A$72,0),DAY(表格1[[#This Row],[date]]),1,1)</f>
        <v>Kitty Yeung</v>
      </c>
      <c r="E1385" s="81">
        <f>MONTH(表格1[[#This Row],[date]])</f>
        <v>3</v>
      </c>
      <c r="F1385" s="90">
        <v>46096</v>
      </c>
      <c r="G1385" s="81" t="str">
        <f>VLOOKUP("*"&amp;表格1[[#This Row],[Input]]&amp;"*",'Ref-List'!$B:$D,2,)</f>
        <v>RC-18JRUH(N)</v>
      </c>
      <c r="H1385" s="81" t="str">
        <f>_xlfn.XLOOKUP(表格1[[#This Row],[Model]],表格3[Model-Input-Ref2],表格3[Product Line])</f>
        <v>1.8公升電飯煲</v>
      </c>
      <c r="I1385" s="81" t="str">
        <f>_xlfn.XLOOKUP(表格1[[#This Row],[Model]],表格3[Model-Input-Ref2],表格3[大小電])</f>
        <v>細電</v>
      </c>
      <c r="J1385" s="81" t="str">
        <f>_xlfn.XLOOKUP(表格1[[#This Row],[Model]],表格3[Model-Input-Ref2],表格3[Code])</f>
        <v>SDA</v>
      </c>
      <c r="K1385" s="89" t="s">
        <v>1275</v>
      </c>
      <c r="L1385" s="81">
        <v>1</v>
      </c>
      <c r="M1385" s="87">
        <v>368</v>
      </c>
      <c r="N1385" s="85">
        <f>IFERROR(表格1[[#This Row],[QTY]]*表格1[[#This Row],[Unit Price]],"-")</f>
        <v>368</v>
      </c>
      <c r="O1385" s="86">
        <v>4169</v>
      </c>
      <c r="R1385" s="86" t="str">
        <f>_xlfn.CONCAT(表格1[[#This Row],[Model]]," ",表格1[[#This Row],[inv no]])</f>
        <v>RC-18JRUH(N) 4169</v>
      </c>
      <c r="S1385" s="86">
        <f>_xlfn.XLOOKUP(表格1[[#This Row],[Model]],表格3[Model-Input-Ref2],表格3[SRP PRICE])</f>
        <v>458</v>
      </c>
      <c r="T1385" s="43">
        <f>表格1[[#This Row],[Unit Price]]/表格1[[#This Row],[SRP]]</f>
        <v>0.80349344978165937</v>
      </c>
      <c r="U1385" s="86" t="str">
        <f>_xlfn.XLOOKUP(表格1[[#This Row],[Model]],表格3[Model-Input-Ref2],表格3[TOSHIBA/HIGHEST])</f>
        <v>Shops Highest Price</v>
      </c>
      <c r="V1385" s="86" t="s">
        <v>988</v>
      </c>
      <c r="W1385" s="86" t="str">
        <f>_xlfn.CONCAT(表格1[[#This Row],[欄4]],表格1[[#This Row],[inv no]])</f>
        <v>DA1404169</v>
      </c>
    </row>
    <row r="1386" spans="1:23" hidden="1">
      <c r="A1386" s="81">
        <v>1384</v>
      </c>
      <c r="B1386" s="81" t="s">
        <v>1470</v>
      </c>
      <c r="C1386" s="81" t="s">
        <v>1557</v>
      </c>
      <c r="D1386" s="82" t="str">
        <f ca="1">OFFSET(Roster!$A$3,MATCH(表格1[[#This Row],[Location]]&amp;" "&amp;表格1[[#This Row],[Shop]]&amp;"*",Roster!$A$4:$A$72,0),DAY(表格1[[#This Row],[date]]),1,1)</f>
        <v>Kitty Yeung</v>
      </c>
      <c r="E1386" s="81">
        <f>MONTH(表格1[[#This Row],[date]])</f>
        <v>3</v>
      </c>
      <c r="F1386" s="90">
        <v>46096</v>
      </c>
      <c r="G1386" s="81" t="str">
        <f>VLOOKUP("*"&amp;表格1[[#This Row],[Input]]&amp;"*",'Ref-List'!$B:$D,2,)</f>
        <v>TW-T21BU90UWH(WW)</v>
      </c>
      <c r="H1386" s="81" t="str">
        <f>_xlfn.XLOOKUP(表格1[[#This Row],[Model]],表格3[Model-Input-Ref2],表格3[Product Line])</f>
        <v>8公斤超薄身前置式變頻洗衣機</v>
      </c>
      <c r="I1386" s="81" t="str">
        <f>_xlfn.XLOOKUP(表格1[[#This Row],[Model]],表格3[Model-Input-Ref2],表格3[大小電])</f>
        <v>大電</v>
      </c>
      <c r="J1386" s="81" t="str">
        <f>_xlfn.XLOOKUP(表格1[[#This Row],[Model]],表格3[Model-Input-Ref2],表格3[Code])</f>
        <v>LAD</v>
      </c>
      <c r="K1386" s="89" t="s">
        <v>1472</v>
      </c>
      <c r="L1386" s="81">
        <v>1</v>
      </c>
      <c r="M1386" s="87">
        <v>3180</v>
      </c>
      <c r="N1386" s="85">
        <f>IFERROR(表格1[[#This Row],[QTY]]*表格1[[#This Row],[Unit Price]],"-")</f>
        <v>3180</v>
      </c>
      <c r="O1386" s="86">
        <v>4177</v>
      </c>
      <c r="R1386" s="86" t="str">
        <f>_xlfn.CONCAT(表格1[[#This Row],[Model]]," ",表格1[[#This Row],[inv no]])</f>
        <v>TW-T21BU90UWH(WW) 4177</v>
      </c>
      <c r="S1386" s="86">
        <f>_xlfn.XLOOKUP(表格1[[#This Row],[Model]],表格3[Model-Input-Ref2],表格3[SRP PRICE])</f>
        <v>5480</v>
      </c>
      <c r="T1386" s="43">
        <f>表格1[[#This Row],[Unit Price]]/表格1[[#This Row],[SRP]]</f>
        <v>0.58029197080291972</v>
      </c>
      <c r="U1386" s="86" t="str">
        <f>_xlfn.XLOOKUP(表格1[[#This Row],[Model]],表格3[Model-Input-Ref2],表格3[TOSHIBA/HIGHEST])</f>
        <v>Toshiba SRP</v>
      </c>
      <c r="V1386" s="86" t="s">
        <v>988</v>
      </c>
      <c r="W1386" s="86" t="str">
        <f>_xlfn.CONCAT(表格1[[#This Row],[欄4]],表格1[[#This Row],[inv no]])</f>
        <v>DA1404177</v>
      </c>
    </row>
    <row r="1387" spans="1:23" hidden="1">
      <c r="A1387" s="81">
        <v>1385</v>
      </c>
      <c r="B1387" s="81" t="s">
        <v>1470</v>
      </c>
      <c r="C1387" s="81" t="s">
        <v>1557</v>
      </c>
      <c r="D1387" s="82" t="str">
        <f ca="1">OFFSET(Roster!$A$3,MATCH(表格1[[#This Row],[Location]]&amp;" "&amp;表格1[[#This Row],[Shop]]&amp;"*",Roster!$A$4:$A$72,0),DAY(表格1[[#This Row],[date]]),1,1)</f>
        <v>Kitty Yeung</v>
      </c>
      <c r="E1387" s="81">
        <f>MONTH(表格1[[#This Row],[date]])</f>
        <v>3</v>
      </c>
      <c r="F1387" s="90">
        <v>46096</v>
      </c>
      <c r="G1387" s="81" t="str">
        <f>VLOOKUP("*"&amp;表格1[[#This Row],[Input]]&amp;"*",'Ref-List'!$B:$D,2,)</f>
        <v>MM2-EG20PC(WH)</v>
      </c>
      <c r="H1387" s="81" t="str">
        <f>_xlfn.XLOOKUP(表格1[[#This Row],[Model]],表格3[Model-Input-Ref2],表格3[Product Line])</f>
        <v>輕觸式燒烤微波爐</v>
      </c>
      <c r="I1387" s="81" t="str">
        <f>_xlfn.XLOOKUP(表格1[[#This Row],[Model]],表格3[Model-Input-Ref2],表格3[大小電])</f>
        <v>細電</v>
      </c>
      <c r="J1387" s="81" t="str">
        <f>_xlfn.XLOOKUP(表格1[[#This Row],[Model]],表格3[Model-Input-Ref2],表格3[Code])</f>
        <v>MCA</v>
      </c>
      <c r="K1387" s="89" t="s">
        <v>1273</v>
      </c>
      <c r="L1387" s="81">
        <v>1</v>
      </c>
      <c r="M1387" s="87">
        <v>668</v>
      </c>
      <c r="N1387" s="85">
        <f>IFERROR(表格1[[#This Row],[QTY]]*表格1[[#This Row],[Unit Price]],"-")</f>
        <v>668</v>
      </c>
      <c r="O1387" s="86">
        <v>4174</v>
      </c>
      <c r="R1387" s="86" t="str">
        <f>_xlfn.CONCAT(表格1[[#This Row],[Model]]," ",表格1[[#This Row],[inv no]])</f>
        <v>MM2-EG20PC(WH) 4174</v>
      </c>
      <c r="S1387" s="86">
        <f>_xlfn.XLOOKUP(表格1[[#This Row],[Model]],表格3[Model-Input-Ref2],表格3[SRP PRICE])</f>
        <v>918</v>
      </c>
      <c r="T1387" s="43">
        <f>表格1[[#This Row],[Unit Price]]/表格1[[#This Row],[SRP]]</f>
        <v>0.72766884531590414</v>
      </c>
      <c r="U1387" s="86" t="str">
        <f>_xlfn.XLOOKUP(表格1[[#This Row],[Model]],表格3[Model-Input-Ref2],表格3[TOSHIBA/HIGHEST])</f>
        <v>Shops Highest Price</v>
      </c>
      <c r="V1387" s="86" t="s">
        <v>988</v>
      </c>
      <c r="W1387" s="86" t="str">
        <f>_xlfn.CONCAT(表格1[[#This Row],[欄4]],表格1[[#This Row],[inv no]])</f>
        <v>DA1404174</v>
      </c>
    </row>
    <row r="1388" spans="1:23" hidden="1">
      <c r="A1388" s="81">
        <v>1386</v>
      </c>
      <c r="B1388" s="81" t="s">
        <v>1470</v>
      </c>
      <c r="C1388" s="81" t="s">
        <v>1557</v>
      </c>
      <c r="D1388" s="82" t="str">
        <f ca="1">OFFSET(Roster!$A$3,MATCH(表格1[[#This Row],[Location]]&amp;" "&amp;表格1[[#This Row],[Shop]]&amp;"*",Roster!$A$4:$A$72,0),DAY(表格1[[#This Row],[date]]),1,1)</f>
        <v>Kitty Yeung</v>
      </c>
      <c r="E1388" s="81">
        <f>MONTH(表格1[[#This Row],[date]])</f>
        <v>3</v>
      </c>
      <c r="F1388" s="90">
        <v>46096</v>
      </c>
      <c r="G1388" s="81" t="str">
        <f>VLOOKUP("*"&amp;表格1[[#This Row],[Input]]&amp;"*",'Ref-List'!$B:$D,2,)</f>
        <v>GR-RB449WE-PMA(57)</v>
      </c>
      <c r="H1388" s="81" t="str">
        <f>_xlfn.XLOOKUP(表格1[[#This Row],[Model]],表格3[Model-Input-Ref2],表格3[Product Line])</f>
        <v>變頻下置式雙門雪櫃</v>
      </c>
      <c r="I1388" s="81" t="str">
        <f>_xlfn.XLOOKUP(表格1[[#This Row],[Model]],表格3[Model-Input-Ref2],表格3[大小電])</f>
        <v>大電</v>
      </c>
      <c r="J1388" s="81" t="str">
        <f>_xlfn.XLOOKUP(表格1[[#This Row],[Model]],表格3[Model-Input-Ref2],表格3[Code])</f>
        <v>REF</v>
      </c>
      <c r="K1388" s="89" t="s">
        <v>1484</v>
      </c>
      <c r="L1388" s="81">
        <v>1</v>
      </c>
      <c r="M1388" s="87">
        <v>4498</v>
      </c>
      <c r="N1388" s="85">
        <f>IFERROR(表格1[[#This Row],[QTY]]*表格1[[#This Row],[Unit Price]],"-")</f>
        <v>4498</v>
      </c>
      <c r="O1388" s="142">
        <v>4173</v>
      </c>
      <c r="R1388" s="86" t="str">
        <f>_xlfn.CONCAT(表格1[[#This Row],[Model]]," ",表格1[[#This Row],[inv no]])</f>
        <v>GR-RB449WE-PMA(57) 4173</v>
      </c>
      <c r="S1388" s="86">
        <f>_xlfn.XLOOKUP(表格1[[#This Row],[Model]],表格3[Model-Input-Ref2],表格3[SRP PRICE])</f>
        <v>6280</v>
      </c>
      <c r="T1388" s="43">
        <f>表格1[[#This Row],[Unit Price]]/表格1[[#This Row],[SRP]]</f>
        <v>0.71624203821656052</v>
      </c>
      <c r="U1388" s="86" t="str">
        <f>_xlfn.XLOOKUP(表格1[[#This Row],[Model]],表格3[Model-Input-Ref2],表格3[TOSHIBA/HIGHEST])</f>
        <v>Toshiba SRP</v>
      </c>
      <c r="V1388" s="86" t="s">
        <v>988</v>
      </c>
      <c r="W1388" s="86" t="str">
        <f>_xlfn.CONCAT(表格1[[#This Row],[欄4]],表格1[[#This Row],[inv no]])</f>
        <v>DA1404173</v>
      </c>
    </row>
    <row r="1389" spans="1:23" hidden="1">
      <c r="A1389" s="81">
        <v>1387</v>
      </c>
      <c r="B1389" s="81" t="s">
        <v>1470</v>
      </c>
      <c r="C1389" s="81" t="s">
        <v>1557</v>
      </c>
      <c r="D1389" s="82" t="str">
        <f ca="1">OFFSET(Roster!$A$3,MATCH(表格1[[#This Row],[Location]]&amp;" "&amp;表格1[[#This Row],[Shop]]&amp;"*",Roster!$A$4:$A$72,0),DAY(表格1[[#This Row],[date]]),1,1)</f>
        <v>Kitty Yeung</v>
      </c>
      <c r="E1389" s="81">
        <f>MONTH(表格1[[#This Row],[date]])</f>
        <v>3</v>
      </c>
      <c r="F1389" s="90">
        <v>46097</v>
      </c>
      <c r="G1389" s="81" t="str">
        <f>VLOOKUP("*"&amp;表格1[[#This Row],[Input]]&amp;"*",'Ref-List'!$B:$D,2,)</f>
        <v>AW-Q901BPH(WW)</v>
      </c>
      <c r="H1389" s="81" t="str">
        <f>_xlfn.XLOOKUP(表格1[[#This Row],[Model]],表格3[Model-Input-Ref2],表格3[Product Line])</f>
        <v>日式洗衣機 (8公斤 結合高低水位)</v>
      </c>
      <c r="I1389" s="81" t="str">
        <f>_xlfn.XLOOKUP(表格1[[#This Row],[Model]],表格3[Model-Input-Ref2],表格3[大小電])</f>
        <v>大電</v>
      </c>
      <c r="J1389" s="81" t="str">
        <f>_xlfn.XLOOKUP(表格1[[#This Row],[Model]],表格3[Model-Input-Ref2],表格3[Code])</f>
        <v>LAD</v>
      </c>
      <c r="K1389" s="89" t="s">
        <v>1411</v>
      </c>
      <c r="L1389" s="81">
        <v>1</v>
      </c>
      <c r="M1389" s="87">
        <v>2380</v>
      </c>
      <c r="N1389" s="85">
        <f>IFERROR(表格1[[#This Row],[QTY]]*表格1[[#This Row],[Unit Price]],"-")</f>
        <v>2380</v>
      </c>
      <c r="O1389" s="86">
        <v>4186</v>
      </c>
      <c r="R1389" s="86" t="str">
        <f>_xlfn.CONCAT(表格1[[#This Row],[Model]]," ",表格1[[#This Row],[inv no]])</f>
        <v>AW-Q901BPH(WW) 4186</v>
      </c>
      <c r="S1389" s="86">
        <f>_xlfn.XLOOKUP(表格1[[#This Row],[Model]],表格3[Model-Input-Ref2],表格3[SRP PRICE])</f>
        <v>3780</v>
      </c>
      <c r="T1389" s="43">
        <f>表格1[[#This Row],[Unit Price]]/表格1[[#This Row],[SRP]]</f>
        <v>0.62962962962962965</v>
      </c>
      <c r="U1389" s="86" t="str">
        <f>_xlfn.XLOOKUP(表格1[[#This Row],[Model]],表格3[Model-Input-Ref2],表格3[TOSHIBA/HIGHEST])</f>
        <v>Toshiba SRP</v>
      </c>
      <c r="V1389" s="86" t="s">
        <v>988</v>
      </c>
      <c r="W1389" s="86" t="str">
        <f>_xlfn.CONCAT(表格1[[#This Row],[欄4]],表格1[[#This Row],[inv no]])</f>
        <v>DA1404186</v>
      </c>
    </row>
    <row r="1390" spans="1:23" hidden="1">
      <c r="A1390" s="81">
        <v>1388</v>
      </c>
      <c r="B1390" s="81" t="s">
        <v>1470</v>
      </c>
      <c r="C1390" s="81" t="s">
        <v>1557</v>
      </c>
      <c r="D1390" s="82" t="str">
        <f ca="1">OFFSET(Roster!$A$3,MATCH(表格1[[#This Row],[Location]]&amp;" "&amp;表格1[[#This Row],[Shop]]&amp;"*",Roster!$A$4:$A$72,0),DAY(表格1[[#This Row],[date]]),1,1)</f>
        <v>Kitty Yeung</v>
      </c>
      <c r="E1390" s="81">
        <f>MONTH(表格1[[#This Row],[date]])</f>
        <v>3</v>
      </c>
      <c r="F1390" s="90">
        <v>46097</v>
      </c>
      <c r="G1390" s="81" t="str">
        <f>VLOOKUP("*"&amp;表格1[[#This Row],[Input]]&amp;"*",'Ref-List'!$B:$D,2,)</f>
        <v>TW-T21BU90UWH(WW)</v>
      </c>
      <c r="H1390" s="81" t="str">
        <f>_xlfn.XLOOKUP(表格1[[#This Row],[Model]],表格3[Model-Input-Ref2],表格3[Product Line])</f>
        <v>8公斤超薄身前置式變頻洗衣機</v>
      </c>
      <c r="I1390" s="81" t="str">
        <f>_xlfn.XLOOKUP(表格1[[#This Row],[Model]],表格3[Model-Input-Ref2],表格3[大小電])</f>
        <v>大電</v>
      </c>
      <c r="J1390" s="81" t="str">
        <f>_xlfn.XLOOKUP(表格1[[#This Row],[Model]],表格3[Model-Input-Ref2],表格3[Code])</f>
        <v>LAD</v>
      </c>
      <c r="K1390" s="89" t="s">
        <v>1472</v>
      </c>
      <c r="L1390" s="81">
        <v>1</v>
      </c>
      <c r="M1390" s="87">
        <v>3180</v>
      </c>
      <c r="N1390" s="85">
        <f>IFERROR(表格1[[#This Row],[QTY]]*表格1[[#This Row],[Unit Price]],"-")</f>
        <v>3180</v>
      </c>
      <c r="O1390" s="86">
        <v>4189</v>
      </c>
      <c r="R1390" s="86" t="str">
        <f>_xlfn.CONCAT(表格1[[#This Row],[Model]]," ",表格1[[#This Row],[inv no]])</f>
        <v>TW-T21BU90UWH(WW) 4189</v>
      </c>
      <c r="S1390" s="86">
        <f>_xlfn.XLOOKUP(表格1[[#This Row],[Model]],表格3[Model-Input-Ref2],表格3[SRP PRICE])</f>
        <v>5480</v>
      </c>
      <c r="T1390" s="43">
        <f>表格1[[#This Row],[Unit Price]]/表格1[[#This Row],[SRP]]</f>
        <v>0.58029197080291972</v>
      </c>
      <c r="U1390" s="86" t="str">
        <f>_xlfn.XLOOKUP(表格1[[#This Row],[Model]],表格3[Model-Input-Ref2],表格3[TOSHIBA/HIGHEST])</f>
        <v>Toshiba SRP</v>
      </c>
      <c r="V1390" s="86" t="s">
        <v>988</v>
      </c>
      <c r="W1390" s="86" t="str">
        <f>_xlfn.CONCAT(表格1[[#This Row],[欄4]],表格1[[#This Row],[inv no]])</f>
        <v>DA1404189</v>
      </c>
    </row>
    <row r="1391" spans="1:23" hidden="1">
      <c r="A1391" s="81">
        <v>1389</v>
      </c>
      <c r="B1391" s="81" t="s">
        <v>1470</v>
      </c>
      <c r="C1391" s="81" t="s">
        <v>1557</v>
      </c>
      <c r="D1391" s="82" t="str">
        <f ca="1">OFFSET(Roster!$A$3,MATCH(表格1[[#This Row],[Location]]&amp;" "&amp;表格1[[#This Row],[Shop]]&amp;"*",Roster!$A$4:$A$72,0),DAY(表格1[[#This Row],[date]]),1,1)</f>
        <v>Kitty Yeung</v>
      </c>
      <c r="E1391" s="81">
        <f>MONTH(表格1[[#This Row],[date]])</f>
        <v>3</v>
      </c>
      <c r="F1391" s="90">
        <v>46097</v>
      </c>
      <c r="G1391" s="81" t="str">
        <f>VLOOKUP("*"&amp;表格1[[#This Row],[Input]]&amp;"*",'Ref-List'!$B:$D,2,)</f>
        <v>RAD-D300H</v>
      </c>
      <c r="H1391" s="81" t="str">
        <f>_xlfn.XLOOKUP(表格1[[#This Row],[Model]],表格3[Model-Input-Ref2],表格3[Product Line])</f>
        <v>壓縮式抽濕機 (30公升)</v>
      </c>
      <c r="I1391" s="81" t="str">
        <f>_xlfn.XLOOKUP(表格1[[#This Row],[Model]],表格3[Model-Input-Ref2],表格3[大小電])</f>
        <v>細電</v>
      </c>
      <c r="J1391" s="81" t="str">
        <f>_xlfn.XLOOKUP(表格1[[#This Row],[Model]],表格3[Model-Input-Ref2],表格3[Code])</f>
        <v>RAC</v>
      </c>
      <c r="K1391" s="89" t="s">
        <v>1252</v>
      </c>
      <c r="L1391" s="81">
        <v>1</v>
      </c>
      <c r="M1391" s="87">
        <v>2180</v>
      </c>
      <c r="N1391" s="85">
        <f>IFERROR(表格1[[#This Row],[QTY]]*表格1[[#This Row],[Unit Price]],"-")</f>
        <v>2180</v>
      </c>
      <c r="O1391" s="86">
        <v>4187</v>
      </c>
      <c r="R1391" s="86" t="str">
        <f>_xlfn.CONCAT(表格1[[#This Row],[Model]]," ",表格1[[#This Row],[inv no]])</f>
        <v>RAD-D300H 4187</v>
      </c>
      <c r="S1391" s="86">
        <f>_xlfn.XLOOKUP(表格1[[#This Row],[Model]],表格3[Model-Input-Ref2],表格3[SRP PRICE])</f>
        <v>3380</v>
      </c>
      <c r="T1391" s="43">
        <f>表格1[[#This Row],[Unit Price]]/表格1[[#This Row],[SRP]]</f>
        <v>0.6449704142011834</v>
      </c>
      <c r="U1391" s="86" t="str">
        <f>_xlfn.XLOOKUP(表格1[[#This Row],[Model]],表格3[Model-Input-Ref2],表格3[TOSHIBA/HIGHEST])</f>
        <v>Shops Highest Price</v>
      </c>
      <c r="V1391" s="86" t="s">
        <v>988</v>
      </c>
      <c r="W1391" s="86" t="str">
        <f>_xlfn.CONCAT(表格1[[#This Row],[欄4]],表格1[[#This Row],[inv no]])</f>
        <v>DA1404187</v>
      </c>
    </row>
    <row r="1392" spans="1:23" hidden="1">
      <c r="A1392" s="81">
        <v>1390</v>
      </c>
      <c r="B1392" s="81" t="s">
        <v>1470</v>
      </c>
      <c r="C1392" s="81" t="s">
        <v>1557</v>
      </c>
      <c r="D1392" s="82" t="str">
        <f ca="1">OFFSET(Roster!$A$3,MATCH(表格1[[#This Row],[Location]]&amp;" "&amp;表格1[[#This Row],[Shop]]&amp;"*",Roster!$A$4:$A$72,0),DAY(表格1[[#This Row],[date]]),1,1)</f>
        <v>Kitty Yeung</v>
      </c>
      <c r="E1392" s="81">
        <f>MONTH(表格1[[#This Row],[date]])</f>
        <v>3</v>
      </c>
      <c r="F1392" s="90">
        <v>46098</v>
      </c>
      <c r="G1392" s="81" t="str">
        <f>VLOOKUP("*"&amp;表格1[[#This Row],[Input]]&amp;"*",'Ref-List'!$B:$D,2,)</f>
        <v>RAC-07G3CVG-HK</v>
      </c>
      <c r="H1392" s="81" t="str">
        <f>_xlfn.XLOOKUP(表格1[[#This Row],[Model]],表格3[Model-Input-Ref2],表格3[Product Line])</f>
        <v>3/4 匹 R32變頻窗口式冷氣機</v>
      </c>
      <c r="I1392" s="81" t="str">
        <f>_xlfn.XLOOKUP(表格1[[#This Row],[Model]],表格3[Model-Input-Ref2],表格3[大小電])</f>
        <v>大電</v>
      </c>
      <c r="J1392" s="81" t="str">
        <f>_xlfn.XLOOKUP(表格1[[#This Row],[Model]],表格3[Model-Input-Ref2],表格3[Code])</f>
        <v>AC</v>
      </c>
      <c r="K1392" s="89" t="s">
        <v>1473</v>
      </c>
      <c r="L1392" s="81">
        <v>1</v>
      </c>
      <c r="M1392" s="87">
        <v>3280</v>
      </c>
      <c r="N1392" s="85">
        <f>IFERROR(表格1[[#This Row],[QTY]]*表格1[[#This Row],[Unit Price]],"-")</f>
        <v>3280</v>
      </c>
      <c r="O1392" s="86">
        <v>4192</v>
      </c>
      <c r="R1392" s="86" t="str">
        <f>_xlfn.CONCAT(表格1[[#This Row],[Model]]," ",表格1[[#This Row],[inv no]])</f>
        <v>RAC-07G3CVG-HK 4192</v>
      </c>
      <c r="S1392" s="86">
        <f>_xlfn.XLOOKUP(表格1[[#This Row],[Model]],表格3[Model-Input-Ref2],表格3[SRP PRICE])</f>
        <v>4980</v>
      </c>
      <c r="T1392" s="43">
        <f>表格1[[#This Row],[Unit Price]]/表格1[[#This Row],[SRP]]</f>
        <v>0.65863453815261042</v>
      </c>
      <c r="U1392" s="86" t="str">
        <f>_xlfn.XLOOKUP(表格1[[#This Row],[Model]],表格3[Model-Input-Ref2],表格3[TOSHIBA/HIGHEST])</f>
        <v>Toshiba SRP</v>
      </c>
      <c r="V1392" s="86" t="s">
        <v>988</v>
      </c>
      <c r="W1392" s="86" t="str">
        <f>_xlfn.CONCAT(表格1[[#This Row],[欄4]],表格1[[#This Row],[inv no]])</f>
        <v>DA1404192</v>
      </c>
    </row>
    <row r="1393" spans="1:23" hidden="1">
      <c r="A1393" s="81">
        <v>1391</v>
      </c>
      <c r="B1393" s="81" t="s">
        <v>1470</v>
      </c>
      <c r="C1393" s="81" t="s">
        <v>1557</v>
      </c>
      <c r="D1393" s="82" t="str">
        <f ca="1">OFFSET(Roster!$A$3,MATCH(表格1[[#This Row],[Location]]&amp;" "&amp;表格1[[#This Row],[Shop]]&amp;"*",Roster!$A$4:$A$72,0),DAY(表格1[[#This Row],[date]]),1,1)</f>
        <v>Kitty Yeung</v>
      </c>
      <c r="E1393" s="81">
        <f>MONTH(表格1[[#This Row],[date]])</f>
        <v>3</v>
      </c>
      <c r="F1393" s="90">
        <v>46098</v>
      </c>
      <c r="G1393" s="81" t="str">
        <f>VLOOKUP("*"&amp;表格1[[#This Row],[Input]]&amp;"*",'Ref-List'!$B:$D,2,)</f>
        <v>RC-10AMXH(W)</v>
      </c>
      <c r="H1393" s="81" t="str">
        <f>_xlfn.XLOOKUP(表格1[[#This Row],[Model]],表格3[Model-Input-Ref2],表格3[Product Line])</f>
        <v>酵活炊電飯煲(1.0公升)</v>
      </c>
      <c r="I1393" s="81" t="str">
        <f>_xlfn.XLOOKUP(表格1[[#This Row],[Model]],表格3[Model-Input-Ref2],表格3[大小電])</f>
        <v>細電</v>
      </c>
      <c r="J1393" s="81" t="str">
        <f>_xlfn.XLOOKUP(表格1[[#This Row],[Model]],表格3[Model-Input-Ref2],表格3[Code])</f>
        <v>SDA</v>
      </c>
      <c r="K1393" s="89" t="s">
        <v>1279</v>
      </c>
      <c r="L1393" s="81">
        <v>1</v>
      </c>
      <c r="M1393" s="87">
        <v>1068</v>
      </c>
      <c r="N1393" s="85">
        <f>IFERROR(表格1[[#This Row],[QTY]]*表格1[[#This Row],[Unit Price]],"-")</f>
        <v>1068</v>
      </c>
      <c r="O1393" s="86">
        <v>4196</v>
      </c>
      <c r="R1393" s="86" t="str">
        <f>_xlfn.CONCAT(表格1[[#This Row],[Model]]," ",表格1[[#This Row],[inv no]])</f>
        <v>RC-10AMXH(W) 4196</v>
      </c>
      <c r="S1393" s="86">
        <f>_xlfn.XLOOKUP(表格1[[#This Row],[Model]],表格3[Model-Input-Ref2],表格3[SRP PRICE])</f>
        <v>1288</v>
      </c>
      <c r="T1393" s="43">
        <f>表格1[[#This Row],[Unit Price]]/表格1[[#This Row],[SRP]]</f>
        <v>0.82919254658385089</v>
      </c>
      <c r="U1393" s="86" t="str">
        <f>_xlfn.XLOOKUP(表格1[[#This Row],[Model]],表格3[Model-Input-Ref2],表格3[TOSHIBA/HIGHEST])</f>
        <v>Toshiba SRP</v>
      </c>
      <c r="V1393" s="86" t="s">
        <v>988</v>
      </c>
      <c r="W1393" s="86" t="str">
        <f>_xlfn.CONCAT(表格1[[#This Row],[欄4]],表格1[[#This Row],[inv no]])</f>
        <v>DA1404196</v>
      </c>
    </row>
    <row r="1394" spans="1:23" ht="16.5" hidden="1">
      <c r="A1394" s="81">
        <v>1392</v>
      </c>
      <c r="B1394" s="81" t="s">
        <v>1470</v>
      </c>
      <c r="C1394" s="81" t="s">
        <v>1557</v>
      </c>
      <c r="D1394" s="82" t="str">
        <f ca="1">OFFSET(Roster!$A$3,MATCH(表格1[[#This Row],[Location]]&amp;" "&amp;表格1[[#This Row],[Shop]]&amp;"*",Roster!$A$4:$A$72,0),DAY(表格1[[#This Row],[date]]),1,1)</f>
        <v>Kitty Yeung</v>
      </c>
      <c r="E1394" s="81">
        <f>MONTH(表格1[[#This Row],[date]])</f>
        <v>3</v>
      </c>
      <c r="F1394" s="90">
        <v>46098</v>
      </c>
      <c r="G1394" s="81" t="str">
        <f>VLOOKUP("*"&amp;表格1[[#This Row],[Input]]&amp;"*",'Ref-List'!$B:$D,2,)</f>
        <v>TP-25DR2UHK(W)</v>
      </c>
      <c r="H1394" s="81" t="str">
        <f>_xlfn.XLOOKUP(表格1[[#This Row],[Model]],表格3[Model-Input-Ref2],表格3[Product Line])</f>
        <v>電熱水瓶 (2.5公升)</v>
      </c>
      <c r="I1394" s="81" t="str">
        <f>_xlfn.XLOOKUP(表格1[[#This Row],[Model]],表格3[Model-Input-Ref2],表格3[大小電])</f>
        <v>細電</v>
      </c>
      <c r="J1394" s="81" t="str">
        <f>_xlfn.XLOOKUP(表格1[[#This Row],[Model]],表格3[Model-Input-Ref2],表格3[Code])</f>
        <v>SDA</v>
      </c>
      <c r="K1394" s="89" t="s">
        <v>1285</v>
      </c>
      <c r="L1394" s="81">
        <v>1</v>
      </c>
      <c r="M1394" s="87">
        <v>388</v>
      </c>
      <c r="N1394" s="85">
        <f>IFERROR(表格1[[#This Row],[QTY]]*表格1[[#This Row],[Unit Price]],"-")</f>
        <v>388</v>
      </c>
      <c r="O1394" s="86">
        <v>4191</v>
      </c>
      <c r="P1394" s="141"/>
      <c r="R1394" s="86" t="str">
        <f>_xlfn.CONCAT(表格1[[#This Row],[Model]]," ",表格1[[#This Row],[inv no]])</f>
        <v>TP-25DR2UHK(W) 4191</v>
      </c>
      <c r="S1394" s="86">
        <f>_xlfn.XLOOKUP(表格1[[#This Row],[Model]],表格3[Model-Input-Ref2],表格3[SRP PRICE])</f>
        <v>538</v>
      </c>
      <c r="T1394" s="43">
        <f>表格1[[#This Row],[Unit Price]]/表格1[[#This Row],[SRP]]</f>
        <v>0.72118959107806691</v>
      </c>
      <c r="U1394" s="86" t="str">
        <f>_xlfn.XLOOKUP(表格1[[#This Row],[Model]],表格3[Model-Input-Ref2],表格3[TOSHIBA/HIGHEST])</f>
        <v>Toshiba SRP</v>
      </c>
      <c r="V1394" s="86" t="s">
        <v>988</v>
      </c>
      <c r="W1394" s="86" t="str">
        <f>_xlfn.CONCAT(表格1[[#This Row],[欄4]],表格1[[#This Row],[inv no]])</f>
        <v>DA1404191</v>
      </c>
    </row>
    <row r="1395" spans="1:23" hidden="1">
      <c r="A1395" s="81">
        <v>1393</v>
      </c>
      <c r="B1395" s="81" t="s">
        <v>1470</v>
      </c>
      <c r="C1395" s="81" t="s">
        <v>1557</v>
      </c>
      <c r="D1395" s="82" t="str">
        <f ca="1">OFFSET(Roster!$A$3,MATCH(表格1[[#This Row],[Location]]&amp;" "&amp;表格1[[#This Row],[Shop]]&amp;"*",Roster!$A$4:$A$72,0),DAY(表格1[[#This Row],[date]]),1,1)</f>
        <v>Kitty Yeung</v>
      </c>
      <c r="E1395" s="81">
        <f>MONTH(表格1[[#This Row],[date]])</f>
        <v>3</v>
      </c>
      <c r="F1395" s="90">
        <v>46098</v>
      </c>
      <c r="G1395" s="81" t="str">
        <f>VLOOKUP("*"&amp;表格1[[#This Row],[Input]]&amp;"*",'Ref-List'!$B:$D,2,)</f>
        <v>CFK01W75</v>
      </c>
      <c r="H1395" s="81" t="str">
        <f>_xlfn.XLOOKUP(表格1[[#This Row],[Model]],表格3[Model-Input-Ref2],表格3[Product Line])</f>
        <v>變頻頂揭式洗衣機 (7.5公斤)</v>
      </c>
      <c r="I1395" s="81" t="str">
        <f>_xlfn.XLOOKUP(表格1[[#This Row],[Model]],表格3[Model-Input-Ref2],表格3[大小電])</f>
        <v>大電</v>
      </c>
      <c r="J1395" s="81" t="str">
        <f>_xlfn.XLOOKUP(表格1[[#This Row],[Model]],表格3[Model-Input-Ref2],表格3[Code])</f>
        <v>LAD</v>
      </c>
      <c r="K1395" s="89" t="s">
        <v>1266</v>
      </c>
      <c r="L1395" s="81">
        <v>1</v>
      </c>
      <c r="M1395" s="87">
        <v>3580</v>
      </c>
      <c r="N1395" s="85">
        <f>IFERROR(表格1[[#This Row],[QTY]]*表格1[[#This Row],[Unit Price]],"-")</f>
        <v>3580</v>
      </c>
      <c r="O1395" s="86">
        <v>4199</v>
      </c>
      <c r="R1395" s="86" t="str">
        <f>_xlfn.CONCAT(表格1[[#This Row],[Model]]," ",表格1[[#This Row],[inv no]])</f>
        <v>CFK01W75 4199</v>
      </c>
      <c r="S1395" s="86">
        <f>_xlfn.XLOOKUP(表格1[[#This Row],[Model]],表格3[Model-Input-Ref2],表格3[SRP PRICE])</f>
        <v>3888</v>
      </c>
      <c r="T1395" s="43">
        <f>表格1[[#This Row],[Unit Price]]/表格1[[#This Row],[SRP]]</f>
        <v>0.92078189300411528</v>
      </c>
      <c r="U1395" s="86" t="str">
        <f>_xlfn.XLOOKUP(表格1[[#This Row],[Model]],表格3[Model-Input-Ref2],表格3[TOSHIBA/HIGHEST])</f>
        <v>Shops Highest Price</v>
      </c>
      <c r="V1395" s="86" t="s">
        <v>988</v>
      </c>
      <c r="W1395" s="86" t="str">
        <f>_xlfn.CONCAT(表格1[[#This Row],[欄4]],表格1[[#This Row],[inv no]])</f>
        <v>DA1404199</v>
      </c>
    </row>
    <row r="1396" spans="1:23" ht="16.5" hidden="1">
      <c r="A1396" s="81">
        <v>1394</v>
      </c>
      <c r="B1396" s="81" t="s">
        <v>1470</v>
      </c>
      <c r="C1396" s="81" t="s">
        <v>1557</v>
      </c>
      <c r="D1396" s="82" t="str">
        <f ca="1">OFFSET(Roster!$A$3,MATCH(表格1[[#This Row],[Location]]&amp;" "&amp;表格1[[#This Row],[Shop]]&amp;"*",Roster!$A$4:$A$72,0),DAY(表格1[[#This Row],[date]]),1,1)</f>
        <v>Kitty Yeung off</v>
      </c>
      <c r="E1396" s="81">
        <f>MONTH(表格1[[#This Row],[date]])</f>
        <v>3</v>
      </c>
      <c r="F1396" s="90">
        <v>46099</v>
      </c>
      <c r="G1396" s="81" t="str">
        <f>VLOOKUP("*"&amp;表格1[[#This Row],[Input]]&amp;"*",'Ref-List'!$B:$D,2,)</f>
        <v>RAD-D300H</v>
      </c>
      <c r="H1396" s="81" t="str">
        <f>_xlfn.XLOOKUP(表格1[[#This Row],[Model]],表格3[Model-Input-Ref2],表格3[Product Line])</f>
        <v>壓縮式抽濕機 (30公升)</v>
      </c>
      <c r="I1396" s="81" t="str">
        <f>_xlfn.XLOOKUP(表格1[[#This Row],[Model]],表格3[Model-Input-Ref2],表格3[大小電])</f>
        <v>細電</v>
      </c>
      <c r="J1396" s="81" t="str">
        <f>_xlfn.XLOOKUP(表格1[[#This Row],[Model]],表格3[Model-Input-Ref2],表格3[Code])</f>
        <v>RAC</v>
      </c>
      <c r="K1396" s="89" t="s">
        <v>1252</v>
      </c>
      <c r="L1396" s="81">
        <v>1</v>
      </c>
      <c r="M1396" s="87">
        <v>2180</v>
      </c>
      <c r="N1396" s="85">
        <f>IFERROR(表格1[[#This Row],[QTY]]*表格1[[#This Row],[Unit Price]],"-")</f>
        <v>2180</v>
      </c>
      <c r="O1396" s="142">
        <v>4205</v>
      </c>
      <c r="P1396" s="141"/>
      <c r="R1396" s="86" t="str">
        <f>_xlfn.CONCAT(表格1[[#This Row],[Model]]," ",表格1[[#This Row],[inv no]])</f>
        <v>RAD-D300H 4205</v>
      </c>
      <c r="S1396" s="86">
        <f>_xlfn.XLOOKUP(表格1[[#This Row],[Model]],表格3[Model-Input-Ref2],表格3[SRP PRICE])</f>
        <v>3380</v>
      </c>
      <c r="T1396" s="43">
        <f>表格1[[#This Row],[Unit Price]]/表格1[[#This Row],[SRP]]</f>
        <v>0.6449704142011834</v>
      </c>
      <c r="U1396" s="86" t="str">
        <f>_xlfn.XLOOKUP(表格1[[#This Row],[Model]],表格3[Model-Input-Ref2],表格3[TOSHIBA/HIGHEST])</f>
        <v>Shops Highest Price</v>
      </c>
      <c r="V1396" s="86" t="s">
        <v>988</v>
      </c>
      <c r="W1396" s="86" t="str">
        <f>_xlfn.CONCAT(表格1[[#This Row],[欄4]],表格1[[#This Row],[inv no]])</f>
        <v>DA1404205</v>
      </c>
    </row>
    <row r="1397" spans="1:23" hidden="1">
      <c r="A1397" s="81">
        <v>1395</v>
      </c>
      <c r="B1397" s="81" t="s">
        <v>1470</v>
      </c>
      <c r="C1397" s="81" t="s">
        <v>1557</v>
      </c>
      <c r="D1397" s="82" t="str">
        <f ca="1">OFFSET(Roster!$A$3,MATCH(表格1[[#This Row],[Location]]&amp;" "&amp;表格1[[#This Row],[Shop]]&amp;"*",Roster!$A$4:$A$72,0),DAY(表格1[[#This Row],[date]]),1,1)</f>
        <v>Kitty Yeung</v>
      </c>
      <c r="E1397" s="81">
        <f>MONTH(表格1[[#This Row],[date]])</f>
        <v>3</v>
      </c>
      <c r="F1397" s="90">
        <v>46102</v>
      </c>
      <c r="G1397" s="81" t="str">
        <f>VLOOKUP("*"&amp;表格1[[#This Row],[Input]]&amp;"*",'Ref-List'!$B:$D,2,)</f>
        <v>KT-17DRTHK(H)</v>
      </c>
      <c r="H1397" s="81" t="str">
        <f>_xlfn.XLOOKUP(表格1[[#This Row],[Model]],表格3[Model-Input-Ref2],表格3[Product Line])</f>
        <v>無線雙層電熱水壺(1.7公升)</v>
      </c>
      <c r="I1397" s="81" t="str">
        <f>_xlfn.XLOOKUP(表格1[[#This Row],[Model]],表格3[Model-Input-Ref2],表格3[大小電])</f>
        <v>細電</v>
      </c>
      <c r="J1397" s="81" t="str">
        <f>_xlfn.XLOOKUP(表格1[[#This Row],[Model]],表格3[Model-Input-Ref2],表格3[Code])</f>
        <v>SDA</v>
      </c>
      <c r="K1397" s="89" t="s">
        <v>1271</v>
      </c>
      <c r="L1397" s="81">
        <v>1</v>
      </c>
      <c r="M1397" s="87">
        <v>388</v>
      </c>
      <c r="N1397" s="85">
        <f>IFERROR(表格1[[#This Row],[QTY]]*表格1[[#This Row],[Unit Price]],"-")</f>
        <v>388</v>
      </c>
      <c r="O1397" s="86">
        <v>4206</v>
      </c>
      <c r="R1397" s="86" t="str">
        <f>_xlfn.CONCAT(表格1[[#This Row],[Model]]," ",表格1[[#This Row],[inv no]])</f>
        <v>KT-17DRTHK(H) 4206</v>
      </c>
      <c r="S1397" s="86">
        <f>_xlfn.XLOOKUP(表格1[[#This Row],[Model]],表格3[Model-Input-Ref2],表格3[SRP PRICE])</f>
        <v>498</v>
      </c>
      <c r="T1397" s="43">
        <f>表格1[[#This Row],[Unit Price]]/表格1[[#This Row],[SRP]]</f>
        <v>0.77911646586345384</v>
      </c>
      <c r="U1397" s="86" t="str">
        <f>_xlfn.XLOOKUP(表格1[[#This Row],[Model]],表格3[Model-Input-Ref2],表格3[TOSHIBA/HIGHEST])</f>
        <v>Toshiba SRP</v>
      </c>
      <c r="V1397" s="86" t="s">
        <v>988</v>
      </c>
      <c r="W1397" s="86" t="str">
        <f>_xlfn.CONCAT(表格1[[#This Row],[欄4]],表格1[[#This Row],[inv no]])</f>
        <v>DA1404206</v>
      </c>
    </row>
    <row r="1398" spans="1:23" hidden="1">
      <c r="A1398" s="81">
        <v>1396</v>
      </c>
      <c r="B1398" s="81" t="s">
        <v>1470</v>
      </c>
      <c r="C1398" s="81" t="s">
        <v>1557</v>
      </c>
      <c r="D1398" s="82" t="str">
        <f ca="1">OFFSET(Roster!$A$3,MATCH(表格1[[#This Row],[Location]]&amp;" "&amp;表格1[[#This Row],[Shop]]&amp;"*",Roster!$A$4:$A$72,0),DAY(表格1[[#This Row],[date]]),1,1)</f>
        <v>Kitty Yeung</v>
      </c>
      <c r="E1398" s="81">
        <f>MONTH(表格1[[#This Row],[date]])</f>
        <v>3</v>
      </c>
      <c r="F1398" s="90">
        <v>46102</v>
      </c>
      <c r="G1398" s="81" t="str">
        <f>VLOOKUP("*"&amp;表格1[[#This Row],[Input]]&amp;"*",'Ref-List'!$B:$D,2,)</f>
        <v>MM2-EG20PC(WH)</v>
      </c>
      <c r="H1398" s="81" t="str">
        <f>_xlfn.XLOOKUP(表格1[[#This Row],[Model]],表格3[Model-Input-Ref2],表格3[Product Line])</f>
        <v>輕觸式燒烤微波爐</v>
      </c>
      <c r="I1398" s="81" t="str">
        <f>_xlfn.XLOOKUP(表格1[[#This Row],[Model]],表格3[Model-Input-Ref2],表格3[大小電])</f>
        <v>細電</v>
      </c>
      <c r="J1398" s="81" t="str">
        <f>_xlfn.XLOOKUP(表格1[[#This Row],[Model]],表格3[Model-Input-Ref2],表格3[Code])</f>
        <v>MCA</v>
      </c>
      <c r="K1398" s="89" t="s">
        <v>1273</v>
      </c>
      <c r="L1398" s="81">
        <v>1</v>
      </c>
      <c r="M1398" s="87">
        <v>668</v>
      </c>
      <c r="N1398" s="85">
        <f>IFERROR(表格1[[#This Row],[QTY]]*表格1[[#This Row],[Unit Price]],"-")</f>
        <v>668</v>
      </c>
      <c r="O1398" s="86">
        <v>4219</v>
      </c>
      <c r="R1398" s="86" t="str">
        <f>_xlfn.CONCAT(表格1[[#This Row],[Model]]," ",表格1[[#This Row],[inv no]])</f>
        <v>MM2-EG20PC(WH) 4219</v>
      </c>
      <c r="S1398" s="86">
        <f>_xlfn.XLOOKUP(表格1[[#This Row],[Model]],表格3[Model-Input-Ref2],表格3[SRP PRICE])</f>
        <v>918</v>
      </c>
      <c r="T1398" s="43">
        <f>表格1[[#This Row],[Unit Price]]/表格1[[#This Row],[SRP]]</f>
        <v>0.72766884531590414</v>
      </c>
      <c r="U1398" s="86" t="str">
        <f>_xlfn.XLOOKUP(表格1[[#This Row],[Model]],表格3[Model-Input-Ref2],表格3[TOSHIBA/HIGHEST])</f>
        <v>Shops Highest Price</v>
      </c>
      <c r="V1398" s="86" t="s">
        <v>988</v>
      </c>
      <c r="W1398" s="86" t="str">
        <f>_xlfn.CONCAT(表格1[[#This Row],[欄4]],表格1[[#This Row],[inv no]])</f>
        <v>DA1404219</v>
      </c>
    </row>
    <row r="1399" spans="1:23" hidden="1">
      <c r="A1399" s="81">
        <v>1397</v>
      </c>
      <c r="B1399" s="81" t="s">
        <v>1470</v>
      </c>
      <c r="C1399" s="81" t="s">
        <v>1557</v>
      </c>
      <c r="D1399" s="82" t="str">
        <f ca="1">OFFSET(Roster!$A$3,MATCH(表格1[[#This Row],[Location]]&amp;" "&amp;表格1[[#This Row],[Shop]]&amp;"*",Roster!$A$4:$A$72,0),DAY(表格1[[#This Row],[date]]),1,1)</f>
        <v>Kitty Yeung</v>
      </c>
      <c r="E1399" s="81">
        <f>MONTH(表格1[[#This Row],[date]])</f>
        <v>3</v>
      </c>
      <c r="F1399" s="90">
        <v>46102</v>
      </c>
      <c r="G1399" s="81" t="str">
        <f>VLOOKUP("*"&amp;表格1[[#This Row],[Input]]&amp;"*",'Ref-List'!$B:$D,2,)</f>
        <v>RC-10JRUH(N)</v>
      </c>
      <c r="H1399" s="81" t="str">
        <f>_xlfn.XLOOKUP(表格1[[#This Row],[Model]],表格3[Model-Input-Ref2],表格3[Product Line])</f>
        <v>電飯煲</v>
      </c>
      <c r="I1399" s="81" t="str">
        <f>_xlfn.XLOOKUP(表格1[[#This Row],[Model]],表格3[Model-Input-Ref2],表格3[大小電])</f>
        <v>細電</v>
      </c>
      <c r="J1399" s="81" t="str">
        <f>_xlfn.XLOOKUP(表格1[[#This Row],[Model]],表格3[Model-Input-Ref2],表格3[Code])</f>
        <v>SDA</v>
      </c>
      <c r="K1399" s="89" t="s">
        <v>1263</v>
      </c>
      <c r="L1399" s="81">
        <v>1</v>
      </c>
      <c r="M1399" s="87">
        <v>308</v>
      </c>
      <c r="N1399" s="85">
        <f>IFERROR(表格1[[#This Row],[QTY]]*表格1[[#This Row],[Unit Price]],"-")</f>
        <v>308</v>
      </c>
      <c r="O1399" s="86">
        <v>4214</v>
      </c>
      <c r="R1399" s="86" t="str">
        <f>_xlfn.CONCAT(表格1[[#This Row],[Model]]," ",表格1[[#This Row],[inv no]])</f>
        <v>RC-10JRUH(N) 4214</v>
      </c>
      <c r="S1399" s="86">
        <f>_xlfn.XLOOKUP(表格1[[#This Row],[Model]],表格3[Model-Input-Ref2],表格3[SRP PRICE])</f>
        <v>398</v>
      </c>
      <c r="T1399" s="43">
        <f>表格1[[#This Row],[Unit Price]]/表格1[[#This Row],[SRP]]</f>
        <v>0.77386934673366836</v>
      </c>
      <c r="U1399" s="86" t="str">
        <f>_xlfn.XLOOKUP(表格1[[#This Row],[Model]],表格3[Model-Input-Ref2],表格3[TOSHIBA/HIGHEST])</f>
        <v>Shops Highest Price</v>
      </c>
      <c r="V1399" s="86" t="s">
        <v>988</v>
      </c>
      <c r="W1399" s="86" t="str">
        <f>_xlfn.CONCAT(表格1[[#This Row],[欄4]],表格1[[#This Row],[inv no]])</f>
        <v>DA1404214</v>
      </c>
    </row>
    <row r="1400" spans="1:23" hidden="1">
      <c r="A1400" s="81">
        <v>1398</v>
      </c>
      <c r="B1400" s="81" t="s">
        <v>1470</v>
      </c>
      <c r="C1400" s="81" t="s">
        <v>1557</v>
      </c>
      <c r="D1400" s="82" t="str">
        <f ca="1">OFFSET(Roster!$A$3,MATCH(表格1[[#This Row],[Location]]&amp;" "&amp;表格1[[#This Row],[Shop]]&amp;"*",Roster!$A$4:$A$72,0),DAY(表格1[[#This Row],[date]]),1,1)</f>
        <v>Kitty Yeung</v>
      </c>
      <c r="E1400" s="81">
        <f>MONTH(表格1[[#This Row],[date]])</f>
        <v>3</v>
      </c>
      <c r="F1400" s="90">
        <v>46102</v>
      </c>
      <c r="G1400" s="81" t="str">
        <f>VLOOKUP("*"&amp;表格1[[#This Row],[Input]]&amp;"*",'Ref-List'!$B:$D,2,)</f>
        <v>AW-Q801APH(WW)</v>
      </c>
      <c r="H1400" s="81" t="str">
        <f>_xlfn.XLOOKUP(表格1[[#This Row],[Model]],表格3[Model-Input-Ref2],表格3[Product Line])</f>
        <v>日式洗衣機 (7公斤 結合高低水位)</v>
      </c>
      <c r="I1400" s="81" t="str">
        <f>_xlfn.XLOOKUP(表格1[[#This Row],[Model]],表格3[Model-Input-Ref2],表格3[大小電])</f>
        <v>大電</v>
      </c>
      <c r="J1400" s="81" t="str">
        <f>_xlfn.XLOOKUP(表格1[[#This Row],[Model]],表格3[Model-Input-Ref2],表格3[Code])</f>
        <v>LAD</v>
      </c>
      <c r="K1400" s="89" t="s">
        <v>1420</v>
      </c>
      <c r="L1400" s="81">
        <v>1</v>
      </c>
      <c r="M1400" s="87">
        <v>2080</v>
      </c>
      <c r="N1400" s="85">
        <f>IFERROR(表格1[[#This Row],[QTY]]*表格1[[#This Row],[Unit Price]],"-")</f>
        <v>2080</v>
      </c>
      <c r="O1400" s="86">
        <v>4216</v>
      </c>
      <c r="R1400" s="86" t="str">
        <f>_xlfn.CONCAT(表格1[[#This Row],[Model]]," ",表格1[[#This Row],[inv no]])</f>
        <v>AW-Q801APH(WW) 4216</v>
      </c>
      <c r="S1400" s="86">
        <f>_xlfn.XLOOKUP(表格1[[#This Row],[Model]],表格3[Model-Input-Ref2],表格3[SRP PRICE])</f>
        <v>3380</v>
      </c>
      <c r="T1400" s="43">
        <f>表格1[[#This Row],[Unit Price]]/表格1[[#This Row],[SRP]]</f>
        <v>0.61538461538461542</v>
      </c>
      <c r="U1400" s="86" t="str">
        <f>_xlfn.XLOOKUP(表格1[[#This Row],[Model]],表格3[Model-Input-Ref2],表格3[TOSHIBA/HIGHEST])</f>
        <v>Toshiba SRP</v>
      </c>
      <c r="V1400" s="86" t="s">
        <v>988</v>
      </c>
      <c r="W1400" s="86" t="str">
        <f>_xlfn.CONCAT(表格1[[#This Row],[欄4]],表格1[[#This Row],[inv no]])</f>
        <v>DA1404216</v>
      </c>
    </row>
    <row r="1401" spans="1:23" hidden="1">
      <c r="A1401" s="81">
        <v>1399</v>
      </c>
      <c r="B1401" s="81" t="s">
        <v>1470</v>
      </c>
      <c r="C1401" s="81" t="s">
        <v>1557</v>
      </c>
      <c r="D1401" s="82" t="str">
        <f ca="1">OFFSET(Roster!$A$3,MATCH(表格1[[#This Row],[Location]]&amp;" "&amp;表格1[[#This Row],[Shop]]&amp;"*",Roster!$A$4:$A$72,0),DAY(表格1[[#This Row],[date]]),1,1)</f>
        <v>Kitty Yeung</v>
      </c>
      <c r="E1401" s="81">
        <f>MONTH(表格1[[#This Row],[date]])</f>
        <v>3</v>
      </c>
      <c r="F1401" s="90">
        <v>46102</v>
      </c>
      <c r="G1401" s="81" t="str">
        <f>VLOOKUP("*"&amp;表格1[[#This Row],[Input]]&amp;"*",'Ref-List'!$B:$D,2,)</f>
        <v>RC-10NMFIH(WT)</v>
      </c>
      <c r="H1401" s="81" t="str">
        <f>_xlfn.XLOOKUP(表格1[[#This Row],[Model]],表格3[Model-Input-Ref2],表格3[Product Line])</f>
        <v>4毫米厚釜電飯煲1L</v>
      </c>
      <c r="I1401" s="81" t="str">
        <f>_xlfn.XLOOKUP(表格1[[#This Row],[Model]],表格3[Model-Input-Ref2],表格3[大小電])</f>
        <v>細電</v>
      </c>
      <c r="J1401" s="81" t="str">
        <f>_xlfn.XLOOKUP(表格1[[#This Row],[Model]],表格3[Model-Input-Ref2],表格3[Code])</f>
        <v>SDA</v>
      </c>
      <c r="K1401" s="89" t="s">
        <v>1244</v>
      </c>
      <c r="L1401" s="81">
        <v>1</v>
      </c>
      <c r="M1401" s="87">
        <v>720</v>
      </c>
      <c r="N1401" s="85">
        <f>IFERROR(表格1[[#This Row],[QTY]]*表格1[[#This Row],[Unit Price]],"-")</f>
        <v>720</v>
      </c>
      <c r="O1401" s="142">
        <v>4243</v>
      </c>
      <c r="R1401" s="86" t="str">
        <f>_xlfn.CONCAT(表格1[[#This Row],[Model]]," ",表格1[[#This Row],[inv no]])</f>
        <v>RC-10NMFIH(WT) 4243</v>
      </c>
      <c r="S1401" s="86">
        <f>_xlfn.XLOOKUP(表格1[[#This Row],[Model]],表格3[Model-Input-Ref2],表格3[SRP PRICE])</f>
        <v>898</v>
      </c>
      <c r="T1401" s="43">
        <f>表格1[[#This Row],[Unit Price]]/表格1[[#This Row],[SRP]]</f>
        <v>0.80178173719376389</v>
      </c>
      <c r="U1401" s="86" t="str">
        <f>_xlfn.XLOOKUP(表格1[[#This Row],[Model]],表格3[Model-Input-Ref2],表格3[TOSHIBA/HIGHEST])</f>
        <v>Toshiba SRP</v>
      </c>
      <c r="V1401" s="86" t="s">
        <v>988</v>
      </c>
      <c r="W1401" s="86" t="str">
        <f>_xlfn.CONCAT(表格1[[#This Row],[欄4]],表格1[[#This Row],[inv no]])</f>
        <v>DA1404243</v>
      </c>
    </row>
    <row r="1402" spans="1:23" hidden="1">
      <c r="A1402" s="81">
        <v>1400</v>
      </c>
      <c r="B1402" s="81" t="s">
        <v>1470</v>
      </c>
      <c r="C1402" s="81" t="s">
        <v>1557</v>
      </c>
      <c r="D1402" s="82" t="str">
        <f ca="1">OFFSET(Roster!$A$3,MATCH(表格1[[#This Row],[Location]]&amp;" "&amp;表格1[[#This Row],[Shop]]&amp;"*",Roster!$A$4:$A$72,0),DAY(表格1[[#This Row],[date]]),1,1)</f>
        <v>Kitty Yeung</v>
      </c>
      <c r="E1402" s="81">
        <f>MONTH(表格1[[#This Row],[date]])</f>
        <v>3</v>
      </c>
      <c r="F1402" s="90">
        <v>46103</v>
      </c>
      <c r="G1402" s="81" t="str">
        <f>VLOOKUP("*"&amp;表格1[[#This Row],[Input]]&amp;"*",'Ref-List'!$B:$D,2,)</f>
        <v>TW-T22BU85UWH(WK)-B</v>
      </c>
      <c r="H1402" s="81" t="str">
        <f>_xlfn.XLOOKUP(表格1[[#This Row],[Model]],表格3[Model-Input-Ref2],表格3[Product Line])</f>
        <v>470MM超薄身前置式變頻洗衣機(7.5公斤, 可飛頂)</v>
      </c>
      <c r="I1402" s="81" t="str">
        <f>_xlfn.XLOOKUP(表格1[[#This Row],[Model]],表格3[Model-Input-Ref2],表格3[大小電])</f>
        <v>大電</v>
      </c>
      <c r="J1402" s="81" t="str">
        <f>_xlfn.XLOOKUP(表格1[[#This Row],[Model]],表格3[Model-Input-Ref2],表格3[Code])</f>
        <v>LAD</v>
      </c>
      <c r="K1402" s="89" t="s">
        <v>972</v>
      </c>
      <c r="L1402" s="81">
        <v>1</v>
      </c>
      <c r="M1402" s="87">
        <v>3480</v>
      </c>
      <c r="N1402" s="85">
        <f>IFERROR(表格1[[#This Row],[QTY]]*表格1[[#This Row],[Unit Price]],"-")</f>
        <v>3480</v>
      </c>
      <c r="O1402" s="86">
        <v>4265</v>
      </c>
      <c r="R1402" s="86" t="str">
        <f>_xlfn.CONCAT(表格1[[#This Row],[Model]]," ",表格1[[#This Row],[inv no]])</f>
        <v>TW-T22BU85UWH(WK)-B 4265</v>
      </c>
      <c r="S1402" s="86">
        <f>_xlfn.XLOOKUP(表格1[[#This Row],[Model]],表格3[Model-Input-Ref2],表格3[SRP PRICE])</f>
        <v>5480</v>
      </c>
      <c r="T1402" s="43">
        <f>表格1[[#This Row],[Unit Price]]/表格1[[#This Row],[SRP]]</f>
        <v>0.63503649635036497</v>
      </c>
      <c r="U1402" s="86" t="str">
        <f>_xlfn.XLOOKUP(表格1[[#This Row],[Model]],表格3[Model-Input-Ref2],表格3[TOSHIBA/HIGHEST])</f>
        <v>Toshiba SRP</v>
      </c>
      <c r="V1402" s="86" t="s">
        <v>988</v>
      </c>
      <c r="W1402" s="86" t="str">
        <f>_xlfn.CONCAT(表格1[[#This Row],[欄4]],表格1[[#This Row],[inv no]])</f>
        <v>DA1404265</v>
      </c>
    </row>
    <row r="1403" spans="1:23" hidden="1">
      <c r="A1403" s="81">
        <v>1401</v>
      </c>
      <c r="B1403" s="81" t="s">
        <v>1470</v>
      </c>
      <c r="C1403" s="81" t="s">
        <v>1557</v>
      </c>
      <c r="D1403" s="82" t="str">
        <f ca="1">OFFSET(Roster!$A$3,MATCH(表格1[[#This Row],[Location]]&amp;" "&amp;表格1[[#This Row],[Shop]]&amp;"*",Roster!$A$4:$A$72,0),DAY(表格1[[#This Row],[date]]),1,1)</f>
        <v>Kitty Yeung</v>
      </c>
      <c r="E1403" s="81">
        <f>MONTH(表格1[[#This Row],[date]])</f>
        <v>3</v>
      </c>
      <c r="F1403" s="90">
        <v>46103</v>
      </c>
      <c r="G1403" s="81" t="str">
        <f>VLOOKUP("*"&amp;表格1[[#This Row],[Input]]&amp;"*",'Ref-List'!$B:$D,2,)</f>
        <v>CFK01W75</v>
      </c>
      <c r="H1403" s="81" t="str">
        <f>_xlfn.XLOOKUP(表格1[[#This Row],[Model]],表格3[Model-Input-Ref2],表格3[Product Line])</f>
        <v>變頻頂揭式洗衣機 (7.5公斤)</v>
      </c>
      <c r="I1403" s="81" t="str">
        <f>_xlfn.XLOOKUP(表格1[[#This Row],[Model]],表格3[Model-Input-Ref2],表格3[大小電])</f>
        <v>大電</v>
      </c>
      <c r="J1403" s="81" t="str">
        <f>_xlfn.XLOOKUP(表格1[[#This Row],[Model]],表格3[Model-Input-Ref2],表格3[Code])</f>
        <v>LAD</v>
      </c>
      <c r="K1403" s="89" t="s">
        <v>1266</v>
      </c>
      <c r="L1403" s="81">
        <v>1</v>
      </c>
      <c r="M1403" s="87">
        <v>3280</v>
      </c>
      <c r="N1403" s="85">
        <f>IFERROR(表格1[[#This Row],[QTY]]*表格1[[#This Row],[Unit Price]],"-")</f>
        <v>3280</v>
      </c>
      <c r="O1403" s="86">
        <v>4264</v>
      </c>
      <c r="R1403" s="86" t="str">
        <f>_xlfn.CONCAT(表格1[[#This Row],[Model]]," ",表格1[[#This Row],[inv no]])</f>
        <v>CFK01W75 4264</v>
      </c>
      <c r="S1403" s="86">
        <f>_xlfn.XLOOKUP(表格1[[#This Row],[Model]],表格3[Model-Input-Ref2],表格3[SRP PRICE])</f>
        <v>3888</v>
      </c>
      <c r="T1403" s="43">
        <f>表格1[[#This Row],[Unit Price]]/表格1[[#This Row],[SRP]]</f>
        <v>0.84362139917695478</v>
      </c>
      <c r="U1403" s="86" t="str">
        <f>_xlfn.XLOOKUP(表格1[[#This Row],[Model]],表格3[Model-Input-Ref2],表格3[TOSHIBA/HIGHEST])</f>
        <v>Shops Highest Price</v>
      </c>
      <c r="V1403" s="86" t="s">
        <v>988</v>
      </c>
      <c r="W1403" s="86" t="str">
        <f>_xlfn.CONCAT(表格1[[#This Row],[欄4]],表格1[[#This Row],[inv no]])</f>
        <v>DA1404264</v>
      </c>
    </row>
    <row r="1404" spans="1:23" hidden="1">
      <c r="A1404" s="81">
        <v>1402</v>
      </c>
      <c r="B1404" s="81" t="s">
        <v>1470</v>
      </c>
      <c r="C1404" s="81" t="s">
        <v>1557</v>
      </c>
      <c r="D1404" s="82" t="str">
        <f ca="1">OFFSET(Roster!$A$3,MATCH(表格1[[#This Row],[Location]]&amp;" "&amp;表格1[[#This Row],[Shop]]&amp;"*",Roster!$A$4:$A$72,0),DAY(表格1[[#This Row],[date]]),1,1)</f>
        <v>Kitty Yeung</v>
      </c>
      <c r="E1404" s="81">
        <f>MONTH(表格1[[#This Row],[date]])</f>
        <v>3</v>
      </c>
      <c r="F1404" s="90">
        <v>46103</v>
      </c>
      <c r="G1404" s="81" t="str">
        <f>VLOOKUP("*"&amp;表格1[[#This Row],[Input]]&amp;"*",'Ref-List'!$B:$D,2,)</f>
        <v>RAD-D300H</v>
      </c>
      <c r="H1404" s="81" t="str">
        <f>_xlfn.XLOOKUP(表格1[[#This Row],[Model]],表格3[Model-Input-Ref2],表格3[Product Line])</f>
        <v>壓縮式抽濕機 (30公升)</v>
      </c>
      <c r="I1404" s="81" t="str">
        <f>_xlfn.XLOOKUP(表格1[[#This Row],[Model]],表格3[Model-Input-Ref2],表格3[大小電])</f>
        <v>細電</v>
      </c>
      <c r="J1404" s="81" t="str">
        <f>_xlfn.XLOOKUP(表格1[[#This Row],[Model]],表格3[Model-Input-Ref2],表格3[Code])</f>
        <v>RAC</v>
      </c>
      <c r="K1404" s="89" t="s">
        <v>1252</v>
      </c>
      <c r="L1404" s="81">
        <v>1</v>
      </c>
      <c r="M1404" s="87">
        <v>2180</v>
      </c>
      <c r="N1404" s="85">
        <f>IFERROR(表格1[[#This Row],[QTY]]*表格1[[#This Row],[Unit Price]],"-")</f>
        <v>2180</v>
      </c>
      <c r="O1404" s="86">
        <v>4259</v>
      </c>
      <c r="R1404" s="86" t="str">
        <f>_xlfn.CONCAT(表格1[[#This Row],[Model]]," ",表格1[[#This Row],[inv no]])</f>
        <v>RAD-D300H 4259</v>
      </c>
      <c r="S1404" s="86">
        <f>_xlfn.XLOOKUP(表格1[[#This Row],[Model]],表格3[Model-Input-Ref2],表格3[SRP PRICE])</f>
        <v>3380</v>
      </c>
      <c r="T1404" s="43">
        <f>表格1[[#This Row],[Unit Price]]/表格1[[#This Row],[SRP]]</f>
        <v>0.6449704142011834</v>
      </c>
      <c r="U1404" s="86" t="str">
        <f>_xlfn.XLOOKUP(表格1[[#This Row],[Model]],表格3[Model-Input-Ref2],表格3[TOSHIBA/HIGHEST])</f>
        <v>Shops Highest Price</v>
      </c>
      <c r="V1404" s="86" t="s">
        <v>988</v>
      </c>
      <c r="W1404" s="86" t="str">
        <f>_xlfn.CONCAT(表格1[[#This Row],[欄4]],表格1[[#This Row],[inv no]])</f>
        <v>DA1404259</v>
      </c>
    </row>
    <row r="1405" spans="1:23" hidden="1">
      <c r="A1405" s="81">
        <v>1403</v>
      </c>
      <c r="B1405" s="81" t="s">
        <v>1470</v>
      </c>
      <c r="C1405" s="81" t="s">
        <v>1557</v>
      </c>
      <c r="D1405" s="82" t="str">
        <f ca="1">OFFSET(Roster!$A$3,MATCH(表格1[[#This Row],[Location]]&amp;" "&amp;表格1[[#This Row],[Shop]]&amp;"*",Roster!$A$4:$A$72,0),DAY(表格1[[#This Row],[date]]),1,1)</f>
        <v>Kitty Yeung</v>
      </c>
      <c r="E1405" s="81">
        <f>MONTH(表格1[[#This Row],[date]])</f>
        <v>3</v>
      </c>
      <c r="F1405" s="90">
        <v>46103</v>
      </c>
      <c r="G1405" s="81" t="str">
        <f>VLOOKUP("*"&amp;表格1[[#This Row],[Input]]&amp;"*",'Ref-List'!$B:$D,2,)</f>
        <v>RAC-09G3CVRGR-HK</v>
      </c>
      <c r="H1405" s="81" t="str">
        <f>_xlfn.XLOOKUP(表格1[[#This Row],[Model]],表格3[Model-Input-Ref2],表格3[Product Line])</f>
        <v>1 匹 R32變頻窗口式冷氣機 (獨立抽濕遙控</v>
      </c>
      <c r="I1405" s="81" t="str">
        <f>_xlfn.XLOOKUP(表格1[[#This Row],[Model]],表格3[Model-Input-Ref2],表格3[大小電])</f>
        <v>大電</v>
      </c>
      <c r="J1405" s="81" t="str">
        <f>_xlfn.XLOOKUP(表格1[[#This Row],[Model]],表格3[Model-Input-Ref2],表格3[Code])</f>
        <v>AC</v>
      </c>
      <c r="K1405" s="89" t="s">
        <v>1474</v>
      </c>
      <c r="L1405" s="81">
        <v>1</v>
      </c>
      <c r="M1405" s="87">
        <v>4280</v>
      </c>
      <c r="N1405" s="85">
        <f>IFERROR(表格1[[#This Row],[QTY]]*表格1[[#This Row],[Unit Price]],"-")</f>
        <v>4280</v>
      </c>
      <c r="O1405" s="86">
        <v>4268</v>
      </c>
      <c r="R1405" s="86" t="str">
        <f>_xlfn.CONCAT(表格1[[#This Row],[Model]]," ",表格1[[#This Row],[inv no]])</f>
        <v>RAC-09G3CVRGR-HK 4268</v>
      </c>
      <c r="S1405" s="86">
        <f>_xlfn.XLOOKUP(表格1[[#This Row],[Model]],表格3[Model-Input-Ref2],表格3[SRP PRICE])</f>
        <v>6980</v>
      </c>
      <c r="T1405" s="43">
        <f>表格1[[#This Row],[Unit Price]]/表格1[[#This Row],[SRP]]</f>
        <v>0.61318051575931232</v>
      </c>
      <c r="U1405" s="86" t="str">
        <f>_xlfn.XLOOKUP(表格1[[#This Row],[Model]],表格3[Model-Input-Ref2],表格3[TOSHIBA/HIGHEST])</f>
        <v>Toshiba SRP</v>
      </c>
      <c r="V1405" s="86" t="s">
        <v>988</v>
      </c>
      <c r="W1405" s="86" t="str">
        <f>_xlfn.CONCAT(表格1[[#This Row],[欄4]],表格1[[#This Row],[inv no]])</f>
        <v>DA1404268</v>
      </c>
    </row>
    <row r="1406" spans="1:23" hidden="1">
      <c r="A1406" s="81">
        <v>1404</v>
      </c>
      <c r="B1406" s="81" t="s">
        <v>1470</v>
      </c>
      <c r="C1406" s="81" t="s">
        <v>1557</v>
      </c>
      <c r="D1406" s="82" t="str">
        <f ca="1">OFFSET(Roster!$A$3,MATCH(表格1[[#This Row],[Location]]&amp;" "&amp;表格1[[#This Row],[Shop]]&amp;"*",Roster!$A$4:$A$72,0),DAY(表格1[[#This Row],[date]]),1,1)</f>
        <v>Kitty Yeung</v>
      </c>
      <c r="E1406" s="81">
        <f>MONTH(表格1[[#This Row],[date]])</f>
        <v>3</v>
      </c>
      <c r="F1406" s="90">
        <v>46103</v>
      </c>
      <c r="G1406" s="81" t="str">
        <f>VLOOKUP("*"&amp;表格1[[#This Row],[Input]]&amp;"*",'Ref-List'!$B:$D,2,)</f>
        <v>KT-14DHUHK(W)</v>
      </c>
      <c r="H1406" s="81" t="str">
        <f>_xlfn.XLOOKUP(表格1[[#This Row],[Model]],表格3[Model-Input-Ref2],表格3[Product Line])</f>
        <v>無線雙層電熱水壺(1.4公升)</v>
      </c>
      <c r="I1406" s="81" t="str">
        <f>_xlfn.XLOOKUP(表格1[[#This Row],[Model]],表格3[Model-Input-Ref2],表格3[大小電])</f>
        <v>細電</v>
      </c>
      <c r="J1406" s="81" t="str">
        <f>_xlfn.XLOOKUP(表格1[[#This Row],[Model]],表格3[Model-Input-Ref2],表格3[Code])</f>
        <v>SDA</v>
      </c>
      <c r="K1406" s="89" t="s">
        <v>1425</v>
      </c>
      <c r="L1406" s="81">
        <v>1</v>
      </c>
      <c r="M1406" s="87">
        <v>280</v>
      </c>
      <c r="N1406" s="85">
        <f>IFERROR(表格1[[#This Row],[QTY]]*表格1[[#This Row],[Unit Price]],"-")</f>
        <v>280</v>
      </c>
      <c r="O1406" s="86">
        <v>4273</v>
      </c>
      <c r="R1406" s="86" t="str">
        <f>_xlfn.CONCAT(表格1[[#This Row],[Model]]," ",表格1[[#This Row],[inv no]])</f>
        <v>KT-14DHUHK(W) 4273</v>
      </c>
      <c r="S1406" s="86">
        <f>_xlfn.XLOOKUP(表格1[[#This Row],[Model]],表格3[Model-Input-Ref2],表格3[SRP PRICE])</f>
        <v>458</v>
      </c>
      <c r="T1406" s="43">
        <f>表格1[[#This Row],[Unit Price]]/表格1[[#This Row],[SRP]]</f>
        <v>0.611353711790393</v>
      </c>
      <c r="U1406" s="86" t="str">
        <f>_xlfn.XLOOKUP(表格1[[#This Row],[Model]],表格3[Model-Input-Ref2],表格3[TOSHIBA/HIGHEST])</f>
        <v>Toshiba SRP</v>
      </c>
      <c r="V1406" s="86" t="s">
        <v>988</v>
      </c>
      <c r="W1406" s="86" t="str">
        <f>_xlfn.CONCAT(表格1[[#This Row],[欄4]],表格1[[#This Row],[inv no]])</f>
        <v>DA1404273</v>
      </c>
    </row>
    <row r="1407" spans="1:23" hidden="1">
      <c r="A1407" s="81">
        <v>1405</v>
      </c>
      <c r="B1407" s="81" t="s">
        <v>1470</v>
      </c>
      <c r="C1407" s="81" t="s">
        <v>1557</v>
      </c>
      <c r="D1407" s="82" t="str">
        <f ca="1">OFFSET(Roster!$A$3,MATCH(表格1[[#This Row],[Location]]&amp;" "&amp;表格1[[#This Row],[Shop]]&amp;"*",Roster!$A$4:$A$72,0),DAY(表格1[[#This Row],[date]]),1,1)</f>
        <v>Kitty Yeung</v>
      </c>
      <c r="E1407" s="81">
        <f>MONTH(表格1[[#This Row],[date]])</f>
        <v>3</v>
      </c>
      <c r="F1407" s="90">
        <v>46103</v>
      </c>
      <c r="G1407" s="81" t="str">
        <f>VLOOKUP("*"&amp;表格1[[#This Row],[Input]]&amp;"*",'Ref-List'!$B:$D,2,)</f>
        <v>CFK01W75</v>
      </c>
      <c r="H1407" s="81" t="str">
        <f>_xlfn.XLOOKUP(表格1[[#This Row],[Model]],表格3[Model-Input-Ref2],表格3[Product Line])</f>
        <v>變頻頂揭式洗衣機 (7.5公斤)</v>
      </c>
      <c r="I1407" s="81" t="str">
        <f>_xlfn.XLOOKUP(表格1[[#This Row],[Model]],表格3[Model-Input-Ref2],表格3[大小電])</f>
        <v>大電</v>
      </c>
      <c r="J1407" s="81" t="str">
        <f>_xlfn.XLOOKUP(表格1[[#This Row],[Model]],表格3[Model-Input-Ref2],表格3[Code])</f>
        <v>LAD</v>
      </c>
      <c r="K1407" s="89" t="s">
        <v>1266</v>
      </c>
      <c r="L1407" s="81">
        <v>1</v>
      </c>
      <c r="M1407" s="87">
        <v>3280</v>
      </c>
      <c r="N1407" s="85">
        <f>IFERROR(表格1[[#This Row],[QTY]]*表格1[[#This Row],[Unit Price]],"-")</f>
        <v>3280</v>
      </c>
      <c r="O1407" s="86">
        <v>4272</v>
      </c>
      <c r="R1407" s="86" t="str">
        <f>_xlfn.CONCAT(表格1[[#This Row],[Model]]," ",表格1[[#This Row],[inv no]])</f>
        <v>CFK01W75 4272</v>
      </c>
      <c r="S1407" s="86">
        <f>_xlfn.XLOOKUP(表格1[[#This Row],[Model]],表格3[Model-Input-Ref2],表格3[SRP PRICE])</f>
        <v>3888</v>
      </c>
      <c r="T1407" s="43">
        <f>表格1[[#This Row],[Unit Price]]/表格1[[#This Row],[SRP]]</f>
        <v>0.84362139917695478</v>
      </c>
      <c r="U1407" s="86" t="str">
        <f>_xlfn.XLOOKUP(表格1[[#This Row],[Model]],表格3[Model-Input-Ref2],表格3[TOSHIBA/HIGHEST])</f>
        <v>Shops Highest Price</v>
      </c>
      <c r="V1407" s="86" t="s">
        <v>988</v>
      </c>
      <c r="W1407" s="86" t="str">
        <f>_xlfn.CONCAT(表格1[[#This Row],[欄4]],表格1[[#This Row],[inv no]])</f>
        <v>DA1404272</v>
      </c>
    </row>
    <row r="1408" spans="1:23" hidden="1">
      <c r="A1408" s="81">
        <v>1406</v>
      </c>
      <c r="B1408" s="81" t="s">
        <v>1470</v>
      </c>
      <c r="C1408" s="81" t="s">
        <v>1557</v>
      </c>
      <c r="D1408" s="82" t="str">
        <f ca="1">OFFSET(Roster!$A$3,MATCH(表格1[[#This Row],[Location]]&amp;" "&amp;表格1[[#This Row],[Shop]]&amp;"*",Roster!$A$4:$A$72,0),DAY(表格1[[#This Row],[date]]),1,1)</f>
        <v>Kitty Yeung</v>
      </c>
      <c r="E1408" s="81">
        <f>MONTH(表格1[[#This Row],[date]])</f>
        <v>3</v>
      </c>
      <c r="F1408" s="90">
        <v>46104</v>
      </c>
      <c r="G1408" s="81" t="str">
        <f>VLOOKUP("*"&amp;表格1[[#This Row],[Input]]&amp;"*",'Ref-List'!$B:$D,2,)</f>
        <v>GR-RB360WE-PMA(06)</v>
      </c>
      <c r="H1408" s="81" t="str">
        <f>_xlfn.XLOOKUP(表格1[[#This Row],[Model]],表格3[Model-Input-Ref2],表格3[Product Line])</f>
        <v>變頻下置式雙門雪櫃系列270L</v>
      </c>
      <c r="I1408" s="81" t="str">
        <f>_xlfn.XLOOKUP(表格1[[#This Row],[Model]],表格3[Model-Input-Ref2],表格3[大小電])</f>
        <v>大電</v>
      </c>
      <c r="J1408" s="81" t="str">
        <f>_xlfn.XLOOKUP(表格1[[#This Row],[Model]],表格3[Model-Input-Ref2],表格3[Code])</f>
        <v>REF</v>
      </c>
      <c r="K1408" s="89" t="s">
        <v>1282</v>
      </c>
      <c r="L1408" s="81">
        <v>1</v>
      </c>
      <c r="M1408" s="87">
        <v>3523</v>
      </c>
      <c r="N1408" s="85">
        <f>IFERROR(表格1[[#This Row],[QTY]]*表格1[[#This Row],[Unit Price]],"-")</f>
        <v>3523</v>
      </c>
      <c r="O1408" s="86">
        <v>4279</v>
      </c>
      <c r="R1408" s="86" t="str">
        <f>_xlfn.CONCAT(表格1[[#This Row],[Model]]," ",表格1[[#This Row],[inv no]])</f>
        <v>GR-RB360WE-PMA(06) 4279</v>
      </c>
      <c r="S1408" s="86">
        <f>_xlfn.XLOOKUP(表格1[[#This Row],[Model]],表格3[Model-Input-Ref2],表格3[SRP PRICE])</f>
        <v>5080</v>
      </c>
      <c r="T1408" s="43">
        <f>表格1[[#This Row],[Unit Price]]/表格1[[#This Row],[SRP]]</f>
        <v>0.69350393700787405</v>
      </c>
      <c r="U1408" s="86" t="str">
        <f>_xlfn.XLOOKUP(表格1[[#This Row],[Model]],表格3[Model-Input-Ref2],表格3[TOSHIBA/HIGHEST])</f>
        <v>Toshiba SRP</v>
      </c>
      <c r="V1408" s="86" t="s">
        <v>988</v>
      </c>
      <c r="W1408" s="86" t="str">
        <f>_xlfn.CONCAT(表格1[[#This Row],[欄4]],表格1[[#This Row],[inv no]])</f>
        <v>DA1404279</v>
      </c>
    </row>
    <row r="1409" spans="1:23" hidden="1">
      <c r="A1409" s="81">
        <v>1407</v>
      </c>
      <c r="B1409" s="81" t="s">
        <v>1470</v>
      </c>
      <c r="C1409" s="81" t="s">
        <v>1557</v>
      </c>
      <c r="D1409" s="82" t="str">
        <f ca="1">OFFSET(Roster!$A$3,MATCH(表格1[[#This Row],[Location]]&amp;" "&amp;表格1[[#This Row],[Shop]]&amp;"*",Roster!$A$4:$A$72,0),DAY(表格1[[#This Row],[date]]),1,1)</f>
        <v>Kitty Yeung</v>
      </c>
      <c r="E1409" s="81">
        <f>MONTH(表格1[[#This Row],[date]])</f>
        <v>3</v>
      </c>
      <c r="F1409" s="90">
        <v>46104</v>
      </c>
      <c r="G1409" s="81" t="str">
        <f>VLOOKUP("*"&amp;表格1[[#This Row],[Input]]&amp;"*",'Ref-List'!$B:$D,2,)</f>
        <v>RC-5SLIH(W)</v>
      </c>
      <c r="H1409" s="81" t="str">
        <f>_xlfn.XLOOKUP(表格1[[#This Row],[Model]],表格3[Model-Input-Ref2],表格3[Product Line])</f>
        <v>微型電腦珍珠飯煲</v>
      </c>
      <c r="I1409" s="81" t="str">
        <f>_xlfn.XLOOKUP(表格1[[#This Row],[Model]],表格3[Model-Input-Ref2],表格3[大小電])</f>
        <v>細電</v>
      </c>
      <c r="J1409" s="81" t="str">
        <f>_xlfn.XLOOKUP(表格1[[#This Row],[Model]],表格3[Model-Input-Ref2],表格3[Code])</f>
        <v>SDA</v>
      </c>
      <c r="K1409" s="89" t="s">
        <v>1264</v>
      </c>
      <c r="L1409" s="81">
        <v>1</v>
      </c>
      <c r="M1409" s="87">
        <v>598</v>
      </c>
      <c r="N1409" s="85">
        <f>IFERROR(表格1[[#This Row],[QTY]]*表格1[[#This Row],[Unit Price]],"-")</f>
        <v>598</v>
      </c>
      <c r="O1409" s="86">
        <v>4278</v>
      </c>
      <c r="R1409" s="86" t="str">
        <f>_xlfn.CONCAT(表格1[[#This Row],[Model]]," ",表格1[[#This Row],[inv no]])</f>
        <v>RC-5SLIH(W) 4278</v>
      </c>
      <c r="S1409" s="86">
        <f>_xlfn.XLOOKUP(表格1[[#This Row],[Model]],表格3[Model-Input-Ref2],表格3[SRP PRICE])</f>
        <v>658</v>
      </c>
      <c r="T1409" s="43">
        <f>表格1[[#This Row],[Unit Price]]/表格1[[#This Row],[SRP]]</f>
        <v>0.90881458966565354</v>
      </c>
      <c r="U1409" s="86" t="str">
        <f>_xlfn.XLOOKUP(表格1[[#This Row],[Model]],表格3[Model-Input-Ref2],表格3[TOSHIBA/HIGHEST])</f>
        <v>Toshiba SRP</v>
      </c>
      <c r="V1409" s="86" t="s">
        <v>988</v>
      </c>
      <c r="W1409" s="86" t="str">
        <f>_xlfn.CONCAT(表格1[[#This Row],[欄4]],表格1[[#This Row],[inv no]])</f>
        <v>DA1404278</v>
      </c>
    </row>
    <row r="1410" spans="1:23" hidden="1">
      <c r="A1410" s="81">
        <v>1408</v>
      </c>
      <c r="B1410" s="81" t="s">
        <v>1470</v>
      </c>
      <c r="C1410" s="81" t="s">
        <v>1557</v>
      </c>
      <c r="D1410" s="82" t="str">
        <f ca="1">OFFSET(Roster!$A$3,MATCH(表格1[[#This Row],[Location]]&amp;" "&amp;表格1[[#This Row],[Shop]]&amp;"*",Roster!$A$4:$A$72,0),DAY(表格1[[#This Row],[date]]),1,1)</f>
        <v>Kitty Yeung</v>
      </c>
      <c r="E1410" s="81">
        <f>MONTH(表格1[[#This Row],[date]])</f>
        <v>3</v>
      </c>
      <c r="F1410" s="90">
        <v>46104</v>
      </c>
      <c r="G1410" s="81" t="str">
        <f>VLOOKUP("*"&amp;表格1[[#This Row],[Input]]&amp;"*",'Ref-List'!$B:$D,2,)</f>
        <v>TW-T21BU90UWH(WW)</v>
      </c>
      <c r="H1410" s="81" t="str">
        <f>_xlfn.XLOOKUP(表格1[[#This Row],[Model]],表格3[Model-Input-Ref2],表格3[Product Line])</f>
        <v>8公斤超薄身前置式變頻洗衣機</v>
      </c>
      <c r="I1410" s="81" t="str">
        <f>_xlfn.XLOOKUP(表格1[[#This Row],[Model]],表格3[Model-Input-Ref2],表格3[大小電])</f>
        <v>大電</v>
      </c>
      <c r="J1410" s="81" t="str">
        <f>_xlfn.XLOOKUP(表格1[[#This Row],[Model]],表格3[Model-Input-Ref2],表格3[Code])</f>
        <v>LAD</v>
      </c>
      <c r="K1410" s="89" t="s">
        <v>1472</v>
      </c>
      <c r="L1410" s="81">
        <v>1</v>
      </c>
      <c r="M1410" s="87">
        <v>3080</v>
      </c>
      <c r="N1410" s="85">
        <f>IFERROR(表格1[[#This Row],[QTY]]*表格1[[#This Row],[Unit Price]],"-")</f>
        <v>3080</v>
      </c>
      <c r="O1410" s="86">
        <v>4277</v>
      </c>
      <c r="R1410" s="86" t="str">
        <f>_xlfn.CONCAT(表格1[[#This Row],[Model]]," ",表格1[[#This Row],[inv no]])</f>
        <v>TW-T21BU90UWH(WW) 4277</v>
      </c>
      <c r="S1410" s="86">
        <f>_xlfn.XLOOKUP(表格1[[#This Row],[Model]],表格3[Model-Input-Ref2],表格3[SRP PRICE])</f>
        <v>5480</v>
      </c>
      <c r="T1410" s="43">
        <f>表格1[[#This Row],[Unit Price]]/表格1[[#This Row],[SRP]]</f>
        <v>0.56204379562043794</v>
      </c>
      <c r="U1410" s="86" t="str">
        <f>_xlfn.XLOOKUP(表格1[[#This Row],[Model]],表格3[Model-Input-Ref2],表格3[TOSHIBA/HIGHEST])</f>
        <v>Toshiba SRP</v>
      </c>
      <c r="V1410" s="86" t="s">
        <v>988</v>
      </c>
      <c r="W1410" s="86" t="str">
        <f>_xlfn.CONCAT(表格1[[#This Row],[欄4]],表格1[[#This Row],[inv no]])</f>
        <v>DA1404277</v>
      </c>
    </row>
    <row r="1411" spans="1:23" hidden="1">
      <c r="A1411" s="81">
        <v>1409</v>
      </c>
      <c r="B1411" s="81" t="s">
        <v>1470</v>
      </c>
      <c r="C1411" s="81" t="s">
        <v>1557</v>
      </c>
      <c r="D1411" s="82" t="str">
        <f ca="1">OFFSET(Roster!$A$3,MATCH(表格1[[#This Row],[Location]]&amp;" "&amp;表格1[[#This Row],[Shop]]&amp;"*",Roster!$A$4:$A$72,0),DAY(表格1[[#This Row],[date]]),1,1)</f>
        <v>Kitty Yeung</v>
      </c>
      <c r="E1411" s="81">
        <f>MONTH(表格1[[#This Row],[date]])</f>
        <v>3</v>
      </c>
      <c r="F1411" s="90">
        <v>46105</v>
      </c>
      <c r="G1411" s="81" t="str">
        <f>VLOOKUP("*"&amp;表格1[[#This Row],[Input]]&amp;"*",'Ref-List'!$B:$D,2,)</f>
        <v>TP-25DR2UHK(W)</v>
      </c>
      <c r="H1411" s="81" t="str">
        <f>_xlfn.XLOOKUP(表格1[[#This Row],[Model]],表格3[Model-Input-Ref2],表格3[Product Line])</f>
        <v>電熱水瓶 (2.5公升)</v>
      </c>
      <c r="I1411" s="81" t="str">
        <f>_xlfn.XLOOKUP(表格1[[#This Row],[Model]],表格3[Model-Input-Ref2],表格3[大小電])</f>
        <v>細電</v>
      </c>
      <c r="J1411" s="81" t="str">
        <f>_xlfn.XLOOKUP(表格1[[#This Row],[Model]],表格3[Model-Input-Ref2],表格3[Code])</f>
        <v>SDA</v>
      </c>
      <c r="K1411" s="89" t="s">
        <v>1285</v>
      </c>
      <c r="L1411" s="81">
        <v>1</v>
      </c>
      <c r="M1411" s="87">
        <v>388</v>
      </c>
      <c r="N1411" s="85">
        <f>IFERROR(表格1[[#This Row],[QTY]]*表格1[[#This Row],[Unit Price]],"-")</f>
        <v>388</v>
      </c>
      <c r="O1411" s="142">
        <v>4289</v>
      </c>
      <c r="R1411" s="86" t="str">
        <f>_xlfn.CONCAT(表格1[[#This Row],[Model]]," ",表格1[[#This Row],[inv no]])</f>
        <v>TP-25DR2UHK(W) 4289</v>
      </c>
      <c r="S1411" s="86">
        <f>_xlfn.XLOOKUP(表格1[[#This Row],[Model]],表格3[Model-Input-Ref2],表格3[SRP PRICE])</f>
        <v>538</v>
      </c>
      <c r="T1411" s="43">
        <f>表格1[[#This Row],[Unit Price]]/表格1[[#This Row],[SRP]]</f>
        <v>0.72118959107806691</v>
      </c>
      <c r="U1411" s="86" t="str">
        <f>_xlfn.XLOOKUP(表格1[[#This Row],[Model]],表格3[Model-Input-Ref2],表格3[TOSHIBA/HIGHEST])</f>
        <v>Toshiba SRP</v>
      </c>
      <c r="V1411" s="86" t="s">
        <v>988</v>
      </c>
      <c r="W1411" s="86" t="str">
        <f>_xlfn.CONCAT(表格1[[#This Row],[欄4]],表格1[[#This Row],[inv no]])</f>
        <v>DA1404289</v>
      </c>
    </row>
    <row r="1412" spans="1:23" hidden="1">
      <c r="A1412" s="81">
        <v>1410</v>
      </c>
      <c r="B1412" s="81" t="s">
        <v>1470</v>
      </c>
      <c r="C1412" s="81" t="s">
        <v>1557</v>
      </c>
      <c r="D1412" s="82" t="str">
        <f ca="1">OFFSET(Roster!$A$3,MATCH(表格1[[#This Row],[Location]]&amp;" "&amp;表格1[[#This Row],[Shop]]&amp;"*",Roster!$A$4:$A$72,0),DAY(表格1[[#This Row],[date]]),1,1)</f>
        <v>Kitty Yeung</v>
      </c>
      <c r="E1412" s="81">
        <f>MONTH(表格1[[#This Row],[date]])</f>
        <v>3</v>
      </c>
      <c r="F1412" s="90">
        <v>46105</v>
      </c>
      <c r="G1412" s="81" t="str">
        <f>VLOOKUP("*"&amp;表格1[[#This Row],[Input]]&amp;"*",'Ref-List'!$B:$D,2,)</f>
        <v>GR-RT300WE-PMA(57)</v>
      </c>
      <c r="H1412" s="81" t="str">
        <f>_xlfn.XLOOKUP(表格1[[#This Row],[Model]],表格3[Model-Input-Ref2],表格3[Product Line])</f>
        <v>變頻式環保雙門雪櫃(233L)</v>
      </c>
      <c r="I1412" s="81" t="str">
        <f>_xlfn.XLOOKUP(表格1[[#This Row],[Model]],表格3[Model-Input-Ref2],表格3[大小電])</f>
        <v>大電</v>
      </c>
      <c r="J1412" s="81" t="str">
        <f>_xlfn.XLOOKUP(表格1[[#This Row],[Model]],表格3[Model-Input-Ref2],表格3[Code])</f>
        <v>REF</v>
      </c>
      <c r="K1412" s="89" t="s">
        <v>1462</v>
      </c>
      <c r="L1412" s="81">
        <v>1</v>
      </c>
      <c r="M1412" s="87">
        <v>2780</v>
      </c>
      <c r="N1412" s="85">
        <f>IFERROR(表格1[[#This Row],[QTY]]*表格1[[#This Row],[Unit Price]],"-")</f>
        <v>2780</v>
      </c>
      <c r="O1412" s="86">
        <v>4284</v>
      </c>
      <c r="R1412" s="86" t="str">
        <f>_xlfn.CONCAT(表格1[[#This Row],[Model]]," ",表格1[[#This Row],[inv no]])</f>
        <v>GR-RT300WE-PMA(57) 4284</v>
      </c>
      <c r="S1412" s="86">
        <f>_xlfn.XLOOKUP(表格1[[#This Row],[Model]],表格3[Model-Input-Ref2],表格3[SRP PRICE])</f>
        <v>4280</v>
      </c>
      <c r="T1412" s="43">
        <f>表格1[[#This Row],[Unit Price]]/表格1[[#This Row],[SRP]]</f>
        <v>0.64953271028037385</v>
      </c>
      <c r="U1412" s="86" t="str">
        <f>_xlfn.XLOOKUP(表格1[[#This Row],[Model]],表格3[Model-Input-Ref2],表格3[TOSHIBA/HIGHEST])</f>
        <v>Toshiba SRP</v>
      </c>
      <c r="V1412" s="86" t="s">
        <v>988</v>
      </c>
      <c r="W1412" s="86" t="str">
        <f>_xlfn.CONCAT(表格1[[#This Row],[欄4]],表格1[[#This Row],[inv no]])</f>
        <v>DA1404284</v>
      </c>
    </row>
    <row r="1413" spans="1:23" hidden="1">
      <c r="A1413" s="81">
        <v>1411</v>
      </c>
      <c r="B1413" s="81" t="s">
        <v>1470</v>
      </c>
      <c r="C1413" s="81" t="s">
        <v>1557</v>
      </c>
      <c r="D1413" s="82" t="str">
        <f ca="1">OFFSET(Roster!$A$3,MATCH(表格1[[#This Row],[Location]]&amp;" "&amp;表格1[[#This Row],[Shop]]&amp;"*",Roster!$A$4:$A$72,0),DAY(表格1[[#This Row],[date]]),1,1)</f>
        <v>Kitty Yeung</v>
      </c>
      <c r="E1413" s="81">
        <f>MONTH(表格1[[#This Row],[date]])</f>
        <v>3</v>
      </c>
      <c r="F1413" s="90">
        <v>46105</v>
      </c>
      <c r="G1413" s="81" t="str">
        <f>VLOOKUP("*"&amp;表格1[[#This Row],[Input]]&amp;"*",'Ref-List'!$B:$D,2,)</f>
        <v>RC-10NMFIH(WT)</v>
      </c>
      <c r="H1413" s="81" t="str">
        <f>_xlfn.XLOOKUP(表格1[[#This Row],[Model]],表格3[Model-Input-Ref2],表格3[Product Line])</f>
        <v>4毫米厚釜電飯煲1L</v>
      </c>
      <c r="I1413" s="81" t="str">
        <f>_xlfn.XLOOKUP(表格1[[#This Row],[Model]],表格3[Model-Input-Ref2],表格3[大小電])</f>
        <v>細電</v>
      </c>
      <c r="J1413" s="81" t="str">
        <f>_xlfn.XLOOKUP(表格1[[#This Row],[Model]],表格3[Model-Input-Ref2],表格3[Code])</f>
        <v>SDA</v>
      </c>
      <c r="K1413" s="89" t="s">
        <v>1244</v>
      </c>
      <c r="L1413" s="81">
        <v>1</v>
      </c>
      <c r="M1413" s="87">
        <v>720</v>
      </c>
      <c r="N1413" s="85">
        <f>IFERROR(表格1[[#This Row],[QTY]]*表格1[[#This Row],[Unit Price]],"-")</f>
        <v>720</v>
      </c>
      <c r="O1413" s="142">
        <v>4285</v>
      </c>
      <c r="R1413" s="86" t="str">
        <f>_xlfn.CONCAT(表格1[[#This Row],[Model]]," ",表格1[[#This Row],[inv no]])</f>
        <v>RC-10NMFIH(WT) 4285</v>
      </c>
      <c r="S1413" s="86">
        <f>_xlfn.XLOOKUP(表格1[[#This Row],[Model]],表格3[Model-Input-Ref2],表格3[SRP PRICE])</f>
        <v>898</v>
      </c>
      <c r="T1413" s="43">
        <f>表格1[[#This Row],[Unit Price]]/表格1[[#This Row],[SRP]]</f>
        <v>0.80178173719376389</v>
      </c>
      <c r="U1413" s="86" t="str">
        <f>_xlfn.XLOOKUP(表格1[[#This Row],[Model]],表格3[Model-Input-Ref2],表格3[TOSHIBA/HIGHEST])</f>
        <v>Toshiba SRP</v>
      </c>
      <c r="V1413" s="86" t="s">
        <v>988</v>
      </c>
      <c r="W1413" s="86" t="str">
        <f>_xlfn.CONCAT(表格1[[#This Row],[欄4]],表格1[[#This Row],[inv no]])</f>
        <v>DA1404285</v>
      </c>
    </row>
    <row r="1414" spans="1:23" hidden="1">
      <c r="A1414" s="81">
        <v>1412</v>
      </c>
      <c r="B1414" s="81" t="s">
        <v>1470</v>
      </c>
      <c r="C1414" s="81" t="s">
        <v>1557</v>
      </c>
      <c r="D1414" s="82" t="str">
        <f ca="1">OFFSET(Roster!$A$3,MATCH(表格1[[#This Row],[Location]]&amp;" "&amp;表格1[[#This Row],[Shop]]&amp;"*",Roster!$A$4:$A$72,0),DAY(表格1[[#This Row],[date]]),1,1)</f>
        <v>Kitty Yeung</v>
      </c>
      <c r="E1414" s="81">
        <f>MONTH(表格1[[#This Row],[date]])</f>
        <v>3</v>
      </c>
      <c r="F1414" s="90">
        <v>46106</v>
      </c>
      <c r="G1414" s="81" t="str">
        <f>VLOOKUP("*"&amp;表格1[[#This Row],[Input]]&amp;"*",'Ref-List'!$B:$D,2,)</f>
        <v>GR-RT300WE-PMA(57)</v>
      </c>
      <c r="H1414" s="81" t="str">
        <f>_xlfn.XLOOKUP(表格1[[#This Row],[Model]],表格3[Model-Input-Ref2],表格3[Product Line])</f>
        <v>變頻式環保雙門雪櫃(233L)</v>
      </c>
      <c r="I1414" s="81" t="str">
        <f>_xlfn.XLOOKUP(表格1[[#This Row],[Model]],表格3[Model-Input-Ref2],表格3[大小電])</f>
        <v>大電</v>
      </c>
      <c r="J1414" s="81" t="str">
        <f>_xlfn.XLOOKUP(表格1[[#This Row],[Model]],表格3[Model-Input-Ref2],表格3[Code])</f>
        <v>REF</v>
      </c>
      <c r="K1414" s="89" t="s">
        <v>1462</v>
      </c>
      <c r="L1414" s="81">
        <v>1</v>
      </c>
      <c r="M1414" s="87">
        <v>2880</v>
      </c>
      <c r="N1414" s="85">
        <f>IFERROR(表格1[[#This Row],[QTY]]*表格1[[#This Row],[Unit Price]],"-")</f>
        <v>2880</v>
      </c>
      <c r="O1414" s="142">
        <v>4294</v>
      </c>
      <c r="R1414" s="86" t="str">
        <f>_xlfn.CONCAT(表格1[[#This Row],[Model]]," ",表格1[[#This Row],[inv no]])</f>
        <v>GR-RT300WE-PMA(57) 4294</v>
      </c>
      <c r="S1414" s="86">
        <f>_xlfn.XLOOKUP(表格1[[#This Row],[Model]],表格3[Model-Input-Ref2],表格3[SRP PRICE])</f>
        <v>4280</v>
      </c>
      <c r="T1414" s="43">
        <f>表格1[[#This Row],[Unit Price]]/表格1[[#This Row],[SRP]]</f>
        <v>0.67289719626168221</v>
      </c>
      <c r="U1414" s="86" t="str">
        <f>_xlfn.XLOOKUP(表格1[[#This Row],[Model]],表格3[Model-Input-Ref2],表格3[TOSHIBA/HIGHEST])</f>
        <v>Toshiba SRP</v>
      </c>
      <c r="V1414" s="86" t="s">
        <v>988</v>
      </c>
      <c r="W1414" s="86" t="str">
        <f>_xlfn.CONCAT(表格1[[#This Row],[欄4]],表格1[[#This Row],[inv no]])</f>
        <v>DA1404294</v>
      </c>
    </row>
    <row r="1415" spans="1:23" hidden="1">
      <c r="A1415" s="81">
        <v>1413</v>
      </c>
      <c r="B1415" s="81" t="s">
        <v>1470</v>
      </c>
      <c r="C1415" s="81" t="s">
        <v>1557</v>
      </c>
      <c r="D1415" s="82" t="str">
        <f ca="1">OFFSET(Roster!$A$3,MATCH(表格1[[#This Row],[Location]]&amp;" "&amp;表格1[[#This Row],[Shop]]&amp;"*",Roster!$A$4:$A$72,0),DAY(表格1[[#This Row],[date]]),1,1)</f>
        <v>Kitty Yeung</v>
      </c>
      <c r="E1415" s="81">
        <f>MONTH(表格1[[#This Row],[date]])</f>
        <v>3</v>
      </c>
      <c r="F1415" s="90">
        <v>46106</v>
      </c>
      <c r="G1415" s="81" t="str">
        <f>VLOOKUP("*"&amp;表格1[[#This Row],[Input]]&amp;"*",'Ref-List'!$B:$D,2,)</f>
        <v>GR-RB221WE-PMA(57)</v>
      </c>
      <c r="H1415" s="81" t="str">
        <f>_xlfn.XLOOKUP(表格1[[#This Row],[Model]],表格3[Model-Input-Ref2],表格3[Product Line])</f>
        <v>變頻下置式雙門雪櫃（163L）</v>
      </c>
      <c r="I1415" s="81" t="str">
        <f>_xlfn.XLOOKUP(表格1[[#This Row],[Model]],表格3[Model-Input-Ref2],表格3[大小電])</f>
        <v>大電</v>
      </c>
      <c r="J1415" s="81" t="str">
        <f>_xlfn.XLOOKUP(表格1[[#This Row],[Model]],表格3[Model-Input-Ref2],表格3[Code])</f>
        <v>REF</v>
      </c>
      <c r="K1415" s="89" t="s">
        <v>1386</v>
      </c>
      <c r="L1415" s="81">
        <v>1</v>
      </c>
      <c r="M1415" s="87">
        <v>2430</v>
      </c>
      <c r="N1415" s="85">
        <f>IFERROR(表格1[[#This Row],[QTY]]*表格1[[#This Row],[Unit Price]],"-")</f>
        <v>2430</v>
      </c>
      <c r="O1415" s="86">
        <v>4295</v>
      </c>
      <c r="R1415" s="86" t="str">
        <f>_xlfn.CONCAT(表格1[[#This Row],[Model]]," ",表格1[[#This Row],[inv no]])</f>
        <v>GR-RB221WE-PMA(57) 4295</v>
      </c>
      <c r="S1415" s="86">
        <f>_xlfn.XLOOKUP(表格1[[#This Row],[Model]],表格3[Model-Input-Ref2],表格3[SRP PRICE])</f>
        <v>3480</v>
      </c>
      <c r="T1415" s="43">
        <f>表格1[[#This Row],[Unit Price]]/表格1[[#This Row],[SRP]]</f>
        <v>0.69827586206896552</v>
      </c>
      <c r="U1415" s="86" t="str">
        <f>_xlfn.XLOOKUP(表格1[[#This Row],[Model]],表格3[Model-Input-Ref2],表格3[TOSHIBA/HIGHEST])</f>
        <v>Toshiba SRP</v>
      </c>
      <c r="V1415" s="86" t="s">
        <v>988</v>
      </c>
      <c r="W1415" s="86" t="str">
        <f>_xlfn.CONCAT(表格1[[#This Row],[欄4]],表格1[[#This Row],[inv no]])</f>
        <v>DA1404295</v>
      </c>
    </row>
    <row r="1416" spans="1:23" hidden="1">
      <c r="A1416" s="81">
        <v>1414</v>
      </c>
      <c r="B1416" s="81" t="s">
        <v>1470</v>
      </c>
      <c r="C1416" s="81" t="s">
        <v>1557</v>
      </c>
      <c r="D1416" s="82" t="str">
        <f ca="1">OFFSET(Roster!$A$3,MATCH(表格1[[#This Row],[Location]]&amp;" "&amp;表格1[[#This Row],[Shop]]&amp;"*",Roster!$A$4:$A$72,0),DAY(表格1[[#This Row],[date]]),1,1)</f>
        <v>Kitty Yeung</v>
      </c>
      <c r="E1416" s="81">
        <f>MONTH(表格1[[#This Row],[date]])</f>
        <v>3</v>
      </c>
      <c r="F1416" s="90">
        <v>46106</v>
      </c>
      <c r="G1416" s="81" t="str">
        <f>VLOOKUP("*"&amp;表格1[[#This Row],[Input]]&amp;"*",'Ref-List'!$B:$D,2,)</f>
        <v>GR-RB221WE-PMA(57)</v>
      </c>
      <c r="H1416" s="81" t="str">
        <f>_xlfn.XLOOKUP(表格1[[#This Row],[Model]],表格3[Model-Input-Ref2],表格3[Product Line])</f>
        <v>變頻下置式雙門雪櫃（163L）</v>
      </c>
      <c r="I1416" s="81" t="str">
        <f>_xlfn.XLOOKUP(表格1[[#This Row],[Model]],表格3[Model-Input-Ref2],表格3[大小電])</f>
        <v>大電</v>
      </c>
      <c r="J1416" s="81" t="str">
        <f>_xlfn.XLOOKUP(表格1[[#This Row],[Model]],表格3[Model-Input-Ref2],表格3[Code])</f>
        <v>REF</v>
      </c>
      <c r="K1416" s="89" t="s">
        <v>1386</v>
      </c>
      <c r="L1416" s="81">
        <v>1</v>
      </c>
      <c r="M1416" s="87">
        <v>2430</v>
      </c>
      <c r="N1416" s="85">
        <f>IFERROR(表格1[[#This Row],[QTY]]*表格1[[#This Row],[Unit Price]],"-")</f>
        <v>2430</v>
      </c>
      <c r="O1416" s="142">
        <v>4297</v>
      </c>
      <c r="R1416" s="86" t="str">
        <f>_xlfn.CONCAT(表格1[[#This Row],[Model]]," ",表格1[[#This Row],[inv no]])</f>
        <v>GR-RB221WE-PMA(57) 4297</v>
      </c>
      <c r="S1416" s="86">
        <f>_xlfn.XLOOKUP(表格1[[#This Row],[Model]],表格3[Model-Input-Ref2],表格3[SRP PRICE])</f>
        <v>3480</v>
      </c>
      <c r="T1416" s="43">
        <f>表格1[[#This Row],[Unit Price]]/表格1[[#This Row],[SRP]]</f>
        <v>0.69827586206896552</v>
      </c>
      <c r="U1416" s="86" t="str">
        <f>_xlfn.XLOOKUP(表格1[[#This Row],[Model]],表格3[Model-Input-Ref2],表格3[TOSHIBA/HIGHEST])</f>
        <v>Toshiba SRP</v>
      </c>
      <c r="V1416" s="86" t="s">
        <v>988</v>
      </c>
      <c r="W1416" s="86" t="str">
        <f>_xlfn.CONCAT(表格1[[#This Row],[欄4]],表格1[[#This Row],[inv no]])</f>
        <v>DA1404297</v>
      </c>
    </row>
    <row r="1417" spans="1:23" hidden="1">
      <c r="A1417" s="81">
        <v>1415</v>
      </c>
      <c r="B1417" s="81" t="s">
        <v>1470</v>
      </c>
      <c r="C1417" s="81" t="s">
        <v>1557</v>
      </c>
      <c r="D1417" s="82" t="str">
        <f ca="1">OFFSET(Roster!$A$3,MATCH(表格1[[#This Row],[Location]]&amp;" "&amp;表格1[[#This Row],[Shop]]&amp;"*",Roster!$A$4:$A$72,0),DAY(表格1[[#This Row],[date]]),1,1)</f>
        <v>Kitty Yeung</v>
      </c>
      <c r="E1417" s="81">
        <f>MONTH(表格1[[#This Row],[date]])</f>
        <v>3</v>
      </c>
      <c r="F1417" s="90">
        <v>46106</v>
      </c>
      <c r="G1417" s="81" t="str">
        <f>VLOOKUP("*"&amp;表格1[[#This Row],[Input]]&amp;"*",'Ref-List'!$B:$D,2,)</f>
        <v>TW-T21BU90UWH(WW)</v>
      </c>
      <c r="H1417" s="81" t="str">
        <f>_xlfn.XLOOKUP(表格1[[#This Row],[Model]],表格3[Model-Input-Ref2],表格3[Product Line])</f>
        <v>8公斤超薄身前置式變頻洗衣機</v>
      </c>
      <c r="I1417" s="81" t="str">
        <f>_xlfn.XLOOKUP(表格1[[#This Row],[Model]],表格3[Model-Input-Ref2],表格3[大小電])</f>
        <v>大電</v>
      </c>
      <c r="J1417" s="81" t="str">
        <f>_xlfn.XLOOKUP(表格1[[#This Row],[Model]],表格3[Model-Input-Ref2],表格3[Code])</f>
        <v>LAD</v>
      </c>
      <c r="K1417" s="89" t="s">
        <v>1472</v>
      </c>
      <c r="L1417" s="81">
        <v>1</v>
      </c>
      <c r="M1417" s="87">
        <v>3180</v>
      </c>
      <c r="N1417" s="85">
        <f>IFERROR(表格1[[#This Row],[QTY]]*表格1[[#This Row],[Unit Price]],"-")</f>
        <v>3180</v>
      </c>
      <c r="O1417" s="86">
        <v>4298</v>
      </c>
      <c r="R1417" s="86" t="str">
        <f>_xlfn.CONCAT(表格1[[#This Row],[Model]]," ",表格1[[#This Row],[inv no]])</f>
        <v>TW-T21BU90UWH(WW) 4298</v>
      </c>
      <c r="S1417" s="86">
        <f>_xlfn.XLOOKUP(表格1[[#This Row],[Model]],表格3[Model-Input-Ref2],表格3[SRP PRICE])</f>
        <v>5480</v>
      </c>
      <c r="T1417" s="43">
        <f>表格1[[#This Row],[Unit Price]]/表格1[[#This Row],[SRP]]</f>
        <v>0.58029197080291972</v>
      </c>
      <c r="U1417" s="86" t="str">
        <f>_xlfn.XLOOKUP(表格1[[#This Row],[Model]],表格3[Model-Input-Ref2],表格3[TOSHIBA/HIGHEST])</f>
        <v>Toshiba SRP</v>
      </c>
      <c r="V1417" s="86" t="s">
        <v>988</v>
      </c>
      <c r="W1417" s="86" t="str">
        <f>_xlfn.CONCAT(表格1[[#This Row],[欄4]],表格1[[#This Row],[inv no]])</f>
        <v>DA1404298</v>
      </c>
    </row>
    <row r="1418" spans="1:23" hidden="1">
      <c r="A1418" s="81">
        <v>1416</v>
      </c>
      <c r="B1418" s="81" t="s">
        <v>1470</v>
      </c>
      <c r="C1418" s="81" t="s">
        <v>1557</v>
      </c>
      <c r="D1418" s="82" t="str">
        <f ca="1">OFFSET(Roster!$A$3,MATCH(表格1[[#This Row],[Location]]&amp;" "&amp;表格1[[#This Row],[Shop]]&amp;"*",Roster!$A$4:$A$72,0),DAY(表格1[[#This Row],[date]]),1,1)</f>
        <v>Kitty Yeung</v>
      </c>
      <c r="E1418" s="81">
        <f>MONTH(表格1[[#This Row],[date]])</f>
        <v>3</v>
      </c>
      <c r="F1418" s="90">
        <v>46106</v>
      </c>
      <c r="G1418" s="81" t="str">
        <f>VLOOKUP("*"&amp;表格1[[#This Row],[Input]]&amp;"*",'Ref-List'!$B:$D,2,)</f>
        <v>RAC-09G3CVRGR-HK</v>
      </c>
      <c r="H1418" s="81" t="str">
        <f>_xlfn.XLOOKUP(表格1[[#This Row],[Model]],表格3[Model-Input-Ref2],表格3[Product Line])</f>
        <v>1 匹 R32變頻窗口式冷氣機 (獨立抽濕遙控</v>
      </c>
      <c r="I1418" s="81" t="str">
        <f>_xlfn.XLOOKUP(表格1[[#This Row],[Model]],表格3[Model-Input-Ref2],表格3[大小電])</f>
        <v>大電</v>
      </c>
      <c r="J1418" s="81" t="str">
        <f>_xlfn.XLOOKUP(表格1[[#This Row],[Model]],表格3[Model-Input-Ref2],表格3[Code])</f>
        <v>AC</v>
      </c>
      <c r="K1418" s="89" t="s">
        <v>1474</v>
      </c>
      <c r="L1418" s="81">
        <v>1</v>
      </c>
      <c r="M1418" s="87">
        <v>4280</v>
      </c>
      <c r="N1418" s="85">
        <f>IFERROR(表格1[[#This Row],[QTY]]*表格1[[#This Row],[Unit Price]],"-")</f>
        <v>4280</v>
      </c>
      <c r="O1418" s="86">
        <v>4305</v>
      </c>
      <c r="R1418" s="86" t="str">
        <f>_xlfn.CONCAT(表格1[[#This Row],[Model]]," ",表格1[[#This Row],[inv no]])</f>
        <v>RAC-09G3CVRGR-HK 4305</v>
      </c>
      <c r="S1418" s="86">
        <f>_xlfn.XLOOKUP(表格1[[#This Row],[Model]],表格3[Model-Input-Ref2],表格3[SRP PRICE])</f>
        <v>6980</v>
      </c>
      <c r="T1418" s="43">
        <f>表格1[[#This Row],[Unit Price]]/表格1[[#This Row],[SRP]]</f>
        <v>0.61318051575931232</v>
      </c>
      <c r="U1418" s="86" t="str">
        <f>_xlfn.XLOOKUP(表格1[[#This Row],[Model]],表格3[Model-Input-Ref2],表格3[TOSHIBA/HIGHEST])</f>
        <v>Toshiba SRP</v>
      </c>
      <c r="V1418" s="86" t="s">
        <v>988</v>
      </c>
      <c r="W1418" s="86" t="str">
        <f>_xlfn.CONCAT(表格1[[#This Row],[欄4]],表格1[[#This Row],[inv no]])</f>
        <v>DA1404305</v>
      </c>
    </row>
    <row r="1419" spans="1:23" hidden="1">
      <c r="A1419" s="81">
        <v>1417</v>
      </c>
      <c r="B1419" s="81" t="s">
        <v>1470</v>
      </c>
      <c r="C1419" s="81" t="s">
        <v>1557</v>
      </c>
      <c r="D1419" s="82" t="str">
        <f ca="1">OFFSET(Roster!$A$3,MATCH(表格1[[#This Row],[Location]]&amp;" "&amp;表格1[[#This Row],[Shop]]&amp;"*",Roster!$A$4:$A$72,0),DAY(表格1[[#This Row],[date]]),1,1)</f>
        <v>Kitty Yeung</v>
      </c>
      <c r="E1419" s="81">
        <f>MONTH(表格1[[#This Row],[date]])</f>
        <v>3</v>
      </c>
      <c r="F1419" s="90">
        <v>46109</v>
      </c>
      <c r="G1419" s="81" t="str">
        <f>VLOOKUP("*"&amp;表格1[[#This Row],[Input]]&amp;"*",'Ref-List'!$B:$D,2,)</f>
        <v>RAD-Y200H</v>
      </c>
      <c r="H1419" s="81" t="str">
        <f>_xlfn.XLOOKUP(表格1[[#This Row],[Model]],表格3[Model-Input-Ref2],表格3[Product Line])</f>
        <v>21L壓縮式抽濕機</v>
      </c>
      <c r="I1419" s="81" t="str">
        <f>_xlfn.XLOOKUP(表格1[[#This Row],[Model]],表格3[Model-Input-Ref2],表格3[大小電])</f>
        <v>大電</v>
      </c>
      <c r="J1419" s="81" t="str">
        <f>_xlfn.XLOOKUP(表格1[[#This Row],[Model]],表格3[Model-Input-Ref2],表格3[Code])</f>
        <v>RAC</v>
      </c>
      <c r="K1419" s="89" t="s">
        <v>1241</v>
      </c>
      <c r="L1419" s="81">
        <v>1</v>
      </c>
      <c r="M1419" s="87">
        <v>1998</v>
      </c>
      <c r="N1419" s="85">
        <f>IFERROR(表格1[[#This Row],[QTY]]*表格1[[#This Row],[Unit Price]],"-")</f>
        <v>1998</v>
      </c>
      <c r="O1419" s="86">
        <v>4309</v>
      </c>
      <c r="R1419" s="86" t="str">
        <f>_xlfn.CONCAT(表格1[[#This Row],[Model]]," ",表格1[[#This Row],[inv no]])</f>
        <v>RAD-Y200H 4309</v>
      </c>
      <c r="S1419" s="86">
        <f>_xlfn.XLOOKUP(表格1[[#This Row],[Model]],表格3[Model-Input-Ref2],表格3[SRP PRICE])</f>
        <v>3280</v>
      </c>
      <c r="T1419" s="43">
        <f>表格1[[#This Row],[Unit Price]]/表格1[[#This Row],[SRP]]</f>
        <v>0.60914634146341462</v>
      </c>
      <c r="U1419" s="86" t="str">
        <f>_xlfn.XLOOKUP(表格1[[#This Row],[Model]],表格3[Model-Input-Ref2],表格3[TOSHIBA/HIGHEST])</f>
        <v>Toshiba SRP</v>
      </c>
      <c r="V1419" s="86" t="s">
        <v>988</v>
      </c>
      <c r="W1419" s="86" t="str">
        <f>_xlfn.CONCAT(表格1[[#This Row],[欄4]],表格1[[#This Row],[inv no]])</f>
        <v>DA1404309</v>
      </c>
    </row>
    <row r="1420" spans="1:23" hidden="1">
      <c r="A1420" s="81">
        <v>1418</v>
      </c>
      <c r="B1420" s="81" t="s">
        <v>1470</v>
      </c>
      <c r="C1420" s="81" t="s">
        <v>1557</v>
      </c>
      <c r="D1420" s="82" t="str">
        <f ca="1">OFFSET(Roster!$A$3,MATCH(表格1[[#This Row],[Location]]&amp;" "&amp;表格1[[#This Row],[Shop]]&amp;"*",Roster!$A$4:$A$72,0),DAY(表格1[[#This Row],[date]]),1,1)</f>
        <v>Kitty Yeung</v>
      </c>
      <c r="E1420" s="81">
        <f>MONTH(表格1[[#This Row],[date]])</f>
        <v>3</v>
      </c>
      <c r="F1420" s="90">
        <v>46109</v>
      </c>
      <c r="G1420" s="81" t="str">
        <f>VLOOKUP("*"&amp;表格1[[#This Row],[Input]]&amp;"*",'Ref-List'!$B:$D,2,)</f>
        <v>GR-RT234WE-PMA(57)</v>
      </c>
      <c r="H1420" s="81" t="str">
        <f>_xlfn.XLOOKUP(表格1[[#This Row],[Model]],表格3[Model-Input-Ref2],表格3[Product Line])</f>
        <v>變頻式環保雙門雪櫃（179L）</v>
      </c>
      <c r="I1420" s="81" t="str">
        <f>_xlfn.XLOOKUP(表格1[[#This Row],[Model]],表格3[Model-Input-Ref2],表格3[大小電])</f>
        <v>大電</v>
      </c>
      <c r="J1420" s="81" t="str">
        <f>_xlfn.XLOOKUP(表格1[[#This Row],[Model]],表格3[Model-Input-Ref2],表格3[Code])</f>
        <v>REF</v>
      </c>
      <c r="K1420" s="89" t="s">
        <v>1423</v>
      </c>
      <c r="L1420" s="81">
        <v>1</v>
      </c>
      <c r="M1420" s="87">
        <v>1795</v>
      </c>
      <c r="N1420" s="85">
        <f>IFERROR(表格1[[#This Row],[QTY]]*表格1[[#This Row],[Unit Price]],"-")</f>
        <v>1795</v>
      </c>
      <c r="O1420" s="86">
        <v>4324</v>
      </c>
      <c r="R1420" s="86" t="str">
        <f>_xlfn.CONCAT(表格1[[#This Row],[Model]]," ",表格1[[#This Row],[inv no]])</f>
        <v>GR-RT234WE-PMA(57) 4324</v>
      </c>
      <c r="S1420" s="86">
        <f>_xlfn.XLOOKUP(表格1[[#This Row],[Model]],表格3[Model-Input-Ref2],表格3[SRP PRICE])</f>
        <v>3680</v>
      </c>
      <c r="T1420" s="43">
        <f>表格1[[#This Row],[Unit Price]]/表格1[[#This Row],[SRP]]</f>
        <v>0.48777173913043476</v>
      </c>
      <c r="U1420" s="86" t="str">
        <f>_xlfn.XLOOKUP(表格1[[#This Row],[Model]],表格3[Model-Input-Ref2],表格3[TOSHIBA/HIGHEST])</f>
        <v>Toshiba SRP</v>
      </c>
      <c r="V1420" s="86" t="s">
        <v>988</v>
      </c>
      <c r="W1420" s="86" t="str">
        <f>_xlfn.CONCAT(表格1[[#This Row],[欄4]],表格1[[#This Row],[inv no]])</f>
        <v>DA1404324</v>
      </c>
    </row>
    <row r="1421" spans="1:23" hidden="1">
      <c r="A1421" s="81">
        <v>1419</v>
      </c>
      <c r="B1421" s="81" t="s">
        <v>1470</v>
      </c>
      <c r="C1421" s="81" t="s">
        <v>1557</v>
      </c>
      <c r="D1421" s="82" t="str">
        <f ca="1">OFFSET(Roster!$A$3,MATCH(表格1[[#This Row],[Location]]&amp;" "&amp;表格1[[#This Row],[Shop]]&amp;"*",Roster!$A$4:$A$72,0),DAY(表格1[[#This Row],[date]]),1,1)</f>
        <v>Kitty Yeung</v>
      </c>
      <c r="E1421" s="81">
        <f>MONTH(表格1[[#This Row],[date]])</f>
        <v>3</v>
      </c>
      <c r="F1421" s="90">
        <v>46109</v>
      </c>
      <c r="G1421" s="81" t="str">
        <f>VLOOKUP("*"&amp;表格1[[#This Row],[Input]]&amp;"*",'Ref-List'!$B:$D,2,)</f>
        <v>TW-T22BU85UWH(WK)-B</v>
      </c>
      <c r="H1421" s="81" t="str">
        <f>_xlfn.XLOOKUP(表格1[[#This Row],[Model]],表格3[Model-Input-Ref2],表格3[Product Line])</f>
        <v>470MM超薄身前置式變頻洗衣機(7.5公斤, 可飛頂)</v>
      </c>
      <c r="I1421" s="81" t="str">
        <f>_xlfn.XLOOKUP(表格1[[#This Row],[Model]],表格3[Model-Input-Ref2],表格3[大小電])</f>
        <v>大電</v>
      </c>
      <c r="J1421" s="81" t="str">
        <f>_xlfn.XLOOKUP(表格1[[#This Row],[Model]],表格3[Model-Input-Ref2],表格3[Code])</f>
        <v>LAD</v>
      </c>
      <c r="K1421" s="89" t="s">
        <v>972</v>
      </c>
      <c r="L1421" s="81">
        <v>1</v>
      </c>
      <c r="M1421" s="87">
        <v>3380</v>
      </c>
      <c r="N1421" s="85">
        <f>IFERROR(表格1[[#This Row],[QTY]]*表格1[[#This Row],[Unit Price]],"-")</f>
        <v>3380</v>
      </c>
      <c r="O1421" s="86">
        <v>4326</v>
      </c>
      <c r="R1421" s="86" t="str">
        <f>_xlfn.CONCAT(表格1[[#This Row],[Model]]," ",表格1[[#This Row],[inv no]])</f>
        <v>TW-T22BU85UWH(WK)-B 4326</v>
      </c>
      <c r="S1421" s="86">
        <f>_xlfn.XLOOKUP(表格1[[#This Row],[Model]],表格3[Model-Input-Ref2],表格3[SRP PRICE])</f>
        <v>5480</v>
      </c>
      <c r="T1421" s="43">
        <f>表格1[[#This Row],[Unit Price]]/表格1[[#This Row],[SRP]]</f>
        <v>0.61678832116788318</v>
      </c>
      <c r="U1421" s="86" t="str">
        <f>_xlfn.XLOOKUP(表格1[[#This Row],[Model]],表格3[Model-Input-Ref2],表格3[TOSHIBA/HIGHEST])</f>
        <v>Toshiba SRP</v>
      </c>
      <c r="V1421" s="86" t="s">
        <v>988</v>
      </c>
      <c r="W1421" s="86" t="str">
        <f>_xlfn.CONCAT(表格1[[#This Row],[欄4]],表格1[[#This Row],[inv no]])</f>
        <v>DA1404326</v>
      </c>
    </row>
    <row r="1422" spans="1:23" ht="16.5" hidden="1">
      <c r="A1422" s="81">
        <v>1420</v>
      </c>
      <c r="B1422" s="81" t="s">
        <v>1470</v>
      </c>
      <c r="C1422" s="81" t="s">
        <v>1557</v>
      </c>
      <c r="D1422" s="82" t="str">
        <f ca="1">OFFSET(Roster!$A$3,MATCH(表格1[[#This Row],[Location]]&amp;" "&amp;表格1[[#This Row],[Shop]]&amp;"*",Roster!$A$4:$A$72,0),DAY(表格1[[#This Row],[date]]),1,1)</f>
        <v>Kitty Yeung</v>
      </c>
      <c r="E1422" s="81">
        <f>MONTH(表格1[[#This Row],[date]])</f>
        <v>3</v>
      </c>
      <c r="F1422" s="90">
        <v>46109</v>
      </c>
      <c r="G1422" s="81" t="str">
        <f>VLOOKUP("*"&amp;表格1[[#This Row],[Input]]&amp;"*",'Ref-List'!$B:$D,2,)</f>
        <v>AW-Q901BPH(WW)</v>
      </c>
      <c r="H1422" s="81" t="str">
        <f>_xlfn.XLOOKUP(表格1[[#This Row],[Model]],表格3[Model-Input-Ref2],表格3[Product Line])</f>
        <v>日式洗衣機 (8公斤 結合高低水位)</v>
      </c>
      <c r="I1422" s="81" t="str">
        <f>_xlfn.XLOOKUP(表格1[[#This Row],[Model]],表格3[Model-Input-Ref2],表格3[大小電])</f>
        <v>大電</v>
      </c>
      <c r="J1422" s="81" t="str">
        <f>_xlfn.XLOOKUP(表格1[[#This Row],[Model]],表格3[Model-Input-Ref2],表格3[Code])</f>
        <v>LAD</v>
      </c>
      <c r="K1422" s="89" t="s">
        <v>1411</v>
      </c>
      <c r="L1422" s="81">
        <v>1</v>
      </c>
      <c r="M1422" s="87">
        <v>2288</v>
      </c>
      <c r="N1422" s="85">
        <f>IFERROR(表格1[[#This Row],[QTY]]*表格1[[#This Row],[Unit Price]],"-")</f>
        <v>2288</v>
      </c>
      <c r="O1422" s="86">
        <v>4314</v>
      </c>
      <c r="P1422" s="141"/>
      <c r="R1422" s="86" t="str">
        <f>_xlfn.CONCAT(表格1[[#This Row],[Model]]," ",表格1[[#This Row],[inv no]])</f>
        <v>AW-Q901BPH(WW) 4314</v>
      </c>
      <c r="S1422" s="86">
        <f>_xlfn.XLOOKUP(表格1[[#This Row],[Model]],表格3[Model-Input-Ref2],表格3[SRP PRICE])</f>
        <v>3780</v>
      </c>
      <c r="T1422" s="43">
        <f>表格1[[#This Row],[Unit Price]]/表格1[[#This Row],[SRP]]</f>
        <v>0.60529100529100532</v>
      </c>
      <c r="U1422" s="86" t="str">
        <f>_xlfn.XLOOKUP(表格1[[#This Row],[Model]],表格3[Model-Input-Ref2],表格3[TOSHIBA/HIGHEST])</f>
        <v>Toshiba SRP</v>
      </c>
      <c r="V1422" s="86" t="s">
        <v>988</v>
      </c>
      <c r="W1422" s="86" t="str">
        <f>_xlfn.CONCAT(表格1[[#This Row],[欄4]],表格1[[#This Row],[inv no]])</f>
        <v>DA1404314</v>
      </c>
    </row>
    <row r="1423" spans="1:23" hidden="1">
      <c r="A1423" s="81">
        <v>1421</v>
      </c>
      <c r="B1423" s="81" t="s">
        <v>1470</v>
      </c>
      <c r="C1423" s="81" t="s">
        <v>1557</v>
      </c>
      <c r="D1423" s="82" t="str">
        <f ca="1">OFFSET(Roster!$A$3,MATCH(表格1[[#This Row],[Location]]&amp;" "&amp;表格1[[#This Row],[Shop]]&amp;"*",Roster!$A$4:$A$72,0),DAY(表格1[[#This Row],[date]]),1,1)</f>
        <v>Kitty Yeung</v>
      </c>
      <c r="E1423" s="81">
        <f>MONTH(表格1[[#This Row],[date]])</f>
        <v>3</v>
      </c>
      <c r="F1423" s="90">
        <v>46109</v>
      </c>
      <c r="G1423" s="81" t="str">
        <f>VLOOKUP("*"&amp;表格1[[#This Row],[Input]]&amp;"*",'Ref-List'!$B:$D,2,)</f>
        <v>AW-Q901BPH(WW)</v>
      </c>
      <c r="H1423" s="81" t="str">
        <f>_xlfn.XLOOKUP(表格1[[#This Row],[Model]],表格3[Model-Input-Ref2],表格3[Product Line])</f>
        <v>日式洗衣機 (8公斤 結合高低水位)</v>
      </c>
      <c r="I1423" s="81" t="str">
        <f>_xlfn.XLOOKUP(表格1[[#This Row],[Model]],表格3[Model-Input-Ref2],表格3[大小電])</f>
        <v>大電</v>
      </c>
      <c r="J1423" s="81" t="str">
        <f>_xlfn.XLOOKUP(表格1[[#This Row],[Model]],表格3[Model-Input-Ref2],表格3[Code])</f>
        <v>LAD</v>
      </c>
      <c r="K1423" s="89" t="s">
        <v>1411</v>
      </c>
      <c r="L1423" s="81">
        <v>1</v>
      </c>
      <c r="M1423" s="87">
        <v>2208</v>
      </c>
      <c r="N1423" s="85">
        <f>IFERROR(表格1[[#This Row],[QTY]]*表格1[[#This Row],[Unit Price]],"-")</f>
        <v>2208</v>
      </c>
      <c r="O1423" s="142">
        <v>4335</v>
      </c>
      <c r="R1423" s="86" t="str">
        <f>_xlfn.CONCAT(表格1[[#This Row],[Model]]," ",表格1[[#This Row],[inv no]])</f>
        <v>AW-Q901BPH(WW) 4335</v>
      </c>
      <c r="S1423" s="86">
        <f>_xlfn.XLOOKUP(表格1[[#This Row],[Model]],表格3[Model-Input-Ref2],表格3[SRP PRICE])</f>
        <v>3780</v>
      </c>
      <c r="T1423" s="43">
        <f>表格1[[#This Row],[Unit Price]]/表格1[[#This Row],[SRP]]</f>
        <v>0.58412698412698416</v>
      </c>
      <c r="U1423" s="86" t="str">
        <f>_xlfn.XLOOKUP(表格1[[#This Row],[Model]],表格3[Model-Input-Ref2],表格3[TOSHIBA/HIGHEST])</f>
        <v>Toshiba SRP</v>
      </c>
      <c r="V1423" s="86" t="s">
        <v>988</v>
      </c>
      <c r="W1423" s="86" t="str">
        <f>_xlfn.CONCAT(表格1[[#This Row],[欄4]],表格1[[#This Row],[inv no]])</f>
        <v>DA1404335</v>
      </c>
    </row>
    <row r="1424" spans="1:23" hidden="1">
      <c r="A1424" s="81">
        <v>1422</v>
      </c>
      <c r="B1424" s="81" t="s">
        <v>1470</v>
      </c>
      <c r="C1424" s="81" t="s">
        <v>1557</v>
      </c>
      <c r="D1424" s="82" t="str">
        <f ca="1">OFFSET(Roster!$A$3,MATCH(表格1[[#This Row],[Location]]&amp;" "&amp;表格1[[#This Row],[Shop]]&amp;"*",Roster!$A$4:$A$72,0),DAY(表格1[[#This Row],[date]]),1,1)</f>
        <v>Kitty Yeung</v>
      </c>
      <c r="E1424" s="81">
        <f>MONTH(表格1[[#This Row],[date]])</f>
        <v>3</v>
      </c>
      <c r="F1424" s="90">
        <v>46109</v>
      </c>
      <c r="G1424" s="81" t="str">
        <f>VLOOKUP("*"&amp;表格1[[#This Row],[Input]]&amp;"*",'Ref-List'!$B:$D,2,)</f>
        <v>RC-18NMFIH(WT)</v>
      </c>
      <c r="H1424" s="81" t="str">
        <f>_xlfn.XLOOKUP(表格1[[#This Row],[Model]],表格3[Model-Input-Ref2],表格3[Product Line])</f>
        <v>4毫米厚釜電飯煲1.8L</v>
      </c>
      <c r="I1424" s="81" t="str">
        <f>_xlfn.XLOOKUP(表格1[[#This Row],[Model]],表格3[Model-Input-Ref2],表格3[大小電])</f>
        <v>細電</v>
      </c>
      <c r="J1424" s="81" t="str">
        <f>_xlfn.XLOOKUP(表格1[[#This Row],[Model]],表格3[Model-Input-Ref2],表格3[Code])</f>
        <v>SDA</v>
      </c>
      <c r="K1424" s="89" t="s">
        <v>1267</v>
      </c>
      <c r="L1424" s="81">
        <v>1</v>
      </c>
      <c r="M1424" s="87">
        <v>800</v>
      </c>
      <c r="N1424" s="85">
        <f>IFERROR(表格1[[#This Row],[QTY]]*表格1[[#This Row],[Unit Price]],"-")</f>
        <v>800</v>
      </c>
      <c r="O1424" s="142">
        <v>4336</v>
      </c>
      <c r="R1424" s="86" t="str">
        <f>_xlfn.CONCAT(表格1[[#This Row],[Model]]," ",表格1[[#This Row],[inv no]])</f>
        <v>RC-18NMFIH(WT) 4336</v>
      </c>
      <c r="S1424" s="86">
        <f>_xlfn.XLOOKUP(表格1[[#This Row],[Model]],表格3[Model-Input-Ref2],表格3[SRP PRICE])</f>
        <v>998</v>
      </c>
      <c r="T1424" s="43">
        <f>表格1[[#This Row],[Unit Price]]/表格1[[#This Row],[SRP]]</f>
        <v>0.80160320641282568</v>
      </c>
      <c r="U1424" s="86" t="str">
        <f>_xlfn.XLOOKUP(表格1[[#This Row],[Model]],表格3[Model-Input-Ref2],表格3[TOSHIBA/HIGHEST])</f>
        <v>Toshiba SRP</v>
      </c>
      <c r="V1424" s="86" t="s">
        <v>988</v>
      </c>
      <c r="W1424" s="86" t="str">
        <f>_xlfn.CONCAT(表格1[[#This Row],[欄4]],表格1[[#This Row],[inv no]])</f>
        <v>DA1404336</v>
      </c>
    </row>
    <row r="1425" spans="1:23" hidden="1">
      <c r="A1425" s="81">
        <v>1423</v>
      </c>
      <c r="B1425" s="81" t="s">
        <v>1470</v>
      </c>
      <c r="C1425" s="81" t="s">
        <v>1557</v>
      </c>
      <c r="D1425" s="82" t="str">
        <f ca="1">OFFSET(Roster!$A$3,MATCH(表格1[[#This Row],[Location]]&amp;" "&amp;表格1[[#This Row],[Shop]]&amp;"*",Roster!$A$4:$A$72,0),DAY(表格1[[#This Row],[date]]),1,1)</f>
        <v>Kitty Yeung</v>
      </c>
      <c r="E1425" s="81">
        <f>MONTH(表格1[[#This Row],[date]])</f>
        <v>3</v>
      </c>
      <c r="F1425" s="90">
        <v>46109</v>
      </c>
      <c r="G1425" s="81" t="str">
        <f>VLOOKUP("*"&amp;表格1[[#This Row],[Input]]&amp;"*",'Ref-List'!$B:$D,2,)</f>
        <v>AW-Q801APH(WW)</v>
      </c>
      <c r="H1425" s="81" t="str">
        <f>_xlfn.XLOOKUP(表格1[[#This Row],[Model]],表格3[Model-Input-Ref2],表格3[Product Line])</f>
        <v>日式洗衣機 (7公斤 結合高低水位)</v>
      </c>
      <c r="I1425" s="81" t="str">
        <f>_xlfn.XLOOKUP(表格1[[#This Row],[Model]],表格3[Model-Input-Ref2],表格3[大小電])</f>
        <v>大電</v>
      </c>
      <c r="J1425" s="81" t="str">
        <f>_xlfn.XLOOKUP(表格1[[#This Row],[Model]],表格3[Model-Input-Ref2],表格3[Code])</f>
        <v>LAD</v>
      </c>
      <c r="K1425" s="89" t="s">
        <v>1420</v>
      </c>
      <c r="L1425" s="81">
        <v>1</v>
      </c>
      <c r="M1425" s="87">
        <v>1820</v>
      </c>
      <c r="N1425" s="85">
        <f>IFERROR(表格1[[#This Row],[QTY]]*表格1[[#This Row],[Unit Price]],"-")</f>
        <v>1820</v>
      </c>
      <c r="O1425" s="86">
        <v>4337</v>
      </c>
      <c r="R1425" s="86" t="str">
        <f>_xlfn.CONCAT(表格1[[#This Row],[Model]]," ",表格1[[#This Row],[inv no]])</f>
        <v>AW-Q801APH(WW) 4337</v>
      </c>
      <c r="S1425" s="86">
        <f>_xlfn.XLOOKUP(表格1[[#This Row],[Model]],表格3[Model-Input-Ref2],表格3[SRP PRICE])</f>
        <v>3380</v>
      </c>
      <c r="T1425" s="43">
        <f>表格1[[#This Row],[Unit Price]]/表格1[[#This Row],[SRP]]</f>
        <v>0.53846153846153844</v>
      </c>
      <c r="U1425" s="86" t="str">
        <f>_xlfn.XLOOKUP(表格1[[#This Row],[Model]],表格3[Model-Input-Ref2],表格3[TOSHIBA/HIGHEST])</f>
        <v>Toshiba SRP</v>
      </c>
      <c r="V1425" s="86" t="s">
        <v>988</v>
      </c>
      <c r="W1425" s="86" t="str">
        <f>_xlfn.CONCAT(表格1[[#This Row],[欄4]],表格1[[#This Row],[inv no]])</f>
        <v>DA1404337</v>
      </c>
    </row>
    <row r="1426" spans="1:23" hidden="1">
      <c r="A1426" s="81">
        <v>1424</v>
      </c>
      <c r="B1426" s="81" t="s">
        <v>1470</v>
      </c>
      <c r="C1426" s="81" t="s">
        <v>1557</v>
      </c>
      <c r="D1426" s="82" t="str">
        <f ca="1">OFFSET(Roster!$A$3,MATCH(表格1[[#This Row],[Location]]&amp;" "&amp;表格1[[#This Row],[Shop]]&amp;"*",Roster!$A$4:$A$72,0),DAY(表格1[[#This Row],[date]]),1,1)</f>
        <v>Kitty Yeung</v>
      </c>
      <c r="E1426" s="81">
        <f>MONTH(表格1[[#This Row],[date]])</f>
        <v>3</v>
      </c>
      <c r="F1426" s="90">
        <v>46109</v>
      </c>
      <c r="G1426" s="81" t="str">
        <f>VLOOKUP("*"&amp;表格1[[#This Row],[Input]]&amp;"*",'Ref-List'!$B:$D,2,)</f>
        <v>RAD-D300H</v>
      </c>
      <c r="H1426" s="81" t="str">
        <f>_xlfn.XLOOKUP(表格1[[#This Row],[Model]],表格3[Model-Input-Ref2],表格3[Product Line])</f>
        <v>壓縮式抽濕機 (30公升)</v>
      </c>
      <c r="I1426" s="81" t="str">
        <f>_xlfn.XLOOKUP(表格1[[#This Row],[Model]],表格3[Model-Input-Ref2],表格3[大小電])</f>
        <v>細電</v>
      </c>
      <c r="J1426" s="81" t="str">
        <f>_xlfn.XLOOKUP(表格1[[#This Row],[Model]],表格3[Model-Input-Ref2],表格3[Code])</f>
        <v>RAC</v>
      </c>
      <c r="K1426" s="89" t="s">
        <v>1252</v>
      </c>
      <c r="L1426" s="81">
        <v>1</v>
      </c>
      <c r="M1426" s="87">
        <v>2180</v>
      </c>
      <c r="N1426" s="85">
        <f>IFERROR(表格1[[#This Row],[QTY]]*表格1[[#This Row],[Unit Price]],"-")</f>
        <v>2180</v>
      </c>
      <c r="O1426" s="142">
        <v>4338</v>
      </c>
      <c r="R1426" s="86" t="str">
        <f>_xlfn.CONCAT(表格1[[#This Row],[Model]]," ",表格1[[#This Row],[inv no]])</f>
        <v>RAD-D300H 4338</v>
      </c>
      <c r="S1426" s="86">
        <f>_xlfn.XLOOKUP(表格1[[#This Row],[Model]],表格3[Model-Input-Ref2],表格3[SRP PRICE])</f>
        <v>3380</v>
      </c>
      <c r="T1426" s="43">
        <f>表格1[[#This Row],[Unit Price]]/表格1[[#This Row],[SRP]]</f>
        <v>0.6449704142011834</v>
      </c>
      <c r="U1426" s="86" t="str">
        <f>_xlfn.XLOOKUP(表格1[[#This Row],[Model]],表格3[Model-Input-Ref2],表格3[TOSHIBA/HIGHEST])</f>
        <v>Shops Highest Price</v>
      </c>
      <c r="V1426" s="86" t="s">
        <v>988</v>
      </c>
      <c r="W1426" s="86" t="str">
        <f>_xlfn.CONCAT(表格1[[#This Row],[欄4]],表格1[[#This Row],[inv no]])</f>
        <v>DA1404338</v>
      </c>
    </row>
    <row r="1427" spans="1:23" hidden="1">
      <c r="A1427" s="81">
        <v>1425</v>
      </c>
      <c r="B1427" s="81" t="s">
        <v>1470</v>
      </c>
      <c r="C1427" s="81" t="s">
        <v>1557</v>
      </c>
      <c r="D1427" s="82" t="str">
        <f ca="1">OFFSET(Roster!$A$3,MATCH(表格1[[#This Row],[Location]]&amp;" "&amp;表格1[[#This Row],[Shop]]&amp;"*",Roster!$A$4:$A$72,0),DAY(表格1[[#This Row],[date]]),1,1)</f>
        <v>Kitty Yeung</v>
      </c>
      <c r="E1427" s="81">
        <f>MONTH(表格1[[#This Row],[date]])</f>
        <v>3</v>
      </c>
      <c r="F1427" s="90">
        <v>46109</v>
      </c>
      <c r="G1427" s="81" t="str">
        <f>VLOOKUP("*"&amp;表格1[[#This Row],[Input]]&amp;"*",'Ref-List'!$B:$D,2,)</f>
        <v>RAD-D300H</v>
      </c>
      <c r="H1427" s="81" t="str">
        <f>_xlfn.XLOOKUP(表格1[[#This Row],[Model]],表格3[Model-Input-Ref2],表格3[Product Line])</f>
        <v>壓縮式抽濕機 (30公升)</v>
      </c>
      <c r="I1427" s="81" t="str">
        <f>_xlfn.XLOOKUP(表格1[[#This Row],[Model]],表格3[Model-Input-Ref2],表格3[大小電])</f>
        <v>細電</v>
      </c>
      <c r="J1427" s="81" t="str">
        <f>_xlfn.XLOOKUP(表格1[[#This Row],[Model]],表格3[Model-Input-Ref2],表格3[Code])</f>
        <v>RAC</v>
      </c>
      <c r="K1427" s="89" t="s">
        <v>1252</v>
      </c>
      <c r="L1427" s="81">
        <v>1</v>
      </c>
      <c r="M1427" s="87">
        <v>2180</v>
      </c>
      <c r="N1427" s="85">
        <f>IFERROR(表格1[[#This Row],[QTY]]*表格1[[#This Row],[Unit Price]],"-")</f>
        <v>2180</v>
      </c>
      <c r="O1427" s="86">
        <v>4339</v>
      </c>
      <c r="R1427" s="86" t="str">
        <f>_xlfn.CONCAT(表格1[[#This Row],[Model]]," ",表格1[[#This Row],[inv no]])</f>
        <v>RAD-D300H 4339</v>
      </c>
      <c r="S1427" s="86">
        <f>_xlfn.XLOOKUP(表格1[[#This Row],[Model]],表格3[Model-Input-Ref2],表格3[SRP PRICE])</f>
        <v>3380</v>
      </c>
      <c r="T1427" s="43">
        <f>表格1[[#This Row],[Unit Price]]/表格1[[#This Row],[SRP]]</f>
        <v>0.6449704142011834</v>
      </c>
      <c r="U1427" s="86" t="str">
        <f>_xlfn.XLOOKUP(表格1[[#This Row],[Model]],表格3[Model-Input-Ref2],表格3[TOSHIBA/HIGHEST])</f>
        <v>Shops Highest Price</v>
      </c>
      <c r="V1427" s="86" t="s">
        <v>988</v>
      </c>
      <c r="W1427" s="86" t="str">
        <f>_xlfn.CONCAT(表格1[[#This Row],[欄4]],表格1[[#This Row],[inv no]])</f>
        <v>DA1404339</v>
      </c>
    </row>
    <row r="1428" spans="1:23" hidden="1">
      <c r="A1428" s="81">
        <v>1426</v>
      </c>
      <c r="B1428" s="81" t="s">
        <v>1470</v>
      </c>
      <c r="C1428" s="81" t="s">
        <v>1557</v>
      </c>
      <c r="D1428" s="82" t="str">
        <f ca="1">OFFSET(Roster!$A$3,MATCH(表格1[[#This Row],[Location]]&amp;" "&amp;表格1[[#This Row],[Shop]]&amp;"*",Roster!$A$4:$A$72,0),DAY(表格1[[#This Row],[date]]),1,1)</f>
        <v>Kitty Yeung</v>
      </c>
      <c r="E1428" s="81">
        <f>MONTH(表格1[[#This Row],[date]])</f>
        <v>3</v>
      </c>
      <c r="F1428" s="90">
        <v>46110</v>
      </c>
      <c r="G1428" s="81" t="str">
        <f>VLOOKUP("*"&amp;表格1[[#This Row],[Input]]&amp;"*",'Ref-List'!$B:$D,2,)</f>
        <v>TW-T21BU90UWH(WW)</v>
      </c>
      <c r="H1428" s="81" t="str">
        <f>_xlfn.XLOOKUP(表格1[[#This Row],[Model]],表格3[Model-Input-Ref2],表格3[Product Line])</f>
        <v>8公斤超薄身前置式變頻洗衣機</v>
      </c>
      <c r="I1428" s="81" t="str">
        <f>_xlfn.XLOOKUP(表格1[[#This Row],[Model]],表格3[Model-Input-Ref2],表格3[大小電])</f>
        <v>大電</v>
      </c>
      <c r="J1428" s="81" t="str">
        <f>_xlfn.XLOOKUP(表格1[[#This Row],[Model]],表格3[Model-Input-Ref2],表格3[Code])</f>
        <v>LAD</v>
      </c>
      <c r="K1428" s="89" t="s">
        <v>1472</v>
      </c>
      <c r="L1428" s="81">
        <v>1</v>
      </c>
      <c r="M1428" s="87">
        <v>3180</v>
      </c>
      <c r="N1428" s="85">
        <f>IFERROR(表格1[[#This Row],[QTY]]*表格1[[#This Row],[Unit Price]],"-")</f>
        <v>3180</v>
      </c>
      <c r="O1428" s="86">
        <v>4350</v>
      </c>
      <c r="R1428" s="86" t="str">
        <f>_xlfn.CONCAT(表格1[[#This Row],[Model]]," ",表格1[[#This Row],[inv no]])</f>
        <v>TW-T21BU90UWH(WW) 4350</v>
      </c>
      <c r="S1428" s="86">
        <f>_xlfn.XLOOKUP(表格1[[#This Row],[Model]],表格3[Model-Input-Ref2],表格3[SRP PRICE])</f>
        <v>5480</v>
      </c>
      <c r="T1428" s="43">
        <f>表格1[[#This Row],[Unit Price]]/表格1[[#This Row],[SRP]]</f>
        <v>0.58029197080291972</v>
      </c>
      <c r="U1428" s="86" t="str">
        <f>_xlfn.XLOOKUP(表格1[[#This Row],[Model]],表格3[Model-Input-Ref2],表格3[TOSHIBA/HIGHEST])</f>
        <v>Toshiba SRP</v>
      </c>
      <c r="V1428" s="86" t="s">
        <v>988</v>
      </c>
      <c r="W1428" s="86" t="str">
        <f>_xlfn.CONCAT(表格1[[#This Row],[欄4]],表格1[[#This Row],[inv no]])</f>
        <v>DA1404350</v>
      </c>
    </row>
    <row r="1429" spans="1:23" hidden="1">
      <c r="A1429" s="81">
        <v>1427</v>
      </c>
      <c r="B1429" s="81" t="s">
        <v>1470</v>
      </c>
      <c r="C1429" s="81" t="s">
        <v>1557</v>
      </c>
      <c r="D1429" s="82" t="str">
        <f ca="1">OFFSET(Roster!$A$3,MATCH(表格1[[#This Row],[Location]]&amp;" "&amp;表格1[[#This Row],[Shop]]&amp;"*",Roster!$A$4:$A$72,0),DAY(表格1[[#This Row],[date]]),1,1)</f>
        <v>Kitty Yeung</v>
      </c>
      <c r="E1429" s="81">
        <f>MONTH(表格1[[#This Row],[date]])</f>
        <v>3</v>
      </c>
      <c r="F1429" s="90">
        <v>46110</v>
      </c>
      <c r="G1429" s="81" t="str">
        <f>VLOOKUP("*"&amp;表格1[[#This Row],[Input]]&amp;"*",'Ref-List'!$B:$D,2,)</f>
        <v>VC-CLS1BF(R)</v>
      </c>
      <c r="H1429" s="81" t="str">
        <f>_xlfn.XLOOKUP(表格1[[#This Row],[Model]],表格3[Model-Input-Ref2],表格3[Product Line])</f>
        <v>超輕巧2合1無線吸塵機</v>
      </c>
      <c r="I1429" s="81" t="str">
        <f>_xlfn.XLOOKUP(表格1[[#This Row],[Model]],表格3[Model-Input-Ref2],表格3[大小電])</f>
        <v>細電</v>
      </c>
      <c r="J1429" s="81" t="str">
        <f>_xlfn.XLOOKUP(表格1[[#This Row],[Model]],表格3[Model-Input-Ref2],表格3[Code])</f>
        <v>MCA</v>
      </c>
      <c r="K1429" s="89" t="s">
        <v>1265</v>
      </c>
      <c r="L1429" s="81">
        <v>1</v>
      </c>
      <c r="M1429" s="87">
        <v>1200</v>
      </c>
      <c r="N1429" s="85">
        <f>IFERROR(表格1[[#This Row],[QTY]]*表格1[[#This Row],[Unit Price]],"-")</f>
        <v>1200</v>
      </c>
      <c r="O1429" s="86">
        <v>4346</v>
      </c>
      <c r="R1429" s="86" t="str">
        <f>_xlfn.CONCAT(表格1[[#This Row],[Model]]," ",表格1[[#This Row],[inv no]])</f>
        <v>VC-CLS1BF(R) 4346</v>
      </c>
      <c r="S1429" s="86">
        <f>_xlfn.XLOOKUP(表格1[[#This Row],[Model]],表格3[Model-Input-Ref2],表格3[SRP PRICE])</f>
        <v>1888</v>
      </c>
      <c r="T1429" s="43">
        <f>表格1[[#This Row],[Unit Price]]/表格1[[#This Row],[SRP]]</f>
        <v>0.63559322033898302</v>
      </c>
      <c r="U1429" s="86" t="str">
        <f>_xlfn.XLOOKUP(表格1[[#This Row],[Model]],表格3[Model-Input-Ref2],表格3[TOSHIBA/HIGHEST])</f>
        <v>Toshiba SRP</v>
      </c>
      <c r="V1429" s="86" t="s">
        <v>988</v>
      </c>
      <c r="W1429" s="86" t="str">
        <f>_xlfn.CONCAT(表格1[[#This Row],[欄4]],表格1[[#This Row],[inv no]])</f>
        <v>DA1404346</v>
      </c>
    </row>
    <row r="1430" spans="1:23" hidden="1">
      <c r="A1430" s="81">
        <v>1428</v>
      </c>
      <c r="B1430" s="81" t="s">
        <v>1470</v>
      </c>
      <c r="C1430" s="81" t="s">
        <v>1557</v>
      </c>
      <c r="D1430" s="82" t="str">
        <f ca="1">OFFSET(Roster!$A$3,MATCH(表格1[[#This Row],[Location]]&amp;" "&amp;表格1[[#This Row],[Shop]]&amp;"*",Roster!$A$4:$A$72,0),DAY(表格1[[#This Row],[date]]),1,1)</f>
        <v>Kitty Yeung</v>
      </c>
      <c r="E1430" s="81">
        <f>MONTH(表格1[[#This Row],[date]])</f>
        <v>3</v>
      </c>
      <c r="F1430" s="90">
        <v>46110</v>
      </c>
      <c r="G1430" s="81" t="str">
        <f>VLOOKUP("*"&amp;表格1[[#This Row],[Input]]&amp;"*",'Ref-List'!$B:$D,2,)</f>
        <v>MM-2MM20PC(WH)</v>
      </c>
      <c r="H1430" s="81" t="str">
        <f>_xlfn.XLOOKUP(表格1[[#This Row],[Model]],表格3[Model-Input-Ref2],表格3[Product Line])</f>
        <v>旋鈕式微波爐 (20公升)</v>
      </c>
      <c r="I1430" s="81" t="str">
        <f>_xlfn.XLOOKUP(表格1[[#This Row],[Model]],表格3[Model-Input-Ref2],表格3[大小電])</f>
        <v>細電</v>
      </c>
      <c r="J1430" s="81" t="str">
        <f>_xlfn.XLOOKUP(表格1[[#This Row],[Model]],表格3[Model-Input-Ref2],表格3[Code])</f>
        <v>MCA</v>
      </c>
      <c r="K1430" s="89" t="s">
        <v>1388</v>
      </c>
      <c r="L1430" s="81">
        <v>1</v>
      </c>
      <c r="M1430" s="87">
        <v>588</v>
      </c>
      <c r="N1430" s="85">
        <f>IFERROR(表格1[[#This Row],[QTY]]*表格1[[#This Row],[Unit Price]],"-")</f>
        <v>588</v>
      </c>
      <c r="O1430" s="142">
        <v>4345</v>
      </c>
      <c r="R1430" s="86" t="str">
        <f>_xlfn.CONCAT(表格1[[#This Row],[Model]]," ",表格1[[#This Row],[inv no]])</f>
        <v>MM-2MM20PC(WH) 4345</v>
      </c>
      <c r="S1430" s="86">
        <f>_xlfn.XLOOKUP(表格1[[#This Row],[Model]],表格3[Model-Input-Ref2],表格3[SRP PRICE])</f>
        <v>738</v>
      </c>
      <c r="T1430" s="43">
        <f>表格1[[#This Row],[Unit Price]]/表格1[[#This Row],[SRP]]</f>
        <v>0.7967479674796748</v>
      </c>
      <c r="U1430" s="86" t="str">
        <f>_xlfn.XLOOKUP(表格1[[#This Row],[Model]],表格3[Model-Input-Ref2],表格3[TOSHIBA/HIGHEST])</f>
        <v>Toshiba SRP</v>
      </c>
      <c r="V1430" s="86" t="s">
        <v>988</v>
      </c>
      <c r="W1430" s="86" t="str">
        <f>_xlfn.CONCAT(表格1[[#This Row],[欄4]],表格1[[#This Row],[inv no]])</f>
        <v>DA1404345</v>
      </c>
    </row>
    <row r="1431" spans="1:23" hidden="1">
      <c r="A1431" s="81">
        <v>1429</v>
      </c>
      <c r="B1431" s="81" t="s">
        <v>1470</v>
      </c>
      <c r="C1431" s="81" t="s">
        <v>1557</v>
      </c>
      <c r="D1431" s="82" t="str">
        <f ca="1">OFFSET(Roster!$A$3,MATCH(表格1[[#This Row],[Location]]&amp;" "&amp;表格1[[#This Row],[Shop]]&amp;"*",Roster!$A$4:$A$72,0),DAY(表格1[[#This Row],[date]]),1,1)</f>
        <v>Kitty Yeung</v>
      </c>
      <c r="E1431" s="81">
        <f>MONTH(表格1[[#This Row],[date]])</f>
        <v>3</v>
      </c>
      <c r="F1431" s="90">
        <v>46111</v>
      </c>
      <c r="G1431" s="81" t="str">
        <f>VLOOKUP("*"&amp;表格1[[#This Row],[Input]]&amp;"*",'Ref-List'!$B:$D,2,)</f>
        <v>GR-RT234WE-PMA(57)</v>
      </c>
      <c r="H1431" s="81" t="str">
        <f>_xlfn.XLOOKUP(表格1[[#This Row],[Model]],表格3[Model-Input-Ref2],表格3[Product Line])</f>
        <v>變頻式環保雙門雪櫃（179L）</v>
      </c>
      <c r="I1431" s="81" t="str">
        <f>_xlfn.XLOOKUP(表格1[[#This Row],[Model]],表格3[Model-Input-Ref2],表格3[大小電])</f>
        <v>大電</v>
      </c>
      <c r="J1431" s="81" t="str">
        <f>_xlfn.XLOOKUP(表格1[[#This Row],[Model]],表格3[Model-Input-Ref2],表格3[Code])</f>
        <v>REF</v>
      </c>
      <c r="K1431" s="89" t="s">
        <v>1423</v>
      </c>
      <c r="L1431" s="81">
        <v>1</v>
      </c>
      <c r="M1431" s="87">
        <v>1980</v>
      </c>
      <c r="N1431" s="85">
        <f>IFERROR(表格1[[#This Row],[QTY]]*表格1[[#This Row],[Unit Price]],"-")</f>
        <v>1980</v>
      </c>
      <c r="O1431" s="86">
        <v>4353</v>
      </c>
      <c r="R1431" s="86" t="str">
        <f>_xlfn.CONCAT(表格1[[#This Row],[Model]]," ",表格1[[#This Row],[inv no]])</f>
        <v>GR-RT234WE-PMA(57) 4353</v>
      </c>
      <c r="S1431" s="86">
        <f>_xlfn.XLOOKUP(表格1[[#This Row],[Model]],表格3[Model-Input-Ref2],表格3[SRP PRICE])</f>
        <v>3680</v>
      </c>
      <c r="T1431" s="43">
        <f>表格1[[#This Row],[Unit Price]]/表格1[[#This Row],[SRP]]</f>
        <v>0.53804347826086951</v>
      </c>
      <c r="U1431" s="86" t="str">
        <f>_xlfn.XLOOKUP(表格1[[#This Row],[Model]],表格3[Model-Input-Ref2],表格3[TOSHIBA/HIGHEST])</f>
        <v>Toshiba SRP</v>
      </c>
      <c r="V1431" s="86" t="s">
        <v>988</v>
      </c>
      <c r="W1431" s="86" t="str">
        <f>_xlfn.CONCAT(表格1[[#This Row],[欄4]],表格1[[#This Row],[inv no]])</f>
        <v>DA1404353</v>
      </c>
    </row>
    <row r="1432" spans="1:23" hidden="1">
      <c r="A1432" s="81">
        <v>1430</v>
      </c>
      <c r="B1432" s="81" t="s">
        <v>1470</v>
      </c>
      <c r="C1432" s="81" t="s">
        <v>1557</v>
      </c>
      <c r="D1432" s="82" t="str">
        <f ca="1">OFFSET(Roster!$A$3,MATCH(表格1[[#This Row],[Location]]&amp;" "&amp;表格1[[#This Row],[Shop]]&amp;"*",Roster!$A$4:$A$72,0),DAY(表格1[[#This Row],[date]]),1,1)</f>
        <v>Kitty Yeung</v>
      </c>
      <c r="E1432" s="81">
        <f>MONTH(表格1[[#This Row],[date]])</f>
        <v>3</v>
      </c>
      <c r="F1432" s="90">
        <v>46111</v>
      </c>
      <c r="G1432" s="81" t="str">
        <f>VLOOKUP("*"&amp;表格1[[#This Row],[Input]]&amp;"*",'Ref-List'!$B:$D,2,)</f>
        <v>RC-18AMXH(W)</v>
      </c>
      <c r="H1432" s="81" t="str">
        <f>_xlfn.XLOOKUP(表格1[[#This Row],[Model]],表格3[Model-Input-Ref2],表格3[Product Line])</f>
        <v>酵活炊電飯煲(1.8公升)</v>
      </c>
      <c r="I1432" s="81" t="str">
        <f>_xlfn.XLOOKUP(表格1[[#This Row],[Model]],表格3[Model-Input-Ref2],表格3[大小電])</f>
        <v>細電</v>
      </c>
      <c r="J1432" s="81" t="str">
        <f>_xlfn.XLOOKUP(表格1[[#This Row],[Model]],表格3[Model-Input-Ref2],表格3[Code])</f>
        <v>SDA</v>
      </c>
      <c r="K1432" s="89" t="s">
        <v>1362</v>
      </c>
      <c r="L1432" s="81">
        <v>1</v>
      </c>
      <c r="M1432" s="87">
        <v>1188</v>
      </c>
      <c r="N1432" s="85">
        <f>IFERROR(表格1[[#This Row],[QTY]]*表格1[[#This Row],[Unit Price]],"-")</f>
        <v>1188</v>
      </c>
      <c r="O1432" s="142">
        <v>4364</v>
      </c>
      <c r="R1432" s="86" t="str">
        <f>_xlfn.CONCAT(表格1[[#This Row],[Model]]," ",表格1[[#This Row],[inv no]])</f>
        <v>RC-18AMXH(W) 4364</v>
      </c>
      <c r="S1432" s="86">
        <f>_xlfn.XLOOKUP(表格1[[#This Row],[Model]],表格3[Model-Input-Ref2],表格3[SRP PRICE])</f>
        <v>1588</v>
      </c>
      <c r="T1432" s="43">
        <f>表格1[[#This Row],[Unit Price]]/表格1[[#This Row],[SRP]]</f>
        <v>0.74811083123425692</v>
      </c>
      <c r="U1432" s="86" t="str">
        <f>_xlfn.XLOOKUP(表格1[[#This Row],[Model]],表格3[Model-Input-Ref2],表格3[TOSHIBA/HIGHEST])</f>
        <v>Toshiba SRP</v>
      </c>
      <c r="V1432" s="86" t="s">
        <v>988</v>
      </c>
      <c r="W1432" s="86" t="str">
        <f>_xlfn.CONCAT(表格1[[#This Row],[欄4]],表格1[[#This Row],[inv no]])</f>
        <v>DA1404364</v>
      </c>
    </row>
    <row r="1433" spans="1:23" hidden="1">
      <c r="A1433" s="81">
        <v>1431</v>
      </c>
      <c r="B1433" s="81" t="s">
        <v>1470</v>
      </c>
      <c r="C1433" s="81" t="s">
        <v>1557</v>
      </c>
      <c r="D1433" s="82" t="str">
        <f ca="1">OFFSET(Roster!$A$3,MATCH(表格1[[#This Row],[Location]]&amp;" "&amp;表格1[[#This Row],[Shop]]&amp;"*",Roster!$A$4:$A$72,0),DAY(表格1[[#This Row],[date]]),1,1)</f>
        <v>Kitty Yeung</v>
      </c>
      <c r="E1433" s="81">
        <f>MONTH(表格1[[#This Row],[date]])</f>
        <v>3</v>
      </c>
      <c r="F1433" s="90">
        <v>46111</v>
      </c>
      <c r="G1433" s="81" t="str">
        <f>VLOOKUP("*"&amp;表格1[[#This Row],[Input]]&amp;"*",'Ref-List'!$B:$D,2,)</f>
        <v>TW-T21BU90UWH(WW)</v>
      </c>
      <c r="H1433" s="81" t="str">
        <f>_xlfn.XLOOKUP(表格1[[#This Row],[Model]],表格3[Model-Input-Ref2],表格3[Product Line])</f>
        <v>8公斤超薄身前置式變頻洗衣機</v>
      </c>
      <c r="I1433" s="81" t="str">
        <f>_xlfn.XLOOKUP(表格1[[#This Row],[Model]],表格3[Model-Input-Ref2],表格3[大小電])</f>
        <v>大電</v>
      </c>
      <c r="J1433" s="81" t="str">
        <f>_xlfn.XLOOKUP(表格1[[#This Row],[Model]],表格3[Model-Input-Ref2],表格3[Code])</f>
        <v>LAD</v>
      </c>
      <c r="K1433" s="89" t="s">
        <v>1472</v>
      </c>
      <c r="L1433" s="81">
        <v>1</v>
      </c>
      <c r="M1433" s="87">
        <v>3080</v>
      </c>
      <c r="N1433" s="85">
        <f>IFERROR(表格1[[#This Row],[QTY]]*表格1[[#This Row],[Unit Price]],"-")</f>
        <v>3080</v>
      </c>
      <c r="O1433" s="86">
        <v>4358</v>
      </c>
      <c r="R1433" s="86" t="str">
        <f>_xlfn.CONCAT(表格1[[#This Row],[Model]]," ",表格1[[#This Row],[inv no]])</f>
        <v>TW-T21BU90UWH(WW) 4358</v>
      </c>
      <c r="S1433" s="86">
        <f>_xlfn.XLOOKUP(表格1[[#This Row],[Model]],表格3[Model-Input-Ref2],表格3[SRP PRICE])</f>
        <v>5480</v>
      </c>
      <c r="T1433" s="43">
        <f>表格1[[#This Row],[Unit Price]]/表格1[[#This Row],[SRP]]</f>
        <v>0.56204379562043794</v>
      </c>
      <c r="U1433" s="86" t="str">
        <f>_xlfn.XLOOKUP(表格1[[#This Row],[Model]],表格3[Model-Input-Ref2],表格3[TOSHIBA/HIGHEST])</f>
        <v>Toshiba SRP</v>
      </c>
      <c r="V1433" s="86" t="s">
        <v>988</v>
      </c>
      <c r="W1433" s="86" t="str">
        <f>_xlfn.CONCAT(表格1[[#This Row],[欄4]],表格1[[#This Row],[inv no]])</f>
        <v>DA1404358</v>
      </c>
    </row>
    <row r="1434" spans="1:23" hidden="1">
      <c r="A1434" s="81">
        <v>1432</v>
      </c>
      <c r="B1434" s="81" t="s">
        <v>1470</v>
      </c>
      <c r="C1434" s="81" t="s">
        <v>1557</v>
      </c>
      <c r="D1434" s="82" t="str">
        <f ca="1">OFFSET(Roster!$A$3,MATCH(表格1[[#This Row],[Location]]&amp;" "&amp;表格1[[#This Row],[Shop]]&amp;"*",Roster!$A$4:$A$72,0),DAY(表格1[[#This Row],[date]]),1,1)</f>
        <v>Kitty Yeung</v>
      </c>
      <c r="E1434" s="81">
        <f>MONTH(表格1[[#This Row],[date]])</f>
        <v>3</v>
      </c>
      <c r="F1434" s="90">
        <v>46111</v>
      </c>
      <c r="G1434" s="81" t="str">
        <f>VLOOKUP("*"&amp;表格1[[#This Row],[Input]]&amp;"*",'Ref-List'!$B:$D,2,)</f>
        <v>AW-Q801APH(WW)</v>
      </c>
      <c r="H1434" s="81" t="str">
        <f>_xlfn.XLOOKUP(表格1[[#This Row],[Model]],表格3[Model-Input-Ref2],表格3[Product Line])</f>
        <v>日式洗衣機 (7公斤 結合高低水位)</v>
      </c>
      <c r="I1434" s="81" t="str">
        <f>_xlfn.XLOOKUP(表格1[[#This Row],[Model]],表格3[Model-Input-Ref2],表格3[大小電])</f>
        <v>大電</v>
      </c>
      <c r="J1434" s="81" t="str">
        <f>_xlfn.XLOOKUP(表格1[[#This Row],[Model]],表格3[Model-Input-Ref2],表格3[Code])</f>
        <v>LAD</v>
      </c>
      <c r="K1434" s="89" t="s">
        <v>1420</v>
      </c>
      <c r="L1434" s="81">
        <v>1</v>
      </c>
      <c r="M1434" s="87">
        <v>1813</v>
      </c>
      <c r="N1434" s="85">
        <f>IFERROR(表格1[[#This Row],[QTY]]*表格1[[#This Row],[Unit Price]],"-")</f>
        <v>1813</v>
      </c>
      <c r="O1434" s="86">
        <v>4359</v>
      </c>
      <c r="R1434" s="86" t="str">
        <f>_xlfn.CONCAT(表格1[[#This Row],[Model]]," ",表格1[[#This Row],[inv no]])</f>
        <v>AW-Q801APH(WW) 4359</v>
      </c>
      <c r="S1434" s="86">
        <f>_xlfn.XLOOKUP(表格1[[#This Row],[Model]],表格3[Model-Input-Ref2],表格3[SRP PRICE])</f>
        <v>3380</v>
      </c>
      <c r="T1434" s="43">
        <f>表格1[[#This Row],[Unit Price]]/表格1[[#This Row],[SRP]]</f>
        <v>0.53639053254437874</v>
      </c>
      <c r="U1434" s="86" t="str">
        <f>_xlfn.XLOOKUP(表格1[[#This Row],[Model]],表格3[Model-Input-Ref2],表格3[TOSHIBA/HIGHEST])</f>
        <v>Toshiba SRP</v>
      </c>
      <c r="V1434" s="86" t="s">
        <v>988</v>
      </c>
      <c r="W1434" s="86" t="str">
        <f>_xlfn.CONCAT(表格1[[#This Row],[欄4]],表格1[[#This Row],[inv no]])</f>
        <v>DA1404359</v>
      </c>
    </row>
    <row r="1435" spans="1:23" hidden="1">
      <c r="A1435" s="81">
        <v>1433</v>
      </c>
      <c r="B1435" s="81" t="s">
        <v>1470</v>
      </c>
      <c r="C1435" s="81" t="s">
        <v>1557</v>
      </c>
      <c r="D1435" s="82" t="str">
        <f ca="1">OFFSET(Roster!$A$3,MATCH(表格1[[#This Row],[Location]]&amp;" "&amp;表格1[[#This Row],[Shop]]&amp;"*",Roster!$A$4:$A$72,0),DAY(表格1[[#This Row],[date]]),1,1)</f>
        <v>Kitty Yeung</v>
      </c>
      <c r="E1435" s="81">
        <f>MONTH(表格1[[#This Row],[date]])</f>
        <v>3</v>
      </c>
      <c r="F1435" s="90">
        <v>46111</v>
      </c>
      <c r="G1435" s="81" t="str">
        <f>VLOOKUP("*"&amp;表格1[[#This Row],[Input]]&amp;"*",'Ref-List'!$B:$D,2,)</f>
        <v>KT-17SHNH</v>
      </c>
      <c r="H1435" s="81" t="str">
        <f>_xlfn.XLOOKUP(表格1[[#This Row],[Model]],表格3[Model-Input-Ref2],表格3[Product Line])</f>
        <v>1.7L無線雙層電熱水壺</v>
      </c>
      <c r="I1435" s="81" t="str">
        <f>_xlfn.XLOOKUP(表格1[[#This Row],[Model]],表格3[Model-Input-Ref2],表格3[大小電])</f>
        <v>細電</v>
      </c>
      <c r="J1435" s="81" t="str">
        <f>_xlfn.XLOOKUP(表格1[[#This Row],[Model]],表格3[Model-Input-Ref2],表格3[Code])</f>
        <v>SDA</v>
      </c>
      <c r="K1435" s="89" t="s">
        <v>1283</v>
      </c>
      <c r="L1435" s="81">
        <v>1</v>
      </c>
      <c r="M1435" s="87">
        <v>188</v>
      </c>
      <c r="N1435" s="85">
        <f>IFERROR(表格1[[#This Row],[QTY]]*表格1[[#This Row],[Unit Price]],"-")</f>
        <v>188</v>
      </c>
      <c r="O1435" s="86">
        <v>4351</v>
      </c>
      <c r="R1435" s="86" t="str">
        <f>_xlfn.CONCAT(表格1[[#This Row],[Model]]," ",表格1[[#This Row],[inv no]])</f>
        <v>KT-17SHNH 4351</v>
      </c>
      <c r="S1435" s="86">
        <f>_xlfn.XLOOKUP(表格1[[#This Row],[Model]],表格3[Model-Input-Ref2],表格3[SRP PRICE])</f>
        <v>299</v>
      </c>
      <c r="T1435" s="43">
        <f>表格1[[#This Row],[Unit Price]]/表格1[[#This Row],[SRP]]</f>
        <v>0.62876254180602009</v>
      </c>
      <c r="U1435" s="86" t="str">
        <f>_xlfn.XLOOKUP(表格1[[#This Row],[Model]],表格3[Model-Input-Ref2],表格3[TOSHIBA/HIGHEST])</f>
        <v>Shops Highest Price</v>
      </c>
      <c r="V1435" s="86" t="s">
        <v>988</v>
      </c>
      <c r="W1435" s="86" t="str">
        <f>_xlfn.CONCAT(表格1[[#This Row],[欄4]],表格1[[#This Row],[inv no]])</f>
        <v>DA1404351</v>
      </c>
    </row>
    <row r="1436" spans="1:23" hidden="1">
      <c r="A1436" s="81">
        <v>1434</v>
      </c>
      <c r="B1436" s="81" t="s">
        <v>1470</v>
      </c>
      <c r="C1436" s="81" t="s">
        <v>1557</v>
      </c>
      <c r="D1436" s="82" t="str">
        <f ca="1">OFFSET(Roster!$A$3,MATCH(表格1[[#This Row],[Location]]&amp;" "&amp;表格1[[#This Row],[Shop]]&amp;"*",Roster!$A$4:$A$72,0),DAY(表格1[[#This Row],[date]]),1,1)</f>
        <v>Kitty Yeung</v>
      </c>
      <c r="E1436" s="81">
        <f>MONTH(表格1[[#This Row],[date]])</f>
        <v>3</v>
      </c>
      <c r="F1436" s="90">
        <v>46111</v>
      </c>
      <c r="G1436" s="81" t="str">
        <f>VLOOKUP("*"&amp;表格1[[#This Row],[Input]]&amp;"*",'Ref-List'!$B:$D,2,)</f>
        <v>KT-17SHNH</v>
      </c>
      <c r="H1436" s="81" t="str">
        <f>_xlfn.XLOOKUP(表格1[[#This Row],[Model]],表格3[Model-Input-Ref2],表格3[Product Line])</f>
        <v>1.7L無線雙層電熱水壺</v>
      </c>
      <c r="I1436" s="81" t="str">
        <f>_xlfn.XLOOKUP(表格1[[#This Row],[Model]],表格3[Model-Input-Ref2],表格3[大小電])</f>
        <v>細電</v>
      </c>
      <c r="J1436" s="81" t="str">
        <f>_xlfn.XLOOKUP(表格1[[#This Row],[Model]],表格3[Model-Input-Ref2],表格3[Code])</f>
        <v>SDA</v>
      </c>
      <c r="K1436" s="89" t="s">
        <v>1283</v>
      </c>
      <c r="L1436" s="81">
        <v>1</v>
      </c>
      <c r="M1436" s="87">
        <v>188</v>
      </c>
      <c r="N1436" s="85">
        <f>IFERROR(表格1[[#This Row],[QTY]]*表格1[[#This Row],[Unit Price]],"-")</f>
        <v>188</v>
      </c>
      <c r="O1436" s="86">
        <v>4352</v>
      </c>
      <c r="R1436" s="86" t="str">
        <f>_xlfn.CONCAT(表格1[[#This Row],[Model]]," ",表格1[[#This Row],[inv no]])</f>
        <v>KT-17SHNH 4352</v>
      </c>
      <c r="S1436" s="86">
        <f>_xlfn.XLOOKUP(表格1[[#This Row],[Model]],表格3[Model-Input-Ref2],表格3[SRP PRICE])</f>
        <v>299</v>
      </c>
      <c r="T1436" s="43">
        <f>表格1[[#This Row],[Unit Price]]/表格1[[#This Row],[SRP]]</f>
        <v>0.62876254180602009</v>
      </c>
      <c r="U1436" s="86" t="str">
        <f>_xlfn.XLOOKUP(表格1[[#This Row],[Model]],表格3[Model-Input-Ref2],表格3[TOSHIBA/HIGHEST])</f>
        <v>Shops Highest Price</v>
      </c>
      <c r="V1436" s="86" t="s">
        <v>988</v>
      </c>
      <c r="W1436" s="86" t="str">
        <f>_xlfn.CONCAT(表格1[[#This Row],[欄4]],表格1[[#This Row],[inv no]])</f>
        <v>DA1404352</v>
      </c>
    </row>
    <row r="1437" spans="1:23" hidden="1">
      <c r="A1437" s="81">
        <v>1435</v>
      </c>
      <c r="B1437" s="81" t="s">
        <v>1470</v>
      </c>
      <c r="C1437" s="81" t="s">
        <v>1557</v>
      </c>
      <c r="D1437" s="82" t="str">
        <f ca="1">OFFSET(Roster!$A$3,MATCH(表格1[[#This Row],[Location]]&amp;" "&amp;表格1[[#This Row],[Shop]]&amp;"*",Roster!$A$4:$A$72,0),DAY(表格1[[#This Row],[date]]),1,1)</f>
        <v>Kitty Yeung</v>
      </c>
      <c r="E1437" s="81">
        <f>MONTH(表格1[[#This Row],[date]])</f>
        <v>3</v>
      </c>
      <c r="F1437" s="90">
        <v>46111</v>
      </c>
      <c r="G1437" s="81" t="str">
        <f>VLOOKUP("*"&amp;表格1[[#This Row],[Input]]&amp;"*",'Ref-List'!$B:$D,2,)</f>
        <v>KT-17SHNH</v>
      </c>
      <c r="H1437" s="81" t="str">
        <f>_xlfn.XLOOKUP(表格1[[#This Row],[Model]],表格3[Model-Input-Ref2],表格3[Product Line])</f>
        <v>1.7L無線雙層電熱水壺</v>
      </c>
      <c r="I1437" s="81" t="str">
        <f>_xlfn.XLOOKUP(表格1[[#This Row],[Model]],表格3[Model-Input-Ref2],表格3[大小電])</f>
        <v>細電</v>
      </c>
      <c r="J1437" s="81" t="str">
        <f>_xlfn.XLOOKUP(表格1[[#This Row],[Model]],表格3[Model-Input-Ref2],表格3[Code])</f>
        <v>SDA</v>
      </c>
      <c r="K1437" s="89" t="s">
        <v>1283</v>
      </c>
      <c r="L1437" s="81">
        <v>1</v>
      </c>
      <c r="M1437" s="87">
        <v>188</v>
      </c>
      <c r="N1437" s="85">
        <f>IFERROR(表格1[[#This Row],[QTY]]*表格1[[#This Row],[Unit Price]],"-")</f>
        <v>188</v>
      </c>
      <c r="O1437" s="86">
        <v>4361</v>
      </c>
      <c r="R1437" s="86" t="str">
        <f>_xlfn.CONCAT(表格1[[#This Row],[Model]]," ",表格1[[#This Row],[inv no]])</f>
        <v>KT-17SHNH 4361</v>
      </c>
      <c r="S1437" s="86">
        <f>_xlfn.XLOOKUP(表格1[[#This Row],[Model]],表格3[Model-Input-Ref2],表格3[SRP PRICE])</f>
        <v>299</v>
      </c>
      <c r="T1437" s="43">
        <f>表格1[[#This Row],[Unit Price]]/表格1[[#This Row],[SRP]]</f>
        <v>0.62876254180602009</v>
      </c>
      <c r="U1437" s="86" t="str">
        <f>_xlfn.XLOOKUP(表格1[[#This Row],[Model]],表格3[Model-Input-Ref2],表格3[TOSHIBA/HIGHEST])</f>
        <v>Shops Highest Price</v>
      </c>
      <c r="V1437" s="86" t="s">
        <v>988</v>
      </c>
      <c r="W1437" s="86" t="str">
        <f>_xlfn.CONCAT(表格1[[#This Row],[欄4]],表格1[[#This Row],[inv no]])</f>
        <v>DA1404361</v>
      </c>
    </row>
    <row r="1438" spans="1:23" hidden="1">
      <c r="A1438" s="81">
        <v>1436</v>
      </c>
      <c r="B1438" s="81" t="s">
        <v>1470</v>
      </c>
      <c r="C1438" s="81" t="s">
        <v>1557</v>
      </c>
      <c r="D1438" s="82" t="str">
        <f ca="1">OFFSET(Roster!$A$3,MATCH(表格1[[#This Row],[Location]]&amp;" "&amp;表格1[[#This Row],[Shop]]&amp;"*",Roster!$A$4:$A$72,0),DAY(表格1[[#This Row],[date]]),1,1)</f>
        <v>Kitty Yeung</v>
      </c>
      <c r="E1438" s="81">
        <f>MONTH(表格1[[#This Row],[date]])</f>
        <v>3</v>
      </c>
      <c r="F1438" s="90">
        <v>46111</v>
      </c>
      <c r="G1438" s="81" t="str">
        <f>VLOOKUP("*"&amp;表格1[[#This Row],[Input]]&amp;"*",'Ref-List'!$B:$D,2,)</f>
        <v>RAD-D300H</v>
      </c>
      <c r="H1438" s="81" t="str">
        <f>_xlfn.XLOOKUP(表格1[[#This Row],[Model]],表格3[Model-Input-Ref2],表格3[Product Line])</f>
        <v>壓縮式抽濕機 (30公升)</v>
      </c>
      <c r="I1438" s="81" t="str">
        <f>_xlfn.XLOOKUP(表格1[[#This Row],[Model]],表格3[Model-Input-Ref2],表格3[大小電])</f>
        <v>細電</v>
      </c>
      <c r="J1438" s="81" t="str">
        <f>_xlfn.XLOOKUP(表格1[[#This Row],[Model]],表格3[Model-Input-Ref2],表格3[Code])</f>
        <v>RAC</v>
      </c>
      <c r="K1438" s="89" t="s">
        <v>1252</v>
      </c>
      <c r="L1438" s="81">
        <v>1</v>
      </c>
      <c r="M1438" s="87">
        <v>2073</v>
      </c>
      <c r="N1438" s="85">
        <f>IFERROR(表格1[[#This Row],[QTY]]*表格1[[#This Row],[Unit Price]],"-")</f>
        <v>2073</v>
      </c>
      <c r="O1438" s="86">
        <v>4362</v>
      </c>
      <c r="R1438" s="86" t="str">
        <f>_xlfn.CONCAT(表格1[[#This Row],[Model]]," ",表格1[[#This Row],[inv no]])</f>
        <v>RAD-D300H 4362</v>
      </c>
      <c r="S1438" s="86">
        <f>_xlfn.XLOOKUP(表格1[[#This Row],[Model]],表格3[Model-Input-Ref2],表格3[SRP PRICE])</f>
        <v>3380</v>
      </c>
      <c r="T1438" s="43">
        <f>表格1[[#This Row],[Unit Price]]/表格1[[#This Row],[SRP]]</f>
        <v>0.61331360946745561</v>
      </c>
      <c r="U1438" s="86" t="str">
        <f>_xlfn.XLOOKUP(表格1[[#This Row],[Model]],表格3[Model-Input-Ref2],表格3[TOSHIBA/HIGHEST])</f>
        <v>Shops Highest Price</v>
      </c>
      <c r="V1438" s="86" t="s">
        <v>988</v>
      </c>
      <c r="W1438" s="86" t="str">
        <f>_xlfn.CONCAT(表格1[[#This Row],[欄4]],表格1[[#This Row],[inv no]])</f>
        <v>DA1404362</v>
      </c>
    </row>
    <row r="1439" spans="1:23" hidden="1">
      <c r="A1439" s="81">
        <v>1437</v>
      </c>
      <c r="B1439" s="81" t="s">
        <v>1470</v>
      </c>
      <c r="C1439" s="81" t="s">
        <v>1557</v>
      </c>
      <c r="D1439" s="82" t="str">
        <f ca="1">OFFSET(Roster!$A$3,MATCH(表格1[[#This Row],[Location]]&amp;" "&amp;表格1[[#This Row],[Shop]]&amp;"*",Roster!$A$4:$A$72,0),DAY(表格1[[#This Row],[date]]),1,1)</f>
        <v>Kitty Yeung</v>
      </c>
      <c r="E1439" s="81">
        <f>MONTH(表格1[[#This Row],[date]])</f>
        <v>3</v>
      </c>
      <c r="F1439" s="90">
        <v>46112</v>
      </c>
      <c r="G1439" s="81" t="str">
        <f>VLOOKUP("*"&amp;表格1[[#This Row],[Input]]&amp;"*",'Ref-List'!$B:$D,2,)</f>
        <v>GR-RB221WE-PMA(57)</v>
      </c>
      <c r="H1439" s="81" t="str">
        <f>_xlfn.XLOOKUP(表格1[[#This Row],[Model]],表格3[Model-Input-Ref2],表格3[Product Line])</f>
        <v>變頻下置式雙門雪櫃（163L）</v>
      </c>
      <c r="I1439" s="81" t="str">
        <f>_xlfn.XLOOKUP(表格1[[#This Row],[Model]],表格3[Model-Input-Ref2],表格3[大小電])</f>
        <v>大電</v>
      </c>
      <c r="J1439" s="81" t="str">
        <f>_xlfn.XLOOKUP(表格1[[#This Row],[Model]],表格3[Model-Input-Ref2],表格3[Code])</f>
        <v>REF</v>
      </c>
      <c r="K1439" s="89" t="s">
        <v>1386</v>
      </c>
      <c r="L1439" s="81">
        <v>1</v>
      </c>
      <c r="M1439" s="87">
        <v>2430</v>
      </c>
      <c r="N1439" s="85">
        <f>IFERROR(表格1[[#This Row],[QTY]]*表格1[[#This Row],[Unit Price]],"-")</f>
        <v>2430</v>
      </c>
      <c r="O1439" s="86">
        <v>4368</v>
      </c>
      <c r="P1439" s="86" t="s">
        <v>1558</v>
      </c>
      <c r="R1439" s="86" t="str">
        <f>_xlfn.CONCAT(表格1[[#This Row],[Model]]," ",表格1[[#This Row],[inv no]])</f>
        <v>GR-RB221WE-PMA(57) 4368</v>
      </c>
      <c r="S1439" s="86">
        <f>_xlfn.XLOOKUP(表格1[[#This Row],[Model]],表格3[Model-Input-Ref2],表格3[SRP PRICE])</f>
        <v>3480</v>
      </c>
      <c r="T1439" s="43">
        <f>表格1[[#This Row],[Unit Price]]/表格1[[#This Row],[SRP]]</f>
        <v>0.69827586206896552</v>
      </c>
      <c r="U1439" s="86" t="str">
        <f>_xlfn.XLOOKUP(表格1[[#This Row],[Model]],表格3[Model-Input-Ref2],表格3[TOSHIBA/HIGHEST])</f>
        <v>Toshiba SRP</v>
      </c>
      <c r="V1439" s="86" t="s">
        <v>988</v>
      </c>
      <c r="W1439" s="86" t="str">
        <f>_xlfn.CONCAT(表格1[[#This Row],[欄4]],表格1[[#This Row],[inv no]])</f>
        <v>DA1404368</v>
      </c>
    </row>
    <row r="1440" spans="1:23" hidden="1">
      <c r="A1440" s="81">
        <v>1438</v>
      </c>
      <c r="B1440" s="81" t="s">
        <v>1470</v>
      </c>
      <c r="C1440" s="81" t="s">
        <v>1557</v>
      </c>
      <c r="D1440" s="82" t="str">
        <f ca="1">OFFSET(Roster!$A$3,MATCH(表格1[[#This Row],[Location]]&amp;" "&amp;表格1[[#This Row],[Shop]]&amp;"*",Roster!$A$4:$A$72,0),DAY(表格1[[#This Row],[date]]),1,1)</f>
        <v>Kitty Yeung</v>
      </c>
      <c r="E1440" s="81">
        <f>MONTH(表格1[[#This Row],[date]])</f>
        <v>3</v>
      </c>
      <c r="F1440" s="90">
        <v>46111</v>
      </c>
      <c r="G1440" s="81" t="str">
        <f>VLOOKUP("*"&amp;表格1[[#This Row],[Input]]&amp;"*",'Ref-List'!$B:$D,2,)</f>
        <v>TW-T21BU90UWH(WW)</v>
      </c>
      <c r="H1440" s="81" t="str">
        <f>_xlfn.XLOOKUP(表格1[[#This Row],[Model]],表格3[Model-Input-Ref2],表格3[Product Line])</f>
        <v>8公斤超薄身前置式變頻洗衣機</v>
      </c>
      <c r="I1440" s="81" t="str">
        <f>_xlfn.XLOOKUP(表格1[[#This Row],[Model]],表格3[Model-Input-Ref2],表格3[大小電])</f>
        <v>大電</v>
      </c>
      <c r="J1440" s="81" t="str">
        <f>_xlfn.XLOOKUP(表格1[[#This Row],[Model]],表格3[Model-Input-Ref2],表格3[Code])</f>
        <v>LAD</v>
      </c>
      <c r="K1440" s="89" t="s">
        <v>1472</v>
      </c>
      <c r="L1440" s="81">
        <v>1</v>
      </c>
      <c r="M1440" s="87">
        <v>3080</v>
      </c>
      <c r="N1440" s="85">
        <f>IFERROR(表格1[[#This Row],[QTY]]*表格1[[#This Row],[Unit Price]],"-")</f>
        <v>3080</v>
      </c>
      <c r="O1440" s="86">
        <v>3940</v>
      </c>
      <c r="R1440" s="86" t="str">
        <f>_xlfn.CONCAT(表格1[[#This Row],[Model]]," ",表格1[[#This Row],[inv no]])</f>
        <v>TW-T21BU90UWH(WW) 3940</v>
      </c>
      <c r="S1440" s="86">
        <f>_xlfn.XLOOKUP(表格1[[#This Row],[Model]],表格3[Model-Input-Ref2],表格3[SRP PRICE])</f>
        <v>5480</v>
      </c>
      <c r="T1440" s="43">
        <f>表格1[[#This Row],[Unit Price]]/表格1[[#This Row],[SRP]]</f>
        <v>0.56204379562043794</v>
      </c>
      <c r="U1440" s="86" t="str">
        <f>_xlfn.XLOOKUP(表格1[[#This Row],[Model]],表格3[Model-Input-Ref2],表格3[TOSHIBA/HIGHEST])</f>
        <v>Toshiba SRP</v>
      </c>
      <c r="V1440" s="86" t="s">
        <v>988</v>
      </c>
      <c r="W1440" s="86" t="str">
        <f>_xlfn.CONCAT(表格1[[#This Row],[欄4]],表格1[[#This Row],[inv no]])</f>
        <v>DA1403940</v>
      </c>
    </row>
    <row r="1441" spans="1:23" hidden="1">
      <c r="A1441" s="81">
        <v>1439</v>
      </c>
      <c r="B1441" s="81" t="s">
        <v>1470</v>
      </c>
      <c r="C1441" s="81" t="s">
        <v>1557</v>
      </c>
      <c r="D1441" s="82" t="str">
        <f ca="1">OFFSET(Roster!$A$3,MATCH(表格1[[#This Row],[Location]]&amp;" "&amp;表格1[[#This Row],[Shop]]&amp;"*",Roster!$A$4:$A$72,0),DAY(表格1[[#This Row],[date]]),1,1)</f>
        <v>Kitty Yeung</v>
      </c>
      <c r="E1441" s="81">
        <f>MONTH(表格1[[#This Row],[date]])</f>
        <v>3</v>
      </c>
      <c r="F1441" s="90">
        <v>46112</v>
      </c>
      <c r="G1441" s="81" t="str">
        <f>VLOOKUP("*"&amp;表格1[[#This Row],[Input]]&amp;"*",'Ref-List'!$B:$D,2,)</f>
        <v>GR-RB221WE-PMA(57)</v>
      </c>
      <c r="H1441" s="81" t="str">
        <f>_xlfn.XLOOKUP(表格1[[#This Row],[Model]],表格3[Model-Input-Ref2],表格3[Product Line])</f>
        <v>變頻下置式雙門雪櫃（163L）</v>
      </c>
      <c r="I1441" s="81" t="str">
        <f>_xlfn.XLOOKUP(表格1[[#This Row],[Model]],表格3[Model-Input-Ref2],表格3[大小電])</f>
        <v>大電</v>
      </c>
      <c r="J1441" s="81" t="str">
        <f>_xlfn.XLOOKUP(表格1[[#This Row],[Model]],表格3[Model-Input-Ref2],表格3[Code])</f>
        <v>REF</v>
      </c>
      <c r="K1441" s="89" t="s">
        <v>1386</v>
      </c>
      <c r="L1441" s="81">
        <v>1</v>
      </c>
      <c r="M1441" s="87">
        <v>2430</v>
      </c>
      <c r="N1441" s="85">
        <f>IFERROR(表格1[[#This Row],[QTY]]*表格1[[#This Row],[Unit Price]],"-")</f>
        <v>2430</v>
      </c>
      <c r="O1441" s="86">
        <v>4373</v>
      </c>
      <c r="R1441" s="86" t="str">
        <f>_xlfn.CONCAT(表格1[[#This Row],[Model]]," ",表格1[[#This Row],[inv no]])</f>
        <v>GR-RB221WE-PMA(57) 4373</v>
      </c>
      <c r="S1441" s="86">
        <f>_xlfn.XLOOKUP(表格1[[#This Row],[Model]],表格3[Model-Input-Ref2],表格3[SRP PRICE])</f>
        <v>3480</v>
      </c>
      <c r="T1441" s="43">
        <f>表格1[[#This Row],[Unit Price]]/表格1[[#This Row],[SRP]]</f>
        <v>0.69827586206896552</v>
      </c>
      <c r="U1441" s="86" t="str">
        <f>_xlfn.XLOOKUP(表格1[[#This Row],[Model]],表格3[Model-Input-Ref2],表格3[TOSHIBA/HIGHEST])</f>
        <v>Toshiba SRP</v>
      </c>
      <c r="V1441" s="86" t="s">
        <v>988</v>
      </c>
      <c r="W1441" s="86" t="str">
        <f>_xlfn.CONCAT(表格1[[#This Row],[欄4]],表格1[[#This Row],[inv no]])</f>
        <v>DA1404373</v>
      </c>
    </row>
    <row r="1442" spans="1:23" hidden="1">
      <c r="A1442" s="81">
        <v>1440</v>
      </c>
      <c r="B1442" s="81" t="s">
        <v>1470</v>
      </c>
      <c r="C1442" s="81" t="s">
        <v>1557</v>
      </c>
      <c r="D1442" s="82" t="str">
        <f ca="1">OFFSET(Roster!$A$3,MATCH(表格1[[#This Row],[Location]]&amp;" "&amp;表格1[[#This Row],[Shop]]&amp;"*",Roster!$A$4:$A$72,0),DAY(表格1[[#This Row],[date]]),1,1)</f>
        <v>Kitty Yeung</v>
      </c>
      <c r="E1442" s="81">
        <f>MONTH(表格1[[#This Row],[date]])</f>
        <v>3</v>
      </c>
      <c r="F1442" s="90">
        <v>46112</v>
      </c>
      <c r="G1442" s="81" t="str">
        <f>VLOOKUP("*"&amp;表格1[[#This Row],[Input]]&amp;"*",'Ref-List'!$B:$D,2,)</f>
        <v>MM-2MM20PC(WH)</v>
      </c>
      <c r="H1442" s="81" t="str">
        <f>_xlfn.XLOOKUP(表格1[[#This Row],[Model]],表格3[Model-Input-Ref2],表格3[Product Line])</f>
        <v>旋鈕式微波爐 (20公升)</v>
      </c>
      <c r="I1442" s="81" t="str">
        <f>_xlfn.XLOOKUP(表格1[[#This Row],[Model]],表格3[Model-Input-Ref2],表格3[大小電])</f>
        <v>細電</v>
      </c>
      <c r="J1442" s="81" t="str">
        <f>_xlfn.XLOOKUP(表格1[[#This Row],[Model]],表格3[Model-Input-Ref2],表格3[Code])</f>
        <v>MCA</v>
      </c>
      <c r="K1442" s="89" t="s">
        <v>1388</v>
      </c>
      <c r="L1442" s="81">
        <v>1</v>
      </c>
      <c r="M1442" s="87">
        <v>550</v>
      </c>
      <c r="N1442" s="85">
        <f>IFERROR(表格1[[#This Row],[QTY]]*表格1[[#This Row],[Unit Price]],"-")</f>
        <v>550</v>
      </c>
      <c r="O1442" s="86">
        <v>4368</v>
      </c>
      <c r="R1442" s="86" t="str">
        <f>_xlfn.CONCAT(表格1[[#This Row],[Model]]," ",表格1[[#This Row],[inv no]])</f>
        <v>MM-2MM20PC(WH) 4368</v>
      </c>
      <c r="S1442" s="86">
        <f>_xlfn.XLOOKUP(表格1[[#This Row],[Model]],表格3[Model-Input-Ref2],表格3[SRP PRICE])</f>
        <v>738</v>
      </c>
      <c r="T1442" s="43">
        <f>表格1[[#This Row],[Unit Price]]/表格1[[#This Row],[SRP]]</f>
        <v>0.74525745257452569</v>
      </c>
      <c r="U1442" s="86" t="str">
        <f>_xlfn.XLOOKUP(表格1[[#This Row],[Model]],表格3[Model-Input-Ref2],表格3[TOSHIBA/HIGHEST])</f>
        <v>Toshiba SRP</v>
      </c>
      <c r="V1442" s="86" t="s">
        <v>988</v>
      </c>
      <c r="W1442" s="86" t="str">
        <f>_xlfn.CONCAT(表格1[[#This Row],[欄4]],表格1[[#This Row],[inv no]])</f>
        <v>DA1404368</v>
      </c>
    </row>
    <row r="1443" spans="1:23" hidden="1">
      <c r="A1443" s="81">
        <v>1441</v>
      </c>
      <c r="B1443" s="81" t="s">
        <v>1470</v>
      </c>
      <c r="C1443" s="81" t="s">
        <v>1557</v>
      </c>
      <c r="D1443" s="82" t="str">
        <f ca="1">OFFSET(Roster!$A$3,MATCH(表格1[[#This Row],[Location]]&amp;" "&amp;表格1[[#This Row],[Shop]]&amp;"*",Roster!$A$4:$A$72,0),DAY(表格1[[#This Row],[date]]),1,1)</f>
        <v>Kitty Yeung</v>
      </c>
      <c r="E1443" s="81">
        <f>MONTH(表格1[[#This Row],[date]])</f>
        <v>3</v>
      </c>
      <c r="F1443" s="90">
        <v>46112</v>
      </c>
      <c r="G1443" s="81" t="str">
        <f>VLOOKUP("*"&amp;表格1[[#This Row],[Input]]&amp;"*",'Ref-List'!$B:$D,2,)</f>
        <v>RC-18NMFIH(WT)</v>
      </c>
      <c r="H1443" s="81" t="str">
        <f>_xlfn.XLOOKUP(表格1[[#This Row],[Model]],表格3[Model-Input-Ref2],表格3[Product Line])</f>
        <v>4毫米厚釜電飯煲1.8L</v>
      </c>
      <c r="I1443" s="81" t="str">
        <f>_xlfn.XLOOKUP(表格1[[#This Row],[Model]],表格3[Model-Input-Ref2],表格3[大小電])</f>
        <v>細電</v>
      </c>
      <c r="J1443" s="81" t="str">
        <f>_xlfn.XLOOKUP(表格1[[#This Row],[Model]],表格3[Model-Input-Ref2],表格3[Code])</f>
        <v>SDA</v>
      </c>
      <c r="K1443" s="89" t="s">
        <v>1267</v>
      </c>
      <c r="L1443" s="81">
        <v>1</v>
      </c>
      <c r="M1443" s="87">
        <v>800</v>
      </c>
      <c r="N1443" s="85">
        <f>IFERROR(表格1[[#This Row],[QTY]]*表格1[[#This Row],[Unit Price]],"-")</f>
        <v>800</v>
      </c>
      <c r="O1443" s="142">
        <v>4367</v>
      </c>
      <c r="R1443" s="86" t="str">
        <f>_xlfn.CONCAT(表格1[[#This Row],[Model]]," ",表格1[[#This Row],[inv no]])</f>
        <v>RC-18NMFIH(WT) 4367</v>
      </c>
      <c r="S1443" s="86">
        <f>_xlfn.XLOOKUP(表格1[[#This Row],[Model]],表格3[Model-Input-Ref2],表格3[SRP PRICE])</f>
        <v>998</v>
      </c>
      <c r="T1443" s="43">
        <f>表格1[[#This Row],[Unit Price]]/表格1[[#This Row],[SRP]]</f>
        <v>0.80160320641282568</v>
      </c>
      <c r="U1443" s="86" t="str">
        <f>_xlfn.XLOOKUP(表格1[[#This Row],[Model]],表格3[Model-Input-Ref2],表格3[TOSHIBA/HIGHEST])</f>
        <v>Toshiba SRP</v>
      </c>
      <c r="V1443" s="86" t="s">
        <v>988</v>
      </c>
      <c r="W1443" s="86" t="str">
        <f>_xlfn.CONCAT(表格1[[#This Row],[欄4]],表格1[[#This Row],[inv no]])</f>
        <v>DA1404367</v>
      </c>
    </row>
    <row r="1444" spans="1:23" hidden="1">
      <c r="A1444" s="81">
        <v>1442</v>
      </c>
      <c r="B1444" s="81" t="s">
        <v>1470</v>
      </c>
      <c r="C1444" s="81" t="s">
        <v>1557</v>
      </c>
      <c r="D1444" s="82" t="str">
        <f ca="1">OFFSET(Roster!$A$3,MATCH(表格1[[#This Row],[Location]]&amp;" "&amp;表格1[[#This Row],[Shop]]&amp;"*",Roster!$A$4:$A$72,0),DAY(表格1[[#This Row],[date]]),1,1)</f>
        <v>Kitty Yeung</v>
      </c>
      <c r="E1444" s="81">
        <f>MONTH(表格1[[#This Row],[date]])</f>
        <v>3</v>
      </c>
      <c r="F1444" s="90">
        <v>46112</v>
      </c>
      <c r="G1444" s="81" t="str">
        <f>VLOOKUP("*"&amp;表格1[[#This Row],[Input]]&amp;"*",'Ref-List'!$B:$D,2,)</f>
        <v>RAC-07G3CVRGR-HK</v>
      </c>
      <c r="H1444" s="81" t="str">
        <f>_xlfn.XLOOKUP(表格1[[#This Row],[Model]],表格3[Model-Input-Ref2],表格3[Product Line])</f>
        <v>3/4 匹 窗口式冷氣機(remote)</v>
      </c>
      <c r="I1444" s="81" t="str">
        <f>_xlfn.XLOOKUP(表格1[[#This Row],[Model]],表格3[Model-Input-Ref2],表格3[大小電])</f>
        <v>大電</v>
      </c>
      <c r="J1444" s="81" t="str">
        <f>_xlfn.XLOOKUP(表格1[[#This Row],[Model]],表格3[Model-Input-Ref2],表格3[Code])</f>
        <v>AC</v>
      </c>
      <c r="K1444" s="89" t="s">
        <v>656</v>
      </c>
      <c r="L1444" s="81">
        <v>1</v>
      </c>
      <c r="M1444" s="87">
        <v>3380</v>
      </c>
      <c r="N1444" s="85">
        <f>IFERROR(表格1[[#This Row],[QTY]]*表格1[[#This Row],[Unit Price]],"-")</f>
        <v>3380</v>
      </c>
      <c r="O1444" s="142">
        <v>4376</v>
      </c>
      <c r="R1444" s="86" t="str">
        <f>_xlfn.CONCAT(表格1[[#This Row],[Model]]," ",表格1[[#This Row],[inv no]])</f>
        <v>RAC-07G3CVRGR-HK 4376</v>
      </c>
      <c r="S1444" s="86">
        <f>_xlfn.XLOOKUP(表格1[[#This Row],[Model]],表格3[Model-Input-Ref2],表格3[SRP PRICE])</f>
        <v>5580</v>
      </c>
      <c r="T1444" s="43">
        <f>表格1[[#This Row],[Unit Price]]/表格1[[#This Row],[SRP]]</f>
        <v>0.60573476702508966</v>
      </c>
      <c r="U1444" s="86" t="str">
        <f>_xlfn.XLOOKUP(表格1[[#This Row],[Model]],表格3[Model-Input-Ref2],表格3[TOSHIBA/HIGHEST])</f>
        <v>Toshiba SRP</v>
      </c>
      <c r="V1444" s="86" t="s">
        <v>988</v>
      </c>
      <c r="W1444" s="86" t="str">
        <f>_xlfn.CONCAT(表格1[[#This Row],[欄4]],表格1[[#This Row],[inv no]])</f>
        <v>DA1404376</v>
      </c>
    </row>
    <row r="1445" spans="1:23" hidden="1">
      <c r="A1445" s="81">
        <v>1443</v>
      </c>
      <c r="B1445" s="81" t="s">
        <v>1470</v>
      </c>
      <c r="C1445" s="81" t="s">
        <v>1557</v>
      </c>
      <c r="D1445" s="82" t="str">
        <f ca="1">OFFSET(Roster!$A$3,MATCH(表格1[[#This Row],[Location]]&amp;" "&amp;表格1[[#This Row],[Shop]]&amp;"*",Roster!$A$4:$A$72,0),DAY(表格1[[#This Row],[date]]),1,1)</f>
        <v>Kitty Yeung</v>
      </c>
      <c r="E1445" s="81">
        <f>MONTH(表格1[[#This Row],[date]])</f>
        <v>3</v>
      </c>
      <c r="F1445" s="90">
        <v>46112</v>
      </c>
      <c r="G1445" s="81" t="str">
        <f>VLOOKUP("*"&amp;表格1[[#This Row],[Input]]&amp;"*",'Ref-List'!$B:$D,2,)</f>
        <v>RAD-D300H</v>
      </c>
      <c r="H1445" s="81" t="str">
        <f>_xlfn.XLOOKUP(表格1[[#This Row],[Model]],表格3[Model-Input-Ref2],表格3[Product Line])</f>
        <v>壓縮式抽濕機 (30公升)</v>
      </c>
      <c r="I1445" s="81" t="str">
        <f>_xlfn.XLOOKUP(表格1[[#This Row],[Model]],表格3[Model-Input-Ref2],表格3[大小電])</f>
        <v>細電</v>
      </c>
      <c r="J1445" s="81" t="str">
        <f>_xlfn.XLOOKUP(表格1[[#This Row],[Model]],表格3[Model-Input-Ref2],表格3[Code])</f>
        <v>RAC</v>
      </c>
      <c r="K1445" s="89" t="s">
        <v>1252</v>
      </c>
      <c r="L1445" s="81">
        <v>1</v>
      </c>
      <c r="M1445" s="87">
        <v>2073</v>
      </c>
      <c r="N1445" s="85">
        <f>IFERROR(表格1[[#This Row],[QTY]]*表格1[[#This Row],[Unit Price]],"-")</f>
        <v>2073</v>
      </c>
      <c r="O1445" s="86">
        <v>4375</v>
      </c>
      <c r="R1445" s="86" t="str">
        <f>_xlfn.CONCAT(表格1[[#This Row],[Model]]," ",表格1[[#This Row],[inv no]])</f>
        <v>RAD-D300H 4375</v>
      </c>
      <c r="S1445" s="86">
        <f>_xlfn.XLOOKUP(表格1[[#This Row],[Model]],表格3[Model-Input-Ref2],表格3[SRP PRICE])</f>
        <v>3380</v>
      </c>
      <c r="T1445" s="43">
        <f>表格1[[#This Row],[Unit Price]]/表格1[[#This Row],[SRP]]</f>
        <v>0.61331360946745561</v>
      </c>
      <c r="U1445" s="86" t="str">
        <f>_xlfn.XLOOKUP(表格1[[#This Row],[Model]],表格3[Model-Input-Ref2],表格3[TOSHIBA/HIGHEST])</f>
        <v>Shops Highest Price</v>
      </c>
      <c r="V1445" s="86" t="s">
        <v>988</v>
      </c>
      <c r="W1445" s="86" t="str">
        <f>_xlfn.CONCAT(表格1[[#This Row],[欄4]],表格1[[#This Row],[inv no]])</f>
        <v>DA1404375</v>
      </c>
    </row>
    <row r="1446" spans="1:23" hidden="1">
      <c r="A1446" s="81">
        <v>1444</v>
      </c>
      <c r="B1446" s="81" t="s">
        <v>1366</v>
      </c>
      <c r="C1446" s="81" t="s">
        <v>1560</v>
      </c>
      <c r="D1446" s="82" t="str">
        <f ca="1">OFFSET(Roster!$A$3,MATCH(表格1[[#This Row],[Location]]&amp;" "&amp;表格1[[#This Row],[Shop]]&amp;"*",Roster!$A$4:$A$72,0),DAY(表格1[[#This Row],[date]]),1,1)</f>
        <v>Kit_2</v>
      </c>
      <c r="E1446" s="81">
        <f>MONTH(表格1[[#This Row],[date]])</f>
        <v>3</v>
      </c>
      <c r="F1446" s="90">
        <v>46083</v>
      </c>
      <c r="G1446" s="81" t="str">
        <f>VLOOKUP("*"&amp;表格1[[#This Row],[Input]]&amp;"*",'Ref-List'!$B:$D,2,)</f>
        <v>RC-10ISSHK(W)</v>
      </c>
      <c r="H1446" s="81" t="str">
        <f>_xlfn.XLOOKUP(表格1[[#This Row],[Model]],表格3[Model-Input-Ref2],表格3[Product Line])</f>
        <v>磁應電飯煲(1公升)</v>
      </c>
      <c r="I1446" s="81" t="str">
        <f>_xlfn.XLOOKUP(表格1[[#This Row],[Model]],表格3[Model-Input-Ref2],表格3[大小電])</f>
        <v>細電</v>
      </c>
      <c r="J1446" s="81" t="str">
        <f>_xlfn.XLOOKUP(表格1[[#This Row],[Model]],表格3[Model-Input-Ref2],表格3[Code])</f>
        <v>SDA</v>
      </c>
      <c r="K1446" s="89" t="s">
        <v>1286</v>
      </c>
      <c r="L1446" s="81">
        <v>1</v>
      </c>
      <c r="M1446" s="87">
        <v>898</v>
      </c>
      <c r="N1446" s="85">
        <f>IFERROR(表格1[[#This Row],[QTY]]*表格1[[#This Row],[Unit Price]],"-")</f>
        <v>898</v>
      </c>
      <c r="O1446" s="86">
        <v>403935</v>
      </c>
      <c r="R1446" s="86" t="str">
        <f>_xlfn.CONCAT(表格1[[#This Row],[Model]]," ",表格1[[#This Row],[inv no]])</f>
        <v>RC-10ISSHK(W) 403935</v>
      </c>
      <c r="S1446" s="86">
        <f>_xlfn.XLOOKUP(表格1[[#This Row],[Model]],表格3[Model-Input-Ref2],表格3[SRP PRICE])</f>
        <v>1188</v>
      </c>
      <c r="T1446" s="43">
        <f>表格1[[#This Row],[Unit Price]]/表格1[[#This Row],[SRP]]</f>
        <v>0.75589225589225584</v>
      </c>
      <c r="U1446" s="86" t="str">
        <f>_xlfn.XLOOKUP(表格1[[#This Row],[Model]],表格3[Model-Input-Ref2],表格3[TOSHIBA/HIGHEST])</f>
        <v>Shops Highest Price</v>
      </c>
      <c r="V1446" s="86" t="s">
        <v>988</v>
      </c>
      <c r="W1446" s="86" t="str">
        <f>_xlfn.CONCAT(表格1[[#This Row],[欄4]],表格1[[#This Row],[inv no]])</f>
        <v>DA140403935</v>
      </c>
    </row>
    <row r="1447" spans="1:23" hidden="1">
      <c r="A1447" s="81">
        <v>1445</v>
      </c>
      <c r="B1447" s="81" t="s">
        <v>1366</v>
      </c>
      <c r="C1447" s="81" t="s">
        <v>1560</v>
      </c>
      <c r="D1447" s="82" t="str">
        <f ca="1">OFFSET(Roster!$A$3,MATCH(表格1[[#This Row],[Location]]&amp;" "&amp;表格1[[#This Row],[Shop]]&amp;"*",Roster!$A$4:$A$72,0),DAY(表格1[[#This Row],[date]]),1,1)</f>
        <v>Kit_2</v>
      </c>
      <c r="E1447" s="81">
        <f>MONTH(表格1[[#This Row],[date]])</f>
        <v>3</v>
      </c>
      <c r="F1447" s="90">
        <v>46083</v>
      </c>
      <c r="G1447" s="81" t="str">
        <f>VLOOKUP("*"&amp;表格1[[#This Row],[Input]]&amp;"*",'Ref-List'!$B:$D,2,)</f>
        <v>RC-10NMFIH(WT)</v>
      </c>
      <c r="H1447" s="81" t="str">
        <f>_xlfn.XLOOKUP(表格1[[#This Row],[Model]],表格3[Model-Input-Ref2],表格3[Product Line])</f>
        <v>4毫米厚釜電飯煲1L</v>
      </c>
      <c r="I1447" s="81" t="str">
        <f>_xlfn.XLOOKUP(表格1[[#This Row],[Model]],表格3[Model-Input-Ref2],表格3[大小電])</f>
        <v>細電</v>
      </c>
      <c r="J1447" s="81" t="str">
        <f>_xlfn.XLOOKUP(表格1[[#This Row],[Model]],表格3[Model-Input-Ref2],表格3[Code])</f>
        <v>SDA</v>
      </c>
      <c r="K1447" s="89" t="s">
        <v>1244</v>
      </c>
      <c r="L1447" s="81">
        <v>1</v>
      </c>
      <c r="M1447" s="87">
        <v>719</v>
      </c>
      <c r="N1447" s="85">
        <f>IFERROR(表格1[[#This Row],[QTY]]*表格1[[#This Row],[Unit Price]],"-")</f>
        <v>719</v>
      </c>
      <c r="O1447" s="86">
        <v>416880</v>
      </c>
      <c r="R1447" s="86" t="str">
        <f>_xlfn.CONCAT(表格1[[#This Row],[Model]]," ",表格1[[#This Row],[inv no]])</f>
        <v>RC-10NMFIH(WT) 416880</v>
      </c>
      <c r="S1447" s="86">
        <f>_xlfn.XLOOKUP(表格1[[#This Row],[Model]],表格3[Model-Input-Ref2],表格3[SRP PRICE])</f>
        <v>898</v>
      </c>
      <c r="T1447" s="43">
        <f>表格1[[#This Row],[Unit Price]]/表格1[[#This Row],[SRP]]</f>
        <v>0.80066815144766146</v>
      </c>
      <c r="U1447" s="86" t="str">
        <f>_xlfn.XLOOKUP(表格1[[#This Row],[Model]],表格3[Model-Input-Ref2],表格3[TOSHIBA/HIGHEST])</f>
        <v>Toshiba SRP</v>
      </c>
      <c r="V1447" s="86" t="s">
        <v>988</v>
      </c>
      <c r="W1447" s="86" t="str">
        <f>_xlfn.CONCAT(表格1[[#This Row],[欄4]],表格1[[#This Row],[inv no]])</f>
        <v>DA140416880</v>
      </c>
    </row>
    <row r="1448" spans="1:23" hidden="1">
      <c r="A1448" s="81">
        <v>1446</v>
      </c>
      <c r="B1448" s="81" t="s">
        <v>1366</v>
      </c>
      <c r="C1448" s="81" t="s">
        <v>1560</v>
      </c>
      <c r="D1448" s="82" t="str">
        <f ca="1">OFFSET(Roster!$A$3,MATCH(表格1[[#This Row],[Location]]&amp;" "&amp;表格1[[#This Row],[Shop]]&amp;"*",Roster!$A$4:$A$72,0),DAY(表格1[[#This Row],[date]]),1,1)</f>
        <v>Kit_2</v>
      </c>
      <c r="E1448" s="81">
        <f>MONTH(表格1[[#This Row],[date]])</f>
        <v>3</v>
      </c>
      <c r="F1448" s="90">
        <v>46083</v>
      </c>
      <c r="G1448" s="81" t="str">
        <f>VLOOKUP("*"&amp;表格1[[#This Row],[Input]]&amp;"*",'Ref-List'!$B:$D,2,)</f>
        <v>IC-20R1THK</v>
      </c>
      <c r="H1448" s="81" t="str">
        <f>_xlfn.XLOOKUP(表格1[[#This Row],[Model]],表格3[Model-Input-Ref2],表格3[Product Line])</f>
        <v>輕便式電磁爐</v>
      </c>
      <c r="I1448" s="81" t="str">
        <f>_xlfn.XLOOKUP(表格1[[#This Row],[Model]],表格3[Model-Input-Ref2],表格3[大小電])</f>
        <v>細電</v>
      </c>
      <c r="J1448" s="81" t="str">
        <f>_xlfn.XLOOKUP(表格1[[#This Row],[Model]],表格3[Model-Input-Ref2],表格3[Code])</f>
        <v>SDA</v>
      </c>
      <c r="K1448" s="89" t="s">
        <v>1243</v>
      </c>
      <c r="L1448" s="81">
        <v>1</v>
      </c>
      <c r="M1448" s="87">
        <v>338</v>
      </c>
      <c r="N1448" s="85">
        <f>IFERROR(表格1[[#This Row],[QTY]]*表格1[[#This Row],[Unit Price]],"-")</f>
        <v>338</v>
      </c>
      <c r="O1448" s="142" t="s">
        <v>1562</v>
      </c>
      <c r="R1448" s="86" t="str">
        <f>_xlfn.CONCAT(表格1[[#This Row],[Model]]," ",表格1[[#This Row],[inv no]])</f>
        <v>IC-20R1THK 089370</v>
      </c>
      <c r="S1448" s="86">
        <f>_xlfn.XLOOKUP(表格1[[#This Row],[Model]],表格3[Model-Input-Ref2],表格3[SRP PRICE])</f>
        <v>438</v>
      </c>
      <c r="T1448" s="43">
        <f>表格1[[#This Row],[Unit Price]]/表格1[[#This Row],[SRP]]</f>
        <v>0.77168949771689499</v>
      </c>
      <c r="U1448" s="86" t="str">
        <f>_xlfn.XLOOKUP(表格1[[#This Row],[Model]],表格3[Model-Input-Ref2],表格3[TOSHIBA/HIGHEST])</f>
        <v>Shops Highest Price</v>
      </c>
      <c r="V1448" s="86" t="s">
        <v>988</v>
      </c>
      <c r="W1448" s="86" t="str">
        <f>_xlfn.CONCAT(表格1[[#This Row],[欄4]],表格1[[#This Row],[inv no]])</f>
        <v>DA140089370</v>
      </c>
    </row>
    <row r="1449" spans="1:23" hidden="1">
      <c r="A1449" s="81">
        <v>1447</v>
      </c>
      <c r="B1449" s="81" t="s">
        <v>1366</v>
      </c>
      <c r="C1449" s="81" t="s">
        <v>1560</v>
      </c>
      <c r="D1449" s="82" t="str">
        <f ca="1">OFFSET(Roster!$A$3,MATCH(表格1[[#This Row],[Location]]&amp;" "&amp;表格1[[#This Row],[Shop]]&amp;"*",Roster!$A$4:$A$72,0),DAY(表格1[[#This Row],[date]]),1,1)</f>
        <v>Kit_2</v>
      </c>
      <c r="E1449" s="81">
        <f>MONTH(表格1[[#This Row],[date]])</f>
        <v>3</v>
      </c>
      <c r="F1449" s="90">
        <v>46083</v>
      </c>
      <c r="G1449" s="81" t="str">
        <f>VLOOKUP("*"&amp;表格1[[#This Row],[Input]]&amp;"*",'Ref-List'!$B:$D,2,)</f>
        <v>IC-20R1THK</v>
      </c>
      <c r="H1449" s="81" t="str">
        <f>_xlfn.XLOOKUP(表格1[[#This Row],[Model]],表格3[Model-Input-Ref2],表格3[Product Line])</f>
        <v>輕便式電磁爐</v>
      </c>
      <c r="I1449" s="81" t="str">
        <f>_xlfn.XLOOKUP(表格1[[#This Row],[Model]],表格3[Model-Input-Ref2],表格3[大小電])</f>
        <v>細電</v>
      </c>
      <c r="J1449" s="81" t="str">
        <f>_xlfn.XLOOKUP(表格1[[#This Row],[Model]],表格3[Model-Input-Ref2],表格3[Code])</f>
        <v>SDA</v>
      </c>
      <c r="K1449" s="89" t="s">
        <v>1243</v>
      </c>
      <c r="L1449" s="81">
        <v>1</v>
      </c>
      <c r="M1449" s="87">
        <v>338</v>
      </c>
      <c r="N1449" s="85">
        <f>IFERROR(表格1[[#This Row],[QTY]]*表格1[[#This Row],[Unit Price]],"-")</f>
        <v>338</v>
      </c>
      <c r="O1449" s="86">
        <v>403953</v>
      </c>
      <c r="R1449" s="86" t="str">
        <f>_xlfn.CONCAT(表格1[[#This Row],[Model]]," ",表格1[[#This Row],[inv no]])</f>
        <v>IC-20R1THK 403953</v>
      </c>
      <c r="S1449" s="86">
        <f>_xlfn.XLOOKUP(表格1[[#This Row],[Model]],表格3[Model-Input-Ref2],表格3[SRP PRICE])</f>
        <v>438</v>
      </c>
      <c r="T1449" s="43">
        <f>表格1[[#This Row],[Unit Price]]/表格1[[#This Row],[SRP]]</f>
        <v>0.77168949771689499</v>
      </c>
      <c r="U1449" s="86" t="str">
        <f>_xlfn.XLOOKUP(表格1[[#This Row],[Model]],表格3[Model-Input-Ref2],表格3[TOSHIBA/HIGHEST])</f>
        <v>Shops Highest Price</v>
      </c>
      <c r="V1449" s="86" t="s">
        <v>988</v>
      </c>
      <c r="W1449" s="86" t="str">
        <f>_xlfn.CONCAT(表格1[[#This Row],[欄4]],表格1[[#This Row],[inv no]])</f>
        <v>DA140403953</v>
      </c>
    </row>
    <row r="1450" spans="1:23" hidden="1">
      <c r="A1450" s="81">
        <v>1448</v>
      </c>
      <c r="B1450" s="81" t="s">
        <v>1366</v>
      </c>
      <c r="C1450" s="81" t="s">
        <v>1560</v>
      </c>
      <c r="D1450" s="82" t="str">
        <f ca="1">OFFSET(Roster!$A$3,MATCH(表格1[[#This Row],[Location]]&amp;" "&amp;表格1[[#This Row],[Shop]]&amp;"*",Roster!$A$4:$A$72,0),DAY(表格1[[#This Row],[date]]),1,1)</f>
        <v>Kit_2</v>
      </c>
      <c r="E1450" s="81">
        <f>MONTH(表格1[[#This Row],[date]])</f>
        <v>3</v>
      </c>
      <c r="F1450" s="90">
        <v>46083</v>
      </c>
      <c r="G1450" s="81" t="str">
        <f>VLOOKUP("*"&amp;表格1[[#This Row],[Input]]&amp;"*",'Ref-List'!$B:$D,2,)</f>
        <v>MWP-MM20P(WH)</v>
      </c>
      <c r="H1450" s="81" t="str">
        <f>_xlfn.XLOOKUP(表格1[[#This Row],[Model]],表格3[Model-Input-Ref2],表格3[Product Line])</f>
        <v>旋鈕式燒烤微波爐20L</v>
      </c>
      <c r="I1450" s="81" t="str">
        <f>_xlfn.XLOOKUP(表格1[[#This Row],[Model]],表格3[Model-Input-Ref2],表格3[大小電])</f>
        <v>細電</v>
      </c>
      <c r="J1450" s="81" t="str">
        <f>_xlfn.XLOOKUP(表格1[[#This Row],[Model]],表格3[Model-Input-Ref2],表格3[Code])</f>
        <v>SDA</v>
      </c>
      <c r="K1450" s="89" t="s">
        <v>1270</v>
      </c>
      <c r="L1450" s="81">
        <v>1</v>
      </c>
      <c r="M1450" s="87">
        <v>488</v>
      </c>
      <c r="N1450" s="85">
        <f>IFERROR(表格1[[#This Row],[QTY]]*表格1[[#This Row],[Unit Price]],"-")</f>
        <v>488</v>
      </c>
      <c r="O1450" s="142" t="s">
        <v>1563</v>
      </c>
      <c r="R1450" s="86" t="str">
        <f>_xlfn.CONCAT(表格1[[#This Row],[Model]]," ",表格1[[#This Row],[inv no]])</f>
        <v>MWP-MM20P(WH) 089408</v>
      </c>
      <c r="S1450" s="86">
        <f>_xlfn.XLOOKUP(表格1[[#This Row],[Model]],表格3[Model-Input-Ref2],表格3[SRP PRICE])</f>
        <v>648</v>
      </c>
      <c r="T1450" s="43">
        <f>表格1[[#This Row],[Unit Price]]/表格1[[#This Row],[SRP]]</f>
        <v>0.75308641975308643</v>
      </c>
      <c r="U1450" s="86" t="str">
        <f>_xlfn.XLOOKUP(表格1[[#This Row],[Model]],表格3[Model-Input-Ref2],表格3[TOSHIBA/HIGHEST])</f>
        <v>Toshiba SRP</v>
      </c>
      <c r="V1450" s="86" t="s">
        <v>988</v>
      </c>
      <c r="W1450" s="86" t="str">
        <f>_xlfn.CONCAT(表格1[[#This Row],[欄4]],表格1[[#This Row],[inv no]])</f>
        <v>DA140089408</v>
      </c>
    </row>
    <row r="1451" spans="1:23" hidden="1">
      <c r="A1451" s="81">
        <v>1449</v>
      </c>
      <c r="B1451" s="81" t="s">
        <v>1477</v>
      </c>
      <c r="C1451" s="81" t="s">
        <v>1569</v>
      </c>
      <c r="D1451" s="82" t="str">
        <f ca="1">OFFSET(Roster!$A$3,MATCH(表格1[[#This Row],[Location]]&amp;" "&amp;表格1[[#This Row],[Shop]]&amp;"*",Roster!$A$4:$A$72,0),DAY(表格1[[#This Row],[date]]),1,1)</f>
        <v>Kit_3</v>
      </c>
      <c r="E1451" s="81">
        <f>MONTH(表格1[[#This Row],[date]])</f>
        <v>3</v>
      </c>
      <c r="F1451" s="90">
        <v>46088</v>
      </c>
      <c r="G1451" s="81" t="str">
        <f>VLOOKUP("*"&amp;表格1[[#This Row],[Input]]&amp;"*",'Ref-List'!$B:$D,2,)</f>
        <v>IC-S19RH</v>
      </c>
      <c r="H1451" s="81" t="str">
        <f>_xlfn.XLOOKUP(表格1[[#This Row],[Model]],表格3[Model-Input-Ref2],表格3[Product Line])</f>
        <v>輕便式電磁爐7個功能</v>
      </c>
      <c r="I1451" s="81" t="str">
        <f>_xlfn.XLOOKUP(表格1[[#This Row],[Model]],表格3[Model-Input-Ref2],表格3[大小電])</f>
        <v>細電</v>
      </c>
      <c r="J1451" s="81" t="str">
        <f>_xlfn.XLOOKUP(表格1[[#This Row],[Model]],表格3[Model-Input-Ref2],表格3[Code])</f>
        <v>SDA</v>
      </c>
      <c r="K1451" s="89" t="s">
        <v>1289</v>
      </c>
      <c r="L1451" s="81">
        <v>1</v>
      </c>
      <c r="M1451" s="87">
        <v>418</v>
      </c>
      <c r="N1451" s="85">
        <f>IFERROR(表格1[[#This Row],[QTY]]*表格1[[#This Row],[Unit Price]],"-")</f>
        <v>418</v>
      </c>
      <c r="O1451" s="86">
        <v>414216</v>
      </c>
      <c r="R1451" s="86" t="str">
        <f>_xlfn.CONCAT(表格1[[#This Row],[Model]]," ",表格1[[#This Row],[inv no]])</f>
        <v>IC-S19RH 414216</v>
      </c>
      <c r="S1451" s="86">
        <f>_xlfn.XLOOKUP(表格1[[#This Row],[Model]],表格3[Model-Input-Ref2],表格3[SRP PRICE])</f>
        <v>638</v>
      </c>
      <c r="T1451" s="43">
        <f>表格1[[#This Row],[Unit Price]]/表格1[[#This Row],[SRP]]</f>
        <v>0.65517241379310343</v>
      </c>
      <c r="U1451" s="86" t="str">
        <f>_xlfn.XLOOKUP(表格1[[#This Row],[Model]],表格3[Model-Input-Ref2],表格3[TOSHIBA/HIGHEST])</f>
        <v>Toshiba SRP</v>
      </c>
      <c r="V1451" s="86" t="s">
        <v>988</v>
      </c>
      <c r="W1451" s="86" t="str">
        <f>_xlfn.CONCAT(表格1[[#This Row],[欄4]],表格1[[#This Row],[inv no]])</f>
        <v>DA140414216</v>
      </c>
    </row>
    <row r="1452" spans="1:23" hidden="1">
      <c r="A1452" s="81">
        <v>1450</v>
      </c>
      <c r="B1452" s="81" t="s">
        <v>1477</v>
      </c>
      <c r="C1452" s="81" t="s">
        <v>1569</v>
      </c>
      <c r="D1452" s="82" t="str">
        <f ca="1">OFFSET(Roster!$A$3,MATCH(表格1[[#This Row],[Location]]&amp;" "&amp;表格1[[#This Row],[Shop]]&amp;"*",Roster!$A$4:$A$72,0),DAY(表格1[[#This Row],[date]]),1,1)</f>
        <v>Kit_3</v>
      </c>
      <c r="E1452" s="81">
        <f>MONTH(表格1[[#This Row],[date]])</f>
        <v>3</v>
      </c>
      <c r="F1452" s="90">
        <v>46088</v>
      </c>
      <c r="G1452" s="81" t="str">
        <f>VLOOKUP("*"&amp;表格1[[#This Row],[Input]]&amp;"*",'Ref-List'!$B:$D,2,)</f>
        <v>MWP-MM20P(WH)</v>
      </c>
      <c r="H1452" s="81" t="str">
        <f>_xlfn.XLOOKUP(表格1[[#This Row],[Model]],表格3[Model-Input-Ref2],表格3[Product Line])</f>
        <v>旋鈕式燒烤微波爐20L</v>
      </c>
      <c r="I1452" s="81" t="str">
        <f>_xlfn.XLOOKUP(表格1[[#This Row],[Model]],表格3[Model-Input-Ref2],表格3[大小電])</f>
        <v>細電</v>
      </c>
      <c r="J1452" s="81" t="str">
        <f>_xlfn.XLOOKUP(表格1[[#This Row],[Model]],表格3[Model-Input-Ref2],表格3[Code])</f>
        <v>SDA</v>
      </c>
      <c r="K1452" s="89" t="s">
        <v>1270</v>
      </c>
      <c r="L1452" s="81">
        <v>1</v>
      </c>
      <c r="M1452" s="87">
        <v>488</v>
      </c>
      <c r="N1452" s="85">
        <f>IFERROR(表格1[[#This Row],[QTY]]*表格1[[#This Row],[Unit Price]],"-")</f>
        <v>488</v>
      </c>
      <c r="O1452" s="86">
        <v>414227</v>
      </c>
      <c r="R1452" s="86" t="str">
        <f>_xlfn.CONCAT(表格1[[#This Row],[Model]]," ",表格1[[#This Row],[inv no]])</f>
        <v>MWP-MM20P(WH) 414227</v>
      </c>
      <c r="S1452" s="86">
        <f>_xlfn.XLOOKUP(表格1[[#This Row],[Model]],表格3[Model-Input-Ref2],表格3[SRP PRICE])</f>
        <v>648</v>
      </c>
      <c r="T1452" s="43">
        <f>表格1[[#This Row],[Unit Price]]/表格1[[#This Row],[SRP]]</f>
        <v>0.75308641975308643</v>
      </c>
      <c r="U1452" s="86" t="str">
        <f>_xlfn.XLOOKUP(表格1[[#This Row],[Model]],表格3[Model-Input-Ref2],表格3[TOSHIBA/HIGHEST])</f>
        <v>Toshiba SRP</v>
      </c>
      <c r="V1452" s="86" t="s">
        <v>988</v>
      </c>
      <c r="W1452" s="86" t="str">
        <f>_xlfn.CONCAT(表格1[[#This Row],[欄4]],表格1[[#This Row],[inv no]])</f>
        <v>DA140414227</v>
      </c>
    </row>
    <row r="1453" spans="1:23" hidden="1">
      <c r="A1453" s="81">
        <v>1451</v>
      </c>
      <c r="B1453" s="81" t="s">
        <v>1477</v>
      </c>
      <c r="C1453" s="81" t="s">
        <v>1569</v>
      </c>
      <c r="D1453" s="82" t="str">
        <f ca="1">OFFSET(Roster!$A$3,MATCH(表格1[[#This Row],[Location]]&amp;" "&amp;表格1[[#This Row],[Shop]]&amp;"*",Roster!$A$4:$A$72,0),DAY(表格1[[#This Row],[date]]),1,1)</f>
        <v>Kit_3</v>
      </c>
      <c r="E1453" s="81">
        <f>MONTH(表格1[[#This Row],[date]])</f>
        <v>3</v>
      </c>
      <c r="F1453" s="90">
        <v>46088</v>
      </c>
      <c r="G1453" s="81" t="str">
        <f>VLOOKUP("*"&amp;表格1[[#This Row],[Input]]&amp;"*",'Ref-List'!$B:$D,2,)</f>
        <v>KT-17DRTHK(H)</v>
      </c>
      <c r="H1453" s="81" t="str">
        <f>_xlfn.XLOOKUP(表格1[[#This Row],[Model]],表格3[Model-Input-Ref2],表格3[Product Line])</f>
        <v>無線雙層電熱水壺(1.7公升)</v>
      </c>
      <c r="I1453" s="81" t="str">
        <f>_xlfn.XLOOKUP(表格1[[#This Row],[Model]],表格3[Model-Input-Ref2],表格3[大小電])</f>
        <v>細電</v>
      </c>
      <c r="J1453" s="81" t="str">
        <f>_xlfn.XLOOKUP(表格1[[#This Row],[Model]],表格3[Model-Input-Ref2],表格3[Code])</f>
        <v>SDA</v>
      </c>
      <c r="K1453" s="89" t="s">
        <v>1271</v>
      </c>
      <c r="L1453" s="81">
        <v>1</v>
      </c>
      <c r="M1453" s="87">
        <v>388</v>
      </c>
      <c r="N1453" s="85">
        <f>IFERROR(表格1[[#This Row],[QTY]]*表格1[[#This Row],[Unit Price]],"-")</f>
        <v>388</v>
      </c>
      <c r="O1453" s="86">
        <v>321197</v>
      </c>
      <c r="R1453" s="86" t="str">
        <f>_xlfn.CONCAT(表格1[[#This Row],[Model]]," ",表格1[[#This Row],[inv no]])</f>
        <v>KT-17DRTHK(H) 321197</v>
      </c>
      <c r="S1453" s="86">
        <f>_xlfn.XLOOKUP(表格1[[#This Row],[Model]],表格3[Model-Input-Ref2],表格3[SRP PRICE])</f>
        <v>498</v>
      </c>
      <c r="T1453" s="43">
        <f>表格1[[#This Row],[Unit Price]]/表格1[[#This Row],[SRP]]</f>
        <v>0.77911646586345384</v>
      </c>
      <c r="U1453" s="86" t="str">
        <f>_xlfn.XLOOKUP(表格1[[#This Row],[Model]],表格3[Model-Input-Ref2],表格3[TOSHIBA/HIGHEST])</f>
        <v>Toshiba SRP</v>
      </c>
      <c r="V1453" s="86" t="s">
        <v>988</v>
      </c>
      <c r="W1453" s="86" t="str">
        <f>_xlfn.CONCAT(表格1[[#This Row],[欄4]],表格1[[#This Row],[inv no]])</f>
        <v>DA140321197</v>
      </c>
    </row>
    <row r="1454" spans="1:23" hidden="1">
      <c r="A1454" s="81">
        <v>1452</v>
      </c>
      <c r="B1454" s="81" t="s">
        <v>1477</v>
      </c>
      <c r="C1454" s="81" t="s">
        <v>1569</v>
      </c>
      <c r="D1454" s="82" t="str">
        <f ca="1">OFFSET(Roster!$A$3,MATCH(表格1[[#This Row],[Location]]&amp;" "&amp;表格1[[#This Row],[Shop]]&amp;"*",Roster!$A$4:$A$72,0),DAY(表格1[[#This Row],[date]]),1,1)</f>
        <v>Kit_3</v>
      </c>
      <c r="E1454" s="81">
        <f>MONTH(表格1[[#This Row],[date]])</f>
        <v>3</v>
      </c>
      <c r="F1454" s="90">
        <v>46088</v>
      </c>
      <c r="G1454" s="81" t="str">
        <f>VLOOKUP("*"&amp;表格1[[#This Row],[Input]]&amp;"*",'Ref-List'!$B:$D,2,)</f>
        <v>RC-10ISSHK(W)</v>
      </c>
      <c r="H1454" s="81" t="str">
        <f>_xlfn.XLOOKUP(表格1[[#This Row],[Model]],表格3[Model-Input-Ref2],表格3[Product Line])</f>
        <v>磁應電飯煲(1公升)</v>
      </c>
      <c r="I1454" s="81" t="str">
        <f>_xlfn.XLOOKUP(表格1[[#This Row],[Model]],表格3[Model-Input-Ref2],表格3[大小電])</f>
        <v>細電</v>
      </c>
      <c r="J1454" s="81" t="str">
        <f>_xlfn.XLOOKUP(表格1[[#This Row],[Model]],表格3[Model-Input-Ref2],表格3[Code])</f>
        <v>SDA</v>
      </c>
      <c r="K1454" s="89" t="s">
        <v>1286</v>
      </c>
      <c r="L1454" s="81">
        <v>1</v>
      </c>
      <c r="M1454" s="87">
        <v>938</v>
      </c>
      <c r="N1454" s="85">
        <f>IFERROR(表格1[[#This Row],[QTY]]*表格1[[#This Row],[Unit Price]],"-")</f>
        <v>938</v>
      </c>
      <c r="O1454" s="86">
        <v>321197</v>
      </c>
      <c r="R1454" s="86" t="str">
        <f>_xlfn.CONCAT(表格1[[#This Row],[Model]]," ",表格1[[#This Row],[inv no]])</f>
        <v>RC-10ISSHK(W) 321197</v>
      </c>
      <c r="S1454" s="86">
        <f>_xlfn.XLOOKUP(表格1[[#This Row],[Model]],表格3[Model-Input-Ref2],表格3[SRP PRICE])</f>
        <v>1188</v>
      </c>
      <c r="T1454" s="43">
        <f>表格1[[#This Row],[Unit Price]]/表格1[[#This Row],[SRP]]</f>
        <v>0.78956228956228958</v>
      </c>
      <c r="U1454" s="86" t="str">
        <f>_xlfn.XLOOKUP(表格1[[#This Row],[Model]],表格3[Model-Input-Ref2],表格3[TOSHIBA/HIGHEST])</f>
        <v>Shops Highest Price</v>
      </c>
      <c r="V1454" s="86" t="s">
        <v>988</v>
      </c>
      <c r="W1454" s="86" t="str">
        <f>_xlfn.CONCAT(表格1[[#This Row],[欄4]],表格1[[#This Row],[inv no]])</f>
        <v>DA140321197</v>
      </c>
    </row>
    <row r="1455" spans="1:23" hidden="1">
      <c r="A1455" s="81">
        <v>1453</v>
      </c>
      <c r="B1455" s="81" t="s">
        <v>1477</v>
      </c>
      <c r="C1455" s="81" t="s">
        <v>1569</v>
      </c>
      <c r="D1455" s="82" t="str">
        <f ca="1">OFFSET(Roster!$A$3,MATCH(表格1[[#This Row],[Location]]&amp;" "&amp;表格1[[#This Row],[Shop]]&amp;"*",Roster!$A$4:$A$72,0),DAY(表格1[[#This Row],[date]]),1,1)</f>
        <v>Kit_3</v>
      </c>
      <c r="E1455" s="81">
        <f>MONTH(表格1[[#This Row],[date]])</f>
        <v>3</v>
      </c>
      <c r="F1455" s="90">
        <v>46088</v>
      </c>
      <c r="G1455" s="81" t="str">
        <f>VLOOKUP("*"&amp;表格1[[#This Row],[Input]]&amp;"*",'Ref-List'!$B:$D,2,)</f>
        <v>RC-DR10T(W)</v>
      </c>
      <c r="H1455" s="81" t="str">
        <f>_xlfn.XLOOKUP(表格1[[#This Row],[Model]],表格3[Model-Input-Ref2],表格3[Product Line])</f>
        <v>IH磁應電飯煲</v>
      </c>
      <c r="I1455" s="81" t="str">
        <f>_xlfn.XLOOKUP(表格1[[#This Row],[Model]],表格3[Model-Input-Ref2],表格3[大小電])</f>
        <v>細電</v>
      </c>
      <c r="J1455" s="81" t="str">
        <f>_xlfn.XLOOKUP(表格1[[#This Row],[Model]],表格3[Model-Input-Ref2],表格3[Code])</f>
        <v>SDA</v>
      </c>
      <c r="K1455" s="89" t="s">
        <v>1294</v>
      </c>
      <c r="L1455" s="81">
        <v>1</v>
      </c>
      <c r="M1455" s="87">
        <v>2380</v>
      </c>
      <c r="N1455" s="85">
        <f>IFERROR(表格1[[#This Row],[QTY]]*表格1[[#This Row],[Unit Price]],"-")</f>
        <v>2380</v>
      </c>
      <c r="O1455" s="86">
        <v>414244</v>
      </c>
      <c r="R1455" s="86" t="str">
        <f>_xlfn.CONCAT(表格1[[#This Row],[Model]]," ",表格1[[#This Row],[inv no]])</f>
        <v>RC-DR10T(W) 414244</v>
      </c>
      <c r="S1455" s="86">
        <f>_xlfn.XLOOKUP(表格1[[#This Row],[Model]],表格3[Model-Input-Ref2],表格3[SRP PRICE])</f>
        <v>3188</v>
      </c>
      <c r="T1455" s="43">
        <f>表格1[[#This Row],[Unit Price]]/表格1[[#This Row],[SRP]]</f>
        <v>0.74654956085319946</v>
      </c>
      <c r="U1455" s="86" t="str">
        <f>_xlfn.XLOOKUP(表格1[[#This Row],[Model]],表格3[Model-Input-Ref2],表格3[TOSHIBA/HIGHEST])</f>
        <v>Toshiba SRP</v>
      </c>
      <c r="V1455" s="86" t="s">
        <v>988</v>
      </c>
      <c r="W1455" s="86" t="str">
        <f>_xlfn.CONCAT(表格1[[#This Row],[欄4]],表格1[[#This Row],[inv no]])</f>
        <v>DA140414244</v>
      </c>
    </row>
    <row r="1456" spans="1:23" hidden="1">
      <c r="A1456" s="81">
        <v>1454</v>
      </c>
      <c r="B1456" s="81" t="s">
        <v>1477</v>
      </c>
      <c r="C1456" s="81" t="s">
        <v>1569</v>
      </c>
      <c r="D1456" s="82" t="str">
        <f ca="1">OFFSET(Roster!$A$3,MATCH(表格1[[#This Row],[Location]]&amp;" "&amp;表格1[[#This Row],[Shop]]&amp;"*",Roster!$A$4:$A$72,0),DAY(表格1[[#This Row],[date]]),1,1)</f>
        <v>Kit_3</v>
      </c>
      <c r="E1456" s="81">
        <f>MONTH(表格1[[#This Row],[date]])</f>
        <v>3</v>
      </c>
      <c r="F1456" s="90">
        <v>46089</v>
      </c>
      <c r="G1456" s="81" t="str">
        <f>VLOOKUP("*"&amp;表格1[[#This Row],[Input]]&amp;"*",'Ref-List'!$B:$D,2,)</f>
        <v>RC-10NMFIH(WT)</v>
      </c>
      <c r="H1456" s="81" t="str">
        <f>_xlfn.XLOOKUP(表格1[[#This Row],[Model]],表格3[Model-Input-Ref2],表格3[Product Line])</f>
        <v>4毫米厚釜電飯煲1L</v>
      </c>
      <c r="I1456" s="81" t="str">
        <f>_xlfn.XLOOKUP(表格1[[#This Row],[Model]],表格3[Model-Input-Ref2],表格3[大小電])</f>
        <v>細電</v>
      </c>
      <c r="J1456" s="81" t="str">
        <f>_xlfn.XLOOKUP(表格1[[#This Row],[Model]],表格3[Model-Input-Ref2],表格3[Code])</f>
        <v>SDA</v>
      </c>
      <c r="K1456" s="89" t="s">
        <v>1244</v>
      </c>
      <c r="L1456" s="81">
        <v>1</v>
      </c>
      <c r="M1456" s="87">
        <v>719</v>
      </c>
      <c r="N1456" s="85">
        <f>IFERROR(表格1[[#This Row],[QTY]]*表格1[[#This Row],[Unit Price]],"-")</f>
        <v>719</v>
      </c>
      <c r="O1456" s="86">
        <v>414313</v>
      </c>
      <c r="R1456" s="86" t="str">
        <f>_xlfn.CONCAT(表格1[[#This Row],[Model]]," ",表格1[[#This Row],[inv no]])</f>
        <v>RC-10NMFIH(WT) 414313</v>
      </c>
      <c r="S1456" s="86">
        <f>_xlfn.XLOOKUP(表格1[[#This Row],[Model]],表格3[Model-Input-Ref2],表格3[SRP PRICE])</f>
        <v>898</v>
      </c>
      <c r="T1456" s="43">
        <f>表格1[[#This Row],[Unit Price]]/表格1[[#This Row],[SRP]]</f>
        <v>0.80066815144766146</v>
      </c>
      <c r="U1456" s="86" t="str">
        <f>_xlfn.XLOOKUP(表格1[[#This Row],[Model]],表格3[Model-Input-Ref2],表格3[TOSHIBA/HIGHEST])</f>
        <v>Toshiba SRP</v>
      </c>
      <c r="V1456" s="86" t="s">
        <v>988</v>
      </c>
      <c r="W1456" s="86" t="str">
        <f>_xlfn.CONCAT(表格1[[#This Row],[欄4]],表格1[[#This Row],[inv no]])</f>
        <v>DA140414313</v>
      </c>
    </row>
    <row r="1457" spans="1:23" hidden="1">
      <c r="A1457" s="81">
        <v>1455</v>
      </c>
      <c r="B1457" s="81" t="s">
        <v>1477</v>
      </c>
      <c r="C1457" s="81" t="s">
        <v>1569</v>
      </c>
      <c r="D1457" s="82" t="str">
        <f ca="1">OFFSET(Roster!$A$3,MATCH(表格1[[#This Row],[Location]]&amp;" "&amp;表格1[[#This Row],[Shop]]&amp;"*",Roster!$A$4:$A$72,0),DAY(表格1[[#This Row],[date]]),1,1)</f>
        <v>Kit_3</v>
      </c>
      <c r="E1457" s="81">
        <f>MONTH(表格1[[#This Row],[date]])</f>
        <v>3</v>
      </c>
      <c r="F1457" s="90">
        <v>46089</v>
      </c>
      <c r="G1457" s="81" t="str">
        <f>VLOOKUP("*"&amp;表格1[[#This Row],[Input]]&amp;"*",'Ref-List'!$B:$D,2,)</f>
        <v>AW-DQ950FPH(WW)</v>
      </c>
      <c r="H1457" s="81" t="str">
        <f>_xlfn.XLOOKUP(表格1[[#This Row],[Model]],表格3[Model-Input-Ref2],表格3[Product Line])</f>
        <v>變頻日式洗衣機 (8.5公斤 結合高低水位)</v>
      </c>
      <c r="I1457" s="81" t="str">
        <f>_xlfn.XLOOKUP(表格1[[#This Row],[Model]],表格3[Model-Input-Ref2],表格3[大小電])</f>
        <v>大電</v>
      </c>
      <c r="J1457" s="81" t="str">
        <f>_xlfn.XLOOKUP(表格1[[#This Row],[Model]],表格3[Model-Input-Ref2],表格3[Code])</f>
        <v>LAD</v>
      </c>
      <c r="K1457" s="89" t="s">
        <v>1493</v>
      </c>
      <c r="L1457" s="81">
        <v>1</v>
      </c>
      <c r="M1457" s="87">
        <v>2580</v>
      </c>
      <c r="N1457" s="85">
        <f>IFERROR(表格1[[#This Row],[QTY]]*表格1[[#This Row],[Unit Price]],"-")</f>
        <v>2580</v>
      </c>
      <c r="O1457" s="86">
        <v>321263</v>
      </c>
      <c r="R1457" s="86" t="str">
        <f>_xlfn.CONCAT(表格1[[#This Row],[Model]]," ",表格1[[#This Row],[inv no]])</f>
        <v>AW-DQ950FPH(WW) 321263</v>
      </c>
      <c r="S1457" s="86">
        <f>_xlfn.XLOOKUP(表格1[[#This Row],[Model]],表格3[Model-Input-Ref2],表格3[SRP PRICE])</f>
        <v>3980</v>
      </c>
      <c r="T1457" s="43">
        <f>表格1[[#This Row],[Unit Price]]/表格1[[#This Row],[SRP]]</f>
        <v>0.64824120603015079</v>
      </c>
      <c r="U1457" s="86" t="str">
        <f>_xlfn.XLOOKUP(表格1[[#This Row],[Model]],表格3[Model-Input-Ref2],表格3[TOSHIBA/HIGHEST])</f>
        <v>Toshiba SRP</v>
      </c>
      <c r="V1457" s="86" t="s">
        <v>988</v>
      </c>
      <c r="W1457" s="86" t="str">
        <f>_xlfn.CONCAT(表格1[[#This Row],[欄4]],表格1[[#This Row],[inv no]])</f>
        <v>DA140321263</v>
      </c>
    </row>
    <row r="1458" spans="1:23" hidden="1">
      <c r="A1458" s="81">
        <v>1456</v>
      </c>
      <c r="B1458" s="81" t="s">
        <v>1366</v>
      </c>
      <c r="C1458" s="81" t="s">
        <v>1567</v>
      </c>
      <c r="D1458" s="82" t="str">
        <f ca="1">OFFSET(Roster!$A$3,MATCH(表格1[[#This Row],[Location]]&amp;" "&amp;表格1[[#This Row],[Shop]]&amp;"*",Roster!$A$4:$A$72,0),DAY(表格1[[#This Row],[date]]),1,1)</f>
        <v>Kit_1</v>
      </c>
      <c r="E1458" s="81">
        <f>MONTH(表格1[[#This Row],[date]])</f>
        <v>3</v>
      </c>
      <c r="F1458" s="90">
        <v>46092</v>
      </c>
      <c r="G1458" s="81" t="str">
        <f>VLOOKUP("*"&amp;表格1[[#This Row],[Input]]&amp;"*",'Ref-List'!$B:$D,2,)</f>
        <v>KT-17DRTHK(H)</v>
      </c>
      <c r="H1458" s="81" t="str">
        <f>_xlfn.XLOOKUP(表格1[[#This Row],[Model]],表格3[Model-Input-Ref2],表格3[Product Line])</f>
        <v>無線雙層電熱水壺(1.7公升)</v>
      </c>
      <c r="I1458" s="81" t="str">
        <f>_xlfn.XLOOKUP(表格1[[#This Row],[Model]],表格3[Model-Input-Ref2],表格3[大小電])</f>
        <v>細電</v>
      </c>
      <c r="J1458" s="81" t="str">
        <f>_xlfn.XLOOKUP(表格1[[#This Row],[Model]],表格3[Model-Input-Ref2],表格3[Code])</f>
        <v>SDA</v>
      </c>
      <c r="K1458" s="89" t="s">
        <v>1271</v>
      </c>
      <c r="L1458" s="81">
        <v>1</v>
      </c>
      <c r="M1458" s="87">
        <v>388</v>
      </c>
      <c r="N1458" s="85">
        <f>IFERROR(表格1[[#This Row],[QTY]]*表格1[[#This Row],[Unit Price]],"-")</f>
        <v>388</v>
      </c>
      <c r="O1458" s="86">
        <v>527948</v>
      </c>
      <c r="R1458" s="86" t="str">
        <f>_xlfn.CONCAT(表格1[[#This Row],[Model]]," ",表格1[[#This Row],[inv no]])</f>
        <v>KT-17DRTHK(H) 527948</v>
      </c>
      <c r="S1458" s="86">
        <f>_xlfn.XLOOKUP(表格1[[#This Row],[Model]],表格3[Model-Input-Ref2],表格3[SRP PRICE])</f>
        <v>498</v>
      </c>
      <c r="T1458" s="43">
        <f>表格1[[#This Row],[Unit Price]]/表格1[[#This Row],[SRP]]</f>
        <v>0.77911646586345384</v>
      </c>
      <c r="U1458" s="86" t="str">
        <f>_xlfn.XLOOKUP(表格1[[#This Row],[Model]],表格3[Model-Input-Ref2],表格3[TOSHIBA/HIGHEST])</f>
        <v>Toshiba SRP</v>
      </c>
      <c r="V1458" s="86" t="s">
        <v>988</v>
      </c>
      <c r="W1458" s="86" t="str">
        <f>_xlfn.CONCAT(表格1[[#This Row],[欄4]],表格1[[#This Row],[inv no]])</f>
        <v>DA140527948</v>
      </c>
    </row>
    <row r="1459" spans="1:23" hidden="1">
      <c r="A1459" s="81">
        <v>1457</v>
      </c>
      <c r="B1459" s="81" t="s">
        <v>1366</v>
      </c>
      <c r="C1459" s="81" t="s">
        <v>1567</v>
      </c>
      <c r="D1459" s="82" t="str">
        <f ca="1">OFFSET(Roster!$A$3,MATCH(表格1[[#This Row],[Location]]&amp;" "&amp;表格1[[#This Row],[Shop]]&amp;"*",Roster!$A$4:$A$72,0),DAY(表格1[[#This Row],[date]]),1,1)</f>
        <v>Kit_1</v>
      </c>
      <c r="E1459" s="81">
        <f>MONTH(表格1[[#This Row],[date]])</f>
        <v>3</v>
      </c>
      <c r="F1459" s="90">
        <v>46092</v>
      </c>
      <c r="G1459" s="81" t="str">
        <f>VLOOKUP("*"&amp;表格1[[#This Row],[Input]]&amp;"*",'Ref-List'!$B:$D,2,)</f>
        <v>MM2-EM20PC(WH)</v>
      </c>
      <c r="H1459" s="81" t="str">
        <f>_xlfn.XLOOKUP(表格1[[#This Row],[Model]],表格3[Model-Input-Ref2],表格3[Product Line])</f>
        <v>輕觸式微波爐 (20公升)</v>
      </c>
      <c r="I1459" s="81" t="str">
        <f>_xlfn.XLOOKUP(表格1[[#This Row],[Model]],表格3[Model-Input-Ref2],表格3[大小電])</f>
        <v>細電</v>
      </c>
      <c r="J1459" s="81" t="str">
        <f>_xlfn.XLOOKUP(表格1[[#This Row],[Model]],表格3[Model-Input-Ref2],表格3[Code])</f>
        <v>MCA</v>
      </c>
      <c r="K1459" s="89" t="s">
        <v>1276</v>
      </c>
      <c r="L1459" s="81">
        <v>1</v>
      </c>
      <c r="M1459" s="87">
        <v>598</v>
      </c>
      <c r="N1459" s="85">
        <f>IFERROR(表格1[[#This Row],[QTY]]*表格1[[#This Row],[Unit Price]],"-")</f>
        <v>598</v>
      </c>
      <c r="O1459" s="86">
        <v>346648</v>
      </c>
      <c r="R1459" s="86" t="str">
        <f>_xlfn.CONCAT(表格1[[#This Row],[Model]]," ",表格1[[#This Row],[inv no]])</f>
        <v>MM2-EM20PC(WH) 346648</v>
      </c>
      <c r="S1459" s="86">
        <f>_xlfn.XLOOKUP(表格1[[#This Row],[Model]],表格3[Model-Input-Ref2],表格3[SRP PRICE])</f>
        <v>788</v>
      </c>
      <c r="T1459" s="43">
        <f>表格1[[#This Row],[Unit Price]]/表格1[[#This Row],[SRP]]</f>
        <v>0.75888324873096447</v>
      </c>
      <c r="U1459" s="86" t="str">
        <f>_xlfn.XLOOKUP(表格1[[#This Row],[Model]],表格3[Model-Input-Ref2],表格3[TOSHIBA/HIGHEST])</f>
        <v>Toshiba SRP</v>
      </c>
      <c r="V1459" s="86" t="s">
        <v>988</v>
      </c>
      <c r="W1459" s="86" t="str">
        <f>_xlfn.CONCAT(表格1[[#This Row],[欄4]],表格1[[#This Row],[inv no]])</f>
        <v>DA140346648</v>
      </c>
    </row>
    <row r="1460" spans="1:23" hidden="1">
      <c r="A1460" s="81">
        <v>1458</v>
      </c>
      <c r="B1460" s="81" t="s">
        <v>1366</v>
      </c>
      <c r="C1460" s="81" t="s">
        <v>1567</v>
      </c>
      <c r="D1460" s="82" t="str">
        <f ca="1">OFFSET(Roster!$A$3,MATCH(表格1[[#This Row],[Location]]&amp;" "&amp;表格1[[#This Row],[Shop]]&amp;"*",Roster!$A$4:$A$72,0),DAY(表格1[[#This Row],[date]]),1,1)</f>
        <v>Kit_1</v>
      </c>
      <c r="E1460" s="81">
        <f>MONTH(表格1[[#This Row],[date]])</f>
        <v>3</v>
      </c>
      <c r="F1460" s="90">
        <v>46092</v>
      </c>
      <c r="G1460" s="81" t="str">
        <f>VLOOKUP("*"&amp;表格1[[#This Row],[Input]]&amp;"*",'Ref-List'!$B:$D,2,)</f>
        <v>RC-DZ4K(N)</v>
      </c>
      <c r="H1460" s="81" t="str">
        <f>_xlfn.XLOOKUP(表格1[[#This Row],[Model]],表格3[Model-Input-Ref2],表格3[Product Line])</f>
        <v>IH磁應電飯煲</v>
      </c>
      <c r="I1460" s="81" t="str">
        <f>_xlfn.XLOOKUP(表格1[[#This Row],[Model]],表格3[Model-Input-Ref2],表格3[大小電])</f>
        <v>細電</v>
      </c>
      <c r="J1460" s="81" t="str">
        <f>_xlfn.XLOOKUP(表格1[[#This Row],[Model]],表格3[Model-Input-Ref2],表格3[Code])</f>
        <v>SDA</v>
      </c>
      <c r="K1460" s="89" t="s">
        <v>1561</v>
      </c>
      <c r="L1460" s="81">
        <v>1</v>
      </c>
      <c r="M1460" s="87">
        <v>3280</v>
      </c>
      <c r="N1460" s="85">
        <f>IFERROR(表格1[[#This Row],[QTY]]*表格1[[#This Row],[Unit Price]],"-")</f>
        <v>3280</v>
      </c>
      <c r="O1460" s="86">
        <v>319056</v>
      </c>
      <c r="R1460" s="86" t="str">
        <f>_xlfn.CONCAT(表格1[[#This Row],[Model]]," ",表格1[[#This Row],[inv no]])</f>
        <v>RC-DZ4K(N) 319056</v>
      </c>
      <c r="S1460" s="86">
        <f>_xlfn.XLOOKUP(表格1[[#This Row],[Model]],表格3[Model-Input-Ref2],表格3[SRP PRICE])</f>
        <v>3888</v>
      </c>
      <c r="T1460" s="43">
        <f>表格1[[#This Row],[Unit Price]]/表格1[[#This Row],[SRP]]</f>
        <v>0.84362139917695478</v>
      </c>
      <c r="U1460" s="86" t="str">
        <f>_xlfn.XLOOKUP(表格1[[#This Row],[Model]],表格3[Model-Input-Ref2],表格3[TOSHIBA/HIGHEST])</f>
        <v>Shops Highest Price</v>
      </c>
      <c r="V1460" s="86" t="s">
        <v>988</v>
      </c>
      <c r="W1460" s="86" t="str">
        <f>_xlfn.CONCAT(表格1[[#This Row],[欄4]],表格1[[#This Row],[inv no]])</f>
        <v>DA140319056</v>
      </c>
    </row>
    <row r="1461" spans="1:23" hidden="1">
      <c r="A1461" s="81">
        <v>1459</v>
      </c>
      <c r="B1461" s="81" t="s">
        <v>1366</v>
      </c>
      <c r="C1461" s="81" t="s">
        <v>1567</v>
      </c>
      <c r="D1461" s="82" t="str">
        <f ca="1">OFFSET(Roster!$A$3,MATCH(表格1[[#This Row],[Location]]&amp;" "&amp;表格1[[#This Row],[Shop]]&amp;"*",Roster!$A$4:$A$72,0),DAY(表格1[[#This Row],[date]]),1,1)</f>
        <v>Kit_1</v>
      </c>
      <c r="E1461" s="81">
        <f>MONTH(表格1[[#This Row],[date]])</f>
        <v>3</v>
      </c>
      <c r="F1461" s="90">
        <v>46092</v>
      </c>
      <c r="G1461" s="81" t="str">
        <f>VLOOKUP("*"&amp;表格1[[#This Row],[Input]]&amp;"*",'Ref-List'!$B:$D,2,)</f>
        <v>KT-17DRTHK(H)</v>
      </c>
      <c r="H1461" s="81" t="str">
        <f>_xlfn.XLOOKUP(表格1[[#This Row],[Model]],表格3[Model-Input-Ref2],表格3[Product Line])</f>
        <v>無線雙層電熱水壺(1.7公升)</v>
      </c>
      <c r="I1461" s="81" t="str">
        <f>_xlfn.XLOOKUP(表格1[[#This Row],[Model]],表格3[Model-Input-Ref2],表格3[大小電])</f>
        <v>細電</v>
      </c>
      <c r="J1461" s="81" t="str">
        <f>_xlfn.XLOOKUP(表格1[[#This Row],[Model]],表格3[Model-Input-Ref2],表格3[Code])</f>
        <v>SDA</v>
      </c>
      <c r="K1461" s="89" t="s">
        <v>1271</v>
      </c>
      <c r="L1461" s="81">
        <v>1</v>
      </c>
      <c r="M1461" s="87">
        <v>388</v>
      </c>
      <c r="N1461" s="85">
        <f>IFERROR(表格1[[#This Row],[QTY]]*表格1[[#This Row],[Unit Price]],"-")</f>
        <v>388</v>
      </c>
      <c r="O1461" s="86">
        <v>346729</v>
      </c>
      <c r="R1461" s="86" t="str">
        <f>_xlfn.CONCAT(表格1[[#This Row],[Model]]," ",表格1[[#This Row],[inv no]])</f>
        <v>KT-17DRTHK(H) 346729</v>
      </c>
      <c r="S1461" s="86">
        <f>_xlfn.XLOOKUP(表格1[[#This Row],[Model]],表格3[Model-Input-Ref2],表格3[SRP PRICE])</f>
        <v>498</v>
      </c>
      <c r="T1461" s="43">
        <f>表格1[[#This Row],[Unit Price]]/表格1[[#This Row],[SRP]]</f>
        <v>0.77911646586345384</v>
      </c>
      <c r="U1461" s="86" t="str">
        <f>_xlfn.XLOOKUP(表格1[[#This Row],[Model]],表格3[Model-Input-Ref2],表格3[TOSHIBA/HIGHEST])</f>
        <v>Toshiba SRP</v>
      </c>
      <c r="V1461" s="86" t="s">
        <v>988</v>
      </c>
      <c r="W1461" s="86" t="str">
        <f>_xlfn.CONCAT(表格1[[#This Row],[欄4]],表格1[[#This Row],[inv no]])</f>
        <v>DA140346729</v>
      </c>
    </row>
    <row r="1462" spans="1:23" hidden="1">
      <c r="A1462" s="81">
        <v>1460</v>
      </c>
      <c r="B1462" s="81" t="s">
        <v>1366</v>
      </c>
      <c r="C1462" s="81" t="s">
        <v>1567</v>
      </c>
      <c r="D1462" s="82" t="str">
        <f ca="1">OFFSET(Roster!$A$3,MATCH(表格1[[#This Row],[Location]]&amp;" "&amp;表格1[[#This Row],[Shop]]&amp;"*",Roster!$A$4:$A$72,0),DAY(表格1[[#This Row],[date]]),1,1)</f>
        <v>Kit_1</v>
      </c>
      <c r="E1462" s="81">
        <f>MONTH(表格1[[#This Row],[date]])</f>
        <v>3</v>
      </c>
      <c r="F1462" s="90">
        <v>46092</v>
      </c>
      <c r="G1462" s="81" t="str">
        <f>VLOOKUP("*"&amp;表格1[[#This Row],[Input]]&amp;"*",'Ref-List'!$B:$D,2,)</f>
        <v>KT-15DRTHK(W)</v>
      </c>
      <c r="H1462" s="81" t="str">
        <f>_xlfn.XLOOKUP(表格1[[#This Row],[Model]],表格3[Model-Input-Ref2],表格3[Product Line])</f>
        <v>無線雙層電熱水壺-附可鎖壺蓋</v>
      </c>
      <c r="I1462" s="81" t="str">
        <f>_xlfn.XLOOKUP(表格1[[#This Row],[Model]],表格3[Model-Input-Ref2],表格3[大小電])</f>
        <v>細電</v>
      </c>
      <c r="J1462" s="81" t="str">
        <f>_xlfn.XLOOKUP(表格1[[#This Row],[Model]],表格3[Model-Input-Ref2],表格3[Code])</f>
        <v>SDA</v>
      </c>
      <c r="K1462" s="89" t="s">
        <v>1278</v>
      </c>
      <c r="L1462" s="81">
        <v>1</v>
      </c>
      <c r="M1462" s="87">
        <v>358</v>
      </c>
      <c r="N1462" s="85">
        <f>IFERROR(表格1[[#This Row],[QTY]]*表格1[[#This Row],[Unit Price]],"-")</f>
        <v>358</v>
      </c>
      <c r="O1462" s="86">
        <v>346738</v>
      </c>
      <c r="R1462" s="86" t="str">
        <f>_xlfn.CONCAT(表格1[[#This Row],[Model]]," ",表格1[[#This Row],[inv no]])</f>
        <v>KT-15DRTHK(W) 346738</v>
      </c>
      <c r="S1462" s="86">
        <f>_xlfn.XLOOKUP(表格1[[#This Row],[Model]],表格3[Model-Input-Ref2],表格3[SRP PRICE])</f>
        <v>598</v>
      </c>
      <c r="T1462" s="43">
        <f>表格1[[#This Row],[Unit Price]]/表格1[[#This Row],[SRP]]</f>
        <v>0.59866220735785958</v>
      </c>
      <c r="U1462" s="86" t="str">
        <f>_xlfn.XLOOKUP(表格1[[#This Row],[Model]],表格3[Model-Input-Ref2],表格3[TOSHIBA/HIGHEST])</f>
        <v>Toshiba SRP</v>
      </c>
      <c r="V1462" s="86" t="s">
        <v>988</v>
      </c>
      <c r="W1462" s="86" t="str">
        <f>_xlfn.CONCAT(表格1[[#This Row],[欄4]],表格1[[#This Row],[inv no]])</f>
        <v>DA140346738</v>
      </c>
    </row>
    <row r="1463" spans="1:23" hidden="1">
      <c r="A1463" s="81">
        <v>1461</v>
      </c>
      <c r="B1463" s="81" t="s">
        <v>1366</v>
      </c>
      <c r="C1463" s="81" t="s">
        <v>1567</v>
      </c>
      <c r="D1463" s="82" t="str">
        <f ca="1">OFFSET(Roster!$A$3,MATCH(表格1[[#This Row],[Location]]&amp;" "&amp;表格1[[#This Row],[Shop]]&amp;"*",Roster!$A$4:$A$72,0),DAY(表格1[[#This Row],[date]]),1,1)</f>
        <v>Kit_1</v>
      </c>
      <c r="E1463" s="81">
        <f>MONTH(表格1[[#This Row],[date]])</f>
        <v>3</v>
      </c>
      <c r="F1463" s="90">
        <v>46092</v>
      </c>
      <c r="G1463" s="81" t="str">
        <f>VLOOKUP("*"&amp;表格1[[#This Row],[Input]]&amp;"*",'Ref-List'!$B:$D,2,)</f>
        <v>RC-10AMXH(W)</v>
      </c>
      <c r="H1463" s="81" t="str">
        <f>_xlfn.XLOOKUP(表格1[[#This Row],[Model]],表格3[Model-Input-Ref2],表格3[Product Line])</f>
        <v>酵活炊電飯煲(1.0公升)</v>
      </c>
      <c r="I1463" s="81" t="str">
        <f>_xlfn.XLOOKUP(表格1[[#This Row],[Model]],表格3[Model-Input-Ref2],表格3[大小電])</f>
        <v>細電</v>
      </c>
      <c r="J1463" s="81" t="str">
        <f>_xlfn.XLOOKUP(表格1[[#This Row],[Model]],表格3[Model-Input-Ref2],表格3[Code])</f>
        <v>SDA</v>
      </c>
      <c r="K1463" s="89" t="s">
        <v>1279</v>
      </c>
      <c r="L1463" s="81">
        <v>1</v>
      </c>
      <c r="M1463" s="87">
        <v>990</v>
      </c>
      <c r="N1463" s="85">
        <f>IFERROR(表格1[[#This Row],[QTY]]*表格1[[#This Row],[Unit Price]],"-")</f>
        <v>990</v>
      </c>
      <c r="O1463" s="86">
        <v>346738</v>
      </c>
      <c r="R1463" s="86" t="str">
        <f>_xlfn.CONCAT(表格1[[#This Row],[Model]]," ",表格1[[#This Row],[inv no]])</f>
        <v>RC-10AMXH(W) 346738</v>
      </c>
      <c r="S1463" s="86">
        <f>_xlfn.XLOOKUP(表格1[[#This Row],[Model]],表格3[Model-Input-Ref2],表格3[SRP PRICE])</f>
        <v>1288</v>
      </c>
      <c r="T1463" s="43">
        <f>表格1[[#This Row],[Unit Price]]/表格1[[#This Row],[SRP]]</f>
        <v>0.76863354037267084</v>
      </c>
      <c r="U1463" s="86" t="str">
        <f>_xlfn.XLOOKUP(表格1[[#This Row],[Model]],表格3[Model-Input-Ref2],表格3[TOSHIBA/HIGHEST])</f>
        <v>Toshiba SRP</v>
      </c>
      <c r="V1463" s="86" t="s">
        <v>988</v>
      </c>
      <c r="W1463" s="86" t="str">
        <f>_xlfn.CONCAT(表格1[[#This Row],[欄4]],表格1[[#This Row],[inv no]])</f>
        <v>DA140346738</v>
      </c>
    </row>
    <row r="1464" spans="1:23" hidden="1">
      <c r="A1464" s="81">
        <v>1462</v>
      </c>
      <c r="B1464" s="81" t="s">
        <v>1366</v>
      </c>
      <c r="C1464" s="81" t="s">
        <v>1567</v>
      </c>
      <c r="D1464" s="82" t="str">
        <f ca="1">OFFSET(Roster!$A$3,MATCH(表格1[[#This Row],[Location]]&amp;" "&amp;表格1[[#This Row],[Shop]]&amp;"*",Roster!$A$4:$A$72,0),DAY(表格1[[#This Row],[date]]),1,1)</f>
        <v>Kit_1</v>
      </c>
      <c r="E1464" s="81">
        <f>MONTH(表格1[[#This Row],[date]])</f>
        <v>3</v>
      </c>
      <c r="F1464" s="90">
        <v>46092</v>
      </c>
      <c r="G1464" s="81" t="str">
        <f>VLOOKUP("*"&amp;表格1[[#This Row],[Input]]&amp;"*",'Ref-List'!$B:$D,2,)</f>
        <v>RAD-D300H</v>
      </c>
      <c r="H1464" s="81" t="str">
        <f>_xlfn.XLOOKUP(表格1[[#This Row],[Model]],表格3[Model-Input-Ref2],表格3[Product Line])</f>
        <v>壓縮式抽濕機 (30公升)</v>
      </c>
      <c r="I1464" s="81" t="str">
        <f>_xlfn.XLOOKUP(表格1[[#This Row],[Model]],表格3[Model-Input-Ref2],表格3[大小電])</f>
        <v>細電</v>
      </c>
      <c r="J1464" s="81" t="str">
        <f>_xlfn.XLOOKUP(表格1[[#This Row],[Model]],表格3[Model-Input-Ref2],表格3[Code])</f>
        <v>RAC</v>
      </c>
      <c r="K1464" s="89" t="s">
        <v>1252</v>
      </c>
      <c r="L1464" s="81">
        <v>1</v>
      </c>
      <c r="M1464" s="87">
        <v>2280</v>
      </c>
      <c r="N1464" s="85">
        <f>IFERROR(表格1[[#This Row],[QTY]]*表格1[[#This Row],[Unit Price]],"-")</f>
        <v>2280</v>
      </c>
      <c r="O1464" s="142">
        <v>177128</v>
      </c>
      <c r="R1464" s="86" t="str">
        <f>_xlfn.CONCAT(表格1[[#This Row],[Model]]," ",表格1[[#This Row],[inv no]])</f>
        <v>RAD-D300H 177128</v>
      </c>
      <c r="S1464" s="86">
        <f>_xlfn.XLOOKUP(表格1[[#This Row],[Model]],表格3[Model-Input-Ref2],表格3[SRP PRICE])</f>
        <v>3380</v>
      </c>
      <c r="T1464" s="43">
        <f>表格1[[#This Row],[Unit Price]]/表格1[[#This Row],[SRP]]</f>
        <v>0.67455621301775148</v>
      </c>
      <c r="U1464" s="86" t="str">
        <f>_xlfn.XLOOKUP(表格1[[#This Row],[Model]],表格3[Model-Input-Ref2],表格3[TOSHIBA/HIGHEST])</f>
        <v>Shops Highest Price</v>
      </c>
      <c r="V1464" s="86" t="s">
        <v>988</v>
      </c>
      <c r="W1464" s="86" t="str">
        <f>_xlfn.CONCAT(表格1[[#This Row],[欄4]],表格1[[#This Row],[inv no]])</f>
        <v>DA140177128</v>
      </c>
    </row>
    <row r="1465" spans="1:23" hidden="1">
      <c r="A1465" s="81">
        <v>1463</v>
      </c>
      <c r="B1465" s="81" t="s">
        <v>1366</v>
      </c>
      <c r="C1465" s="81" t="s">
        <v>1567</v>
      </c>
      <c r="D1465" s="82" t="str">
        <f ca="1">OFFSET(Roster!$A$3,MATCH(表格1[[#This Row],[Location]]&amp;" "&amp;表格1[[#This Row],[Shop]]&amp;"*",Roster!$A$4:$A$72,0),DAY(表格1[[#This Row],[date]]),1,1)</f>
        <v>Kit_1</v>
      </c>
      <c r="E1465" s="81">
        <f>MONTH(表格1[[#This Row],[date]])</f>
        <v>3</v>
      </c>
      <c r="F1465" s="90">
        <v>46092</v>
      </c>
      <c r="G1465" s="81" t="str">
        <f>VLOOKUP("*"&amp;表格1[[#This Row],[Input]]&amp;"*",'Ref-List'!$B:$D,2,)</f>
        <v>KT-17SHNH</v>
      </c>
      <c r="H1465" s="81" t="str">
        <f>_xlfn.XLOOKUP(表格1[[#This Row],[Model]],表格3[Model-Input-Ref2],表格3[Product Line])</f>
        <v>1.7L無線雙層電熱水壺</v>
      </c>
      <c r="I1465" s="81" t="str">
        <f>_xlfn.XLOOKUP(表格1[[#This Row],[Model]],表格3[Model-Input-Ref2],表格3[大小電])</f>
        <v>細電</v>
      </c>
      <c r="J1465" s="81" t="str">
        <f>_xlfn.XLOOKUP(表格1[[#This Row],[Model]],表格3[Model-Input-Ref2],表格3[Code])</f>
        <v>SDA</v>
      </c>
      <c r="K1465" s="89" t="s">
        <v>1283</v>
      </c>
      <c r="L1465" s="81">
        <v>1</v>
      </c>
      <c r="M1465" s="87">
        <v>198</v>
      </c>
      <c r="N1465" s="85">
        <f>IFERROR(表格1[[#This Row],[QTY]]*表格1[[#This Row],[Unit Price]],"-")</f>
        <v>198</v>
      </c>
      <c r="O1465" s="86">
        <v>346862</v>
      </c>
      <c r="R1465" s="86" t="str">
        <f>_xlfn.CONCAT(表格1[[#This Row],[Model]]," ",表格1[[#This Row],[inv no]])</f>
        <v>KT-17SHNH 346862</v>
      </c>
      <c r="S1465" s="86">
        <f>_xlfn.XLOOKUP(表格1[[#This Row],[Model]],表格3[Model-Input-Ref2],表格3[SRP PRICE])</f>
        <v>299</v>
      </c>
      <c r="T1465" s="43">
        <f>表格1[[#This Row],[Unit Price]]/表格1[[#This Row],[SRP]]</f>
        <v>0.66220735785953178</v>
      </c>
      <c r="U1465" s="86" t="str">
        <f>_xlfn.XLOOKUP(表格1[[#This Row],[Model]],表格3[Model-Input-Ref2],表格3[TOSHIBA/HIGHEST])</f>
        <v>Shops Highest Price</v>
      </c>
      <c r="V1465" s="86" t="s">
        <v>988</v>
      </c>
      <c r="W1465" s="86" t="str">
        <f>_xlfn.CONCAT(表格1[[#This Row],[欄4]],表格1[[#This Row],[inv no]])</f>
        <v>DA140346862</v>
      </c>
    </row>
    <row r="1466" spans="1:23" hidden="1">
      <c r="A1466" s="81">
        <v>1464</v>
      </c>
      <c r="B1466" s="81" t="s">
        <v>1366</v>
      </c>
      <c r="C1466" s="81" t="s">
        <v>1567</v>
      </c>
      <c r="D1466" s="82" t="str">
        <f ca="1">OFFSET(Roster!$A$3,MATCH(表格1[[#This Row],[Location]]&amp;" "&amp;表格1[[#This Row],[Shop]]&amp;"*",Roster!$A$4:$A$72,0),DAY(表格1[[#This Row],[date]]),1,1)</f>
        <v>Kit_1</v>
      </c>
      <c r="E1466" s="81">
        <f>MONTH(表格1[[#This Row],[date]])</f>
        <v>3</v>
      </c>
      <c r="F1466" s="90">
        <v>46092</v>
      </c>
      <c r="G1466" s="81" t="str">
        <f>VLOOKUP("*"&amp;表格1[[#This Row],[Input]]&amp;"*",'Ref-List'!$B:$D,2,)</f>
        <v>RC-7HMH</v>
      </c>
      <c r="H1466" s="81" t="str">
        <f>_xlfn.XLOOKUP(表格1[[#This Row],[Model]],表格3[Model-Input-Ref2],表格3[Product Line])</f>
        <v>備長炭本厚釜電飯煲0.7L</v>
      </c>
      <c r="I1466" s="81" t="str">
        <f>_xlfn.XLOOKUP(表格1[[#This Row],[Model]],表格3[Model-Input-Ref2],表格3[大小電])</f>
        <v>細電</v>
      </c>
      <c r="J1466" s="81" t="str">
        <f>_xlfn.XLOOKUP(表格1[[#This Row],[Model]],表格3[Model-Input-Ref2],表格3[Code])</f>
        <v>SDA</v>
      </c>
      <c r="K1466" s="89" t="s">
        <v>1284</v>
      </c>
      <c r="L1466" s="81">
        <v>1</v>
      </c>
      <c r="M1466" s="87">
        <v>838</v>
      </c>
      <c r="N1466" s="85">
        <f>IFERROR(表格1[[#This Row],[QTY]]*表格1[[#This Row],[Unit Price]],"-")</f>
        <v>838</v>
      </c>
      <c r="O1466" s="86">
        <v>528310</v>
      </c>
      <c r="R1466" s="86" t="str">
        <f>_xlfn.CONCAT(表格1[[#This Row],[Model]]," ",表格1[[#This Row],[inv no]])</f>
        <v>RC-7HMH 528310</v>
      </c>
      <c r="S1466" s="86">
        <f>_xlfn.XLOOKUP(表格1[[#This Row],[Model]],表格3[Model-Input-Ref2],表格3[SRP PRICE])</f>
        <v>1288</v>
      </c>
      <c r="T1466" s="43">
        <f>表格1[[#This Row],[Unit Price]]/表格1[[#This Row],[SRP]]</f>
        <v>0.65062111801242239</v>
      </c>
      <c r="U1466" s="86" t="str">
        <f>_xlfn.XLOOKUP(表格1[[#This Row],[Model]],表格3[Model-Input-Ref2],表格3[TOSHIBA/HIGHEST])</f>
        <v>Toshiba SRP</v>
      </c>
      <c r="V1466" s="86" t="s">
        <v>988</v>
      </c>
      <c r="W1466" s="86" t="str">
        <f>_xlfn.CONCAT(表格1[[#This Row],[欄4]],表格1[[#This Row],[inv no]])</f>
        <v>DA140528310</v>
      </c>
    </row>
    <row r="1467" spans="1:23" hidden="1">
      <c r="A1467" s="81">
        <v>1465</v>
      </c>
      <c r="B1467" s="81" t="s">
        <v>1366</v>
      </c>
      <c r="C1467" s="81" t="s">
        <v>1567</v>
      </c>
      <c r="D1467" s="82" t="str">
        <f ca="1">OFFSET(Roster!$A$3,MATCH(表格1[[#This Row],[Location]]&amp;" "&amp;表格1[[#This Row],[Shop]]&amp;"*",Roster!$A$4:$A$72,0),DAY(表格1[[#This Row],[date]]),1,1)</f>
        <v>Kit_1</v>
      </c>
      <c r="E1467" s="81">
        <f>MONTH(表格1[[#This Row],[date]])</f>
        <v>3</v>
      </c>
      <c r="F1467" s="90">
        <v>46092</v>
      </c>
      <c r="G1467" s="81" t="str">
        <f>VLOOKUP("*"&amp;表格1[[#This Row],[Input]]&amp;"*",'Ref-List'!$B:$D,2,)</f>
        <v>AW-Q901BPH(WW)</v>
      </c>
      <c r="H1467" s="81" t="str">
        <f>_xlfn.XLOOKUP(表格1[[#This Row],[Model]],表格3[Model-Input-Ref2],表格3[Product Line])</f>
        <v>日式洗衣機 (8公斤 結合高低水位)</v>
      </c>
      <c r="I1467" s="81" t="str">
        <f>_xlfn.XLOOKUP(表格1[[#This Row],[Model]],表格3[Model-Input-Ref2],表格3[大小電])</f>
        <v>大電</v>
      </c>
      <c r="J1467" s="81" t="str">
        <f>_xlfn.XLOOKUP(表格1[[#This Row],[Model]],表格3[Model-Input-Ref2],表格3[Code])</f>
        <v>LAD</v>
      </c>
      <c r="K1467" s="89" t="s">
        <v>1411</v>
      </c>
      <c r="L1467" s="81">
        <v>1</v>
      </c>
      <c r="M1467" s="87">
        <v>2280</v>
      </c>
      <c r="N1467" s="85">
        <f>IFERROR(表格1[[#This Row],[QTY]]*表格1[[#This Row],[Unit Price]],"-")</f>
        <v>2280</v>
      </c>
      <c r="O1467" s="86">
        <v>346887</v>
      </c>
      <c r="R1467" s="86" t="str">
        <f>_xlfn.CONCAT(表格1[[#This Row],[Model]]," ",表格1[[#This Row],[inv no]])</f>
        <v>AW-Q901BPH(WW) 346887</v>
      </c>
      <c r="S1467" s="86">
        <f>_xlfn.XLOOKUP(表格1[[#This Row],[Model]],表格3[Model-Input-Ref2],表格3[SRP PRICE])</f>
        <v>3780</v>
      </c>
      <c r="T1467" s="43">
        <f>表格1[[#This Row],[Unit Price]]/表格1[[#This Row],[SRP]]</f>
        <v>0.60317460317460314</v>
      </c>
      <c r="U1467" s="86" t="str">
        <f>_xlfn.XLOOKUP(表格1[[#This Row],[Model]],表格3[Model-Input-Ref2],表格3[TOSHIBA/HIGHEST])</f>
        <v>Toshiba SRP</v>
      </c>
      <c r="V1467" s="86" t="s">
        <v>988</v>
      </c>
      <c r="W1467" s="86" t="str">
        <f>_xlfn.CONCAT(表格1[[#This Row],[欄4]],表格1[[#This Row],[inv no]])</f>
        <v>DA140346887</v>
      </c>
    </row>
    <row r="1468" spans="1:23" hidden="1">
      <c r="A1468" s="81">
        <v>1466</v>
      </c>
      <c r="B1468" s="81" t="s">
        <v>1366</v>
      </c>
      <c r="C1468" s="81" t="s">
        <v>1567</v>
      </c>
      <c r="D1468" s="82" t="str">
        <f ca="1">OFFSET(Roster!$A$3,MATCH(表格1[[#This Row],[Location]]&amp;" "&amp;表格1[[#This Row],[Shop]]&amp;"*",Roster!$A$4:$A$72,0),DAY(表格1[[#This Row],[date]]),1,1)</f>
        <v>Kit_1</v>
      </c>
      <c r="E1468" s="81">
        <f>MONTH(表格1[[#This Row],[date]])</f>
        <v>3</v>
      </c>
      <c r="F1468" s="90">
        <v>46093</v>
      </c>
      <c r="G1468" s="81" t="str">
        <f>VLOOKUP("*"&amp;表格1[[#This Row],[Input]]&amp;"*",'Ref-List'!$B:$D,2,)</f>
        <v>KT-15DRTHK(W)</v>
      </c>
      <c r="H1468" s="81" t="str">
        <f>_xlfn.XLOOKUP(表格1[[#This Row],[Model]],表格3[Model-Input-Ref2],表格3[Product Line])</f>
        <v>無線雙層電熱水壺-附可鎖壺蓋</v>
      </c>
      <c r="I1468" s="81" t="str">
        <f>_xlfn.XLOOKUP(表格1[[#This Row],[Model]],表格3[Model-Input-Ref2],表格3[大小電])</f>
        <v>細電</v>
      </c>
      <c r="J1468" s="81" t="str">
        <f>_xlfn.XLOOKUP(表格1[[#This Row],[Model]],表格3[Model-Input-Ref2],表格3[Code])</f>
        <v>SDA</v>
      </c>
      <c r="K1468" s="89" t="s">
        <v>1278</v>
      </c>
      <c r="L1468" s="81">
        <v>1</v>
      </c>
      <c r="M1468" s="87">
        <v>358</v>
      </c>
      <c r="N1468" s="85">
        <f>IFERROR(表格1[[#This Row],[QTY]]*表格1[[#This Row],[Unit Price]],"-")</f>
        <v>358</v>
      </c>
      <c r="O1468" s="86">
        <v>528499</v>
      </c>
      <c r="R1468" s="86" t="str">
        <f>_xlfn.CONCAT(表格1[[#This Row],[Model]]," ",表格1[[#This Row],[inv no]])</f>
        <v>KT-15DRTHK(W) 528499</v>
      </c>
      <c r="S1468" s="86">
        <f>_xlfn.XLOOKUP(表格1[[#This Row],[Model]],表格3[Model-Input-Ref2],表格3[SRP PRICE])</f>
        <v>598</v>
      </c>
      <c r="T1468" s="43">
        <f>表格1[[#This Row],[Unit Price]]/表格1[[#This Row],[SRP]]</f>
        <v>0.59866220735785958</v>
      </c>
      <c r="U1468" s="86" t="str">
        <f>_xlfn.XLOOKUP(表格1[[#This Row],[Model]],表格3[Model-Input-Ref2],表格3[TOSHIBA/HIGHEST])</f>
        <v>Toshiba SRP</v>
      </c>
      <c r="V1468" s="86" t="s">
        <v>988</v>
      </c>
      <c r="W1468" s="86" t="str">
        <f>_xlfn.CONCAT(表格1[[#This Row],[欄4]],表格1[[#This Row],[inv no]])</f>
        <v>DA140528499</v>
      </c>
    </row>
    <row r="1469" spans="1:23" hidden="1">
      <c r="A1469" s="81">
        <v>1467</v>
      </c>
      <c r="B1469" s="81" t="s">
        <v>1366</v>
      </c>
      <c r="C1469" s="81" t="s">
        <v>1567</v>
      </c>
      <c r="D1469" s="82" t="str">
        <f ca="1">OFFSET(Roster!$A$3,MATCH(表格1[[#This Row],[Location]]&amp;" "&amp;表格1[[#This Row],[Shop]]&amp;"*",Roster!$A$4:$A$72,0),DAY(表格1[[#This Row],[date]]),1,1)</f>
        <v>Kit_1</v>
      </c>
      <c r="E1469" s="81">
        <f>MONTH(表格1[[#This Row],[date]])</f>
        <v>3</v>
      </c>
      <c r="F1469" s="90">
        <v>46093</v>
      </c>
      <c r="G1469" s="81" t="str">
        <f>VLOOKUP("*"&amp;表格1[[#This Row],[Input]]&amp;"*",'Ref-List'!$B:$D,2,)</f>
        <v>RC-10AMXH(W)</v>
      </c>
      <c r="H1469" s="81" t="str">
        <f>_xlfn.XLOOKUP(表格1[[#This Row],[Model]],表格3[Model-Input-Ref2],表格3[Product Line])</f>
        <v>酵活炊電飯煲(1.0公升)</v>
      </c>
      <c r="I1469" s="81" t="str">
        <f>_xlfn.XLOOKUP(表格1[[#This Row],[Model]],表格3[Model-Input-Ref2],表格3[大小電])</f>
        <v>細電</v>
      </c>
      <c r="J1469" s="81" t="str">
        <f>_xlfn.XLOOKUP(表格1[[#This Row],[Model]],表格3[Model-Input-Ref2],表格3[Code])</f>
        <v>SDA</v>
      </c>
      <c r="K1469" s="89" t="s">
        <v>1279</v>
      </c>
      <c r="L1469" s="81">
        <v>1</v>
      </c>
      <c r="M1469" s="87">
        <v>990</v>
      </c>
      <c r="N1469" s="85">
        <f>IFERROR(表格1[[#This Row],[QTY]]*表格1[[#This Row],[Unit Price]],"-")</f>
        <v>990</v>
      </c>
      <c r="O1469" s="86">
        <v>528499</v>
      </c>
      <c r="R1469" s="86" t="str">
        <f>_xlfn.CONCAT(表格1[[#This Row],[Model]]," ",表格1[[#This Row],[inv no]])</f>
        <v>RC-10AMXH(W) 528499</v>
      </c>
      <c r="S1469" s="86">
        <f>_xlfn.XLOOKUP(表格1[[#This Row],[Model]],表格3[Model-Input-Ref2],表格3[SRP PRICE])</f>
        <v>1288</v>
      </c>
      <c r="T1469" s="43">
        <f>表格1[[#This Row],[Unit Price]]/表格1[[#This Row],[SRP]]</f>
        <v>0.76863354037267084</v>
      </c>
      <c r="U1469" s="86" t="str">
        <f>_xlfn.XLOOKUP(表格1[[#This Row],[Model]],表格3[Model-Input-Ref2],表格3[TOSHIBA/HIGHEST])</f>
        <v>Toshiba SRP</v>
      </c>
      <c r="V1469" s="86" t="s">
        <v>988</v>
      </c>
      <c r="W1469" s="86" t="str">
        <f>_xlfn.CONCAT(表格1[[#This Row],[欄4]],表格1[[#This Row],[inv no]])</f>
        <v>DA140528499</v>
      </c>
    </row>
    <row r="1470" spans="1:23" hidden="1">
      <c r="A1470" s="81">
        <v>1468</v>
      </c>
      <c r="B1470" s="81" t="s">
        <v>1366</v>
      </c>
      <c r="C1470" s="81" t="s">
        <v>1567</v>
      </c>
      <c r="D1470" s="82" t="str">
        <f ca="1">OFFSET(Roster!$A$3,MATCH(表格1[[#This Row],[Location]]&amp;" "&amp;表格1[[#This Row],[Shop]]&amp;"*",Roster!$A$4:$A$72,0),DAY(表格1[[#This Row],[date]]),1,1)</f>
        <v>Kit_1</v>
      </c>
      <c r="E1470" s="81">
        <f>MONTH(表格1[[#This Row],[date]])</f>
        <v>3</v>
      </c>
      <c r="F1470" s="90">
        <v>46093</v>
      </c>
      <c r="G1470" s="81" t="str">
        <f>VLOOKUP("*"&amp;表格1[[#This Row],[Input]]&amp;"*",'Ref-List'!$B:$D,2,)</f>
        <v>RC-18AMXH(W)</v>
      </c>
      <c r="H1470" s="81" t="str">
        <f>_xlfn.XLOOKUP(表格1[[#This Row],[Model]],表格3[Model-Input-Ref2],表格3[Product Line])</f>
        <v>酵活炊電飯煲(1.8公升)</v>
      </c>
      <c r="I1470" s="81" t="str">
        <f>_xlfn.XLOOKUP(表格1[[#This Row],[Model]],表格3[Model-Input-Ref2],表格3[大小電])</f>
        <v>細電</v>
      </c>
      <c r="J1470" s="81" t="str">
        <f>_xlfn.XLOOKUP(表格1[[#This Row],[Model]],表格3[Model-Input-Ref2],表格3[Code])</f>
        <v>SDA</v>
      </c>
      <c r="K1470" s="89" t="s">
        <v>1362</v>
      </c>
      <c r="L1470" s="81">
        <v>1</v>
      </c>
      <c r="M1470" s="87">
        <v>990</v>
      </c>
      <c r="N1470" s="85">
        <f>IFERROR(表格1[[#This Row],[QTY]]*表格1[[#This Row],[Unit Price]],"-")</f>
        <v>990</v>
      </c>
      <c r="O1470" s="142">
        <v>346932</v>
      </c>
      <c r="R1470" s="86" t="str">
        <f>_xlfn.CONCAT(表格1[[#This Row],[Model]]," ",表格1[[#This Row],[inv no]])</f>
        <v>RC-18AMXH(W) 346932</v>
      </c>
      <c r="S1470" s="86">
        <f>_xlfn.XLOOKUP(表格1[[#This Row],[Model]],表格3[Model-Input-Ref2],表格3[SRP PRICE])</f>
        <v>1588</v>
      </c>
      <c r="T1470" s="43">
        <f>表格1[[#This Row],[Unit Price]]/表格1[[#This Row],[SRP]]</f>
        <v>0.62342569269521408</v>
      </c>
      <c r="U1470" s="86" t="str">
        <f>_xlfn.XLOOKUP(表格1[[#This Row],[Model]],表格3[Model-Input-Ref2],表格3[TOSHIBA/HIGHEST])</f>
        <v>Toshiba SRP</v>
      </c>
      <c r="V1470" s="86" t="s">
        <v>988</v>
      </c>
      <c r="W1470" s="86" t="str">
        <f>_xlfn.CONCAT(表格1[[#This Row],[欄4]],表格1[[#This Row],[inv no]])</f>
        <v>DA140346932</v>
      </c>
    </row>
    <row r="1471" spans="1:23" hidden="1">
      <c r="A1471" s="81">
        <v>1469</v>
      </c>
      <c r="B1471" s="81" t="s">
        <v>1366</v>
      </c>
      <c r="C1471" s="81" t="s">
        <v>1567</v>
      </c>
      <c r="D1471" s="82" t="str">
        <f ca="1">OFFSET(Roster!$A$3,MATCH(表格1[[#This Row],[Location]]&amp;" "&amp;表格1[[#This Row],[Shop]]&amp;"*",Roster!$A$4:$A$72,0),DAY(表格1[[#This Row],[date]]),1,1)</f>
        <v>Kit_1</v>
      </c>
      <c r="E1471" s="81">
        <f>MONTH(表格1[[#This Row],[date]])</f>
        <v>3</v>
      </c>
      <c r="F1471" s="90">
        <v>46093</v>
      </c>
      <c r="G1471" s="81" t="str">
        <f>VLOOKUP("*"&amp;表格1[[#This Row],[Input]]&amp;"*",'Ref-List'!$B:$D,2,)</f>
        <v>RC-18NMFIH(WT)</v>
      </c>
      <c r="H1471" s="81" t="str">
        <f>_xlfn.XLOOKUP(表格1[[#This Row],[Model]],表格3[Model-Input-Ref2],表格3[Product Line])</f>
        <v>4毫米厚釜電飯煲1.8L</v>
      </c>
      <c r="I1471" s="81" t="str">
        <f>_xlfn.XLOOKUP(表格1[[#This Row],[Model]],表格3[Model-Input-Ref2],表格3[大小電])</f>
        <v>細電</v>
      </c>
      <c r="J1471" s="81" t="str">
        <f>_xlfn.XLOOKUP(表格1[[#This Row],[Model]],表格3[Model-Input-Ref2],表格3[Code])</f>
        <v>SDA</v>
      </c>
      <c r="K1471" s="89" t="s">
        <v>1267</v>
      </c>
      <c r="L1471" s="81">
        <v>1</v>
      </c>
      <c r="M1471" s="87">
        <v>799</v>
      </c>
      <c r="N1471" s="85">
        <f>IFERROR(表格1[[#This Row],[QTY]]*表格1[[#This Row],[Unit Price]],"-")</f>
        <v>799</v>
      </c>
      <c r="O1471" s="86">
        <v>319194</v>
      </c>
      <c r="R1471" s="86" t="str">
        <f>_xlfn.CONCAT(表格1[[#This Row],[Model]]," ",表格1[[#This Row],[inv no]])</f>
        <v>RC-18NMFIH(WT) 319194</v>
      </c>
      <c r="S1471" s="86">
        <f>_xlfn.XLOOKUP(表格1[[#This Row],[Model]],表格3[Model-Input-Ref2],表格3[SRP PRICE])</f>
        <v>998</v>
      </c>
      <c r="T1471" s="43">
        <f>表格1[[#This Row],[Unit Price]]/表格1[[#This Row],[SRP]]</f>
        <v>0.80060120240480959</v>
      </c>
      <c r="U1471" s="86" t="str">
        <f>_xlfn.XLOOKUP(表格1[[#This Row],[Model]],表格3[Model-Input-Ref2],表格3[TOSHIBA/HIGHEST])</f>
        <v>Toshiba SRP</v>
      </c>
      <c r="V1471" s="86" t="s">
        <v>988</v>
      </c>
      <c r="W1471" s="86" t="str">
        <f>_xlfn.CONCAT(表格1[[#This Row],[欄4]],表格1[[#This Row],[inv no]])</f>
        <v>DA140319194</v>
      </c>
    </row>
    <row r="1472" spans="1:23" hidden="1">
      <c r="A1472" s="81">
        <v>1470</v>
      </c>
      <c r="B1472" s="81" t="s">
        <v>1366</v>
      </c>
      <c r="C1472" s="81" t="s">
        <v>1567</v>
      </c>
      <c r="D1472" s="82" t="str">
        <f ca="1">OFFSET(Roster!$A$3,MATCH(表格1[[#This Row],[Location]]&amp;" "&amp;表格1[[#This Row],[Shop]]&amp;"*",Roster!$A$4:$A$72,0),DAY(表格1[[#This Row],[date]]),1,1)</f>
        <v>Kit_1</v>
      </c>
      <c r="E1472" s="81">
        <f>MONTH(表格1[[#This Row],[date]])</f>
        <v>3</v>
      </c>
      <c r="F1472" s="90">
        <v>46093</v>
      </c>
      <c r="G1472" s="81" t="str">
        <f>VLOOKUP("*"&amp;表格1[[#This Row],[Input]]&amp;"*",'Ref-List'!$B:$D,2,)</f>
        <v>RC-10AMXH(W)</v>
      </c>
      <c r="H1472" s="81" t="str">
        <f>_xlfn.XLOOKUP(表格1[[#This Row],[Model]],表格3[Model-Input-Ref2],表格3[Product Line])</f>
        <v>酵活炊電飯煲(1.0公升)</v>
      </c>
      <c r="I1472" s="81" t="str">
        <f>_xlfn.XLOOKUP(表格1[[#This Row],[Model]],表格3[Model-Input-Ref2],表格3[大小電])</f>
        <v>細電</v>
      </c>
      <c r="J1472" s="81" t="str">
        <f>_xlfn.XLOOKUP(表格1[[#This Row],[Model]],表格3[Model-Input-Ref2],表格3[Code])</f>
        <v>SDA</v>
      </c>
      <c r="K1472" s="89" t="s">
        <v>1279</v>
      </c>
      <c r="L1472" s="81">
        <v>1</v>
      </c>
      <c r="M1472" s="87">
        <v>990</v>
      </c>
      <c r="N1472" s="85">
        <f>IFERROR(表格1[[#This Row],[QTY]]*表格1[[#This Row],[Unit Price]],"-")</f>
        <v>990</v>
      </c>
      <c r="O1472" s="86">
        <v>319257</v>
      </c>
      <c r="R1472" s="86" t="str">
        <f>_xlfn.CONCAT(表格1[[#This Row],[Model]]," ",表格1[[#This Row],[inv no]])</f>
        <v>RC-10AMXH(W) 319257</v>
      </c>
      <c r="S1472" s="86">
        <f>_xlfn.XLOOKUP(表格1[[#This Row],[Model]],表格3[Model-Input-Ref2],表格3[SRP PRICE])</f>
        <v>1288</v>
      </c>
      <c r="T1472" s="43">
        <f>表格1[[#This Row],[Unit Price]]/表格1[[#This Row],[SRP]]</f>
        <v>0.76863354037267084</v>
      </c>
      <c r="U1472" s="86" t="str">
        <f>_xlfn.XLOOKUP(表格1[[#This Row],[Model]],表格3[Model-Input-Ref2],表格3[TOSHIBA/HIGHEST])</f>
        <v>Toshiba SRP</v>
      </c>
      <c r="V1472" s="86" t="s">
        <v>988</v>
      </c>
      <c r="W1472" s="86" t="str">
        <f>_xlfn.CONCAT(表格1[[#This Row],[欄4]],表格1[[#This Row],[inv no]])</f>
        <v>DA140319257</v>
      </c>
    </row>
    <row r="1473" spans="1:23" hidden="1">
      <c r="A1473" s="81">
        <v>1471</v>
      </c>
      <c r="B1473" s="81" t="s">
        <v>1366</v>
      </c>
      <c r="C1473" s="81" t="s">
        <v>1567</v>
      </c>
      <c r="D1473" s="82" t="str">
        <f ca="1">OFFSET(Roster!$A$3,MATCH(表格1[[#This Row],[Location]]&amp;" "&amp;表格1[[#This Row],[Shop]]&amp;"*",Roster!$A$4:$A$72,0),DAY(表格1[[#This Row],[date]]),1,1)</f>
        <v>Kit_1</v>
      </c>
      <c r="E1473" s="81">
        <f>MONTH(表格1[[#This Row],[date]])</f>
        <v>3</v>
      </c>
      <c r="F1473" s="90">
        <v>46093</v>
      </c>
      <c r="G1473" s="81" t="str">
        <f>VLOOKUP("*"&amp;表格1[[#This Row],[Input]]&amp;"*",'Ref-List'!$B:$D,2,)</f>
        <v>RC-7HMH</v>
      </c>
      <c r="H1473" s="81" t="str">
        <f>_xlfn.XLOOKUP(表格1[[#This Row],[Model]],表格3[Model-Input-Ref2],表格3[Product Line])</f>
        <v>備長炭本厚釜電飯煲0.7L</v>
      </c>
      <c r="I1473" s="81" t="str">
        <f>_xlfn.XLOOKUP(表格1[[#This Row],[Model]],表格3[Model-Input-Ref2],表格3[大小電])</f>
        <v>細電</v>
      </c>
      <c r="J1473" s="81" t="str">
        <f>_xlfn.XLOOKUP(表格1[[#This Row],[Model]],表格3[Model-Input-Ref2],表格3[Code])</f>
        <v>SDA</v>
      </c>
      <c r="K1473" s="89" t="s">
        <v>1284</v>
      </c>
      <c r="L1473" s="81">
        <v>1</v>
      </c>
      <c r="M1473" s="87">
        <v>838</v>
      </c>
      <c r="N1473" s="85">
        <f>IFERROR(表格1[[#This Row],[QTY]]*表格1[[#This Row],[Unit Price]],"-")</f>
        <v>838</v>
      </c>
      <c r="O1473" s="86">
        <v>319272</v>
      </c>
      <c r="R1473" s="86" t="str">
        <f>_xlfn.CONCAT(表格1[[#This Row],[Model]]," ",表格1[[#This Row],[inv no]])</f>
        <v>RC-7HMH 319272</v>
      </c>
      <c r="S1473" s="86">
        <f>_xlfn.XLOOKUP(表格1[[#This Row],[Model]],表格3[Model-Input-Ref2],表格3[SRP PRICE])</f>
        <v>1288</v>
      </c>
      <c r="T1473" s="43">
        <f>表格1[[#This Row],[Unit Price]]/表格1[[#This Row],[SRP]]</f>
        <v>0.65062111801242239</v>
      </c>
      <c r="U1473" s="86" t="str">
        <f>_xlfn.XLOOKUP(表格1[[#This Row],[Model]],表格3[Model-Input-Ref2],表格3[TOSHIBA/HIGHEST])</f>
        <v>Toshiba SRP</v>
      </c>
      <c r="V1473" s="86" t="s">
        <v>988</v>
      </c>
      <c r="W1473" s="86" t="str">
        <f>_xlfn.CONCAT(表格1[[#This Row],[欄4]],表格1[[#This Row],[inv no]])</f>
        <v>DA140319272</v>
      </c>
    </row>
    <row r="1474" spans="1:23" hidden="1">
      <c r="A1474" s="81">
        <v>1472</v>
      </c>
      <c r="B1474" s="81" t="s">
        <v>1366</v>
      </c>
      <c r="C1474" s="81" t="s">
        <v>1567</v>
      </c>
      <c r="D1474" s="82" t="str">
        <f ca="1">OFFSET(Roster!$A$3,MATCH(表格1[[#This Row],[Location]]&amp;" "&amp;表格1[[#This Row],[Shop]]&amp;"*",Roster!$A$4:$A$72,0),DAY(表格1[[#This Row],[date]]),1,1)</f>
        <v>Kit_1</v>
      </c>
      <c r="E1474" s="81">
        <f>MONTH(表格1[[#This Row],[date]])</f>
        <v>3</v>
      </c>
      <c r="F1474" s="90">
        <v>46093</v>
      </c>
      <c r="G1474" s="81" t="str">
        <f>VLOOKUP("*"&amp;表格1[[#This Row],[Input]]&amp;"*",'Ref-List'!$B:$D,2,)</f>
        <v>KT-17SHNH</v>
      </c>
      <c r="H1474" s="81" t="str">
        <f>_xlfn.XLOOKUP(表格1[[#This Row],[Model]],表格3[Model-Input-Ref2],表格3[Product Line])</f>
        <v>1.7L無線雙層電熱水壺</v>
      </c>
      <c r="I1474" s="81" t="str">
        <f>_xlfn.XLOOKUP(表格1[[#This Row],[Model]],表格3[Model-Input-Ref2],表格3[大小電])</f>
        <v>細電</v>
      </c>
      <c r="J1474" s="81" t="str">
        <f>_xlfn.XLOOKUP(表格1[[#This Row],[Model]],表格3[Model-Input-Ref2],表格3[Code])</f>
        <v>SDA</v>
      </c>
      <c r="K1474" s="89" t="s">
        <v>1283</v>
      </c>
      <c r="L1474" s="81">
        <v>1</v>
      </c>
      <c r="M1474" s="87">
        <v>198</v>
      </c>
      <c r="N1474" s="85">
        <f>IFERROR(表格1[[#This Row],[QTY]]*表格1[[#This Row],[Unit Price]],"-")</f>
        <v>198</v>
      </c>
      <c r="O1474" s="86">
        <v>528687</v>
      </c>
      <c r="R1474" s="86" t="str">
        <f>_xlfn.CONCAT(表格1[[#This Row],[Model]]," ",表格1[[#This Row],[inv no]])</f>
        <v>KT-17SHNH 528687</v>
      </c>
      <c r="S1474" s="86">
        <f>_xlfn.XLOOKUP(表格1[[#This Row],[Model]],表格3[Model-Input-Ref2],表格3[SRP PRICE])</f>
        <v>299</v>
      </c>
      <c r="T1474" s="43">
        <f>表格1[[#This Row],[Unit Price]]/表格1[[#This Row],[SRP]]</f>
        <v>0.66220735785953178</v>
      </c>
      <c r="U1474" s="86" t="str">
        <f>_xlfn.XLOOKUP(表格1[[#This Row],[Model]],表格3[Model-Input-Ref2],表格3[TOSHIBA/HIGHEST])</f>
        <v>Shops Highest Price</v>
      </c>
      <c r="V1474" s="86" t="s">
        <v>988</v>
      </c>
      <c r="W1474" s="86" t="str">
        <f>_xlfn.CONCAT(表格1[[#This Row],[欄4]],表格1[[#This Row],[inv no]])</f>
        <v>DA140528687</v>
      </c>
    </row>
    <row r="1475" spans="1:23" hidden="1">
      <c r="A1475" s="81">
        <v>1473</v>
      </c>
      <c r="B1475" s="81" t="s">
        <v>1366</v>
      </c>
      <c r="C1475" s="81" t="s">
        <v>1567</v>
      </c>
      <c r="D1475" s="82" t="str">
        <f ca="1">OFFSET(Roster!$A$3,MATCH(表格1[[#This Row],[Location]]&amp;" "&amp;表格1[[#This Row],[Shop]]&amp;"*",Roster!$A$4:$A$72,0),DAY(表格1[[#This Row],[date]]),1,1)</f>
        <v>Kit_1</v>
      </c>
      <c r="E1475" s="81">
        <f>MONTH(表格1[[#This Row],[date]])</f>
        <v>3</v>
      </c>
      <c r="F1475" s="90">
        <v>46094</v>
      </c>
      <c r="G1475" s="81" t="str">
        <f>VLOOKUP("*"&amp;表格1[[#This Row],[Input]]&amp;"*",'Ref-List'!$B:$D,2,)</f>
        <v>RC-18NMFIH(WT)</v>
      </c>
      <c r="H1475" s="81" t="str">
        <f>_xlfn.XLOOKUP(表格1[[#This Row],[Model]],表格3[Model-Input-Ref2],表格3[Product Line])</f>
        <v>4毫米厚釜電飯煲1.8L</v>
      </c>
      <c r="I1475" s="81" t="str">
        <f>_xlfn.XLOOKUP(表格1[[#This Row],[Model]],表格3[Model-Input-Ref2],表格3[大小電])</f>
        <v>細電</v>
      </c>
      <c r="J1475" s="81" t="str">
        <f>_xlfn.XLOOKUP(表格1[[#This Row],[Model]],表格3[Model-Input-Ref2],表格3[Code])</f>
        <v>SDA</v>
      </c>
      <c r="K1475" s="89" t="s">
        <v>1267</v>
      </c>
      <c r="L1475" s="81">
        <v>1</v>
      </c>
      <c r="M1475" s="87">
        <v>799</v>
      </c>
      <c r="N1475" s="85">
        <f>IFERROR(表格1[[#This Row],[QTY]]*表格1[[#This Row],[Unit Price]],"-")</f>
        <v>799</v>
      </c>
      <c r="O1475" s="142">
        <v>528862</v>
      </c>
      <c r="R1475" s="86" t="str">
        <f>_xlfn.CONCAT(表格1[[#This Row],[Model]]," ",表格1[[#This Row],[inv no]])</f>
        <v>RC-18NMFIH(WT) 528862</v>
      </c>
      <c r="S1475" s="86">
        <f>_xlfn.XLOOKUP(表格1[[#This Row],[Model]],表格3[Model-Input-Ref2],表格3[SRP PRICE])</f>
        <v>998</v>
      </c>
      <c r="T1475" s="43">
        <f>表格1[[#This Row],[Unit Price]]/表格1[[#This Row],[SRP]]</f>
        <v>0.80060120240480959</v>
      </c>
      <c r="U1475" s="86" t="str">
        <f>_xlfn.XLOOKUP(表格1[[#This Row],[Model]],表格3[Model-Input-Ref2],表格3[TOSHIBA/HIGHEST])</f>
        <v>Toshiba SRP</v>
      </c>
      <c r="V1475" s="86" t="s">
        <v>988</v>
      </c>
      <c r="W1475" s="86" t="str">
        <f>_xlfn.CONCAT(表格1[[#This Row],[欄4]],表格1[[#This Row],[inv no]])</f>
        <v>DA140528862</v>
      </c>
    </row>
    <row r="1476" spans="1:23" hidden="1">
      <c r="A1476" s="81">
        <v>1474</v>
      </c>
      <c r="B1476" s="81" t="s">
        <v>1366</v>
      </c>
      <c r="C1476" s="81" t="s">
        <v>1567</v>
      </c>
      <c r="D1476" s="82" t="str">
        <f ca="1">OFFSET(Roster!$A$3,MATCH(表格1[[#This Row],[Location]]&amp;" "&amp;表格1[[#This Row],[Shop]]&amp;"*",Roster!$A$4:$A$72,0),DAY(表格1[[#This Row],[date]]),1,1)</f>
        <v>Kit_1</v>
      </c>
      <c r="E1476" s="81">
        <f>MONTH(表格1[[#This Row],[date]])</f>
        <v>3</v>
      </c>
      <c r="F1476" s="90">
        <v>46094</v>
      </c>
      <c r="G1476" s="81" t="str">
        <f>VLOOKUP("*"&amp;表格1[[#This Row],[Input]]&amp;"*",'Ref-List'!$B:$D,2,)</f>
        <v>ET-TD7080(PN)</v>
      </c>
      <c r="H1476" s="81" t="str">
        <f>_xlfn.XLOOKUP(表格1[[#This Row],[Model]],表格3[Model-Input-Ref2],表格3[Product Line])</f>
        <v>多士焗爐8L</v>
      </c>
      <c r="I1476" s="81" t="str">
        <f>_xlfn.XLOOKUP(表格1[[#This Row],[Model]],表格3[Model-Input-Ref2],表格3[大小電])</f>
        <v>細電</v>
      </c>
      <c r="J1476" s="81" t="str">
        <f>_xlfn.XLOOKUP(表格1[[#This Row],[Model]],表格3[Model-Input-Ref2],表格3[Code])</f>
        <v>SDA</v>
      </c>
      <c r="K1476" s="89">
        <v>7080</v>
      </c>
      <c r="L1476" s="81">
        <v>1</v>
      </c>
      <c r="M1476" s="87">
        <v>358</v>
      </c>
      <c r="N1476" s="85">
        <f>IFERROR(表格1[[#This Row],[QTY]]*表格1[[#This Row],[Unit Price]],"-")</f>
        <v>358</v>
      </c>
      <c r="O1476" s="86">
        <v>528941</v>
      </c>
      <c r="R1476" s="86" t="str">
        <f>_xlfn.CONCAT(表格1[[#This Row],[Model]]," ",表格1[[#This Row],[inv no]])</f>
        <v>ET-TD7080(PN) 528941</v>
      </c>
      <c r="S1476" s="86">
        <f>_xlfn.XLOOKUP(表格1[[#This Row],[Model]],表格3[Model-Input-Ref2],表格3[SRP PRICE])</f>
        <v>498</v>
      </c>
      <c r="T1476" s="43">
        <f>表格1[[#This Row],[Unit Price]]/表格1[[#This Row],[SRP]]</f>
        <v>0.71887550200803207</v>
      </c>
      <c r="U1476" s="86" t="str">
        <f>_xlfn.XLOOKUP(表格1[[#This Row],[Model]],表格3[Model-Input-Ref2],表格3[TOSHIBA/HIGHEST])</f>
        <v>Toshiba SRP</v>
      </c>
      <c r="V1476" s="86" t="s">
        <v>988</v>
      </c>
      <c r="W1476" s="86" t="str">
        <f>_xlfn.CONCAT(表格1[[#This Row],[欄4]],表格1[[#This Row],[inv no]])</f>
        <v>DA140528941</v>
      </c>
    </row>
    <row r="1477" spans="1:23" hidden="1">
      <c r="A1477" s="81">
        <v>1475</v>
      </c>
      <c r="B1477" s="81" t="s">
        <v>1366</v>
      </c>
      <c r="C1477" s="81" t="s">
        <v>1567</v>
      </c>
      <c r="D1477" s="82" t="str">
        <f ca="1">OFFSET(Roster!$A$3,MATCH(表格1[[#This Row],[Location]]&amp;" "&amp;表格1[[#This Row],[Shop]]&amp;"*",Roster!$A$4:$A$72,0),DAY(表格1[[#This Row],[date]]),1,1)</f>
        <v>Kit_1</v>
      </c>
      <c r="E1477" s="81">
        <f>MONTH(表格1[[#This Row],[date]])</f>
        <v>3</v>
      </c>
      <c r="F1477" s="90">
        <v>46094</v>
      </c>
      <c r="G1477" s="81" t="str">
        <f>VLOOKUP("*"&amp;表格1[[#This Row],[Input]]&amp;"*",'Ref-List'!$B:$D,2,)</f>
        <v>KT-17SHNH</v>
      </c>
      <c r="H1477" s="81" t="str">
        <f>_xlfn.XLOOKUP(表格1[[#This Row],[Model]],表格3[Model-Input-Ref2],表格3[Product Line])</f>
        <v>1.7L無線雙層電熱水壺</v>
      </c>
      <c r="I1477" s="81" t="str">
        <f>_xlfn.XLOOKUP(表格1[[#This Row],[Model]],表格3[Model-Input-Ref2],表格3[大小電])</f>
        <v>細電</v>
      </c>
      <c r="J1477" s="81" t="str">
        <f>_xlfn.XLOOKUP(表格1[[#This Row],[Model]],表格3[Model-Input-Ref2],表格3[Code])</f>
        <v>SDA</v>
      </c>
      <c r="K1477" s="89" t="s">
        <v>1283</v>
      </c>
      <c r="L1477" s="81">
        <v>1</v>
      </c>
      <c r="M1477" s="87">
        <v>198</v>
      </c>
      <c r="N1477" s="85">
        <f>IFERROR(表格1[[#This Row],[QTY]]*表格1[[#This Row],[Unit Price]],"-")</f>
        <v>198</v>
      </c>
      <c r="O1477" s="142">
        <v>319399</v>
      </c>
      <c r="R1477" s="86" t="str">
        <f>_xlfn.CONCAT(表格1[[#This Row],[Model]]," ",表格1[[#This Row],[inv no]])</f>
        <v>KT-17SHNH 319399</v>
      </c>
      <c r="S1477" s="86">
        <f>_xlfn.XLOOKUP(表格1[[#This Row],[Model]],表格3[Model-Input-Ref2],表格3[SRP PRICE])</f>
        <v>299</v>
      </c>
      <c r="T1477" s="43">
        <f>表格1[[#This Row],[Unit Price]]/表格1[[#This Row],[SRP]]</f>
        <v>0.66220735785953178</v>
      </c>
      <c r="U1477" s="86" t="str">
        <f>_xlfn.XLOOKUP(表格1[[#This Row],[Model]],表格3[Model-Input-Ref2],表格3[TOSHIBA/HIGHEST])</f>
        <v>Shops Highest Price</v>
      </c>
      <c r="V1477" s="86" t="s">
        <v>988</v>
      </c>
      <c r="W1477" s="86" t="str">
        <f>_xlfn.CONCAT(表格1[[#This Row],[欄4]],表格1[[#This Row],[inv no]])</f>
        <v>DA140319399</v>
      </c>
    </row>
    <row r="1478" spans="1:23" hidden="1">
      <c r="A1478" s="81">
        <v>1476</v>
      </c>
      <c r="B1478" s="81" t="s">
        <v>1366</v>
      </c>
      <c r="C1478" s="81" t="s">
        <v>1567</v>
      </c>
      <c r="D1478" s="82" t="str">
        <f ca="1">OFFSET(Roster!$A$3,MATCH(表格1[[#This Row],[Location]]&amp;" "&amp;表格1[[#This Row],[Shop]]&amp;"*",Roster!$A$4:$A$72,0),DAY(表格1[[#This Row],[date]]),1,1)</f>
        <v>Kit_1</v>
      </c>
      <c r="E1478" s="81">
        <f>MONTH(表格1[[#This Row],[date]])</f>
        <v>3</v>
      </c>
      <c r="F1478" s="90">
        <v>46094</v>
      </c>
      <c r="G1478" s="81" t="str">
        <f>VLOOKUP("*"&amp;表格1[[#This Row],[Input]]&amp;"*",'Ref-List'!$B:$D,2,)</f>
        <v>RC-10BHH(W)</v>
      </c>
      <c r="H1478" s="81" t="str">
        <f>_xlfn.XLOOKUP(表格1[[#This Row],[Model]],表格3[Model-Input-Ref2],表格3[Product Line])</f>
        <v>酵活炊磁應電飯煲</v>
      </c>
      <c r="I1478" s="81" t="str">
        <f>_xlfn.XLOOKUP(表格1[[#This Row],[Model]],表格3[Model-Input-Ref2],表格3[大小電])</f>
        <v>細電</v>
      </c>
      <c r="J1478" s="81" t="str">
        <f>_xlfn.XLOOKUP(表格1[[#This Row],[Model]],表格3[Model-Input-Ref2],表格3[Code])</f>
        <v>SDA</v>
      </c>
      <c r="K1478" s="89" t="s">
        <v>1269</v>
      </c>
      <c r="L1478" s="81">
        <v>1</v>
      </c>
      <c r="M1478" s="87">
        <v>1888</v>
      </c>
      <c r="N1478" s="85">
        <f>IFERROR(表格1[[#This Row],[QTY]]*表格1[[#This Row],[Unit Price]],"-")</f>
        <v>1888</v>
      </c>
      <c r="O1478" s="142">
        <v>529219</v>
      </c>
      <c r="R1478" s="86" t="str">
        <f>_xlfn.CONCAT(表格1[[#This Row],[Model]]," ",表格1[[#This Row],[inv no]])</f>
        <v>RC-10BHH(W) 529219</v>
      </c>
      <c r="S1478" s="86">
        <f>_xlfn.XLOOKUP(表格1[[#This Row],[Model]],表格3[Model-Input-Ref2],表格3[SRP PRICE])</f>
        <v>2088</v>
      </c>
      <c r="T1478" s="43">
        <f>表格1[[#This Row],[Unit Price]]/表格1[[#This Row],[SRP]]</f>
        <v>0.90421455938697315</v>
      </c>
      <c r="U1478" s="86" t="str">
        <f>_xlfn.XLOOKUP(表格1[[#This Row],[Model]],表格3[Model-Input-Ref2],表格3[TOSHIBA/HIGHEST])</f>
        <v>Shops Highest Price</v>
      </c>
      <c r="V1478" s="86" t="s">
        <v>988</v>
      </c>
      <c r="W1478" s="86" t="str">
        <f>_xlfn.CONCAT(表格1[[#This Row],[欄4]],表格1[[#This Row],[inv no]])</f>
        <v>DA140529219</v>
      </c>
    </row>
    <row r="1479" spans="1:23" hidden="1">
      <c r="A1479" s="81">
        <v>1477</v>
      </c>
      <c r="B1479" s="81" t="s">
        <v>1366</v>
      </c>
      <c r="C1479" s="81" t="s">
        <v>1559</v>
      </c>
      <c r="D1479" s="82" t="str">
        <f ca="1">OFFSET(Roster!$A$3,MATCH(表格1[[#This Row],[Location]]&amp;" "&amp;表格1[[#This Row],[Shop]]&amp;"*",Roster!$A$4:$A$72,0),DAY(表格1[[#This Row],[date]]),1,1)</f>
        <v>Kit_2</v>
      </c>
      <c r="E1479" s="81">
        <f>MONTH(表格1[[#This Row],[date]])</f>
        <v>3</v>
      </c>
      <c r="F1479" s="90">
        <v>46097</v>
      </c>
      <c r="G1479" s="81" t="str">
        <f>VLOOKUP("*"&amp;表格1[[#This Row],[Input]]&amp;"*",'Ref-List'!$B:$D,2,)</f>
        <v>KT-15DRTHK(W)</v>
      </c>
      <c r="H1479" s="81" t="str">
        <f>_xlfn.XLOOKUP(表格1[[#This Row],[Model]],表格3[Model-Input-Ref2],表格3[Product Line])</f>
        <v>無線雙層電熱水壺-附可鎖壺蓋</v>
      </c>
      <c r="I1479" s="81" t="str">
        <f>_xlfn.XLOOKUP(表格1[[#This Row],[Model]],表格3[Model-Input-Ref2],表格3[大小電])</f>
        <v>細電</v>
      </c>
      <c r="J1479" s="81" t="str">
        <f>_xlfn.XLOOKUP(表格1[[#This Row],[Model]],表格3[Model-Input-Ref2],表格3[Code])</f>
        <v>SDA</v>
      </c>
      <c r="K1479" s="89" t="s">
        <v>1278</v>
      </c>
      <c r="L1479" s="81">
        <v>1</v>
      </c>
      <c r="M1479" s="87">
        <v>358</v>
      </c>
      <c r="N1479" s="85">
        <f>IFERROR(表格1[[#This Row],[QTY]]*表格1[[#This Row],[Unit Price]],"-")</f>
        <v>358</v>
      </c>
      <c r="O1479" s="142" t="s">
        <v>1564</v>
      </c>
      <c r="R1479" s="86" t="str">
        <f>_xlfn.CONCAT(表格1[[#This Row],[Model]]," ",表格1[[#This Row],[inv no]])</f>
        <v>KT-15DRTHK(W) 020244</v>
      </c>
      <c r="S1479" s="86">
        <f>_xlfn.XLOOKUP(表格1[[#This Row],[Model]],表格3[Model-Input-Ref2],表格3[SRP PRICE])</f>
        <v>598</v>
      </c>
      <c r="T1479" s="43">
        <f>表格1[[#This Row],[Unit Price]]/表格1[[#This Row],[SRP]]</f>
        <v>0.59866220735785958</v>
      </c>
      <c r="U1479" s="86" t="str">
        <f>_xlfn.XLOOKUP(表格1[[#This Row],[Model]],表格3[Model-Input-Ref2],表格3[TOSHIBA/HIGHEST])</f>
        <v>Toshiba SRP</v>
      </c>
      <c r="V1479" s="86" t="s">
        <v>988</v>
      </c>
      <c r="W1479" s="86" t="str">
        <f>_xlfn.CONCAT(表格1[[#This Row],[欄4]],表格1[[#This Row],[inv no]])</f>
        <v>DA140020244</v>
      </c>
    </row>
    <row r="1480" spans="1:23" hidden="1">
      <c r="A1480" s="81">
        <v>1478</v>
      </c>
      <c r="B1480" s="81" t="s">
        <v>1366</v>
      </c>
      <c r="C1480" s="81" t="s">
        <v>1559</v>
      </c>
      <c r="D1480" s="82" t="str">
        <f ca="1">OFFSET(Roster!$A$3,MATCH(表格1[[#This Row],[Location]]&amp;" "&amp;表格1[[#This Row],[Shop]]&amp;"*",Roster!$A$4:$A$72,0),DAY(表格1[[#This Row],[date]]),1,1)</f>
        <v>Kit_2</v>
      </c>
      <c r="E1480" s="81">
        <f>MONTH(表格1[[#This Row],[date]])</f>
        <v>3</v>
      </c>
      <c r="F1480" s="90">
        <v>46097</v>
      </c>
      <c r="G1480" s="81" t="str">
        <f>VLOOKUP("*"&amp;表格1[[#This Row],[Input]]&amp;"*",'Ref-List'!$B:$D,2,)</f>
        <v>RC-10BHH(W)</v>
      </c>
      <c r="H1480" s="81" t="str">
        <f>_xlfn.XLOOKUP(表格1[[#This Row],[Model]],表格3[Model-Input-Ref2],表格3[Product Line])</f>
        <v>酵活炊磁應電飯煲</v>
      </c>
      <c r="I1480" s="81" t="str">
        <f>_xlfn.XLOOKUP(表格1[[#This Row],[Model]],表格3[Model-Input-Ref2],表格3[大小電])</f>
        <v>細電</v>
      </c>
      <c r="J1480" s="81" t="str">
        <f>_xlfn.XLOOKUP(表格1[[#This Row],[Model]],表格3[Model-Input-Ref2],表格3[Code])</f>
        <v>SDA</v>
      </c>
      <c r="K1480" s="89" t="s">
        <v>1269</v>
      </c>
      <c r="L1480" s="81">
        <v>1</v>
      </c>
      <c r="M1480" s="87">
        <v>1888</v>
      </c>
      <c r="N1480" s="85">
        <f>IFERROR(表格1[[#This Row],[QTY]]*表格1[[#This Row],[Unit Price]],"-")</f>
        <v>1888</v>
      </c>
      <c r="O1480" s="142" t="s">
        <v>1565</v>
      </c>
      <c r="R1480" s="86" t="str">
        <f>_xlfn.CONCAT(表格1[[#This Row],[Model]]," ",表格1[[#This Row],[inv no]])</f>
        <v>RC-10BHH(W) 090867</v>
      </c>
      <c r="S1480" s="86">
        <f>_xlfn.XLOOKUP(表格1[[#This Row],[Model]],表格3[Model-Input-Ref2],表格3[SRP PRICE])</f>
        <v>2088</v>
      </c>
      <c r="T1480" s="43">
        <f>表格1[[#This Row],[Unit Price]]/表格1[[#This Row],[SRP]]</f>
        <v>0.90421455938697315</v>
      </c>
      <c r="U1480" s="86" t="str">
        <f>_xlfn.XLOOKUP(表格1[[#This Row],[Model]],表格3[Model-Input-Ref2],表格3[TOSHIBA/HIGHEST])</f>
        <v>Shops Highest Price</v>
      </c>
      <c r="V1480" s="86" t="s">
        <v>988</v>
      </c>
      <c r="W1480" s="86" t="str">
        <f>_xlfn.CONCAT(表格1[[#This Row],[欄4]],表格1[[#This Row],[inv no]])</f>
        <v>DA140090867</v>
      </c>
    </row>
    <row r="1481" spans="1:23" hidden="1">
      <c r="A1481" s="81">
        <v>1479</v>
      </c>
      <c r="B1481" s="81" t="s">
        <v>1366</v>
      </c>
      <c r="C1481" s="81" t="s">
        <v>1559</v>
      </c>
      <c r="D1481" s="82" t="str">
        <f ca="1">OFFSET(Roster!$A$3,MATCH(表格1[[#This Row],[Location]]&amp;" "&amp;表格1[[#This Row],[Shop]]&amp;"*",Roster!$A$4:$A$72,0),DAY(表格1[[#This Row],[date]]),1,1)</f>
        <v>Kit_2</v>
      </c>
      <c r="E1481" s="81">
        <f>MONTH(表格1[[#This Row],[date]])</f>
        <v>3</v>
      </c>
      <c r="F1481" s="90">
        <v>46097</v>
      </c>
      <c r="G1481" s="81" t="str">
        <f>VLOOKUP("*"&amp;表格1[[#This Row],[Input]]&amp;"*",'Ref-List'!$B:$D,2,)</f>
        <v>MM2-EM20PC(WH)</v>
      </c>
      <c r="H1481" s="81" t="str">
        <f>_xlfn.XLOOKUP(表格1[[#This Row],[Model]],表格3[Model-Input-Ref2],表格3[Product Line])</f>
        <v>輕觸式微波爐 (20公升)</v>
      </c>
      <c r="I1481" s="81" t="str">
        <f>_xlfn.XLOOKUP(表格1[[#This Row],[Model]],表格3[Model-Input-Ref2],表格3[大小電])</f>
        <v>細電</v>
      </c>
      <c r="J1481" s="81" t="str">
        <f>_xlfn.XLOOKUP(表格1[[#This Row],[Model]],表格3[Model-Input-Ref2],表格3[Code])</f>
        <v>MCA</v>
      </c>
      <c r="K1481" s="89" t="s">
        <v>1276</v>
      </c>
      <c r="L1481" s="81">
        <v>1</v>
      </c>
      <c r="M1481" s="87">
        <v>598</v>
      </c>
      <c r="N1481" s="85">
        <f>IFERROR(表格1[[#This Row],[QTY]]*表格1[[#This Row],[Unit Price]],"-")</f>
        <v>598</v>
      </c>
      <c r="O1481" s="86">
        <v>420357</v>
      </c>
      <c r="R1481" s="86" t="str">
        <f>_xlfn.CONCAT(表格1[[#This Row],[Model]]," ",表格1[[#This Row],[inv no]])</f>
        <v>MM2-EM20PC(WH) 420357</v>
      </c>
      <c r="S1481" s="86">
        <f>_xlfn.XLOOKUP(表格1[[#This Row],[Model]],表格3[Model-Input-Ref2],表格3[SRP PRICE])</f>
        <v>788</v>
      </c>
      <c r="T1481" s="43">
        <f>表格1[[#This Row],[Unit Price]]/表格1[[#This Row],[SRP]]</f>
        <v>0.75888324873096447</v>
      </c>
      <c r="U1481" s="86" t="str">
        <f>_xlfn.XLOOKUP(表格1[[#This Row],[Model]],表格3[Model-Input-Ref2],表格3[TOSHIBA/HIGHEST])</f>
        <v>Toshiba SRP</v>
      </c>
      <c r="V1481" s="86" t="s">
        <v>988</v>
      </c>
      <c r="W1481" s="86" t="str">
        <f>_xlfn.CONCAT(表格1[[#This Row],[欄4]],表格1[[#This Row],[inv no]])</f>
        <v>DA140420357</v>
      </c>
    </row>
    <row r="1482" spans="1:23" hidden="1">
      <c r="A1482" s="81">
        <v>1480</v>
      </c>
      <c r="B1482" s="81" t="s">
        <v>1366</v>
      </c>
      <c r="C1482" s="81" t="s">
        <v>1559</v>
      </c>
      <c r="D1482" s="82" t="str">
        <f ca="1">OFFSET(Roster!$A$3,MATCH(表格1[[#This Row],[Location]]&amp;" "&amp;表格1[[#This Row],[Shop]]&amp;"*",Roster!$A$4:$A$72,0),DAY(表格1[[#This Row],[date]]),1,1)</f>
        <v>Kit_2</v>
      </c>
      <c r="E1482" s="81">
        <f>MONTH(表格1[[#This Row],[date]])</f>
        <v>3</v>
      </c>
      <c r="F1482" s="90">
        <v>46098</v>
      </c>
      <c r="G1482" s="81" t="str">
        <f>VLOOKUP("*"&amp;表格1[[#This Row],[Input]]&amp;"*",'Ref-List'!$B:$D,2,)</f>
        <v>RC-5MMIH(WT)</v>
      </c>
      <c r="H1482" s="81" t="str">
        <f>_xlfn.XLOOKUP(表格1[[#This Row],[Model]],表格3[Model-Input-Ref2],表格3[Product Line])</f>
        <v>4毫米厚釜電飯煲0.54L</v>
      </c>
      <c r="I1482" s="81" t="str">
        <f>_xlfn.XLOOKUP(表格1[[#This Row],[Model]],表格3[Model-Input-Ref2],表格3[大小電])</f>
        <v>細電</v>
      </c>
      <c r="J1482" s="81" t="str">
        <f>_xlfn.XLOOKUP(表格1[[#This Row],[Model]],表格3[Model-Input-Ref2],表格3[Code])</f>
        <v>SDA</v>
      </c>
      <c r="K1482" s="89" t="s">
        <v>1195</v>
      </c>
      <c r="L1482" s="81">
        <v>1</v>
      </c>
      <c r="M1482" s="87">
        <v>557</v>
      </c>
      <c r="N1482" s="85">
        <f>IFERROR(表格1[[#This Row],[QTY]]*表格1[[#This Row],[Unit Price]],"-")</f>
        <v>557</v>
      </c>
      <c r="O1482" s="86">
        <v>324564</v>
      </c>
      <c r="R1482" s="86" t="str">
        <f>_xlfn.CONCAT(表格1[[#This Row],[Model]]," ",表格1[[#This Row],[inv no]])</f>
        <v>RC-5MMIH(WT) 324564</v>
      </c>
      <c r="S1482" s="86">
        <f>_xlfn.XLOOKUP(表格1[[#This Row],[Model]],表格3[Model-Input-Ref2],表格3[SRP PRICE])</f>
        <v>618</v>
      </c>
      <c r="T1482" s="43">
        <f>表格1[[#This Row],[Unit Price]]/表格1[[#This Row],[SRP]]</f>
        <v>0.90129449838187703</v>
      </c>
      <c r="U1482" s="86" t="str">
        <f>_xlfn.XLOOKUP(表格1[[#This Row],[Model]],表格3[Model-Input-Ref2],表格3[TOSHIBA/HIGHEST])</f>
        <v>Toshiba SRP</v>
      </c>
      <c r="V1482" s="86" t="s">
        <v>988</v>
      </c>
      <c r="W1482" s="86" t="str">
        <f>_xlfn.CONCAT(表格1[[#This Row],[欄4]],表格1[[#This Row],[inv no]])</f>
        <v>DA140324564</v>
      </c>
    </row>
    <row r="1483" spans="1:23" hidden="1">
      <c r="A1483" s="81">
        <v>1481</v>
      </c>
      <c r="B1483" s="81" t="s">
        <v>1366</v>
      </c>
      <c r="C1483" s="81" t="s">
        <v>1559</v>
      </c>
      <c r="D1483" s="82" t="str">
        <f ca="1">OFFSET(Roster!$A$3,MATCH(表格1[[#This Row],[Location]]&amp;" "&amp;表格1[[#This Row],[Shop]]&amp;"*",Roster!$A$4:$A$72,0),DAY(表格1[[#This Row],[date]]),1,1)</f>
        <v>Kit_2</v>
      </c>
      <c r="E1483" s="81">
        <f>MONTH(表格1[[#This Row],[date]])</f>
        <v>3</v>
      </c>
      <c r="F1483" s="90">
        <v>46098</v>
      </c>
      <c r="G1483" s="81" t="str">
        <f>VLOOKUP("*"&amp;表格1[[#This Row],[Input]]&amp;"*",'Ref-List'!$B:$D,2,)</f>
        <v>KT-17DRTHK(H)</v>
      </c>
      <c r="H1483" s="81" t="str">
        <f>_xlfn.XLOOKUP(表格1[[#This Row],[Model]],表格3[Model-Input-Ref2],表格3[Product Line])</f>
        <v>無線雙層電熱水壺(1.7公升)</v>
      </c>
      <c r="I1483" s="81" t="str">
        <f>_xlfn.XLOOKUP(表格1[[#This Row],[Model]],表格3[Model-Input-Ref2],表格3[大小電])</f>
        <v>細電</v>
      </c>
      <c r="J1483" s="81" t="str">
        <f>_xlfn.XLOOKUP(表格1[[#This Row],[Model]],表格3[Model-Input-Ref2],表格3[Code])</f>
        <v>SDA</v>
      </c>
      <c r="K1483" s="89" t="s">
        <v>1271</v>
      </c>
      <c r="L1483" s="81">
        <v>1</v>
      </c>
      <c r="M1483" s="87">
        <v>388</v>
      </c>
      <c r="N1483" s="85">
        <f>IFERROR(表格1[[#This Row],[QTY]]*表格1[[#This Row],[Unit Price]],"-")</f>
        <v>388</v>
      </c>
      <c r="O1483" s="142">
        <v>324697</v>
      </c>
      <c r="R1483" s="86" t="str">
        <f>_xlfn.CONCAT(表格1[[#This Row],[Model]]," ",表格1[[#This Row],[inv no]])</f>
        <v>KT-17DRTHK(H) 324697</v>
      </c>
      <c r="S1483" s="86">
        <f>_xlfn.XLOOKUP(表格1[[#This Row],[Model]],表格3[Model-Input-Ref2],表格3[SRP PRICE])</f>
        <v>498</v>
      </c>
      <c r="T1483" s="43">
        <f>表格1[[#This Row],[Unit Price]]/表格1[[#This Row],[SRP]]</f>
        <v>0.77911646586345384</v>
      </c>
      <c r="U1483" s="86" t="str">
        <f>_xlfn.XLOOKUP(表格1[[#This Row],[Model]],表格3[Model-Input-Ref2],表格3[TOSHIBA/HIGHEST])</f>
        <v>Toshiba SRP</v>
      </c>
      <c r="V1483" s="86" t="s">
        <v>988</v>
      </c>
      <c r="W1483" s="86" t="str">
        <f>_xlfn.CONCAT(表格1[[#This Row],[欄4]],表格1[[#This Row],[inv no]])</f>
        <v>DA140324697</v>
      </c>
    </row>
    <row r="1484" spans="1:23" hidden="1">
      <c r="A1484" s="81">
        <v>1482</v>
      </c>
      <c r="B1484" s="81" t="s">
        <v>1366</v>
      </c>
      <c r="C1484" s="81" t="s">
        <v>1559</v>
      </c>
      <c r="D1484" s="82" t="str">
        <f ca="1">OFFSET(Roster!$A$3,MATCH(表格1[[#This Row],[Location]]&amp;" "&amp;表格1[[#This Row],[Shop]]&amp;"*",Roster!$A$4:$A$72,0),DAY(表格1[[#This Row],[date]]),1,1)</f>
        <v>Kit_2</v>
      </c>
      <c r="E1484" s="81">
        <f>MONTH(表格1[[#This Row],[date]])</f>
        <v>3</v>
      </c>
      <c r="F1484" s="90">
        <v>46098</v>
      </c>
      <c r="G1484" s="81" t="str">
        <f>VLOOKUP("*"&amp;表格1[[#This Row],[Input]]&amp;"*",'Ref-List'!$B:$D,2,)</f>
        <v>RAD-D200H</v>
      </c>
      <c r="H1484" s="81" t="str">
        <f>_xlfn.XLOOKUP(表格1[[#This Row],[Model]],表格3[Model-Input-Ref2],表格3[Product Line])</f>
        <v>壓縮式抽濕機 (22公升)</v>
      </c>
      <c r="I1484" s="81" t="str">
        <f>_xlfn.XLOOKUP(表格1[[#This Row],[Model]],表格3[Model-Input-Ref2],表格3[大小電])</f>
        <v>細電</v>
      </c>
      <c r="J1484" s="81" t="str">
        <f>_xlfn.XLOOKUP(表格1[[#This Row],[Model]],表格3[Model-Input-Ref2],表格3[Code])</f>
        <v>RAC</v>
      </c>
      <c r="K1484" s="89" t="s">
        <v>1250</v>
      </c>
      <c r="L1484" s="81">
        <v>1</v>
      </c>
      <c r="M1484" s="87">
        <v>1980</v>
      </c>
      <c r="N1484" s="85">
        <f>IFERROR(表格1[[#This Row],[QTY]]*表格1[[#This Row],[Unit Price]],"-")</f>
        <v>1980</v>
      </c>
      <c r="O1484" s="86">
        <v>324673</v>
      </c>
      <c r="R1484" s="86" t="str">
        <f>_xlfn.CONCAT(表格1[[#This Row],[Model]]," ",表格1[[#This Row],[inv no]])</f>
        <v>RAD-D200H 324673</v>
      </c>
      <c r="S1484" s="86">
        <f>_xlfn.XLOOKUP(表格1[[#This Row],[Model]],表格3[Model-Input-Ref2],表格3[SRP PRICE])</f>
        <v>2880</v>
      </c>
      <c r="T1484" s="43">
        <f>表格1[[#This Row],[Unit Price]]/表格1[[#This Row],[SRP]]</f>
        <v>0.6875</v>
      </c>
      <c r="U1484" s="86" t="str">
        <f>_xlfn.XLOOKUP(表格1[[#This Row],[Model]],表格3[Model-Input-Ref2],表格3[TOSHIBA/HIGHEST])</f>
        <v>Shops Highest Price</v>
      </c>
      <c r="V1484" s="86" t="s">
        <v>988</v>
      </c>
      <c r="W1484" s="86" t="str">
        <f>_xlfn.CONCAT(表格1[[#This Row],[欄4]],表格1[[#This Row],[inv no]])</f>
        <v>DA140324673</v>
      </c>
    </row>
    <row r="1485" spans="1:23" hidden="1">
      <c r="A1485" s="81">
        <v>1483</v>
      </c>
      <c r="B1485" s="81" t="s">
        <v>1470</v>
      </c>
      <c r="C1485" s="81" t="s">
        <v>1374</v>
      </c>
      <c r="D1485" s="82" t="str">
        <f ca="1">OFFSET(Roster!$A$3,MATCH(表格1[[#This Row],[Location]]&amp;" "&amp;表格1[[#This Row],[Shop]]&amp;"*",Roster!$A$4:$A$72,0),DAY(表格1[[#This Row],[date]]),1,1)</f>
        <v>Daisy</v>
      </c>
      <c r="E1485" s="81">
        <f>MONTH(表格1[[#This Row],[date]])</f>
        <v>3</v>
      </c>
      <c r="F1485" s="90">
        <v>46082</v>
      </c>
      <c r="G1485" s="81" t="str">
        <f>VLOOKUP("*"&amp;表格1[[#This Row],[Input]]&amp;"*",'Ref-List'!$B:$D,2,)</f>
        <v>RC-DS18K(N)</v>
      </c>
      <c r="H1485" s="81" t="str">
        <f>_xlfn.XLOOKUP(表格1[[#This Row],[Model]],表格3[Model-Input-Ref2],表格3[Product Line])</f>
        <v>IH磁應電飯煲</v>
      </c>
      <c r="I1485" s="81" t="str">
        <f>_xlfn.XLOOKUP(表格1[[#This Row],[Model]],表格3[Model-Input-Ref2],表格3[大小電])</f>
        <v>細電</v>
      </c>
      <c r="J1485" s="81" t="str">
        <f>_xlfn.XLOOKUP(表格1[[#This Row],[Model]],表格3[Model-Input-Ref2],表格3[Code])</f>
        <v>SDA</v>
      </c>
      <c r="K1485" s="89" t="s">
        <v>1498</v>
      </c>
      <c r="L1485" s="81">
        <v>1</v>
      </c>
      <c r="M1485" s="87">
        <v>3480</v>
      </c>
      <c r="N1485" s="85">
        <f>IFERROR(表格1[[#This Row],[QTY]]*表格1[[#This Row],[Unit Price]],"-")</f>
        <v>3480</v>
      </c>
      <c r="O1485" s="86" t="s">
        <v>1582</v>
      </c>
      <c r="R1485" s="86" t="str">
        <f>_xlfn.CONCAT(表格1[[#This Row],[Model]]," ",表格1[[#This Row],[inv no]])</f>
        <v>RC-DS18K(N) DA1418598</v>
      </c>
      <c r="S1485" s="86">
        <f>_xlfn.XLOOKUP(表格1[[#This Row],[Model]],表格3[Model-Input-Ref2],表格3[SRP PRICE])</f>
        <v>4988</v>
      </c>
      <c r="T1485" s="43">
        <f>表格1[[#This Row],[Unit Price]]/表格1[[#This Row],[SRP]]</f>
        <v>0.69767441860465118</v>
      </c>
      <c r="U1485" s="86" t="str">
        <f>_xlfn.XLOOKUP(表格1[[#This Row],[Model]],表格3[Model-Input-Ref2],表格3[TOSHIBA/HIGHEST])</f>
        <v>Toshiba SRP</v>
      </c>
      <c r="V1485" s="86" t="s">
        <v>1127</v>
      </c>
      <c r="W1485" s="86" t="str">
        <f>_xlfn.CONCAT(表格1[[#This Row],[欄4]],表格1[[#This Row],[inv no]])</f>
        <v>DA141DA1418598</v>
      </c>
    </row>
    <row r="1486" spans="1:23" hidden="1">
      <c r="A1486" s="81">
        <v>1484</v>
      </c>
      <c r="B1486" s="81" t="s">
        <v>1470</v>
      </c>
      <c r="C1486" s="81" t="s">
        <v>1374</v>
      </c>
      <c r="D1486" s="82" t="str">
        <f ca="1">OFFSET(Roster!$A$3,MATCH(表格1[[#This Row],[Location]]&amp;" "&amp;表格1[[#This Row],[Shop]]&amp;"*",Roster!$A$4:$A$72,0),DAY(表格1[[#This Row],[date]]),1,1)</f>
        <v>Daisy</v>
      </c>
      <c r="E1486" s="81">
        <f>MONTH(表格1[[#This Row],[date]])</f>
        <v>3</v>
      </c>
      <c r="F1486" s="90">
        <v>46082</v>
      </c>
      <c r="G1486" s="81" t="str">
        <f>VLOOKUP("*"&amp;表格1[[#This Row],[Input]]&amp;"*",'Ref-List'!$B:$D,2,)</f>
        <v>MM2-EG20PC(WH)</v>
      </c>
      <c r="H1486" s="81" t="str">
        <f>_xlfn.XLOOKUP(表格1[[#This Row],[Model]],表格3[Model-Input-Ref2],表格3[Product Line])</f>
        <v>輕觸式燒烤微波爐</v>
      </c>
      <c r="I1486" s="81" t="str">
        <f>_xlfn.XLOOKUP(表格1[[#This Row],[Model]],表格3[Model-Input-Ref2],表格3[大小電])</f>
        <v>細電</v>
      </c>
      <c r="J1486" s="81" t="str">
        <f>_xlfn.XLOOKUP(表格1[[#This Row],[Model]],表格3[Model-Input-Ref2],表格3[Code])</f>
        <v>MCA</v>
      </c>
      <c r="K1486" s="89" t="s">
        <v>1273</v>
      </c>
      <c r="L1486" s="81">
        <v>1</v>
      </c>
      <c r="M1486" s="87">
        <v>698</v>
      </c>
      <c r="N1486" s="85">
        <f>IFERROR(表格1[[#This Row],[QTY]]*表格1[[#This Row],[Unit Price]],"-")</f>
        <v>698</v>
      </c>
      <c r="O1486" s="86" t="s">
        <v>1583</v>
      </c>
      <c r="R1486" s="86" t="str">
        <f>_xlfn.CONCAT(表格1[[#This Row],[Model]]," ",表格1[[#This Row],[inv no]])</f>
        <v>MM2-EG20PC(WH) DA1418675</v>
      </c>
      <c r="S1486" s="86">
        <f>_xlfn.XLOOKUP(表格1[[#This Row],[Model]],表格3[Model-Input-Ref2],表格3[SRP PRICE])</f>
        <v>918</v>
      </c>
      <c r="T1486" s="43">
        <f>表格1[[#This Row],[Unit Price]]/表格1[[#This Row],[SRP]]</f>
        <v>0.76034858387799564</v>
      </c>
      <c r="U1486" s="86" t="str">
        <f>_xlfn.XLOOKUP(表格1[[#This Row],[Model]],表格3[Model-Input-Ref2],表格3[TOSHIBA/HIGHEST])</f>
        <v>Shops Highest Price</v>
      </c>
      <c r="V1486" s="86" t="s">
        <v>1127</v>
      </c>
      <c r="W1486" s="86" t="str">
        <f>_xlfn.CONCAT(表格1[[#This Row],[欄4]],表格1[[#This Row],[inv no]])</f>
        <v>DA141DA1418675</v>
      </c>
    </row>
    <row r="1487" spans="1:23" hidden="1">
      <c r="A1487" s="81">
        <v>1485</v>
      </c>
      <c r="B1487" s="81" t="s">
        <v>1470</v>
      </c>
      <c r="C1487" s="81" t="s">
        <v>1374</v>
      </c>
      <c r="D1487" s="82" t="str">
        <f ca="1">OFFSET(Roster!$A$3,MATCH(表格1[[#This Row],[Location]]&amp;" "&amp;表格1[[#This Row],[Shop]]&amp;"*",Roster!$A$4:$A$72,0),DAY(表格1[[#This Row],[date]]),1,1)</f>
        <v>Daisy</v>
      </c>
      <c r="E1487" s="81">
        <f>MONTH(表格1[[#This Row],[date]])</f>
        <v>3</v>
      </c>
      <c r="F1487" s="90">
        <v>46082</v>
      </c>
      <c r="G1487" s="81" t="str">
        <f>VLOOKUP("*"&amp;表格1[[#This Row],[Input]]&amp;"*",'Ref-List'!$B:$D,2,)</f>
        <v>GR-RT234WE-PMA(57)</v>
      </c>
      <c r="H1487" s="81" t="str">
        <f>_xlfn.XLOOKUP(表格1[[#This Row],[Model]],表格3[Model-Input-Ref2],表格3[Product Line])</f>
        <v>變頻式環保雙門雪櫃（179L）</v>
      </c>
      <c r="I1487" s="81" t="str">
        <f>_xlfn.XLOOKUP(表格1[[#This Row],[Model]],表格3[Model-Input-Ref2],表格3[大小電])</f>
        <v>大電</v>
      </c>
      <c r="J1487" s="81" t="str">
        <f>_xlfn.XLOOKUP(表格1[[#This Row],[Model]],表格3[Model-Input-Ref2],表格3[Code])</f>
        <v>REF</v>
      </c>
      <c r="K1487" s="89" t="s">
        <v>1423</v>
      </c>
      <c r="L1487" s="81">
        <v>1</v>
      </c>
      <c r="M1487" s="87">
        <v>1980</v>
      </c>
      <c r="N1487" s="85">
        <f>IFERROR(表格1[[#This Row],[QTY]]*表格1[[#This Row],[Unit Price]],"-")</f>
        <v>1980</v>
      </c>
      <c r="O1487" s="86" t="s">
        <v>1584</v>
      </c>
      <c r="R1487" s="86" t="str">
        <f>_xlfn.CONCAT(表格1[[#This Row],[Model]]," ",表格1[[#This Row],[inv no]])</f>
        <v>GR-RT234WE-PMA(57) DA1418689</v>
      </c>
      <c r="S1487" s="86">
        <f>_xlfn.XLOOKUP(表格1[[#This Row],[Model]],表格3[Model-Input-Ref2],表格3[SRP PRICE])</f>
        <v>3680</v>
      </c>
      <c r="T1487" s="43">
        <f>表格1[[#This Row],[Unit Price]]/表格1[[#This Row],[SRP]]</f>
        <v>0.53804347826086951</v>
      </c>
      <c r="U1487" s="86" t="str">
        <f>_xlfn.XLOOKUP(表格1[[#This Row],[Model]],表格3[Model-Input-Ref2],表格3[TOSHIBA/HIGHEST])</f>
        <v>Toshiba SRP</v>
      </c>
      <c r="V1487" s="86" t="s">
        <v>1126</v>
      </c>
      <c r="W1487" s="86" t="str">
        <f>_xlfn.CONCAT(表格1[[#This Row],[欄4]],表格1[[#This Row],[inv no]])</f>
        <v>DA141DA1418689</v>
      </c>
    </row>
    <row r="1488" spans="1:23" hidden="1">
      <c r="A1488" s="81">
        <v>1486</v>
      </c>
      <c r="B1488" s="81" t="s">
        <v>1470</v>
      </c>
      <c r="C1488" s="81" t="s">
        <v>1374</v>
      </c>
      <c r="D1488" s="82" t="str">
        <f ca="1">OFFSET(Roster!$A$3,MATCH(表格1[[#This Row],[Location]]&amp;" "&amp;表格1[[#This Row],[Shop]]&amp;"*",Roster!$A$4:$A$72,0),DAY(表格1[[#This Row],[date]]),1,1)</f>
        <v>Daisy</v>
      </c>
      <c r="E1488" s="81">
        <f>MONTH(表格1[[#This Row],[date]])</f>
        <v>3</v>
      </c>
      <c r="F1488" s="90">
        <v>46082</v>
      </c>
      <c r="G1488" s="81" t="str">
        <f>VLOOKUP("*"&amp;表格1[[#This Row],[Input]]&amp;"*",'Ref-List'!$B:$D,2,)</f>
        <v>MM-2MM20PC(WH)</v>
      </c>
      <c r="H1488" s="81" t="str">
        <f>_xlfn.XLOOKUP(表格1[[#This Row],[Model]],表格3[Model-Input-Ref2],表格3[Product Line])</f>
        <v>旋鈕式微波爐 (20公升)</v>
      </c>
      <c r="I1488" s="81" t="str">
        <f>_xlfn.XLOOKUP(表格1[[#This Row],[Model]],表格3[Model-Input-Ref2],表格3[大小電])</f>
        <v>細電</v>
      </c>
      <c r="J1488" s="81" t="str">
        <f>_xlfn.XLOOKUP(表格1[[#This Row],[Model]],表格3[Model-Input-Ref2],表格3[Code])</f>
        <v>MCA</v>
      </c>
      <c r="K1488" s="89" t="s">
        <v>1388</v>
      </c>
      <c r="L1488" s="81">
        <v>1</v>
      </c>
      <c r="M1488" s="87">
        <v>610</v>
      </c>
      <c r="N1488" s="85">
        <f>IFERROR(表格1[[#This Row],[QTY]]*表格1[[#This Row],[Unit Price]],"-")</f>
        <v>610</v>
      </c>
      <c r="O1488" s="86" t="s">
        <v>1585</v>
      </c>
      <c r="R1488" s="86" t="str">
        <f>_xlfn.CONCAT(表格1[[#This Row],[Model]]," ",表格1[[#This Row],[inv no]])</f>
        <v>MM-2MM20PC(WH) DA1418699</v>
      </c>
      <c r="S1488" s="86">
        <f>_xlfn.XLOOKUP(表格1[[#This Row],[Model]],表格3[Model-Input-Ref2],表格3[SRP PRICE])</f>
        <v>738</v>
      </c>
      <c r="T1488" s="43">
        <f>表格1[[#This Row],[Unit Price]]/表格1[[#This Row],[SRP]]</f>
        <v>0.82655826558265577</v>
      </c>
      <c r="U1488" s="86" t="str">
        <f>_xlfn.XLOOKUP(表格1[[#This Row],[Model]],表格3[Model-Input-Ref2],表格3[TOSHIBA/HIGHEST])</f>
        <v>Toshiba SRP</v>
      </c>
      <c r="V1488" s="86" t="s">
        <v>1126</v>
      </c>
      <c r="W1488" s="86" t="str">
        <f>_xlfn.CONCAT(表格1[[#This Row],[欄4]],表格1[[#This Row],[inv no]])</f>
        <v>DA141DA1418699</v>
      </c>
    </row>
    <row r="1489" spans="1:23" hidden="1">
      <c r="A1489" s="81">
        <v>1487</v>
      </c>
      <c r="B1489" s="81" t="s">
        <v>1470</v>
      </c>
      <c r="C1489" s="81" t="s">
        <v>1374</v>
      </c>
      <c r="D1489" s="82" t="str">
        <f ca="1">OFFSET(Roster!$A$3,MATCH(表格1[[#This Row],[Location]]&amp;" "&amp;表格1[[#This Row],[Shop]]&amp;"*",Roster!$A$4:$A$72,0),DAY(表格1[[#This Row],[date]]),1,1)</f>
        <v>Daisy</v>
      </c>
      <c r="E1489" s="81">
        <f>MONTH(表格1[[#This Row],[date]])</f>
        <v>3</v>
      </c>
      <c r="F1489" s="90">
        <v>46082</v>
      </c>
      <c r="G1489" s="81" t="str">
        <f>VLOOKUP("*"&amp;表格1[[#This Row],[Input]]&amp;"*",'Ref-List'!$B:$D,2,)</f>
        <v>MX2-STR25SC(WH)</v>
      </c>
      <c r="H1489" s="81" t="str">
        <f>_xlfn.XLOOKUP(表格1[[#This Row],[Model]],表格3[Model-Input-Ref2],表格3[Product Line])</f>
        <v>4合1氣炸微波蒸焗爐(25公升)</v>
      </c>
      <c r="I1489" s="81" t="str">
        <f>_xlfn.XLOOKUP(表格1[[#This Row],[Model]],表格3[Model-Input-Ref2],表格3[大小電])</f>
        <v>細電</v>
      </c>
      <c r="J1489" s="81" t="str">
        <f>_xlfn.XLOOKUP(表格1[[#This Row],[Model]],表格3[Model-Input-Ref2],表格3[Code])</f>
        <v>MCA</v>
      </c>
      <c r="K1489" s="89" t="s">
        <v>1410</v>
      </c>
      <c r="L1489" s="81">
        <v>1</v>
      </c>
      <c r="M1489" s="87">
        <v>3250</v>
      </c>
      <c r="N1489" s="85">
        <f>IFERROR(表格1[[#This Row],[QTY]]*表格1[[#This Row],[Unit Price]],"-")</f>
        <v>3250</v>
      </c>
      <c r="O1489" s="142" t="s">
        <v>1586</v>
      </c>
      <c r="R1489" s="86" t="str">
        <f>_xlfn.CONCAT(表格1[[#This Row],[Model]]," ",表格1[[#This Row],[inv no]])</f>
        <v>MX2-STR25SC(WH) DA1418713</v>
      </c>
      <c r="S1489" s="86">
        <f>_xlfn.XLOOKUP(表格1[[#This Row],[Model]],表格3[Model-Input-Ref2],表格3[SRP PRICE])</f>
        <v>4998</v>
      </c>
      <c r="T1489" s="43">
        <f>表格1[[#This Row],[Unit Price]]/表格1[[#This Row],[SRP]]</f>
        <v>0.6502601040416166</v>
      </c>
      <c r="U1489" s="86" t="str">
        <f>_xlfn.XLOOKUP(表格1[[#This Row],[Model]],表格3[Model-Input-Ref2],表格3[TOSHIBA/HIGHEST])</f>
        <v>Toshiba SRP</v>
      </c>
      <c r="V1489" s="86" t="s">
        <v>1126</v>
      </c>
      <c r="W1489" s="86" t="str">
        <f>_xlfn.CONCAT(表格1[[#This Row],[欄4]],表格1[[#This Row],[inv no]])</f>
        <v>DA141DA1418713</v>
      </c>
    </row>
    <row r="1490" spans="1:23" hidden="1">
      <c r="A1490" s="81">
        <v>1488</v>
      </c>
      <c r="B1490" s="81" t="s">
        <v>1470</v>
      </c>
      <c r="C1490" s="81" t="s">
        <v>1374</v>
      </c>
      <c r="D1490" s="82" t="str">
        <f ca="1">OFFSET(Roster!$A$3,MATCH(表格1[[#This Row],[Location]]&amp;" "&amp;表格1[[#This Row],[Shop]]&amp;"*",Roster!$A$4:$A$72,0),DAY(表格1[[#This Row],[date]]),1,1)</f>
        <v>Daisy</v>
      </c>
      <c r="E1490" s="81">
        <f>MONTH(表格1[[#This Row],[date]])</f>
        <v>3</v>
      </c>
      <c r="F1490" s="90">
        <v>46082</v>
      </c>
      <c r="G1490" s="81" t="str">
        <f>VLOOKUP("*"&amp;表格1[[#This Row],[Input]]&amp;"*",'Ref-List'!$B:$D,2,)</f>
        <v>KT-15DRTHK(W)</v>
      </c>
      <c r="H1490" s="81" t="str">
        <f>_xlfn.XLOOKUP(表格1[[#This Row],[Model]],表格3[Model-Input-Ref2],表格3[Product Line])</f>
        <v>無線雙層電熱水壺-附可鎖壺蓋</v>
      </c>
      <c r="I1490" s="81" t="str">
        <f>_xlfn.XLOOKUP(表格1[[#This Row],[Model]],表格3[Model-Input-Ref2],表格3[大小電])</f>
        <v>細電</v>
      </c>
      <c r="J1490" s="81" t="str">
        <f>_xlfn.XLOOKUP(表格1[[#This Row],[Model]],表格3[Model-Input-Ref2],表格3[Code])</f>
        <v>SDA</v>
      </c>
      <c r="K1490" s="89" t="s">
        <v>1278</v>
      </c>
      <c r="L1490" s="81">
        <v>1</v>
      </c>
      <c r="M1490" s="87">
        <v>358</v>
      </c>
      <c r="N1490" s="85">
        <f>IFERROR(表格1[[#This Row],[QTY]]*表格1[[#This Row],[Unit Price]],"-")</f>
        <v>358</v>
      </c>
      <c r="O1490" s="142" t="s">
        <v>1587</v>
      </c>
      <c r="R1490" s="86" t="str">
        <f>_xlfn.CONCAT(表格1[[#This Row],[Model]]," ",表格1[[#This Row],[inv no]])</f>
        <v>KT-15DRTHK(W) DA1418728</v>
      </c>
      <c r="S1490" s="86">
        <f>_xlfn.XLOOKUP(表格1[[#This Row],[Model]],表格3[Model-Input-Ref2],表格3[SRP PRICE])</f>
        <v>598</v>
      </c>
      <c r="T1490" s="43">
        <f>表格1[[#This Row],[Unit Price]]/表格1[[#This Row],[SRP]]</f>
        <v>0.59866220735785958</v>
      </c>
      <c r="U1490" s="86" t="str">
        <f>_xlfn.XLOOKUP(表格1[[#This Row],[Model]],表格3[Model-Input-Ref2],表格3[TOSHIBA/HIGHEST])</f>
        <v>Toshiba SRP</v>
      </c>
      <c r="V1490" s="86" t="s">
        <v>1126</v>
      </c>
      <c r="W1490" s="86" t="str">
        <f>_xlfn.CONCAT(表格1[[#This Row],[欄4]],表格1[[#This Row],[inv no]])</f>
        <v>DA141DA1418728</v>
      </c>
    </row>
    <row r="1491" spans="1:23" hidden="1">
      <c r="A1491" s="81">
        <v>1489</v>
      </c>
      <c r="B1491" s="81" t="s">
        <v>1470</v>
      </c>
      <c r="C1491" s="81" t="s">
        <v>1374</v>
      </c>
      <c r="D1491" s="82" t="str">
        <f ca="1">OFFSET(Roster!$A$3,MATCH(表格1[[#This Row],[Location]]&amp;" "&amp;表格1[[#This Row],[Shop]]&amp;"*",Roster!$A$4:$A$72,0),DAY(表格1[[#This Row],[date]]),1,1)</f>
        <v>Daisy</v>
      </c>
      <c r="E1491" s="81">
        <f>MONTH(表格1[[#This Row],[date]])</f>
        <v>3</v>
      </c>
      <c r="F1491" s="90">
        <v>46083</v>
      </c>
      <c r="G1491" s="81" t="str">
        <f>VLOOKUP("*"&amp;表格1[[#This Row],[Input]]&amp;"*",'Ref-List'!$B:$D,2,)</f>
        <v>MM2-EM20PC(WH)</v>
      </c>
      <c r="H1491" s="81" t="str">
        <f>_xlfn.XLOOKUP(表格1[[#This Row],[Model]],表格3[Model-Input-Ref2],表格3[Product Line])</f>
        <v>輕觸式微波爐 (20公升)</v>
      </c>
      <c r="I1491" s="81" t="str">
        <f>_xlfn.XLOOKUP(表格1[[#This Row],[Model]],表格3[Model-Input-Ref2],表格3[大小電])</f>
        <v>細電</v>
      </c>
      <c r="J1491" s="81" t="str">
        <f>_xlfn.XLOOKUP(表格1[[#This Row],[Model]],表格3[Model-Input-Ref2],表格3[Code])</f>
        <v>MCA</v>
      </c>
      <c r="K1491" s="89" t="s">
        <v>1276</v>
      </c>
      <c r="L1491" s="81">
        <v>1</v>
      </c>
      <c r="M1491" s="87">
        <v>650</v>
      </c>
      <c r="N1491" s="85">
        <f>IFERROR(表格1[[#This Row],[QTY]]*表格1[[#This Row],[Unit Price]],"-")</f>
        <v>650</v>
      </c>
      <c r="O1491" s="86" t="s">
        <v>1588</v>
      </c>
      <c r="R1491" s="86" t="str">
        <f>_xlfn.CONCAT(表格1[[#This Row],[Model]]," ",表格1[[#This Row],[inv no]])</f>
        <v>MM2-EM20PC(WH) DA1418786</v>
      </c>
      <c r="S1491" s="86">
        <f>_xlfn.XLOOKUP(表格1[[#This Row],[Model]],表格3[Model-Input-Ref2],表格3[SRP PRICE])</f>
        <v>788</v>
      </c>
      <c r="T1491" s="43">
        <f>表格1[[#This Row],[Unit Price]]/表格1[[#This Row],[SRP]]</f>
        <v>0.82487309644670048</v>
      </c>
      <c r="U1491" s="86" t="str">
        <f>_xlfn.XLOOKUP(表格1[[#This Row],[Model]],表格3[Model-Input-Ref2],表格3[TOSHIBA/HIGHEST])</f>
        <v>Toshiba SRP</v>
      </c>
      <c r="V1491" s="86" t="s">
        <v>1126</v>
      </c>
      <c r="W1491" s="86" t="str">
        <f>_xlfn.CONCAT(表格1[[#This Row],[欄4]],表格1[[#This Row],[inv no]])</f>
        <v>DA141DA1418786</v>
      </c>
    </row>
    <row r="1492" spans="1:23" hidden="1">
      <c r="A1492" s="81">
        <v>1490</v>
      </c>
      <c r="B1492" s="81" t="s">
        <v>1470</v>
      </c>
      <c r="C1492" s="81" t="s">
        <v>1374</v>
      </c>
      <c r="D1492" s="82" t="str">
        <f ca="1">OFFSET(Roster!$A$3,MATCH(表格1[[#This Row],[Location]]&amp;" "&amp;表格1[[#This Row],[Shop]]&amp;"*",Roster!$A$4:$A$72,0),DAY(表格1[[#This Row],[date]]),1,1)</f>
        <v>Daisy</v>
      </c>
      <c r="E1492" s="81">
        <f>MONTH(表格1[[#This Row],[date]])</f>
        <v>3</v>
      </c>
      <c r="F1492" s="90">
        <v>46083</v>
      </c>
      <c r="G1492" s="81" t="str">
        <f>VLOOKUP("*"&amp;表格1[[#This Row],[Input]]&amp;"*",'Ref-List'!$B:$D,2,)</f>
        <v>MS3-STQ20SC(WH)</v>
      </c>
      <c r="H1492" s="81" t="str">
        <f>_xlfn.XLOOKUP(表格1[[#This Row],[Model]],表格3[Model-Input-Ref2],表格3[Product Line])</f>
        <v>20L 智能蒸氣焗爐</v>
      </c>
      <c r="I1492" s="81" t="str">
        <f>_xlfn.XLOOKUP(表格1[[#This Row],[Model]],表格3[Model-Input-Ref2],表格3[大小電])</f>
        <v>細電</v>
      </c>
      <c r="J1492" s="81" t="str">
        <f>_xlfn.XLOOKUP(表格1[[#This Row],[Model]],表格3[Model-Input-Ref2],表格3[Code])</f>
        <v>MCA</v>
      </c>
      <c r="K1492" s="89" t="s">
        <v>1383</v>
      </c>
      <c r="L1492" s="81">
        <v>1</v>
      </c>
      <c r="M1492" s="87">
        <v>1998</v>
      </c>
      <c r="N1492" s="85">
        <f>IFERROR(表格1[[#This Row],[QTY]]*表格1[[#This Row],[Unit Price]],"-")</f>
        <v>1998</v>
      </c>
      <c r="O1492" s="86" t="s">
        <v>1589</v>
      </c>
      <c r="R1492" s="86" t="str">
        <f>_xlfn.CONCAT(表格1[[#This Row],[Model]]," ",表格1[[#This Row],[inv no]])</f>
        <v>MS3-STQ20SC(WH) DA1418816</v>
      </c>
      <c r="S1492" s="86">
        <f>_xlfn.XLOOKUP(表格1[[#This Row],[Model]],表格3[Model-Input-Ref2],表格3[SRP PRICE])</f>
        <v>2880</v>
      </c>
      <c r="T1492" s="43">
        <f>表格1[[#This Row],[Unit Price]]/表格1[[#This Row],[SRP]]</f>
        <v>0.69374999999999998</v>
      </c>
      <c r="U1492" s="86" t="str">
        <f>_xlfn.XLOOKUP(表格1[[#This Row],[Model]],表格3[Model-Input-Ref2],表格3[TOSHIBA/HIGHEST])</f>
        <v>Toshiba SRP</v>
      </c>
      <c r="V1492" s="86" t="s">
        <v>1126</v>
      </c>
      <c r="W1492" s="86" t="str">
        <f>_xlfn.CONCAT(表格1[[#This Row],[欄4]],表格1[[#This Row],[inv no]])</f>
        <v>DA141DA1418816</v>
      </c>
    </row>
    <row r="1493" spans="1:23" hidden="1">
      <c r="A1493" s="81">
        <v>1491</v>
      </c>
      <c r="B1493" s="81" t="s">
        <v>1470</v>
      </c>
      <c r="C1493" s="81" t="s">
        <v>1374</v>
      </c>
      <c r="D1493" s="82" t="str">
        <f ca="1">OFFSET(Roster!$A$3,MATCH(表格1[[#This Row],[Location]]&amp;" "&amp;表格1[[#This Row],[Shop]]&amp;"*",Roster!$A$4:$A$72,0),DAY(表格1[[#This Row],[date]]),1,1)</f>
        <v>Daisy</v>
      </c>
      <c r="E1493" s="81">
        <f>MONTH(表格1[[#This Row],[date]])</f>
        <v>3</v>
      </c>
      <c r="F1493" s="90">
        <v>46083</v>
      </c>
      <c r="G1493" s="81" t="str">
        <f>VLOOKUP("*"&amp;表格1[[#This Row],[Input]]&amp;"*",'Ref-List'!$B:$D,2,)</f>
        <v>RC-10BHH(W)</v>
      </c>
      <c r="H1493" s="81" t="str">
        <f>_xlfn.XLOOKUP(表格1[[#This Row],[Model]],表格3[Model-Input-Ref2],表格3[Product Line])</f>
        <v>酵活炊磁應電飯煲</v>
      </c>
      <c r="I1493" s="81" t="str">
        <f>_xlfn.XLOOKUP(表格1[[#This Row],[Model]],表格3[Model-Input-Ref2],表格3[大小電])</f>
        <v>細電</v>
      </c>
      <c r="J1493" s="81" t="str">
        <f>_xlfn.XLOOKUP(表格1[[#This Row],[Model]],表格3[Model-Input-Ref2],表格3[Code])</f>
        <v>SDA</v>
      </c>
      <c r="K1493" s="89" t="s">
        <v>1269</v>
      </c>
      <c r="L1493" s="81">
        <v>1</v>
      </c>
      <c r="M1493" s="87">
        <v>1700</v>
      </c>
      <c r="N1493" s="85">
        <f>IFERROR(表格1[[#This Row],[QTY]]*表格1[[#This Row],[Unit Price]],"-")</f>
        <v>1700</v>
      </c>
      <c r="O1493" s="86" t="s">
        <v>1590</v>
      </c>
      <c r="R1493" s="86" t="str">
        <f>_xlfn.CONCAT(表格1[[#This Row],[Model]]," ",表格1[[#This Row],[inv no]])</f>
        <v>RC-10BHH(W) DA1418854</v>
      </c>
      <c r="S1493" s="86">
        <f>_xlfn.XLOOKUP(表格1[[#This Row],[Model]],表格3[Model-Input-Ref2],表格3[SRP PRICE])</f>
        <v>2088</v>
      </c>
      <c r="T1493" s="43">
        <f>表格1[[#This Row],[Unit Price]]/表格1[[#This Row],[SRP]]</f>
        <v>0.81417624521072796</v>
      </c>
      <c r="U1493" s="86" t="str">
        <f>_xlfn.XLOOKUP(表格1[[#This Row],[Model]],表格3[Model-Input-Ref2],表格3[TOSHIBA/HIGHEST])</f>
        <v>Shops Highest Price</v>
      </c>
      <c r="V1493" s="86" t="s">
        <v>1126</v>
      </c>
      <c r="W1493" s="86" t="str">
        <f>_xlfn.CONCAT(表格1[[#This Row],[欄4]],表格1[[#This Row],[inv no]])</f>
        <v>DA141DA1418854</v>
      </c>
    </row>
    <row r="1494" spans="1:23" hidden="1">
      <c r="A1494" s="81">
        <v>1492</v>
      </c>
      <c r="B1494" s="81" t="s">
        <v>1470</v>
      </c>
      <c r="C1494" s="81" t="s">
        <v>1374</v>
      </c>
      <c r="D1494" s="82" t="str">
        <f ca="1">OFFSET(Roster!$A$3,MATCH(表格1[[#This Row],[Location]]&amp;" "&amp;表格1[[#This Row],[Shop]]&amp;"*",Roster!$A$4:$A$72,0),DAY(表格1[[#This Row],[date]]),1,1)</f>
        <v>Daisy</v>
      </c>
      <c r="E1494" s="81">
        <f>MONTH(表格1[[#This Row],[date]])</f>
        <v>3</v>
      </c>
      <c r="F1494" s="90">
        <v>46083</v>
      </c>
      <c r="G1494" s="81" t="str">
        <f>VLOOKUP("*"&amp;表格1[[#This Row],[Input]]&amp;"*",'Ref-List'!$B:$D,2,)</f>
        <v>MW3-SAC24SE(BK)</v>
      </c>
      <c r="H1494" s="81" t="str">
        <f>_xlfn.XLOOKUP(表格1[[#This Row],[Model]],表格3[Model-Input-Ref2],表格3[Product Line])</f>
        <v>智能氣炸烤焗爐(24公升)</v>
      </c>
      <c r="I1494" s="81" t="str">
        <f>_xlfn.XLOOKUP(表格1[[#This Row],[Model]],表格3[Model-Input-Ref2],表格3[大小電])</f>
        <v>細電</v>
      </c>
      <c r="J1494" s="81" t="str">
        <f>_xlfn.XLOOKUP(表格1[[#This Row],[Model]],表格3[Model-Input-Ref2],表格3[Code])</f>
        <v>MCA</v>
      </c>
      <c r="K1494" s="89" t="s">
        <v>1274</v>
      </c>
      <c r="L1494" s="81">
        <v>1</v>
      </c>
      <c r="M1494" s="87">
        <v>1194</v>
      </c>
      <c r="N1494" s="85">
        <f>IFERROR(表格1[[#This Row],[QTY]]*表格1[[#This Row],[Unit Price]],"-")</f>
        <v>1194</v>
      </c>
      <c r="O1494" s="142" t="s">
        <v>1591</v>
      </c>
      <c r="R1494" s="86" t="str">
        <f>_xlfn.CONCAT(表格1[[#This Row],[Model]]," ",表格1[[#This Row],[inv no]])</f>
        <v>MW3-SAC24SE(BK) DA1418870</v>
      </c>
      <c r="S1494" s="86">
        <f>_xlfn.XLOOKUP(表格1[[#This Row],[Model]],表格3[Model-Input-Ref2],表格3[SRP PRICE])</f>
        <v>1680</v>
      </c>
      <c r="T1494" s="43">
        <f>表格1[[#This Row],[Unit Price]]/表格1[[#This Row],[SRP]]</f>
        <v>0.71071428571428574</v>
      </c>
      <c r="U1494" s="86" t="str">
        <f>_xlfn.XLOOKUP(表格1[[#This Row],[Model]],表格3[Model-Input-Ref2],表格3[TOSHIBA/HIGHEST])</f>
        <v>Toshiba SRP</v>
      </c>
      <c r="V1494" s="86" t="s">
        <v>1126</v>
      </c>
      <c r="W1494" s="86" t="str">
        <f>_xlfn.CONCAT(表格1[[#This Row],[欄4]],表格1[[#This Row],[inv no]])</f>
        <v>DA141DA1418870</v>
      </c>
    </row>
    <row r="1495" spans="1:23" hidden="1">
      <c r="A1495" s="81">
        <v>1493</v>
      </c>
      <c r="B1495" s="81" t="s">
        <v>1470</v>
      </c>
      <c r="C1495" s="81" t="s">
        <v>1374</v>
      </c>
      <c r="D1495" s="82" t="str">
        <f ca="1">OFFSET(Roster!$A$3,MATCH(表格1[[#This Row],[Location]]&amp;" "&amp;表格1[[#This Row],[Shop]]&amp;"*",Roster!$A$4:$A$72,0),DAY(表格1[[#This Row],[date]]),1,1)</f>
        <v>Daisy</v>
      </c>
      <c r="E1495" s="81">
        <f>MONTH(表格1[[#This Row],[date]])</f>
        <v>3</v>
      </c>
      <c r="F1495" s="90">
        <v>46084</v>
      </c>
      <c r="G1495" s="81" t="str">
        <f>VLOOKUP("*"&amp;表格1[[#This Row],[Input]]&amp;"*",'Ref-List'!$B:$D,2,)</f>
        <v>RAD-D300H</v>
      </c>
      <c r="H1495" s="81" t="str">
        <f>_xlfn.XLOOKUP(表格1[[#This Row],[Model]],表格3[Model-Input-Ref2],表格3[Product Line])</f>
        <v>壓縮式抽濕機 (30公升)</v>
      </c>
      <c r="I1495" s="81" t="str">
        <f>_xlfn.XLOOKUP(表格1[[#This Row],[Model]],表格3[Model-Input-Ref2],表格3[大小電])</f>
        <v>細電</v>
      </c>
      <c r="J1495" s="81" t="str">
        <f>_xlfn.XLOOKUP(表格1[[#This Row],[Model]],表格3[Model-Input-Ref2],表格3[Code])</f>
        <v>RAC</v>
      </c>
      <c r="K1495" s="89" t="s">
        <v>1252</v>
      </c>
      <c r="L1495" s="81">
        <v>1</v>
      </c>
      <c r="M1495" s="87">
        <v>2280</v>
      </c>
      <c r="N1495" s="85">
        <f>IFERROR(表格1[[#This Row],[QTY]]*表格1[[#This Row],[Unit Price]],"-")</f>
        <v>2280</v>
      </c>
      <c r="O1495" s="86" t="s">
        <v>1592</v>
      </c>
      <c r="R1495" s="86" t="str">
        <f>_xlfn.CONCAT(表格1[[#This Row],[Model]]," ",表格1[[#This Row],[inv no]])</f>
        <v>RAD-D300H DA1418914</v>
      </c>
      <c r="S1495" s="86">
        <f>_xlfn.XLOOKUP(表格1[[#This Row],[Model]],表格3[Model-Input-Ref2],表格3[SRP PRICE])</f>
        <v>3380</v>
      </c>
      <c r="T1495" s="43">
        <f>表格1[[#This Row],[Unit Price]]/表格1[[#This Row],[SRP]]</f>
        <v>0.67455621301775148</v>
      </c>
      <c r="U1495" s="86" t="str">
        <f>_xlfn.XLOOKUP(表格1[[#This Row],[Model]],表格3[Model-Input-Ref2],表格3[TOSHIBA/HIGHEST])</f>
        <v>Shops Highest Price</v>
      </c>
      <c r="V1495" s="86" t="s">
        <v>1126</v>
      </c>
      <c r="W1495" s="86" t="str">
        <f>_xlfn.CONCAT(表格1[[#This Row],[欄4]],表格1[[#This Row],[inv no]])</f>
        <v>DA141DA1418914</v>
      </c>
    </row>
    <row r="1496" spans="1:23" hidden="1">
      <c r="A1496" s="81">
        <v>1494</v>
      </c>
      <c r="B1496" s="81" t="s">
        <v>1470</v>
      </c>
      <c r="C1496" s="81" t="s">
        <v>1374</v>
      </c>
      <c r="D1496" s="82" t="str">
        <f ca="1">OFFSET(Roster!$A$3,MATCH(表格1[[#This Row],[Location]]&amp;" "&amp;表格1[[#This Row],[Shop]]&amp;"*",Roster!$A$4:$A$72,0),DAY(表格1[[#This Row],[date]]),1,1)</f>
        <v>Daisy</v>
      </c>
      <c r="E1496" s="81">
        <f>MONTH(表格1[[#This Row],[date]])</f>
        <v>3</v>
      </c>
      <c r="F1496" s="90">
        <v>46084</v>
      </c>
      <c r="G1496" s="81" t="str">
        <f>VLOOKUP("*"&amp;表格1[[#This Row],[Input]]&amp;"*",'Ref-List'!$B:$D,2,)</f>
        <v>MM2-EG20PC(WH)</v>
      </c>
      <c r="H1496" s="81" t="str">
        <f>_xlfn.XLOOKUP(表格1[[#This Row],[Model]],表格3[Model-Input-Ref2],表格3[Product Line])</f>
        <v>輕觸式燒烤微波爐</v>
      </c>
      <c r="I1496" s="81" t="str">
        <f>_xlfn.XLOOKUP(表格1[[#This Row],[Model]],表格3[Model-Input-Ref2],表格3[大小電])</f>
        <v>細電</v>
      </c>
      <c r="J1496" s="81" t="str">
        <f>_xlfn.XLOOKUP(表格1[[#This Row],[Model]],表格3[Model-Input-Ref2],表格3[Code])</f>
        <v>MCA</v>
      </c>
      <c r="K1496" s="89" t="s">
        <v>1273</v>
      </c>
      <c r="L1496" s="81">
        <v>1</v>
      </c>
      <c r="M1496" s="87">
        <v>698</v>
      </c>
      <c r="N1496" s="85">
        <f>IFERROR(表格1[[#This Row],[QTY]]*表格1[[#This Row],[Unit Price]],"-")</f>
        <v>698</v>
      </c>
      <c r="O1496" s="86" t="s">
        <v>1593</v>
      </c>
      <c r="R1496" s="86" t="str">
        <f>_xlfn.CONCAT(表格1[[#This Row],[Model]]," ",表格1[[#This Row],[inv no]])</f>
        <v>MM2-EG20PC(WH) DA1418942</v>
      </c>
      <c r="S1496" s="86">
        <f>_xlfn.XLOOKUP(表格1[[#This Row],[Model]],表格3[Model-Input-Ref2],表格3[SRP PRICE])</f>
        <v>918</v>
      </c>
      <c r="T1496" s="43">
        <f>表格1[[#This Row],[Unit Price]]/表格1[[#This Row],[SRP]]</f>
        <v>0.76034858387799564</v>
      </c>
      <c r="U1496" s="86" t="str">
        <f>_xlfn.XLOOKUP(表格1[[#This Row],[Model]],表格3[Model-Input-Ref2],表格3[TOSHIBA/HIGHEST])</f>
        <v>Shops Highest Price</v>
      </c>
      <c r="V1496" s="86" t="s">
        <v>1126</v>
      </c>
      <c r="W1496" s="86" t="str">
        <f>_xlfn.CONCAT(表格1[[#This Row],[欄4]],表格1[[#This Row],[inv no]])</f>
        <v>DA141DA1418942</v>
      </c>
    </row>
    <row r="1497" spans="1:23" hidden="1">
      <c r="A1497" s="81">
        <v>1495</v>
      </c>
      <c r="B1497" s="81" t="s">
        <v>1470</v>
      </c>
      <c r="C1497" s="81" t="s">
        <v>1374</v>
      </c>
      <c r="D1497" s="82" t="str">
        <f ca="1">OFFSET(Roster!$A$3,MATCH(表格1[[#This Row],[Location]]&amp;" "&amp;表格1[[#This Row],[Shop]]&amp;"*",Roster!$A$4:$A$72,0),DAY(表格1[[#This Row],[date]]),1,1)</f>
        <v>Daisy</v>
      </c>
      <c r="E1497" s="81">
        <f>MONTH(表格1[[#This Row],[date]])</f>
        <v>3</v>
      </c>
      <c r="F1497" s="90">
        <v>46084</v>
      </c>
      <c r="G1497" s="81" t="str">
        <f>VLOOKUP("*"&amp;表格1[[#This Row],[Input]]&amp;"*",'Ref-List'!$B:$D,2,)</f>
        <v>RAD-D300H</v>
      </c>
      <c r="H1497" s="81" t="str">
        <f>_xlfn.XLOOKUP(表格1[[#This Row],[Model]],表格3[Model-Input-Ref2],表格3[Product Line])</f>
        <v>壓縮式抽濕機 (30公升)</v>
      </c>
      <c r="I1497" s="81" t="str">
        <f>_xlfn.XLOOKUP(表格1[[#This Row],[Model]],表格3[Model-Input-Ref2],表格3[大小電])</f>
        <v>細電</v>
      </c>
      <c r="J1497" s="81" t="str">
        <f>_xlfn.XLOOKUP(表格1[[#This Row],[Model]],表格3[Model-Input-Ref2],表格3[Code])</f>
        <v>RAC</v>
      </c>
      <c r="K1497" s="89" t="s">
        <v>1252</v>
      </c>
      <c r="L1497" s="81">
        <v>1</v>
      </c>
      <c r="M1497" s="87">
        <v>2280</v>
      </c>
      <c r="N1497" s="85">
        <f>IFERROR(表格1[[#This Row],[QTY]]*表格1[[#This Row],[Unit Price]],"-")</f>
        <v>2280</v>
      </c>
      <c r="O1497" s="142" t="s">
        <v>1594</v>
      </c>
      <c r="R1497" s="86" t="str">
        <f>_xlfn.CONCAT(表格1[[#This Row],[Model]]," ",表格1[[#This Row],[inv no]])</f>
        <v>RAD-D300H DA1418953</v>
      </c>
      <c r="S1497" s="86">
        <f>_xlfn.XLOOKUP(表格1[[#This Row],[Model]],表格3[Model-Input-Ref2],表格3[SRP PRICE])</f>
        <v>3380</v>
      </c>
      <c r="T1497" s="43">
        <f>表格1[[#This Row],[Unit Price]]/表格1[[#This Row],[SRP]]</f>
        <v>0.67455621301775148</v>
      </c>
      <c r="U1497" s="86" t="str">
        <f>_xlfn.XLOOKUP(表格1[[#This Row],[Model]],表格3[Model-Input-Ref2],表格3[TOSHIBA/HIGHEST])</f>
        <v>Shops Highest Price</v>
      </c>
      <c r="V1497" s="86" t="s">
        <v>1126</v>
      </c>
      <c r="W1497" s="86" t="str">
        <f>_xlfn.CONCAT(表格1[[#This Row],[欄4]],表格1[[#This Row],[inv no]])</f>
        <v>DA141DA1418953</v>
      </c>
    </row>
    <row r="1498" spans="1:23" hidden="1">
      <c r="A1498" s="81">
        <v>1496</v>
      </c>
      <c r="B1498" s="81" t="s">
        <v>1470</v>
      </c>
      <c r="C1498" s="81" t="s">
        <v>1374</v>
      </c>
      <c r="D1498" s="82" t="str">
        <f ca="1">OFFSET(Roster!$A$3,MATCH(表格1[[#This Row],[Location]]&amp;" "&amp;表格1[[#This Row],[Shop]]&amp;"*",Roster!$A$4:$A$72,0),DAY(表格1[[#This Row],[date]]),1,1)</f>
        <v>Daisy</v>
      </c>
      <c r="E1498" s="81">
        <f>MONTH(表格1[[#This Row],[date]])</f>
        <v>3</v>
      </c>
      <c r="F1498" s="90">
        <v>46084</v>
      </c>
      <c r="G1498" s="81" t="str">
        <f>VLOOKUP("*"&amp;表格1[[#This Row],[Input]]&amp;"*",'Ref-List'!$B:$D,2,)</f>
        <v>RAC-07G3CVRGR-HK</v>
      </c>
      <c r="H1498" s="81" t="str">
        <f>_xlfn.XLOOKUP(表格1[[#This Row],[Model]],表格3[Model-Input-Ref2],表格3[Product Line])</f>
        <v>3/4 匹 窗口式冷氣機(remote)</v>
      </c>
      <c r="I1498" s="81" t="str">
        <f>_xlfn.XLOOKUP(表格1[[#This Row],[Model]],表格3[Model-Input-Ref2],表格3[大小電])</f>
        <v>大電</v>
      </c>
      <c r="J1498" s="81" t="str">
        <f>_xlfn.XLOOKUP(表格1[[#This Row],[Model]],表格3[Model-Input-Ref2],表格3[Code])</f>
        <v>AC</v>
      </c>
      <c r="K1498" s="89" t="s">
        <v>656</v>
      </c>
      <c r="L1498" s="81">
        <v>1</v>
      </c>
      <c r="M1498" s="87">
        <v>3980</v>
      </c>
      <c r="N1498" s="85">
        <f>IFERROR(表格1[[#This Row],[QTY]]*表格1[[#This Row],[Unit Price]],"-")</f>
        <v>3980</v>
      </c>
      <c r="O1498" s="86" t="s">
        <v>1595</v>
      </c>
      <c r="R1498" s="86" t="str">
        <f>_xlfn.CONCAT(表格1[[#This Row],[Model]]," ",表格1[[#This Row],[inv no]])</f>
        <v>RAC-07G3CVRGR-HK DA1418957</v>
      </c>
      <c r="S1498" s="86">
        <f>_xlfn.XLOOKUP(表格1[[#This Row],[Model]],表格3[Model-Input-Ref2],表格3[SRP PRICE])</f>
        <v>5580</v>
      </c>
      <c r="T1498" s="43">
        <f>表格1[[#This Row],[Unit Price]]/表格1[[#This Row],[SRP]]</f>
        <v>0.71326164874551967</v>
      </c>
      <c r="U1498" s="86" t="str">
        <f>_xlfn.XLOOKUP(表格1[[#This Row],[Model]],表格3[Model-Input-Ref2],表格3[TOSHIBA/HIGHEST])</f>
        <v>Toshiba SRP</v>
      </c>
      <c r="V1498" s="86" t="s">
        <v>1126</v>
      </c>
      <c r="W1498" s="86" t="str">
        <f>_xlfn.CONCAT(表格1[[#This Row],[欄4]],表格1[[#This Row],[inv no]])</f>
        <v>DA141DA1418957</v>
      </c>
    </row>
    <row r="1499" spans="1:23" hidden="1">
      <c r="A1499" s="81">
        <v>1497</v>
      </c>
      <c r="B1499" s="81" t="s">
        <v>1470</v>
      </c>
      <c r="C1499" s="81" t="s">
        <v>1374</v>
      </c>
      <c r="D1499" s="82" t="str">
        <f ca="1">OFFSET(Roster!$A$3,MATCH(表格1[[#This Row],[Location]]&amp;" "&amp;表格1[[#This Row],[Shop]]&amp;"*",Roster!$A$4:$A$72,0),DAY(表格1[[#This Row],[date]]),1,1)</f>
        <v>Daisy</v>
      </c>
      <c r="E1499" s="81">
        <f>MONTH(表格1[[#This Row],[date]])</f>
        <v>3</v>
      </c>
      <c r="F1499" s="90">
        <v>46084</v>
      </c>
      <c r="G1499" s="81" t="str">
        <f>VLOOKUP("*"&amp;表格1[[#This Row],[Input]]&amp;"*",'Ref-List'!$B:$D,2,)</f>
        <v>RAD-D300H</v>
      </c>
      <c r="H1499" s="81" t="str">
        <f>_xlfn.XLOOKUP(表格1[[#This Row],[Model]],表格3[Model-Input-Ref2],表格3[Product Line])</f>
        <v>壓縮式抽濕機 (30公升)</v>
      </c>
      <c r="I1499" s="81" t="str">
        <f>_xlfn.XLOOKUP(表格1[[#This Row],[Model]],表格3[Model-Input-Ref2],表格3[大小電])</f>
        <v>細電</v>
      </c>
      <c r="J1499" s="81" t="str">
        <f>_xlfn.XLOOKUP(表格1[[#This Row],[Model]],表格3[Model-Input-Ref2],表格3[Code])</f>
        <v>RAC</v>
      </c>
      <c r="K1499" s="89" t="s">
        <v>1252</v>
      </c>
      <c r="L1499" s="81">
        <v>1</v>
      </c>
      <c r="M1499" s="87">
        <v>2280</v>
      </c>
      <c r="N1499" s="85">
        <f>IFERROR(表格1[[#This Row],[QTY]]*表格1[[#This Row],[Unit Price]],"-")</f>
        <v>2280</v>
      </c>
      <c r="O1499" s="86" t="s">
        <v>1596</v>
      </c>
      <c r="R1499" s="86" t="str">
        <f>_xlfn.CONCAT(表格1[[#This Row],[Model]]," ",表格1[[#This Row],[inv no]])</f>
        <v>RAD-D300H DA1418962</v>
      </c>
      <c r="S1499" s="86">
        <f>_xlfn.XLOOKUP(表格1[[#This Row],[Model]],表格3[Model-Input-Ref2],表格3[SRP PRICE])</f>
        <v>3380</v>
      </c>
      <c r="T1499" s="43">
        <f>表格1[[#This Row],[Unit Price]]/表格1[[#This Row],[SRP]]</f>
        <v>0.67455621301775148</v>
      </c>
      <c r="U1499" s="86" t="str">
        <f>_xlfn.XLOOKUP(表格1[[#This Row],[Model]],表格3[Model-Input-Ref2],表格3[TOSHIBA/HIGHEST])</f>
        <v>Shops Highest Price</v>
      </c>
      <c r="V1499" s="86" t="s">
        <v>1126</v>
      </c>
      <c r="W1499" s="86" t="str">
        <f>_xlfn.CONCAT(表格1[[#This Row],[欄4]],表格1[[#This Row],[inv no]])</f>
        <v>DA141DA1418962</v>
      </c>
    </row>
    <row r="1500" spans="1:23" hidden="1">
      <c r="A1500" s="81">
        <v>1498</v>
      </c>
      <c r="B1500" s="81" t="s">
        <v>1470</v>
      </c>
      <c r="C1500" s="81" t="s">
        <v>1374</v>
      </c>
      <c r="D1500" s="82" t="str">
        <f ca="1">OFFSET(Roster!$A$3,MATCH(表格1[[#This Row],[Location]]&amp;" "&amp;表格1[[#This Row],[Shop]]&amp;"*",Roster!$A$4:$A$72,0),DAY(表格1[[#This Row],[date]]),1,1)</f>
        <v>Daisy</v>
      </c>
      <c r="E1500" s="81">
        <f>MONTH(表格1[[#This Row],[date]])</f>
        <v>3</v>
      </c>
      <c r="F1500" s="90">
        <v>46084</v>
      </c>
      <c r="G1500" s="81" t="str">
        <f>VLOOKUP("*"&amp;表格1[[#This Row],[Input]]&amp;"*",'Ref-List'!$B:$D,2,)</f>
        <v>RAD-D300H</v>
      </c>
      <c r="H1500" s="81" t="str">
        <f>_xlfn.XLOOKUP(表格1[[#This Row],[Model]],表格3[Model-Input-Ref2],表格3[Product Line])</f>
        <v>壓縮式抽濕機 (30公升)</v>
      </c>
      <c r="I1500" s="81" t="str">
        <f>_xlfn.XLOOKUP(表格1[[#This Row],[Model]],表格3[Model-Input-Ref2],表格3[大小電])</f>
        <v>細電</v>
      </c>
      <c r="J1500" s="81" t="str">
        <f>_xlfn.XLOOKUP(表格1[[#This Row],[Model]],表格3[Model-Input-Ref2],表格3[Code])</f>
        <v>RAC</v>
      </c>
      <c r="K1500" s="89" t="s">
        <v>1252</v>
      </c>
      <c r="L1500" s="81">
        <v>1</v>
      </c>
      <c r="M1500" s="87">
        <v>2280</v>
      </c>
      <c r="N1500" s="85">
        <f>IFERROR(表格1[[#This Row],[QTY]]*表格1[[#This Row],[Unit Price]],"-")</f>
        <v>2280</v>
      </c>
      <c r="O1500" s="142" t="s">
        <v>1597</v>
      </c>
      <c r="R1500" s="86" t="str">
        <f>_xlfn.CONCAT(表格1[[#This Row],[Model]]," ",表格1[[#This Row],[inv no]])</f>
        <v>RAD-D300H DA1418998</v>
      </c>
      <c r="S1500" s="86">
        <f>_xlfn.XLOOKUP(表格1[[#This Row],[Model]],表格3[Model-Input-Ref2],表格3[SRP PRICE])</f>
        <v>3380</v>
      </c>
      <c r="T1500" s="43">
        <f>表格1[[#This Row],[Unit Price]]/表格1[[#This Row],[SRP]]</f>
        <v>0.67455621301775148</v>
      </c>
      <c r="U1500" s="86" t="str">
        <f>_xlfn.XLOOKUP(表格1[[#This Row],[Model]],表格3[Model-Input-Ref2],表格3[TOSHIBA/HIGHEST])</f>
        <v>Shops Highest Price</v>
      </c>
      <c r="V1500" s="86" t="s">
        <v>1126</v>
      </c>
      <c r="W1500" s="86" t="str">
        <f>_xlfn.CONCAT(表格1[[#This Row],[欄4]],表格1[[#This Row],[inv no]])</f>
        <v>DA141DA1418998</v>
      </c>
    </row>
    <row r="1501" spans="1:23" hidden="1">
      <c r="A1501" s="81">
        <v>1499</v>
      </c>
      <c r="B1501" s="81" t="s">
        <v>1470</v>
      </c>
      <c r="C1501" s="81" t="s">
        <v>1374</v>
      </c>
      <c r="D1501" s="82" t="str">
        <f ca="1">OFFSET(Roster!$A$3,MATCH(表格1[[#This Row],[Location]]&amp;" "&amp;表格1[[#This Row],[Shop]]&amp;"*",Roster!$A$4:$A$72,0),DAY(表格1[[#This Row],[date]]),1,1)</f>
        <v>Daisy</v>
      </c>
      <c r="E1501" s="81">
        <f>MONTH(表格1[[#This Row],[date]])</f>
        <v>3</v>
      </c>
      <c r="F1501" s="90">
        <v>46084</v>
      </c>
      <c r="G1501" s="81" t="str">
        <f>VLOOKUP("*"&amp;表格1[[#This Row],[Input]]&amp;"*",'Ref-List'!$B:$D,2,)</f>
        <v>RAD-D300H</v>
      </c>
      <c r="H1501" s="81" t="str">
        <f>_xlfn.XLOOKUP(表格1[[#This Row],[Model]],表格3[Model-Input-Ref2],表格3[Product Line])</f>
        <v>壓縮式抽濕機 (30公升)</v>
      </c>
      <c r="I1501" s="81" t="str">
        <f>_xlfn.XLOOKUP(表格1[[#This Row],[Model]],表格3[Model-Input-Ref2],表格3[大小電])</f>
        <v>細電</v>
      </c>
      <c r="J1501" s="81" t="str">
        <f>_xlfn.XLOOKUP(表格1[[#This Row],[Model]],表格3[Model-Input-Ref2],表格3[Code])</f>
        <v>RAC</v>
      </c>
      <c r="K1501" s="89" t="s">
        <v>1252</v>
      </c>
      <c r="L1501" s="81">
        <v>1</v>
      </c>
      <c r="M1501" s="87">
        <v>2280</v>
      </c>
      <c r="N1501" s="85">
        <f>IFERROR(表格1[[#This Row],[QTY]]*表格1[[#This Row],[Unit Price]],"-")</f>
        <v>2280</v>
      </c>
      <c r="O1501" s="86" t="s">
        <v>1598</v>
      </c>
      <c r="R1501" s="86" t="str">
        <f>_xlfn.CONCAT(表格1[[#This Row],[Model]]," ",表格1[[#This Row],[inv no]])</f>
        <v>RAD-D300H DA1419013</v>
      </c>
      <c r="S1501" s="86">
        <f>_xlfn.XLOOKUP(表格1[[#This Row],[Model]],表格3[Model-Input-Ref2],表格3[SRP PRICE])</f>
        <v>3380</v>
      </c>
      <c r="T1501" s="43">
        <f>表格1[[#This Row],[Unit Price]]/表格1[[#This Row],[SRP]]</f>
        <v>0.67455621301775148</v>
      </c>
      <c r="U1501" s="86" t="str">
        <f>_xlfn.XLOOKUP(表格1[[#This Row],[Model]],表格3[Model-Input-Ref2],表格3[TOSHIBA/HIGHEST])</f>
        <v>Shops Highest Price</v>
      </c>
      <c r="V1501" s="86" t="s">
        <v>1126</v>
      </c>
      <c r="W1501" s="86" t="str">
        <f>_xlfn.CONCAT(表格1[[#This Row],[欄4]],表格1[[#This Row],[inv no]])</f>
        <v>DA141DA1419013</v>
      </c>
    </row>
    <row r="1502" spans="1:23" hidden="1">
      <c r="A1502" s="81">
        <v>1500</v>
      </c>
      <c r="B1502" s="81" t="s">
        <v>1470</v>
      </c>
      <c r="C1502" s="81" t="s">
        <v>1374</v>
      </c>
      <c r="D1502" s="82" t="str">
        <f ca="1">OFFSET(Roster!$A$3,MATCH(表格1[[#This Row],[Location]]&amp;" "&amp;表格1[[#This Row],[Shop]]&amp;"*",Roster!$A$4:$A$72,0),DAY(表格1[[#This Row],[date]]),1,1)</f>
        <v>Daisy</v>
      </c>
      <c r="E1502" s="81">
        <f>MONTH(表格1[[#This Row],[date]])</f>
        <v>3</v>
      </c>
      <c r="F1502" s="90">
        <v>46084</v>
      </c>
      <c r="G1502" s="81" t="str">
        <f>VLOOKUP("*"&amp;表格1[[#This Row],[Input]]&amp;"*",'Ref-List'!$B:$D,2,)</f>
        <v>MX2-STR25SC(WH)</v>
      </c>
      <c r="H1502" s="81" t="str">
        <f>_xlfn.XLOOKUP(表格1[[#This Row],[Model]],表格3[Model-Input-Ref2],表格3[Product Line])</f>
        <v>4合1氣炸微波蒸焗爐(25公升)</v>
      </c>
      <c r="I1502" s="81" t="str">
        <f>_xlfn.XLOOKUP(表格1[[#This Row],[Model]],表格3[Model-Input-Ref2],表格3[大小電])</f>
        <v>細電</v>
      </c>
      <c r="J1502" s="81" t="str">
        <f>_xlfn.XLOOKUP(表格1[[#This Row],[Model]],表格3[Model-Input-Ref2],表格3[Code])</f>
        <v>MCA</v>
      </c>
      <c r="K1502" s="89" t="s">
        <v>1410</v>
      </c>
      <c r="L1502" s="81">
        <v>1</v>
      </c>
      <c r="M1502" s="87">
        <v>3250</v>
      </c>
      <c r="N1502" s="85">
        <f>IFERROR(表格1[[#This Row],[QTY]]*表格1[[#This Row],[Unit Price]],"-")</f>
        <v>3250</v>
      </c>
      <c r="O1502" s="86" t="s">
        <v>1599</v>
      </c>
      <c r="R1502" s="86" t="str">
        <f>_xlfn.CONCAT(表格1[[#This Row],[Model]]," ",表格1[[#This Row],[inv no]])</f>
        <v>MX2-STR25SC(WH) DA1419018</v>
      </c>
      <c r="S1502" s="86">
        <f>_xlfn.XLOOKUP(表格1[[#This Row],[Model]],表格3[Model-Input-Ref2],表格3[SRP PRICE])</f>
        <v>4998</v>
      </c>
      <c r="T1502" s="43">
        <f>表格1[[#This Row],[Unit Price]]/表格1[[#This Row],[SRP]]</f>
        <v>0.6502601040416166</v>
      </c>
      <c r="U1502" s="86" t="str">
        <f>_xlfn.XLOOKUP(表格1[[#This Row],[Model]],表格3[Model-Input-Ref2],表格3[TOSHIBA/HIGHEST])</f>
        <v>Toshiba SRP</v>
      </c>
      <c r="V1502" s="86" t="s">
        <v>1126</v>
      </c>
      <c r="W1502" s="86" t="str">
        <f>_xlfn.CONCAT(表格1[[#This Row],[欄4]],表格1[[#This Row],[inv no]])</f>
        <v>DA141DA1419018</v>
      </c>
    </row>
    <row r="1503" spans="1:23" hidden="1">
      <c r="A1503" s="81">
        <v>1501</v>
      </c>
      <c r="B1503" s="81" t="s">
        <v>1470</v>
      </c>
      <c r="C1503" s="81" t="s">
        <v>1374</v>
      </c>
      <c r="D1503" s="82" t="str">
        <f ca="1">OFFSET(Roster!$A$3,MATCH(表格1[[#This Row],[Location]]&amp;" "&amp;表格1[[#This Row],[Shop]]&amp;"*",Roster!$A$4:$A$72,0),DAY(表格1[[#This Row],[date]]),1,1)</f>
        <v>Daisy</v>
      </c>
      <c r="E1503" s="81">
        <f>MONTH(表格1[[#This Row],[date]])</f>
        <v>3</v>
      </c>
      <c r="F1503" s="90">
        <v>46085</v>
      </c>
      <c r="G1503" s="81" t="str">
        <f>VLOOKUP("*"&amp;表格1[[#This Row],[Input]]&amp;"*",'Ref-List'!$B:$D,2,)</f>
        <v>MM2-EM20PC(WH)</v>
      </c>
      <c r="H1503" s="81" t="str">
        <f>_xlfn.XLOOKUP(表格1[[#This Row],[Model]],表格3[Model-Input-Ref2],表格3[Product Line])</f>
        <v>輕觸式微波爐 (20公升)</v>
      </c>
      <c r="I1503" s="81" t="str">
        <f>_xlfn.XLOOKUP(表格1[[#This Row],[Model]],表格3[Model-Input-Ref2],表格3[大小電])</f>
        <v>細電</v>
      </c>
      <c r="J1503" s="81" t="str">
        <f>_xlfn.XLOOKUP(表格1[[#This Row],[Model]],表格3[Model-Input-Ref2],表格3[Code])</f>
        <v>MCA</v>
      </c>
      <c r="K1503" s="89" t="s">
        <v>1276</v>
      </c>
      <c r="L1503" s="81">
        <v>1</v>
      </c>
      <c r="M1503" s="87">
        <v>568</v>
      </c>
      <c r="N1503" s="85">
        <f>IFERROR(表格1[[#This Row],[QTY]]*表格1[[#This Row],[Unit Price]],"-")</f>
        <v>568</v>
      </c>
      <c r="O1503" s="86" t="s">
        <v>1600</v>
      </c>
      <c r="R1503" s="86" t="str">
        <f>_xlfn.CONCAT(表格1[[#This Row],[Model]]," ",表格1[[#This Row],[inv no]])</f>
        <v>MM2-EM20PC(WH) DA1419076</v>
      </c>
      <c r="S1503" s="86">
        <f>_xlfn.XLOOKUP(表格1[[#This Row],[Model]],表格3[Model-Input-Ref2],表格3[SRP PRICE])</f>
        <v>788</v>
      </c>
      <c r="T1503" s="43">
        <f>表格1[[#This Row],[Unit Price]]/表格1[[#This Row],[SRP]]</f>
        <v>0.7208121827411168</v>
      </c>
      <c r="U1503" s="86" t="str">
        <f>_xlfn.XLOOKUP(表格1[[#This Row],[Model]],表格3[Model-Input-Ref2],表格3[TOSHIBA/HIGHEST])</f>
        <v>Toshiba SRP</v>
      </c>
      <c r="V1503" s="86" t="s">
        <v>1126</v>
      </c>
      <c r="W1503" s="86" t="str">
        <f>_xlfn.CONCAT(表格1[[#This Row],[欄4]],表格1[[#This Row],[inv no]])</f>
        <v>DA141DA1419076</v>
      </c>
    </row>
    <row r="1504" spans="1:23" hidden="1">
      <c r="A1504" s="81">
        <v>1502</v>
      </c>
      <c r="B1504" s="81" t="s">
        <v>1470</v>
      </c>
      <c r="C1504" s="81" t="s">
        <v>1374</v>
      </c>
      <c r="D1504" s="82" t="str">
        <f ca="1">OFFSET(Roster!$A$3,MATCH(表格1[[#This Row],[Location]]&amp;" "&amp;表格1[[#This Row],[Shop]]&amp;"*",Roster!$A$4:$A$72,0),DAY(表格1[[#This Row],[date]]),1,1)</f>
        <v>Daisy</v>
      </c>
      <c r="E1504" s="81">
        <f>MONTH(表格1[[#This Row],[date]])</f>
        <v>3</v>
      </c>
      <c r="F1504" s="90">
        <v>46085</v>
      </c>
      <c r="G1504" s="81" t="str">
        <f>VLOOKUP("*"&amp;表格1[[#This Row],[Input]]&amp;"*",'Ref-List'!$B:$D,2,)</f>
        <v>MX2-STR25SC(WH)</v>
      </c>
      <c r="H1504" s="81" t="str">
        <f>_xlfn.XLOOKUP(表格1[[#This Row],[Model]],表格3[Model-Input-Ref2],表格3[Product Line])</f>
        <v>4合1氣炸微波蒸焗爐(25公升)</v>
      </c>
      <c r="I1504" s="81" t="str">
        <f>_xlfn.XLOOKUP(表格1[[#This Row],[Model]],表格3[Model-Input-Ref2],表格3[大小電])</f>
        <v>細電</v>
      </c>
      <c r="J1504" s="81" t="str">
        <f>_xlfn.XLOOKUP(表格1[[#This Row],[Model]],表格3[Model-Input-Ref2],表格3[Code])</f>
        <v>MCA</v>
      </c>
      <c r="K1504" s="89" t="s">
        <v>1410</v>
      </c>
      <c r="L1504" s="81">
        <v>1</v>
      </c>
      <c r="M1504" s="87">
        <v>3250</v>
      </c>
      <c r="N1504" s="85">
        <f>IFERROR(表格1[[#This Row],[QTY]]*表格1[[#This Row],[Unit Price]],"-")</f>
        <v>3250</v>
      </c>
      <c r="O1504" s="86" t="s">
        <v>1601</v>
      </c>
      <c r="R1504" s="86" t="str">
        <f>_xlfn.CONCAT(表格1[[#This Row],[Model]]," ",表格1[[#This Row],[inv no]])</f>
        <v>MX2-STR25SC(WH) DA1419080</v>
      </c>
      <c r="S1504" s="86">
        <f>_xlfn.XLOOKUP(表格1[[#This Row],[Model]],表格3[Model-Input-Ref2],表格3[SRP PRICE])</f>
        <v>4998</v>
      </c>
      <c r="T1504" s="43">
        <f>表格1[[#This Row],[Unit Price]]/表格1[[#This Row],[SRP]]</f>
        <v>0.6502601040416166</v>
      </c>
      <c r="U1504" s="86" t="str">
        <f>_xlfn.XLOOKUP(表格1[[#This Row],[Model]],表格3[Model-Input-Ref2],表格3[TOSHIBA/HIGHEST])</f>
        <v>Toshiba SRP</v>
      </c>
      <c r="V1504" s="86" t="s">
        <v>1126</v>
      </c>
      <c r="W1504" s="86" t="str">
        <f>_xlfn.CONCAT(表格1[[#This Row],[欄4]],表格1[[#This Row],[inv no]])</f>
        <v>DA141DA1419080</v>
      </c>
    </row>
    <row r="1505" spans="1:23" hidden="1">
      <c r="A1505" s="81">
        <v>1503</v>
      </c>
      <c r="B1505" s="81" t="s">
        <v>1470</v>
      </c>
      <c r="C1505" s="81" t="s">
        <v>1374</v>
      </c>
      <c r="D1505" s="82" t="str">
        <f ca="1">OFFSET(Roster!$A$3,MATCH(表格1[[#This Row],[Location]]&amp;" "&amp;表格1[[#This Row],[Shop]]&amp;"*",Roster!$A$4:$A$72,0),DAY(表格1[[#This Row],[date]]),1,1)</f>
        <v>Daisy</v>
      </c>
      <c r="E1505" s="81">
        <f>MONTH(表格1[[#This Row],[date]])</f>
        <v>3</v>
      </c>
      <c r="F1505" s="90">
        <v>46085</v>
      </c>
      <c r="G1505" s="81" t="str">
        <f>VLOOKUP("*"&amp;表格1[[#This Row],[Input]]&amp;"*",'Ref-List'!$B:$D,2,)</f>
        <v>RC-10ISSHK(W)</v>
      </c>
      <c r="H1505" s="81" t="str">
        <f>_xlfn.XLOOKUP(表格1[[#This Row],[Model]],表格3[Model-Input-Ref2],表格3[Product Line])</f>
        <v>磁應電飯煲(1公升)</v>
      </c>
      <c r="I1505" s="81" t="str">
        <f>_xlfn.XLOOKUP(表格1[[#This Row],[Model]],表格3[Model-Input-Ref2],表格3[大小電])</f>
        <v>細電</v>
      </c>
      <c r="J1505" s="81" t="str">
        <f>_xlfn.XLOOKUP(表格1[[#This Row],[Model]],表格3[Model-Input-Ref2],表格3[Code])</f>
        <v>SDA</v>
      </c>
      <c r="K1505" s="89" t="s">
        <v>1286</v>
      </c>
      <c r="L1505" s="81">
        <v>1</v>
      </c>
      <c r="M1505" s="87">
        <v>898</v>
      </c>
      <c r="N1505" s="85">
        <f>IFERROR(表格1[[#This Row],[QTY]]*表格1[[#This Row],[Unit Price]],"-")</f>
        <v>898</v>
      </c>
      <c r="O1505" s="142" t="s">
        <v>1602</v>
      </c>
      <c r="R1505" s="86" t="str">
        <f>_xlfn.CONCAT(表格1[[#This Row],[Model]]," ",表格1[[#This Row],[inv no]])</f>
        <v>RC-10ISSHK(W) DA1419089</v>
      </c>
      <c r="S1505" s="86">
        <f>_xlfn.XLOOKUP(表格1[[#This Row],[Model]],表格3[Model-Input-Ref2],表格3[SRP PRICE])</f>
        <v>1188</v>
      </c>
      <c r="T1505" s="43">
        <f>表格1[[#This Row],[Unit Price]]/表格1[[#This Row],[SRP]]</f>
        <v>0.75589225589225584</v>
      </c>
      <c r="U1505" s="86" t="str">
        <f>_xlfn.XLOOKUP(表格1[[#This Row],[Model]],表格3[Model-Input-Ref2],表格3[TOSHIBA/HIGHEST])</f>
        <v>Shops Highest Price</v>
      </c>
      <c r="V1505" s="86" t="s">
        <v>1126</v>
      </c>
      <c r="W1505" s="86" t="str">
        <f>_xlfn.CONCAT(表格1[[#This Row],[欄4]],表格1[[#This Row],[inv no]])</f>
        <v>DA141DA1419089</v>
      </c>
    </row>
    <row r="1506" spans="1:23" hidden="1">
      <c r="A1506" s="81">
        <v>1504</v>
      </c>
      <c r="B1506" s="81" t="s">
        <v>1470</v>
      </c>
      <c r="C1506" s="81" t="s">
        <v>1374</v>
      </c>
      <c r="D1506" s="82" t="str">
        <f ca="1">OFFSET(Roster!$A$3,MATCH(表格1[[#This Row],[Location]]&amp;" "&amp;表格1[[#This Row],[Shop]]&amp;"*",Roster!$A$4:$A$72,0),DAY(表格1[[#This Row],[date]]),1,1)</f>
        <v>Daisy</v>
      </c>
      <c r="E1506" s="81">
        <f>MONTH(表格1[[#This Row],[date]])</f>
        <v>3</v>
      </c>
      <c r="F1506" s="90">
        <v>46085</v>
      </c>
      <c r="G1506" s="81" t="str">
        <f>VLOOKUP("*"&amp;表格1[[#This Row],[Input]]&amp;"*",'Ref-List'!$B:$D,2,)</f>
        <v>KT-17DRTHK(H)</v>
      </c>
      <c r="H1506" s="81" t="str">
        <f>_xlfn.XLOOKUP(表格1[[#This Row],[Model]],表格3[Model-Input-Ref2],表格3[Product Line])</f>
        <v>無線雙層電熱水壺(1.7公升)</v>
      </c>
      <c r="I1506" s="81" t="str">
        <f>_xlfn.XLOOKUP(表格1[[#This Row],[Model]],表格3[Model-Input-Ref2],表格3[大小電])</f>
        <v>細電</v>
      </c>
      <c r="J1506" s="81" t="str">
        <f>_xlfn.XLOOKUP(表格1[[#This Row],[Model]],表格3[Model-Input-Ref2],表格3[Code])</f>
        <v>SDA</v>
      </c>
      <c r="K1506" s="89" t="s">
        <v>1271</v>
      </c>
      <c r="L1506" s="81">
        <v>1</v>
      </c>
      <c r="M1506" s="87">
        <v>358</v>
      </c>
      <c r="N1506" s="85">
        <f>IFERROR(表格1[[#This Row],[QTY]]*表格1[[#This Row],[Unit Price]],"-")</f>
        <v>358</v>
      </c>
      <c r="O1506" s="86" t="s">
        <v>1603</v>
      </c>
      <c r="R1506" s="86" t="str">
        <f>_xlfn.CONCAT(表格1[[#This Row],[Model]]," ",表格1[[#This Row],[inv no]])</f>
        <v>KT-17DRTHK(H) DA1419098</v>
      </c>
      <c r="S1506" s="86">
        <f>_xlfn.XLOOKUP(表格1[[#This Row],[Model]],表格3[Model-Input-Ref2],表格3[SRP PRICE])</f>
        <v>498</v>
      </c>
      <c r="T1506" s="43">
        <f>表格1[[#This Row],[Unit Price]]/表格1[[#This Row],[SRP]]</f>
        <v>0.71887550200803207</v>
      </c>
      <c r="U1506" s="86" t="str">
        <f>_xlfn.XLOOKUP(表格1[[#This Row],[Model]],表格3[Model-Input-Ref2],表格3[TOSHIBA/HIGHEST])</f>
        <v>Toshiba SRP</v>
      </c>
      <c r="V1506" s="86" t="s">
        <v>1126</v>
      </c>
      <c r="W1506" s="86" t="str">
        <f>_xlfn.CONCAT(表格1[[#This Row],[欄4]],表格1[[#This Row],[inv no]])</f>
        <v>DA141DA1419098</v>
      </c>
    </row>
    <row r="1507" spans="1:23" hidden="1">
      <c r="A1507" s="81">
        <v>1505</v>
      </c>
      <c r="B1507" s="81" t="s">
        <v>1470</v>
      </c>
      <c r="C1507" s="81" t="s">
        <v>1374</v>
      </c>
      <c r="D1507" s="82" t="str">
        <f ca="1">OFFSET(Roster!$A$3,MATCH(表格1[[#This Row],[Location]]&amp;" "&amp;表格1[[#This Row],[Shop]]&amp;"*",Roster!$A$4:$A$72,0),DAY(表格1[[#This Row],[date]]),1,1)</f>
        <v>Daisy</v>
      </c>
      <c r="E1507" s="81">
        <f>MONTH(表格1[[#This Row],[date]])</f>
        <v>3</v>
      </c>
      <c r="F1507" s="90">
        <v>46085</v>
      </c>
      <c r="G1507" s="81" t="str">
        <f>VLOOKUP("*"&amp;表格1[[#This Row],[Input]]&amp;"*",'Ref-List'!$B:$D,2,)</f>
        <v>RC-10BHH(W)</v>
      </c>
      <c r="H1507" s="81" t="str">
        <f>_xlfn.XLOOKUP(表格1[[#This Row],[Model]],表格3[Model-Input-Ref2],表格3[Product Line])</f>
        <v>酵活炊磁應電飯煲</v>
      </c>
      <c r="I1507" s="81" t="str">
        <f>_xlfn.XLOOKUP(表格1[[#This Row],[Model]],表格3[Model-Input-Ref2],表格3[大小電])</f>
        <v>細電</v>
      </c>
      <c r="J1507" s="81" t="str">
        <f>_xlfn.XLOOKUP(表格1[[#This Row],[Model]],表格3[Model-Input-Ref2],表格3[Code])</f>
        <v>SDA</v>
      </c>
      <c r="K1507" s="89" t="s">
        <v>1269</v>
      </c>
      <c r="L1507" s="81">
        <v>1</v>
      </c>
      <c r="M1507" s="87">
        <v>1700</v>
      </c>
      <c r="N1507" s="85">
        <f>IFERROR(表格1[[#This Row],[QTY]]*表格1[[#This Row],[Unit Price]],"-")</f>
        <v>1700</v>
      </c>
      <c r="O1507" s="86" t="s">
        <v>1604</v>
      </c>
      <c r="R1507" s="86" t="str">
        <f>_xlfn.CONCAT(表格1[[#This Row],[Model]]," ",表格1[[#This Row],[inv no]])</f>
        <v>RC-10BHH(W) DA1419100</v>
      </c>
      <c r="S1507" s="86">
        <f>_xlfn.XLOOKUP(表格1[[#This Row],[Model]],表格3[Model-Input-Ref2],表格3[SRP PRICE])</f>
        <v>2088</v>
      </c>
      <c r="T1507" s="43">
        <f>表格1[[#This Row],[Unit Price]]/表格1[[#This Row],[SRP]]</f>
        <v>0.81417624521072796</v>
      </c>
      <c r="U1507" s="86" t="str">
        <f>_xlfn.XLOOKUP(表格1[[#This Row],[Model]],表格3[Model-Input-Ref2],表格3[TOSHIBA/HIGHEST])</f>
        <v>Shops Highest Price</v>
      </c>
      <c r="V1507" s="86" t="s">
        <v>1126</v>
      </c>
      <c r="W1507" s="86" t="str">
        <f>_xlfn.CONCAT(表格1[[#This Row],[欄4]],表格1[[#This Row],[inv no]])</f>
        <v>DA141DA1419100</v>
      </c>
    </row>
    <row r="1508" spans="1:23" hidden="1">
      <c r="A1508" s="81">
        <v>1506</v>
      </c>
      <c r="B1508" s="81" t="s">
        <v>1470</v>
      </c>
      <c r="C1508" s="81" t="s">
        <v>1374</v>
      </c>
      <c r="D1508" s="82" t="str">
        <f ca="1">OFFSET(Roster!$A$3,MATCH(表格1[[#This Row],[Location]]&amp;" "&amp;表格1[[#This Row],[Shop]]&amp;"*",Roster!$A$4:$A$72,0),DAY(表格1[[#This Row],[date]]),1,1)</f>
        <v>Daisy</v>
      </c>
      <c r="E1508" s="81">
        <f>MONTH(表格1[[#This Row],[date]])</f>
        <v>3</v>
      </c>
      <c r="F1508" s="90">
        <v>46085</v>
      </c>
      <c r="G1508" s="81" t="str">
        <f>VLOOKUP("*"&amp;表格1[[#This Row],[Input]]&amp;"*",'Ref-List'!$B:$D,2,)</f>
        <v>RAD-D200H</v>
      </c>
      <c r="H1508" s="81" t="str">
        <f>_xlfn.XLOOKUP(表格1[[#This Row],[Model]],表格3[Model-Input-Ref2],表格3[Product Line])</f>
        <v>壓縮式抽濕機 (22公升)</v>
      </c>
      <c r="I1508" s="81" t="str">
        <f>_xlfn.XLOOKUP(表格1[[#This Row],[Model]],表格3[Model-Input-Ref2],表格3[大小電])</f>
        <v>細電</v>
      </c>
      <c r="J1508" s="81" t="str">
        <f>_xlfn.XLOOKUP(表格1[[#This Row],[Model]],表格3[Model-Input-Ref2],表格3[Code])</f>
        <v>RAC</v>
      </c>
      <c r="K1508" s="89" t="s">
        <v>1250</v>
      </c>
      <c r="L1508" s="81">
        <v>1</v>
      </c>
      <c r="M1508" s="87">
        <v>2180</v>
      </c>
      <c r="N1508" s="85">
        <f>IFERROR(表格1[[#This Row],[QTY]]*表格1[[#This Row],[Unit Price]],"-")</f>
        <v>2180</v>
      </c>
      <c r="O1508" s="142" t="s">
        <v>1605</v>
      </c>
      <c r="R1508" s="86" t="str">
        <f>_xlfn.CONCAT(表格1[[#This Row],[Model]]," ",表格1[[#This Row],[inv no]])</f>
        <v>RAD-D200H DA1419112</v>
      </c>
      <c r="S1508" s="86">
        <f>_xlfn.XLOOKUP(表格1[[#This Row],[Model]],表格3[Model-Input-Ref2],表格3[SRP PRICE])</f>
        <v>2880</v>
      </c>
      <c r="T1508" s="43">
        <f>表格1[[#This Row],[Unit Price]]/表格1[[#This Row],[SRP]]</f>
        <v>0.75694444444444442</v>
      </c>
      <c r="U1508" s="86" t="str">
        <f>_xlfn.XLOOKUP(表格1[[#This Row],[Model]],表格3[Model-Input-Ref2],表格3[TOSHIBA/HIGHEST])</f>
        <v>Shops Highest Price</v>
      </c>
      <c r="V1508" s="86" t="s">
        <v>1126</v>
      </c>
      <c r="W1508" s="86" t="str">
        <f>_xlfn.CONCAT(表格1[[#This Row],[欄4]],表格1[[#This Row],[inv no]])</f>
        <v>DA141DA1419112</v>
      </c>
    </row>
    <row r="1509" spans="1:23" hidden="1">
      <c r="A1509" s="81">
        <v>1507</v>
      </c>
      <c r="B1509" s="81" t="s">
        <v>1470</v>
      </c>
      <c r="C1509" s="81" t="s">
        <v>1374</v>
      </c>
      <c r="D1509" s="82" t="str">
        <f ca="1">OFFSET(Roster!$A$3,MATCH(表格1[[#This Row],[Location]]&amp;" "&amp;表格1[[#This Row],[Shop]]&amp;"*",Roster!$A$4:$A$72,0),DAY(表格1[[#This Row],[date]]),1,1)</f>
        <v>Daisy</v>
      </c>
      <c r="E1509" s="81">
        <f>MONTH(表格1[[#This Row],[date]])</f>
        <v>3</v>
      </c>
      <c r="F1509" s="90">
        <v>46085</v>
      </c>
      <c r="G1509" s="81" t="str">
        <f>VLOOKUP("*"&amp;表格1[[#This Row],[Input]]&amp;"*",'Ref-List'!$B:$D,2,)</f>
        <v>RC-10ISSHK(W)</v>
      </c>
      <c r="H1509" s="81" t="str">
        <f>_xlfn.XLOOKUP(表格1[[#This Row],[Model]],表格3[Model-Input-Ref2],表格3[Product Line])</f>
        <v>磁應電飯煲(1公升)</v>
      </c>
      <c r="I1509" s="81" t="str">
        <f>_xlfn.XLOOKUP(表格1[[#This Row],[Model]],表格3[Model-Input-Ref2],表格3[大小電])</f>
        <v>細電</v>
      </c>
      <c r="J1509" s="81" t="str">
        <f>_xlfn.XLOOKUP(表格1[[#This Row],[Model]],表格3[Model-Input-Ref2],表格3[Code])</f>
        <v>SDA</v>
      </c>
      <c r="K1509" s="89" t="s">
        <v>1286</v>
      </c>
      <c r="L1509" s="81">
        <v>1</v>
      </c>
      <c r="M1509" s="87">
        <v>898</v>
      </c>
      <c r="N1509" s="85">
        <f>IFERROR(表格1[[#This Row],[QTY]]*表格1[[#This Row],[Unit Price]],"-")</f>
        <v>898</v>
      </c>
      <c r="O1509" s="86" t="s">
        <v>1606</v>
      </c>
      <c r="R1509" s="86" t="str">
        <f>_xlfn.CONCAT(表格1[[#This Row],[Model]]," ",表格1[[#This Row],[inv no]])</f>
        <v>RC-10ISSHK(W) DA1419124</v>
      </c>
      <c r="S1509" s="86">
        <f>_xlfn.XLOOKUP(表格1[[#This Row],[Model]],表格3[Model-Input-Ref2],表格3[SRP PRICE])</f>
        <v>1188</v>
      </c>
      <c r="T1509" s="43">
        <f>表格1[[#This Row],[Unit Price]]/表格1[[#This Row],[SRP]]</f>
        <v>0.75589225589225584</v>
      </c>
      <c r="U1509" s="86" t="str">
        <f>_xlfn.XLOOKUP(表格1[[#This Row],[Model]],表格3[Model-Input-Ref2],表格3[TOSHIBA/HIGHEST])</f>
        <v>Shops Highest Price</v>
      </c>
      <c r="V1509" s="86" t="s">
        <v>1126</v>
      </c>
      <c r="W1509" s="86" t="str">
        <f>_xlfn.CONCAT(表格1[[#This Row],[欄4]],表格1[[#This Row],[inv no]])</f>
        <v>DA141DA1419124</v>
      </c>
    </row>
    <row r="1510" spans="1:23" hidden="1">
      <c r="A1510" s="81">
        <v>1508</v>
      </c>
      <c r="B1510" s="81" t="s">
        <v>1470</v>
      </c>
      <c r="C1510" s="81" t="s">
        <v>1374</v>
      </c>
      <c r="D1510" s="82" t="str">
        <f ca="1">OFFSET(Roster!$A$3,MATCH(表格1[[#This Row],[Location]]&amp;" "&amp;表格1[[#This Row],[Shop]]&amp;"*",Roster!$A$4:$A$72,0),DAY(表格1[[#This Row],[date]]),1,1)</f>
        <v>Daisy</v>
      </c>
      <c r="E1510" s="81">
        <f>MONTH(表格1[[#This Row],[date]])</f>
        <v>3</v>
      </c>
      <c r="F1510" s="90">
        <v>46085</v>
      </c>
      <c r="G1510" s="81" t="str">
        <f>VLOOKUP("*"&amp;表格1[[#This Row],[Input]]&amp;"*",'Ref-List'!$B:$D,2,)</f>
        <v>DW-05T2-HK</v>
      </c>
      <c r="H1510" s="81" t="str">
        <f>_xlfn.XLOOKUP(表格1[[#This Row],[Model]],表格3[Model-Input-Ref2],表格3[Product Line])</f>
        <v>座檯式洗碗碟機</v>
      </c>
      <c r="I1510" s="81" t="str">
        <f>_xlfn.XLOOKUP(表格1[[#This Row],[Model]],表格3[Model-Input-Ref2],表格3[大小電])</f>
        <v>細電</v>
      </c>
      <c r="J1510" s="81" t="str">
        <f>_xlfn.XLOOKUP(表格1[[#This Row],[Model]],表格3[Model-Input-Ref2],表格3[Code])</f>
        <v>DW</v>
      </c>
      <c r="K1510" s="89" t="s">
        <v>1475</v>
      </c>
      <c r="L1510" s="81">
        <v>1</v>
      </c>
      <c r="M1510" s="87">
        <v>3498</v>
      </c>
      <c r="N1510" s="85">
        <f>IFERROR(表格1[[#This Row],[QTY]]*表格1[[#This Row],[Unit Price]],"-")</f>
        <v>3498</v>
      </c>
      <c r="O1510" s="86" t="s">
        <v>1607</v>
      </c>
      <c r="R1510" s="86" t="str">
        <f>_xlfn.CONCAT(表格1[[#This Row],[Model]]," ",表格1[[#This Row],[inv no]])</f>
        <v>DW-05T2-HK DA1419164</v>
      </c>
      <c r="S1510" s="86">
        <f>_xlfn.XLOOKUP(表格1[[#This Row],[Model]],表格3[Model-Input-Ref2],表格3[SRP PRICE])</f>
        <v>4580</v>
      </c>
      <c r="T1510" s="43">
        <f>表格1[[#This Row],[Unit Price]]/表格1[[#This Row],[SRP]]</f>
        <v>0.76375545851528381</v>
      </c>
      <c r="U1510" s="86" t="str">
        <f>_xlfn.XLOOKUP(表格1[[#This Row],[Model]],表格3[Model-Input-Ref2],表格3[TOSHIBA/HIGHEST])</f>
        <v>Toshiba SRP</v>
      </c>
      <c r="V1510" s="86" t="s">
        <v>1126</v>
      </c>
      <c r="W1510" s="86" t="str">
        <f>_xlfn.CONCAT(表格1[[#This Row],[欄4]],表格1[[#This Row],[inv no]])</f>
        <v>DA141DA1419164</v>
      </c>
    </row>
    <row r="1511" spans="1:23" hidden="1">
      <c r="A1511" s="81">
        <v>1509</v>
      </c>
      <c r="B1511" s="81" t="s">
        <v>1470</v>
      </c>
      <c r="C1511" s="81" t="s">
        <v>1374</v>
      </c>
      <c r="D1511" s="82" t="str">
        <f ca="1">OFFSET(Roster!$A$3,MATCH(表格1[[#This Row],[Location]]&amp;" "&amp;表格1[[#This Row],[Shop]]&amp;"*",Roster!$A$4:$A$72,0),DAY(表格1[[#This Row],[date]]),1,1)</f>
        <v>Daisy</v>
      </c>
      <c r="E1511" s="81">
        <f>MONTH(表格1[[#This Row],[date]])</f>
        <v>3</v>
      </c>
      <c r="F1511" s="90">
        <v>46088</v>
      </c>
      <c r="G1511" s="81" t="str">
        <f>VLOOKUP("*"&amp;表格1[[#This Row],[Input]]&amp;"*",'Ref-List'!$B:$D,2,)</f>
        <v>MS3-STQ20SC(WH)</v>
      </c>
      <c r="H1511" s="81" t="str">
        <f>_xlfn.XLOOKUP(表格1[[#This Row],[Model]],表格3[Model-Input-Ref2],表格3[Product Line])</f>
        <v>20L 智能蒸氣焗爐</v>
      </c>
      <c r="I1511" s="81" t="str">
        <f>_xlfn.XLOOKUP(表格1[[#This Row],[Model]],表格3[Model-Input-Ref2],表格3[大小電])</f>
        <v>細電</v>
      </c>
      <c r="J1511" s="81" t="str">
        <f>_xlfn.XLOOKUP(表格1[[#This Row],[Model]],表格3[Model-Input-Ref2],表格3[Code])</f>
        <v>MCA</v>
      </c>
      <c r="K1511" s="89" t="s">
        <v>1383</v>
      </c>
      <c r="L1511" s="81">
        <v>1</v>
      </c>
      <c r="M1511" s="87">
        <v>1998</v>
      </c>
      <c r="N1511" s="85">
        <f>IFERROR(表格1[[#This Row],[QTY]]*表格1[[#This Row],[Unit Price]],"-")</f>
        <v>1998</v>
      </c>
      <c r="O1511" s="86" t="s">
        <v>1608</v>
      </c>
      <c r="R1511" s="86" t="str">
        <f>_xlfn.CONCAT(表格1[[#This Row],[Model]]," ",表格1[[#This Row],[inv no]])</f>
        <v>MS3-STQ20SC(WH) DA1419220</v>
      </c>
      <c r="S1511" s="86">
        <f>_xlfn.XLOOKUP(表格1[[#This Row],[Model]],表格3[Model-Input-Ref2],表格3[SRP PRICE])</f>
        <v>2880</v>
      </c>
      <c r="T1511" s="43">
        <f>表格1[[#This Row],[Unit Price]]/表格1[[#This Row],[SRP]]</f>
        <v>0.69374999999999998</v>
      </c>
      <c r="U1511" s="86" t="str">
        <f>_xlfn.XLOOKUP(表格1[[#This Row],[Model]],表格3[Model-Input-Ref2],表格3[TOSHIBA/HIGHEST])</f>
        <v>Toshiba SRP</v>
      </c>
      <c r="V1511" s="86" t="s">
        <v>1126</v>
      </c>
      <c r="W1511" s="86" t="str">
        <f>_xlfn.CONCAT(表格1[[#This Row],[欄4]],表格1[[#This Row],[inv no]])</f>
        <v>DA141DA1419220</v>
      </c>
    </row>
    <row r="1512" spans="1:23" hidden="1">
      <c r="A1512" s="81">
        <v>1510</v>
      </c>
      <c r="B1512" s="81" t="s">
        <v>1470</v>
      </c>
      <c r="C1512" s="81" t="s">
        <v>1374</v>
      </c>
      <c r="D1512" s="82" t="str">
        <f ca="1">OFFSET(Roster!$A$3,MATCH(表格1[[#This Row],[Location]]&amp;" "&amp;表格1[[#This Row],[Shop]]&amp;"*",Roster!$A$4:$A$72,0),DAY(表格1[[#This Row],[date]]),1,1)</f>
        <v>Daisy</v>
      </c>
      <c r="E1512" s="81">
        <f>MONTH(表格1[[#This Row],[date]])</f>
        <v>3</v>
      </c>
      <c r="F1512" s="90">
        <v>46088</v>
      </c>
      <c r="G1512" s="81" t="str">
        <f>VLOOKUP("*"&amp;表格1[[#This Row],[Input]]&amp;"*",'Ref-List'!$B:$D,2,)</f>
        <v>VC-CLS1BF(R)</v>
      </c>
      <c r="H1512" s="81" t="str">
        <f>_xlfn.XLOOKUP(表格1[[#This Row],[Model]],表格3[Model-Input-Ref2],表格3[Product Line])</f>
        <v>超輕巧2合1無線吸塵機</v>
      </c>
      <c r="I1512" s="81" t="str">
        <f>_xlfn.XLOOKUP(表格1[[#This Row],[Model]],表格3[Model-Input-Ref2],表格3[大小電])</f>
        <v>細電</v>
      </c>
      <c r="J1512" s="81" t="str">
        <f>_xlfn.XLOOKUP(表格1[[#This Row],[Model]],表格3[Model-Input-Ref2],表格3[Code])</f>
        <v>MCA</v>
      </c>
      <c r="K1512" s="89" t="s">
        <v>1265</v>
      </c>
      <c r="L1512" s="81">
        <v>1</v>
      </c>
      <c r="M1512" s="87">
        <v>1088</v>
      </c>
      <c r="N1512" s="85">
        <f>IFERROR(表格1[[#This Row],[QTY]]*表格1[[#This Row],[Unit Price]],"-")</f>
        <v>1088</v>
      </c>
      <c r="O1512" s="86" t="s">
        <v>1609</v>
      </c>
      <c r="R1512" s="86" t="str">
        <f>_xlfn.CONCAT(表格1[[#This Row],[Model]]," ",表格1[[#This Row],[inv no]])</f>
        <v>VC-CLS1BF(R) DA1419278</v>
      </c>
      <c r="S1512" s="86">
        <f>_xlfn.XLOOKUP(表格1[[#This Row],[Model]],表格3[Model-Input-Ref2],表格3[SRP PRICE])</f>
        <v>1888</v>
      </c>
      <c r="T1512" s="43">
        <f>表格1[[#This Row],[Unit Price]]/表格1[[#This Row],[SRP]]</f>
        <v>0.57627118644067798</v>
      </c>
      <c r="U1512" s="86" t="str">
        <f>_xlfn.XLOOKUP(表格1[[#This Row],[Model]],表格3[Model-Input-Ref2],表格3[TOSHIBA/HIGHEST])</f>
        <v>Toshiba SRP</v>
      </c>
      <c r="V1512" s="86" t="s">
        <v>1126</v>
      </c>
      <c r="W1512" s="86" t="str">
        <f>_xlfn.CONCAT(表格1[[#This Row],[欄4]],表格1[[#This Row],[inv no]])</f>
        <v>DA141DA1419278</v>
      </c>
    </row>
    <row r="1513" spans="1:23" hidden="1">
      <c r="A1513" s="81">
        <v>1511</v>
      </c>
      <c r="B1513" s="81" t="s">
        <v>1470</v>
      </c>
      <c r="C1513" s="81" t="s">
        <v>1374</v>
      </c>
      <c r="D1513" s="82" t="str">
        <f ca="1">OFFSET(Roster!$A$3,MATCH(表格1[[#This Row],[Location]]&amp;" "&amp;表格1[[#This Row],[Shop]]&amp;"*",Roster!$A$4:$A$72,0),DAY(表格1[[#This Row],[date]]),1,1)</f>
        <v>Daisy</v>
      </c>
      <c r="E1513" s="81">
        <f>MONTH(表格1[[#This Row],[date]])</f>
        <v>3</v>
      </c>
      <c r="F1513" s="90">
        <v>46088</v>
      </c>
      <c r="G1513" s="81" t="str">
        <f>VLOOKUP("*"&amp;表格1[[#This Row],[Input]]&amp;"*",'Ref-List'!$B:$D,2,)</f>
        <v>TP-25DR2UHK(W)</v>
      </c>
      <c r="H1513" s="81" t="str">
        <f>_xlfn.XLOOKUP(表格1[[#This Row],[Model]],表格3[Model-Input-Ref2],表格3[Product Line])</f>
        <v>電熱水瓶 (2.5公升)</v>
      </c>
      <c r="I1513" s="81" t="str">
        <f>_xlfn.XLOOKUP(表格1[[#This Row],[Model]],表格3[Model-Input-Ref2],表格3[大小電])</f>
        <v>細電</v>
      </c>
      <c r="J1513" s="81" t="str">
        <f>_xlfn.XLOOKUP(表格1[[#This Row],[Model]],表格3[Model-Input-Ref2],表格3[Code])</f>
        <v>SDA</v>
      </c>
      <c r="K1513" s="89" t="s">
        <v>1285</v>
      </c>
      <c r="L1513" s="81">
        <v>1</v>
      </c>
      <c r="M1513" s="87">
        <v>398</v>
      </c>
      <c r="N1513" s="85">
        <f>IFERROR(表格1[[#This Row],[QTY]]*表格1[[#This Row],[Unit Price]],"-")</f>
        <v>398</v>
      </c>
      <c r="O1513" s="86" t="s">
        <v>1610</v>
      </c>
      <c r="R1513" s="86" t="str">
        <f>_xlfn.CONCAT(表格1[[#This Row],[Model]]," ",表格1[[#This Row],[inv no]])</f>
        <v>TP-25DR2UHK(W) DA1419284</v>
      </c>
      <c r="S1513" s="86">
        <f>_xlfn.XLOOKUP(表格1[[#This Row],[Model]],表格3[Model-Input-Ref2],表格3[SRP PRICE])</f>
        <v>538</v>
      </c>
      <c r="T1513" s="43">
        <f>表格1[[#This Row],[Unit Price]]/表格1[[#This Row],[SRP]]</f>
        <v>0.7397769516728625</v>
      </c>
      <c r="U1513" s="86" t="str">
        <f>_xlfn.XLOOKUP(表格1[[#This Row],[Model]],表格3[Model-Input-Ref2],表格3[TOSHIBA/HIGHEST])</f>
        <v>Toshiba SRP</v>
      </c>
      <c r="V1513" s="86" t="s">
        <v>1126</v>
      </c>
      <c r="W1513" s="86" t="str">
        <f>_xlfn.CONCAT(表格1[[#This Row],[欄4]],表格1[[#This Row],[inv no]])</f>
        <v>DA141DA1419284</v>
      </c>
    </row>
    <row r="1514" spans="1:23" hidden="1">
      <c r="A1514" s="81">
        <v>1512</v>
      </c>
      <c r="B1514" s="81" t="s">
        <v>1470</v>
      </c>
      <c r="C1514" s="81" t="s">
        <v>1374</v>
      </c>
      <c r="D1514" s="82" t="str">
        <f ca="1">OFFSET(Roster!$A$3,MATCH(表格1[[#This Row],[Location]]&amp;" "&amp;表格1[[#This Row],[Shop]]&amp;"*",Roster!$A$4:$A$72,0),DAY(表格1[[#This Row],[date]]),1,1)</f>
        <v>Daisy</v>
      </c>
      <c r="E1514" s="81">
        <f>MONTH(表格1[[#This Row],[date]])</f>
        <v>3</v>
      </c>
      <c r="F1514" s="90">
        <v>46088</v>
      </c>
      <c r="G1514" s="81" t="str">
        <f>VLOOKUP("*"&amp;表格1[[#This Row],[Input]]&amp;"*",'Ref-List'!$B:$D,2,)</f>
        <v>DW-05T2-HK</v>
      </c>
      <c r="H1514" s="81" t="str">
        <f>_xlfn.XLOOKUP(表格1[[#This Row],[Model]],表格3[Model-Input-Ref2],表格3[Product Line])</f>
        <v>座檯式洗碗碟機</v>
      </c>
      <c r="I1514" s="81" t="str">
        <f>_xlfn.XLOOKUP(表格1[[#This Row],[Model]],表格3[Model-Input-Ref2],表格3[大小電])</f>
        <v>細電</v>
      </c>
      <c r="J1514" s="81" t="str">
        <f>_xlfn.XLOOKUP(表格1[[#This Row],[Model]],表格3[Model-Input-Ref2],表格3[Code])</f>
        <v>DW</v>
      </c>
      <c r="K1514" s="89" t="s">
        <v>1475</v>
      </c>
      <c r="L1514" s="81">
        <v>1</v>
      </c>
      <c r="M1514" s="87">
        <v>3499</v>
      </c>
      <c r="N1514" s="85">
        <f>IFERROR(表格1[[#This Row],[QTY]]*表格1[[#This Row],[Unit Price]],"-")</f>
        <v>3499</v>
      </c>
      <c r="O1514" s="86" t="s">
        <v>1611</v>
      </c>
      <c r="R1514" s="86" t="str">
        <f>_xlfn.CONCAT(表格1[[#This Row],[Model]]," ",表格1[[#This Row],[inv no]])</f>
        <v>DW-05T2-HK DA1419292</v>
      </c>
      <c r="S1514" s="86">
        <f>_xlfn.XLOOKUP(表格1[[#This Row],[Model]],表格3[Model-Input-Ref2],表格3[SRP PRICE])</f>
        <v>4580</v>
      </c>
      <c r="T1514" s="43">
        <f>表格1[[#This Row],[Unit Price]]/表格1[[#This Row],[SRP]]</f>
        <v>0.76397379912663754</v>
      </c>
      <c r="U1514" s="86" t="str">
        <f>_xlfn.XLOOKUP(表格1[[#This Row],[Model]],表格3[Model-Input-Ref2],表格3[TOSHIBA/HIGHEST])</f>
        <v>Toshiba SRP</v>
      </c>
      <c r="V1514" s="86" t="s">
        <v>1126</v>
      </c>
      <c r="W1514" s="86" t="str">
        <f>_xlfn.CONCAT(表格1[[#This Row],[欄4]],表格1[[#This Row],[inv no]])</f>
        <v>DA141DA1419292</v>
      </c>
    </row>
    <row r="1515" spans="1:23" hidden="1">
      <c r="A1515" s="81">
        <v>1513</v>
      </c>
      <c r="B1515" s="81" t="s">
        <v>1470</v>
      </c>
      <c r="C1515" s="81" t="s">
        <v>1374</v>
      </c>
      <c r="D1515" s="82" t="str">
        <f ca="1">OFFSET(Roster!$A$3,MATCH(表格1[[#This Row],[Location]]&amp;" "&amp;表格1[[#This Row],[Shop]]&amp;"*",Roster!$A$4:$A$72,0),DAY(表格1[[#This Row],[date]]),1,1)</f>
        <v>Daisy</v>
      </c>
      <c r="E1515" s="81">
        <f>MONTH(表格1[[#This Row],[date]])</f>
        <v>3</v>
      </c>
      <c r="F1515" s="90">
        <v>46088</v>
      </c>
      <c r="G1515" s="81" t="str">
        <f>VLOOKUP("*"&amp;表格1[[#This Row],[Input]]&amp;"*",'Ref-List'!$B:$D,2,)</f>
        <v>TP-25DR2UHK(W)</v>
      </c>
      <c r="H1515" s="81" t="str">
        <f>_xlfn.XLOOKUP(表格1[[#This Row],[Model]],表格3[Model-Input-Ref2],表格3[Product Line])</f>
        <v>電熱水瓶 (2.5公升)</v>
      </c>
      <c r="I1515" s="81" t="str">
        <f>_xlfn.XLOOKUP(表格1[[#This Row],[Model]],表格3[Model-Input-Ref2],表格3[大小電])</f>
        <v>細電</v>
      </c>
      <c r="J1515" s="81" t="str">
        <f>_xlfn.XLOOKUP(表格1[[#This Row],[Model]],表格3[Model-Input-Ref2],表格3[Code])</f>
        <v>SDA</v>
      </c>
      <c r="K1515" s="89" t="s">
        <v>1285</v>
      </c>
      <c r="L1515" s="81">
        <v>1</v>
      </c>
      <c r="M1515" s="87">
        <v>398</v>
      </c>
      <c r="N1515" s="85">
        <f>IFERROR(表格1[[#This Row],[QTY]]*表格1[[#This Row],[Unit Price]],"-")</f>
        <v>398</v>
      </c>
      <c r="O1515" s="142" t="s">
        <v>1612</v>
      </c>
      <c r="R1515" s="86" t="str">
        <f>_xlfn.CONCAT(表格1[[#This Row],[Model]]," ",表格1[[#This Row],[inv no]])</f>
        <v>TP-25DR2UHK(W) DA1419339</v>
      </c>
      <c r="S1515" s="86">
        <f>_xlfn.XLOOKUP(表格1[[#This Row],[Model]],表格3[Model-Input-Ref2],表格3[SRP PRICE])</f>
        <v>538</v>
      </c>
      <c r="T1515" s="43">
        <f>表格1[[#This Row],[Unit Price]]/表格1[[#This Row],[SRP]]</f>
        <v>0.7397769516728625</v>
      </c>
      <c r="U1515" s="86" t="str">
        <f>_xlfn.XLOOKUP(表格1[[#This Row],[Model]],表格3[Model-Input-Ref2],表格3[TOSHIBA/HIGHEST])</f>
        <v>Toshiba SRP</v>
      </c>
      <c r="V1515" s="86" t="s">
        <v>1126</v>
      </c>
      <c r="W1515" s="86" t="str">
        <f>_xlfn.CONCAT(表格1[[#This Row],[欄4]],表格1[[#This Row],[inv no]])</f>
        <v>DA141DA1419339</v>
      </c>
    </row>
    <row r="1516" spans="1:23" hidden="1">
      <c r="A1516" s="81">
        <v>1514</v>
      </c>
      <c r="B1516" s="81" t="s">
        <v>1470</v>
      </c>
      <c r="C1516" s="81" t="s">
        <v>1374</v>
      </c>
      <c r="D1516" s="82" t="str">
        <f ca="1">OFFSET(Roster!$A$3,MATCH(表格1[[#This Row],[Location]]&amp;" "&amp;表格1[[#This Row],[Shop]]&amp;"*",Roster!$A$4:$A$72,0),DAY(表格1[[#This Row],[date]]),1,1)</f>
        <v>Daisy</v>
      </c>
      <c r="E1516" s="81">
        <f>MONTH(表格1[[#This Row],[date]])</f>
        <v>3</v>
      </c>
      <c r="F1516" s="90">
        <v>46088</v>
      </c>
      <c r="G1516" s="81" t="str">
        <f>VLOOKUP("*"&amp;表格1[[#This Row],[Input]]&amp;"*",'Ref-List'!$B:$D,2,)</f>
        <v>RC-10NMFIH(WT)</v>
      </c>
      <c r="H1516" s="81" t="str">
        <f>_xlfn.XLOOKUP(表格1[[#This Row],[Model]],表格3[Model-Input-Ref2],表格3[Product Line])</f>
        <v>4毫米厚釜電飯煲1L</v>
      </c>
      <c r="I1516" s="81" t="str">
        <f>_xlfn.XLOOKUP(表格1[[#This Row],[Model]],表格3[Model-Input-Ref2],表格3[大小電])</f>
        <v>細電</v>
      </c>
      <c r="J1516" s="81" t="str">
        <f>_xlfn.XLOOKUP(表格1[[#This Row],[Model]],表格3[Model-Input-Ref2],表格3[Code])</f>
        <v>SDA</v>
      </c>
      <c r="K1516" s="89" t="s">
        <v>1244</v>
      </c>
      <c r="L1516" s="81">
        <v>1</v>
      </c>
      <c r="M1516" s="87">
        <v>708</v>
      </c>
      <c r="N1516" s="85">
        <f>IFERROR(表格1[[#This Row],[QTY]]*表格1[[#This Row],[Unit Price]],"-")</f>
        <v>708</v>
      </c>
      <c r="O1516" s="142" t="s">
        <v>1613</v>
      </c>
      <c r="R1516" s="86" t="str">
        <f>_xlfn.CONCAT(表格1[[#This Row],[Model]]," ",表格1[[#This Row],[inv no]])</f>
        <v>RC-10NMFIH(WT) DA1419472</v>
      </c>
      <c r="S1516" s="86">
        <f>_xlfn.XLOOKUP(表格1[[#This Row],[Model]],表格3[Model-Input-Ref2],表格3[SRP PRICE])</f>
        <v>898</v>
      </c>
      <c r="T1516" s="43">
        <f>表格1[[#This Row],[Unit Price]]/表格1[[#This Row],[SRP]]</f>
        <v>0.7884187082405345</v>
      </c>
      <c r="U1516" s="86" t="str">
        <f>_xlfn.XLOOKUP(表格1[[#This Row],[Model]],表格3[Model-Input-Ref2],表格3[TOSHIBA/HIGHEST])</f>
        <v>Toshiba SRP</v>
      </c>
      <c r="V1516" s="86" t="s">
        <v>1126</v>
      </c>
      <c r="W1516" s="86" t="str">
        <f>_xlfn.CONCAT(表格1[[#This Row],[欄4]],表格1[[#This Row],[inv no]])</f>
        <v>DA141DA1419472</v>
      </c>
    </row>
    <row r="1517" spans="1:23" hidden="1">
      <c r="A1517" s="81">
        <v>1515</v>
      </c>
      <c r="B1517" s="81" t="s">
        <v>1470</v>
      </c>
      <c r="C1517" s="81" t="s">
        <v>1374</v>
      </c>
      <c r="D1517" s="82" t="str">
        <f ca="1">OFFSET(Roster!$A$3,MATCH(表格1[[#This Row],[Location]]&amp;" "&amp;表格1[[#This Row],[Shop]]&amp;"*",Roster!$A$4:$A$72,0),DAY(表格1[[#This Row],[date]]),1,1)</f>
        <v>Daisy</v>
      </c>
      <c r="E1517" s="81">
        <f>MONTH(表格1[[#This Row],[date]])</f>
        <v>3</v>
      </c>
      <c r="F1517" s="90">
        <v>46088</v>
      </c>
      <c r="G1517" s="81" t="str">
        <f>VLOOKUP("*"&amp;表格1[[#This Row],[Input]]&amp;"*",'Ref-List'!$B:$D,2,)</f>
        <v>GR-RB221WE-PMA(57)</v>
      </c>
      <c r="H1517" s="81" t="str">
        <f>_xlfn.XLOOKUP(表格1[[#This Row],[Model]],表格3[Model-Input-Ref2],表格3[Product Line])</f>
        <v>變頻下置式雙門雪櫃（163L）</v>
      </c>
      <c r="I1517" s="81" t="str">
        <f>_xlfn.XLOOKUP(表格1[[#This Row],[Model]],表格3[Model-Input-Ref2],表格3[大小電])</f>
        <v>大電</v>
      </c>
      <c r="J1517" s="81" t="str">
        <f>_xlfn.XLOOKUP(表格1[[#This Row],[Model]],表格3[Model-Input-Ref2],表格3[Code])</f>
        <v>REF</v>
      </c>
      <c r="K1517" s="89" t="s">
        <v>1386</v>
      </c>
      <c r="L1517" s="81">
        <v>1</v>
      </c>
      <c r="M1517" s="87">
        <v>2080</v>
      </c>
      <c r="N1517" s="85">
        <f>IFERROR(表格1[[#This Row],[QTY]]*表格1[[#This Row],[Unit Price]],"-")</f>
        <v>2080</v>
      </c>
      <c r="O1517" s="142" t="s">
        <v>1614</v>
      </c>
      <c r="R1517" s="86" t="str">
        <f>_xlfn.CONCAT(表格1[[#This Row],[Model]]," ",表格1[[#This Row],[inv no]])</f>
        <v>GR-RB221WE-PMA(57) DA1419516</v>
      </c>
      <c r="S1517" s="86">
        <f>_xlfn.XLOOKUP(表格1[[#This Row],[Model]],表格3[Model-Input-Ref2],表格3[SRP PRICE])</f>
        <v>3480</v>
      </c>
      <c r="T1517" s="43">
        <f>表格1[[#This Row],[Unit Price]]/表格1[[#This Row],[SRP]]</f>
        <v>0.5977011494252874</v>
      </c>
      <c r="U1517" s="86" t="str">
        <f>_xlfn.XLOOKUP(表格1[[#This Row],[Model]],表格3[Model-Input-Ref2],表格3[TOSHIBA/HIGHEST])</f>
        <v>Toshiba SRP</v>
      </c>
      <c r="V1517" s="86" t="s">
        <v>1126</v>
      </c>
      <c r="W1517" s="86" t="str">
        <f>_xlfn.CONCAT(表格1[[#This Row],[欄4]],表格1[[#This Row],[inv no]])</f>
        <v>DA141DA1419516</v>
      </c>
    </row>
    <row r="1518" spans="1:23" hidden="1">
      <c r="A1518" s="81">
        <v>1516</v>
      </c>
      <c r="B1518" s="81" t="s">
        <v>1470</v>
      </c>
      <c r="C1518" s="81" t="s">
        <v>1374</v>
      </c>
      <c r="D1518" s="82" t="str">
        <f ca="1">OFFSET(Roster!$A$3,MATCH(表格1[[#This Row],[Location]]&amp;" "&amp;表格1[[#This Row],[Shop]]&amp;"*",Roster!$A$4:$A$72,0),DAY(表格1[[#This Row],[date]]),1,1)</f>
        <v>Daisy</v>
      </c>
      <c r="E1518" s="81">
        <f>MONTH(表格1[[#This Row],[date]])</f>
        <v>3</v>
      </c>
      <c r="F1518" s="90">
        <v>46088</v>
      </c>
      <c r="G1518" s="81" t="str">
        <f>VLOOKUP("*"&amp;表格1[[#This Row],[Input]]&amp;"*",'Ref-List'!$B:$D,2,)</f>
        <v>RAD-D300H</v>
      </c>
      <c r="H1518" s="81" t="str">
        <f>_xlfn.XLOOKUP(表格1[[#This Row],[Model]],表格3[Model-Input-Ref2],表格3[Product Line])</f>
        <v>壓縮式抽濕機 (30公升)</v>
      </c>
      <c r="I1518" s="81" t="str">
        <f>_xlfn.XLOOKUP(表格1[[#This Row],[Model]],表格3[Model-Input-Ref2],表格3[大小電])</f>
        <v>細電</v>
      </c>
      <c r="J1518" s="81" t="str">
        <f>_xlfn.XLOOKUP(表格1[[#This Row],[Model]],表格3[Model-Input-Ref2],表格3[Code])</f>
        <v>RAC</v>
      </c>
      <c r="K1518" s="89" t="s">
        <v>1252</v>
      </c>
      <c r="L1518" s="81">
        <v>1</v>
      </c>
      <c r="M1518" s="87">
        <v>2280</v>
      </c>
      <c r="N1518" s="85">
        <f>IFERROR(表格1[[#This Row],[QTY]]*表格1[[#This Row],[Unit Price]],"-")</f>
        <v>2280</v>
      </c>
      <c r="O1518" s="142" t="s">
        <v>1615</v>
      </c>
      <c r="R1518" s="86" t="str">
        <f>_xlfn.CONCAT(表格1[[#This Row],[Model]]," ",表格1[[#This Row],[inv no]])</f>
        <v>RAD-D300H DA1419600</v>
      </c>
      <c r="S1518" s="86">
        <f>_xlfn.XLOOKUP(表格1[[#This Row],[Model]],表格3[Model-Input-Ref2],表格3[SRP PRICE])</f>
        <v>3380</v>
      </c>
      <c r="T1518" s="43">
        <f>表格1[[#This Row],[Unit Price]]/表格1[[#This Row],[SRP]]</f>
        <v>0.67455621301775148</v>
      </c>
      <c r="U1518" s="86" t="str">
        <f>_xlfn.XLOOKUP(表格1[[#This Row],[Model]],表格3[Model-Input-Ref2],表格3[TOSHIBA/HIGHEST])</f>
        <v>Shops Highest Price</v>
      </c>
      <c r="V1518" s="86" t="s">
        <v>1126</v>
      </c>
      <c r="W1518" s="86" t="str">
        <f>_xlfn.CONCAT(表格1[[#This Row],[欄4]],表格1[[#This Row],[inv no]])</f>
        <v>DA141DA1419600</v>
      </c>
    </row>
    <row r="1519" spans="1:23" hidden="1">
      <c r="A1519" s="81">
        <v>1517</v>
      </c>
      <c r="B1519" s="81" t="s">
        <v>1470</v>
      </c>
      <c r="C1519" s="81" t="s">
        <v>1374</v>
      </c>
      <c r="D1519" s="82" t="str">
        <f ca="1">OFFSET(Roster!$A$3,MATCH(表格1[[#This Row],[Location]]&amp;" "&amp;表格1[[#This Row],[Shop]]&amp;"*",Roster!$A$4:$A$72,0),DAY(表格1[[#This Row],[date]]),1,1)</f>
        <v>Daisy</v>
      </c>
      <c r="E1519" s="81">
        <f>MONTH(表格1[[#This Row],[date]])</f>
        <v>3</v>
      </c>
      <c r="F1519" s="90">
        <v>46089</v>
      </c>
      <c r="G1519" s="81" t="str">
        <f>VLOOKUP("*"&amp;表格1[[#This Row],[Input]]&amp;"*",'Ref-List'!$B:$D,2,)</f>
        <v>TP-50DRUHK(W)</v>
      </c>
      <c r="H1519" s="81" t="str">
        <f>_xlfn.XLOOKUP(表格1[[#This Row],[Model]],表格3[Model-Input-Ref2],表格3[Product Line])</f>
        <v>電熱水瓶 (5公升)</v>
      </c>
      <c r="I1519" s="81" t="str">
        <f>_xlfn.XLOOKUP(表格1[[#This Row],[Model]],表格3[Model-Input-Ref2],表格3[大小電])</f>
        <v>細電</v>
      </c>
      <c r="J1519" s="81" t="str">
        <f>_xlfn.XLOOKUP(表格1[[#This Row],[Model]],表格3[Model-Input-Ref2],表格3[Code])</f>
        <v>SDA</v>
      </c>
      <c r="K1519" s="89" t="s">
        <v>1277</v>
      </c>
      <c r="L1519" s="81">
        <v>1</v>
      </c>
      <c r="M1519" s="87">
        <v>598</v>
      </c>
      <c r="N1519" s="85">
        <f>IFERROR(表格1[[#This Row],[QTY]]*表格1[[#This Row],[Unit Price]],"-")</f>
        <v>598</v>
      </c>
      <c r="O1519" s="86" t="s">
        <v>1616</v>
      </c>
      <c r="R1519" s="86" t="str">
        <f>_xlfn.CONCAT(表格1[[#This Row],[Model]]," ",表格1[[#This Row],[inv no]])</f>
        <v>TP-50DRUHK(W) DA1419626</v>
      </c>
      <c r="S1519" s="86">
        <f>_xlfn.XLOOKUP(表格1[[#This Row],[Model]],表格3[Model-Input-Ref2],表格3[SRP PRICE])</f>
        <v>718</v>
      </c>
      <c r="T1519" s="43">
        <f>表格1[[#This Row],[Unit Price]]/表格1[[#This Row],[SRP]]</f>
        <v>0.83286908077994426</v>
      </c>
      <c r="U1519" s="86" t="str">
        <f>_xlfn.XLOOKUP(表格1[[#This Row],[Model]],表格3[Model-Input-Ref2],表格3[TOSHIBA/HIGHEST])</f>
        <v>Toshiba SRP</v>
      </c>
      <c r="V1519" s="86" t="s">
        <v>1126</v>
      </c>
      <c r="W1519" s="86" t="str">
        <f>_xlfn.CONCAT(表格1[[#This Row],[欄4]],表格1[[#This Row],[inv no]])</f>
        <v>DA141DA1419626</v>
      </c>
    </row>
    <row r="1520" spans="1:23" hidden="1">
      <c r="A1520" s="81">
        <v>1518</v>
      </c>
      <c r="B1520" s="81" t="s">
        <v>1470</v>
      </c>
      <c r="C1520" s="81" t="s">
        <v>1374</v>
      </c>
      <c r="D1520" s="82" t="str">
        <f ca="1">OFFSET(Roster!$A$3,MATCH(表格1[[#This Row],[Location]]&amp;" "&amp;表格1[[#This Row],[Shop]]&amp;"*",Roster!$A$4:$A$72,0),DAY(表格1[[#This Row],[date]]),1,1)</f>
        <v>Daisy</v>
      </c>
      <c r="E1520" s="81">
        <f>MONTH(表格1[[#This Row],[date]])</f>
        <v>3</v>
      </c>
      <c r="F1520" s="90">
        <v>46089</v>
      </c>
      <c r="G1520" s="81" t="str">
        <f>VLOOKUP("*"&amp;表格1[[#This Row],[Input]]&amp;"*",'Ref-List'!$B:$D,2,)</f>
        <v>RC-18AMXH(W)</v>
      </c>
      <c r="H1520" s="81" t="str">
        <f>_xlfn.XLOOKUP(表格1[[#This Row],[Model]],表格3[Model-Input-Ref2],表格3[Product Line])</f>
        <v>酵活炊電飯煲(1.8公升)</v>
      </c>
      <c r="I1520" s="81" t="str">
        <f>_xlfn.XLOOKUP(表格1[[#This Row],[Model]],表格3[Model-Input-Ref2],表格3[大小電])</f>
        <v>細電</v>
      </c>
      <c r="J1520" s="81" t="str">
        <f>_xlfn.XLOOKUP(表格1[[#This Row],[Model]],表格3[Model-Input-Ref2],表格3[Code])</f>
        <v>SDA</v>
      </c>
      <c r="K1520" s="89" t="s">
        <v>1362</v>
      </c>
      <c r="L1520" s="81">
        <v>1</v>
      </c>
      <c r="M1520" s="87">
        <v>990</v>
      </c>
      <c r="N1520" s="85">
        <f>IFERROR(表格1[[#This Row],[QTY]]*表格1[[#This Row],[Unit Price]],"-")</f>
        <v>990</v>
      </c>
      <c r="O1520" s="142" t="s">
        <v>1617</v>
      </c>
      <c r="R1520" s="86" t="str">
        <f>_xlfn.CONCAT(表格1[[#This Row],[Model]]," ",表格1[[#This Row],[inv no]])</f>
        <v>RC-18AMXH(W) DA1419658</v>
      </c>
      <c r="S1520" s="86">
        <f>_xlfn.XLOOKUP(表格1[[#This Row],[Model]],表格3[Model-Input-Ref2],表格3[SRP PRICE])</f>
        <v>1588</v>
      </c>
      <c r="T1520" s="43">
        <f>表格1[[#This Row],[Unit Price]]/表格1[[#This Row],[SRP]]</f>
        <v>0.62342569269521408</v>
      </c>
      <c r="U1520" s="86" t="str">
        <f>_xlfn.XLOOKUP(表格1[[#This Row],[Model]],表格3[Model-Input-Ref2],表格3[TOSHIBA/HIGHEST])</f>
        <v>Toshiba SRP</v>
      </c>
      <c r="V1520" s="86" t="s">
        <v>1126</v>
      </c>
      <c r="W1520" s="86" t="str">
        <f>_xlfn.CONCAT(表格1[[#This Row],[欄4]],表格1[[#This Row],[inv no]])</f>
        <v>DA141DA1419658</v>
      </c>
    </row>
    <row r="1521" spans="1:23" hidden="1">
      <c r="A1521" s="81">
        <v>1519</v>
      </c>
      <c r="B1521" s="81" t="s">
        <v>1470</v>
      </c>
      <c r="C1521" s="81" t="s">
        <v>1374</v>
      </c>
      <c r="D1521" s="82" t="str">
        <f ca="1">OFFSET(Roster!$A$3,MATCH(表格1[[#This Row],[Location]]&amp;" "&amp;表格1[[#This Row],[Shop]]&amp;"*",Roster!$A$4:$A$72,0),DAY(表格1[[#This Row],[date]]),1,1)</f>
        <v>Daisy</v>
      </c>
      <c r="E1521" s="81">
        <f>MONTH(表格1[[#This Row],[date]])</f>
        <v>3</v>
      </c>
      <c r="F1521" s="90">
        <v>46089</v>
      </c>
      <c r="G1521" s="81" t="str">
        <f>VLOOKUP("*"&amp;表格1[[#This Row],[Input]]&amp;"*",'Ref-List'!$B:$D,2,)</f>
        <v>DW-05T2-HK</v>
      </c>
      <c r="H1521" s="81" t="str">
        <f>_xlfn.XLOOKUP(表格1[[#This Row],[Model]],表格3[Model-Input-Ref2],表格3[Product Line])</f>
        <v>座檯式洗碗碟機</v>
      </c>
      <c r="I1521" s="81" t="str">
        <f>_xlfn.XLOOKUP(表格1[[#This Row],[Model]],表格3[Model-Input-Ref2],表格3[大小電])</f>
        <v>細電</v>
      </c>
      <c r="J1521" s="81" t="str">
        <f>_xlfn.XLOOKUP(表格1[[#This Row],[Model]],表格3[Model-Input-Ref2],表格3[Code])</f>
        <v>DW</v>
      </c>
      <c r="K1521" s="89" t="s">
        <v>1475</v>
      </c>
      <c r="L1521" s="81">
        <v>1</v>
      </c>
      <c r="M1521" s="87">
        <v>3499</v>
      </c>
      <c r="N1521" s="85">
        <f>IFERROR(表格1[[#This Row],[QTY]]*表格1[[#This Row],[Unit Price]],"-")</f>
        <v>3499</v>
      </c>
      <c r="O1521" s="142" t="s">
        <v>1618</v>
      </c>
      <c r="R1521" s="86" t="str">
        <f>_xlfn.CONCAT(表格1[[#This Row],[Model]]," ",表格1[[#This Row],[inv no]])</f>
        <v>DW-05T2-HK DA1419691</v>
      </c>
      <c r="S1521" s="86">
        <f>_xlfn.XLOOKUP(表格1[[#This Row],[Model]],表格3[Model-Input-Ref2],表格3[SRP PRICE])</f>
        <v>4580</v>
      </c>
      <c r="T1521" s="43">
        <f>表格1[[#This Row],[Unit Price]]/表格1[[#This Row],[SRP]]</f>
        <v>0.76397379912663754</v>
      </c>
      <c r="U1521" s="86" t="str">
        <f>_xlfn.XLOOKUP(表格1[[#This Row],[Model]],表格3[Model-Input-Ref2],表格3[TOSHIBA/HIGHEST])</f>
        <v>Toshiba SRP</v>
      </c>
      <c r="V1521" s="86" t="s">
        <v>1126</v>
      </c>
      <c r="W1521" s="86" t="str">
        <f>_xlfn.CONCAT(表格1[[#This Row],[欄4]],表格1[[#This Row],[inv no]])</f>
        <v>DA141DA1419691</v>
      </c>
    </row>
    <row r="1522" spans="1:23" hidden="1">
      <c r="A1522" s="81">
        <v>1520</v>
      </c>
      <c r="B1522" s="81" t="s">
        <v>1470</v>
      </c>
      <c r="C1522" s="81" t="s">
        <v>1374</v>
      </c>
      <c r="D1522" s="82" t="str">
        <f ca="1">OFFSET(Roster!$A$3,MATCH(表格1[[#This Row],[Location]]&amp;" "&amp;表格1[[#This Row],[Shop]]&amp;"*",Roster!$A$4:$A$72,0),DAY(表格1[[#This Row],[date]]),1,1)</f>
        <v>Daisy</v>
      </c>
      <c r="E1522" s="81">
        <f>MONTH(表格1[[#This Row],[date]])</f>
        <v>3</v>
      </c>
      <c r="F1522" s="90">
        <v>46089</v>
      </c>
      <c r="G1522" s="81" t="str">
        <f>VLOOKUP("*"&amp;表格1[[#This Row],[Input]]&amp;"*",'Ref-List'!$B:$D,2,)</f>
        <v>RC-10NMFIH(WT)</v>
      </c>
      <c r="H1522" s="81" t="str">
        <f>_xlfn.XLOOKUP(表格1[[#This Row],[Model]],表格3[Model-Input-Ref2],表格3[Product Line])</f>
        <v>4毫米厚釜電飯煲1L</v>
      </c>
      <c r="I1522" s="81" t="str">
        <f>_xlfn.XLOOKUP(表格1[[#This Row],[Model]],表格3[Model-Input-Ref2],表格3[大小電])</f>
        <v>細電</v>
      </c>
      <c r="J1522" s="81" t="str">
        <f>_xlfn.XLOOKUP(表格1[[#This Row],[Model]],表格3[Model-Input-Ref2],表格3[Code])</f>
        <v>SDA</v>
      </c>
      <c r="K1522" s="89" t="s">
        <v>1244</v>
      </c>
      <c r="L1522" s="81">
        <v>1</v>
      </c>
      <c r="M1522" s="87">
        <v>708</v>
      </c>
      <c r="N1522" s="85">
        <f>IFERROR(表格1[[#This Row],[QTY]]*表格1[[#This Row],[Unit Price]],"-")</f>
        <v>708</v>
      </c>
      <c r="O1522" s="86" t="s">
        <v>1619</v>
      </c>
      <c r="R1522" s="86" t="str">
        <f>_xlfn.CONCAT(表格1[[#This Row],[Model]]," ",表格1[[#This Row],[inv no]])</f>
        <v>RC-10NMFIH(WT) DA1419707</v>
      </c>
      <c r="S1522" s="86">
        <f>_xlfn.XLOOKUP(表格1[[#This Row],[Model]],表格3[Model-Input-Ref2],表格3[SRP PRICE])</f>
        <v>898</v>
      </c>
      <c r="T1522" s="43">
        <f>表格1[[#This Row],[Unit Price]]/表格1[[#This Row],[SRP]]</f>
        <v>0.7884187082405345</v>
      </c>
      <c r="U1522" s="86" t="str">
        <f>_xlfn.XLOOKUP(表格1[[#This Row],[Model]],表格3[Model-Input-Ref2],表格3[TOSHIBA/HIGHEST])</f>
        <v>Toshiba SRP</v>
      </c>
      <c r="V1522" s="86" t="s">
        <v>1126</v>
      </c>
      <c r="W1522" s="86" t="str">
        <f>_xlfn.CONCAT(表格1[[#This Row],[欄4]],表格1[[#This Row],[inv no]])</f>
        <v>DA141DA1419707</v>
      </c>
    </row>
    <row r="1523" spans="1:23" hidden="1">
      <c r="A1523" s="81">
        <v>1521</v>
      </c>
      <c r="B1523" s="81" t="s">
        <v>1470</v>
      </c>
      <c r="C1523" s="81" t="s">
        <v>1374</v>
      </c>
      <c r="D1523" s="82" t="str">
        <f ca="1">OFFSET(Roster!$A$3,MATCH(表格1[[#This Row],[Location]]&amp;" "&amp;表格1[[#This Row],[Shop]]&amp;"*",Roster!$A$4:$A$72,0),DAY(表格1[[#This Row],[date]]),1,1)</f>
        <v>Daisy</v>
      </c>
      <c r="E1523" s="81">
        <f>MONTH(表格1[[#This Row],[date]])</f>
        <v>3</v>
      </c>
      <c r="F1523" s="90">
        <v>46089</v>
      </c>
      <c r="G1523" s="81" t="str">
        <f>VLOOKUP("*"&amp;表格1[[#This Row],[Input]]&amp;"*",'Ref-List'!$B:$D,2,)</f>
        <v>RC-7HMH</v>
      </c>
      <c r="H1523" s="81" t="str">
        <f>_xlfn.XLOOKUP(表格1[[#This Row],[Model]],表格3[Model-Input-Ref2],表格3[Product Line])</f>
        <v>備長炭本厚釜電飯煲0.7L</v>
      </c>
      <c r="I1523" s="81" t="str">
        <f>_xlfn.XLOOKUP(表格1[[#This Row],[Model]],表格3[Model-Input-Ref2],表格3[大小電])</f>
        <v>細電</v>
      </c>
      <c r="J1523" s="81" t="str">
        <f>_xlfn.XLOOKUP(表格1[[#This Row],[Model]],表格3[Model-Input-Ref2],表格3[Code])</f>
        <v>SDA</v>
      </c>
      <c r="K1523" s="89" t="s">
        <v>1284</v>
      </c>
      <c r="L1523" s="81">
        <v>1</v>
      </c>
      <c r="M1523" s="87">
        <v>788</v>
      </c>
      <c r="N1523" s="85">
        <f>IFERROR(表格1[[#This Row],[QTY]]*表格1[[#This Row],[Unit Price]],"-")</f>
        <v>788</v>
      </c>
      <c r="O1523" s="142" t="s">
        <v>1620</v>
      </c>
      <c r="R1523" s="86" t="str">
        <f>_xlfn.CONCAT(表格1[[#This Row],[Model]]," ",表格1[[#This Row],[inv no]])</f>
        <v>RC-7HMH DA1419710</v>
      </c>
      <c r="S1523" s="86">
        <f>_xlfn.XLOOKUP(表格1[[#This Row],[Model]],表格3[Model-Input-Ref2],表格3[SRP PRICE])</f>
        <v>1288</v>
      </c>
      <c r="T1523" s="43">
        <f>表格1[[#This Row],[Unit Price]]/表格1[[#This Row],[SRP]]</f>
        <v>0.61180124223602483</v>
      </c>
      <c r="U1523" s="86" t="str">
        <f>_xlfn.XLOOKUP(表格1[[#This Row],[Model]],表格3[Model-Input-Ref2],表格3[TOSHIBA/HIGHEST])</f>
        <v>Toshiba SRP</v>
      </c>
      <c r="V1523" s="86" t="s">
        <v>1126</v>
      </c>
      <c r="W1523" s="86" t="str">
        <f>_xlfn.CONCAT(表格1[[#This Row],[欄4]],表格1[[#This Row],[inv no]])</f>
        <v>DA141DA1419710</v>
      </c>
    </row>
    <row r="1524" spans="1:23" hidden="1">
      <c r="A1524" s="81">
        <v>1522</v>
      </c>
      <c r="B1524" s="81" t="s">
        <v>1470</v>
      </c>
      <c r="C1524" s="81" t="s">
        <v>1374</v>
      </c>
      <c r="D1524" s="82" t="str">
        <f ca="1">OFFSET(Roster!$A$3,MATCH(表格1[[#This Row],[Location]]&amp;" "&amp;表格1[[#This Row],[Shop]]&amp;"*",Roster!$A$4:$A$72,0),DAY(表格1[[#This Row],[date]]),1,1)</f>
        <v>Daisy</v>
      </c>
      <c r="E1524" s="81">
        <f>MONTH(表格1[[#This Row],[date]])</f>
        <v>3</v>
      </c>
      <c r="F1524" s="90">
        <v>46089</v>
      </c>
      <c r="G1524" s="81" t="str">
        <f>VLOOKUP("*"&amp;表格1[[#This Row],[Input]]&amp;"*",'Ref-List'!$B:$D,2,)</f>
        <v>KT-17DRTHK(H)</v>
      </c>
      <c r="H1524" s="81" t="str">
        <f>_xlfn.XLOOKUP(表格1[[#This Row],[Model]],表格3[Model-Input-Ref2],表格3[Product Line])</f>
        <v>無線雙層電熱水壺(1.7公升)</v>
      </c>
      <c r="I1524" s="81" t="str">
        <f>_xlfn.XLOOKUP(表格1[[#This Row],[Model]],表格3[Model-Input-Ref2],表格3[大小電])</f>
        <v>細電</v>
      </c>
      <c r="J1524" s="81" t="str">
        <f>_xlfn.XLOOKUP(表格1[[#This Row],[Model]],表格3[Model-Input-Ref2],表格3[Code])</f>
        <v>SDA</v>
      </c>
      <c r="K1524" s="89" t="s">
        <v>1271</v>
      </c>
      <c r="L1524" s="81">
        <v>1</v>
      </c>
      <c r="M1524" s="87">
        <v>358</v>
      </c>
      <c r="N1524" s="85">
        <f>IFERROR(表格1[[#This Row],[QTY]]*表格1[[#This Row],[Unit Price]],"-")</f>
        <v>358</v>
      </c>
      <c r="O1524" s="142" t="s">
        <v>1621</v>
      </c>
      <c r="R1524" s="86" t="str">
        <f>_xlfn.CONCAT(表格1[[#This Row],[Model]]," ",表格1[[#This Row],[inv no]])</f>
        <v>KT-17DRTHK(H) DA1419737</v>
      </c>
      <c r="S1524" s="86">
        <f>_xlfn.XLOOKUP(表格1[[#This Row],[Model]],表格3[Model-Input-Ref2],表格3[SRP PRICE])</f>
        <v>498</v>
      </c>
      <c r="T1524" s="43">
        <f>表格1[[#This Row],[Unit Price]]/表格1[[#This Row],[SRP]]</f>
        <v>0.71887550200803207</v>
      </c>
      <c r="U1524" s="86" t="str">
        <f>_xlfn.XLOOKUP(表格1[[#This Row],[Model]],表格3[Model-Input-Ref2],表格3[TOSHIBA/HIGHEST])</f>
        <v>Toshiba SRP</v>
      </c>
      <c r="V1524" s="86" t="s">
        <v>1126</v>
      </c>
      <c r="W1524" s="86" t="str">
        <f>_xlfn.CONCAT(表格1[[#This Row],[欄4]],表格1[[#This Row],[inv no]])</f>
        <v>DA141DA1419737</v>
      </c>
    </row>
    <row r="1525" spans="1:23" hidden="1">
      <c r="A1525" s="81">
        <v>1523</v>
      </c>
      <c r="B1525" s="81" t="s">
        <v>1470</v>
      </c>
      <c r="C1525" s="81" t="s">
        <v>1374</v>
      </c>
      <c r="D1525" s="82" t="str">
        <f ca="1">OFFSET(Roster!$A$3,MATCH(表格1[[#This Row],[Location]]&amp;" "&amp;表格1[[#This Row],[Shop]]&amp;"*",Roster!$A$4:$A$72,0),DAY(表格1[[#This Row],[date]]),1,1)</f>
        <v>Daisy</v>
      </c>
      <c r="E1525" s="81">
        <f>MONTH(表格1[[#This Row],[date]])</f>
        <v>3</v>
      </c>
      <c r="F1525" s="90">
        <v>46089</v>
      </c>
      <c r="G1525" s="81" t="str">
        <f>VLOOKUP("*"&amp;表格1[[#This Row],[Input]]&amp;"*",'Ref-List'!$B:$D,2,)</f>
        <v>MM2-EM20PC(WH)</v>
      </c>
      <c r="H1525" s="81" t="str">
        <f>_xlfn.XLOOKUP(表格1[[#This Row],[Model]],表格3[Model-Input-Ref2],表格3[Product Line])</f>
        <v>輕觸式微波爐 (20公升)</v>
      </c>
      <c r="I1525" s="81" t="str">
        <f>_xlfn.XLOOKUP(表格1[[#This Row],[Model]],表格3[Model-Input-Ref2],表格3[大小電])</f>
        <v>細電</v>
      </c>
      <c r="J1525" s="81" t="str">
        <f>_xlfn.XLOOKUP(表格1[[#This Row],[Model]],表格3[Model-Input-Ref2],表格3[Code])</f>
        <v>MCA</v>
      </c>
      <c r="K1525" s="89" t="s">
        <v>1276</v>
      </c>
      <c r="L1525" s="81">
        <v>1</v>
      </c>
      <c r="M1525" s="87">
        <v>650</v>
      </c>
      <c r="N1525" s="85">
        <f>IFERROR(表格1[[#This Row],[QTY]]*表格1[[#This Row],[Unit Price]],"-")</f>
        <v>650</v>
      </c>
      <c r="O1525" s="86" t="s">
        <v>1622</v>
      </c>
      <c r="R1525" s="86" t="str">
        <f>_xlfn.CONCAT(表格1[[#This Row],[Model]]," ",表格1[[#This Row],[inv no]])</f>
        <v>MM2-EM20PC(WH) DA1419756</v>
      </c>
      <c r="S1525" s="86">
        <f>_xlfn.XLOOKUP(表格1[[#This Row],[Model]],表格3[Model-Input-Ref2],表格3[SRP PRICE])</f>
        <v>788</v>
      </c>
      <c r="T1525" s="43">
        <f>表格1[[#This Row],[Unit Price]]/表格1[[#This Row],[SRP]]</f>
        <v>0.82487309644670048</v>
      </c>
      <c r="U1525" s="86" t="str">
        <f>_xlfn.XLOOKUP(表格1[[#This Row],[Model]],表格3[Model-Input-Ref2],表格3[TOSHIBA/HIGHEST])</f>
        <v>Toshiba SRP</v>
      </c>
      <c r="V1525" s="86" t="s">
        <v>1126</v>
      </c>
      <c r="W1525" s="86" t="str">
        <f>_xlfn.CONCAT(表格1[[#This Row],[欄4]],表格1[[#This Row],[inv no]])</f>
        <v>DA141DA1419756</v>
      </c>
    </row>
    <row r="1526" spans="1:23" hidden="1">
      <c r="A1526" s="81">
        <v>1524</v>
      </c>
      <c r="B1526" s="81" t="s">
        <v>1470</v>
      </c>
      <c r="C1526" s="81" t="s">
        <v>1374</v>
      </c>
      <c r="D1526" s="82" t="str">
        <f ca="1">OFFSET(Roster!$A$3,MATCH(表格1[[#This Row],[Location]]&amp;" "&amp;表格1[[#This Row],[Shop]]&amp;"*",Roster!$A$4:$A$72,0),DAY(表格1[[#This Row],[date]]),1,1)</f>
        <v>Daisy</v>
      </c>
      <c r="E1526" s="81">
        <f>MONTH(表格1[[#This Row],[date]])</f>
        <v>3</v>
      </c>
      <c r="F1526" s="90">
        <v>46089</v>
      </c>
      <c r="G1526" s="81" t="str">
        <f>VLOOKUP("*"&amp;表格1[[#This Row],[Input]]&amp;"*",'Ref-List'!$B:$D,2,)</f>
        <v>MX2-TT20SC(WH)</v>
      </c>
      <c r="H1526" s="81" t="str">
        <f>_xlfn.XLOOKUP(表格1[[#This Row],[Model]],表格3[Model-Input-Ref2],表格3[Product Line])</f>
        <v>3合1 微波蒸焗爐 (20公升)</v>
      </c>
      <c r="I1526" s="81" t="str">
        <f>_xlfn.XLOOKUP(表格1[[#This Row],[Model]],表格3[Model-Input-Ref2],表格3[大小電])</f>
        <v>細電</v>
      </c>
      <c r="J1526" s="81" t="str">
        <f>_xlfn.XLOOKUP(表格1[[#This Row],[Model]],表格3[Model-Input-Ref2],表格3[Code])</f>
        <v>MCA</v>
      </c>
      <c r="K1526" s="89" t="s">
        <v>1287</v>
      </c>
      <c r="L1526" s="81">
        <v>1</v>
      </c>
      <c r="M1526" s="87">
        <v>2480</v>
      </c>
      <c r="N1526" s="85">
        <f>IFERROR(表格1[[#This Row],[QTY]]*表格1[[#This Row],[Unit Price]],"-")</f>
        <v>2480</v>
      </c>
      <c r="O1526" s="142" t="s">
        <v>1623</v>
      </c>
      <c r="R1526" s="86" t="str">
        <f>_xlfn.CONCAT(表格1[[#This Row],[Model]]," ",表格1[[#This Row],[inv no]])</f>
        <v>MX2-TT20SC(WH) DA1419776</v>
      </c>
      <c r="S1526" s="86">
        <f>_xlfn.XLOOKUP(表格1[[#This Row],[Model]],表格3[Model-Input-Ref2],表格3[SRP PRICE])</f>
        <v>3580</v>
      </c>
      <c r="T1526" s="43">
        <f>表格1[[#This Row],[Unit Price]]/表格1[[#This Row],[SRP]]</f>
        <v>0.69273743016759781</v>
      </c>
      <c r="U1526" s="86" t="str">
        <f>_xlfn.XLOOKUP(表格1[[#This Row],[Model]],表格3[Model-Input-Ref2],表格3[TOSHIBA/HIGHEST])</f>
        <v>Toshiba SRP</v>
      </c>
      <c r="V1526" s="86" t="s">
        <v>1126</v>
      </c>
      <c r="W1526" s="86" t="str">
        <f>_xlfn.CONCAT(表格1[[#This Row],[欄4]],表格1[[#This Row],[inv no]])</f>
        <v>DA141DA1419776</v>
      </c>
    </row>
    <row r="1527" spans="1:23" hidden="1">
      <c r="A1527" s="81">
        <v>1525</v>
      </c>
      <c r="B1527" s="81" t="s">
        <v>1470</v>
      </c>
      <c r="C1527" s="81" t="s">
        <v>1374</v>
      </c>
      <c r="D1527" s="82" t="str">
        <f ca="1">OFFSET(Roster!$A$3,MATCH(表格1[[#This Row],[Location]]&amp;" "&amp;表格1[[#This Row],[Shop]]&amp;"*",Roster!$A$4:$A$72,0),DAY(表格1[[#This Row],[date]]),1,1)</f>
        <v>Daisy</v>
      </c>
      <c r="E1527" s="81">
        <f>MONTH(表格1[[#This Row],[date]])</f>
        <v>3</v>
      </c>
      <c r="F1527" s="90">
        <v>46089</v>
      </c>
      <c r="G1527" s="81" t="str">
        <f>VLOOKUP("*"&amp;表格1[[#This Row],[Input]]&amp;"*",'Ref-List'!$B:$D,2,)</f>
        <v>MX2-STR25SC(WH)</v>
      </c>
      <c r="H1527" s="81" t="str">
        <f>_xlfn.XLOOKUP(表格1[[#This Row],[Model]],表格3[Model-Input-Ref2],表格3[Product Line])</f>
        <v>4合1氣炸微波蒸焗爐(25公升)</v>
      </c>
      <c r="I1527" s="81" t="str">
        <f>_xlfn.XLOOKUP(表格1[[#This Row],[Model]],表格3[Model-Input-Ref2],表格3[大小電])</f>
        <v>細電</v>
      </c>
      <c r="J1527" s="81" t="str">
        <f>_xlfn.XLOOKUP(表格1[[#This Row],[Model]],表格3[Model-Input-Ref2],表格3[Code])</f>
        <v>MCA</v>
      </c>
      <c r="K1527" s="89" t="s">
        <v>1410</v>
      </c>
      <c r="L1527" s="81">
        <v>1</v>
      </c>
      <c r="M1527" s="87">
        <v>3250</v>
      </c>
      <c r="N1527" s="85">
        <f>IFERROR(表格1[[#This Row],[QTY]]*表格1[[#This Row],[Unit Price]],"-")</f>
        <v>3250</v>
      </c>
      <c r="O1527" s="86" t="s">
        <v>1624</v>
      </c>
      <c r="R1527" s="86" t="str">
        <f>_xlfn.CONCAT(表格1[[#This Row],[Model]]," ",表格1[[#This Row],[inv no]])</f>
        <v>MX2-STR25SC(WH) DA1419774</v>
      </c>
      <c r="S1527" s="86">
        <f>_xlfn.XLOOKUP(表格1[[#This Row],[Model]],表格3[Model-Input-Ref2],表格3[SRP PRICE])</f>
        <v>4998</v>
      </c>
      <c r="T1527" s="43">
        <f>表格1[[#This Row],[Unit Price]]/表格1[[#This Row],[SRP]]</f>
        <v>0.6502601040416166</v>
      </c>
      <c r="U1527" s="86" t="str">
        <f>_xlfn.XLOOKUP(表格1[[#This Row],[Model]],表格3[Model-Input-Ref2],表格3[TOSHIBA/HIGHEST])</f>
        <v>Toshiba SRP</v>
      </c>
      <c r="V1527" s="86" t="s">
        <v>1126</v>
      </c>
      <c r="W1527" s="86" t="str">
        <f>_xlfn.CONCAT(表格1[[#This Row],[欄4]],表格1[[#This Row],[inv no]])</f>
        <v>DA141DA1419774</v>
      </c>
    </row>
    <row r="1528" spans="1:23" hidden="1">
      <c r="A1528" s="81">
        <v>1526</v>
      </c>
      <c r="B1528" s="81" t="s">
        <v>1470</v>
      </c>
      <c r="C1528" s="81" t="s">
        <v>1374</v>
      </c>
      <c r="D1528" s="82" t="str">
        <f ca="1">OFFSET(Roster!$A$3,MATCH(表格1[[#This Row],[Location]]&amp;" "&amp;表格1[[#This Row],[Shop]]&amp;"*",Roster!$A$4:$A$72,0),DAY(表格1[[#This Row],[date]]),1,1)</f>
        <v>Daisy</v>
      </c>
      <c r="E1528" s="81">
        <f>MONTH(表格1[[#This Row],[date]])</f>
        <v>3</v>
      </c>
      <c r="F1528" s="90">
        <v>46089</v>
      </c>
      <c r="G1528" s="81" t="str">
        <f>VLOOKUP("*"&amp;表格1[[#This Row],[Input]]&amp;"*",'Ref-List'!$B:$D,2,)</f>
        <v>RC-10NMFIH(WT)</v>
      </c>
      <c r="H1528" s="81" t="str">
        <f>_xlfn.XLOOKUP(表格1[[#This Row],[Model]],表格3[Model-Input-Ref2],表格3[Product Line])</f>
        <v>4毫米厚釜電飯煲1L</v>
      </c>
      <c r="I1528" s="81" t="str">
        <f>_xlfn.XLOOKUP(表格1[[#This Row],[Model]],表格3[Model-Input-Ref2],表格3[大小電])</f>
        <v>細電</v>
      </c>
      <c r="J1528" s="81" t="str">
        <f>_xlfn.XLOOKUP(表格1[[#This Row],[Model]],表格3[Model-Input-Ref2],表格3[Code])</f>
        <v>SDA</v>
      </c>
      <c r="K1528" s="89" t="s">
        <v>1244</v>
      </c>
      <c r="L1528" s="81">
        <v>1</v>
      </c>
      <c r="M1528" s="87">
        <v>708</v>
      </c>
      <c r="N1528" s="85">
        <f>IFERROR(表格1[[#This Row],[QTY]]*表格1[[#This Row],[Unit Price]],"-")</f>
        <v>708</v>
      </c>
      <c r="O1528" s="86" t="s">
        <v>1625</v>
      </c>
      <c r="R1528" s="86" t="str">
        <f>_xlfn.CONCAT(表格1[[#This Row],[Model]]," ",表格1[[#This Row],[inv no]])</f>
        <v>RC-10NMFIH(WT) DA1419784</v>
      </c>
      <c r="S1528" s="86">
        <f>_xlfn.XLOOKUP(表格1[[#This Row],[Model]],表格3[Model-Input-Ref2],表格3[SRP PRICE])</f>
        <v>898</v>
      </c>
      <c r="T1528" s="43">
        <f>表格1[[#This Row],[Unit Price]]/表格1[[#This Row],[SRP]]</f>
        <v>0.7884187082405345</v>
      </c>
      <c r="U1528" s="86" t="str">
        <f>_xlfn.XLOOKUP(表格1[[#This Row],[Model]],表格3[Model-Input-Ref2],表格3[TOSHIBA/HIGHEST])</f>
        <v>Toshiba SRP</v>
      </c>
      <c r="V1528" s="86" t="s">
        <v>1126</v>
      </c>
      <c r="W1528" s="86" t="str">
        <f>_xlfn.CONCAT(表格1[[#This Row],[欄4]],表格1[[#This Row],[inv no]])</f>
        <v>DA141DA1419784</v>
      </c>
    </row>
    <row r="1529" spans="1:23" hidden="1">
      <c r="A1529" s="81">
        <v>1527</v>
      </c>
      <c r="B1529" s="81" t="s">
        <v>1470</v>
      </c>
      <c r="C1529" s="81" t="s">
        <v>1374</v>
      </c>
      <c r="D1529" s="82" t="str">
        <f ca="1">OFFSET(Roster!$A$3,MATCH(表格1[[#This Row],[Location]]&amp;" "&amp;表格1[[#This Row],[Shop]]&amp;"*",Roster!$A$4:$A$72,0),DAY(表格1[[#This Row],[date]]),1,1)</f>
        <v>Daisy</v>
      </c>
      <c r="E1529" s="81">
        <f>MONTH(表格1[[#This Row],[date]])</f>
        <v>3</v>
      </c>
      <c r="F1529" s="90">
        <v>46090</v>
      </c>
      <c r="G1529" s="81" t="str">
        <f>VLOOKUP("*"&amp;表格1[[#This Row],[Input]]&amp;"*",'Ref-List'!$B:$D,2,)</f>
        <v>RC-10ISSHK(W)</v>
      </c>
      <c r="H1529" s="81" t="str">
        <f>_xlfn.XLOOKUP(表格1[[#This Row],[Model]],表格3[Model-Input-Ref2],表格3[Product Line])</f>
        <v>磁應電飯煲(1公升)</v>
      </c>
      <c r="I1529" s="81" t="str">
        <f>_xlfn.XLOOKUP(表格1[[#This Row],[Model]],表格3[Model-Input-Ref2],表格3[大小電])</f>
        <v>細電</v>
      </c>
      <c r="J1529" s="81" t="str">
        <f>_xlfn.XLOOKUP(表格1[[#This Row],[Model]],表格3[Model-Input-Ref2],表格3[Code])</f>
        <v>SDA</v>
      </c>
      <c r="K1529" s="89" t="s">
        <v>1286</v>
      </c>
      <c r="L1529" s="81">
        <v>1</v>
      </c>
      <c r="M1529" s="87">
        <v>898</v>
      </c>
      <c r="N1529" s="85">
        <f>IFERROR(表格1[[#This Row],[QTY]]*表格1[[#This Row],[Unit Price]],"-")</f>
        <v>898</v>
      </c>
      <c r="O1529" s="86" t="s">
        <v>1626</v>
      </c>
      <c r="R1529" s="86" t="str">
        <f>_xlfn.CONCAT(表格1[[#This Row],[Model]]," ",表格1[[#This Row],[inv no]])</f>
        <v>RC-10ISSHK(W) DA1419863</v>
      </c>
      <c r="S1529" s="86">
        <f>_xlfn.XLOOKUP(表格1[[#This Row],[Model]],表格3[Model-Input-Ref2],表格3[SRP PRICE])</f>
        <v>1188</v>
      </c>
      <c r="T1529" s="43">
        <f>表格1[[#This Row],[Unit Price]]/表格1[[#This Row],[SRP]]</f>
        <v>0.75589225589225584</v>
      </c>
      <c r="U1529" s="86" t="str">
        <f>_xlfn.XLOOKUP(表格1[[#This Row],[Model]],表格3[Model-Input-Ref2],表格3[TOSHIBA/HIGHEST])</f>
        <v>Shops Highest Price</v>
      </c>
      <c r="V1529" s="86" t="s">
        <v>1126</v>
      </c>
      <c r="W1529" s="86" t="str">
        <f>_xlfn.CONCAT(表格1[[#This Row],[欄4]],表格1[[#This Row],[inv no]])</f>
        <v>DA141DA1419863</v>
      </c>
    </row>
    <row r="1530" spans="1:23" hidden="1">
      <c r="A1530" s="81">
        <v>1528</v>
      </c>
      <c r="B1530" s="81" t="s">
        <v>1470</v>
      </c>
      <c r="C1530" s="81" t="s">
        <v>1374</v>
      </c>
      <c r="D1530" s="82" t="str">
        <f ca="1">OFFSET(Roster!$A$3,MATCH(表格1[[#This Row],[Location]]&amp;" "&amp;表格1[[#This Row],[Shop]]&amp;"*",Roster!$A$4:$A$72,0),DAY(表格1[[#This Row],[date]]),1,1)</f>
        <v>Daisy</v>
      </c>
      <c r="E1530" s="81">
        <f>MONTH(表格1[[#This Row],[date]])</f>
        <v>3</v>
      </c>
      <c r="F1530" s="90">
        <v>46090</v>
      </c>
      <c r="G1530" s="81" t="str">
        <f>VLOOKUP("*"&amp;表格1[[#This Row],[Input]]&amp;"*",'Ref-List'!$B:$D,2,)</f>
        <v>KT-17DRTHK(H)</v>
      </c>
      <c r="H1530" s="81" t="str">
        <f>_xlfn.XLOOKUP(表格1[[#This Row],[Model]],表格3[Model-Input-Ref2],表格3[Product Line])</f>
        <v>無線雙層電熱水壺(1.7公升)</v>
      </c>
      <c r="I1530" s="81" t="str">
        <f>_xlfn.XLOOKUP(表格1[[#This Row],[Model]],表格3[Model-Input-Ref2],表格3[大小電])</f>
        <v>細電</v>
      </c>
      <c r="J1530" s="81" t="str">
        <f>_xlfn.XLOOKUP(表格1[[#This Row],[Model]],表格3[Model-Input-Ref2],表格3[Code])</f>
        <v>SDA</v>
      </c>
      <c r="K1530" s="89" t="s">
        <v>1271</v>
      </c>
      <c r="L1530" s="81">
        <v>1</v>
      </c>
      <c r="M1530" s="87">
        <v>358</v>
      </c>
      <c r="N1530" s="85">
        <f>IFERROR(表格1[[#This Row],[QTY]]*表格1[[#This Row],[Unit Price]],"-")</f>
        <v>358</v>
      </c>
      <c r="O1530" s="86" t="s">
        <v>1627</v>
      </c>
      <c r="R1530" s="86" t="str">
        <f>_xlfn.CONCAT(表格1[[#This Row],[Model]]," ",表格1[[#This Row],[inv no]])</f>
        <v>KT-17DRTHK(H) DA1419877</v>
      </c>
      <c r="S1530" s="86">
        <f>_xlfn.XLOOKUP(表格1[[#This Row],[Model]],表格3[Model-Input-Ref2],表格3[SRP PRICE])</f>
        <v>498</v>
      </c>
      <c r="T1530" s="43">
        <f>表格1[[#This Row],[Unit Price]]/表格1[[#This Row],[SRP]]</f>
        <v>0.71887550200803207</v>
      </c>
      <c r="U1530" s="86" t="str">
        <f>_xlfn.XLOOKUP(表格1[[#This Row],[Model]],表格3[Model-Input-Ref2],表格3[TOSHIBA/HIGHEST])</f>
        <v>Toshiba SRP</v>
      </c>
      <c r="V1530" s="86" t="s">
        <v>1126</v>
      </c>
      <c r="W1530" s="86" t="str">
        <f>_xlfn.CONCAT(表格1[[#This Row],[欄4]],表格1[[#This Row],[inv no]])</f>
        <v>DA141DA1419877</v>
      </c>
    </row>
    <row r="1531" spans="1:23" ht="16.5" hidden="1">
      <c r="A1531" s="81">
        <v>1529</v>
      </c>
      <c r="B1531" s="81" t="s">
        <v>1470</v>
      </c>
      <c r="C1531" s="81" t="s">
        <v>1374</v>
      </c>
      <c r="D1531" s="82" t="str">
        <f ca="1">OFFSET(Roster!$A$3,MATCH(表格1[[#This Row],[Location]]&amp;" "&amp;表格1[[#This Row],[Shop]]&amp;"*",Roster!$A$4:$A$72,0),DAY(表格1[[#This Row],[date]]),1,1)</f>
        <v>Daisy</v>
      </c>
      <c r="E1531" s="81">
        <f>MONTH(表格1[[#This Row],[date]])</f>
        <v>3</v>
      </c>
      <c r="F1531" s="90">
        <v>46090</v>
      </c>
      <c r="G1531" s="81" t="str">
        <f>VLOOKUP("*"&amp;表格1[[#This Row],[Input]]&amp;"*",'Ref-List'!$B:$D,2,)</f>
        <v>GR-A28HSZ(DS)</v>
      </c>
      <c r="H1531" s="81" t="str">
        <f>_xlfn.XLOOKUP(表格1[[#This Row],[Model]],表格3[Model-Input-Ref2],表格3[Product Line])</f>
        <v>雙門變頻式環保雪櫃231L</v>
      </c>
      <c r="I1531" s="81" t="str">
        <f>_xlfn.XLOOKUP(表格1[[#This Row],[Model]],表格3[Model-Input-Ref2],表格3[大小電])</f>
        <v>大電</v>
      </c>
      <c r="J1531" s="81" t="str">
        <f>_xlfn.XLOOKUP(表格1[[#This Row],[Model]],表格3[Model-Input-Ref2],表格3[Code])</f>
        <v>REF</v>
      </c>
      <c r="K1531" s="89" t="s">
        <v>1578</v>
      </c>
      <c r="L1531" s="81">
        <v>1</v>
      </c>
      <c r="M1531" s="87">
        <v>2488</v>
      </c>
      <c r="N1531" s="85">
        <f>IFERROR(表格1[[#This Row],[QTY]]*表格1[[#This Row],[Unit Price]],"-")</f>
        <v>2488</v>
      </c>
      <c r="O1531" s="86" t="s">
        <v>1628</v>
      </c>
      <c r="P1531" s="141"/>
      <c r="R1531" s="86" t="str">
        <f>_xlfn.CONCAT(表格1[[#This Row],[Model]]," ",表格1[[#This Row],[inv no]])</f>
        <v>GR-A28HSZ(DS) DA1419884</v>
      </c>
      <c r="S1531" s="86">
        <f>_xlfn.XLOOKUP(表格1[[#This Row],[Model]],表格3[Model-Input-Ref2],表格3[SRP PRICE])</f>
        <v>3780</v>
      </c>
      <c r="T1531" s="43">
        <f>表格1[[#This Row],[Unit Price]]/表格1[[#This Row],[SRP]]</f>
        <v>0.65820105820105823</v>
      </c>
      <c r="U1531" s="86" t="str">
        <f>_xlfn.XLOOKUP(表格1[[#This Row],[Model]],表格3[Model-Input-Ref2],表格3[TOSHIBA/HIGHEST])</f>
        <v>Shops Highest Price</v>
      </c>
      <c r="V1531" s="86" t="s">
        <v>1126</v>
      </c>
      <c r="W1531" s="86" t="str">
        <f>_xlfn.CONCAT(表格1[[#This Row],[欄4]],表格1[[#This Row],[inv no]])</f>
        <v>DA141DA1419884</v>
      </c>
    </row>
    <row r="1532" spans="1:23" hidden="1">
      <c r="A1532" s="81">
        <v>1530</v>
      </c>
      <c r="B1532" s="81" t="s">
        <v>1470</v>
      </c>
      <c r="C1532" s="81" t="s">
        <v>1374</v>
      </c>
      <c r="D1532" s="82" t="str">
        <f ca="1">OFFSET(Roster!$A$3,MATCH(表格1[[#This Row],[Location]]&amp;" "&amp;表格1[[#This Row],[Shop]]&amp;"*",Roster!$A$4:$A$72,0),DAY(表格1[[#This Row],[date]]),1,1)</f>
        <v>Daisy</v>
      </c>
      <c r="E1532" s="81">
        <f>MONTH(表格1[[#This Row],[date]])</f>
        <v>3</v>
      </c>
      <c r="F1532" s="90">
        <v>46090</v>
      </c>
      <c r="G1532" s="81" t="str">
        <f>VLOOKUP("*"&amp;表格1[[#This Row],[Input]]&amp;"*",'Ref-List'!$B:$D,2,)</f>
        <v>RAD-D300H</v>
      </c>
      <c r="H1532" s="81" t="str">
        <f>_xlfn.XLOOKUP(表格1[[#This Row],[Model]],表格3[Model-Input-Ref2],表格3[Product Line])</f>
        <v>壓縮式抽濕機 (30公升)</v>
      </c>
      <c r="I1532" s="81" t="str">
        <f>_xlfn.XLOOKUP(表格1[[#This Row],[Model]],表格3[Model-Input-Ref2],表格3[大小電])</f>
        <v>細電</v>
      </c>
      <c r="J1532" s="81" t="str">
        <f>_xlfn.XLOOKUP(表格1[[#This Row],[Model]],表格3[Model-Input-Ref2],表格3[Code])</f>
        <v>RAC</v>
      </c>
      <c r="K1532" s="89" t="s">
        <v>1252</v>
      </c>
      <c r="L1532" s="81">
        <v>1</v>
      </c>
      <c r="M1532" s="87">
        <v>2280</v>
      </c>
      <c r="N1532" s="85">
        <f>IFERROR(表格1[[#This Row],[QTY]]*表格1[[#This Row],[Unit Price]],"-")</f>
        <v>2280</v>
      </c>
      <c r="O1532" s="86" t="s">
        <v>1629</v>
      </c>
      <c r="R1532" s="86" t="str">
        <f>_xlfn.CONCAT(表格1[[#This Row],[Model]]," ",表格1[[#This Row],[inv no]])</f>
        <v>RAD-D300H DA1419900</v>
      </c>
      <c r="S1532" s="86">
        <f>_xlfn.XLOOKUP(表格1[[#This Row],[Model]],表格3[Model-Input-Ref2],表格3[SRP PRICE])</f>
        <v>3380</v>
      </c>
      <c r="T1532" s="43">
        <f>表格1[[#This Row],[Unit Price]]/表格1[[#This Row],[SRP]]</f>
        <v>0.67455621301775148</v>
      </c>
      <c r="U1532" s="86" t="str">
        <f>_xlfn.XLOOKUP(表格1[[#This Row],[Model]],表格3[Model-Input-Ref2],表格3[TOSHIBA/HIGHEST])</f>
        <v>Shops Highest Price</v>
      </c>
      <c r="V1532" s="86" t="s">
        <v>1126</v>
      </c>
      <c r="W1532" s="86" t="str">
        <f>_xlfn.CONCAT(表格1[[#This Row],[欄4]],表格1[[#This Row],[inv no]])</f>
        <v>DA141DA1419900</v>
      </c>
    </row>
    <row r="1533" spans="1:23" hidden="1">
      <c r="A1533" s="81">
        <v>1531</v>
      </c>
      <c r="B1533" s="81" t="s">
        <v>1470</v>
      </c>
      <c r="C1533" s="81" t="s">
        <v>1374</v>
      </c>
      <c r="D1533" s="82" t="str">
        <f ca="1">OFFSET(Roster!$A$3,MATCH(表格1[[#This Row],[Location]]&amp;" "&amp;表格1[[#This Row],[Shop]]&amp;"*",Roster!$A$4:$A$72,0),DAY(表格1[[#This Row],[date]]),1,1)</f>
        <v>Daisy</v>
      </c>
      <c r="E1533" s="81">
        <f>MONTH(表格1[[#This Row],[date]])</f>
        <v>3</v>
      </c>
      <c r="F1533" s="90">
        <v>46091</v>
      </c>
      <c r="G1533" s="81" t="str">
        <f>VLOOKUP("*"&amp;表格1[[#This Row],[Input]]&amp;"*",'Ref-List'!$B:$D,2,)</f>
        <v>RC-DX10T(W)</v>
      </c>
      <c r="H1533" s="81" t="str">
        <f>_xlfn.XLOOKUP(表格1[[#This Row],[Model]],表格3[Model-Input-Ref2],表格3[Product Line])</f>
        <v>真空壓力磁應電飯煲(1.0公升)</v>
      </c>
      <c r="I1533" s="81" t="str">
        <f>_xlfn.XLOOKUP(表格1[[#This Row],[Model]],表格3[Model-Input-Ref2],表格3[大小電])</f>
        <v>細電</v>
      </c>
      <c r="J1533" s="81" t="str">
        <f>_xlfn.XLOOKUP(表格1[[#This Row],[Model]],表格3[Model-Input-Ref2],表格3[Code])</f>
        <v>SDA</v>
      </c>
      <c r="K1533" s="89" t="s">
        <v>1579</v>
      </c>
      <c r="L1533" s="81">
        <v>1</v>
      </c>
      <c r="M1533" s="87">
        <v>4648</v>
      </c>
      <c r="N1533" s="85">
        <f>IFERROR(表格1[[#This Row],[QTY]]*表格1[[#This Row],[Unit Price]],"-")</f>
        <v>4648</v>
      </c>
      <c r="O1533" s="142" t="s">
        <v>1630</v>
      </c>
      <c r="R1533" s="86" t="str">
        <f>_xlfn.CONCAT(表格1[[#This Row],[Model]]," ",表格1[[#This Row],[inv no]])</f>
        <v>RC-DX10T(W) DA1419970</v>
      </c>
      <c r="S1533" s="86">
        <f>_xlfn.XLOOKUP(表格1[[#This Row],[Model]],表格3[Model-Input-Ref2],表格3[SRP PRICE])</f>
        <v>5988</v>
      </c>
      <c r="T1533" s="43">
        <f>表格1[[#This Row],[Unit Price]]/表格1[[#This Row],[SRP]]</f>
        <v>0.77621910487641954</v>
      </c>
      <c r="U1533" s="86" t="str">
        <f>_xlfn.XLOOKUP(表格1[[#This Row],[Model]],表格3[Model-Input-Ref2],表格3[TOSHIBA/HIGHEST])</f>
        <v>Toshiba SRP</v>
      </c>
      <c r="V1533" s="86" t="s">
        <v>1126</v>
      </c>
      <c r="W1533" s="86" t="str">
        <f>_xlfn.CONCAT(表格1[[#This Row],[欄4]],表格1[[#This Row],[inv no]])</f>
        <v>DA141DA1419970</v>
      </c>
    </row>
    <row r="1534" spans="1:23" hidden="1">
      <c r="A1534" s="81">
        <v>1532</v>
      </c>
      <c r="B1534" s="81" t="s">
        <v>1470</v>
      </c>
      <c r="C1534" s="81" t="s">
        <v>1374</v>
      </c>
      <c r="D1534" s="82" t="str">
        <f ca="1">OFFSET(Roster!$A$3,MATCH(表格1[[#This Row],[Location]]&amp;" "&amp;表格1[[#This Row],[Shop]]&amp;"*",Roster!$A$4:$A$72,0),DAY(表格1[[#This Row],[date]]),1,1)</f>
        <v>Daisy</v>
      </c>
      <c r="E1534" s="81">
        <f>MONTH(表格1[[#This Row],[date]])</f>
        <v>3</v>
      </c>
      <c r="F1534" s="90">
        <v>46091</v>
      </c>
      <c r="G1534" s="81" t="str">
        <f>VLOOKUP("*"&amp;表格1[[#This Row],[Input]]&amp;"*",'Ref-List'!$B:$D,2,)</f>
        <v>RC-18AMXH(W)</v>
      </c>
      <c r="H1534" s="81" t="str">
        <f>_xlfn.XLOOKUP(表格1[[#This Row],[Model]],表格3[Model-Input-Ref2],表格3[Product Line])</f>
        <v>酵活炊電飯煲(1.8公升)</v>
      </c>
      <c r="I1534" s="81" t="str">
        <f>_xlfn.XLOOKUP(表格1[[#This Row],[Model]],表格3[Model-Input-Ref2],表格3[大小電])</f>
        <v>細電</v>
      </c>
      <c r="J1534" s="81" t="str">
        <f>_xlfn.XLOOKUP(表格1[[#This Row],[Model]],表格3[Model-Input-Ref2],表格3[Code])</f>
        <v>SDA</v>
      </c>
      <c r="K1534" s="89" t="s">
        <v>1362</v>
      </c>
      <c r="L1534" s="81">
        <v>1</v>
      </c>
      <c r="M1534" s="87">
        <v>990</v>
      </c>
      <c r="N1534" s="85">
        <f>IFERROR(表格1[[#This Row],[QTY]]*表格1[[#This Row],[Unit Price]],"-")</f>
        <v>990</v>
      </c>
      <c r="O1534" s="86" t="s">
        <v>1631</v>
      </c>
      <c r="R1534" s="86" t="str">
        <f>_xlfn.CONCAT(表格1[[#This Row],[Model]]," ",表格1[[#This Row],[inv no]])</f>
        <v>RC-18AMXH(W) DA1419977</v>
      </c>
      <c r="S1534" s="86">
        <f>_xlfn.XLOOKUP(表格1[[#This Row],[Model]],表格3[Model-Input-Ref2],表格3[SRP PRICE])</f>
        <v>1588</v>
      </c>
      <c r="T1534" s="43">
        <f>表格1[[#This Row],[Unit Price]]/表格1[[#This Row],[SRP]]</f>
        <v>0.62342569269521408</v>
      </c>
      <c r="U1534" s="86" t="str">
        <f>_xlfn.XLOOKUP(表格1[[#This Row],[Model]],表格3[Model-Input-Ref2],表格3[TOSHIBA/HIGHEST])</f>
        <v>Toshiba SRP</v>
      </c>
      <c r="V1534" s="86" t="s">
        <v>1126</v>
      </c>
      <c r="W1534" s="86" t="str">
        <f>_xlfn.CONCAT(表格1[[#This Row],[欄4]],表格1[[#This Row],[inv no]])</f>
        <v>DA141DA1419977</v>
      </c>
    </row>
    <row r="1535" spans="1:23" hidden="1">
      <c r="A1535" s="81">
        <v>1533</v>
      </c>
      <c r="B1535" s="81" t="s">
        <v>1470</v>
      </c>
      <c r="C1535" s="81" t="s">
        <v>1374</v>
      </c>
      <c r="D1535" s="82" t="str">
        <f ca="1">OFFSET(Roster!$A$3,MATCH(表格1[[#This Row],[Location]]&amp;" "&amp;表格1[[#This Row],[Shop]]&amp;"*",Roster!$A$4:$A$72,0),DAY(表格1[[#This Row],[date]]),1,1)</f>
        <v>Daisy</v>
      </c>
      <c r="E1535" s="81">
        <f>MONTH(表格1[[#This Row],[date]])</f>
        <v>3</v>
      </c>
      <c r="F1535" s="90">
        <v>46091</v>
      </c>
      <c r="G1535" s="81" t="str">
        <f>VLOOKUP("*"&amp;表格1[[#This Row],[Input]]&amp;"*",'Ref-List'!$B:$D,2,)</f>
        <v>RC-18NMFIH(WT)</v>
      </c>
      <c r="H1535" s="81" t="str">
        <f>_xlfn.XLOOKUP(表格1[[#This Row],[Model]],表格3[Model-Input-Ref2],表格3[Product Line])</f>
        <v>4毫米厚釜電飯煲1.8L</v>
      </c>
      <c r="I1535" s="81" t="str">
        <f>_xlfn.XLOOKUP(表格1[[#This Row],[Model]],表格3[Model-Input-Ref2],表格3[大小電])</f>
        <v>細電</v>
      </c>
      <c r="J1535" s="81" t="str">
        <f>_xlfn.XLOOKUP(表格1[[#This Row],[Model]],表格3[Model-Input-Ref2],表格3[Code])</f>
        <v>SDA</v>
      </c>
      <c r="K1535" s="89" t="s">
        <v>1267</v>
      </c>
      <c r="L1535" s="81">
        <v>1</v>
      </c>
      <c r="M1535" s="87">
        <v>788</v>
      </c>
      <c r="N1535" s="85">
        <f>IFERROR(表格1[[#This Row],[QTY]]*表格1[[#This Row],[Unit Price]],"-")</f>
        <v>788</v>
      </c>
      <c r="O1535" s="142" t="s">
        <v>1632</v>
      </c>
      <c r="R1535" s="86" t="str">
        <f>_xlfn.CONCAT(表格1[[#This Row],[Model]]," ",表格1[[#This Row],[inv no]])</f>
        <v>RC-18NMFIH(WT) DA1419978</v>
      </c>
      <c r="S1535" s="86">
        <f>_xlfn.XLOOKUP(表格1[[#This Row],[Model]],表格3[Model-Input-Ref2],表格3[SRP PRICE])</f>
        <v>998</v>
      </c>
      <c r="T1535" s="43">
        <f>表格1[[#This Row],[Unit Price]]/表格1[[#This Row],[SRP]]</f>
        <v>0.78957915831663328</v>
      </c>
      <c r="U1535" s="86" t="str">
        <f>_xlfn.XLOOKUP(表格1[[#This Row],[Model]],表格3[Model-Input-Ref2],表格3[TOSHIBA/HIGHEST])</f>
        <v>Toshiba SRP</v>
      </c>
      <c r="V1535" s="86" t="s">
        <v>1126</v>
      </c>
      <c r="W1535" s="86" t="str">
        <f>_xlfn.CONCAT(表格1[[#This Row],[欄4]],表格1[[#This Row],[inv no]])</f>
        <v>DA141DA1419978</v>
      </c>
    </row>
    <row r="1536" spans="1:23" hidden="1">
      <c r="A1536" s="81">
        <v>1534</v>
      </c>
      <c r="B1536" s="81" t="s">
        <v>1470</v>
      </c>
      <c r="C1536" s="81" t="s">
        <v>1374</v>
      </c>
      <c r="D1536" s="82" t="str">
        <f ca="1">OFFSET(Roster!$A$3,MATCH(表格1[[#This Row],[Location]]&amp;" "&amp;表格1[[#This Row],[Shop]]&amp;"*",Roster!$A$4:$A$72,0),DAY(表格1[[#This Row],[date]]),1,1)</f>
        <v>Daisy</v>
      </c>
      <c r="E1536" s="81">
        <f>MONTH(表格1[[#This Row],[date]])</f>
        <v>3</v>
      </c>
      <c r="F1536" s="90">
        <v>46091</v>
      </c>
      <c r="G1536" s="81" t="str">
        <f>VLOOKUP("*"&amp;表格1[[#This Row],[Input]]&amp;"*",'Ref-List'!$B:$D,2,)</f>
        <v>MM2-EM20PC(WH)</v>
      </c>
      <c r="H1536" s="81" t="str">
        <f>_xlfn.XLOOKUP(表格1[[#This Row],[Model]],表格3[Model-Input-Ref2],表格3[Product Line])</f>
        <v>輕觸式微波爐 (20公升)</v>
      </c>
      <c r="I1536" s="81" t="str">
        <f>_xlfn.XLOOKUP(表格1[[#This Row],[Model]],表格3[Model-Input-Ref2],表格3[大小電])</f>
        <v>細電</v>
      </c>
      <c r="J1536" s="81" t="str">
        <f>_xlfn.XLOOKUP(表格1[[#This Row],[Model]],表格3[Model-Input-Ref2],表格3[Code])</f>
        <v>MCA</v>
      </c>
      <c r="K1536" s="89" t="s">
        <v>1276</v>
      </c>
      <c r="L1536" s="81">
        <v>1</v>
      </c>
      <c r="M1536" s="87">
        <v>650</v>
      </c>
      <c r="N1536" s="85">
        <f>IFERROR(表格1[[#This Row],[QTY]]*表格1[[#This Row],[Unit Price]],"-")</f>
        <v>650</v>
      </c>
      <c r="O1536" s="86" t="s">
        <v>1580</v>
      </c>
      <c r="R1536" s="86" t="str">
        <f>_xlfn.CONCAT(表格1[[#This Row],[Model]]," ",表格1[[#This Row],[inv no]])</f>
        <v>MM2-EM20PC(WH) DA1420033</v>
      </c>
      <c r="S1536" s="86">
        <f>_xlfn.XLOOKUP(表格1[[#This Row],[Model]],表格3[Model-Input-Ref2],表格3[SRP PRICE])</f>
        <v>788</v>
      </c>
      <c r="T1536" s="43">
        <f>表格1[[#This Row],[Unit Price]]/表格1[[#This Row],[SRP]]</f>
        <v>0.82487309644670048</v>
      </c>
      <c r="U1536" s="86" t="str">
        <f>_xlfn.XLOOKUP(表格1[[#This Row],[Model]],表格3[Model-Input-Ref2],表格3[TOSHIBA/HIGHEST])</f>
        <v>Toshiba SRP</v>
      </c>
      <c r="V1536" s="86" t="s">
        <v>1126</v>
      </c>
      <c r="W1536" s="86" t="str">
        <f>_xlfn.CONCAT(表格1[[#This Row],[欄4]],表格1[[#This Row],[inv no]])</f>
        <v>DA141DA1420033</v>
      </c>
    </row>
    <row r="1537" spans="1:23" hidden="1">
      <c r="A1537" s="81">
        <v>1535</v>
      </c>
      <c r="B1537" s="81" t="s">
        <v>1470</v>
      </c>
      <c r="C1537" s="81" t="s">
        <v>1374</v>
      </c>
      <c r="D1537" s="82" t="str">
        <f ca="1">OFFSET(Roster!$A$3,MATCH(表格1[[#This Row],[Location]]&amp;" "&amp;表格1[[#This Row],[Shop]]&amp;"*",Roster!$A$4:$A$72,0),DAY(表格1[[#This Row],[date]]),1,1)</f>
        <v>Daisy</v>
      </c>
      <c r="E1537" s="81">
        <f>MONTH(表格1[[#This Row],[date]])</f>
        <v>3</v>
      </c>
      <c r="F1537" s="90">
        <v>46091</v>
      </c>
      <c r="G1537" s="81" t="str">
        <f>VLOOKUP("*"&amp;表格1[[#This Row],[Input]]&amp;"*",'Ref-List'!$B:$D,2,)</f>
        <v>RC-7HMH</v>
      </c>
      <c r="H1537" s="81" t="str">
        <f>_xlfn.XLOOKUP(表格1[[#This Row],[Model]],表格3[Model-Input-Ref2],表格3[Product Line])</f>
        <v>備長炭本厚釜電飯煲0.7L</v>
      </c>
      <c r="I1537" s="81" t="str">
        <f>_xlfn.XLOOKUP(表格1[[#This Row],[Model]],表格3[Model-Input-Ref2],表格3[大小電])</f>
        <v>細電</v>
      </c>
      <c r="J1537" s="81" t="str">
        <f>_xlfn.XLOOKUP(表格1[[#This Row],[Model]],表格3[Model-Input-Ref2],表格3[Code])</f>
        <v>SDA</v>
      </c>
      <c r="K1537" s="89" t="s">
        <v>1284</v>
      </c>
      <c r="L1537" s="81">
        <v>1</v>
      </c>
      <c r="M1537" s="87">
        <v>788</v>
      </c>
      <c r="N1537" s="85">
        <f>IFERROR(表格1[[#This Row],[QTY]]*表格1[[#This Row],[Unit Price]],"-")</f>
        <v>788</v>
      </c>
      <c r="O1537" s="142" t="s">
        <v>1581</v>
      </c>
      <c r="R1537" s="86" t="str">
        <f>_xlfn.CONCAT(表格1[[#This Row],[Model]]," ",表格1[[#This Row],[inv no]])</f>
        <v>RC-7HMH DA1420131</v>
      </c>
      <c r="S1537" s="86">
        <f>_xlfn.XLOOKUP(表格1[[#This Row],[Model]],表格3[Model-Input-Ref2],表格3[SRP PRICE])</f>
        <v>1288</v>
      </c>
      <c r="T1537" s="43">
        <f>表格1[[#This Row],[Unit Price]]/表格1[[#This Row],[SRP]]</f>
        <v>0.61180124223602483</v>
      </c>
      <c r="U1537" s="86" t="str">
        <f>_xlfn.XLOOKUP(表格1[[#This Row],[Model]],表格3[Model-Input-Ref2],表格3[TOSHIBA/HIGHEST])</f>
        <v>Toshiba SRP</v>
      </c>
      <c r="V1537" s="86" t="s">
        <v>1126</v>
      </c>
      <c r="W1537" s="86" t="str">
        <f>_xlfn.CONCAT(表格1[[#This Row],[欄4]],表格1[[#This Row],[inv no]])</f>
        <v>DA141DA1420131</v>
      </c>
    </row>
    <row r="1538" spans="1:23" hidden="1">
      <c r="A1538" s="81">
        <v>1536</v>
      </c>
      <c r="B1538" s="81" t="s">
        <v>1470</v>
      </c>
      <c r="C1538" s="81" t="s">
        <v>1374</v>
      </c>
      <c r="D1538" s="82" t="str">
        <f ca="1">OFFSET(Roster!$A$3,MATCH(表格1[[#This Row],[Location]]&amp;" "&amp;表格1[[#This Row],[Shop]]&amp;"*",Roster!$A$4:$A$72,0),DAY(表格1[[#This Row],[date]]),1,1)</f>
        <v>Daisy</v>
      </c>
      <c r="E1538" s="81">
        <f>MONTH(表格1[[#This Row],[date]])</f>
        <v>3</v>
      </c>
      <c r="F1538" s="90">
        <v>46091</v>
      </c>
      <c r="G1538" s="81" t="str">
        <f>VLOOKUP("*"&amp;表格1[[#This Row],[Input]]&amp;"*",'Ref-List'!$B:$D,2,)</f>
        <v>RC-10NMFIH(WT)</v>
      </c>
      <c r="H1538" s="81" t="str">
        <f>_xlfn.XLOOKUP(表格1[[#This Row],[Model]],表格3[Model-Input-Ref2],表格3[Product Line])</f>
        <v>4毫米厚釜電飯煲1L</v>
      </c>
      <c r="I1538" s="81" t="str">
        <f>_xlfn.XLOOKUP(表格1[[#This Row],[Model]],表格3[Model-Input-Ref2],表格3[大小電])</f>
        <v>細電</v>
      </c>
      <c r="J1538" s="81" t="str">
        <f>_xlfn.XLOOKUP(表格1[[#This Row],[Model]],表格3[Model-Input-Ref2],表格3[Code])</f>
        <v>SDA</v>
      </c>
      <c r="K1538" s="89" t="s">
        <v>1244</v>
      </c>
      <c r="L1538" s="81">
        <v>1</v>
      </c>
      <c r="M1538" s="87">
        <v>708</v>
      </c>
      <c r="N1538" s="85">
        <f>IFERROR(表格1[[#This Row],[QTY]]*表格1[[#This Row],[Unit Price]],"-")</f>
        <v>708</v>
      </c>
      <c r="O1538" s="142" t="s">
        <v>1642</v>
      </c>
      <c r="R1538" s="86" t="str">
        <f>_xlfn.CONCAT(表格1[[#This Row],[Model]]," ",表格1[[#This Row],[inv no]])</f>
        <v>RC-10NMFIH(WT) DA1420157</v>
      </c>
      <c r="S1538" s="86">
        <f>_xlfn.XLOOKUP(表格1[[#This Row],[Model]],表格3[Model-Input-Ref2],表格3[SRP PRICE])</f>
        <v>898</v>
      </c>
      <c r="T1538" s="43">
        <f>表格1[[#This Row],[Unit Price]]/表格1[[#This Row],[SRP]]</f>
        <v>0.7884187082405345</v>
      </c>
      <c r="U1538" s="86" t="str">
        <f>_xlfn.XLOOKUP(表格1[[#This Row],[Model]],表格3[Model-Input-Ref2],表格3[TOSHIBA/HIGHEST])</f>
        <v>Toshiba SRP</v>
      </c>
      <c r="V1538" s="86" t="s">
        <v>1639</v>
      </c>
      <c r="W1538" s="86" t="str">
        <f>_xlfn.CONCAT(表格1[[#This Row],[欄4]],表格1[[#This Row],[inv no]])</f>
        <v>DA1420DA1420157</v>
      </c>
    </row>
    <row r="1539" spans="1:23" hidden="1">
      <c r="A1539" s="81">
        <v>1537</v>
      </c>
      <c r="B1539" s="81" t="s">
        <v>1470</v>
      </c>
      <c r="C1539" s="81" t="s">
        <v>1374</v>
      </c>
      <c r="D1539" s="82" t="str">
        <f ca="1">OFFSET(Roster!$A$3,MATCH(表格1[[#This Row],[Location]]&amp;" "&amp;表格1[[#This Row],[Shop]]&amp;"*",Roster!$A$4:$A$72,0),DAY(表格1[[#This Row],[date]]),1,1)</f>
        <v>Daisy</v>
      </c>
      <c r="E1539" s="81">
        <f>MONTH(表格1[[#This Row],[date]])</f>
        <v>3</v>
      </c>
      <c r="F1539" s="90">
        <v>46091</v>
      </c>
      <c r="G1539" s="81" t="str">
        <f>VLOOKUP("*"&amp;表格1[[#This Row],[Input]]&amp;"*",'Ref-List'!$B:$D,2,)</f>
        <v>KT-17DRTHK(H)</v>
      </c>
      <c r="H1539" s="81" t="str">
        <f>_xlfn.XLOOKUP(表格1[[#This Row],[Model]],表格3[Model-Input-Ref2],表格3[Product Line])</f>
        <v>無線雙層電熱水壺(1.7公升)</v>
      </c>
      <c r="I1539" s="81" t="str">
        <f>_xlfn.XLOOKUP(表格1[[#This Row],[Model]],表格3[Model-Input-Ref2],表格3[大小電])</f>
        <v>細電</v>
      </c>
      <c r="J1539" s="81" t="str">
        <f>_xlfn.XLOOKUP(表格1[[#This Row],[Model]],表格3[Model-Input-Ref2],表格3[Code])</f>
        <v>SDA</v>
      </c>
      <c r="K1539" s="89" t="s">
        <v>1271</v>
      </c>
      <c r="L1539" s="81">
        <v>1</v>
      </c>
      <c r="M1539" s="87">
        <v>358</v>
      </c>
      <c r="N1539" s="85">
        <f>IFERROR(表格1[[#This Row],[QTY]]*表格1[[#This Row],[Unit Price]],"-")</f>
        <v>358</v>
      </c>
      <c r="O1539" s="142" t="s">
        <v>1643</v>
      </c>
      <c r="R1539" s="86" t="str">
        <f>_xlfn.CONCAT(表格1[[#This Row],[Model]]," ",表格1[[#This Row],[inv no]])</f>
        <v>KT-17DRTHK(H) DA1420191</v>
      </c>
      <c r="S1539" s="86">
        <f>_xlfn.XLOOKUP(表格1[[#This Row],[Model]],表格3[Model-Input-Ref2],表格3[SRP PRICE])</f>
        <v>498</v>
      </c>
      <c r="T1539" s="43">
        <f>表格1[[#This Row],[Unit Price]]/表格1[[#This Row],[SRP]]</f>
        <v>0.71887550200803207</v>
      </c>
      <c r="U1539" s="86" t="str">
        <f>_xlfn.XLOOKUP(表格1[[#This Row],[Model]],表格3[Model-Input-Ref2],表格3[TOSHIBA/HIGHEST])</f>
        <v>Toshiba SRP</v>
      </c>
      <c r="V1539" s="86" t="s">
        <v>1639</v>
      </c>
      <c r="W1539" s="86" t="str">
        <f>_xlfn.CONCAT(表格1[[#This Row],[欄4]],表格1[[#This Row],[inv no]])</f>
        <v>DA1420DA1420191</v>
      </c>
    </row>
    <row r="1540" spans="1:23" hidden="1">
      <c r="A1540" s="81">
        <v>1538</v>
      </c>
      <c r="B1540" s="81" t="s">
        <v>1470</v>
      </c>
      <c r="C1540" s="81" t="s">
        <v>1374</v>
      </c>
      <c r="D1540" s="82" t="str">
        <f ca="1">OFFSET(Roster!$A$3,MATCH(表格1[[#This Row],[Location]]&amp;" "&amp;表格1[[#This Row],[Shop]]&amp;"*",Roster!$A$4:$A$72,0),DAY(表格1[[#This Row],[date]]),1,1)</f>
        <v>Daisy</v>
      </c>
      <c r="E1540" s="81">
        <f>MONTH(表格1[[#This Row],[date]])</f>
        <v>3</v>
      </c>
      <c r="F1540" s="90">
        <v>46091</v>
      </c>
      <c r="G1540" s="81" t="str">
        <f>VLOOKUP("*"&amp;表格1[[#This Row],[Input]]&amp;"*",'Ref-List'!$B:$D,2,)</f>
        <v>RC-18NMFIH(WT)</v>
      </c>
      <c r="H1540" s="81" t="str">
        <f>_xlfn.XLOOKUP(表格1[[#This Row],[Model]],表格3[Model-Input-Ref2],表格3[Product Line])</f>
        <v>4毫米厚釜電飯煲1.8L</v>
      </c>
      <c r="I1540" s="81" t="str">
        <f>_xlfn.XLOOKUP(表格1[[#This Row],[Model]],表格3[Model-Input-Ref2],表格3[大小電])</f>
        <v>細電</v>
      </c>
      <c r="J1540" s="81" t="str">
        <f>_xlfn.XLOOKUP(表格1[[#This Row],[Model]],表格3[Model-Input-Ref2],表格3[Code])</f>
        <v>SDA</v>
      </c>
      <c r="K1540" s="89" t="s">
        <v>1267</v>
      </c>
      <c r="L1540" s="81">
        <v>1</v>
      </c>
      <c r="M1540" s="87">
        <v>788</v>
      </c>
      <c r="N1540" s="85">
        <f>IFERROR(表格1[[#This Row],[QTY]]*表格1[[#This Row],[Unit Price]],"-")</f>
        <v>788</v>
      </c>
      <c r="O1540" s="142" t="s">
        <v>1644</v>
      </c>
      <c r="R1540" s="86" t="str">
        <f>_xlfn.CONCAT(表格1[[#This Row],[Model]]," ",表格1[[#This Row],[inv no]])</f>
        <v>RC-18NMFIH(WT) DA1420209</v>
      </c>
      <c r="S1540" s="86">
        <f>_xlfn.XLOOKUP(表格1[[#This Row],[Model]],表格3[Model-Input-Ref2],表格3[SRP PRICE])</f>
        <v>998</v>
      </c>
      <c r="T1540" s="43">
        <f>表格1[[#This Row],[Unit Price]]/表格1[[#This Row],[SRP]]</f>
        <v>0.78957915831663328</v>
      </c>
      <c r="U1540" s="86" t="str">
        <f>_xlfn.XLOOKUP(表格1[[#This Row],[Model]],表格3[Model-Input-Ref2],表格3[TOSHIBA/HIGHEST])</f>
        <v>Toshiba SRP</v>
      </c>
      <c r="V1540" s="86" t="s">
        <v>1639</v>
      </c>
      <c r="W1540" s="86" t="str">
        <f>_xlfn.CONCAT(表格1[[#This Row],[欄4]],表格1[[#This Row],[inv no]])</f>
        <v>DA1420DA1420209</v>
      </c>
    </row>
    <row r="1541" spans="1:23" hidden="1">
      <c r="A1541" s="81">
        <v>1539</v>
      </c>
      <c r="B1541" s="81" t="s">
        <v>1470</v>
      </c>
      <c r="C1541" s="81" t="s">
        <v>1374</v>
      </c>
      <c r="D1541" s="82" t="str">
        <f ca="1">OFFSET(Roster!$A$3,MATCH(表格1[[#This Row],[Location]]&amp;" "&amp;表格1[[#This Row],[Shop]]&amp;"*",Roster!$A$4:$A$72,0),DAY(表格1[[#This Row],[date]]),1,1)</f>
        <v>Daisy</v>
      </c>
      <c r="E1541" s="81">
        <f>MONTH(表格1[[#This Row],[date]])</f>
        <v>3</v>
      </c>
      <c r="F1541" s="90">
        <v>46091</v>
      </c>
      <c r="G1541" s="81" t="str">
        <f>VLOOKUP("*"&amp;表格1[[#This Row],[Input]]&amp;"*",'Ref-List'!$B:$D,2,)</f>
        <v>RAD-D300H</v>
      </c>
      <c r="H1541" s="81" t="str">
        <f>_xlfn.XLOOKUP(表格1[[#This Row],[Model]],表格3[Model-Input-Ref2],表格3[Product Line])</f>
        <v>壓縮式抽濕機 (30公升)</v>
      </c>
      <c r="I1541" s="81" t="str">
        <f>_xlfn.XLOOKUP(表格1[[#This Row],[Model]],表格3[Model-Input-Ref2],表格3[大小電])</f>
        <v>細電</v>
      </c>
      <c r="J1541" s="81" t="str">
        <f>_xlfn.XLOOKUP(表格1[[#This Row],[Model]],表格3[Model-Input-Ref2],表格3[Code])</f>
        <v>RAC</v>
      </c>
      <c r="K1541" s="89" t="s">
        <v>1252</v>
      </c>
      <c r="L1541" s="81">
        <v>1</v>
      </c>
      <c r="M1541" s="87">
        <v>2080</v>
      </c>
      <c r="N1541" s="85">
        <f>IFERROR(表格1[[#This Row],[QTY]]*表格1[[#This Row],[Unit Price]],"-")</f>
        <v>2080</v>
      </c>
      <c r="O1541" s="142" t="s">
        <v>1645</v>
      </c>
      <c r="R1541" s="86" t="str">
        <f>_xlfn.CONCAT(表格1[[#This Row],[Model]]," ",表格1[[#This Row],[inv no]])</f>
        <v>RAD-D300H DA1420220</v>
      </c>
      <c r="S1541" s="86">
        <f>_xlfn.XLOOKUP(表格1[[#This Row],[Model]],表格3[Model-Input-Ref2],表格3[SRP PRICE])</f>
        <v>3380</v>
      </c>
      <c r="T1541" s="43">
        <f>表格1[[#This Row],[Unit Price]]/表格1[[#This Row],[SRP]]</f>
        <v>0.61538461538461542</v>
      </c>
      <c r="U1541" s="86" t="str">
        <f>_xlfn.XLOOKUP(表格1[[#This Row],[Model]],表格3[Model-Input-Ref2],表格3[TOSHIBA/HIGHEST])</f>
        <v>Shops Highest Price</v>
      </c>
      <c r="V1541" s="86" t="s">
        <v>1639</v>
      </c>
      <c r="W1541" s="86" t="str">
        <f>_xlfn.CONCAT(表格1[[#This Row],[欄4]],表格1[[#This Row],[inv no]])</f>
        <v>DA1420DA1420220</v>
      </c>
    </row>
    <row r="1542" spans="1:23" hidden="1">
      <c r="A1542" s="81">
        <v>1540</v>
      </c>
      <c r="B1542" s="81" t="s">
        <v>1470</v>
      </c>
      <c r="C1542" s="81" t="s">
        <v>1374</v>
      </c>
      <c r="D1542" s="82" t="str">
        <f ca="1">OFFSET(Roster!$A$3,MATCH(表格1[[#This Row],[Location]]&amp;" "&amp;表格1[[#This Row],[Shop]]&amp;"*",Roster!$A$4:$A$72,0),DAY(表格1[[#This Row],[date]]),1,1)</f>
        <v>Daisy</v>
      </c>
      <c r="E1542" s="81">
        <f>MONTH(表格1[[#This Row],[date]])</f>
        <v>3</v>
      </c>
      <c r="F1542" s="90">
        <v>46095</v>
      </c>
      <c r="G1542" s="81" t="str">
        <f>VLOOKUP("*"&amp;表格1[[#This Row],[Input]]&amp;"*",'Ref-List'!$B:$D,2,)</f>
        <v>GR-A28HSZ(DS)</v>
      </c>
      <c r="H1542" s="81" t="str">
        <f>_xlfn.XLOOKUP(表格1[[#This Row],[Model]],表格3[Model-Input-Ref2],表格3[Product Line])</f>
        <v>雙門變頻式環保雪櫃231L</v>
      </c>
      <c r="I1542" s="81" t="str">
        <f>_xlfn.XLOOKUP(表格1[[#This Row],[Model]],表格3[Model-Input-Ref2],表格3[大小電])</f>
        <v>大電</v>
      </c>
      <c r="J1542" s="81" t="str">
        <f>_xlfn.XLOOKUP(表格1[[#This Row],[Model]],表格3[Model-Input-Ref2],表格3[Code])</f>
        <v>REF</v>
      </c>
      <c r="K1542" s="89" t="s">
        <v>1578</v>
      </c>
      <c r="L1542" s="81">
        <v>1</v>
      </c>
      <c r="M1542" s="87">
        <v>2388</v>
      </c>
      <c r="N1542" s="85">
        <f>IFERROR(表格1[[#This Row],[QTY]]*表格1[[#This Row],[Unit Price]],"-")</f>
        <v>2388</v>
      </c>
      <c r="O1542" s="86" t="s">
        <v>1646</v>
      </c>
      <c r="R1542" s="86" t="str">
        <f>_xlfn.CONCAT(表格1[[#This Row],[Model]]," ",表格1[[#This Row],[inv no]])</f>
        <v>GR-A28HSZ(DS) DA1420284</v>
      </c>
      <c r="S1542" s="86">
        <f>_xlfn.XLOOKUP(表格1[[#This Row],[Model]],表格3[Model-Input-Ref2],表格3[SRP PRICE])</f>
        <v>3780</v>
      </c>
      <c r="T1542" s="43">
        <f>表格1[[#This Row],[Unit Price]]/表格1[[#This Row],[SRP]]</f>
        <v>0.63174603174603172</v>
      </c>
      <c r="U1542" s="86" t="str">
        <f>_xlfn.XLOOKUP(表格1[[#This Row],[Model]],表格3[Model-Input-Ref2],表格3[TOSHIBA/HIGHEST])</f>
        <v>Shops Highest Price</v>
      </c>
      <c r="V1542" s="86" t="s">
        <v>1639</v>
      </c>
      <c r="W1542" s="86" t="str">
        <f>_xlfn.CONCAT(表格1[[#This Row],[欄4]],表格1[[#This Row],[inv no]])</f>
        <v>DA1420DA1420284</v>
      </c>
    </row>
    <row r="1543" spans="1:23" hidden="1">
      <c r="A1543" s="81">
        <v>1541</v>
      </c>
      <c r="B1543" s="81" t="s">
        <v>1470</v>
      </c>
      <c r="C1543" s="81" t="s">
        <v>1374</v>
      </c>
      <c r="D1543" s="82" t="str">
        <f ca="1">OFFSET(Roster!$A$3,MATCH(表格1[[#This Row],[Location]]&amp;" "&amp;表格1[[#This Row],[Shop]]&amp;"*",Roster!$A$4:$A$72,0),DAY(表格1[[#This Row],[date]]),1,1)</f>
        <v>Daisy</v>
      </c>
      <c r="E1543" s="81">
        <f>MONTH(表格1[[#This Row],[date]])</f>
        <v>3</v>
      </c>
      <c r="F1543" s="90">
        <v>46095</v>
      </c>
      <c r="G1543" s="81" t="str">
        <f>VLOOKUP("*"&amp;表格1[[#This Row],[Input]]&amp;"*",'Ref-List'!$B:$D,2,)</f>
        <v>MX2-TT20SC(WH)</v>
      </c>
      <c r="H1543" s="81" t="str">
        <f>_xlfn.XLOOKUP(表格1[[#This Row],[Model]],表格3[Model-Input-Ref2],表格3[Product Line])</f>
        <v>3合1 微波蒸焗爐 (20公升)</v>
      </c>
      <c r="I1543" s="81" t="str">
        <f>_xlfn.XLOOKUP(表格1[[#This Row],[Model]],表格3[Model-Input-Ref2],表格3[大小電])</f>
        <v>細電</v>
      </c>
      <c r="J1543" s="81" t="str">
        <f>_xlfn.XLOOKUP(表格1[[#This Row],[Model]],表格3[Model-Input-Ref2],表格3[Code])</f>
        <v>MCA</v>
      </c>
      <c r="K1543" s="89" t="s">
        <v>1287</v>
      </c>
      <c r="L1543" s="81">
        <v>1</v>
      </c>
      <c r="M1543" s="87">
        <v>2480</v>
      </c>
      <c r="N1543" s="85">
        <f>IFERROR(表格1[[#This Row],[QTY]]*表格1[[#This Row],[Unit Price]],"-")</f>
        <v>2480</v>
      </c>
      <c r="O1543" s="86" t="s">
        <v>1647</v>
      </c>
      <c r="R1543" s="86" t="str">
        <f>_xlfn.CONCAT(表格1[[#This Row],[Model]]," ",表格1[[#This Row],[inv no]])</f>
        <v>MX2-TT20SC(WH) DA1420331</v>
      </c>
      <c r="S1543" s="86">
        <f>_xlfn.XLOOKUP(表格1[[#This Row],[Model]],表格3[Model-Input-Ref2],表格3[SRP PRICE])</f>
        <v>3580</v>
      </c>
      <c r="T1543" s="43">
        <f>表格1[[#This Row],[Unit Price]]/表格1[[#This Row],[SRP]]</f>
        <v>0.69273743016759781</v>
      </c>
      <c r="U1543" s="86" t="str">
        <f>_xlfn.XLOOKUP(表格1[[#This Row],[Model]],表格3[Model-Input-Ref2],表格3[TOSHIBA/HIGHEST])</f>
        <v>Toshiba SRP</v>
      </c>
      <c r="V1543" s="86" t="s">
        <v>1639</v>
      </c>
      <c r="W1543" s="86" t="str">
        <f>_xlfn.CONCAT(表格1[[#This Row],[欄4]],表格1[[#This Row],[inv no]])</f>
        <v>DA1420DA1420331</v>
      </c>
    </row>
    <row r="1544" spans="1:23" hidden="1">
      <c r="A1544" s="81">
        <v>1542</v>
      </c>
      <c r="B1544" s="81" t="s">
        <v>1470</v>
      </c>
      <c r="C1544" s="81" t="s">
        <v>1374</v>
      </c>
      <c r="D1544" s="82" t="str">
        <f ca="1">OFFSET(Roster!$A$3,MATCH(表格1[[#This Row],[Location]]&amp;" "&amp;表格1[[#This Row],[Shop]]&amp;"*",Roster!$A$4:$A$72,0),DAY(表格1[[#This Row],[date]]),1,1)</f>
        <v>Daisy</v>
      </c>
      <c r="E1544" s="81">
        <f>MONTH(表格1[[#This Row],[date]])</f>
        <v>3</v>
      </c>
      <c r="F1544" s="90">
        <v>46095</v>
      </c>
      <c r="G1544" s="81" t="str">
        <f>VLOOKUP("*"&amp;表格1[[#This Row],[Input]]&amp;"*",'Ref-List'!$B:$D,2,)</f>
        <v>RAC-07G3CVG-HK</v>
      </c>
      <c r="H1544" s="81" t="str">
        <f>_xlfn.XLOOKUP(表格1[[#This Row],[Model]],表格3[Model-Input-Ref2],表格3[Product Line])</f>
        <v>3/4 匹 R32變頻窗口式冷氣機</v>
      </c>
      <c r="I1544" s="81" t="str">
        <f>_xlfn.XLOOKUP(表格1[[#This Row],[Model]],表格3[Model-Input-Ref2],表格3[大小電])</f>
        <v>大電</v>
      </c>
      <c r="J1544" s="81" t="str">
        <f>_xlfn.XLOOKUP(表格1[[#This Row],[Model]],表格3[Model-Input-Ref2],表格3[Code])</f>
        <v>AC</v>
      </c>
      <c r="K1544" s="89" t="s">
        <v>1473</v>
      </c>
      <c r="L1544" s="81">
        <v>1</v>
      </c>
      <c r="M1544" s="87">
        <v>3288</v>
      </c>
      <c r="N1544" s="85">
        <f>IFERROR(表格1[[#This Row],[QTY]]*表格1[[#This Row],[Unit Price]],"-")</f>
        <v>3288</v>
      </c>
      <c r="O1544" s="86" t="s">
        <v>1648</v>
      </c>
      <c r="R1544" s="86" t="str">
        <f>_xlfn.CONCAT(表格1[[#This Row],[Model]]," ",表格1[[#This Row],[inv no]])</f>
        <v>RAC-07G3CVG-HK DA1420248</v>
      </c>
      <c r="S1544" s="86">
        <f>_xlfn.XLOOKUP(表格1[[#This Row],[Model]],表格3[Model-Input-Ref2],表格3[SRP PRICE])</f>
        <v>4980</v>
      </c>
      <c r="T1544" s="43">
        <f>表格1[[#This Row],[Unit Price]]/表格1[[#This Row],[SRP]]</f>
        <v>0.66024096385542164</v>
      </c>
      <c r="U1544" s="86" t="str">
        <f>_xlfn.XLOOKUP(表格1[[#This Row],[Model]],表格3[Model-Input-Ref2],表格3[TOSHIBA/HIGHEST])</f>
        <v>Toshiba SRP</v>
      </c>
      <c r="V1544" s="86" t="s">
        <v>1639</v>
      </c>
      <c r="W1544" s="86" t="str">
        <f>_xlfn.CONCAT(表格1[[#This Row],[欄4]],表格1[[#This Row],[inv no]])</f>
        <v>DA1420DA1420248</v>
      </c>
    </row>
    <row r="1545" spans="1:23" hidden="1">
      <c r="A1545" s="81">
        <v>1543</v>
      </c>
      <c r="B1545" s="81" t="s">
        <v>1470</v>
      </c>
      <c r="C1545" s="81" t="s">
        <v>1374</v>
      </c>
      <c r="D1545" s="82" t="str">
        <f ca="1">OFFSET(Roster!$A$3,MATCH(表格1[[#This Row],[Location]]&amp;" "&amp;表格1[[#This Row],[Shop]]&amp;"*",Roster!$A$4:$A$72,0),DAY(表格1[[#This Row],[date]]),1,1)</f>
        <v>Daisy</v>
      </c>
      <c r="E1545" s="81">
        <f>MONTH(表格1[[#This Row],[date]])</f>
        <v>3</v>
      </c>
      <c r="F1545" s="90">
        <v>46095</v>
      </c>
      <c r="G1545" s="81" t="str">
        <f>VLOOKUP("*"&amp;表格1[[#This Row],[Input]]&amp;"*",'Ref-List'!$B:$D,2,)</f>
        <v>RC-18NMFIH(WT)</v>
      </c>
      <c r="H1545" s="81" t="str">
        <f>_xlfn.XLOOKUP(表格1[[#This Row],[Model]],表格3[Model-Input-Ref2],表格3[Product Line])</f>
        <v>4毫米厚釜電飯煲1.8L</v>
      </c>
      <c r="I1545" s="81" t="str">
        <f>_xlfn.XLOOKUP(表格1[[#This Row],[Model]],表格3[Model-Input-Ref2],表格3[大小電])</f>
        <v>細電</v>
      </c>
      <c r="J1545" s="81" t="str">
        <f>_xlfn.XLOOKUP(表格1[[#This Row],[Model]],表格3[Model-Input-Ref2],表格3[Code])</f>
        <v>SDA</v>
      </c>
      <c r="K1545" s="89" t="s">
        <v>1267</v>
      </c>
      <c r="L1545" s="81">
        <v>1</v>
      </c>
      <c r="M1545" s="87">
        <v>788</v>
      </c>
      <c r="N1545" s="85">
        <f>IFERROR(表格1[[#This Row],[QTY]]*表格1[[#This Row],[Unit Price]],"-")</f>
        <v>788</v>
      </c>
      <c r="O1545" s="86" t="s">
        <v>1649</v>
      </c>
      <c r="R1545" s="86" t="str">
        <f>_xlfn.CONCAT(表格1[[#This Row],[Model]]," ",表格1[[#This Row],[inv no]])</f>
        <v>RC-18NMFIH(WT) DA1420429</v>
      </c>
      <c r="S1545" s="86">
        <f>_xlfn.XLOOKUP(表格1[[#This Row],[Model]],表格3[Model-Input-Ref2],表格3[SRP PRICE])</f>
        <v>998</v>
      </c>
      <c r="T1545" s="43">
        <f>表格1[[#This Row],[Unit Price]]/表格1[[#This Row],[SRP]]</f>
        <v>0.78957915831663328</v>
      </c>
      <c r="U1545" s="86" t="str">
        <f>_xlfn.XLOOKUP(表格1[[#This Row],[Model]],表格3[Model-Input-Ref2],表格3[TOSHIBA/HIGHEST])</f>
        <v>Toshiba SRP</v>
      </c>
      <c r="V1545" s="86" t="s">
        <v>1639</v>
      </c>
      <c r="W1545" s="86" t="str">
        <f>_xlfn.CONCAT(表格1[[#This Row],[欄4]],表格1[[#This Row],[inv no]])</f>
        <v>DA1420DA1420429</v>
      </c>
    </row>
    <row r="1546" spans="1:23" hidden="1">
      <c r="A1546" s="81">
        <v>1544</v>
      </c>
      <c r="B1546" s="81" t="s">
        <v>1470</v>
      </c>
      <c r="C1546" s="81" t="s">
        <v>1374</v>
      </c>
      <c r="D1546" s="82" t="str">
        <f ca="1">OFFSET(Roster!$A$3,MATCH(表格1[[#This Row],[Location]]&amp;" "&amp;表格1[[#This Row],[Shop]]&amp;"*",Roster!$A$4:$A$72,0),DAY(表格1[[#This Row],[date]]),1,1)</f>
        <v>Daisy</v>
      </c>
      <c r="E1546" s="81">
        <f>MONTH(表格1[[#This Row],[date]])</f>
        <v>3</v>
      </c>
      <c r="F1546" s="90">
        <v>46095</v>
      </c>
      <c r="G1546" s="81" t="str">
        <f>VLOOKUP("*"&amp;表格1[[#This Row],[Input]]&amp;"*",'Ref-List'!$B:$D,2,)</f>
        <v>MX2-STR25SC(WH)</v>
      </c>
      <c r="H1546" s="81" t="str">
        <f>_xlfn.XLOOKUP(表格1[[#This Row],[Model]],表格3[Model-Input-Ref2],表格3[Product Line])</f>
        <v>4合1氣炸微波蒸焗爐(25公升)</v>
      </c>
      <c r="I1546" s="81" t="str">
        <f>_xlfn.XLOOKUP(表格1[[#This Row],[Model]],表格3[Model-Input-Ref2],表格3[大小電])</f>
        <v>細電</v>
      </c>
      <c r="J1546" s="81" t="str">
        <f>_xlfn.XLOOKUP(表格1[[#This Row],[Model]],表格3[Model-Input-Ref2],表格3[Code])</f>
        <v>MCA</v>
      </c>
      <c r="K1546" s="89" t="s">
        <v>1410</v>
      </c>
      <c r="L1546" s="81">
        <v>1</v>
      </c>
      <c r="M1546" s="87">
        <v>3250</v>
      </c>
      <c r="N1546" s="85">
        <f>IFERROR(表格1[[#This Row],[QTY]]*表格1[[#This Row],[Unit Price]],"-")</f>
        <v>3250</v>
      </c>
      <c r="O1546" s="86" t="s">
        <v>1650</v>
      </c>
      <c r="R1546" s="86" t="str">
        <f>_xlfn.CONCAT(表格1[[#This Row],[Model]]," ",表格1[[#This Row],[inv no]])</f>
        <v>MX2-STR25SC(WH) DA1420494</v>
      </c>
      <c r="S1546" s="86">
        <f>_xlfn.XLOOKUP(表格1[[#This Row],[Model]],表格3[Model-Input-Ref2],表格3[SRP PRICE])</f>
        <v>4998</v>
      </c>
      <c r="T1546" s="43">
        <f>表格1[[#This Row],[Unit Price]]/表格1[[#This Row],[SRP]]</f>
        <v>0.6502601040416166</v>
      </c>
      <c r="U1546" s="86" t="str">
        <f>_xlfn.XLOOKUP(表格1[[#This Row],[Model]],表格3[Model-Input-Ref2],表格3[TOSHIBA/HIGHEST])</f>
        <v>Toshiba SRP</v>
      </c>
      <c r="V1546" s="86" t="s">
        <v>1639</v>
      </c>
      <c r="W1546" s="86" t="str">
        <f>_xlfn.CONCAT(表格1[[#This Row],[欄4]],表格1[[#This Row],[inv no]])</f>
        <v>DA1420DA1420494</v>
      </c>
    </row>
    <row r="1547" spans="1:23" hidden="1">
      <c r="A1547" s="81">
        <v>1545</v>
      </c>
      <c r="B1547" s="81" t="s">
        <v>1470</v>
      </c>
      <c r="C1547" s="81" t="s">
        <v>1374</v>
      </c>
      <c r="D1547" s="82" t="str">
        <f ca="1">OFFSET(Roster!$A$3,MATCH(表格1[[#This Row],[Location]]&amp;" "&amp;表格1[[#This Row],[Shop]]&amp;"*",Roster!$A$4:$A$72,0),DAY(表格1[[#This Row],[date]]),1,1)</f>
        <v>Daisy</v>
      </c>
      <c r="E1547" s="81">
        <f>MONTH(表格1[[#This Row],[date]])</f>
        <v>3</v>
      </c>
      <c r="F1547" s="90">
        <v>46095</v>
      </c>
      <c r="G1547" s="81" t="str">
        <f>VLOOKUP("*"&amp;表格1[[#This Row],[Input]]&amp;"*",'Ref-List'!$B:$D,2,)</f>
        <v>RC-DS10K(N)</v>
      </c>
      <c r="H1547" s="81" t="str">
        <f>_xlfn.XLOOKUP(表格1[[#This Row],[Model]],表格3[Model-Input-Ref2],表格3[Product Line])</f>
        <v>IH磁應電飯煲</v>
      </c>
      <c r="I1547" s="81" t="str">
        <f>_xlfn.XLOOKUP(表格1[[#This Row],[Model]],表格3[Model-Input-Ref2],表格3[大小電])</f>
        <v>細電</v>
      </c>
      <c r="J1547" s="81" t="str">
        <f>_xlfn.XLOOKUP(表格1[[#This Row],[Model]],表格3[Model-Input-Ref2],表格3[Code])</f>
        <v>SDA</v>
      </c>
      <c r="K1547" s="89" t="s">
        <v>1633</v>
      </c>
      <c r="L1547" s="81">
        <v>1</v>
      </c>
      <c r="M1547" s="87">
        <v>2980</v>
      </c>
      <c r="N1547" s="85">
        <f>IFERROR(表格1[[#This Row],[QTY]]*表格1[[#This Row],[Unit Price]],"-")</f>
        <v>2980</v>
      </c>
      <c r="O1547" s="86" t="s">
        <v>1651</v>
      </c>
      <c r="R1547" s="86" t="str">
        <f>_xlfn.CONCAT(表格1[[#This Row],[Model]]," ",表格1[[#This Row],[inv no]])</f>
        <v>RC-DS10K(N) DA1420520</v>
      </c>
      <c r="S1547" s="86">
        <f>_xlfn.XLOOKUP(表格1[[#This Row],[Model]],表格3[Model-Input-Ref2],表格3[SRP PRICE])</f>
        <v>4588</v>
      </c>
      <c r="T1547" s="43">
        <f>表格1[[#This Row],[Unit Price]]/表格1[[#This Row],[SRP]]</f>
        <v>0.64952048823016562</v>
      </c>
      <c r="U1547" s="86" t="str">
        <f>_xlfn.XLOOKUP(表格1[[#This Row],[Model]],表格3[Model-Input-Ref2],表格3[TOSHIBA/HIGHEST])</f>
        <v>Toshiba SRP</v>
      </c>
      <c r="V1547" s="86" t="s">
        <v>1639</v>
      </c>
      <c r="W1547" s="86" t="str">
        <f>_xlfn.CONCAT(表格1[[#This Row],[欄4]],表格1[[#This Row],[inv no]])</f>
        <v>DA1420DA1420520</v>
      </c>
    </row>
    <row r="1548" spans="1:23" hidden="1">
      <c r="A1548" s="81">
        <v>1546</v>
      </c>
      <c r="B1548" s="81" t="s">
        <v>1470</v>
      </c>
      <c r="C1548" s="81" t="s">
        <v>1374</v>
      </c>
      <c r="D1548" s="82" t="str">
        <f ca="1">OFFSET(Roster!$A$3,MATCH(表格1[[#This Row],[Location]]&amp;" "&amp;表格1[[#This Row],[Shop]]&amp;"*",Roster!$A$4:$A$72,0),DAY(表格1[[#This Row],[date]]),1,1)</f>
        <v>Daisy</v>
      </c>
      <c r="E1548" s="81">
        <f>MONTH(表格1[[#This Row],[date]])</f>
        <v>3</v>
      </c>
      <c r="F1548" s="90">
        <v>46095</v>
      </c>
      <c r="G1548" s="81" t="str">
        <f>VLOOKUP("*"&amp;表格1[[#This Row],[Input]]&amp;"*",'Ref-List'!$B:$D,2,)</f>
        <v>RC-18AMXH(W)</v>
      </c>
      <c r="H1548" s="81" t="str">
        <f>_xlfn.XLOOKUP(表格1[[#This Row],[Model]],表格3[Model-Input-Ref2],表格3[Product Line])</f>
        <v>酵活炊電飯煲(1.8公升)</v>
      </c>
      <c r="I1548" s="81" t="str">
        <f>_xlfn.XLOOKUP(表格1[[#This Row],[Model]],表格3[Model-Input-Ref2],表格3[大小電])</f>
        <v>細電</v>
      </c>
      <c r="J1548" s="81" t="str">
        <f>_xlfn.XLOOKUP(表格1[[#This Row],[Model]],表格3[Model-Input-Ref2],表格3[Code])</f>
        <v>SDA</v>
      </c>
      <c r="K1548" s="89" t="s">
        <v>1362</v>
      </c>
      <c r="L1548" s="81">
        <v>1</v>
      </c>
      <c r="M1548" s="87">
        <v>990</v>
      </c>
      <c r="N1548" s="85">
        <f>IFERROR(表格1[[#This Row],[QTY]]*表格1[[#This Row],[Unit Price]],"-")</f>
        <v>990</v>
      </c>
      <c r="O1548" s="86" t="s">
        <v>1652</v>
      </c>
      <c r="R1548" s="86" t="str">
        <f>_xlfn.CONCAT(表格1[[#This Row],[Model]]," ",表格1[[#This Row],[inv no]])</f>
        <v>RC-18AMXH(W) DA1420556</v>
      </c>
      <c r="S1548" s="86">
        <f>_xlfn.XLOOKUP(表格1[[#This Row],[Model]],表格3[Model-Input-Ref2],表格3[SRP PRICE])</f>
        <v>1588</v>
      </c>
      <c r="T1548" s="43">
        <f>表格1[[#This Row],[Unit Price]]/表格1[[#This Row],[SRP]]</f>
        <v>0.62342569269521408</v>
      </c>
      <c r="U1548" s="86" t="str">
        <f>_xlfn.XLOOKUP(表格1[[#This Row],[Model]],表格3[Model-Input-Ref2],表格3[TOSHIBA/HIGHEST])</f>
        <v>Toshiba SRP</v>
      </c>
      <c r="V1548" s="86" t="s">
        <v>1639</v>
      </c>
      <c r="W1548" s="86" t="str">
        <f>_xlfn.CONCAT(表格1[[#This Row],[欄4]],表格1[[#This Row],[inv no]])</f>
        <v>DA1420DA1420556</v>
      </c>
    </row>
    <row r="1549" spans="1:23" hidden="1">
      <c r="A1549" s="81">
        <v>1547</v>
      </c>
      <c r="B1549" s="81" t="s">
        <v>1470</v>
      </c>
      <c r="C1549" s="81" t="s">
        <v>1374</v>
      </c>
      <c r="D1549" s="82" t="str">
        <f ca="1">OFFSET(Roster!$A$3,MATCH(表格1[[#This Row],[Location]]&amp;" "&amp;表格1[[#This Row],[Shop]]&amp;"*",Roster!$A$4:$A$72,0),DAY(表格1[[#This Row],[date]]),1,1)</f>
        <v>Daisy</v>
      </c>
      <c r="E1549" s="81">
        <f>MONTH(表格1[[#This Row],[date]])</f>
        <v>3</v>
      </c>
      <c r="F1549" s="90">
        <v>46095</v>
      </c>
      <c r="G1549" s="81" t="str">
        <f>VLOOKUP("*"&amp;表格1[[#This Row],[Input]]&amp;"*",'Ref-List'!$B:$D,2,)</f>
        <v>TL2-MC25CZE(GR)</v>
      </c>
      <c r="H1549" s="81" t="str">
        <f>_xlfn.XLOOKUP(表格1[[#This Row],[Model]],表格3[Model-Input-Ref2],表格3[Product Line])</f>
        <v>多功能焗爐 (25公升)</v>
      </c>
      <c r="I1549" s="81" t="str">
        <f>_xlfn.XLOOKUP(表格1[[#This Row],[Model]],表格3[Model-Input-Ref2],表格3[大小電])</f>
        <v>細電</v>
      </c>
      <c r="J1549" s="81" t="str">
        <f>_xlfn.XLOOKUP(表格1[[#This Row],[Model]],表格3[Model-Input-Ref2],表格3[Code])</f>
        <v>MOA</v>
      </c>
      <c r="K1549" s="89" t="s">
        <v>1634</v>
      </c>
      <c r="L1549" s="81">
        <v>1</v>
      </c>
      <c r="M1549" s="87">
        <v>798</v>
      </c>
      <c r="N1549" s="85">
        <f>IFERROR(表格1[[#This Row],[QTY]]*表格1[[#This Row],[Unit Price]],"-")</f>
        <v>798</v>
      </c>
      <c r="O1549" s="86" t="s">
        <v>1653</v>
      </c>
      <c r="R1549" s="86" t="str">
        <f>_xlfn.CONCAT(表格1[[#This Row],[Model]]," ",表格1[[#This Row],[inv no]])</f>
        <v>TL2-MC25CZE(GR) DA1420577</v>
      </c>
      <c r="S1549" s="86">
        <f>_xlfn.XLOOKUP(表格1[[#This Row],[Model]],表格3[Model-Input-Ref2],表格3[SRP PRICE])</f>
        <v>798</v>
      </c>
      <c r="T1549" s="43">
        <f>表格1[[#This Row],[Unit Price]]/表格1[[#This Row],[SRP]]</f>
        <v>1</v>
      </c>
      <c r="U1549" s="86" t="str">
        <f>_xlfn.XLOOKUP(表格1[[#This Row],[Model]],表格3[Model-Input-Ref2],表格3[TOSHIBA/HIGHEST])</f>
        <v>Shops Highest Price</v>
      </c>
      <c r="V1549" s="86" t="s">
        <v>1639</v>
      </c>
      <c r="W1549" s="86" t="str">
        <f>_xlfn.CONCAT(表格1[[#This Row],[欄4]],表格1[[#This Row],[inv no]])</f>
        <v>DA1420DA1420577</v>
      </c>
    </row>
    <row r="1550" spans="1:23" hidden="1">
      <c r="A1550" s="81">
        <v>1548</v>
      </c>
      <c r="B1550" s="81" t="s">
        <v>1470</v>
      </c>
      <c r="C1550" s="81" t="s">
        <v>1374</v>
      </c>
      <c r="D1550" s="82" t="str">
        <f ca="1">OFFSET(Roster!$A$3,MATCH(表格1[[#This Row],[Location]]&amp;" "&amp;表格1[[#This Row],[Shop]]&amp;"*",Roster!$A$4:$A$72,0),DAY(表格1[[#This Row],[date]]),1,1)</f>
        <v>Daisy</v>
      </c>
      <c r="E1550" s="81">
        <f>MONTH(表格1[[#This Row],[date]])</f>
        <v>3</v>
      </c>
      <c r="F1550" s="90">
        <v>46095</v>
      </c>
      <c r="G1550" s="81" t="str">
        <f>VLOOKUP("*"&amp;表格1[[#This Row],[Input]]&amp;"*",'Ref-List'!$B:$D,2,)</f>
        <v>TP-50DRUHK(W)</v>
      </c>
      <c r="H1550" s="81" t="str">
        <f>_xlfn.XLOOKUP(表格1[[#This Row],[Model]],表格3[Model-Input-Ref2],表格3[Product Line])</f>
        <v>電熱水瓶 (5公升)</v>
      </c>
      <c r="I1550" s="81" t="str">
        <f>_xlfn.XLOOKUP(表格1[[#This Row],[Model]],表格3[Model-Input-Ref2],表格3[大小電])</f>
        <v>細電</v>
      </c>
      <c r="J1550" s="81" t="str">
        <f>_xlfn.XLOOKUP(表格1[[#This Row],[Model]],表格3[Model-Input-Ref2],表格3[Code])</f>
        <v>SDA</v>
      </c>
      <c r="K1550" s="89" t="s">
        <v>1277</v>
      </c>
      <c r="L1550" s="81">
        <v>1</v>
      </c>
      <c r="M1550" s="87">
        <v>598</v>
      </c>
      <c r="N1550" s="85">
        <f>IFERROR(表格1[[#This Row],[QTY]]*表格1[[#This Row],[Unit Price]],"-")</f>
        <v>598</v>
      </c>
      <c r="O1550" s="142" t="s">
        <v>1654</v>
      </c>
      <c r="R1550" s="86" t="str">
        <f>_xlfn.CONCAT(表格1[[#This Row],[Model]]," ",表格1[[#This Row],[inv no]])</f>
        <v>TP-50DRUHK(W) DA1420579</v>
      </c>
      <c r="S1550" s="86">
        <f>_xlfn.XLOOKUP(表格1[[#This Row],[Model]],表格3[Model-Input-Ref2],表格3[SRP PRICE])</f>
        <v>718</v>
      </c>
      <c r="T1550" s="43">
        <f>表格1[[#This Row],[Unit Price]]/表格1[[#This Row],[SRP]]</f>
        <v>0.83286908077994426</v>
      </c>
      <c r="U1550" s="86" t="str">
        <f>_xlfn.XLOOKUP(表格1[[#This Row],[Model]],表格3[Model-Input-Ref2],表格3[TOSHIBA/HIGHEST])</f>
        <v>Toshiba SRP</v>
      </c>
      <c r="V1550" s="86" t="s">
        <v>1639</v>
      </c>
      <c r="W1550" s="86" t="str">
        <f>_xlfn.CONCAT(表格1[[#This Row],[欄4]],表格1[[#This Row],[inv no]])</f>
        <v>DA1420DA1420579</v>
      </c>
    </row>
    <row r="1551" spans="1:23" hidden="1">
      <c r="A1551" s="81">
        <v>1549</v>
      </c>
      <c r="B1551" s="81" t="s">
        <v>1470</v>
      </c>
      <c r="C1551" s="81" t="s">
        <v>1374</v>
      </c>
      <c r="D1551" s="82" t="str">
        <f ca="1">OFFSET(Roster!$A$3,MATCH(表格1[[#This Row],[Location]]&amp;" "&amp;表格1[[#This Row],[Shop]]&amp;"*",Roster!$A$4:$A$72,0),DAY(表格1[[#This Row],[date]]),1,1)</f>
        <v>Daisy</v>
      </c>
      <c r="E1551" s="81">
        <f>MONTH(表格1[[#This Row],[date]])</f>
        <v>3</v>
      </c>
      <c r="F1551" s="90">
        <v>46095</v>
      </c>
      <c r="G1551" s="81" t="str">
        <f>VLOOKUP("*"&amp;表格1[[#This Row],[Input]]&amp;"*",'Ref-List'!$B:$D,2,)</f>
        <v>RC-18NMFIH(WT)</v>
      </c>
      <c r="H1551" s="81" t="str">
        <f>_xlfn.XLOOKUP(表格1[[#This Row],[Model]],表格3[Model-Input-Ref2],表格3[Product Line])</f>
        <v>4毫米厚釜電飯煲1.8L</v>
      </c>
      <c r="I1551" s="81" t="str">
        <f>_xlfn.XLOOKUP(表格1[[#This Row],[Model]],表格3[Model-Input-Ref2],表格3[大小電])</f>
        <v>細電</v>
      </c>
      <c r="J1551" s="81" t="str">
        <f>_xlfn.XLOOKUP(表格1[[#This Row],[Model]],表格3[Model-Input-Ref2],表格3[Code])</f>
        <v>SDA</v>
      </c>
      <c r="K1551" s="89" t="s">
        <v>1267</v>
      </c>
      <c r="L1551" s="81">
        <v>1</v>
      </c>
      <c r="M1551" s="87">
        <v>788</v>
      </c>
      <c r="N1551" s="85">
        <f>IFERROR(表格1[[#This Row],[QTY]]*表格1[[#This Row],[Unit Price]],"-")</f>
        <v>788</v>
      </c>
      <c r="O1551" s="142" t="s">
        <v>1655</v>
      </c>
      <c r="R1551" s="86" t="str">
        <f>_xlfn.CONCAT(表格1[[#This Row],[Model]]," ",表格1[[#This Row],[inv no]])</f>
        <v>RC-18NMFIH(WT) DA1420585</v>
      </c>
      <c r="S1551" s="86">
        <f>_xlfn.XLOOKUP(表格1[[#This Row],[Model]],表格3[Model-Input-Ref2],表格3[SRP PRICE])</f>
        <v>998</v>
      </c>
      <c r="T1551" s="43">
        <f>表格1[[#This Row],[Unit Price]]/表格1[[#This Row],[SRP]]</f>
        <v>0.78957915831663328</v>
      </c>
      <c r="U1551" s="86" t="str">
        <f>_xlfn.XLOOKUP(表格1[[#This Row],[Model]],表格3[Model-Input-Ref2],表格3[TOSHIBA/HIGHEST])</f>
        <v>Toshiba SRP</v>
      </c>
      <c r="V1551" s="86" t="s">
        <v>1639</v>
      </c>
      <c r="W1551" s="86" t="str">
        <f>_xlfn.CONCAT(表格1[[#This Row],[欄4]],表格1[[#This Row],[inv no]])</f>
        <v>DA1420DA1420585</v>
      </c>
    </row>
    <row r="1552" spans="1:23" hidden="1">
      <c r="A1552" s="81">
        <v>1550</v>
      </c>
      <c r="B1552" s="81" t="s">
        <v>1470</v>
      </c>
      <c r="C1552" s="81" t="s">
        <v>1374</v>
      </c>
      <c r="D1552" s="82" t="str">
        <f ca="1">OFFSET(Roster!$A$3,MATCH(表格1[[#This Row],[Location]]&amp;" "&amp;表格1[[#This Row],[Shop]]&amp;"*",Roster!$A$4:$A$72,0),DAY(表格1[[#This Row],[date]]),1,1)</f>
        <v>Daisy</v>
      </c>
      <c r="E1552" s="81">
        <f>MONTH(表格1[[#This Row],[date]])</f>
        <v>3</v>
      </c>
      <c r="F1552" s="90">
        <v>46095</v>
      </c>
      <c r="G1552" s="81" t="str">
        <f>VLOOKUP("*"&amp;表格1[[#This Row],[Input]]&amp;"*",'Ref-List'!$B:$D,2,)</f>
        <v>RC-10AMXH(W)</v>
      </c>
      <c r="H1552" s="81" t="str">
        <f>_xlfn.XLOOKUP(表格1[[#This Row],[Model]],表格3[Model-Input-Ref2],表格3[Product Line])</f>
        <v>酵活炊電飯煲(1.0公升)</v>
      </c>
      <c r="I1552" s="81" t="str">
        <f>_xlfn.XLOOKUP(表格1[[#This Row],[Model]],表格3[Model-Input-Ref2],表格3[大小電])</f>
        <v>細電</v>
      </c>
      <c r="J1552" s="81" t="str">
        <f>_xlfn.XLOOKUP(表格1[[#This Row],[Model]],表格3[Model-Input-Ref2],表格3[Code])</f>
        <v>SDA</v>
      </c>
      <c r="K1552" s="89" t="s">
        <v>1279</v>
      </c>
      <c r="L1552" s="81">
        <v>1</v>
      </c>
      <c r="M1552" s="87">
        <v>890</v>
      </c>
      <c r="N1552" s="85">
        <f>IFERROR(表格1[[#This Row],[QTY]]*表格1[[#This Row],[Unit Price]],"-")</f>
        <v>890</v>
      </c>
      <c r="O1552" s="86" t="s">
        <v>1656</v>
      </c>
      <c r="R1552" s="86" t="str">
        <f>_xlfn.CONCAT(表格1[[#This Row],[Model]]," ",表格1[[#This Row],[inv no]])</f>
        <v>RC-10AMXH(W) DA1420588</v>
      </c>
      <c r="S1552" s="86">
        <f>_xlfn.XLOOKUP(表格1[[#This Row],[Model]],表格3[Model-Input-Ref2],表格3[SRP PRICE])</f>
        <v>1288</v>
      </c>
      <c r="T1552" s="43">
        <f>表格1[[#This Row],[Unit Price]]/表格1[[#This Row],[SRP]]</f>
        <v>0.69099378881987583</v>
      </c>
      <c r="U1552" s="86" t="str">
        <f>_xlfn.XLOOKUP(表格1[[#This Row],[Model]],表格3[Model-Input-Ref2],表格3[TOSHIBA/HIGHEST])</f>
        <v>Toshiba SRP</v>
      </c>
      <c r="V1552" s="86" t="s">
        <v>1639</v>
      </c>
      <c r="W1552" s="86" t="str">
        <f>_xlfn.CONCAT(表格1[[#This Row],[欄4]],表格1[[#This Row],[inv no]])</f>
        <v>DA1420DA1420588</v>
      </c>
    </row>
    <row r="1553" spans="1:23" hidden="1">
      <c r="A1553" s="81">
        <v>1551</v>
      </c>
      <c r="B1553" s="81" t="s">
        <v>1470</v>
      </c>
      <c r="C1553" s="81" t="s">
        <v>1374</v>
      </c>
      <c r="D1553" s="82" t="str">
        <f ca="1">OFFSET(Roster!$A$3,MATCH(表格1[[#This Row],[Location]]&amp;" "&amp;表格1[[#This Row],[Shop]]&amp;"*",Roster!$A$4:$A$72,0),DAY(表格1[[#This Row],[date]]),1,1)</f>
        <v>Daisy</v>
      </c>
      <c r="E1553" s="81">
        <f>MONTH(表格1[[#This Row],[date]])</f>
        <v>3</v>
      </c>
      <c r="F1553" s="90">
        <v>46095</v>
      </c>
      <c r="G1553" s="81" t="str">
        <f>VLOOKUP("*"&amp;表格1[[#This Row],[Input]]&amp;"*",'Ref-List'!$B:$D,2,)</f>
        <v>MX2-STR25SC(WH)</v>
      </c>
      <c r="H1553" s="81" t="str">
        <f>_xlfn.XLOOKUP(表格1[[#This Row],[Model]],表格3[Model-Input-Ref2],表格3[Product Line])</f>
        <v>4合1氣炸微波蒸焗爐(25公升)</v>
      </c>
      <c r="I1553" s="81" t="str">
        <f>_xlfn.XLOOKUP(表格1[[#This Row],[Model]],表格3[Model-Input-Ref2],表格3[大小電])</f>
        <v>細電</v>
      </c>
      <c r="J1553" s="81" t="str">
        <f>_xlfn.XLOOKUP(表格1[[#This Row],[Model]],表格3[Model-Input-Ref2],表格3[Code])</f>
        <v>MCA</v>
      </c>
      <c r="K1553" s="89" t="s">
        <v>1410</v>
      </c>
      <c r="L1553" s="81">
        <v>1</v>
      </c>
      <c r="M1553" s="87">
        <v>3250</v>
      </c>
      <c r="N1553" s="85">
        <f>IFERROR(表格1[[#This Row],[QTY]]*表格1[[#This Row],[Unit Price]],"-")</f>
        <v>3250</v>
      </c>
      <c r="O1553" s="142" t="s">
        <v>1657</v>
      </c>
      <c r="R1553" s="86" t="str">
        <f>_xlfn.CONCAT(表格1[[#This Row],[Model]]," ",表格1[[#This Row],[inv no]])</f>
        <v>MX2-STR25SC(WH) DA1420636</v>
      </c>
      <c r="S1553" s="86">
        <f>_xlfn.XLOOKUP(表格1[[#This Row],[Model]],表格3[Model-Input-Ref2],表格3[SRP PRICE])</f>
        <v>4998</v>
      </c>
      <c r="T1553" s="43">
        <f>表格1[[#This Row],[Unit Price]]/表格1[[#This Row],[SRP]]</f>
        <v>0.6502601040416166</v>
      </c>
      <c r="U1553" s="86" t="str">
        <f>_xlfn.XLOOKUP(表格1[[#This Row],[Model]],表格3[Model-Input-Ref2],表格3[TOSHIBA/HIGHEST])</f>
        <v>Toshiba SRP</v>
      </c>
      <c r="V1553" s="86" t="s">
        <v>1639</v>
      </c>
      <c r="W1553" s="86" t="str">
        <f>_xlfn.CONCAT(表格1[[#This Row],[欄4]],表格1[[#This Row],[inv no]])</f>
        <v>DA1420DA1420636</v>
      </c>
    </row>
    <row r="1554" spans="1:23" hidden="1">
      <c r="A1554" s="81">
        <v>1552</v>
      </c>
      <c r="B1554" s="81" t="s">
        <v>1470</v>
      </c>
      <c r="C1554" s="81" t="s">
        <v>1374</v>
      </c>
      <c r="D1554" s="82" t="str">
        <f ca="1">OFFSET(Roster!$A$3,MATCH(表格1[[#This Row],[Location]]&amp;" "&amp;表格1[[#This Row],[Shop]]&amp;"*",Roster!$A$4:$A$72,0),DAY(表格1[[#This Row],[date]]),1,1)</f>
        <v>Daisy</v>
      </c>
      <c r="E1554" s="81">
        <f>MONTH(表格1[[#This Row],[date]])</f>
        <v>3</v>
      </c>
      <c r="F1554" s="90">
        <v>46095</v>
      </c>
      <c r="G1554" s="81" t="str">
        <f>VLOOKUP("*"&amp;表格1[[#This Row],[Input]]&amp;"*",'Ref-List'!$B:$D,2,)</f>
        <v>GR-RM598WE-PGA(B3)</v>
      </c>
      <c r="H1554" s="81" t="str">
        <f>_xlfn.XLOOKUP(表格1[[#This Row],[Model]],表格3[Model-Input-Ref2],表格3[Product Line])</f>
        <v>變頻六門雪櫃(451L)</v>
      </c>
      <c r="I1554" s="81" t="str">
        <f>_xlfn.XLOOKUP(表格1[[#This Row],[Model]],表格3[Model-Input-Ref2],表格3[大小電])</f>
        <v>大電</v>
      </c>
      <c r="J1554" s="81" t="str">
        <f>_xlfn.XLOOKUP(表格1[[#This Row],[Model]],表格3[Model-Input-Ref2],表格3[Code])</f>
        <v>REF</v>
      </c>
      <c r="K1554" s="89" t="s">
        <v>1491</v>
      </c>
      <c r="L1554" s="81">
        <v>1</v>
      </c>
      <c r="M1554" s="87">
        <v>9600</v>
      </c>
      <c r="N1554" s="85">
        <f>IFERROR(表格1[[#This Row],[QTY]]*表格1[[#This Row],[Unit Price]],"-")</f>
        <v>9600</v>
      </c>
      <c r="O1554" s="142" t="s">
        <v>1658</v>
      </c>
      <c r="R1554" s="86" t="str">
        <f>_xlfn.CONCAT(表格1[[#This Row],[Model]]," ",表格1[[#This Row],[inv no]])</f>
        <v>GR-RM598WE-PGA(B3) DA1420638</v>
      </c>
      <c r="S1554" s="86">
        <f>_xlfn.XLOOKUP(表格1[[#This Row],[Model]],表格3[Model-Input-Ref2],表格3[SRP PRICE])</f>
        <v>14980</v>
      </c>
      <c r="T1554" s="43">
        <f>表格1[[#This Row],[Unit Price]]/表格1[[#This Row],[SRP]]</f>
        <v>0.64085447263017359</v>
      </c>
      <c r="U1554" s="86" t="str">
        <f>_xlfn.XLOOKUP(表格1[[#This Row],[Model]],表格3[Model-Input-Ref2],表格3[TOSHIBA/HIGHEST])</f>
        <v>Toshiba SRP</v>
      </c>
      <c r="V1554" s="86" t="s">
        <v>1639</v>
      </c>
      <c r="W1554" s="86" t="str">
        <f>_xlfn.CONCAT(表格1[[#This Row],[欄4]],表格1[[#This Row],[inv no]])</f>
        <v>DA1420DA1420638</v>
      </c>
    </row>
    <row r="1555" spans="1:23" hidden="1">
      <c r="A1555" s="81">
        <v>1553</v>
      </c>
      <c r="B1555" s="81" t="s">
        <v>1470</v>
      </c>
      <c r="C1555" s="81" t="s">
        <v>1374</v>
      </c>
      <c r="D1555" s="82" t="str">
        <f ca="1">OFFSET(Roster!$A$3,MATCH(表格1[[#This Row],[Location]]&amp;" "&amp;表格1[[#This Row],[Shop]]&amp;"*",Roster!$A$4:$A$72,0),DAY(表格1[[#This Row],[date]]),1,1)</f>
        <v>Daisy</v>
      </c>
      <c r="E1555" s="81">
        <f>MONTH(表格1[[#This Row],[date]])</f>
        <v>3</v>
      </c>
      <c r="F1555" s="90">
        <v>46095</v>
      </c>
      <c r="G1555" s="81" t="str">
        <f>VLOOKUP("*"&amp;表格1[[#This Row],[Input]]&amp;"*",'Ref-List'!$B:$D,2,)</f>
        <v>RC-18JRUH(N)</v>
      </c>
      <c r="H1555" s="81" t="str">
        <f>_xlfn.XLOOKUP(表格1[[#This Row],[Model]],表格3[Model-Input-Ref2],表格3[Product Line])</f>
        <v>1.8公升電飯煲</v>
      </c>
      <c r="I1555" s="81" t="str">
        <f>_xlfn.XLOOKUP(表格1[[#This Row],[Model]],表格3[Model-Input-Ref2],表格3[大小電])</f>
        <v>細電</v>
      </c>
      <c r="J1555" s="81" t="str">
        <f>_xlfn.XLOOKUP(表格1[[#This Row],[Model]],表格3[Model-Input-Ref2],表格3[Code])</f>
        <v>SDA</v>
      </c>
      <c r="K1555" s="89" t="s">
        <v>1275</v>
      </c>
      <c r="L1555" s="81">
        <v>1</v>
      </c>
      <c r="M1555" s="87">
        <v>340</v>
      </c>
      <c r="N1555" s="85">
        <f>IFERROR(表格1[[#This Row],[QTY]]*表格1[[#This Row],[Unit Price]],"-")</f>
        <v>340</v>
      </c>
      <c r="O1555" s="86" t="s">
        <v>1659</v>
      </c>
      <c r="R1555" s="86" t="str">
        <f>_xlfn.CONCAT(表格1[[#This Row],[Model]]," ",表格1[[#This Row],[inv no]])</f>
        <v>RC-18JRUH(N) DA1420643</v>
      </c>
      <c r="S1555" s="86">
        <f>_xlfn.XLOOKUP(表格1[[#This Row],[Model]],表格3[Model-Input-Ref2],表格3[SRP PRICE])</f>
        <v>458</v>
      </c>
      <c r="T1555" s="43">
        <f>表格1[[#This Row],[Unit Price]]/表格1[[#This Row],[SRP]]</f>
        <v>0.74235807860262004</v>
      </c>
      <c r="U1555" s="86" t="str">
        <f>_xlfn.XLOOKUP(表格1[[#This Row],[Model]],表格3[Model-Input-Ref2],表格3[TOSHIBA/HIGHEST])</f>
        <v>Shops Highest Price</v>
      </c>
      <c r="V1555" s="86" t="s">
        <v>1639</v>
      </c>
      <c r="W1555" s="86" t="str">
        <f>_xlfn.CONCAT(表格1[[#This Row],[欄4]],表格1[[#This Row],[inv no]])</f>
        <v>DA1420DA1420643</v>
      </c>
    </row>
    <row r="1556" spans="1:23" hidden="1">
      <c r="A1556" s="81">
        <v>1554</v>
      </c>
      <c r="B1556" s="81" t="s">
        <v>1470</v>
      </c>
      <c r="C1556" s="81" t="s">
        <v>1374</v>
      </c>
      <c r="D1556" s="82" t="str">
        <f ca="1">OFFSET(Roster!$A$3,MATCH(表格1[[#This Row],[Location]]&amp;" "&amp;表格1[[#This Row],[Shop]]&amp;"*",Roster!$A$4:$A$72,0),DAY(表格1[[#This Row],[date]]),1,1)</f>
        <v>Daisy</v>
      </c>
      <c r="E1556" s="81">
        <f>MONTH(表格1[[#This Row],[date]])</f>
        <v>3</v>
      </c>
      <c r="F1556" s="90">
        <v>46095</v>
      </c>
      <c r="G1556" s="81" t="str">
        <f>VLOOKUP("*"&amp;表格1[[#This Row],[Input]]&amp;"*",'Ref-List'!$B:$D,2,)</f>
        <v>KT-15DRTHK(W)</v>
      </c>
      <c r="H1556" s="81" t="str">
        <f>_xlfn.XLOOKUP(表格1[[#This Row],[Model]],表格3[Model-Input-Ref2],表格3[Product Line])</f>
        <v>無線雙層電熱水壺-附可鎖壺蓋</v>
      </c>
      <c r="I1556" s="81" t="str">
        <f>_xlfn.XLOOKUP(表格1[[#This Row],[Model]],表格3[Model-Input-Ref2],表格3[大小電])</f>
        <v>細電</v>
      </c>
      <c r="J1556" s="81" t="str">
        <f>_xlfn.XLOOKUP(表格1[[#This Row],[Model]],表格3[Model-Input-Ref2],表格3[Code])</f>
        <v>SDA</v>
      </c>
      <c r="K1556" s="89" t="s">
        <v>1278</v>
      </c>
      <c r="L1556" s="81">
        <v>1</v>
      </c>
      <c r="M1556" s="87">
        <v>358</v>
      </c>
      <c r="N1556" s="85">
        <f>IFERROR(表格1[[#This Row],[QTY]]*表格1[[#This Row],[Unit Price]],"-")</f>
        <v>358</v>
      </c>
      <c r="O1556" s="86" t="s">
        <v>1660</v>
      </c>
      <c r="R1556" s="86" t="str">
        <f>_xlfn.CONCAT(表格1[[#This Row],[Model]]," ",表格1[[#This Row],[inv no]])</f>
        <v>KT-15DRTHK(W) DA1420647</v>
      </c>
      <c r="S1556" s="86">
        <f>_xlfn.XLOOKUP(表格1[[#This Row],[Model]],表格3[Model-Input-Ref2],表格3[SRP PRICE])</f>
        <v>598</v>
      </c>
      <c r="T1556" s="43">
        <f>表格1[[#This Row],[Unit Price]]/表格1[[#This Row],[SRP]]</f>
        <v>0.59866220735785958</v>
      </c>
      <c r="U1556" s="86" t="str">
        <f>_xlfn.XLOOKUP(表格1[[#This Row],[Model]],表格3[Model-Input-Ref2],表格3[TOSHIBA/HIGHEST])</f>
        <v>Toshiba SRP</v>
      </c>
      <c r="V1556" s="86" t="s">
        <v>1639</v>
      </c>
      <c r="W1556" s="86" t="str">
        <f>_xlfn.CONCAT(表格1[[#This Row],[欄4]],表格1[[#This Row],[inv no]])</f>
        <v>DA1420DA1420647</v>
      </c>
    </row>
    <row r="1557" spans="1:23" hidden="1">
      <c r="A1557" s="81">
        <v>1555</v>
      </c>
      <c r="B1557" s="81" t="s">
        <v>1470</v>
      </c>
      <c r="C1557" s="81" t="s">
        <v>1374</v>
      </c>
      <c r="D1557" s="82" t="str">
        <f ca="1">OFFSET(Roster!$A$3,MATCH(表格1[[#This Row],[Location]]&amp;" "&amp;表格1[[#This Row],[Shop]]&amp;"*",Roster!$A$4:$A$72,0),DAY(表格1[[#This Row],[date]]),1,1)</f>
        <v>Daisy</v>
      </c>
      <c r="E1557" s="81">
        <f>MONTH(表格1[[#This Row],[date]])</f>
        <v>3</v>
      </c>
      <c r="F1557" s="90">
        <v>46096</v>
      </c>
      <c r="G1557" s="81" t="str">
        <f>VLOOKUP("*"&amp;表格1[[#This Row],[Input]]&amp;"*",'Ref-List'!$B:$D,2,)</f>
        <v>MX2-STR25SC(WH)</v>
      </c>
      <c r="H1557" s="81" t="str">
        <f>_xlfn.XLOOKUP(表格1[[#This Row],[Model]],表格3[Model-Input-Ref2],表格3[Product Line])</f>
        <v>4合1氣炸微波蒸焗爐(25公升)</v>
      </c>
      <c r="I1557" s="81" t="str">
        <f>_xlfn.XLOOKUP(表格1[[#This Row],[Model]],表格3[Model-Input-Ref2],表格3[大小電])</f>
        <v>細電</v>
      </c>
      <c r="J1557" s="81" t="str">
        <f>_xlfn.XLOOKUP(表格1[[#This Row],[Model]],表格3[Model-Input-Ref2],表格3[Code])</f>
        <v>MCA</v>
      </c>
      <c r="K1557" s="89" t="s">
        <v>1410</v>
      </c>
      <c r="L1557" s="81">
        <v>1</v>
      </c>
      <c r="M1557" s="87">
        <v>3250</v>
      </c>
      <c r="N1557" s="85">
        <f>IFERROR(表格1[[#This Row],[QTY]]*表格1[[#This Row],[Unit Price]],"-")</f>
        <v>3250</v>
      </c>
      <c r="O1557" s="86" t="s">
        <v>1661</v>
      </c>
      <c r="R1557" s="86" t="str">
        <f>_xlfn.CONCAT(表格1[[#This Row],[Model]]," ",表格1[[#This Row],[inv no]])</f>
        <v>MX2-STR25SC(WH) DA1420684</v>
      </c>
      <c r="S1557" s="86">
        <f>_xlfn.XLOOKUP(表格1[[#This Row],[Model]],表格3[Model-Input-Ref2],表格3[SRP PRICE])</f>
        <v>4998</v>
      </c>
      <c r="T1557" s="43">
        <f>表格1[[#This Row],[Unit Price]]/表格1[[#This Row],[SRP]]</f>
        <v>0.6502601040416166</v>
      </c>
      <c r="U1557" s="86" t="str">
        <f>_xlfn.XLOOKUP(表格1[[#This Row],[Model]],表格3[Model-Input-Ref2],表格3[TOSHIBA/HIGHEST])</f>
        <v>Toshiba SRP</v>
      </c>
      <c r="V1557" s="86" t="s">
        <v>1639</v>
      </c>
      <c r="W1557" s="86" t="str">
        <f>_xlfn.CONCAT(表格1[[#This Row],[欄4]],表格1[[#This Row],[inv no]])</f>
        <v>DA1420DA1420684</v>
      </c>
    </row>
    <row r="1558" spans="1:23" hidden="1">
      <c r="A1558" s="81">
        <v>1556</v>
      </c>
      <c r="B1558" s="81" t="s">
        <v>1470</v>
      </c>
      <c r="C1558" s="81" t="s">
        <v>1374</v>
      </c>
      <c r="D1558" s="82" t="str">
        <f ca="1">OFFSET(Roster!$A$3,MATCH(表格1[[#This Row],[Location]]&amp;" "&amp;表格1[[#This Row],[Shop]]&amp;"*",Roster!$A$4:$A$72,0),DAY(表格1[[#This Row],[date]]),1,1)</f>
        <v>Daisy</v>
      </c>
      <c r="E1558" s="81">
        <f>MONTH(表格1[[#This Row],[date]])</f>
        <v>3</v>
      </c>
      <c r="F1558" s="90">
        <v>46096</v>
      </c>
      <c r="G1558" s="81" t="str">
        <f>VLOOKUP("*"&amp;表格1[[#This Row],[Input]]&amp;"*",'Ref-List'!$B:$D,2,)</f>
        <v>MX2-STR25SC(WH)</v>
      </c>
      <c r="H1558" s="81" t="str">
        <f>_xlfn.XLOOKUP(表格1[[#This Row],[Model]],表格3[Model-Input-Ref2],表格3[Product Line])</f>
        <v>4合1氣炸微波蒸焗爐(25公升)</v>
      </c>
      <c r="I1558" s="81" t="str">
        <f>_xlfn.XLOOKUP(表格1[[#This Row],[Model]],表格3[Model-Input-Ref2],表格3[大小電])</f>
        <v>細電</v>
      </c>
      <c r="J1558" s="81" t="str">
        <f>_xlfn.XLOOKUP(表格1[[#This Row],[Model]],表格3[Model-Input-Ref2],表格3[Code])</f>
        <v>MCA</v>
      </c>
      <c r="K1558" s="89" t="s">
        <v>1410</v>
      </c>
      <c r="L1558" s="81">
        <v>1</v>
      </c>
      <c r="M1558" s="87">
        <v>3250</v>
      </c>
      <c r="N1558" s="85">
        <f>IFERROR(表格1[[#This Row],[QTY]]*表格1[[#This Row],[Unit Price]],"-")</f>
        <v>3250</v>
      </c>
      <c r="O1558" s="86" t="s">
        <v>1662</v>
      </c>
      <c r="R1558" s="86" t="str">
        <f>_xlfn.CONCAT(表格1[[#This Row],[Model]]," ",表格1[[#This Row],[inv no]])</f>
        <v>MX2-STR25SC(WH) DA1420695</v>
      </c>
      <c r="S1558" s="86">
        <f>_xlfn.XLOOKUP(表格1[[#This Row],[Model]],表格3[Model-Input-Ref2],表格3[SRP PRICE])</f>
        <v>4998</v>
      </c>
      <c r="T1558" s="43">
        <f>表格1[[#This Row],[Unit Price]]/表格1[[#This Row],[SRP]]</f>
        <v>0.6502601040416166</v>
      </c>
      <c r="U1558" s="86" t="str">
        <f>_xlfn.XLOOKUP(表格1[[#This Row],[Model]],表格3[Model-Input-Ref2],表格3[TOSHIBA/HIGHEST])</f>
        <v>Toshiba SRP</v>
      </c>
      <c r="V1558" s="86" t="s">
        <v>1639</v>
      </c>
      <c r="W1558" s="86" t="str">
        <f>_xlfn.CONCAT(表格1[[#This Row],[欄4]],表格1[[#This Row],[inv no]])</f>
        <v>DA1420DA1420695</v>
      </c>
    </row>
    <row r="1559" spans="1:23" hidden="1">
      <c r="A1559" s="81">
        <v>1557</v>
      </c>
      <c r="B1559" s="81" t="s">
        <v>1470</v>
      </c>
      <c r="C1559" s="81" t="s">
        <v>1374</v>
      </c>
      <c r="D1559" s="82" t="str">
        <f ca="1">OFFSET(Roster!$A$3,MATCH(表格1[[#This Row],[Location]]&amp;" "&amp;表格1[[#This Row],[Shop]]&amp;"*",Roster!$A$4:$A$72,0),DAY(表格1[[#This Row],[date]]),1,1)</f>
        <v>Daisy</v>
      </c>
      <c r="E1559" s="81">
        <f>MONTH(表格1[[#This Row],[date]])</f>
        <v>3</v>
      </c>
      <c r="F1559" s="90">
        <v>46096</v>
      </c>
      <c r="G1559" s="81" t="str">
        <f>VLOOKUP("*"&amp;表格1[[#This Row],[Input]]&amp;"*",'Ref-List'!$B:$D,2,)</f>
        <v>RAC-07G3CVG-HK</v>
      </c>
      <c r="H1559" s="81" t="str">
        <f>_xlfn.XLOOKUP(表格1[[#This Row],[Model]],表格3[Model-Input-Ref2],表格3[Product Line])</f>
        <v>3/4 匹 R32變頻窗口式冷氣機</v>
      </c>
      <c r="I1559" s="81" t="str">
        <f>_xlfn.XLOOKUP(表格1[[#This Row],[Model]],表格3[Model-Input-Ref2],表格3[大小電])</f>
        <v>大電</v>
      </c>
      <c r="J1559" s="81" t="str">
        <f>_xlfn.XLOOKUP(表格1[[#This Row],[Model]],表格3[Model-Input-Ref2],表格3[Code])</f>
        <v>AC</v>
      </c>
      <c r="K1559" s="89" t="s">
        <v>1473</v>
      </c>
      <c r="L1559" s="81">
        <v>1</v>
      </c>
      <c r="M1559" s="87">
        <v>3100</v>
      </c>
      <c r="N1559" s="85">
        <f>IFERROR(表格1[[#This Row],[QTY]]*表格1[[#This Row],[Unit Price]],"-")</f>
        <v>3100</v>
      </c>
      <c r="O1559" s="86" t="s">
        <v>1663</v>
      </c>
      <c r="R1559" s="86" t="str">
        <f>_xlfn.CONCAT(表格1[[#This Row],[Model]]," ",表格1[[#This Row],[inv no]])</f>
        <v>RAC-07G3CVG-HK DA1420733</v>
      </c>
      <c r="S1559" s="86">
        <f>_xlfn.XLOOKUP(表格1[[#This Row],[Model]],表格3[Model-Input-Ref2],表格3[SRP PRICE])</f>
        <v>4980</v>
      </c>
      <c r="T1559" s="43">
        <f>表格1[[#This Row],[Unit Price]]/表格1[[#This Row],[SRP]]</f>
        <v>0.6224899598393574</v>
      </c>
      <c r="U1559" s="86" t="str">
        <f>_xlfn.XLOOKUP(表格1[[#This Row],[Model]],表格3[Model-Input-Ref2],表格3[TOSHIBA/HIGHEST])</f>
        <v>Toshiba SRP</v>
      </c>
      <c r="V1559" s="86" t="s">
        <v>1639</v>
      </c>
      <c r="W1559" s="86" t="str">
        <f>_xlfn.CONCAT(表格1[[#This Row],[欄4]],表格1[[#This Row],[inv no]])</f>
        <v>DA1420DA1420733</v>
      </c>
    </row>
    <row r="1560" spans="1:23" hidden="1">
      <c r="A1560" s="81">
        <v>1558</v>
      </c>
      <c r="B1560" s="81" t="s">
        <v>1470</v>
      </c>
      <c r="C1560" s="81" t="s">
        <v>1374</v>
      </c>
      <c r="D1560" s="82" t="str">
        <f ca="1">OFFSET(Roster!$A$3,MATCH(表格1[[#This Row],[Location]]&amp;" "&amp;表格1[[#This Row],[Shop]]&amp;"*",Roster!$A$4:$A$72,0),DAY(表格1[[#This Row],[date]]),1,1)</f>
        <v>Daisy</v>
      </c>
      <c r="E1560" s="81">
        <f>MONTH(表格1[[#This Row],[date]])</f>
        <v>3</v>
      </c>
      <c r="F1560" s="90">
        <v>46096</v>
      </c>
      <c r="G1560" s="81" t="str">
        <f>VLOOKUP("*"&amp;表格1[[#This Row],[Input]]&amp;"*",'Ref-List'!$B:$D,2,)</f>
        <v>RAC-07G3CVG-HK</v>
      </c>
      <c r="H1560" s="81" t="str">
        <f>_xlfn.XLOOKUP(表格1[[#This Row],[Model]],表格3[Model-Input-Ref2],表格3[Product Line])</f>
        <v>3/4 匹 R32變頻窗口式冷氣機</v>
      </c>
      <c r="I1560" s="81" t="str">
        <f>_xlfn.XLOOKUP(表格1[[#This Row],[Model]],表格3[Model-Input-Ref2],表格3[大小電])</f>
        <v>大電</v>
      </c>
      <c r="J1560" s="81" t="str">
        <f>_xlfn.XLOOKUP(表格1[[#This Row],[Model]],表格3[Model-Input-Ref2],表格3[Code])</f>
        <v>AC</v>
      </c>
      <c r="K1560" s="89" t="s">
        <v>1473</v>
      </c>
      <c r="L1560" s="81">
        <v>1</v>
      </c>
      <c r="M1560" s="87">
        <v>3100</v>
      </c>
      <c r="N1560" s="85">
        <f>IFERROR(表格1[[#This Row],[QTY]]*表格1[[#This Row],[Unit Price]],"-")</f>
        <v>3100</v>
      </c>
      <c r="O1560" s="86" t="s">
        <v>1664</v>
      </c>
      <c r="R1560" s="86" t="str">
        <f>_xlfn.CONCAT(表格1[[#This Row],[Model]]," ",表格1[[#This Row],[inv no]])</f>
        <v>RAC-07G3CVG-HK DA1420734</v>
      </c>
      <c r="S1560" s="86">
        <f>_xlfn.XLOOKUP(表格1[[#This Row],[Model]],表格3[Model-Input-Ref2],表格3[SRP PRICE])</f>
        <v>4980</v>
      </c>
      <c r="T1560" s="43">
        <f>表格1[[#This Row],[Unit Price]]/表格1[[#This Row],[SRP]]</f>
        <v>0.6224899598393574</v>
      </c>
      <c r="U1560" s="86" t="str">
        <f>_xlfn.XLOOKUP(表格1[[#This Row],[Model]],表格3[Model-Input-Ref2],表格3[TOSHIBA/HIGHEST])</f>
        <v>Toshiba SRP</v>
      </c>
      <c r="V1560" s="86" t="s">
        <v>1639</v>
      </c>
      <c r="W1560" s="86" t="str">
        <f>_xlfn.CONCAT(表格1[[#This Row],[欄4]],表格1[[#This Row],[inv no]])</f>
        <v>DA1420DA1420734</v>
      </c>
    </row>
    <row r="1561" spans="1:23" hidden="1">
      <c r="A1561" s="81">
        <v>1559</v>
      </c>
      <c r="B1561" s="81" t="s">
        <v>1470</v>
      </c>
      <c r="C1561" s="81" t="s">
        <v>1374</v>
      </c>
      <c r="D1561" s="82" t="str">
        <f ca="1">OFFSET(Roster!$A$3,MATCH(表格1[[#This Row],[Location]]&amp;" "&amp;表格1[[#This Row],[Shop]]&amp;"*",Roster!$A$4:$A$72,0),DAY(表格1[[#This Row],[date]]),1,1)</f>
        <v>Daisy</v>
      </c>
      <c r="E1561" s="81">
        <f>MONTH(表格1[[#This Row],[date]])</f>
        <v>3</v>
      </c>
      <c r="F1561" s="90">
        <v>46096</v>
      </c>
      <c r="G1561" s="81" t="str">
        <f>VLOOKUP("*"&amp;表格1[[#This Row],[Input]]&amp;"*",'Ref-List'!$B:$D,2,)</f>
        <v>RC-10NMFIH(WT)</v>
      </c>
      <c r="H1561" s="81" t="str">
        <f>_xlfn.XLOOKUP(表格1[[#This Row],[Model]],表格3[Model-Input-Ref2],表格3[Product Line])</f>
        <v>4毫米厚釜電飯煲1L</v>
      </c>
      <c r="I1561" s="81" t="str">
        <f>_xlfn.XLOOKUP(表格1[[#This Row],[Model]],表格3[Model-Input-Ref2],表格3[大小電])</f>
        <v>細電</v>
      </c>
      <c r="J1561" s="81" t="str">
        <f>_xlfn.XLOOKUP(表格1[[#This Row],[Model]],表格3[Model-Input-Ref2],表格3[Code])</f>
        <v>SDA</v>
      </c>
      <c r="K1561" s="89" t="s">
        <v>1244</v>
      </c>
      <c r="L1561" s="81">
        <v>1</v>
      </c>
      <c r="M1561" s="87">
        <v>708</v>
      </c>
      <c r="N1561" s="85">
        <f>IFERROR(表格1[[#This Row],[QTY]]*表格1[[#This Row],[Unit Price]],"-")</f>
        <v>708</v>
      </c>
      <c r="O1561" s="86" t="s">
        <v>1665</v>
      </c>
      <c r="R1561" s="86" t="str">
        <f>_xlfn.CONCAT(表格1[[#This Row],[Model]]," ",表格1[[#This Row],[inv no]])</f>
        <v>RC-10NMFIH(WT) DA1420771</v>
      </c>
      <c r="S1561" s="86">
        <f>_xlfn.XLOOKUP(表格1[[#This Row],[Model]],表格3[Model-Input-Ref2],表格3[SRP PRICE])</f>
        <v>898</v>
      </c>
      <c r="T1561" s="43">
        <f>表格1[[#This Row],[Unit Price]]/表格1[[#This Row],[SRP]]</f>
        <v>0.7884187082405345</v>
      </c>
      <c r="U1561" s="86" t="str">
        <f>_xlfn.XLOOKUP(表格1[[#This Row],[Model]],表格3[Model-Input-Ref2],表格3[TOSHIBA/HIGHEST])</f>
        <v>Toshiba SRP</v>
      </c>
      <c r="V1561" s="86" t="s">
        <v>1639</v>
      </c>
      <c r="W1561" s="86" t="str">
        <f>_xlfn.CONCAT(表格1[[#This Row],[欄4]],表格1[[#This Row],[inv no]])</f>
        <v>DA1420DA1420771</v>
      </c>
    </row>
    <row r="1562" spans="1:23" hidden="1">
      <c r="A1562" s="81">
        <v>1560</v>
      </c>
      <c r="B1562" s="81" t="s">
        <v>1470</v>
      </c>
      <c r="C1562" s="81" t="s">
        <v>1374</v>
      </c>
      <c r="D1562" s="82" t="str">
        <f ca="1">OFFSET(Roster!$A$3,MATCH(表格1[[#This Row],[Location]]&amp;" "&amp;表格1[[#This Row],[Shop]]&amp;"*",Roster!$A$4:$A$72,0),DAY(表格1[[#This Row],[date]]),1,1)</f>
        <v>Daisy</v>
      </c>
      <c r="E1562" s="81">
        <f>MONTH(表格1[[#This Row],[date]])</f>
        <v>3</v>
      </c>
      <c r="F1562" s="90">
        <v>46096</v>
      </c>
      <c r="G1562" s="81" t="str">
        <f>VLOOKUP("*"&amp;表格1[[#This Row],[Input]]&amp;"*",'Ref-List'!$B:$D,2,)</f>
        <v>RAC-09G3CVG-HK</v>
      </c>
      <c r="H1562" s="81" t="str">
        <f>_xlfn.XLOOKUP(表格1[[#This Row],[Model]],表格3[Model-Input-Ref2],表格3[Product Line])</f>
        <v>1匹 R32變頻窗口式冷氣機 </v>
      </c>
      <c r="I1562" s="81" t="str">
        <f>_xlfn.XLOOKUP(表格1[[#This Row],[Model]],表格3[Model-Input-Ref2],表格3[大小電])</f>
        <v>大電</v>
      </c>
      <c r="J1562" s="81" t="str">
        <f>_xlfn.XLOOKUP(表格1[[#This Row],[Model]],表格3[Model-Input-Ref2],表格3[Code])</f>
        <v>AC</v>
      </c>
      <c r="K1562" s="89" t="s">
        <v>1638</v>
      </c>
      <c r="L1562" s="81">
        <v>1</v>
      </c>
      <c r="M1562" s="87">
        <v>4080</v>
      </c>
      <c r="N1562" s="85">
        <f>IFERROR(表格1[[#This Row],[QTY]]*表格1[[#This Row],[Unit Price]],"-")</f>
        <v>4080</v>
      </c>
      <c r="O1562" s="86" t="s">
        <v>1666</v>
      </c>
      <c r="R1562" s="86" t="str">
        <f>_xlfn.CONCAT(表格1[[#This Row],[Model]]," ",表格1[[#This Row],[inv no]])</f>
        <v>RAC-09G3CVG-HK DA1420799</v>
      </c>
      <c r="S1562" s="86">
        <f>_xlfn.XLOOKUP(表格1[[#This Row],[Model]],表格3[Model-Input-Ref2],表格3[SRP PRICE])</f>
        <v>6380</v>
      </c>
      <c r="T1562" s="43">
        <f>表格1[[#This Row],[Unit Price]]/表格1[[#This Row],[SRP]]</f>
        <v>0.63949843260188088</v>
      </c>
      <c r="U1562" s="86" t="str">
        <f>_xlfn.XLOOKUP(表格1[[#This Row],[Model]],表格3[Model-Input-Ref2],表格3[TOSHIBA/HIGHEST])</f>
        <v>Toshiba SRP</v>
      </c>
      <c r="V1562" s="86" t="s">
        <v>1639</v>
      </c>
      <c r="W1562" s="86" t="str">
        <f>_xlfn.CONCAT(表格1[[#This Row],[欄4]],表格1[[#This Row],[inv no]])</f>
        <v>DA1420DA1420799</v>
      </c>
    </row>
    <row r="1563" spans="1:23" hidden="1">
      <c r="A1563" s="81">
        <v>1561</v>
      </c>
      <c r="B1563" s="81" t="s">
        <v>1470</v>
      </c>
      <c r="C1563" s="81" t="s">
        <v>1374</v>
      </c>
      <c r="D1563" s="82" t="str">
        <f ca="1">OFFSET(Roster!$A$3,MATCH(表格1[[#This Row],[Location]]&amp;" "&amp;表格1[[#This Row],[Shop]]&amp;"*",Roster!$A$4:$A$72,0),DAY(表格1[[#This Row],[date]]),1,1)</f>
        <v>Daisy</v>
      </c>
      <c r="E1563" s="81">
        <f>MONTH(表格1[[#This Row],[date]])</f>
        <v>3</v>
      </c>
      <c r="F1563" s="90">
        <v>46096</v>
      </c>
      <c r="G1563" s="81" t="str">
        <f>VLOOKUP("*"&amp;表格1[[#This Row],[Input]]&amp;"*",'Ref-List'!$B:$D,2,)</f>
        <v>DW-05T2-HK</v>
      </c>
      <c r="H1563" s="81" t="str">
        <f>_xlfn.XLOOKUP(表格1[[#This Row],[Model]],表格3[Model-Input-Ref2],表格3[Product Line])</f>
        <v>座檯式洗碗碟機</v>
      </c>
      <c r="I1563" s="81" t="str">
        <f>_xlfn.XLOOKUP(表格1[[#This Row],[Model]],表格3[Model-Input-Ref2],表格3[大小電])</f>
        <v>細電</v>
      </c>
      <c r="J1563" s="81" t="str">
        <f>_xlfn.XLOOKUP(表格1[[#This Row],[Model]],表格3[Model-Input-Ref2],表格3[Code])</f>
        <v>DW</v>
      </c>
      <c r="K1563" s="89" t="s">
        <v>1475</v>
      </c>
      <c r="L1563" s="81">
        <v>1</v>
      </c>
      <c r="M1563" s="87">
        <v>3499</v>
      </c>
      <c r="N1563" s="85">
        <f>IFERROR(表格1[[#This Row],[QTY]]*表格1[[#This Row],[Unit Price]],"-")</f>
        <v>3499</v>
      </c>
      <c r="O1563" s="86" t="s">
        <v>1667</v>
      </c>
      <c r="R1563" s="86" t="str">
        <f>_xlfn.CONCAT(表格1[[#This Row],[Model]]," ",表格1[[#This Row],[inv no]])</f>
        <v>DW-05T2-HK DA1420819</v>
      </c>
      <c r="S1563" s="86">
        <f>_xlfn.XLOOKUP(表格1[[#This Row],[Model]],表格3[Model-Input-Ref2],表格3[SRP PRICE])</f>
        <v>4580</v>
      </c>
      <c r="T1563" s="43">
        <f>表格1[[#This Row],[Unit Price]]/表格1[[#This Row],[SRP]]</f>
        <v>0.76397379912663754</v>
      </c>
      <c r="U1563" s="86" t="str">
        <f>_xlfn.XLOOKUP(表格1[[#This Row],[Model]],表格3[Model-Input-Ref2],表格3[TOSHIBA/HIGHEST])</f>
        <v>Toshiba SRP</v>
      </c>
      <c r="V1563" s="86" t="s">
        <v>1639</v>
      </c>
      <c r="W1563" s="86" t="str">
        <f>_xlfn.CONCAT(表格1[[#This Row],[欄4]],表格1[[#This Row],[inv no]])</f>
        <v>DA1420DA1420819</v>
      </c>
    </row>
    <row r="1564" spans="1:23" hidden="1">
      <c r="A1564" s="81">
        <v>1562</v>
      </c>
      <c r="B1564" s="81" t="s">
        <v>1470</v>
      </c>
      <c r="C1564" s="81" t="s">
        <v>1374</v>
      </c>
      <c r="D1564" s="82" t="str">
        <f ca="1">OFFSET(Roster!$A$3,MATCH(表格1[[#This Row],[Location]]&amp;" "&amp;表格1[[#This Row],[Shop]]&amp;"*",Roster!$A$4:$A$72,0),DAY(表格1[[#This Row],[date]]),1,1)</f>
        <v>Daisy</v>
      </c>
      <c r="E1564" s="81">
        <f>MONTH(表格1[[#This Row],[date]])</f>
        <v>3</v>
      </c>
      <c r="F1564" s="90">
        <v>46096</v>
      </c>
      <c r="G1564" s="81" t="str">
        <f>VLOOKUP("*"&amp;表格1[[#This Row],[Input]]&amp;"*",'Ref-List'!$B:$D,2,)</f>
        <v>RAD-D300H</v>
      </c>
      <c r="H1564" s="81" t="str">
        <f>_xlfn.XLOOKUP(表格1[[#This Row],[Model]],表格3[Model-Input-Ref2],表格3[Product Line])</f>
        <v>壓縮式抽濕機 (30公升)</v>
      </c>
      <c r="I1564" s="81" t="str">
        <f>_xlfn.XLOOKUP(表格1[[#This Row],[Model]],表格3[Model-Input-Ref2],表格3[大小電])</f>
        <v>細電</v>
      </c>
      <c r="J1564" s="81" t="str">
        <f>_xlfn.XLOOKUP(表格1[[#This Row],[Model]],表格3[Model-Input-Ref2],表格3[Code])</f>
        <v>RAC</v>
      </c>
      <c r="K1564" s="89" t="s">
        <v>1252</v>
      </c>
      <c r="L1564" s="81">
        <v>1</v>
      </c>
      <c r="M1564" s="87">
        <v>2080</v>
      </c>
      <c r="N1564" s="85">
        <f>IFERROR(表格1[[#This Row],[QTY]]*表格1[[#This Row],[Unit Price]],"-")</f>
        <v>2080</v>
      </c>
      <c r="O1564" s="86" t="s">
        <v>1668</v>
      </c>
      <c r="R1564" s="86" t="str">
        <f>_xlfn.CONCAT(表格1[[#This Row],[Model]]," ",表格1[[#This Row],[inv no]])</f>
        <v>RAD-D300H DA1420824</v>
      </c>
      <c r="S1564" s="86">
        <f>_xlfn.XLOOKUP(表格1[[#This Row],[Model]],表格3[Model-Input-Ref2],表格3[SRP PRICE])</f>
        <v>3380</v>
      </c>
      <c r="T1564" s="43">
        <f>表格1[[#This Row],[Unit Price]]/表格1[[#This Row],[SRP]]</f>
        <v>0.61538461538461542</v>
      </c>
      <c r="U1564" s="86" t="str">
        <f>_xlfn.XLOOKUP(表格1[[#This Row],[Model]],表格3[Model-Input-Ref2],表格3[TOSHIBA/HIGHEST])</f>
        <v>Shops Highest Price</v>
      </c>
      <c r="V1564" s="86" t="s">
        <v>1639</v>
      </c>
      <c r="W1564" s="86" t="str">
        <f>_xlfn.CONCAT(表格1[[#This Row],[欄4]],表格1[[#This Row],[inv no]])</f>
        <v>DA1420DA1420824</v>
      </c>
    </row>
    <row r="1565" spans="1:23" hidden="1">
      <c r="A1565" s="81">
        <v>1563</v>
      </c>
      <c r="B1565" s="81" t="s">
        <v>1470</v>
      </c>
      <c r="C1565" s="81" t="s">
        <v>1374</v>
      </c>
      <c r="D1565" s="82" t="str">
        <f ca="1">OFFSET(Roster!$A$3,MATCH(表格1[[#This Row],[Location]]&amp;" "&amp;表格1[[#This Row],[Shop]]&amp;"*",Roster!$A$4:$A$72,0),DAY(表格1[[#This Row],[date]]),1,1)</f>
        <v>Daisy</v>
      </c>
      <c r="E1565" s="81">
        <f>MONTH(表格1[[#This Row],[date]])</f>
        <v>3</v>
      </c>
      <c r="F1565" s="90">
        <v>46096</v>
      </c>
      <c r="G1565" s="81" t="str">
        <f>VLOOKUP("*"&amp;表格1[[#This Row],[Input]]&amp;"*",'Ref-List'!$B:$D,2,)</f>
        <v>RC-10BHH(W)</v>
      </c>
      <c r="H1565" s="81" t="str">
        <f>_xlfn.XLOOKUP(表格1[[#This Row],[Model]],表格3[Model-Input-Ref2],表格3[Product Line])</f>
        <v>酵活炊磁應電飯煲</v>
      </c>
      <c r="I1565" s="81" t="str">
        <f>_xlfn.XLOOKUP(表格1[[#This Row],[Model]],表格3[Model-Input-Ref2],表格3[大小電])</f>
        <v>細電</v>
      </c>
      <c r="J1565" s="81" t="str">
        <f>_xlfn.XLOOKUP(表格1[[#This Row],[Model]],表格3[Model-Input-Ref2],表格3[Code])</f>
        <v>SDA</v>
      </c>
      <c r="K1565" s="89" t="s">
        <v>1269</v>
      </c>
      <c r="L1565" s="81">
        <v>1</v>
      </c>
      <c r="M1565" s="87">
        <v>1700</v>
      </c>
      <c r="N1565" s="85">
        <f>IFERROR(表格1[[#This Row],[QTY]]*表格1[[#This Row],[Unit Price]],"-")</f>
        <v>1700</v>
      </c>
      <c r="O1565" s="86" t="s">
        <v>1669</v>
      </c>
      <c r="R1565" s="86" t="str">
        <f>_xlfn.CONCAT(表格1[[#This Row],[Model]]," ",表格1[[#This Row],[inv no]])</f>
        <v>RC-10BHH(W) DA1420872</v>
      </c>
      <c r="S1565" s="86">
        <f>_xlfn.XLOOKUP(表格1[[#This Row],[Model]],表格3[Model-Input-Ref2],表格3[SRP PRICE])</f>
        <v>2088</v>
      </c>
      <c r="T1565" s="43">
        <f>表格1[[#This Row],[Unit Price]]/表格1[[#This Row],[SRP]]</f>
        <v>0.81417624521072796</v>
      </c>
      <c r="U1565" s="86" t="str">
        <f>_xlfn.XLOOKUP(表格1[[#This Row],[Model]],表格3[Model-Input-Ref2],表格3[TOSHIBA/HIGHEST])</f>
        <v>Shops Highest Price</v>
      </c>
      <c r="V1565" s="86" t="s">
        <v>1639</v>
      </c>
      <c r="W1565" s="86" t="str">
        <f>_xlfn.CONCAT(表格1[[#This Row],[欄4]],表格1[[#This Row],[inv no]])</f>
        <v>DA1420DA1420872</v>
      </c>
    </row>
    <row r="1566" spans="1:23" hidden="1">
      <c r="A1566" s="81">
        <v>1564</v>
      </c>
      <c r="B1566" s="81" t="s">
        <v>1470</v>
      </c>
      <c r="C1566" s="81" t="s">
        <v>1374</v>
      </c>
      <c r="D1566" s="82" t="str">
        <f ca="1">OFFSET(Roster!$A$3,MATCH(表格1[[#This Row],[Location]]&amp;" "&amp;表格1[[#This Row],[Shop]]&amp;"*",Roster!$A$4:$A$72,0),DAY(表格1[[#This Row],[date]]),1,1)</f>
        <v>Daisy</v>
      </c>
      <c r="E1566" s="81">
        <f>MONTH(表格1[[#This Row],[date]])</f>
        <v>3</v>
      </c>
      <c r="F1566" s="90">
        <v>46096</v>
      </c>
      <c r="G1566" s="81" t="str">
        <f>VLOOKUP("*"&amp;表格1[[#This Row],[Input]]&amp;"*",'Ref-List'!$B:$D,2,)</f>
        <v>ER-SD99HKW</v>
      </c>
      <c r="H1566" s="81" t="str">
        <f>_xlfn.XLOOKUP(表格1[[#This Row],[Model]],表格3[Model-Input-Ref2],表格3[Product Line])</f>
        <v>智能水波爐 (26公升)</v>
      </c>
      <c r="I1566" s="81" t="str">
        <f>_xlfn.XLOOKUP(表格1[[#This Row],[Model]],表格3[Model-Input-Ref2],表格3[大小電])</f>
        <v>細電</v>
      </c>
      <c r="J1566" s="81" t="str">
        <f>_xlfn.XLOOKUP(表格1[[#This Row],[Model]],表格3[Model-Input-Ref2],表格3[Code])</f>
        <v>MCA</v>
      </c>
      <c r="K1566" s="89" t="s">
        <v>1382</v>
      </c>
      <c r="L1566" s="86">
        <v>1</v>
      </c>
      <c r="M1566" s="87">
        <v>3500</v>
      </c>
      <c r="N1566" s="85">
        <f>IFERROR(表格1[[#This Row],[QTY]]*表格1[[#This Row],[Unit Price]],"-")</f>
        <v>3500</v>
      </c>
      <c r="O1566" s="86" t="s">
        <v>1670</v>
      </c>
      <c r="R1566" s="86" t="str">
        <f>_xlfn.CONCAT(表格1[[#This Row],[Model]]," ",表格1[[#This Row],[inv no]])</f>
        <v>ER-SD99HKW DA1420940</v>
      </c>
      <c r="S1566" s="86">
        <f>_xlfn.XLOOKUP(表格1[[#This Row],[Model]],表格3[Model-Input-Ref2],表格3[SRP PRICE])</f>
        <v>5888</v>
      </c>
      <c r="T1566" s="43">
        <f>表格1[[#This Row],[Unit Price]]/表格1[[#This Row],[SRP]]</f>
        <v>0.59442934782608692</v>
      </c>
      <c r="U1566" s="86" t="str">
        <f>_xlfn.XLOOKUP(表格1[[#This Row],[Model]],表格3[Model-Input-Ref2],表格3[TOSHIBA/HIGHEST])</f>
        <v>Toshiba SRP</v>
      </c>
      <c r="V1566" s="86" t="s">
        <v>1639</v>
      </c>
      <c r="W1566" s="86" t="str">
        <f>_xlfn.CONCAT(表格1[[#This Row],[欄4]],表格1[[#This Row],[inv no]])</f>
        <v>DA1420DA1420940</v>
      </c>
    </row>
    <row r="1567" spans="1:23" hidden="1">
      <c r="A1567" s="81">
        <v>1565</v>
      </c>
      <c r="B1567" s="81" t="s">
        <v>1470</v>
      </c>
      <c r="C1567" s="81" t="s">
        <v>1374</v>
      </c>
      <c r="D1567" s="82" t="str">
        <f ca="1">OFFSET(Roster!$A$3,MATCH(表格1[[#This Row],[Location]]&amp;" "&amp;表格1[[#This Row],[Shop]]&amp;"*",Roster!$A$4:$A$72,0),DAY(表格1[[#This Row],[date]]),1,1)</f>
        <v>Daisy</v>
      </c>
      <c r="E1567" s="81">
        <f>MONTH(表格1[[#This Row],[date]])</f>
        <v>3</v>
      </c>
      <c r="F1567" s="90">
        <v>46096</v>
      </c>
      <c r="G1567" s="81" t="str">
        <f>VLOOKUP("*"&amp;表格1[[#This Row],[Input]]&amp;"*",'Ref-List'!$B:$D,2,)</f>
        <v>RC-7HMH</v>
      </c>
      <c r="H1567" s="81" t="str">
        <f>_xlfn.XLOOKUP(表格1[[#This Row],[Model]],表格3[Model-Input-Ref2],表格3[Product Line])</f>
        <v>備長炭本厚釜電飯煲0.7L</v>
      </c>
      <c r="I1567" s="81" t="str">
        <f>_xlfn.XLOOKUP(表格1[[#This Row],[Model]],表格3[Model-Input-Ref2],表格3[大小電])</f>
        <v>細電</v>
      </c>
      <c r="J1567" s="81" t="str">
        <f>_xlfn.XLOOKUP(表格1[[#This Row],[Model]],表格3[Model-Input-Ref2],表格3[Code])</f>
        <v>SDA</v>
      </c>
      <c r="K1567" s="89" t="s">
        <v>1284</v>
      </c>
      <c r="L1567" s="81">
        <v>1</v>
      </c>
      <c r="M1567" s="87">
        <v>788</v>
      </c>
      <c r="N1567" s="85">
        <f>IFERROR(表格1[[#This Row],[QTY]]*表格1[[#This Row],[Unit Price]],"-")</f>
        <v>788</v>
      </c>
      <c r="O1567" s="86" t="s">
        <v>1671</v>
      </c>
      <c r="R1567" s="86" t="str">
        <f>_xlfn.CONCAT(表格1[[#This Row],[Model]]," ",表格1[[#This Row],[inv no]])</f>
        <v>RC-7HMH DA1420972</v>
      </c>
      <c r="S1567" s="86">
        <f>_xlfn.XLOOKUP(表格1[[#This Row],[Model]],表格3[Model-Input-Ref2],表格3[SRP PRICE])</f>
        <v>1288</v>
      </c>
      <c r="T1567" s="43">
        <f>表格1[[#This Row],[Unit Price]]/表格1[[#This Row],[SRP]]</f>
        <v>0.61180124223602483</v>
      </c>
      <c r="U1567" s="86" t="str">
        <f>_xlfn.XLOOKUP(表格1[[#This Row],[Model]],表格3[Model-Input-Ref2],表格3[TOSHIBA/HIGHEST])</f>
        <v>Toshiba SRP</v>
      </c>
      <c r="V1567" s="86" t="s">
        <v>1639</v>
      </c>
      <c r="W1567" s="86" t="str">
        <f>_xlfn.CONCAT(表格1[[#This Row],[欄4]],表格1[[#This Row],[inv no]])</f>
        <v>DA1420DA1420972</v>
      </c>
    </row>
    <row r="1568" spans="1:23" hidden="1">
      <c r="A1568" s="81">
        <v>1566</v>
      </c>
      <c r="B1568" s="81" t="s">
        <v>1470</v>
      </c>
      <c r="C1568" s="81" t="s">
        <v>1374</v>
      </c>
      <c r="D1568" s="82" t="str">
        <f ca="1">OFFSET(Roster!$A$3,MATCH(表格1[[#This Row],[Location]]&amp;" "&amp;表格1[[#This Row],[Shop]]&amp;"*",Roster!$A$4:$A$72,0),DAY(表格1[[#This Row],[date]]),1,1)</f>
        <v>Daisy</v>
      </c>
      <c r="E1568" s="81">
        <f>MONTH(表格1[[#This Row],[date]])</f>
        <v>3</v>
      </c>
      <c r="F1568" s="90">
        <v>46097</v>
      </c>
      <c r="G1568" s="81" t="str">
        <f>VLOOKUP("*"&amp;表格1[[#This Row],[Input]]&amp;"*",'Ref-List'!$B:$D,2,)</f>
        <v>MX2-TT20SC(WH)</v>
      </c>
      <c r="H1568" s="81" t="str">
        <f>_xlfn.XLOOKUP(表格1[[#This Row],[Model]],表格3[Model-Input-Ref2],表格3[Product Line])</f>
        <v>3合1 微波蒸焗爐 (20公升)</v>
      </c>
      <c r="I1568" s="81" t="str">
        <f>_xlfn.XLOOKUP(表格1[[#This Row],[Model]],表格3[Model-Input-Ref2],表格3[大小電])</f>
        <v>細電</v>
      </c>
      <c r="J1568" s="81" t="str">
        <f>_xlfn.XLOOKUP(表格1[[#This Row],[Model]],表格3[Model-Input-Ref2],表格3[Code])</f>
        <v>MCA</v>
      </c>
      <c r="K1568" s="89" t="s">
        <v>1287</v>
      </c>
      <c r="L1568" s="86">
        <v>1</v>
      </c>
      <c r="M1568" s="87">
        <v>2480</v>
      </c>
      <c r="N1568" s="85">
        <f>IFERROR(表格1[[#This Row],[QTY]]*表格1[[#This Row],[Unit Price]],"-")</f>
        <v>2480</v>
      </c>
      <c r="O1568" s="86" t="s">
        <v>1672</v>
      </c>
      <c r="R1568" s="86" t="str">
        <f>_xlfn.CONCAT(表格1[[#This Row],[Model]]," ",表格1[[#This Row],[inv no]])</f>
        <v>MX2-TT20SC(WH) DA1421003</v>
      </c>
      <c r="S1568" s="86">
        <f>_xlfn.XLOOKUP(表格1[[#This Row],[Model]],表格3[Model-Input-Ref2],表格3[SRP PRICE])</f>
        <v>3580</v>
      </c>
      <c r="T1568" s="43">
        <f>表格1[[#This Row],[Unit Price]]/表格1[[#This Row],[SRP]]</f>
        <v>0.69273743016759781</v>
      </c>
      <c r="U1568" s="86" t="str">
        <f>_xlfn.XLOOKUP(表格1[[#This Row],[Model]],表格3[Model-Input-Ref2],表格3[TOSHIBA/HIGHEST])</f>
        <v>Toshiba SRP</v>
      </c>
      <c r="V1568" s="86" t="s">
        <v>1641</v>
      </c>
      <c r="W1568" s="86" t="str">
        <f>_xlfn.CONCAT(表格1[[#This Row],[欄4]],表格1[[#This Row],[inv no]])</f>
        <v>DA142DA1421003</v>
      </c>
    </row>
    <row r="1569" spans="1:23" hidden="1">
      <c r="A1569" s="81">
        <v>1567</v>
      </c>
      <c r="B1569" s="81" t="s">
        <v>1470</v>
      </c>
      <c r="C1569" s="81" t="s">
        <v>1374</v>
      </c>
      <c r="D1569" s="82" t="str">
        <f ca="1">OFFSET(Roster!$A$3,MATCH(表格1[[#This Row],[Location]]&amp;" "&amp;表格1[[#This Row],[Shop]]&amp;"*",Roster!$A$4:$A$72,0),DAY(表格1[[#This Row],[date]]),1,1)</f>
        <v>Daisy</v>
      </c>
      <c r="E1569" s="81">
        <f>MONTH(表格1[[#This Row],[date]])</f>
        <v>3</v>
      </c>
      <c r="F1569" s="90">
        <v>46097</v>
      </c>
      <c r="G1569" s="81" t="str">
        <f>VLOOKUP("*"&amp;表格1[[#This Row],[Input]]&amp;"*",'Ref-List'!$B:$D,2,)</f>
        <v>KT-17DRTHK(H)</v>
      </c>
      <c r="H1569" s="81" t="str">
        <f>_xlfn.XLOOKUP(表格1[[#This Row],[Model]],表格3[Model-Input-Ref2],表格3[Product Line])</f>
        <v>無線雙層電熱水壺(1.7公升)</v>
      </c>
      <c r="I1569" s="81" t="str">
        <f>_xlfn.XLOOKUP(表格1[[#This Row],[Model]],表格3[Model-Input-Ref2],表格3[大小電])</f>
        <v>細電</v>
      </c>
      <c r="J1569" s="81" t="str">
        <f>_xlfn.XLOOKUP(表格1[[#This Row],[Model]],表格3[Model-Input-Ref2],表格3[Code])</f>
        <v>SDA</v>
      </c>
      <c r="K1569" s="89" t="s">
        <v>1271</v>
      </c>
      <c r="L1569" s="81">
        <v>1</v>
      </c>
      <c r="M1569" s="87">
        <v>358</v>
      </c>
      <c r="N1569" s="85">
        <f>IFERROR(表格1[[#This Row],[QTY]]*表格1[[#This Row],[Unit Price]],"-")</f>
        <v>358</v>
      </c>
      <c r="O1569" s="86" t="s">
        <v>1673</v>
      </c>
      <c r="R1569" s="86" t="str">
        <f>_xlfn.CONCAT(表格1[[#This Row],[Model]]," ",表格1[[#This Row],[inv no]])</f>
        <v>KT-17DRTHK(H) DA1421005</v>
      </c>
      <c r="S1569" s="86">
        <f>_xlfn.XLOOKUP(表格1[[#This Row],[Model]],表格3[Model-Input-Ref2],表格3[SRP PRICE])</f>
        <v>498</v>
      </c>
      <c r="T1569" s="43">
        <f>表格1[[#This Row],[Unit Price]]/表格1[[#This Row],[SRP]]</f>
        <v>0.71887550200803207</v>
      </c>
      <c r="U1569" s="86" t="str">
        <f>_xlfn.XLOOKUP(表格1[[#This Row],[Model]],表格3[Model-Input-Ref2],表格3[TOSHIBA/HIGHEST])</f>
        <v>Toshiba SRP</v>
      </c>
      <c r="V1569" s="86" t="s">
        <v>1641</v>
      </c>
      <c r="W1569" s="86" t="str">
        <f>_xlfn.CONCAT(表格1[[#This Row],[欄4]],表格1[[#This Row],[inv no]])</f>
        <v>DA142DA1421005</v>
      </c>
    </row>
    <row r="1570" spans="1:23" hidden="1">
      <c r="A1570" s="81">
        <v>1568</v>
      </c>
      <c r="B1570" s="81" t="s">
        <v>1470</v>
      </c>
      <c r="C1570" s="81" t="s">
        <v>1374</v>
      </c>
      <c r="D1570" s="82" t="str">
        <f ca="1">OFFSET(Roster!$A$3,MATCH(表格1[[#This Row],[Location]]&amp;" "&amp;表格1[[#This Row],[Shop]]&amp;"*",Roster!$A$4:$A$72,0),DAY(表格1[[#This Row],[date]]),1,1)</f>
        <v>Daisy</v>
      </c>
      <c r="E1570" s="81">
        <f>MONTH(表格1[[#This Row],[date]])</f>
        <v>3</v>
      </c>
      <c r="F1570" s="90">
        <v>46097</v>
      </c>
      <c r="G1570" s="81" t="str">
        <f>VLOOKUP("*"&amp;表格1[[#This Row],[Input]]&amp;"*",'Ref-List'!$B:$D,2,)</f>
        <v>RC-5SLIH(W)</v>
      </c>
      <c r="H1570" s="81" t="str">
        <f>_xlfn.XLOOKUP(表格1[[#This Row],[Model]],表格3[Model-Input-Ref2],表格3[Product Line])</f>
        <v>微型電腦珍珠飯煲</v>
      </c>
      <c r="I1570" s="81" t="str">
        <f>_xlfn.XLOOKUP(表格1[[#This Row],[Model]],表格3[Model-Input-Ref2],表格3[大小電])</f>
        <v>細電</v>
      </c>
      <c r="J1570" s="81" t="str">
        <f>_xlfn.XLOOKUP(表格1[[#This Row],[Model]],表格3[Model-Input-Ref2],表格3[Code])</f>
        <v>SDA</v>
      </c>
      <c r="K1570" s="89" t="s">
        <v>1264</v>
      </c>
      <c r="L1570" s="86">
        <v>1</v>
      </c>
      <c r="M1570" s="87">
        <v>568</v>
      </c>
      <c r="N1570" s="85">
        <f>IFERROR(表格1[[#This Row],[QTY]]*表格1[[#This Row],[Unit Price]],"-")</f>
        <v>568</v>
      </c>
      <c r="O1570" s="86" t="s">
        <v>1674</v>
      </c>
      <c r="R1570" s="86" t="str">
        <f>_xlfn.CONCAT(表格1[[#This Row],[Model]]," ",表格1[[#This Row],[inv no]])</f>
        <v>RC-5SLIH(W) DA1421021</v>
      </c>
      <c r="S1570" s="86">
        <f>_xlfn.XLOOKUP(表格1[[#This Row],[Model]],表格3[Model-Input-Ref2],表格3[SRP PRICE])</f>
        <v>658</v>
      </c>
      <c r="T1570" s="43">
        <f>表格1[[#This Row],[Unit Price]]/表格1[[#This Row],[SRP]]</f>
        <v>0.86322188449848025</v>
      </c>
      <c r="U1570" s="86" t="str">
        <f>_xlfn.XLOOKUP(表格1[[#This Row],[Model]],表格3[Model-Input-Ref2],表格3[TOSHIBA/HIGHEST])</f>
        <v>Toshiba SRP</v>
      </c>
      <c r="V1570" s="86" t="s">
        <v>1640</v>
      </c>
      <c r="W1570" s="86" t="str">
        <f>_xlfn.CONCAT(表格1[[#This Row],[欄4]],表格1[[#This Row],[inv no]])</f>
        <v>DA142DA1421021</v>
      </c>
    </row>
    <row r="1571" spans="1:23" hidden="1">
      <c r="A1571" s="81">
        <v>1569</v>
      </c>
      <c r="B1571" s="81" t="s">
        <v>1470</v>
      </c>
      <c r="C1571" s="81" t="s">
        <v>1374</v>
      </c>
      <c r="D1571" s="82" t="str">
        <f ca="1">OFFSET(Roster!$A$3,MATCH(表格1[[#This Row],[Location]]&amp;" "&amp;表格1[[#This Row],[Shop]]&amp;"*",Roster!$A$4:$A$72,0),DAY(表格1[[#This Row],[date]]),1,1)</f>
        <v>Daisy</v>
      </c>
      <c r="E1571" s="81">
        <f>MONTH(表格1[[#This Row],[date]])</f>
        <v>3</v>
      </c>
      <c r="F1571" s="90">
        <v>46097</v>
      </c>
      <c r="G1571" s="81" t="str">
        <f>VLOOKUP("*"&amp;表格1[[#This Row],[Input]]&amp;"*",'Ref-List'!$B:$D,2,)</f>
        <v>MS3-STQ20SC(WH)</v>
      </c>
      <c r="H1571" s="81" t="str">
        <f>_xlfn.XLOOKUP(表格1[[#This Row],[Model]],表格3[Model-Input-Ref2],表格3[Product Line])</f>
        <v>20L 智能蒸氣焗爐</v>
      </c>
      <c r="I1571" s="81" t="str">
        <f>_xlfn.XLOOKUP(表格1[[#This Row],[Model]],表格3[Model-Input-Ref2],表格3[大小電])</f>
        <v>細電</v>
      </c>
      <c r="J1571" s="81" t="str">
        <f>_xlfn.XLOOKUP(表格1[[#This Row],[Model]],表格3[Model-Input-Ref2],表格3[Code])</f>
        <v>MCA</v>
      </c>
      <c r="K1571" s="89" t="s">
        <v>1383</v>
      </c>
      <c r="L1571" s="81">
        <v>1</v>
      </c>
      <c r="M1571" s="87">
        <v>1999</v>
      </c>
      <c r="N1571" s="85">
        <f>IFERROR(表格1[[#This Row],[QTY]]*表格1[[#This Row],[Unit Price]],"-")</f>
        <v>1999</v>
      </c>
      <c r="O1571" s="86" t="s">
        <v>1675</v>
      </c>
      <c r="R1571" s="86" t="str">
        <f>_xlfn.CONCAT(表格1[[#This Row],[Model]]," ",表格1[[#This Row],[inv no]])</f>
        <v>MS3-STQ20SC(WH) DA1421044</v>
      </c>
      <c r="S1571" s="86">
        <f>_xlfn.XLOOKUP(表格1[[#This Row],[Model]],表格3[Model-Input-Ref2],表格3[SRP PRICE])</f>
        <v>2880</v>
      </c>
      <c r="T1571" s="43">
        <f>表格1[[#This Row],[Unit Price]]/表格1[[#This Row],[SRP]]</f>
        <v>0.69409722222222225</v>
      </c>
      <c r="U1571" s="86" t="str">
        <f>_xlfn.XLOOKUP(表格1[[#This Row],[Model]],表格3[Model-Input-Ref2],表格3[TOSHIBA/HIGHEST])</f>
        <v>Toshiba SRP</v>
      </c>
      <c r="V1571" s="86" t="s">
        <v>1640</v>
      </c>
      <c r="W1571" s="86" t="str">
        <f>_xlfn.CONCAT(表格1[[#This Row],[欄4]],表格1[[#This Row],[inv no]])</f>
        <v>DA142DA1421044</v>
      </c>
    </row>
    <row r="1572" spans="1:23" hidden="1">
      <c r="A1572" s="81">
        <v>1570</v>
      </c>
      <c r="B1572" s="81" t="s">
        <v>1470</v>
      </c>
      <c r="C1572" s="81" t="s">
        <v>1374</v>
      </c>
      <c r="D1572" s="82" t="str">
        <f ca="1">OFFSET(Roster!$A$3,MATCH(表格1[[#This Row],[Location]]&amp;" "&amp;表格1[[#This Row],[Shop]]&amp;"*",Roster!$A$4:$A$72,0),DAY(表格1[[#This Row],[date]]),1,1)</f>
        <v>Daisy</v>
      </c>
      <c r="E1572" s="81">
        <f>MONTH(表格1[[#This Row],[date]])</f>
        <v>3</v>
      </c>
      <c r="F1572" s="90">
        <v>46097</v>
      </c>
      <c r="G1572" s="81" t="str">
        <f>VLOOKUP("*"&amp;表格1[[#This Row],[Input]]&amp;"*",'Ref-List'!$B:$D,2,)</f>
        <v>MM-2MM20PC(WH)</v>
      </c>
      <c r="H1572" s="81" t="str">
        <f>_xlfn.XLOOKUP(表格1[[#This Row],[Model]],表格3[Model-Input-Ref2],表格3[Product Line])</f>
        <v>旋鈕式微波爐 (20公升)</v>
      </c>
      <c r="I1572" s="81" t="str">
        <f>_xlfn.XLOOKUP(表格1[[#This Row],[Model]],表格3[Model-Input-Ref2],表格3[大小電])</f>
        <v>細電</v>
      </c>
      <c r="J1572" s="81" t="str">
        <f>_xlfn.XLOOKUP(表格1[[#This Row],[Model]],表格3[Model-Input-Ref2],表格3[Code])</f>
        <v>MCA</v>
      </c>
      <c r="K1572" s="89" t="s">
        <v>1388</v>
      </c>
      <c r="L1572" s="86">
        <v>1</v>
      </c>
      <c r="M1572" s="87">
        <v>610</v>
      </c>
      <c r="N1572" s="85">
        <f>IFERROR(表格1[[#This Row],[QTY]]*表格1[[#This Row],[Unit Price]],"-")</f>
        <v>610</v>
      </c>
      <c r="O1572" s="86" t="s">
        <v>1676</v>
      </c>
      <c r="R1572" s="86" t="str">
        <f>_xlfn.CONCAT(表格1[[#This Row],[Model]]," ",表格1[[#This Row],[inv no]])</f>
        <v>MM-2MM20PC(WH) DA1421069</v>
      </c>
      <c r="S1572" s="86">
        <f>_xlfn.XLOOKUP(表格1[[#This Row],[Model]],表格3[Model-Input-Ref2],表格3[SRP PRICE])</f>
        <v>738</v>
      </c>
      <c r="T1572" s="43">
        <f>表格1[[#This Row],[Unit Price]]/表格1[[#This Row],[SRP]]</f>
        <v>0.82655826558265577</v>
      </c>
      <c r="U1572" s="86" t="str">
        <f>_xlfn.XLOOKUP(表格1[[#This Row],[Model]],表格3[Model-Input-Ref2],表格3[TOSHIBA/HIGHEST])</f>
        <v>Toshiba SRP</v>
      </c>
      <c r="V1572" s="86" t="s">
        <v>1640</v>
      </c>
      <c r="W1572" s="86" t="str">
        <f>_xlfn.CONCAT(表格1[[#This Row],[欄4]],表格1[[#This Row],[inv no]])</f>
        <v>DA142DA1421069</v>
      </c>
    </row>
    <row r="1573" spans="1:23" hidden="1">
      <c r="A1573" s="81">
        <v>1571</v>
      </c>
      <c r="B1573" s="81" t="s">
        <v>1470</v>
      </c>
      <c r="C1573" s="81" t="s">
        <v>1374</v>
      </c>
      <c r="D1573" s="82" t="str">
        <f ca="1">OFFSET(Roster!$A$3,MATCH(表格1[[#This Row],[Location]]&amp;" "&amp;表格1[[#This Row],[Shop]]&amp;"*",Roster!$A$4:$A$72,0),DAY(表格1[[#This Row],[date]]),1,1)</f>
        <v>Daisy</v>
      </c>
      <c r="E1573" s="81">
        <f>MONTH(表格1[[#This Row],[date]])</f>
        <v>3</v>
      </c>
      <c r="F1573" s="90">
        <v>46098</v>
      </c>
      <c r="G1573" s="81" t="str">
        <f>VLOOKUP("*"&amp;表格1[[#This Row],[Input]]&amp;"*",'Ref-List'!$B:$D,2,)</f>
        <v>RC-DR10T(W)</v>
      </c>
      <c r="H1573" s="81" t="str">
        <f>_xlfn.XLOOKUP(表格1[[#This Row],[Model]],表格3[Model-Input-Ref2],表格3[Product Line])</f>
        <v>IH磁應電飯煲</v>
      </c>
      <c r="I1573" s="81" t="str">
        <f>_xlfn.XLOOKUP(表格1[[#This Row],[Model]],表格3[Model-Input-Ref2],表格3[大小電])</f>
        <v>細電</v>
      </c>
      <c r="J1573" s="81" t="str">
        <f>_xlfn.XLOOKUP(表格1[[#This Row],[Model]],表格3[Model-Input-Ref2],表格3[Code])</f>
        <v>SDA</v>
      </c>
      <c r="K1573" s="89" t="s">
        <v>1294</v>
      </c>
      <c r="L1573" s="81">
        <v>1</v>
      </c>
      <c r="M1573" s="87">
        <v>2080</v>
      </c>
      <c r="N1573" s="85">
        <f>IFERROR(表格1[[#This Row],[QTY]]*表格1[[#This Row],[Unit Price]],"-")</f>
        <v>2080</v>
      </c>
      <c r="O1573" s="86" t="s">
        <v>1677</v>
      </c>
      <c r="R1573" s="86" t="str">
        <f>_xlfn.CONCAT(表格1[[#This Row],[Model]]," ",表格1[[#This Row],[inv no]])</f>
        <v>RC-DR10T(W) DA1421110</v>
      </c>
      <c r="S1573" s="86">
        <f>_xlfn.XLOOKUP(表格1[[#This Row],[Model]],表格3[Model-Input-Ref2],表格3[SRP PRICE])</f>
        <v>3188</v>
      </c>
      <c r="T1573" s="43">
        <f>表格1[[#This Row],[Unit Price]]/表格1[[#This Row],[SRP]]</f>
        <v>0.65244667503136766</v>
      </c>
      <c r="U1573" s="86" t="str">
        <f>_xlfn.XLOOKUP(表格1[[#This Row],[Model]],表格3[Model-Input-Ref2],表格3[TOSHIBA/HIGHEST])</f>
        <v>Toshiba SRP</v>
      </c>
      <c r="V1573" s="86" t="s">
        <v>1640</v>
      </c>
      <c r="W1573" s="86" t="str">
        <f>_xlfn.CONCAT(表格1[[#This Row],[欄4]],表格1[[#This Row],[inv no]])</f>
        <v>DA142DA1421110</v>
      </c>
    </row>
    <row r="1574" spans="1:23" hidden="1">
      <c r="A1574" s="81">
        <v>1572</v>
      </c>
      <c r="B1574" s="81" t="s">
        <v>1470</v>
      </c>
      <c r="C1574" s="81" t="s">
        <v>1374</v>
      </c>
      <c r="D1574" s="82" t="str">
        <f ca="1">OFFSET(Roster!$A$3,MATCH(表格1[[#This Row],[Location]]&amp;" "&amp;表格1[[#This Row],[Shop]]&amp;"*",Roster!$A$4:$A$72,0),DAY(表格1[[#This Row],[date]]),1,1)</f>
        <v>Daisy</v>
      </c>
      <c r="E1574" s="81">
        <f>MONTH(表格1[[#This Row],[date]])</f>
        <v>3</v>
      </c>
      <c r="F1574" s="90">
        <v>46098</v>
      </c>
      <c r="G1574" s="81" t="str">
        <f>VLOOKUP("*"&amp;表格1[[#This Row],[Input]]&amp;"*",'Ref-List'!$B:$D,2,)</f>
        <v>MX2-TT20SC(WH)</v>
      </c>
      <c r="H1574" s="81" t="str">
        <f>_xlfn.XLOOKUP(表格1[[#This Row],[Model]],表格3[Model-Input-Ref2],表格3[Product Line])</f>
        <v>3合1 微波蒸焗爐 (20公升)</v>
      </c>
      <c r="I1574" s="81" t="str">
        <f>_xlfn.XLOOKUP(表格1[[#This Row],[Model]],表格3[Model-Input-Ref2],表格3[大小電])</f>
        <v>細電</v>
      </c>
      <c r="J1574" s="81" t="str">
        <f>_xlfn.XLOOKUP(表格1[[#This Row],[Model]],表格3[Model-Input-Ref2],表格3[Code])</f>
        <v>MCA</v>
      </c>
      <c r="K1574" s="89" t="s">
        <v>1287</v>
      </c>
      <c r="L1574" s="86">
        <v>1</v>
      </c>
      <c r="M1574" s="87">
        <v>2480</v>
      </c>
      <c r="N1574" s="85">
        <f>IFERROR(表格1[[#This Row],[QTY]]*表格1[[#This Row],[Unit Price]],"-")</f>
        <v>2480</v>
      </c>
      <c r="O1574" s="86" t="s">
        <v>1678</v>
      </c>
      <c r="R1574" s="86" t="str">
        <f>_xlfn.CONCAT(表格1[[#This Row],[Model]]," ",表格1[[#This Row],[inv no]])</f>
        <v>MX2-TT20SC(WH) DA1421142</v>
      </c>
      <c r="S1574" s="86">
        <f>_xlfn.XLOOKUP(表格1[[#This Row],[Model]],表格3[Model-Input-Ref2],表格3[SRP PRICE])</f>
        <v>3580</v>
      </c>
      <c r="T1574" s="43">
        <f>表格1[[#This Row],[Unit Price]]/表格1[[#This Row],[SRP]]</f>
        <v>0.69273743016759781</v>
      </c>
      <c r="U1574" s="86" t="str">
        <f>_xlfn.XLOOKUP(表格1[[#This Row],[Model]],表格3[Model-Input-Ref2],表格3[TOSHIBA/HIGHEST])</f>
        <v>Toshiba SRP</v>
      </c>
      <c r="V1574" s="86" t="s">
        <v>1640</v>
      </c>
      <c r="W1574" s="86" t="str">
        <f>_xlfn.CONCAT(表格1[[#This Row],[欄4]],表格1[[#This Row],[inv no]])</f>
        <v>DA142DA1421142</v>
      </c>
    </row>
    <row r="1575" spans="1:23" hidden="1">
      <c r="A1575" s="81">
        <v>1573</v>
      </c>
      <c r="B1575" s="81" t="s">
        <v>1470</v>
      </c>
      <c r="C1575" s="81" t="s">
        <v>1374</v>
      </c>
      <c r="D1575" s="82" t="str">
        <f ca="1">OFFSET(Roster!$A$3,MATCH(表格1[[#This Row],[Location]]&amp;" "&amp;表格1[[#This Row],[Shop]]&amp;"*",Roster!$A$4:$A$72,0),DAY(表格1[[#This Row],[date]]),1,1)</f>
        <v>Daisy</v>
      </c>
      <c r="E1575" s="81">
        <f>MONTH(表格1[[#This Row],[date]])</f>
        <v>3</v>
      </c>
      <c r="F1575" s="90">
        <v>46098</v>
      </c>
      <c r="G1575" s="81" t="str">
        <f>VLOOKUP("*"&amp;表格1[[#This Row],[Input]]&amp;"*",'Ref-List'!$B:$D,2,)</f>
        <v>MM-2MM20PC(WH)</v>
      </c>
      <c r="H1575" s="81" t="str">
        <f>_xlfn.XLOOKUP(表格1[[#This Row],[Model]],表格3[Model-Input-Ref2],表格3[Product Line])</f>
        <v>旋鈕式微波爐 (20公升)</v>
      </c>
      <c r="I1575" s="81" t="str">
        <f>_xlfn.XLOOKUP(表格1[[#This Row],[Model]],表格3[Model-Input-Ref2],表格3[大小電])</f>
        <v>細電</v>
      </c>
      <c r="J1575" s="81" t="str">
        <f>_xlfn.XLOOKUP(表格1[[#This Row],[Model]],表格3[Model-Input-Ref2],表格3[Code])</f>
        <v>MCA</v>
      </c>
      <c r="K1575" s="89" t="s">
        <v>1388</v>
      </c>
      <c r="L1575" s="81">
        <v>1</v>
      </c>
      <c r="M1575" s="87">
        <v>590</v>
      </c>
      <c r="N1575" s="85">
        <f>IFERROR(表格1[[#This Row],[QTY]]*表格1[[#This Row],[Unit Price]],"-")</f>
        <v>590</v>
      </c>
      <c r="O1575" s="86" t="s">
        <v>1679</v>
      </c>
      <c r="R1575" s="86" t="str">
        <f>_xlfn.CONCAT(表格1[[#This Row],[Model]]," ",表格1[[#This Row],[inv no]])</f>
        <v>MM-2MM20PC(WH) DA1421150</v>
      </c>
      <c r="S1575" s="86">
        <f>_xlfn.XLOOKUP(表格1[[#This Row],[Model]],表格3[Model-Input-Ref2],表格3[SRP PRICE])</f>
        <v>738</v>
      </c>
      <c r="T1575" s="43">
        <f>表格1[[#This Row],[Unit Price]]/表格1[[#This Row],[SRP]]</f>
        <v>0.79945799457994582</v>
      </c>
      <c r="U1575" s="86" t="str">
        <f>_xlfn.XLOOKUP(表格1[[#This Row],[Model]],表格3[Model-Input-Ref2],表格3[TOSHIBA/HIGHEST])</f>
        <v>Toshiba SRP</v>
      </c>
      <c r="V1575" s="86" t="s">
        <v>1640</v>
      </c>
      <c r="W1575" s="86" t="str">
        <f>_xlfn.CONCAT(表格1[[#This Row],[欄4]],表格1[[#This Row],[inv no]])</f>
        <v>DA142DA1421150</v>
      </c>
    </row>
    <row r="1576" spans="1:23" hidden="1">
      <c r="A1576" s="81">
        <v>1574</v>
      </c>
      <c r="B1576" s="81" t="s">
        <v>1470</v>
      </c>
      <c r="C1576" s="81" t="s">
        <v>1374</v>
      </c>
      <c r="D1576" s="82" t="str">
        <f ca="1">OFFSET(Roster!$A$3,MATCH(表格1[[#This Row],[Location]]&amp;" "&amp;表格1[[#This Row],[Shop]]&amp;"*",Roster!$A$4:$A$72,0),DAY(表格1[[#This Row],[date]]),1,1)</f>
        <v>Daisy</v>
      </c>
      <c r="E1576" s="81">
        <f>MONTH(表格1[[#This Row],[date]])</f>
        <v>3</v>
      </c>
      <c r="F1576" s="90">
        <v>46098</v>
      </c>
      <c r="G1576" s="81" t="str">
        <f>VLOOKUP("*"&amp;表格1[[#This Row],[Input]]&amp;"*",'Ref-List'!$B:$D,2,)</f>
        <v>RC-10AMXH(W)</v>
      </c>
      <c r="H1576" s="81" t="str">
        <f>_xlfn.XLOOKUP(表格1[[#This Row],[Model]],表格3[Model-Input-Ref2],表格3[Product Line])</f>
        <v>酵活炊電飯煲(1.0公升)</v>
      </c>
      <c r="I1576" s="81" t="str">
        <f>_xlfn.XLOOKUP(表格1[[#This Row],[Model]],表格3[Model-Input-Ref2],表格3[大小電])</f>
        <v>細電</v>
      </c>
      <c r="J1576" s="81" t="str">
        <f>_xlfn.XLOOKUP(表格1[[#This Row],[Model]],表格3[Model-Input-Ref2],表格3[Code])</f>
        <v>SDA</v>
      </c>
      <c r="K1576" s="89" t="s">
        <v>1279</v>
      </c>
      <c r="L1576" s="86">
        <v>1</v>
      </c>
      <c r="M1576" s="87">
        <v>990</v>
      </c>
      <c r="N1576" s="85">
        <f>IFERROR(表格1[[#This Row],[QTY]]*表格1[[#This Row],[Unit Price]],"-")</f>
        <v>990</v>
      </c>
      <c r="O1576" s="86" t="s">
        <v>1680</v>
      </c>
      <c r="R1576" s="86" t="str">
        <f>_xlfn.CONCAT(表格1[[#This Row],[Model]]," ",表格1[[#This Row],[inv no]])</f>
        <v>RC-10AMXH(W) DA1421159</v>
      </c>
      <c r="S1576" s="86">
        <f>_xlfn.XLOOKUP(表格1[[#This Row],[Model]],表格3[Model-Input-Ref2],表格3[SRP PRICE])</f>
        <v>1288</v>
      </c>
      <c r="T1576" s="43">
        <f>表格1[[#This Row],[Unit Price]]/表格1[[#This Row],[SRP]]</f>
        <v>0.76863354037267084</v>
      </c>
      <c r="U1576" s="86" t="str">
        <f>_xlfn.XLOOKUP(表格1[[#This Row],[Model]],表格3[Model-Input-Ref2],表格3[TOSHIBA/HIGHEST])</f>
        <v>Toshiba SRP</v>
      </c>
      <c r="V1576" s="86" t="s">
        <v>1640</v>
      </c>
      <c r="W1576" s="86" t="str">
        <f>_xlfn.CONCAT(表格1[[#This Row],[欄4]],表格1[[#This Row],[inv no]])</f>
        <v>DA142DA1421159</v>
      </c>
    </row>
    <row r="1577" spans="1:23" hidden="1">
      <c r="A1577" s="81">
        <v>1575</v>
      </c>
      <c r="B1577" s="81" t="s">
        <v>1470</v>
      </c>
      <c r="C1577" s="81" t="s">
        <v>1374</v>
      </c>
      <c r="D1577" s="82" t="str">
        <f ca="1">OFFSET(Roster!$A$3,MATCH(表格1[[#This Row],[Location]]&amp;" "&amp;表格1[[#This Row],[Shop]]&amp;"*",Roster!$A$4:$A$72,0),DAY(表格1[[#This Row],[date]]),1,1)</f>
        <v>Daisy</v>
      </c>
      <c r="E1577" s="81">
        <f>MONTH(表格1[[#This Row],[date]])</f>
        <v>3</v>
      </c>
      <c r="F1577" s="90">
        <v>46098</v>
      </c>
      <c r="G1577" s="81" t="str">
        <f>VLOOKUP("*"&amp;表格1[[#This Row],[Input]]&amp;"*",'Ref-List'!$B:$D,2,)</f>
        <v>RAC-09G3CVRGR-HK</v>
      </c>
      <c r="H1577" s="81" t="str">
        <f>_xlfn.XLOOKUP(表格1[[#This Row],[Model]],表格3[Model-Input-Ref2],表格3[Product Line])</f>
        <v>1 匹 R32變頻窗口式冷氣機 (獨立抽濕遙控</v>
      </c>
      <c r="I1577" s="81" t="str">
        <f>_xlfn.XLOOKUP(表格1[[#This Row],[Model]],表格3[Model-Input-Ref2],表格3[大小電])</f>
        <v>大電</v>
      </c>
      <c r="J1577" s="81" t="str">
        <f>_xlfn.XLOOKUP(表格1[[#This Row],[Model]],表格3[Model-Input-Ref2],表格3[Code])</f>
        <v>AC</v>
      </c>
      <c r="K1577" s="89" t="s">
        <v>1474</v>
      </c>
      <c r="L1577" s="81">
        <v>2</v>
      </c>
      <c r="M1577" s="87">
        <v>4280</v>
      </c>
      <c r="N1577" s="85">
        <f>IFERROR(表格1[[#This Row],[QTY]]*表格1[[#This Row],[Unit Price]],"-")</f>
        <v>8560</v>
      </c>
      <c r="O1577" s="86" t="s">
        <v>1681</v>
      </c>
      <c r="R1577" s="86" t="str">
        <f>_xlfn.CONCAT(表格1[[#This Row],[Model]]," ",表格1[[#This Row],[inv no]])</f>
        <v>RAC-09G3CVRGR-HK DA1421161</v>
      </c>
      <c r="S1577" s="86">
        <f>_xlfn.XLOOKUP(表格1[[#This Row],[Model]],表格3[Model-Input-Ref2],表格3[SRP PRICE])</f>
        <v>6980</v>
      </c>
      <c r="T1577" s="43">
        <f>表格1[[#This Row],[Unit Price]]/表格1[[#This Row],[SRP]]</f>
        <v>0.61318051575931232</v>
      </c>
      <c r="U1577" s="86" t="str">
        <f>_xlfn.XLOOKUP(表格1[[#This Row],[Model]],表格3[Model-Input-Ref2],表格3[TOSHIBA/HIGHEST])</f>
        <v>Toshiba SRP</v>
      </c>
      <c r="V1577" s="86" t="s">
        <v>1640</v>
      </c>
      <c r="W1577" s="86" t="str">
        <f>_xlfn.CONCAT(表格1[[#This Row],[欄4]],表格1[[#This Row],[inv no]])</f>
        <v>DA142DA1421161</v>
      </c>
    </row>
    <row r="1578" spans="1:23" hidden="1">
      <c r="A1578" s="81">
        <v>1576</v>
      </c>
      <c r="B1578" s="81" t="s">
        <v>1470</v>
      </c>
      <c r="C1578" s="81" t="s">
        <v>1374</v>
      </c>
      <c r="D1578" s="82" t="str">
        <f ca="1">OFFSET(Roster!$A$3,MATCH(表格1[[#This Row],[Location]]&amp;" "&amp;表格1[[#This Row],[Shop]]&amp;"*",Roster!$A$4:$A$72,0),DAY(表格1[[#This Row],[date]]),1,1)</f>
        <v>Daisy</v>
      </c>
      <c r="E1578" s="81">
        <f>MONTH(表格1[[#This Row],[date]])</f>
        <v>3</v>
      </c>
      <c r="F1578" s="90">
        <v>46099</v>
      </c>
      <c r="G1578" s="81" t="str">
        <f>VLOOKUP("*"&amp;表格1[[#This Row],[Input]]&amp;"*",'Ref-List'!$B:$D,2,)</f>
        <v>RC-5SLIH(W)</v>
      </c>
      <c r="H1578" s="81" t="str">
        <f>_xlfn.XLOOKUP(表格1[[#This Row],[Model]],表格3[Model-Input-Ref2],表格3[Product Line])</f>
        <v>微型電腦珍珠飯煲</v>
      </c>
      <c r="I1578" s="81" t="str">
        <f>_xlfn.XLOOKUP(表格1[[#This Row],[Model]],表格3[Model-Input-Ref2],表格3[大小電])</f>
        <v>細電</v>
      </c>
      <c r="J1578" s="81" t="str">
        <f>_xlfn.XLOOKUP(表格1[[#This Row],[Model]],表格3[Model-Input-Ref2],表格3[Code])</f>
        <v>SDA</v>
      </c>
      <c r="K1578" s="89" t="s">
        <v>1264</v>
      </c>
      <c r="L1578" s="86">
        <v>1</v>
      </c>
      <c r="M1578" s="87">
        <v>568</v>
      </c>
      <c r="N1578" s="85">
        <f>IFERROR(表格1[[#This Row],[QTY]]*表格1[[#This Row],[Unit Price]],"-")</f>
        <v>568</v>
      </c>
      <c r="O1578" s="86" t="s">
        <v>1682</v>
      </c>
      <c r="R1578" s="86" t="str">
        <f>_xlfn.CONCAT(表格1[[#This Row],[Model]]," ",表格1[[#This Row],[inv no]])</f>
        <v>RC-5SLIH(W) DA1421251</v>
      </c>
      <c r="S1578" s="86">
        <f>_xlfn.XLOOKUP(表格1[[#This Row],[Model]],表格3[Model-Input-Ref2],表格3[SRP PRICE])</f>
        <v>658</v>
      </c>
      <c r="T1578" s="43">
        <f>表格1[[#This Row],[Unit Price]]/表格1[[#This Row],[SRP]]</f>
        <v>0.86322188449848025</v>
      </c>
      <c r="U1578" s="86" t="str">
        <f>_xlfn.XLOOKUP(表格1[[#This Row],[Model]],表格3[Model-Input-Ref2],表格3[TOSHIBA/HIGHEST])</f>
        <v>Toshiba SRP</v>
      </c>
      <c r="V1578" s="86" t="s">
        <v>1640</v>
      </c>
      <c r="W1578" s="86" t="str">
        <f>_xlfn.CONCAT(表格1[[#This Row],[欄4]],表格1[[#This Row],[inv no]])</f>
        <v>DA142DA1421251</v>
      </c>
    </row>
    <row r="1579" spans="1:23" hidden="1">
      <c r="A1579" s="81">
        <v>1577</v>
      </c>
      <c r="B1579" s="81" t="s">
        <v>1470</v>
      </c>
      <c r="C1579" s="81" t="s">
        <v>1374</v>
      </c>
      <c r="D1579" s="82" t="str">
        <f ca="1">OFFSET(Roster!$A$3,MATCH(表格1[[#This Row],[Location]]&amp;" "&amp;表格1[[#This Row],[Shop]]&amp;"*",Roster!$A$4:$A$72,0),DAY(表格1[[#This Row],[date]]),1,1)</f>
        <v>Daisy</v>
      </c>
      <c r="E1579" s="81">
        <f>MONTH(表格1[[#This Row],[date]])</f>
        <v>3</v>
      </c>
      <c r="F1579" s="90">
        <v>46099</v>
      </c>
      <c r="G1579" s="81" t="str">
        <f>VLOOKUP("*"&amp;表格1[[#This Row],[Input]]&amp;"*",'Ref-List'!$B:$D,2,)</f>
        <v>RC-7HMH</v>
      </c>
      <c r="H1579" s="81" t="str">
        <f>_xlfn.XLOOKUP(表格1[[#This Row],[Model]],表格3[Model-Input-Ref2],表格3[Product Line])</f>
        <v>備長炭本厚釜電飯煲0.7L</v>
      </c>
      <c r="I1579" s="81" t="str">
        <f>_xlfn.XLOOKUP(表格1[[#This Row],[Model]],表格3[Model-Input-Ref2],表格3[大小電])</f>
        <v>細電</v>
      </c>
      <c r="J1579" s="81" t="str">
        <f>_xlfn.XLOOKUP(表格1[[#This Row],[Model]],表格3[Model-Input-Ref2],表格3[Code])</f>
        <v>SDA</v>
      </c>
      <c r="K1579" s="89" t="s">
        <v>1284</v>
      </c>
      <c r="L1579" s="81">
        <v>1</v>
      </c>
      <c r="M1579" s="87">
        <v>788</v>
      </c>
      <c r="N1579" s="85">
        <f>IFERROR(表格1[[#This Row],[QTY]]*表格1[[#This Row],[Unit Price]],"-")</f>
        <v>788</v>
      </c>
      <c r="O1579" s="86" t="s">
        <v>1683</v>
      </c>
      <c r="R1579" s="86" t="str">
        <f>_xlfn.CONCAT(表格1[[#This Row],[Model]]," ",表格1[[#This Row],[inv no]])</f>
        <v>RC-7HMH DA1421253</v>
      </c>
      <c r="S1579" s="86">
        <f>_xlfn.XLOOKUP(表格1[[#This Row],[Model]],表格3[Model-Input-Ref2],表格3[SRP PRICE])</f>
        <v>1288</v>
      </c>
      <c r="T1579" s="43">
        <f>表格1[[#This Row],[Unit Price]]/表格1[[#This Row],[SRP]]</f>
        <v>0.61180124223602483</v>
      </c>
      <c r="U1579" s="86" t="str">
        <f>_xlfn.XLOOKUP(表格1[[#This Row],[Model]],表格3[Model-Input-Ref2],表格3[TOSHIBA/HIGHEST])</f>
        <v>Toshiba SRP</v>
      </c>
      <c r="V1579" s="86" t="s">
        <v>1640</v>
      </c>
      <c r="W1579" s="86" t="str">
        <f>_xlfn.CONCAT(表格1[[#This Row],[欄4]],表格1[[#This Row],[inv no]])</f>
        <v>DA142DA1421253</v>
      </c>
    </row>
    <row r="1580" spans="1:23" hidden="1">
      <c r="A1580" s="81">
        <v>1578</v>
      </c>
      <c r="B1580" s="81" t="s">
        <v>1470</v>
      </c>
      <c r="C1580" s="81" t="s">
        <v>1374</v>
      </c>
      <c r="D1580" s="82" t="str">
        <f ca="1">OFFSET(Roster!$A$3,MATCH(表格1[[#This Row],[Location]]&amp;" "&amp;表格1[[#This Row],[Shop]]&amp;"*",Roster!$A$4:$A$72,0),DAY(表格1[[#This Row],[date]]),1,1)</f>
        <v>Daisy</v>
      </c>
      <c r="E1580" s="81">
        <f>MONTH(表格1[[#This Row],[date]])</f>
        <v>3</v>
      </c>
      <c r="F1580" s="90">
        <v>46099</v>
      </c>
      <c r="G1580" s="81" t="str">
        <f>VLOOKUP("*"&amp;表格1[[#This Row],[Input]]&amp;"*",'Ref-List'!$B:$D,2,)</f>
        <v>RC-18NMFIH(WT)</v>
      </c>
      <c r="H1580" s="81" t="str">
        <f>_xlfn.XLOOKUP(表格1[[#This Row],[Model]],表格3[Model-Input-Ref2],表格3[Product Line])</f>
        <v>4毫米厚釜電飯煲1.8L</v>
      </c>
      <c r="I1580" s="81" t="str">
        <f>_xlfn.XLOOKUP(表格1[[#This Row],[Model]],表格3[Model-Input-Ref2],表格3[大小電])</f>
        <v>細電</v>
      </c>
      <c r="J1580" s="81" t="str">
        <f>_xlfn.XLOOKUP(表格1[[#This Row],[Model]],表格3[Model-Input-Ref2],表格3[Code])</f>
        <v>SDA</v>
      </c>
      <c r="K1580" s="89" t="s">
        <v>1267</v>
      </c>
      <c r="L1580" s="86">
        <v>1</v>
      </c>
      <c r="M1580" s="87">
        <v>788</v>
      </c>
      <c r="N1580" s="85">
        <f>IFERROR(表格1[[#This Row],[QTY]]*表格1[[#This Row],[Unit Price]],"-")</f>
        <v>788</v>
      </c>
      <c r="O1580" s="86" t="s">
        <v>1684</v>
      </c>
      <c r="R1580" s="86" t="str">
        <f>_xlfn.CONCAT(表格1[[#This Row],[Model]]," ",表格1[[#This Row],[inv no]])</f>
        <v>RC-18NMFIH(WT) DA1421281</v>
      </c>
      <c r="S1580" s="86">
        <f>_xlfn.XLOOKUP(表格1[[#This Row],[Model]],表格3[Model-Input-Ref2],表格3[SRP PRICE])</f>
        <v>998</v>
      </c>
      <c r="T1580" s="43">
        <f>表格1[[#This Row],[Unit Price]]/表格1[[#This Row],[SRP]]</f>
        <v>0.78957915831663328</v>
      </c>
      <c r="U1580" s="86" t="str">
        <f>_xlfn.XLOOKUP(表格1[[#This Row],[Model]],表格3[Model-Input-Ref2],表格3[TOSHIBA/HIGHEST])</f>
        <v>Toshiba SRP</v>
      </c>
      <c r="V1580" s="86" t="s">
        <v>1640</v>
      </c>
      <c r="W1580" s="86" t="str">
        <f>_xlfn.CONCAT(表格1[[#This Row],[欄4]],表格1[[#This Row],[inv no]])</f>
        <v>DA142DA1421281</v>
      </c>
    </row>
    <row r="1581" spans="1:23" hidden="1">
      <c r="A1581" s="81">
        <v>1579</v>
      </c>
      <c r="B1581" s="81" t="s">
        <v>1470</v>
      </c>
      <c r="C1581" s="81" t="s">
        <v>1374</v>
      </c>
      <c r="D1581" s="82" t="str">
        <f ca="1">OFFSET(Roster!$A$3,MATCH(表格1[[#This Row],[Location]]&amp;" "&amp;表格1[[#This Row],[Shop]]&amp;"*",Roster!$A$4:$A$72,0),DAY(表格1[[#This Row],[date]]),1,1)</f>
        <v>Daisy</v>
      </c>
      <c r="E1581" s="81">
        <f>MONTH(表格1[[#This Row],[date]])</f>
        <v>3</v>
      </c>
      <c r="F1581" s="90">
        <v>46099</v>
      </c>
      <c r="G1581" s="81" t="str">
        <f>VLOOKUP("*"&amp;表格1[[#This Row],[Input]]&amp;"*",'Ref-List'!$B:$D,2,)</f>
        <v>MS5-STR30SC(BK)</v>
      </c>
      <c r="H1581" s="81" t="str">
        <f>_xlfn.XLOOKUP(表格1[[#This Row],[Model]],表格3[Model-Input-Ref2],表格3[Product Line])</f>
        <v>30公升蒸氣焗爐</v>
      </c>
      <c r="I1581" s="81" t="str">
        <f>_xlfn.XLOOKUP(表格1[[#This Row],[Model]],表格3[Model-Input-Ref2],表格3[大小電])</f>
        <v>細電</v>
      </c>
      <c r="J1581" s="81" t="str">
        <f>_xlfn.XLOOKUP(表格1[[#This Row],[Model]],表格3[Model-Input-Ref2],表格3[Code])</f>
        <v>MCA</v>
      </c>
      <c r="K1581" s="89" t="s">
        <v>1379</v>
      </c>
      <c r="L1581" s="81">
        <v>1</v>
      </c>
      <c r="M1581" s="87">
        <v>3688</v>
      </c>
      <c r="N1581" s="85">
        <f>IFERROR(表格1[[#This Row],[QTY]]*表格1[[#This Row],[Unit Price]],"-")</f>
        <v>3688</v>
      </c>
      <c r="O1581" s="142" t="s">
        <v>1685</v>
      </c>
      <c r="R1581" s="86" t="str">
        <f>_xlfn.CONCAT(表格1[[#This Row],[Model]]," ",表格1[[#This Row],[inv no]])</f>
        <v>MS5-STR30SC(BK) DA1421302</v>
      </c>
      <c r="S1581" s="86">
        <f>_xlfn.XLOOKUP(表格1[[#This Row],[Model]],表格3[Model-Input-Ref2],表格3[SRP PRICE])</f>
        <v>5998</v>
      </c>
      <c r="T1581" s="43">
        <f>表格1[[#This Row],[Unit Price]]/表格1[[#This Row],[SRP]]</f>
        <v>0.61487162387462491</v>
      </c>
      <c r="U1581" s="86" t="str">
        <f>_xlfn.XLOOKUP(表格1[[#This Row],[Model]],表格3[Model-Input-Ref2],表格3[TOSHIBA/HIGHEST])</f>
        <v>Shops Highest Price</v>
      </c>
      <c r="V1581" s="86" t="s">
        <v>1640</v>
      </c>
      <c r="W1581" s="86" t="str">
        <f>_xlfn.CONCAT(表格1[[#This Row],[欄4]],表格1[[#This Row],[inv no]])</f>
        <v>DA142DA1421302</v>
      </c>
    </row>
    <row r="1582" spans="1:23" hidden="1">
      <c r="A1582" s="81">
        <v>1580</v>
      </c>
      <c r="B1582" s="81" t="s">
        <v>1470</v>
      </c>
      <c r="C1582" s="81" t="s">
        <v>1374</v>
      </c>
      <c r="D1582" s="82" t="str">
        <f ca="1">OFFSET(Roster!$A$3,MATCH(表格1[[#This Row],[Location]]&amp;" "&amp;表格1[[#This Row],[Shop]]&amp;"*",Roster!$A$4:$A$72,0),DAY(表格1[[#This Row],[date]]),1,1)</f>
        <v>Daisy</v>
      </c>
      <c r="E1582" s="81">
        <f>MONTH(表格1[[#This Row],[date]])</f>
        <v>3</v>
      </c>
      <c r="F1582" s="90">
        <v>46101</v>
      </c>
      <c r="G1582" s="81" t="str">
        <f>VLOOKUP("*"&amp;表格1[[#This Row],[Input]]&amp;"*",'Ref-List'!$B:$D,2,)</f>
        <v>ER-VD7000HK(XK)</v>
      </c>
      <c r="H1582" s="81" t="str">
        <f>_xlfn.XLOOKUP(表格1[[#This Row],[Model]],表格3[Model-Input-Ref2],表格3[Product Line])</f>
        <v>水波爐</v>
      </c>
      <c r="I1582" s="81" t="str">
        <f>_xlfn.XLOOKUP(表格1[[#This Row],[Model]],表格3[Model-Input-Ref2],表格3[大小電])</f>
        <v>細電</v>
      </c>
      <c r="J1582" s="81" t="str">
        <f>_xlfn.XLOOKUP(表格1[[#This Row],[Model]],表格3[Model-Input-Ref2],表格3[Code])</f>
        <v>MCA</v>
      </c>
      <c r="K1582" s="89" t="s">
        <v>1469</v>
      </c>
      <c r="L1582" s="86">
        <v>1</v>
      </c>
      <c r="M1582" s="87">
        <v>6180</v>
      </c>
      <c r="N1582" s="85">
        <f>IFERROR(表格1[[#This Row],[QTY]]*表格1[[#This Row],[Unit Price]],"-")</f>
        <v>6180</v>
      </c>
      <c r="O1582" s="86" t="s">
        <v>1686</v>
      </c>
      <c r="R1582" s="86" t="str">
        <f>_xlfn.CONCAT(表格1[[#This Row],[Model]]," ",表格1[[#This Row],[inv no]])</f>
        <v>ER-VD7000HK(XK) DA1421341</v>
      </c>
      <c r="S1582" s="86">
        <f>_xlfn.XLOOKUP(表格1[[#This Row],[Model]],表格3[Model-Input-Ref2],表格3[SRP PRICE])</f>
        <v>8998</v>
      </c>
      <c r="T1582" s="43">
        <f>表格1[[#This Row],[Unit Price]]/表格1[[#This Row],[SRP]]</f>
        <v>0.68681929317626134</v>
      </c>
      <c r="U1582" s="86" t="str">
        <f>_xlfn.XLOOKUP(表格1[[#This Row],[Model]],表格3[Model-Input-Ref2],表格3[TOSHIBA/HIGHEST])</f>
        <v>Toshiba SRP</v>
      </c>
      <c r="V1582" s="86" t="s">
        <v>1640</v>
      </c>
      <c r="W1582" s="86" t="str">
        <f>_xlfn.CONCAT(表格1[[#This Row],[欄4]],表格1[[#This Row],[inv no]])</f>
        <v>DA142DA1421341</v>
      </c>
    </row>
    <row r="1583" spans="1:23" hidden="1">
      <c r="A1583" s="81">
        <v>1581</v>
      </c>
      <c r="B1583" s="81" t="s">
        <v>1470</v>
      </c>
      <c r="C1583" s="81" t="s">
        <v>1374</v>
      </c>
      <c r="D1583" s="82" t="str">
        <f ca="1">OFFSET(Roster!$A$3,MATCH(表格1[[#This Row],[Location]]&amp;" "&amp;表格1[[#This Row],[Shop]]&amp;"*",Roster!$A$4:$A$72,0),DAY(表格1[[#This Row],[date]]),1,1)</f>
        <v>Daisy</v>
      </c>
      <c r="E1583" s="81">
        <f>MONTH(表格1[[#This Row],[date]])</f>
        <v>3</v>
      </c>
      <c r="F1583" s="90">
        <v>46101</v>
      </c>
      <c r="G1583" s="81" t="str">
        <f>VLOOKUP("*"&amp;表格1[[#This Row],[Input]]&amp;"*",'Ref-List'!$B:$D,2,)</f>
        <v>MM-2MM20PC(WH)</v>
      </c>
      <c r="H1583" s="81" t="str">
        <f>_xlfn.XLOOKUP(表格1[[#This Row],[Model]],表格3[Model-Input-Ref2],表格3[Product Line])</f>
        <v>旋鈕式微波爐 (20公升)</v>
      </c>
      <c r="I1583" s="81" t="str">
        <f>_xlfn.XLOOKUP(表格1[[#This Row],[Model]],表格3[Model-Input-Ref2],表格3[大小電])</f>
        <v>細電</v>
      </c>
      <c r="J1583" s="81" t="str">
        <f>_xlfn.XLOOKUP(表格1[[#This Row],[Model]],表格3[Model-Input-Ref2],表格3[Code])</f>
        <v>MCA</v>
      </c>
      <c r="K1583" s="89" t="s">
        <v>1388</v>
      </c>
      <c r="L1583" s="81">
        <v>1</v>
      </c>
      <c r="M1583" s="87">
        <v>610</v>
      </c>
      <c r="N1583" s="85">
        <f>IFERROR(表格1[[#This Row],[QTY]]*表格1[[#This Row],[Unit Price]],"-")</f>
        <v>610</v>
      </c>
      <c r="O1583" s="86" t="s">
        <v>1687</v>
      </c>
      <c r="R1583" s="86" t="str">
        <f>_xlfn.CONCAT(表格1[[#This Row],[Model]]," ",表格1[[#This Row],[inv no]])</f>
        <v>MM-2MM20PC(WH) DA1421370</v>
      </c>
      <c r="S1583" s="86">
        <f>_xlfn.XLOOKUP(表格1[[#This Row],[Model]],表格3[Model-Input-Ref2],表格3[SRP PRICE])</f>
        <v>738</v>
      </c>
      <c r="T1583" s="43">
        <f>表格1[[#This Row],[Unit Price]]/表格1[[#This Row],[SRP]]</f>
        <v>0.82655826558265577</v>
      </c>
      <c r="U1583" s="86" t="str">
        <f>_xlfn.XLOOKUP(表格1[[#This Row],[Model]],表格3[Model-Input-Ref2],表格3[TOSHIBA/HIGHEST])</f>
        <v>Toshiba SRP</v>
      </c>
      <c r="V1583" s="86" t="s">
        <v>1640</v>
      </c>
      <c r="W1583" s="86" t="str">
        <f>_xlfn.CONCAT(表格1[[#This Row],[欄4]],表格1[[#This Row],[inv no]])</f>
        <v>DA142DA1421370</v>
      </c>
    </row>
    <row r="1584" spans="1:23" hidden="1">
      <c r="A1584" s="81">
        <v>1582</v>
      </c>
      <c r="B1584" s="81" t="s">
        <v>1470</v>
      </c>
      <c r="C1584" s="81" t="s">
        <v>1374</v>
      </c>
      <c r="D1584" s="82" t="str">
        <f ca="1">OFFSET(Roster!$A$3,MATCH(表格1[[#This Row],[Location]]&amp;" "&amp;表格1[[#This Row],[Shop]]&amp;"*",Roster!$A$4:$A$72,0),DAY(表格1[[#This Row],[date]]),1,1)</f>
        <v>Daisy</v>
      </c>
      <c r="E1584" s="81">
        <f>MONTH(表格1[[#This Row],[date]])</f>
        <v>3</v>
      </c>
      <c r="F1584" s="90">
        <v>46101</v>
      </c>
      <c r="G1584" s="81" t="str">
        <f>VLOOKUP("*"&amp;表格1[[#This Row],[Input]]&amp;"*",'Ref-List'!$B:$D,2,)</f>
        <v>TP-25DR2UHK(W)</v>
      </c>
      <c r="H1584" s="81" t="str">
        <f>_xlfn.XLOOKUP(表格1[[#This Row],[Model]],表格3[Model-Input-Ref2],表格3[Product Line])</f>
        <v>電熱水瓶 (2.5公升)</v>
      </c>
      <c r="I1584" s="81" t="str">
        <f>_xlfn.XLOOKUP(表格1[[#This Row],[Model]],表格3[Model-Input-Ref2],表格3[大小電])</f>
        <v>細電</v>
      </c>
      <c r="J1584" s="81" t="str">
        <f>_xlfn.XLOOKUP(表格1[[#This Row],[Model]],表格3[Model-Input-Ref2],表格3[Code])</f>
        <v>SDA</v>
      </c>
      <c r="K1584" s="89" t="s">
        <v>1285</v>
      </c>
      <c r="L1584" s="86">
        <v>1</v>
      </c>
      <c r="M1584" s="87">
        <v>398</v>
      </c>
      <c r="N1584" s="85">
        <f>IFERROR(表格1[[#This Row],[QTY]]*表格1[[#This Row],[Unit Price]],"-")</f>
        <v>398</v>
      </c>
      <c r="O1584" s="86" t="s">
        <v>1688</v>
      </c>
      <c r="R1584" s="86" t="str">
        <f>_xlfn.CONCAT(表格1[[#This Row],[Model]]," ",表格1[[#This Row],[inv no]])</f>
        <v>TP-25DR2UHK(W) DA1421375</v>
      </c>
      <c r="S1584" s="86">
        <f>_xlfn.XLOOKUP(表格1[[#This Row],[Model]],表格3[Model-Input-Ref2],表格3[SRP PRICE])</f>
        <v>538</v>
      </c>
      <c r="T1584" s="43">
        <f>表格1[[#This Row],[Unit Price]]/表格1[[#This Row],[SRP]]</f>
        <v>0.7397769516728625</v>
      </c>
      <c r="U1584" s="86" t="str">
        <f>_xlfn.XLOOKUP(表格1[[#This Row],[Model]],表格3[Model-Input-Ref2],表格3[TOSHIBA/HIGHEST])</f>
        <v>Toshiba SRP</v>
      </c>
      <c r="V1584" s="86" t="s">
        <v>1640</v>
      </c>
      <c r="W1584" s="86" t="str">
        <f>_xlfn.CONCAT(表格1[[#This Row],[欄4]],表格1[[#This Row],[inv no]])</f>
        <v>DA142DA1421375</v>
      </c>
    </row>
    <row r="1585" spans="1:23" hidden="1">
      <c r="A1585" s="81">
        <v>1583</v>
      </c>
      <c r="B1585" s="81" t="s">
        <v>1470</v>
      </c>
      <c r="C1585" s="81" t="s">
        <v>1374</v>
      </c>
      <c r="D1585" s="82" t="str">
        <f ca="1">OFFSET(Roster!$A$3,MATCH(表格1[[#This Row],[Location]]&amp;" "&amp;表格1[[#This Row],[Shop]]&amp;"*",Roster!$A$4:$A$72,0),DAY(表格1[[#This Row],[date]]),1,1)</f>
        <v>Daisy</v>
      </c>
      <c r="E1585" s="81">
        <f>MONTH(表格1[[#This Row],[date]])</f>
        <v>3</v>
      </c>
      <c r="F1585" s="90">
        <v>46101</v>
      </c>
      <c r="G1585" s="81" t="str">
        <f>VLOOKUP("*"&amp;表格1[[#This Row],[Input]]&amp;"*",'Ref-List'!$B:$D,2,)</f>
        <v>IC-S19RH</v>
      </c>
      <c r="H1585" s="81" t="str">
        <f>_xlfn.XLOOKUP(表格1[[#This Row],[Model]],表格3[Model-Input-Ref2],表格3[Product Line])</f>
        <v>輕便式電磁爐7個功能</v>
      </c>
      <c r="I1585" s="81" t="str">
        <f>_xlfn.XLOOKUP(表格1[[#This Row],[Model]],表格3[Model-Input-Ref2],表格3[大小電])</f>
        <v>細電</v>
      </c>
      <c r="J1585" s="81" t="str">
        <f>_xlfn.XLOOKUP(表格1[[#This Row],[Model]],表格3[Model-Input-Ref2],表格3[Code])</f>
        <v>SDA</v>
      </c>
      <c r="K1585" s="89" t="s">
        <v>1289</v>
      </c>
      <c r="L1585" s="81">
        <v>1</v>
      </c>
      <c r="M1585" s="87">
        <v>450</v>
      </c>
      <c r="N1585" s="85">
        <f>IFERROR(表格1[[#This Row],[QTY]]*表格1[[#This Row],[Unit Price]],"-")</f>
        <v>450</v>
      </c>
      <c r="O1585" s="86" t="s">
        <v>1689</v>
      </c>
      <c r="R1585" s="86" t="str">
        <f>_xlfn.CONCAT(表格1[[#This Row],[Model]]," ",表格1[[#This Row],[inv no]])</f>
        <v>IC-S19RH DA1421444</v>
      </c>
      <c r="S1585" s="86">
        <f>_xlfn.XLOOKUP(表格1[[#This Row],[Model]],表格3[Model-Input-Ref2],表格3[SRP PRICE])</f>
        <v>638</v>
      </c>
      <c r="T1585" s="43">
        <f>表格1[[#This Row],[Unit Price]]/表格1[[#This Row],[SRP]]</f>
        <v>0.70532915360501569</v>
      </c>
      <c r="U1585" s="86" t="str">
        <f>_xlfn.XLOOKUP(表格1[[#This Row],[Model]],表格3[Model-Input-Ref2],表格3[TOSHIBA/HIGHEST])</f>
        <v>Toshiba SRP</v>
      </c>
      <c r="V1585" s="86" t="s">
        <v>1640</v>
      </c>
      <c r="W1585" s="86" t="str">
        <f>_xlfn.CONCAT(表格1[[#This Row],[欄4]],表格1[[#This Row],[inv no]])</f>
        <v>DA142DA1421444</v>
      </c>
    </row>
    <row r="1586" spans="1:23" hidden="1">
      <c r="A1586" s="81">
        <v>1584</v>
      </c>
      <c r="B1586" s="81" t="s">
        <v>1470</v>
      </c>
      <c r="C1586" s="81" t="s">
        <v>1374</v>
      </c>
      <c r="D1586" s="82" t="str">
        <f ca="1">OFFSET(Roster!$A$3,MATCH(表格1[[#This Row],[Location]]&amp;" "&amp;表格1[[#This Row],[Shop]]&amp;"*",Roster!$A$4:$A$72,0),DAY(表格1[[#This Row],[date]]),1,1)</f>
        <v>Daisy</v>
      </c>
      <c r="E1586" s="81">
        <f>MONTH(表格1[[#This Row],[date]])</f>
        <v>3</v>
      </c>
      <c r="F1586" s="90">
        <v>46101</v>
      </c>
      <c r="G1586" s="81" t="str">
        <f>VLOOKUP("*"&amp;表格1[[#This Row],[Input]]&amp;"*",'Ref-List'!$B:$D,2,)</f>
        <v>RC-10ISSHK(W)</v>
      </c>
      <c r="H1586" s="81" t="str">
        <f>_xlfn.XLOOKUP(表格1[[#This Row],[Model]],表格3[Model-Input-Ref2],表格3[Product Line])</f>
        <v>磁應電飯煲(1公升)</v>
      </c>
      <c r="I1586" s="81" t="str">
        <f>_xlfn.XLOOKUP(表格1[[#This Row],[Model]],表格3[Model-Input-Ref2],表格3[大小電])</f>
        <v>細電</v>
      </c>
      <c r="J1586" s="81" t="str">
        <f>_xlfn.XLOOKUP(表格1[[#This Row],[Model]],表格3[Model-Input-Ref2],表格3[Code])</f>
        <v>SDA</v>
      </c>
      <c r="K1586" s="89" t="s">
        <v>1286</v>
      </c>
      <c r="L1586" s="86">
        <v>1</v>
      </c>
      <c r="M1586" s="87">
        <v>898</v>
      </c>
      <c r="N1586" s="85">
        <f>IFERROR(表格1[[#This Row],[QTY]]*表格1[[#This Row],[Unit Price]],"-")</f>
        <v>898</v>
      </c>
      <c r="O1586" s="86" t="s">
        <v>1690</v>
      </c>
      <c r="R1586" s="86" t="str">
        <f>_xlfn.CONCAT(表格1[[#This Row],[Model]]," ",表格1[[#This Row],[inv no]])</f>
        <v>RC-10ISSHK(W) DA1421476</v>
      </c>
      <c r="S1586" s="86">
        <f>_xlfn.XLOOKUP(表格1[[#This Row],[Model]],表格3[Model-Input-Ref2],表格3[SRP PRICE])</f>
        <v>1188</v>
      </c>
      <c r="T1586" s="43">
        <f>表格1[[#This Row],[Unit Price]]/表格1[[#This Row],[SRP]]</f>
        <v>0.75589225589225584</v>
      </c>
      <c r="U1586" s="86" t="str">
        <f>_xlfn.XLOOKUP(表格1[[#This Row],[Model]],表格3[Model-Input-Ref2],表格3[TOSHIBA/HIGHEST])</f>
        <v>Shops Highest Price</v>
      </c>
      <c r="V1586" s="86" t="s">
        <v>1640</v>
      </c>
      <c r="W1586" s="86" t="str">
        <f>_xlfn.CONCAT(表格1[[#This Row],[欄4]],表格1[[#This Row],[inv no]])</f>
        <v>DA142DA1421476</v>
      </c>
    </row>
    <row r="1587" spans="1:23" hidden="1">
      <c r="A1587" s="81">
        <v>1585</v>
      </c>
      <c r="B1587" s="81" t="s">
        <v>1470</v>
      </c>
      <c r="C1587" s="81" t="s">
        <v>1374</v>
      </c>
      <c r="D1587" s="82" t="str">
        <f ca="1">OFFSET(Roster!$A$3,MATCH(表格1[[#This Row],[Location]]&amp;" "&amp;表格1[[#This Row],[Shop]]&amp;"*",Roster!$A$4:$A$72,0),DAY(表格1[[#This Row],[date]]),1,1)</f>
        <v>Daisy</v>
      </c>
      <c r="E1587" s="81">
        <f>MONTH(表格1[[#This Row],[date]])</f>
        <v>3</v>
      </c>
      <c r="F1587" s="90">
        <v>46101</v>
      </c>
      <c r="G1587" s="81" t="str">
        <f>VLOOKUP("*"&amp;表格1[[#This Row],[Input]]&amp;"*",'Ref-List'!$B:$D,2,)</f>
        <v>GR-A28HSZ(DS)</v>
      </c>
      <c r="H1587" s="81" t="str">
        <f>_xlfn.XLOOKUP(表格1[[#This Row],[Model]],表格3[Model-Input-Ref2],表格3[Product Line])</f>
        <v>雙門變頻式環保雪櫃231L</v>
      </c>
      <c r="I1587" s="81" t="str">
        <f>_xlfn.XLOOKUP(表格1[[#This Row],[Model]],表格3[Model-Input-Ref2],表格3[大小電])</f>
        <v>大電</v>
      </c>
      <c r="J1587" s="81" t="str">
        <f>_xlfn.XLOOKUP(表格1[[#This Row],[Model]],表格3[Model-Input-Ref2],表格3[Code])</f>
        <v>REF</v>
      </c>
      <c r="K1587" s="89" t="s">
        <v>1578</v>
      </c>
      <c r="L1587" s="81">
        <v>1</v>
      </c>
      <c r="M1587" s="87">
        <v>2388</v>
      </c>
      <c r="N1587" s="85">
        <f>IFERROR(表格1[[#This Row],[QTY]]*表格1[[#This Row],[Unit Price]],"-")</f>
        <v>2388</v>
      </c>
      <c r="O1587" s="86" t="s">
        <v>1691</v>
      </c>
      <c r="R1587" s="86" t="str">
        <f>_xlfn.CONCAT(表格1[[#This Row],[Model]]," ",表格1[[#This Row],[inv no]])</f>
        <v>GR-A28HSZ(DS) DA1421484</v>
      </c>
      <c r="S1587" s="86">
        <f>_xlfn.XLOOKUP(表格1[[#This Row],[Model]],表格3[Model-Input-Ref2],表格3[SRP PRICE])</f>
        <v>3780</v>
      </c>
      <c r="T1587" s="43">
        <f>表格1[[#This Row],[Unit Price]]/表格1[[#This Row],[SRP]]</f>
        <v>0.63174603174603172</v>
      </c>
      <c r="U1587" s="86" t="str">
        <f>_xlfn.XLOOKUP(表格1[[#This Row],[Model]],表格3[Model-Input-Ref2],表格3[TOSHIBA/HIGHEST])</f>
        <v>Shops Highest Price</v>
      </c>
      <c r="V1587" s="86" t="s">
        <v>1640</v>
      </c>
      <c r="W1587" s="86" t="str">
        <f>_xlfn.CONCAT(表格1[[#This Row],[欄4]],表格1[[#This Row],[inv no]])</f>
        <v>DA142DA1421484</v>
      </c>
    </row>
    <row r="1588" spans="1:23" hidden="1">
      <c r="A1588" s="81">
        <v>1586</v>
      </c>
      <c r="B1588" s="81" t="s">
        <v>1470</v>
      </c>
      <c r="C1588" s="81" t="s">
        <v>1374</v>
      </c>
      <c r="D1588" s="82" t="str">
        <f ca="1">OFFSET(Roster!$A$3,MATCH(表格1[[#This Row],[Location]]&amp;" "&amp;表格1[[#This Row],[Shop]]&amp;"*",Roster!$A$4:$A$72,0),DAY(表格1[[#This Row],[date]]),1,1)</f>
        <v>Daisy</v>
      </c>
      <c r="E1588" s="81">
        <f>MONTH(表格1[[#This Row],[date]])</f>
        <v>3</v>
      </c>
      <c r="F1588" s="90">
        <v>46101</v>
      </c>
      <c r="G1588" s="81" t="str">
        <f>VLOOKUP("*"&amp;表格1[[#This Row],[Input]]&amp;"*",'Ref-List'!$B:$D,2,)</f>
        <v>RAD-D300H</v>
      </c>
      <c r="H1588" s="81" t="str">
        <f>_xlfn.XLOOKUP(表格1[[#This Row],[Model]],表格3[Model-Input-Ref2],表格3[Product Line])</f>
        <v>壓縮式抽濕機 (30公升)</v>
      </c>
      <c r="I1588" s="81" t="str">
        <f>_xlfn.XLOOKUP(表格1[[#This Row],[Model]],表格3[Model-Input-Ref2],表格3[大小電])</f>
        <v>細電</v>
      </c>
      <c r="J1588" s="81" t="str">
        <f>_xlfn.XLOOKUP(表格1[[#This Row],[Model]],表格3[Model-Input-Ref2],表格3[Code])</f>
        <v>RAC</v>
      </c>
      <c r="K1588" s="89" t="s">
        <v>1252</v>
      </c>
      <c r="L1588" s="86">
        <v>1</v>
      </c>
      <c r="M1588" s="87">
        <v>2280</v>
      </c>
      <c r="N1588" s="85">
        <f>IFERROR(表格1[[#This Row],[QTY]]*表格1[[#This Row],[Unit Price]],"-")</f>
        <v>2280</v>
      </c>
      <c r="O1588" s="86" t="s">
        <v>1692</v>
      </c>
      <c r="R1588" s="86" t="str">
        <f>_xlfn.CONCAT(表格1[[#This Row],[Model]]," ",表格1[[#This Row],[inv no]])</f>
        <v>RAD-D300H DA1421506</v>
      </c>
      <c r="S1588" s="86">
        <f>_xlfn.XLOOKUP(表格1[[#This Row],[Model]],表格3[Model-Input-Ref2],表格3[SRP PRICE])</f>
        <v>3380</v>
      </c>
      <c r="T1588" s="43">
        <f>表格1[[#This Row],[Unit Price]]/表格1[[#This Row],[SRP]]</f>
        <v>0.67455621301775148</v>
      </c>
      <c r="U1588" s="86" t="str">
        <f>_xlfn.XLOOKUP(表格1[[#This Row],[Model]],表格3[Model-Input-Ref2],表格3[TOSHIBA/HIGHEST])</f>
        <v>Shops Highest Price</v>
      </c>
      <c r="V1588" s="86" t="s">
        <v>1640</v>
      </c>
      <c r="W1588" s="86" t="str">
        <f>_xlfn.CONCAT(表格1[[#This Row],[欄4]],表格1[[#This Row],[inv no]])</f>
        <v>DA142DA1421506</v>
      </c>
    </row>
    <row r="1589" spans="1:23" hidden="1">
      <c r="A1589" s="81">
        <v>1587</v>
      </c>
      <c r="B1589" s="81" t="s">
        <v>1470</v>
      </c>
      <c r="C1589" s="81" t="s">
        <v>1374</v>
      </c>
      <c r="D1589" s="82" t="str">
        <f ca="1">OFFSET(Roster!$A$3,MATCH(表格1[[#This Row],[Location]]&amp;" "&amp;表格1[[#This Row],[Shop]]&amp;"*",Roster!$A$4:$A$72,0),DAY(表格1[[#This Row],[date]]),1,1)</f>
        <v>Daisy</v>
      </c>
      <c r="E1589" s="81">
        <f>MONTH(表格1[[#This Row],[date]])</f>
        <v>3</v>
      </c>
      <c r="F1589" s="90">
        <v>46101</v>
      </c>
      <c r="G1589" s="81" t="str">
        <f>VLOOKUP("*"&amp;表格1[[#This Row],[Input]]&amp;"*",'Ref-List'!$B:$D,2,)</f>
        <v>RC-DX18T(W)</v>
      </c>
      <c r="H1589" s="81" t="str">
        <f>_xlfn.XLOOKUP(表格1[[#This Row],[Model]],表格3[Model-Input-Ref2],表格3[Product Line])</f>
        <v>真空壓力磁應電飯煲(1.8公升)</v>
      </c>
      <c r="I1589" s="81" t="str">
        <f>_xlfn.XLOOKUP(表格1[[#This Row],[Model]],表格3[Model-Input-Ref2],表格3[大小電])</f>
        <v>細電</v>
      </c>
      <c r="J1589" s="81" t="str">
        <f>_xlfn.XLOOKUP(表格1[[#This Row],[Model]],表格3[Model-Input-Ref2],表格3[Code])</f>
        <v>SDA</v>
      </c>
      <c r="K1589" s="89" t="s">
        <v>1368</v>
      </c>
      <c r="L1589" s="81">
        <v>1</v>
      </c>
      <c r="M1589" s="87">
        <v>4548</v>
      </c>
      <c r="N1589" s="85">
        <f>IFERROR(表格1[[#This Row],[QTY]]*表格1[[#This Row],[Unit Price]],"-")</f>
        <v>4548</v>
      </c>
      <c r="O1589" s="86" t="s">
        <v>1693</v>
      </c>
      <c r="R1589" s="86" t="str">
        <f>_xlfn.CONCAT(表格1[[#This Row],[Model]]," ",表格1[[#This Row],[inv no]])</f>
        <v>RC-DX18T(W) DA1421526</v>
      </c>
      <c r="S1589" s="86">
        <f>_xlfn.XLOOKUP(表格1[[#This Row],[Model]],表格3[Model-Input-Ref2],表格3[SRP PRICE])</f>
        <v>6388</v>
      </c>
      <c r="T1589" s="43">
        <f>表格1[[#This Row],[Unit Price]]/表格1[[#This Row],[SRP]]</f>
        <v>0.71195992485911086</v>
      </c>
      <c r="U1589" s="86" t="str">
        <f>_xlfn.XLOOKUP(表格1[[#This Row],[Model]],表格3[Model-Input-Ref2],表格3[TOSHIBA/HIGHEST])</f>
        <v>Toshiba SRP</v>
      </c>
      <c r="V1589" s="86" t="s">
        <v>1640</v>
      </c>
      <c r="W1589" s="86" t="str">
        <f>_xlfn.CONCAT(表格1[[#This Row],[欄4]],表格1[[#This Row],[inv no]])</f>
        <v>DA142DA1421526</v>
      </c>
    </row>
    <row r="1590" spans="1:23" hidden="1">
      <c r="A1590" s="81">
        <v>1588</v>
      </c>
      <c r="B1590" s="81" t="s">
        <v>1470</v>
      </c>
      <c r="C1590" s="81" t="s">
        <v>1374</v>
      </c>
      <c r="D1590" s="82" t="str">
        <f ca="1">OFFSET(Roster!$A$3,MATCH(表格1[[#This Row],[Location]]&amp;" "&amp;表格1[[#This Row],[Shop]]&amp;"*",Roster!$A$4:$A$72,0),DAY(表格1[[#This Row],[date]]),1,1)</f>
        <v>Daisy</v>
      </c>
      <c r="E1590" s="81">
        <f>MONTH(表格1[[#This Row],[date]])</f>
        <v>3</v>
      </c>
      <c r="F1590" s="90">
        <v>46102</v>
      </c>
      <c r="G1590" s="81" t="str">
        <f>VLOOKUP("*"&amp;表格1[[#This Row],[Input]]&amp;"*",'Ref-List'!$B:$D,2,)</f>
        <v>MM-2MM20PC(WH)</v>
      </c>
      <c r="H1590" s="81" t="str">
        <f>_xlfn.XLOOKUP(表格1[[#This Row],[Model]],表格3[Model-Input-Ref2],表格3[Product Line])</f>
        <v>旋鈕式微波爐 (20公升)</v>
      </c>
      <c r="I1590" s="81" t="str">
        <f>_xlfn.XLOOKUP(表格1[[#This Row],[Model]],表格3[Model-Input-Ref2],表格3[大小電])</f>
        <v>細電</v>
      </c>
      <c r="J1590" s="81" t="str">
        <f>_xlfn.XLOOKUP(表格1[[#This Row],[Model]],表格3[Model-Input-Ref2],表格3[Code])</f>
        <v>MCA</v>
      </c>
      <c r="K1590" s="89" t="s">
        <v>1388</v>
      </c>
      <c r="L1590" s="86">
        <v>1</v>
      </c>
      <c r="M1590" s="87">
        <v>610</v>
      </c>
      <c r="N1590" s="85">
        <f>IFERROR(表格1[[#This Row],[QTY]]*表格1[[#This Row],[Unit Price]],"-")</f>
        <v>610</v>
      </c>
      <c r="O1590" s="86" t="s">
        <v>1698</v>
      </c>
      <c r="R1590" s="86" t="str">
        <f>_xlfn.CONCAT(表格1[[#This Row],[Model]]," ",表格1[[#This Row],[inv no]])</f>
        <v>MM-2MM20PC(WH) DA1421606</v>
      </c>
      <c r="S1590" s="86">
        <f>_xlfn.XLOOKUP(表格1[[#This Row],[Model]],表格3[Model-Input-Ref2],表格3[SRP PRICE])</f>
        <v>738</v>
      </c>
      <c r="T1590" s="43">
        <f>表格1[[#This Row],[Unit Price]]/表格1[[#This Row],[SRP]]</f>
        <v>0.82655826558265577</v>
      </c>
      <c r="U1590" s="86" t="str">
        <f>_xlfn.XLOOKUP(表格1[[#This Row],[Model]],表格3[Model-Input-Ref2],表格3[TOSHIBA/HIGHEST])</f>
        <v>Toshiba SRP</v>
      </c>
      <c r="V1590" s="86" t="s">
        <v>1640</v>
      </c>
      <c r="W1590" s="86" t="str">
        <f>_xlfn.CONCAT(表格1[[#This Row],[欄4]],表格1[[#This Row],[inv no]])</f>
        <v>DA142DA1421606</v>
      </c>
    </row>
    <row r="1591" spans="1:23" hidden="1">
      <c r="A1591" s="81">
        <v>1589</v>
      </c>
      <c r="B1591" s="81" t="s">
        <v>1470</v>
      </c>
      <c r="C1591" s="81" t="s">
        <v>1374</v>
      </c>
      <c r="D1591" s="82" t="str">
        <f ca="1">OFFSET(Roster!$A$3,MATCH(表格1[[#This Row],[Location]]&amp;" "&amp;表格1[[#This Row],[Shop]]&amp;"*",Roster!$A$4:$A$72,0),DAY(表格1[[#This Row],[date]]),1,1)</f>
        <v>Daisy</v>
      </c>
      <c r="E1591" s="81">
        <f>MONTH(表格1[[#This Row],[date]])</f>
        <v>3</v>
      </c>
      <c r="F1591" s="90">
        <v>46102</v>
      </c>
      <c r="G1591" s="81" t="str">
        <f>VLOOKUP("*"&amp;表格1[[#This Row],[Input]]&amp;"*",'Ref-List'!$B:$D,2,)</f>
        <v>RAC-12G3CVRGR-HK</v>
      </c>
      <c r="H1591" s="81" t="str">
        <f>_xlfn.XLOOKUP(表格1[[#This Row],[Model]],表格3[Model-Input-Ref2],表格3[Product Line])</f>
        <v>R32變頻窗口式冷氣機 (獨立抽濕遙控</v>
      </c>
      <c r="I1591" s="81" t="str">
        <f>_xlfn.XLOOKUP(表格1[[#This Row],[Model]],表格3[Model-Input-Ref2],表格3[大小電])</f>
        <v>大電</v>
      </c>
      <c r="J1591" s="81" t="str">
        <f>_xlfn.XLOOKUP(表格1[[#This Row],[Model]],表格3[Model-Input-Ref2],表格3[Code])</f>
        <v>AC</v>
      </c>
      <c r="K1591" s="89" t="s">
        <v>1454</v>
      </c>
      <c r="L1591" s="81">
        <v>1</v>
      </c>
      <c r="M1591" s="87">
        <v>6080</v>
      </c>
      <c r="N1591" s="85">
        <f>IFERROR(表格1[[#This Row],[QTY]]*表格1[[#This Row],[Unit Price]],"-")</f>
        <v>6080</v>
      </c>
      <c r="O1591" s="86" t="s">
        <v>1699</v>
      </c>
      <c r="R1591" s="86" t="str">
        <f>_xlfn.CONCAT(表格1[[#This Row],[Model]]," ",表格1[[#This Row],[inv no]])</f>
        <v>RAC-12G3CVRGR-HK DA1421613</v>
      </c>
      <c r="S1591" s="86">
        <f>_xlfn.XLOOKUP(表格1[[#This Row],[Model]],表格3[Model-Input-Ref2],表格3[SRP PRICE])</f>
        <v>8680</v>
      </c>
      <c r="T1591" s="43">
        <f>表格1[[#This Row],[Unit Price]]/表格1[[#This Row],[SRP]]</f>
        <v>0.70046082949308752</v>
      </c>
      <c r="U1591" s="86" t="str">
        <f>_xlfn.XLOOKUP(表格1[[#This Row],[Model]],表格3[Model-Input-Ref2],表格3[TOSHIBA/HIGHEST])</f>
        <v>Toshiba SRP</v>
      </c>
      <c r="V1591" s="86" t="s">
        <v>1640</v>
      </c>
      <c r="W1591" s="86" t="str">
        <f>_xlfn.CONCAT(表格1[[#This Row],[欄4]],表格1[[#This Row],[inv no]])</f>
        <v>DA142DA1421613</v>
      </c>
    </row>
    <row r="1592" spans="1:23" hidden="1">
      <c r="A1592" s="81">
        <v>1590</v>
      </c>
      <c r="B1592" s="81" t="s">
        <v>1470</v>
      </c>
      <c r="C1592" s="81" t="s">
        <v>1374</v>
      </c>
      <c r="D1592" s="82" t="str">
        <f ca="1">OFFSET(Roster!$A$3,MATCH(表格1[[#This Row],[Location]]&amp;" "&amp;表格1[[#This Row],[Shop]]&amp;"*",Roster!$A$4:$A$72,0),DAY(表格1[[#This Row],[date]]),1,1)</f>
        <v>Daisy</v>
      </c>
      <c r="E1592" s="81">
        <f>MONTH(表格1[[#This Row],[date]])</f>
        <v>3</v>
      </c>
      <c r="F1592" s="90">
        <v>46102</v>
      </c>
      <c r="G1592" s="81" t="str">
        <f>VLOOKUP("*"&amp;表格1[[#This Row],[Input]]&amp;"*",'Ref-List'!$B:$D,2,)</f>
        <v>RAC-07G3CVG-HK</v>
      </c>
      <c r="H1592" s="81" t="str">
        <f>_xlfn.XLOOKUP(表格1[[#This Row],[Model]],表格3[Model-Input-Ref2],表格3[Product Line])</f>
        <v>3/4 匹 R32變頻窗口式冷氣機</v>
      </c>
      <c r="I1592" s="81" t="str">
        <f>_xlfn.XLOOKUP(表格1[[#This Row],[Model]],表格3[Model-Input-Ref2],表格3[大小電])</f>
        <v>大電</v>
      </c>
      <c r="J1592" s="81" t="str">
        <f>_xlfn.XLOOKUP(表格1[[#This Row],[Model]],表格3[Model-Input-Ref2],表格3[Code])</f>
        <v>AC</v>
      </c>
      <c r="K1592" s="89" t="s">
        <v>1473</v>
      </c>
      <c r="L1592" s="86">
        <v>1</v>
      </c>
      <c r="M1592" s="87">
        <v>3280</v>
      </c>
      <c r="N1592" s="85">
        <f>IFERROR(表格1[[#This Row],[QTY]]*表格1[[#This Row],[Unit Price]],"-")</f>
        <v>3280</v>
      </c>
      <c r="O1592" s="86" t="s">
        <v>1700</v>
      </c>
      <c r="R1592" s="86" t="str">
        <f>_xlfn.CONCAT(表格1[[#This Row],[Model]]," ",表格1[[#This Row],[inv no]])</f>
        <v>RAC-07G3CVG-HK DA1421612</v>
      </c>
      <c r="S1592" s="86">
        <f>_xlfn.XLOOKUP(表格1[[#This Row],[Model]],表格3[Model-Input-Ref2],表格3[SRP PRICE])</f>
        <v>4980</v>
      </c>
      <c r="T1592" s="43">
        <f>表格1[[#This Row],[Unit Price]]/表格1[[#This Row],[SRP]]</f>
        <v>0.65863453815261042</v>
      </c>
      <c r="U1592" s="86" t="str">
        <f>_xlfn.XLOOKUP(表格1[[#This Row],[Model]],表格3[Model-Input-Ref2],表格3[TOSHIBA/HIGHEST])</f>
        <v>Toshiba SRP</v>
      </c>
      <c r="V1592" s="86" t="s">
        <v>1640</v>
      </c>
      <c r="W1592" s="86" t="str">
        <f>_xlfn.CONCAT(表格1[[#This Row],[欄4]],表格1[[#This Row],[inv no]])</f>
        <v>DA142DA1421612</v>
      </c>
    </row>
    <row r="1593" spans="1:23" hidden="1">
      <c r="A1593" s="81">
        <v>1591</v>
      </c>
      <c r="B1593" s="81" t="s">
        <v>1470</v>
      </c>
      <c r="C1593" s="81" t="s">
        <v>1374</v>
      </c>
      <c r="D1593" s="82" t="str">
        <f ca="1">OFFSET(Roster!$A$3,MATCH(表格1[[#This Row],[Location]]&amp;" "&amp;表格1[[#This Row],[Shop]]&amp;"*",Roster!$A$4:$A$72,0),DAY(表格1[[#This Row],[date]]),1,1)</f>
        <v>Daisy</v>
      </c>
      <c r="E1593" s="81">
        <f>MONTH(表格1[[#This Row],[date]])</f>
        <v>3</v>
      </c>
      <c r="F1593" s="90">
        <v>46102</v>
      </c>
      <c r="G1593" s="81" t="str">
        <f>VLOOKUP("*"&amp;表格1[[#This Row],[Input]]&amp;"*",'Ref-List'!$B:$D,2,)</f>
        <v>RC-5SLIH(W)</v>
      </c>
      <c r="H1593" s="81" t="str">
        <f>_xlfn.XLOOKUP(表格1[[#This Row],[Model]],表格3[Model-Input-Ref2],表格3[Product Line])</f>
        <v>微型電腦珍珠飯煲</v>
      </c>
      <c r="I1593" s="81" t="str">
        <f>_xlfn.XLOOKUP(表格1[[#This Row],[Model]],表格3[Model-Input-Ref2],表格3[大小電])</f>
        <v>細電</v>
      </c>
      <c r="J1593" s="81" t="str">
        <f>_xlfn.XLOOKUP(表格1[[#This Row],[Model]],表格3[Model-Input-Ref2],表格3[Code])</f>
        <v>SDA</v>
      </c>
      <c r="K1593" s="89" t="s">
        <v>1264</v>
      </c>
      <c r="L1593" s="81">
        <v>1</v>
      </c>
      <c r="M1593" s="87">
        <v>568</v>
      </c>
      <c r="N1593" s="85">
        <f>IFERROR(表格1[[#This Row],[QTY]]*表格1[[#This Row],[Unit Price]],"-")</f>
        <v>568</v>
      </c>
      <c r="O1593" s="86" t="s">
        <v>1701</v>
      </c>
      <c r="R1593" s="86" t="str">
        <f>_xlfn.CONCAT(表格1[[#This Row],[Model]]," ",表格1[[#This Row],[inv no]])</f>
        <v>RC-5SLIH(W) DA1421762</v>
      </c>
      <c r="S1593" s="86">
        <f>_xlfn.XLOOKUP(表格1[[#This Row],[Model]],表格3[Model-Input-Ref2],表格3[SRP PRICE])</f>
        <v>658</v>
      </c>
      <c r="T1593" s="43">
        <f>表格1[[#This Row],[Unit Price]]/表格1[[#This Row],[SRP]]</f>
        <v>0.86322188449848025</v>
      </c>
      <c r="U1593" s="86" t="str">
        <f>_xlfn.XLOOKUP(表格1[[#This Row],[Model]],表格3[Model-Input-Ref2],表格3[TOSHIBA/HIGHEST])</f>
        <v>Toshiba SRP</v>
      </c>
      <c r="V1593" s="86" t="s">
        <v>1640</v>
      </c>
      <c r="W1593" s="86" t="str">
        <f>_xlfn.CONCAT(表格1[[#This Row],[欄4]],表格1[[#This Row],[inv no]])</f>
        <v>DA142DA1421762</v>
      </c>
    </row>
    <row r="1594" spans="1:23" hidden="1">
      <c r="A1594" s="81">
        <v>1592</v>
      </c>
      <c r="B1594" s="81" t="s">
        <v>1470</v>
      </c>
      <c r="C1594" s="81" t="s">
        <v>1374</v>
      </c>
      <c r="D1594" s="82" t="str">
        <f ca="1">OFFSET(Roster!$A$3,MATCH(表格1[[#This Row],[Location]]&amp;" "&amp;表格1[[#This Row],[Shop]]&amp;"*",Roster!$A$4:$A$72,0),DAY(表格1[[#This Row],[date]]),1,1)</f>
        <v>Daisy</v>
      </c>
      <c r="E1594" s="81">
        <f>MONTH(表格1[[#This Row],[date]])</f>
        <v>3</v>
      </c>
      <c r="F1594" s="90">
        <v>46103</v>
      </c>
      <c r="G1594" s="81" t="str">
        <f>VLOOKUP("*"&amp;表格1[[#This Row],[Input]]&amp;"*",'Ref-List'!$B:$D,2,)</f>
        <v>TP-50DRUHK(W)</v>
      </c>
      <c r="H1594" s="81" t="str">
        <f>_xlfn.XLOOKUP(表格1[[#This Row],[Model]],表格3[Model-Input-Ref2],表格3[Product Line])</f>
        <v>電熱水瓶 (5公升)</v>
      </c>
      <c r="I1594" s="81" t="str">
        <f>_xlfn.XLOOKUP(表格1[[#This Row],[Model]],表格3[Model-Input-Ref2],表格3[大小電])</f>
        <v>細電</v>
      </c>
      <c r="J1594" s="81" t="str">
        <f>_xlfn.XLOOKUP(表格1[[#This Row],[Model]],表格3[Model-Input-Ref2],表格3[Code])</f>
        <v>SDA</v>
      </c>
      <c r="K1594" s="89" t="s">
        <v>1277</v>
      </c>
      <c r="L1594" s="86">
        <v>1</v>
      </c>
      <c r="M1594" s="87">
        <v>598</v>
      </c>
      <c r="N1594" s="85">
        <f>IFERROR(表格1[[#This Row],[QTY]]*表格1[[#This Row],[Unit Price]],"-")</f>
        <v>598</v>
      </c>
      <c r="O1594" s="86" t="s">
        <v>1702</v>
      </c>
      <c r="R1594" s="86" t="str">
        <f>_xlfn.CONCAT(表格1[[#This Row],[Model]]," ",表格1[[#This Row],[inv no]])</f>
        <v>TP-50DRUHK(W) DA1421781</v>
      </c>
      <c r="S1594" s="86">
        <f>_xlfn.XLOOKUP(表格1[[#This Row],[Model]],表格3[Model-Input-Ref2],表格3[SRP PRICE])</f>
        <v>718</v>
      </c>
      <c r="T1594" s="43">
        <f>表格1[[#This Row],[Unit Price]]/表格1[[#This Row],[SRP]]</f>
        <v>0.83286908077994426</v>
      </c>
      <c r="U1594" s="86" t="str">
        <f>_xlfn.XLOOKUP(表格1[[#This Row],[Model]],表格3[Model-Input-Ref2],表格3[TOSHIBA/HIGHEST])</f>
        <v>Toshiba SRP</v>
      </c>
      <c r="V1594" s="86" t="s">
        <v>1640</v>
      </c>
      <c r="W1594" s="86" t="str">
        <f>_xlfn.CONCAT(表格1[[#This Row],[欄4]],表格1[[#This Row],[inv no]])</f>
        <v>DA142DA1421781</v>
      </c>
    </row>
    <row r="1595" spans="1:23" hidden="1">
      <c r="A1595" s="81">
        <v>1593</v>
      </c>
      <c r="B1595" s="81" t="s">
        <v>1470</v>
      </c>
      <c r="C1595" s="81" t="s">
        <v>1374</v>
      </c>
      <c r="D1595" s="82" t="str">
        <f ca="1">OFFSET(Roster!$A$3,MATCH(表格1[[#This Row],[Location]]&amp;" "&amp;表格1[[#This Row],[Shop]]&amp;"*",Roster!$A$4:$A$72,0),DAY(表格1[[#This Row],[date]]),1,1)</f>
        <v>Daisy</v>
      </c>
      <c r="E1595" s="81">
        <f>MONTH(表格1[[#This Row],[date]])</f>
        <v>3</v>
      </c>
      <c r="F1595" s="90">
        <v>46103</v>
      </c>
      <c r="G1595" s="81" t="str">
        <f>VLOOKUP("*"&amp;表格1[[#This Row],[Input]]&amp;"*",'Ref-List'!$B:$D,2,)</f>
        <v>DW-05T2-HK</v>
      </c>
      <c r="H1595" s="81" t="str">
        <f>_xlfn.XLOOKUP(表格1[[#This Row],[Model]],表格3[Model-Input-Ref2],表格3[Product Line])</f>
        <v>座檯式洗碗碟機</v>
      </c>
      <c r="I1595" s="81" t="str">
        <f>_xlfn.XLOOKUP(表格1[[#This Row],[Model]],表格3[Model-Input-Ref2],表格3[大小電])</f>
        <v>細電</v>
      </c>
      <c r="J1595" s="81" t="str">
        <f>_xlfn.XLOOKUP(表格1[[#This Row],[Model]],表格3[Model-Input-Ref2],表格3[Code])</f>
        <v>DW</v>
      </c>
      <c r="K1595" s="89" t="s">
        <v>1475</v>
      </c>
      <c r="L1595" s="81">
        <v>1</v>
      </c>
      <c r="M1595" s="87">
        <v>3499</v>
      </c>
      <c r="N1595" s="85">
        <f>IFERROR(表格1[[#This Row],[QTY]]*表格1[[#This Row],[Unit Price]],"-")</f>
        <v>3499</v>
      </c>
      <c r="O1595" s="86" t="s">
        <v>1703</v>
      </c>
      <c r="R1595" s="86" t="str">
        <f>_xlfn.CONCAT(表格1[[#This Row],[Model]]," ",表格1[[#This Row],[inv no]])</f>
        <v>DW-05T2-HK DA1421793</v>
      </c>
      <c r="S1595" s="86">
        <f>_xlfn.XLOOKUP(表格1[[#This Row],[Model]],表格3[Model-Input-Ref2],表格3[SRP PRICE])</f>
        <v>4580</v>
      </c>
      <c r="T1595" s="43">
        <f>表格1[[#This Row],[Unit Price]]/表格1[[#This Row],[SRP]]</f>
        <v>0.76397379912663754</v>
      </c>
      <c r="U1595" s="86" t="str">
        <f>_xlfn.XLOOKUP(表格1[[#This Row],[Model]],表格3[Model-Input-Ref2],表格3[TOSHIBA/HIGHEST])</f>
        <v>Toshiba SRP</v>
      </c>
      <c r="V1595" s="86" t="s">
        <v>1640</v>
      </c>
      <c r="W1595" s="86" t="str">
        <f>_xlfn.CONCAT(表格1[[#This Row],[欄4]],表格1[[#This Row],[inv no]])</f>
        <v>DA142DA1421793</v>
      </c>
    </row>
    <row r="1596" spans="1:23" hidden="1">
      <c r="A1596" s="81">
        <v>1594</v>
      </c>
      <c r="B1596" s="81" t="s">
        <v>1470</v>
      </c>
      <c r="C1596" s="81" t="s">
        <v>1374</v>
      </c>
      <c r="D1596" s="82" t="str">
        <f ca="1">OFFSET(Roster!$A$3,MATCH(表格1[[#This Row],[Location]]&amp;" "&amp;表格1[[#This Row],[Shop]]&amp;"*",Roster!$A$4:$A$72,0),DAY(表格1[[#This Row],[date]]),1,1)</f>
        <v>Daisy</v>
      </c>
      <c r="E1596" s="81">
        <f>MONTH(表格1[[#This Row],[date]])</f>
        <v>3</v>
      </c>
      <c r="F1596" s="90">
        <v>46103</v>
      </c>
      <c r="G1596" s="81" t="str">
        <f>VLOOKUP("*"&amp;表格1[[#This Row],[Input]]&amp;"*",'Ref-List'!$B:$D,2,)</f>
        <v>DW-05T2-HK</v>
      </c>
      <c r="H1596" s="81" t="str">
        <f>_xlfn.XLOOKUP(表格1[[#This Row],[Model]],表格3[Model-Input-Ref2],表格3[Product Line])</f>
        <v>座檯式洗碗碟機</v>
      </c>
      <c r="I1596" s="81" t="str">
        <f>_xlfn.XLOOKUP(表格1[[#This Row],[Model]],表格3[Model-Input-Ref2],表格3[大小電])</f>
        <v>細電</v>
      </c>
      <c r="J1596" s="81" t="str">
        <f>_xlfn.XLOOKUP(表格1[[#This Row],[Model]],表格3[Model-Input-Ref2],表格3[Code])</f>
        <v>DW</v>
      </c>
      <c r="K1596" s="89" t="s">
        <v>1475</v>
      </c>
      <c r="L1596" s="86">
        <v>1</v>
      </c>
      <c r="M1596" s="87">
        <v>3499</v>
      </c>
      <c r="N1596" s="85">
        <f>IFERROR(表格1[[#This Row],[QTY]]*表格1[[#This Row],[Unit Price]],"-")</f>
        <v>3499</v>
      </c>
      <c r="O1596" s="86" t="s">
        <v>1704</v>
      </c>
      <c r="R1596" s="86" t="str">
        <f>_xlfn.CONCAT(表格1[[#This Row],[Model]]," ",表格1[[#This Row],[inv no]])</f>
        <v>DW-05T2-HK DA1421816</v>
      </c>
      <c r="S1596" s="86">
        <f>_xlfn.XLOOKUP(表格1[[#This Row],[Model]],表格3[Model-Input-Ref2],表格3[SRP PRICE])</f>
        <v>4580</v>
      </c>
      <c r="T1596" s="43">
        <f>表格1[[#This Row],[Unit Price]]/表格1[[#This Row],[SRP]]</f>
        <v>0.76397379912663754</v>
      </c>
      <c r="U1596" s="86" t="str">
        <f>_xlfn.XLOOKUP(表格1[[#This Row],[Model]],表格3[Model-Input-Ref2],表格3[TOSHIBA/HIGHEST])</f>
        <v>Toshiba SRP</v>
      </c>
      <c r="V1596" s="86" t="s">
        <v>1640</v>
      </c>
      <c r="W1596" s="86" t="str">
        <f>_xlfn.CONCAT(表格1[[#This Row],[欄4]],表格1[[#This Row],[inv no]])</f>
        <v>DA142DA1421816</v>
      </c>
    </row>
    <row r="1597" spans="1:23" hidden="1">
      <c r="A1597" s="81">
        <v>1595</v>
      </c>
      <c r="B1597" s="81" t="s">
        <v>1470</v>
      </c>
      <c r="C1597" s="81" t="s">
        <v>1374</v>
      </c>
      <c r="D1597" s="82" t="str">
        <f ca="1">OFFSET(Roster!$A$3,MATCH(表格1[[#This Row],[Location]]&amp;" "&amp;表格1[[#This Row],[Shop]]&amp;"*",Roster!$A$4:$A$72,0),DAY(表格1[[#This Row],[date]]),1,1)</f>
        <v>Daisy</v>
      </c>
      <c r="E1597" s="81">
        <f>MONTH(表格1[[#This Row],[date]])</f>
        <v>3</v>
      </c>
      <c r="F1597" s="90">
        <v>46103</v>
      </c>
      <c r="G1597" s="81" t="str">
        <f>VLOOKUP("*"&amp;表格1[[#This Row],[Input]]&amp;"*",'Ref-List'!$B:$D,2,)</f>
        <v>RC-18AMXH(W)</v>
      </c>
      <c r="H1597" s="81" t="str">
        <f>_xlfn.XLOOKUP(表格1[[#This Row],[Model]],表格3[Model-Input-Ref2],表格3[Product Line])</f>
        <v>酵活炊電飯煲(1.8公升)</v>
      </c>
      <c r="I1597" s="81" t="str">
        <f>_xlfn.XLOOKUP(表格1[[#This Row],[Model]],表格3[Model-Input-Ref2],表格3[大小電])</f>
        <v>細電</v>
      </c>
      <c r="J1597" s="81" t="str">
        <f>_xlfn.XLOOKUP(表格1[[#This Row],[Model]],表格3[Model-Input-Ref2],表格3[Code])</f>
        <v>SDA</v>
      </c>
      <c r="K1597" s="89" t="s">
        <v>1362</v>
      </c>
      <c r="L1597" s="81">
        <v>1</v>
      </c>
      <c r="M1597" s="87">
        <v>990</v>
      </c>
      <c r="N1597" s="85">
        <f>IFERROR(表格1[[#This Row],[QTY]]*表格1[[#This Row],[Unit Price]],"-")</f>
        <v>990</v>
      </c>
      <c r="O1597" s="86" t="s">
        <v>1705</v>
      </c>
      <c r="R1597" s="86" t="str">
        <f>_xlfn.CONCAT(表格1[[#This Row],[Model]]," ",表格1[[#This Row],[inv no]])</f>
        <v>RC-18AMXH(W) DA1421831</v>
      </c>
      <c r="S1597" s="86">
        <f>_xlfn.XLOOKUP(表格1[[#This Row],[Model]],表格3[Model-Input-Ref2],表格3[SRP PRICE])</f>
        <v>1588</v>
      </c>
      <c r="T1597" s="43">
        <f>表格1[[#This Row],[Unit Price]]/表格1[[#This Row],[SRP]]</f>
        <v>0.62342569269521408</v>
      </c>
      <c r="U1597" s="86" t="str">
        <f>_xlfn.XLOOKUP(表格1[[#This Row],[Model]],表格3[Model-Input-Ref2],表格3[TOSHIBA/HIGHEST])</f>
        <v>Toshiba SRP</v>
      </c>
      <c r="V1597" s="86" t="s">
        <v>1640</v>
      </c>
      <c r="W1597" s="86" t="str">
        <f>_xlfn.CONCAT(表格1[[#This Row],[欄4]],表格1[[#This Row],[inv no]])</f>
        <v>DA142DA1421831</v>
      </c>
    </row>
    <row r="1598" spans="1:23" hidden="1">
      <c r="A1598" s="81">
        <v>1596</v>
      </c>
      <c r="B1598" s="81" t="s">
        <v>1470</v>
      </c>
      <c r="C1598" s="81" t="s">
        <v>1374</v>
      </c>
      <c r="D1598" s="82" t="str">
        <f ca="1">OFFSET(Roster!$A$3,MATCH(表格1[[#This Row],[Location]]&amp;" "&amp;表格1[[#This Row],[Shop]]&amp;"*",Roster!$A$4:$A$72,0),DAY(表格1[[#This Row],[date]]),1,1)</f>
        <v>Daisy</v>
      </c>
      <c r="E1598" s="81">
        <f>MONTH(表格1[[#This Row],[date]])</f>
        <v>3</v>
      </c>
      <c r="F1598" s="90">
        <v>46103</v>
      </c>
      <c r="G1598" s="81" t="str">
        <f>VLOOKUP("*"&amp;表格1[[#This Row],[Input]]&amp;"*",'Ref-List'!$B:$D,2,)</f>
        <v>RC-DS10K(N)</v>
      </c>
      <c r="H1598" s="81" t="str">
        <f>_xlfn.XLOOKUP(表格1[[#This Row],[Model]],表格3[Model-Input-Ref2],表格3[Product Line])</f>
        <v>IH磁應電飯煲</v>
      </c>
      <c r="I1598" s="81" t="str">
        <f>_xlfn.XLOOKUP(表格1[[#This Row],[Model]],表格3[Model-Input-Ref2],表格3[大小電])</f>
        <v>細電</v>
      </c>
      <c r="J1598" s="81" t="str">
        <f>_xlfn.XLOOKUP(表格1[[#This Row],[Model]],表格3[Model-Input-Ref2],表格3[Code])</f>
        <v>SDA</v>
      </c>
      <c r="K1598" s="89" t="s">
        <v>1633</v>
      </c>
      <c r="L1598" s="86">
        <v>1</v>
      </c>
      <c r="M1598" s="87">
        <v>3100</v>
      </c>
      <c r="N1598" s="85">
        <f>IFERROR(表格1[[#This Row],[QTY]]*表格1[[#This Row],[Unit Price]],"-")</f>
        <v>3100</v>
      </c>
      <c r="O1598" s="86" t="s">
        <v>1706</v>
      </c>
      <c r="R1598" s="86" t="str">
        <f>_xlfn.CONCAT(表格1[[#This Row],[Model]]," ",表格1[[#This Row],[inv no]])</f>
        <v>RC-DS10K(N) DA1421907</v>
      </c>
      <c r="S1598" s="86">
        <f>_xlfn.XLOOKUP(表格1[[#This Row],[Model]],表格3[Model-Input-Ref2],表格3[SRP PRICE])</f>
        <v>4588</v>
      </c>
      <c r="T1598" s="43">
        <f>表格1[[#This Row],[Unit Price]]/表格1[[#This Row],[SRP]]</f>
        <v>0.67567567567567566</v>
      </c>
      <c r="U1598" s="86" t="str">
        <f>_xlfn.XLOOKUP(表格1[[#This Row],[Model]],表格3[Model-Input-Ref2],表格3[TOSHIBA/HIGHEST])</f>
        <v>Toshiba SRP</v>
      </c>
      <c r="V1598" s="86" t="s">
        <v>1640</v>
      </c>
      <c r="W1598" s="86" t="str">
        <f>_xlfn.CONCAT(表格1[[#This Row],[欄4]],表格1[[#This Row],[inv no]])</f>
        <v>DA142DA1421907</v>
      </c>
    </row>
    <row r="1599" spans="1:23" hidden="1">
      <c r="A1599" s="81">
        <v>1597</v>
      </c>
      <c r="B1599" s="81" t="s">
        <v>1470</v>
      </c>
      <c r="C1599" s="81" t="s">
        <v>1374</v>
      </c>
      <c r="D1599" s="82" t="str">
        <f ca="1">OFFSET(Roster!$A$3,MATCH(表格1[[#This Row],[Location]]&amp;" "&amp;表格1[[#This Row],[Shop]]&amp;"*",Roster!$A$4:$A$72,0),DAY(表格1[[#This Row],[date]]),1,1)</f>
        <v>Daisy</v>
      </c>
      <c r="E1599" s="81">
        <f>MONTH(表格1[[#This Row],[date]])</f>
        <v>3</v>
      </c>
      <c r="F1599" s="90">
        <v>46103</v>
      </c>
      <c r="G1599" s="81" t="str">
        <f>VLOOKUP("*"&amp;表格1[[#This Row],[Input]]&amp;"*",'Ref-List'!$B:$D,2,)</f>
        <v>TWP-W2265THK(W)</v>
      </c>
      <c r="H1599" s="81" t="str">
        <f>_xlfn.XLOOKUP(表格1[[#This Row],[Model]],表格3[Model-Input-Ref2],表格3[Product Line])</f>
        <v>RO座檯式冷熱飲水機</v>
      </c>
      <c r="I1599" s="81" t="str">
        <f>_xlfn.XLOOKUP(表格1[[#This Row],[Model]],表格3[Model-Input-Ref2],表格3[大小電])</f>
        <v>細電</v>
      </c>
      <c r="J1599" s="81" t="str">
        <f>_xlfn.XLOOKUP(表格1[[#This Row],[Model]],表格3[Model-Input-Ref2],表格3[Code])</f>
        <v>KWH</v>
      </c>
      <c r="K1599" s="89" t="s">
        <v>1694</v>
      </c>
      <c r="L1599" s="81">
        <v>1</v>
      </c>
      <c r="M1599" s="87">
        <v>2888</v>
      </c>
      <c r="N1599" s="85">
        <f>IFERROR(表格1[[#This Row],[QTY]]*表格1[[#This Row],[Unit Price]],"-")</f>
        <v>2888</v>
      </c>
      <c r="O1599" s="86" t="s">
        <v>1707</v>
      </c>
      <c r="R1599" s="86" t="str">
        <f>_xlfn.CONCAT(表格1[[#This Row],[Model]]," ",表格1[[#This Row],[inv no]])</f>
        <v>TWP-W2265THK(W) DA1421938</v>
      </c>
      <c r="S1599" s="86">
        <f>_xlfn.XLOOKUP(表格1[[#This Row],[Model]],表格3[Model-Input-Ref2],表格3[SRP PRICE])</f>
        <v>3480</v>
      </c>
      <c r="T1599" s="43">
        <f>表格1[[#This Row],[Unit Price]]/表格1[[#This Row],[SRP]]</f>
        <v>0.8298850574712644</v>
      </c>
      <c r="U1599" s="86" t="str">
        <f>_xlfn.XLOOKUP(表格1[[#This Row],[Model]],表格3[Model-Input-Ref2],表格3[TOSHIBA/HIGHEST])</f>
        <v>Shops Highest Price</v>
      </c>
      <c r="V1599" s="86" t="s">
        <v>1640</v>
      </c>
      <c r="W1599" s="86" t="str">
        <f>_xlfn.CONCAT(表格1[[#This Row],[欄4]],表格1[[#This Row],[inv no]])</f>
        <v>DA142DA1421938</v>
      </c>
    </row>
    <row r="1600" spans="1:23" hidden="1">
      <c r="A1600" s="81">
        <v>1598</v>
      </c>
      <c r="B1600" s="81" t="s">
        <v>1470</v>
      </c>
      <c r="C1600" s="81" t="s">
        <v>1374</v>
      </c>
      <c r="D1600" s="82" t="str">
        <f ca="1">OFFSET(Roster!$A$3,MATCH(表格1[[#This Row],[Location]]&amp;" "&amp;表格1[[#This Row],[Shop]]&amp;"*",Roster!$A$4:$A$72,0),DAY(表格1[[#This Row],[date]]),1,1)</f>
        <v>Daisy</v>
      </c>
      <c r="E1600" s="81">
        <f>MONTH(表格1[[#This Row],[date]])</f>
        <v>3</v>
      </c>
      <c r="F1600" s="90">
        <v>46104</v>
      </c>
      <c r="G1600" s="81" t="str">
        <f>VLOOKUP("*"&amp;表格1[[#This Row],[Input]]&amp;"*",'Ref-List'!$B:$D,2,)</f>
        <v>RAC-09G3CVRGR-HK</v>
      </c>
      <c r="H1600" s="81" t="str">
        <f>_xlfn.XLOOKUP(表格1[[#This Row],[Model]],表格3[Model-Input-Ref2],表格3[Product Line])</f>
        <v>1 匹 R32變頻窗口式冷氣機 (獨立抽濕遙控</v>
      </c>
      <c r="I1600" s="81" t="str">
        <f>_xlfn.XLOOKUP(表格1[[#This Row],[Model]],表格3[Model-Input-Ref2],表格3[大小電])</f>
        <v>大電</v>
      </c>
      <c r="J1600" s="81" t="str">
        <f>_xlfn.XLOOKUP(表格1[[#This Row],[Model]],表格3[Model-Input-Ref2],表格3[Code])</f>
        <v>AC</v>
      </c>
      <c r="K1600" s="89" t="s">
        <v>1474</v>
      </c>
      <c r="L1600" s="86">
        <v>1</v>
      </c>
      <c r="M1600" s="87">
        <v>4300</v>
      </c>
      <c r="N1600" s="85">
        <f>IFERROR(表格1[[#This Row],[QTY]]*表格1[[#This Row],[Unit Price]],"-")</f>
        <v>4300</v>
      </c>
      <c r="O1600" s="86" t="s">
        <v>1708</v>
      </c>
      <c r="R1600" s="86" t="str">
        <f>_xlfn.CONCAT(表格1[[#This Row],[Model]]," ",表格1[[#This Row],[inv no]])</f>
        <v>RAC-09G3CVRGR-HK DA1422004</v>
      </c>
      <c r="S1600" s="86">
        <f>_xlfn.XLOOKUP(表格1[[#This Row],[Model]],表格3[Model-Input-Ref2],表格3[SRP PRICE])</f>
        <v>6980</v>
      </c>
      <c r="T1600" s="43">
        <f>表格1[[#This Row],[Unit Price]]/表格1[[#This Row],[SRP]]</f>
        <v>0.61604584527220629</v>
      </c>
      <c r="U1600" s="86" t="str">
        <f>_xlfn.XLOOKUP(表格1[[#This Row],[Model]],表格3[Model-Input-Ref2],表格3[TOSHIBA/HIGHEST])</f>
        <v>Toshiba SRP</v>
      </c>
      <c r="V1600" s="86" t="s">
        <v>1640</v>
      </c>
      <c r="W1600" s="86" t="str">
        <f>_xlfn.CONCAT(表格1[[#This Row],[欄4]],表格1[[#This Row],[inv no]])</f>
        <v>DA142DA1422004</v>
      </c>
    </row>
    <row r="1601" spans="1:23" hidden="1">
      <c r="A1601" s="81">
        <v>1599</v>
      </c>
      <c r="B1601" s="81" t="s">
        <v>1470</v>
      </c>
      <c r="C1601" s="81" t="s">
        <v>1374</v>
      </c>
      <c r="D1601" s="82" t="str">
        <f ca="1">OFFSET(Roster!$A$3,MATCH(表格1[[#This Row],[Location]]&amp;" "&amp;表格1[[#This Row],[Shop]]&amp;"*",Roster!$A$4:$A$72,0),DAY(表格1[[#This Row],[date]]),1,1)</f>
        <v>Daisy</v>
      </c>
      <c r="E1601" s="81">
        <f>MONTH(表格1[[#This Row],[date]])</f>
        <v>3</v>
      </c>
      <c r="F1601" s="90">
        <v>46104</v>
      </c>
      <c r="G1601" s="81" t="str">
        <f>VLOOKUP("*"&amp;表格1[[#This Row],[Input]]&amp;"*",'Ref-List'!$B:$D,2,)</f>
        <v>RC-DS10K(N)</v>
      </c>
      <c r="H1601" s="81" t="str">
        <f>_xlfn.XLOOKUP(表格1[[#This Row],[Model]],表格3[Model-Input-Ref2],表格3[Product Line])</f>
        <v>IH磁應電飯煲</v>
      </c>
      <c r="I1601" s="81" t="str">
        <f>_xlfn.XLOOKUP(表格1[[#This Row],[Model]],表格3[Model-Input-Ref2],表格3[大小電])</f>
        <v>細電</v>
      </c>
      <c r="J1601" s="81" t="str">
        <f>_xlfn.XLOOKUP(表格1[[#This Row],[Model]],表格3[Model-Input-Ref2],表格3[Code])</f>
        <v>SDA</v>
      </c>
      <c r="K1601" s="89" t="s">
        <v>1633</v>
      </c>
      <c r="L1601" s="81">
        <v>1</v>
      </c>
      <c r="M1601" s="87">
        <v>3100</v>
      </c>
      <c r="N1601" s="85">
        <f>IFERROR(表格1[[#This Row],[QTY]]*表格1[[#This Row],[Unit Price]],"-")</f>
        <v>3100</v>
      </c>
      <c r="O1601" s="86" t="s">
        <v>1709</v>
      </c>
      <c r="R1601" s="86" t="str">
        <f>_xlfn.CONCAT(表格1[[#This Row],[Model]]," ",表格1[[#This Row],[inv no]])</f>
        <v>RC-DS10K(N) DA1422045</v>
      </c>
      <c r="S1601" s="86">
        <f>_xlfn.XLOOKUP(表格1[[#This Row],[Model]],表格3[Model-Input-Ref2],表格3[SRP PRICE])</f>
        <v>4588</v>
      </c>
      <c r="T1601" s="43">
        <f>表格1[[#This Row],[Unit Price]]/表格1[[#This Row],[SRP]]</f>
        <v>0.67567567567567566</v>
      </c>
      <c r="U1601" s="86" t="str">
        <f>_xlfn.XLOOKUP(表格1[[#This Row],[Model]],表格3[Model-Input-Ref2],表格3[TOSHIBA/HIGHEST])</f>
        <v>Toshiba SRP</v>
      </c>
      <c r="V1601" s="86" t="s">
        <v>1640</v>
      </c>
      <c r="W1601" s="86" t="str">
        <f>_xlfn.CONCAT(表格1[[#This Row],[欄4]],表格1[[#This Row],[inv no]])</f>
        <v>DA142DA1422045</v>
      </c>
    </row>
    <row r="1602" spans="1:23" ht="16.5" hidden="1">
      <c r="A1602" s="81">
        <v>1600</v>
      </c>
      <c r="B1602" s="81" t="s">
        <v>1470</v>
      </c>
      <c r="C1602" s="81" t="s">
        <v>1374</v>
      </c>
      <c r="D1602" s="82" t="str">
        <f ca="1">OFFSET(Roster!$A$3,MATCH(表格1[[#This Row],[Location]]&amp;" "&amp;表格1[[#This Row],[Shop]]&amp;"*",Roster!$A$4:$A$72,0),DAY(表格1[[#This Row],[date]]),1,1)</f>
        <v>Daisy</v>
      </c>
      <c r="E1602" s="81">
        <f>MONTH(表格1[[#This Row],[date]])</f>
        <v>3</v>
      </c>
      <c r="F1602" s="90">
        <v>46104</v>
      </c>
      <c r="G1602" s="81" t="str">
        <f>VLOOKUP("*"&amp;表格1[[#This Row],[Input]]&amp;"*",'Ref-List'!$B:$D,2,)</f>
        <v>RC-18DRNH</v>
      </c>
      <c r="H1602" s="81" t="str">
        <f>_xlfn.XLOOKUP(表格1[[#This Row],[Model]],表格3[Model-Input-Ref2],表格3[Product Line])</f>
        <v>多功能備長炭本厚釜電飯煲1.8L</v>
      </c>
      <c r="I1602" s="81" t="str">
        <f>_xlfn.XLOOKUP(表格1[[#This Row],[Model]],表格3[Model-Input-Ref2],表格3[大小電])</f>
        <v>細電</v>
      </c>
      <c r="J1602" s="81" t="str">
        <f>_xlfn.XLOOKUP(表格1[[#This Row],[Model]],表格3[Model-Input-Ref2],表格3[Code])</f>
        <v>SDA</v>
      </c>
      <c r="K1602" s="89" t="s">
        <v>1389</v>
      </c>
      <c r="L1602" s="86">
        <v>1</v>
      </c>
      <c r="M1602" s="87">
        <v>330</v>
      </c>
      <c r="N1602" s="85">
        <f>IFERROR(表格1[[#This Row],[QTY]]*表格1[[#This Row],[Unit Price]],"-")</f>
        <v>330</v>
      </c>
      <c r="O1602" s="86" t="s">
        <v>1710</v>
      </c>
      <c r="P1602" s="141" t="s">
        <v>1696</v>
      </c>
      <c r="R1602" s="86" t="str">
        <f>_xlfn.CONCAT(表格1[[#This Row],[Model]]," ",表格1[[#This Row],[inv no]])</f>
        <v>RC-18DRNH DA1422055</v>
      </c>
      <c r="S1602" s="86">
        <f>_xlfn.XLOOKUP(表格1[[#This Row],[Model]],表格3[Model-Input-Ref2],表格3[SRP PRICE])</f>
        <v>898</v>
      </c>
      <c r="T1602" s="43">
        <f>表格1[[#This Row],[Unit Price]]/表格1[[#This Row],[SRP]]</f>
        <v>0.36748329621380849</v>
      </c>
      <c r="U1602" s="86" t="str">
        <f>_xlfn.XLOOKUP(表格1[[#This Row],[Model]],表格3[Model-Input-Ref2],表格3[TOSHIBA/HIGHEST])</f>
        <v>Toshiba SRP</v>
      </c>
      <c r="V1602" s="86" t="s">
        <v>1640</v>
      </c>
      <c r="W1602" s="86" t="str">
        <f>_xlfn.CONCAT(表格1[[#This Row],[欄4]],表格1[[#This Row],[inv no]])</f>
        <v>DA142DA1422055</v>
      </c>
    </row>
    <row r="1603" spans="1:23" hidden="1">
      <c r="A1603" s="81">
        <v>1601</v>
      </c>
      <c r="B1603" s="81" t="s">
        <v>1470</v>
      </c>
      <c r="C1603" s="81" t="s">
        <v>1374</v>
      </c>
      <c r="D1603" s="82" t="str">
        <f ca="1">OFFSET(Roster!$A$3,MATCH(表格1[[#This Row],[Location]]&amp;" "&amp;表格1[[#This Row],[Shop]]&amp;"*",Roster!$A$4:$A$72,0),DAY(表格1[[#This Row],[date]]),1,1)</f>
        <v>Daisy</v>
      </c>
      <c r="E1603" s="81">
        <f>MONTH(表格1[[#This Row],[date]])</f>
        <v>3</v>
      </c>
      <c r="F1603" s="90">
        <v>46104</v>
      </c>
      <c r="G1603" s="81" t="str">
        <f>VLOOKUP("*"&amp;表格1[[#This Row],[Input]]&amp;"*",'Ref-List'!$B:$D,2,)</f>
        <v>MS3-STQ20SC(WH)</v>
      </c>
      <c r="H1603" s="81" t="str">
        <f>_xlfn.XLOOKUP(表格1[[#This Row],[Model]],表格3[Model-Input-Ref2],表格3[Product Line])</f>
        <v>20L 智能蒸氣焗爐</v>
      </c>
      <c r="I1603" s="81" t="str">
        <f>_xlfn.XLOOKUP(表格1[[#This Row],[Model]],表格3[Model-Input-Ref2],表格3[大小電])</f>
        <v>細電</v>
      </c>
      <c r="J1603" s="81" t="str">
        <f>_xlfn.XLOOKUP(表格1[[#This Row],[Model]],表格3[Model-Input-Ref2],表格3[Code])</f>
        <v>MCA</v>
      </c>
      <c r="K1603" s="89" t="s">
        <v>1383</v>
      </c>
      <c r="L1603" s="81">
        <v>1</v>
      </c>
      <c r="M1603" s="87">
        <v>1998</v>
      </c>
      <c r="N1603" s="85">
        <f>IFERROR(表格1[[#This Row],[QTY]]*表格1[[#This Row],[Unit Price]],"-")</f>
        <v>1998</v>
      </c>
      <c r="O1603" s="86" t="s">
        <v>1711</v>
      </c>
      <c r="R1603" s="86" t="str">
        <f>_xlfn.CONCAT(表格1[[#This Row],[Model]]," ",表格1[[#This Row],[inv no]])</f>
        <v>MS3-STQ20SC(WH) DA1422057</v>
      </c>
      <c r="S1603" s="86">
        <f>_xlfn.XLOOKUP(表格1[[#This Row],[Model]],表格3[Model-Input-Ref2],表格3[SRP PRICE])</f>
        <v>2880</v>
      </c>
      <c r="T1603" s="43">
        <f>表格1[[#This Row],[Unit Price]]/表格1[[#This Row],[SRP]]</f>
        <v>0.69374999999999998</v>
      </c>
      <c r="U1603" s="86" t="str">
        <f>_xlfn.XLOOKUP(表格1[[#This Row],[Model]],表格3[Model-Input-Ref2],表格3[TOSHIBA/HIGHEST])</f>
        <v>Toshiba SRP</v>
      </c>
      <c r="V1603" s="86" t="s">
        <v>1640</v>
      </c>
      <c r="W1603" s="86" t="str">
        <f>_xlfn.CONCAT(表格1[[#This Row],[欄4]],表格1[[#This Row],[inv no]])</f>
        <v>DA142DA1422057</v>
      </c>
    </row>
    <row r="1604" spans="1:23" hidden="1">
      <c r="A1604" s="81">
        <v>1602</v>
      </c>
      <c r="B1604" s="81" t="s">
        <v>1470</v>
      </c>
      <c r="C1604" s="81" t="s">
        <v>1374</v>
      </c>
      <c r="D1604" s="82" t="str">
        <f ca="1">OFFSET(Roster!$A$3,MATCH(表格1[[#This Row],[Location]]&amp;" "&amp;表格1[[#This Row],[Shop]]&amp;"*",Roster!$A$4:$A$72,0),DAY(表格1[[#This Row],[date]]),1,1)</f>
        <v>Daisy</v>
      </c>
      <c r="E1604" s="81">
        <f>MONTH(表格1[[#This Row],[date]])</f>
        <v>3</v>
      </c>
      <c r="F1604" s="90">
        <v>46104</v>
      </c>
      <c r="G1604" s="81" t="str">
        <f>VLOOKUP("*"&amp;表格1[[#This Row],[Input]]&amp;"*",'Ref-List'!$B:$D,2,)</f>
        <v>RC-10NMFIH(WT)</v>
      </c>
      <c r="H1604" s="81" t="str">
        <f>_xlfn.XLOOKUP(表格1[[#This Row],[Model]],表格3[Model-Input-Ref2],表格3[Product Line])</f>
        <v>4毫米厚釜電飯煲1L</v>
      </c>
      <c r="I1604" s="81" t="str">
        <f>_xlfn.XLOOKUP(表格1[[#This Row],[Model]],表格3[Model-Input-Ref2],表格3[大小電])</f>
        <v>細電</v>
      </c>
      <c r="J1604" s="81" t="str">
        <f>_xlfn.XLOOKUP(表格1[[#This Row],[Model]],表格3[Model-Input-Ref2],表格3[Code])</f>
        <v>SDA</v>
      </c>
      <c r="K1604" s="89" t="s">
        <v>1244</v>
      </c>
      <c r="L1604" s="86">
        <v>1</v>
      </c>
      <c r="M1604" s="87">
        <v>708</v>
      </c>
      <c r="N1604" s="85">
        <f>IFERROR(表格1[[#This Row],[QTY]]*表格1[[#This Row],[Unit Price]],"-")</f>
        <v>708</v>
      </c>
      <c r="O1604" s="86" t="s">
        <v>1712</v>
      </c>
      <c r="R1604" s="86" t="str">
        <f>_xlfn.CONCAT(表格1[[#This Row],[Model]]," ",表格1[[#This Row],[inv no]])</f>
        <v>RC-10NMFIH(WT) DA1422076</v>
      </c>
      <c r="S1604" s="86">
        <f>_xlfn.XLOOKUP(表格1[[#This Row],[Model]],表格3[Model-Input-Ref2],表格3[SRP PRICE])</f>
        <v>898</v>
      </c>
      <c r="T1604" s="43">
        <f>表格1[[#This Row],[Unit Price]]/表格1[[#This Row],[SRP]]</f>
        <v>0.7884187082405345</v>
      </c>
      <c r="U1604" s="86" t="str">
        <f>_xlfn.XLOOKUP(表格1[[#This Row],[Model]],表格3[Model-Input-Ref2],表格3[TOSHIBA/HIGHEST])</f>
        <v>Toshiba SRP</v>
      </c>
      <c r="V1604" s="86" t="s">
        <v>1640</v>
      </c>
      <c r="W1604" s="86" t="str">
        <f>_xlfn.CONCAT(表格1[[#This Row],[欄4]],表格1[[#This Row],[inv no]])</f>
        <v>DA142DA1422076</v>
      </c>
    </row>
    <row r="1605" spans="1:23" hidden="1">
      <c r="A1605" s="81">
        <v>1603</v>
      </c>
      <c r="B1605" s="81" t="s">
        <v>1470</v>
      </c>
      <c r="C1605" s="81" t="s">
        <v>1374</v>
      </c>
      <c r="D1605" s="82" t="str">
        <f ca="1">OFFSET(Roster!$A$3,MATCH(表格1[[#This Row],[Location]]&amp;" "&amp;表格1[[#This Row],[Shop]]&amp;"*",Roster!$A$4:$A$72,0),DAY(表格1[[#This Row],[date]]),1,1)</f>
        <v>Daisy</v>
      </c>
      <c r="E1605" s="81">
        <f>MONTH(表格1[[#This Row],[date]])</f>
        <v>3</v>
      </c>
      <c r="F1605" s="90">
        <v>46104</v>
      </c>
      <c r="G1605" s="81" t="str">
        <f>VLOOKUP("*"&amp;表格1[[#This Row],[Input]]&amp;"*",'Ref-List'!$B:$D,2,)</f>
        <v>RAD-D300H</v>
      </c>
      <c r="H1605" s="81" t="str">
        <f>_xlfn.XLOOKUP(表格1[[#This Row],[Model]],表格3[Model-Input-Ref2],表格3[Product Line])</f>
        <v>壓縮式抽濕機 (30公升)</v>
      </c>
      <c r="I1605" s="81" t="str">
        <f>_xlfn.XLOOKUP(表格1[[#This Row],[Model]],表格3[Model-Input-Ref2],表格3[大小電])</f>
        <v>細電</v>
      </c>
      <c r="J1605" s="81" t="str">
        <f>_xlfn.XLOOKUP(表格1[[#This Row],[Model]],表格3[Model-Input-Ref2],表格3[Code])</f>
        <v>RAC</v>
      </c>
      <c r="K1605" s="89" t="s">
        <v>1252</v>
      </c>
      <c r="L1605" s="81">
        <v>1</v>
      </c>
      <c r="M1605" s="87">
        <v>2073</v>
      </c>
      <c r="N1605" s="85">
        <f>IFERROR(表格1[[#This Row],[QTY]]*表格1[[#This Row],[Unit Price]],"-")</f>
        <v>2073</v>
      </c>
      <c r="O1605" s="86" t="s">
        <v>1713</v>
      </c>
      <c r="R1605" s="86" t="str">
        <f>_xlfn.CONCAT(表格1[[#This Row],[Model]]," ",表格1[[#This Row],[inv no]])</f>
        <v>RAD-D300H DA1422077</v>
      </c>
      <c r="S1605" s="86">
        <f>_xlfn.XLOOKUP(表格1[[#This Row],[Model]],表格3[Model-Input-Ref2],表格3[SRP PRICE])</f>
        <v>3380</v>
      </c>
      <c r="T1605" s="43">
        <f>表格1[[#This Row],[Unit Price]]/表格1[[#This Row],[SRP]]</f>
        <v>0.61331360946745561</v>
      </c>
      <c r="U1605" s="86" t="str">
        <f>_xlfn.XLOOKUP(表格1[[#This Row],[Model]],表格3[Model-Input-Ref2],表格3[TOSHIBA/HIGHEST])</f>
        <v>Shops Highest Price</v>
      </c>
      <c r="V1605" s="86" t="s">
        <v>1640</v>
      </c>
      <c r="W1605" s="86" t="str">
        <f>_xlfn.CONCAT(表格1[[#This Row],[欄4]],表格1[[#This Row],[inv no]])</f>
        <v>DA142DA1422077</v>
      </c>
    </row>
    <row r="1606" spans="1:23" hidden="1">
      <c r="A1606" s="81">
        <v>1604</v>
      </c>
      <c r="B1606" s="81" t="s">
        <v>1470</v>
      </c>
      <c r="C1606" s="81" t="s">
        <v>1374</v>
      </c>
      <c r="D1606" s="82" t="str">
        <f ca="1">OFFSET(Roster!$A$3,MATCH(表格1[[#This Row],[Location]]&amp;" "&amp;表格1[[#This Row],[Shop]]&amp;"*",Roster!$A$4:$A$72,0),DAY(表格1[[#This Row],[date]]),1,1)</f>
        <v>Daisy</v>
      </c>
      <c r="E1606" s="81">
        <f>MONTH(表格1[[#This Row],[date]])</f>
        <v>3</v>
      </c>
      <c r="F1606" s="90">
        <v>46104</v>
      </c>
      <c r="G1606" s="81" t="str">
        <f>VLOOKUP("*"&amp;表格1[[#This Row],[Input]]&amp;"*",'Ref-List'!$B:$D,2,)</f>
        <v>TWD-T21BU95UWH(WW)</v>
      </c>
      <c r="H1606" s="81" t="str">
        <f>_xlfn.XLOOKUP(表格1[[#This Row],[Model]],表格3[Model-Input-Ref2],表格3[Product Line])</f>
        <v>470MM超薄身前置式變頻洗衣乾衣機 (洗8.5公斤 乾6公斤)</v>
      </c>
      <c r="I1606" s="81" t="str">
        <f>_xlfn.XLOOKUP(表格1[[#This Row],[Model]],表格3[Model-Input-Ref2],表格3[大小電])</f>
        <v>大電</v>
      </c>
      <c r="J1606" s="81" t="str">
        <f>_xlfn.XLOOKUP(表格1[[#This Row],[Model]],表格3[Model-Input-Ref2],表格3[Code])</f>
        <v>LAD</v>
      </c>
      <c r="K1606" s="89" t="s">
        <v>1461</v>
      </c>
      <c r="L1606" s="86">
        <v>1</v>
      </c>
      <c r="M1606" s="87">
        <v>4080</v>
      </c>
      <c r="N1606" s="85">
        <f>IFERROR(表格1[[#This Row],[QTY]]*表格1[[#This Row],[Unit Price]],"-")</f>
        <v>4080</v>
      </c>
      <c r="O1606" s="86" t="s">
        <v>1714</v>
      </c>
      <c r="R1606" s="86" t="str">
        <f>_xlfn.CONCAT(表格1[[#This Row],[Model]]," ",表格1[[#This Row],[inv no]])</f>
        <v>TWD-T21BU95UWH(WW) DA1422083</v>
      </c>
      <c r="S1606" s="86">
        <f>_xlfn.XLOOKUP(表格1[[#This Row],[Model]],表格3[Model-Input-Ref2],表格3[SRP PRICE])</f>
        <v>7280</v>
      </c>
      <c r="T1606" s="43">
        <f>表格1[[#This Row],[Unit Price]]/表格1[[#This Row],[SRP]]</f>
        <v>0.56043956043956045</v>
      </c>
      <c r="U1606" s="86" t="str">
        <f>_xlfn.XLOOKUP(表格1[[#This Row],[Model]],表格3[Model-Input-Ref2],表格3[TOSHIBA/HIGHEST])</f>
        <v>Toshiba SRP</v>
      </c>
      <c r="V1606" s="86" t="s">
        <v>1640</v>
      </c>
      <c r="W1606" s="86" t="str">
        <f>_xlfn.CONCAT(表格1[[#This Row],[欄4]],表格1[[#This Row],[inv no]])</f>
        <v>DA142DA1422083</v>
      </c>
    </row>
    <row r="1607" spans="1:23" hidden="1">
      <c r="A1607" s="81">
        <v>1605</v>
      </c>
      <c r="B1607" s="81" t="s">
        <v>1470</v>
      </c>
      <c r="C1607" s="81" t="s">
        <v>1374</v>
      </c>
      <c r="D1607" s="82" t="str">
        <f ca="1">OFFSET(Roster!$A$3,MATCH(表格1[[#This Row],[Location]]&amp;" "&amp;表格1[[#This Row],[Shop]]&amp;"*",Roster!$A$4:$A$72,0),DAY(表格1[[#This Row],[date]]),1,1)</f>
        <v>Daisy</v>
      </c>
      <c r="E1607" s="81">
        <f>MONTH(表格1[[#This Row],[date]])</f>
        <v>3</v>
      </c>
      <c r="F1607" s="90">
        <v>46104</v>
      </c>
      <c r="G1607" s="81" t="str">
        <f>VLOOKUP("*"&amp;表格1[[#This Row],[Input]]&amp;"*",'Ref-List'!$B:$D,2,)</f>
        <v>GR-RM598WE-PGA(B3)</v>
      </c>
      <c r="H1607" s="81" t="str">
        <f>_xlfn.XLOOKUP(表格1[[#This Row],[Model]],表格3[Model-Input-Ref2],表格3[Product Line])</f>
        <v>變頻六門雪櫃(451L)</v>
      </c>
      <c r="I1607" s="81" t="str">
        <f>_xlfn.XLOOKUP(表格1[[#This Row],[Model]],表格3[Model-Input-Ref2],表格3[大小電])</f>
        <v>大電</v>
      </c>
      <c r="J1607" s="81" t="str">
        <f>_xlfn.XLOOKUP(表格1[[#This Row],[Model]],表格3[Model-Input-Ref2],表格3[Code])</f>
        <v>REF</v>
      </c>
      <c r="K1607" s="89" t="s">
        <v>1491</v>
      </c>
      <c r="L1607" s="81">
        <v>1</v>
      </c>
      <c r="M1607" s="87">
        <v>9600</v>
      </c>
      <c r="N1607" s="85">
        <f>IFERROR(表格1[[#This Row],[QTY]]*表格1[[#This Row],[Unit Price]],"-")</f>
        <v>9600</v>
      </c>
      <c r="O1607" s="86" t="s">
        <v>1715</v>
      </c>
      <c r="R1607" s="86" t="str">
        <f>_xlfn.CONCAT(表格1[[#This Row],[Model]]," ",表格1[[#This Row],[inv no]])</f>
        <v>GR-RM598WE-PGA(B3) DA1422084</v>
      </c>
      <c r="S1607" s="86">
        <f>_xlfn.XLOOKUP(表格1[[#This Row],[Model]],表格3[Model-Input-Ref2],表格3[SRP PRICE])</f>
        <v>14980</v>
      </c>
      <c r="T1607" s="43">
        <f>表格1[[#This Row],[Unit Price]]/表格1[[#This Row],[SRP]]</f>
        <v>0.64085447263017359</v>
      </c>
      <c r="U1607" s="86" t="str">
        <f>_xlfn.XLOOKUP(表格1[[#This Row],[Model]],表格3[Model-Input-Ref2],表格3[TOSHIBA/HIGHEST])</f>
        <v>Toshiba SRP</v>
      </c>
      <c r="V1607" s="86" t="s">
        <v>1640</v>
      </c>
      <c r="W1607" s="86" t="str">
        <f>_xlfn.CONCAT(表格1[[#This Row],[欄4]],表格1[[#This Row],[inv no]])</f>
        <v>DA142DA1422084</v>
      </c>
    </row>
    <row r="1608" spans="1:23" hidden="1">
      <c r="A1608" s="81">
        <v>1606</v>
      </c>
      <c r="B1608" s="81" t="s">
        <v>1470</v>
      </c>
      <c r="C1608" s="81" t="s">
        <v>1374</v>
      </c>
      <c r="D1608" s="82" t="str">
        <f ca="1">OFFSET(Roster!$A$3,MATCH(表格1[[#This Row],[Location]]&amp;" "&amp;表格1[[#This Row],[Shop]]&amp;"*",Roster!$A$4:$A$72,0),DAY(表格1[[#This Row],[date]]),1,1)</f>
        <v>Daisy</v>
      </c>
      <c r="E1608" s="81">
        <f>MONTH(表格1[[#This Row],[date]])</f>
        <v>3</v>
      </c>
      <c r="F1608" s="90">
        <v>46105</v>
      </c>
      <c r="G1608" s="81" t="str">
        <f>VLOOKUP("*"&amp;表格1[[#This Row],[Input]]&amp;"*",'Ref-List'!$B:$D,2,)</f>
        <v>MM-2MM20PC(WH)</v>
      </c>
      <c r="H1608" s="81" t="str">
        <f>_xlfn.XLOOKUP(表格1[[#This Row],[Model]],表格3[Model-Input-Ref2],表格3[Product Line])</f>
        <v>旋鈕式微波爐 (20公升)</v>
      </c>
      <c r="I1608" s="81" t="str">
        <f>_xlfn.XLOOKUP(表格1[[#This Row],[Model]],表格3[Model-Input-Ref2],表格3[大小電])</f>
        <v>細電</v>
      </c>
      <c r="J1608" s="81" t="str">
        <f>_xlfn.XLOOKUP(表格1[[#This Row],[Model]],表格3[Model-Input-Ref2],表格3[Code])</f>
        <v>MCA</v>
      </c>
      <c r="K1608" s="89" t="s">
        <v>1388</v>
      </c>
      <c r="L1608" s="86">
        <v>1</v>
      </c>
      <c r="M1608" s="87">
        <v>610</v>
      </c>
      <c r="N1608" s="85">
        <f>IFERROR(表格1[[#This Row],[QTY]]*表格1[[#This Row],[Unit Price]],"-")</f>
        <v>610</v>
      </c>
      <c r="O1608" s="86" t="s">
        <v>1716</v>
      </c>
      <c r="R1608" s="86" t="str">
        <f>_xlfn.CONCAT(表格1[[#This Row],[Model]]," ",表格1[[#This Row],[inv no]])</f>
        <v>MM-2MM20PC(WH) DA1422120</v>
      </c>
      <c r="S1608" s="86">
        <f>_xlfn.XLOOKUP(表格1[[#This Row],[Model]],表格3[Model-Input-Ref2],表格3[SRP PRICE])</f>
        <v>738</v>
      </c>
      <c r="T1608" s="43">
        <f>表格1[[#This Row],[Unit Price]]/表格1[[#This Row],[SRP]]</f>
        <v>0.82655826558265577</v>
      </c>
      <c r="U1608" s="86" t="str">
        <f>_xlfn.XLOOKUP(表格1[[#This Row],[Model]],表格3[Model-Input-Ref2],表格3[TOSHIBA/HIGHEST])</f>
        <v>Toshiba SRP</v>
      </c>
      <c r="V1608" s="86" t="s">
        <v>1640</v>
      </c>
      <c r="W1608" s="86" t="str">
        <f>_xlfn.CONCAT(表格1[[#This Row],[欄4]],表格1[[#This Row],[inv no]])</f>
        <v>DA142DA1422120</v>
      </c>
    </row>
    <row r="1609" spans="1:23" hidden="1">
      <c r="A1609" s="81">
        <v>1607</v>
      </c>
      <c r="B1609" s="81" t="s">
        <v>1470</v>
      </c>
      <c r="C1609" s="81" t="s">
        <v>1374</v>
      </c>
      <c r="D1609" s="82" t="str">
        <f ca="1">OFFSET(Roster!$A$3,MATCH(表格1[[#This Row],[Location]]&amp;" "&amp;表格1[[#This Row],[Shop]]&amp;"*",Roster!$A$4:$A$72,0),DAY(表格1[[#This Row],[date]]),1,1)</f>
        <v>Daisy</v>
      </c>
      <c r="E1609" s="81">
        <f>MONTH(表格1[[#This Row],[date]])</f>
        <v>3</v>
      </c>
      <c r="F1609" s="90">
        <v>46105</v>
      </c>
      <c r="G1609" s="81" t="str">
        <f>VLOOKUP("*"&amp;表格1[[#This Row],[Input]]&amp;"*",'Ref-List'!$B:$D,2,)</f>
        <v>RC-7HMH</v>
      </c>
      <c r="H1609" s="81" t="str">
        <f>_xlfn.XLOOKUP(表格1[[#This Row],[Model]],表格3[Model-Input-Ref2],表格3[Product Line])</f>
        <v>備長炭本厚釜電飯煲0.7L</v>
      </c>
      <c r="I1609" s="81" t="str">
        <f>_xlfn.XLOOKUP(表格1[[#This Row],[Model]],表格3[Model-Input-Ref2],表格3[大小電])</f>
        <v>細電</v>
      </c>
      <c r="J1609" s="81" t="str">
        <f>_xlfn.XLOOKUP(表格1[[#This Row],[Model]],表格3[Model-Input-Ref2],表格3[Code])</f>
        <v>SDA</v>
      </c>
      <c r="K1609" s="89" t="s">
        <v>1284</v>
      </c>
      <c r="L1609" s="81">
        <v>1</v>
      </c>
      <c r="M1609" s="87">
        <v>788</v>
      </c>
      <c r="N1609" s="85">
        <f>IFERROR(表格1[[#This Row],[QTY]]*表格1[[#This Row],[Unit Price]],"-")</f>
        <v>788</v>
      </c>
      <c r="O1609" s="86" t="s">
        <v>1717</v>
      </c>
      <c r="R1609" s="86" t="str">
        <f>_xlfn.CONCAT(表格1[[#This Row],[Model]]," ",表格1[[#This Row],[inv no]])</f>
        <v>RC-7HMH DA1422147</v>
      </c>
      <c r="S1609" s="86">
        <f>_xlfn.XLOOKUP(表格1[[#This Row],[Model]],表格3[Model-Input-Ref2],表格3[SRP PRICE])</f>
        <v>1288</v>
      </c>
      <c r="T1609" s="43">
        <f>表格1[[#This Row],[Unit Price]]/表格1[[#This Row],[SRP]]</f>
        <v>0.61180124223602483</v>
      </c>
      <c r="U1609" s="86" t="str">
        <f>_xlfn.XLOOKUP(表格1[[#This Row],[Model]],表格3[Model-Input-Ref2],表格3[TOSHIBA/HIGHEST])</f>
        <v>Toshiba SRP</v>
      </c>
      <c r="V1609" s="86" t="s">
        <v>1640</v>
      </c>
      <c r="W1609" s="86" t="str">
        <f>_xlfn.CONCAT(表格1[[#This Row],[欄4]],表格1[[#This Row],[inv no]])</f>
        <v>DA142DA1422147</v>
      </c>
    </row>
    <row r="1610" spans="1:23" hidden="1">
      <c r="A1610" s="81">
        <v>1608</v>
      </c>
      <c r="B1610" s="81" t="s">
        <v>1470</v>
      </c>
      <c r="C1610" s="81" t="s">
        <v>1374</v>
      </c>
      <c r="D1610" s="82" t="str">
        <f ca="1">OFFSET(Roster!$A$3,MATCH(表格1[[#This Row],[Location]]&amp;" "&amp;表格1[[#This Row],[Shop]]&amp;"*",Roster!$A$4:$A$72,0),DAY(表格1[[#This Row],[date]]),1,1)</f>
        <v>Daisy</v>
      </c>
      <c r="E1610" s="81">
        <f>MONTH(表格1[[#This Row],[date]])</f>
        <v>3</v>
      </c>
      <c r="F1610" s="90">
        <v>46105</v>
      </c>
      <c r="G1610" s="81" t="str">
        <f>VLOOKUP("*"&amp;表格1[[#This Row],[Input]]&amp;"*",'Ref-List'!$B:$D,2,)</f>
        <v>TP-50DRUHK(W)</v>
      </c>
      <c r="H1610" s="81" t="str">
        <f>_xlfn.XLOOKUP(表格1[[#This Row],[Model]],表格3[Model-Input-Ref2],表格3[Product Line])</f>
        <v>電熱水瓶 (5公升)</v>
      </c>
      <c r="I1610" s="81" t="str">
        <f>_xlfn.XLOOKUP(表格1[[#This Row],[Model]],表格3[Model-Input-Ref2],表格3[大小電])</f>
        <v>細電</v>
      </c>
      <c r="J1610" s="81" t="str">
        <f>_xlfn.XLOOKUP(表格1[[#This Row],[Model]],表格3[Model-Input-Ref2],表格3[Code])</f>
        <v>SDA</v>
      </c>
      <c r="K1610" s="89" t="s">
        <v>1277</v>
      </c>
      <c r="L1610" s="86">
        <v>1</v>
      </c>
      <c r="M1610" s="87">
        <v>598</v>
      </c>
      <c r="N1610" s="85">
        <f>IFERROR(表格1[[#This Row],[QTY]]*表格1[[#This Row],[Unit Price]],"-")</f>
        <v>598</v>
      </c>
      <c r="O1610" s="86" t="s">
        <v>1718</v>
      </c>
      <c r="R1610" s="86" t="str">
        <f>_xlfn.CONCAT(表格1[[#This Row],[Model]]," ",表格1[[#This Row],[inv no]])</f>
        <v>TP-50DRUHK(W) DA1422158</v>
      </c>
      <c r="S1610" s="86">
        <f>_xlfn.XLOOKUP(表格1[[#This Row],[Model]],表格3[Model-Input-Ref2],表格3[SRP PRICE])</f>
        <v>718</v>
      </c>
      <c r="T1610" s="43">
        <f>表格1[[#This Row],[Unit Price]]/表格1[[#This Row],[SRP]]</f>
        <v>0.83286908077994426</v>
      </c>
      <c r="U1610" s="86" t="str">
        <f>_xlfn.XLOOKUP(表格1[[#This Row],[Model]],表格3[Model-Input-Ref2],表格3[TOSHIBA/HIGHEST])</f>
        <v>Toshiba SRP</v>
      </c>
      <c r="V1610" s="86" t="s">
        <v>1640</v>
      </c>
      <c r="W1610" s="86" t="str">
        <f>_xlfn.CONCAT(表格1[[#This Row],[欄4]],表格1[[#This Row],[inv no]])</f>
        <v>DA142DA1422158</v>
      </c>
    </row>
    <row r="1611" spans="1:23" hidden="1">
      <c r="A1611" s="81">
        <v>1609</v>
      </c>
      <c r="B1611" s="81" t="s">
        <v>1470</v>
      </c>
      <c r="C1611" s="81" t="s">
        <v>1374</v>
      </c>
      <c r="D1611" s="82" t="str">
        <f ca="1">OFFSET(Roster!$A$3,MATCH(表格1[[#This Row],[Location]]&amp;" "&amp;表格1[[#This Row],[Shop]]&amp;"*",Roster!$A$4:$A$72,0),DAY(表格1[[#This Row],[date]]),1,1)</f>
        <v>Daisy</v>
      </c>
      <c r="E1611" s="81">
        <f>MONTH(表格1[[#This Row],[date]])</f>
        <v>3</v>
      </c>
      <c r="F1611" s="90">
        <v>46105</v>
      </c>
      <c r="G1611" s="81" t="str">
        <f>VLOOKUP("*"&amp;表格1[[#This Row],[Input]]&amp;"*",'Ref-List'!$B:$D,2,)</f>
        <v>RAD-D300H</v>
      </c>
      <c r="H1611" s="81" t="str">
        <f>_xlfn.XLOOKUP(表格1[[#This Row],[Model]],表格3[Model-Input-Ref2],表格3[Product Line])</f>
        <v>壓縮式抽濕機 (30公升)</v>
      </c>
      <c r="I1611" s="81" t="str">
        <f>_xlfn.XLOOKUP(表格1[[#This Row],[Model]],表格3[Model-Input-Ref2],表格3[大小電])</f>
        <v>細電</v>
      </c>
      <c r="J1611" s="81" t="str">
        <f>_xlfn.XLOOKUP(表格1[[#This Row],[Model]],表格3[Model-Input-Ref2],表格3[Code])</f>
        <v>RAC</v>
      </c>
      <c r="K1611" s="89" t="s">
        <v>1252</v>
      </c>
      <c r="L1611" s="81">
        <v>1</v>
      </c>
      <c r="M1611" s="87">
        <v>2080</v>
      </c>
      <c r="N1611" s="85">
        <f>IFERROR(表格1[[#This Row],[QTY]]*表格1[[#This Row],[Unit Price]],"-")</f>
        <v>2080</v>
      </c>
      <c r="O1611" s="86" t="s">
        <v>1719</v>
      </c>
      <c r="R1611" s="86" t="str">
        <f>_xlfn.CONCAT(表格1[[#This Row],[Model]]," ",表格1[[#This Row],[inv no]])</f>
        <v>RAD-D300H DA1422167</v>
      </c>
      <c r="S1611" s="86">
        <f>_xlfn.XLOOKUP(表格1[[#This Row],[Model]],表格3[Model-Input-Ref2],表格3[SRP PRICE])</f>
        <v>3380</v>
      </c>
      <c r="T1611" s="43">
        <f>表格1[[#This Row],[Unit Price]]/表格1[[#This Row],[SRP]]</f>
        <v>0.61538461538461542</v>
      </c>
      <c r="U1611" s="86" t="str">
        <f>_xlfn.XLOOKUP(表格1[[#This Row],[Model]],表格3[Model-Input-Ref2],表格3[TOSHIBA/HIGHEST])</f>
        <v>Shops Highest Price</v>
      </c>
      <c r="V1611" s="86" t="s">
        <v>1640</v>
      </c>
      <c r="W1611" s="86" t="str">
        <f>_xlfn.CONCAT(表格1[[#This Row],[欄4]],表格1[[#This Row],[inv no]])</f>
        <v>DA142DA1422167</v>
      </c>
    </row>
    <row r="1612" spans="1:23" hidden="1">
      <c r="A1612" s="81">
        <v>1610</v>
      </c>
      <c r="B1612" s="81" t="s">
        <v>1470</v>
      </c>
      <c r="C1612" s="81" t="s">
        <v>1374</v>
      </c>
      <c r="D1612" s="82" t="str">
        <f ca="1">OFFSET(Roster!$A$3,MATCH(表格1[[#This Row],[Location]]&amp;" "&amp;表格1[[#This Row],[Shop]]&amp;"*",Roster!$A$4:$A$72,0),DAY(表格1[[#This Row],[date]]),1,1)</f>
        <v>Daisy</v>
      </c>
      <c r="E1612" s="81">
        <f>MONTH(表格1[[#This Row],[date]])</f>
        <v>3</v>
      </c>
      <c r="F1612" s="90">
        <v>46106</v>
      </c>
      <c r="G1612" s="81" t="str">
        <f>VLOOKUP("*"&amp;表格1[[#This Row],[Input]]&amp;"*",'Ref-List'!$B:$D,2,)</f>
        <v>RC-5SLIH(W)</v>
      </c>
      <c r="H1612" s="81" t="str">
        <f>_xlfn.XLOOKUP(表格1[[#This Row],[Model]],表格3[Model-Input-Ref2],表格3[Product Line])</f>
        <v>微型電腦珍珠飯煲</v>
      </c>
      <c r="I1612" s="81" t="str">
        <f>_xlfn.XLOOKUP(表格1[[#This Row],[Model]],表格3[Model-Input-Ref2],表格3[大小電])</f>
        <v>細電</v>
      </c>
      <c r="J1612" s="81" t="str">
        <f>_xlfn.XLOOKUP(表格1[[#This Row],[Model]],表格3[Model-Input-Ref2],表格3[Code])</f>
        <v>SDA</v>
      </c>
      <c r="K1612" s="89" t="s">
        <v>1264</v>
      </c>
      <c r="L1612" s="86">
        <v>1</v>
      </c>
      <c r="M1612" s="87">
        <v>568</v>
      </c>
      <c r="N1612" s="85">
        <f>IFERROR(表格1[[#This Row],[QTY]]*表格1[[#This Row],[Unit Price]],"-")</f>
        <v>568</v>
      </c>
      <c r="O1612" s="86" t="s">
        <v>1720</v>
      </c>
      <c r="R1612" s="86" t="str">
        <f>_xlfn.CONCAT(表格1[[#This Row],[Model]]," ",表格1[[#This Row],[inv no]])</f>
        <v>RC-5SLIH(W) DA1422219</v>
      </c>
      <c r="S1612" s="86">
        <f>_xlfn.XLOOKUP(表格1[[#This Row],[Model]],表格3[Model-Input-Ref2],表格3[SRP PRICE])</f>
        <v>658</v>
      </c>
      <c r="T1612" s="43">
        <f>表格1[[#This Row],[Unit Price]]/表格1[[#This Row],[SRP]]</f>
        <v>0.86322188449848025</v>
      </c>
      <c r="U1612" s="86" t="str">
        <f>_xlfn.XLOOKUP(表格1[[#This Row],[Model]],表格3[Model-Input-Ref2],表格3[TOSHIBA/HIGHEST])</f>
        <v>Toshiba SRP</v>
      </c>
      <c r="V1612" s="86" t="s">
        <v>1640</v>
      </c>
      <c r="W1612" s="86" t="str">
        <f>_xlfn.CONCAT(表格1[[#This Row],[欄4]],表格1[[#This Row],[inv no]])</f>
        <v>DA142DA1422219</v>
      </c>
    </row>
    <row r="1613" spans="1:23" hidden="1">
      <c r="A1613" s="81">
        <v>1611</v>
      </c>
      <c r="B1613" s="81" t="s">
        <v>1470</v>
      </c>
      <c r="C1613" s="81" t="s">
        <v>1374</v>
      </c>
      <c r="D1613" s="82" t="str">
        <f ca="1">OFFSET(Roster!$A$3,MATCH(表格1[[#This Row],[Location]]&amp;" "&amp;表格1[[#This Row],[Shop]]&amp;"*",Roster!$A$4:$A$72,0),DAY(表格1[[#This Row],[date]]),1,1)</f>
        <v>Daisy</v>
      </c>
      <c r="E1613" s="81">
        <f>MONTH(表格1[[#This Row],[date]])</f>
        <v>3</v>
      </c>
      <c r="F1613" s="90">
        <v>46106</v>
      </c>
      <c r="G1613" s="81" t="str">
        <f>VLOOKUP("*"&amp;表格1[[#This Row],[Input]]&amp;"*",'Ref-List'!$B:$D,2,)</f>
        <v>RC-10AMXH(W)</v>
      </c>
      <c r="H1613" s="81" t="str">
        <f>_xlfn.XLOOKUP(表格1[[#This Row],[Model]],表格3[Model-Input-Ref2],表格3[Product Line])</f>
        <v>酵活炊電飯煲(1.0公升)</v>
      </c>
      <c r="I1613" s="81" t="str">
        <f>_xlfn.XLOOKUP(表格1[[#This Row],[Model]],表格3[Model-Input-Ref2],表格3[大小電])</f>
        <v>細電</v>
      </c>
      <c r="J1613" s="81" t="str">
        <f>_xlfn.XLOOKUP(表格1[[#This Row],[Model]],表格3[Model-Input-Ref2],表格3[Code])</f>
        <v>SDA</v>
      </c>
      <c r="K1613" s="89" t="s">
        <v>1279</v>
      </c>
      <c r="L1613" s="81">
        <v>1</v>
      </c>
      <c r="M1613" s="87">
        <v>990</v>
      </c>
      <c r="N1613" s="85">
        <f>IFERROR(表格1[[#This Row],[QTY]]*表格1[[#This Row],[Unit Price]],"-")</f>
        <v>990</v>
      </c>
      <c r="O1613" s="86" t="s">
        <v>1721</v>
      </c>
      <c r="R1613" s="86" t="str">
        <f>_xlfn.CONCAT(表格1[[#This Row],[Model]]," ",表格1[[#This Row],[inv no]])</f>
        <v>RC-10AMXH(W) DA1422258</v>
      </c>
      <c r="S1613" s="86">
        <f>_xlfn.XLOOKUP(表格1[[#This Row],[Model]],表格3[Model-Input-Ref2],表格3[SRP PRICE])</f>
        <v>1288</v>
      </c>
      <c r="T1613" s="43">
        <f>表格1[[#This Row],[Unit Price]]/表格1[[#This Row],[SRP]]</f>
        <v>0.76863354037267084</v>
      </c>
      <c r="U1613" s="86" t="str">
        <f>_xlfn.XLOOKUP(表格1[[#This Row],[Model]],表格3[Model-Input-Ref2],表格3[TOSHIBA/HIGHEST])</f>
        <v>Toshiba SRP</v>
      </c>
      <c r="V1613" s="86" t="s">
        <v>1640</v>
      </c>
      <c r="W1613" s="86" t="str">
        <f>_xlfn.CONCAT(表格1[[#This Row],[欄4]],表格1[[#This Row],[inv no]])</f>
        <v>DA142DA1422258</v>
      </c>
    </row>
    <row r="1614" spans="1:23" hidden="1">
      <c r="A1614" s="81">
        <v>1612</v>
      </c>
      <c r="B1614" s="81" t="s">
        <v>1470</v>
      </c>
      <c r="C1614" s="81" t="s">
        <v>1374</v>
      </c>
      <c r="D1614" s="82" t="str">
        <f ca="1">OFFSET(Roster!$A$3,MATCH(表格1[[#This Row],[Location]]&amp;" "&amp;表格1[[#This Row],[Shop]]&amp;"*",Roster!$A$4:$A$72,0),DAY(表格1[[#This Row],[date]]),1,1)</f>
        <v>Daisy</v>
      </c>
      <c r="E1614" s="81">
        <f>MONTH(表格1[[#This Row],[date]])</f>
        <v>3</v>
      </c>
      <c r="F1614" s="90">
        <v>46106</v>
      </c>
      <c r="G1614" s="81" t="str">
        <f>VLOOKUP("*"&amp;表格1[[#This Row],[Input]]&amp;"*",'Ref-List'!$B:$D,2,)</f>
        <v>GR-RT234WE-PMA(57)</v>
      </c>
      <c r="H1614" s="81" t="str">
        <f>_xlfn.XLOOKUP(表格1[[#This Row],[Model]],表格3[Model-Input-Ref2],表格3[Product Line])</f>
        <v>變頻式環保雙門雪櫃（179L）</v>
      </c>
      <c r="I1614" s="81" t="str">
        <f>_xlfn.XLOOKUP(表格1[[#This Row],[Model]],表格3[Model-Input-Ref2],表格3[大小電])</f>
        <v>大電</v>
      </c>
      <c r="J1614" s="81" t="str">
        <f>_xlfn.XLOOKUP(表格1[[#This Row],[Model]],表格3[Model-Input-Ref2],表格3[Code])</f>
        <v>REF</v>
      </c>
      <c r="K1614" s="89" t="s">
        <v>1423</v>
      </c>
      <c r="L1614" s="86">
        <v>1</v>
      </c>
      <c r="M1614" s="87">
        <v>1795</v>
      </c>
      <c r="N1614" s="85">
        <f>IFERROR(表格1[[#This Row],[QTY]]*表格1[[#This Row],[Unit Price]],"-")</f>
        <v>1795</v>
      </c>
      <c r="O1614" s="86" t="s">
        <v>1722</v>
      </c>
      <c r="R1614" s="86" t="str">
        <f>_xlfn.CONCAT(表格1[[#This Row],[Model]]," ",表格1[[#This Row],[inv no]])</f>
        <v>GR-RT234WE-PMA(57) DA1422358</v>
      </c>
      <c r="S1614" s="86">
        <f>_xlfn.XLOOKUP(表格1[[#This Row],[Model]],表格3[Model-Input-Ref2],表格3[SRP PRICE])</f>
        <v>3680</v>
      </c>
      <c r="T1614" s="43">
        <f>表格1[[#This Row],[Unit Price]]/表格1[[#This Row],[SRP]]</f>
        <v>0.48777173913043476</v>
      </c>
      <c r="U1614" s="86" t="str">
        <f>_xlfn.XLOOKUP(表格1[[#This Row],[Model]],表格3[Model-Input-Ref2],表格3[TOSHIBA/HIGHEST])</f>
        <v>Toshiba SRP</v>
      </c>
      <c r="V1614" s="86" t="s">
        <v>1640</v>
      </c>
      <c r="W1614" s="86" t="str">
        <f>_xlfn.CONCAT(表格1[[#This Row],[欄4]],表格1[[#This Row],[inv no]])</f>
        <v>DA142DA1422358</v>
      </c>
    </row>
    <row r="1615" spans="1:23" hidden="1">
      <c r="A1615" s="81">
        <v>1613</v>
      </c>
      <c r="B1615" s="81" t="s">
        <v>1470</v>
      </c>
      <c r="C1615" s="81" t="s">
        <v>1374</v>
      </c>
      <c r="D1615" s="82" t="str">
        <f ca="1">OFFSET(Roster!$A$3,MATCH(表格1[[#This Row],[Location]]&amp;" "&amp;表格1[[#This Row],[Shop]]&amp;"*",Roster!$A$4:$A$72,0),DAY(表格1[[#This Row],[date]]),1,1)</f>
        <v>Daisy</v>
      </c>
      <c r="E1615" s="81">
        <f>MONTH(表格1[[#This Row],[date]])</f>
        <v>3</v>
      </c>
      <c r="F1615" s="90">
        <v>46109</v>
      </c>
      <c r="G1615" s="81" t="str">
        <f>VLOOKUP("*"&amp;表格1[[#This Row],[Input]]&amp;"*",'Ref-List'!$B:$D,2,)</f>
        <v>GR-RT300WE-PMA(57)</v>
      </c>
      <c r="H1615" s="81" t="str">
        <f>_xlfn.XLOOKUP(表格1[[#This Row],[Model]],表格3[Model-Input-Ref2],表格3[Product Line])</f>
        <v>變頻式環保雙門雪櫃(233L)</v>
      </c>
      <c r="I1615" s="81" t="str">
        <f>_xlfn.XLOOKUP(表格1[[#This Row],[Model]],表格3[Model-Input-Ref2],表格3[大小電])</f>
        <v>大電</v>
      </c>
      <c r="J1615" s="81" t="str">
        <f>_xlfn.XLOOKUP(表格1[[#This Row],[Model]],表格3[Model-Input-Ref2],表格3[Code])</f>
        <v>REF</v>
      </c>
      <c r="K1615" s="89" t="s">
        <v>1462</v>
      </c>
      <c r="L1615" s="81">
        <v>1</v>
      </c>
      <c r="M1615" s="87">
        <v>2680</v>
      </c>
      <c r="N1615" s="85">
        <f>IFERROR(表格1[[#This Row],[QTY]]*表格1[[#This Row],[Unit Price]],"-")</f>
        <v>2680</v>
      </c>
      <c r="O1615" s="86" t="s">
        <v>1723</v>
      </c>
      <c r="R1615" s="86" t="str">
        <f>_xlfn.CONCAT(表格1[[#This Row],[Model]]," ",表格1[[#This Row],[inv no]])</f>
        <v>GR-RT300WE-PMA(57) DA1422402</v>
      </c>
      <c r="S1615" s="86">
        <f>_xlfn.XLOOKUP(表格1[[#This Row],[Model]],表格3[Model-Input-Ref2],表格3[SRP PRICE])</f>
        <v>4280</v>
      </c>
      <c r="T1615" s="43">
        <f>表格1[[#This Row],[Unit Price]]/表格1[[#This Row],[SRP]]</f>
        <v>0.62616822429906538</v>
      </c>
      <c r="U1615" s="86" t="str">
        <f>_xlfn.XLOOKUP(表格1[[#This Row],[Model]],表格3[Model-Input-Ref2],表格3[TOSHIBA/HIGHEST])</f>
        <v>Toshiba SRP</v>
      </c>
      <c r="V1615" s="86" t="s">
        <v>1640</v>
      </c>
      <c r="W1615" s="86" t="str">
        <f>_xlfn.CONCAT(表格1[[#This Row],[欄4]],表格1[[#This Row],[inv no]])</f>
        <v>DA142DA1422402</v>
      </c>
    </row>
    <row r="1616" spans="1:23" hidden="1">
      <c r="A1616" s="81">
        <v>1614</v>
      </c>
      <c r="B1616" s="81" t="s">
        <v>1470</v>
      </c>
      <c r="C1616" s="81" t="s">
        <v>1374</v>
      </c>
      <c r="D1616" s="82" t="str">
        <f ca="1">OFFSET(Roster!$A$3,MATCH(表格1[[#This Row],[Location]]&amp;" "&amp;表格1[[#This Row],[Shop]]&amp;"*",Roster!$A$4:$A$72,0),DAY(表格1[[#This Row],[date]]),1,1)</f>
        <v>Daisy</v>
      </c>
      <c r="E1616" s="81">
        <f>MONTH(表格1[[#This Row],[date]])</f>
        <v>3</v>
      </c>
      <c r="F1616" s="90">
        <v>46109</v>
      </c>
      <c r="G1616" s="81" t="str">
        <f>VLOOKUP("*"&amp;表格1[[#This Row],[Input]]&amp;"*",'Ref-List'!$B:$D,2,)</f>
        <v>RAC-12G3CVRGR-HK</v>
      </c>
      <c r="H1616" s="81" t="str">
        <f>_xlfn.XLOOKUP(表格1[[#This Row],[Model]],表格3[Model-Input-Ref2],表格3[Product Line])</f>
        <v>R32變頻窗口式冷氣機 (獨立抽濕遙控</v>
      </c>
      <c r="I1616" s="81" t="str">
        <f>_xlfn.XLOOKUP(表格1[[#This Row],[Model]],表格3[Model-Input-Ref2],表格3[大小電])</f>
        <v>大電</v>
      </c>
      <c r="J1616" s="81" t="str">
        <f>_xlfn.XLOOKUP(表格1[[#This Row],[Model]],表格3[Model-Input-Ref2],表格3[Code])</f>
        <v>AC</v>
      </c>
      <c r="K1616" s="89" t="s">
        <v>1454</v>
      </c>
      <c r="L1616" s="86">
        <v>1</v>
      </c>
      <c r="M1616" s="87">
        <v>5480</v>
      </c>
      <c r="N1616" s="85">
        <f>IFERROR(表格1[[#This Row],[QTY]]*表格1[[#This Row],[Unit Price]],"-")</f>
        <v>5480</v>
      </c>
      <c r="O1616" s="142" t="s">
        <v>1724</v>
      </c>
      <c r="R1616" s="86" t="str">
        <f>_xlfn.CONCAT(表格1[[#This Row],[Model]]," ",表格1[[#This Row],[inv no]])</f>
        <v>RAC-12G3CVRGR-HK DA1422431</v>
      </c>
      <c r="S1616" s="86">
        <f>_xlfn.XLOOKUP(表格1[[#This Row],[Model]],表格3[Model-Input-Ref2],表格3[SRP PRICE])</f>
        <v>8680</v>
      </c>
      <c r="T1616" s="43">
        <f>表格1[[#This Row],[Unit Price]]/表格1[[#This Row],[SRP]]</f>
        <v>0.63133640552995396</v>
      </c>
      <c r="U1616" s="86" t="str">
        <f>_xlfn.XLOOKUP(表格1[[#This Row],[Model]],表格3[Model-Input-Ref2],表格3[TOSHIBA/HIGHEST])</f>
        <v>Toshiba SRP</v>
      </c>
      <c r="V1616" s="86" t="s">
        <v>1640</v>
      </c>
      <c r="W1616" s="86" t="str">
        <f>_xlfn.CONCAT(表格1[[#This Row],[欄4]],表格1[[#This Row],[inv no]])</f>
        <v>DA142DA1422431</v>
      </c>
    </row>
    <row r="1617" spans="1:23" hidden="1">
      <c r="A1617" s="81">
        <v>1615</v>
      </c>
      <c r="B1617" s="81" t="s">
        <v>1470</v>
      </c>
      <c r="C1617" s="81" t="s">
        <v>1374</v>
      </c>
      <c r="D1617" s="82" t="str">
        <f ca="1">OFFSET(Roster!$A$3,MATCH(表格1[[#This Row],[Location]]&amp;" "&amp;表格1[[#This Row],[Shop]]&amp;"*",Roster!$A$4:$A$72,0),DAY(表格1[[#This Row],[date]]),1,1)</f>
        <v>Daisy</v>
      </c>
      <c r="E1617" s="81">
        <f>MONTH(表格1[[#This Row],[date]])</f>
        <v>3</v>
      </c>
      <c r="F1617" s="90">
        <v>46109</v>
      </c>
      <c r="G1617" s="81" t="str">
        <f>VLOOKUP("*"&amp;表格1[[#This Row],[Input]]&amp;"*",'Ref-List'!$B:$D,2,)</f>
        <v>RC-18NMFIH(WT)</v>
      </c>
      <c r="H1617" s="81" t="str">
        <f>_xlfn.XLOOKUP(表格1[[#This Row],[Model]],表格3[Model-Input-Ref2],表格3[Product Line])</f>
        <v>4毫米厚釜電飯煲1.8L</v>
      </c>
      <c r="I1617" s="81" t="str">
        <f>_xlfn.XLOOKUP(表格1[[#This Row],[Model]],表格3[Model-Input-Ref2],表格3[大小電])</f>
        <v>細電</v>
      </c>
      <c r="J1617" s="81" t="str">
        <f>_xlfn.XLOOKUP(表格1[[#This Row],[Model]],表格3[Model-Input-Ref2],表格3[Code])</f>
        <v>SDA</v>
      </c>
      <c r="K1617" s="89" t="s">
        <v>1267</v>
      </c>
      <c r="L1617" s="81">
        <v>1</v>
      </c>
      <c r="M1617" s="87">
        <v>788</v>
      </c>
      <c r="N1617" s="85">
        <f>IFERROR(表格1[[#This Row],[QTY]]*表格1[[#This Row],[Unit Price]],"-")</f>
        <v>788</v>
      </c>
      <c r="O1617" s="142" t="s">
        <v>1725</v>
      </c>
      <c r="R1617" s="86" t="str">
        <f>_xlfn.CONCAT(表格1[[#This Row],[Model]]," ",表格1[[#This Row],[inv no]])</f>
        <v>RC-18NMFIH(WT) DA1422444</v>
      </c>
      <c r="S1617" s="86">
        <f>_xlfn.XLOOKUP(表格1[[#This Row],[Model]],表格3[Model-Input-Ref2],表格3[SRP PRICE])</f>
        <v>998</v>
      </c>
      <c r="T1617" s="43">
        <f>表格1[[#This Row],[Unit Price]]/表格1[[#This Row],[SRP]]</f>
        <v>0.78957915831663328</v>
      </c>
      <c r="U1617" s="86" t="str">
        <f>_xlfn.XLOOKUP(表格1[[#This Row],[Model]],表格3[Model-Input-Ref2],表格3[TOSHIBA/HIGHEST])</f>
        <v>Toshiba SRP</v>
      </c>
      <c r="V1617" s="86" t="s">
        <v>1640</v>
      </c>
      <c r="W1617" s="86" t="str">
        <f>_xlfn.CONCAT(表格1[[#This Row],[欄4]],表格1[[#This Row],[inv no]])</f>
        <v>DA142DA1422444</v>
      </c>
    </row>
    <row r="1618" spans="1:23" hidden="1">
      <c r="A1618" s="81">
        <v>1616</v>
      </c>
      <c r="B1618" s="81" t="s">
        <v>1470</v>
      </c>
      <c r="C1618" s="81" t="s">
        <v>1374</v>
      </c>
      <c r="D1618" s="82" t="str">
        <f ca="1">OFFSET(Roster!$A$3,MATCH(表格1[[#This Row],[Location]]&amp;" "&amp;表格1[[#This Row],[Shop]]&amp;"*",Roster!$A$4:$A$72,0),DAY(表格1[[#This Row],[date]]),1,1)</f>
        <v>Daisy</v>
      </c>
      <c r="E1618" s="81">
        <f>MONTH(表格1[[#This Row],[date]])</f>
        <v>3</v>
      </c>
      <c r="F1618" s="90">
        <v>46109</v>
      </c>
      <c r="G1618" s="81" t="str">
        <f>VLOOKUP("*"&amp;表格1[[#This Row],[Input]]&amp;"*",'Ref-List'!$B:$D,2,)</f>
        <v>RC-18NMFIH(WT)</v>
      </c>
      <c r="H1618" s="81" t="str">
        <f>_xlfn.XLOOKUP(表格1[[#This Row],[Model]],表格3[Model-Input-Ref2],表格3[Product Line])</f>
        <v>4毫米厚釜電飯煲1.8L</v>
      </c>
      <c r="I1618" s="81" t="str">
        <f>_xlfn.XLOOKUP(表格1[[#This Row],[Model]],表格3[Model-Input-Ref2],表格3[大小電])</f>
        <v>細電</v>
      </c>
      <c r="J1618" s="81" t="str">
        <f>_xlfn.XLOOKUP(表格1[[#This Row],[Model]],表格3[Model-Input-Ref2],表格3[Code])</f>
        <v>SDA</v>
      </c>
      <c r="K1618" s="89" t="s">
        <v>1267</v>
      </c>
      <c r="L1618" s="86">
        <v>1</v>
      </c>
      <c r="M1618" s="87">
        <v>788</v>
      </c>
      <c r="N1618" s="85">
        <f>IFERROR(表格1[[#This Row],[QTY]]*表格1[[#This Row],[Unit Price]],"-")</f>
        <v>788</v>
      </c>
      <c r="O1618" s="142" t="s">
        <v>1726</v>
      </c>
      <c r="R1618" s="86" t="str">
        <f>_xlfn.CONCAT(表格1[[#This Row],[Model]]," ",表格1[[#This Row],[inv no]])</f>
        <v>RC-18NMFIH(WT) DA1422445</v>
      </c>
      <c r="S1618" s="86">
        <f>_xlfn.XLOOKUP(表格1[[#This Row],[Model]],表格3[Model-Input-Ref2],表格3[SRP PRICE])</f>
        <v>998</v>
      </c>
      <c r="T1618" s="43">
        <f>表格1[[#This Row],[Unit Price]]/表格1[[#This Row],[SRP]]</f>
        <v>0.78957915831663328</v>
      </c>
      <c r="U1618" s="86" t="str">
        <f>_xlfn.XLOOKUP(表格1[[#This Row],[Model]],表格3[Model-Input-Ref2],表格3[TOSHIBA/HIGHEST])</f>
        <v>Toshiba SRP</v>
      </c>
      <c r="V1618" s="86" t="s">
        <v>1640</v>
      </c>
      <c r="W1618" s="86" t="str">
        <f>_xlfn.CONCAT(表格1[[#This Row],[欄4]],表格1[[#This Row],[inv no]])</f>
        <v>DA142DA1422445</v>
      </c>
    </row>
    <row r="1619" spans="1:23" hidden="1">
      <c r="A1619" s="81">
        <v>1617</v>
      </c>
      <c r="B1619" s="81" t="s">
        <v>1470</v>
      </c>
      <c r="C1619" s="81" t="s">
        <v>1374</v>
      </c>
      <c r="D1619" s="82" t="str">
        <f ca="1">OFFSET(Roster!$A$3,MATCH(表格1[[#This Row],[Location]]&amp;" "&amp;表格1[[#This Row],[Shop]]&amp;"*",Roster!$A$4:$A$72,0),DAY(表格1[[#This Row],[date]]),1,1)</f>
        <v>Daisy</v>
      </c>
      <c r="E1619" s="81">
        <f>MONTH(表格1[[#This Row],[date]])</f>
        <v>3</v>
      </c>
      <c r="F1619" s="90">
        <v>46109</v>
      </c>
      <c r="G1619" s="81" t="str">
        <f>VLOOKUP("*"&amp;表格1[[#This Row],[Input]]&amp;"*",'Ref-List'!$B:$D,2,)</f>
        <v>RAC-18G3CVRGR-HK</v>
      </c>
      <c r="H1619" s="81" t="str">
        <f>_xlfn.XLOOKUP(表格1[[#This Row],[Model]],表格3[Model-Input-Ref2],表格3[Product Line])</f>
        <v>2 匹 R32變頻窗口式冷氣機 (remote)</v>
      </c>
      <c r="I1619" s="81" t="str">
        <f>_xlfn.XLOOKUP(表格1[[#This Row],[Model]],表格3[Model-Input-Ref2],表格3[大小電])</f>
        <v>大電</v>
      </c>
      <c r="J1619" s="81" t="str">
        <f>_xlfn.XLOOKUP(表格1[[#This Row],[Model]],表格3[Model-Input-Ref2],表格3[Code])</f>
        <v>AC</v>
      </c>
      <c r="K1619" s="89" t="s">
        <v>1471</v>
      </c>
      <c r="L1619" s="81">
        <v>1</v>
      </c>
      <c r="M1619" s="87">
        <v>6253</v>
      </c>
      <c r="N1619" s="85">
        <f>IFERROR(表格1[[#This Row],[QTY]]*表格1[[#This Row],[Unit Price]],"-")</f>
        <v>6253</v>
      </c>
      <c r="O1619" s="142" t="s">
        <v>1727</v>
      </c>
      <c r="R1619" s="86" t="str">
        <f>_xlfn.CONCAT(表格1[[#This Row],[Model]]," ",表格1[[#This Row],[inv no]])</f>
        <v>RAC-18G3CVRGR-HK DA1422483</v>
      </c>
      <c r="S1619" s="86">
        <f>_xlfn.XLOOKUP(表格1[[#This Row],[Model]],表格3[Model-Input-Ref2],表格3[SRP PRICE])</f>
        <v>10380</v>
      </c>
      <c r="T1619" s="43">
        <f>表格1[[#This Row],[Unit Price]]/表格1[[#This Row],[SRP]]</f>
        <v>0.60240847784200391</v>
      </c>
      <c r="U1619" s="86" t="str">
        <f>_xlfn.XLOOKUP(表格1[[#This Row],[Model]],表格3[Model-Input-Ref2],表格3[TOSHIBA/HIGHEST])</f>
        <v>Toshiba SRP</v>
      </c>
      <c r="V1619" s="86" t="s">
        <v>1640</v>
      </c>
      <c r="W1619" s="86" t="str">
        <f>_xlfn.CONCAT(表格1[[#This Row],[欄4]],表格1[[#This Row],[inv no]])</f>
        <v>DA142DA1422483</v>
      </c>
    </row>
    <row r="1620" spans="1:23" hidden="1">
      <c r="A1620" s="81">
        <v>1618</v>
      </c>
      <c r="B1620" s="81" t="s">
        <v>1470</v>
      </c>
      <c r="C1620" s="81" t="s">
        <v>1374</v>
      </c>
      <c r="D1620" s="82" t="str">
        <f ca="1">OFFSET(Roster!$A$3,MATCH(表格1[[#This Row],[Location]]&amp;" "&amp;表格1[[#This Row],[Shop]]&amp;"*",Roster!$A$4:$A$72,0),DAY(表格1[[#This Row],[date]]),1,1)</f>
        <v>Daisy</v>
      </c>
      <c r="E1620" s="81">
        <f>MONTH(表格1[[#This Row],[date]])</f>
        <v>3</v>
      </c>
      <c r="F1620" s="90">
        <v>46109</v>
      </c>
      <c r="G1620" s="81" t="str">
        <f>VLOOKUP("*"&amp;表格1[[#This Row],[Input]]&amp;"*",'Ref-List'!$B:$D,2,)</f>
        <v>RC-10NMFIH(WT)</v>
      </c>
      <c r="H1620" s="81" t="str">
        <f>_xlfn.XLOOKUP(表格1[[#This Row],[Model]],表格3[Model-Input-Ref2],表格3[Product Line])</f>
        <v>4毫米厚釜電飯煲1L</v>
      </c>
      <c r="I1620" s="81" t="str">
        <f>_xlfn.XLOOKUP(表格1[[#This Row],[Model]],表格3[Model-Input-Ref2],表格3[大小電])</f>
        <v>細電</v>
      </c>
      <c r="J1620" s="81" t="str">
        <f>_xlfn.XLOOKUP(表格1[[#This Row],[Model]],表格3[Model-Input-Ref2],表格3[Code])</f>
        <v>SDA</v>
      </c>
      <c r="K1620" s="89" t="s">
        <v>1244</v>
      </c>
      <c r="L1620" s="86">
        <v>1</v>
      </c>
      <c r="M1620" s="87">
        <v>708</v>
      </c>
      <c r="N1620" s="85">
        <f>IFERROR(表格1[[#This Row],[QTY]]*表格1[[#This Row],[Unit Price]],"-")</f>
        <v>708</v>
      </c>
      <c r="O1620" s="142" t="s">
        <v>1728</v>
      </c>
      <c r="R1620" s="86" t="str">
        <f>_xlfn.CONCAT(表格1[[#This Row],[Model]]," ",表格1[[#This Row],[inv no]])</f>
        <v>RC-10NMFIH(WT) DA1422545</v>
      </c>
      <c r="S1620" s="86">
        <f>_xlfn.XLOOKUP(表格1[[#This Row],[Model]],表格3[Model-Input-Ref2],表格3[SRP PRICE])</f>
        <v>898</v>
      </c>
      <c r="T1620" s="43">
        <f>表格1[[#This Row],[Unit Price]]/表格1[[#This Row],[SRP]]</f>
        <v>0.7884187082405345</v>
      </c>
      <c r="U1620" s="86" t="str">
        <f>_xlfn.XLOOKUP(表格1[[#This Row],[Model]],表格3[Model-Input-Ref2],表格3[TOSHIBA/HIGHEST])</f>
        <v>Toshiba SRP</v>
      </c>
      <c r="V1620" s="86" t="s">
        <v>1640</v>
      </c>
      <c r="W1620" s="86" t="str">
        <f>_xlfn.CONCAT(表格1[[#This Row],[欄4]],表格1[[#This Row],[inv no]])</f>
        <v>DA142DA1422545</v>
      </c>
    </row>
    <row r="1621" spans="1:23" hidden="1">
      <c r="A1621" s="81">
        <v>1619</v>
      </c>
      <c r="B1621" s="81" t="s">
        <v>1470</v>
      </c>
      <c r="C1621" s="81" t="s">
        <v>1374</v>
      </c>
      <c r="D1621" s="82" t="str">
        <f ca="1">OFFSET(Roster!$A$3,MATCH(表格1[[#This Row],[Location]]&amp;" "&amp;表格1[[#This Row],[Shop]]&amp;"*",Roster!$A$4:$A$72,0),DAY(表格1[[#This Row],[date]]),1,1)</f>
        <v>Daisy</v>
      </c>
      <c r="E1621" s="81">
        <f>MONTH(表格1[[#This Row],[date]])</f>
        <v>3</v>
      </c>
      <c r="F1621" s="90">
        <v>46109</v>
      </c>
      <c r="G1621" s="81" t="str">
        <f>VLOOKUP("*"&amp;表格1[[#This Row],[Input]]&amp;"*",'Ref-List'!$B:$D,2,)</f>
        <v>RC-DS10K(N)</v>
      </c>
      <c r="H1621" s="81" t="str">
        <f>_xlfn.XLOOKUP(表格1[[#This Row],[Model]],表格3[Model-Input-Ref2],表格3[Product Line])</f>
        <v>IH磁應電飯煲</v>
      </c>
      <c r="I1621" s="81" t="str">
        <f>_xlfn.XLOOKUP(表格1[[#This Row],[Model]],表格3[Model-Input-Ref2],表格3[大小電])</f>
        <v>細電</v>
      </c>
      <c r="J1621" s="81" t="str">
        <f>_xlfn.XLOOKUP(表格1[[#This Row],[Model]],表格3[Model-Input-Ref2],表格3[Code])</f>
        <v>SDA</v>
      </c>
      <c r="K1621" s="89" t="s">
        <v>1633</v>
      </c>
      <c r="L1621" s="81">
        <v>1</v>
      </c>
      <c r="M1621" s="87">
        <v>2980</v>
      </c>
      <c r="N1621" s="85">
        <f>IFERROR(表格1[[#This Row],[QTY]]*表格1[[#This Row],[Unit Price]],"-")</f>
        <v>2980</v>
      </c>
      <c r="O1621" s="142" t="s">
        <v>1729</v>
      </c>
      <c r="R1621" s="86" t="str">
        <f>_xlfn.CONCAT(表格1[[#This Row],[Model]]," ",表格1[[#This Row],[inv no]])</f>
        <v>RC-DS10K(N) DA1422671</v>
      </c>
      <c r="S1621" s="86">
        <f>_xlfn.XLOOKUP(表格1[[#This Row],[Model]],表格3[Model-Input-Ref2],表格3[SRP PRICE])</f>
        <v>4588</v>
      </c>
      <c r="T1621" s="43">
        <f>表格1[[#This Row],[Unit Price]]/表格1[[#This Row],[SRP]]</f>
        <v>0.64952048823016562</v>
      </c>
      <c r="U1621" s="86" t="str">
        <f>_xlfn.XLOOKUP(表格1[[#This Row],[Model]],表格3[Model-Input-Ref2],表格3[TOSHIBA/HIGHEST])</f>
        <v>Toshiba SRP</v>
      </c>
      <c r="V1621" s="86" t="s">
        <v>1640</v>
      </c>
      <c r="W1621" s="86" t="str">
        <f>_xlfn.CONCAT(表格1[[#This Row],[欄4]],表格1[[#This Row],[inv no]])</f>
        <v>DA142DA1422671</v>
      </c>
    </row>
    <row r="1622" spans="1:23" hidden="1">
      <c r="A1622" s="81">
        <v>1620</v>
      </c>
      <c r="B1622" s="81" t="s">
        <v>1470</v>
      </c>
      <c r="C1622" s="81" t="s">
        <v>1374</v>
      </c>
      <c r="D1622" s="82" t="str">
        <f ca="1">OFFSET(Roster!$A$3,MATCH(表格1[[#This Row],[Location]]&amp;" "&amp;表格1[[#This Row],[Shop]]&amp;"*",Roster!$A$4:$A$72,0),DAY(表格1[[#This Row],[date]]),1,1)</f>
        <v>Daisy</v>
      </c>
      <c r="E1622" s="81">
        <f>MONTH(表格1[[#This Row],[date]])</f>
        <v>3</v>
      </c>
      <c r="F1622" s="90">
        <v>46109</v>
      </c>
      <c r="G1622" s="81" t="str">
        <f>VLOOKUP("*"&amp;表格1[[#This Row],[Input]]&amp;"*",'Ref-List'!$B:$D,2,)</f>
        <v>RAD-D300H</v>
      </c>
      <c r="H1622" s="81" t="str">
        <f>_xlfn.XLOOKUP(表格1[[#This Row],[Model]],表格3[Model-Input-Ref2],表格3[Product Line])</f>
        <v>壓縮式抽濕機 (30公升)</v>
      </c>
      <c r="I1622" s="81" t="str">
        <f>_xlfn.XLOOKUP(表格1[[#This Row],[Model]],表格3[Model-Input-Ref2],表格3[大小電])</f>
        <v>細電</v>
      </c>
      <c r="J1622" s="81" t="str">
        <f>_xlfn.XLOOKUP(表格1[[#This Row],[Model]],表格3[Model-Input-Ref2],表格3[Code])</f>
        <v>RAC</v>
      </c>
      <c r="K1622" s="89" t="s">
        <v>1252</v>
      </c>
      <c r="L1622" s="86">
        <v>1</v>
      </c>
      <c r="M1622" s="87">
        <v>2080</v>
      </c>
      <c r="N1622" s="85">
        <f>IFERROR(表格1[[#This Row],[QTY]]*表格1[[#This Row],[Unit Price]],"-")</f>
        <v>2080</v>
      </c>
      <c r="O1622" s="142" t="s">
        <v>1730</v>
      </c>
      <c r="R1622" s="86" t="str">
        <f>_xlfn.CONCAT(表格1[[#This Row],[Model]]," ",表格1[[#This Row],[inv no]])</f>
        <v>RAD-D300H DA1422678</v>
      </c>
      <c r="S1622" s="86">
        <f>_xlfn.XLOOKUP(表格1[[#This Row],[Model]],表格3[Model-Input-Ref2],表格3[SRP PRICE])</f>
        <v>3380</v>
      </c>
      <c r="T1622" s="43">
        <f>表格1[[#This Row],[Unit Price]]/表格1[[#This Row],[SRP]]</f>
        <v>0.61538461538461542</v>
      </c>
      <c r="U1622" s="86" t="str">
        <f>_xlfn.XLOOKUP(表格1[[#This Row],[Model]],表格3[Model-Input-Ref2],表格3[TOSHIBA/HIGHEST])</f>
        <v>Shops Highest Price</v>
      </c>
      <c r="V1622" s="86" t="s">
        <v>1640</v>
      </c>
      <c r="W1622" s="86" t="str">
        <f>_xlfn.CONCAT(表格1[[#This Row],[欄4]],表格1[[#This Row],[inv no]])</f>
        <v>DA142DA1422678</v>
      </c>
    </row>
    <row r="1623" spans="1:23" hidden="1">
      <c r="A1623" s="81">
        <v>1621</v>
      </c>
      <c r="B1623" s="81" t="s">
        <v>1470</v>
      </c>
      <c r="C1623" s="81" t="s">
        <v>1374</v>
      </c>
      <c r="D1623" s="82" t="str">
        <f ca="1">OFFSET(Roster!$A$3,MATCH(表格1[[#This Row],[Location]]&amp;" "&amp;表格1[[#This Row],[Shop]]&amp;"*",Roster!$A$4:$A$72,0),DAY(表格1[[#This Row],[date]]),1,1)</f>
        <v>Daisy</v>
      </c>
      <c r="E1623" s="81">
        <f>MONTH(表格1[[#This Row],[date]])</f>
        <v>3</v>
      </c>
      <c r="F1623" s="90">
        <v>46109</v>
      </c>
      <c r="G1623" s="81" t="str">
        <f>VLOOKUP("*"&amp;表格1[[#This Row],[Input]]&amp;"*",'Ref-List'!$B:$D,2,)</f>
        <v>TP-50DRUHK(W)</v>
      </c>
      <c r="H1623" s="81" t="str">
        <f>_xlfn.XLOOKUP(表格1[[#This Row],[Model]],表格3[Model-Input-Ref2],表格3[Product Line])</f>
        <v>電熱水瓶 (5公升)</v>
      </c>
      <c r="I1623" s="81" t="str">
        <f>_xlfn.XLOOKUP(表格1[[#This Row],[Model]],表格3[Model-Input-Ref2],表格3[大小電])</f>
        <v>細電</v>
      </c>
      <c r="J1623" s="81" t="str">
        <f>_xlfn.XLOOKUP(表格1[[#This Row],[Model]],表格3[Model-Input-Ref2],表格3[Code])</f>
        <v>SDA</v>
      </c>
      <c r="K1623" s="89" t="s">
        <v>1277</v>
      </c>
      <c r="L1623" s="81">
        <v>1</v>
      </c>
      <c r="M1623" s="87">
        <v>598</v>
      </c>
      <c r="N1623" s="85">
        <f>IFERROR(表格1[[#This Row],[QTY]]*表格1[[#This Row],[Unit Price]],"-")</f>
        <v>598</v>
      </c>
      <c r="O1623" s="142" t="s">
        <v>1731</v>
      </c>
      <c r="R1623" s="86" t="str">
        <f>_xlfn.CONCAT(表格1[[#This Row],[Model]]," ",表格1[[#This Row],[inv no]])</f>
        <v>TP-50DRUHK(W) DA1422704</v>
      </c>
      <c r="S1623" s="86">
        <f>_xlfn.XLOOKUP(表格1[[#This Row],[Model]],表格3[Model-Input-Ref2],表格3[SRP PRICE])</f>
        <v>718</v>
      </c>
      <c r="T1623" s="43">
        <f>表格1[[#This Row],[Unit Price]]/表格1[[#This Row],[SRP]]</f>
        <v>0.83286908077994426</v>
      </c>
      <c r="U1623" s="86" t="str">
        <f>_xlfn.XLOOKUP(表格1[[#This Row],[Model]],表格3[Model-Input-Ref2],表格3[TOSHIBA/HIGHEST])</f>
        <v>Toshiba SRP</v>
      </c>
      <c r="V1623" s="86" t="s">
        <v>1640</v>
      </c>
      <c r="W1623" s="86" t="str">
        <f>_xlfn.CONCAT(表格1[[#This Row],[欄4]],表格1[[#This Row],[inv no]])</f>
        <v>DA142DA1422704</v>
      </c>
    </row>
    <row r="1624" spans="1:23" hidden="1">
      <c r="A1624" s="81">
        <v>1622</v>
      </c>
      <c r="B1624" s="81" t="s">
        <v>1470</v>
      </c>
      <c r="C1624" s="81" t="s">
        <v>1374</v>
      </c>
      <c r="D1624" s="82" t="str">
        <f ca="1">OFFSET(Roster!$A$3,MATCH(表格1[[#This Row],[Location]]&amp;" "&amp;表格1[[#This Row],[Shop]]&amp;"*",Roster!$A$4:$A$72,0),DAY(表格1[[#This Row],[date]]),1,1)</f>
        <v>Daisy</v>
      </c>
      <c r="E1624" s="81">
        <f>MONTH(表格1[[#This Row],[date]])</f>
        <v>3</v>
      </c>
      <c r="F1624" s="90">
        <v>46109</v>
      </c>
      <c r="G1624" s="81" t="str">
        <f>VLOOKUP("*"&amp;表格1[[#This Row],[Input]]&amp;"*",'Ref-List'!$B:$D,2,)</f>
        <v>KT-17DRTHK(H)</v>
      </c>
      <c r="H1624" s="81" t="str">
        <f>_xlfn.XLOOKUP(表格1[[#This Row],[Model]],表格3[Model-Input-Ref2],表格3[Product Line])</f>
        <v>無線雙層電熱水壺(1.7公升)</v>
      </c>
      <c r="I1624" s="81" t="str">
        <f>_xlfn.XLOOKUP(表格1[[#This Row],[Model]],表格3[Model-Input-Ref2],表格3[大小電])</f>
        <v>細電</v>
      </c>
      <c r="J1624" s="81" t="str">
        <f>_xlfn.XLOOKUP(表格1[[#This Row],[Model]],表格3[Model-Input-Ref2],表格3[Code])</f>
        <v>SDA</v>
      </c>
      <c r="K1624" s="89" t="s">
        <v>1271</v>
      </c>
      <c r="L1624" s="86">
        <v>1</v>
      </c>
      <c r="M1624" s="87">
        <v>358</v>
      </c>
      <c r="N1624" s="85">
        <f>IFERROR(表格1[[#This Row],[QTY]]*表格1[[#This Row],[Unit Price]],"-")</f>
        <v>358</v>
      </c>
      <c r="O1624" s="86" t="s">
        <v>1732</v>
      </c>
      <c r="R1624" s="86" t="str">
        <f>_xlfn.CONCAT(表格1[[#This Row],[Model]]," ",表格1[[#This Row],[inv no]])</f>
        <v>KT-17DRTHK(H) DA1422782</v>
      </c>
      <c r="S1624" s="86">
        <f>_xlfn.XLOOKUP(表格1[[#This Row],[Model]],表格3[Model-Input-Ref2],表格3[SRP PRICE])</f>
        <v>498</v>
      </c>
      <c r="T1624" s="43">
        <f>表格1[[#This Row],[Unit Price]]/表格1[[#This Row],[SRP]]</f>
        <v>0.71887550200803207</v>
      </c>
      <c r="U1624" s="86" t="str">
        <f>_xlfn.XLOOKUP(表格1[[#This Row],[Model]],表格3[Model-Input-Ref2],表格3[TOSHIBA/HIGHEST])</f>
        <v>Toshiba SRP</v>
      </c>
      <c r="V1624" s="86" t="s">
        <v>1640</v>
      </c>
      <c r="W1624" s="86" t="str">
        <f>_xlfn.CONCAT(表格1[[#This Row],[欄4]],表格1[[#This Row],[inv no]])</f>
        <v>DA142DA1422782</v>
      </c>
    </row>
    <row r="1625" spans="1:23" hidden="1">
      <c r="A1625" s="81">
        <v>1623</v>
      </c>
      <c r="B1625" s="81" t="s">
        <v>1470</v>
      </c>
      <c r="C1625" s="81" t="s">
        <v>1374</v>
      </c>
      <c r="D1625" s="82" t="str">
        <f ca="1">OFFSET(Roster!$A$3,MATCH(表格1[[#This Row],[Location]]&amp;" "&amp;表格1[[#This Row],[Shop]]&amp;"*",Roster!$A$4:$A$72,0),DAY(表格1[[#This Row],[date]]),1,1)</f>
        <v>Daisy</v>
      </c>
      <c r="E1625" s="81">
        <f>MONTH(表格1[[#This Row],[date]])</f>
        <v>3</v>
      </c>
      <c r="F1625" s="90">
        <v>46109</v>
      </c>
      <c r="G1625" s="81" t="str">
        <f>VLOOKUP("*"&amp;表格1[[#This Row],[Input]]&amp;"*",'Ref-List'!$B:$D,2,)</f>
        <v>AW-Q901BPH(WW)</v>
      </c>
      <c r="H1625" s="81" t="str">
        <f>_xlfn.XLOOKUP(表格1[[#This Row],[Model]],表格3[Model-Input-Ref2],表格3[Product Line])</f>
        <v>日式洗衣機 (8公斤 結合高低水位)</v>
      </c>
      <c r="I1625" s="81" t="str">
        <f>_xlfn.XLOOKUP(表格1[[#This Row],[Model]],表格3[Model-Input-Ref2],表格3[大小電])</f>
        <v>大電</v>
      </c>
      <c r="J1625" s="81" t="str">
        <f>_xlfn.XLOOKUP(表格1[[#This Row],[Model]],表格3[Model-Input-Ref2],表格3[Code])</f>
        <v>LAD</v>
      </c>
      <c r="K1625" s="89" t="s">
        <v>1411</v>
      </c>
      <c r="L1625" s="81">
        <v>1</v>
      </c>
      <c r="M1625" s="87">
        <v>2208</v>
      </c>
      <c r="N1625" s="85">
        <f>IFERROR(表格1[[#This Row],[QTY]]*表格1[[#This Row],[Unit Price]],"-")</f>
        <v>2208</v>
      </c>
      <c r="O1625" s="86" t="s">
        <v>1733</v>
      </c>
      <c r="R1625" s="86" t="str">
        <f>_xlfn.CONCAT(表格1[[#This Row],[Model]]," ",表格1[[#This Row],[inv no]])</f>
        <v>AW-Q901BPH(WW) DA1422873</v>
      </c>
      <c r="S1625" s="86">
        <f>_xlfn.XLOOKUP(表格1[[#This Row],[Model]],表格3[Model-Input-Ref2],表格3[SRP PRICE])</f>
        <v>3780</v>
      </c>
      <c r="T1625" s="43">
        <f>表格1[[#This Row],[Unit Price]]/表格1[[#This Row],[SRP]]</f>
        <v>0.58412698412698416</v>
      </c>
      <c r="U1625" s="86" t="str">
        <f>_xlfn.XLOOKUP(表格1[[#This Row],[Model]],表格3[Model-Input-Ref2],表格3[TOSHIBA/HIGHEST])</f>
        <v>Toshiba SRP</v>
      </c>
      <c r="V1625" s="86" t="s">
        <v>1640</v>
      </c>
      <c r="W1625" s="86" t="str">
        <f>_xlfn.CONCAT(表格1[[#This Row],[欄4]],表格1[[#This Row],[inv no]])</f>
        <v>DA142DA1422873</v>
      </c>
    </row>
    <row r="1626" spans="1:23" hidden="1">
      <c r="A1626" s="81">
        <v>1624</v>
      </c>
      <c r="B1626" s="81" t="s">
        <v>1470</v>
      </c>
      <c r="C1626" s="81" t="s">
        <v>1374</v>
      </c>
      <c r="D1626" s="82" t="str">
        <f ca="1">OFFSET(Roster!$A$3,MATCH(表格1[[#This Row],[Location]]&amp;" "&amp;表格1[[#This Row],[Shop]]&amp;"*",Roster!$A$4:$A$72,0),DAY(表格1[[#This Row],[date]]),1,1)</f>
        <v>Daisy</v>
      </c>
      <c r="E1626" s="81">
        <f>MONTH(表格1[[#This Row],[date]])</f>
        <v>3</v>
      </c>
      <c r="F1626" s="90">
        <v>46109</v>
      </c>
      <c r="G1626" s="81" t="str">
        <f>VLOOKUP("*"&amp;表格1[[#This Row],[Input]]&amp;"*",'Ref-List'!$B:$D,2,)</f>
        <v>RC-18ISPH</v>
      </c>
      <c r="H1626" s="81" t="str">
        <f>_xlfn.XLOOKUP(表格1[[#This Row],[Model]],表格3[Model-Input-Ref2],表格3[Product Line])</f>
        <v>低醣磁應電飯煲1.8L</v>
      </c>
      <c r="I1626" s="81" t="str">
        <f>_xlfn.XLOOKUP(表格1[[#This Row],[Model]],表格3[Model-Input-Ref2],表格3[大小電])</f>
        <v>細電</v>
      </c>
      <c r="J1626" s="81" t="str">
        <f>_xlfn.XLOOKUP(表格1[[#This Row],[Model]],表格3[Model-Input-Ref2],表格3[Code])</f>
        <v>SDA</v>
      </c>
      <c r="K1626" s="89" t="s">
        <v>1281</v>
      </c>
      <c r="L1626" s="86">
        <v>1</v>
      </c>
      <c r="M1626" s="87">
        <v>628</v>
      </c>
      <c r="N1626" s="85">
        <f>IFERROR(表格1[[#This Row],[QTY]]*表格1[[#This Row],[Unit Price]],"-")</f>
        <v>628</v>
      </c>
      <c r="O1626" s="86" t="s">
        <v>1734</v>
      </c>
      <c r="P1626" s="86" t="s">
        <v>1695</v>
      </c>
      <c r="R1626" s="86" t="str">
        <f>_xlfn.CONCAT(表格1[[#This Row],[Model]]," ",表格1[[#This Row],[inv no]])</f>
        <v>RC-18ISPH DA1422794</v>
      </c>
      <c r="S1626" s="86">
        <f>_xlfn.XLOOKUP(表格1[[#This Row],[Model]],表格3[Model-Input-Ref2],表格3[SRP PRICE])</f>
        <v>1436</v>
      </c>
      <c r="T1626" s="43">
        <f>表格1[[#This Row],[Unit Price]]/表格1[[#This Row],[SRP]]</f>
        <v>0.43732590529247911</v>
      </c>
      <c r="U1626" s="86" t="str">
        <f>_xlfn.XLOOKUP(表格1[[#This Row],[Model]],表格3[Model-Input-Ref2],表格3[TOSHIBA/HIGHEST])</f>
        <v>Shops Highest Price</v>
      </c>
      <c r="V1626" s="86" t="s">
        <v>1640</v>
      </c>
      <c r="W1626" s="86" t="str">
        <f>_xlfn.CONCAT(表格1[[#This Row],[欄4]],表格1[[#This Row],[inv no]])</f>
        <v>DA142DA1422794</v>
      </c>
    </row>
    <row r="1627" spans="1:23" hidden="1">
      <c r="A1627" s="81">
        <v>1625</v>
      </c>
      <c r="B1627" s="81" t="s">
        <v>1470</v>
      </c>
      <c r="C1627" s="81" t="s">
        <v>1374</v>
      </c>
      <c r="D1627" s="82" t="str">
        <f ca="1">OFFSET(Roster!$A$3,MATCH(表格1[[#This Row],[Location]]&amp;" "&amp;表格1[[#This Row],[Shop]]&amp;"*",Roster!$A$4:$A$72,0),DAY(表格1[[#This Row],[date]]),1,1)</f>
        <v>Daisy</v>
      </c>
      <c r="E1627" s="81">
        <f>MONTH(表格1[[#This Row],[date]])</f>
        <v>3</v>
      </c>
      <c r="F1627" s="90">
        <v>46109</v>
      </c>
      <c r="G1627" s="81" t="str">
        <f>VLOOKUP("*"&amp;表格1[[#This Row],[Input]]&amp;"*",'Ref-List'!$B:$D,2,)</f>
        <v>MM2-EM20PC(WH)</v>
      </c>
      <c r="H1627" s="81" t="str">
        <f>_xlfn.XLOOKUP(表格1[[#This Row],[Model]],表格3[Model-Input-Ref2],表格3[Product Line])</f>
        <v>輕觸式微波爐 (20公升)</v>
      </c>
      <c r="I1627" s="81" t="str">
        <f>_xlfn.XLOOKUP(表格1[[#This Row],[Model]],表格3[Model-Input-Ref2],表格3[大小電])</f>
        <v>細電</v>
      </c>
      <c r="J1627" s="81" t="str">
        <f>_xlfn.XLOOKUP(表格1[[#This Row],[Model]],表格3[Model-Input-Ref2],表格3[Code])</f>
        <v>MCA</v>
      </c>
      <c r="K1627" s="89" t="s">
        <v>1276</v>
      </c>
      <c r="L1627" s="81">
        <v>1</v>
      </c>
      <c r="M1627" s="87">
        <v>650</v>
      </c>
      <c r="N1627" s="85">
        <f>IFERROR(表格1[[#This Row],[QTY]]*表格1[[#This Row],[Unit Price]],"-")</f>
        <v>650</v>
      </c>
      <c r="O1627" s="86" t="s">
        <v>1735</v>
      </c>
      <c r="R1627" s="86" t="str">
        <f>_xlfn.CONCAT(表格1[[#This Row],[Model]]," ",表格1[[#This Row],[inv no]])</f>
        <v>MM2-EM20PC(WH) DA1422829</v>
      </c>
      <c r="S1627" s="86">
        <f>_xlfn.XLOOKUP(表格1[[#This Row],[Model]],表格3[Model-Input-Ref2],表格3[SRP PRICE])</f>
        <v>788</v>
      </c>
      <c r="T1627" s="43">
        <f>表格1[[#This Row],[Unit Price]]/表格1[[#This Row],[SRP]]</f>
        <v>0.82487309644670048</v>
      </c>
      <c r="U1627" s="86" t="str">
        <f>_xlfn.XLOOKUP(表格1[[#This Row],[Model]],表格3[Model-Input-Ref2],表格3[TOSHIBA/HIGHEST])</f>
        <v>Toshiba SRP</v>
      </c>
      <c r="V1627" s="86" t="s">
        <v>1640</v>
      </c>
      <c r="W1627" s="86" t="str">
        <f>_xlfn.CONCAT(表格1[[#This Row],[欄4]],表格1[[#This Row],[inv no]])</f>
        <v>DA142DA1422829</v>
      </c>
    </row>
    <row r="1628" spans="1:23" hidden="1">
      <c r="A1628" s="81">
        <v>1626</v>
      </c>
      <c r="B1628" s="81" t="s">
        <v>1470</v>
      </c>
      <c r="C1628" s="81" t="s">
        <v>1374</v>
      </c>
      <c r="D1628" s="82" t="str">
        <f ca="1">OFFSET(Roster!$A$3,MATCH(表格1[[#This Row],[Location]]&amp;" "&amp;表格1[[#This Row],[Shop]]&amp;"*",Roster!$A$4:$A$72,0),DAY(表格1[[#This Row],[date]]),1,1)</f>
        <v>Daisy</v>
      </c>
      <c r="E1628" s="81">
        <f>MONTH(表格1[[#This Row],[date]])</f>
        <v>3</v>
      </c>
      <c r="F1628" s="90">
        <v>46110</v>
      </c>
      <c r="G1628" s="81" t="str">
        <f>VLOOKUP("*"&amp;表格1[[#This Row],[Input]]&amp;"*",'Ref-List'!$B:$D,2,)</f>
        <v>MS3-STQ20SC(WH)</v>
      </c>
      <c r="H1628" s="81" t="str">
        <f>_xlfn.XLOOKUP(表格1[[#This Row],[Model]],表格3[Model-Input-Ref2],表格3[Product Line])</f>
        <v>20L 智能蒸氣焗爐</v>
      </c>
      <c r="I1628" s="81" t="str">
        <f>_xlfn.XLOOKUP(表格1[[#This Row],[Model]],表格3[Model-Input-Ref2],表格3[大小電])</f>
        <v>細電</v>
      </c>
      <c r="J1628" s="81" t="str">
        <f>_xlfn.XLOOKUP(表格1[[#This Row],[Model]],表格3[Model-Input-Ref2],表格3[Code])</f>
        <v>MCA</v>
      </c>
      <c r="K1628" s="89" t="s">
        <v>1383</v>
      </c>
      <c r="L1628" s="86">
        <v>1</v>
      </c>
      <c r="M1628" s="87">
        <v>1998</v>
      </c>
      <c r="N1628" s="85">
        <f>IFERROR(表格1[[#This Row],[QTY]]*表格1[[#This Row],[Unit Price]],"-")</f>
        <v>1998</v>
      </c>
      <c r="O1628" s="86" t="s">
        <v>1736</v>
      </c>
      <c r="R1628" s="86" t="str">
        <f>_xlfn.CONCAT(表格1[[#This Row],[Model]]," ",表格1[[#This Row],[inv no]])</f>
        <v>MS3-STQ20SC(WH) DA1422888</v>
      </c>
      <c r="S1628" s="86">
        <f>_xlfn.XLOOKUP(表格1[[#This Row],[Model]],表格3[Model-Input-Ref2],表格3[SRP PRICE])</f>
        <v>2880</v>
      </c>
      <c r="T1628" s="43">
        <f>表格1[[#This Row],[Unit Price]]/表格1[[#This Row],[SRP]]</f>
        <v>0.69374999999999998</v>
      </c>
      <c r="U1628" s="86" t="str">
        <f>_xlfn.XLOOKUP(表格1[[#This Row],[Model]],表格3[Model-Input-Ref2],表格3[TOSHIBA/HIGHEST])</f>
        <v>Toshiba SRP</v>
      </c>
      <c r="V1628" s="86" t="s">
        <v>1640</v>
      </c>
      <c r="W1628" s="86" t="str">
        <f>_xlfn.CONCAT(表格1[[#This Row],[欄4]],表格1[[#This Row],[inv no]])</f>
        <v>DA142DA1422888</v>
      </c>
    </row>
    <row r="1629" spans="1:23" hidden="1">
      <c r="A1629" s="81">
        <v>1627</v>
      </c>
      <c r="B1629" s="81" t="s">
        <v>1470</v>
      </c>
      <c r="C1629" s="81" t="s">
        <v>1374</v>
      </c>
      <c r="D1629" s="82" t="str">
        <f ca="1">OFFSET(Roster!$A$3,MATCH(表格1[[#This Row],[Location]]&amp;" "&amp;表格1[[#This Row],[Shop]]&amp;"*",Roster!$A$4:$A$72,0),DAY(表格1[[#This Row],[date]]),1,1)</f>
        <v>Daisy</v>
      </c>
      <c r="E1629" s="81">
        <f>MONTH(表格1[[#This Row],[date]])</f>
        <v>3</v>
      </c>
      <c r="F1629" s="90">
        <v>46110</v>
      </c>
      <c r="G1629" s="81" t="str">
        <f>VLOOKUP("*"&amp;表格1[[#This Row],[Input]]&amp;"*",'Ref-List'!$B:$D,2,)</f>
        <v>RAC-18G3CVG-HK</v>
      </c>
      <c r="H1629" s="81" t="str">
        <f>_xlfn.XLOOKUP(表格1[[#This Row],[Model]],表格3[Model-Input-Ref2],表格3[Product Line])</f>
        <v>2 匹 R32變頻窗口式冷氣機</v>
      </c>
      <c r="I1629" s="81" t="str">
        <f>_xlfn.XLOOKUP(表格1[[#This Row],[Model]],表格3[Model-Input-Ref2],表格3[大小電])</f>
        <v>大電</v>
      </c>
      <c r="J1629" s="81" t="str">
        <f>_xlfn.XLOOKUP(表格1[[#This Row],[Model]],表格3[Model-Input-Ref2],表格3[Code])</f>
        <v>AC</v>
      </c>
      <c r="K1629" s="89" t="s">
        <v>1697</v>
      </c>
      <c r="L1629" s="81">
        <v>1</v>
      </c>
      <c r="M1629" s="87">
        <v>6290</v>
      </c>
      <c r="N1629" s="85">
        <f>IFERROR(表格1[[#This Row],[QTY]]*表格1[[#This Row],[Unit Price]],"-")</f>
        <v>6290</v>
      </c>
      <c r="O1629" s="86" t="s">
        <v>1737</v>
      </c>
      <c r="R1629" s="86" t="str">
        <f>_xlfn.CONCAT(表格1[[#This Row],[Model]]," ",表格1[[#This Row],[inv no]])</f>
        <v>RAC-18G3CVG-HK DA1422946</v>
      </c>
      <c r="S1629" s="86">
        <f>_xlfn.XLOOKUP(表格1[[#This Row],[Model]],表格3[Model-Input-Ref2],表格3[SRP PRICE])</f>
        <v>9680</v>
      </c>
      <c r="T1629" s="43">
        <f>表格1[[#This Row],[Unit Price]]/表格1[[#This Row],[SRP]]</f>
        <v>0.64979338842975209</v>
      </c>
      <c r="U1629" s="86" t="str">
        <f>_xlfn.XLOOKUP(表格1[[#This Row],[Model]],表格3[Model-Input-Ref2],表格3[TOSHIBA/HIGHEST])</f>
        <v>Toshiba SRP</v>
      </c>
      <c r="V1629" s="86" t="s">
        <v>1640</v>
      </c>
      <c r="W1629" s="86" t="str">
        <f>_xlfn.CONCAT(表格1[[#This Row],[欄4]],表格1[[#This Row],[inv no]])</f>
        <v>DA142DA1422946</v>
      </c>
    </row>
    <row r="1630" spans="1:23" hidden="1">
      <c r="A1630" s="81">
        <v>1628</v>
      </c>
      <c r="B1630" s="81" t="s">
        <v>1470</v>
      </c>
      <c r="C1630" s="81" t="s">
        <v>1374</v>
      </c>
      <c r="D1630" s="82" t="str">
        <f ca="1">OFFSET(Roster!$A$3,MATCH(表格1[[#This Row],[Location]]&amp;" "&amp;表格1[[#This Row],[Shop]]&amp;"*",Roster!$A$4:$A$72,0),DAY(表格1[[#This Row],[date]]),1,1)</f>
        <v>Daisy</v>
      </c>
      <c r="E1630" s="81">
        <f>MONTH(表格1[[#This Row],[date]])</f>
        <v>3</v>
      </c>
      <c r="F1630" s="90">
        <v>46110</v>
      </c>
      <c r="G1630" s="81" t="str">
        <f>VLOOKUP("*"&amp;表格1[[#This Row],[Input]]&amp;"*",'Ref-List'!$B:$D,2,)</f>
        <v>MX2-STR25SC(WH)</v>
      </c>
      <c r="H1630" s="81" t="str">
        <f>_xlfn.XLOOKUP(表格1[[#This Row],[Model]],表格3[Model-Input-Ref2],表格3[Product Line])</f>
        <v>4合1氣炸微波蒸焗爐(25公升)</v>
      </c>
      <c r="I1630" s="81" t="str">
        <f>_xlfn.XLOOKUP(表格1[[#This Row],[Model]],表格3[Model-Input-Ref2],表格3[大小電])</f>
        <v>細電</v>
      </c>
      <c r="J1630" s="81" t="str">
        <f>_xlfn.XLOOKUP(表格1[[#This Row],[Model]],表格3[Model-Input-Ref2],表格3[Code])</f>
        <v>MCA</v>
      </c>
      <c r="K1630" s="89" t="s">
        <v>1410</v>
      </c>
      <c r="L1630" s="86">
        <v>1</v>
      </c>
      <c r="M1630" s="87">
        <v>3250</v>
      </c>
      <c r="N1630" s="85">
        <f>IFERROR(表格1[[#This Row],[QTY]]*表格1[[#This Row],[Unit Price]],"-")</f>
        <v>3250</v>
      </c>
      <c r="O1630" s="86" t="s">
        <v>1738</v>
      </c>
      <c r="R1630" s="86" t="str">
        <f>_xlfn.CONCAT(表格1[[#This Row],[Model]]," ",表格1[[#This Row],[inv no]])</f>
        <v>MX2-STR25SC(WH) DA1422955</v>
      </c>
      <c r="S1630" s="86">
        <f>_xlfn.XLOOKUP(表格1[[#This Row],[Model]],表格3[Model-Input-Ref2],表格3[SRP PRICE])</f>
        <v>4998</v>
      </c>
      <c r="T1630" s="43">
        <f>表格1[[#This Row],[Unit Price]]/表格1[[#This Row],[SRP]]</f>
        <v>0.6502601040416166</v>
      </c>
      <c r="U1630" s="86" t="str">
        <f>_xlfn.XLOOKUP(表格1[[#This Row],[Model]],表格3[Model-Input-Ref2],表格3[TOSHIBA/HIGHEST])</f>
        <v>Toshiba SRP</v>
      </c>
      <c r="V1630" s="86" t="s">
        <v>1640</v>
      </c>
      <c r="W1630" s="86" t="str">
        <f>_xlfn.CONCAT(表格1[[#This Row],[欄4]],表格1[[#This Row],[inv no]])</f>
        <v>DA142DA1422955</v>
      </c>
    </row>
    <row r="1631" spans="1:23" hidden="1">
      <c r="A1631" s="81">
        <v>1629</v>
      </c>
      <c r="B1631" s="81" t="s">
        <v>1470</v>
      </c>
      <c r="C1631" s="81" t="s">
        <v>1374</v>
      </c>
      <c r="D1631" s="82" t="str">
        <f ca="1">OFFSET(Roster!$A$3,MATCH(表格1[[#This Row],[Location]]&amp;" "&amp;表格1[[#This Row],[Shop]]&amp;"*",Roster!$A$4:$A$72,0),DAY(表格1[[#This Row],[date]]),1,1)</f>
        <v>Daisy</v>
      </c>
      <c r="E1631" s="81">
        <f>MONTH(表格1[[#This Row],[date]])</f>
        <v>3</v>
      </c>
      <c r="F1631" s="90">
        <v>46110</v>
      </c>
      <c r="G1631" s="81" t="str">
        <f>VLOOKUP("*"&amp;表格1[[#This Row],[Input]]&amp;"*",'Ref-List'!$B:$D,2,)</f>
        <v>RAC-09G3CVG-HK</v>
      </c>
      <c r="H1631" s="81" t="str">
        <f>_xlfn.XLOOKUP(表格1[[#This Row],[Model]],表格3[Model-Input-Ref2],表格3[Product Line])</f>
        <v>1匹 R32變頻窗口式冷氣機 </v>
      </c>
      <c r="I1631" s="81" t="str">
        <f>_xlfn.XLOOKUP(表格1[[#This Row],[Model]],表格3[Model-Input-Ref2],表格3[大小電])</f>
        <v>大電</v>
      </c>
      <c r="J1631" s="81" t="str">
        <f>_xlfn.XLOOKUP(表格1[[#This Row],[Model]],表格3[Model-Input-Ref2],表格3[Code])</f>
        <v>AC</v>
      </c>
      <c r="K1631" s="89" t="s">
        <v>1638</v>
      </c>
      <c r="L1631" s="81">
        <v>1</v>
      </c>
      <c r="M1631" s="87">
        <v>3680</v>
      </c>
      <c r="N1631" s="85">
        <f>IFERROR(表格1[[#This Row],[QTY]]*表格1[[#This Row],[Unit Price]],"-")</f>
        <v>3680</v>
      </c>
      <c r="O1631" s="86" t="s">
        <v>1739</v>
      </c>
      <c r="R1631" s="86" t="str">
        <f>_xlfn.CONCAT(表格1[[#This Row],[Model]]," ",表格1[[#This Row],[inv no]])</f>
        <v>RAC-09G3CVG-HK DA1422980</v>
      </c>
      <c r="S1631" s="86">
        <f>_xlfn.XLOOKUP(表格1[[#This Row],[Model]],表格3[Model-Input-Ref2],表格3[SRP PRICE])</f>
        <v>6380</v>
      </c>
      <c r="T1631" s="43">
        <f>表格1[[#This Row],[Unit Price]]/表格1[[#This Row],[SRP]]</f>
        <v>0.57680250783699061</v>
      </c>
      <c r="U1631" s="86" t="str">
        <f>_xlfn.XLOOKUP(表格1[[#This Row],[Model]],表格3[Model-Input-Ref2],表格3[TOSHIBA/HIGHEST])</f>
        <v>Toshiba SRP</v>
      </c>
      <c r="V1631" s="86" t="s">
        <v>1640</v>
      </c>
      <c r="W1631" s="86" t="str">
        <f>_xlfn.CONCAT(表格1[[#This Row],[欄4]],表格1[[#This Row],[inv no]])</f>
        <v>DA142DA1422980</v>
      </c>
    </row>
    <row r="1632" spans="1:23" hidden="1">
      <c r="A1632" s="81">
        <v>1630</v>
      </c>
      <c r="B1632" s="81" t="s">
        <v>1470</v>
      </c>
      <c r="C1632" s="81" t="s">
        <v>1374</v>
      </c>
      <c r="D1632" s="82" t="str">
        <f ca="1">OFFSET(Roster!$A$3,MATCH(表格1[[#This Row],[Location]]&amp;" "&amp;表格1[[#This Row],[Shop]]&amp;"*",Roster!$A$4:$A$72,0),DAY(表格1[[#This Row],[date]]),1,1)</f>
        <v>Daisy</v>
      </c>
      <c r="E1632" s="81">
        <f>MONTH(表格1[[#This Row],[date]])</f>
        <v>3</v>
      </c>
      <c r="F1632" s="90">
        <v>46110</v>
      </c>
      <c r="G1632" s="81" t="str">
        <f>VLOOKUP("*"&amp;表格1[[#This Row],[Input]]&amp;"*",'Ref-List'!$B:$D,2,)</f>
        <v>MW3-SAC24SE(BK)</v>
      </c>
      <c r="H1632" s="81" t="str">
        <f>_xlfn.XLOOKUP(表格1[[#This Row],[Model]],表格3[Model-Input-Ref2],表格3[Product Line])</f>
        <v>智能氣炸烤焗爐(24公升)</v>
      </c>
      <c r="I1632" s="81" t="str">
        <f>_xlfn.XLOOKUP(表格1[[#This Row],[Model]],表格3[Model-Input-Ref2],表格3[大小電])</f>
        <v>細電</v>
      </c>
      <c r="J1632" s="81" t="str">
        <f>_xlfn.XLOOKUP(表格1[[#This Row],[Model]],表格3[Model-Input-Ref2],表格3[Code])</f>
        <v>MCA</v>
      </c>
      <c r="K1632" s="89" t="s">
        <v>1274</v>
      </c>
      <c r="L1632" s="86">
        <v>1</v>
      </c>
      <c r="M1632" s="87">
        <v>1298</v>
      </c>
      <c r="N1632" s="85">
        <f>IFERROR(表格1[[#This Row],[QTY]]*表格1[[#This Row],[Unit Price]],"-")</f>
        <v>1298</v>
      </c>
      <c r="O1632" s="86" t="s">
        <v>1740</v>
      </c>
      <c r="R1632" s="86" t="str">
        <f>_xlfn.CONCAT(表格1[[#This Row],[Model]]," ",表格1[[#This Row],[inv no]])</f>
        <v>MW3-SAC24SE(BK) DA1422987</v>
      </c>
      <c r="S1632" s="86">
        <f>_xlfn.XLOOKUP(表格1[[#This Row],[Model]],表格3[Model-Input-Ref2],表格3[SRP PRICE])</f>
        <v>1680</v>
      </c>
      <c r="T1632" s="43">
        <f>表格1[[#This Row],[Unit Price]]/表格1[[#This Row],[SRP]]</f>
        <v>0.77261904761904765</v>
      </c>
      <c r="U1632" s="86" t="str">
        <f>_xlfn.XLOOKUP(表格1[[#This Row],[Model]],表格3[Model-Input-Ref2],表格3[TOSHIBA/HIGHEST])</f>
        <v>Toshiba SRP</v>
      </c>
      <c r="V1632" s="86" t="s">
        <v>1640</v>
      </c>
      <c r="W1632" s="86" t="str">
        <f>_xlfn.CONCAT(表格1[[#This Row],[欄4]],表格1[[#This Row],[inv no]])</f>
        <v>DA142DA1422987</v>
      </c>
    </row>
    <row r="1633" spans="1:23" hidden="1">
      <c r="A1633" s="81">
        <v>1631</v>
      </c>
      <c r="B1633" s="81" t="s">
        <v>1470</v>
      </c>
      <c r="C1633" s="81" t="s">
        <v>1374</v>
      </c>
      <c r="D1633" s="82" t="str">
        <f ca="1">OFFSET(Roster!$A$3,MATCH(表格1[[#This Row],[Location]]&amp;" "&amp;表格1[[#This Row],[Shop]]&amp;"*",Roster!$A$4:$A$72,0),DAY(表格1[[#This Row],[date]]),1,1)</f>
        <v>Daisy</v>
      </c>
      <c r="E1633" s="81">
        <f>MONTH(表格1[[#This Row],[date]])</f>
        <v>3</v>
      </c>
      <c r="F1633" s="90">
        <v>46110</v>
      </c>
      <c r="G1633" s="81" t="str">
        <f>VLOOKUP("*"&amp;表格1[[#This Row],[Input]]&amp;"*",'Ref-List'!$B:$D,2,)</f>
        <v>RC-10IRPH</v>
      </c>
      <c r="H1633" s="81" t="str">
        <f>_xlfn.XLOOKUP(表格1[[#This Row],[Model]],表格3[Model-Input-Ref2],表格3[Product Line])</f>
        <v>低醣磁應電飯煲1L</v>
      </c>
      <c r="I1633" s="81" t="str">
        <f>_xlfn.XLOOKUP(表格1[[#This Row],[Model]],表格3[Model-Input-Ref2],表格3[大小電])</f>
        <v>細電</v>
      </c>
      <c r="J1633" s="81" t="str">
        <f>_xlfn.XLOOKUP(表格1[[#This Row],[Model]],表格3[Model-Input-Ref2],表格3[Code])</f>
        <v>SDA</v>
      </c>
      <c r="K1633" s="89" t="s">
        <v>1297</v>
      </c>
      <c r="L1633" s="81">
        <v>1</v>
      </c>
      <c r="M1633" s="87">
        <v>760</v>
      </c>
      <c r="N1633" s="85">
        <f>IFERROR(表格1[[#This Row],[QTY]]*表格1[[#This Row],[Unit Price]],"-")</f>
        <v>760</v>
      </c>
      <c r="O1633" s="142" t="s">
        <v>1741</v>
      </c>
      <c r="R1633" s="86" t="str">
        <f>_xlfn.CONCAT(表格1[[#This Row],[Model]]," ",表格1[[#This Row],[inv no]])</f>
        <v>RC-10IRPH DA1423003</v>
      </c>
      <c r="S1633" s="86">
        <f>_xlfn.XLOOKUP(表格1[[#This Row],[Model]],表格3[Model-Input-Ref2],表格3[SRP PRICE])</f>
        <v>1388</v>
      </c>
      <c r="T1633" s="43">
        <f>表格1[[#This Row],[Unit Price]]/表格1[[#This Row],[SRP]]</f>
        <v>0.54755043227665701</v>
      </c>
      <c r="U1633" s="86" t="str">
        <f>_xlfn.XLOOKUP(表格1[[#This Row],[Model]],表格3[Model-Input-Ref2],表格3[TOSHIBA/HIGHEST])</f>
        <v>Toshiba SRP</v>
      </c>
      <c r="V1633" s="86" t="s">
        <v>1640</v>
      </c>
      <c r="W1633" s="86" t="str">
        <f>_xlfn.CONCAT(表格1[[#This Row],[欄4]],表格1[[#This Row],[inv no]])</f>
        <v>DA142DA1423003</v>
      </c>
    </row>
    <row r="1634" spans="1:23" hidden="1">
      <c r="A1634" s="81">
        <v>1632</v>
      </c>
      <c r="B1634" s="81" t="s">
        <v>1470</v>
      </c>
      <c r="C1634" s="81" t="s">
        <v>1374</v>
      </c>
      <c r="D1634" s="82" t="str">
        <f ca="1">OFFSET(Roster!$A$3,MATCH(表格1[[#This Row],[Location]]&amp;" "&amp;表格1[[#This Row],[Shop]]&amp;"*",Roster!$A$4:$A$72,0),DAY(表格1[[#This Row],[date]]),1,1)</f>
        <v>Daisy</v>
      </c>
      <c r="E1634" s="81">
        <f>MONTH(表格1[[#This Row],[date]])</f>
        <v>3</v>
      </c>
      <c r="F1634" s="90">
        <v>46110</v>
      </c>
      <c r="G1634" s="81" t="str">
        <f>VLOOKUP("*"&amp;表格1[[#This Row],[Input]]&amp;"*",'Ref-List'!$B:$D,2,)</f>
        <v>RAC-07G3CVRGR-HK</v>
      </c>
      <c r="H1634" s="81" t="str">
        <f>_xlfn.XLOOKUP(表格1[[#This Row],[Model]],表格3[Model-Input-Ref2],表格3[Product Line])</f>
        <v>3/4 匹 窗口式冷氣機(remote)</v>
      </c>
      <c r="I1634" s="81" t="str">
        <f>_xlfn.XLOOKUP(表格1[[#This Row],[Model]],表格3[Model-Input-Ref2],表格3[大小電])</f>
        <v>大電</v>
      </c>
      <c r="J1634" s="81" t="str">
        <f>_xlfn.XLOOKUP(表格1[[#This Row],[Model]],表格3[Model-Input-Ref2],表格3[Code])</f>
        <v>AC</v>
      </c>
      <c r="K1634" s="89" t="s">
        <v>656</v>
      </c>
      <c r="L1634" s="86">
        <v>1</v>
      </c>
      <c r="M1634" s="87">
        <v>3580</v>
      </c>
      <c r="N1634" s="85">
        <f>IFERROR(表格1[[#This Row],[QTY]]*表格1[[#This Row],[Unit Price]],"-")</f>
        <v>3580</v>
      </c>
      <c r="O1634" s="142" t="s">
        <v>1742</v>
      </c>
      <c r="R1634" s="86" t="str">
        <f>_xlfn.CONCAT(表格1[[#This Row],[Model]]," ",表格1[[#This Row],[inv no]])</f>
        <v>RAC-07G3CVRGR-HK DA1423020</v>
      </c>
      <c r="S1634" s="86">
        <f>_xlfn.XLOOKUP(表格1[[#This Row],[Model]],表格3[Model-Input-Ref2],表格3[SRP PRICE])</f>
        <v>5580</v>
      </c>
      <c r="T1634" s="43">
        <f>表格1[[#This Row],[Unit Price]]/表格1[[#This Row],[SRP]]</f>
        <v>0.64157706093189959</v>
      </c>
      <c r="U1634" s="86" t="str">
        <f>_xlfn.XLOOKUP(表格1[[#This Row],[Model]],表格3[Model-Input-Ref2],表格3[TOSHIBA/HIGHEST])</f>
        <v>Toshiba SRP</v>
      </c>
      <c r="V1634" s="86" t="s">
        <v>1640</v>
      </c>
      <c r="W1634" s="86" t="str">
        <f>_xlfn.CONCAT(表格1[[#This Row],[欄4]],表格1[[#This Row],[inv no]])</f>
        <v>DA142DA1423020</v>
      </c>
    </row>
    <row r="1635" spans="1:23" hidden="1">
      <c r="A1635" s="81">
        <v>1633</v>
      </c>
      <c r="B1635" s="81" t="s">
        <v>1470</v>
      </c>
      <c r="C1635" s="81" t="s">
        <v>1374</v>
      </c>
      <c r="D1635" s="82" t="str">
        <f ca="1">OFFSET(Roster!$A$3,MATCH(表格1[[#This Row],[Location]]&amp;" "&amp;表格1[[#This Row],[Shop]]&amp;"*",Roster!$A$4:$A$72,0),DAY(表格1[[#This Row],[date]]),1,1)</f>
        <v>Daisy</v>
      </c>
      <c r="E1635" s="81">
        <f>MONTH(表格1[[#This Row],[date]])</f>
        <v>3</v>
      </c>
      <c r="F1635" s="90">
        <v>46110</v>
      </c>
      <c r="G1635" s="81" t="str">
        <f>VLOOKUP("*"&amp;表格1[[#This Row],[Input]]&amp;"*",'Ref-List'!$B:$D,2,)</f>
        <v>RC-10NMFIH(WT)</v>
      </c>
      <c r="H1635" s="81" t="str">
        <f>_xlfn.XLOOKUP(表格1[[#This Row],[Model]],表格3[Model-Input-Ref2],表格3[Product Line])</f>
        <v>4毫米厚釜電飯煲1L</v>
      </c>
      <c r="I1635" s="81" t="str">
        <f>_xlfn.XLOOKUP(表格1[[#This Row],[Model]],表格3[Model-Input-Ref2],表格3[大小電])</f>
        <v>細電</v>
      </c>
      <c r="J1635" s="81" t="str">
        <f>_xlfn.XLOOKUP(表格1[[#This Row],[Model]],表格3[Model-Input-Ref2],表格3[Code])</f>
        <v>SDA</v>
      </c>
      <c r="K1635" s="89" t="s">
        <v>1244</v>
      </c>
      <c r="L1635" s="81">
        <v>1</v>
      </c>
      <c r="M1635" s="87">
        <v>708</v>
      </c>
      <c r="N1635" s="85">
        <f>IFERROR(表格1[[#This Row],[QTY]]*表格1[[#This Row],[Unit Price]],"-")</f>
        <v>708</v>
      </c>
      <c r="O1635" s="142" t="s">
        <v>1743</v>
      </c>
      <c r="R1635" s="86" t="str">
        <f>_xlfn.CONCAT(表格1[[#This Row],[Model]]," ",表格1[[#This Row],[inv no]])</f>
        <v>RC-10NMFIH(WT) DA1423025</v>
      </c>
      <c r="S1635" s="86">
        <f>_xlfn.XLOOKUP(表格1[[#This Row],[Model]],表格3[Model-Input-Ref2],表格3[SRP PRICE])</f>
        <v>898</v>
      </c>
      <c r="T1635" s="43">
        <f>表格1[[#This Row],[Unit Price]]/表格1[[#This Row],[SRP]]</f>
        <v>0.7884187082405345</v>
      </c>
      <c r="U1635" s="86" t="str">
        <f>_xlfn.XLOOKUP(表格1[[#This Row],[Model]],表格3[Model-Input-Ref2],表格3[TOSHIBA/HIGHEST])</f>
        <v>Toshiba SRP</v>
      </c>
      <c r="V1635" s="86" t="s">
        <v>1640</v>
      </c>
      <c r="W1635" s="86" t="str">
        <f>_xlfn.CONCAT(表格1[[#This Row],[欄4]],表格1[[#This Row],[inv no]])</f>
        <v>DA142DA1423025</v>
      </c>
    </row>
    <row r="1636" spans="1:23" hidden="1">
      <c r="A1636" s="81">
        <v>1634</v>
      </c>
      <c r="B1636" s="81" t="s">
        <v>1470</v>
      </c>
      <c r="C1636" s="81" t="s">
        <v>1374</v>
      </c>
      <c r="D1636" s="82" t="str">
        <f ca="1">OFFSET(Roster!$A$3,MATCH(表格1[[#This Row],[Location]]&amp;" "&amp;表格1[[#This Row],[Shop]]&amp;"*",Roster!$A$4:$A$72,0),DAY(表格1[[#This Row],[date]]),1,1)</f>
        <v>Daisy</v>
      </c>
      <c r="E1636" s="81">
        <f>MONTH(表格1[[#This Row],[date]])</f>
        <v>3</v>
      </c>
      <c r="F1636" s="90">
        <v>46110</v>
      </c>
      <c r="G1636" s="81" t="str">
        <f>VLOOKUP("*"&amp;表格1[[#This Row],[Input]]&amp;"*",'Ref-List'!$B:$D,2,)</f>
        <v>MX2-STR25SC(WH)</v>
      </c>
      <c r="H1636" s="81" t="str">
        <f>_xlfn.XLOOKUP(表格1[[#This Row],[Model]],表格3[Model-Input-Ref2],表格3[Product Line])</f>
        <v>4合1氣炸微波蒸焗爐(25公升)</v>
      </c>
      <c r="I1636" s="81" t="str">
        <f>_xlfn.XLOOKUP(表格1[[#This Row],[Model]],表格3[Model-Input-Ref2],表格3[大小電])</f>
        <v>細電</v>
      </c>
      <c r="J1636" s="81" t="str">
        <f>_xlfn.XLOOKUP(表格1[[#This Row],[Model]],表格3[Model-Input-Ref2],表格3[Code])</f>
        <v>MCA</v>
      </c>
      <c r="K1636" s="89" t="s">
        <v>1410</v>
      </c>
      <c r="L1636" s="86">
        <v>1</v>
      </c>
      <c r="M1636" s="87">
        <v>3250</v>
      </c>
      <c r="N1636" s="85">
        <f>IFERROR(表格1[[#This Row],[QTY]]*表格1[[#This Row],[Unit Price]],"-")</f>
        <v>3250</v>
      </c>
      <c r="O1636" s="142" t="s">
        <v>1744</v>
      </c>
      <c r="R1636" s="86" t="str">
        <f>_xlfn.CONCAT(表格1[[#This Row],[Model]]," ",表格1[[#This Row],[inv no]])</f>
        <v>MX2-STR25SC(WH) DA1423035</v>
      </c>
      <c r="S1636" s="86">
        <f>_xlfn.XLOOKUP(表格1[[#This Row],[Model]],表格3[Model-Input-Ref2],表格3[SRP PRICE])</f>
        <v>4998</v>
      </c>
      <c r="T1636" s="43">
        <f>表格1[[#This Row],[Unit Price]]/表格1[[#This Row],[SRP]]</f>
        <v>0.6502601040416166</v>
      </c>
      <c r="U1636" s="86" t="str">
        <f>_xlfn.XLOOKUP(表格1[[#This Row],[Model]],表格3[Model-Input-Ref2],表格3[TOSHIBA/HIGHEST])</f>
        <v>Toshiba SRP</v>
      </c>
      <c r="V1636" s="86" t="s">
        <v>1640</v>
      </c>
      <c r="W1636" s="86" t="str">
        <f>_xlfn.CONCAT(表格1[[#This Row],[欄4]],表格1[[#This Row],[inv no]])</f>
        <v>DA142DA1423035</v>
      </c>
    </row>
    <row r="1637" spans="1:23" hidden="1">
      <c r="A1637" s="81">
        <v>1635</v>
      </c>
      <c r="B1637" s="81" t="s">
        <v>1470</v>
      </c>
      <c r="C1637" s="81" t="s">
        <v>1374</v>
      </c>
      <c r="D1637" s="82" t="str">
        <f ca="1">OFFSET(Roster!$A$3,MATCH(表格1[[#This Row],[Location]]&amp;" "&amp;表格1[[#This Row],[Shop]]&amp;"*",Roster!$A$4:$A$72,0),DAY(表格1[[#This Row],[date]]),1,1)</f>
        <v>Daisy</v>
      </c>
      <c r="E1637" s="81">
        <f>MONTH(表格1[[#This Row],[date]])</f>
        <v>3</v>
      </c>
      <c r="F1637" s="90">
        <v>46110</v>
      </c>
      <c r="G1637" s="81" t="str">
        <f>VLOOKUP("*"&amp;表格1[[#This Row],[Input]]&amp;"*",'Ref-List'!$B:$D,2,)</f>
        <v>RC-15BHH(W)</v>
      </c>
      <c r="H1637" s="81" t="str">
        <f>_xlfn.XLOOKUP(表格1[[#This Row],[Model]],表格3[Model-Input-Ref2],表格3[Product Line])</f>
        <v>酵活炊磁應電飯煲(1.5公升)</v>
      </c>
      <c r="I1637" s="81" t="str">
        <f>_xlfn.XLOOKUP(表格1[[#This Row],[Model]],表格3[Model-Input-Ref2],表格3[大小電])</f>
        <v>細電</v>
      </c>
      <c r="J1637" s="81" t="str">
        <f>_xlfn.XLOOKUP(表格1[[#This Row],[Model]],表格3[Model-Input-Ref2],表格3[Code])</f>
        <v>SDA</v>
      </c>
      <c r="K1637" s="89" t="s">
        <v>1381</v>
      </c>
      <c r="L1637" s="81">
        <v>1</v>
      </c>
      <c r="M1637" s="87">
        <v>1938</v>
      </c>
      <c r="N1637" s="85">
        <f>IFERROR(表格1[[#This Row],[QTY]]*表格1[[#This Row],[Unit Price]],"-")</f>
        <v>1938</v>
      </c>
      <c r="O1637" s="142" t="s">
        <v>1745</v>
      </c>
      <c r="R1637" s="86" t="str">
        <f>_xlfn.CONCAT(表格1[[#This Row],[Model]]," ",表格1[[#This Row],[inv no]])</f>
        <v>RC-15BHH(W) DA1423043</v>
      </c>
      <c r="S1637" s="86">
        <f>_xlfn.XLOOKUP(表格1[[#This Row],[Model]],表格3[Model-Input-Ref2],表格3[SRP PRICE])</f>
        <v>2388</v>
      </c>
      <c r="T1637" s="43">
        <f>表格1[[#This Row],[Unit Price]]/表格1[[#This Row],[SRP]]</f>
        <v>0.81155778894472363</v>
      </c>
      <c r="U1637" s="86" t="str">
        <f>_xlfn.XLOOKUP(表格1[[#This Row],[Model]],表格3[Model-Input-Ref2],表格3[TOSHIBA/HIGHEST])</f>
        <v>Toshiba SRP</v>
      </c>
      <c r="V1637" s="86" t="s">
        <v>1640</v>
      </c>
      <c r="W1637" s="86" t="str">
        <f>_xlfn.CONCAT(表格1[[#This Row],[欄4]],表格1[[#This Row],[inv no]])</f>
        <v>DA142DA1423043</v>
      </c>
    </row>
    <row r="1638" spans="1:23" hidden="1">
      <c r="A1638" s="81">
        <v>1636</v>
      </c>
      <c r="B1638" s="81" t="s">
        <v>1470</v>
      </c>
      <c r="C1638" s="81" t="s">
        <v>1374</v>
      </c>
      <c r="D1638" s="82" t="str">
        <f ca="1">OFFSET(Roster!$A$3,MATCH(表格1[[#This Row],[Location]]&amp;" "&amp;表格1[[#This Row],[Shop]]&amp;"*",Roster!$A$4:$A$72,0),DAY(表格1[[#This Row],[date]]),1,1)</f>
        <v>Daisy</v>
      </c>
      <c r="E1638" s="81">
        <f>MONTH(表格1[[#This Row],[date]])</f>
        <v>3</v>
      </c>
      <c r="F1638" s="90">
        <v>46111</v>
      </c>
      <c r="G1638" s="81" t="str">
        <f>VLOOKUP("*"&amp;表格1[[#This Row],[Input]]&amp;"*",'Ref-List'!$B:$D,2,)</f>
        <v>RC-18NMFIH(WT)</v>
      </c>
      <c r="H1638" s="81" t="str">
        <f>_xlfn.XLOOKUP(表格1[[#This Row],[Model]],表格3[Model-Input-Ref2],表格3[Product Line])</f>
        <v>4毫米厚釜電飯煲1.8L</v>
      </c>
      <c r="I1638" s="81" t="str">
        <f>_xlfn.XLOOKUP(表格1[[#This Row],[Model]],表格3[Model-Input-Ref2],表格3[大小電])</f>
        <v>細電</v>
      </c>
      <c r="J1638" s="81" t="str">
        <f>_xlfn.XLOOKUP(表格1[[#This Row],[Model]],表格3[Model-Input-Ref2],表格3[Code])</f>
        <v>SDA</v>
      </c>
      <c r="K1638" s="89" t="s">
        <v>1267</v>
      </c>
      <c r="L1638" s="86">
        <v>1</v>
      </c>
      <c r="M1638" s="87">
        <v>788</v>
      </c>
      <c r="N1638" s="85">
        <f>IFERROR(表格1[[#This Row],[QTY]]*表格1[[#This Row],[Unit Price]],"-")</f>
        <v>788</v>
      </c>
      <c r="O1638" s="142" t="s">
        <v>1746</v>
      </c>
      <c r="R1638" s="86" t="str">
        <f>_xlfn.CONCAT(表格1[[#This Row],[Model]]," ",表格1[[#This Row],[inv no]])</f>
        <v>RC-18NMFIH(WT) DA1423123</v>
      </c>
      <c r="S1638" s="86">
        <f>_xlfn.XLOOKUP(表格1[[#This Row],[Model]],表格3[Model-Input-Ref2],表格3[SRP PRICE])</f>
        <v>998</v>
      </c>
      <c r="T1638" s="43">
        <f>表格1[[#This Row],[Unit Price]]/表格1[[#This Row],[SRP]]</f>
        <v>0.78957915831663328</v>
      </c>
      <c r="U1638" s="86" t="str">
        <f>_xlfn.XLOOKUP(表格1[[#This Row],[Model]],表格3[Model-Input-Ref2],表格3[TOSHIBA/HIGHEST])</f>
        <v>Toshiba SRP</v>
      </c>
      <c r="V1638" s="86" t="s">
        <v>1640</v>
      </c>
      <c r="W1638" s="86" t="str">
        <f>_xlfn.CONCAT(表格1[[#This Row],[欄4]],表格1[[#This Row],[inv no]])</f>
        <v>DA142DA1423123</v>
      </c>
    </row>
    <row r="1639" spans="1:23" hidden="1">
      <c r="A1639" s="81">
        <v>1637</v>
      </c>
      <c r="B1639" s="81" t="s">
        <v>1470</v>
      </c>
      <c r="C1639" s="81" t="s">
        <v>1374</v>
      </c>
      <c r="D1639" s="82" t="str">
        <f ca="1">OFFSET(Roster!$A$3,MATCH(表格1[[#This Row],[Location]]&amp;" "&amp;表格1[[#This Row],[Shop]]&amp;"*",Roster!$A$4:$A$72,0),DAY(表格1[[#This Row],[date]]),1,1)</f>
        <v>Daisy</v>
      </c>
      <c r="E1639" s="81">
        <f>MONTH(表格1[[#This Row],[date]])</f>
        <v>3</v>
      </c>
      <c r="F1639" s="90">
        <v>46111</v>
      </c>
      <c r="G1639" s="81" t="str">
        <f>VLOOKUP("*"&amp;表格1[[#This Row],[Input]]&amp;"*",'Ref-List'!$B:$D,2,)</f>
        <v>RC-10ISSHK(W)</v>
      </c>
      <c r="H1639" s="81" t="str">
        <f>_xlfn.XLOOKUP(表格1[[#This Row],[Model]],表格3[Model-Input-Ref2],表格3[Product Line])</f>
        <v>磁應電飯煲(1公升)</v>
      </c>
      <c r="I1639" s="81" t="str">
        <f>_xlfn.XLOOKUP(表格1[[#This Row],[Model]],表格3[Model-Input-Ref2],表格3[大小電])</f>
        <v>細電</v>
      </c>
      <c r="J1639" s="81" t="str">
        <f>_xlfn.XLOOKUP(表格1[[#This Row],[Model]],表格3[Model-Input-Ref2],表格3[Code])</f>
        <v>SDA</v>
      </c>
      <c r="K1639" s="89" t="s">
        <v>1286</v>
      </c>
      <c r="L1639" s="81">
        <v>1</v>
      </c>
      <c r="M1639" s="87">
        <v>898</v>
      </c>
      <c r="N1639" s="85">
        <f>IFERROR(表格1[[#This Row],[QTY]]*表格1[[#This Row],[Unit Price]],"-")</f>
        <v>898</v>
      </c>
      <c r="O1639" s="142" t="s">
        <v>1747</v>
      </c>
      <c r="R1639" s="86" t="str">
        <f>_xlfn.CONCAT(表格1[[#This Row],[Model]]," ",表格1[[#This Row],[inv no]])</f>
        <v>RC-10ISSHK(W) DA1423127</v>
      </c>
      <c r="S1639" s="86">
        <f>_xlfn.XLOOKUP(表格1[[#This Row],[Model]],表格3[Model-Input-Ref2],表格3[SRP PRICE])</f>
        <v>1188</v>
      </c>
      <c r="T1639" s="43">
        <f>表格1[[#This Row],[Unit Price]]/表格1[[#This Row],[SRP]]</f>
        <v>0.75589225589225584</v>
      </c>
      <c r="U1639" s="86" t="str">
        <f>_xlfn.XLOOKUP(表格1[[#This Row],[Model]],表格3[Model-Input-Ref2],表格3[TOSHIBA/HIGHEST])</f>
        <v>Shops Highest Price</v>
      </c>
      <c r="V1639" s="86" t="s">
        <v>1640</v>
      </c>
      <c r="W1639" s="86" t="str">
        <f>_xlfn.CONCAT(表格1[[#This Row],[欄4]],表格1[[#This Row],[inv no]])</f>
        <v>DA142DA1423127</v>
      </c>
    </row>
    <row r="1640" spans="1:23" hidden="1">
      <c r="A1640" s="81">
        <v>1638</v>
      </c>
      <c r="B1640" s="81" t="s">
        <v>1470</v>
      </c>
      <c r="C1640" s="81" t="s">
        <v>1374</v>
      </c>
      <c r="D1640" s="82" t="str">
        <f ca="1">OFFSET(Roster!$A$3,MATCH(表格1[[#This Row],[Location]]&amp;" "&amp;表格1[[#This Row],[Shop]]&amp;"*",Roster!$A$4:$A$72,0),DAY(表格1[[#This Row],[date]]),1,1)</f>
        <v>Daisy</v>
      </c>
      <c r="E1640" s="81">
        <f>MONTH(表格1[[#This Row],[date]])</f>
        <v>3</v>
      </c>
      <c r="F1640" s="90">
        <v>46111</v>
      </c>
      <c r="G1640" s="81" t="str">
        <f>VLOOKUP("*"&amp;表格1[[#This Row],[Input]]&amp;"*",'Ref-List'!$B:$D,2,)</f>
        <v>RC-7HMH</v>
      </c>
      <c r="H1640" s="81" t="str">
        <f>_xlfn.XLOOKUP(表格1[[#This Row],[Model]],表格3[Model-Input-Ref2],表格3[Product Line])</f>
        <v>備長炭本厚釜電飯煲0.7L</v>
      </c>
      <c r="I1640" s="81" t="str">
        <f>_xlfn.XLOOKUP(表格1[[#This Row],[Model]],表格3[Model-Input-Ref2],表格3[大小電])</f>
        <v>細電</v>
      </c>
      <c r="J1640" s="81" t="str">
        <f>_xlfn.XLOOKUP(表格1[[#This Row],[Model]],表格3[Model-Input-Ref2],表格3[Code])</f>
        <v>SDA</v>
      </c>
      <c r="K1640" s="89" t="s">
        <v>1284</v>
      </c>
      <c r="L1640" s="86">
        <v>1</v>
      </c>
      <c r="M1640" s="87">
        <v>788</v>
      </c>
      <c r="N1640" s="85">
        <f>IFERROR(表格1[[#This Row],[QTY]]*表格1[[#This Row],[Unit Price]],"-")</f>
        <v>788</v>
      </c>
      <c r="O1640" s="142" t="s">
        <v>1748</v>
      </c>
      <c r="R1640" s="86" t="str">
        <f>_xlfn.CONCAT(表格1[[#This Row],[Model]]," ",表格1[[#This Row],[inv no]])</f>
        <v>RC-7HMH DA1423159</v>
      </c>
      <c r="S1640" s="86">
        <f>_xlfn.XLOOKUP(表格1[[#This Row],[Model]],表格3[Model-Input-Ref2],表格3[SRP PRICE])</f>
        <v>1288</v>
      </c>
      <c r="T1640" s="43">
        <f>表格1[[#This Row],[Unit Price]]/表格1[[#This Row],[SRP]]</f>
        <v>0.61180124223602483</v>
      </c>
      <c r="U1640" s="86" t="str">
        <f>_xlfn.XLOOKUP(表格1[[#This Row],[Model]],表格3[Model-Input-Ref2],表格3[TOSHIBA/HIGHEST])</f>
        <v>Toshiba SRP</v>
      </c>
      <c r="V1640" s="86" t="s">
        <v>1640</v>
      </c>
      <c r="W1640" s="86" t="str">
        <f>_xlfn.CONCAT(表格1[[#This Row],[欄4]],表格1[[#This Row],[inv no]])</f>
        <v>DA142DA1423159</v>
      </c>
    </row>
    <row r="1641" spans="1:23" hidden="1">
      <c r="A1641" s="81">
        <v>1639</v>
      </c>
      <c r="B1641" s="81" t="s">
        <v>1470</v>
      </c>
      <c r="C1641" s="81" t="s">
        <v>1374</v>
      </c>
      <c r="D1641" s="82" t="str">
        <f ca="1">OFFSET(Roster!$A$3,MATCH(表格1[[#This Row],[Location]]&amp;" "&amp;表格1[[#This Row],[Shop]]&amp;"*",Roster!$A$4:$A$72,0),DAY(表格1[[#This Row],[date]]),1,1)</f>
        <v>Daisy</v>
      </c>
      <c r="E1641" s="81">
        <f>MONTH(表格1[[#This Row],[date]])</f>
        <v>3</v>
      </c>
      <c r="F1641" s="90">
        <v>46111</v>
      </c>
      <c r="G1641" s="81" t="str">
        <f>VLOOKUP("*"&amp;表格1[[#This Row],[Input]]&amp;"*",'Ref-List'!$B:$D,2,)</f>
        <v>RAD-D300H</v>
      </c>
      <c r="H1641" s="81" t="str">
        <f>_xlfn.XLOOKUP(表格1[[#This Row],[Model]],表格3[Model-Input-Ref2],表格3[Product Line])</f>
        <v>壓縮式抽濕機 (30公升)</v>
      </c>
      <c r="I1641" s="81" t="str">
        <f>_xlfn.XLOOKUP(表格1[[#This Row],[Model]],表格3[Model-Input-Ref2],表格3[大小電])</f>
        <v>細電</v>
      </c>
      <c r="J1641" s="81" t="str">
        <f>_xlfn.XLOOKUP(表格1[[#This Row],[Model]],表格3[Model-Input-Ref2],表格3[Code])</f>
        <v>RAC</v>
      </c>
      <c r="K1641" s="89" t="s">
        <v>1252</v>
      </c>
      <c r="L1641" s="81">
        <v>1</v>
      </c>
      <c r="M1641" s="87">
        <v>2073</v>
      </c>
      <c r="N1641" s="85">
        <f>IFERROR(表格1[[#This Row],[QTY]]*表格1[[#This Row],[Unit Price]],"-")</f>
        <v>2073</v>
      </c>
      <c r="O1641" s="142" t="s">
        <v>1749</v>
      </c>
      <c r="R1641" s="86" t="str">
        <f>_xlfn.CONCAT(表格1[[#This Row],[Model]]," ",表格1[[#This Row],[inv no]])</f>
        <v>RAD-D300H DA1423163</v>
      </c>
      <c r="S1641" s="86">
        <f>_xlfn.XLOOKUP(表格1[[#This Row],[Model]],表格3[Model-Input-Ref2],表格3[SRP PRICE])</f>
        <v>3380</v>
      </c>
      <c r="T1641" s="43">
        <f>表格1[[#This Row],[Unit Price]]/表格1[[#This Row],[SRP]]</f>
        <v>0.61331360946745561</v>
      </c>
      <c r="U1641" s="86" t="str">
        <f>_xlfn.XLOOKUP(表格1[[#This Row],[Model]],表格3[Model-Input-Ref2],表格3[TOSHIBA/HIGHEST])</f>
        <v>Shops Highest Price</v>
      </c>
      <c r="V1641" s="86" t="s">
        <v>1640</v>
      </c>
      <c r="W1641" s="86" t="str">
        <f>_xlfn.CONCAT(表格1[[#This Row],[欄4]],表格1[[#This Row],[inv no]])</f>
        <v>DA142DA1423163</v>
      </c>
    </row>
    <row r="1642" spans="1:23" hidden="1">
      <c r="A1642" s="81">
        <v>1640</v>
      </c>
      <c r="B1642" s="81" t="s">
        <v>1470</v>
      </c>
      <c r="C1642" s="81" t="s">
        <v>1374</v>
      </c>
      <c r="D1642" s="82" t="str">
        <f ca="1">OFFSET(Roster!$A$3,MATCH(表格1[[#This Row],[Location]]&amp;" "&amp;表格1[[#This Row],[Shop]]&amp;"*",Roster!$A$4:$A$72,0),DAY(表格1[[#This Row],[date]]),1,1)</f>
        <v>Daisy</v>
      </c>
      <c r="E1642" s="81">
        <f>MONTH(表格1[[#This Row],[date]])</f>
        <v>3</v>
      </c>
      <c r="F1642" s="90">
        <v>46111</v>
      </c>
      <c r="G1642" s="81" t="str">
        <f>VLOOKUP("*"&amp;表格1[[#This Row],[Input]]&amp;"*",'Ref-List'!$B:$D,2,)</f>
        <v>TWP-W2265THK(W)</v>
      </c>
      <c r="H1642" s="81" t="str">
        <f>_xlfn.XLOOKUP(表格1[[#This Row],[Model]],表格3[Model-Input-Ref2],表格3[Product Line])</f>
        <v>RO座檯式冷熱飲水機</v>
      </c>
      <c r="I1642" s="81" t="str">
        <f>_xlfn.XLOOKUP(表格1[[#This Row],[Model]],表格3[Model-Input-Ref2],表格3[大小電])</f>
        <v>細電</v>
      </c>
      <c r="J1642" s="81" t="str">
        <f>_xlfn.XLOOKUP(表格1[[#This Row],[Model]],表格3[Model-Input-Ref2],表格3[Code])</f>
        <v>KWH</v>
      </c>
      <c r="K1642" s="89" t="s">
        <v>1694</v>
      </c>
      <c r="L1642" s="86">
        <v>1</v>
      </c>
      <c r="M1642" s="87">
        <v>2888</v>
      </c>
      <c r="N1642" s="85">
        <f>IFERROR(表格1[[#This Row],[QTY]]*表格1[[#This Row],[Unit Price]],"-")</f>
        <v>2888</v>
      </c>
      <c r="O1642" s="142" t="s">
        <v>1750</v>
      </c>
      <c r="R1642" s="86" t="str">
        <f>_xlfn.CONCAT(表格1[[#This Row],[Model]]," ",表格1[[#This Row],[inv no]])</f>
        <v>TWP-W2265THK(W) DA1423219</v>
      </c>
      <c r="S1642" s="86">
        <f>_xlfn.XLOOKUP(表格1[[#This Row],[Model]],表格3[Model-Input-Ref2],表格3[SRP PRICE])</f>
        <v>3480</v>
      </c>
      <c r="T1642" s="43">
        <f>表格1[[#This Row],[Unit Price]]/表格1[[#This Row],[SRP]]</f>
        <v>0.8298850574712644</v>
      </c>
      <c r="U1642" s="86" t="str">
        <f>_xlfn.XLOOKUP(表格1[[#This Row],[Model]],表格3[Model-Input-Ref2],表格3[TOSHIBA/HIGHEST])</f>
        <v>Shops Highest Price</v>
      </c>
      <c r="V1642" s="86" t="s">
        <v>1640</v>
      </c>
      <c r="W1642" s="86" t="str">
        <f>_xlfn.CONCAT(表格1[[#This Row],[欄4]],表格1[[#This Row],[inv no]])</f>
        <v>DA142DA1423219</v>
      </c>
    </row>
    <row r="1643" spans="1:23" hidden="1">
      <c r="A1643" s="81">
        <v>1641</v>
      </c>
      <c r="B1643" s="81" t="s">
        <v>1470</v>
      </c>
      <c r="C1643" s="81" t="s">
        <v>1374</v>
      </c>
      <c r="D1643" s="82" t="str">
        <f ca="1">OFFSET(Roster!$A$3,MATCH(表格1[[#This Row],[Location]]&amp;" "&amp;表格1[[#This Row],[Shop]]&amp;"*",Roster!$A$4:$A$72,0),DAY(表格1[[#This Row],[date]]),1,1)</f>
        <v>Daisy</v>
      </c>
      <c r="E1643" s="81">
        <f>MONTH(表格1[[#This Row],[date]])</f>
        <v>3</v>
      </c>
      <c r="F1643" s="90">
        <v>46111</v>
      </c>
      <c r="G1643" s="81" t="str">
        <f>VLOOKUP("*"&amp;表格1[[#This Row],[Input]]&amp;"*",'Ref-List'!$B:$D,2,)</f>
        <v>MM-2MM20PC(WH)</v>
      </c>
      <c r="H1643" s="81" t="str">
        <f>_xlfn.XLOOKUP(表格1[[#This Row],[Model]],表格3[Model-Input-Ref2],表格3[Product Line])</f>
        <v>旋鈕式微波爐 (20公升)</v>
      </c>
      <c r="I1643" s="81" t="str">
        <f>_xlfn.XLOOKUP(表格1[[#This Row],[Model]],表格3[Model-Input-Ref2],表格3[大小電])</f>
        <v>細電</v>
      </c>
      <c r="J1643" s="81" t="str">
        <f>_xlfn.XLOOKUP(表格1[[#This Row],[Model]],表格3[Model-Input-Ref2],表格3[Code])</f>
        <v>MCA</v>
      </c>
      <c r="K1643" s="89" t="s">
        <v>1388</v>
      </c>
      <c r="L1643" s="86">
        <v>1</v>
      </c>
      <c r="M1643" s="87">
        <v>610</v>
      </c>
      <c r="N1643" s="85">
        <f>IFERROR(表格1[[#This Row],[QTY]]*表格1[[#This Row],[Unit Price]],"-")</f>
        <v>610</v>
      </c>
      <c r="O1643" s="142" t="s">
        <v>1751</v>
      </c>
      <c r="R1643" s="86" t="str">
        <f>_xlfn.CONCAT(表格1[[#This Row],[Model]]," ",表格1[[#This Row],[inv no]])</f>
        <v>MM-2MM20PC(WH) DA1423220</v>
      </c>
      <c r="S1643" s="86">
        <f>_xlfn.XLOOKUP(表格1[[#This Row],[Model]],表格3[Model-Input-Ref2],表格3[SRP PRICE])</f>
        <v>738</v>
      </c>
      <c r="T1643" s="43">
        <f>表格1[[#This Row],[Unit Price]]/表格1[[#This Row],[SRP]]</f>
        <v>0.82655826558265577</v>
      </c>
      <c r="U1643" s="86" t="str">
        <f>_xlfn.XLOOKUP(表格1[[#This Row],[Model]],表格3[Model-Input-Ref2],表格3[TOSHIBA/HIGHEST])</f>
        <v>Toshiba SRP</v>
      </c>
      <c r="V1643" s="86" t="s">
        <v>1640</v>
      </c>
      <c r="W1643" s="86" t="str">
        <f>_xlfn.CONCAT(表格1[[#This Row],[欄4]],表格1[[#This Row],[inv no]])</f>
        <v>DA142DA1423220</v>
      </c>
    </row>
    <row r="1644" spans="1:23" hidden="1">
      <c r="A1644" s="81">
        <v>1642</v>
      </c>
      <c r="B1644" s="81" t="s">
        <v>1470</v>
      </c>
      <c r="C1644" s="81" t="s">
        <v>1374</v>
      </c>
      <c r="D1644" s="82" t="str">
        <f ca="1">OFFSET(Roster!$A$3,MATCH(表格1[[#This Row],[Location]]&amp;" "&amp;表格1[[#This Row],[Shop]]&amp;"*",Roster!$A$4:$A$72,0),DAY(表格1[[#This Row],[date]]),1,1)</f>
        <v>Daisy</v>
      </c>
      <c r="E1644" s="81">
        <f>MONTH(表格1[[#This Row],[date]])</f>
        <v>3</v>
      </c>
      <c r="F1644" s="90">
        <v>46112</v>
      </c>
      <c r="G1644" s="81" t="str">
        <f>VLOOKUP("*"&amp;表格1[[#This Row],[Input]]&amp;"*",'Ref-List'!$B:$D,2,)</f>
        <v>KT-17DRTHK(H)</v>
      </c>
      <c r="H1644" s="81" t="str">
        <f>_xlfn.XLOOKUP(表格1[[#This Row],[Model]],表格3[Model-Input-Ref2],表格3[Product Line])</f>
        <v>無線雙層電熱水壺(1.7公升)</v>
      </c>
      <c r="I1644" s="81" t="str">
        <f>_xlfn.XLOOKUP(表格1[[#This Row],[Model]],表格3[Model-Input-Ref2],表格3[大小電])</f>
        <v>細電</v>
      </c>
      <c r="J1644" s="81" t="str">
        <f>_xlfn.XLOOKUP(表格1[[#This Row],[Model]],表格3[Model-Input-Ref2],表格3[Code])</f>
        <v>SDA</v>
      </c>
      <c r="K1644" s="89" t="s">
        <v>1271</v>
      </c>
      <c r="L1644" s="86">
        <v>1</v>
      </c>
      <c r="M1644" s="87">
        <v>358</v>
      </c>
      <c r="N1644" s="85">
        <f>IFERROR(表格1[[#This Row],[QTY]]*表格1[[#This Row],[Unit Price]],"-")</f>
        <v>358</v>
      </c>
      <c r="O1644" s="142" t="s">
        <v>1752</v>
      </c>
      <c r="R1644" s="86" t="str">
        <f>_xlfn.CONCAT(表格1[[#This Row],[Model]]," ",表格1[[#This Row],[inv no]])</f>
        <v>KT-17DRTHK(H) DA1423286</v>
      </c>
      <c r="S1644" s="86">
        <f>_xlfn.XLOOKUP(表格1[[#This Row],[Model]],表格3[Model-Input-Ref2],表格3[SRP PRICE])</f>
        <v>498</v>
      </c>
      <c r="T1644" s="43">
        <f>表格1[[#This Row],[Unit Price]]/表格1[[#This Row],[SRP]]</f>
        <v>0.71887550200803207</v>
      </c>
      <c r="U1644" s="86" t="str">
        <f>_xlfn.XLOOKUP(表格1[[#This Row],[Model]],表格3[Model-Input-Ref2],表格3[TOSHIBA/HIGHEST])</f>
        <v>Toshiba SRP</v>
      </c>
      <c r="V1644" s="86" t="s">
        <v>1640</v>
      </c>
      <c r="W1644" s="86" t="str">
        <f>_xlfn.CONCAT(表格1[[#This Row],[欄4]],表格1[[#This Row],[inv no]])</f>
        <v>DA142DA1423286</v>
      </c>
    </row>
    <row r="1645" spans="1:23" hidden="1">
      <c r="A1645" s="81">
        <v>1643</v>
      </c>
      <c r="B1645" s="81" t="s">
        <v>1470</v>
      </c>
      <c r="C1645" s="81" t="s">
        <v>1374</v>
      </c>
      <c r="D1645" s="82" t="str">
        <f ca="1">OFFSET(Roster!$A$3,MATCH(表格1[[#This Row],[Location]]&amp;" "&amp;表格1[[#This Row],[Shop]]&amp;"*",Roster!$A$4:$A$72,0),DAY(表格1[[#This Row],[date]]),1,1)</f>
        <v>Daisy</v>
      </c>
      <c r="E1645" s="81">
        <f>MONTH(表格1[[#This Row],[date]])</f>
        <v>3</v>
      </c>
      <c r="F1645" s="90">
        <v>46112</v>
      </c>
      <c r="G1645" s="81" t="str">
        <f>VLOOKUP("*"&amp;表格1[[#This Row],[Input]]&amp;"*",'Ref-List'!$B:$D,2,)</f>
        <v>RAC-07G3CVRGR-HK</v>
      </c>
      <c r="H1645" s="81" t="str">
        <f>_xlfn.XLOOKUP(表格1[[#This Row],[Model]],表格3[Model-Input-Ref2],表格3[Product Line])</f>
        <v>3/4 匹 窗口式冷氣機(remote)</v>
      </c>
      <c r="I1645" s="81" t="str">
        <f>_xlfn.XLOOKUP(表格1[[#This Row],[Model]],表格3[Model-Input-Ref2],表格3[大小電])</f>
        <v>大電</v>
      </c>
      <c r="J1645" s="81" t="str">
        <f>_xlfn.XLOOKUP(表格1[[#This Row],[Model]],表格3[Model-Input-Ref2],表格3[Code])</f>
        <v>AC</v>
      </c>
      <c r="K1645" s="89" t="s">
        <v>656</v>
      </c>
      <c r="L1645" s="86">
        <v>1</v>
      </c>
      <c r="M1645" s="87">
        <v>3390</v>
      </c>
      <c r="N1645" s="85">
        <f>IFERROR(表格1[[#This Row],[QTY]]*表格1[[#This Row],[Unit Price]],"-")</f>
        <v>3390</v>
      </c>
      <c r="O1645" s="142" t="s">
        <v>1753</v>
      </c>
      <c r="R1645" s="86" t="str">
        <f>_xlfn.CONCAT(表格1[[#This Row],[Model]]," ",表格1[[#This Row],[inv no]])</f>
        <v>RAC-07G3CVRGR-HK DA1423373</v>
      </c>
      <c r="S1645" s="86">
        <f>_xlfn.XLOOKUP(表格1[[#This Row],[Model]],表格3[Model-Input-Ref2],表格3[SRP PRICE])</f>
        <v>5580</v>
      </c>
      <c r="T1645" s="43">
        <f>表格1[[#This Row],[Unit Price]]/表格1[[#This Row],[SRP]]</f>
        <v>0.60752688172043012</v>
      </c>
      <c r="U1645" s="86" t="str">
        <f>_xlfn.XLOOKUP(表格1[[#This Row],[Model]],表格3[Model-Input-Ref2],表格3[TOSHIBA/HIGHEST])</f>
        <v>Toshiba SRP</v>
      </c>
      <c r="V1645" s="86" t="s">
        <v>1640</v>
      </c>
      <c r="W1645" s="86" t="str">
        <f>_xlfn.CONCAT(表格1[[#This Row],[欄4]],表格1[[#This Row],[inv no]])</f>
        <v>DA142DA1423373</v>
      </c>
    </row>
    <row r="1646" spans="1:23" hidden="1">
      <c r="A1646" s="81">
        <v>1644</v>
      </c>
      <c r="B1646" s="81" t="s">
        <v>1470</v>
      </c>
      <c r="C1646" s="81" t="s">
        <v>1374</v>
      </c>
      <c r="D1646" s="82" t="str">
        <f ca="1">OFFSET(Roster!$A$3,MATCH(表格1[[#This Row],[Location]]&amp;" "&amp;表格1[[#This Row],[Shop]]&amp;"*",Roster!$A$4:$A$72,0),DAY(表格1[[#This Row],[date]]),1,1)</f>
        <v>Daisy</v>
      </c>
      <c r="E1646" s="81">
        <f>MONTH(表格1[[#This Row],[date]])</f>
        <v>3</v>
      </c>
      <c r="F1646" s="90">
        <v>46112</v>
      </c>
      <c r="G1646" s="81" t="str">
        <f>VLOOKUP("*"&amp;表格1[[#This Row],[Input]]&amp;"*",'Ref-List'!$B:$D,2,)</f>
        <v>RAC-18G3CVG-HK</v>
      </c>
      <c r="H1646" s="81" t="str">
        <f>_xlfn.XLOOKUP(表格1[[#This Row],[Model]],表格3[Model-Input-Ref2],表格3[Product Line])</f>
        <v>2 匹 R32變頻窗口式冷氣機</v>
      </c>
      <c r="I1646" s="81" t="str">
        <f>_xlfn.XLOOKUP(表格1[[#This Row],[Model]],表格3[Model-Input-Ref2],表格3[大小電])</f>
        <v>大電</v>
      </c>
      <c r="J1646" s="81" t="str">
        <f>_xlfn.XLOOKUP(表格1[[#This Row],[Model]],表格3[Model-Input-Ref2],表格3[Code])</f>
        <v>AC</v>
      </c>
      <c r="K1646" s="89" t="s">
        <v>1697</v>
      </c>
      <c r="L1646" s="86">
        <v>2</v>
      </c>
      <c r="M1646" s="87">
        <v>6390</v>
      </c>
      <c r="N1646" s="85">
        <f>IFERROR(表格1[[#This Row],[QTY]]*表格1[[#This Row],[Unit Price]],"-")</f>
        <v>12780</v>
      </c>
      <c r="O1646" s="142" t="s">
        <v>1754</v>
      </c>
      <c r="R1646" s="86" t="str">
        <f>_xlfn.CONCAT(表格1[[#This Row],[Model]]," ",表格1[[#This Row],[inv no]])</f>
        <v>RAC-18G3CVG-HK DA1423372</v>
      </c>
      <c r="S1646" s="86">
        <f>_xlfn.XLOOKUP(表格1[[#This Row],[Model]],表格3[Model-Input-Ref2],表格3[SRP PRICE])</f>
        <v>9680</v>
      </c>
      <c r="T1646" s="43">
        <f>表格1[[#This Row],[Unit Price]]/表格1[[#This Row],[SRP]]</f>
        <v>0.66012396694214881</v>
      </c>
      <c r="U1646" s="86" t="str">
        <f>_xlfn.XLOOKUP(表格1[[#This Row],[Model]],表格3[Model-Input-Ref2],表格3[TOSHIBA/HIGHEST])</f>
        <v>Toshiba SRP</v>
      </c>
      <c r="V1646" s="86" t="s">
        <v>1640</v>
      </c>
      <c r="W1646" s="86" t="str">
        <f>_xlfn.CONCAT(表格1[[#This Row],[欄4]],表格1[[#This Row],[inv no]])</f>
        <v>DA142DA1423372</v>
      </c>
    </row>
    <row r="1647" spans="1:23" hidden="1">
      <c r="A1647" s="81">
        <v>1645</v>
      </c>
      <c r="B1647" s="81" t="s">
        <v>1203</v>
      </c>
      <c r="C1647" s="81" t="s">
        <v>1759</v>
      </c>
      <c r="D1647" s="82" t="str">
        <f ca="1">OFFSET(Roster!$A$3,MATCH(表格1[[#This Row],[Location]]&amp;" "&amp;表格1[[#This Row],[Shop]]&amp;"*",Roster!$A$4:$A$72,0),DAY(表格1[[#This Row],[date]]),1,1)</f>
        <v>Wendy Lau</v>
      </c>
      <c r="E1647" s="81">
        <f>MONTH(表格1[[#This Row],[date]])</f>
        <v>3</v>
      </c>
      <c r="F1647" s="90">
        <v>46082</v>
      </c>
      <c r="G1647" s="81" t="str">
        <f>VLOOKUP("*"&amp;表格1[[#This Row],[Input]]&amp;"*",'Ref-List'!$B:$D,2,)</f>
        <v>PLK-45SFIH(WT)</v>
      </c>
      <c r="H1647" s="81" t="str">
        <f>_xlfn.XLOOKUP(表格1[[#This Row],[Model]],表格3[Model-Input-Ref2],表格3[Product Line])</f>
        <v>電熱水瓶4.5L</v>
      </c>
      <c r="I1647" s="81" t="str">
        <f>_xlfn.XLOOKUP(表格1[[#This Row],[Model]],表格3[Model-Input-Ref2],表格3[大小電])</f>
        <v>細電</v>
      </c>
      <c r="J1647" s="81" t="str">
        <f>_xlfn.XLOOKUP(表格1[[#This Row],[Model]],表格3[Model-Input-Ref2],表格3[Code])</f>
        <v>SDA</v>
      </c>
      <c r="K1647" s="89" t="s">
        <v>1117</v>
      </c>
      <c r="L1647" s="86">
        <v>1</v>
      </c>
      <c r="M1647" s="87">
        <v>500</v>
      </c>
      <c r="N1647" s="85">
        <f>IFERROR(表格1[[#This Row],[QTY]]*表格1[[#This Row],[Unit Price]],"-")</f>
        <v>500</v>
      </c>
      <c r="O1647" s="142">
        <v>6027009</v>
      </c>
      <c r="R1647" s="86" t="str">
        <f>_xlfn.CONCAT(表格1[[#This Row],[Model]]," ",表格1[[#This Row],[inv no]])</f>
        <v>PLK-45SFIH(WT) 6027009</v>
      </c>
      <c r="S1647" s="86">
        <f>_xlfn.XLOOKUP(表格1[[#This Row],[Model]],表格3[Model-Input-Ref2],表格3[SRP PRICE])</f>
        <v>788</v>
      </c>
      <c r="T1647" s="43">
        <f>表格1[[#This Row],[Unit Price]]/表格1[[#This Row],[SRP]]</f>
        <v>0.63451776649746194</v>
      </c>
      <c r="U1647" s="86" t="str">
        <f>_xlfn.XLOOKUP(表格1[[#This Row],[Model]],表格3[Model-Input-Ref2],表格3[TOSHIBA/HIGHEST])</f>
        <v>Toshiba SRP</v>
      </c>
      <c r="V1647" s="86" t="s">
        <v>1640</v>
      </c>
      <c r="W1647" s="86" t="str">
        <f>_xlfn.CONCAT(表格1[[#This Row],[欄4]],表格1[[#This Row],[inv no]])</f>
        <v>DA1426027009</v>
      </c>
    </row>
    <row r="1648" spans="1:23" hidden="1">
      <c r="A1648" s="81">
        <v>1646</v>
      </c>
      <c r="B1648" s="81" t="s">
        <v>1203</v>
      </c>
      <c r="C1648" s="81" t="s">
        <v>1759</v>
      </c>
      <c r="D1648" s="82" t="str">
        <f ca="1">OFFSET(Roster!$A$3,MATCH(表格1[[#This Row],[Location]]&amp;" "&amp;表格1[[#This Row],[Shop]]&amp;"*",Roster!$A$4:$A$72,0),DAY(表格1[[#This Row],[date]]),1,1)</f>
        <v>Wendy Lau</v>
      </c>
      <c r="E1648" s="81">
        <f>MONTH(表格1[[#This Row],[date]])</f>
        <v>3</v>
      </c>
      <c r="F1648" s="90">
        <v>46082</v>
      </c>
      <c r="G1648" s="81" t="str">
        <f>VLOOKUP("*"&amp;表格1[[#This Row],[Input]]&amp;"*",'Ref-List'!$B:$D,2,)</f>
        <v>KT-17SH1NH</v>
      </c>
      <c r="H1648" s="81" t="str">
        <f>_xlfn.XLOOKUP(表格1[[#This Row],[Model]],表格3[Model-Input-Ref2],表格3[Product Line])</f>
        <v>1.7L無線雙層電熱水壺(有窗)</v>
      </c>
      <c r="I1648" s="81" t="str">
        <f>_xlfn.XLOOKUP(表格1[[#This Row],[Model]],表格3[Model-Input-Ref2],表格3[大小電])</f>
        <v>細電</v>
      </c>
      <c r="J1648" s="81" t="str">
        <f>_xlfn.XLOOKUP(表格1[[#This Row],[Model]],表格3[Model-Input-Ref2],表格3[Code])</f>
        <v>SDA</v>
      </c>
      <c r="K1648" s="89" t="s">
        <v>1387</v>
      </c>
      <c r="L1648" s="86">
        <v>1</v>
      </c>
      <c r="M1648" s="87">
        <v>298</v>
      </c>
      <c r="N1648" s="85">
        <f>IFERROR(表格1[[#This Row],[QTY]]*表格1[[#This Row],[Unit Price]],"-")</f>
        <v>298</v>
      </c>
      <c r="O1648" s="142">
        <v>7038085</v>
      </c>
      <c r="R1648" s="86" t="str">
        <f>_xlfn.CONCAT(表格1[[#This Row],[Model]]," ",表格1[[#This Row],[inv no]])</f>
        <v>KT-17SH1NH 7038085</v>
      </c>
      <c r="S1648" s="86">
        <f>_xlfn.XLOOKUP(表格1[[#This Row],[Model]],表格3[Model-Input-Ref2],表格3[SRP PRICE])</f>
        <v>398</v>
      </c>
      <c r="T1648" s="43">
        <f>表格1[[#This Row],[Unit Price]]/表格1[[#This Row],[SRP]]</f>
        <v>0.74874371859296485</v>
      </c>
      <c r="U1648" s="86" t="str">
        <f>_xlfn.XLOOKUP(表格1[[#This Row],[Model]],表格3[Model-Input-Ref2],表格3[TOSHIBA/HIGHEST])</f>
        <v>Toshiba SRP</v>
      </c>
      <c r="V1648" s="86" t="s">
        <v>1640</v>
      </c>
      <c r="W1648" s="86" t="str">
        <f>_xlfn.CONCAT(表格1[[#This Row],[欄4]],表格1[[#This Row],[inv no]])</f>
        <v>DA1427038085</v>
      </c>
    </row>
    <row r="1649" spans="1:23" hidden="1">
      <c r="A1649" s="81">
        <v>1647</v>
      </c>
      <c r="B1649" s="81" t="s">
        <v>1203</v>
      </c>
      <c r="C1649" s="81" t="s">
        <v>1759</v>
      </c>
      <c r="D1649" s="82" t="str">
        <f ca="1">OFFSET(Roster!$A$3,MATCH(表格1[[#This Row],[Location]]&amp;" "&amp;表格1[[#This Row],[Shop]]&amp;"*",Roster!$A$4:$A$72,0),DAY(表格1[[#This Row],[date]]),1,1)</f>
        <v>Wendy Lau</v>
      </c>
      <c r="E1649" s="81">
        <f>MONTH(表格1[[#This Row],[date]])</f>
        <v>3</v>
      </c>
      <c r="F1649" s="90">
        <v>46089</v>
      </c>
      <c r="G1649" s="81" t="str">
        <f>VLOOKUP("*"&amp;表格1[[#This Row],[Input]]&amp;"*",'Ref-List'!$B:$D,2,)</f>
        <v>AW-M901BPH(WW)</v>
      </c>
      <c r="H1649" s="81" t="str">
        <f>_xlfn.XLOOKUP(表格1[[#This Row],[Model]],表格3[Model-Input-Ref2],表格3[Product Line])</f>
        <v>全自動洗衣機 (8公斤 結合高低水位)</v>
      </c>
      <c r="I1649" s="81" t="str">
        <f>_xlfn.XLOOKUP(表格1[[#This Row],[Model]],表格3[Model-Input-Ref2],表格3[大小電])</f>
        <v>大電</v>
      </c>
      <c r="J1649" s="81" t="str">
        <f>_xlfn.XLOOKUP(表格1[[#This Row],[Model]],表格3[Model-Input-Ref2],表格3[Code])</f>
        <v>WM</v>
      </c>
      <c r="K1649" s="89" t="s">
        <v>1202</v>
      </c>
      <c r="L1649" s="86">
        <v>1</v>
      </c>
      <c r="M1649" s="87">
        <v>1500</v>
      </c>
      <c r="N1649" s="85">
        <f>IFERROR(表格1[[#This Row],[QTY]]*表格1[[#This Row],[Unit Price]],"-")</f>
        <v>1500</v>
      </c>
      <c r="O1649" s="142">
        <v>6027387</v>
      </c>
      <c r="R1649" s="86" t="str">
        <f>_xlfn.CONCAT(表格1[[#This Row],[Model]]," ",表格1[[#This Row],[inv no]])</f>
        <v>AW-M901BPH(WW) 6027387</v>
      </c>
      <c r="S1649" s="86">
        <f>_xlfn.XLOOKUP(表格1[[#This Row],[Model]],表格3[Model-Input-Ref2],表格3[SRP PRICE])</f>
        <v>3580</v>
      </c>
      <c r="T1649" s="43">
        <f>表格1[[#This Row],[Unit Price]]/表格1[[#This Row],[SRP]]</f>
        <v>0.41899441340782123</v>
      </c>
      <c r="U1649" s="86" t="str">
        <f>_xlfn.XLOOKUP(表格1[[#This Row],[Model]],表格3[Model-Input-Ref2],表格3[TOSHIBA/HIGHEST])</f>
        <v>Toshiba SRP</v>
      </c>
      <c r="V1649" s="86" t="s">
        <v>1640</v>
      </c>
      <c r="W1649" s="86" t="str">
        <f>_xlfn.CONCAT(表格1[[#This Row],[欄4]],表格1[[#This Row],[inv no]])</f>
        <v>DA1426027387</v>
      </c>
    </row>
    <row r="1650" spans="1:23" hidden="1">
      <c r="A1650" s="81">
        <v>1648</v>
      </c>
      <c r="B1650" s="81" t="s">
        <v>1203</v>
      </c>
      <c r="C1650" s="81" t="s">
        <v>1759</v>
      </c>
      <c r="D1650" s="82" t="str">
        <f ca="1">OFFSET(Roster!$A$3,MATCH(表格1[[#This Row],[Location]]&amp;" "&amp;表格1[[#This Row],[Shop]]&amp;"*",Roster!$A$4:$A$72,0),DAY(表格1[[#This Row],[date]]),1,1)</f>
        <v>Wendy Lau</v>
      </c>
      <c r="E1650" s="81">
        <f>MONTH(表格1[[#This Row],[date]])</f>
        <v>3</v>
      </c>
      <c r="F1650" s="90">
        <v>46089</v>
      </c>
      <c r="G1650" s="81" t="str">
        <f>VLOOKUP("*"&amp;表格1[[#This Row],[Input]]&amp;"*",'Ref-List'!$B:$D,2,)</f>
        <v>AW-M901BPH(WW)</v>
      </c>
      <c r="H1650" s="81" t="str">
        <f>_xlfn.XLOOKUP(表格1[[#This Row],[Model]],表格3[Model-Input-Ref2],表格3[Product Line])</f>
        <v>全自動洗衣機 (8公斤 結合高低水位)</v>
      </c>
      <c r="I1650" s="81" t="str">
        <f>_xlfn.XLOOKUP(表格1[[#This Row],[Model]],表格3[Model-Input-Ref2],表格3[大小電])</f>
        <v>大電</v>
      </c>
      <c r="J1650" s="81" t="str">
        <f>_xlfn.XLOOKUP(表格1[[#This Row],[Model]],表格3[Model-Input-Ref2],表格3[Code])</f>
        <v>WM</v>
      </c>
      <c r="K1650" s="89" t="s">
        <v>1202</v>
      </c>
      <c r="L1650" s="86">
        <v>1</v>
      </c>
      <c r="M1650" s="87">
        <v>1500</v>
      </c>
      <c r="N1650" s="85">
        <f>IFERROR(表格1[[#This Row],[QTY]]*表格1[[#This Row],[Unit Price]],"-")</f>
        <v>1500</v>
      </c>
      <c r="O1650" s="142">
        <v>6027391</v>
      </c>
      <c r="R1650" s="86" t="str">
        <f>_xlfn.CONCAT(表格1[[#This Row],[Model]]," ",表格1[[#This Row],[inv no]])</f>
        <v>AW-M901BPH(WW) 6027391</v>
      </c>
      <c r="S1650" s="86">
        <f>_xlfn.XLOOKUP(表格1[[#This Row],[Model]],表格3[Model-Input-Ref2],表格3[SRP PRICE])</f>
        <v>3580</v>
      </c>
      <c r="T1650" s="43">
        <f>表格1[[#This Row],[Unit Price]]/表格1[[#This Row],[SRP]]</f>
        <v>0.41899441340782123</v>
      </c>
      <c r="U1650" s="86" t="str">
        <f>_xlfn.XLOOKUP(表格1[[#This Row],[Model]],表格3[Model-Input-Ref2],表格3[TOSHIBA/HIGHEST])</f>
        <v>Toshiba SRP</v>
      </c>
      <c r="V1650" s="86" t="s">
        <v>1640</v>
      </c>
      <c r="W1650" s="86" t="str">
        <f>_xlfn.CONCAT(表格1[[#This Row],[欄4]],表格1[[#This Row],[inv no]])</f>
        <v>DA1426027391</v>
      </c>
    </row>
    <row r="1651" spans="1:23" hidden="1">
      <c r="A1651" s="81">
        <v>1649</v>
      </c>
      <c r="B1651" s="81" t="s">
        <v>1203</v>
      </c>
      <c r="C1651" s="81" t="s">
        <v>1759</v>
      </c>
      <c r="D1651" s="82" t="str">
        <f ca="1">OFFSET(Roster!$A$3,MATCH(表格1[[#This Row],[Location]]&amp;" "&amp;表格1[[#This Row],[Shop]]&amp;"*",Roster!$A$4:$A$72,0),DAY(表格1[[#This Row],[date]]),1,1)</f>
        <v>Wendy Lau</v>
      </c>
      <c r="E1651" s="81">
        <f>MONTH(表格1[[#This Row],[date]])</f>
        <v>3</v>
      </c>
      <c r="F1651" s="90">
        <v>46095</v>
      </c>
      <c r="G1651" s="81" t="str">
        <f>VLOOKUP("*"&amp;表格1[[#This Row],[Input]]&amp;"*",'Ref-List'!$B:$D,2,)</f>
        <v>AW-M901BPH(WW)</v>
      </c>
      <c r="H1651" s="81" t="str">
        <f>_xlfn.XLOOKUP(表格1[[#This Row],[Model]],表格3[Model-Input-Ref2],表格3[Product Line])</f>
        <v>全自動洗衣機 (8公斤 結合高低水位)</v>
      </c>
      <c r="I1651" s="81" t="str">
        <f>_xlfn.XLOOKUP(表格1[[#This Row],[Model]],表格3[Model-Input-Ref2],表格3[大小電])</f>
        <v>大電</v>
      </c>
      <c r="J1651" s="81" t="str">
        <f>_xlfn.XLOOKUP(表格1[[#This Row],[Model]],表格3[Model-Input-Ref2],表格3[Code])</f>
        <v>WM</v>
      </c>
      <c r="K1651" s="89" t="s">
        <v>1202</v>
      </c>
      <c r="L1651" s="86">
        <v>1</v>
      </c>
      <c r="M1651" s="87">
        <v>1500</v>
      </c>
      <c r="N1651" s="85">
        <f>IFERROR(表格1[[#This Row],[QTY]]*表格1[[#This Row],[Unit Price]],"-")</f>
        <v>1500</v>
      </c>
      <c r="O1651" s="142">
        <v>6027331</v>
      </c>
      <c r="R1651" s="86" t="str">
        <f>_xlfn.CONCAT(表格1[[#This Row],[Model]]," ",表格1[[#This Row],[inv no]])</f>
        <v>AW-M901BPH(WW) 6027331</v>
      </c>
      <c r="S1651" s="86">
        <f>_xlfn.XLOOKUP(表格1[[#This Row],[Model]],表格3[Model-Input-Ref2],表格3[SRP PRICE])</f>
        <v>3580</v>
      </c>
      <c r="T1651" s="43">
        <f>表格1[[#This Row],[Unit Price]]/表格1[[#This Row],[SRP]]</f>
        <v>0.41899441340782123</v>
      </c>
      <c r="U1651" s="86" t="str">
        <f>_xlfn.XLOOKUP(表格1[[#This Row],[Model]],表格3[Model-Input-Ref2],表格3[TOSHIBA/HIGHEST])</f>
        <v>Toshiba SRP</v>
      </c>
      <c r="V1651" s="86" t="s">
        <v>1640</v>
      </c>
      <c r="W1651" s="86" t="str">
        <f>_xlfn.CONCAT(表格1[[#This Row],[欄4]],表格1[[#This Row],[inv no]])</f>
        <v>DA1426027331</v>
      </c>
    </row>
    <row r="1652" spans="1:23" hidden="1">
      <c r="A1652" s="81">
        <v>1650</v>
      </c>
      <c r="B1652" s="81" t="s">
        <v>1203</v>
      </c>
      <c r="C1652" s="81" t="s">
        <v>1759</v>
      </c>
      <c r="D1652" s="82" t="str">
        <f ca="1">OFFSET(Roster!$A$3,MATCH(表格1[[#This Row],[Location]]&amp;" "&amp;表格1[[#This Row],[Shop]]&amp;"*",Roster!$A$4:$A$72,0),DAY(表格1[[#This Row],[date]]),1,1)</f>
        <v>Wendy Lau</v>
      </c>
      <c r="E1652" s="81">
        <f>MONTH(表格1[[#This Row],[date]])</f>
        <v>3</v>
      </c>
      <c r="F1652" s="90">
        <v>46095</v>
      </c>
      <c r="G1652" s="81" t="str">
        <f>VLOOKUP("*"&amp;表格1[[#This Row],[Input]]&amp;"*",'Ref-List'!$B:$D,2,)</f>
        <v>TWD-BN90GF4H(WK)</v>
      </c>
      <c r="H1652" s="81" t="str">
        <f>_xlfn.XLOOKUP(表格1[[#This Row],[Model]],表格3[Model-Input-Ref2],表格3[Product Line])</f>
        <v>超薄身前置式洗衣乾衣機 (洗8公斤 乾5公斤)</v>
      </c>
      <c r="I1652" s="81" t="str">
        <f>_xlfn.XLOOKUP(表格1[[#This Row],[Model]],表格3[Model-Input-Ref2],表格3[大小電])</f>
        <v>大電</v>
      </c>
      <c r="J1652" s="81" t="str">
        <f>_xlfn.XLOOKUP(表格1[[#This Row],[Model]],表格3[Model-Input-Ref2],表格3[Code])</f>
        <v>WM</v>
      </c>
      <c r="K1652" s="89" t="s">
        <v>1199</v>
      </c>
      <c r="L1652" s="86">
        <v>1</v>
      </c>
      <c r="M1652" s="87">
        <v>3588</v>
      </c>
      <c r="N1652" s="85">
        <f>IFERROR(表格1[[#This Row],[QTY]]*表格1[[#This Row],[Unit Price]],"-")</f>
        <v>3588</v>
      </c>
      <c r="O1652" s="142">
        <v>6027937</v>
      </c>
      <c r="R1652" s="86" t="str">
        <f>_xlfn.CONCAT(表格1[[#This Row],[Model]]," ",表格1[[#This Row],[inv no]])</f>
        <v>TWD-BN90GF4H(WK) 6027937</v>
      </c>
      <c r="S1652" s="86">
        <f>_xlfn.XLOOKUP(表格1[[#This Row],[Model]],表格3[Model-Input-Ref2],表格3[SRP PRICE])</f>
        <v>5980</v>
      </c>
      <c r="T1652" s="43">
        <f>表格1[[#This Row],[Unit Price]]/表格1[[#This Row],[SRP]]</f>
        <v>0.6</v>
      </c>
      <c r="U1652" s="86" t="str">
        <f>_xlfn.XLOOKUP(表格1[[#This Row],[Model]],表格3[Model-Input-Ref2],表格3[TOSHIBA/HIGHEST])</f>
        <v>Toshiba SRP</v>
      </c>
      <c r="V1652" s="86" t="s">
        <v>1640</v>
      </c>
      <c r="W1652" s="86" t="str">
        <f>_xlfn.CONCAT(表格1[[#This Row],[欄4]],表格1[[#This Row],[inv no]])</f>
        <v>DA1426027937</v>
      </c>
    </row>
    <row r="1653" spans="1:23" hidden="1">
      <c r="A1653" s="81">
        <v>1651</v>
      </c>
      <c r="B1653" s="81" t="s">
        <v>1260</v>
      </c>
      <c r="C1653" s="81" t="s">
        <v>1262</v>
      </c>
      <c r="D1653" s="82" t="str">
        <f ca="1">OFFSET(Roster!$A$3,MATCH(表格1[[#This Row],[Location]]&amp;" "&amp;表格1[[#This Row],[Shop]]&amp;"*",Roster!$A$4:$A$72,0),DAY(表格1[[#This Row],[date]]),1,1)</f>
        <v>Shan_1</v>
      </c>
      <c r="E1653" s="81">
        <f>MONTH(表格1[[#This Row],[date]])</f>
        <v>3</v>
      </c>
      <c r="F1653" s="90">
        <v>46101</v>
      </c>
      <c r="G1653" s="81" t="str">
        <f>VLOOKUP("*"&amp;表格1[[#This Row],[Input]]&amp;"*",'Ref-List'!$B:$D,2,)</f>
        <v>RC-10JRUH(N)</v>
      </c>
      <c r="H1653" s="81" t="str">
        <f>_xlfn.XLOOKUP(表格1[[#This Row],[Model]],表格3[Model-Input-Ref2],表格3[Product Line])</f>
        <v>電飯煲</v>
      </c>
      <c r="I1653" s="81" t="str">
        <f>_xlfn.XLOOKUP(表格1[[#This Row],[Model]],表格3[Model-Input-Ref2],表格3[大小電])</f>
        <v>細電</v>
      </c>
      <c r="J1653" s="81" t="str">
        <f>_xlfn.XLOOKUP(表格1[[#This Row],[Model]],表格3[Model-Input-Ref2],表格3[Code])</f>
        <v>SDA</v>
      </c>
      <c r="K1653" s="89" t="s">
        <v>1263</v>
      </c>
      <c r="L1653" s="86">
        <v>1</v>
      </c>
      <c r="M1653" s="87">
        <v>250</v>
      </c>
      <c r="N1653" s="85">
        <f>IFERROR(表格1[[#This Row],[QTY]]*表格1[[#This Row],[Unit Price]],"-")</f>
        <v>250</v>
      </c>
      <c r="O1653" s="142">
        <v>444732</v>
      </c>
      <c r="R1653" s="86" t="str">
        <f>_xlfn.CONCAT(表格1[[#This Row],[Model]]," ",表格1[[#This Row],[inv no]])</f>
        <v>RC-10JRUH(N) 444732</v>
      </c>
      <c r="S1653" s="86">
        <f>_xlfn.XLOOKUP(表格1[[#This Row],[Model]],表格3[Model-Input-Ref2],表格3[SRP PRICE])</f>
        <v>398</v>
      </c>
      <c r="T1653" s="43">
        <f>表格1[[#This Row],[Unit Price]]/表格1[[#This Row],[SRP]]</f>
        <v>0.62814070351758799</v>
      </c>
      <c r="U1653" s="86" t="str">
        <f>_xlfn.XLOOKUP(表格1[[#This Row],[Model]],表格3[Model-Input-Ref2],表格3[TOSHIBA/HIGHEST])</f>
        <v>Shops Highest Price</v>
      </c>
      <c r="V1653" s="86" t="s">
        <v>1640</v>
      </c>
      <c r="W1653" s="86" t="str">
        <f>_xlfn.CONCAT(表格1[[#This Row],[欄4]],表格1[[#This Row],[inv no]])</f>
        <v>DA142444732</v>
      </c>
    </row>
    <row r="1654" spans="1:23" hidden="1">
      <c r="A1654" s="81">
        <v>1652</v>
      </c>
      <c r="B1654" s="81" t="s">
        <v>1260</v>
      </c>
      <c r="C1654" s="81" t="s">
        <v>1262</v>
      </c>
      <c r="D1654" s="82" t="str">
        <f ca="1">OFFSET(Roster!$A$3,MATCH(表格1[[#This Row],[Location]]&amp;" "&amp;表格1[[#This Row],[Shop]]&amp;"*",Roster!$A$4:$A$72,0),DAY(表格1[[#This Row],[date]]),1,1)</f>
        <v>Shan_1</v>
      </c>
      <c r="E1654" s="81">
        <f>MONTH(表格1[[#This Row],[date]])</f>
        <v>3</v>
      </c>
      <c r="F1654" s="90">
        <v>46101</v>
      </c>
      <c r="G1654" s="81" t="str">
        <f>VLOOKUP("*"&amp;表格1[[#This Row],[Input]]&amp;"*",'Ref-List'!$B:$D,2,)</f>
        <v>AF-74CS1TRHK(H)</v>
      </c>
      <c r="H1654" s="81" t="str">
        <f>_xlfn.XLOOKUP(表格1[[#This Row],[Model]],表格3[Model-Input-Ref2],表格3[Product Line])</f>
        <v>氣炸鍋(7.4公升)</v>
      </c>
      <c r="I1654" s="81" t="str">
        <f>_xlfn.XLOOKUP(表格1[[#This Row],[Model]],表格3[Model-Input-Ref2],表格3[大小電])</f>
        <v>細電</v>
      </c>
      <c r="J1654" s="81" t="str">
        <f>_xlfn.XLOOKUP(表格1[[#This Row],[Model]],表格3[Model-Input-Ref2],表格3[Code])</f>
        <v>SDA</v>
      </c>
      <c r="K1654" s="89" t="s">
        <v>1760</v>
      </c>
      <c r="L1654" s="86">
        <v>1</v>
      </c>
      <c r="M1654" s="87">
        <v>988</v>
      </c>
      <c r="N1654" s="85">
        <f>IFERROR(表格1[[#This Row],[QTY]]*表格1[[#This Row],[Unit Price]],"-")</f>
        <v>988</v>
      </c>
      <c r="O1654" s="142">
        <v>444742</v>
      </c>
      <c r="R1654" s="86" t="str">
        <f>_xlfn.CONCAT(表格1[[#This Row],[Model]]," ",表格1[[#This Row],[inv no]])</f>
        <v>AF-74CS1TRHK(H) 444742</v>
      </c>
      <c r="S1654" s="86">
        <f>_xlfn.XLOOKUP(表格1[[#This Row],[Model]],表格3[Model-Input-Ref2],表格3[SRP PRICE])</f>
        <v>1288</v>
      </c>
      <c r="T1654" s="43">
        <f>表格1[[#This Row],[Unit Price]]/表格1[[#This Row],[SRP]]</f>
        <v>0.76708074534161486</v>
      </c>
      <c r="U1654" s="86" t="str">
        <f>_xlfn.XLOOKUP(表格1[[#This Row],[Model]],表格3[Model-Input-Ref2],表格3[TOSHIBA/HIGHEST])</f>
        <v>Toshiba SRP</v>
      </c>
      <c r="V1654" s="86" t="s">
        <v>1640</v>
      </c>
      <c r="W1654" s="86" t="str">
        <f>_xlfn.CONCAT(表格1[[#This Row],[欄4]],表格1[[#This Row],[inv no]])</f>
        <v>DA142444742</v>
      </c>
    </row>
    <row r="1655" spans="1:23" hidden="1">
      <c r="A1655" s="81">
        <v>1653</v>
      </c>
      <c r="B1655" s="81" t="s">
        <v>1260</v>
      </c>
      <c r="C1655" s="81" t="s">
        <v>1262</v>
      </c>
      <c r="D1655" s="82" t="str">
        <f ca="1">OFFSET(Roster!$A$3,MATCH(表格1[[#This Row],[Location]]&amp;" "&amp;表格1[[#This Row],[Shop]]&amp;"*",Roster!$A$4:$A$72,0),DAY(表格1[[#This Row],[date]]),1,1)</f>
        <v>Shan_1</v>
      </c>
      <c r="E1655" s="81">
        <f>MONTH(表格1[[#This Row],[date]])</f>
        <v>3</v>
      </c>
      <c r="F1655" s="90">
        <v>46101</v>
      </c>
      <c r="G1655" s="81" t="str">
        <f>VLOOKUP("*"&amp;表格1[[#This Row],[Input]]&amp;"*",'Ref-List'!$B:$D,2,)</f>
        <v>KT-17SHNH</v>
      </c>
      <c r="H1655" s="81" t="str">
        <f>_xlfn.XLOOKUP(表格1[[#This Row],[Model]],表格3[Model-Input-Ref2],表格3[Product Line])</f>
        <v>1.7L無線雙層電熱水壺</v>
      </c>
      <c r="I1655" s="81" t="str">
        <f>_xlfn.XLOOKUP(表格1[[#This Row],[Model]],表格3[Model-Input-Ref2],表格3[大小電])</f>
        <v>細電</v>
      </c>
      <c r="J1655" s="81" t="str">
        <f>_xlfn.XLOOKUP(表格1[[#This Row],[Model]],表格3[Model-Input-Ref2],表格3[Code])</f>
        <v>SDA</v>
      </c>
      <c r="K1655" s="89" t="s">
        <v>1283</v>
      </c>
      <c r="L1655" s="86">
        <v>1</v>
      </c>
      <c r="M1655" s="87">
        <v>228</v>
      </c>
      <c r="N1655" s="85">
        <f>IFERROR(表格1[[#This Row],[QTY]]*表格1[[#This Row],[Unit Price]],"-")</f>
        <v>228</v>
      </c>
      <c r="O1655" s="142">
        <v>444785</v>
      </c>
      <c r="R1655" s="86" t="str">
        <f>_xlfn.CONCAT(表格1[[#This Row],[Model]]," ",表格1[[#This Row],[inv no]])</f>
        <v>KT-17SHNH 444785</v>
      </c>
      <c r="S1655" s="86">
        <f>_xlfn.XLOOKUP(表格1[[#This Row],[Model]],表格3[Model-Input-Ref2],表格3[SRP PRICE])</f>
        <v>299</v>
      </c>
      <c r="T1655" s="43">
        <f>表格1[[#This Row],[Unit Price]]/表格1[[#This Row],[SRP]]</f>
        <v>0.76254180602006694</v>
      </c>
      <c r="U1655" s="86" t="str">
        <f>_xlfn.XLOOKUP(表格1[[#This Row],[Model]],表格3[Model-Input-Ref2],表格3[TOSHIBA/HIGHEST])</f>
        <v>Shops Highest Price</v>
      </c>
      <c r="V1655" s="86" t="s">
        <v>1640</v>
      </c>
      <c r="W1655" s="86" t="str">
        <f>_xlfn.CONCAT(表格1[[#This Row],[欄4]],表格1[[#This Row],[inv no]])</f>
        <v>DA142444785</v>
      </c>
    </row>
    <row r="1656" spans="1:23" hidden="1">
      <c r="A1656" s="81">
        <v>1654</v>
      </c>
      <c r="B1656" s="81" t="s">
        <v>1260</v>
      </c>
      <c r="C1656" s="81" t="s">
        <v>1262</v>
      </c>
      <c r="D1656" s="82" t="str">
        <f ca="1">OFFSET(Roster!$A$3,MATCH(表格1[[#This Row],[Location]]&amp;" "&amp;表格1[[#This Row],[Shop]]&amp;"*",Roster!$A$4:$A$72,0),DAY(表格1[[#This Row],[date]]),1,1)</f>
        <v>Shan_1</v>
      </c>
      <c r="E1656" s="81">
        <f>MONTH(表格1[[#This Row],[date]])</f>
        <v>3</v>
      </c>
      <c r="F1656" s="90">
        <v>46101</v>
      </c>
      <c r="G1656" s="81" t="str">
        <f>VLOOKUP("*"&amp;表格1[[#This Row],[Input]]&amp;"*",'Ref-List'!$B:$D,2,)</f>
        <v>RAD-D200H</v>
      </c>
      <c r="H1656" s="81" t="str">
        <f>_xlfn.XLOOKUP(表格1[[#This Row],[Model]],表格3[Model-Input-Ref2],表格3[Product Line])</f>
        <v>壓縮式抽濕機 (22公升)</v>
      </c>
      <c r="I1656" s="81" t="str">
        <f>_xlfn.XLOOKUP(表格1[[#This Row],[Model]],表格3[Model-Input-Ref2],表格3[大小電])</f>
        <v>細電</v>
      </c>
      <c r="J1656" s="81" t="str">
        <f>_xlfn.XLOOKUP(表格1[[#This Row],[Model]],表格3[Model-Input-Ref2],表格3[Code])</f>
        <v>RAC</v>
      </c>
      <c r="K1656" s="89" t="s">
        <v>1250</v>
      </c>
      <c r="L1656" s="86">
        <v>2</v>
      </c>
      <c r="M1656" s="87">
        <v>1980</v>
      </c>
      <c r="N1656" s="85">
        <f>IFERROR(表格1[[#This Row],[QTY]]*表格1[[#This Row],[Unit Price]],"-")</f>
        <v>3960</v>
      </c>
      <c r="O1656" s="142">
        <v>156008</v>
      </c>
      <c r="R1656" s="86" t="str">
        <f>_xlfn.CONCAT(表格1[[#This Row],[Model]]," ",表格1[[#This Row],[inv no]])</f>
        <v>RAD-D200H 156008</v>
      </c>
      <c r="S1656" s="86">
        <f>_xlfn.XLOOKUP(表格1[[#This Row],[Model]],表格3[Model-Input-Ref2],表格3[SRP PRICE])</f>
        <v>2880</v>
      </c>
      <c r="T1656" s="43">
        <f>表格1[[#This Row],[Unit Price]]/表格1[[#This Row],[SRP]]</f>
        <v>0.6875</v>
      </c>
      <c r="U1656" s="86" t="str">
        <f>_xlfn.XLOOKUP(表格1[[#This Row],[Model]],表格3[Model-Input-Ref2],表格3[TOSHIBA/HIGHEST])</f>
        <v>Shops Highest Price</v>
      </c>
      <c r="V1656" s="86" t="s">
        <v>1640</v>
      </c>
      <c r="W1656" s="86" t="str">
        <f>_xlfn.CONCAT(表格1[[#This Row],[欄4]],表格1[[#This Row],[inv no]])</f>
        <v>DA142156008</v>
      </c>
    </row>
    <row r="1657" spans="1:23" hidden="1">
      <c r="A1657" s="81">
        <v>1655</v>
      </c>
      <c r="B1657" s="81" t="s">
        <v>1260</v>
      </c>
      <c r="C1657" s="81" t="s">
        <v>1262</v>
      </c>
      <c r="D1657" s="82" t="str">
        <f ca="1">OFFSET(Roster!$A$3,MATCH(表格1[[#This Row],[Location]]&amp;" "&amp;表格1[[#This Row],[Shop]]&amp;"*",Roster!$A$4:$A$72,0),DAY(表格1[[#This Row],[date]]),1,1)</f>
        <v>Shan_1</v>
      </c>
      <c r="E1657" s="81">
        <f>MONTH(表格1[[#This Row],[date]])</f>
        <v>3</v>
      </c>
      <c r="F1657" s="90">
        <v>46101</v>
      </c>
      <c r="G1657" s="81" t="str">
        <f>VLOOKUP("*"&amp;表格1[[#This Row],[Input]]&amp;"*",'Ref-List'!$B:$D,2,)</f>
        <v>TW-T22BU95UWH(WK)-B</v>
      </c>
      <c r="H1657" s="81" t="str">
        <f>_xlfn.XLOOKUP(表格1[[#This Row],[Model]],表格3[Model-Input-Ref2],表格3[Product Line])</f>
        <v>470MM超薄身前置式變頻洗衣機(8.5公斤, 可飛頂)</v>
      </c>
      <c r="I1657" s="81" t="str">
        <f>_xlfn.XLOOKUP(表格1[[#This Row],[Model]],表格3[Model-Input-Ref2],表格3[大小電])</f>
        <v>大電</v>
      </c>
      <c r="J1657" s="81" t="str">
        <f>_xlfn.XLOOKUP(表格1[[#This Row],[Model]],表格3[Model-Input-Ref2],表格3[Code])</f>
        <v>LAD</v>
      </c>
      <c r="K1657" s="89" t="s">
        <v>969</v>
      </c>
      <c r="L1657" s="86">
        <v>1</v>
      </c>
      <c r="M1657" s="87">
        <v>3680</v>
      </c>
      <c r="N1657" s="85">
        <f>IFERROR(表格1[[#This Row],[QTY]]*表格1[[#This Row],[Unit Price]],"-")</f>
        <v>3680</v>
      </c>
      <c r="O1657" s="142">
        <v>444932</v>
      </c>
      <c r="R1657" s="86" t="str">
        <f>_xlfn.CONCAT(表格1[[#This Row],[Model]]," ",表格1[[#This Row],[inv no]])</f>
        <v>TW-T22BU95UWH(WK)-B 444932</v>
      </c>
      <c r="S1657" s="86">
        <f>_xlfn.XLOOKUP(表格1[[#This Row],[Model]],表格3[Model-Input-Ref2],表格3[SRP PRICE])</f>
        <v>5880</v>
      </c>
      <c r="T1657" s="43">
        <f>表格1[[#This Row],[Unit Price]]/表格1[[#This Row],[SRP]]</f>
        <v>0.62585034013605445</v>
      </c>
      <c r="U1657" s="86" t="str">
        <f>_xlfn.XLOOKUP(表格1[[#This Row],[Model]],表格3[Model-Input-Ref2],表格3[TOSHIBA/HIGHEST])</f>
        <v>Toshiba SRP</v>
      </c>
      <c r="V1657" s="86" t="s">
        <v>1640</v>
      </c>
      <c r="W1657" s="86" t="str">
        <f>_xlfn.CONCAT(表格1[[#This Row],[欄4]],表格1[[#This Row],[inv no]])</f>
        <v>DA142444932</v>
      </c>
    </row>
    <row r="1658" spans="1:23" hidden="1">
      <c r="A1658" s="81">
        <v>1656</v>
      </c>
      <c r="B1658" s="81" t="s">
        <v>1260</v>
      </c>
      <c r="C1658" s="81" t="s">
        <v>1262</v>
      </c>
      <c r="D1658" s="82" t="str">
        <f ca="1">OFFSET(Roster!$A$3,MATCH(表格1[[#This Row],[Location]]&amp;" "&amp;表格1[[#This Row],[Shop]]&amp;"*",Roster!$A$4:$A$72,0),DAY(表格1[[#This Row],[date]]),1,1)</f>
        <v>Shan_1</v>
      </c>
      <c r="E1658" s="81">
        <f>MONTH(表格1[[#This Row],[date]])</f>
        <v>3</v>
      </c>
      <c r="F1658" s="90">
        <v>46102</v>
      </c>
      <c r="G1658" s="81" t="str">
        <f>VLOOKUP("*"&amp;表格1[[#This Row],[Input]]&amp;"*",'Ref-List'!$B:$D,2,)</f>
        <v>RC-10NMFIH(WT)</v>
      </c>
      <c r="H1658" s="81" t="str">
        <f>_xlfn.XLOOKUP(表格1[[#This Row],[Model]],表格3[Model-Input-Ref2],表格3[Product Line])</f>
        <v>4毫米厚釜電飯煲1L</v>
      </c>
      <c r="I1658" s="81" t="str">
        <f>_xlfn.XLOOKUP(表格1[[#This Row],[Model]],表格3[Model-Input-Ref2],表格3[大小電])</f>
        <v>細電</v>
      </c>
      <c r="J1658" s="81" t="str">
        <f>_xlfn.XLOOKUP(表格1[[#This Row],[Model]],表格3[Model-Input-Ref2],表格3[Code])</f>
        <v>SDA</v>
      </c>
      <c r="K1658" s="89" t="s">
        <v>1244</v>
      </c>
      <c r="L1658" s="86">
        <v>1</v>
      </c>
      <c r="M1658" s="87">
        <v>719</v>
      </c>
      <c r="N1658" s="85">
        <f>IFERROR(表格1[[#This Row],[QTY]]*表格1[[#This Row],[Unit Price]],"-")</f>
        <v>719</v>
      </c>
      <c r="O1658" s="142">
        <v>445005</v>
      </c>
      <c r="R1658" s="86" t="str">
        <f>_xlfn.CONCAT(表格1[[#This Row],[Model]]," ",表格1[[#This Row],[inv no]])</f>
        <v>RC-10NMFIH(WT) 445005</v>
      </c>
      <c r="S1658" s="86">
        <f>_xlfn.XLOOKUP(表格1[[#This Row],[Model]],表格3[Model-Input-Ref2],表格3[SRP PRICE])</f>
        <v>898</v>
      </c>
      <c r="T1658" s="43">
        <f>表格1[[#This Row],[Unit Price]]/表格1[[#This Row],[SRP]]</f>
        <v>0.80066815144766146</v>
      </c>
      <c r="U1658" s="86" t="str">
        <f>_xlfn.XLOOKUP(表格1[[#This Row],[Model]],表格3[Model-Input-Ref2],表格3[TOSHIBA/HIGHEST])</f>
        <v>Toshiba SRP</v>
      </c>
      <c r="V1658" s="86" t="s">
        <v>1640</v>
      </c>
      <c r="W1658" s="86" t="str">
        <f>_xlfn.CONCAT(表格1[[#This Row],[欄4]],表格1[[#This Row],[inv no]])</f>
        <v>DA142445005</v>
      </c>
    </row>
    <row r="1659" spans="1:23" hidden="1">
      <c r="A1659" s="81">
        <v>1657</v>
      </c>
      <c r="B1659" s="81" t="s">
        <v>1260</v>
      </c>
      <c r="C1659" s="81" t="s">
        <v>1262</v>
      </c>
      <c r="D1659" s="82" t="str">
        <f ca="1">OFFSET(Roster!$A$3,MATCH(表格1[[#This Row],[Location]]&amp;" "&amp;表格1[[#This Row],[Shop]]&amp;"*",Roster!$A$4:$A$72,0),DAY(表格1[[#This Row],[date]]),1,1)</f>
        <v>Shan_1</v>
      </c>
      <c r="E1659" s="81">
        <f>MONTH(表格1[[#This Row],[date]])</f>
        <v>3</v>
      </c>
      <c r="F1659" s="90">
        <v>46102</v>
      </c>
      <c r="G1659" s="81" t="str">
        <f>VLOOKUP("*"&amp;表格1[[#This Row],[Input]]&amp;"*",'Ref-List'!$B:$D,2,)</f>
        <v>F-LYA20(W)HKG</v>
      </c>
      <c r="H1659" s="81" t="str">
        <f>_xlfn.XLOOKUP(表格1[[#This Row],[Model]],表格3[Model-Input-Ref2],表格3[Product Line])</f>
        <v>12吋2合1座地座檯電風扇連遙控</v>
      </c>
      <c r="I1659" s="81" t="str">
        <f>_xlfn.XLOOKUP(表格1[[#This Row],[Model]],表格3[Model-Input-Ref2],表格3[大小電])</f>
        <v>細電</v>
      </c>
      <c r="J1659" s="81" t="str">
        <f>_xlfn.XLOOKUP(表格1[[#This Row],[Model]],表格3[Model-Input-Ref2],表格3[Code])</f>
        <v>EAD</v>
      </c>
      <c r="K1659" s="89" t="s">
        <v>1391</v>
      </c>
      <c r="L1659" s="86">
        <v>1</v>
      </c>
      <c r="M1659" s="87">
        <v>399</v>
      </c>
      <c r="N1659" s="85">
        <f>IFERROR(表格1[[#This Row],[QTY]]*表格1[[#This Row],[Unit Price]],"-")</f>
        <v>399</v>
      </c>
      <c r="O1659" s="142">
        <v>156011</v>
      </c>
      <c r="R1659" s="86" t="str">
        <f>_xlfn.CONCAT(表格1[[#This Row],[Model]]," ",表格1[[#This Row],[inv no]])</f>
        <v>F-LYA20(W)HKG 156011</v>
      </c>
      <c r="S1659" s="86">
        <f>_xlfn.XLOOKUP(表格1[[#This Row],[Model]],表格3[Model-Input-Ref2],表格3[SRP PRICE])</f>
        <v>988</v>
      </c>
      <c r="T1659" s="43">
        <f>表格1[[#This Row],[Unit Price]]/表格1[[#This Row],[SRP]]</f>
        <v>0.40384615384615385</v>
      </c>
      <c r="U1659" s="86" t="str">
        <f>_xlfn.XLOOKUP(表格1[[#This Row],[Model]],表格3[Model-Input-Ref2],表格3[TOSHIBA/HIGHEST])</f>
        <v>Toshiba SRP</v>
      </c>
      <c r="V1659" s="86" t="s">
        <v>1640</v>
      </c>
      <c r="W1659" s="86" t="str">
        <f>_xlfn.CONCAT(表格1[[#This Row],[欄4]],表格1[[#This Row],[inv no]])</f>
        <v>DA142156011</v>
      </c>
    </row>
    <row r="1660" spans="1:23" hidden="1">
      <c r="A1660" s="81">
        <v>1658</v>
      </c>
      <c r="B1660" s="81" t="s">
        <v>1260</v>
      </c>
      <c r="C1660" s="81" t="s">
        <v>1262</v>
      </c>
      <c r="D1660" s="82" t="str">
        <f ca="1">OFFSET(Roster!$A$3,MATCH(表格1[[#This Row],[Location]]&amp;" "&amp;表格1[[#This Row],[Shop]]&amp;"*",Roster!$A$4:$A$72,0),DAY(表格1[[#This Row],[date]]),1,1)</f>
        <v>Shan_1</v>
      </c>
      <c r="E1660" s="81">
        <f>MONTH(表格1[[#This Row],[date]])</f>
        <v>3</v>
      </c>
      <c r="F1660" s="90">
        <v>46102</v>
      </c>
      <c r="G1660" s="81" t="str">
        <f>VLOOKUP("*"&amp;表格1[[#This Row],[Input]]&amp;"*",'Ref-List'!$B:$D,2,)</f>
        <v>GR-RT300WE-PMA(57)</v>
      </c>
      <c r="H1660" s="81" t="str">
        <f>_xlfn.XLOOKUP(表格1[[#This Row],[Model]],表格3[Model-Input-Ref2],表格3[Product Line])</f>
        <v>變頻式環保雙門雪櫃(233L)</v>
      </c>
      <c r="I1660" s="81" t="str">
        <f>_xlfn.XLOOKUP(表格1[[#This Row],[Model]],表格3[Model-Input-Ref2],表格3[大小電])</f>
        <v>大電</v>
      </c>
      <c r="J1660" s="81" t="str">
        <f>_xlfn.XLOOKUP(表格1[[#This Row],[Model]],表格3[Model-Input-Ref2],表格3[Code])</f>
        <v>REF</v>
      </c>
      <c r="K1660" s="89" t="s">
        <v>1462</v>
      </c>
      <c r="L1660" s="86">
        <v>1</v>
      </c>
      <c r="M1660" s="87">
        <v>2980</v>
      </c>
      <c r="N1660" s="85">
        <f>IFERROR(表格1[[#This Row],[QTY]]*表格1[[#This Row],[Unit Price]],"-")</f>
        <v>2980</v>
      </c>
      <c r="O1660" s="142">
        <v>156015</v>
      </c>
      <c r="R1660" s="86" t="str">
        <f>_xlfn.CONCAT(表格1[[#This Row],[Model]]," ",表格1[[#This Row],[inv no]])</f>
        <v>GR-RT300WE-PMA(57) 156015</v>
      </c>
      <c r="S1660" s="86">
        <f>_xlfn.XLOOKUP(表格1[[#This Row],[Model]],表格3[Model-Input-Ref2],表格3[SRP PRICE])</f>
        <v>4280</v>
      </c>
      <c r="T1660" s="43">
        <f>表格1[[#This Row],[Unit Price]]/表格1[[#This Row],[SRP]]</f>
        <v>0.69626168224299068</v>
      </c>
      <c r="U1660" s="86" t="str">
        <f>_xlfn.XLOOKUP(表格1[[#This Row],[Model]],表格3[Model-Input-Ref2],表格3[TOSHIBA/HIGHEST])</f>
        <v>Toshiba SRP</v>
      </c>
      <c r="V1660" s="86" t="s">
        <v>1640</v>
      </c>
      <c r="W1660" s="86" t="str">
        <f>_xlfn.CONCAT(表格1[[#This Row],[欄4]],表格1[[#This Row],[inv no]])</f>
        <v>DA142156015</v>
      </c>
    </row>
    <row r="1661" spans="1:23" hidden="1">
      <c r="A1661" s="81">
        <v>1659</v>
      </c>
      <c r="B1661" s="81" t="s">
        <v>1260</v>
      </c>
      <c r="C1661" s="81" t="s">
        <v>1262</v>
      </c>
      <c r="D1661" s="82" t="str">
        <f ca="1">OFFSET(Roster!$A$3,MATCH(表格1[[#This Row],[Location]]&amp;" "&amp;表格1[[#This Row],[Shop]]&amp;"*",Roster!$A$4:$A$72,0),DAY(表格1[[#This Row],[date]]),1,1)</f>
        <v>Shan_1</v>
      </c>
      <c r="E1661" s="81">
        <f>MONTH(表格1[[#This Row],[date]])</f>
        <v>3</v>
      </c>
      <c r="F1661" s="90">
        <v>46102</v>
      </c>
      <c r="G1661" s="81" t="str">
        <f>VLOOKUP("*"&amp;表格1[[#This Row],[Input]]&amp;"*",'Ref-List'!$B:$D,2,)</f>
        <v>MWP-MM20P(WH)</v>
      </c>
      <c r="H1661" s="81" t="str">
        <f>_xlfn.XLOOKUP(表格1[[#This Row],[Model]],表格3[Model-Input-Ref2],表格3[Product Line])</f>
        <v>旋鈕式燒烤微波爐20L</v>
      </c>
      <c r="I1661" s="81" t="str">
        <f>_xlfn.XLOOKUP(表格1[[#This Row],[Model]],表格3[Model-Input-Ref2],表格3[大小電])</f>
        <v>細電</v>
      </c>
      <c r="J1661" s="81" t="str">
        <f>_xlfn.XLOOKUP(表格1[[#This Row],[Model]],表格3[Model-Input-Ref2],表格3[Code])</f>
        <v>SDA</v>
      </c>
      <c r="K1661" s="89" t="s">
        <v>1270</v>
      </c>
      <c r="L1661" s="86">
        <v>1</v>
      </c>
      <c r="M1661" s="87">
        <v>518</v>
      </c>
      <c r="N1661" s="85">
        <f>IFERROR(表格1[[#This Row],[QTY]]*表格1[[#This Row],[Unit Price]],"-")</f>
        <v>518</v>
      </c>
      <c r="O1661" s="142">
        <v>156033</v>
      </c>
      <c r="R1661" s="86" t="str">
        <f>_xlfn.CONCAT(表格1[[#This Row],[Model]]," ",表格1[[#This Row],[inv no]])</f>
        <v>MWP-MM20P(WH) 156033</v>
      </c>
      <c r="S1661" s="86">
        <f>_xlfn.XLOOKUP(表格1[[#This Row],[Model]],表格3[Model-Input-Ref2],表格3[SRP PRICE])</f>
        <v>648</v>
      </c>
      <c r="T1661" s="43">
        <f>表格1[[#This Row],[Unit Price]]/表格1[[#This Row],[SRP]]</f>
        <v>0.79938271604938271</v>
      </c>
      <c r="U1661" s="86" t="str">
        <f>_xlfn.XLOOKUP(表格1[[#This Row],[Model]],表格3[Model-Input-Ref2],表格3[TOSHIBA/HIGHEST])</f>
        <v>Toshiba SRP</v>
      </c>
      <c r="V1661" s="86" t="s">
        <v>1640</v>
      </c>
      <c r="W1661" s="86" t="str">
        <f>_xlfn.CONCAT(表格1[[#This Row],[欄4]],表格1[[#This Row],[inv no]])</f>
        <v>DA142156033</v>
      </c>
    </row>
    <row r="1662" spans="1:23" hidden="1">
      <c r="A1662" s="81">
        <v>1660</v>
      </c>
      <c r="B1662" s="81" t="s">
        <v>1260</v>
      </c>
      <c r="C1662" s="81" t="s">
        <v>1262</v>
      </c>
      <c r="D1662" s="82" t="str">
        <f ca="1">OFFSET(Roster!$A$3,MATCH(表格1[[#This Row],[Location]]&amp;" "&amp;表格1[[#This Row],[Shop]]&amp;"*",Roster!$A$4:$A$72,0),DAY(表格1[[#This Row],[date]]),1,1)</f>
        <v>Shan_1</v>
      </c>
      <c r="E1662" s="81">
        <f>MONTH(表格1[[#This Row],[date]])</f>
        <v>3</v>
      </c>
      <c r="F1662" s="90">
        <v>46102</v>
      </c>
      <c r="G1662" s="81" t="str">
        <f>VLOOKUP("*"&amp;表格1[[#This Row],[Input]]&amp;"*",'Ref-List'!$B:$D,2,)</f>
        <v>TWD-BN90GF4H(WK)</v>
      </c>
      <c r="H1662" s="81" t="str">
        <f>_xlfn.XLOOKUP(表格1[[#This Row],[Model]],表格3[Model-Input-Ref2],表格3[Product Line])</f>
        <v>超薄身前置式洗衣乾衣機 (洗8公斤 乾5公斤)</v>
      </c>
      <c r="I1662" s="81" t="str">
        <f>_xlfn.XLOOKUP(表格1[[#This Row],[Model]],表格3[Model-Input-Ref2],表格3[大小電])</f>
        <v>大電</v>
      </c>
      <c r="J1662" s="81" t="str">
        <f>_xlfn.XLOOKUP(表格1[[#This Row],[Model]],表格3[Model-Input-Ref2],表格3[Code])</f>
        <v>WM</v>
      </c>
      <c r="K1662" s="89" t="s">
        <v>1199</v>
      </c>
      <c r="L1662" s="86">
        <v>1</v>
      </c>
      <c r="M1662" s="87">
        <v>3980</v>
      </c>
      <c r="N1662" s="85">
        <f>IFERROR(表格1[[#This Row],[QTY]]*表格1[[#This Row],[Unit Price]],"-")</f>
        <v>3980</v>
      </c>
      <c r="O1662" s="142">
        <v>156063</v>
      </c>
      <c r="R1662" s="86" t="str">
        <f>_xlfn.CONCAT(表格1[[#This Row],[Model]]," ",表格1[[#This Row],[inv no]])</f>
        <v>TWD-BN90GF4H(WK) 156063</v>
      </c>
      <c r="S1662" s="86">
        <f>_xlfn.XLOOKUP(表格1[[#This Row],[Model]],表格3[Model-Input-Ref2],表格3[SRP PRICE])</f>
        <v>5980</v>
      </c>
      <c r="T1662" s="43">
        <f>表格1[[#This Row],[Unit Price]]/表格1[[#This Row],[SRP]]</f>
        <v>0.66555183946488294</v>
      </c>
      <c r="U1662" s="86" t="str">
        <f>_xlfn.XLOOKUP(表格1[[#This Row],[Model]],表格3[Model-Input-Ref2],表格3[TOSHIBA/HIGHEST])</f>
        <v>Toshiba SRP</v>
      </c>
      <c r="V1662" s="86" t="s">
        <v>1640</v>
      </c>
      <c r="W1662" s="86" t="str">
        <f>_xlfn.CONCAT(表格1[[#This Row],[欄4]],表格1[[#This Row],[inv no]])</f>
        <v>DA142156063</v>
      </c>
    </row>
    <row r="1663" spans="1:23" hidden="1">
      <c r="A1663" s="81">
        <v>1661</v>
      </c>
      <c r="B1663" s="81" t="s">
        <v>1260</v>
      </c>
      <c r="C1663" s="81" t="s">
        <v>1262</v>
      </c>
      <c r="D1663" s="82" t="str">
        <f ca="1">OFFSET(Roster!$A$3,MATCH(表格1[[#This Row],[Location]]&amp;" "&amp;表格1[[#This Row],[Shop]]&amp;"*",Roster!$A$4:$A$72,0),DAY(表格1[[#This Row],[date]]),1,1)</f>
        <v>Shan_1</v>
      </c>
      <c r="E1663" s="81">
        <f>MONTH(表格1[[#This Row],[date]])</f>
        <v>3</v>
      </c>
      <c r="F1663" s="90">
        <v>46102</v>
      </c>
      <c r="G1663" s="81" t="str">
        <f>VLOOKUP("*"&amp;表格1[[#This Row],[Input]]&amp;"*",'Ref-List'!$B:$D,2,)</f>
        <v>PLK-30FLIH(WT)</v>
      </c>
      <c r="H1663" s="81" t="str">
        <f>_xlfn.XLOOKUP(表格1[[#This Row],[Model]],表格3[Model-Input-Ref2],表格3[Product Line])</f>
        <v>電熱水瓶3L</v>
      </c>
      <c r="I1663" s="81" t="str">
        <f>_xlfn.XLOOKUP(表格1[[#This Row],[Model]],表格3[Model-Input-Ref2],表格3[大小電])</f>
        <v>細電</v>
      </c>
      <c r="J1663" s="81" t="str">
        <f>_xlfn.XLOOKUP(表格1[[#This Row],[Model]],表格3[Model-Input-Ref2],表格3[Code])</f>
        <v>SDA</v>
      </c>
      <c r="K1663" s="89" t="s">
        <v>1272</v>
      </c>
      <c r="L1663" s="86">
        <v>1</v>
      </c>
      <c r="M1663" s="87">
        <v>489</v>
      </c>
      <c r="N1663" s="85">
        <f>IFERROR(表格1[[#This Row],[QTY]]*表格1[[#This Row],[Unit Price]],"-")</f>
        <v>489</v>
      </c>
      <c r="O1663" s="142">
        <v>445275</v>
      </c>
      <c r="R1663" s="86" t="str">
        <f>_xlfn.CONCAT(表格1[[#This Row],[Model]]," ",表格1[[#This Row],[inv no]])</f>
        <v>PLK-30FLIH(WT) 445275</v>
      </c>
      <c r="S1663" s="86">
        <f>_xlfn.XLOOKUP(表格1[[#This Row],[Model]],表格3[Model-Input-Ref2],表格3[SRP PRICE])</f>
        <v>658</v>
      </c>
      <c r="T1663" s="43">
        <f>表格1[[#This Row],[Unit Price]]/表格1[[#This Row],[SRP]]</f>
        <v>0.74316109422492405</v>
      </c>
      <c r="U1663" s="86" t="str">
        <f>_xlfn.XLOOKUP(表格1[[#This Row],[Model]],表格3[Model-Input-Ref2],表格3[TOSHIBA/HIGHEST])</f>
        <v>Toshiba SRP</v>
      </c>
      <c r="V1663" s="86" t="s">
        <v>1640</v>
      </c>
      <c r="W1663" s="86" t="str">
        <f>_xlfn.CONCAT(表格1[[#This Row],[欄4]],表格1[[#This Row],[inv no]])</f>
        <v>DA142445275</v>
      </c>
    </row>
    <row r="1664" spans="1:23" hidden="1">
      <c r="A1664" s="81">
        <v>1662</v>
      </c>
      <c r="B1664" s="81" t="s">
        <v>1260</v>
      </c>
      <c r="C1664" s="81" t="s">
        <v>1262</v>
      </c>
      <c r="D1664" s="82" t="str">
        <f ca="1">OFFSET(Roster!$A$3,MATCH(表格1[[#This Row],[Location]]&amp;" "&amp;表格1[[#This Row],[Shop]]&amp;"*",Roster!$A$4:$A$72,0),DAY(表格1[[#This Row],[date]]),1,1)</f>
        <v>Shan_1</v>
      </c>
      <c r="E1664" s="81">
        <f>MONTH(表格1[[#This Row],[date]])</f>
        <v>3</v>
      </c>
      <c r="F1664" s="90">
        <v>46103</v>
      </c>
      <c r="G1664" s="81" t="str">
        <f>VLOOKUP("*"&amp;表格1[[#This Row],[Input]]&amp;"*",'Ref-List'!$B:$D,2,)</f>
        <v>RC-18NMFIH(WT)</v>
      </c>
      <c r="H1664" s="81" t="str">
        <f>_xlfn.XLOOKUP(表格1[[#This Row],[Model]],表格3[Model-Input-Ref2],表格3[Product Line])</f>
        <v>4毫米厚釜電飯煲1.8L</v>
      </c>
      <c r="I1664" s="81" t="str">
        <f>_xlfn.XLOOKUP(表格1[[#This Row],[Model]],表格3[Model-Input-Ref2],表格3[大小電])</f>
        <v>細電</v>
      </c>
      <c r="J1664" s="81" t="str">
        <f>_xlfn.XLOOKUP(表格1[[#This Row],[Model]],表格3[Model-Input-Ref2],表格3[Code])</f>
        <v>SDA</v>
      </c>
      <c r="K1664" s="89" t="s">
        <v>1267</v>
      </c>
      <c r="L1664" s="86">
        <v>1</v>
      </c>
      <c r="M1664" s="87">
        <v>799</v>
      </c>
      <c r="N1664" s="85">
        <f>IFERROR(表格1[[#This Row],[QTY]]*表格1[[#This Row],[Unit Price]],"-")</f>
        <v>799</v>
      </c>
      <c r="O1664" s="142">
        <v>445468</v>
      </c>
      <c r="R1664" s="86" t="str">
        <f>_xlfn.CONCAT(表格1[[#This Row],[Model]]," ",表格1[[#This Row],[inv no]])</f>
        <v>RC-18NMFIH(WT) 445468</v>
      </c>
      <c r="S1664" s="86">
        <f>_xlfn.XLOOKUP(表格1[[#This Row],[Model]],表格3[Model-Input-Ref2],表格3[SRP PRICE])</f>
        <v>998</v>
      </c>
      <c r="T1664" s="43">
        <f>表格1[[#This Row],[Unit Price]]/表格1[[#This Row],[SRP]]</f>
        <v>0.80060120240480959</v>
      </c>
      <c r="U1664" s="86" t="str">
        <f>_xlfn.XLOOKUP(表格1[[#This Row],[Model]],表格3[Model-Input-Ref2],表格3[TOSHIBA/HIGHEST])</f>
        <v>Toshiba SRP</v>
      </c>
      <c r="V1664" s="86" t="s">
        <v>1640</v>
      </c>
      <c r="W1664" s="86" t="str">
        <f>_xlfn.CONCAT(表格1[[#This Row],[欄4]],表格1[[#This Row],[inv no]])</f>
        <v>DA142445468</v>
      </c>
    </row>
    <row r="1665" spans="1:23" hidden="1">
      <c r="A1665" s="81">
        <v>1663</v>
      </c>
      <c r="B1665" s="81" t="s">
        <v>1260</v>
      </c>
      <c r="C1665" s="81" t="s">
        <v>1262</v>
      </c>
      <c r="D1665" s="82" t="str">
        <f ca="1">OFFSET(Roster!$A$3,MATCH(表格1[[#This Row],[Location]]&amp;" "&amp;表格1[[#This Row],[Shop]]&amp;"*",Roster!$A$4:$A$72,0),DAY(表格1[[#This Row],[date]]),1,1)</f>
        <v>Shan_1</v>
      </c>
      <c r="E1665" s="81">
        <f>MONTH(表格1[[#This Row],[date]])</f>
        <v>3</v>
      </c>
      <c r="F1665" s="90">
        <v>46103</v>
      </c>
      <c r="G1665" s="81" t="str">
        <f>VLOOKUP("*"&amp;表格1[[#This Row],[Input]]&amp;"*",'Ref-List'!$B:$D,2,)</f>
        <v>IC-20R1THK</v>
      </c>
      <c r="H1665" s="81" t="str">
        <f>_xlfn.XLOOKUP(表格1[[#This Row],[Model]],表格3[Model-Input-Ref2],表格3[Product Line])</f>
        <v>輕便式電磁爐</v>
      </c>
      <c r="I1665" s="81" t="str">
        <f>_xlfn.XLOOKUP(表格1[[#This Row],[Model]],表格3[Model-Input-Ref2],表格3[大小電])</f>
        <v>細電</v>
      </c>
      <c r="J1665" s="81" t="str">
        <f>_xlfn.XLOOKUP(表格1[[#This Row],[Model]],表格3[Model-Input-Ref2],表格3[Code])</f>
        <v>SDA</v>
      </c>
      <c r="K1665" s="89" t="s">
        <v>1243</v>
      </c>
      <c r="L1665" s="86">
        <v>1</v>
      </c>
      <c r="M1665" s="87">
        <v>298</v>
      </c>
      <c r="N1665" s="85">
        <f>IFERROR(表格1[[#This Row],[QTY]]*表格1[[#This Row],[Unit Price]],"-")</f>
        <v>298</v>
      </c>
      <c r="O1665" s="142">
        <v>156099</v>
      </c>
      <c r="R1665" s="86" t="str">
        <f>_xlfn.CONCAT(表格1[[#This Row],[Model]]," ",表格1[[#This Row],[inv no]])</f>
        <v>IC-20R1THK 156099</v>
      </c>
      <c r="S1665" s="86">
        <f>_xlfn.XLOOKUP(表格1[[#This Row],[Model]],表格3[Model-Input-Ref2],表格3[SRP PRICE])</f>
        <v>438</v>
      </c>
      <c r="T1665" s="43">
        <f>表格1[[#This Row],[Unit Price]]/表格1[[#This Row],[SRP]]</f>
        <v>0.68036529680365299</v>
      </c>
      <c r="U1665" s="86" t="str">
        <f>_xlfn.XLOOKUP(表格1[[#This Row],[Model]],表格3[Model-Input-Ref2],表格3[TOSHIBA/HIGHEST])</f>
        <v>Shops Highest Price</v>
      </c>
      <c r="V1665" s="86" t="s">
        <v>1640</v>
      </c>
      <c r="W1665" s="86" t="str">
        <f>_xlfn.CONCAT(表格1[[#This Row],[欄4]],表格1[[#This Row],[inv no]])</f>
        <v>DA142156099</v>
      </c>
    </row>
    <row r="1666" spans="1:23" hidden="1">
      <c r="A1666" s="81">
        <v>1664</v>
      </c>
      <c r="B1666" s="81" t="s">
        <v>1260</v>
      </c>
      <c r="C1666" s="81" t="s">
        <v>1262</v>
      </c>
      <c r="D1666" s="82" t="str">
        <f ca="1">OFFSET(Roster!$A$3,MATCH(表格1[[#This Row],[Location]]&amp;" "&amp;表格1[[#This Row],[Shop]]&amp;"*",Roster!$A$4:$A$72,0),DAY(表格1[[#This Row],[date]]),1,1)</f>
        <v>Shan_1</v>
      </c>
      <c r="E1666" s="81">
        <f>MONTH(表格1[[#This Row],[date]])</f>
        <v>3</v>
      </c>
      <c r="F1666" s="90">
        <v>46103</v>
      </c>
      <c r="G1666" s="81" t="str">
        <f>VLOOKUP("*"&amp;表格1[[#This Row],[Input]]&amp;"*",'Ref-List'!$B:$D,2,)</f>
        <v>TWP-TSR76THK(W)</v>
      </c>
      <c r="H1666" s="81" t="str">
        <f>_xlfn.XLOOKUP(表格1[[#This Row],[Model]],表格3[Model-Input-Ref2],表格3[Product Line])</f>
        <v>RO座檯式飲水機</v>
      </c>
      <c r="I1666" s="81" t="str">
        <f>_xlfn.XLOOKUP(表格1[[#This Row],[Model]],表格3[Model-Input-Ref2],表格3[大小電])</f>
        <v>細電</v>
      </c>
      <c r="J1666" s="81" t="str">
        <f>_xlfn.XLOOKUP(表格1[[#This Row],[Model]],表格3[Model-Input-Ref2],表格3[Code])</f>
        <v>KWH</v>
      </c>
      <c r="K1666" s="89" t="s">
        <v>1197</v>
      </c>
      <c r="L1666" s="86">
        <v>1</v>
      </c>
      <c r="M1666" s="87">
        <v>1980</v>
      </c>
      <c r="N1666" s="85">
        <f>IFERROR(表格1[[#This Row],[QTY]]*表格1[[#This Row],[Unit Price]],"-")</f>
        <v>1980</v>
      </c>
      <c r="O1666" s="142">
        <v>156108</v>
      </c>
      <c r="R1666" s="86" t="str">
        <f>_xlfn.CONCAT(表格1[[#This Row],[Model]]," ",表格1[[#This Row],[inv no]])</f>
        <v>TWP-TSR76THK(W) 156108</v>
      </c>
      <c r="S1666" s="86">
        <f>_xlfn.XLOOKUP(表格1[[#This Row],[Model]],表格3[Model-Input-Ref2],表格3[SRP PRICE])</f>
        <v>2680</v>
      </c>
      <c r="T1666" s="43">
        <f>表格1[[#This Row],[Unit Price]]/表格1[[#This Row],[SRP]]</f>
        <v>0.73880597014925375</v>
      </c>
      <c r="U1666" s="86" t="str">
        <f>_xlfn.XLOOKUP(表格1[[#This Row],[Model]],表格3[Model-Input-Ref2],表格3[TOSHIBA/HIGHEST])</f>
        <v>Toshiba SRP</v>
      </c>
      <c r="V1666" s="86" t="s">
        <v>1640</v>
      </c>
      <c r="W1666" s="86" t="str">
        <f>_xlfn.CONCAT(表格1[[#This Row],[欄4]],表格1[[#This Row],[inv no]])</f>
        <v>DA142156108</v>
      </c>
    </row>
    <row r="1667" spans="1:23" hidden="1">
      <c r="A1667" s="81">
        <v>1665</v>
      </c>
      <c r="B1667" s="81" t="s">
        <v>1260</v>
      </c>
      <c r="C1667" s="81" t="s">
        <v>1262</v>
      </c>
      <c r="D1667" s="82" t="str">
        <f ca="1">OFFSET(Roster!$A$3,MATCH(表格1[[#This Row],[Location]]&amp;" "&amp;表格1[[#This Row],[Shop]]&amp;"*",Roster!$A$4:$A$72,0),DAY(表格1[[#This Row],[date]]),1,1)</f>
        <v>Shan_1</v>
      </c>
      <c r="E1667" s="81">
        <f>MONTH(表格1[[#This Row],[date]])</f>
        <v>3</v>
      </c>
      <c r="F1667" s="90">
        <v>46103</v>
      </c>
      <c r="G1667" s="81" t="str">
        <f>VLOOKUP("*"&amp;表格1[[#This Row],[Input]]&amp;"*",'Ref-List'!$B:$D,2,)</f>
        <v>RC-DR10T(W)</v>
      </c>
      <c r="H1667" s="81" t="str">
        <f>_xlfn.XLOOKUP(表格1[[#This Row],[Model]],表格3[Model-Input-Ref2],表格3[Product Line])</f>
        <v>IH磁應電飯煲</v>
      </c>
      <c r="I1667" s="81" t="str">
        <f>_xlfn.XLOOKUP(表格1[[#This Row],[Model]],表格3[Model-Input-Ref2],表格3[大小電])</f>
        <v>細電</v>
      </c>
      <c r="J1667" s="81" t="str">
        <f>_xlfn.XLOOKUP(表格1[[#This Row],[Model]],表格3[Model-Input-Ref2],表格3[Code])</f>
        <v>SDA</v>
      </c>
      <c r="K1667" s="89" t="s">
        <v>1294</v>
      </c>
      <c r="L1667" s="86">
        <v>1</v>
      </c>
      <c r="M1667" s="87">
        <v>2290</v>
      </c>
      <c r="N1667" s="85">
        <f>IFERROR(表格1[[#This Row],[QTY]]*表格1[[#This Row],[Unit Price]],"-")</f>
        <v>2290</v>
      </c>
      <c r="O1667" s="142">
        <v>156108</v>
      </c>
      <c r="R1667" s="86" t="str">
        <f>_xlfn.CONCAT(表格1[[#This Row],[Model]]," ",表格1[[#This Row],[inv no]])</f>
        <v>RC-DR10T(W) 156108</v>
      </c>
      <c r="S1667" s="86">
        <f>_xlfn.XLOOKUP(表格1[[#This Row],[Model]],表格3[Model-Input-Ref2],表格3[SRP PRICE])</f>
        <v>3188</v>
      </c>
      <c r="T1667" s="43">
        <f>表格1[[#This Row],[Unit Price]]/表格1[[#This Row],[SRP]]</f>
        <v>0.71831869510664992</v>
      </c>
      <c r="U1667" s="86" t="str">
        <f>_xlfn.XLOOKUP(表格1[[#This Row],[Model]],表格3[Model-Input-Ref2],表格3[TOSHIBA/HIGHEST])</f>
        <v>Toshiba SRP</v>
      </c>
      <c r="V1667" s="86" t="s">
        <v>1640</v>
      </c>
      <c r="W1667" s="86" t="str">
        <f>_xlfn.CONCAT(表格1[[#This Row],[欄4]],表格1[[#This Row],[inv no]])</f>
        <v>DA142156108</v>
      </c>
    </row>
    <row r="1668" spans="1:23" hidden="1">
      <c r="A1668" s="81">
        <v>1666</v>
      </c>
      <c r="B1668" s="81" t="s">
        <v>1260</v>
      </c>
      <c r="C1668" s="81" t="s">
        <v>1262</v>
      </c>
      <c r="D1668" s="82" t="str">
        <f ca="1">OFFSET(Roster!$A$3,MATCH(表格1[[#This Row],[Location]]&amp;" "&amp;表格1[[#This Row],[Shop]]&amp;"*",Roster!$A$4:$A$72,0),DAY(表格1[[#This Row],[date]]),1,1)</f>
        <v>Shan_1</v>
      </c>
      <c r="E1668" s="81">
        <f>MONTH(表格1[[#This Row],[date]])</f>
        <v>3</v>
      </c>
      <c r="F1668" s="90">
        <v>46103</v>
      </c>
      <c r="G1668" s="81" t="str">
        <f>VLOOKUP("*"&amp;表格1[[#This Row],[Input]]&amp;"*",'Ref-List'!$B:$D,2,)</f>
        <v>MX2-STR25SC(WH)</v>
      </c>
      <c r="H1668" s="81" t="str">
        <f>_xlfn.XLOOKUP(表格1[[#This Row],[Model]],表格3[Model-Input-Ref2],表格3[Product Line])</f>
        <v>4合1氣炸微波蒸焗爐(25公升)</v>
      </c>
      <c r="I1668" s="81" t="str">
        <f>_xlfn.XLOOKUP(表格1[[#This Row],[Model]],表格3[Model-Input-Ref2],表格3[大小電])</f>
        <v>細電</v>
      </c>
      <c r="J1668" s="81" t="str">
        <f>_xlfn.XLOOKUP(表格1[[#This Row],[Model]],表格3[Model-Input-Ref2],表格3[Code])</f>
        <v>MCA</v>
      </c>
      <c r="K1668" s="89" t="s">
        <v>1410</v>
      </c>
      <c r="L1668" s="86">
        <v>1</v>
      </c>
      <c r="M1668" s="87">
        <v>3580</v>
      </c>
      <c r="N1668" s="85">
        <f>IFERROR(表格1[[#This Row],[QTY]]*表格1[[#This Row],[Unit Price]],"-")</f>
        <v>3580</v>
      </c>
      <c r="O1668" s="142">
        <v>156137</v>
      </c>
      <c r="R1668" s="86" t="str">
        <f>_xlfn.CONCAT(表格1[[#This Row],[Model]]," ",表格1[[#This Row],[inv no]])</f>
        <v>MX2-STR25SC(WH) 156137</v>
      </c>
      <c r="S1668" s="86">
        <f>_xlfn.XLOOKUP(表格1[[#This Row],[Model]],表格3[Model-Input-Ref2],表格3[SRP PRICE])</f>
        <v>4998</v>
      </c>
      <c r="T1668" s="43">
        <f>表格1[[#This Row],[Unit Price]]/表格1[[#This Row],[SRP]]</f>
        <v>0.71628651460584236</v>
      </c>
      <c r="U1668" s="86" t="str">
        <f>_xlfn.XLOOKUP(表格1[[#This Row],[Model]],表格3[Model-Input-Ref2],表格3[TOSHIBA/HIGHEST])</f>
        <v>Toshiba SRP</v>
      </c>
      <c r="V1668" s="86" t="s">
        <v>1640</v>
      </c>
      <c r="W1668" s="86" t="str">
        <f>_xlfn.CONCAT(表格1[[#This Row],[欄4]],表格1[[#This Row],[inv no]])</f>
        <v>DA142156137</v>
      </c>
    </row>
    <row r="1669" spans="1:23" hidden="1">
      <c r="A1669" s="81">
        <v>1667</v>
      </c>
      <c r="B1669" s="81" t="s">
        <v>1260</v>
      </c>
      <c r="C1669" s="81" t="s">
        <v>1262</v>
      </c>
      <c r="D1669" s="82" t="str">
        <f ca="1">OFFSET(Roster!$A$3,MATCH(表格1[[#This Row],[Location]]&amp;" "&amp;表格1[[#This Row],[Shop]]&amp;"*",Roster!$A$4:$A$72,0),DAY(表格1[[#This Row],[date]]),1,1)</f>
        <v>Shan_1</v>
      </c>
      <c r="E1669" s="81">
        <f>MONTH(表格1[[#This Row],[date]])</f>
        <v>3</v>
      </c>
      <c r="F1669" s="90">
        <v>46103</v>
      </c>
      <c r="G1669" s="81" t="str">
        <f>VLOOKUP("*"&amp;表格1[[#This Row],[Input]]&amp;"*",'Ref-List'!$B:$D,2,)</f>
        <v>ET-TD7080(PN)</v>
      </c>
      <c r="H1669" s="81" t="str">
        <f>_xlfn.XLOOKUP(表格1[[#This Row],[Model]],表格3[Model-Input-Ref2],表格3[Product Line])</f>
        <v>多士焗爐8L</v>
      </c>
      <c r="I1669" s="81" t="str">
        <f>_xlfn.XLOOKUP(表格1[[#This Row],[Model]],表格3[Model-Input-Ref2],表格3[大小電])</f>
        <v>細電</v>
      </c>
      <c r="J1669" s="81" t="str">
        <f>_xlfn.XLOOKUP(表格1[[#This Row],[Model]],表格3[Model-Input-Ref2],表格3[Code])</f>
        <v>SDA</v>
      </c>
      <c r="K1669" s="89">
        <v>7080</v>
      </c>
      <c r="L1669" s="86">
        <v>1</v>
      </c>
      <c r="M1669" s="87">
        <v>338</v>
      </c>
      <c r="N1669" s="85">
        <f>IFERROR(表格1[[#This Row],[QTY]]*表格1[[#This Row],[Unit Price]],"-")</f>
        <v>338</v>
      </c>
      <c r="O1669" s="142">
        <v>445650</v>
      </c>
      <c r="R1669" s="86" t="str">
        <f>_xlfn.CONCAT(表格1[[#This Row],[Model]]," ",表格1[[#This Row],[inv no]])</f>
        <v>ET-TD7080(PN) 445650</v>
      </c>
      <c r="S1669" s="86">
        <f>_xlfn.XLOOKUP(表格1[[#This Row],[Model]],表格3[Model-Input-Ref2],表格3[SRP PRICE])</f>
        <v>498</v>
      </c>
      <c r="T1669" s="43">
        <f>表格1[[#This Row],[Unit Price]]/表格1[[#This Row],[SRP]]</f>
        <v>0.67871485943775101</v>
      </c>
      <c r="U1669" s="86" t="str">
        <f>_xlfn.XLOOKUP(表格1[[#This Row],[Model]],表格3[Model-Input-Ref2],表格3[TOSHIBA/HIGHEST])</f>
        <v>Toshiba SRP</v>
      </c>
      <c r="V1669" s="86" t="s">
        <v>1640</v>
      </c>
      <c r="W1669" s="86" t="str">
        <f>_xlfn.CONCAT(表格1[[#This Row],[欄4]],表格1[[#This Row],[inv no]])</f>
        <v>DA142445650</v>
      </c>
    </row>
    <row r="1670" spans="1:23" hidden="1">
      <c r="A1670" s="81">
        <v>1668</v>
      </c>
      <c r="B1670" s="81" t="s">
        <v>1260</v>
      </c>
      <c r="C1670" s="81" t="s">
        <v>1262</v>
      </c>
      <c r="D1670" s="82" t="str">
        <f ca="1">OFFSET(Roster!$A$3,MATCH(表格1[[#This Row],[Location]]&amp;" "&amp;表格1[[#This Row],[Shop]]&amp;"*",Roster!$A$4:$A$72,0),DAY(表格1[[#This Row],[date]]),1,1)</f>
        <v>Shan_1</v>
      </c>
      <c r="E1670" s="81">
        <f>MONTH(表格1[[#This Row],[date]])</f>
        <v>3</v>
      </c>
      <c r="F1670" s="90">
        <v>46104</v>
      </c>
      <c r="G1670" s="81" t="str">
        <f>VLOOKUP("*"&amp;表格1[[#This Row],[Input]]&amp;"*",'Ref-List'!$B:$D,2,)</f>
        <v>KT-17SHNH</v>
      </c>
      <c r="H1670" s="81" t="str">
        <f>_xlfn.XLOOKUP(表格1[[#This Row],[Model]],表格3[Model-Input-Ref2],表格3[Product Line])</f>
        <v>1.7L無線雙層電熱水壺</v>
      </c>
      <c r="I1670" s="81" t="str">
        <f>_xlfn.XLOOKUP(表格1[[#This Row],[Model]],表格3[Model-Input-Ref2],表格3[大小電])</f>
        <v>細電</v>
      </c>
      <c r="J1670" s="81" t="str">
        <f>_xlfn.XLOOKUP(表格1[[#This Row],[Model]],表格3[Model-Input-Ref2],表格3[Code])</f>
        <v>SDA</v>
      </c>
      <c r="K1670" s="89" t="s">
        <v>1283</v>
      </c>
      <c r="L1670" s="86">
        <v>1</v>
      </c>
      <c r="M1670" s="87">
        <v>228</v>
      </c>
      <c r="N1670" s="85">
        <f>IFERROR(表格1[[#This Row],[QTY]]*表格1[[#This Row],[Unit Price]],"-")</f>
        <v>228</v>
      </c>
      <c r="O1670" s="142">
        <v>156146</v>
      </c>
      <c r="R1670" s="86" t="str">
        <f>_xlfn.CONCAT(表格1[[#This Row],[Model]]," ",表格1[[#This Row],[inv no]])</f>
        <v>KT-17SHNH 156146</v>
      </c>
      <c r="S1670" s="86">
        <f>_xlfn.XLOOKUP(表格1[[#This Row],[Model]],表格3[Model-Input-Ref2],表格3[SRP PRICE])</f>
        <v>299</v>
      </c>
      <c r="T1670" s="43">
        <f>表格1[[#This Row],[Unit Price]]/表格1[[#This Row],[SRP]]</f>
        <v>0.76254180602006694</v>
      </c>
      <c r="U1670" s="86" t="str">
        <f>_xlfn.XLOOKUP(表格1[[#This Row],[Model]],表格3[Model-Input-Ref2],表格3[TOSHIBA/HIGHEST])</f>
        <v>Shops Highest Price</v>
      </c>
      <c r="V1670" s="86" t="s">
        <v>1640</v>
      </c>
      <c r="W1670" s="86" t="str">
        <f>_xlfn.CONCAT(表格1[[#This Row],[欄4]],表格1[[#This Row],[inv no]])</f>
        <v>DA142156146</v>
      </c>
    </row>
    <row r="1671" spans="1:23" hidden="1">
      <c r="A1671" s="81">
        <v>1669</v>
      </c>
      <c r="B1671" s="81" t="s">
        <v>1260</v>
      </c>
      <c r="C1671" s="81" t="s">
        <v>1262</v>
      </c>
      <c r="D1671" s="82" t="str">
        <f ca="1">OFFSET(Roster!$A$3,MATCH(表格1[[#This Row],[Location]]&amp;" "&amp;表格1[[#This Row],[Shop]]&amp;"*",Roster!$A$4:$A$72,0),DAY(表格1[[#This Row],[date]]),1,1)</f>
        <v>Shan_1</v>
      </c>
      <c r="E1671" s="81">
        <f>MONTH(表格1[[#This Row],[date]])</f>
        <v>3</v>
      </c>
      <c r="F1671" s="90">
        <v>46104</v>
      </c>
      <c r="G1671" s="81" t="str">
        <f>VLOOKUP("*"&amp;表格1[[#This Row],[Input]]&amp;"*",'Ref-List'!$B:$D,2,)</f>
        <v>RC-5MMIH(WT)</v>
      </c>
      <c r="H1671" s="81" t="str">
        <f>_xlfn.XLOOKUP(表格1[[#This Row],[Model]],表格3[Model-Input-Ref2],表格3[Product Line])</f>
        <v>4毫米厚釜電飯煲0.54L</v>
      </c>
      <c r="I1671" s="81" t="str">
        <f>_xlfn.XLOOKUP(表格1[[#This Row],[Model]],表格3[Model-Input-Ref2],表格3[大小電])</f>
        <v>細電</v>
      </c>
      <c r="J1671" s="81" t="str">
        <f>_xlfn.XLOOKUP(表格1[[#This Row],[Model]],表格3[Model-Input-Ref2],表格3[Code])</f>
        <v>SDA</v>
      </c>
      <c r="K1671" s="89" t="s">
        <v>1195</v>
      </c>
      <c r="L1671" s="86">
        <v>1</v>
      </c>
      <c r="M1671" s="87">
        <v>556</v>
      </c>
      <c r="N1671" s="85">
        <f>IFERROR(表格1[[#This Row],[QTY]]*表格1[[#This Row],[Unit Price]],"-")</f>
        <v>556</v>
      </c>
      <c r="O1671" s="142">
        <v>445851</v>
      </c>
      <c r="R1671" s="86" t="str">
        <f>_xlfn.CONCAT(表格1[[#This Row],[Model]]," ",表格1[[#This Row],[inv no]])</f>
        <v>RC-5MMIH(WT) 445851</v>
      </c>
      <c r="S1671" s="86">
        <f>_xlfn.XLOOKUP(表格1[[#This Row],[Model]],表格3[Model-Input-Ref2],表格3[SRP PRICE])</f>
        <v>618</v>
      </c>
      <c r="T1671" s="43">
        <f>表格1[[#This Row],[Unit Price]]/表格1[[#This Row],[SRP]]</f>
        <v>0.89967637540453071</v>
      </c>
      <c r="U1671" s="86" t="str">
        <f>_xlfn.XLOOKUP(表格1[[#This Row],[Model]],表格3[Model-Input-Ref2],表格3[TOSHIBA/HIGHEST])</f>
        <v>Toshiba SRP</v>
      </c>
      <c r="V1671" s="86" t="s">
        <v>1640</v>
      </c>
      <c r="W1671" s="86" t="str">
        <f>_xlfn.CONCAT(表格1[[#This Row],[欄4]],表格1[[#This Row],[inv no]])</f>
        <v>DA142445851</v>
      </c>
    </row>
    <row r="1672" spans="1:23" hidden="1">
      <c r="A1672" s="81">
        <v>1670</v>
      </c>
      <c r="B1672" s="81" t="s">
        <v>1260</v>
      </c>
      <c r="C1672" s="81" t="s">
        <v>1262</v>
      </c>
      <c r="D1672" s="82" t="str">
        <f ca="1">OFFSET(Roster!$A$3,MATCH(表格1[[#This Row],[Location]]&amp;" "&amp;表格1[[#This Row],[Shop]]&amp;"*",Roster!$A$4:$A$72,0),DAY(表格1[[#This Row],[date]]),1,1)</f>
        <v>Shan_1</v>
      </c>
      <c r="E1672" s="81">
        <f>MONTH(表格1[[#This Row],[date]])</f>
        <v>3</v>
      </c>
      <c r="F1672" s="90">
        <v>46104</v>
      </c>
      <c r="G1672" s="81" t="str">
        <f>VLOOKUP("*"&amp;表格1[[#This Row],[Input]]&amp;"*",'Ref-List'!$B:$D,2,)</f>
        <v>RAD-D300H</v>
      </c>
      <c r="H1672" s="81" t="str">
        <f>_xlfn.XLOOKUP(表格1[[#This Row],[Model]],表格3[Model-Input-Ref2],表格3[Product Line])</f>
        <v>壓縮式抽濕機 (30公升)</v>
      </c>
      <c r="I1672" s="81" t="str">
        <f>_xlfn.XLOOKUP(表格1[[#This Row],[Model]],表格3[Model-Input-Ref2],表格3[大小電])</f>
        <v>細電</v>
      </c>
      <c r="J1672" s="81" t="str">
        <f>_xlfn.XLOOKUP(表格1[[#This Row],[Model]],表格3[Model-Input-Ref2],表格3[Code])</f>
        <v>RAC</v>
      </c>
      <c r="K1672" s="89" t="s">
        <v>1252</v>
      </c>
      <c r="L1672" s="86">
        <v>1</v>
      </c>
      <c r="M1672" s="87">
        <v>2280</v>
      </c>
      <c r="N1672" s="85">
        <f>IFERROR(表格1[[#This Row],[QTY]]*表格1[[#This Row],[Unit Price]],"-")</f>
        <v>2280</v>
      </c>
      <c r="O1672" s="86">
        <v>156169</v>
      </c>
      <c r="R1672" s="86" t="str">
        <f>_xlfn.CONCAT(表格1[[#This Row],[Model]]," ",表格1[[#This Row],[inv no]])</f>
        <v>RAD-D300H 156169</v>
      </c>
      <c r="S1672" s="86">
        <f>_xlfn.XLOOKUP(表格1[[#This Row],[Model]],表格3[Model-Input-Ref2],表格3[SRP PRICE])</f>
        <v>3380</v>
      </c>
      <c r="T1672" s="43">
        <f>表格1[[#This Row],[Unit Price]]/表格1[[#This Row],[SRP]]</f>
        <v>0.67455621301775148</v>
      </c>
      <c r="U1672" s="86" t="str">
        <f>_xlfn.XLOOKUP(表格1[[#This Row],[Model]],表格3[Model-Input-Ref2],表格3[TOSHIBA/HIGHEST])</f>
        <v>Shops Highest Price</v>
      </c>
      <c r="V1672" s="86" t="s">
        <v>1640</v>
      </c>
      <c r="W1672" s="86" t="str">
        <f>_xlfn.CONCAT(表格1[[#This Row],[欄4]],表格1[[#This Row],[inv no]])</f>
        <v>DA142156169</v>
      </c>
    </row>
    <row r="1673" spans="1:23" hidden="1">
      <c r="A1673" s="81">
        <v>1671</v>
      </c>
      <c r="B1673" s="81" t="s">
        <v>1260</v>
      </c>
      <c r="C1673" s="81" t="s">
        <v>1262</v>
      </c>
      <c r="D1673" s="82" t="str">
        <f ca="1">OFFSET(Roster!$A$3,MATCH(表格1[[#This Row],[Location]]&amp;" "&amp;表格1[[#This Row],[Shop]]&amp;"*",Roster!$A$4:$A$72,0),DAY(表格1[[#This Row],[date]]),1,1)</f>
        <v>Shan_1</v>
      </c>
      <c r="E1673" s="81">
        <f>MONTH(表格1[[#This Row],[date]])</f>
        <v>3</v>
      </c>
      <c r="F1673" s="90">
        <v>46104</v>
      </c>
      <c r="G1673" s="81" t="str">
        <f>VLOOKUP("*"&amp;表格1[[#This Row],[Input]]&amp;"*",'Ref-List'!$B:$D,2,)</f>
        <v>GR-RT234WE-PMA(57)</v>
      </c>
      <c r="H1673" s="81" t="str">
        <f>_xlfn.XLOOKUP(表格1[[#This Row],[Model]],表格3[Model-Input-Ref2],表格3[Product Line])</f>
        <v>變頻式環保雙門雪櫃（179L）</v>
      </c>
      <c r="I1673" s="81" t="str">
        <f>_xlfn.XLOOKUP(表格1[[#This Row],[Model]],表格3[Model-Input-Ref2],表格3[大小電])</f>
        <v>大電</v>
      </c>
      <c r="J1673" s="81" t="str">
        <f>_xlfn.XLOOKUP(表格1[[#This Row],[Model]],表格3[Model-Input-Ref2],表格3[Code])</f>
        <v>REF</v>
      </c>
      <c r="K1673" s="89" t="s">
        <v>1423</v>
      </c>
      <c r="L1673" s="86">
        <v>1</v>
      </c>
      <c r="M1673" s="87">
        <v>1980</v>
      </c>
      <c r="N1673" s="85">
        <f>IFERROR(表格1[[#This Row],[QTY]]*表格1[[#This Row],[Unit Price]],"-")</f>
        <v>1980</v>
      </c>
      <c r="O1673" s="86">
        <v>445950</v>
      </c>
      <c r="R1673" s="86" t="str">
        <f>_xlfn.CONCAT(表格1[[#This Row],[Model]]," ",表格1[[#This Row],[inv no]])</f>
        <v>GR-RT234WE-PMA(57) 445950</v>
      </c>
      <c r="S1673" s="86">
        <f>_xlfn.XLOOKUP(表格1[[#This Row],[Model]],表格3[Model-Input-Ref2],表格3[SRP PRICE])</f>
        <v>3680</v>
      </c>
      <c r="T1673" s="43">
        <f>表格1[[#This Row],[Unit Price]]/表格1[[#This Row],[SRP]]</f>
        <v>0.53804347826086951</v>
      </c>
      <c r="U1673" s="86" t="str">
        <f>_xlfn.XLOOKUP(表格1[[#This Row],[Model]],表格3[Model-Input-Ref2],表格3[TOSHIBA/HIGHEST])</f>
        <v>Toshiba SRP</v>
      </c>
      <c r="V1673" s="86" t="s">
        <v>1640</v>
      </c>
      <c r="W1673" s="86" t="str">
        <f>_xlfn.CONCAT(表格1[[#This Row],[欄4]],表格1[[#This Row],[inv no]])</f>
        <v>DA142445950</v>
      </c>
    </row>
    <row r="1674" spans="1:23" hidden="1">
      <c r="A1674" s="81">
        <v>1672</v>
      </c>
      <c r="B1674" s="81" t="s">
        <v>1260</v>
      </c>
      <c r="C1674" s="81" t="s">
        <v>2080</v>
      </c>
      <c r="D1674" s="82" t="str">
        <f ca="1">OFFSET(Roster!$A$3,MATCH(表格1[[#This Row],[Location]]&amp;" "&amp;表格1[[#This Row],[Shop]]&amp;"*",Roster!$A$4:$A$72,0),DAY(表格1[[#This Row],[date]]),1,1)</f>
        <v>Shan_2</v>
      </c>
      <c r="E1674" s="81">
        <f>MONTH(表格1[[#This Row],[date]])</f>
        <v>3</v>
      </c>
      <c r="F1674" s="90">
        <v>46106</v>
      </c>
      <c r="G1674" s="81" t="str">
        <f>VLOOKUP("*"&amp;表格1[[#This Row],[Input]]&amp;"*",'Ref-List'!$B:$D,2,)</f>
        <v>RC-5MMIH(WT)</v>
      </c>
      <c r="H1674" s="81" t="str">
        <f>_xlfn.XLOOKUP(表格1[[#This Row],[Model]],表格3[Model-Input-Ref2],表格3[Product Line])</f>
        <v>4毫米厚釜電飯煲0.54L</v>
      </c>
      <c r="I1674" s="81" t="str">
        <f>_xlfn.XLOOKUP(表格1[[#This Row],[Model]],表格3[Model-Input-Ref2],表格3[大小電])</f>
        <v>細電</v>
      </c>
      <c r="J1674" s="81" t="str">
        <f>_xlfn.XLOOKUP(表格1[[#This Row],[Model]],表格3[Model-Input-Ref2],表格3[Code])</f>
        <v>SDA</v>
      </c>
      <c r="K1674" s="89" t="s">
        <v>1195</v>
      </c>
      <c r="L1674" s="86">
        <v>2</v>
      </c>
      <c r="M1674" s="87">
        <v>450</v>
      </c>
      <c r="N1674" s="85">
        <f>IFERROR(表格1[[#This Row],[QTY]]*表格1[[#This Row],[Unit Price]],"-")</f>
        <v>900</v>
      </c>
      <c r="O1674" s="86">
        <v>367046</v>
      </c>
      <c r="R1674" s="86" t="str">
        <f>_xlfn.CONCAT(表格1[[#This Row],[Model]]," ",表格1[[#This Row],[inv no]])</f>
        <v>RC-5MMIH(WT) 367046</v>
      </c>
      <c r="S1674" s="86">
        <f>_xlfn.XLOOKUP(表格1[[#This Row],[Model]],表格3[Model-Input-Ref2],表格3[SRP PRICE])</f>
        <v>618</v>
      </c>
      <c r="T1674" s="43">
        <f>表格1[[#This Row],[Unit Price]]/表格1[[#This Row],[SRP]]</f>
        <v>0.72815533980582525</v>
      </c>
      <c r="U1674" s="86" t="str">
        <f>_xlfn.XLOOKUP(表格1[[#This Row],[Model]],表格3[Model-Input-Ref2],表格3[TOSHIBA/HIGHEST])</f>
        <v>Toshiba SRP</v>
      </c>
      <c r="V1674" s="86" t="s">
        <v>1640</v>
      </c>
      <c r="W1674" s="86" t="str">
        <f>_xlfn.CONCAT(表格1[[#This Row],[欄4]],表格1[[#This Row],[inv no]])</f>
        <v>DA142367046</v>
      </c>
    </row>
    <row r="1675" spans="1:23" hidden="1">
      <c r="A1675" s="81">
        <v>1673</v>
      </c>
      <c r="B1675" s="81" t="s">
        <v>1260</v>
      </c>
      <c r="C1675" s="81" t="s">
        <v>2080</v>
      </c>
      <c r="D1675" s="82" t="str">
        <f ca="1">OFFSET(Roster!$A$3,MATCH(表格1[[#This Row],[Location]]&amp;" "&amp;表格1[[#This Row],[Shop]]&amp;"*",Roster!$A$4:$A$72,0),DAY(表格1[[#This Row],[date]]),1,1)</f>
        <v>Shan_2</v>
      </c>
      <c r="E1675" s="81">
        <f>MONTH(表格1[[#This Row],[date]])</f>
        <v>3</v>
      </c>
      <c r="F1675" s="90">
        <v>46106</v>
      </c>
      <c r="G1675" s="81" t="str">
        <f>VLOOKUP("*"&amp;表格1[[#This Row],[Input]]&amp;"*",'Ref-List'!$B:$D,2,)</f>
        <v>GR-RB449WE-PMA(57)</v>
      </c>
      <c r="H1675" s="81" t="str">
        <f>_xlfn.XLOOKUP(表格1[[#This Row],[Model]],表格3[Model-Input-Ref2],表格3[Product Line])</f>
        <v>變頻下置式雙門雪櫃</v>
      </c>
      <c r="I1675" s="81" t="str">
        <f>_xlfn.XLOOKUP(表格1[[#This Row],[Model]],表格3[Model-Input-Ref2],表格3[大小電])</f>
        <v>大電</v>
      </c>
      <c r="J1675" s="81" t="str">
        <f>_xlfn.XLOOKUP(表格1[[#This Row],[Model]],表格3[Model-Input-Ref2],表格3[Code])</f>
        <v>REF</v>
      </c>
      <c r="K1675" s="89" t="s">
        <v>1484</v>
      </c>
      <c r="L1675" s="86">
        <v>1</v>
      </c>
      <c r="M1675" s="87">
        <v>4880</v>
      </c>
      <c r="N1675" s="85">
        <f>IFERROR(表格1[[#This Row],[QTY]]*表格1[[#This Row],[Unit Price]],"-")</f>
        <v>4880</v>
      </c>
      <c r="O1675" s="86">
        <v>512019</v>
      </c>
      <c r="R1675" s="86" t="str">
        <f>_xlfn.CONCAT(表格1[[#This Row],[Model]]," ",表格1[[#This Row],[inv no]])</f>
        <v>GR-RB449WE-PMA(57) 512019</v>
      </c>
      <c r="S1675" s="86">
        <f>_xlfn.XLOOKUP(表格1[[#This Row],[Model]],表格3[Model-Input-Ref2],表格3[SRP PRICE])</f>
        <v>6280</v>
      </c>
      <c r="T1675" s="43">
        <f>表格1[[#This Row],[Unit Price]]/表格1[[#This Row],[SRP]]</f>
        <v>0.77707006369426757</v>
      </c>
      <c r="U1675" s="86" t="str">
        <f>_xlfn.XLOOKUP(表格1[[#This Row],[Model]],表格3[Model-Input-Ref2],表格3[TOSHIBA/HIGHEST])</f>
        <v>Toshiba SRP</v>
      </c>
      <c r="V1675" s="86" t="s">
        <v>1640</v>
      </c>
      <c r="W1675" s="86" t="str">
        <f>_xlfn.CONCAT(表格1[[#This Row],[欄4]],表格1[[#This Row],[inv no]])</f>
        <v>DA142512019</v>
      </c>
    </row>
    <row r="1676" spans="1:23" hidden="1">
      <c r="A1676" s="81">
        <v>1674</v>
      </c>
      <c r="B1676" s="81" t="s">
        <v>1260</v>
      </c>
      <c r="C1676" s="81" t="s">
        <v>2080</v>
      </c>
      <c r="D1676" s="82" t="str">
        <f ca="1">OFFSET(Roster!$A$3,MATCH(表格1[[#This Row],[Location]]&amp;" "&amp;表格1[[#This Row],[Shop]]&amp;"*",Roster!$A$4:$A$72,0),DAY(表格1[[#This Row],[date]]),1,1)</f>
        <v>Shan_2</v>
      </c>
      <c r="E1676" s="81">
        <f>MONTH(表格1[[#This Row],[date]])</f>
        <v>3</v>
      </c>
      <c r="F1676" s="90">
        <v>46106</v>
      </c>
      <c r="G1676" s="81" t="str">
        <f>VLOOKUP("*"&amp;表格1[[#This Row],[Input]]&amp;"*",'Ref-List'!$B:$D,2,)</f>
        <v>RC-10BHH(W)</v>
      </c>
      <c r="H1676" s="81" t="str">
        <f>_xlfn.XLOOKUP(表格1[[#This Row],[Model]],表格3[Model-Input-Ref2],表格3[Product Line])</f>
        <v>酵活炊磁應電飯煲</v>
      </c>
      <c r="I1676" s="81" t="str">
        <f>_xlfn.XLOOKUP(表格1[[#This Row],[Model]],表格3[Model-Input-Ref2],表格3[大小電])</f>
        <v>細電</v>
      </c>
      <c r="J1676" s="81" t="str">
        <f>_xlfn.XLOOKUP(表格1[[#This Row],[Model]],表格3[Model-Input-Ref2],表格3[Code])</f>
        <v>SDA</v>
      </c>
      <c r="K1676" s="89" t="s">
        <v>1269</v>
      </c>
      <c r="L1676" s="86">
        <v>1</v>
      </c>
      <c r="M1676" s="87">
        <v>1888</v>
      </c>
      <c r="N1676" s="85">
        <f>IFERROR(表格1[[#This Row],[QTY]]*表格1[[#This Row],[Unit Price]],"-")</f>
        <v>1888</v>
      </c>
      <c r="O1676" s="86">
        <v>367123</v>
      </c>
      <c r="R1676" s="86" t="str">
        <f>_xlfn.CONCAT(表格1[[#This Row],[Model]]," ",表格1[[#This Row],[inv no]])</f>
        <v>RC-10BHH(W) 367123</v>
      </c>
      <c r="S1676" s="86">
        <f>_xlfn.XLOOKUP(表格1[[#This Row],[Model]],表格3[Model-Input-Ref2],表格3[SRP PRICE])</f>
        <v>2088</v>
      </c>
      <c r="T1676" s="43">
        <f>表格1[[#This Row],[Unit Price]]/表格1[[#This Row],[SRP]]</f>
        <v>0.90421455938697315</v>
      </c>
      <c r="U1676" s="86" t="str">
        <f>_xlfn.XLOOKUP(表格1[[#This Row],[Model]],表格3[Model-Input-Ref2],表格3[TOSHIBA/HIGHEST])</f>
        <v>Shops Highest Price</v>
      </c>
      <c r="V1676" s="86" t="s">
        <v>1640</v>
      </c>
      <c r="W1676" s="86" t="str">
        <f>_xlfn.CONCAT(表格1[[#This Row],[欄4]],表格1[[#This Row],[inv no]])</f>
        <v>DA142367123</v>
      </c>
    </row>
    <row r="1677" spans="1:23" hidden="1">
      <c r="A1677" s="81">
        <v>1675</v>
      </c>
      <c r="B1677" s="81" t="s">
        <v>1260</v>
      </c>
      <c r="C1677" s="81" t="s">
        <v>2080</v>
      </c>
      <c r="D1677" s="82" t="str">
        <f ca="1">OFFSET(Roster!$A$3,MATCH(表格1[[#This Row],[Location]]&amp;" "&amp;表格1[[#This Row],[Shop]]&amp;"*",Roster!$A$4:$A$72,0),DAY(表格1[[#This Row],[date]]),1,1)</f>
        <v>Shan_2</v>
      </c>
      <c r="E1677" s="81">
        <f>MONTH(表格1[[#This Row],[date]])</f>
        <v>3</v>
      </c>
      <c r="F1677" s="90">
        <v>46106</v>
      </c>
      <c r="G1677" s="81" t="str">
        <f>VLOOKUP("*"&amp;表格1[[#This Row],[Input]]&amp;"*",'Ref-List'!$B:$D,2,)</f>
        <v>RC-5MMIH(WT)</v>
      </c>
      <c r="H1677" s="81" t="str">
        <f>_xlfn.XLOOKUP(表格1[[#This Row],[Model]],表格3[Model-Input-Ref2],表格3[Product Line])</f>
        <v>4毫米厚釜電飯煲0.54L</v>
      </c>
      <c r="I1677" s="81" t="str">
        <f>_xlfn.XLOOKUP(表格1[[#This Row],[Model]],表格3[Model-Input-Ref2],表格3[大小電])</f>
        <v>細電</v>
      </c>
      <c r="J1677" s="81" t="str">
        <f>_xlfn.XLOOKUP(表格1[[#This Row],[Model]],表格3[Model-Input-Ref2],表格3[Code])</f>
        <v>SDA</v>
      </c>
      <c r="K1677" s="89" t="s">
        <v>1195</v>
      </c>
      <c r="L1677" s="86">
        <v>1</v>
      </c>
      <c r="M1677" s="87">
        <v>450</v>
      </c>
      <c r="N1677" s="85">
        <f>IFERROR(表格1[[#This Row],[QTY]]*表格1[[#This Row],[Unit Price]],"-")</f>
        <v>450</v>
      </c>
      <c r="O1677" s="86">
        <v>367155</v>
      </c>
      <c r="R1677" s="86" t="str">
        <f>_xlfn.CONCAT(表格1[[#This Row],[Model]]," ",表格1[[#This Row],[inv no]])</f>
        <v>RC-5MMIH(WT) 367155</v>
      </c>
      <c r="S1677" s="86">
        <f>_xlfn.XLOOKUP(表格1[[#This Row],[Model]],表格3[Model-Input-Ref2],表格3[SRP PRICE])</f>
        <v>618</v>
      </c>
      <c r="T1677" s="43">
        <f>表格1[[#This Row],[Unit Price]]/表格1[[#This Row],[SRP]]</f>
        <v>0.72815533980582525</v>
      </c>
      <c r="U1677" s="86" t="str">
        <f>_xlfn.XLOOKUP(表格1[[#This Row],[Model]],表格3[Model-Input-Ref2],表格3[TOSHIBA/HIGHEST])</f>
        <v>Toshiba SRP</v>
      </c>
      <c r="W1677" s="86" t="str">
        <f>_xlfn.CONCAT(表格1[[#This Row],[欄4]],表格1[[#This Row],[inv no]])</f>
        <v>367155</v>
      </c>
    </row>
    <row r="1678" spans="1:23" hidden="1">
      <c r="A1678" s="81">
        <v>1676</v>
      </c>
      <c r="B1678" s="81" t="s">
        <v>1260</v>
      </c>
      <c r="C1678" s="81" t="s">
        <v>2080</v>
      </c>
      <c r="D1678" s="82" t="str">
        <f ca="1">OFFSET(Roster!$A$3,MATCH(表格1[[#This Row],[Location]]&amp;" "&amp;表格1[[#This Row],[Shop]]&amp;"*",Roster!$A$4:$A$72,0),DAY(表格1[[#This Row],[date]]),1,1)</f>
        <v>Shan_2</v>
      </c>
      <c r="E1678" s="81">
        <f>MONTH(表格1[[#This Row],[date]])</f>
        <v>3</v>
      </c>
      <c r="F1678" s="90">
        <v>46106</v>
      </c>
      <c r="G1678" s="81" t="str">
        <f>VLOOKUP("*"&amp;表格1[[#This Row],[Input]]&amp;"*",'Ref-List'!$B:$D,2,)</f>
        <v>MM2-EM20PC(WH)</v>
      </c>
      <c r="H1678" s="81" t="str">
        <f>_xlfn.XLOOKUP(表格1[[#This Row],[Model]],表格3[Model-Input-Ref2],表格3[Product Line])</f>
        <v>輕觸式微波爐 (20公升)</v>
      </c>
      <c r="I1678" s="81" t="str">
        <f>_xlfn.XLOOKUP(表格1[[#This Row],[Model]],表格3[Model-Input-Ref2],表格3[大小電])</f>
        <v>細電</v>
      </c>
      <c r="J1678" s="81" t="str">
        <f>_xlfn.XLOOKUP(表格1[[#This Row],[Model]],表格3[Model-Input-Ref2],表格3[Code])</f>
        <v>MCA</v>
      </c>
      <c r="K1678" s="89" t="s">
        <v>1276</v>
      </c>
      <c r="L1678" s="86">
        <v>1</v>
      </c>
      <c r="M1678" s="87">
        <v>598</v>
      </c>
      <c r="N1678" s="85">
        <f>IFERROR(表格1[[#This Row],[QTY]]*表格1[[#This Row],[Unit Price]],"-")</f>
        <v>598</v>
      </c>
      <c r="O1678" s="86">
        <v>374551</v>
      </c>
      <c r="R1678" s="86" t="str">
        <f>_xlfn.CONCAT(表格1[[#This Row],[Model]]," ",表格1[[#This Row],[inv no]])</f>
        <v>MM2-EM20PC(WH) 374551</v>
      </c>
      <c r="S1678" s="86">
        <f>_xlfn.XLOOKUP(表格1[[#This Row],[Model]],表格3[Model-Input-Ref2],表格3[SRP PRICE])</f>
        <v>788</v>
      </c>
      <c r="T1678" s="43">
        <f>表格1[[#This Row],[Unit Price]]/表格1[[#This Row],[SRP]]</f>
        <v>0.75888324873096447</v>
      </c>
      <c r="U1678" s="86" t="str">
        <f>_xlfn.XLOOKUP(表格1[[#This Row],[Model]],表格3[Model-Input-Ref2],表格3[TOSHIBA/HIGHEST])</f>
        <v>Toshiba SRP</v>
      </c>
      <c r="W1678" s="86" t="str">
        <f>_xlfn.CONCAT(表格1[[#This Row],[欄4]],表格1[[#This Row],[inv no]])</f>
        <v>374551</v>
      </c>
    </row>
    <row r="1679" spans="1:23" hidden="1">
      <c r="A1679" s="81">
        <v>1677</v>
      </c>
      <c r="B1679" s="81" t="s">
        <v>1260</v>
      </c>
      <c r="C1679" s="81" t="s">
        <v>2080</v>
      </c>
      <c r="D1679" s="82" t="str">
        <f ca="1">OFFSET(Roster!$A$3,MATCH(表格1[[#This Row],[Location]]&amp;" "&amp;表格1[[#This Row],[Shop]]&amp;"*",Roster!$A$4:$A$72,0),DAY(表格1[[#This Row],[date]]),1,1)</f>
        <v>Shan_2</v>
      </c>
      <c r="E1679" s="81">
        <f>MONTH(表格1[[#This Row],[date]])</f>
        <v>3</v>
      </c>
      <c r="F1679" s="90">
        <v>46106</v>
      </c>
      <c r="G1679" s="81" t="str">
        <f>VLOOKUP("*"&amp;表格1[[#This Row],[Input]]&amp;"*",'Ref-List'!$B:$D,2,)</f>
        <v>MM2-EM20PC(WH)</v>
      </c>
      <c r="H1679" s="81" t="str">
        <f>_xlfn.XLOOKUP(表格1[[#This Row],[Model]],表格3[Model-Input-Ref2],表格3[Product Line])</f>
        <v>輕觸式微波爐 (20公升)</v>
      </c>
      <c r="I1679" s="81" t="str">
        <f>_xlfn.XLOOKUP(表格1[[#This Row],[Model]],表格3[Model-Input-Ref2],表格3[大小電])</f>
        <v>細電</v>
      </c>
      <c r="J1679" s="81" t="str">
        <f>_xlfn.XLOOKUP(表格1[[#This Row],[Model]],表格3[Model-Input-Ref2],表格3[Code])</f>
        <v>MCA</v>
      </c>
      <c r="K1679" s="89" t="s">
        <v>1276</v>
      </c>
      <c r="L1679" s="86">
        <v>1</v>
      </c>
      <c r="M1679" s="87">
        <v>598</v>
      </c>
      <c r="N1679" s="85">
        <f>IFERROR(表格1[[#This Row],[QTY]]*表格1[[#This Row],[Unit Price]],"-")</f>
        <v>598</v>
      </c>
      <c r="O1679" s="86">
        <v>374560</v>
      </c>
      <c r="R1679" s="86" t="str">
        <f>_xlfn.CONCAT(表格1[[#This Row],[Model]]," ",表格1[[#This Row],[inv no]])</f>
        <v>MM2-EM20PC(WH) 374560</v>
      </c>
      <c r="S1679" s="86">
        <f>_xlfn.XLOOKUP(表格1[[#This Row],[Model]],表格3[Model-Input-Ref2],表格3[SRP PRICE])</f>
        <v>788</v>
      </c>
      <c r="T1679" s="43">
        <f>表格1[[#This Row],[Unit Price]]/表格1[[#This Row],[SRP]]</f>
        <v>0.75888324873096447</v>
      </c>
      <c r="U1679" s="86" t="str">
        <f>_xlfn.XLOOKUP(表格1[[#This Row],[Model]],表格3[Model-Input-Ref2],表格3[TOSHIBA/HIGHEST])</f>
        <v>Toshiba SRP</v>
      </c>
      <c r="W1679" s="86" t="str">
        <f>_xlfn.CONCAT(表格1[[#This Row],[欄4]],表格1[[#This Row],[inv no]])</f>
        <v>374560</v>
      </c>
    </row>
    <row r="1680" spans="1:23" hidden="1">
      <c r="A1680" s="81">
        <v>1678</v>
      </c>
      <c r="B1680" s="81" t="s">
        <v>1260</v>
      </c>
      <c r="C1680" s="81" t="s">
        <v>2080</v>
      </c>
      <c r="D1680" s="82" t="str">
        <f ca="1">OFFSET(Roster!$A$3,MATCH(表格1[[#This Row],[Location]]&amp;" "&amp;表格1[[#This Row],[Shop]]&amp;"*",Roster!$A$4:$A$72,0),DAY(表格1[[#This Row],[date]]),1,1)</f>
        <v>Shan_2</v>
      </c>
      <c r="E1680" s="81">
        <f>MONTH(表格1[[#This Row],[date]])</f>
        <v>3</v>
      </c>
      <c r="F1680" s="90">
        <v>46106</v>
      </c>
      <c r="G1680" s="81" t="str">
        <f>VLOOKUP("*"&amp;表格1[[#This Row],[Input]]&amp;"*",'Ref-List'!$B:$D,2,)</f>
        <v>RC-5MMIH(WT)</v>
      </c>
      <c r="H1680" s="81" t="str">
        <f>_xlfn.XLOOKUP(表格1[[#This Row],[Model]],表格3[Model-Input-Ref2],表格3[Product Line])</f>
        <v>4毫米厚釜電飯煲0.54L</v>
      </c>
      <c r="I1680" s="81" t="str">
        <f>_xlfn.XLOOKUP(表格1[[#This Row],[Model]],表格3[Model-Input-Ref2],表格3[大小電])</f>
        <v>細電</v>
      </c>
      <c r="J1680" s="81" t="str">
        <f>_xlfn.XLOOKUP(表格1[[#This Row],[Model]],表格3[Model-Input-Ref2],表格3[Code])</f>
        <v>SDA</v>
      </c>
      <c r="K1680" s="89" t="s">
        <v>1195</v>
      </c>
      <c r="L1680" s="86">
        <v>1</v>
      </c>
      <c r="M1680" s="87">
        <v>450</v>
      </c>
      <c r="N1680" s="85">
        <f>IFERROR(表格1[[#This Row],[QTY]]*表格1[[#This Row],[Unit Price]],"-")</f>
        <v>450</v>
      </c>
      <c r="O1680" s="86">
        <v>367170</v>
      </c>
      <c r="R1680" s="86" t="str">
        <f>_xlfn.CONCAT(表格1[[#This Row],[Model]]," ",表格1[[#This Row],[inv no]])</f>
        <v>RC-5MMIH(WT) 367170</v>
      </c>
      <c r="S1680" s="86">
        <f>_xlfn.XLOOKUP(表格1[[#This Row],[Model]],表格3[Model-Input-Ref2],表格3[SRP PRICE])</f>
        <v>618</v>
      </c>
      <c r="T1680" s="43">
        <f>表格1[[#This Row],[Unit Price]]/表格1[[#This Row],[SRP]]</f>
        <v>0.72815533980582525</v>
      </c>
      <c r="U1680" s="86" t="str">
        <f>_xlfn.XLOOKUP(表格1[[#This Row],[Model]],表格3[Model-Input-Ref2],表格3[TOSHIBA/HIGHEST])</f>
        <v>Toshiba SRP</v>
      </c>
      <c r="W1680" s="86" t="str">
        <f>_xlfn.CONCAT(表格1[[#This Row],[欄4]],表格1[[#This Row],[inv no]])</f>
        <v>367170</v>
      </c>
    </row>
    <row r="1681" spans="1:23" hidden="1">
      <c r="A1681" s="81">
        <v>1679</v>
      </c>
      <c r="B1681" s="81" t="s">
        <v>1260</v>
      </c>
      <c r="C1681" s="81" t="s">
        <v>2080</v>
      </c>
      <c r="D1681" s="82" t="str">
        <f ca="1">OFFSET(Roster!$A$3,MATCH(表格1[[#This Row],[Location]]&amp;" "&amp;表格1[[#This Row],[Shop]]&amp;"*",Roster!$A$4:$A$72,0),DAY(表格1[[#This Row],[date]]),1,1)</f>
        <v>Shan_2</v>
      </c>
      <c r="E1681" s="81">
        <f>MONTH(表格1[[#This Row],[date]])</f>
        <v>3</v>
      </c>
      <c r="F1681" s="90">
        <v>46106</v>
      </c>
      <c r="G1681" s="81" t="str">
        <f>VLOOKUP("*"&amp;表格1[[#This Row],[Input]]&amp;"*",'Ref-List'!$B:$D,2,)</f>
        <v>KT-08DH1VHK(W)</v>
      </c>
      <c r="H1681" s="81" t="str">
        <f>_xlfn.XLOOKUP(表格1[[#This Row],[Model]],表格3[Model-Input-Ref2],表格3[Product Line])</f>
        <v>無線雙層電熱水壺-附可鎖壺蓋(0.8公升)</v>
      </c>
      <c r="I1681" s="81" t="str">
        <f>_xlfn.XLOOKUP(表格1[[#This Row],[Model]],表格3[Model-Input-Ref2],表格3[大小電])</f>
        <v>細電</v>
      </c>
      <c r="J1681" s="81" t="str">
        <f>_xlfn.XLOOKUP(表格1[[#This Row],[Model]],表格3[Model-Input-Ref2],表格3[Code])</f>
        <v>SDA</v>
      </c>
      <c r="K1681" s="89" t="s">
        <v>1268</v>
      </c>
      <c r="L1681" s="86">
        <v>1</v>
      </c>
      <c r="M1681" s="87">
        <v>268</v>
      </c>
      <c r="N1681" s="85">
        <f>IFERROR(表格1[[#This Row],[QTY]]*表格1[[#This Row],[Unit Price]],"-")</f>
        <v>268</v>
      </c>
      <c r="O1681" s="86">
        <v>367186</v>
      </c>
      <c r="R1681" s="86" t="str">
        <f>_xlfn.CONCAT(表格1[[#This Row],[Model]]," ",表格1[[#This Row],[inv no]])</f>
        <v>KT-08DH1VHK(W) 367186</v>
      </c>
      <c r="S1681" s="86">
        <f>_xlfn.XLOOKUP(表格1[[#This Row],[Model]],表格3[Model-Input-Ref2],表格3[SRP PRICE])</f>
        <v>428</v>
      </c>
      <c r="T1681" s="43">
        <f>表格1[[#This Row],[Unit Price]]/表格1[[#This Row],[SRP]]</f>
        <v>0.62616822429906538</v>
      </c>
      <c r="U1681" s="86" t="str">
        <f>_xlfn.XLOOKUP(表格1[[#This Row],[Model]],表格3[Model-Input-Ref2],表格3[TOSHIBA/HIGHEST])</f>
        <v>Toshiba SRP</v>
      </c>
      <c r="W1681" s="86" t="str">
        <f>_xlfn.CONCAT(表格1[[#This Row],[欄4]],表格1[[#This Row],[inv no]])</f>
        <v>367186</v>
      </c>
    </row>
    <row r="1682" spans="1:23" hidden="1">
      <c r="A1682" s="81">
        <v>1680</v>
      </c>
      <c r="B1682" s="81" t="s">
        <v>1260</v>
      </c>
      <c r="C1682" s="81" t="s">
        <v>2080</v>
      </c>
      <c r="D1682" s="82" t="str">
        <f ca="1">OFFSET(Roster!$A$3,MATCH(表格1[[#This Row],[Location]]&amp;" "&amp;表格1[[#This Row],[Shop]]&amp;"*",Roster!$A$4:$A$72,0),DAY(表格1[[#This Row],[date]]),1,1)</f>
        <v>Shan_2</v>
      </c>
      <c r="E1682" s="81">
        <f>MONTH(表格1[[#This Row],[date]])</f>
        <v>3</v>
      </c>
      <c r="F1682" s="90">
        <v>46106</v>
      </c>
      <c r="G1682" s="81" t="str">
        <f>VLOOKUP("*"&amp;表格1[[#This Row],[Input]]&amp;"*",'Ref-List'!$B:$D,2,)</f>
        <v>RC-5SLIH(W)</v>
      </c>
      <c r="H1682" s="81" t="str">
        <f>_xlfn.XLOOKUP(表格1[[#This Row],[Model]],表格3[Model-Input-Ref2],表格3[Product Line])</f>
        <v>微型電腦珍珠飯煲</v>
      </c>
      <c r="I1682" s="81" t="str">
        <f>_xlfn.XLOOKUP(表格1[[#This Row],[Model]],表格3[Model-Input-Ref2],表格3[大小電])</f>
        <v>細電</v>
      </c>
      <c r="J1682" s="81" t="str">
        <f>_xlfn.XLOOKUP(表格1[[#This Row],[Model]],表格3[Model-Input-Ref2],表格3[Code])</f>
        <v>SDA</v>
      </c>
      <c r="K1682" s="89" t="s">
        <v>1264</v>
      </c>
      <c r="L1682" s="86">
        <v>1</v>
      </c>
      <c r="M1682" s="87">
        <v>550</v>
      </c>
      <c r="N1682" s="85">
        <f>IFERROR(表格1[[#This Row],[QTY]]*表格1[[#This Row],[Unit Price]],"-")</f>
        <v>550</v>
      </c>
      <c r="O1682" s="86">
        <v>367192</v>
      </c>
      <c r="R1682" s="86" t="str">
        <f>_xlfn.CONCAT(表格1[[#This Row],[Model]]," ",表格1[[#This Row],[inv no]])</f>
        <v>RC-5SLIH(W) 367192</v>
      </c>
      <c r="S1682" s="86">
        <f>_xlfn.XLOOKUP(表格1[[#This Row],[Model]],表格3[Model-Input-Ref2],表格3[SRP PRICE])</f>
        <v>658</v>
      </c>
      <c r="T1682" s="43">
        <f>表格1[[#This Row],[Unit Price]]/表格1[[#This Row],[SRP]]</f>
        <v>0.83586626139817632</v>
      </c>
      <c r="U1682" s="86" t="str">
        <f>_xlfn.XLOOKUP(表格1[[#This Row],[Model]],表格3[Model-Input-Ref2],表格3[TOSHIBA/HIGHEST])</f>
        <v>Toshiba SRP</v>
      </c>
      <c r="W1682" s="86" t="str">
        <f>_xlfn.CONCAT(表格1[[#This Row],[欄4]],表格1[[#This Row],[inv no]])</f>
        <v>367192</v>
      </c>
    </row>
    <row r="1683" spans="1:23" hidden="1">
      <c r="A1683" s="81">
        <v>1681</v>
      </c>
      <c r="B1683" s="81" t="s">
        <v>1260</v>
      </c>
      <c r="C1683" s="81" t="s">
        <v>2080</v>
      </c>
      <c r="D1683" s="82" t="str">
        <f ca="1">OFFSET(Roster!$A$3,MATCH(表格1[[#This Row],[Location]]&amp;" "&amp;表格1[[#This Row],[Shop]]&amp;"*",Roster!$A$4:$A$72,0),DAY(表格1[[#This Row],[date]]),1,1)</f>
        <v>Shan_2</v>
      </c>
      <c r="E1683" s="81">
        <f>MONTH(表格1[[#This Row],[date]])</f>
        <v>3</v>
      </c>
      <c r="F1683" s="90">
        <v>46106</v>
      </c>
      <c r="G1683" s="81" t="str">
        <f>VLOOKUP("*"&amp;表格1[[#This Row],[Input]]&amp;"*",'Ref-List'!$B:$D,2,)</f>
        <v>RC-10BHH(W)</v>
      </c>
      <c r="H1683" s="81" t="str">
        <f>_xlfn.XLOOKUP(表格1[[#This Row],[Model]],表格3[Model-Input-Ref2],表格3[Product Line])</f>
        <v>酵活炊磁應電飯煲</v>
      </c>
      <c r="I1683" s="81" t="str">
        <f>_xlfn.XLOOKUP(表格1[[#This Row],[Model]],表格3[Model-Input-Ref2],表格3[大小電])</f>
        <v>細電</v>
      </c>
      <c r="J1683" s="81" t="str">
        <f>_xlfn.XLOOKUP(表格1[[#This Row],[Model]],表格3[Model-Input-Ref2],表格3[Code])</f>
        <v>SDA</v>
      </c>
      <c r="K1683" s="89" t="s">
        <v>1269</v>
      </c>
      <c r="L1683" s="86">
        <v>1</v>
      </c>
      <c r="M1683" s="87">
        <v>1888</v>
      </c>
      <c r="N1683" s="85">
        <f>IFERROR(表格1[[#This Row],[QTY]]*表格1[[#This Row],[Unit Price]],"-")</f>
        <v>1888</v>
      </c>
      <c r="O1683" s="86">
        <v>367197</v>
      </c>
      <c r="R1683" s="86" t="str">
        <f>_xlfn.CONCAT(表格1[[#This Row],[Model]]," ",表格1[[#This Row],[inv no]])</f>
        <v>RC-10BHH(W) 367197</v>
      </c>
      <c r="S1683" s="86">
        <f>_xlfn.XLOOKUP(表格1[[#This Row],[Model]],表格3[Model-Input-Ref2],表格3[SRP PRICE])</f>
        <v>2088</v>
      </c>
      <c r="T1683" s="43">
        <f>表格1[[#This Row],[Unit Price]]/表格1[[#This Row],[SRP]]</f>
        <v>0.90421455938697315</v>
      </c>
      <c r="U1683" s="86" t="str">
        <f>_xlfn.XLOOKUP(表格1[[#This Row],[Model]],表格3[Model-Input-Ref2],表格3[TOSHIBA/HIGHEST])</f>
        <v>Shops Highest Price</v>
      </c>
      <c r="W1683" s="86" t="str">
        <f>_xlfn.CONCAT(表格1[[#This Row],[欄4]],表格1[[#This Row],[inv no]])</f>
        <v>367197</v>
      </c>
    </row>
    <row r="1684" spans="1:23" hidden="1">
      <c r="A1684" s="81">
        <v>1682</v>
      </c>
      <c r="B1684" s="81" t="s">
        <v>1260</v>
      </c>
      <c r="C1684" s="81" t="s">
        <v>2080</v>
      </c>
      <c r="D1684" s="82" t="str">
        <f ca="1">OFFSET(Roster!$A$3,MATCH(表格1[[#This Row],[Location]]&amp;" "&amp;表格1[[#This Row],[Shop]]&amp;"*",Roster!$A$4:$A$72,0),DAY(表格1[[#This Row],[date]]),1,1)</f>
        <v>Shan_2</v>
      </c>
      <c r="E1684" s="81">
        <f>MONTH(表格1[[#This Row],[date]])</f>
        <v>3</v>
      </c>
      <c r="F1684" s="90">
        <v>46106</v>
      </c>
      <c r="G1684" s="81" t="str">
        <f>VLOOKUP("*"&amp;表格1[[#This Row],[Input]]&amp;"*",'Ref-List'!$B:$D,2,)</f>
        <v>AW-Q901BPH(WW)</v>
      </c>
      <c r="H1684" s="81" t="str">
        <f>_xlfn.XLOOKUP(表格1[[#This Row],[Model]],表格3[Model-Input-Ref2],表格3[Product Line])</f>
        <v>日式洗衣機 (8公斤 結合高低水位)</v>
      </c>
      <c r="I1684" s="81" t="str">
        <f>_xlfn.XLOOKUP(表格1[[#This Row],[Model]],表格3[Model-Input-Ref2],表格3[大小電])</f>
        <v>大電</v>
      </c>
      <c r="J1684" s="81" t="str">
        <f>_xlfn.XLOOKUP(表格1[[#This Row],[Model]],表格3[Model-Input-Ref2],表格3[Code])</f>
        <v>LAD</v>
      </c>
      <c r="K1684" s="89" t="s">
        <v>1411</v>
      </c>
      <c r="L1684" s="86">
        <v>1</v>
      </c>
      <c r="M1684" s="87">
        <v>2280</v>
      </c>
      <c r="N1684" s="85">
        <f>IFERROR(表格1[[#This Row],[QTY]]*表格1[[#This Row],[Unit Price]],"-")</f>
        <v>2280</v>
      </c>
      <c r="O1684" s="86">
        <v>446531</v>
      </c>
      <c r="R1684" s="86" t="str">
        <f>_xlfn.CONCAT(表格1[[#This Row],[Model]]," ",表格1[[#This Row],[inv no]])</f>
        <v>AW-Q901BPH(WW) 446531</v>
      </c>
      <c r="S1684" s="86">
        <f>_xlfn.XLOOKUP(表格1[[#This Row],[Model]],表格3[Model-Input-Ref2],表格3[SRP PRICE])</f>
        <v>3780</v>
      </c>
      <c r="T1684" s="43">
        <f>表格1[[#This Row],[Unit Price]]/表格1[[#This Row],[SRP]]</f>
        <v>0.60317460317460314</v>
      </c>
      <c r="U1684" s="86" t="str">
        <f>_xlfn.XLOOKUP(表格1[[#This Row],[Model]],表格3[Model-Input-Ref2],表格3[TOSHIBA/HIGHEST])</f>
        <v>Toshiba SRP</v>
      </c>
      <c r="W1684" s="86" t="str">
        <f>_xlfn.CONCAT(表格1[[#This Row],[欄4]],表格1[[#This Row],[inv no]])</f>
        <v>446531</v>
      </c>
    </row>
    <row r="1685" spans="1:23" hidden="1">
      <c r="A1685" s="81">
        <v>1683</v>
      </c>
      <c r="B1685" s="81" t="s">
        <v>1260</v>
      </c>
      <c r="C1685" s="81" t="s">
        <v>2080</v>
      </c>
      <c r="D1685" s="82" t="str">
        <f ca="1">OFFSET(Roster!$A$3,MATCH(表格1[[#This Row],[Location]]&amp;" "&amp;表格1[[#This Row],[Shop]]&amp;"*",Roster!$A$4:$A$72,0),DAY(表格1[[#This Row],[date]]),1,1)</f>
        <v>Shan_2</v>
      </c>
      <c r="E1685" s="81">
        <f>MONTH(表格1[[#This Row],[date]])</f>
        <v>3</v>
      </c>
      <c r="F1685" s="90">
        <v>46106</v>
      </c>
      <c r="G1685" s="81" t="str">
        <f>VLOOKUP("*"&amp;表格1[[#This Row],[Input]]&amp;"*",'Ref-List'!$B:$D,2,)</f>
        <v>RC-10ISSHK(W)</v>
      </c>
      <c r="H1685" s="81" t="str">
        <f>_xlfn.XLOOKUP(表格1[[#This Row],[Model]],表格3[Model-Input-Ref2],表格3[Product Line])</f>
        <v>磁應電飯煲(1公升)</v>
      </c>
      <c r="I1685" s="81" t="str">
        <f>_xlfn.XLOOKUP(表格1[[#This Row],[Model]],表格3[Model-Input-Ref2],表格3[大小電])</f>
        <v>細電</v>
      </c>
      <c r="J1685" s="81" t="str">
        <f>_xlfn.XLOOKUP(表格1[[#This Row],[Model]],表格3[Model-Input-Ref2],表格3[Code])</f>
        <v>SDA</v>
      </c>
      <c r="K1685" s="89" t="s">
        <v>1286</v>
      </c>
      <c r="L1685" s="86">
        <v>1</v>
      </c>
      <c r="M1685" s="87">
        <v>938</v>
      </c>
      <c r="N1685" s="85">
        <f>IFERROR(表格1[[#This Row],[QTY]]*表格1[[#This Row],[Unit Price]],"-")</f>
        <v>938</v>
      </c>
      <c r="O1685" s="86">
        <v>367232</v>
      </c>
      <c r="R1685" s="86" t="str">
        <f>_xlfn.CONCAT(表格1[[#This Row],[Model]]," ",表格1[[#This Row],[inv no]])</f>
        <v>RC-10ISSHK(W) 367232</v>
      </c>
      <c r="S1685" s="86">
        <f>_xlfn.XLOOKUP(表格1[[#This Row],[Model]],表格3[Model-Input-Ref2],表格3[SRP PRICE])</f>
        <v>1188</v>
      </c>
      <c r="T1685" s="43">
        <f>表格1[[#This Row],[Unit Price]]/表格1[[#This Row],[SRP]]</f>
        <v>0.78956228956228958</v>
      </c>
      <c r="U1685" s="86" t="str">
        <f>_xlfn.XLOOKUP(表格1[[#This Row],[Model]],表格3[Model-Input-Ref2],表格3[TOSHIBA/HIGHEST])</f>
        <v>Shops Highest Price</v>
      </c>
      <c r="W1685" s="86" t="str">
        <f>_xlfn.CONCAT(表格1[[#This Row],[欄4]],表格1[[#This Row],[inv no]])</f>
        <v>367232</v>
      </c>
    </row>
    <row r="1686" spans="1:23" hidden="1">
      <c r="A1686" s="81">
        <v>1684</v>
      </c>
      <c r="B1686" s="81" t="s">
        <v>1260</v>
      </c>
      <c r="C1686" s="81" t="s">
        <v>2080</v>
      </c>
      <c r="D1686" s="82" t="str">
        <f ca="1">OFFSET(Roster!$A$3,MATCH(表格1[[#This Row],[Location]]&amp;" "&amp;表格1[[#This Row],[Shop]]&amp;"*",Roster!$A$4:$A$72,0),DAY(表格1[[#This Row],[date]]),1,1)</f>
        <v>Shan_2</v>
      </c>
      <c r="E1686" s="81">
        <f>MONTH(表格1[[#This Row],[date]])</f>
        <v>3</v>
      </c>
      <c r="F1686" s="90">
        <v>46107</v>
      </c>
      <c r="G1686" s="81" t="str">
        <f>VLOOKUP("*"&amp;表格1[[#This Row],[Input]]&amp;"*",'Ref-List'!$B:$D,2,)</f>
        <v>RC-18JRUH(N)</v>
      </c>
      <c r="H1686" s="81" t="str">
        <f>_xlfn.XLOOKUP(表格1[[#This Row],[Model]],表格3[Model-Input-Ref2],表格3[Product Line])</f>
        <v>1.8公升電飯煲</v>
      </c>
      <c r="I1686" s="81" t="str">
        <f>_xlfn.XLOOKUP(表格1[[#This Row],[Model]],表格3[Model-Input-Ref2],表格3[大小電])</f>
        <v>細電</v>
      </c>
      <c r="J1686" s="81" t="str">
        <f>_xlfn.XLOOKUP(表格1[[#This Row],[Model]],表格3[Model-Input-Ref2],表格3[Code])</f>
        <v>SDA</v>
      </c>
      <c r="K1686" s="89" t="s">
        <v>1275</v>
      </c>
      <c r="L1686" s="86">
        <v>1</v>
      </c>
      <c r="M1686" s="87">
        <v>300</v>
      </c>
      <c r="N1686" s="85">
        <f>IFERROR(表格1[[#This Row],[QTY]]*表格1[[#This Row],[Unit Price]],"-")</f>
        <v>300</v>
      </c>
      <c r="O1686" s="86">
        <v>367259</v>
      </c>
      <c r="R1686" s="86" t="str">
        <f>_xlfn.CONCAT(表格1[[#This Row],[Model]]," ",表格1[[#This Row],[inv no]])</f>
        <v>RC-18JRUH(N) 367259</v>
      </c>
      <c r="S1686" s="86">
        <f>_xlfn.XLOOKUP(表格1[[#This Row],[Model]],表格3[Model-Input-Ref2],表格3[SRP PRICE])</f>
        <v>458</v>
      </c>
      <c r="T1686" s="43">
        <f>表格1[[#This Row],[Unit Price]]/表格1[[#This Row],[SRP]]</f>
        <v>0.65502183406113534</v>
      </c>
      <c r="U1686" s="86" t="str">
        <f>_xlfn.XLOOKUP(表格1[[#This Row],[Model]],表格3[Model-Input-Ref2],表格3[TOSHIBA/HIGHEST])</f>
        <v>Shops Highest Price</v>
      </c>
      <c r="W1686" s="86" t="str">
        <f>_xlfn.CONCAT(表格1[[#This Row],[欄4]],表格1[[#This Row],[inv no]])</f>
        <v>367259</v>
      </c>
    </row>
    <row r="1687" spans="1:23" hidden="1">
      <c r="A1687" s="81">
        <v>1685</v>
      </c>
      <c r="B1687" s="81" t="s">
        <v>1260</v>
      </c>
      <c r="C1687" s="81" t="s">
        <v>2080</v>
      </c>
      <c r="D1687" s="82" t="str">
        <f ca="1">OFFSET(Roster!$A$3,MATCH(表格1[[#This Row],[Location]]&amp;" "&amp;表格1[[#This Row],[Shop]]&amp;"*",Roster!$A$4:$A$72,0),DAY(表格1[[#This Row],[date]]),1,1)</f>
        <v>Shan_2</v>
      </c>
      <c r="E1687" s="81">
        <f>MONTH(表格1[[#This Row],[date]])</f>
        <v>3</v>
      </c>
      <c r="F1687" s="90">
        <v>46107</v>
      </c>
      <c r="G1687" s="81" t="str">
        <f>VLOOKUP("*"&amp;表格1[[#This Row],[Input]]&amp;"*",'Ref-List'!$B:$D,2,)</f>
        <v>RC-5MMIH(WT)</v>
      </c>
      <c r="H1687" s="81" t="str">
        <f>_xlfn.XLOOKUP(表格1[[#This Row],[Model]],表格3[Model-Input-Ref2],表格3[Product Line])</f>
        <v>4毫米厚釜電飯煲0.54L</v>
      </c>
      <c r="I1687" s="81" t="str">
        <f>_xlfn.XLOOKUP(表格1[[#This Row],[Model]],表格3[Model-Input-Ref2],表格3[大小電])</f>
        <v>細電</v>
      </c>
      <c r="J1687" s="81" t="str">
        <f>_xlfn.XLOOKUP(表格1[[#This Row],[Model]],表格3[Model-Input-Ref2],表格3[Code])</f>
        <v>SDA</v>
      </c>
      <c r="K1687" s="89" t="s">
        <v>1195</v>
      </c>
      <c r="L1687" s="86">
        <v>1</v>
      </c>
      <c r="M1687" s="87">
        <v>450</v>
      </c>
      <c r="N1687" s="85">
        <f>IFERROR(表格1[[#This Row],[QTY]]*表格1[[#This Row],[Unit Price]],"-")</f>
        <v>450</v>
      </c>
      <c r="O1687" s="86">
        <v>367257</v>
      </c>
      <c r="R1687" s="86" t="str">
        <f>_xlfn.CONCAT(表格1[[#This Row],[Model]]," ",表格1[[#This Row],[inv no]])</f>
        <v>RC-5MMIH(WT) 367257</v>
      </c>
      <c r="S1687" s="86">
        <f>_xlfn.XLOOKUP(表格1[[#This Row],[Model]],表格3[Model-Input-Ref2],表格3[SRP PRICE])</f>
        <v>618</v>
      </c>
      <c r="T1687" s="43">
        <f>表格1[[#This Row],[Unit Price]]/表格1[[#This Row],[SRP]]</f>
        <v>0.72815533980582525</v>
      </c>
      <c r="U1687" s="86" t="str">
        <f>_xlfn.XLOOKUP(表格1[[#This Row],[Model]],表格3[Model-Input-Ref2],表格3[TOSHIBA/HIGHEST])</f>
        <v>Toshiba SRP</v>
      </c>
      <c r="W1687" s="86" t="str">
        <f>_xlfn.CONCAT(表格1[[#This Row],[欄4]],表格1[[#This Row],[inv no]])</f>
        <v>367257</v>
      </c>
    </row>
    <row r="1688" spans="1:23" hidden="1">
      <c r="A1688" s="81">
        <v>1686</v>
      </c>
      <c r="B1688" s="81" t="s">
        <v>1260</v>
      </c>
      <c r="C1688" s="81" t="s">
        <v>2080</v>
      </c>
      <c r="D1688" s="82" t="str">
        <f ca="1">OFFSET(Roster!$A$3,MATCH(表格1[[#This Row],[Location]]&amp;" "&amp;表格1[[#This Row],[Shop]]&amp;"*",Roster!$A$4:$A$72,0),DAY(表格1[[#This Row],[date]]),1,1)</f>
        <v>Shan_2</v>
      </c>
      <c r="E1688" s="81">
        <f>MONTH(表格1[[#This Row],[date]])</f>
        <v>3</v>
      </c>
      <c r="F1688" s="90">
        <v>46107</v>
      </c>
      <c r="G1688" s="81" t="str">
        <f>VLOOKUP("*"&amp;表格1[[#This Row],[Input]]&amp;"*",'Ref-List'!$B:$D,2,)</f>
        <v>RC-7HMH</v>
      </c>
      <c r="H1688" s="81" t="str">
        <f>_xlfn.XLOOKUP(表格1[[#This Row],[Model]],表格3[Model-Input-Ref2],表格3[Product Line])</f>
        <v>備長炭本厚釜電飯煲0.7L</v>
      </c>
      <c r="I1688" s="81" t="str">
        <f>_xlfn.XLOOKUP(表格1[[#This Row],[Model]],表格3[Model-Input-Ref2],表格3[大小電])</f>
        <v>細電</v>
      </c>
      <c r="J1688" s="81" t="str">
        <f>_xlfn.XLOOKUP(表格1[[#This Row],[Model]],表格3[Model-Input-Ref2],表格3[Code])</f>
        <v>SDA</v>
      </c>
      <c r="K1688" s="89" t="s">
        <v>1284</v>
      </c>
      <c r="L1688" s="86">
        <v>1</v>
      </c>
      <c r="M1688" s="87">
        <v>788</v>
      </c>
      <c r="N1688" s="85">
        <f>IFERROR(表格1[[#This Row],[QTY]]*表格1[[#This Row],[Unit Price]],"-")</f>
        <v>788</v>
      </c>
      <c r="O1688" s="142">
        <v>367246</v>
      </c>
      <c r="R1688" s="86" t="str">
        <f>_xlfn.CONCAT(表格1[[#This Row],[Model]]," ",表格1[[#This Row],[inv no]])</f>
        <v>RC-7HMH 367246</v>
      </c>
      <c r="S1688" s="86">
        <f>_xlfn.XLOOKUP(表格1[[#This Row],[Model]],表格3[Model-Input-Ref2],表格3[SRP PRICE])</f>
        <v>1288</v>
      </c>
      <c r="T1688" s="43">
        <f>表格1[[#This Row],[Unit Price]]/表格1[[#This Row],[SRP]]</f>
        <v>0.61180124223602483</v>
      </c>
      <c r="U1688" s="86" t="str">
        <f>_xlfn.XLOOKUP(表格1[[#This Row],[Model]],表格3[Model-Input-Ref2],表格3[TOSHIBA/HIGHEST])</f>
        <v>Toshiba SRP</v>
      </c>
      <c r="W1688" s="86" t="str">
        <f>_xlfn.CONCAT(表格1[[#This Row],[欄4]],表格1[[#This Row],[inv no]])</f>
        <v>367246</v>
      </c>
    </row>
    <row r="1689" spans="1:23" hidden="1">
      <c r="A1689" s="81">
        <v>1687</v>
      </c>
      <c r="B1689" s="81" t="s">
        <v>1260</v>
      </c>
      <c r="C1689" s="81" t="s">
        <v>2080</v>
      </c>
      <c r="D1689" s="82" t="str">
        <f ca="1">OFFSET(Roster!$A$3,MATCH(表格1[[#This Row],[Location]]&amp;" "&amp;表格1[[#This Row],[Shop]]&amp;"*",Roster!$A$4:$A$72,0),DAY(表格1[[#This Row],[date]]),1,1)</f>
        <v>Shan_2</v>
      </c>
      <c r="E1689" s="81">
        <f>MONTH(表格1[[#This Row],[date]])</f>
        <v>3</v>
      </c>
      <c r="F1689" s="90">
        <v>46107</v>
      </c>
      <c r="G1689" s="81" t="str">
        <f>VLOOKUP("*"&amp;表格1[[#This Row],[Input]]&amp;"*",'Ref-List'!$B:$D,2,)</f>
        <v>RC-18AMXH(W)</v>
      </c>
      <c r="H1689" s="81" t="str">
        <f>_xlfn.XLOOKUP(表格1[[#This Row],[Model]],表格3[Model-Input-Ref2],表格3[Product Line])</f>
        <v>酵活炊電飯煲(1.8公升)</v>
      </c>
      <c r="I1689" s="81" t="str">
        <f>_xlfn.XLOOKUP(表格1[[#This Row],[Model]],表格3[Model-Input-Ref2],表格3[大小電])</f>
        <v>細電</v>
      </c>
      <c r="J1689" s="81" t="str">
        <f>_xlfn.XLOOKUP(表格1[[#This Row],[Model]],表格3[Model-Input-Ref2],表格3[Code])</f>
        <v>SDA</v>
      </c>
      <c r="K1689" s="89" t="s">
        <v>1362</v>
      </c>
      <c r="L1689" s="86">
        <v>1</v>
      </c>
      <c r="M1689" s="87">
        <v>990</v>
      </c>
      <c r="N1689" s="85">
        <f>IFERROR(表格1[[#This Row],[QTY]]*表格1[[#This Row],[Unit Price]],"-")</f>
        <v>990</v>
      </c>
      <c r="O1689" s="86">
        <v>367288</v>
      </c>
      <c r="R1689" s="86" t="str">
        <f>_xlfn.CONCAT(表格1[[#This Row],[Model]]," ",表格1[[#This Row],[inv no]])</f>
        <v>RC-18AMXH(W) 367288</v>
      </c>
      <c r="S1689" s="86">
        <f>_xlfn.XLOOKUP(表格1[[#This Row],[Model]],表格3[Model-Input-Ref2],表格3[SRP PRICE])</f>
        <v>1588</v>
      </c>
      <c r="T1689" s="43">
        <f>表格1[[#This Row],[Unit Price]]/表格1[[#This Row],[SRP]]</f>
        <v>0.62342569269521408</v>
      </c>
      <c r="U1689" s="86" t="str">
        <f>_xlfn.XLOOKUP(表格1[[#This Row],[Model]],表格3[Model-Input-Ref2],表格3[TOSHIBA/HIGHEST])</f>
        <v>Toshiba SRP</v>
      </c>
      <c r="W1689" s="86" t="str">
        <f>_xlfn.CONCAT(表格1[[#This Row],[欄4]],表格1[[#This Row],[inv no]])</f>
        <v>367288</v>
      </c>
    </row>
    <row r="1690" spans="1:23" hidden="1">
      <c r="A1690" s="81">
        <v>1688</v>
      </c>
      <c r="B1690" s="81" t="s">
        <v>1260</v>
      </c>
      <c r="C1690" s="81" t="s">
        <v>2080</v>
      </c>
      <c r="D1690" s="82" t="str">
        <f ca="1">OFFSET(Roster!$A$3,MATCH(表格1[[#This Row],[Location]]&amp;" "&amp;表格1[[#This Row],[Shop]]&amp;"*",Roster!$A$4:$A$72,0),DAY(表格1[[#This Row],[date]]),1,1)</f>
        <v>Shan_2</v>
      </c>
      <c r="E1690" s="81">
        <f>MONTH(表格1[[#This Row],[date]])</f>
        <v>3</v>
      </c>
      <c r="F1690" s="90">
        <v>46107</v>
      </c>
      <c r="G1690" s="81" t="str">
        <f>VLOOKUP("*"&amp;表格1[[#This Row],[Input]]&amp;"*",'Ref-List'!$B:$D,2,)</f>
        <v>RC-DR18T(W)</v>
      </c>
      <c r="H1690" s="81" t="str">
        <f>_xlfn.XLOOKUP(表格1[[#This Row],[Model]],表格3[Model-Input-Ref2],表格3[Product Line])</f>
        <v>IH磁應電飯煲
鑽石銅鍋</v>
      </c>
      <c r="I1690" s="81" t="str">
        <f>_xlfn.XLOOKUP(表格1[[#This Row],[Model]],表格3[Model-Input-Ref2],表格3[大小電])</f>
        <v>細電</v>
      </c>
      <c r="J1690" s="81" t="str">
        <f>_xlfn.XLOOKUP(表格1[[#This Row],[Model]],表格3[Model-Input-Ref2],表格3[Code])</f>
        <v>SDA</v>
      </c>
      <c r="K1690" s="89" t="s">
        <v>1378</v>
      </c>
      <c r="L1690" s="86">
        <v>1</v>
      </c>
      <c r="M1690" s="87">
        <v>2690</v>
      </c>
      <c r="N1690" s="85">
        <f>IFERROR(表格1[[#This Row],[QTY]]*表格1[[#This Row],[Unit Price]],"-")</f>
        <v>2690</v>
      </c>
      <c r="O1690" s="86">
        <v>367309</v>
      </c>
      <c r="R1690" s="86" t="str">
        <f>_xlfn.CONCAT(表格1[[#This Row],[Model]]," ",表格1[[#This Row],[inv no]])</f>
        <v>RC-DR18T(W) 367309</v>
      </c>
      <c r="S1690" s="86">
        <f>_xlfn.XLOOKUP(表格1[[#This Row],[Model]],表格3[Model-Input-Ref2],表格3[SRP PRICE])</f>
        <v>3588</v>
      </c>
      <c r="T1690" s="43">
        <f>表格1[[#This Row],[Unit Price]]/表格1[[#This Row],[SRP]]</f>
        <v>0.74972129319955405</v>
      </c>
      <c r="U1690" s="86" t="str">
        <f>_xlfn.XLOOKUP(表格1[[#This Row],[Model]],表格3[Model-Input-Ref2],表格3[TOSHIBA/HIGHEST])</f>
        <v>Toshiba SRP</v>
      </c>
      <c r="W1690" s="86" t="str">
        <f>_xlfn.CONCAT(表格1[[#This Row],[欄4]],表格1[[#This Row],[inv no]])</f>
        <v>367309</v>
      </c>
    </row>
    <row r="1691" spans="1:23" hidden="1">
      <c r="A1691" s="81">
        <v>1689</v>
      </c>
      <c r="B1691" s="81" t="s">
        <v>1260</v>
      </c>
      <c r="C1691" s="81" t="s">
        <v>2080</v>
      </c>
      <c r="D1691" s="82" t="str">
        <f ca="1">OFFSET(Roster!$A$3,MATCH(表格1[[#This Row],[Location]]&amp;" "&amp;表格1[[#This Row],[Shop]]&amp;"*",Roster!$A$4:$A$72,0),DAY(表格1[[#This Row],[date]]),1,1)</f>
        <v>Shan_2</v>
      </c>
      <c r="E1691" s="81">
        <f>MONTH(表格1[[#This Row],[date]])</f>
        <v>3</v>
      </c>
      <c r="F1691" s="90">
        <v>46107</v>
      </c>
      <c r="G1691" s="81" t="str">
        <f>VLOOKUP("*"&amp;表格1[[#This Row],[Input]]&amp;"*",'Ref-List'!$B:$D,2,)</f>
        <v>AW-Q901BPH(WW)</v>
      </c>
      <c r="H1691" s="81" t="str">
        <f>_xlfn.XLOOKUP(表格1[[#This Row],[Model]],表格3[Model-Input-Ref2],表格3[Product Line])</f>
        <v>日式洗衣機 (8公斤 結合高低水位)</v>
      </c>
      <c r="I1691" s="81" t="str">
        <f>_xlfn.XLOOKUP(表格1[[#This Row],[Model]],表格3[Model-Input-Ref2],表格3[大小電])</f>
        <v>大電</v>
      </c>
      <c r="J1691" s="81" t="str">
        <f>_xlfn.XLOOKUP(表格1[[#This Row],[Model]],表格3[Model-Input-Ref2],表格3[Code])</f>
        <v>LAD</v>
      </c>
      <c r="K1691" s="89" t="s">
        <v>1411</v>
      </c>
      <c r="L1691" s="86">
        <v>1</v>
      </c>
      <c r="M1691" s="87">
        <v>2280</v>
      </c>
      <c r="N1691" s="85">
        <f>IFERROR(表格1[[#This Row],[QTY]]*表格1[[#This Row],[Unit Price]],"-")</f>
        <v>2280</v>
      </c>
      <c r="O1691" s="86">
        <v>367279</v>
      </c>
      <c r="R1691" s="86" t="str">
        <f>_xlfn.CONCAT(表格1[[#This Row],[Model]]," ",表格1[[#This Row],[inv no]])</f>
        <v>AW-Q901BPH(WW) 367279</v>
      </c>
      <c r="S1691" s="86">
        <f>_xlfn.XLOOKUP(表格1[[#This Row],[Model]],表格3[Model-Input-Ref2],表格3[SRP PRICE])</f>
        <v>3780</v>
      </c>
      <c r="T1691" s="43">
        <f>表格1[[#This Row],[Unit Price]]/表格1[[#This Row],[SRP]]</f>
        <v>0.60317460317460314</v>
      </c>
      <c r="U1691" s="86" t="str">
        <f>_xlfn.XLOOKUP(表格1[[#This Row],[Model]],表格3[Model-Input-Ref2],表格3[TOSHIBA/HIGHEST])</f>
        <v>Toshiba SRP</v>
      </c>
      <c r="W1691" s="86" t="str">
        <f>_xlfn.CONCAT(表格1[[#This Row],[欄4]],表格1[[#This Row],[inv no]])</f>
        <v>367279</v>
      </c>
    </row>
    <row r="1692" spans="1:23" hidden="1">
      <c r="A1692" s="81">
        <v>1690</v>
      </c>
      <c r="B1692" s="81" t="s">
        <v>1260</v>
      </c>
      <c r="C1692" s="81" t="s">
        <v>2080</v>
      </c>
      <c r="D1692" s="82" t="str">
        <f ca="1">OFFSET(Roster!$A$3,MATCH(表格1[[#This Row],[Location]]&amp;" "&amp;表格1[[#This Row],[Shop]]&amp;"*",Roster!$A$4:$A$72,0),DAY(表格1[[#This Row],[date]]),1,1)</f>
        <v>Shan_2</v>
      </c>
      <c r="E1692" s="81">
        <f>MONTH(表格1[[#This Row],[date]])</f>
        <v>3</v>
      </c>
      <c r="F1692" s="90">
        <v>46107</v>
      </c>
      <c r="G1692" s="81" t="str">
        <f>VLOOKUP("*"&amp;表格1[[#This Row],[Input]]&amp;"*",'Ref-List'!$B:$D,2,)</f>
        <v>GR-RB221WE-PMA(57)</v>
      </c>
      <c r="H1692" s="81" t="str">
        <f>_xlfn.XLOOKUP(表格1[[#This Row],[Model]],表格3[Model-Input-Ref2],表格3[Product Line])</f>
        <v>變頻下置式雙門雪櫃（163L）</v>
      </c>
      <c r="I1692" s="81" t="str">
        <f>_xlfn.XLOOKUP(表格1[[#This Row],[Model]],表格3[Model-Input-Ref2],表格3[大小電])</f>
        <v>大電</v>
      </c>
      <c r="J1692" s="81" t="str">
        <f>_xlfn.XLOOKUP(表格1[[#This Row],[Model]],表格3[Model-Input-Ref2],表格3[Code])</f>
        <v>REF</v>
      </c>
      <c r="K1692" s="89" t="s">
        <v>1386</v>
      </c>
      <c r="L1692" s="86">
        <v>1</v>
      </c>
      <c r="M1692" s="87">
        <v>1880</v>
      </c>
      <c r="N1692" s="85">
        <f>IFERROR(表格1[[#This Row],[QTY]]*表格1[[#This Row],[Unit Price]],"-")</f>
        <v>1880</v>
      </c>
      <c r="O1692" s="86">
        <v>367279</v>
      </c>
      <c r="R1692" s="86" t="str">
        <f>_xlfn.CONCAT(表格1[[#This Row],[Model]]," ",表格1[[#This Row],[inv no]])</f>
        <v>GR-RB221WE-PMA(57) 367279</v>
      </c>
      <c r="S1692" s="86">
        <f>_xlfn.XLOOKUP(表格1[[#This Row],[Model]],表格3[Model-Input-Ref2],表格3[SRP PRICE])</f>
        <v>3480</v>
      </c>
      <c r="T1692" s="43">
        <f>表格1[[#This Row],[Unit Price]]/表格1[[#This Row],[SRP]]</f>
        <v>0.54022988505747127</v>
      </c>
      <c r="U1692" s="86" t="str">
        <f>_xlfn.XLOOKUP(表格1[[#This Row],[Model]],表格3[Model-Input-Ref2],表格3[TOSHIBA/HIGHEST])</f>
        <v>Toshiba SRP</v>
      </c>
      <c r="W1692" s="86" t="str">
        <f>_xlfn.CONCAT(表格1[[#This Row],[欄4]],表格1[[#This Row],[inv no]])</f>
        <v>367279</v>
      </c>
    </row>
    <row r="1693" spans="1:23" hidden="1">
      <c r="A1693" s="81">
        <v>1691</v>
      </c>
      <c r="B1693" s="81" t="s">
        <v>1260</v>
      </c>
      <c r="C1693" s="81" t="s">
        <v>2080</v>
      </c>
      <c r="D1693" s="82" t="str">
        <f ca="1">OFFSET(Roster!$A$3,MATCH(表格1[[#This Row],[Location]]&amp;" "&amp;表格1[[#This Row],[Shop]]&amp;"*",Roster!$A$4:$A$72,0),DAY(表格1[[#This Row],[date]]),1,1)</f>
        <v>Shan_2</v>
      </c>
      <c r="E1693" s="81">
        <f>MONTH(表格1[[#This Row],[date]])</f>
        <v>3</v>
      </c>
      <c r="F1693" s="90">
        <v>46107</v>
      </c>
      <c r="G1693" s="81" t="str">
        <f>VLOOKUP("*"&amp;表格1[[#This Row],[Input]]&amp;"*",'Ref-List'!$B:$D,2,)</f>
        <v>F-LYA20(W)HKG</v>
      </c>
      <c r="H1693" s="81" t="str">
        <f>_xlfn.XLOOKUP(表格1[[#This Row],[Model]],表格3[Model-Input-Ref2],表格3[Product Line])</f>
        <v>12吋2合1座地座檯電風扇連遙控</v>
      </c>
      <c r="I1693" s="81" t="str">
        <f>_xlfn.XLOOKUP(表格1[[#This Row],[Model]],表格3[Model-Input-Ref2],表格3[大小電])</f>
        <v>細電</v>
      </c>
      <c r="J1693" s="81" t="str">
        <f>_xlfn.XLOOKUP(表格1[[#This Row],[Model]],表格3[Model-Input-Ref2],表格3[Code])</f>
        <v>EAD</v>
      </c>
      <c r="K1693" s="89" t="s">
        <v>1391</v>
      </c>
      <c r="L1693" s="86">
        <v>1</v>
      </c>
      <c r="M1693" s="87">
        <v>399</v>
      </c>
      <c r="N1693" s="85">
        <f>IFERROR(表格1[[#This Row],[QTY]]*表格1[[#This Row],[Unit Price]],"-")</f>
        <v>399</v>
      </c>
      <c r="O1693" s="86" t="s">
        <v>1762</v>
      </c>
      <c r="R1693" s="86" t="str">
        <f>_xlfn.CONCAT(表格1[[#This Row],[Model]]," ",表格1[[#This Row],[inv no]])</f>
        <v>F-LYA20(W)HKG TG260326N00087</v>
      </c>
      <c r="S1693" s="86">
        <f>_xlfn.XLOOKUP(表格1[[#This Row],[Model]],表格3[Model-Input-Ref2],表格3[SRP PRICE])</f>
        <v>988</v>
      </c>
      <c r="T1693" s="43">
        <f>表格1[[#This Row],[Unit Price]]/表格1[[#This Row],[SRP]]</f>
        <v>0.40384615384615385</v>
      </c>
      <c r="U1693" s="86" t="str">
        <f>_xlfn.XLOOKUP(表格1[[#This Row],[Model]],表格3[Model-Input-Ref2],表格3[TOSHIBA/HIGHEST])</f>
        <v>Toshiba SRP</v>
      </c>
      <c r="W1693" s="86" t="str">
        <f>_xlfn.CONCAT(表格1[[#This Row],[欄4]],表格1[[#This Row],[inv no]])</f>
        <v>TG260326N00087</v>
      </c>
    </row>
    <row r="1694" spans="1:23" hidden="1">
      <c r="A1694" s="81">
        <v>1692</v>
      </c>
      <c r="B1694" s="81" t="s">
        <v>1260</v>
      </c>
      <c r="C1694" s="81" t="s">
        <v>2080</v>
      </c>
      <c r="D1694" s="82" t="str">
        <f ca="1">OFFSET(Roster!$A$3,MATCH(表格1[[#This Row],[Location]]&amp;" "&amp;表格1[[#This Row],[Shop]]&amp;"*",Roster!$A$4:$A$72,0),DAY(表格1[[#This Row],[date]]),1,1)</f>
        <v>Shan_2</v>
      </c>
      <c r="E1694" s="81">
        <f>MONTH(表格1[[#This Row],[date]])</f>
        <v>3</v>
      </c>
      <c r="F1694" s="90">
        <v>46107</v>
      </c>
      <c r="G1694" s="81" t="str">
        <f>VLOOKUP("*"&amp;表格1[[#This Row],[Input]]&amp;"*",'Ref-List'!$B:$D,2,)</f>
        <v>RC-5SLIH(W)</v>
      </c>
      <c r="H1694" s="81" t="str">
        <f>_xlfn.XLOOKUP(表格1[[#This Row],[Model]],表格3[Model-Input-Ref2],表格3[Product Line])</f>
        <v>微型電腦珍珠飯煲</v>
      </c>
      <c r="I1694" s="81" t="str">
        <f>_xlfn.XLOOKUP(表格1[[#This Row],[Model]],表格3[Model-Input-Ref2],表格3[大小電])</f>
        <v>細電</v>
      </c>
      <c r="J1694" s="81" t="str">
        <f>_xlfn.XLOOKUP(表格1[[#This Row],[Model]],表格3[Model-Input-Ref2],表格3[Code])</f>
        <v>SDA</v>
      </c>
      <c r="K1694" s="89" t="s">
        <v>1264</v>
      </c>
      <c r="L1694" s="86">
        <v>1</v>
      </c>
      <c r="M1694" s="87">
        <v>550</v>
      </c>
      <c r="N1694" s="85">
        <f>IFERROR(表格1[[#This Row],[QTY]]*表格1[[#This Row],[Unit Price]],"-")</f>
        <v>550</v>
      </c>
      <c r="O1694" s="86">
        <v>367370</v>
      </c>
      <c r="R1694" s="86" t="str">
        <f>_xlfn.CONCAT(表格1[[#This Row],[Model]]," ",表格1[[#This Row],[inv no]])</f>
        <v>RC-5SLIH(W) 367370</v>
      </c>
      <c r="S1694" s="86">
        <f>_xlfn.XLOOKUP(表格1[[#This Row],[Model]],表格3[Model-Input-Ref2],表格3[SRP PRICE])</f>
        <v>658</v>
      </c>
      <c r="T1694" s="43">
        <f>表格1[[#This Row],[Unit Price]]/表格1[[#This Row],[SRP]]</f>
        <v>0.83586626139817632</v>
      </c>
      <c r="U1694" s="86" t="str">
        <f>_xlfn.XLOOKUP(表格1[[#This Row],[Model]],表格3[Model-Input-Ref2],表格3[TOSHIBA/HIGHEST])</f>
        <v>Toshiba SRP</v>
      </c>
      <c r="W1694" s="86" t="str">
        <f>_xlfn.CONCAT(表格1[[#This Row],[欄4]],表格1[[#This Row],[inv no]])</f>
        <v>367370</v>
      </c>
    </row>
    <row r="1695" spans="1:23" hidden="1">
      <c r="A1695" s="81">
        <v>1693</v>
      </c>
      <c r="B1695" s="81" t="s">
        <v>1260</v>
      </c>
      <c r="C1695" s="81" t="s">
        <v>2080</v>
      </c>
      <c r="D1695" s="82" t="str">
        <f ca="1">OFFSET(Roster!$A$3,MATCH(表格1[[#This Row],[Location]]&amp;" "&amp;表格1[[#This Row],[Shop]]&amp;"*",Roster!$A$4:$A$72,0),DAY(表格1[[#This Row],[date]]),1,1)</f>
        <v>Shan_2</v>
      </c>
      <c r="E1695" s="81">
        <f>MONTH(表格1[[#This Row],[date]])</f>
        <v>3</v>
      </c>
      <c r="F1695" s="90">
        <v>46107</v>
      </c>
      <c r="G1695" s="81" t="str">
        <f>VLOOKUP("*"&amp;表格1[[#This Row],[Input]]&amp;"*",'Ref-List'!$B:$D,2,)</f>
        <v>RC-10JRUH(N)</v>
      </c>
      <c r="H1695" s="81" t="str">
        <f>_xlfn.XLOOKUP(表格1[[#This Row],[Model]],表格3[Model-Input-Ref2],表格3[Product Line])</f>
        <v>電飯煲</v>
      </c>
      <c r="I1695" s="81" t="str">
        <f>_xlfn.XLOOKUP(表格1[[#This Row],[Model]],表格3[Model-Input-Ref2],表格3[大小電])</f>
        <v>細電</v>
      </c>
      <c r="J1695" s="81" t="str">
        <f>_xlfn.XLOOKUP(表格1[[#This Row],[Model]],表格3[Model-Input-Ref2],表格3[Code])</f>
        <v>SDA</v>
      </c>
      <c r="K1695" s="89" t="s">
        <v>1263</v>
      </c>
      <c r="L1695" s="86">
        <v>1</v>
      </c>
      <c r="M1695" s="87">
        <v>250</v>
      </c>
      <c r="N1695" s="85">
        <f>IFERROR(表格1[[#This Row],[QTY]]*表格1[[#This Row],[Unit Price]],"-")</f>
        <v>250</v>
      </c>
      <c r="O1695" s="86">
        <v>367383</v>
      </c>
      <c r="R1695" s="86" t="str">
        <f>_xlfn.CONCAT(表格1[[#This Row],[Model]]," ",表格1[[#This Row],[inv no]])</f>
        <v>RC-10JRUH(N) 367383</v>
      </c>
      <c r="S1695" s="86">
        <f>_xlfn.XLOOKUP(表格1[[#This Row],[Model]],表格3[Model-Input-Ref2],表格3[SRP PRICE])</f>
        <v>398</v>
      </c>
      <c r="T1695" s="43">
        <f>表格1[[#This Row],[Unit Price]]/表格1[[#This Row],[SRP]]</f>
        <v>0.62814070351758799</v>
      </c>
      <c r="U1695" s="86" t="str">
        <f>_xlfn.XLOOKUP(表格1[[#This Row],[Model]],表格3[Model-Input-Ref2],表格3[TOSHIBA/HIGHEST])</f>
        <v>Shops Highest Price</v>
      </c>
      <c r="W1695" s="86" t="str">
        <f>_xlfn.CONCAT(表格1[[#This Row],[欄4]],表格1[[#This Row],[inv no]])</f>
        <v>367383</v>
      </c>
    </row>
    <row r="1696" spans="1:23" hidden="1">
      <c r="A1696" s="81">
        <v>1694</v>
      </c>
      <c r="B1696" s="81" t="s">
        <v>1260</v>
      </c>
      <c r="C1696" s="81" t="s">
        <v>2080</v>
      </c>
      <c r="D1696" s="82" t="str">
        <f ca="1">OFFSET(Roster!$A$3,MATCH(表格1[[#This Row],[Location]]&amp;" "&amp;表格1[[#This Row],[Shop]]&amp;"*",Roster!$A$4:$A$72,0),DAY(表格1[[#This Row],[date]]),1,1)</f>
        <v>Shan_2</v>
      </c>
      <c r="E1696" s="81">
        <f>MONTH(表格1[[#This Row],[date]])</f>
        <v>3</v>
      </c>
      <c r="F1696" s="90">
        <v>46107</v>
      </c>
      <c r="G1696" s="81" t="str">
        <f>VLOOKUP("*"&amp;表格1[[#This Row],[Input]]&amp;"*",'Ref-List'!$B:$D,2,)</f>
        <v>KT-15DRTHK(W)</v>
      </c>
      <c r="H1696" s="81" t="str">
        <f>_xlfn.XLOOKUP(表格1[[#This Row],[Model]],表格3[Model-Input-Ref2],表格3[Product Line])</f>
        <v>無線雙層電熱水壺-附可鎖壺蓋</v>
      </c>
      <c r="I1696" s="81" t="str">
        <f>_xlfn.XLOOKUP(表格1[[#This Row],[Model]],表格3[Model-Input-Ref2],表格3[大小電])</f>
        <v>細電</v>
      </c>
      <c r="J1696" s="81" t="str">
        <f>_xlfn.XLOOKUP(表格1[[#This Row],[Model]],表格3[Model-Input-Ref2],表格3[Code])</f>
        <v>SDA</v>
      </c>
      <c r="K1696" s="89" t="s">
        <v>1278</v>
      </c>
      <c r="L1696" s="86">
        <v>1</v>
      </c>
      <c r="M1696" s="87">
        <v>338</v>
      </c>
      <c r="N1696" s="85">
        <f>IFERROR(表格1[[#This Row],[QTY]]*表格1[[#This Row],[Unit Price]],"-")</f>
        <v>338</v>
      </c>
      <c r="O1696" s="86">
        <v>367382</v>
      </c>
      <c r="R1696" s="86" t="str">
        <f>_xlfn.CONCAT(表格1[[#This Row],[Model]]," ",表格1[[#This Row],[inv no]])</f>
        <v>KT-15DRTHK(W) 367382</v>
      </c>
      <c r="S1696" s="86">
        <f>_xlfn.XLOOKUP(表格1[[#This Row],[Model]],表格3[Model-Input-Ref2],表格3[SRP PRICE])</f>
        <v>598</v>
      </c>
      <c r="T1696" s="43">
        <f>表格1[[#This Row],[Unit Price]]/表格1[[#This Row],[SRP]]</f>
        <v>0.56521739130434778</v>
      </c>
      <c r="U1696" s="86" t="str">
        <f>_xlfn.XLOOKUP(表格1[[#This Row],[Model]],表格3[Model-Input-Ref2],表格3[TOSHIBA/HIGHEST])</f>
        <v>Toshiba SRP</v>
      </c>
      <c r="W1696" s="86" t="str">
        <f>_xlfn.CONCAT(表格1[[#This Row],[欄4]],表格1[[#This Row],[inv no]])</f>
        <v>367382</v>
      </c>
    </row>
    <row r="1697" spans="1:23" hidden="1">
      <c r="A1697" s="81">
        <v>1695</v>
      </c>
      <c r="B1697" s="81" t="s">
        <v>1260</v>
      </c>
      <c r="C1697" s="81" t="s">
        <v>2080</v>
      </c>
      <c r="D1697" s="82" t="str">
        <f ca="1">OFFSET(Roster!$A$3,MATCH(表格1[[#This Row],[Location]]&amp;" "&amp;表格1[[#This Row],[Shop]]&amp;"*",Roster!$A$4:$A$72,0),DAY(表格1[[#This Row],[date]]),1,1)</f>
        <v>Shan_2</v>
      </c>
      <c r="E1697" s="81">
        <f>MONTH(表格1[[#This Row],[date]])</f>
        <v>3</v>
      </c>
      <c r="F1697" s="90">
        <v>46107</v>
      </c>
      <c r="G1697" s="81" t="str">
        <f>VLOOKUP("*"&amp;表格1[[#This Row],[Input]]&amp;"*",'Ref-List'!$B:$D,2,)</f>
        <v>KT-17DRTHK(H)</v>
      </c>
      <c r="H1697" s="81" t="str">
        <f>_xlfn.XLOOKUP(表格1[[#This Row],[Model]],表格3[Model-Input-Ref2],表格3[Product Line])</f>
        <v>無線雙層電熱水壺(1.7公升)</v>
      </c>
      <c r="I1697" s="81" t="str">
        <f>_xlfn.XLOOKUP(表格1[[#This Row],[Model]],表格3[Model-Input-Ref2],表格3[大小電])</f>
        <v>細電</v>
      </c>
      <c r="J1697" s="81" t="str">
        <f>_xlfn.XLOOKUP(表格1[[#This Row],[Model]],表格3[Model-Input-Ref2],表格3[Code])</f>
        <v>SDA</v>
      </c>
      <c r="K1697" s="89" t="s">
        <v>1271</v>
      </c>
      <c r="L1697" s="86">
        <v>1</v>
      </c>
      <c r="M1697" s="87">
        <v>388</v>
      </c>
      <c r="N1697" s="85">
        <f>IFERROR(表格1[[#This Row],[QTY]]*表格1[[#This Row],[Unit Price]],"-")</f>
        <v>388</v>
      </c>
      <c r="O1697" s="86">
        <v>367424</v>
      </c>
      <c r="R1697" s="86" t="str">
        <f>_xlfn.CONCAT(表格1[[#This Row],[Model]]," ",表格1[[#This Row],[inv no]])</f>
        <v>KT-17DRTHK(H) 367424</v>
      </c>
      <c r="S1697" s="86">
        <f>_xlfn.XLOOKUP(表格1[[#This Row],[Model]],表格3[Model-Input-Ref2],表格3[SRP PRICE])</f>
        <v>498</v>
      </c>
      <c r="T1697" s="43">
        <f>表格1[[#This Row],[Unit Price]]/表格1[[#This Row],[SRP]]</f>
        <v>0.77911646586345384</v>
      </c>
      <c r="U1697" s="86" t="str">
        <f>_xlfn.XLOOKUP(表格1[[#This Row],[Model]],表格3[Model-Input-Ref2],表格3[TOSHIBA/HIGHEST])</f>
        <v>Toshiba SRP</v>
      </c>
      <c r="W1697" s="86" t="str">
        <f>_xlfn.CONCAT(表格1[[#This Row],[欄4]],表格1[[#This Row],[inv no]])</f>
        <v>367424</v>
      </c>
    </row>
    <row r="1698" spans="1:23" hidden="1">
      <c r="A1698" s="81">
        <v>1696</v>
      </c>
      <c r="B1698" s="81" t="s">
        <v>1260</v>
      </c>
      <c r="C1698" s="81" t="s">
        <v>2080</v>
      </c>
      <c r="D1698" s="82" t="str">
        <f ca="1">OFFSET(Roster!$A$3,MATCH(表格1[[#This Row],[Location]]&amp;" "&amp;表格1[[#This Row],[Shop]]&amp;"*",Roster!$A$4:$A$72,0),DAY(表格1[[#This Row],[date]]),1,1)</f>
        <v>Shan_2</v>
      </c>
      <c r="E1698" s="81">
        <f>MONTH(表格1[[#This Row],[date]])</f>
        <v>3</v>
      </c>
      <c r="F1698" s="90">
        <v>46107</v>
      </c>
      <c r="G1698" s="81" t="str">
        <f>VLOOKUP("*"&amp;表格1[[#This Row],[Input]]&amp;"*",'Ref-List'!$B:$D,2,)</f>
        <v>RC-10JRUH(N)</v>
      </c>
      <c r="H1698" s="81" t="str">
        <f>_xlfn.XLOOKUP(表格1[[#This Row],[Model]],表格3[Model-Input-Ref2],表格3[Product Line])</f>
        <v>電飯煲</v>
      </c>
      <c r="I1698" s="81" t="str">
        <f>_xlfn.XLOOKUP(表格1[[#This Row],[Model]],表格3[Model-Input-Ref2],表格3[大小電])</f>
        <v>細電</v>
      </c>
      <c r="J1698" s="81" t="str">
        <f>_xlfn.XLOOKUP(表格1[[#This Row],[Model]],表格3[Model-Input-Ref2],表格3[Code])</f>
        <v>SDA</v>
      </c>
      <c r="K1698" s="89" t="s">
        <v>1263</v>
      </c>
      <c r="L1698" s="86">
        <v>1</v>
      </c>
      <c r="M1698" s="87">
        <v>250</v>
      </c>
      <c r="N1698" s="85">
        <f>IFERROR(表格1[[#This Row],[QTY]]*表格1[[#This Row],[Unit Price]],"-")</f>
        <v>250</v>
      </c>
      <c r="O1698" s="86">
        <v>367430</v>
      </c>
      <c r="R1698" s="86" t="str">
        <f>_xlfn.CONCAT(表格1[[#This Row],[Model]]," ",表格1[[#This Row],[inv no]])</f>
        <v>RC-10JRUH(N) 367430</v>
      </c>
      <c r="S1698" s="86">
        <f>_xlfn.XLOOKUP(表格1[[#This Row],[Model]],表格3[Model-Input-Ref2],表格3[SRP PRICE])</f>
        <v>398</v>
      </c>
      <c r="T1698" s="43">
        <f>表格1[[#This Row],[Unit Price]]/表格1[[#This Row],[SRP]]</f>
        <v>0.62814070351758799</v>
      </c>
      <c r="U1698" s="86" t="str">
        <f>_xlfn.XLOOKUP(表格1[[#This Row],[Model]],表格3[Model-Input-Ref2],表格3[TOSHIBA/HIGHEST])</f>
        <v>Shops Highest Price</v>
      </c>
      <c r="W1698" s="86" t="str">
        <f>_xlfn.CONCAT(表格1[[#This Row],[欄4]],表格1[[#This Row],[inv no]])</f>
        <v>367430</v>
      </c>
    </row>
    <row r="1699" spans="1:23" hidden="1">
      <c r="A1699" s="81">
        <v>1697</v>
      </c>
      <c r="B1699" s="81" t="s">
        <v>1260</v>
      </c>
      <c r="C1699" s="81" t="s">
        <v>2080</v>
      </c>
      <c r="D1699" s="82" t="str">
        <f ca="1">OFFSET(Roster!$A$3,MATCH(表格1[[#This Row],[Location]]&amp;" "&amp;表格1[[#This Row],[Shop]]&amp;"*",Roster!$A$4:$A$72,0),DAY(表格1[[#This Row],[date]]),1,1)</f>
        <v>Shan_2</v>
      </c>
      <c r="E1699" s="81">
        <f>MONTH(表格1[[#This Row],[date]])</f>
        <v>3</v>
      </c>
      <c r="F1699" s="90">
        <v>46107</v>
      </c>
      <c r="G1699" s="81" t="str">
        <f>VLOOKUP("*"&amp;表格1[[#This Row],[Input]]&amp;"*",'Ref-List'!$B:$D,2,)</f>
        <v>KT-17SHNH</v>
      </c>
      <c r="H1699" s="81" t="str">
        <f>_xlfn.XLOOKUP(表格1[[#This Row],[Model]],表格3[Model-Input-Ref2],表格3[Product Line])</f>
        <v>1.7L無線雙層電熱水壺</v>
      </c>
      <c r="I1699" s="81" t="str">
        <f>_xlfn.XLOOKUP(表格1[[#This Row],[Model]],表格3[Model-Input-Ref2],表格3[大小電])</f>
        <v>細電</v>
      </c>
      <c r="J1699" s="81" t="str">
        <f>_xlfn.XLOOKUP(表格1[[#This Row],[Model]],表格3[Model-Input-Ref2],表格3[Code])</f>
        <v>SDA</v>
      </c>
      <c r="K1699" s="89" t="s">
        <v>1283</v>
      </c>
      <c r="L1699" s="86">
        <v>1</v>
      </c>
      <c r="M1699" s="87">
        <v>198</v>
      </c>
      <c r="N1699" s="85">
        <f>IFERROR(表格1[[#This Row],[QTY]]*表格1[[#This Row],[Unit Price]],"-")</f>
        <v>198</v>
      </c>
      <c r="O1699" s="86">
        <v>367430</v>
      </c>
      <c r="R1699" s="86" t="str">
        <f>_xlfn.CONCAT(表格1[[#This Row],[Model]]," ",表格1[[#This Row],[inv no]])</f>
        <v>KT-17SHNH 367430</v>
      </c>
      <c r="S1699" s="86">
        <f>_xlfn.XLOOKUP(表格1[[#This Row],[Model]],表格3[Model-Input-Ref2],表格3[SRP PRICE])</f>
        <v>299</v>
      </c>
      <c r="T1699" s="43">
        <f>表格1[[#This Row],[Unit Price]]/表格1[[#This Row],[SRP]]</f>
        <v>0.66220735785953178</v>
      </c>
      <c r="U1699" s="86" t="str">
        <f>_xlfn.XLOOKUP(表格1[[#This Row],[Model]],表格3[Model-Input-Ref2],表格3[TOSHIBA/HIGHEST])</f>
        <v>Shops Highest Price</v>
      </c>
      <c r="W1699" s="86" t="str">
        <f>_xlfn.CONCAT(表格1[[#This Row],[欄4]],表格1[[#This Row],[inv no]])</f>
        <v>367430</v>
      </c>
    </row>
    <row r="1700" spans="1:23" hidden="1">
      <c r="A1700" s="81">
        <v>1698</v>
      </c>
      <c r="B1700" s="81" t="s">
        <v>1260</v>
      </c>
      <c r="C1700" s="81" t="s">
        <v>2080</v>
      </c>
      <c r="D1700" s="82" t="str">
        <f ca="1">OFFSET(Roster!$A$3,MATCH(表格1[[#This Row],[Location]]&amp;" "&amp;表格1[[#This Row],[Shop]]&amp;"*",Roster!$A$4:$A$72,0),DAY(表格1[[#This Row],[date]]),1,1)</f>
        <v>Shan_2</v>
      </c>
      <c r="E1700" s="81">
        <f>MONTH(表格1[[#This Row],[date]])</f>
        <v>3</v>
      </c>
      <c r="F1700" s="90">
        <v>46107</v>
      </c>
      <c r="G1700" s="81" t="str">
        <f>VLOOKUP("*"&amp;表格1[[#This Row],[Input]]&amp;"*",'Ref-List'!$B:$D,2,)</f>
        <v>RC-7HMH</v>
      </c>
      <c r="H1700" s="81" t="str">
        <f>_xlfn.XLOOKUP(表格1[[#This Row],[Model]],表格3[Model-Input-Ref2],表格3[Product Line])</f>
        <v>備長炭本厚釜電飯煲0.7L</v>
      </c>
      <c r="I1700" s="81" t="str">
        <f>_xlfn.XLOOKUP(表格1[[#This Row],[Model]],表格3[Model-Input-Ref2],表格3[大小電])</f>
        <v>細電</v>
      </c>
      <c r="J1700" s="81" t="str">
        <f>_xlfn.XLOOKUP(表格1[[#This Row],[Model]],表格3[Model-Input-Ref2],表格3[Code])</f>
        <v>SDA</v>
      </c>
      <c r="K1700" s="89" t="s">
        <v>1284</v>
      </c>
      <c r="L1700" s="86">
        <v>1</v>
      </c>
      <c r="M1700" s="87">
        <v>788</v>
      </c>
      <c r="N1700" s="85">
        <f>IFERROR(表格1[[#This Row],[QTY]]*表格1[[#This Row],[Unit Price]],"-")</f>
        <v>788</v>
      </c>
      <c r="O1700" s="86">
        <v>367447</v>
      </c>
      <c r="R1700" s="86" t="str">
        <f>_xlfn.CONCAT(表格1[[#This Row],[Model]]," ",表格1[[#This Row],[inv no]])</f>
        <v>RC-7HMH 367447</v>
      </c>
      <c r="S1700" s="86">
        <f>_xlfn.XLOOKUP(表格1[[#This Row],[Model]],表格3[Model-Input-Ref2],表格3[SRP PRICE])</f>
        <v>1288</v>
      </c>
      <c r="T1700" s="43">
        <f>表格1[[#This Row],[Unit Price]]/表格1[[#This Row],[SRP]]</f>
        <v>0.61180124223602483</v>
      </c>
      <c r="U1700" s="86" t="str">
        <f>_xlfn.XLOOKUP(表格1[[#This Row],[Model]],表格3[Model-Input-Ref2],表格3[TOSHIBA/HIGHEST])</f>
        <v>Toshiba SRP</v>
      </c>
      <c r="W1700" s="86" t="str">
        <f>_xlfn.CONCAT(表格1[[#This Row],[欄4]],表格1[[#This Row],[inv no]])</f>
        <v>367447</v>
      </c>
    </row>
    <row r="1701" spans="1:23" hidden="1">
      <c r="A1701" s="81">
        <v>1699</v>
      </c>
      <c r="B1701" s="81" t="s">
        <v>1260</v>
      </c>
      <c r="C1701" s="81" t="s">
        <v>2080</v>
      </c>
      <c r="D1701" s="82" t="str">
        <f ca="1">OFFSET(Roster!$A$3,MATCH(表格1[[#This Row],[Location]]&amp;" "&amp;表格1[[#This Row],[Shop]]&amp;"*",Roster!$A$4:$A$72,0),DAY(表格1[[#This Row],[date]]),1,1)</f>
        <v>Shan_2</v>
      </c>
      <c r="E1701" s="81">
        <f>MONTH(表格1[[#This Row],[date]])</f>
        <v>3</v>
      </c>
      <c r="F1701" s="90">
        <v>46107</v>
      </c>
      <c r="G1701" s="81" t="str">
        <f>VLOOKUP("*"&amp;表格1[[#This Row],[Input]]&amp;"*",'Ref-List'!$B:$D,2,)</f>
        <v>RC-18JRUH(N)</v>
      </c>
      <c r="H1701" s="81" t="str">
        <f>_xlfn.XLOOKUP(表格1[[#This Row],[Model]],表格3[Model-Input-Ref2],表格3[Product Line])</f>
        <v>1.8公升電飯煲</v>
      </c>
      <c r="I1701" s="81" t="str">
        <f>_xlfn.XLOOKUP(表格1[[#This Row],[Model]],表格3[Model-Input-Ref2],表格3[大小電])</f>
        <v>細電</v>
      </c>
      <c r="J1701" s="81" t="str">
        <f>_xlfn.XLOOKUP(表格1[[#This Row],[Model]],表格3[Model-Input-Ref2],表格3[Code])</f>
        <v>SDA</v>
      </c>
      <c r="K1701" s="89" t="s">
        <v>1275</v>
      </c>
      <c r="L1701" s="86">
        <v>1</v>
      </c>
      <c r="M1701" s="87">
        <v>300</v>
      </c>
      <c r="N1701" s="85">
        <f>IFERROR(表格1[[#This Row],[QTY]]*表格1[[#This Row],[Unit Price]],"-")</f>
        <v>300</v>
      </c>
      <c r="O1701" s="86">
        <v>367449</v>
      </c>
      <c r="R1701" s="86" t="str">
        <f>_xlfn.CONCAT(表格1[[#This Row],[Model]]," ",表格1[[#This Row],[inv no]])</f>
        <v>RC-18JRUH(N) 367449</v>
      </c>
      <c r="S1701" s="86">
        <f>_xlfn.XLOOKUP(表格1[[#This Row],[Model]],表格3[Model-Input-Ref2],表格3[SRP PRICE])</f>
        <v>458</v>
      </c>
      <c r="T1701" s="43">
        <f>表格1[[#This Row],[Unit Price]]/表格1[[#This Row],[SRP]]</f>
        <v>0.65502183406113534</v>
      </c>
      <c r="U1701" s="86" t="str">
        <f>_xlfn.XLOOKUP(表格1[[#This Row],[Model]],表格3[Model-Input-Ref2],表格3[TOSHIBA/HIGHEST])</f>
        <v>Shops Highest Price</v>
      </c>
      <c r="W1701" s="86" t="str">
        <f>_xlfn.CONCAT(表格1[[#This Row],[欄4]],表格1[[#This Row],[inv no]])</f>
        <v>367449</v>
      </c>
    </row>
    <row r="1702" spans="1:23" hidden="1">
      <c r="A1702" s="81">
        <v>1700</v>
      </c>
      <c r="B1702" s="81" t="s">
        <v>1260</v>
      </c>
      <c r="C1702" s="81" t="s">
        <v>2080</v>
      </c>
      <c r="D1702" s="82" t="str">
        <f ca="1">OFFSET(Roster!$A$3,MATCH(表格1[[#This Row],[Location]]&amp;" "&amp;表格1[[#This Row],[Shop]]&amp;"*",Roster!$A$4:$A$72,0),DAY(表格1[[#This Row],[date]]),1,1)</f>
        <v>Shan_2</v>
      </c>
      <c r="E1702" s="81">
        <f>MONTH(表格1[[#This Row],[date]])</f>
        <v>3</v>
      </c>
      <c r="F1702" s="90">
        <v>46107</v>
      </c>
      <c r="G1702" s="81" t="str">
        <f>VLOOKUP("*"&amp;表格1[[#This Row],[Input]]&amp;"*",'Ref-List'!$B:$D,2,)</f>
        <v>KT-14DHUHK(W)</v>
      </c>
      <c r="H1702" s="81" t="str">
        <f>_xlfn.XLOOKUP(表格1[[#This Row],[Model]],表格3[Model-Input-Ref2],表格3[Product Line])</f>
        <v>無線雙層電熱水壺(1.4公升)</v>
      </c>
      <c r="I1702" s="81" t="str">
        <f>_xlfn.XLOOKUP(表格1[[#This Row],[Model]],表格3[Model-Input-Ref2],表格3[大小電])</f>
        <v>細電</v>
      </c>
      <c r="J1702" s="81" t="str">
        <f>_xlfn.XLOOKUP(表格1[[#This Row],[Model]],表格3[Model-Input-Ref2],表格3[Code])</f>
        <v>SDA</v>
      </c>
      <c r="K1702" s="89" t="s">
        <v>1425</v>
      </c>
      <c r="L1702" s="86">
        <v>1</v>
      </c>
      <c r="M1702" s="87">
        <v>298</v>
      </c>
      <c r="N1702" s="85">
        <f>IFERROR(表格1[[#This Row],[QTY]]*表格1[[#This Row],[Unit Price]],"-")</f>
        <v>298</v>
      </c>
      <c r="O1702" s="86">
        <v>156341</v>
      </c>
      <c r="R1702" s="86" t="str">
        <f>_xlfn.CONCAT(表格1[[#This Row],[Model]]," ",表格1[[#This Row],[inv no]])</f>
        <v>KT-14DHUHK(W) 156341</v>
      </c>
      <c r="S1702" s="86">
        <f>_xlfn.XLOOKUP(表格1[[#This Row],[Model]],表格3[Model-Input-Ref2],表格3[SRP PRICE])</f>
        <v>458</v>
      </c>
      <c r="T1702" s="43">
        <f>表格1[[#This Row],[Unit Price]]/表格1[[#This Row],[SRP]]</f>
        <v>0.6506550218340611</v>
      </c>
      <c r="U1702" s="86" t="str">
        <f>_xlfn.XLOOKUP(表格1[[#This Row],[Model]],表格3[Model-Input-Ref2],表格3[TOSHIBA/HIGHEST])</f>
        <v>Toshiba SRP</v>
      </c>
      <c r="W1702" s="86" t="str">
        <f>_xlfn.CONCAT(表格1[[#This Row],[欄4]],表格1[[#This Row],[inv no]])</f>
        <v>156341</v>
      </c>
    </row>
    <row r="1703" spans="1:23" hidden="1">
      <c r="A1703" s="81">
        <v>1701</v>
      </c>
      <c r="B1703" s="81" t="s">
        <v>1260</v>
      </c>
      <c r="C1703" s="81" t="s">
        <v>2080</v>
      </c>
      <c r="D1703" s="82" t="str">
        <f ca="1">OFFSET(Roster!$A$3,MATCH(表格1[[#This Row],[Location]]&amp;" "&amp;表格1[[#This Row],[Shop]]&amp;"*",Roster!$A$4:$A$72,0),DAY(表格1[[#This Row],[date]]),1,1)</f>
        <v>Shan_2</v>
      </c>
      <c r="E1703" s="81">
        <f>MONTH(表格1[[#This Row],[date]])</f>
        <v>3</v>
      </c>
      <c r="F1703" s="90">
        <v>46107</v>
      </c>
      <c r="G1703" s="81" t="str">
        <f>VLOOKUP("*"&amp;表格1[[#This Row],[Input]]&amp;"*",'Ref-List'!$B:$D,2,)</f>
        <v>F-LYA20(W)HKG</v>
      </c>
      <c r="H1703" s="81" t="str">
        <f>_xlfn.XLOOKUP(表格1[[#This Row],[Model]],表格3[Model-Input-Ref2],表格3[Product Line])</f>
        <v>12吋2合1座地座檯電風扇連遙控</v>
      </c>
      <c r="I1703" s="81" t="str">
        <f>_xlfn.XLOOKUP(表格1[[#This Row],[Model]],表格3[Model-Input-Ref2],表格3[大小電])</f>
        <v>細電</v>
      </c>
      <c r="J1703" s="81" t="str">
        <f>_xlfn.XLOOKUP(表格1[[#This Row],[Model]],表格3[Model-Input-Ref2],表格3[Code])</f>
        <v>EAD</v>
      </c>
      <c r="K1703" s="89" t="s">
        <v>1391</v>
      </c>
      <c r="L1703" s="86">
        <v>1</v>
      </c>
      <c r="M1703" s="87">
        <v>399</v>
      </c>
      <c r="N1703" s="85">
        <f>IFERROR(表格1[[#This Row],[QTY]]*表格1[[#This Row],[Unit Price]],"-")</f>
        <v>399</v>
      </c>
      <c r="O1703" s="86">
        <v>156235</v>
      </c>
      <c r="R1703" s="86" t="str">
        <f>_xlfn.CONCAT(表格1[[#This Row],[Model]]," ",表格1[[#This Row],[inv no]])</f>
        <v>F-LYA20(W)HKG 156235</v>
      </c>
      <c r="S1703" s="86">
        <f>_xlfn.XLOOKUP(表格1[[#This Row],[Model]],表格3[Model-Input-Ref2],表格3[SRP PRICE])</f>
        <v>988</v>
      </c>
      <c r="T1703" s="43">
        <f>表格1[[#This Row],[Unit Price]]/表格1[[#This Row],[SRP]]</f>
        <v>0.40384615384615385</v>
      </c>
      <c r="U1703" s="86" t="str">
        <f>_xlfn.XLOOKUP(表格1[[#This Row],[Model]],表格3[Model-Input-Ref2],表格3[TOSHIBA/HIGHEST])</f>
        <v>Toshiba SRP</v>
      </c>
      <c r="W1703" s="86" t="str">
        <f>_xlfn.CONCAT(表格1[[#This Row],[欄4]],表格1[[#This Row],[inv no]])</f>
        <v>156235</v>
      </c>
    </row>
    <row r="1704" spans="1:23" hidden="1">
      <c r="A1704" s="81">
        <v>1702</v>
      </c>
      <c r="B1704" s="81" t="s">
        <v>1260</v>
      </c>
      <c r="C1704" s="81" t="s">
        <v>2080</v>
      </c>
      <c r="D1704" s="82" t="str">
        <f ca="1">OFFSET(Roster!$A$3,MATCH(表格1[[#This Row],[Location]]&amp;" "&amp;表格1[[#This Row],[Shop]]&amp;"*",Roster!$A$4:$A$72,0),DAY(表格1[[#This Row],[date]]),1,1)</f>
        <v>Shan_2</v>
      </c>
      <c r="E1704" s="81">
        <f>MONTH(表格1[[#This Row],[date]])</f>
        <v>3</v>
      </c>
      <c r="F1704" s="90">
        <v>46107</v>
      </c>
      <c r="G1704" s="81" t="str">
        <f>VLOOKUP("*"&amp;表格1[[#This Row],[Input]]&amp;"*",'Ref-List'!$B:$D,2,)</f>
        <v>KT-17DRTHK(H)</v>
      </c>
      <c r="H1704" s="81" t="str">
        <f>_xlfn.XLOOKUP(表格1[[#This Row],[Model]],表格3[Model-Input-Ref2],表格3[Product Line])</f>
        <v>無線雙層電熱水壺(1.7公升)</v>
      </c>
      <c r="I1704" s="81" t="str">
        <f>_xlfn.XLOOKUP(表格1[[#This Row],[Model]],表格3[Model-Input-Ref2],表格3[大小電])</f>
        <v>細電</v>
      </c>
      <c r="J1704" s="81" t="str">
        <f>_xlfn.XLOOKUP(表格1[[#This Row],[Model]],表格3[Model-Input-Ref2],表格3[Code])</f>
        <v>SDA</v>
      </c>
      <c r="K1704" s="89" t="s">
        <v>1271</v>
      </c>
      <c r="L1704" s="86">
        <v>1</v>
      </c>
      <c r="M1704" s="87">
        <v>388</v>
      </c>
      <c r="N1704" s="85">
        <f>IFERROR(表格1[[#This Row],[QTY]]*表格1[[#This Row],[Unit Price]],"-")</f>
        <v>388</v>
      </c>
      <c r="O1704" s="86">
        <v>367472</v>
      </c>
      <c r="R1704" s="86" t="str">
        <f>_xlfn.CONCAT(表格1[[#This Row],[Model]]," ",表格1[[#This Row],[inv no]])</f>
        <v>KT-17DRTHK(H) 367472</v>
      </c>
      <c r="S1704" s="86">
        <f>_xlfn.XLOOKUP(表格1[[#This Row],[Model]],表格3[Model-Input-Ref2],表格3[SRP PRICE])</f>
        <v>498</v>
      </c>
      <c r="T1704" s="43">
        <f>表格1[[#This Row],[Unit Price]]/表格1[[#This Row],[SRP]]</f>
        <v>0.77911646586345384</v>
      </c>
      <c r="U1704" s="86" t="str">
        <f>_xlfn.XLOOKUP(表格1[[#This Row],[Model]],表格3[Model-Input-Ref2],表格3[TOSHIBA/HIGHEST])</f>
        <v>Toshiba SRP</v>
      </c>
      <c r="W1704" s="86" t="str">
        <f>_xlfn.CONCAT(表格1[[#This Row],[欄4]],表格1[[#This Row],[inv no]])</f>
        <v>367472</v>
      </c>
    </row>
    <row r="1705" spans="1:23" hidden="1">
      <c r="A1705" s="81">
        <v>1703</v>
      </c>
      <c r="B1705" s="81" t="s">
        <v>1260</v>
      </c>
      <c r="C1705" s="81" t="s">
        <v>2080</v>
      </c>
      <c r="D1705" s="82" t="str">
        <f ca="1">OFFSET(Roster!$A$3,MATCH(表格1[[#This Row],[Location]]&amp;" "&amp;表格1[[#This Row],[Shop]]&amp;"*",Roster!$A$4:$A$72,0),DAY(表格1[[#This Row],[date]]),1,1)</f>
        <v>Shan_2</v>
      </c>
      <c r="E1705" s="81">
        <f>MONTH(表格1[[#This Row],[date]])</f>
        <v>3</v>
      </c>
      <c r="F1705" s="90">
        <v>46107</v>
      </c>
      <c r="G1705" s="81" t="str">
        <f>VLOOKUP("*"&amp;表格1[[#This Row],[Input]]&amp;"*",'Ref-List'!$B:$D,2,)</f>
        <v>KT-08DH1VHK(W)</v>
      </c>
      <c r="H1705" s="81" t="str">
        <f>_xlfn.XLOOKUP(表格1[[#This Row],[Model]],表格3[Model-Input-Ref2],表格3[Product Line])</f>
        <v>無線雙層電熱水壺-附可鎖壺蓋(0.8公升)</v>
      </c>
      <c r="I1705" s="81" t="str">
        <f>_xlfn.XLOOKUP(表格1[[#This Row],[Model]],表格3[Model-Input-Ref2],表格3[大小電])</f>
        <v>細電</v>
      </c>
      <c r="J1705" s="81" t="str">
        <f>_xlfn.XLOOKUP(表格1[[#This Row],[Model]],表格3[Model-Input-Ref2],表格3[Code])</f>
        <v>SDA</v>
      </c>
      <c r="K1705" s="89" t="s">
        <v>1268</v>
      </c>
      <c r="L1705" s="86">
        <v>1</v>
      </c>
      <c r="M1705" s="87">
        <v>268</v>
      </c>
      <c r="N1705" s="85">
        <f>IFERROR(表格1[[#This Row],[QTY]]*表格1[[#This Row],[Unit Price]],"-")</f>
        <v>268</v>
      </c>
      <c r="O1705" s="86">
        <v>367505</v>
      </c>
      <c r="R1705" s="86" t="str">
        <f>_xlfn.CONCAT(表格1[[#This Row],[Model]]," ",表格1[[#This Row],[inv no]])</f>
        <v>KT-08DH1VHK(W) 367505</v>
      </c>
      <c r="S1705" s="86">
        <f>_xlfn.XLOOKUP(表格1[[#This Row],[Model]],表格3[Model-Input-Ref2],表格3[SRP PRICE])</f>
        <v>428</v>
      </c>
      <c r="T1705" s="43">
        <f>表格1[[#This Row],[Unit Price]]/表格1[[#This Row],[SRP]]</f>
        <v>0.62616822429906538</v>
      </c>
      <c r="U1705" s="86" t="str">
        <f>_xlfn.XLOOKUP(表格1[[#This Row],[Model]],表格3[Model-Input-Ref2],表格3[TOSHIBA/HIGHEST])</f>
        <v>Toshiba SRP</v>
      </c>
      <c r="W1705" s="86" t="str">
        <f>_xlfn.CONCAT(表格1[[#This Row],[欄4]],表格1[[#This Row],[inv no]])</f>
        <v>367505</v>
      </c>
    </row>
    <row r="1706" spans="1:23" hidden="1">
      <c r="A1706" s="81">
        <v>1704</v>
      </c>
      <c r="B1706" s="81" t="s">
        <v>1260</v>
      </c>
      <c r="C1706" s="81" t="s">
        <v>2080</v>
      </c>
      <c r="D1706" s="82" t="str">
        <f ca="1">OFFSET(Roster!$A$3,MATCH(表格1[[#This Row],[Location]]&amp;" "&amp;表格1[[#This Row],[Shop]]&amp;"*",Roster!$A$4:$A$72,0),DAY(表格1[[#This Row],[date]]),1,1)</f>
        <v>Shan_2</v>
      </c>
      <c r="E1706" s="81">
        <f>MONTH(表格1[[#This Row],[date]])</f>
        <v>3</v>
      </c>
      <c r="F1706" s="90">
        <v>46107</v>
      </c>
      <c r="G1706" s="81" t="str">
        <f>VLOOKUP("*"&amp;表格1[[#This Row],[Input]]&amp;"*",'Ref-List'!$B:$D,2,)</f>
        <v>RC-5SLIH(W)</v>
      </c>
      <c r="H1706" s="81" t="str">
        <f>_xlfn.XLOOKUP(表格1[[#This Row],[Model]],表格3[Model-Input-Ref2],表格3[Product Line])</f>
        <v>微型電腦珍珠飯煲</v>
      </c>
      <c r="I1706" s="81" t="str">
        <f>_xlfn.XLOOKUP(表格1[[#This Row],[Model]],表格3[Model-Input-Ref2],表格3[大小電])</f>
        <v>細電</v>
      </c>
      <c r="J1706" s="81" t="str">
        <f>_xlfn.XLOOKUP(表格1[[#This Row],[Model]],表格3[Model-Input-Ref2],表格3[Code])</f>
        <v>SDA</v>
      </c>
      <c r="K1706" s="89" t="s">
        <v>1264</v>
      </c>
      <c r="L1706" s="86">
        <v>1</v>
      </c>
      <c r="M1706" s="87">
        <v>550</v>
      </c>
      <c r="N1706" s="85">
        <f>IFERROR(表格1[[#This Row],[QTY]]*表格1[[#This Row],[Unit Price]],"-")</f>
        <v>550</v>
      </c>
      <c r="O1706" s="86">
        <v>367537</v>
      </c>
      <c r="R1706" s="86" t="str">
        <f>_xlfn.CONCAT(表格1[[#This Row],[Model]]," ",表格1[[#This Row],[inv no]])</f>
        <v>RC-5SLIH(W) 367537</v>
      </c>
      <c r="S1706" s="86">
        <f>_xlfn.XLOOKUP(表格1[[#This Row],[Model]],表格3[Model-Input-Ref2],表格3[SRP PRICE])</f>
        <v>658</v>
      </c>
      <c r="T1706" s="43">
        <f>表格1[[#This Row],[Unit Price]]/表格1[[#This Row],[SRP]]</f>
        <v>0.83586626139817632</v>
      </c>
      <c r="U1706" s="86" t="str">
        <f>_xlfn.XLOOKUP(表格1[[#This Row],[Model]],表格3[Model-Input-Ref2],表格3[TOSHIBA/HIGHEST])</f>
        <v>Toshiba SRP</v>
      </c>
      <c r="W1706" s="86" t="str">
        <f>_xlfn.CONCAT(表格1[[#This Row],[欄4]],表格1[[#This Row],[inv no]])</f>
        <v>367537</v>
      </c>
    </row>
    <row r="1707" spans="1:23" hidden="1">
      <c r="A1707" s="81">
        <v>1705</v>
      </c>
      <c r="B1707" s="81" t="s">
        <v>1260</v>
      </c>
      <c r="C1707" s="81" t="s">
        <v>2080</v>
      </c>
      <c r="D1707" s="82" t="str">
        <f ca="1">OFFSET(Roster!$A$3,MATCH(表格1[[#This Row],[Location]]&amp;" "&amp;表格1[[#This Row],[Shop]]&amp;"*",Roster!$A$4:$A$72,0),DAY(表格1[[#This Row],[date]]),1,1)</f>
        <v>Shan_2</v>
      </c>
      <c r="E1707" s="81">
        <f>MONTH(表格1[[#This Row],[date]])</f>
        <v>3</v>
      </c>
      <c r="F1707" s="90">
        <v>46107</v>
      </c>
      <c r="G1707" s="81" t="str">
        <f>VLOOKUP("*"&amp;表格1[[#This Row],[Input]]&amp;"*",'Ref-List'!$B:$D,2,)</f>
        <v>MWP-MM20P(WH)</v>
      </c>
      <c r="H1707" s="81" t="str">
        <f>_xlfn.XLOOKUP(表格1[[#This Row],[Model]],表格3[Model-Input-Ref2],表格3[Product Line])</f>
        <v>旋鈕式燒烤微波爐20L</v>
      </c>
      <c r="I1707" s="81" t="str">
        <f>_xlfn.XLOOKUP(表格1[[#This Row],[Model]],表格3[Model-Input-Ref2],表格3[大小電])</f>
        <v>細電</v>
      </c>
      <c r="J1707" s="81" t="str">
        <f>_xlfn.XLOOKUP(表格1[[#This Row],[Model]],表格3[Model-Input-Ref2],表格3[Code])</f>
        <v>SDA</v>
      </c>
      <c r="K1707" s="89" t="s">
        <v>1270</v>
      </c>
      <c r="L1707" s="86">
        <v>1</v>
      </c>
      <c r="M1707" s="87">
        <v>488</v>
      </c>
      <c r="N1707" s="85">
        <f>IFERROR(表格1[[#This Row],[QTY]]*表格1[[#This Row],[Unit Price]],"-")</f>
        <v>488</v>
      </c>
      <c r="O1707" s="86">
        <v>367552</v>
      </c>
      <c r="R1707" s="86" t="str">
        <f>_xlfn.CONCAT(表格1[[#This Row],[Model]]," ",表格1[[#This Row],[inv no]])</f>
        <v>MWP-MM20P(WH) 367552</v>
      </c>
      <c r="S1707" s="86">
        <f>_xlfn.XLOOKUP(表格1[[#This Row],[Model]],表格3[Model-Input-Ref2],表格3[SRP PRICE])</f>
        <v>648</v>
      </c>
      <c r="T1707" s="43">
        <f>表格1[[#This Row],[Unit Price]]/表格1[[#This Row],[SRP]]</f>
        <v>0.75308641975308643</v>
      </c>
      <c r="U1707" s="86" t="str">
        <f>_xlfn.XLOOKUP(表格1[[#This Row],[Model]],表格3[Model-Input-Ref2],表格3[TOSHIBA/HIGHEST])</f>
        <v>Toshiba SRP</v>
      </c>
      <c r="W1707" s="86" t="str">
        <f>_xlfn.CONCAT(表格1[[#This Row],[欄4]],表格1[[#This Row],[inv no]])</f>
        <v>367552</v>
      </c>
    </row>
    <row r="1708" spans="1:23" hidden="1">
      <c r="A1708" s="81">
        <v>1706</v>
      </c>
      <c r="B1708" s="81" t="s">
        <v>1260</v>
      </c>
      <c r="C1708" s="81" t="s">
        <v>2080</v>
      </c>
      <c r="D1708" s="82" t="str">
        <f ca="1">OFFSET(Roster!$A$3,MATCH(表格1[[#This Row],[Location]]&amp;" "&amp;表格1[[#This Row],[Shop]]&amp;"*",Roster!$A$4:$A$72,0),DAY(表格1[[#This Row],[date]]),1,1)</f>
        <v>Shan_2</v>
      </c>
      <c r="E1708" s="81">
        <f>MONTH(表格1[[#This Row],[date]])</f>
        <v>3</v>
      </c>
      <c r="F1708" s="90">
        <v>46107</v>
      </c>
      <c r="G1708" s="81" t="str">
        <f>VLOOKUP("*"&amp;表格1[[#This Row],[Input]]&amp;"*",'Ref-List'!$B:$D,2,)</f>
        <v>IC-20R1THK</v>
      </c>
      <c r="H1708" s="81" t="str">
        <f>_xlfn.XLOOKUP(表格1[[#This Row],[Model]],表格3[Model-Input-Ref2],表格3[Product Line])</f>
        <v>輕便式電磁爐</v>
      </c>
      <c r="I1708" s="81" t="str">
        <f>_xlfn.XLOOKUP(表格1[[#This Row],[Model]],表格3[Model-Input-Ref2],表格3[大小電])</f>
        <v>細電</v>
      </c>
      <c r="J1708" s="81" t="str">
        <f>_xlfn.XLOOKUP(表格1[[#This Row],[Model]],表格3[Model-Input-Ref2],表格3[Code])</f>
        <v>SDA</v>
      </c>
      <c r="K1708" s="89" t="s">
        <v>1243</v>
      </c>
      <c r="L1708" s="86">
        <v>1</v>
      </c>
      <c r="M1708" s="87">
        <v>298</v>
      </c>
      <c r="N1708" s="85">
        <f>IFERROR(表格1[[#This Row],[QTY]]*表格1[[#This Row],[Unit Price]],"-")</f>
        <v>298</v>
      </c>
      <c r="O1708" s="86">
        <v>367555</v>
      </c>
      <c r="R1708" s="86" t="str">
        <f>_xlfn.CONCAT(表格1[[#This Row],[Model]]," ",表格1[[#This Row],[inv no]])</f>
        <v>IC-20R1THK 367555</v>
      </c>
      <c r="S1708" s="86">
        <f>_xlfn.XLOOKUP(表格1[[#This Row],[Model]],表格3[Model-Input-Ref2],表格3[SRP PRICE])</f>
        <v>438</v>
      </c>
      <c r="T1708" s="43">
        <f>表格1[[#This Row],[Unit Price]]/表格1[[#This Row],[SRP]]</f>
        <v>0.68036529680365299</v>
      </c>
      <c r="U1708" s="86" t="str">
        <f>_xlfn.XLOOKUP(表格1[[#This Row],[Model]],表格3[Model-Input-Ref2],表格3[TOSHIBA/HIGHEST])</f>
        <v>Shops Highest Price</v>
      </c>
      <c r="W1708" s="86" t="str">
        <f>_xlfn.CONCAT(表格1[[#This Row],[欄4]],表格1[[#This Row],[inv no]])</f>
        <v>367555</v>
      </c>
    </row>
    <row r="1709" spans="1:23" hidden="1">
      <c r="A1709" s="81">
        <v>1707</v>
      </c>
      <c r="B1709" s="81" t="s">
        <v>1260</v>
      </c>
      <c r="C1709" s="81" t="s">
        <v>2080</v>
      </c>
      <c r="D1709" s="82" t="str">
        <f ca="1">OFFSET(Roster!$A$3,MATCH(表格1[[#This Row],[Location]]&amp;" "&amp;表格1[[#This Row],[Shop]]&amp;"*",Roster!$A$4:$A$72,0),DAY(表格1[[#This Row],[date]]),1,1)</f>
        <v>Shan_2</v>
      </c>
      <c r="E1709" s="81">
        <f>MONTH(表格1[[#This Row],[date]])</f>
        <v>3</v>
      </c>
      <c r="F1709" s="90">
        <v>46107</v>
      </c>
      <c r="G1709" s="81" t="str">
        <f>VLOOKUP("*"&amp;表格1[[#This Row],[Input]]&amp;"*",'Ref-List'!$B:$D,2,)</f>
        <v>MWP-MM20P(WH)</v>
      </c>
      <c r="H1709" s="81" t="str">
        <f>_xlfn.XLOOKUP(表格1[[#This Row],[Model]],表格3[Model-Input-Ref2],表格3[Product Line])</f>
        <v>旋鈕式燒烤微波爐20L</v>
      </c>
      <c r="I1709" s="81" t="str">
        <f>_xlfn.XLOOKUP(表格1[[#This Row],[Model]],表格3[Model-Input-Ref2],表格3[大小電])</f>
        <v>細電</v>
      </c>
      <c r="J1709" s="81" t="str">
        <f>_xlfn.XLOOKUP(表格1[[#This Row],[Model]],表格3[Model-Input-Ref2],表格3[Code])</f>
        <v>SDA</v>
      </c>
      <c r="K1709" s="89" t="s">
        <v>1270</v>
      </c>
      <c r="L1709" s="86">
        <v>1</v>
      </c>
      <c r="M1709" s="87">
        <v>488</v>
      </c>
      <c r="N1709" s="85">
        <f>IFERROR(表格1[[#This Row],[QTY]]*表格1[[#This Row],[Unit Price]],"-")</f>
        <v>488</v>
      </c>
      <c r="O1709" s="86">
        <v>367562</v>
      </c>
      <c r="R1709" s="86" t="str">
        <f>_xlfn.CONCAT(表格1[[#This Row],[Model]]," ",表格1[[#This Row],[inv no]])</f>
        <v>MWP-MM20P(WH) 367562</v>
      </c>
      <c r="S1709" s="86">
        <f>_xlfn.XLOOKUP(表格1[[#This Row],[Model]],表格3[Model-Input-Ref2],表格3[SRP PRICE])</f>
        <v>648</v>
      </c>
      <c r="T1709" s="43">
        <f>表格1[[#This Row],[Unit Price]]/表格1[[#This Row],[SRP]]</f>
        <v>0.75308641975308643</v>
      </c>
      <c r="U1709" s="86" t="str">
        <f>_xlfn.XLOOKUP(表格1[[#This Row],[Model]],表格3[Model-Input-Ref2],表格3[TOSHIBA/HIGHEST])</f>
        <v>Toshiba SRP</v>
      </c>
      <c r="W1709" s="86" t="str">
        <f>_xlfn.CONCAT(表格1[[#This Row],[欄4]],表格1[[#This Row],[inv no]])</f>
        <v>367562</v>
      </c>
    </row>
    <row r="1710" spans="1:23" hidden="1">
      <c r="A1710" s="81">
        <v>1708</v>
      </c>
      <c r="B1710" s="81" t="s">
        <v>1260</v>
      </c>
      <c r="C1710" s="81" t="s">
        <v>2080</v>
      </c>
      <c r="D1710" s="82" t="str">
        <f ca="1">OFFSET(Roster!$A$3,MATCH(表格1[[#This Row],[Location]]&amp;" "&amp;表格1[[#This Row],[Shop]]&amp;"*",Roster!$A$4:$A$72,0),DAY(表格1[[#This Row],[date]]),1,1)</f>
        <v>Shan_2</v>
      </c>
      <c r="E1710" s="81">
        <f>MONTH(表格1[[#This Row],[date]])</f>
        <v>3</v>
      </c>
      <c r="F1710" s="90">
        <v>46107</v>
      </c>
      <c r="G1710" s="81" t="str">
        <f>VLOOKUP("*"&amp;表格1[[#This Row],[Input]]&amp;"*",'Ref-List'!$B:$D,2,)</f>
        <v>RC-10AMXH(W)</v>
      </c>
      <c r="H1710" s="81" t="str">
        <f>_xlfn.XLOOKUP(表格1[[#This Row],[Model]],表格3[Model-Input-Ref2],表格3[Product Line])</f>
        <v>酵活炊電飯煲(1.0公升)</v>
      </c>
      <c r="I1710" s="81" t="str">
        <f>_xlfn.XLOOKUP(表格1[[#This Row],[Model]],表格3[Model-Input-Ref2],表格3[大小電])</f>
        <v>細電</v>
      </c>
      <c r="J1710" s="81" t="str">
        <f>_xlfn.XLOOKUP(表格1[[#This Row],[Model]],表格3[Model-Input-Ref2],表格3[Code])</f>
        <v>SDA</v>
      </c>
      <c r="K1710" s="89" t="s">
        <v>1279</v>
      </c>
      <c r="L1710" s="86">
        <v>1</v>
      </c>
      <c r="M1710" s="87">
        <v>990</v>
      </c>
      <c r="N1710" s="85">
        <f>IFERROR(表格1[[#This Row],[QTY]]*表格1[[#This Row],[Unit Price]],"-")</f>
        <v>990</v>
      </c>
      <c r="O1710" s="86">
        <v>452039</v>
      </c>
      <c r="R1710" s="86" t="str">
        <f>_xlfn.CONCAT(表格1[[#This Row],[Model]]," ",表格1[[#This Row],[inv no]])</f>
        <v>RC-10AMXH(W) 452039</v>
      </c>
      <c r="S1710" s="86">
        <f>_xlfn.XLOOKUP(表格1[[#This Row],[Model]],表格3[Model-Input-Ref2],表格3[SRP PRICE])</f>
        <v>1288</v>
      </c>
      <c r="T1710" s="43">
        <f>表格1[[#This Row],[Unit Price]]/表格1[[#This Row],[SRP]]</f>
        <v>0.76863354037267084</v>
      </c>
      <c r="U1710" s="86" t="str">
        <f>_xlfn.XLOOKUP(表格1[[#This Row],[Model]],表格3[Model-Input-Ref2],表格3[TOSHIBA/HIGHEST])</f>
        <v>Toshiba SRP</v>
      </c>
      <c r="W1710" s="86" t="str">
        <f>_xlfn.CONCAT(表格1[[#This Row],[欄4]],表格1[[#This Row],[inv no]])</f>
        <v>452039</v>
      </c>
    </row>
    <row r="1711" spans="1:23" hidden="1">
      <c r="A1711" s="81">
        <v>1709</v>
      </c>
      <c r="B1711" s="81" t="s">
        <v>1260</v>
      </c>
      <c r="C1711" s="81" t="s">
        <v>2080</v>
      </c>
      <c r="D1711" s="82" t="str">
        <f ca="1">OFFSET(Roster!$A$3,MATCH(表格1[[#This Row],[Location]]&amp;" "&amp;表格1[[#This Row],[Shop]]&amp;"*",Roster!$A$4:$A$72,0),DAY(表格1[[#This Row],[date]]),1,1)</f>
        <v>Shan_2</v>
      </c>
      <c r="E1711" s="81">
        <f>MONTH(表格1[[#This Row],[date]])</f>
        <v>3</v>
      </c>
      <c r="F1711" s="90">
        <v>46108</v>
      </c>
      <c r="G1711" s="81" t="str">
        <f>VLOOKUP("*"&amp;表格1[[#This Row],[Input]]&amp;"*",'Ref-List'!$B:$D,2,)</f>
        <v>IC-21TSHK</v>
      </c>
      <c r="H1711" s="81" t="str">
        <f>_xlfn.XLOOKUP(表格1[[#This Row],[Model]],表格3[Model-Input-Ref2],表格3[Product Line])</f>
        <v>Induction Cooker</v>
      </c>
      <c r="I1711" s="81" t="str">
        <f>_xlfn.XLOOKUP(表格1[[#This Row],[Model]],表格3[Model-Input-Ref2],表格3[大小電])</f>
        <v>細電</v>
      </c>
      <c r="J1711" s="81" t="str">
        <f>_xlfn.XLOOKUP(表格1[[#This Row],[Model]],表格3[Model-Input-Ref2],表格3[Code])</f>
        <v>SDA</v>
      </c>
      <c r="K1711" s="89" t="s">
        <v>1242</v>
      </c>
      <c r="L1711" s="86">
        <v>1</v>
      </c>
      <c r="M1711" s="87">
        <v>698</v>
      </c>
      <c r="N1711" s="85">
        <f>IFERROR(表格1[[#This Row],[QTY]]*表格1[[#This Row],[Unit Price]],"-")</f>
        <v>698</v>
      </c>
      <c r="O1711" s="86">
        <v>367578</v>
      </c>
      <c r="R1711" s="86" t="str">
        <f>_xlfn.CONCAT(表格1[[#This Row],[Model]]," ",表格1[[#This Row],[inv no]])</f>
        <v>IC-21TSHK 367578</v>
      </c>
      <c r="S1711" s="86">
        <f>_xlfn.XLOOKUP(表格1[[#This Row],[Model]],表格3[Model-Input-Ref2],表格3[SRP PRICE])</f>
        <v>998</v>
      </c>
      <c r="T1711" s="43">
        <f>表格1[[#This Row],[Unit Price]]/表格1[[#This Row],[SRP]]</f>
        <v>0.69939879759519041</v>
      </c>
      <c r="U1711" s="86" t="str">
        <f>_xlfn.XLOOKUP(表格1[[#This Row],[Model]],表格3[Model-Input-Ref2],表格3[TOSHIBA/HIGHEST])</f>
        <v>web SRP</v>
      </c>
      <c r="W1711" s="86" t="str">
        <f>_xlfn.CONCAT(表格1[[#This Row],[欄4]],表格1[[#This Row],[inv no]])</f>
        <v>367578</v>
      </c>
    </row>
    <row r="1712" spans="1:23" hidden="1">
      <c r="A1712" s="81">
        <v>1710</v>
      </c>
      <c r="B1712" s="81" t="s">
        <v>1260</v>
      </c>
      <c r="C1712" s="81" t="s">
        <v>2080</v>
      </c>
      <c r="D1712" s="82" t="str">
        <f ca="1">OFFSET(Roster!$A$3,MATCH(表格1[[#This Row],[Location]]&amp;" "&amp;表格1[[#This Row],[Shop]]&amp;"*",Roster!$A$4:$A$72,0),DAY(表格1[[#This Row],[date]]),1,1)</f>
        <v>Shan_2</v>
      </c>
      <c r="E1712" s="81">
        <f>MONTH(表格1[[#This Row],[date]])</f>
        <v>3</v>
      </c>
      <c r="F1712" s="90">
        <v>46108</v>
      </c>
      <c r="G1712" s="81" t="str">
        <f>VLOOKUP("*"&amp;表格1[[#This Row],[Input]]&amp;"*",'Ref-List'!$B:$D,2,)</f>
        <v>KT-17DRTHK(H)</v>
      </c>
      <c r="H1712" s="81" t="str">
        <f>_xlfn.XLOOKUP(表格1[[#This Row],[Model]],表格3[Model-Input-Ref2],表格3[Product Line])</f>
        <v>無線雙層電熱水壺(1.7公升)</v>
      </c>
      <c r="I1712" s="81" t="str">
        <f>_xlfn.XLOOKUP(表格1[[#This Row],[Model]],表格3[Model-Input-Ref2],表格3[大小電])</f>
        <v>細電</v>
      </c>
      <c r="J1712" s="81" t="str">
        <f>_xlfn.XLOOKUP(表格1[[#This Row],[Model]],表格3[Model-Input-Ref2],表格3[Code])</f>
        <v>SDA</v>
      </c>
      <c r="K1712" s="89" t="s">
        <v>1271</v>
      </c>
      <c r="L1712" s="86">
        <v>1</v>
      </c>
      <c r="M1712" s="87">
        <v>388</v>
      </c>
      <c r="N1712" s="85">
        <f>IFERROR(表格1[[#This Row],[QTY]]*表格1[[#This Row],[Unit Price]],"-")</f>
        <v>388</v>
      </c>
      <c r="O1712" s="86">
        <v>367646</v>
      </c>
      <c r="R1712" s="86" t="str">
        <f>_xlfn.CONCAT(表格1[[#This Row],[Model]]," ",表格1[[#This Row],[inv no]])</f>
        <v>KT-17DRTHK(H) 367646</v>
      </c>
      <c r="S1712" s="86">
        <f>_xlfn.XLOOKUP(表格1[[#This Row],[Model]],表格3[Model-Input-Ref2],表格3[SRP PRICE])</f>
        <v>498</v>
      </c>
      <c r="T1712" s="43">
        <f>表格1[[#This Row],[Unit Price]]/表格1[[#This Row],[SRP]]</f>
        <v>0.77911646586345384</v>
      </c>
      <c r="U1712" s="86" t="str">
        <f>_xlfn.XLOOKUP(表格1[[#This Row],[Model]],表格3[Model-Input-Ref2],表格3[TOSHIBA/HIGHEST])</f>
        <v>Toshiba SRP</v>
      </c>
      <c r="W1712" s="86" t="str">
        <f>_xlfn.CONCAT(表格1[[#This Row],[欄4]],表格1[[#This Row],[inv no]])</f>
        <v>367646</v>
      </c>
    </row>
    <row r="1713" spans="1:23" hidden="1">
      <c r="A1713" s="81">
        <v>1711</v>
      </c>
      <c r="B1713" s="81" t="s">
        <v>1260</v>
      </c>
      <c r="C1713" s="81" t="s">
        <v>2080</v>
      </c>
      <c r="D1713" s="82" t="str">
        <f ca="1">OFFSET(Roster!$A$3,MATCH(表格1[[#This Row],[Location]]&amp;" "&amp;表格1[[#This Row],[Shop]]&amp;"*",Roster!$A$4:$A$72,0),DAY(表格1[[#This Row],[date]]),1,1)</f>
        <v>Shan_2</v>
      </c>
      <c r="E1713" s="81">
        <f>MONTH(表格1[[#This Row],[date]])</f>
        <v>3</v>
      </c>
      <c r="F1713" s="90">
        <v>46108</v>
      </c>
      <c r="G1713" s="81" t="str">
        <f>VLOOKUP("*"&amp;表格1[[#This Row],[Input]]&amp;"*",'Ref-List'!$B:$D,2,)</f>
        <v>RC-18NMFIH(WT)</v>
      </c>
      <c r="H1713" s="81" t="str">
        <f>_xlfn.XLOOKUP(表格1[[#This Row],[Model]],表格3[Model-Input-Ref2],表格3[Product Line])</f>
        <v>4毫米厚釜電飯煲1.8L</v>
      </c>
      <c r="I1713" s="81" t="str">
        <f>_xlfn.XLOOKUP(表格1[[#This Row],[Model]],表格3[Model-Input-Ref2],表格3[大小電])</f>
        <v>細電</v>
      </c>
      <c r="J1713" s="81" t="str">
        <f>_xlfn.XLOOKUP(表格1[[#This Row],[Model]],表格3[Model-Input-Ref2],表格3[Code])</f>
        <v>SDA</v>
      </c>
      <c r="K1713" s="89" t="s">
        <v>1267</v>
      </c>
      <c r="L1713" s="86">
        <v>1</v>
      </c>
      <c r="M1713" s="87">
        <v>799</v>
      </c>
      <c r="N1713" s="85">
        <f>IFERROR(表格1[[#This Row],[QTY]]*表格1[[#This Row],[Unit Price]],"-")</f>
        <v>799</v>
      </c>
      <c r="O1713" s="142">
        <v>367572</v>
      </c>
      <c r="R1713" s="86" t="str">
        <f>_xlfn.CONCAT(表格1[[#This Row],[Model]]," ",表格1[[#This Row],[inv no]])</f>
        <v>RC-18NMFIH(WT) 367572</v>
      </c>
      <c r="S1713" s="86">
        <f>_xlfn.XLOOKUP(表格1[[#This Row],[Model]],表格3[Model-Input-Ref2],表格3[SRP PRICE])</f>
        <v>998</v>
      </c>
      <c r="T1713" s="43">
        <f>表格1[[#This Row],[Unit Price]]/表格1[[#This Row],[SRP]]</f>
        <v>0.80060120240480959</v>
      </c>
      <c r="U1713" s="86" t="str">
        <f>_xlfn.XLOOKUP(表格1[[#This Row],[Model]],表格3[Model-Input-Ref2],表格3[TOSHIBA/HIGHEST])</f>
        <v>Toshiba SRP</v>
      </c>
      <c r="W1713" s="86" t="str">
        <f>_xlfn.CONCAT(表格1[[#This Row],[欄4]],表格1[[#This Row],[inv no]])</f>
        <v>367572</v>
      </c>
    </row>
    <row r="1714" spans="1:23" hidden="1">
      <c r="A1714" s="81">
        <v>1712</v>
      </c>
      <c r="B1714" s="81" t="s">
        <v>1260</v>
      </c>
      <c r="C1714" s="81" t="s">
        <v>2080</v>
      </c>
      <c r="D1714" s="82" t="str">
        <f ca="1">OFFSET(Roster!$A$3,MATCH(表格1[[#This Row],[Location]]&amp;" "&amp;表格1[[#This Row],[Shop]]&amp;"*",Roster!$A$4:$A$72,0),DAY(表格1[[#This Row],[date]]),1,1)</f>
        <v>Shan_2</v>
      </c>
      <c r="E1714" s="81">
        <f>MONTH(表格1[[#This Row],[date]])</f>
        <v>3</v>
      </c>
      <c r="F1714" s="90">
        <v>46108</v>
      </c>
      <c r="G1714" s="81" t="str">
        <f>VLOOKUP("*"&amp;表格1[[#This Row],[Input]]&amp;"*",'Ref-List'!$B:$D,2,)</f>
        <v>RC-10NMFIH(WT)</v>
      </c>
      <c r="H1714" s="81" t="str">
        <f>_xlfn.XLOOKUP(表格1[[#This Row],[Model]],表格3[Model-Input-Ref2],表格3[Product Line])</f>
        <v>4毫米厚釜電飯煲1L</v>
      </c>
      <c r="I1714" s="81" t="str">
        <f>_xlfn.XLOOKUP(表格1[[#This Row],[Model]],表格3[Model-Input-Ref2],表格3[大小電])</f>
        <v>細電</v>
      </c>
      <c r="J1714" s="81" t="str">
        <f>_xlfn.XLOOKUP(表格1[[#This Row],[Model]],表格3[Model-Input-Ref2],表格3[Code])</f>
        <v>SDA</v>
      </c>
      <c r="K1714" s="89" t="s">
        <v>1244</v>
      </c>
      <c r="L1714" s="86">
        <v>1</v>
      </c>
      <c r="M1714" s="87">
        <v>719</v>
      </c>
      <c r="N1714" s="85">
        <f>IFERROR(表格1[[#This Row],[QTY]]*表格1[[#This Row],[Unit Price]],"-")</f>
        <v>719</v>
      </c>
      <c r="O1714" s="86">
        <v>367576</v>
      </c>
      <c r="R1714" s="86" t="str">
        <f>_xlfn.CONCAT(表格1[[#This Row],[Model]]," ",表格1[[#This Row],[inv no]])</f>
        <v>RC-10NMFIH(WT) 367576</v>
      </c>
      <c r="S1714" s="86">
        <f>_xlfn.XLOOKUP(表格1[[#This Row],[Model]],表格3[Model-Input-Ref2],表格3[SRP PRICE])</f>
        <v>898</v>
      </c>
      <c r="T1714" s="43">
        <f>表格1[[#This Row],[Unit Price]]/表格1[[#This Row],[SRP]]</f>
        <v>0.80066815144766146</v>
      </c>
      <c r="U1714" s="86" t="str">
        <f>_xlfn.XLOOKUP(表格1[[#This Row],[Model]],表格3[Model-Input-Ref2],表格3[TOSHIBA/HIGHEST])</f>
        <v>Toshiba SRP</v>
      </c>
      <c r="W1714" s="86" t="str">
        <f>_xlfn.CONCAT(表格1[[#This Row],[欄4]],表格1[[#This Row],[inv no]])</f>
        <v>367576</v>
      </c>
    </row>
    <row r="1715" spans="1:23" hidden="1">
      <c r="A1715" s="81">
        <v>1713</v>
      </c>
      <c r="B1715" s="81" t="s">
        <v>1260</v>
      </c>
      <c r="C1715" s="81" t="s">
        <v>2080</v>
      </c>
      <c r="D1715" s="82" t="str">
        <f ca="1">OFFSET(Roster!$A$3,MATCH(表格1[[#This Row],[Location]]&amp;" "&amp;表格1[[#This Row],[Shop]]&amp;"*",Roster!$A$4:$A$72,0),DAY(表格1[[#This Row],[date]]),1,1)</f>
        <v>Shan_2</v>
      </c>
      <c r="E1715" s="81">
        <f>MONTH(表格1[[#This Row],[date]])</f>
        <v>3</v>
      </c>
      <c r="F1715" s="90">
        <v>46108</v>
      </c>
      <c r="G1715" s="81" t="str">
        <f>VLOOKUP("*"&amp;表格1[[#This Row],[Input]]&amp;"*",'Ref-List'!$B:$D,2,)</f>
        <v>RC-5SLIH(W)</v>
      </c>
      <c r="H1715" s="81" t="str">
        <f>_xlfn.XLOOKUP(表格1[[#This Row],[Model]],表格3[Model-Input-Ref2],表格3[Product Line])</f>
        <v>微型電腦珍珠飯煲</v>
      </c>
      <c r="I1715" s="81" t="str">
        <f>_xlfn.XLOOKUP(表格1[[#This Row],[Model]],表格3[Model-Input-Ref2],表格3[大小電])</f>
        <v>細電</v>
      </c>
      <c r="J1715" s="81" t="str">
        <f>_xlfn.XLOOKUP(表格1[[#This Row],[Model]],表格3[Model-Input-Ref2],表格3[Code])</f>
        <v>SDA</v>
      </c>
      <c r="K1715" s="89" t="s">
        <v>1264</v>
      </c>
      <c r="L1715" s="86">
        <v>1</v>
      </c>
      <c r="M1715" s="87">
        <v>550</v>
      </c>
      <c r="N1715" s="85">
        <f>IFERROR(表格1[[#This Row],[QTY]]*表格1[[#This Row],[Unit Price]],"-")</f>
        <v>550</v>
      </c>
      <c r="O1715" s="86">
        <v>367575</v>
      </c>
      <c r="R1715" s="86" t="str">
        <f>_xlfn.CONCAT(表格1[[#This Row],[Model]]," ",表格1[[#This Row],[inv no]])</f>
        <v>RC-5SLIH(W) 367575</v>
      </c>
      <c r="S1715" s="86">
        <f>_xlfn.XLOOKUP(表格1[[#This Row],[Model]],表格3[Model-Input-Ref2],表格3[SRP PRICE])</f>
        <v>658</v>
      </c>
      <c r="T1715" s="43">
        <f>表格1[[#This Row],[Unit Price]]/表格1[[#This Row],[SRP]]</f>
        <v>0.83586626139817632</v>
      </c>
      <c r="U1715" s="86" t="str">
        <f>_xlfn.XLOOKUP(表格1[[#This Row],[Model]],表格3[Model-Input-Ref2],表格3[TOSHIBA/HIGHEST])</f>
        <v>Toshiba SRP</v>
      </c>
      <c r="W1715" s="86" t="str">
        <f>_xlfn.CONCAT(表格1[[#This Row],[欄4]],表格1[[#This Row],[inv no]])</f>
        <v>367575</v>
      </c>
    </row>
    <row r="1716" spans="1:23" hidden="1">
      <c r="A1716" s="81">
        <v>1714</v>
      </c>
      <c r="B1716" s="81" t="s">
        <v>1260</v>
      </c>
      <c r="C1716" s="81" t="s">
        <v>2080</v>
      </c>
      <c r="D1716" s="82" t="str">
        <f ca="1">OFFSET(Roster!$A$3,MATCH(表格1[[#This Row],[Location]]&amp;" "&amp;表格1[[#This Row],[Shop]]&amp;"*",Roster!$A$4:$A$72,0),DAY(表格1[[#This Row],[date]]),1,1)</f>
        <v>Shan_2</v>
      </c>
      <c r="E1716" s="81">
        <f>MONTH(表格1[[#This Row],[date]])</f>
        <v>3</v>
      </c>
      <c r="F1716" s="90">
        <v>46108</v>
      </c>
      <c r="G1716" s="81" t="str">
        <f>VLOOKUP("*"&amp;表格1[[#This Row],[Input]]&amp;"*",'Ref-List'!$B:$D,2,)</f>
        <v>RC-DR18T(W)</v>
      </c>
      <c r="H1716" s="81" t="str">
        <f>_xlfn.XLOOKUP(表格1[[#This Row],[Model]],表格3[Model-Input-Ref2],表格3[Product Line])</f>
        <v>IH磁應電飯煲
鑽石銅鍋</v>
      </c>
      <c r="I1716" s="81" t="str">
        <f>_xlfn.XLOOKUP(表格1[[#This Row],[Model]],表格3[Model-Input-Ref2],表格3[大小電])</f>
        <v>細電</v>
      </c>
      <c r="J1716" s="81" t="str">
        <f>_xlfn.XLOOKUP(表格1[[#This Row],[Model]],表格3[Model-Input-Ref2],表格3[Code])</f>
        <v>SDA</v>
      </c>
      <c r="K1716" s="89" t="s">
        <v>1378</v>
      </c>
      <c r="L1716" s="86">
        <v>1</v>
      </c>
      <c r="M1716" s="87">
        <v>2690</v>
      </c>
      <c r="N1716" s="85">
        <f>IFERROR(表格1[[#This Row],[QTY]]*表格1[[#This Row],[Unit Price]],"-")</f>
        <v>2690</v>
      </c>
      <c r="O1716" s="86">
        <v>367586</v>
      </c>
      <c r="R1716" s="86" t="str">
        <f>_xlfn.CONCAT(表格1[[#This Row],[Model]]," ",表格1[[#This Row],[inv no]])</f>
        <v>RC-DR18T(W) 367586</v>
      </c>
      <c r="S1716" s="86">
        <f>_xlfn.XLOOKUP(表格1[[#This Row],[Model]],表格3[Model-Input-Ref2],表格3[SRP PRICE])</f>
        <v>3588</v>
      </c>
      <c r="T1716" s="43">
        <f>表格1[[#This Row],[Unit Price]]/表格1[[#This Row],[SRP]]</f>
        <v>0.74972129319955405</v>
      </c>
      <c r="U1716" s="86" t="str">
        <f>_xlfn.XLOOKUP(表格1[[#This Row],[Model]],表格3[Model-Input-Ref2],表格3[TOSHIBA/HIGHEST])</f>
        <v>Toshiba SRP</v>
      </c>
      <c r="W1716" s="86" t="str">
        <f>_xlfn.CONCAT(表格1[[#This Row],[欄4]],表格1[[#This Row],[inv no]])</f>
        <v>367586</v>
      </c>
    </row>
    <row r="1717" spans="1:23" hidden="1">
      <c r="A1717" s="81">
        <v>1715</v>
      </c>
      <c r="B1717" s="81" t="s">
        <v>1260</v>
      </c>
      <c r="C1717" s="81" t="s">
        <v>2080</v>
      </c>
      <c r="D1717" s="82" t="str">
        <f ca="1">OFFSET(Roster!$A$3,MATCH(表格1[[#This Row],[Location]]&amp;" "&amp;表格1[[#This Row],[Shop]]&amp;"*",Roster!$A$4:$A$72,0),DAY(表格1[[#This Row],[date]]),1,1)</f>
        <v>Shan_2</v>
      </c>
      <c r="E1717" s="81">
        <f>MONTH(表格1[[#This Row],[date]])</f>
        <v>3</v>
      </c>
      <c r="F1717" s="90">
        <v>46108</v>
      </c>
      <c r="G1717" s="81" t="str">
        <f>VLOOKUP("*"&amp;表格1[[#This Row],[Input]]&amp;"*",'Ref-List'!$B:$D,2,)</f>
        <v>TP-25DR2UHK(W)</v>
      </c>
      <c r="H1717" s="81" t="str">
        <f>_xlfn.XLOOKUP(表格1[[#This Row],[Model]],表格3[Model-Input-Ref2],表格3[Product Line])</f>
        <v>電熱水瓶 (2.5公升)</v>
      </c>
      <c r="I1717" s="81" t="str">
        <f>_xlfn.XLOOKUP(表格1[[#This Row],[Model]],表格3[Model-Input-Ref2],表格3[大小電])</f>
        <v>細電</v>
      </c>
      <c r="J1717" s="81" t="str">
        <f>_xlfn.XLOOKUP(表格1[[#This Row],[Model]],表格3[Model-Input-Ref2],表格3[Code])</f>
        <v>SDA</v>
      </c>
      <c r="K1717" s="89" t="s">
        <v>1285</v>
      </c>
      <c r="L1717" s="86">
        <v>1</v>
      </c>
      <c r="M1717" s="87">
        <v>398</v>
      </c>
      <c r="N1717" s="85">
        <f>IFERROR(表格1[[#This Row],[QTY]]*表格1[[#This Row],[Unit Price]],"-")</f>
        <v>398</v>
      </c>
      <c r="O1717" s="86">
        <v>367579</v>
      </c>
      <c r="R1717" s="86" t="str">
        <f>_xlfn.CONCAT(表格1[[#This Row],[Model]]," ",表格1[[#This Row],[inv no]])</f>
        <v>TP-25DR2UHK(W) 367579</v>
      </c>
      <c r="S1717" s="86">
        <f>_xlfn.XLOOKUP(表格1[[#This Row],[Model]],表格3[Model-Input-Ref2],表格3[SRP PRICE])</f>
        <v>538</v>
      </c>
      <c r="T1717" s="43">
        <f>表格1[[#This Row],[Unit Price]]/表格1[[#This Row],[SRP]]</f>
        <v>0.7397769516728625</v>
      </c>
      <c r="U1717" s="86" t="str">
        <f>_xlfn.XLOOKUP(表格1[[#This Row],[Model]],表格3[Model-Input-Ref2],表格3[TOSHIBA/HIGHEST])</f>
        <v>Toshiba SRP</v>
      </c>
      <c r="W1717" s="86" t="str">
        <f>_xlfn.CONCAT(表格1[[#This Row],[欄4]],表格1[[#This Row],[inv no]])</f>
        <v>367579</v>
      </c>
    </row>
    <row r="1718" spans="1:23" hidden="1">
      <c r="A1718" s="81">
        <v>1716</v>
      </c>
      <c r="B1718" s="81" t="s">
        <v>1260</v>
      </c>
      <c r="C1718" s="81" t="s">
        <v>2080</v>
      </c>
      <c r="D1718" s="82" t="str">
        <f ca="1">OFFSET(Roster!$A$3,MATCH(表格1[[#This Row],[Location]]&amp;" "&amp;表格1[[#This Row],[Shop]]&amp;"*",Roster!$A$4:$A$72,0),DAY(表格1[[#This Row],[date]]),1,1)</f>
        <v>Shan_2</v>
      </c>
      <c r="E1718" s="81">
        <f>MONTH(表格1[[#This Row],[date]])</f>
        <v>3</v>
      </c>
      <c r="F1718" s="90">
        <v>46108</v>
      </c>
      <c r="G1718" s="81" t="str">
        <f>VLOOKUP("*"&amp;表格1[[#This Row],[Input]]&amp;"*",'Ref-List'!$B:$D,2,)</f>
        <v>RC-18NMFIH(WT)</v>
      </c>
      <c r="H1718" s="81" t="str">
        <f>_xlfn.XLOOKUP(表格1[[#This Row],[Model]],表格3[Model-Input-Ref2],表格3[Product Line])</f>
        <v>4毫米厚釜電飯煲1.8L</v>
      </c>
      <c r="I1718" s="81" t="str">
        <f>_xlfn.XLOOKUP(表格1[[#This Row],[Model]],表格3[Model-Input-Ref2],表格3[大小電])</f>
        <v>細電</v>
      </c>
      <c r="J1718" s="81" t="str">
        <f>_xlfn.XLOOKUP(表格1[[#This Row],[Model]],表格3[Model-Input-Ref2],表格3[Code])</f>
        <v>SDA</v>
      </c>
      <c r="K1718" s="89" t="s">
        <v>1267</v>
      </c>
      <c r="L1718" s="86">
        <v>1</v>
      </c>
      <c r="M1718" s="87">
        <v>799</v>
      </c>
      <c r="N1718" s="85">
        <f>IFERROR(表格1[[#This Row],[QTY]]*表格1[[#This Row],[Unit Price]],"-")</f>
        <v>799</v>
      </c>
      <c r="O1718" s="86">
        <v>416146</v>
      </c>
      <c r="R1718" s="86" t="str">
        <f>_xlfn.CONCAT(表格1[[#This Row],[Model]]," ",表格1[[#This Row],[inv no]])</f>
        <v>RC-18NMFIH(WT) 416146</v>
      </c>
      <c r="S1718" s="86">
        <f>_xlfn.XLOOKUP(表格1[[#This Row],[Model]],表格3[Model-Input-Ref2],表格3[SRP PRICE])</f>
        <v>998</v>
      </c>
      <c r="T1718" s="43">
        <f>表格1[[#This Row],[Unit Price]]/表格1[[#This Row],[SRP]]</f>
        <v>0.80060120240480959</v>
      </c>
      <c r="U1718" s="86" t="str">
        <f>_xlfn.XLOOKUP(表格1[[#This Row],[Model]],表格3[Model-Input-Ref2],表格3[TOSHIBA/HIGHEST])</f>
        <v>Toshiba SRP</v>
      </c>
      <c r="W1718" s="86" t="str">
        <f>_xlfn.CONCAT(表格1[[#This Row],[欄4]],表格1[[#This Row],[inv no]])</f>
        <v>416146</v>
      </c>
    </row>
    <row r="1719" spans="1:23" hidden="1">
      <c r="A1719" s="81">
        <v>1717</v>
      </c>
      <c r="B1719" s="81" t="s">
        <v>1260</v>
      </c>
      <c r="C1719" s="81" t="s">
        <v>2080</v>
      </c>
      <c r="D1719" s="82" t="str">
        <f ca="1">OFFSET(Roster!$A$3,MATCH(表格1[[#This Row],[Location]]&amp;" "&amp;表格1[[#This Row],[Shop]]&amp;"*",Roster!$A$4:$A$72,0),DAY(表格1[[#This Row],[date]]),1,1)</f>
        <v>Shan_2</v>
      </c>
      <c r="E1719" s="81">
        <f>MONTH(表格1[[#This Row],[date]])</f>
        <v>3</v>
      </c>
      <c r="F1719" s="90">
        <v>46108</v>
      </c>
      <c r="G1719" s="81" t="str">
        <f>VLOOKUP("*"&amp;表格1[[#This Row],[Input]]&amp;"*",'Ref-List'!$B:$D,2,)</f>
        <v>RC-7HMH</v>
      </c>
      <c r="H1719" s="81" t="str">
        <f>_xlfn.XLOOKUP(表格1[[#This Row],[Model]],表格3[Model-Input-Ref2],表格3[Product Line])</f>
        <v>備長炭本厚釜電飯煲0.7L</v>
      </c>
      <c r="I1719" s="81" t="str">
        <f>_xlfn.XLOOKUP(表格1[[#This Row],[Model]],表格3[Model-Input-Ref2],表格3[大小電])</f>
        <v>細電</v>
      </c>
      <c r="J1719" s="81" t="str">
        <f>_xlfn.XLOOKUP(表格1[[#This Row],[Model]],表格3[Model-Input-Ref2],表格3[Code])</f>
        <v>SDA</v>
      </c>
      <c r="K1719" s="89" t="s">
        <v>1284</v>
      </c>
      <c r="L1719" s="86">
        <v>1</v>
      </c>
      <c r="M1719" s="87">
        <v>788</v>
      </c>
      <c r="N1719" s="85">
        <f>IFERROR(表格1[[#This Row],[QTY]]*表格1[[#This Row],[Unit Price]],"-")</f>
        <v>788</v>
      </c>
      <c r="O1719" s="86">
        <v>606333</v>
      </c>
      <c r="R1719" s="86" t="str">
        <f>_xlfn.CONCAT(表格1[[#This Row],[Model]]," ",表格1[[#This Row],[inv no]])</f>
        <v>RC-7HMH 606333</v>
      </c>
      <c r="S1719" s="86">
        <f>_xlfn.XLOOKUP(表格1[[#This Row],[Model]],表格3[Model-Input-Ref2],表格3[SRP PRICE])</f>
        <v>1288</v>
      </c>
      <c r="T1719" s="43">
        <f>表格1[[#This Row],[Unit Price]]/表格1[[#This Row],[SRP]]</f>
        <v>0.61180124223602483</v>
      </c>
      <c r="U1719" s="86" t="str">
        <f>_xlfn.XLOOKUP(表格1[[#This Row],[Model]],表格3[Model-Input-Ref2],表格3[TOSHIBA/HIGHEST])</f>
        <v>Toshiba SRP</v>
      </c>
      <c r="W1719" s="86" t="str">
        <f>_xlfn.CONCAT(表格1[[#This Row],[欄4]],表格1[[#This Row],[inv no]])</f>
        <v>606333</v>
      </c>
    </row>
    <row r="1720" spans="1:23" hidden="1">
      <c r="A1720" s="81">
        <v>1718</v>
      </c>
      <c r="B1720" s="81" t="s">
        <v>1260</v>
      </c>
      <c r="C1720" s="81" t="s">
        <v>2080</v>
      </c>
      <c r="D1720" s="82" t="str">
        <f ca="1">OFFSET(Roster!$A$3,MATCH(表格1[[#This Row],[Location]]&amp;" "&amp;表格1[[#This Row],[Shop]]&amp;"*",Roster!$A$4:$A$72,0),DAY(表格1[[#This Row],[date]]),1,1)</f>
        <v>Shan_2</v>
      </c>
      <c r="E1720" s="81">
        <f>MONTH(表格1[[#This Row],[date]])</f>
        <v>3</v>
      </c>
      <c r="F1720" s="90">
        <v>46108</v>
      </c>
      <c r="G1720" s="81" t="str">
        <f>VLOOKUP("*"&amp;表格1[[#This Row],[Input]]&amp;"*",'Ref-List'!$B:$D,2,)</f>
        <v>RC-5MMIH(WT)</v>
      </c>
      <c r="H1720" s="81" t="str">
        <f>_xlfn.XLOOKUP(表格1[[#This Row],[Model]],表格3[Model-Input-Ref2],表格3[Product Line])</f>
        <v>4毫米厚釜電飯煲0.54L</v>
      </c>
      <c r="I1720" s="81" t="str">
        <f>_xlfn.XLOOKUP(表格1[[#This Row],[Model]],表格3[Model-Input-Ref2],表格3[大小電])</f>
        <v>細電</v>
      </c>
      <c r="J1720" s="81" t="str">
        <f>_xlfn.XLOOKUP(表格1[[#This Row],[Model]],表格3[Model-Input-Ref2],表格3[Code])</f>
        <v>SDA</v>
      </c>
      <c r="K1720" s="89" t="s">
        <v>1195</v>
      </c>
      <c r="L1720" s="86">
        <v>1</v>
      </c>
      <c r="M1720" s="87">
        <v>450</v>
      </c>
      <c r="N1720" s="85">
        <f>IFERROR(表格1[[#This Row],[QTY]]*表格1[[#This Row],[Unit Price]],"-")</f>
        <v>450</v>
      </c>
      <c r="O1720" s="86">
        <v>367667</v>
      </c>
      <c r="R1720" s="86" t="str">
        <f>_xlfn.CONCAT(表格1[[#This Row],[Model]]," ",表格1[[#This Row],[inv no]])</f>
        <v>RC-5MMIH(WT) 367667</v>
      </c>
      <c r="S1720" s="86">
        <f>_xlfn.XLOOKUP(表格1[[#This Row],[Model]],表格3[Model-Input-Ref2],表格3[SRP PRICE])</f>
        <v>618</v>
      </c>
      <c r="T1720" s="43">
        <f>表格1[[#This Row],[Unit Price]]/表格1[[#This Row],[SRP]]</f>
        <v>0.72815533980582525</v>
      </c>
      <c r="U1720" s="86" t="str">
        <f>_xlfn.XLOOKUP(表格1[[#This Row],[Model]],表格3[Model-Input-Ref2],表格3[TOSHIBA/HIGHEST])</f>
        <v>Toshiba SRP</v>
      </c>
      <c r="W1720" s="86" t="str">
        <f>_xlfn.CONCAT(表格1[[#This Row],[欄4]],表格1[[#This Row],[inv no]])</f>
        <v>367667</v>
      </c>
    </row>
    <row r="1721" spans="1:23" hidden="1">
      <c r="A1721" s="81">
        <v>1719</v>
      </c>
      <c r="B1721" s="81" t="s">
        <v>1260</v>
      </c>
      <c r="C1721" s="81" t="s">
        <v>2080</v>
      </c>
      <c r="D1721" s="82" t="str">
        <f ca="1">OFFSET(Roster!$A$3,MATCH(表格1[[#This Row],[Location]]&amp;" "&amp;表格1[[#This Row],[Shop]]&amp;"*",Roster!$A$4:$A$72,0),DAY(表格1[[#This Row],[date]]),1,1)</f>
        <v>Shan_2</v>
      </c>
      <c r="E1721" s="81">
        <f>MONTH(表格1[[#This Row],[date]])</f>
        <v>3</v>
      </c>
      <c r="F1721" s="90">
        <v>46108</v>
      </c>
      <c r="G1721" s="81" t="str">
        <f>VLOOKUP("*"&amp;表格1[[#This Row],[Input]]&amp;"*",'Ref-List'!$B:$D,2,)</f>
        <v>RC-10JRUH(N)</v>
      </c>
      <c r="H1721" s="81" t="str">
        <f>_xlfn.XLOOKUP(表格1[[#This Row],[Model]],表格3[Model-Input-Ref2],表格3[Product Line])</f>
        <v>電飯煲</v>
      </c>
      <c r="I1721" s="81" t="str">
        <f>_xlfn.XLOOKUP(表格1[[#This Row],[Model]],表格3[Model-Input-Ref2],表格3[大小電])</f>
        <v>細電</v>
      </c>
      <c r="J1721" s="81" t="str">
        <f>_xlfn.XLOOKUP(表格1[[#This Row],[Model]],表格3[Model-Input-Ref2],表格3[Code])</f>
        <v>SDA</v>
      </c>
      <c r="K1721" s="89" t="s">
        <v>1263</v>
      </c>
      <c r="L1721" s="86">
        <v>1</v>
      </c>
      <c r="M1721" s="87">
        <v>250</v>
      </c>
      <c r="N1721" s="85">
        <f>IFERROR(表格1[[#This Row],[QTY]]*表格1[[#This Row],[Unit Price]],"-")</f>
        <v>250</v>
      </c>
      <c r="O1721" s="86">
        <v>367670</v>
      </c>
      <c r="R1721" s="86" t="str">
        <f>_xlfn.CONCAT(表格1[[#This Row],[Model]]," ",表格1[[#This Row],[inv no]])</f>
        <v>RC-10JRUH(N) 367670</v>
      </c>
      <c r="S1721" s="86">
        <f>_xlfn.XLOOKUP(表格1[[#This Row],[Model]],表格3[Model-Input-Ref2],表格3[SRP PRICE])</f>
        <v>398</v>
      </c>
      <c r="T1721" s="43">
        <f>表格1[[#This Row],[Unit Price]]/表格1[[#This Row],[SRP]]</f>
        <v>0.62814070351758799</v>
      </c>
      <c r="U1721" s="86" t="str">
        <f>_xlfn.XLOOKUP(表格1[[#This Row],[Model]],表格3[Model-Input-Ref2],表格3[TOSHIBA/HIGHEST])</f>
        <v>Shops Highest Price</v>
      </c>
      <c r="W1721" s="86" t="str">
        <f>_xlfn.CONCAT(表格1[[#This Row],[欄4]],表格1[[#This Row],[inv no]])</f>
        <v>367670</v>
      </c>
    </row>
    <row r="1722" spans="1:23" hidden="1">
      <c r="A1722" s="81">
        <v>1720</v>
      </c>
      <c r="B1722" s="81" t="s">
        <v>1260</v>
      </c>
      <c r="C1722" s="81" t="s">
        <v>2080</v>
      </c>
      <c r="D1722" s="82" t="str">
        <f ca="1">OFFSET(Roster!$A$3,MATCH(表格1[[#This Row],[Location]]&amp;" "&amp;表格1[[#This Row],[Shop]]&amp;"*",Roster!$A$4:$A$72,0),DAY(表格1[[#This Row],[date]]),1,1)</f>
        <v>Shan_2</v>
      </c>
      <c r="E1722" s="81">
        <f>MONTH(表格1[[#This Row],[date]])</f>
        <v>3</v>
      </c>
      <c r="F1722" s="90">
        <v>46108</v>
      </c>
      <c r="G1722" s="81" t="str">
        <f>VLOOKUP("*"&amp;表格1[[#This Row],[Input]]&amp;"*",'Ref-List'!$B:$D,2,)</f>
        <v>RC-5MMIH(WT)</v>
      </c>
      <c r="H1722" s="81" t="str">
        <f>_xlfn.XLOOKUP(表格1[[#This Row],[Model]],表格3[Model-Input-Ref2],表格3[Product Line])</f>
        <v>4毫米厚釜電飯煲0.54L</v>
      </c>
      <c r="I1722" s="81" t="str">
        <f>_xlfn.XLOOKUP(表格1[[#This Row],[Model]],表格3[Model-Input-Ref2],表格3[大小電])</f>
        <v>細電</v>
      </c>
      <c r="J1722" s="81" t="str">
        <f>_xlfn.XLOOKUP(表格1[[#This Row],[Model]],表格3[Model-Input-Ref2],表格3[Code])</f>
        <v>SDA</v>
      </c>
      <c r="K1722" s="89" t="s">
        <v>1195</v>
      </c>
      <c r="L1722" s="86">
        <v>1</v>
      </c>
      <c r="M1722" s="87">
        <v>450</v>
      </c>
      <c r="N1722" s="85">
        <f>IFERROR(表格1[[#This Row],[QTY]]*表格1[[#This Row],[Unit Price]],"-")</f>
        <v>450</v>
      </c>
      <c r="O1722" s="86">
        <v>367690</v>
      </c>
      <c r="R1722" s="86" t="str">
        <f>_xlfn.CONCAT(表格1[[#This Row],[Model]]," ",表格1[[#This Row],[inv no]])</f>
        <v>RC-5MMIH(WT) 367690</v>
      </c>
      <c r="S1722" s="86">
        <f>_xlfn.XLOOKUP(表格1[[#This Row],[Model]],表格3[Model-Input-Ref2],表格3[SRP PRICE])</f>
        <v>618</v>
      </c>
      <c r="T1722" s="43">
        <f>表格1[[#This Row],[Unit Price]]/表格1[[#This Row],[SRP]]</f>
        <v>0.72815533980582525</v>
      </c>
      <c r="U1722" s="86" t="str">
        <f>_xlfn.XLOOKUP(表格1[[#This Row],[Model]],表格3[Model-Input-Ref2],表格3[TOSHIBA/HIGHEST])</f>
        <v>Toshiba SRP</v>
      </c>
      <c r="W1722" s="86" t="str">
        <f>_xlfn.CONCAT(表格1[[#This Row],[欄4]],表格1[[#This Row],[inv no]])</f>
        <v>367690</v>
      </c>
    </row>
    <row r="1723" spans="1:23" hidden="1">
      <c r="A1723" s="81">
        <v>1721</v>
      </c>
      <c r="B1723" s="81" t="s">
        <v>1260</v>
      </c>
      <c r="C1723" s="81" t="s">
        <v>2080</v>
      </c>
      <c r="D1723" s="82" t="str">
        <f ca="1">OFFSET(Roster!$A$3,MATCH(表格1[[#This Row],[Location]]&amp;" "&amp;表格1[[#This Row],[Shop]]&amp;"*",Roster!$A$4:$A$72,0),DAY(表格1[[#This Row],[date]]),1,1)</f>
        <v>Shan_2</v>
      </c>
      <c r="E1723" s="81">
        <f>MONTH(表格1[[#This Row],[date]])</f>
        <v>3</v>
      </c>
      <c r="F1723" s="90">
        <v>46108</v>
      </c>
      <c r="G1723" s="81" t="str">
        <f>VLOOKUP("*"&amp;表格1[[#This Row],[Input]]&amp;"*",'Ref-List'!$B:$D,2,)</f>
        <v>RC-10AMXH(W)</v>
      </c>
      <c r="H1723" s="81" t="str">
        <f>_xlfn.XLOOKUP(表格1[[#This Row],[Model]],表格3[Model-Input-Ref2],表格3[Product Line])</f>
        <v>酵活炊電飯煲(1.0公升)</v>
      </c>
      <c r="I1723" s="81" t="str">
        <f>_xlfn.XLOOKUP(表格1[[#This Row],[Model]],表格3[Model-Input-Ref2],表格3[大小電])</f>
        <v>細電</v>
      </c>
      <c r="J1723" s="81" t="str">
        <f>_xlfn.XLOOKUP(表格1[[#This Row],[Model]],表格3[Model-Input-Ref2],表格3[Code])</f>
        <v>SDA</v>
      </c>
      <c r="K1723" s="89" t="s">
        <v>1279</v>
      </c>
      <c r="L1723" s="86">
        <v>1</v>
      </c>
      <c r="M1723" s="87">
        <v>990</v>
      </c>
      <c r="N1723" s="85">
        <f>IFERROR(表格1[[#This Row],[QTY]]*表格1[[#This Row],[Unit Price]],"-")</f>
        <v>990</v>
      </c>
      <c r="O1723" s="86">
        <v>367702</v>
      </c>
      <c r="R1723" s="86" t="str">
        <f>_xlfn.CONCAT(表格1[[#This Row],[Model]]," ",表格1[[#This Row],[inv no]])</f>
        <v>RC-10AMXH(W) 367702</v>
      </c>
      <c r="S1723" s="86">
        <f>_xlfn.XLOOKUP(表格1[[#This Row],[Model]],表格3[Model-Input-Ref2],表格3[SRP PRICE])</f>
        <v>1288</v>
      </c>
      <c r="T1723" s="43">
        <f>表格1[[#This Row],[Unit Price]]/表格1[[#This Row],[SRP]]</f>
        <v>0.76863354037267084</v>
      </c>
      <c r="U1723" s="86" t="str">
        <f>_xlfn.XLOOKUP(表格1[[#This Row],[Model]],表格3[Model-Input-Ref2],表格3[TOSHIBA/HIGHEST])</f>
        <v>Toshiba SRP</v>
      </c>
      <c r="W1723" s="86" t="str">
        <f>_xlfn.CONCAT(表格1[[#This Row],[欄4]],表格1[[#This Row],[inv no]])</f>
        <v>367702</v>
      </c>
    </row>
    <row r="1724" spans="1:23" hidden="1">
      <c r="A1724" s="81">
        <v>1722</v>
      </c>
      <c r="B1724" s="81" t="s">
        <v>1260</v>
      </c>
      <c r="C1724" s="81" t="s">
        <v>2080</v>
      </c>
      <c r="D1724" s="82" t="str">
        <f ca="1">OFFSET(Roster!$A$3,MATCH(表格1[[#This Row],[Location]]&amp;" "&amp;表格1[[#This Row],[Shop]]&amp;"*",Roster!$A$4:$A$72,0),DAY(表格1[[#This Row],[date]]),1,1)</f>
        <v>Shan_2</v>
      </c>
      <c r="E1724" s="81">
        <f>MONTH(表格1[[#This Row],[date]])</f>
        <v>3</v>
      </c>
      <c r="F1724" s="90">
        <v>46108</v>
      </c>
      <c r="G1724" s="81" t="str">
        <f>VLOOKUP("*"&amp;表格1[[#This Row],[Input]]&amp;"*",'Ref-List'!$B:$D,2,)</f>
        <v>MWP-MM20P(WH)</v>
      </c>
      <c r="H1724" s="81" t="str">
        <f>_xlfn.XLOOKUP(表格1[[#This Row],[Model]],表格3[Model-Input-Ref2],表格3[Product Line])</f>
        <v>旋鈕式燒烤微波爐20L</v>
      </c>
      <c r="I1724" s="81" t="str">
        <f>_xlfn.XLOOKUP(表格1[[#This Row],[Model]],表格3[Model-Input-Ref2],表格3[大小電])</f>
        <v>細電</v>
      </c>
      <c r="J1724" s="81" t="str">
        <f>_xlfn.XLOOKUP(表格1[[#This Row],[Model]],表格3[Model-Input-Ref2],表格3[Code])</f>
        <v>SDA</v>
      </c>
      <c r="K1724" s="89" t="s">
        <v>1270</v>
      </c>
      <c r="L1724" s="86">
        <v>1</v>
      </c>
      <c r="M1724" s="87">
        <v>488</v>
      </c>
      <c r="N1724" s="85">
        <f>IFERROR(表格1[[#This Row],[QTY]]*表格1[[#This Row],[Unit Price]],"-")</f>
        <v>488</v>
      </c>
      <c r="O1724" s="142">
        <v>367709</v>
      </c>
      <c r="R1724" s="86" t="str">
        <f>_xlfn.CONCAT(表格1[[#This Row],[Model]]," ",表格1[[#This Row],[inv no]])</f>
        <v>MWP-MM20P(WH) 367709</v>
      </c>
      <c r="S1724" s="86">
        <f>_xlfn.XLOOKUP(表格1[[#This Row],[Model]],表格3[Model-Input-Ref2],表格3[SRP PRICE])</f>
        <v>648</v>
      </c>
      <c r="T1724" s="43">
        <f>表格1[[#This Row],[Unit Price]]/表格1[[#This Row],[SRP]]</f>
        <v>0.75308641975308643</v>
      </c>
      <c r="U1724" s="86" t="str">
        <f>_xlfn.XLOOKUP(表格1[[#This Row],[Model]],表格3[Model-Input-Ref2],表格3[TOSHIBA/HIGHEST])</f>
        <v>Toshiba SRP</v>
      </c>
      <c r="W1724" s="86" t="str">
        <f>_xlfn.CONCAT(表格1[[#This Row],[欄4]],表格1[[#This Row],[inv no]])</f>
        <v>367709</v>
      </c>
    </row>
    <row r="1725" spans="1:23" hidden="1">
      <c r="A1725" s="81">
        <v>1723</v>
      </c>
      <c r="B1725" s="81" t="s">
        <v>1260</v>
      </c>
      <c r="C1725" s="81" t="s">
        <v>2080</v>
      </c>
      <c r="D1725" s="82" t="str">
        <f ca="1">OFFSET(Roster!$A$3,MATCH(表格1[[#This Row],[Location]]&amp;" "&amp;表格1[[#This Row],[Shop]]&amp;"*",Roster!$A$4:$A$72,0),DAY(表格1[[#This Row],[date]]),1,1)</f>
        <v>Shan_2</v>
      </c>
      <c r="E1725" s="81">
        <f>MONTH(表格1[[#This Row],[date]])</f>
        <v>3</v>
      </c>
      <c r="F1725" s="90">
        <v>46108</v>
      </c>
      <c r="G1725" s="81" t="str">
        <f>VLOOKUP("*"&amp;表格1[[#This Row],[Input]]&amp;"*",'Ref-List'!$B:$D,2,)</f>
        <v>CWF-09CRFN8-AD5</v>
      </c>
      <c r="H1725" s="81" t="str">
        <f>_xlfn.XLOOKUP(表格1[[#This Row],[Model]],表格3[Model-Input-Ref2],表格3[Product Line])</f>
        <v>Comfee 1匹變頻窗口式冷氣機</v>
      </c>
      <c r="I1725" s="81" t="str">
        <f>_xlfn.XLOOKUP(表格1[[#This Row],[Model]],表格3[Model-Input-Ref2],表格3[大小電])</f>
        <v>大電</v>
      </c>
      <c r="J1725" s="81" t="str">
        <f>_xlfn.XLOOKUP(表格1[[#This Row],[Model]],表格3[Model-Input-Ref2],表格3[Code])</f>
        <v>RAC</v>
      </c>
      <c r="K1725" s="89" t="s">
        <v>1248</v>
      </c>
      <c r="L1725" s="86">
        <v>1</v>
      </c>
      <c r="M1725" s="87">
        <v>3890</v>
      </c>
      <c r="N1725" s="85">
        <f>IFERROR(表格1[[#This Row],[QTY]]*表格1[[#This Row],[Unit Price]],"-")</f>
        <v>3890</v>
      </c>
      <c r="O1725" s="86">
        <v>156452</v>
      </c>
      <c r="R1725" s="86" t="str">
        <f>_xlfn.CONCAT(表格1[[#This Row],[Model]]," ",表格1[[#This Row],[inv no]])</f>
        <v>CWF-09CRFN8-AD5 156452</v>
      </c>
      <c r="S1725" s="86">
        <f>_xlfn.XLOOKUP(表格1[[#This Row],[Model]],表格3[Model-Input-Ref2],表格3[SRP PRICE])</f>
        <v>4600</v>
      </c>
      <c r="T1725" s="43">
        <f>表格1[[#This Row],[Unit Price]]/表格1[[#This Row],[SRP]]</f>
        <v>0.84565217391304348</v>
      </c>
      <c r="U1725" s="86" t="str">
        <f>_xlfn.XLOOKUP(表格1[[#This Row],[Model]],表格3[Model-Input-Ref2],表格3[TOSHIBA/HIGHEST])</f>
        <v>Shops Highest Price</v>
      </c>
      <c r="W1725" s="86" t="str">
        <f>_xlfn.CONCAT(表格1[[#This Row],[欄4]],表格1[[#This Row],[inv no]])</f>
        <v>156452</v>
      </c>
    </row>
    <row r="1726" spans="1:23" hidden="1">
      <c r="A1726" s="81">
        <v>1724</v>
      </c>
      <c r="B1726" s="81" t="s">
        <v>1260</v>
      </c>
      <c r="C1726" s="81" t="s">
        <v>2080</v>
      </c>
      <c r="D1726" s="82" t="str">
        <f ca="1">OFFSET(Roster!$A$3,MATCH(表格1[[#This Row],[Location]]&amp;" "&amp;表格1[[#This Row],[Shop]]&amp;"*",Roster!$A$4:$A$72,0),DAY(表格1[[#This Row],[date]]),1,1)</f>
        <v>Shan_2</v>
      </c>
      <c r="E1726" s="81">
        <f>MONTH(表格1[[#This Row],[date]])</f>
        <v>3</v>
      </c>
      <c r="F1726" s="90">
        <v>46108</v>
      </c>
      <c r="G1726" s="81" t="str">
        <f>VLOOKUP("*"&amp;表格1[[#This Row],[Input]]&amp;"*",'Ref-List'!$B:$D,2,)</f>
        <v>RAD-D300H</v>
      </c>
      <c r="H1726" s="81" t="str">
        <f>_xlfn.XLOOKUP(表格1[[#This Row],[Model]],表格3[Model-Input-Ref2],表格3[Product Line])</f>
        <v>壓縮式抽濕機 (30公升)</v>
      </c>
      <c r="I1726" s="81" t="str">
        <f>_xlfn.XLOOKUP(表格1[[#This Row],[Model]],表格3[Model-Input-Ref2],表格3[大小電])</f>
        <v>細電</v>
      </c>
      <c r="J1726" s="81" t="str">
        <f>_xlfn.XLOOKUP(表格1[[#This Row],[Model]],表格3[Model-Input-Ref2],表格3[Code])</f>
        <v>RAC</v>
      </c>
      <c r="K1726" s="89" t="s">
        <v>1252</v>
      </c>
      <c r="L1726" s="86">
        <v>1</v>
      </c>
      <c r="M1726" s="87">
        <v>2280</v>
      </c>
      <c r="N1726" s="85">
        <f>IFERROR(表格1[[#This Row],[QTY]]*表格1[[#This Row],[Unit Price]],"-")</f>
        <v>2280</v>
      </c>
      <c r="O1726" s="86">
        <v>156456</v>
      </c>
      <c r="R1726" s="86" t="str">
        <f>_xlfn.CONCAT(表格1[[#This Row],[Model]]," ",表格1[[#This Row],[inv no]])</f>
        <v>RAD-D300H 156456</v>
      </c>
      <c r="S1726" s="86">
        <f>_xlfn.XLOOKUP(表格1[[#This Row],[Model]],表格3[Model-Input-Ref2],表格3[SRP PRICE])</f>
        <v>3380</v>
      </c>
      <c r="T1726" s="43">
        <f>表格1[[#This Row],[Unit Price]]/表格1[[#This Row],[SRP]]</f>
        <v>0.67455621301775148</v>
      </c>
      <c r="U1726" s="86" t="str">
        <f>_xlfn.XLOOKUP(表格1[[#This Row],[Model]],表格3[Model-Input-Ref2],表格3[TOSHIBA/HIGHEST])</f>
        <v>Shops Highest Price</v>
      </c>
      <c r="W1726" s="86" t="str">
        <f>_xlfn.CONCAT(表格1[[#This Row],[欄4]],表格1[[#This Row],[inv no]])</f>
        <v>156456</v>
      </c>
    </row>
    <row r="1727" spans="1:23" hidden="1">
      <c r="A1727" s="81">
        <v>1725</v>
      </c>
      <c r="B1727" s="81" t="s">
        <v>1260</v>
      </c>
      <c r="C1727" s="81" t="s">
        <v>2080</v>
      </c>
      <c r="D1727" s="82" t="str">
        <f ca="1">OFFSET(Roster!$A$3,MATCH(表格1[[#This Row],[Location]]&amp;" "&amp;表格1[[#This Row],[Shop]]&amp;"*",Roster!$A$4:$A$72,0),DAY(表格1[[#This Row],[date]]),1,1)</f>
        <v>Shan_2</v>
      </c>
      <c r="E1727" s="81">
        <f>MONTH(表格1[[#This Row],[date]])</f>
        <v>3</v>
      </c>
      <c r="F1727" s="90">
        <v>46108</v>
      </c>
      <c r="G1727" s="81" t="str">
        <f>VLOOKUP("*"&amp;表格1[[#This Row],[Input]]&amp;"*",'Ref-List'!$B:$D,2,)</f>
        <v>RC-5SLIH(W)</v>
      </c>
      <c r="H1727" s="81" t="str">
        <f>_xlfn.XLOOKUP(表格1[[#This Row],[Model]],表格3[Model-Input-Ref2],表格3[Product Line])</f>
        <v>微型電腦珍珠飯煲</v>
      </c>
      <c r="I1727" s="81" t="str">
        <f>_xlfn.XLOOKUP(表格1[[#This Row],[Model]],表格3[Model-Input-Ref2],表格3[大小電])</f>
        <v>細電</v>
      </c>
      <c r="J1727" s="81" t="str">
        <f>_xlfn.XLOOKUP(表格1[[#This Row],[Model]],表格3[Model-Input-Ref2],表格3[Code])</f>
        <v>SDA</v>
      </c>
      <c r="K1727" s="89" t="s">
        <v>1264</v>
      </c>
      <c r="L1727" s="86">
        <v>1</v>
      </c>
      <c r="M1727" s="87">
        <v>550</v>
      </c>
      <c r="N1727" s="85">
        <f>IFERROR(表格1[[#This Row],[QTY]]*表格1[[#This Row],[Unit Price]],"-")</f>
        <v>550</v>
      </c>
      <c r="O1727" s="86">
        <v>367716</v>
      </c>
      <c r="R1727" s="86" t="str">
        <f>_xlfn.CONCAT(表格1[[#This Row],[Model]]," ",表格1[[#This Row],[inv no]])</f>
        <v>RC-5SLIH(W) 367716</v>
      </c>
      <c r="S1727" s="86">
        <f>_xlfn.XLOOKUP(表格1[[#This Row],[Model]],表格3[Model-Input-Ref2],表格3[SRP PRICE])</f>
        <v>658</v>
      </c>
      <c r="T1727" s="43">
        <f>表格1[[#This Row],[Unit Price]]/表格1[[#This Row],[SRP]]</f>
        <v>0.83586626139817632</v>
      </c>
      <c r="U1727" s="86" t="str">
        <f>_xlfn.XLOOKUP(表格1[[#This Row],[Model]],表格3[Model-Input-Ref2],表格3[TOSHIBA/HIGHEST])</f>
        <v>Toshiba SRP</v>
      </c>
      <c r="W1727" s="86" t="str">
        <f>_xlfn.CONCAT(表格1[[#This Row],[欄4]],表格1[[#This Row],[inv no]])</f>
        <v>367716</v>
      </c>
    </row>
    <row r="1728" spans="1:23" hidden="1">
      <c r="A1728" s="81">
        <v>1726</v>
      </c>
      <c r="B1728" s="81" t="s">
        <v>1260</v>
      </c>
      <c r="C1728" s="81" t="s">
        <v>2080</v>
      </c>
      <c r="D1728" s="82" t="str">
        <f ca="1">OFFSET(Roster!$A$3,MATCH(表格1[[#This Row],[Location]]&amp;" "&amp;表格1[[#This Row],[Shop]]&amp;"*",Roster!$A$4:$A$72,0),DAY(表格1[[#This Row],[date]]),1,1)</f>
        <v>Shan_2</v>
      </c>
      <c r="E1728" s="81">
        <f>MONTH(表格1[[#This Row],[date]])</f>
        <v>3</v>
      </c>
      <c r="F1728" s="90">
        <v>46108</v>
      </c>
      <c r="G1728" s="81" t="str">
        <f>VLOOKUP("*"&amp;表格1[[#This Row],[Input]]&amp;"*",'Ref-List'!$B:$D,2,)</f>
        <v>RC-10DRNH</v>
      </c>
      <c r="H1728" s="81" t="str">
        <f>_xlfn.XLOOKUP(表格1[[#This Row],[Model]],表格3[Model-Input-Ref2],表格3[Product Line])</f>
        <v>多功能備長炭本厚釜電飯煲1L</v>
      </c>
      <c r="I1728" s="81" t="str">
        <f>_xlfn.XLOOKUP(表格1[[#This Row],[Model]],表格3[Model-Input-Ref2],表格3[大小電])</f>
        <v>細電</v>
      </c>
      <c r="J1728" s="81" t="str">
        <f>_xlfn.XLOOKUP(表格1[[#This Row],[Model]],表格3[Model-Input-Ref2],表格3[Code])</f>
        <v>SDA</v>
      </c>
      <c r="K1728" s="89" t="s">
        <v>1376</v>
      </c>
      <c r="L1728" s="86">
        <v>1</v>
      </c>
      <c r="M1728" s="87">
        <v>499</v>
      </c>
      <c r="N1728" s="85">
        <f>IFERROR(表格1[[#This Row],[QTY]]*表格1[[#This Row],[Unit Price]],"-")</f>
        <v>499</v>
      </c>
      <c r="O1728" s="86">
        <v>367714</v>
      </c>
      <c r="R1728" s="86" t="str">
        <f>_xlfn.CONCAT(表格1[[#This Row],[Model]]," ",表格1[[#This Row],[inv no]])</f>
        <v>RC-10DRNH 367714</v>
      </c>
      <c r="S1728" s="86">
        <f>_xlfn.XLOOKUP(表格1[[#This Row],[Model]],表格3[Model-Input-Ref2],表格3[SRP PRICE])</f>
        <v>798</v>
      </c>
      <c r="T1728" s="43">
        <f>表格1[[#This Row],[Unit Price]]/表格1[[#This Row],[SRP]]</f>
        <v>0.62531328320802004</v>
      </c>
      <c r="U1728" s="86" t="str">
        <f>_xlfn.XLOOKUP(表格1[[#This Row],[Model]],表格3[Model-Input-Ref2],表格3[TOSHIBA/HIGHEST])</f>
        <v>Toshiba SRP</v>
      </c>
      <c r="W1728" s="86" t="str">
        <f>_xlfn.CONCAT(表格1[[#This Row],[欄4]],表格1[[#This Row],[inv no]])</f>
        <v>367714</v>
      </c>
    </row>
    <row r="1729" spans="1:23" hidden="1">
      <c r="A1729" s="81">
        <v>1727</v>
      </c>
      <c r="B1729" s="81" t="s">
        <v>1260</v>
      </c>
      <c r="C1729" s="81" t="s">
        <v>2080</v>
      </c>
      <c r="D1729" s="82" t="str">
        <f ca="1">OFFSET(Roster!$A$3,MATCH(表格1[[#This Row],[Location]]&amp;" "&amp;表格1[[#This Row],[Shop]]&amp;"*",Roster!$A$4:$A$72,0),DAY(表格1[[#This Row],[date]]),1,1)</f>
        <v>Shan_2</v>
      </c>
      <c r="E1729" s="81">
        <f>MONTH(表格1[[#This Row],[date]])</f>
        <v>3</v>
      </c>
      <c r="F1729" s="90">
        <v>46108</v>
      </c>
      <c r="G1729" s="81" t="str">
        <f>VLOOKUP("*"&amp;表格1[[#This Row],[Input]]&amp;"*",'Ref-List'!$B:$D,2,)</f>
        <v>KT-14DHUHK(W)</v>
      </c>
      <c r="H1729" s="81" t="str">
        <f>_xlfn.XLOOKUP(表格1[[#This Row],[Model]],表格3[Model-Input-Ref2],表格3[Product Line])</f>
        <v>無線雙層電熱水壺(1.4公升)</v>
      </c>
      <c r="I1729" s="81" t="str">
        <f>_xlfn.XLOOKUP(表格1[[#This Row],[Model]],表格3[Model-Input-Ref2],表格3[大小電])</f>
        <v>細電</v>
      </c>
      <c r="J1729" s="81" t="str">
        <f>_xlfn.XLOOKUP(表格1[[#This Row],[Model]],表格3[Model-Input-Ref2],表格3[Code])</f>
        <v>SDA</v>
      </c>
      <c r="K1729" s="89" t="s">
        <v>1763</v>
      </c>
      <c r="L1729" s="86">
        <v>1</v>
      </c>
      <c r="M1729" s="87">
        <v>298</v>
      </c>
      <c r="N1729" s="85">
        <f>IFERROR(表格1[[#This Row],[QTY]]*表格1[[#This Row],[Unit Price]],"-")</f>
        <v>298</v>
      </c>
      <c r="O1729" s="86">
        <v>367732</v>
      </c>
      <c r="R1729" s="86" t="str">
        <f>_xlfn.CONCAT(表格1[[#This Row],[Model]]," ",表格1[[#This Row],[inv no]])</f>
        <v>KT-14DHUHK(W) 367732</v>
      </c>
      <c r="S1729" s="86">
        <f>_xlfn.XLOOKUP(表格1[[#This Row],[Model]],表格3[Model-Input-Ref2],表格3[SRP PRICE])</f>
        <v>458</v>
      </c>
      <c r="T1729" s="43">
        <f>表格1[[#This Row],[Unit Price]]/表格1[[#This Row],[SRP]]</f>
        <v>0.6506550218340611</v>
      </c>
      <c r="U1729" s="86" t="str">
        <f>_xlfn.XLOOKUP(表格1[[#This Row],[Model]],表格3[Model-Input-Ref2],表格3[TOSHIBA/HIGHEST])</f>
        <v>Toshiba SRP</v>
      </c>
      <c r="W1729" s="86" t="str">
        <f>_xlfn.CONCAT(表格1[[#This Row],[欄4]],表格1[[#This Row],[inv no]])</f>
        <v>367732</v>
      </c>
    </row>
    <row r="1730" spans="1:23" hidden="1">
      <c r="A1730" s="81">
        <v>1728</v>
      </c>
      <c r="B1730" s="81" t="s">
        <v>1260</v>
      </c>
      <c r="C1730" s="81" t="s">
        <v>2080</v>
      </c>
      <c r="D1730" s="82" t="str">
        <f ca="1">OFFSET(Roster!$A$3,MATCH(表格1[[#This Row],[Location]]&amp;" "&amp;表格1[[#This Row],[Shop]]&amp;"*",Roster!$A$4:$A$72,0),DAY(表格1[[#This Row],[date]]),1,1)</f>
        <v>Shan_2</v>
      </c>
      <c r="E1730" s="81">
        <f>MONTH(表格1[[#This Row],[date]])</f>
        <v>3</v>
      </c>
      <c r="F1730" s="90">
        <v>46108</v>
      </c>
      <c r="G1730" s="81" t="str">
        <f>VLOOKUP("*"&amp;表格1[[#This Row],[Input]]&amp;"*",'Ref-List'!$B:$D,2,)</f>
        <v>RC-10JRUH(N)</v>
      </c>
      <c r="H1730" s="81" t="str">
        <f>_xlfn.XLOOKUP(表格1[[#This Row],[Model]],表格3[Model-Input-Ref2],表格3[Product Line])</f>
        <v>電飯煲</v>
      </c>
      <c r="I1730" s="81" t="str">
        <f>_xlfn.XLOOKUP(表格1[[#This Row],[Model]],表格3[Model-Input-Ref2],表格3[大小電])</f>
        <v>細電</v>
      </c>
      <c r="J1730" s="81" t="str">
        <f>_xlfn.XLOOKUP(表格1[[#This Row],[Model]],表格3[Model-Input-Ref2],表格3[Code])</f>
        <v>SDA</v>
      </c>
      <c r="K1730" s="89" t="s">
        <v>1263</v>
      </c>
      <c r="L1730" s="86">
        <v>1</v>
      </c>
      <c r="M1730" s="87">
        <v>250</v>
      </c>
      <c r="N1730" s="85">
        <f>IFERROR(表格1[[#This Row],[QTY]]*表格1[[#This Row],[Unit Price]],"-")</f>
        <v>250</v>
      </c>
      <c r="O1730" s="86">
        <v>367729</v>
      </c>
      <c r="R1730" s="86" t="str">
        <f>_xlfn.CONCAT(表格1[[#This Row],[Model]]," ",表格1[[#This Row],[inv no]])</f>
        <v>RC-10JRUH(N) 367729</v>
      </c>
      <c r="S1730" s="86">
        <f>_xlfn.XLOOKUP(表格1[[#This Row],[Model]],表格3[Model-Input-Ref2],表格3[SRP PRICE])</f>
        <v>398</v>
      </c>
      <c r="T1730" s="43">
        <f>表格1[[#This Row],[Unit Price]]/表格1[[#This Row],[SRP]]</f>
        <v>0.62814070351758799</v>
      </c>
      <c r="U1730" s="86" t="str">
        <f>_xlfn.XLOOKUP(表格1[[#This Row],[Model]],表格3[Model-Input-Ref2],表格3[TOSHIBA/HIGHEST])</f>
        <v>Shops Highest Price</v>
      </c>
      <c r="W1730" s="86" t="str">
        <f>_xlfn.CONCAT(表格1[[#This Row],[欄4]],表格1[[#This Row],[inv no]])</f>
        <v>367729</v>
      </c>
    </row>
    <row r="1731" spans="1:23" hidden="1">
      <c r="A1731" s="81">
        <v>1729</v>
      </c>
      <c r="B1731" s="81" t="s">
        <v>1260</v>
      </c>
      <c r="C1731" s="81" t="s">
        <v>2080</v>
      </c>
      <c r="D1731" s="82" t="str">
        <f ca="1">OFFSET(Roster!$A$3,MATCH(表格1[[#This Row],[Location]]&amp;" "&amp;表格1[[#This Row],[Shop]]&amp;"*",Roster!$A$4:$A$72,0),DAY(表格1[[#This Row],[date]]),1,1)</f>
        <v>Shan_2</v>
      </c>
      <c r="E1731" s="81">
        <f>MONTH(表格1[[#This Row],[date]])</f>
        <v>3</v>
      </c>
      <c r="F1731" s="90">
        <v>46108</v>
      </c>
      <c r="G1731" s="81" t="str">
        <f>VLOOKUP("*"&amp;表格1[[#This Row],[Input]]&amp;"*",'Ref-List'!$B:$D,2,)</f>
        <v>RC-10JRUH(N)</v>
      </c>
      <c r="H1731" s="81" t="str">
        <f>_xlfn.XLOOKUP(表格1[[#This Row],[Model]],表格3[Model-Input-Ref2],表格3[Product Line])</f>
        <v>電飯煲</v>
      </c>
      <c r="I1731" s="81" t="str">
        <f>_xlfn.XLOOKUP(表格1[[#This Row],[Model]],表格3[Model-Input-Ref2],表格3[大小電])</f>
        <v>細電</v>
      </c>
      <c r="J1731" s="81" t="str">
        <f>_xlfn.XLOOKUP(表格1[[#This Row],[Model]],表格3[Model-Input-Ref2],表格3[Code])</f>
        <v>SDA</v>
      </c>
      <c r="K1731" s="89" t="s">
        <v>1263</v>
      </c>
      <c r="L1731" s="86">
        <v>1</v>
      </c>
      <c r="M1731" s="87">
        <v>250</v>
      </c>
      <c r="N1731" s="85">
        <f>IFERROR(表格1[[#This Row],[QTY]]*表格1[[#This Row],[Unit Price]],"-")</f>
        <v>250</v>
      </c>
      <c r="O1731" s="86">
        <v>367721</v>
      </c>
      <c r="R1731" s="86" t="str">
        <f>_xlfn.CONCAT(表格1[[#This Row],[Model]]," ",表格1[[#This Row],[inv no]])</f>
        <v>RC-10JRUH(N) 367721</v>
      </c>
      <c r="S1731" s="86">
        <f>_xlfn.XLOOKUP(表格1[[#This Row],[Model]],表格3[Model-Input-Ref2],表格3[SRP PRICE])</f>
        <v>398</v>
      </c>
      <c r="T1731" s="43">
        <f>表格1[[#This Row],[Unit Price]]/表格1[[#This Row],[SRP]]</f>
        <v>0.62814070351758799</v>
      </c>
      <c r="U1731" s="86" t="str">
        <f>_xlfn.XLOOKUP(表格1[[#This Row],[Model]],表格3[Model-Input-Ref2],表格3[TOSHIBA/HIGHEST])</f>
        <v>Shops Highest Price</v>
      </c>
      <c r="W1731" s="86" t="str">
        <f>_xlfn.CONCAT(表格1[[#This Row],[欄4]],表格1[[#This Row],[inv no]])</f>
        <v>367721</v>
      </c>
    </row>
    <row r="1732" spans="1:23" hidden="1">
      <c r="A1732" s="81">
        <v>1730</v>
      </c>
      <c r="B1732" s="81" t="s">
        <v>1260</v>
      </c>
      <c r="C1732" s="81" t="s">
        <v>2080</v>
      </c>
      <c r="D1732" s="82" t="str">
        <f ca="1">OFFSET(Roster!$A$3,MATCH(表格1[[#This Row],[Location]]&amp;" "&amp;表格1[[#This Row],[Shop]]&amp;"*",Roster!$A$4:$A$72,0),DAY(表格1[[#This Row],[date]]),1,1)</f>
        <v>Shan_2</v>
      </c>
      <c r="E1732" s="81">
        <f>MONTH(表格1[[#This Row],[date]])</f>
        <v>3</v>
      </c>
      <c r="F1732" s="90">
        <v>46108</v>
      </c>
      <c r="G1732" s="81" t="str">
        <f>VLOOKUP("*"&amp;表格1[[#This Row],[Input]]&amp;"*",'Ref-List'!$B:$D,2,)</f>
        <v>RC-18AMXH(W)</v>
      </c>
      <c r="H1732" s="81" t="str">
        <f>_xlfn.XLOOKUP(表格1[[#This Row],[Model]],表格3[Model-Input-Ref2],表格3[Product Line])</f>
        <v>酵活炊電飯煲(1.8公升)</v>
      </c>
      <c r="I1732" s="81" t="str">
        <f>_xlfn.XLOOKUP(表格1[[#This Row],[Model]],表格3[Model-Input-Ref2],表格3[大小電])</f>
        <v>細電</v>
      </c>
      <c r="J1732" s="81" t="str">
        <f>_xlfn.XLOOKUP(表格1[[#This Row],[Model]],表格3[Model-Input-Ref2],表格3[Code])</f>
        <v>SDA</v>
      </c>
      <c r="K1732" s="89" t="s">
        <v>1362</v>
      </c>
      <c r="L1732" s="86">
        <v>1</v>
      </c>
      <c r="M1732" s="87">
        <v>990</v>
      </c>
      <c r="N1732" s="85">
        <f>IFERROR(表格1[[#This Row],[QTY]]*表格1[[#This Row],[Unit Price]],"-")</f>
        <v>990</v>
      </c>
      <c r="O1732" s="86">
        <v>367783</v>
      </c>
      <c r="R1732" s="86" t="str">
        <f>_xlfn.CONCAT(表格1[[#This Row],[Model]]," ",表格1[[#This Row],[inv no]])</f>
        <v>RC-18AMXH(W) 367783</v>
      </c>
      <c r="S1732" s="86">
        <f>_xlfn.XLOOKUP(表格1[[#This Row],[Model]],表格3[Model-Input-Ref2],表格3[SRP PRICE])</f>
        <v>1588</v>
      </c>
      <c r="T1732" s="43">
        <f>表格1[[#This Row],[Unit Price]]/表格1[[#This Row],[SRP]]</f>
        <v>0.62342569269521408</v>
      </c>
      <c r="U1732" s="86" t="str">
        <f>_xlfn.XLOOKUP(表格1[[#This Row],[Model]],表格3[Model-Input-Ref2],表格3[TOSHIBA/HIGHEST])</f>
        <v>Toshiba SRP</v>
      </c>
      <c r="W1732" s="86" t="str">
        <f>_xlfn.CONCAT(表格1[[#This Row],[欄4]],表格1[[#This Row],[inv no]])</f>
        <v>367783</v>
      </c>
    </row>
    <row r="1733" spans="1:23" hidden="1">
      <c r="A1733" s="81">
        <v>1731</v>
      </c>
      <c r="B1733" s="81" t="s">
        <v>1260</v>
      </c>
      <c r="C1733" s="81" t="s">
        <v>2080</v>
      </c>
      <c r="D1733" s="82" t="str">
        <f ca="1">OFFSET(Roster!$A$3,MATCH(表格1[[#This Row],[Location]]&amp;" "&amp;表格1[[#This Row],[Shop]]&amp;"*",Roster!$A$4:$A$72,0),DAY(表格1[[#This Row],[date]]),1,1)</f>
        <v>Shan_2</v>
      </c>
      <c r="E1733" s="81">
        <f>MONTH(表格1[[#This Row],[date]])</f>
        <v>3</v>
      </c>
      <c r="F1733" s="90">
        <v>46108</v>
      </c>
      <c r="G1733" s="81" t="str">
        <f>VLOOKUP("*"&amp;表格1[[#This Row],[Input]]&amp;"*",'Ref-List'!$B:$D,2,)</f>
        <v>GR-RB360WE-PMA(06)</v>
      </c>
      <c r="H1733" s="81" t="str">
        <f>_xlfn.XLOOKUP(表格1[[#This Row],[Model]],表格3[Model-Input-Ref2],表格3[Product Line])</f>
        <v>變頻下置式雙門雪櫃系列270L</v>
      </c>
      <c r="I1733" s="81" t="str">
        <f>_xlfn.XLOOKUP(表格1[[#This Row],[Model]],表格3[Model-Input-Ref2],表格3[大小電])</f>
        <v>大電</v>
      </c>
      <c r="J1733" s="81" t="str">
        <f>_xlfn.XLOOKUP(表格1[[#This Row],[Model]],表格3[Model-Input-Ref2],表格3[Code])</f>
        <v>REF</v>
      </c>
      <c r="K1733" s="89" t="s">
        <v>1282</v>
      </c>
      <c r="L1733" s="86">
        <v>1</v>
      </c>
      <c r="M1733" s="87">
        <v>3680</v>
      </c>
      <c r="N1733" s="85">
        <f>IFERROR(表格1[[#This Row],[QTY]]*表格1[[#This Row],[Unit Price]],"-")</f>
        <v>3680</v>
      </c>
      <c r="O1733" s="86">
        <v>367782</v>
      </c>
      <c r="R1733" s="86" t="str">
        <f>_xlfn.CONCAT(表格1[[#This Row],[Model]]," ",表格1[[#This Row],[inv no]])</f>
        <v>GR-RB360WE-PMA(06) 367782</v>
      </c>
      <c r="S1733" s="86">
        <f>_xlfn.XLOOKUP(表格1[[#This Row],[Model]],表格3[Model-Input-Ref2],表格3[SRP PRICE])</f>
        <v>5080</v>
      </c>
      <c r="T1733" s="43">
        <f>表格1[[#This Row],[Unit Price]]/表格1[[#This Row],[SRP]]</f>
        <v>0.72440944881889768</v>
      </c>
      <c r="U1733" s="86" t="str">
        <f>_xlfn.XLOOKUP(表格1[[#This Row],[Model]],表格3[Model-Input-Ref2],表格3[TOSHIBA/HIGHEST])</f>
        <v>Toshiba SRP</v>
      </c>
      <c r="W1733" s="86" t="str">
        <f>_xlfn.CONCAT(表格1[[#This Row],[欄4]],表格1[[#This Row],[inv no]])</f>
        <v>367782</v>
      </c>
    </row>
    <row r="1734" spans="1:23" hidden="1">
      <c r="A1734" s="81">
        <v>1732</v>
      </c>
      <c r="B1734" s="81" t="s">
        <v>1260</v>
      </c>
      <c r="C1734" s="81" t="s">
        <v>2080</v>
      </c>
      <c r="D1734" s="82" t="str">
        <f ca="1">OFFSET(Roster!$A$3,MATCH(表格1[[#This Row],[Location]]&amp;" "&amp;表格1[[#This Row],[Shop]]&amp;"*",Roster!$A$4:$A$72,0),DAY(表格1[[#This Row],[date]]),1,1)</f>
        <v>Shan_2</v>
      </c>
      <c r="E1734" s="81">
        <f>MONTH(表格1[[#This Row],[date]])</f>
        <v>3</v>
      </c>
      <c r="F1734" s="90">
        <v>46108</v>
      </c>
      <c r="G1734" s="81" t="str">
        <f>VLOOKUP("*"&amp;表格1[[#This Row],[Input]]&amp;"*",'Ref-List'!$B:$D,2,)</f>
        <v>MWP-MM20P(WH)</v>
      </c>
      <c r="H1734" s="81" t="str">
        <f>_xlfn.XLOOKUP(表格1[[#This Row],[Model]],表格3[Model-Input-Ref2],表格3[Product Line])</f>
        <v>旋鈕式燒烤微波爐20L</v>
      </c>
      <c r="I1734" s="81" t="str">
        <f>_xlfn.XLOOKUP(表格1[[#This Row],[Model]],表格3[Model-Input-Ref2],表格3[大小電])</f>
        <v>細電</v>
      </c>
      <c r="J1734" s="81" t="str">
        <f>_xlfn.XLOOKUP(表格1[[#This Row],[Model]],表格3[Model-Input-Ref2],表格3[Code])</f>
        <v>SDA</v>
      </c>
      <c r="K1734" s="89" t="s">
        <v>1270</v>
      </c>
      <c r="L1734" s="86">
        <v>1</v>
      </c>
      <c r="M1734" s="87">
        <v>488</v>
      </c>
      <c r="N1734" s="85">
        <f>IFERROR(表格1[[#This Row],[QTY]]*表格1[[#This Row],[Unit Price]],"-")</f>
        <v>488</v>
      </c>
      <c r="O1734" s="86">
        <v>367812</v>
      </c>
      <c r="R1734" s="86" t="str">
        <f>_xlfn.CONCAT(表格1[[#This Row],[Model]]," ",表格1[[#This Row],[inv no]])</f>
        <v>MWP-MM20P(WH) 367812</v>
      </c>
      <c r="S1734" s="86">
        <f>_xlfn.XLOOKUP(表格1[[#This Row],[Model]],表格3[Model-Input-Ref2],表格3[SRP PRICE])</f>
        <v>648</v>
      </c>
      <c r="T1734" s="43">
        <f>表格1[[#This Row],[Unit Price]]/表格1[[#This Row],[SRP]]</f>
        <v>0.75308641975308643</v>
      </c>
      <c r="U1734" s="86" t="str">
        <f>_xlfn.XLOOKUP(表格1[[#This Row],[Model]],表格3[Model-Input-Ref2],表格3[TOSHIBA/HIGHEST])</f>
        <v>Toshiba SRP</v>
      </c>
      <c r="W1734" s="86" t="str">
        <f>_xlfn.CONCAT(表格1[[#This Row],[欄4]],表格1[[#This Row],[inv no]])</f>
        <v>367812</v>
      </c>
    </row>
    <row r="1735" spans="1:23" hidden="1">
      <c r="A1735" s="81">
        <v>1733</v>
      </c>
      <c r="B1735" s="81" t="s">
        <v>1260</v>
      </c>
      <c r="C1735" s="81" t="s">
        <v>2080</v>
      </c>
      <c r="D1735" s="82" t="str">
        <f ca="1">OFFSET(Roster!$A$3,MATCH(表格1[[#This Row],[Location]]&amp;" "&amp;表格1[[#This Row],[Shop]]&amp;"*",Roster!$A$4:$A$72,0),DAY(表格1[[#This Row],[date]]),1,1)</f>
        <v>Shan_2</v>
      </c>
      <c r="E1735" s="81">
        <f>MONTH(表格1[[#This Row],[date]])</f>
        <v>3</v>
      </c>
      <c r="F1735" s="90">
        <v>46108</v>
      </c>
      <c r="G1735" s="81" t="str">
        <f>VLOOKUP("*"&amp;表格1[[#This Row],[Input]]&amp;"*",'Ref-List'!$B:$D,2,)</f>
        <v>RC-10JRUH(N)</v>
      </c>
      <c r="H1735" s="81" t="str">
        <f>_xlfn.XLOOKUP(表格1[[#This Row],[Model]],表格3[Model-Input-Ref2],表格3[Product Line])</f>
        <v>電飯煲</v>
      </c>
      <c r="I1735" s="81" t="str">
        <f>_xlfn.XLOOKUP(表格1[[#This Row],[Model]],表格3[Model-Input-Ref2],表格3[大小電])</f>
        <v>細電</v>
      </c>
      <c r="J1735" s="81" t="str">
        <f>_xlfn.XLOOKUP(表格1[[#This Row],[Model]],表格3[Model-Input-Ref2],表格3[Code])</f>
        <v>SDA</v>
      </c>
      <c r="K1735" s="89" t="s">
        <v>1263</v>
      </c>
      <c r="L1735" s="86">
        <v>1</v>
      </c>
      <c r="M1735" s="87">
        <v>250</v>
      </c>
      <c r="N1735" s="85">
        <f>IFERROR(表格1[[#This Row],[QTY]]*表格1[[#This Row],[Unit Price]],"-")</f>
        <v>250</v>
      </c>
      <c r="O1735" s="86">
        <v>367828</v>
      </c>
      <c r="R1735" s="86" t="str">
        <f>_xlfn.CONCAT(表格1[[#This Row],[Model]]," ",表格1[[#This Row],[inv no]])</f>
        <v>RC-10JRUH(N) 367828</v>
      </c>
      <c r="S1735" s="86">
        <f>_xlfn.XLOOKUP(表格1[[#This Row],[Model]],表格3[Model-Input-Ref2],表格3[SRP PRICE])</f>
        <v>398</v>
      </c>
      <c r="T1735" s="43">
        <f>表格1[[#This Row],[Unit Price]]/表格1[[#This Row],[SRP]]</f>
        <v>0.62814070351758799</v>
      </c>
      <c r="U1735" s="86" t="str">
        <f>_xlfn.XLOOKUP(表格1[[#This Row],[Model]],表格3[Model-Input-Ref2],表格3[TOSHIBA/HIGHEST])</f>
        <v>Shops Highest Price</v>
      </c>
      <c r="W1735" s="86" t="str">
        <f>_xlfn.CONCAT(表格1[[#This Row],[欄4]],表格1[[#This Row],[inv no]])</f>
        <v>367828</v>
      </c>
    </row>
    <row r="1736" spans="1:23" hidden="1">
      <c r="A1736" s="81">
        <v>1734</v>
      </c>
      <c r="B1736" s="81" t="s">
        <v>1260</v>
      </c>
      <c r="C1736" s="81" t="s">
        <v>2080</v>
      </c>
      <c r="D1736" s="82" t="str">
        <f ca="1">OFFSET(Roster!$A$3,MATCH(表格1[[#This Row],[Location]]&amp;" "&amp;表格1[[#This Row],[Shop]]&amp;"*",Roster!$A$4:$A$72,0),DAY(表格1[[#This Row],[date]]),1,1)</f>
        <v>Shan_2</v>
      </c>
      <c r="E1736" s="81">
        <f>MONTH(表格1[[#This Row],[date]])</f>
        <v>3</v>
      </c>
      <c r="F1736" s="90">
        <v>46108</v>
      </c>
      <c r="G1736" s="81" t="str">
        <f>VLOOKUP("*"&amp;表格1[[#This Row],[Input]]&amp;"*",'Ref-List'!$B:$D,2,)</f>
        <v>RC-10JRUH(N)</v>
      </c>
      <c r="H1736" s="81" t="str">
        <f>_xlfn.XLOOKUP(表格1[[#This Row],[Model]],表格3[Model-Input-Ref2],表格3[Product Line])</f>
        <v>電飯煲</v>
      </c>
      <c r="I1736" s="81" t="str">
        <f>_xlfn.XLOOKUP(表格1[[#This Row],[Model]],表格3[Model-Input-Ref2],表格3[大小電])</f>
        <v>細電</v>
      </c>
      <c r="J1736" s="81" t="str">
        <f>_xlfn.XLOOKUP(表格1[[#This Row],[Model]],表格3[Model-Input-Ref2],表格3[Code])</f>
        <v>SDA</v>
      </c>
      <c r="K1736" s="89" t="s">
        <v>1263</v>
      </c>
      <c r="L1736" s="86">
        <v>1</v>
      </c>
      <c r="M1736" s="87">
        <v>250</v>
      </c>
      <c r="N1736" s="85">
        <f>IFERROR(表格1[[#This Row],[QTY]]*表格1[[#This Row],[Unit Price]],"-")</f>
        <v>250</v>
      </c>
      <c r="O1736" s="86">
        <v>367834</v>
      </c>
      <c r="R1736" s="86" t="str">
        <f>_xlfn.CONCAT(表格1[[#This Row],[Model]]," ",表格1[[#This Row],[inv no]])</f>
        <v>RC-10JRUH(N) 367834</v>
      </c>
      <c r="S1736" s="86">
        <f>_xlfn.XLOOKUP(表格1[[#This Row],[Model]],表格3[Model-Input-Ref2],表格3[SRP PRICE])</f>
        <v>398</v>
      </c>
      <c r="T1736" s="43">
        <f>表格1[[#This Row],[Unit Price]]/表格1[[#This Row],[SRP]]</f>
        <v>0.62814070351758799</v>
      </c>
      <c r="U1736" s="86" t="str">
        <f>_xlfn.XLOOKUP(表格1[[#This Row],[Model]],表格3[Model-Input-Ref2],表格3[TOSHIBA/HIGHEST])</f>
        <v>Shops Highest Price</v>
      </c>
      <c r="W1736" s="86" t="str">
        <f>_xlfn.CONCAT(表格1[[#This Row],[欄4]],表格1[[#This Row],[inv no]])</f>
        <v>367834</v>
      </c>
    </row>
    <row r="1737" spans="1:23" hidden="1">
      <c r="A1737" s="81">
        <v>1735</v>
      </c>
      <c r="B1737" s="81" t="s">
        <v>1260</v>
      </c>
      <c r="C1737" s="81" t="s">
        <v>2080</v>
      </c>
      <c r="D1737" s="82" t="str">
        <f ca="1">OFFSET(Roster!$A$3,MATCH(表格1[[#This Row],[Location]]&amp;" "&amp;表格1[[#This Row],[Shop]]&amp;"*",Roster!$A$4:$A$72,0),DAY(表格1[[#This Row],[date]]),1,1)</f>
        <v>Shan_2</v>
      </c>
      <c r="E1737" s="81">
        <f>MONTH(表格1[[#This Row],[date]])</f>
        <v>3</v>
      </c>
      <c r="F1737" s="90">
        <v>46108</v>
      </c>
      <c r="G1737" s="81" t="str">
        <f>VLOOKUP("*"&amp;表格1[[#This Row],[Input]]&amp;"*",'Ref-List'!$B:$D,2,)</f>
        <v>RC-10AMXH(W)</v>
      </c>
      <c r="H1737" s="81" t="str">
        <f>_xlfn.XLOOKUP(表格1[[#This Row],[Model]],表格3[Model-Input-Ref2],表格3[Product Line])</f>
        <v>酵活炊電飯煲(1.0公升)</v>
      </c>
      <c r="I1737" s="81" t="str">
        <f>_xlfn.XLOOKUP(表格1[[#This Row],[Model]],表格3[Model-Input-Ref2],表格3[大小電])</f>
        <v>細電</v>
      </c>
      <c r="J1737" s="81" t="str">
        <f>_xlfn.XLOOKUP(表格1[[#This Row],[Model]],表格3[Model-Input-Ref2],表格3[Code])</f>
        <v>SDA</v>
      </c>
      <c r="K1737" s="89" t="s">
        <v>1279</v>
      </c>
      <c r="L1737" s="86">
        <v>1</v>
      </c>
      <c r="M1737" s="87">
        <v>990</v>
      </c>
      <c r="N1737" s="85">
        <f>IFERROR(表格1[[#This Row],[QTY]]*表格1[[#This Row],[Unit Price]],"-")</f>
        <v>990</v>
      </c>
      <c r="O1737" s="86">
        <v>367851</v>
      </c>
      <c r="R1737" s="86" t="str">
        <f>_xlfn.CONCAT(表格1[[#This Row],[Model]]," ",表格1[[#This Row],[inv no]])</f>
        <v>RC-10AMXH(W) 367851</v>
      </c>
      <c r="S1737" s="86">
        <f>_xlfn.XLOOKUP(表格1[[#This Row],[Model]],表格3[Model-Input-Ref2],表格3[SRP PRICE])</f>
        <v>1288</v>
      </c>
      <c r="T1737" s="43">
        <f>表格1[[#This Row],[Unit Price]]/表格1[[#This Row],[SRP]]</f>
        <v>0.76863354037267084</v>
      </c>
      <c r="U1737" s="86" t="str">
        <f>_xlfn.XLOOKUP(表格1[[#This Row],[Model]],表格3[Model-Input-Ref2],表格3[TOSHIBA/HIGHEST])</f>
        <v>Toshiba SRP</v>
      </c>
      <c r="W1737" s="86" t="str">
        <f>_xlfn.CONCAT(表格1[[#This Row],[欄4]],表格1[[#This Row],[inv no]])</f>
        <v>367851</v>
      </c>
    </row>
    <row r="1738" spans="1:23" hidden="1">
      <c r="A1738" s="81">
        <v>1736</v>
      </c>
      <c r="B1738" s="81" t="s">
        <v>1260</v>
      </c>
      <c r="C1738" s="81" t="s">
        <v>2080</v>
      </c>
      <c r="D1738" s="82" t="str">
        <f ca="1">OFFSET(Roster!$A$3,MATCH(表格1[[#This Row],[Location]]&amp;" "&amp;表格1[[#This Row],[Shop]]&amp;"*",Roster!$A$4:$A$72,0),DAY(表格1[[#This Row],[date]]),1,1)</f>
        <v>Shan_2</v>
      </c>
      <c r="E1738" s="81">
        <f>MONTH(表格1[[#This Row],[date]])</f>
        <v>3</v>
      </c>
      <c r="F1738" s="90">
        <v>46109</v>
      </c>
      <c r="G1738" s="81" t="str">
        <f>VLOOKUP("*"&amp;表格1[[#This Row],[Input]]&amp;"*",'Ref-List'!$B:$D,2,)</f>
        <v>TP-25DR2UHK(W)</v>
      </c>
      <c r="H1738" s="81" t="str">
        <f>_xlfn.XLOOKUP(表格1[[#This Row],[Model]],表格3[Model-Input-Ref2],表格3[Product Line])</f>
        <v>電熱水瓶 (2.5公升)</v>
      </c>
      <c r="I1738" s="81" t="str">
        <f>_xlfn.XLOOKUP(表格1[[#This Row],[Model]],表格3[Model-Input-Ref2],表格3[大小電])</f>
        <v>細電</v>
      </c>
      <c r="J1738" s="81" t="str">
        <f>_xlfn.XLOOKUP(表格1[[#This Row],[Model]],表格3[Model-Input-Ref2],表格3[Code])</f>
        <v>SDA</v>
      </c>
      <c r="K1738" s="89" t="s">
        <v>1285</v>
      </c>
      <c r="L1738" s="86">
        <v>1</v>
      </c>
      <c r="M1738" s="87">
        <v>398</v>
      </c>
      <c r="N1738" s="85">
        <f>IFERROR(表格1[[#This Row],[QTY]]*表格1[[#This Row],[Unit Price]],"-")</f>
        <v>398</v>
      </c>
      <c r="O1738" s="86">
        <v>387814</v>
      </c>
      <c r="R1738" s="86" t="str">
        <f>_xlfn.CONCAT(表格1[[#This Row],[Model]]," ",表格1[[#This Row],[inv no]])</f>
        <v>TP-25DR2UHK(W) 387814</v>
      </c>
      <c r="S1738" s="86">
        <f>_xlfn.XLOOKUP(表格1[[#This Row],[Model]],表格3[Model-Input-Ref2],表格3[SRP PRICE])</f>
        <v>538</v>
      </c>
      <c r="T1738" s="43">
        <f>表格1[[#This Row],[Unit Price]]/表格1[[#This Row],[SRP]]</f>
        <v>0.7397769516728625</v>
      </c>
      <c r="U1738" s="86" t="str">
        <f>_xlfn.XLOOKUP(表格1[[#This Row],[Model]],表格3[Model-Input-Ref2],表格3[TOSHIBA/HIGHEST])</f>
        <v>Toshiba SRP</v>
      </c>
      <c r="W1738" s="86" t="str">
        <f>_xlfn.CONCAT(表格1[[#This Row],[欄4]],表格1[[#This Row],[inv no]])</f>
        <v>387814</v>
      </c>
    </row>
    <row r="1739" spans="1:23" hidden="1">
      <c r="A1739" s="81">
        <v>1737</v>
      </c>
      <c r="B1739" s="81" t="s">
        <v>1260</v>
      </c>
      <c r="C1739" s="81" t="s">
        <v>2080</v>
      </c>
      <c r="D1739" s="82" t="str">
        <f ca="1">OFFSET(Roster!$A$3,MATCH(表格1[[#This Row],[Location]]&amp;" "&amp;表格1[[#This Row],[Shop]]&amp;"*",Roster!$A$4:$A$72,0),DAY(表格1[[#This Row],[date]]),1,1)</f>
        <v>Shan_2</v>
      </c>
      <c r="E1739" s="81">
        <f>MONTH(表格1[[#This Row],[date]])</f>
        <v>3</v>
      </c>
      <c r="F1739" s="90">
        <v>46109</v>
      </c>
      <c r="G1739" s="81" t="str">
        <f>VLOOKUP("*"&amp;表格1[[#This Row],[Input]]&amp;"*",'Ref-List'!$B:$D,2,)</f>
        <v>RC-10AMXH(W)</v>
      </c>
      <c r="H1739" s="81" t="str">
        <f>_xlfn.XLOOKUP(表格1[[#This Row],[Model]],表格3[Model-Input-Ref2],表格3[Product Line])</f>
        <v>酵活炊電飯煲(1.0公升)</v>
      </c>
      <c r="I1739" s="81" t="str">
        <f>_xlfn.XLOOKUP(表格1[[#This Row],[Model]],表格3[Model-Input-Ref2],表格3[大小電])</f>
        <v>細電</v>
      </c>
      <c r="J1739" s="81" t="str">
        <f>_xlfn.XLOOKUP(表格1[[#This Row],[Model]],表格3[Model-Input-Ref2],表格3[Code])</f>
        <v>SDA</v>
      </c>
      <c r="K1739" s="89" t="s">
        <v>1279</v>
      </c>
      <c r="L1739" s="86">
        <v>1</v>
      </c>
      <c r="M1739" s="87">
        <v>990</v>
      </c>
      <c r="N1739" s="85">
        <f>IFERROR(表格1[[#This Row],[QTY]]*表格1[[#This Row],[Unit Price]],"-")</f>
        <v>990</v>
      </c>
      <c r="O1739" s="86">
        <v>387885</v>
      </c>
      <c r="R1739" s="86" t="str">
        <f>_xlfn.CONCAT(表格1[[#This Row],[Model]]," ",表格1[[#This Row],[inv no]])</f>
        <v>RC-10AMXH(W) 387885</v>
      </c>
      <c r="S1739" s="86">
        <f>_xlfn.XLOOKUP(表格1[[#This Row],[Model]],表格3[Model-Input-Ref2],表格3[SRP PRICE])</f>
        <v>1288</v>
      </c>
      <c r="T1739" s="43">
        <f>表格1[[#This Row],[Unit Price]]/表格1[[#This Row],[SRP]]</f>
        <v>0.76863354037267084</v>
      </c>
      <c r="U1739" s="86" t="str">
        <f>_xlfn.XLOOKUP(表格1[[#This Row],[Model]],表格3[Model-Input-Ref2],表格3[TOSHIBA/HIGHEST])</f>
        <v>Toshiba SRP</v>
      </c>
      <c r="W1739" s="86" t="str">
        <f>_xlfn.CONCAT(表格1[[#This Row],[欄4]],表格1[[#This Row],[inv no]])</f>
        <v>387885</v>
      </c>
    </row>
    <row r="1740" spans="1:23" hidden="1">
      <c r="A1740" s="81">
        <v>1738</v>
      </c>
      <c r="B1740" s="81" t="s">
        <v>1260</v>
      </c>
      <c r="C1740" s="81" t="s">
        <v>2080</v>
      </c>
      <c r="D1740" s="82" t="str">
        <f ca="1">OFFSET(Roster!$A$3,MATCH(表格1[[#This Row],[Location]]&amp;" "&amp;表格1[[#This Row],[Shop]]&amp;"*",Roster!$A$4:$A$72,0),DAY(表格1[[#This Row],[date]]),1,1)</f>
        <v>Shan_2</v>
      </c>
      <c r="E1740" s="81">
        <f>MONTH(表格1[[#This Row],[date]])</f>
        <v>3</v>
      </c>
      <c r="F1740" s="90">
        <v>46109</v>
      </c>
      <c r="G1740" s="81" t="str">
        <f>VLOOKUP("*"&amp;表格1[[#This Row],[Input]]&amp;"*",'Ref-List'!$B:$D,2,)</f>
        <v>RAD-D300H</v>
      </c>
      <c r="H1740" s="81" t="str">
        <f>_xlfn.XLOOKUP(表格1[[#This Row],[Model]],表格3[Model-Input-Ref2],表格3[Product Line])</f>
        <v>壓縮式抽濕機 (30公升)</v>
      </c>
      <c r="I1740" s="81" t="str">
        <f>_xlfn.XLOOKUP(表格1[[#This Row],[Model]],表格3[Model-Input-Ref2],表格3[大小電])</f>
        <v>細電</v>
      </c>
      <c r="J1740" s="81" t="str">
        <f>_xlfn.XLOOKUP(表格1[[#This Row],[Model]],表格3[Model-Input-Ref2],表格3[Code])</f>
        <v>RAC</v>
      </c>
      <c r="K1740" s="89" t="s">
        <v>1252</v>
      </c>
      <c r="L1740" s="86">
        <v>1</v>
      </c>
      <c r="M1740" s="87">
        <v>2180</v>
      </c>
      <c r="N1740" s="85">
        <f>IFERROR(表格1[[#This Row],[QTY]]*表格1[[#This Row],[Unit Price]],"-")</f>
        <v>2180</v>
      </c>
      <c r="O1740" s="86">
        <v>367891</v>
      </c>
      <c r="R1740" s="86" t="str">
        <f>_xlfn.CONCAT(表格1[[#This Row],[Model]]," ",表格1[[#This Row],[inv no]])</f>
        <v>RAD-D300H 367891</v>
      </c>
      <c r="S1740" s="86">
        <f>_xlfn.XLOOKUP(表格1[[#This Row],[Model]],表格3[Model-Input-Ref2],表格3[SRP PRICE])</f>
        <v>3380</v>
      </c>
      <c r="T1740" s="43">
        <f>表格1[[#This Row],[Unit Price]]/表格1[[#This Row],[SRP]]</f>
        <v>0.6449704142011834</v>
      </c>
      <c r="U1740" s="86" t="str">
        <f>_xlfn.XLOOKUP(表格1[[#This Row],[Model]],表格3[Model-Input-Ref2],表格3[TOSHIBA/HIGHEST])</f>
        <v>Shops Highest Price</v>
      </c>
      <c r="W1740" s="86" t="str">
        <f>_xlfn.CONCAT(表格1[[#This Row],[欄4]],表格1[[#This Row],[inv no]])</f>
        <v>367891</v>
      </c>
    </row>
    <row r="1741" spans="1:23" hidden="1">
      <c r="A1741" s="81">
        <v>1739</v>
      </c>
      <c r="B1741" s="81" t="s">
        <v>1260</v>
      </c>
      <c r="C1741" s="81" t="s">
        <v>2080</v>
      </c>
      <c r="D1741" s="82" t="str">
        <f ca="1">OFFSET(Roster!$A$3,MATCH(表格1[[#This Row],[Location]]&amp;" "&amp;表格1[[#This Row],[Shop]]&amp;"*",Roster!$A$4:$A$72,0),DAY(表格1[[#This Row],[date]]),1,1)</f>
        <v>Shan_2</v>
      </c>
      <c r="E1741" s="81">
        <f>MONTH(表格1[[#This Row],[date]])</f>
        <v>3</v>
      </c>
      <c r="F1741" s="90">
        <v>46109</v>
      </c>
      <c r="G1741" s="81" t="str">
        <f>VLOOKUP("*"&amp;表格1[[#This Row],[Input]]&amp;"*",'Ref-List'!$B:$D,2,)</f>
        <v>KT-08DH1VHK(W)</v>
      </c>
      <c r="H1741" s="81" t="str">
        <f>_xlfn.XLOOKUP(表格1[[#This Row],[Model]],表格3[Model-Input-Ref2],表格3[Product Line])</f>
        <v>無線雙層電熱水壺-附可鎖壺蓋(0.8公升)</v>
      </c>
      <c r="I1741" s="81" t="str">
        <f>_xlfn.XLOOKUP(表格1[[#This Row],[Model]],表格3[Model-Input-Ref2],表格3[大小電])</f>
        <v>細電</v>
      </c>
      <c r="J1741" s="81" t="str">
        <f>_xlfn.XLOOKUP(表格1[[#This Row],[Model]],表格3[Model-Input-Ref2],表格3[Code])</f>
        <v>SDA</v>
      </c>
      <c r="K1741" s="89" t="s">
        <v>1268</v>
      </c>
      <c r="L1741" s="86">
        <v>1</v>
      </c>
      <c r="M1741" s="87">
        <v>268</v>
      </c>
      <c r="N1741" s="85">
        <f>IFERROR(表格1[[#This Row],[QTY]]*表格1[[#This Row],[Unit Price]],"-")</f>
        <v>268</v>
      </c>
      <c r="O1741" s="86">
        <v>367895</v>
      </c>
      <c r="R1741" s="86" t="str">
        <f>_xlfn.CONCAT(表格1[[#This Row],[Model]]," ",表格1[[#This Row],[inv no]])</f>
        <v>KT-08DH1VHK(W) 367895</v>
      </c>
      <c r="S1741" s="86">
        <f>_xlfn.XLOOKUP(表格1[[#This Row],[Model]],表格3[Model-Input-Ref2],表格3[SRP PRICE])</f>
        <v>428</v>
      </c>
      <c r="T1741" s="43">
        <f>表格1[[#This Row],[Unit Price]]/表格1[[#This Row],[SRP]]</f>
        <v>0.62616822429906538</v>
      </c>
      <c r="U1741" s="86" t="str">
        <f>_xlfn.XLOOKUP(表格1[[#This Row],[Model]],表格3[Model-Input-Ref2],表格3[TOSHIBA/HIGHEST])</f>
        <v>Toshiba SRP</v>
      </c>
      <c r="W1741" s="86" t="str">
        <f>_xlfn.CONCAT(表格1[[#This Row],[欄4]],表格1[[#This Row],[inv no]])</f>
        <v>367895</v>
      </c>
    </row>
    <row r="1742" spans="1:23" hidden="1">
      <c r="A1742" s="81">
        <v>1740</v>
      </c>
      <c r="B1742" s="81" t="s">
        <v>1260</v>
      </c>
      <c r="C1742" s="81" t="s">
        <v>2080</v>
      </c>
      <c r="D1742" s="82" t="str">
        <f ca="1">OFFSET(Roster!$A$3,MATCH(表格1[[#This Row],[Location]]&amp;" "&amp;表格1[[#This Row],[Shop]]&amp;"*",Roster!$A$4:$A$72,0),DAY(表格1[[#This Row],[date]]),1,1)</f>
        <v>Shan_2</v>
      </c>
      <c r="E1742" s="81">
        <f>MONTH(表格1[[#This Row],[date]])</f>
        <v>3</v>
      </c>
      <c r="F1742" s="90">
        <v>46109</v>
      </c>
      <c r="G1742" s="81" t="str">
        <f>VLOOKUP("*"&amp;表格1[[#This Row],[Input]]&amp;"*",'Ref-List'!$B:$D,2,)</f>
        <v>RC-DR10T(W)</v>
      </c>
      <c r="H1742" s="81" t="str">
        <f>_xlfn.XLOOKUP(表格1[[#This Row],[Model]],表格3[Model-Input-Ref2],表格3[Product Line])</f>
        <v>IH磁應電飯煲</v>
      </c>
      <c r="I1742" s="81" t="str">
        <f>_xlfn.XLOOKUP(表格1[[#This Row],[Model]],表格3[Model-Input-Ref2],表格3[大小電])</f>
        <v>細電</v>
      </c>
      <c r="J1742" s="81" t="str">
        <f>_xlfn.XLOOKUP(表格1[[#This Row],[Model]],表格3[Model-Input-Ref2],表格3[Code])</f>
        <v>SDA</v>
      </c>
      <c r="K1742" s="89" t="s">
        <v>1294</v>
      </c>
      <c r="L1742" s="86">
        <v>1</v>
      </c>
      <c r="M1742" s="87">
        <v>2290</v>
      </c>
      <c r="N1742" s="85">
        <f>IFERROR(表格1[[#This Row],[QTY]]*表格1[[#This Row],[Unit Price]],"-")</f>
        <v>2290</v>
      </c>
      <c r="O1742" s="86">
        <v>367913</v>
      </c>
      <c r="R1742" s="86" t="str">
        <f>_xlfn.CONCAT(表格1[[#This Row],[Model]]," ",表格1[[#This Row],[inv no]])</f>
        <v>RC-DR10T(W) 367913</v>
      </c>
      <c r="S1742" s="86">
        <f>_xlfn.XLOOKUP(表格1[[#This Row],[Model]],表格3[Model-Input-Ref2],表格3[SRP PRICE])</f>
        <v>3188</v>
      </c>
      <c r="T1742" s="43">
        <f>表格1[[#This Row],[Unit Price]]/表格1[[#This Row],[SRP]]</f>
        <v>0.71831869510664992</v>
      </c>
      <c r="U1742" s="86" t="str">
        <f>_xlfn.XLOOKUP(表格1[[#This Row],[Model]],表格3[Model-Input-Ref2],表格3[TOSHIBA/HIGHEST])</f>
        <v>Toshiba SRP</v>
      </c>
      <c r="W1742" s="86" t="str">
        <f>_xlfn.CONCAT(表格1[[#This Row],[欄4]],表格1[[#This Row],[inv no]])</f>
        <v>367913</v>
      </c>
    </row>
    <row r="1743" spans="1:23" hidden="1">
      <c r="A1743" s="81">
        <v>1741</v>
      </c>
      <c r="B1743" s="81" t="s">
        <v>1260</v>
      </c>
      <c r="C1743" s="81" t="s">
        <v>2080</v>
      </c>
      <c r="D1743" s="82" t="str">
        <f ca="1">OFFSET(Roster!$A$3,MATCH(表格1[[#This Row],[Location]]&amp;" "&amp;表格1[[#This Row],[Shop]]&amp;"*",Roster!$A$4:$A$72,0),DAY(表格1[[#This Row],[date]]),1,1)</f>
        <v>Shan_2</v>
      </c>
      <c r="E1743" s="81">
        <f>MONTH(表格1[[#This Row],[date]])</f>
        <v>3</v>
      </c>
      <c r="F1743" s="90">
        <v>46109</v>
      </c>
      <c r="G1743" s="81" t="str">
        <f>VLOOKUP("*"&amp;表格1[[#This Row],[Input]]&amp;"*",'Ref-List'!$B:$D,2,)</f>
        <v>RC-7HMH</v>
      </c>
      <c r="H1743" s="81" t="str">
        <f>_xlfn.XLOOKUP(表格1[[#This Row],[Model]],表格3[Model-Input-Ref2],表格3[Product Line])</f>
        <v>備長炭本厚釜電飯煲0.7L</v>
      </c>
      <c r="I1743" s="81" t="str">
        <f>_xlfn.XLOOKUP(表格1[[#This Row],[Model]],表格3[Model-Input-Ref2],表格3[大小電])</f>
        <v>細電</v>
      </c>
      <c r="J1743" s="81" t="str">
        <f>_xlfn.XLOOKUP(表格1[[#This Row],[Model]],表格3[Model-Input-Ref2],表格3[Code])</f>
        <v>SDA</v>
      </c>
      <c r="K1743" s="89" t="s">
        <v>1284</v>
      </c>
      <c r="L1743" s="86">
        <v>1</v>
      </c>
      <c r="M1743" s="87">
        <v>788</v>
      </c>
      <c r="N1743" s="85">
        <f>IFERROR(表格1[[#This Row],[QTY]]*表格1[[#This Row],[Unit Price]],"-")</f>
        <v>788</v>
      </c>
      <c r="O1743" s="86">
        <v>367953</v>
      </c>
      <c r="R1743" s="86" t="str">
        <f>_xlfn.CONCAT(表格1[[#This Row],[Model]]," ",表格1[[#This Row],[inv no]])</f>
        <v>RC-7HMH 367953</v>
      </c>
      <c r="S1743" s="86">
        <f>_xlfn.XLOOKUP(表格1[[#This Row],[Model]],表格3[Model-Input-Ref2],表格3[SRP PRICE])</f>
        <v>1288</v>
      </c>
      <c r="T1743" s="43">
        <f>表格1[[#This Row],[Unit Price]]/表格1[[#This Row],[SRP]]</f>
        <v>0.61180124223602483</v>
      </c>
      <c r="U1743" s="86" t="str">
        <f>_xlfn.XLOOKUP(表格1[[#This Row],[Model]],表格3[Model-Input-Ref2],表格3[TOSHIBA/HIGHEST])</f>
        <v>Toshiba SRP</v>
      </c>
      <c r="W1743" s="86" t="str">
        <f>_xlfn.CONCAT(表格1[[#This Row],[欄4]],表格1[[#This Row],[inv no]])</f>
        <v>367953</v>
      </c>
    </row>
    <row r="1744" spans="1:23" hidden="1">
      <c r="A1744" s="81">
        <v>1742</v>
      </c>
      <c r="B1744" s="81" t="s">
        <v>1260</v>
      </c>
      <c r="C1744" s="81" t="s">
        <v>2080</v>
      </c>
      <c r="D1744" s="82" t="str">
        <f ca="1">OFFSET(Roster!$A$3,MATCH(表格1[[#This Row],[Location]]&amp;" "&amp;表格1[[#This Row],[Shop]]&amp;"*",Roster!$A$4:$A$72,0),DAY(表格1[[#This Row],[date]]),1,1)</f>
        <v>Shan_2</v>
      </c>
      <c r="E1744" s="81">
        <f>MONTH(表格1[[#This Row],[date]])</f>
        <v>3</v>
      </c>
      <c r="F1744" s="90">
        <v>46109</v>
      </c>
      <c r="G1744" s="81" t="str">
        <f>VLOOKUP("*"&amp;表格1[[#This Row],[Input]]&amp;"*",'Ref-List'!$B:$D,2,)</f>
        <v>MM2-EM20PC(WH)</v>
      </c>
      <c r="H1744" s="81" t="str">
        <f>_xlfn.XLOOKUP(表格1[[#This Row],[Model]],表格3[Model-Input-Ref2],表格3[Product Line])</f>
        <v>輕觸式微波爐 (20公升)</v>
      </c>
      <c r="I1744" s="81" t="str">
        <f>_xlfn.XLOOKUP(表格1[[#This Row],[Model]],表格3[Model-Input-Ref2],表格3[大小電])</f>
        <v>細電</v>
      </c>
      <c r="J1744" s="81" t="str">
        <f>_xlfn.XLOOKUP(表格1[[#This Row],[Model]],表格3[Model-Input-Ref2],表格3[Code])</f>
        <v>MCA</v>
      </c>
      <c r="K1744" s="89" t="s">
        <v>1276</v>
      </c>
      <c r="L1744" s="86">
        <v>1</v>
      </c>
      <c r="M1744" s="87">
        <v>598</v>
      </c>
      <c r="N1744" s="85">
        <f>IFERROR(表格1[[#This Row],[QTY]]*表格1[[#This Row],[Unit Price]],"-")</f>
        <v>598</v>
      </c>
      <c r="O1744" s="142">
        <v>367960</v>
      </c>
      <c r="R1744" s="86" t="str">
        <f>_xlfn.CONCAT(表格1[[#This Row],[Model]]," ",表格1[[#This Row],[inv no]])</f>
        <v>MM2-EM20PC(WH) 367960</v>
      </c>
      <c r="S1744" s="86">
        <f>_xlfn.XLOOKUP(表格1[[#This Row],[Model]],表格3[Model-Input-Ref2],表格3[SRP PRICE])</f>
        <v>788</v>
      </c>
      <c r="T1744" s="43">
        <f>表格1[[#This Row],[Unit Price]]/表格1[[#This Row],[SRP]]</f>
        <v>0.75888324873096447</v>
      </c>
      <c r="U1744" s="86" t="str">
        <f>_xlfn.XLOOKUP(表格1[[#This Row],[Model]],表格3[Model-Input-Ref2],表格3[TOSHIBA/HIGHEST])</f>
        <v>Toshiba SRP</v>
      </c>
      <c r="W1744" s="86" t="str">
        <f>_xlfn.CONCAT(表格1[[#This Row],[欄4]],表格1[[#This Row],[inv no]])</f>
        <v>367960</v>
      </c>
    </row>
    <row r="1745" spans="1:23" hidden="1">
      <c r="A1745" s="81">
        <v>1743</v>
      </c>
      <c r="B1745" s="81" t="s">
        <v>1260</v>
      </c>
      <c r="C1745" s="81" t="s">
        <v>2080</v>
      </c>
      <c r="D1745" s="82" t="str">
        <f ca="1">OFFSET(Roster!$A$3,MATCH(表格1[[#This Row],[Location]]&amp;" "&amp;表格1[[#This Row],[Shop]]&amp;"*",Roster!$A$4:$A$72,0),DAY(表格1[[#This Row],[date]]),1,1)</f>
        <v>Shan_2</v>
      </c>
      <c r="E1745" s="81">
        <f>MONTH(表格1[[#This Row],[date]])</f>
        <v>3</v>
      </c>
      <c r="F1745" s="90">
        <v>46109</v>
      </c>
      <c r="G1745" s="81" t="str">
        <f>VLOOKUP("*"&amp;表格1[[#This Row],[Input]]&amp;"*",'Ref-List'!$B:$D,2,)</f>
        <v>IC-21TSHK</v>
      </c>
      <c r="H1745" s="81" t="str">
        <f>_xlfn.XLOOKUP(表格1[[#This Row],[Model]],表格3[Model-Input-Ref2],表格3[Product Line])</f>
        <v>Induction Cooker</v>
      </c>
      <c r="I1745" s="81" t="str">
        <f>_xlfn.XLOOKUP(表格1[[#This Row],[Model]],表格3[Model-Input-Ref2],表格3[大小電])</f>
        <v>細電</v>
      </c>
      <c r="J1745" s="81" t="str">
        <f>_xlfn.XLOOKUP(表格1[[#This Row],[Model]],表格3[Model-Input-Ref2],表格3[Code])</f>
        <v>SDA</v>
      </c>
      <c r="K1745" s="89" t="s">
        <v>1242</v>
      </c>
      <c r="L1745" s="86">
        <v>1</v>
      </c>
      <c r="M1745" s="87">
        <v>698</v>
      </c>
      <c r="N1745" s="85">
        <f>IFERROR(表格1[[#This Row],[QTY]]*表格1[[#This Row],[Unit Price]],"-")</f>
        <v>698</v>
      </c>
      <c r="O1745" s="142">
        <v>375451</v>
      </c>
      <c r="R1745" s="86" t="str">
        <f>_xlfn.CONCAT(表格1[[#This Row],[Model]]," ",表格1[[#This Row],[inv no]])</f>
        <v>IC-21TSHK 375451</v>
      </c>
      <c r="S1745" s="86">
        <f>_xlfn.XLOOKUP(表格1[[#This Row],[Model]],表格3[Model-Input-Ref2],表格3[SRP PRICE])</f>
        <v>998</v>
      </c>
      <c r="T1745" s="43">
        <f>表格1[[#This Row],[Unit Price]]/表格1[[#This Row],[SRP]]</f>
        <v>0.69939879759519041</v>
      </c>
      <c r="U1745" s="86" t="str">
        <f>_xlfn.XLOOKUP(表格1[[#This Row],[Model]],表格3[Model-Input-Ref2],表格3[TOSHIBA/HIGHEST])</f>
        <v>web SRP</v>
      </c>
      <c r="W1745" s="86" t="str">
        <f>_xlfn.CONCAT(表格1[[#This Row],[欄4]],表格1[[#This Row],[inv no]])</f>
        <v>375451</v>
      </c>
    </row>
    <row r="1746" spans="1:23" hidden="1">
      <c r="A1746" s="81">
        <v>1744</v>
      </c>
      <c r="B1746" s="81" t="s">
        <v>1260</v>
      </c>
      <c r="C1746" s="81" t="s">
        <v>2080</v>
      </c>
      <c r="D1746" s="82" t="str">
        <f ca="1">OFFSET(Roster!$A$3,MATCH(表格1[[#This Row],[Location]]&amp;" "&amp;表格1[[#This Row],[Shop]]&amp;"*",Roster!$A$4:$A$72,0),DAY(表格1[[#This Row],[date]]),1,1)</f>
        <v>Shan_2</v>
      </c>
      <c r="E1746" s="81">
        <f>MONTH(表格1[[#This Row],[date]])</f>
        <v>3</v>
      </c>
      <c r="F1746" s="90">
        <v>46109</v>
      </c>
      <c r="G1746" s="81" t="str">
        <f>VLOOKUP("*"&amp;表格1[[#This Row],[Input]]&amp;"*",'Ref-List'!$B:$D,2,)</f>
        <v>KT-08DH1VHK(W)</v>
      </c>
      <c r="H1746" s="81" t="str">
        <f>_xlfn.XLOOKUP(表格1[[#This Row],[Model]],表格3[Model-Input-Ref2],表格3[Product Line])</f>
        <v>無線雙層電熱水壺-附可鎖壺蓋(0.8公升)</v>
      </c>
      <c r="I1746" s="81" t="str">
        <f>_xlfn.XLOOKUP(表格1[[#This Row],[Model]],表格3[Model-Input-Ref2],表格3[大小電])</f>
        <v>細電</v>
      </c>
      <c r="J1746" s="81" t="str">
        <f>_xlfn.XLOOKUP(表格1[[#This Row],[Model]],表格3[Model-Input-Ref2],表格3[Code])</f>
        <v>SDA</v>
      </c>
      <c r="K1746" s="89" t="s">
        <v>1268</v>
      </c>
      <c r="L1746" s="86">
        <v>1</v>
      </c>
      <c r="M1746" s="87">
        <v>268</v>
      </c>
      <c r="N1746" s="85">
        <f>IFERROR(表格1[[#This Row],[QTY]]*表格1[[#This Row],[Unit Price]],"-")</f>
        <v>268</v>
      </c>
      <c r="O1746" s="86">
        <v>375451</v>
      </c>
      <c r="R1746" s="86" t="str">
        <f>_xlfn.CONCAT(表格1[[#This Row],[Model]]," ",表格1[[#This Row],[inv no]])</f>
        <v>KT-08DH1VHK(W) 375451</v>
      </c>
      <c r="S1746" s="86">
        <f>_xlfn.XLOOKUP(表格1[[#This Row],[Model]],表格3[Model-Input-Ref2],表格3[SRP PRICE])</f>
        <v>428</v>
      </c>
      <c r="T1746" s="43">
        <f>表格1[[#This Row],[Unit Price]]/表格1[[#This Row],[SRP]]</f>
        <v>0.62616822429906538</v>
      </c>
      <c r="U1746" s="86" t="str">
        <f>_xlfn.XLOOKUP(表格1[[#This Row],[Model]],表格3[Model-Input-Ref2],表格3[TOSHIBA/HIGHEST])</f>
        <v>Toshiba SRP</v>
      </c>
      <c r="W1746" s="86" t="str">
        <f>_xlfn.CONCAT(表格1[[#This Row],[欄4]],表格1[[#This Row],[inv no]])</f>
        <v>375451</v>
      </c>
    </row>
    <row r="1747" spans="1:23" hidden="1">
      <c r="A1747" s="81">
        <v>1745</v>
      </c>
      <c r="B1747" s="81" t="s">
        <v>1260</v>
      </c>
      <c r="C1747" s="81" t="s">
        <v>2080</v>
      </c>
      <c r="D1747" s="82" t="str">
        <f ca="1">OFFSET(Roster!$A$3,MATCH(表格1[[#This Row],[Location]]&amp;" "&amp;表格1[[#This Row],[Shop]]&amp;"*",Roster!$A$4:$A$72,0),DAY(表格1[[#This Row],[date]]),1,1)</f>
        <v>Shan_2</v>
      </c>
      <c r="E1747" s="81">
        <f>MONTH(表格1[[#This Row],[date]])</f>
        <v>3</v>
      </c>
      <c r="F1747" s="90">
        <v>46109</v>
      </c>
      <c r="G1747" s="81" t="str">
        <f>VLOOKUP("*"&amp;表格1[[#This Row],[Input]]&amp;"*",'Ref-List'!$B:$D,2,)</f>
        <v>RC-10JRUH(N)</v>
      </c>
      <c r="H1747" s="81" t="str">
        <f>_xlfn.XLOOKUP(表格1[[#This Row],[Model]],表格3[Model-Input-Ref2],表格3[Product Line])</f>
        <v>電飯煲</v>
      </c>
      <c r="I1747" s="81" t="str">
        <f>_xlfn.XLOOKUP(表格1[[#This Row],[Model]],表格3[Model-Input-Ref2],表格3[大小電])</f>
        <v>細電</v>
      </c>
      <c r="J1747" s="81" t="str">
        <f>_xlfn.XLOOKUP(表格1[[#This Row],[Model]],表格3[Model-Input-Ref2],表格3[Code])</f>
        <v>SDA</v>
      </c>
      <c r="K1747" s="89" t="s">
        <v>1263</v>
      </c>
      <c r="L1747" s="86">
        <v>1</v>
      </c>
      <c r="M1747" s="87">
        <v>250</v>
      </c>
      <c r="N1747" s="85">
        <f>IFERROR(表格1[[#This Row],[QTY]]*表格1[[#This Row],[Unit Price]],"-")</f>
        <v>250</v>
      </c>
      <c r="O1747" s="86">
        <v>368006</v>
      </c>
      <c r="R1747" s="86" t="str">
        <f>_xlfn.CONCAT(表格1[[#This Row],[Model]]," ",表格1[[#This Row],[inv no]])</f>
        <v>RC-10JRUH(N) 368006</v>
      </c>
      <c r="S1747" s="86">
        <f>_xlfn.XLOOKUP(表格1[[#This Row],[Model]],表格3[Model-Input-Ref2],表格3[SRP PRICE])</f>
        <v>398</v>
      </c>
      <c r="T1747" s="43">
        <f>表格1[[#This Row],[Unit Price]]/表格1[[#This Row],[SRP]]</f>
        <v>0.62814070351758799</v>
      </c>
      <c r="U1747" s="86" t="str">
        <f>_xlfn.XLOOKUP(表格1[[#This Row],[Model]],表格3[Model-Input-Ref2],表格3[TOSHIBA/HIGHEST])</f>
        <v>Shops Highest Price</v>
      </c>
      <c r="W1747" s="86" t="str">
        <f>_xlfn.CONCAT(表格1[[#This Row],[欄4]],表格1[[#This Row],[inv no]])</f>
        <v>368006</v>
      </c>
    </row>
    <row r="1748" spans="1:23" hidden="1">
      <c r="A1748" s="81">
        <v>1746</v>
      </c>
      <c r="B1748" s="81" t="s">
        <v>1260</v>
      </c>
      <c r="C1748" s="81" t="s">
        <v>2080</v>
      </c>
      <c r="D1748" s="82" t="str">
        <f ca="1">OFFSET(Roster!$A$3,MATCH(表格1[[#This Row],[Location]]&amp;" "&amp;表格1[[#This Row],[Shop]]&amp;"*",Roster!$A$4:$A$72,0),DAY(表格1[[#This Row],[date]]),1,1)</f>
        <v>Shan_2</v>
      </c>
      <c r="E1748" s="81">
        <f>MONTH(表格1[[#This Row],[date]])</f>
        <v>3</v>
      </c>
      <c r="F1748" s="90">
        <v>46109</v>
      </c>
      <c r="G1748" s="81" t="str">
        <f>VLOOKUP("*"&amp;表格1[[#This Row],[Input]]&amp;"*",'Ref-List'!$B:$D,2,)</f>
        <v>KT-17SHNH</v>
      </c>
      <c r="H1748" s="81" t="str">
        <f>_xlfn.XLOOKUP(表格1[[#This Row],[Model]],表格3[Model-Input-Ref2],表格3[Product Line])</f>
        <v>1.7L無線雙層電熱水壺</v>
      </c>
      <c r="I1748" s="81" t="str">
        <f>_xlfn.XLOOKUP(表格1[[#This Row],[Model]],表格3[Model-Input-Ref2],表格3[大小電])</f>
        <v>細電</v>
      </c>
      <c r="J1748" s="81" t="str">
        <f>_xlfn.XLOOKUP(表格1[[#This Row],[Model]],表格3[Model-Input-Ref2],表格3[Code])</f>
        <v>SDA</v>
      </c>
      <c r="K1748" s="89" t="s">
        <v>1283</v>
      </c>
      <c r="L1748" s="86">
        <v>1</v>
      </c>
      <c r="M1748" s="87">
        <v>198</v>
      </c>
      <c r="N1748" s="85">
        <f>IFERROR(表格1[[#This Row],[QTY]]*表格1[[#This Row],[Unit Price]],"-")</f>
        <v>198</v>
      </c>
      <c r="O1748" s="86">
        <v>606967</v>
      </c>
      <c r="R1748" s="86" t="str">
        <f>_xlfn.CONCAT(表格1[[#This Row],[Model]]," ",表格1[[#This Row],[inv no]])</f>
        <v>KT-17SHNH 606967</v>
      </c>
      <c r="S1748" s="86">
        <f>_xlfn.XLOOKUP(表格1[[#This Row],[Model]],表格3[Model-Input-Ref2],表格3[SRP PRICE])</f>
        <v>299</v>
      </c>
      <c r="T1748" s="43">
        <f>表格1[[#This Row],[Unit Price]]/表格1[[#This Row],[SRP]]</f>
        <v>0.66220735785953178</v>
      </c>
      <c r="U1748" s="86" t="str">
        <f>_xlfn.XLOOKUP(表格1[[#This Row],[Model]],表格3[Model-Input-Ref2],表格3[TOSHIBA/HIGHEST])</f>
        <v>Shops Highest Price</v>
      </c>
      <c r="W1748" s="86" t="str">
        <f>_xlfn.CONCAT(表格1[[#This Row],[欄4]],表格1[[#This Row],[inv no]])</f>
        <v>606967</v>
      </c>
    </row>
    <row r="1749" spans="1:23" hidden="1">
      <c r="A1749" s="81">
        <v>1747</v>
      </c>
      <c r="B1749" s="81" t="s">
        <v>1260</v>
      </c>
      <c r="C1749" s="81" t="s">
        <v>2080</v>
      </c>
      <c r="D1749" s="82" t="str">
        <f ca="1">OFFSET(Roster!$A$3,MATCH(表格1[[#This Row],[Location]]&amp;" "&amp;表格1[[#This Row],[Shop]]&amp;"*",Roster!$A$4:$A$72,0),DAY(表格1[[#This Row],[date]]),1,1)</f>
        <v>Shan_2</v>
      </c>
      <c r="E1749" s="81">
        <f>MONTH(表格1[[#This Row],[date]])</f>
        <v>3</v>
      </c>
      <c r="F1749" s="90">
        <v>46109</v>
      </c>
      <c r="G1749" s="81" t="str">
        <f>VLOOKUP("*"&amp;表格1[[#This Row],[Input]]&amp;"*",'Ref-List'!$B:$D,2,)</f>
        <v>RC-10JRUH(N)</v>
      </c>
      <c r="H1749" s="81" t="str">
        <f>_xlfn.XLOOKUP(表格1[[#This Row],[Model]],表格3[Model-Input-Ref2],表格3[Product Line])</f>
        <v>電飯煲</v>
      </c>
      <c r="I1749" s="81" t="str">
        <f>_xlfn.XLOOKUP(表格1[[#This Row],[Model]],表格3[Model-Input-Ref2],表格3[大小電])</f>
        <v>細電</v>
      </c>
      <c r="J1749" s="81" t="str">
        <f>_xlfn.XLOOKUP(表格1[[#This Row],[Model]],表格3[Model-Input-Ref2],表格3[Code])</f>
        <v>SDA</v>
      </c>
      <c r="K1749" s="89" t="s">
        <v>1263</v>
      </c>
      <c r="L1749" s="86">
        <v>1</v>
      </c>
      <c r="M1749" s="87">
        <v>250</v>
      </c>
      <c r="N1749" s="85">
        <f>IFERROR(表格1[[#This Row],[QTY]]*表格1[[#This Row],[Unit Price]],"-")</f>
        <v>250</v>
      </c>
      <c r="O1749" s="86">
        <v>368069</v>
      </c>
      <c r="R1749" s="86" t="str">
        <f>_xlfn.CONCAT(表格1[[#This Row],[Model]]," ",表格1[[#This Row],[inv no]])</f>
        <v>RC-10JRUH(N) 368069</v>
      </c>
      <c r="S1749" s="86">
        <f>_xlfn.XLOOKUP(表格1[[#This Row],[Model]],表格3[Model-Input-Ref2],表格3[SRP PRICE])</f>
        <v>398</v>
      </c>
      <c r="T1749" s="43">
        <f>表格1[[#This Row],[Unit Price]]/表格1[[#This Row],[SRP]]</f>
        <v>0.62814070351758799</v>
      </c>
      <c r="U1749" s="86" t="str">
        <f>_xlfn.XLOOKUP(表格1[[#This Row],[Model]],表格3[Model-Input-Ref2],表格3[TOSHIBA/HIGHEST])</f>
        <v>Shops Highest Price</v>
      </c>
      <c r="W1749" s="86" t="str">
        <f>_xlfn.CONCAT(表格1[[#This Row],[欄4]],表格1[[#This Row],[inv no]])</f>
        <v>368069</v>
      </c>
    </row>
    <row r="1750" spans="1:23" hidden="1">
      <c r="A1750" s="81">
        <v>1748</v>
      </c>
      <c r="B1750" s="81" t="s">
        <v>1260</v>
      </c>
      <c r="C1750" s="81" t="s">
        <v>2080</v>
      </c>
      <c r="D1750" s="82" t="str">
        <f ca="1">OFFSET(Roster!$A$3,MATCH(表格1[[#This Row],[Location]]&amp;" "&amp;表格1[[#This Row],[Shop]]&amp;"*",Roster!$A$4:$A$72,0),DAY(表格1[[#This Row],[date]]),1,1)</f>
        <v>Shan_2</v>
      </c>
      <c r="E1750" s="81">
        <f>MONTH(表格1[[#This Row],[date]])</f>
        <v>3</v>
      </c>
      <c r="F1750" s="90">
        <v>46109</v>
      </c>
      <c r="G1750" s="81" t="str">
        <f>VLOOKUP("*"&amp;表格1[[#This Row],[Input]]&amp;"*",'Ref-List'!$B:$D,2,)</f>
        <v>RC-10IRPH</v>
      </c>
      <c r="H1750" s="81" t="str">
        <f>_xlfn.XLOOKUP(表格1[[#This Row],[Model]],表格3[Model-Input-Ref2],表格3[Product Line])</f>
        <v>低醣磁應電飯煲1L</v>
      </c>
      <c r="I1750" s="81" t="str">
        <f>_xlfn.XLOOKUP(表格1[[#This Row],[Model]],表格3[Model-Input-Ref2],表格3[大小電])</f>
        <v>細電</v>
      </c>
      <c r="J1750" s="81" t="str">
        <f>_xlfn.XLOOKUP(表格1[[#This Row],[Model]],表格3[Model-Input-Ref2],表格3[Code])</f>
        <v>SDA</v>
      </c>
      <c r="K1750" s="89" t="s">
        <v>1297</v>
      </c>
      <c r="L1750" s="86">
        <v>1</v>
      </c>
      <c r="M1750" s="87">
        <v>798</v>
      </c>
      <c r="N1750" s="85">
        <f>IFERROR(表格1[[#This Row],[QTY]]*表格1[[#This Row],[Unit Price]],"-")</f>
        <v>798</v>
      </c>
      <c r="O1750" s="86">
        <v>368100</v>
      </c>
      <c r="R1750" s="86" t="str">
        <f>_xlfn.CONCAT(表格1[[#This Row],[Model]]," ",表格1[[#This Row],[inv no]])</f>
        <v>RC-10IRPH 368100</v>
      </c>
      <c r="S1750" s="86">
        <f>_xlfn.XLOOKUP(表格1[[#This Row],[Model]],表格3[Model-Input-Ref2],表格3[SRP PRICE])</f>
        <v>1388</v>
      </c>
      <c r="T1750" s="43">
        <f>表格1[[#This Row],[Unit Price]]/表格1[[#This Row],[SRP]]</f>
        <v>0.5749279538904899</v>
      </c>
      <c r="U1750" s="86" t="str">
        <f>_xlfn.XLOOKUP(表格1[[#This Row],[Model]],表格3[Model-Input-Ref2],表格3[TOSHIBA/HIGHEST])</f>
        <v>Toshiba SRP</v>
      </c>
      <c r="W1750" s="86" t="str">
        <f>_xlfn.CONCAT(表格1[[#This Row],[欄4]],表格1[[#This Row],[inv no]])</f>
        <v>368100</v>
      </c>
    </row>
    <row r="1751" spans="1:23" ht="16.5" hidden="1">
      <c r="A1751" s="81">
        <v>1749</v>
      </c>
      <c r="B1751" s="81" t="s">
        <v>1260</v>
      </c>
      <c r="C1751" s="81" t="s">
        <v>2080</v>
      </c>
      <c r="D1751" s="82" t="str">
        <f ca="1">OFFSET(Roster!$A$3,MATCH(表格1[[#This Row],[Location]]&amp;" "&amp;表格1[[#This Row],[Shop]]&amp;"*",Roster!$A$4:$A$72,0),DAY(表格1[[#This Row],[date]]),1,1)</f>
        <v>Shan_2</v>
      </c>
      <c r="E1751" s="81">
        <f>MONTH(表格1[[#This Row],[date]])</f>
        <v>3</v>
      </c>
      <c r="F1751" s="90">
        <v>46109</v>
      </c>
      <c r="G1751" s="81" t="str">
        <f>VLOOKUP("*"&amp;表格1[[#This Row],[Input]]&amp;"*",'Ref-List'!$B:$D,2,)</f>
        <v>F-LYA20(W)HKG</v>
      </c>
      <c r="H1751" s="81" t="str">
        <f>_xlfn.XLOOKUP(表格1[[#This Row],[Model]],表格3[Model-Input-Ref2],表格3[Product Line])</f>
        <v>12吋2合1座地座檯電風扇連遙控</v>
      </c>
      <c r="I1751" s="81" t="str">
        <f>_xlfn.XLOOKUP(表格1[[#This Row],[Model]],表格3[Model-Input-Ref2],表格3[大小電])</f>
        <v>細電</v>
      </c>
      <c r="J1751" s="81" t="str">
        <f>_xlfn.XLOOKUP(表格1[[#This Row],[Model]],表格3[Model-Input-Ref2],表格3[Code])</f>
        <v>EAD</v>
      </c>
      <c r="K1751" s="89" t="s">
        <v>1391</v>
      </c>
      <c r="L1751" s="86">
        <v>1</v>
      </c>
      <c r="M1751" s="87">
        <v>399</v>
      </c>
      <c r="N1751" s="85">
        <f>IFERROR(表格1[[#This Row],[QTY]]*表格1[[#This Row],[Unit Price]],"-")</f>
        <v>399</v>
      </c>
      <c r="O1751" s="86">
        <v>368114</v>
      </c>
      <c r="P1751" s="141"/>
      <c r="R1751" s="86" t="str">
        <f>_xlfn.CONCAT(表格1[[#This Row],[Model]]," ",表格1[[#This Row],[inv no]])</f>
        <v>F-LYA20(W)HKG 368114</v>
      </c>
      <c r="S1751" s="86">
        <f>_xlfn.XLOOKUP(表格1[[#This Row],[Model]],表格3[Model-Input-Ref2],表格3[SRP PRICE])</f>
        <v>988</v>
      </c>
      <c r="T1751" s="43">
        <f>表格1[[#This Row],[Unit Price]]/表格1[[#This Row],[SRP]]</f>
        <v>0.40384615384615385</v>
      </c>
      <c r="U1751" s="86" t="str">
        <f>_xlfn.XLOOKUP(表格1[[#This Row],[Model]],表格3[Model-Input-Ref2],表格3[TOSHIBA/HIGHEST])</f>
        <v>Toshiba SRP</v>
      </c>
      <c r="W1751" s="86" t="str">
        <f>_xlfn.CONCAT(表格1[[#This Row],[欄4]],表格1[[#This Row],[inv no]])</f>
        <v>368114</v>
      </c>
    </row>
    <row r="1752" spans="1:23" hidden="1">
      <c r="A1752" s="81">
        <v>1750</v>
      </c>
      <c r="B1752" s="81" t="s">
        <v>1260</v>
      </c>
      <c r="C1752" s="81" t="s">
        <v>2080</v>
      </c>
      <c r="D1752" s="82" t="str">
        <f ca="1">OFFSET(Roster!$A$3,MATCH(表格1[[#This Row],[Location]]&amp;" "&amp;表格1[[#This Row],[Shop]]&amp;"*",Roster!$A$4:$A$72,0),DAY(表格1[[#This Row],[date]]),1,1)</f>
        <v>Shan_2</v>
      </c>
      <c r="E1752" s="81">
        <f>MONTH(表格1[[#This Row],[date]])</f>
        <v>3</v>
      </c>
      <c r="F1752" s="90">
        <v>46109</v>
      </c>
      <c r="G1752" s="81" t="str">
        <f>VLOOKUP("*"&amp;表格1[[#This Row],[Input]]&amp;"*",'Ref-List'!$B:$D,2,)</f>
        <v>RC-18NMFIH(WT)</v>
      </c>
      <c r="H1752" s="81" t="str">
        <f>_xlfn.XLOOKUP(表格1[[#This Row],[Model]],表格3[Model-Input-Ref2],表格3[Product Line])</f>
        <v>4毫米厚釜電飯煲1.8L</v>
      </c>
      <c r="I1752" s="81" t="str">
        <f>_xlfn.XLOOKUP(表格1[[#This Row],[Model]],表格3[Model-Input-Ref2],表格3[大小電])</f>
        <v>細電</v>
      </c>
      <c r="J1752" s="81" t="str">
        <f>_xlfn.XLOOKUP(表格1[[#This Row],[Model]],表格3[Model-Input-Ref2],表格3[Code])</f>
        <v>SDA</v>
      </c>
      <c r="K1752" s="89" t="s">
        <v>1267</v>
      </c>
      <c r="L1752" s="86">
        <v>1</v>
      </c>
      <c r="M1752" s="87">
        <v>799</v>
      </c>
      <c r="N1752" s="85">
        <f>IFERROR(表格1[[#This Row],[QTY]]*表格1[[#This Row],[Unit Price]],"-")</f>
        <v>799</v>
      </c>
      <c r="O1752" s="86">
        <v>368127</v>
      </c>
      <c r="R1752" s="86" t="str">
        <f>_xlfn.CONCAT(表格1[[#This Row],[Model]]," ",表格1[[#This Row],[inv no]])</f>
        <v>RC-18NMFIH(WT) 368127</v>
      </c>
      <c r="S1752" s="86">
        <f>_xlfn.XLOOKUP(表格1[[#This Row],[Model]],表格3[Model-Input-Ref2],表格3[SRP PRICE])</f>
        <v>998</v>
      </c>
      <c r="T1752" s="43">
        <f>表格1[[#This Row],[Unit Price]]/表格1[[#This Row],[SRP]]</f>
        <v>0.80060120240480959</v>
      </c>
      <c r="U1752" s="86" t="str">
        <f>_xlfn.XLOOKUP(表格1[[#This Row],[Model]],表格3[Model-Input-Ref2],表格3[TOSHIBA/HIGHEST])</f>
        <v>Toshiba SRP</v>
      </c>
      <c r="W1752" s="86" t="str">
        <f>_xlfn.CONCAT(表格1[[#This Row],[欄4]],表格1[[#This Row],[inv no]])</f>
        <v>368127</v>
      </c>
    </row>
    <row r="1753" spans="1:23" hidden="1">
      <c r="A1753" s="81">
        <v>1751</v>
      </c>
      <c r="B1753" s="81" t="s">
        <v>1260</v>
      </c>
      <c r="C1753" s="81" t="s">
        <v>2080</v>
      </c>
      <c r="D1753" s="82" t="str">
        <f ca="1">OFFSET(Roster!$A$3,MATCH(表格1[[#This Row],[Location]]&amp;" "&amp;表格1[[#This Row],[Shop]]&amp;"*",Roster!$A$4:$A$72,0),DAY(表格1[[#This Row],[date]]),1,1)</f>
        <v>Shan_2</v>
      </c>
      <c r="E1753" s="81">
        <f>MONTH(表格1[[#This Row],[date]])</f>
        <v>3</v>
      </c>
      <c r="F1753" s="90">
        <v>46109</v>
      </c>
      <c r="G1753" s="81" t="str">
        <f>VLOOKUP("*"&amp;表格1[[#This Row],[Input]]&amp;"*",'Ref-List'!$B:$D,2,)</f>
        <v>RC-10BHH(W)</v>
      </c>
      <c r="H1753" s="81" t="str">
        <f>_xlfn.XLOOKUP(表格1[[#This Row],[Model]],表格3[Model-Input-Ref2],表格3[Product Line])</f>
        <v>酵活炊磁應電飯煲</v>
      </c>
      <c r="I1753" s="81" t="str">
        <f>_xlfn.XLOOKUP(表格1[[#This Row],[Model]],表格3[Model-Input-Ref2],表格3[大小電])</f>
        <v>細電</v>
      </c>
      <c r="J1753" s="81" t="str">
        <f>_xlfn.XLOOKUP(表格1[[#This Row],[Model]],表格3[Model-Input-Ref2],表格3[Code])</f>
        <v>SDA</v>
      </c>
      <c r="K1753" s="89" t="s">
        <v>1269</v>
      </c>
      <c r="L1753" s="86">
        <v>1</v>
      </c>
      <c r="M1753" s="87">
        <v>1688</v>
      </c>
      <c r="N1753" s="85">
        <f>IFERROR(表格1[[#This Row],[QTY]]*表格1[[#This Row],[Unit Price]],"-")</f>
        <v>1688</v>
      </c>
      <c r="O1753" s="86">
        <v>368135</v>
      </c>
      <c r="R1753" s="86" t="str">
        <f>_xlfn.CONCAT(表格1[[#This Row],[Model]]," ",表格1[[#This Row],[inv no]])</f>
        <v>RC-10BHH(W) 368135</v>
      </c>
      <c r="S1753" s="86">
        <f>_xlfn.XLOOKUP(表格1[[#This Row],[Model]],表格3[Model-Input-Ref2],表格3[SRP PRICE])</f>
        <v>2088</v>
      </c>
      <c r="T1753" s="43">
        <f>表格1[[#This Row],[Unit Price]]/表格1[[#This Row],[SRP]]</f>
        <v>0.80842911877394641</v>
      </c>
      <c r="U1753" s="86" t="str">
        <f>_xlfn.XLOOKUP(表格1[[#This Row],[Model]],表格3[Model-Input-Ref2],表格3[TOSHIBA/HIGHEST])</f>
        <v>Shops Highest Price</v>
      </c>
      <c r="W1753" s="86" t="str">
        <f>_xlfn.CONCAT(表格1[[#This Row],[欄4]],表格1[[#This Row],[inv no]])</f>
        <v>368135</v>
      </c>
    </row>
    <row r="1754" spans="1:23" hidden="1">
      <c r="A1754" s="81">
        <v>1752</v>
      </c>
      <c r="B1754" s="81" t="s">
        <v>1260</v>
      </c>
      <c r="C1754" s="81" t="s">
        <v>2080</v>
      </c>
      <c r="D1754" s="82" t="str">
        <f ca="1">OFFSET(Roster!$A$3,MATCH(表格1[[#This Row],[Location]]&amp;" "&amp;表格1[[#This Row],[Shop]]&amp;"*",Roster!$A$4:$A$72,0),DAY(表格1[[#This Row],[date]]),1,1)</f>
        <v>Shan_2</v>
      </c>
      <c r="E1754" s="81">
        <f>MONTH(表格1[[#This Row],[date]])</f>
        <v>3</v>
      </c>
      <c r="F1754" s="90">
        <v>46109</v>
      </c>
      <c r="G1754" s="81" t="str">
        <f>VLOOKUP("*"&amp;表格1[[#This Row],[Input]]&amp;"*",'Ref-List'!$B:$D,2,)</f>
        <v>F-LYA20(W)HKG</v>
      </c>
      <c r="H1754" s="81" t="str">
        <f>_xlfn.XLOOKUP(表格1[[#This Row],[Model]],表格3[Model-Input-Ref2],表格3[Product Line])</f>
        <v>12吋2合1座地座檯電風扇連遙控</v>
      </c>
      <c r="I1754" s="81" t="str">
        <f>_xlfn.XLOOKUP(表格1[[#This Row],[Model]],表格3[Model-Input-Ref2],表格3[大小電])</f>
        <v>細電</v>
      </c>
      <c r="J1754" s="81" t="str">
        <f>_xlfn.XLOOKUP(表格1[[#This Row],[Model]],表格3[Model-Input-Ref2],表格3[Code])</f>
        <v>EAD</v>
      </c>
      <c r="K1754" s="89" t="s">
        <v>1391</v>
      </c>
      <c r="L1754" s="86">
        <v>1</v>
      </c>
      <c r="M1754" s="87">
        <v>399</v>
      </c>
      <c r="N1754" s="85">
        <f>IFERROR(表格1[[#This Row],[QTY]]*表格1[[#This Row],[Unit Price]],"-")</f>
        <v>399</v>
      </c>
      <c r="O1754" s="86">
        <v>368195</v>
      </c>
      <c r="R1754" s="86" t="str">
        <f>_xlfn.CONCAT(表格1[[#This Row],[Model]]," ",表格1[[#This Row],[inv no]])</f>
        <v>F-LYA20(W)HKG 368195</v>
      </c>
      <c r="S1754" s="86">
        <f>_xlfn.XLOOKUP(表格1[[#This Row],[Model]],表格3[Model-Input-Ref2],表格3[SRP PRICE])</f>
        <v>988</v>
      </c>
      <c r="T1754" s="43">
        <f>表格1[[#This Row],[Unit Price]]/表格1[[#This Row],[SRP]]</f>
        <v>0.40384615384615385</v>
      </c>
      <c r="U1754" s="86" t="str">
        <f>_xlfn.XLOOKUP(表格1[[#This Row],[Model]],表格3[Model-Input-Ref2],表格3[TOSHIBA/HIGHEST])</f>
        <v>Toshiba SRP</v>
      </c>
      <c r="W1754" s="86" t="str">
        <f>_xlfn.CONCAT(表格1[[#This Row],[欄4]],表格1[[#This Row],[inv no]])</f>
        <v>368195</v>
      </c>
    </row>
    <row r="1755" spans="1:23" hidden="1">
      <c r="A1755" s="81">
        <v>1753</v>
      </c>
      <c r="B1755" s="81" t="s">
        <v>1260</v>
      </c>
      <c r="C1755" s="81" t="s">
        <v>2080</v>
      </c>
      <c r="D1755" s="82" t="str">
        <f ca="1">OFFSET(Roster!$A$3,MATCH(表格1[[#This Row],[Location]]&amp;" "&amp;表格1[[#This Row],[Shop]]&amp;"*",Roster!$A$4:$A$72,0),DAY(表格1[[#This Row],[date]]),1,1)</f>
        <v>Shan_2</v>
      </c>
      <c r="E1755" s="81">
        <f>MONTH(表格1[[#This Row],[date]])</f>
        <v>3</v>
      </c>
      <c r="F1755" s="90">
        <v>46110</v>
      </c>
      <c r="G1755" s="81" t="str">
        <f>VLOOKUP("*"&amp;表格1[[#This Row],[Input]]&amp;"*",'Ref-List'!$B:$D,2,)</f>
        <v>MWP-MM20P(WH)</v>
      </c>
      <c r="H1755" s="81" t="str">
        <f>_xlfn.XLOOKUP(表格1[[#This Row],[Model]],表格3[Model-Input-Ref2],表格3[Product Line])</f>
        <v>旋鈕式燒烤微波爐20L</v>
      </c>
      <c r="I1755" s="81" t="str">
        <f>_xlfn.XLOOKUP(表格1[[#This Row],[Model]],表格3[Model-Input-Ref2],表格3[大小電])</f>
        <v>細電</v>
      </c>
      <c r="J1755" s="81" t="str">
        <f>_xlfn.XLOOKUP(表格1[[#This Row],[Model]],表格3[Model-Input-Ref2],表格3[Code])</f>
        <v>SDA</v>
      </c>
      <c r="K1755" s="89" t="s">
        <v>1270</v>
      </c>
      <c r="L1755" s="86">
        <v>1</v>
      </c>
      <c r="M1755" s="87">
        <v>488</v>
      </c>
      <c r="N1755" s="85">
        <f>IFERROR(表格1[[#This Row],[QTY]]*表格1[[#This Row],[Unit Price]],"-")</f>
        <v>488</v>
      </c>
      <c r="O1755" s="86">
        <v>368315</v>
      </c>
      <c r="R1755" s="86" t="str">
        <f>_xlfn.CONCAT(表格1[[#This Row],[Model]]," ",表格1[[#This Row],[inv no]])</f>
        <v>MWP-MM20P(WH) 368315</v>
      </c>
      <c r="S1755" s="86">
        <f>_xlfn.XLOOKUP(表格1[[#This Row],[Model]],表格3[Model-Input-Ref2],表格3[SRP PRICE])</f>
        <v>648</v>
      </c>
      <c r="T1755" s="43">
        <f>表格1[[#This Row],[Unit Price]]/表格1[[#This Row],[SRP]]</f>
        <v>0.75308641975308643</v>
      </c>
      <c r="U1755" s="86" t="str">
        <f>_xlfn.XLOOKUP(表格1[[#This Row],[Model]],表格3[Model-Input-Ref2],表格3[TOSHIBA/HIGHEST])</f>
        <v>Toshiba SRP</v>
      </c>
      <c r="W1755" s="86" t="str">
        <f>_xlfn.CONCAT(表格1[[#This Row],[欄4]],表格1[[#This Row],[inv no]])</f>
        <v>368315</v>
      </c>
    </row>
    <row r="1756" spans="1:23" hidden="1">
      <c r="A1756" s="81">
        <v>1754</v>
      </c>
      <c r="B1756" s="81" t="s">
        <v>1260</v>
      </c>
      <c r="C1756" s="81" t="s">
        <v>2080</v>
      </c>
      <c r="D1756" s="82" t="str">
        <f ca="1">OFFSET(Roster!$A$3,MATCH(表格1[[#This Row],[Location]]&amp;" "&amp;表格1[[#This Row],[Shop]]&amp;"*",Roster!$A$4:$A$72,0),DAY(表格1[[#This Row],[date]]),1,1)</f>
        <v>Shan_2</v>
      </c>
      <c r="E1756" s="81">
        <f>MONTH(表格1[[#This Row],[date]])</f>
        <v>3</v>
      </c>
      <c r="F1756" s="90">
        <v>46110</v>
      </c>
      <c r="G1756" s="81" t="str">
        <f>VLOOKUP("*"&amp;表格1[[#This Row],[Input]]&amp;"*",'Ref-List'!$B:$D,2,)</f>
        <v>GR-RM352WI-PMA(53)</v>
      </c>
      <c r="H1756" s="81" t="str">
        <f>_xlfn.XLOOKUP(表格1[[#This Row],[Model]],表格3[Model-Input-Ref2],表格3[Product Line])</f>
        <v>變頻三門雪櫃 (233L)</v>
      </c>
      <c r="I1756" s="81" t="str">
        <f>_xlfn.XLOOKUP(表格1[[#This Row],[Model]],表格3[Model-Input-Ref2],表格3[大小電])</f>
        <v>大電</v>
      </c>
      <c r="J1756" s="81" t="str">
        <f>_xlfn.XLOOKUP(表格1[[#This Row],[Model]],表格3[Model-Input-Ref2],表格3[Code])</f>
        <v>REF</v>
      </c>
      <c r="K1756" s="89" t="s">
        <v>1495</v>
      </c>
      <c r="L1756" s="86">
        <v>1</v>
      </c>
      <c r="M1756" s="87">
        <v>3490</v>
      </c>
      <c r="N1756" s="85">
        <f>IFERROR(表格1[[#This Row],[QTY]]*表格1[[#This Row],[Unit Price]],"-")</f>
        <v>3490</v>
      </c>
      <c r="O1756" s="86">
        <v>368345</v>
      </c>
      <c r="R1756" s="86" t="str">
        <f>_xlfn.CONCAT(表格1[[#This Row],[Model]]," ",表格1[[#This Row],[inv no]])</f>
        <v>GR-RM352WI-PMA(53) 368345</v>
      </c>
      <c r="S1756" s="86">
        <f>_xlfn.XLOOKUP(表格1[[#This Row],[Model]],表格3[Model-Input-Ref2],表格3[SRP PRICE])</f>
        <v>5580</v>
      </c>
      <c r="T1756" s="43">
        <f>表格1[[#This Row],[Unit Price]]/表格1[[#This Row],[SRP]]</f>
        <v>0.62544802867383509</v>
      </c>
      <c r="U1756" s="86" t="str">
        <f>_xlfn.XLOOKUP(表格1[[#This Row],[Model]],表格3[Model-Input-Ref2],表格3[TOSHIBA/HIGHEST])</f>
        <v>Toshiba SRP</v>
      </c>
      <c r="W1756" s="86" t="str">
        <f>_xlfn.CONCAT(表格1[[#This Row],[欄4]],表格1[[#This Row],[inv no]])</f>
        <v>368345</v>
      </c>
    </row>
    <row r="1757" spans="1:23" hidden="1">
      <c r="A1757" s="81">
        <v>1755</v>
      </c>
      <c r="B1757" s="81" t="s">
        <v>1260</v>
      </c>
      <c r="C1757" s="81" t="s">
        <v>2080</v>
      </c>
      <c r="D1757" s="82" t="str">
        <f ca="1">OFFSET(Roster!$A$3,MATCH(表格1[[#This Row],[Location]]&amp;" "&amp;表格1[[#This Row],[Shop]]&amp;"*",Roster!$A$4:$A$72,0),DAY(表格1[[#This Row],[date]]),1,1)</f>
        <v>Shan_2</v>
      </c>
      <c r="E1757" s="81">
        <f>MONTH(表格1[[#This Row],[date]])</f>
        <v>3</v>
      </c>
      <c r="F1757" s="90">
        <v>46110</v>
      </c>
      <c r="G1757" s="81" t="str">
        <f>VLOOKUP("*"&amp;表格1[[#This Row],[Input]]&amp;"*",'Ref-List'!$B:$D,2,)</f>
        <v>RC-5MMIH(WT)</v>
      </c>
      <c r="H1757" s="81" t="str">
        <f>_xlfn.XLOOKUP(表格1[[#This Row],[Model]],表格3[Model-Input-Ref2],表格3[Product Line])</f>
        <v>4毫米厚釜電飯煲0.54L</v>
      </c>
      <c r="I1757" s="81" t="str">
        <f>_xlfn.XLOOKUP(表格1[[#This Row],[Model]],表格3[Model-Input-Ref2],表格3[大小電])</f>
        <v>細電</v>
      </c>
      <c r="J1757" s="81" t="str">
        <f>_xlfn.XLOOKUP(表格1[[#This Row],[Model]],表格3[Model-Input-Ref2],表格3[Code])</f>
        <v>SDA</v>
      </c>
      <c r="K1757" s="89" t="s">
        <v>1195</v>
      </c>
      <c r="L1757" s="86">
        <v>1</v>
      </c>
      <c r="M1757" s="87">
        <v>450</v>
      </c>
      <c r="N1757" s="85">
        <f>IFERROR(表格1[[#This Row],[QTY]]*表格1[[#This Row],[Unit Price]],"-")</f>
        <v>450</v>
      </c>
      <c r="O1757" s="86">
        <v>368366</v>
      </c>
      <c r="R1757" s="86" t="str">
        <f>_xlfn.CONCAT(表格1[[#This Row],[Model]]," ",表格1[[#This Row],[inv no]])</f>
        <v>RC-5MMIH(WT) 368366</v>
      </c>
      <c r="S1757" s="86">
        <f>_xlfn.XLOOKUP(表格1[[#This Row],[Model]],表格3[Model-Input-Ref2],表格3[SRP PRICE])</f>
        <v>618</v>
      </c>
      <c r="T1757" s="43">
        <f>表格1[[#This Row],[Unit Price]]/表格1[[#This Row],[SRP]]</f>
        <v>0.72815533980582525</v>
      </c>
      <c r="U1757" s="86" t="str">
        <f>_xlfn.XLOOKUP(表格1[[#This Row],[Model]],表格3[Model-Input-Ref2],表格3[TOSHIBA/HIGHEST])</f>
        <v>Toshiba SRP</v>
      </c>
      <c r="W1757" s="86" t="str">
        <f>_xlfn.CONCAT(表格1[[#This Row],[欄4]],表格1[[#This Row],[inv no]])</f>
        <v>368366</v>
      </c>
    </row>
    <row r="1758" spans="1:23" hidden="1">
      <c r="A1758" s="81">
        <v>1756</v>
      </c>
      <c r="B1758" s="81" t="s">
        <v>1260</v>
      </c>
      <c r="C1758" s="81" t="s">
        <v>2080</v>
      </c>
      <c r="D1758" s="82" t="str">
        <f ca="1">OFFSET(Roster!$A$3,MATCH(表格1[[#This Row],[Location]]&amp;" "&amp;表格1[[#This Row],[Shop]]&amp;"*",Roster!$A$4:$A$72,0),DAY(表格1[[#This Row],[date]]),1,1)</f>
        <v>Shan_2</v>
      </c>
      <c r="E1758" s="81">
        <f>MONTH(表格1[[#This Row],[date]])</f>
        <v>3</v>
      </c>
      <c r="F1758" s="90">
        <v>46110</v>
      </c>
      <c r="G1758" s="81" t="str">
        <f>VLOOKUP("*"&amp;表格1[[#This Row],[Input]]&amp;"*",'Ref-List'!$B:$D,2,)</f>
        <v>KT-08DH1VHK(W)</v>
      </c>
      <c r="H1758" s="81" t="str">
        <f>_xlfn.XLOOKUP(表格1[[#This Row],[Model]],表格3[Model-Input-Ref2],表格3[Product Line])</f>
        <v>無線雙層電熱水壺-附可鎖壺蓋(0.8公升)</v>
      </c>
      <c r="I1758" s="81" t="str">
        <f>_xlfn.XLOOKUP(表格1[[#This Row],[Model]],表格3[Model-Input-Ref2],表格3[大小電])</f>
        <v>細電</v>
      </c>
      <c r="J1758" s="81" t="str">
        <f>_xlfn.XLOOKUP(表格1[[#This Row],[Model]],表格3[Model-Input-Ref2],表格3[Code])</f>
        <v>SDA</v>
      </c>
      <c r="K1758" s="89" t="s">
        <v>1268</v>
      </c>
      <c r="L1758" s="86">
        <v>1</v>
      </c>
      <c r="M1758" s="87">
        <v>268</v>
      </c>
      <c r="N1758" s="85">
        <f>IFERROR(表格1[[#This Row],[QTY]]*表格1[[#This Row],[Unit Price]],"-")</f>
        <v>268</v>
      </c>
      <c r="O1758" s="86">
        <v>368379</v>
      </c>
      <c r="R1758" s="86" t="str">
        <f>_xlfn.CONCAT(表格1[[#This Row],[Model]]," ",表格1[[#This Row],[inv no]])</f>
        <v>KT-08DH1VHK(W) 368379</v>
      </c>
      <c r="S1758" s="86">
        <f>_xlfn.XLOOKUP(表格1[[#This Row],[Model]],表格3[Model-Input-Ref2],表格3[SRP PRICE])</f>
        <v>428</v>
      </c>
      <c r="T1758" s="43">
        <f>表格1[[#This Row],[Unit Price]]/表格1[[#This Row],[SRP]]</f>
        <v>0.62616822429906538</v>
      </c>
      <c r="U1758" s="86" t="str">
        <f>_xlfn.XLOOKUP(表格1[[#This Row],[Model]],表格3[Model-Input-Ref2],表格3[TOSHIBA/HIGHEST])</f>
        <v>Toshiba SRP</v>
      </c>
      <c r="W1758" s="86" t="str">
        <f>_xlfn.CONCAT(表格1[[#This Row],[欄4]],表格1[[#This Row],[inv no]])</f>
        <v>368379</v>
      </c>
    </row>
    <row r="1759" spans="1:23" hidden="1">
      <c r="A1759" s="81">
        <v>1757</v>
      </c>
      <c r="B1759" s="81" t="s">
        <v>1260</v>
      </c>
      <c r="C1759" s="81" t="s">
        <v>2080</v>
      </c>
      <c r="D1759" s="82" t="str">
        <f ca="1">OFFSET(Roster!$A$3,MATCH(表格1[[#This Row],[Location]]&amp;" "&amp;表格1[[#This Row],[Shop]]&amp;"*",Roster!$A$4:$A$72,0),DAY(表格1[[#This Row],[date]]),1,1)</f>
        <v>Shan_2</v>
      </c>
      <c r="E1759" s="81">
        <f>MONTH(表格1[[#This Row],[date]])</f>
        <v>3</v>
      </c>
      <c r="F1759" s="90">
        <v>46110</v>
      </c>
      <c r="G1759" s="81" t="str">
        <f>VLOOKUP("*"&amp;表格1[[#This Row],[Input]]&amp;"*",'Ref-List'!$B:$D,2,)</f>
        <v>KT-17SHNH</v>
      </c>
      <c r="H1759" s="81" t="str">
        <f>_xlfn.XLOOKUP(表格1[[#This Row],[Model]],表格3[Model-Input-Ref2],表格3[Product Line])</f>
        <v>1.7L無線雙層電熱水壺</v>
      </c>
      <c r="I1759" s="81" t="str">
        <f>_xlfn.XLOOKUP(表格1[[#This Row],[Model]],表格3[Model-Input-Ref2],表格3[大小電])</f>
        <v>細電</v>
      </c>
      <c r="J1759" s="81" t="str">
        <f>_xlfn.XLOOKUP(表格1[[#This Row],[Model]],表格3[Model-Input-Ref2],表格3[Code])</f>
        <v>SDA</v>
      </c>
      <c r="K1759" s="89" t="s">
        <v>1283</v>
      </c>
      <c r="L1759" s="86">
        <v>1</v>
      </c>
      <c r="M1759" s="87">
        <v>198</v>
      </c>
      <c r="N1759" s="85">
        <f>IFERROR(表格1[[#This Row],[QTY]]*表格1[[#This Row],[Unit Price]],"-")</f>
        <v>198</v>
      </c>
      <c r="O1759" s="86">
        <v>368385</v>
      </c>
      <c r="R1759" s="86" t="str">
        <f>_xlfn.CONCAT(表格1[[#This Row],[Model]]," ",表格1[[#This Row],[inv no]])</f>
        <v>KT-17SHNH 368385</v>
      </c>
      <c r="S1759" s="86">
        <f>_xlfn.XLOOKUP(表格1[[#This Row],[Model]],表格3[Model-Input-Ref2],表格3[SRP PRICE])</f>
        <v>299</v>
      </c>
      <c r="T1759" s="43">
        <f>表格1[[#This Row],[Unit Price]]/表格1[[#This Row],[SRP]]</f>
        <v>0.66220735785953178</v>
      </c>
      <c r="U1759" s="86" t="str">
        <f>_xlfn.XLOOKUP(表格1[[#This Row],[Model]],表格3[Model-Input-Ref2],表格3[TOSHIBA/HIGHEST])</f>
        <v>Shops Highest Price</v>
      </c>
      <c r="W1759" s="86" t="str">
        <f>_xlfn.CONCAT(表格1[[#This Row],[欄4]],表格1[[#This Row],[inv no]])</f>
        <v>368385</v>
      </c>
    </row>
    <row r="1760" spans="1:23" hidden="1">
      <c r="A1760" s="81">
        <v>1758</v>
      </c>
      <c r="B1760" s="81" t="s">
        <v>1260</v>
      </c>
      <c r="C1760" s="81" t="s">
        <v>2080</v>
      </c>
      <c r="D1760" s="82" t="str">
        <f ca="1">OFFSET(Roster!$A$3,MATCH(表格1[[#This Row],[Location]]&amp;" "&amp;表格1[[#This Row],[Shop]]&amp;"*",Roster!$A$4:$A$72,0),DAY(表格1[[#This Row],[date]]),1,1)</f>
        <v>Shan_2</v>
      </c>
      <c r="E1760" s="81">
        <f>MONTH(表格1[[#This Row],[date]])</f>
        <v>3</v>
      </c>
      <c r="F1760" s="90">
        <v>46110</v>
      </c>
      <c r="G1760" s="81" t="str">
        <f>VLOOKUP("*"&amp;表格1[[#This Row],[Input]]&amp;"*",'Ref-List'!$B:$D,2,)</f>
        <v>RC-18AMXH(W)</v>
      </c>
      <c r="H1760" s="81" t="str">
        <f>_xlfn.XLOOKUP(表格1[[#This Row],[Model]],表格3[Model-Input-Ref2],表格3[Product Line])</f>
        <v>酵活炊電飯煲(1.8公升)</v>
      </c>
      <c r="I1760" s="81" t="str">
        <f>_xlfn.XLOOKUP(表格1[[#This Row],[Model]],表格3[Model-Input-Ref2],表格3[大小電])</f>
        <v>細電</v>
      </c>
      <c r="J1760" s="81" t="str">
        <f>_xlfn.XLOOKUP(表格1[[#This Row],[Model]],表格3[Model-Input-Ref2],表格3[Code])</f>
        <v>SDA</v>
      </c>
      <c r="K1760" s="89" t="s">
        <v>1362</v>
      </c>
      <c r="L1760" s="86">
        <v>1</v>
      </c>
      <c r="M1760" s="87">
        <v>990</v>
      </c>
      <c r="N1760" s="85">
        <f>IFERROR(表格1[[#This Row],[QTY]]*表格1[[#This Row],[Unit Price]],"-")</f>
        <v>990</v>
      </c>
      <c r="O1760" s="86">
        <v>368403</v>
      </c>
      <c r="R1760" s="86" t="str">
        <f>_xlfn.CONCAT(表格1[[#This Row],[Model]]," ",表格1[[#This Row],[inv no]])</f>
        <v>RC-18AMXH(W) 368403</v>
      </c>
      <c r="S1760" s="86">
        <f>_xlfn.XLOOKUP(表格1[[#This Row],[Model]],表格3[Model-Input-Ref2],表格3[SRP PRICE])</f>
        <v>1588</v>
      </c>
      <c r="T1760" s="43">
        <f>表格1[[#This Row],[Unit Price]]/表格1[[#This Row],[SRP]]</f>
        <v>0.62342569269521408</v>
      </c>
      <c r="U1760" s="86" t="str">
        <f>_xlfn.XLOOKUP(表格1[[#This Row],[Model]],表格3[Model-Input-Ref2],表格3[TOSHIBA/HIGHEST])</f>
        <v>Toshiba SRP</v>
      </c>
      <c r="W1760" s="86" t="str">
        <f>_xlfn.CONCAT(表格1[[#This Row],[欄4]],表格1[[#This Row],[inv no]])</f>
        <v>368403</v>
      </c>
    </row>
    <row r="1761" spans="1:23" hidden="1">
      <c r="A1761" s="81">
        <v>1759</v>
      </c>
      <c r="B1761" s="81" t="s">
        <v>1260</v>
      </c>
      <c r="C1761" s="81" t="s">
        <v>2080</v>
      </c>
      <c r="D1761" s="82" t="str">
        <f ca="1">OFFSET(Roster!$A$3,MATCH(表格1[[#This Row],[Location]]&amp;" "&amp;表格1[[#This Row],[Shop]]&amp;"*",Roster!$A$4:$A$72,0),DAY(表格1[[#This Row],[date]]),1,1)</f>
        <v>Shan_2</v>
      </c>
      <c r="E1761" s="81">
        <f>MONTH(表格1[[#This Row],[date]])</f>
        <v>3</v>
      </c>
      <c r="F1761" s="90">
        <v>46110</v>
      </c>
      <c r="G1761" s="81" t="str">
        <f>VLOOKUP("*"&amp;表格1[[#This Row],[Input]]&amp;"*",'Ref-List'!$B:$D,2,)</f>
        <v>RC-18JRUH(N)</v>
      </c>
      <c r="H1761" s="81" t="str">
        <f>_xlfn.XLOOKUP(表格1[[#This Row],[Model]],表格3[Model-Input-Ref2],表格3[Product Line])</f>
        <v>1.8公升電飯煲</v>
      </c>
      <c r="I1761" s="81" t="str">
        <f>_xlfn.XLOOKUP(表格1[[#This Row],[Model]],表格3[Model-Input-Ref2],表格3[大小電])</f>
        <v>細電</v>
      </c>
      <c r="J1761" s="81" t="str">
        <f>_xlfn.XLOOKUP(表格1[[#This Row],[Model]],表格3[Model-Input-Ref2],表格3[Code])</f>
        <v>SDA</v>
      </c>
      <c r="K1761" s="89" t="s">
        <v>1275</v>
      </c>
      <c r="L1761" s="86">
        <v>1</v>
      </c>
      <c r="M1761" s="87">
        <v>300</v>
      </c>
      <c r="N1761" s="85">
        <f>IFERROR(表格1[[#This Row],[QTY]]*表格1[[#This Row],[Unit Price]],"-")</f>
        <v>300</v>
      </c>
      <c r="O1761" s="86">
        <v>607541</v>
      </c>
      <c r="R1761" s="86" t="str">
        <f>_xlfn.CONCAT(表格1[[#This Row],[Model]]," ",表格1[[#This Row],[inv no]])</f>
        <v>RC-18JRUH(N) 607541</v>
      </c>
      <c r="S1761" s="86">
        <f>_xlfn.XLOOKUP(表格1[[#This Row],[Model]],表格3[Model-Input-Ref2],表格3[SRP PRICE])</f>
        <v>458</v>
      </c>
      <c r="T1761" s="43">
        <f>表格1[[#This Row],[Unit Price]]/表格1[[#This Row],[SRP]]</f>
        <v>0.65502183406113534</v>
      </c>
      <c r="U1761" s="86" t="str">
        <f>_xlfn.XLOOKUP(表格1[[#This Row],[Model]],表格3[Model-Input-Ref2],表格3[TOSHIBA/HIGHEST])</f>
        <v>Shops Highest Price</v>
      </c>
      <c r="W1761" s="86" t="str">
        <f>_xlfn.CONCAT(表格1[[#This Row],[欄4]],表格1[[#This Row],[inv no]])</f>
        <v>607541</v>
      </c>
    </row>
    <row r="1762" spans="1:23" hidden="1">
      <c r="A1762" s="81">
        <v>1760</v>
      </c>
      <c r="B1762" s="81" t="s">
        <v>1260</v>
      </c>
      <c r="C1762" s="81" t="s">
        <v>2080</v>
      </c>
      <c r="D1762" s="82" t="str">
        <f ca="1">OFFSET(Roster!$A$3,MATCH(表格1[[#This Row],[Location]]&amp;" "&amp;表格1[[#This Row],[Shop]]&amp;"*",Roster!$A$4:$A$72,0),DAY(表格1[[#This Row],[date]]),1,1)</f>
        <v>Shan_2</v>
      </c>
      <c r="E1762" s="81">
        <f>MONTH(表格1[[#This Row],[date]])</f>
        <v>3</v>
      </c>
      <c r="F1762" s="90">
        <v>46110</v>
      </c>
      <c r="G1762" s="81" t="str">
        <f>VLOOKUP("*"&amp;表格1[[#This Row],[Input]]&amp;"*",'Ref-List'!$B:$D,2,)</f>
        <v>GR-RB360WE-PMA(06)</v>
      </c>
      <c r="H1762" s="81" t="str">
        <f>_xlfn.XLOOKUP(表格1[[#This Row],[Model]],表格3[Model-Input-Ref2],表格3[Product Line])</f>
        <v>變頻下置式雙門雪櫃系列270L</v>
      </c>
      <c r="I1762" s="81" t="str">
        <f>_xlfn.XLOOKUP(表格1[[#This Row],[Model]],表格3[Model-Input-Ref2],表格3[大小電])</f>
        <v>大電</v>
      </c>
      <c r="J1762" s="81" t="str">
        <f>_xlfn.XLOOKUP(表格1[[#This Row],[Model]],表格3[Model-Input-Ref2],表格3[Code])</f>
        <v>REF</v>
      </c>
      <c r="K1762" s="89" t="s">
        <v>1282</v>
      </c>
      <c r="L1762" s="86">
        <v>1</v>
      </c>
      <c r="M1762" s="87">
        <v>3580</v>
      </c>
      <c r="N1762" s="85">
        <f>IFERROR(表格1[[#This Row],[QTY]]*表格1[[#This Row],[Unit Price]],"-")</f>
        <v>3580</v>
      </c>
      <c r="O1762" s="86">
        <v>368416</v>
      </c>
      <c r="R1762" s="86" t="str">
        <f>_xlfn.CONCAT(表格1[[#This Row],[Model]]," ",表格1[[#This Row],[inv no]])</f>
        <v>GR-RB360WE-PMA(06) 368416</v>
      </c>
      <c r="S1762" s="86">
        <f>_xlfn.XLOOKUP(表格1[[#This Row],[Model]],表格3[Model-Input-Ref2],表格3[SRP PRICE])</f>
        <v>5080</v>
      </c>
      <c r="T1762" s="43">
        <f>表格1[[#This Row],[Unit Price]]/表格1[[#This Row],[SRP]]</f>
        <v>0.70472440944881887</v>
      </c>
      <c r="U1762" s="86" t="str">
        <f>_xlfn.XLOOKUP(表格1[[#This Row],[Model]],表格3[Model-Input-Ref2],表格3[TOSHIBA/HIGHEST])</f>
        <v>Toshiba SRP</v>
      </c>
      <c r="W1762" s="86" t="str">
        <f>_xlfn.CONCAT(表格1[[#This Row],[欄4]],表格1[[#This Row],[inv no]])</f>
        <v>368416</v>
      </c>
    </row>
    <row r="1763" spans="1:23" hidden="1">
      <c r="A1763" s="81">
        <v>1761</v>
      </c>
      <c r="B1763" s="81" t="s">
        <v>1260</v>
      </c>
      <c r="C1763" s="81" t="s">
        <v>2080</v>
      </c>
      <c r="D1763" s="82" t="str">
        <f ca="1">OFFSET(Roster!$A$3,MATCH(表格1[[#This Row],[Location]]&amp;" "&amp;表格1[[#This Row],[Shop]]&amp;"*",Roster!$A$4:$A$72,0),DAY(表格1[[#This Row],[date]]),1,1)</f>
        <v>Shan_2</v>
      </c>
      <c r="E1763" s="81">
        <f>MONTH(表格1[[#This Row],[date]])</f>
        <v>3</v>
      </c>
      <c r="F1763" s="90">
        <v>46110</v>
      </c>
      <c r="G1763" s="81" t="str">
        <f>VLOOKUP("*"&amp;表格1[[#This Row],[Input]]&amp;"*",'Ref-List'!$B:$D,2,)</f>
        <v>RC-DR10T(W)</v>
      </c>
      <c r="H1763" s="81" t="str">
        <f>_xlfn.XLOOKUP(表格1[[#This Row],[Model]],表格3[Model-Input-Ref2],表格3[Product Line])</f>
        <v>IH磁應電飯煲</v>
      </c>
      <c r="I1763" s="81" t="str">
        <f>_xlfn.XLOOKUP(表格1[[#This Row],[Model]],表格3[Model-Input-Ref2],表格3[大小電])</f>
        <v>細電</v>
      </c>
      <c r="J1763" s="81" t="str">
        <f>_xlfn.XLOOKUP(表格1[[#This Row],[Model]],表格3[Model-Input-Ref2],表格3[Code])</f>
        <v>SDA</v>
      </c>
      <c r="K1763" s="89" t="s">
        <v>1294</v>
      </c>
      <c r="L1763" s="86">
        <v>1</v>
      </c>
      <c r="M1763" s="87">
        <v>2290</v>
      </c>
      <c r="N1763" s="85">
        <f>IFERROR(表格1[[#This Row],[QTY]]*表格1[[#This Row],[Unit Price]],"-")</f>
        <v>2290</v>
      </c>
      <c r="O1763" s="86">
        <v>368421</v>
      </c>
      <c r="R1763" s="86" t="str">
        <f>_xlfn.CONCAT(表格1[[#This Row],[Model]]," ",表格1[[#This Row],[inv no]])</f>
        <v>RC-DR10T(W) 368421</v>
      </c>
      <c r="S1763" s="86">
        <f>_xlfn.XLOOKUP(表格1[[#This Row],[Model]],表格3[Model-Input-Ref2],表格3[SRP PRICE])</f>
        <v>3188</v>
      </c>
      <c r="T1763" s="43">
        <f>表格1[[#This Row],[Unit Price]]/表格1[[#This Row],[SRP]]</f>
        <v>0.71831869510664992</v>
      </c>
      <c r="U1763" s="86" t="str">
        <f>_xlfn.XLOOKUP(表格1[[#This Row],[Model]],表格3[Model-Input-Ref2],表格3[TOSHIBA/HIGHEST])</f>
        <v>Toshiba SRP</v>
      </c>
      <c r="W1763" s="86" t="str">
        <f>_xlfn.CONCAT(表格1[[#This Row],[欄4]],表格1[[#This Row],[inv no]])</f>
        <v>368421</v>
      </c>
    </row>
    <row r="1764" spans="1:23" hidden="1">
      <c r="A1764" s="81">
        <v>1762</v>
      </c>
      <c r="B1764" s="81" t="s">
        <v>1260</v>
      </c>
      <c r="C1764" s="81" t="s">
        <v>2080</v>
      </c>
      <c r="D1764" s="82" t="str">
        <f ca="1">OFFSET(Roster!$A$3,MATCH(表格1[[#This Row],[Location]]&amp;" "&amp;表格1[[#This Row],[Shop]]&amp;"*",Roster!$A$4:$A$72,0),DAY(表格1[[#This Row],[date]]),1,1)</f>
        <v>Shan_2</v>
      </c>
      <c r="E1764" s="81">
        <f>MONTH(表格1[[#This Row],[date]])</f>
        <v>3</v>
      </c>
      <c r="F1764" s="90">
        <v>46110</v>
      </c>
      <c r="G1764" s="81" t="str">
        <f>VLOOKUP("*"&amp;表格1[[#This Row],[Input]]&amp;"*",'Ref-List'!$B:$D,2,)</f>
        <v>MW3-MM25PC(BK)</v>
      </c>
      <c r="H1764" s="81" t="str">
        <f>_xlfn.XLOOKUP(表格1[[#This Row],[Model]],表格3[Model-Input-Ref2],表格3[Product Line])</f>
        <v>旋鈕式微波爐 (25公升)</v>
      </c>
      <c r="I1764" s="81" t="str">
        <f>_xlfn.XLOOKUP(表格1[[#This Row],[Model]],表格3[Model-Input-Ref2],表格3[大小電])</f>
        <v>細電</v>
      </c>
      <c r="J1764" s="81" t="str">
        <f>_xlfn.XLOOKUP(表格1[[#This Row],[Model]],表格3[Model-Input-Ref2],表格3[Code])</f>
        <v>MOA</v>
      </c>
      <c r="K1764" s="89" t="s">
        <v>1482</v>
      </c>
      <c r="L1764" s="86">
        <v>1</v>
      </c>
      <c r="M1764" s="87">
        <v>698</v>
      </c>
      <c r="N1764" s="85">
        <f>IFERROR(表格1[[#This Row],[QTY]]*表格1[[#This Row],[Unit Price]],"-")</f>
        <v>698</v>
      </c>
      <c r="O1764" s="86">
        <v>368423</v>
      </c>
      <c r="R1764" s="86" t="str">
        <f>_xlfn.CONCAT(表格1[[#This Row],[Model]]," ",表格1[[#This Row],[inv no]])</f>
        <v>MW3-MM25PC(BK) 368423</v>
      </c>
      <c r="S1764" s="86">
        <f>_xlfn.XLOOKUP(表格1[[#This Row],[Model]],表格3[Model-Input-Ref2],表格3[SRP PRICE])</f>
        <v>998</v>
      </c>
      <c r="T1764" s="43">
        <f>表格1[[#This Row],[Unit Price]]/表格1[[#This Row],[SRP]]</f>
        <v>0.69939879759519041</v>
      </c>
      <c r="U1764" s="86" t="str">
        <f>_xlfn.XLOOKUP(表格1[[#This Row],[Model]],表格3[Model-Input-Ref2],表格3[TOSHIBA/HIGHEST])</f>
        <v>Toshiba SRP</v>
      </c>
      <c r="W1764" s="86" t="str">
        <f>_xlfn.CONCAT(表格1[[#This Row],[欄4]],表格1[[#This Row],[inv no]])</f>
        <v>368423</v>
      </c>
    </row>
    <row r="1765" spans="1:23" hidden="1">
      <c r="A1765" s="81">
        <v>1763</v>
      </c>
      <c r="B1765" s="81" t="s">
        <v>1260</v>
      </c>
      <c r="C1765" s="81" t="s">
        <v>2080</v>
      </c>
      <c r="D1765" s="82" t="str">
        <f ca="1">OFFSET(Roster!$A$3,MATCH(表格1[[#This Row],[Location]]&amp;" "&amp;表格1[[#This Row],[Shop]]&amp;"*",Roster!$A$4:$A$72,0),DAY(表格1[[#This Row],[date]]),1,1)</f>
        <v>Shan_2</v>
      </c>
      <c r="E1765" s="81">
        <f>MONTH(表格1[[#This Row],[date]])</f>
        <v>3</v>
      </c>
      <c r="F1765" s="90">
        <v>46110</v>
      </c>
      <c r="G1765" s="81" t="str">
        <f>VLOOKUP("*"&amp;表格1[[#This Row],[Input]]&amp;"*",'Ref-List'!$B:$D,2,)</f>
        <v>RC-DR10T(W)</v>
      </c>
      <c r="H1765" s="81" t="str">
        <f>_xlfn.XLOOKUP(表格1[[#This Row],[Model]],表格3[Model-Input-Ref2],表格3[Product Line])</f>
        <v>IH磁應電飯煲</v>
      </c>
      <c r="I1765" s="81" t="str">
        <f>_xlfn.XLOOKUP(表格1[[#This Row],[Model]],表格3[Model-Input-Ref2],表格3[大小電])</f>
        <v>細電</v>
      </c>
      <c r="J1765" s="81" t="str">
        <f>_xlfn.XLOOKUP(表格1[[#This Row],[Model]],表格3[Model-Input-Ref2],表格3[Code])</f>
        <v>SDA</v>
      </c>
      <c r="K1765" s="89" t="s">
        <v>1294</v>
      </c>
      <c r="L1765" s="86">
        <v>1</v>
      </c>
      <c r="M1765" s="87">
        <v>2290</v>
      </c>
      <c r="N1765" s="85">
        <f>IFERROR(表格1[[#This Row],[QTY]]*表格1[[#This Row],[Unit Price]],"-")</f>
        <v>2290</v>
      </c>
      <c r="O1765" s="86">
        <v>368423</v>
      </c>
      <c r="R1765" s="86" t="str">
        <f>_xlfn.CONCAT(表格1[[#This Row],[Model]]," ",表格1[[#This Row],[inv no]])</f>
        <v>RC-DR10T(W) 368423</v>
      </c>
      <c r="S1765" s="86">
        <f>_xlfn.XLOOKUP(表格1[[#This Row],[Model]],表格3[Model-Input-Ref2],表格3[SRP PRICE])</f>
        <v>3188</v>
      </c>
      <c r="T1765" s="43">
        <f>表格1[[#This Row],[Unit Price]]/表格1[[#This Row],[SRP]]</f>
        <v>0.71831869510664992</v>
      </c>
      <c r="U1765" s="86" t="str">
        <f>_xlfn.XLOOKUP(表格1[[#This Row],[Model]],表格3[Model-Input-Ref2],表格3[TOSHIBA/HIGHEST])</f>
        <v>Toshiba SRP</v>
      </c>
      <c r="W1765" s="86" t="str">
        <f>_xlfn.CONCAT(表格1[[#This Row],[欄4]],表格1[[#This Row],[inv no]])</f>
        <v>368423</v>
      </c>
    </row>
    <row r="1766" spans="1:23" hidden="1">
      <c r="A1766" s="81">
        <v>1764</v>
      </c>
      <c r="B1766" s="81" t="s">
        <v>1260</v>
      </c>
      <c r="C1766" s="81" t="s">
        <v>2080</v>
      </c>
      <c r="D1766" s="82" t="str">
        <f ca="1">OFFSET(Roster!$A$3,MATCH(表格1[[#This Row],[Location]]&amp;" "&amp;表格1[[#This Row],[Shop]]&amp;"*",Roster!$A$4:$A$72,0),DAY(表格1[[#This Row],[date]]),1,1)</f>
        <v>Shan_2</v>
      </c>
      <c r="E1766" s="81">
        <f>MONTH(表格1[[#This Row],[date]])</f>
        <v>3</v>
      </c>
      <c r="F1766" s="90">
        <v>46110</v>
      </c>
      <c r="G1766" s="81" t="str">
        <f>VLOOKUP("*"&amp;表格1[[#This Row],[Input]]&amp;"*",'Ref-List'!$B:$D,2,)</f>
        <v>RAD-D300H</v>
      </c>
      <c r="H1766" s="81" t="str">
        <f>_xlfn.XLOOKUP(表格1[[#This Row],[Model]],表格3[Model-Input-Ref2],表格3[Product Line])</f>
        <v>壓縮式抽濕機 (30公升)</v>
      </c>
      <c r="I1766" s="81" t="str">
        <f>_xlfn.XLOOKUP(表格1[[#This Row],[Model]],表格3[Model-Input-Ref2],表格3[大小電])</f>
        <v>細電</v>
      </c>
      <c r="J1766" s="81" t="str">
        <f>_xlfn.XLOOKUP(表格1[[#This Row],[Model]],表格3[Model-Input-Ref2],表格3[Code])</f>
        <v>RAC</v>
      </c>
      <c r="K1766" s="89" t="s">
        <v>1252</v>
      </c>
      <c r="L1766" s="86">
        <v>1</v>
      </c>
      <c r="M1766" s="87">
        <v>2180</v>
      </c>
      <c r="N1766" s="85">
        <f>IFERROR(表格1[[#This Row],[QTY]]*表格1[[#This Row],[Unit Price]],"-")</f>
        <v>2180</v>
      </c>
      <c r="O1766" s="86">
        <v>376007</v>
      </c>
      <c r="R1766" s="86" t="str">
        <f>_xlfn.CONCAT(表格1[[#This Row],[Model]]," ",表格1[[#This Row],[inv no]])</f>
        <v>RAD-D300H 376007</v>
      </c>
      <c r="S1766" s="86">
        <f>_xlfn.XLOOKUP(表格1[[#This Row],[Model]],表格3[Model-Input-Ref2],表格3[SRP PRICE])</f>
        <v>3380</v>
      </c>
      <c r="T1766" s="43">
        <f>表格1[[#This Row],[Unit Price]]/表格1[[#This Row],[SRP]]</f>
        <v>0.6449704142011834</v>
      </c>
      <c r="U1766" s="86" t="str">
        <f>_xlfn.XLOOKUP(表格1[[#This Row],[Model]],表格3[Model-Input-Ref2],表格3[TOSHIBA/HIGHEST])</f>
        <v>Shops Highest Price</v>
      </c>
      <c r="W1766" s="86" t="str">
        <f>_xlfn.CONCAT(表格1[[#This Row],[欄4]],表格1[[#This Row],[inv no]])</f>
        <v>376007</v>
      </c>
    </row>
    <row r="1767" spans="1:23" hidden="1">
      <c r="A1767" s="81">
        <v>1765</v>
      </c>
      <c r="B1767" s="81" t="s">
        <v>1260</v>
      </c>
      <c r="C1767" s="81" t="s">
        <v>2080</v>
      </c>
      <c r="D1767" s="82" t="str">
        <f ca="1">OFFSET(Roster!$A$3,MATCH(表格1[[#This Row],[Location]]&amp;" "&amp;表格1[[#This Row],[Shop]]&amp;"*",Roster!$A$4:$A$72,0),DAY(表格1[[#This Row],[date]]),1,1)</f>
        <v>Shan_2</v>
      </c>
      <c r="E1767" s="81">
        <f>MONTH(表格1[[#This Row],[date]])</f>
        <v>3</v>
      </c>
      <c r="F1767" s="90">
        <v>46110</v>
      </c>
      <c r="G1767" s="81" t="str">
        <f>VLOOKUP("*"&amp;表格1[[#This Row],[Input]]&amp;"*",'Ref-List'!$B:$D,2,)</f>
        <v>TW-T22BU95UWH(WK)-B</v>
      </c>
      <c r="H1767" s="81" t="str">
        <f>_xlfn.XLOOKUP(表格1[[#This Row],[Model]],表格3[Model-Input-Ref2],表格3[Product Line])</f>
        <v>470MM超薄身前置式變頻洗衣機(8.5公斤, 可飛頂)</v>
      </c>
      <c r="I1767" s="81" t="str">
        <f>_xlfn.XLOOKUP(表格1[[#This Row],[Model]],表格3[Model-Input-Ref2],表格3[大小電])</f>
        <v>大電</v>
      </c>
      <c r="J1767" s="81" t="str">
        <f>_xlfn.XLOOKUP(表格1[[#This Row],[Model]],表格3[Model-Input-Ref2],表格3[Code])</f>
        <v>LAD</v>
      </c>
      <c r="K1767" s="89" t="s">
        <v>969</v>
      </c>
      <c r="L1767" s="86">
        <v>1</v>
      </c>
      <c r="M1767" s="87">
        <v>3680</v>
      </c>
      <c r="N1767" s="85">
        <f>IFERROR(表格1[[#This Row],[QTY]]*表格1[[#This Row],[Unit Price]],"-")</f>
        <v>3680</v>
      </c>
      <c r="O1767" s="86">
        <v>376007</v>
      </c>
      <c r="R1767" s="86" t="str">
        <f>_xlfn.CONCAT(表格1[[#This Row],[Model]]," ",表格1[[#This Row],[inv no]])</f>
        <v>TW-T22BU95UWH(WK)-B 376007</v>
      </c>
      <c r="S1767" s="86">
        <f>_xlfn.XLOOKUP(表格1[[#This Row],[Model]],表格3[Model-Input-Ref2],表格3[SRP PRICE])</f>
        <v>5880</v>
      </c>
      <c r="T1767" s="43">
        <f>表格1[[#This Row],[Unit Price]]/表格1[[#This Row],[SRP]]</f>
        <v>0.62585034013605445</v>
      </c>
      <c r="U1767" s="86" t="str">
        <f>_xlfn.XLOOKUP(表格1[[#This Row],[Model]],表格3[Model-Input-Ref2],表格3[TOSHIBA/HIGHEST])</f>
        <v>Toshiba SRP</v>
      </c>
      <c r="W1767" s="86" t="str">
        <f>_xlfn.CONCAT(表格1[[#This Row],[欄4]],表格1[[#This Row],[inv no]])</f>
        <v>376007</v>
      </c>
    </row>
    <row r="1768" spans="1:23" hidden="1">
      <c r="A1768" s="81">
        <v>1766</v>
      </c>
      <c r="B1768" s="81" t="s">
        <v>1260</v>
      </c>
      <c r="C1768" s="81" t="s">
        <v>2080</v>
      </c>
      <c r="D1768" s="82" t="str">
        <f ca="1">OFFSET(Roster!$A$3,MATCH(表格1[[#This Row],[Location]]&amp;" "&amp;表格1[[#This Row],[Shop]]&amp;"*",Roster!$A$4:$A$72,0),DAY(表格1[[#This Row],[date]]),1,1)</f>
        <v>Shan_2</v>
      </c>
      <c r="E1768" s="81">
        <f>MONTH(表格1[[#This Row],[date]])</f>
        <v>3</v>
      </c>
      <c r="F1768" s="90">
        <v>46110</v>
      </c>
      <c r="G1768" s="81" t="str">
        <f>VLOOKUP("*"&amp;表格1[[#This Row],[Input]]&amp;"*",'Ref-List'!$B:$D,2,)</f>
        <v>RC-5SLIH(W)</v>
      </c>
      <c r="H1768" s="81" t="str">
        <f>_xlfn.XLOOKUP(表格1[[#This Row],[Model]],表格3[Model-Input-Ref2],表格3[Product Line])</f>
        <v>微型電腦珍珠飯煲</v>
      </c>
      <c r="I1768" s="81" t="str">
        <f>_xlfn.XLOOKUP(表格1[[#This Row],[Model]],表格3[Model-Input-Ref2],表格3[大小電])</f>
        <v>細電</v>
      </c>
      <c r="J1768" s="81" t="str">
        <f>_xlfn.XLOOKUP(表格1[[#This Row],[Model]],表格3[Model-Input-Ref2],表格3[Code])</f>
        <v>SDA</v>
      </c>
      <c r="K1768" s="89" t="s">
        <v>1264</v>
      </c>
      <c r="L1768" s="86">
        <v>1</v>
      </c>
      <c r="M1768" s="87">
        <v>550</v>
      </c>
      <c r="N1768" s="85">
        <f>IFERROR(表格1[[#This Row],[QTY]]*表格1[[#This Row],[Unit Price]],"-")</f>
        <v>550</v>
      </c>
      <c r="O1768" s="86">
        <v>368476</v>
      </c>
      <c r="R1768" s="86" t="str">
        <f>_xlfn.CONCAT(表格1[[#This Row],[Model]]," ",表格1[[#This Row],[inv no]])</f>
        <v>RC-5SLIH(W) 368476</v>
      </c>
      <c r="S1768" s="86">
        <f>_xlfn.XLOOKUP(表格1[[#This Row],[Model]],表格3[Model-Input-Ref2],表格3[SRP PRICE])</f>
        <v>658</v>
      </c>
      <c r="T1768" s="43">
        <f>表格1[[#This Row],[Unit Price]]/表格1[[#This Row],[SRP]]</f>
        <v>0.83586626139817632</v>
      </c>
      <c r="U1768" s="86" t="str">
        <f>_xlfn.XLOOKUP(表格1[[#This Row],[Model]],表格3[Model-Input-Ref2],表格3[TOSHIBA/HIGHEST])</f>
        <v>Toshiba SRP</v>
      </c>
      <c r="W1768" s="86" t="str">
        <f>_xlfn.CONCAT(表格1[[#This Row],[欄4]],表格1[[#This Row],[inv no]])</f>
        <v>368476</v>
      </c>
    </row>
    <row r="1769" spans="1:23" hidden="1">
      <c r="A1769" s="81">
        <v>1767</v>
      </c>
      <c r="B1769" s="81" t="s">
        <v>1260</v>
      </c>
      <c r="C1769" s="81" t="s">
        <v>2080</v>
      </c>
      <c r="D1769" s="82" t="str">
        <f ca="1">OFFSET(Roster!$A$3,MATCH(表格1[[#This Row],[Location]]&amp;" "&amp;表格1[[#This Row],[Shop]]&amp;"*",Roster!$A$4:$A$72,0),DAY(表格1[[#This Row],[date]]),1,1)</f>
        <v>Shan_2</v>
      </c>
      <c r="E1769" s="81">
        <f>MONTH(表格1[[#This Row],[date]])</f>
        <v>3</v>
      </c>
      <c r="F1769" s="90">
        <v>46110</v>
      </c>
      <c r="G1769" s="81" t="str">
        <f>VLOOKUP("*"&amp;表格1[[#This Row],[Input]]&amp;"*",'Ref-List'!$B:$D,2,)</f>
        <v>IC-21TSHK</v>
      </c>
      <c r="H1769" s="81" t="str">
        <f>_xlfn.XLOOKUP(表格1[[#This Row],[Model]],表格3[Model-Input-Ref2],表格3[Product Line])</f>
        <v>Induction Cooker</v>
      </c>
      <c r="I1769" s="81" t="str">
        <f>_xlfn.XLOOKUP(表格1[[#This Row],[Model]],表格3[Model-Input-Ref2],表格3[大小電])</f>
        <v>細電</v>
      </c>
      <c r="J1769" s="81" t="str">
        <f>_xlfn.XLOOKUP(表格1[[#This Row],[Model]],表格3[Model-Input-Ref2],表格3[Code])</f>
        <v>SDA</v>
      </c>
      <c r="K1769" s="89" t="s">
        <v>1242</v>
      </c>
      <c r="L1769" s="86">
        <v>1</v>
      </c>
      <c r="M1769" s="87">
        <v>698</v>
      </c>
      <c r="N1769" s="85">
        <f>IFERROR(表格1[[#This Row],[QTY]]*表格1[[#This Row],[Unit Price]],"-")</f>
        <v>698</v>
      </c>
      <c r="O1769" s="86">
        <v>490587</v>
      </c>
      <c r="R1769" s="86" t="str">
        <f>_xlfn.CONCAT(表格1[[#This Row],[Model]]," ",表格1[[#This Row],[inv no]])</f>
        <v>IC-21TSHK 490587</v>
      </c>
      <c r="S1769" s="86">
        <f>_xlfn.XLOOKUP(表格1[[#This Row],[Model]],表格3[Model-Input-Ref2],表格3[SRP PRICE])</f>
        <v>998</v>
      </c>
      <c r="T1769" s="43">
        <f>表格1[[#This Row],[Unit Price]]/表格1[[#This Row],[SRP]]</f>
        <v>0.69939879759519041</v>
      </c>
      <c r="U1769" s="86" t="str">
        <f>_xlfn.XLOOKUP(表格1[[#This Row],[Model]],表格3[Model-Input-Ref2],表格3[TOSHIBA/HIGHEST])</f>
        <v>web SRP</v>
      </c>
      <c r="W1769" s="86" t="str">
        <f>_xlfn.CONCAT(表格1[[#This Row],[欄4]],表格1[[#This Row],[inv no]])</f>
        <v>490587</v>
      </c>
    </row>
    <row r="1770" spans="1:23" hidden="1">
      <c r="A1770" s="81">
        <v>1768</v>
      </c>
      <c r="B1770" s="81" t="s">
        <v>1260</v>
      </c>
      <c r="C1770" s="81" t="s">
        <v>2080</v>
      </c>
      <c r="D1770" s="82" t="str">
        <f ca="1">OFFSET(Roster!$A$3,MATCH(表格1[[#This Row],[Location]]&amp;" "&amp;表格1[[#This Row],[Shop]]&amp;"*",Roster!$A$4:$A$72,0),DAY(表格1[[#This Row],[date]]),1,1)</f>
        <v>Shan_2</v>
      </c>
      <c r="E1770" s="81">
        <f>MONTH(表格1[[#This Row],[date]])</f>
        <v>3</v>
      </c>
      <c r="F1770" s="90">
        <v>46110</v>
      </c>
      <c r="G1770" s="81" t="str">
        <f>VLOOKUP("*"&amp;表格1[[#This Row],[Input]]&amp;"*",'Ref-List'!$B:$D,2,)</f>
        <v>F-LYA20(W)HKG</v>
      </c>
      <c r="H1770" s="81" t="str">
        <f>_xlfn.XLOOKUP(表格1[[#This Row],[Model]],表格3[Model-Input-Ref2],表格3[Product Line])</f>
        <v>12吋2合1座地座檯電風扇連遙控</v>
      </c>
      <c r="I1770" s="81" t="str">
        <f>_xlfn.XLOOKUP(表格1[[#This Row],[Model]],表格3[Model-Input-Ref2],表格3[大小電])</f>
        <v>細電</v>
      </c>
      <c r="J1770" s="81" t="str">
        <f>_xlfn.XLOOKUP(表格1[[#This Row],[Model]],表格3[Model-Input-Ref2],表格3[Code])</f>
        <v>EAD</v>
      </c>
      <c r="K1770" s="89" t="s">
        <v>1391</v>
      </c>
      <c r="L1770" s="86">
        <v>1</v>
      </c>
      <c r="M1770" s="87">
        <v>399</v>
      </c>
      <c r="N1770" s="85">
        <f>IFERROR(表格1[[#This Row],[QTY]]*表格1[[#This Row],[Unit Price]],"-")</f>
        <v>399</v>
      </c>
      <c r="O1770" s="86">
        <v>453121</v>
      </c>
      <c r="R1770" s="86" t="str">
        <f>_xlfn.CONCAT(表格1[[#This Row],[Model]]," ",表格1[[#This Row],[inv no]])</f>
        <v>F-LYA20(W)HKG 453121</v>
      </c>
      <c r="S1770" s="86">
        <f>_xlfn.XLOOKUP(表格1[[#This Row],[Model]],表格3[Model-Input-Ref2],表格3[SRP PRICE])</f>
        <v>988</v>
      </c>
      <c r="T1770" s="43">
        <f>表格1[[#This Row],[Unit Price]]/表格1[[#This Row],[SRP]]</f>
        <v>0.40384615384615385</v>
      </c>
      <c r="U1770" s="86" t="str">
        <f>_xlfn.XLOOKUP(表格1[[#This Row],[Model]],表格3[Model-Input-Ref2],表格3[TOSHIBA/HIGHEST])</f>
        <v>Toshiba SRP</v>
      </c>
      <c r="W1770" s="86" t="str">
        <f>_xlfn.CONCAT(表格1[[#This Row],[欄4]],表格1[[#This Row],[inv no]])</f>
        <v>453121</v>
      </c>
    </row>
    <row r="1771" spans="1:23" hidden="1">
      <c r="A1771" s="81">
        <v>1769</v>
      </c>
      <c r="B1771" s="81" t="s">
        <v>1260</v>
      </c>
      <c r="C1771" s="81" t="s">
        <v>2080</v>
      </c>
      <c r="D1771" s="82" t="str">
        <f ca="1">OFFSET(Roster!$A$3,MATCH(表格1[[#This Row],[Location]]&amp;" "&amp;表格1[[#This Row],[Shop]]&amp;"*",Roster!$A$4:$A$72,0),DAY(表格1[[#This Row],[date]]),1,1)</f>
        <v>Shan_2</v>
      </c>
      <c r="E1771" s="81">
        <f>MONTH(表格1[[#This Row],[date]])</f>
        <v>3</v>
      </c>
      <c r="F1771" s="90">
        <v>46110</v>
      </c>
      <c r="G1771" s="81" t="str">
        <f>VLOOKUP("*"&amp;表格1[[#This Row],[Input]]&amp;"*",'Ref-List'!$B:$D,2,)</f>
        <v>RC-10DRNH</v>
      </c>
      <c r="H1771" s="81" t="str">
        <f>_xlfn.XLOOKUP(表格1[[#This Row],[Model]],表格3[Model-Input-Ref2],表格3[Product Line])</f>
        <v>多功能備長炭本厚釜電飯煲1L</v>
      </c>
      <c r="I1771" s="81" t="str">
        <f>_xlfn.XLOOKUP(表格1[[#This Row],[Model]],表格3[Model-Input-Ref2],表格3[大小電])</f>
        <v>細電</v>
      </c>
      <c r="J1771" s="81" t="str">
        <f>_xlfn.XLOOKUP(表格1[[#This Row],[Model]],表格3[Model-Input-Ref2],表格3[Code])</f>
        <v>SDA</v>
      </c>
      <c r="K1771" s="89" t="s">
        <v>1376</v>
      </c>
      <c r="L1771" s="86">
        <v>1</v>
      </c>
      <c r="M1771" s="87">
        <v>499</v>
      </c>
      <c r="N1771" s="85">
        <f>IFERROR(表格1[[#This Row],[QTY]]*表格1[[#This Row],[Unit Price]],"-")</f>
        <v>499</v>
      </c>
      <c r="O1771" s="86">
        <v>368561</v>
      </c>
      <c r="R1771" s="86" t="str">
        <f>_xlfn.CONCAT(表格1[[#This Row],[Model]]," ",表格1[[#This Row],[inv no]])</f>
        <v>RC-10DRNH 368561</v>
      </c>
      <c r="S1771" s="86">
        <f>_xlfn.XLOOKUP(表格1[[#This Row],[Model]],表格3[Model-Input-Ref2],表格3[SRP PRICE])</f>
        <v>798</v>
      </c>
      <c r="T1771" s="43">
        <f>表格1[[#This Row],[Unit Price]]/表格1[[#This Row],[SRP]]</f>
        <v>0.62531328320802004</v>
      </c>
      <c r="U1771" s="86" t="str">
        <f>_xlfn.XLOOKUP(表格1[[#This Row],[Model]],表格3[Model-Input-Ref2],表格3[TOSHIBA/HIGHEST])</f>
        <v>Toshiba SRP</v>
      </c>
      <c r="W1771" s="86" t="str">
        <f>_xlfn.CONCAT(表格1[[#This Row],[欄4]],表格1[[#This Row],[inv no]])</f>
        <v>368561</v>
      </c>
    </row>
    <row r="1772" spans="1:23" hidden="1">
      <c r="A1772" s="81">
        <v>1770</v>
      </c>
      <c r="B1772" s="81" t="s">
        <v>1260</v>
      </c>
      <c r="C1772" s="81" t="s">
        <v>2080</v>
      </c>
      <c r="D1772" s="82" t="str">
        <f ca="1">OFFSET(Roster!$A$3,MATCH(表格1[[#This Row],[Location]]&amp;" "&amp;表格1[[#This Row],[Shop]]&amp;"*",Roster!$A$4:$A$72,0),DAY(表格1[[#This Row],[date]]),1,1)</f>
        <v>Shan_2</v>
      </c>
      <c r="E1772" s="81">
        <f>MONTH(表格1[[#This Row],[date]])</f>
        <v>3</v>
      </c>
      <c r="F1772" s="90">
        <v>46110</v>
      </c>
      <c r="G1772" s="81" t="str">
        <f>VLOOKUP("*"&amp;表格1[[#This Row],[Input]]&amp;"*",'Ref-List'!$B:$D,2,)</f>
        <v>RC-DX18T(W)</v>
      </c>
      <c r="H1772" s="81" t="str">
        <f>_xlfn.XLOOKUP(表格1[[#This Row],[Model]],表格3[Model-Input-Ref2],表格3[Product Line])</f>
        <v>真空壓力磁應電飯煲(1.8公升)</v>
      </c>
      <c r="I1772" s="81" t="str">
        <f>_xlfn.XLOOKUP(表格1[[#This Row],[Model]],表格3[Model-Input-Ref2],表格3[大小電])</f>
        <v>細電</v>
      </c>
      <c r="J1772" s="81" t="str">
        <f>_xlfn.XLOOKUP(表格1[[#This Row],[Model]],表格3[Model-Input-Ref2],表格3[Code])</f>
        <v>SDA</v>
      </c>
      <c r="K1772" s="89" t="s">
        <v>1368</v>
      </c>
      <c r="L1772" s="86">
        <v>1</v>
      </c>
      <c r="M1772" s="87">
        <v>4988</v>
      </c>
      <c r="N1772" s="85">
        <f>IFERROR(表格1[[#This Row],[QTY]]*表格1[[#This Row],[Unit Price]],"-")</f>
        <v>4988</v>
      </c>
      <c r="O1772" s="86">
        <v>368559</v>
      </c>
      <c r="R1772" s="86" t="str">
        <f>_xlfn.CONCAT(表格1[[#This Row],[Model]]," ",表格1[[#This Row],[inv no]])</f>
        <v>RC-DX18T(W) 368559</v>
      </c>
      <c r="S1772" s="86">
        <f>_xlfn.XLOOKUP(表格1[[#This Row],[Model]],表格3[Model-Input-Ref2],表格3[SRP PRICE])</f>
        <v>6388</v>
      </c>
      <c r="T1772" s="43">
        <f>表格1[[#This Row],[Unit Price]]/表格1[[#This Row],[SRP]]</f>
        <v>0.7808390732623669</v>
      </c>
      <c r="U1772" s="86" t="str">
        <f>_xlfn.XLOOKUP(表格1[[#This Row],[Model]],表格3[Model-Input-Ref2],表格3[TOSHIBA/HIGHEST])</f>
        <v>Toshiba SRP</v>
      </c>
      <c r="W1772" s="86" t="str">
        <f>_xlfn.CONCAT(表格1[[#This Row],[欄4]],表格1[[#This Row],[inv no]])</f>
        <v>368559</v>
      </c>
    </row>
    <row r="1773" spans="1:23" hidden="1">
      <c r="A1773" s="81">
        <v>1771</v>
      </c>
      <c r="B1773" s="81" t="s">
        <v>1260</v>
      </c>
      <c r="C1773" s="81" t="s">
        <v>2080</v>
      </c>
      <c r="D1773" s="82" t="str">
        <f ca="1">OFFSET(Roster!$A$3,MATCH(表格1[[#This Row],[Location]]&amp;" "&amp;表格1[[#This Row],[Shop]]&amp;"*",Roster!$A$4:$A$72,0),DAY(表格1[[#This Row],[date]]),1,1)</f>
        <v>Shan_2</v>
      </c>
      <c r="E1773" s="81">
        <f>MONTH(表格1[[#This Row],[date]])</f>
        <v>3</v>
      </c>
      <c r="F1773" s="90">
        <v>46110</v>
      </c>
      <c r="G1773" s="81" t="str">
        <f>VLOOKUP("*"&amp;表格1[[#This Row],[Input]]&amp;"*",'Ref-List'!$B:$D,2,)</f>
        <v>RC-7HMH</v>
      </c>
      <c r="H1773" s="81" t="str">
        <f>_xlfn.XLOOKUP(表格1[[#This Row],[Model]],表格3[Model-Input-Ref2],表格3[Product Line])</f>
        <v>備長炭本厚釜電飯煲0.7L</v>
      </c>
      <c r="I1773" s="81" t="str">
        <f>_xlfn.XLOOKUP(表格1[[#This Row],[Model]],表格3[Model-Input-Ref2],表格3[大小電])</f>
        <v>細電</v>
      </c>
      <c r="J1773" s="81" t="str">
        <f>_xlfn.XLOOKUP(表格1[[#This Row],[Model]],表格3[Model-Input-Ref2],表格3[Code])</f>
        <v>SDA</v>
      </c>
      <c r="K1773" s="89" t="s">
        <v>1284</v>
      </c>
      <c r="L1773" s="86">
        <v>1</v>
      </c>
      <c r="M1773" s="87">
        <v>788</v>
      </c>
      <c r="N1773" s="85">
        <f>IFERROR(表格1[[#This Row],[QTY]]*表格1[[#This Row],[Unit Price]],"-")</f>
        <v>788</v>
      </c>
      <c r="O1773" s="86">
        <v>368551</v>
      </c>
      <c r="R1773" s="86" t="str">
        <f>_xlfn.CONCAT(表格1[[#This Row],[Model]]," ",表格1[[#This Row],[inv no]])</f>
        <v>RC-7HMH 368551</v>
      </c>
      <c r="S1773" s="86">
        <f>_xlfn.XLOOKUP(表格1[[#This Row],[Model]],表格3[Model-Input-Ref2],表格3[SRP PRICE])</f>
        <v>1288</v>
      </c>
      <c r="T1773" s="43">
        <f>表格1[[#This Row],[Unit Price]]/表格1[[#This Row],[SRP]]</f>
        <v>0.61180124223602483</v>
      </c>
      <c r="U1773" s="86" t="str">
        <f>_xlfn.XLOOKUP(表格1[[#This Row],[Model]],表格3[Model-Input-Ref2],表格3[TOSHIBA/HIGHEST])</f>
        <v>Toshiba SRP</v>
      </c>
      <c r="W1773" s="86" t="str">
        <f>_xlfn.CONCAT(表格1[[#This Row],[欄4]],表格1[[#This Row],[inv no]])</f>
        <v>368551</v>
      </c>
    </row>
    <row r="1774" spans="1:23" hidden="1">
      <c r="A1774" s="81">
        <v>1772</v>
      </c>
      <c r="B1774" s="81" t="s">
        <v>1260</v>
      </c>
      <c r="C1774" s="81" t="s">
        <v>2080</v>
      </c>
      <c r="D1774" s="82" t="str">
        <f ca="1">OFFSET(Roster!$A$3,MATCH(表格1[[#This Row],[Location]]&amp;" "&amp;表格1[[#This Row],[Shop]]&amp;"*",Roster!$A$4:$A$72,0),DAY(表格1[[#This Row],[date]]),1,1)</f>
        <v>Shan_2</v>
      </c>
      <c r="E1774" s="81">
        <f>MONTH(表格1[[#This Row],[date]])</f>
        <v>3</v>
      </c>
      <c r="F1774" s="90">
        <v>46110</v>
      </c>
      <c r="G1774" s="81" t="str">
        <f>VLOOKUP("*"&amp;表格1[[#This Row],[Input]]&amp;"*",'Ref-List'!$B:$D,2,)</f>
        <v>RC-18AMXH(W)</v>
      </c>
      <c r="H1774" s="81" t="str">
        <f>_xlfn.XLOOKUP(表格1[[#This Row],[Model]],表格3[Model-Input-Ref2],表格3[Product Line])</f>
        <v>酵活炊電飯煲(1.8公升)</v>
      </c>
      <c r="I1774" s="81" t="str">
        <f>_xlfn.XLOOKUP(表格1[[#This Row],[Model]],表格3[Model-Input-Ref2],表格3[大小電])</f>
        <v>細電</v>
      </c>
      <c r="J1774" s="81" t="str">
        <f>_xlfn.XLOOKUP(表格1[[#This Row],[Model]],表格3[Model-Input-Ref2],表格3[Code])</f>
        <v>SDA</v>
      </c>
      <c r="K1774" s="89" t="s">
        <v>1362</v>
      </c>
      <c r="L1774" s="86">
        <v>1</v>
      </c>
      <c r="M1774" s="87">
        <v>990</v>
      </c>
      <c r="N1774" s="85">
        <f>IFERROR(表格1[[#This Row],[QTY]]*表格1[[#This Row],[Unit Price]],"-")</f>
        <v>990</v>
      </c>
      <c r="O1774" s="86">
        <v>368539</v>
      </c>
      <c r="R1774" s="86" t="str">
        <f>_xlfn.CONCAT(表格1[[#This Row],[Model]]," ",表格1[[#This Row],[inv no]])</f>
        <v>RC-18AMXH(W) 368539</v>
      </c>
      <c r="S1774" s="86">
        <f>_xlfn.XLOOKUP(表格1[[#This Row],[Model]],表格3[Model-Input-Ref2],表格3[SRP PRICE])</f>
        <v>1588</v>
      </c>
      <c r="T1774" s="43">
        <f>表格1[[#This Row],[Unit Price]]/表格1[[#This Row],[SRP]]</f>
        <v>0.62342569269521408</v>
      </c>
      <c r="U1774" s="86" t="str">
        <f>_xlfn.XLOOKUP(表格1[[#This Row],[Model]],表格3[Model-Input-Ref2],表格3[TOSHIBA/HIGHEST])</f>
        <v>Toshiba SRP</v>
      </c>
      <c r="W1774" s="86" t="str">
        <f>_xlfn.CONCAT(表格1[[#This Row],[欄4]],表格1[[#This Row],[inv no]])</f>
        <v>368539</v>
      </c>
    </row>
    <row r="1775" spans="1:23" hidden="1">
      <c r="A1775" s="81">
        <v>1773</v>
      </c>
      <c r="B1775" s="81" t="s">
        <v>1260</v>
      </c>
      <c r="C1775" s="81" t="s">
        <v>2080</v>
      </c>
      <c r="D1775" s="82" t="str">
        <f ca="1">OFFSET(Roster!$A$3,MATCH(表格1[[#This Row],[Location]]&amp;" "&amp;表格1[[#This Row],[Shop]]&amp;"*",Roster!$A$4:$A$72,0),DAY(表格1[[#This Row],[date]]),1,1)</f>
        <v>Shan_2</v>
      </c>
      <c r="E1775" s="81">
        <f>MONTH(表格1[[#This Row],[date]])</f>
        <v>3</v>
      </c>
      <c r="F1775" s="90">
        <v>46110</v>
      </c>
      <c r="G1775" s="81" t="str">
        <f>VLOOKUP("*"&amp;表格1[[#This Row],[Input]]&amp;"*",'Ref-List'!$B:$D,2,)</f>
        <v>F-LYA20(W)HKG</v>
      </c>
      <c r="H1775" s="81" t="str">
        <f>_xlfn.XLOOKUP(表格1[[#This Row],[Model]],表格3[Model-Input-Ref2],表格3[Product Line])</f>
        <v>12吋2合1座地座檯電風扇連遙控</v>
      </c>
      <c r="I1775" s="81" t="str">
        <f>_xlfn.XLOOKUP(表格1[[#This Row],[Model]],表格3[Model-Input-Ref2],表格3[大小電])</f>
        <v>細電</v>
      </c>
      <c r="J1775" s="81" t="str">
        <f>_xlfn.XLOOKUP(表格1[[#This Row],[Model]],表格3[Model-Input-Ref2],表格3[Code])</f>
        <v>EAD</v>
      </c>
      <c r="K1775" s="89" t="s">
        <v>1391</v>
      </c>
      <c r="L1775" s="86">
        <v>1</v>
      </c>
      <c r="M1775" s="87">
        <v>399</v>
      </c>
      <c r="N1775" s="85">
        <f>IFERROR(表格1[[#This Row],[QTY]]*表格1[[#This Row],[Unit Price]],"-")</f>
        <v>399</v>
      </c>
      <c r="O1775" s="86">
        <v>368589</v>
      </c>
      <c r="R1775" s="86" t="str">
        <f>_xlfn.CONCAT(表格1[[#This Row],[Model]]," ",表格1[[#This Row],[inv no]])</f>
        <v>F-LYA20(W)HKG 368589</v>
      </c>
      <c r="S1775" s="86">
        <f>_xlfn.XLOOKUP(表格1[[#This Row],[Model]],表格3[Model-Input-Ref2],表格3[SRP PRICE])</f>
        <v>988</v>
      </c>
      <c r="T1775" s="43">
        <f>表格1[[#This Row],[Unit Price]]/表格1[[#This Row],[SRP]]</f>
        <v>0.40384615384615385</v>
      </c>
      <c r="U1775" s="86" t="str">
        <f>_xlfn.XLOOKUP(表格1[[#This Row],[Model]],表格3[Model-Input-Ref2],表格3[TOSHIBA/HIGHEST])</f>
        <v>Toshiba SRP</v>
      </c>
      <c r="W1775" s="86" t="str">
        <f>_xlfn.CONCAT(表格1[[#This Row],[欄4]],表格1[[#This Row],[inv no]])</f>
        <v>368589</v>
      </c>
    </row>
    <row r="1776" spans="1:23" hidden="1">
      <c r="A1776" s="81">
        <v>1774</v>
      </c>
      <c r="B1776" s="81" t="s">
        <v>1260</v>
      </c>
      <c r="C1776" s="81" t="s">
        <v>2080</v>
      </c>
      <c r="D1776" s="82" t="str">
        <f ca="1">OFFSET(Roster!$A$3,MATCH(表格1[[#This Row],[Location]]&amp;" "&amp;表格1[[#This Row],[Shop]]&amp;"*",Roster!$A$4:$A$72,0),DAY(表格1[[#This Row],[date]]),1,1)</f>
        <v>Shan_2</v>
      </c>
      <c r="E1776" s="81">
        <f>MONTH(表格1[[#This Row],[date]])</f>
        <v>3</v>
      </c>
      <c r="F1776" s="90">
        <v>46110</v>
      </c>
      <c r="G1776" s="81" t="str">
        <f>VLOOKUP("*"&amp;表格1[[#This Row],[Input]]&amp;"*",'Ref-List'!$B:$D,2,)</f>
        <v>RC-18AMXH(W)</v>
      </c>
      <c r="H1776" s="81" t="str">
        <f>_xlfn.XLOOKUP(表格1[[#This Row],[Model]],表格3[Model-Input-Ref2],表格3[Product Line])</f>
        <v>酵活炊電飯煲(1.8公升)</v>
      </c>
      <c r="I1776" s="81" t="str">
        <f>_xlfn.XLOOKUP(表格1[[#This Row],[Model]],表格3[Model-Input-Ref2],表格3[大小電])</f>
        <v>細電</v>
      </c>
      <c r="J1776" s="81" t="str">
        <f>_xlfn.XLOOKUP(表格1[[#This Row],[Model]],表格3[Model-Input-Ref2],表格3[Code])</f>
        <v>SDA</v>
      </c>
      <c r="K1776" s="89" t="s">
        <v>1362</v>
      </c>
      <c r="L1776" s="86">
        <v>1</v>
      </c>
      <c r="M1776" s="87">
        <v>990</v>
      </c>
      <c r="N1776" s="85">
        <f>IFERROR(表格1[[#This Row],[QTY]]*表格1[[#This Row],[Unit Price]],"-")</f>
        <v>990</v>
      </c>
      <c r="O1776" s="86">
        <v>368593</v>
      </c>
      <c r="R1776" s="86" t="str">
        <f>_xlfn.CONCAT(表格1[[#This Row],[Model]]," ",表格1[[#This Row],[inv no]])</f>
        <v>RC-18AMXH(W) 368593</v>
      </c>
      <c r="S1776" s="86">
        <f>_xlfn.XLOOKUP(表格1[[#This Row],[Model]],表格3[Model-Input-Ref2],表格3[SRP PRICE])</f>
        <v>1588</v>
      </c>
      <c r="T1776" s="43">
        <f>表格1[[#This Row],[Unit Price]]/表格1[[#This Row],[SRP]]</f>
        <v>0.62342569269521408</v>
      </c>
      <c r="U1776" s="86" t="str">
        <f>_xlfn.XLOOKUP(表格1[[#This Row],[Model]],表格3[Model-Input-Ref2],表格3[TOSHIBA/HIGHEST])</f>
        <v>Toshiba SRP</v>
      </c>
      <c r="W1776" s="86" t="str">
        <f>_xlfn.CONCAT(表格1[[#This Row],[欄4]],表格1[[#This Row],[inv no]])</f>
        <v>368593</v>
      </c>
    </row>
    <row r="1777" spans="1:23" hidden="1">
      <c r="A1777" s="81">
        <v>1775</v>
      </c>
      <c r="B1777" s="81" t="s">
        <v>1260</v>
      </c>
      <c r="C1777" s="81" t="s">
        <v>2080</v>
      </c>
      <c r="D1777" s="82" t="str">
        <f ca="1">OFFSET(Roster!$A$3,MATCH(表格1[[#This Row],[Location]]&amp;" "&amp;表格1[[#This Row],[Shop]]&amp;"*",Roster!$A$4:$A$72,0),DAY(表格1[[#This Row],[date]]),1,1)</f>
        <v>Shan_2</v>
      </c>
      <c r="E1777" s="81">
        <f>MONTH(表格1[[#This Row],[date]])</f>
        <v>3</v>
      </c>
      <c r="F1777" s="90">
        <v>46110</v>
      </c>
      <c r="G1777" s="81" t="str">
        <f>VLOOKUP("*"&amp;表格1[[#This Row],[Input]]&amp;"*",'Ref-List'!$B:$D,2,)</f>
        <v>RAD-D200H</v>
      </c>
      <c r="H1777" s="81" t="str">
        <f>_xlfn.XLOOKUP(表格1[[#This Row],[Model]],表格3[Model-Input-Ref2],表格3[Product Line])</f>
        <v>壓縮式抽濕機 (22公升)</v>
      </c>
      <c r="I1777" s="81" t="str">
        <f>_xlfn.XLOOKUP(表格1[[#This Row],[Model]],表格3[Model-Input-Ref2],表格3[大小電])</f>
        <v>細電</v>
      </c>
      <c r="J1777" s="81" t="str">
        <f>_xlfn.XLOOKUP(表格1[[#This Row],[Model]],表格3[Model-Input-Ref2],表格3[Code])</f>
        <v>RAC</v>
      </c>
      <c r="K1777" s="89" t="s">
        <v>1250</v>
      </c>
      <c r="L1777" s="86">
        <v>1</v>
      </c>
      <c r="M1777" s="87">
        <v>1880</v>
      </c>
      <c r="N1777" s="85">
        <f>IFERROR(表格1[[#This Row],[QTY]]*表格1[[#This Row],[Unit Price]],"-")</f>
        <v>1880</v>
      </c>
      <c r="O1777" s="86">
        <v>453382</v>
      </c>
      <c r="R1777" s="86" t="str">
        <f>_xlfn.CONCAT(表格1[[#This Row],[Model]]," ",表格1[[#This Row],[inv no]])</f>
        <v>RAD-D200H 453382</v>
      </c>
      <c r="S1777" s="86">
        <f>_xlfn.XLOOKUP(表格1[[#This Row],[Model]],表格3[Model-Input-Ref2],表格3[SRP PRICE])</f>
        <v>2880</v>
      </c>
      <c r="T1777" s="43">
        <f>表格1[[#This Row],[Unit Price]]/表格1[[#This Row],[SRP]]</f>
        <v>0.65277777777777779</v>
      </c>
      <c r="U1777" s="86" t="str">
        <f>_xlfn.XLOOKUP(表格1[[#This Row],[Model]],表格3[Model-Input-Ref2],表格3[TOSHIBA/HIGHEST])</f>
        <v>Shops Highest Price</v>
      </c>
      <c r="W1777" s="86" t="str">
        <f>_xlfn.CONCAT(表格1[[#This Row],[欄4]],表格1[[#This Row],[inv no]])</f>
        <v>453382</v>
      </c>
    </row>
    <row r="1778" spans="1:23" hidden="1">
      <c r="A1778" s="81">
        <v>1776</v>
      </c>
      <c r="B1778" s="81" t="s">
        <v>1260</v>
      </c>
      <c r="C1778" s="81" t="s">
        <v>2080</v>
      </c>
      <c r="D1778" s="82" t="str">
        <f ca="1">OFFSET(Roster!$A$3,MATCH(表格1[[#This Row],[Location]]&amp;" "&amp;表格1[[#This Row],[Shop]]&amp;"*",Roster!$A$4:$A$72,0),DAY(表格1[[#This Row],[date]]),1,1)</f>
        <v>Shan_2</v>
      </c>
      <c r="E1778" s="81">
        <f>MONTH(表格1[[#This Row],[date]])</f>
        <v>3</v>
      </c>
      <c r="F1778" s="90">
        <v>46110</v>
      </c>
      <c r="G1778" s="81" t="str">
        <f>VLOOKUP("*"&amp;表格1[[#This Row],[Input]]&amp;"*",'Ref-List'!$B:$D,2,)</f>
        <v>RC-18AMXH(W)</v>
      </c>
      <c r="H1778" s="81" t="str">
        <f>_xlfn.XLOOKUP(表格1[[#This Row],[Model]],表格3[Model-Input-Ref2],表格3[Product Line])</f>
        <v>酵活炊電飯煲(1.8公升)</v>
      </c>
      <c r="I1778" s="81" t="str">
        <f>_xlfn.XLOOKUP(表格1[[#This Row],[Model]],表格3[Model-Input-Ref2],表格3[大小電])</f>
        <v>細電</v>
      </c>
      <c r="J1778" s="81" t="str">
        <f>_xlfn.XLOOKUP(表格1[[#This Row],[Model]],表格3[Model-Input-Ref2],表格3[Code])</f>
        <v>SDA</v>
      </c>
      <c r="K1778" s="89" t="s">
        <v>1362</v>
      </c>
      <c r="L1778" s="86">
        <v>1</v>
      </c>
      <c r="M1778" s="87">
        <v>990</v>
      </c>
      <c r="N1778" s="85">
        <f>IFERROR(表格1[[#This Row],[QTY]]*表格1[[#This Row],[Unit Price]],"-")</f>
        <v>990</v>
      </c>
      <c r="O1778" s="86">
        <v>490792</v>
      </c>
      <c r="R1778" s="86" t="str">
        <f>_xlfn.CONCAT(表格1[[#This Row],[Model]]," ",表格1[[#This Row],[inv no]])</f>
        <v>RC-18AMXH(W) 490792</v>
      </c>
      <c r="S1778" s="86">
        <f>_xlfn.XLOOKUP(表格1[[#This Row],[Model]],表格3[Model-Input-Ref2],表格3[SRP PRICE])</f>
        <v>1588</v>
      </c>
      <c r="T1778" s="43">
        <f>表格1[[#This Row],[Unit Price]]/表格1[[#This Row],[SRP]]</f>
        <v>0.62342569269521408</v>
      </c>
      <c r="U1778" s="86" t="str">
        <f>_xlfn.XLOOKUP(表格1[[#This Row],[Model]],表格3[Model-Input-Ref2],表格3[TOSHIBA/HIGHEST])</f>
        <v>Toshiba SRP</v>
      </c>
      <c r="V1778" s="86">
        <v>123</v>
      </c>
      <c r="W1778" s="86" t="str">
        <f>_xlfn.CONCAT(表格1[[#This Row],[欄4]],表格1[[#This Row],[inv no]])</f>
        <v>123490792</v>
      </c>
    </row>
    <row r="1779" spans="1:23" hidden="1">
      <c r="A1779" s="81">
        <v>1777</v>
      </c>
      <c r="B1779" s="81" t="s">
        <v>1260</v>
      </c>
      <c r="C1779" s="81" t="s">
        <v>2080</v>
      </c>
      <c r="D1779" s="82" t="str">
        <f ca="1">OFFSET(Roster!$A$3,MATCH(表格1[[#This Row],[Location]]&amp;" "&amp;表格1[[#This Row],[Shop]]&amp;"*",Roster!$A$4:$A$72,0),DAY(表格1[[#This Row],[date]]),1,1)</f>
        <v>Shan_2</v>
      </c>
      <c r="E1779" s="81">
        <f>MONTH(表格1[[#This Row],[date]])</f>
        <v>3</v>
      </c>
      <c r="F1779" s="90">
        <v>46110</v>
      </c>
      <c r="G1779" s="81" t="str">
        <f>VLOOKUP("*"&amp;表格1[[#This Row],[Input]]&amp;"*",'Ref-List'!$B:$D,2,)</f>
        <v>TWD-T21BU95UWH(WW)</v>
      </c>
      <c r="H1779" s="81" t="str">
        <f>_xlfn.XLOOKUP(表格1[[#This Row],[Model]],表格3[Model-Input-Ref2],表格3[Product Line])</f>
        <v>470MM超薄身前置式變頻洗衣乾衣機 (洗8.5公斤 乾6公斤)</v>
      </c>
      <c r="I1779" s="81" t="str">
        <f>_xlfn.XLOOKUP(表格1[[#This Row],[Model]],表格3[Model-Input-Ref2],表格3[大小電])</f>
        <v>大電</v>
      </c>
      <c r="J1779" s="81" t="str">
        <f>_xlfn.XLOOKUP(表格1[[#This Row],[Model]],表格3[Model-Input-Ref2],表格3[Code])</f>
        <v>LAD</v>
      </c>
      <c r="K1779" s="89" t="s">
        <v>1461</v>
      </c>
      <c r="L1779" s="86">
        <v>1</v>
      </c>
      <c r="M1779" s="87">
        <v>4480</v>
      </c>
      <c r="N1779" s="85">
        <f>IFERROR(表格1[[#This Row],[QTY]]*表格1[[#This Row],[Unit Price]],"-")</f>
        <v>4480</v>
      </c>
      <c r="O1779" s="86">
        <v>368610</v>
      </c>
      <c r="R1779" s="86" t="str">
        <f>_xlfn.CONCAT(表格1[[#This Row],[Model]]," ",表格1[[#This Row],[inv no]])</f>
        <v>TWD-T21BU95UWH(WW) 368610</v>
      </c>
      <c r="S1779" s="86">
        <f>_xlfn.XLOOKUP(表格1[[#This Row],[Model]],表格3[Model-Input-Ref2],表格3[SRP PRICE])</f>
        <v>7280</v>
      </c>
      <c r="T1779" s="43">
        <f>表格1[[#This Row],[Unit Price]]/表格1[[#This Row],[SRP]]</f>
        <v>0.61538461538461542</v>
      </c>
      <c r="U1779" s="86" t="str">
        <f>_xlfn.XLOOKUP(表格1[[#This Row],[Model]],表格3[Model-Input-Ref2],表格3[TOSHIBA/HIGHEST])</f>
        <v>Toshiba SRP</v>
      </c>
      <c r="V1779" s="86">
        <v>123</v>
      </c>
      <c r="W1779" s="86" t="str">
        <f>_xlfn.CONCAT(表格1[[#This Row],[欄4]],表格1[[#This Row],[inv no]])</f>
        <v>123368610</v>
      </c>
    </row>
    <row r="1780" spans="1:23" hidden="1">
      <c r="A1780" s="81">
        <v>1778</v>
      </c>
      <c r="B1780" s="81" t="s">
        <v>1260</v>
      </c>
      <c r="C1780" s="81" t="s">
        <v>2080</v>
      </c>
      <c r="D1780" s="82" t="str">
        <f ca="1">OFFSET(Roster!$A$3,MATCH(表格1[[#This Row],[Location]]&amp;" "&amp;表格1[[#This Row],[Shop]]&amp;"*",Roster!$A$4:$A$72,0),DAY(表格1[[#This Row],[date]]),1,1)</f>
        <v>Shan_2</v>
      </c>
      <c r="E1780" s="81">
        <f>MONTH(表格1[[#This Row],[date]])</f>
        <v>3</v>
      </c>
      <c r="F1780" s="90">
        <v>46110</v>
      </c>
      <c r="G1780" s="81" t="str">
        <f>VLOOKUP("*"&amp;表格1[[#This Row],[Input]]&amp;"*",'Ref-List'!$B:$D,2,)</f>
        <v>KT-17DRNH</v>
      </c>
      <c r="H1780" s="81" t="str">
        <f>_xlfn.XLOOKUP(表格1[[#This Row],[Model]],表格3[Model-Input-Ref2],表格3[Product Line])</f>
        <v>1.7L電熱水壺</v>
      </c>
      <c r="I1780" s="81" t="str">
        <f>_xlfn.XLOOKUP(表格1[[#This Row],[Model]],表格3[Model-Input-Ref2],表格3[大小電])</f>
        <v>細電</v>
      </c>
      <c r="J1780" s="81" t="str">
        <f>_xlfn.XLOOKUP(表格1[[#This Row],[Model]],表格3[Model-Input-Ref2],表格3[Code])</f>
        <v>SDA</v>
      </c>
      <c r="K1780" s="89" t="s">
        <v>1764</v>
      </c>
      <c r="L1780" s="86">
        <v>1</v>
      </c>
      <c r="M1780" s="87">
        <v>388</v>
      </c>
      <c r="N1780" s="85">
        <f>IFERROR(表格1[[#This Row],[QTY]]*表格1[[#This Row],[Unit Price]],"-")</f>
        <v>388</v>
      </c>
      <c r="O1780" s="86">
        <v>368640</v>
      </c>
      <c r="R1780" s="86" t="str">
        <f>_xlfn.CONCAT(表格1[[#This Row],[Model]]," ",表格1[[#This Row],[inv no]])</f>
        <v>KT-17DRNH 368640</v>
      </c>
      <c r="S1780" s="86">
        <f>_xlfn.XLOOKUP(表格1[[#This Row],[Model]],表格3[Model-Input-Ref2],表格3[SRP PRICE])</f>
        <v>498</v>
      </c>
      <c r="T1780" s="43">
        <f>表格1[[#This Row],[Unit Price]]/表格1[[#This Row],[SRP]]</f>
        <v>0.77911646586345384</v>
      </c>
      <c r="U1780" s="86" t="str">
        <f>_xlfn.XLOOKUP(表格1[[#This Row],[Model]],表格3[Model-Input-Ref2],表格3[TOSHIBA/HIGHEST])</f>
        <v>Toshiba SRP</v>
      </c>
      <c r="V1780" s="86">
        <v>123</v>
      </c>
      <c r="W1780" s="86" t="str">
        <f>_xlfn.CONCAT(表格1[[#This Row],[欄4]],表格1[[#This Row],[inv no]])</f>
        <v>123368640</v>
      </c>
    </row>
    <row r="1781" spans="1:23" hidden="1">
      <c r="A1781" s="81">
        <v>1779</v>
      </c>
      <c r="B1781" s="81" t="s">
        <v>1260</v>
      </c>
      <c r="C1781" s="81" t="s">
        <v>2080</v>
      </c>
      <c r="D1781" s="82" t="str">
        <f ca="1">OFFSET(Roster!$A$3,MATCH(表格1[[#This Row],[Location]]&amp;" "&amp;表格1[[#This Row],[Shop]]&amp;"*",Roster!$A$4:$A$72,0),DAY(表格1[[#This Row],[date]]),1,1)</f>
        <v>Shan_2</v>
      </c>
      <c r="E1781" s="81">
        <f>MONTH(表格1[[#This Row],[date]])</f>
        <v>3</v>
      </c>
      <c r="F1781" s="90">
        <v>46110</v>
      </c>
      <c r="G1781" s="81" t="str">
        <f>VLOOKUP("*"&amp;表格1[[#This Row],[Input]]&amp;"*",'Ref-List'!$B:$D,2,)</f>
        <v>MV2-EG26PEI(BK)</v>
      </c>
      <c r="H1781" s="81" t="str">
        <f>_xlfn.XLOOKUP(表格1[[#This Row],[Model]],表格3[Model-Input-Ref2],表格3[Product Line])</f>
        <v>輕觸式平板燒烤微波爐 (26公升)</v>
      </c>
      <c r="I1781" s="81" t="str">
        <f>_xlfn.XLOOKUP(表格1[[#This Row],[Model]],表格3[Model-Input-Ref2],表格3[大小電])</f>
        <v>細電</v>
      </c>
      <c r="J1781" s="81" t="str">
        <f>_xlfn.XLOOKUP(表格1[[#This Row],[Model]],表格3[Model-Input-Ref2],表格3[Code])</f>
        <v>MCA</v>
      </c>
      <c r="K1781" s="89" t="s">
        <v>1394</v>
      </c>
      <c r="L1781" s="86">
        <v>1</v>
      </c>
      <c r="M1781" s="87">
        <v>888</v>
      </c>
      <c r="N1781" s="85">
        <f>IFERROR(表格1[[#This Row],[QTY]]*表格1[[#This Row],[Unit Price]],"-")</f>
        <v>888</v>
      </c>
      <c r="O1781" s="86">
        <v>448304</v>
      </c>
      <c r="R1781" s="86" t="str">
        <f>_xlfn.CONCAT(表格1[[#This Row],[Model]]," ",表格1[[#This Row],[inv no]])</f>
        <v>MV2-EG26PEI(BK) 448304</v>
      </c>
      <c r="S1781" s="86">
        <f>_xlfn.XLOOKUP(表格1[[#This Row],[Model]],表格3[Model-Input-Ref2],表格3[SRP PRICE])</f>
        <v>1180</v>
      </c>
      <c r="T1781" s="43">
        <f>表格1[[#This Row],[Unit Price]]/表格1[[#This Row],[SRP]]</f>
        <v>0.75254237288135595</v>
      </c>
      <c r="U1781" s="86" t="str">
        <f>_xlfn.XLOOKUP(表格1[[#This Row],[Model]],表格3[Model-Input-Ref2],表格3[TOSHIBA/HIGHEST])</f>
        <v>Toshiba SRP</v>
      </c>
      <c r="V1781" s="86">
        <v>123</v>
      </c>
      <c r="W1781" s="86" t="str">
        <f>_xlfn.CONCAT(表格1[[#This Row],[欄4]],表格1[[#This Row],[inv no]])</f>
        <v>123448304</v>
      </c>
    </row>
    <row r="1782" spans="1:23" hidden="1">
      <c r="A1782" s="81">
        <v>1780</v>
      </c>
      <c r="B1782" s="81" t="s">
        <v>1260</v>
      </c>
      <c r="C1782" s="81" t="s">
        <v>2080</v>
      </c>
      <c r="D1782" s="82" t="str">
        <f ca="1">OFFSET(Roster!$A$3,MATCH(表格1[[#This Row],[Location]]&amp;" "&amp;表格1[[#This Row],[Shop]]&amp;"*",Roster!$A$4:$A$72,0),DAY(表格1[[#This Row],[date]]),1,1)</f>
        <v>Shan_2</v>
      </c>
      <c r="E1782" s="81">
        <f>MONTH(表格1[[#This Row],[date]])</f>
        <v>3</v>
      </c>
      <c r="F1782" s="90">
        <v>46110</v>
      </c>
      <c r="G1782" s="81" t="str">
        <f>VLOOKUP("*"&amp;表格1[[#This Row],[Input]]&amp;"*",'Ref-List'!$B:$D,2,)</f>
        <v>RC-5SLIH(W)</v>
      </c>
      <c r="H1782" s="81" t="str">
        <f>_xlfn.XLOOKUP(表格1[[#This Row],[Model]],表格3[Model-Input-Ref2],表格3[Product Line])</f>
        <v>微型電腦珍珠飯煲</v>
      </c>
      <c r="I1782" s="81" t="str">
        <f>_xlfn.XLOOKUP(表格1[[#This Row],[Model]],表格3[Model-Input-Ref2],表格3[大小電])</f>
        <v>細電</v>
      </c>
      <c r="J1782" s="81" t="str">
        <f>_xlfn.XLOOKUP(表格1[[#This Row],[Model]],表格3[Model-Input-Ref2],表格3[Code])</f>
        <v>SDA</v>
      </c>
      <c r="K1782" s="89" t="s">
        <v>1264</v>
      </c>
      <c r="L1782" s="86">
        <v>1</v>
      </c>
      <c r="M1782" s="87">
        <v>550</v>
      </c>
      <c r="N1782" s="85">
        <f>IFERROR(表格1[[#This Row],[QTY]]*表格1[[#This Row],[Unit Price]],"-")</f>
        <v>550</v>
      </c>
      <c r="O1782" s="86">
        <v>368672</v>
      </c>
      <c r="R1782" s="86" t="str">
        <f>_xlfn.CONCAT(表格1[[#This Row],[Model]]," ",表格1[[#This Row],[inv no]])</f>
        <v>RC-5SLIH(W) 368672</v>
      </c>
      <c r="S1782" s="86">
        <f>_xlfn.XLOOKUP(表格1[[#This Row],[Model]],表格3[Model-Input-Ref2],表格3[SRP PRICE])</f>
        <v>658</v>
      </c>
      <c r="T1782" s="43">
        <f>表格1[[#This Row],[Unit Price]]/表格1[[#This Row],[SRP]]</f>
        <v>0.83586626139817632</v>
      </c>
      <c r="U1782" s="86" t="str">
        <f>_xlfn.XLOOKUP(表格1[[#This Row],[Model]],表格3[Model-Input-Ref2],表格3[TOSHIBA/HIGHEST])</f>
        <v>Toshiba SRP</v>
      </c>
      <c r="V1782" s="86">
        <v>123</v>
      </c>
      <c r="W1782" s="86" t="str">
        <f>_xlfn.CONCAT(表格1[[#This Row],[欄4]],表格1[[#This Row],[inv no]])</f>
        <v>123368672</v>
      </c>
    </row>
    <row r="1783" spans="1:23" ht="16.5" hidden="1">
      <c r="A1783" s="81">
        <v>1781</v>
      </c>
      <c r="B1783" s="81" t="s">
        <v>1260</v>
      </c>
      <c r="C1783" s="81" t="s">
        <v>2080</v>
      </c>
      <c r="D1783" s="82" t="str">
        <f ca="1">OFFSET(Roster!$A$3,MATCH(表格1[[#This Row],[Location]]&amp;" "&amp;表格1[[#This Row],[Shop]]&amp;"*",Roster!$A$4:$A$72,0),DAY(表格1[[#This Row],[date]]),1,1)</f>
        <v>Shan_2</v>
      </c>
      <c r="E1783" s="81">
        <f>MONTH(表格1[[#This Row],[date]])</f>
        <v>3</v>
      </c>
      <c r="F1783" s="90">
        <v>46110</v>
      </c>
      <c r="G1783" s="81" t="str">
        <f>VLOOKUP("*"&amp;表格1[[#This Row],[Input]]&amp;"*",'Ref-List'!$B:$D,2,)</f>
        <v>KT-14DHUHK(W)</v>
      </c>
      <c r="H1783" s="81" t="str">
        <f>_xlfn.XLOOKUP(表格1[[#This Row],[Model]],表格3[Model-Input-Ref2],表格3[Product Line])</f>
        <v>無線雙層電熱水壺(1.4公升)</v>
      </c>
      <c r="I1783" s="81" t="str">
        <f>_xlfn.XLOOKUP(表格1[[#This Row],[Model]],表格3[Model-Input-Ref2],表格3[大小電])</f>
        <v>細電</v>
      </c>
      <c r="J1783" s="81" t="str">
        <f>_xlfn.XLOOKUP(表格1[[#This Row],[Model]],表格3[Model-Input-Ref2],表格3[Code])</f>
        <v>SDA</v>
      </c>
      <c r="K1783" s="89" t="s">
        <v>1763</v>
      </c>
      <c r="L1783" s="86">
        <v>1</v>
      </c>
      <c r="M1783" s="87">
        <v>298</v>
      </c>
      <c r="N1783" s="85">
        <f>IFERROR(表格1[[#This Row],[QTY]]*表格1[[#This Row],[Unit Price]],"-")</f>
        <v>298</v>
      </c>
      <c r="O1783" s="86">
        <v>368705</v>
      </c>
      <c r="P1783" s="141"/>
      <c r="R1783" s="86" t="str">
        <f>_xlfn.CONCAT(表格1[[#This Row],[Model]]," ",表格1[[#This Row],[inv no]])</f>
        <v>KT-14DHUHK(W) 368705</v>
      </c>
      <c r="S1783" s="86">
        <f>_xlfn.XLOOKUP(表格1[[#This Row],[Model]],表格3[Model-Input-Ref2],表格3[SRP PRICE])</f>
        <v>458</v>
      </c>
      <c r="T1783" s="43">
        <f>表格1[[#This Row],[Unit Price]]/表格1[[#This Row],[SRP]]</f>
        <v>0.6506550218340611</v>
      </c>
      <c r="U1783" s="86" t="str">
        <f>_xlfn.XLOOKUP(表格1[[#This Row],[Model]],表格3[Model-Input-Ref2],表格3[TOSHIBA/HIGHEST])</f>
        <v>Toshiba SRP</v>
      </c>
      <c r="V1783" s="86">
        <v>123</v>
      </c>
      <c r="W1783" s="86" t="str">
        <f>_xlfn.CONCAT(表格1[[#This Row],[欄4]],表格1[[#This Row],[inv no]])</f>
        <v>123368705</v>
      </c>
    </row>
    <row r="1784" spans="1:23" hidden="1">
      <c r="A1784" s="81">
        <v>1782</v>
      </c>
      <c r="B1784" s="81" t="s">
        <v>1260</v>
      </c>
      <c r="C1784" s="81" t="s">
        <v>2080</v>
      </c>
      <c r="D1784" s="82" t="str">
        <f ca="1">OFFSET(Roster!$A$3,MATCH(表格1[[#This Row],[Location]]&amp;" "&amp;表格1[[#This Row],[Shop]]&amp;"*",Roster!$A$4:$A$72,0),DAY(表格1[[#This Row],[date]]),1,1)</f>
        <v>Shan_2</v>
      </c>
      <c r="E1784" s="81">
        <f>MONTH(表格1[[#This Row],[date]])</f>
        <v>3</v>
      </c>
      <c r="F1784" s="90">
        <v>46110</v>
      </c>
      <c r="G1784" s="81" t="str">
        <f>VLOOKUP("*"&amp;表格1[[#This Row],[Input]]&amp;"*",'Ref-List'!$B:$D,2,)</f>
        <v>KT-17DRTHK(H)</v>
      </c>
      <c r="H1784" s="81" t="str">
        <f>_xlfn.XLOOKUP(表格1[[#This Row],[Model]],表格3[Model-Input-Ref2],表格3[Product Line])</f>
        <v>無線雙層電熱水壺(1.7公升)</v>
      </c>
      <c r="I1784" s="81" t="str">
        <f>_xlfn.XLOOKUP(表格1[[#This Row],[Model]],表格3[Model-Input-Ref2],表格3[大小電])</f>
        <v>細電</v>
      </c>
      <c r="J1784" s="81" t="str">
        <f>_xlfn.XLOOKUP(表格1[[#This Row],[Model]],表格3[Model-Input-Ref2],表格3[Code])</f>
        <v>SDA</v>
      </c>
      <c r="K1784" s="89" t="s">
        <v>1271</v>
      </c>
      <c r="L1784" s="86">
        <v>1</v>
      </c>
      <c r="M1784" s="87">
        <v>388</v>
      </c>
      <c r="N1784" s="85">
        <f>IFERROR(表格1[[#This Row],[QTY]]*表格1[[#This Row],[Unit Price]],"-")</f>
        <v>388</v>
      </c>
      <c r="O1784" s="86">
        <v>368720</v>
      </c>
      <c r="R1784" s="86" t="str">
        <f>_xlfn.CONCAT(表格1[[#This Row],[Model]]," ",表格1[[#This Row],[inv no]])</f>
        <v>KT-17DRTHK(H) 368720</v>
      </c>
      <c r="S1784" s="86">
        <f>_xlfn.XLOOKUP(表格1[[#This Row],[Model]],表格3[Model-Input-Ref2],表格3[SRP PRICE])</f>
        <v>498</v>
      </c>
      <c r="T1784" s="43">
        <f>表格1[[#This Row],[Unit Price]]/表格1[[#This Row],[SRP]]</f>
        <v>0.77911646586345384</v>
      </c>
      <c r="U1784" s="86" t="str">
        <f>_xlfn.XLOOKUP(表格1[[#This Row],[Model]],表格3[Model-Input-Ref2],表格3[TOSHIBA/HIGHEST])</f>
        <v>Toshiba SRP</v>
      </c>
      <c r="V1784" s="86">
        <v>123</v>
      </c>
      <c r="W1784" s="86" t="str">
        <f>_xlfn.CONCAT(表格1[[#This Row],[欄4]],表格1[[#This Row],[inv no]])</f>
        <v>123368720</v>
      </c>
    </row>
    <row r="1785" spans="1:23" hidden="1">
      <c r="A1785" s="81">
        <v>1783</v>
      </c>
      <c r="B1785" s="81" t="s">
        <v>1260</v>
      </c>
      <c r="C1785" s="81" t="s">
        <v>2080</v>
      </c>
      <c r="D1785" s="82" t="str">
        <f ca="1">OFFSET(Roster!$A$3,MATCH(表格1[[#This Row],[Location]]&amp;" "&amp;表格1[[#This Row],[Shop]]&amp;"*",Roster!$A$4:$A$72,0),DAY(表格1[[#This Row],[date]]),1,1)</f>
        <v>Shan_2</v>
      </c>
      <c r="E1785" s="81">
        <f>MONTH(表格1[[#This Row],[date]])</f>
        <v>3</v>
      </c>
      <c r="F1785" s="90">
        <v>46110</v>
      </c>
      <c r="G1785" s="81" t="str">
        <f>VLOOKUP("*"&amp;表格1[[#This Row],[Input]]&amp;"*",'Ref-List'!$B:$D,2,)</f>
        <v>F-LYA20(W)HKG</v>
      </c>
      <c r="H1785" s="81" t="str">
        <f>_xlfn.XLOOKUP(表格1[[#This Row],[Model]],表格3[Model-Input-Ref2],表格3[Product Line])</f>
        <v>12吋2合1座地座檯電風扇連遙控</v>
      </c>
      <c r="I1785" s="81" t="str">
        <f>_xlfn.XLOOKUP(表格1[[#This Row],[Model]],表格3[Model-Input-Ref2],表格3[大小電])</f>
        <v>細電</v>
      </c>
      <c r="J1785" s="81" t="str">
        <f>_xlfn.XLOOKUP(表格1[[#This Row],[Model]],表格3[Model-Input-Ref2],表格3[Code])</f>
        <v>EAD</v>
      </c>
      <c r="K1785" s="89" t="s">
        <v>1391</v>
      </c>
      <c r="L1785" s="86">
        <v>1</v>
      </c>
      <c r="M1785" s="87">
        <v>399</v>
      </c>
      <c r="N1785" s="85">
        <f>IFERROR(表格1[[#This Row],[QTY]]*表格1[[#This Row],[Unit Price]],"-")</f>
        <v>399</v>
      </c>
      <c r="O1785" s="86">
        <v>368757</v>
      </c>
      <c r="R1785" s="86" t="str">
        <f>_xlfn.CONCAT(表格1[[#This Row],[Model]]," ",表格1[[#This Row],[inv no]])</f>
        <v>F-LYA20(W)HKG 368757</v>
      </c>
      <c r="S1785" s="86">
        <f>_xlfn.XLOOKUP(表格1[[#This Row],[Model]],表格3[Model-Input-Ref2],表格3[SRP PRICE])</f>
        <v>988</v>
      </c>
      <c r="T1785" s="43">
        <f>表格1[[#This Row],[Unit Price]]/表格1[[#This Row],[SRP]]</f>
        <v>0.40384615384615385</v>
      </c>
      <c r="U1785" s="86" t="str">
        <f>_xlfn.XLOOKUP(表格1[[#This Row],[Model]],表格3[Model-Input-Ref2],表格3[TOSHIBA/HIGHEST])</f>
        <v>Toshiba SRP</v>
      </c>
      <c r="V1785" s="86">
        <v>123</v>
      </c>
      <c r="W1785" s="86" t="str">
        <f>_xlfn.CONCAT(表格1[[#This Row],[欄4]],表格1[[#This Row],[inv no]])</f>
        <v>123368757</v>
      </c>
    </row>
    <row r="1786" spans="1:23" hidden="1">
      <c r="A1786" s="81">
        <v>1784</v>
      </c>
      <c r="B1786" s="81" t="s">
        <v>1260</v>
      </c>
      <c r="C1786" s="81" t="s">
        <v>2080</v>
      </c>
      <c r="D1786" s="82" t="str">
        <f ca="1">OFFSET(Roster!$A$3,MATCH(表格1[[#This Row],[Location]]&amp;" "&amp;表格1[[#This Row],[Shop]]&amp;"*",Roster!$A$4:$A$72,0),DAY(表格1[[#This Row],[date]]),1,1)</f>
        <v>Shan_2</v>
      </c>
      <c r="E1786" s="81">
        <f>MONTH(表格1[[#This Row],[date]])</f>
        <v>3</v>
      </c>
      <c r="F1786" s="90">
        <v>46111</v>
      </c>
      <c r="G1786" s="81" t="str">
        <f>VLOOKUP("*"&amp;表格1[[#This Row],[Input]]&amp;"*",'Ref-List'!$B:$D,2,)</f>
        <v>RC-10AMXH(W)</v>
      </c>
      <c r="H1786" s="81" t="str">
        <f>_xlfn.XLOOKUP(表格1[[#This Row],[Model]],表格3[Model-Input-Ref2],表格3[Product Line])</f>
        <v>酵活炊電飯煲(1.0公升)</v>
      </c>
      <c r="I1786" s="81" t="str">
        <f>_xlfn.XLOOKUP(表格1[[#This Row],[Model]],表格3[Model-Input-Ref2],表格3[大小電])</f>
        <v>細電</v>
      </c>
      <c r="J1786" s="81" t="str">
        <f>_xlfn.XLOOKUP(表格1[[#This Row],[Model]],表格3[Model-Input-Ref2],表格3[Code])</f>
        <v>SDA</v>
      </c>
      <c r="K1786" s="89" t="s">
        <v>1279</v>
      </c>
      <c r="L1786" s="86">
        <v>1</v>
      </c>
      <c r="M1786" s="87">
        <v>990</v>
      </c>
      <c r="N1786" s="85">
        <f>IFERROR(表格1[[#This Row],[QTY]]*表格1[[#This Row],[Unit Price]],"-")</f>
        <v>990</v>
      </c>
      <c r="O1786" s="86">
        <v>368799</v>
      </c>
      <c r="R1786" s="86" t="str">
        <f>_xlfn.CONCAT(表格1[[#This Row],[Model]]," ",表格1[[#This Row],[inv no]])</f>
        <v>RC-10AMXH(W) 368799</v>
      </c>
      <c r="S1786" s="86">
        <f>_xlfn.XLOOKUP(表格1[[#This Row],[Model]],表格3[Model-Input-Ref2],表格3[SRP PRICE])</f>
        <v>1288</v>
      </c>
      <c r="T1786" s="43">
        <f>表格1[[#This Row],[Unit Price]]/表格1[[#This Row],[SRP]]</f>
        <v>0.76863354037267084</v>
      </c>
      <c r="U1786" s="86" t="str">
        <f>_xlfn.XLOOKUP(表格1[[#This Row],[Model]],表格3[Model-Input-Ref2],表格3[TOSHIBA/HIGHEST])</f>
        <v>Toshiba SRP</v>
      </c>
      <c r="V1786" s="86">
        <v>123</v>
      </c>
      <c r="W1786" s="86" t="str">
        <f>_xlfn.CONCAT(表格1[[#This Row],[欄4]],表格1[[#This Row],[inv no]])</f>
        <v>123368799</v>
      </c>
    </row>
    <row r="1787" spans="1:23" hidden="1">
      <c r="A1787" s="81">
        <v>1785</v>
      </c>
      <c r="B1787" s="81" t="s">
        <v>1260</v>
      </c>
      <c r="C1787" s="81" t="s">
        <v>2080</v>
      </c>
      <c r="D1787" s="82" t="str">
        <f ca="1">OFFSET(Roster!$A$3,MATCH(表格1[[#This Row],[Location]]&amp;" "&amp;表格1[[#This Row],[Shop]]&amp;"*",Roster!$A$4:$A$72,0),DAY(表格1[[#This Row],[date]]),1,1)</f>
        <v>Shan_2</v>
      </c>
      <c r="E1787" s="81">
        <f>MONTH(表格1[[#This Row],[date]])</f>
        <v>3</v>
      </c>
      <c r="F1787" s="90">
        <v>46111</v>
      </c>
      <c r="G1787" s="81" t="str">
        <f>VLOOKUP("*"&amp;表格1[[#This Row],[Input]]&amp;"*",'Ref-List'!$B:$D,2,)</f>
        <v>RC-5MMIH(WT)</v>
      </c>
      <c r="H1787" s="81" t="str">
        <f>_xlfn.XLOOKUP(表格1[[#This Row],[Model]],表格3[Model-Input-Ref2],表格3[Product Line])</f>
        <v>4毫米厚釜電飯煲0.54L</v>
      </c>
      <c r="I1787" s="81" t="str">
        <f>_xlfn.XLOOKUP(表格1[[#This Row],[Model]],表格3[Model-Input-Ref2],表格3[大小電])</f>
        <v>細電</v>
      </c>
      <c r="J1787" s="81" t="str">
        <f>_xlfn.XLOOKUP(表格1[[#This Row],[Model]],表格3[Model-Input-Ref2],表格3[Code])</f>
        <v>SDA</v>
      </c>
      <c r="K1787" s="89" t="s">
        <v>1195</v>
      </c>
      <c r="L1787" s="86">
        <v>1</v>
      </c>
      <c r="M1787" s="87">
        <v>450</v>
      </c>
      <c r="N1787" s="85">
        <f>IFERROR(表格1[[#This Row],[QTY]]*表格1[[#This Row],[Unit Price]],"-")</f>
        <v>450</v>
      </c>
      <c r="O1787" s="86">
        <v>368810</v>
      </c>
      <c r="R1787" s="86" t="str">
        <f>_xlfn.CONCAT(表格1[[#This Row],[Model]]," ",表格1[[#This Row],[inv no]])</f>
        <v>RC-5MMIH(WT) 368810</v>
      </c>
      <c r="S1787" s="86">
        <f>_xlfn.XLOOKUP(表格1[[#This Row],[Model]],表格3[Model-Input-Ref2],表格3[SRP PRICE])</f>
        <v>618</v>
      </c>
      <c r="T1787" s="43">
        <f>表格1[[#This Row],[Unit Price]]/表格1[[#This Row],[SRP]]</f>
        <v>0.72815533980582525</v>
      </c>
      <c r="U1787" s="86" t="str">
        <f>_xlfn.XLOOKUP(表格1[[#This Row],[Model]],表格3[Model-Input-Ref2],表格3[TOSHIBA/HIGHEST])</f>
        <v>Toshiba SRP</v>
      </c>
      <c r="V1787" s="86">
        <v>123</v>
      </c>
      <c r="W1787" s="86" t="str">
        <f>_xlfn.CONCAT(表格1[[#This Row],[欄4]],表格1[[#This Row],[inv no]])</f>
        <v>123368810</v>
      </c>
    </row>
    <row r="1788" spans="1:23" hidden="1">
      <c r="A1788" s="81">
        <v>1786</v>
      </c>
      <c r="B1788" s="81" t="s">
        <v>1260</v>
      </c>
      <c r="C1788" s="81" t="s">
        <v>2080</v>
      </c>
      <c r="D1788" s="82" t="str">
        <f ca="1">OFFSET(Roster!$A$3,MATCH(表格1[[#This Row],[Location]]&amp;" "&amp;表格1[[#This Row],[Shop]]&amp;"*",Roster!$A$4:$A$72,0),DAY(表格1[[#This Row],[date]]),1,1)</f>
        <v>Shan_2</v>
      </c>
      <c r="E1788" s="81">
        <f>MONTH(表格1[[#This Row],[date]])</f>
        <v>3</v>
      </c>
      <c r="F1788" s="90">
        <v>46111</v>
      </c>
      <c r="G1788" s="81" t="str">
        <f>VLOOKUP("*"&amp;表格1[[#This Row],[Input]]&amp;"*",'Ref-List'!$B:$D,2,)</f>
        <v>RC-5SLIH(W)</v>
      </c>
      <c r="H1788" s="81" t="str">
        <f>_xlfn.XLOOKUP(表格1[[#This Row],[Model]],表格3[Model-Input-Ref2],表格3[Product Line])</f>
        <v>微型電腦珍珠飯煲</v>
      </c>
      <c r="I1788" s="81" t="str">
        <f>_xlfn.XLOOKUP(表格1[[#This Row],[Model]],表格3[Model-Input-Ref2],表格3[大小電])</f>
        <v>細電</v>
      </c>
      <c r="J1788" s="81" t="str">
        <f>_xlfn.XLOOKUP(表格1[[#This Row],[Model]],表格3[Model-Input-Ref2],表格3[Code])</f>
        <v>SDA</v>
      </c>
      <c r="K1788" s="89" t="s">
        <v>1264</v>
      </c>
      <c r="L1788" s="86">
        <v>1</v>
      </c>
      <c r="M1788" s="87">
        <v>550</v>
      </c>
      <c r="N1788" s="85">
        <f>IFERROR(表格1[[#This Row],[QTY]]*表格1[[#This Row],[Unit Price]],"-")</f>
        <v>550</v>
      </c>
      <c r="O1788" s="86">
        <v>368818</v>
      </c>
      <c r="R1788" s="86" t="str">
        <f>_xlfn.CONCAT(表格1[[#This Row],[Model]]," ",表格1[[#This Row],[inv no]])</f>
        <v>RC-5SLIH(W) 368818</v>
      </c>
      <c r="S1788" s="86">
        <f>_xlfn.XLOOKUP(表格1[[#This Row],[Model]],表格3[Model-Input-Ref2],表格3[SRP PRICE])</f>
        <v>658</v>
      </c>
      <c r="T1788" s="43">
        <f>表格1[[#This Row],[Unit Price]]/表格1[[#This Row],[SRP]]</f>
        <v>0.83586626139817632</v>
      </c>
      <c r="U1788" s="86" t="str">
        <f>_xlfn.XLOOKUP(表格1[[#This Row],[Model]],表格3[Model-Input-Ref2],表格3[TOSHIBA/HIGHEST])</f>
        <v>Toshiba SRP</v>
      </c>
      <c r="V1788" s="86">
        <v>123</v>
      </c>
      <c r="W1788" s="86" t="str">
        <f>_xlfn.CONCAT(表格1[[#This Row],[欄4]],表格1[[#This Row],[inv no]])</f>
        <v>123368818</v>
      </c>
    </row>
    <row r="1789" spans="1:23" hidden="1">
      <c r="A1789" s="81">
        <v>1787</v>
      </c>
      <c r="B1789" s="81" t="s">
        <v>1260</v>
      </c>
      <c r="C1789" s="81" t="s">
        <v>2080</v>
      </c>
      <c r="D1789" s="82" t="str">
        <f ca="1">OFFSET(Roster!$A$3,MATCH(表格1[[#This Row],[Location]]&amp;" "&amp;表格1[[#This Row],[Shop]]&amp;"*",Roster!$A$4:$A$72,0),DAY(表格1[[#This Row],[date]]),1,1)</f>
        <v>Shan_2</v>
      </c>
      <c r="E1789" s="81">
        <f>MONTH(表格1[[#This Row],[date]])</f>
        <v>3</v>
      </c>
      <c r="F1789" s="90">
        <v>46111</v>
      </c>
      <c r="G1789" s="81" t="str">
        <f>VLOOKUP("*"&amp;表格1[[#This Row],[Input]]&amp;"*",'Ref-List'!$B:$D,2,)</f>
        <v>GR-RT300WE-PMA(57)</v>
      </c>
      <c r="H1789" s="81" t="str">
        <f>_xlfn.XLOOKUP(表格1[[#This Row],[Model]],表格3[Model-Input-Ref2],表格3[Product Line])</f>
        <v>變頻式環保雙門雪櫃(233L)</v>
      </c>
      <c r="I1789" s="81" t="str">
        <f>_xlfn.XLOOKUP(表格1[[#This Row],[Model]],表格3[Model-Input-Ref2],表格3[大小電])</f>
        <v>大電</v>
      </c>
      <c r="J1789" s="81" t="str">
        <f>_xlfn.XLOOKUP(表格1[[#This Row],[Model]],表格3[Model-Input-Ref2],表格3[Code])</f>
        <v>REF</v>
      </c>
      <c r="K1789" s="89" t="s">
        <v>1462</v>
      </c>
      <c r="L1789" s="86">
        <v>1</v>
      </c>
      <c r="M1789" s="87">
        <v>2780</v>
      </c>
      <c r="N1789" s="85">
        <f>IFERROR(表格1[[#This Row],[QTY]]*表格1[[#This Row],[Unit Price]],"-")</f>
        <v>2780</v>
      </c>
      <c r="O1789" s="86">
        <v>368824</v>
      </c>
      <c r="R1789" s="86" t="str">
        <f>_xlfn.CONCAT(表格1[[#This Row],[Model]]," ",表格1[[#This Row],[inv no]])</f>
        <v>GR-RT300WE-PMA(57) 368824</v>
      </c>
      <c r="S1789" s="86">
        <f>_xlfn.XLOOKUP(表格1[[#This Row],[Model]],表格3[Model-Input-Ref2],表格3[SRP PRICE])</f>
        <v>4280</v>
      </c>
      <c r="T1789" s="43">
        <f>表格1[[#This Row],[Unit Price]]/表格1[[#This Row],[SRP]]</f>
        <v>0.64953271028037385</v>
      </c>
      <c r="U1789" s="86" t="str">
        <f>_xlfn.XLOOKUP(表格1[[#This Row],[Model]],表格3[Model-Input-Ref2],表格3[TOSHIBA/HIGHEST])</f>
        <v>Toshiba SRP</v>
      </c>
      <c r="V1789" s="86">
        <v>123</v>
      </c>
      <c r="W1789" s="86" t="str">
        <f>_xlfn.CONCAT(表格1[[#This Row],[欄4]],表格1[[#This Row],[inv no]])</f>
        <v>123368824</v>
      </c>
    </row>
    <row r="1790" spans="1:23" hidden="1">
      <c r="A1790" s="81">
        <v>1788</v>
      </c>
      <c r="B1790" s="81" t="s">
        <v>1260</v>
      </c>
      <c r="C1790" s="81" t="s">
        <v>2080</v>
      </c>
      <c r="D1790" s="82" t="str">
        <f ca="1">OFFSET(Roster!$A$3,MATCH(表格1[[#This Row],[Location]]&amp;" "&amp;表格1[[#This Row],[Shop]]&amp;"*",Roster!$A$4:$A$72,0),DAY(表格1[[#This Row],[date]]),1,1)</f>
        <v>Shan_2</v>
      </c>
      <c r="E1790" s="81">
        <f>MONTH(表格1[[#This Row],[date]])</f>
        <v>3</v>
      </c>
      <c r="F1790" s="90">
        <v>46111</v>
      </c>
      <c r="G1790" s="81" t="str">
        <f>VLOOKUP("*"&amp;表格1[[#This Row],[Input]]&amp;"*",'Ref-List'!$B:$D,2,)</f>
        <v>RC-18JRUH(N)</v>
      </c>
      <c r="H1790" s="81" t="str">
        <f>_xlfn.XLOOKUP(表格1[[#This Row],[Model]],表格3[Model-Input-Ref2],表格3[Product Line])</f>
        <v>1.8公升電飯煲</v>
      </c>
      <c r="I1790" s="81" t="str">
        <f>_xlfn.XLOOKUP(表格1[[#This Row],[Model]],表格3[Model-Input-Ref2],表格3[大小電])</f>
        <v>細電</v>
      </c>
      <c r="J1790" s="81" t="str">
        <f>_xlfn.XLOOKUP(表格1[[#This Row],[Model]],表格3[Model-Input-Ref2],表格3[Code])</f>
        <v>SDA</v>
      </c>
      <c r="K1790" s="89" t="s">
        <v>1275</v>
      </c>
      <c r="L1790" s="86">
        <v>1</v>
      </c>
      <c r="M1790" s="87">
        <v>300</v>
      </c>
      <c r="N1790" s="85">
        <f>IFERROR(表格1[[#This Row],[QTY]]*表格1[[#This Row],[Unit Price]],"-")</f>
        <v>300</v>
      </c>
      <c r="O1790" s="86">
        <v>368842</v>
      </c>
      <c r="R1790" s="86" t="str">
        <f>_xlfn.CONCAT(表格1[[#This Row],[Model]]," ",表格1[[#This Row],[inv no]])</f>
        <v>RC-18JRUH(N) 368842</v>
      </c>
      <c r="S1790" s="86">
        <f>_xlfn.XLOOKUP(表格1[[#This Row],[Model]],表格3[Model-Input-Ref2],表格3[SRP PRICE])</f>
        <v>458</v>
      </c>
      <c r="T1790" s="43">
        <f>表格1[[#This Row],[Unit Price]]/表格1[[#This Row],[SRP]]</f>
        <v>0.65502183406113534</v>
      </c>
      <c r="U1790" s="86" t="str">
        <f>_xlfn.XLOOKUP(表格1[[#This Row],[Model]],表格3[Model-Input-Ref2],表格3[TOSHIBA/HIGHEST])</f>
        <v>Shops Highest Price</v>
      </c>
      <c r="V1790" s="86">
        <v>123</v>
      </c>
      <c r="W1790" s="86" t="str">
        <f>_xlfn.CONCAT(表格1[[#This Row],[欄4]],表格1[[#This Row],[inv no]])</f>
        <v>123368842</v>
      </c>
    </row>
    <row r="1791" spans="1:23" ht="16.5" hidden="1">
      <c r="A1791" s="81">
        <v>1789</v>
      </c>
      <c r="B1791" s="81" t="s">
        <v>1260</v>
      </c>
      <c r="C1791" s="81" t="s">
        <v>2080</v>
      </c>
      <c r="D1791" s="82" t="str">
        <f ca="1">OFFSET(Roster!$A$3,MATCH(表格1[[#This Row],[Location]]&amp;" "&amp;表格1[[#This Row],[Shop]]&amp;"*",Roster!$A$4:$A$72,0),DAY(表格1[[#This Row],[date]]),1,1)</f>
        <v>Shan_2</v>
      </c>
      <c r="E1791" s="81">
        <f>MONTH(表格1[[#This Row],[date]])</f>
        <v>3</v>
      </c>
      <c r="F1791" s="90">
        <v>46111</v>
      </c>
      <c r="G1791" s="81" t="str">
        <f>VLOOKUP("*"&amp;表格1[[#This Row],[Input]]&amp;"*",'Ref-List'!$B:$D,2,)</f>
        <v>MM2-EM20PC(WH)</v>
      </c>
      <c r="H1791" s="81" t="str">
        <f>_xlfn.XLOOKUP(表格1[[#This Row],[Model]],表格3[Model-Input-Ref2],表格3[Product Line])</f>
        <v>輕觸式微波爐 (20公升)</v>
      </c>
      <c r="I1791" s="81" t="str">
        <f>_xlfn.XLOOKUP(表格1[[#This Row],[Model]],表格3[Model-Input-Ref2],表格3[大小電])</f>
        <v>細電</v>
      </c>
      <c r="J1791" s="81" t="str">
        <f>_xlfn.XLOOKUP(表格1[[#This Row],[Model]],表格3[Model-Input-Ref2],表格3[Code])</f>
        <v>MCA</v>
      </c>
      <c r="K1791" s="89" t="s">
        <v>1276</v>
      </c>
      <c r="L1791" s="86">
        <v>1</v>
      </c>
      <c r="M1791" s="87">
        <v>598</v>
      </c>
      <c r="N1791" s="85">
        <f>IFERROR(表格1[[#This Row],[QTY]]*表格1[[#This Row],[Unit Price]],"-")</f>
        <v>598</v>
      </c>
      <c r="O1791" s="86">
        <v>388845</v>
      </c>
      <c r="P1791" s="141"/>
      <c r="R1791" s="86" t="str">
        <f>_xlfn.CONCAT(表格1[[#This Row],[Model]]," ",表格1[[#This Row],[inv no]])</f>
        <v>MM2-EM20PC(WH) 388845</v>
      </c>
      <c r="S1791" s="86">
        <f>_xlfn.XLOOKUP(表格1[[#This Row],[Model]],表格3[Model-Input-Ref2],表格3[SRP PRICE])</f>
        <v>788</v>
      </c>
      <c r="T1791" s="43">
        <f>表格1[[#This Row],[Unit Price]]/表格1[[#This Row],[SRP]]</f>
        <v>0.75888324873096447</v>
      </c>
      <c r="U1791" s="86" t="str">
        <f>_xlfn.XLOOKUP(表格1[[#This Row],[Model]],表格3[Model-Input-Ref2],表格3[TOSHIBA/HIGHEST])</f>
        <v>Toshiba SRP</v>
      </c>
      <c r="V1791" s="86">
        <v>123</v>
      </c>
      <c r="W1791" s="86" t="str">
        <f>_xlfn.CONCAT(表格1[[#This Row],[欄4]],表格1[[#This Row],[inv no]])</f>
        <v>123388845</v>
      </c>
    </row>
    <row r="1792" spans="1:23" hidden="1">
      <c r="A1792" s="81">
        <v>1790</v>
      </c>
      <c r="B1792" s="81" t="s">
        <v>1260</v>
      </c>
      <c r="C1792" s="81" t="s">
        <v>2080</v>
      </c>
      <c r="D1792" s="82" t="str">
        <f ca="1">OFFSET(Roster!$A$3,MATCH(表格1[[#This Row],[Location]]&amp;" "&amp;表格1[[#This Row],[Shop]]&amp;"*",Roster!$A$4:$A$72,0),DAY(表格1[[#This Row],[date]]),1,1)</f>
        <v>Shan_2</v>
      </c>
      <c r="E1792" s="81">
        <f>MONTH(表格1[[#This Row],[date]])</f>
        <v>3</v>
      </c>
      <c r="F1792" s="90">
        <v>46111</v>
      </c>
      <c r="G1792" s="81" t="str">
        <f>VLOOKUP("*"&amp;表格1[[#This Row],[Input]]&amp;"*",'Ref-List'!$B:$D,2,)</f>
        <v>RC-10NMFIH(WT)</v>
      </c>
      <c r="H1792" s="81" t="str">
        <f>_xlfn.XLOOKUP(表格1[[#This Row],[Model]],表格3[Model-Input-Ref2],表格3[Product Line])</f>
        <v>4毫米厚釜電飯煲1L</v>
      </c>
      <c r="I1792" s="81" t="str">
        <f>_xlfn.XLOOKUP(表格1[[#This Row],[Model]],表格3[Model-Input-Ref2],表格3[大小電])</f>
        <v>細電</v>
      </c>
      <c r="J1792" s="81" t="str">
        <f>_xlfn.XLOOKUP(表格1[[#This Row],[Model]],表格3[Model-Input-Ref2],表格3[Code])</f>
        <v>SDA</v>
      </c>
      <c r="K1792" s="89" t="s">
        <v>1244</v>
      </c>
      <c r="L1792" s="86">
        <v>1</v>
      </c>
      <c r="M1792" s="87">
        <v>719</v>
      </c>
      <c r="N1792" s="85">
        <f>IFERROR(表格1[[#This Row],[QTY]]*表格1[[#This Row],[Unit Price]],"-")</f>
        <v>719</v>
      </c>
      <c r="O1792" s="86">
        <v>368873</v>
      </c>
      <c r="R1792" s="86" t="str">
        <f>_xlfn.CONCAT(表格1[[#This Row],[Model]]," ",表格1[[#This Row],[inv no]])</f>
        <v>RC-10NMFIH(WT) 368873</v>
      </c>
      <c r="S1792" s="86">
        <f>_xlfn.XLOOKUP(表格1[[#This Row],[Model]],表格3[Model-Input-Ref2],表格3[SRP PRICE])</f>
        <v>898</v>
      </c>
      <c r="T1792" s="43">
        <f>表格1[[#This Row],[Unit Price]]/表格1[[#This Row],[SRP]]</f>
        <v>0.80066815144766146</v>
      </c>
      <c r="U1792" s="86" t="str">
        <f>_xlfn.XLOOKUP(表格1[[#This Row],[Model]],表格3[Model-Input-Ref2],表格3[TOSHIBA/HIGHEST])</f>
        <v>Toshiba SRP</v>
      </c>
      <c r="V1792" s="86">
        <v>123</v>
      </c>
      <c r="W1792" s="86" t="str">
        <f>_xlfn.CONCAT(表格1[[#This Row],[欄4]],表格1[[#This Row],[inv no]])</f>
        <v>123368873</v>
      </c>
    </row>
    <row r="1793" spans="1:23" hidden="1">
      <c r="A1793" s="81">
        <v>1791</v>
      </c>
      <c r="B1793" s="81" t="s">
        <v>1260</v>
      </c>
      <c r="C1793" s="81" t="s">
        <v>2080</v>
      </c>
      <c r="D1793" s="82" t="str">
        <f ca="1">OFFSET(Roster!$A$3,MATCH(表格1[[#This Row],[Location]]&amp;" "&amp;表格1[[#This Row],[Shop]]&amp;"*",Roster!$A$4:$A$72,0),DAY(表格1[[#This Row],[date]]),1,1)</f>
        <v>Shan_2</v>
      </c>
      <c r="E1793" s="81">
        <f>MONTH(表格1[[#This Row],[date]])</f>
        <v>3</v>
      </c>
      <c r="F1793" s="90">
        <v>46111</v>
      </c>
      <c r="G1793" s="81" t="str">
        <f>VLOOKUP("*"&amp;表格1[[#This Row],[Input]]&amp;"*",'Ref-List'!$B:$D,2,)</f>
        <v>RC-5MMIH(WT)</v>
      </c>
      <c r="H1793" s="81" t="str">
        <f>_xlfn.XLOOKUP(表格1[[#This Row],[Model]],表格3[Model-Input-Ref2],表格3[Product Line])</f>
        <v>4毫米厚釜電飯煲0.54L</v>
      </c>
      <c r="I1793" s="81" t="str">
        <f>_xlfn.XLOOKUP(表格1[[#This Row],[Model]],表格3[Model-Input-Ref2],表格3[大小電])</f>
        <v>細電</v>
      </c>
      <c r="J1793" s="81" t="str">
        <f>_xlfn.XLOOKUP(表格1[[#This Row],[Model]],表格3[Model-Input-Ref2],表格3[Code])</f>
        <v>SDA</v>
      </c>
      <c r="K1793" s="89" t="s">
        <v>1195</v>
      </c>
      <c r="L1793" s="86">
        <v>1</v>
      </c>
      <c r="M1793" s="87">
        <v>450</v>
      </c>
      <c r="N1793" s="85">
        <f>IFERROR(表格1[[#This Row],[QTY]]*表格1[[#This Row],[Unit Price]],"-")</f>
        <v>450</v>
      </c>
      <c r="O1793" s="86">
        <v>368875</v>
      </c>
      <c r="R1793" s="86" t="str">
        <f>_xlfn.CONCAT(表格1[[#This Row],[Model]]," ",表格1[[#This Row],[inv no]])</f>
        <v>RC-5MMIH(WT) 368875</v>
      </c>
      <c r="S1793" s="86">
        <f>_xlfn.XLOOKUP(表格1[[#This Row],[Model]],表格3[Model-Input-Ref2],表格3[SRP PRICE])</f>
        <v>618</v>
      </c>
      <c r="T1793" s="43">
        <f>表格1[[#This Row],[Unit Price]]/表格1[[#This Row],[SRP]]</f>
        <v>0.72815533980582525</v>
      </c>
      <c r="U1793" s="86" t="str">
        <f>_xlfn.XLOOKUP(表格1[[#This Row],[Model]],表格3[Model-Input-Ref2],表格3[TOSHIBA/HIGHEST])</f>
        <v>Toshiba SRP</v>
      </c>
      <c r="V1793" s="86">
        <v>123</v>
      </c>
      <c r="W1793" s="86" t="str">
        <f>_xlfn.CONCAT(表格1[[#This Row],[欄4]],表格1[[#This Row],[inv no]])</f>
        <v>123368875</v>
      </c>
    </row>
    <row r="1794" spans="1:23" hidden="1">
      <c r="A1794" s="81">
        <v>1792</v>
      </c>
      <c r="B1794" s="81" t="s">
        <v>1260</v>
      </c>
      <c r="C1794" s="81" t="s">
        <v>2080</v>
      </c>
      <c r="D1794" s="82" t="str">
        <f ca="1">OFFSET(Roster!$A$3,MATCH(表格1[[#This Row],[Location]]&amp;" "&amp;表格1[[#This Row],[Shop]]&amp;"*",Roster!$A$4:$A$72,0),DAY(表格1[[#This Row],[date]]),1,1)</f>
        <v>Shan_2</v>
      </c>
      <c r="E1794" s="81">
        <f>MONTH(表格1[[#This Row],[date]])</f>
        <v>3</v>
      </c>
      <c r="F1794" s="90">
        <v>46111</v>
      </c>
      <c r="G1794" s="81" t="str">
        <f>VLOOKUP("*"&amp;表格1[[#This Row],[Input]]&amp;"*",'Ref-List'!$B:$D,2,)</f>
        <v>TP-50DRUHK(W)</v>
      </c>
      <c r="H1794" s="81" t="str">
        <f>_xlfn.XLOOKUP(表格1[[#This Row],[Model]],表格3[Model-Input-Ref2],表格3[Product Line])</f>
        <v>電熱水瓶 (5公升)</v>
      </c>
      <c r="I1794" s="81" t="str">
        <f>_xlfn.XLOOKUP(表格1[[#This Row],[Model]],表格3[Model-Input-Ref2],表格3[大小電])</f>
        <v>細電</v>
      </c>
      <c r="J1794" s="81" t="str">
        <f>_xlfn.XLOOKUP(表格1[[#This Row],[Model]],表格3[Model-Input-Ref2],表格3[Code])</f>
        <v>SDA</v>
      </c>
      <c r="K1794" s="89" t="s">
        <v>1277</v>
      </c>
      <c r="L1794" s="86">
        <v>1</v>
      </c>
      <c r="M1794" s="87">
        <v>598</v>
      </c>
      <c r="N1794" s="85">
        <f>IFERROR(表格1[[#This Row],[QTY]]*表格1[[#This Row],[Unit Price]],"-")</f>
        <v>598</v>
      </c>
      <c r="O1794" s="86">
        <v>368931</v>
      </c>
      <c r="R1794" s="86" t="str">
        <f>_xlfn.CONCAT(表格1[[#This Row],[Model]]," ",表格1[[#This Row],[inv no]])</f>
        <v>TP-50DRUHK(W) 368931</v>
      </c>
      <c r="S1794" s="86">
        <f>_xlfn.XLOOKUP(表格1[[#This Row],[Model]],表格3[Model-Input-Ref2],表格3[SRP PRICE])</f>
        <v>718</v>
      </c>
      <c r="T1794" s="43">
        <f>表格1[[#This Row],[Unit Price]]/表格1[[#This Row],[SRP]]</f>
        <v>0.83286908077994426</v>
      </c>
      <c r="U1794" s="86" t="str">
        <f>_xlfn.XLOOKUP(表格1[[#This Row],[Model]],表格3[Model-Input-Ref2],表格3[TOSHIBA/HIGHEST])</f>
        <v>Toshiba SRP</v>
      </c>
      <c r="V1794" s="86">
        <v>123</v>
      </c>
      <c r="W1794" s="86" t="str">
        <f>_xlfn.CONCAT(表格1[[#This Row],[欄4]],表格1[[#This Row],[inv no]])</f>
        <v>123368931</v>
      </c>
    </row>
    <row r="1795" spans="1:23" hidden="1">
      <c r="A1795" s="81">
        <v>1793</v>
      </c>
      <c r="B1795" s="81" t="s">
        <v>1260</v>
      </c>
      <c r="C1795" s="81" t="s">
        <v>2080</v>
      </c>
      <c r="D1795" s="82" t="str">
        <f ca="1">OFFSET(Roster!$A$3,MATCH(表格1[[#This Row],[Location]]&amp;" "&amp;表格1[[#This Row],[Shop]]&amp;"*",Roster!$A$4:$A$72,0),DAY(表格1[[#This Row],[date]]),1,1)</f>
        <v>Shan_2</v>
      </c>
      <c r="E1795" s="81">
        <f>MONTH(表格1[[#This Row],[date]])</f>
        <v>3</v>
      </c>
      <c r="F1795" s="90">
        <v>46111</v>
      </c>
      <c r="G1795" s="81" t="str">
        <f>VLOOKUP("*"&amp;表格1[[#This Row],[Input]]&amp;"*",'Ref-List'!$B:$D,2,)</f>
        <v>RAD-D300H</v>
      </c>
      <c r="H1795" s="81" t="str">
        <f>_xlfn.XLOOKUP(表格1[[#This Row],[Model]],表格3[Model-Input-Ref2],表格3[Product Line])</f>
        <v>壓縮式抽濕機 (30公升)</v>
      </c>
      <c r="I1795" s="81" t="str">
        <f>_xlfn.XLOOKUP(表格1[[#This Row],[Model]],表格3[Model-Input-Ref2],表格3[大小電])</f>
        <v>細電</v>
      </c>
      <c r="J1795" s="81" t="str">
        <f>_xlfn.XLOOKUP(表格1[[#This Row],[Model]],表格3[Model-Input-Ref2],表格3[Code])</f>
        <v>RAC</v>
      </c>
      <c r="K1795" s="89" t="s">
        <v>1252</v>
      </c>
      <c r="L1795" s="86">
        <v>1</v>
      </c>
      <c r="M1795" s="87">
        <v>2080</v>
      </c>
      <c r="N1795" s="85">
        <f>IFERROR(表格1[[#This Row],[QTY]]*表格1[[#This Row],[Unit Price]],"-")</f>
        <v>2080</v>
      </c>
      <c r="O1795" s="86">
        <v>368932</v>
      </c>
      <c r="R1795" s="86" t="str">
        <f>_xlfn.CONCAT(表格1[[#This Row],[Model]]," ",表格1[[#This Row],[inv no]])</f>
        <v>RAD-D300H 368932</v>
      </c>
      <c r="S1795" s="86">
        <f>_xlfn.XLOOKUP(表格1[[#This Row],[Model]],表格3[Model-Input-Ref2],表格3[SRP PRICE])</f>
        <v>3380</v>
      </c>
      <c r="T1795" s="43">
        <f>表格1[[#This Row],[Unit Price]]/表格1[[#This Row],[SRP]]</f>
        <v>0.61538461538461542</v>
      </c>
      <c r="U1795" s="86" t="str">
        <f>_xlfn.XLOOKUP(表格1[[#This Row],[Model]],表格3[Model-Input-Ref2],表格3[TOSHIBA/HIGHEST])</f>
        <v>Shops Highest Price</v>
      </c>
      <c r="V1795" s="86">
        <v>123</v>
      </c>
      <c r="W1795" s="86" t="str">
        <f>_xlfn.CONCAT(表格1[[#This Row],[欄4]],表格1[[#This Row],[inv no]])</f>
        <v>123368932</v>
      </c>
    </row>
    <row r="1796" spans="1:23" hidden="1">
      <c r="A1796" s="81">
        <v>1794</v>
      </c>
      <c r="B1796" s="81" t="s">
        <v>1260</v>
      </c>
      <c r="C1796" s="81" t="s">
        <v>2080</v>
      </c>
      <c r="D1796" s="82" t="str">
        <f ca="1">OFFSET(Roster!$A$3,MATCH(表格1[[#This Row],[Location]]&amp;" "&amp;表格1[[#This Row],[Shop]]&amp;"*",Roster!$A$4:$A$72,0),DAY(表格1[[#This Row],[date]]),1,1)</f>
        <v>Shan_2</v>
      </c>
      <c r="E1796" s="81">
        <f>MONTH(表格1[[#This Row],[date]])</f>
        <v>3</v>
      </c>
      <c r="F1796" s="90">
        <v>46111</v>
      </c>
      <c r="G1796" s="81" t="str">
        <f>VLOOKUP("*"&amp;表格1[[#This Row],[Input]]&amp;"*",'Ref-List'!$B:$D,2,)</f>
        <v>ET-TD7080(PN)</v>
      </c>
      <c r="H1796" s="81" t="str">
        <f>_xlfn.XLOOKUP(表格1[[#This Row],[Model]],表格3[Model-Input-Ref2],表格3[Product Line])</f>
        <v>多士焗爐8L</v>
      </c>
      <c r="I1796" s="81" t="str">
        <f>_xlfn.XLOOKUP(表格1[[#This Row],[Model]],表格3[Model-Input-Ref2],表格3[大小電])</f>
        <v>細電</v>
      </c>
      <c r="J1796" s="81" t="str">
        <f>_xlfn.XLOOKUP(表格1[[#This Row],[Model]],表格3[Model-Input-Ref2],表格3[Code])</f>
        <v>SDA</v>
      </c>
      <c r="K1796" s="89">
        <v>7080</v>
      </c>
      <c r="L1796" s="86">
        <v>1</v>
      </c>
      <c r="M1796" s="87">
        <v>338</v>
      </c>
      <c r="N1796" s="85">
        <f>IFERROR(表格1[[#This Row],[QTY]]*表格1[[#This Row],[Unit Price]],"-")</f>
        <v>338</v>
      </c>
      <c r="O1796" s="86">
        <v>447895</v>
      </c>
      <c r="R1796" s="86" t="str">
        <f>_xlfn.CONCAT(表格1[[#This Row],[Model]]," ",表格1[[#This Row],[inv no]])</f>
        <v>ET-TD7080(PN) 447895</v>
      </c>
      <c r="S1796" s="86">
        <f>_xlfn.XLOOKUP(表格1[[#This Row],[Model]],表格3[Model-Input-Ref2],表格3[SRP PRICE])</f>
        <v>498</v>
      </c>
      <c r="T1796" s="43">
        <f>表格1[[#This Row],[Unit Price]]/表格1[[#This Row],[SRP]]</f>
        <v>0.67871485943775101</v>
      </c>
      <c r="U1796" s="86" t="str">
        <f>_xlfn.XLOOKUP(表格1[[#This Row],[Model]],表格3[Model-Input-Ref2],表格3[TOSHIBA/HIGHEST])</f>
        <v>Toshiba SRP</v>
      </c>
      <c r="V1796" s="86">
        <v>123</v>
      </c>
      <c r="W1796" s="86" t="str">
        <f>_xlfn.CONCAT(表格1[[#This Row],[欄4]],表格1[[#This Row],[inv no]])</f>
        <v>123447895</v>
      </c>
    </row>
    <row r="1797" spans="1:23" hidden="1">
      <c r="A1797" s="81">
        <v>1795</v>
      </c>
      <c r="B1797" s="81" t="s">
        <v>1260</v>
      </c>
      <c r="C1797" s="81" t="s">
        <v>2080</v>
      </c>
      <c r="D1797" s="82" t="str">
        <f ca="1">OFFSET(Roster!$A$3,MATCH(表格1[[#This Row],[Location]]&amp;" "&amp;表格1[[#This Row],[Shop]]&amp;"*",Roster!$A$4:$A$72,0),DAY(表格1[[#This Row],[date]]),1,1)</f>
        <v>Shan_2</v>
      </c>
      <c r="E1797" s="81">
        <f>MONTH(表格1[[#This Row],[date]])</f>
        <v>3</v>
      </c>
      <c r="F1797" s="90">
        <v>46111</v>
      </c>
      <c r="G1797" s="81" t="str">
        <f>VLOOKUP("*"&amp;表格1[[#This Row],[Input]]&amp;"*",'Ref-List'!$B:$D,2,)</f>
        <v>RC-10JRUH(N)</v>
      </c>
      <c r="H1797" s="81" t="str">
        <f>_xlfn.XLOOKUP(表格1[[#This Row],[Model]],表格3[Model-Input-Ref2],表格3[Product Line])</f>
        <v>電飯煲</v>
      </c>
      <c r="I1797" s="81" t="str">
        <f>_xlfn.XLOOKUP(表格1[[#This Row],[Model]],表格3[Model-Input-Ref2],表格3[大小電])</f>
        <v>細電</v>
      </c>
      <c r="J1797" s="81" t="str">
        <f>_xlfn.XLOOKUP(表格1[[#This Row],[Model]],表格3[Model-Input-Ref2],表格3[Code])</f>
        <v>SDA</v>
      </c>
      <c r="K1797" s="89" t="s">
        <v>1263</v>
      </c>
      <c r="L1797" s="86">
        <v>1</v>
      </c>
      <c r="M1797" s="87">
        <v>250</v>
      </c>
      <c r="N1797" s="85">
        <f>IFERROR(表格1[[#This Row],[QTY]]*表格1[[#This Row],[Unit Price]],"-")</f>
        <v>250</v>
      </c>
      <c r="O1797" s="86">
        <v>368956</v>
      </c>
      <c r="R1797" s="86" t="str">
        <f>_xlfn.CONCAT(表格1[[#This Row],[Model]]," ",表格1[[#This Row],[inv no]])</f>
        <v>RC-10JRUH(N) 368956</v>
      </c>
      <c r="S1797" s="86">
        <f>_xlfn.XLOOKUP(表格1[[#This Row],[Model]],表格3[Model-Input-Ref2],表格3[SRP PRICE])</f>
        <v>398</v>
      </c>
      <c r="T1797" s="43">
        <f>表格1[[#This Row],[Unit Price]]/表格1[[#This Row],[SRP]]</f>
        <v>0.62814070351758799</v>
      </c>
      <c r="U1797" s="86" t="str">
        <f>_xlfn.XLOOKUP(表格1[[#This Row],[Model]],表格3[Model-Input-Ref2],表格3[TOSHIBA/HIGHEST])</f>
        <v>Shops Highest Price</v>
      </c>
      <c r="V1797" s="86">
        <v>123</v>
      </c>
      <c r="W1797" s="86" t="str">
        <f>_xlfn.CONCAT(表格1[[#This Row],[欄4]],表格1[[#This Row],[inv no]])</f>
        <v>123368956</v>
      </c>
    </row>
    <row r="1798" spans="1:23" hidden="1">
      <c r="A1798" s="81">
        <v>1796</v>
      </c>
      <c r="B1798" s="81" t="s">
        <v>1260</v>
      </c>
      <c r="C1798" s="81" t="s">
        <v>2080</v>
      </c>
      <c r="D1798" s="82" t="str">
        <f ca="1">OFFSET(Roster!$A$3,MATCH(表格1[[#This Row],[Location]]&amp;" "&amp;表格1[[#This Row],[Shop]]&amp;"*",Roster!$A$4:$A$72,0),DAY(表格1[[#This Row],[date]]),1,1)</f>
        <v>Shan_2</v>
      </c>
      <c r="E1798" s="81">
        <f>MONTH(表格1[[#This Row],[date]])</f>
        <v>3</v>
      </c>
      <c r="F1798" s="90">
        <v>46111</v>
      </c>
      <c r="G1798" s="81" t="str">
        <f>VLOOKUP("*"&amp;表格1[[#This Row],[Input]]&amp;"*",'Ref-List'!$B:$D,2,)</f>
        <v>KT-17DRNH</v>
      </c>
      <c r="H1798" s="81" t="str">
        <f>_xlfn.XLOOKUP(表格1[[#This Row],[Model]],表格3[Model-Input-Ref2],表格3[Product Line])</f>
        <v>1.7L電熱水壺</v>
      </c>
      <c r="I1798" s="81" t="str">
        <f>_xlfn.XLOOKUP(表格1[[#This Row],[Model]],表格3[Model-Input-Ref2],表格3[大小電])</f>
        <v>細電</v>
      </c>
      <c r="J1798" s="81" t="str">
        <f>_xlfn.XLOOKUP(表格1[[#This Row],[Model]],表格3[Model-Input-Ref2],表格3[Code])</f>
        <v>SDA</v>
      </c>
      <c r="K1798" s="89" t="s">
        <v>1764</v>
      </c>
      <c r="L1798" s="86">
        <v>1</v>
      </c>
      <c r="M1798" s="87">
        <v>388</v>
      </c>
      <c r="N1798" s="85">
        <f>IFERROR(表格1[[#This Row],[QTY]]*表格1[[#This Row],[Unit Price]],"-")</f>
        <v>388</v>
      </c>
      <c r="O1798" s="86">
        <v>368965</v>
      </c>
      <c r="R1798" s="86" t="str">
        <f>_xlfn.CONCAT(表格1[[#This Row],[Model]]," ",表格1[[#This Row],[inv no]])</f>
        <v>KT-17DRNH 368965</v>
      </c>
      <c r="S1798" s="86">
        <f>_xlfn.XLOOKUP(表格1[[#This Row],[Model]],表格3[Model-Input-Ref2],表格3[SRP PRICE])</f>
        <v>498</v>
      </c>
      <c r="T1798" s="43">
        <f>表格1[[#This Row],[Unit Price]]/表格1[[#This Row],[SRP]]</f>
        <v>0.77911646586345384</v>
      </c>
      <c r="U1798" s="86" t="str">
        <f>_xlfn.XLOOKUP(表格1[[#This Row],[Model]],表格3[Model-Input-Ref2],表格3[TOSHIBA/HIGHEST])</f>
        <v>Toshiba SRP</v>
      </c>
      <c r="V1798" s="86">
        <v>123</v>
      </c>
      <c r="W1798" s="86" t="str">
        <f>_xlfn.CONCAT(表格1[[#This Row],[欄4]],表格1[[#This Row],[inv no]])</f>
        <v>123368965</v>
      </c>
    </row>
    <row r="1799" spans="1:23" hidden="1">
      <c r="A1799" s="81">
        <v>1797</v>
      </c>
      <c r="B1799" s="81" t="s">
        <v>1260</v>
      </c>
      <c r="C1799" s="81" t="s">
        <v>2080</v>
      </c>
      <c r="D1799" s="82" t="str">
        <f ca="1">OFFSET(Roster!$A$3,MATCH(表格1[[#This Row],[Location]]&amp;" "&amp;表格1[[#This Row],[Shop]]&amp;"*",Roster!$A$4:$A$72,0),DAY(表格1[[#This Row],[date]]),1,1)</f>
        <v>Shan_2</v>
      </c>
      <c r="E1799" s="81">
        <f>MONTH(表格1[[#This Row],[date]])</f>
        <v>3</v>
      </c>
      <c r="F1799" s="90">
        <v>46111</v>
      </c>
      <c r="G1799" s="81" t="str">
        <f>VLOOKUP("*"&amp;表格1[[#This Row],[Input]]&amp;"*",'Ref-List'!$B:$D,2,)</f>
        <v>MWP-MM20P(WH)</v>
      </c>
      <c r="H1799" s="81" t="str">
        <f>_xlfn.XLOOKUP(表格1[[#This Row],[Model]],表格3[Model-Input-Ref2],表格3[Product Line])</f>
        <v>旋鈕式燒烤微波爐20L</v>
      </c>
      <c r="I1799" s="81" t="str">
        <f>_xlfn.XLOOKUP(表格1[[#This Row],[Model]],表格3[Model-Input-Ref2],表格3[大小電])</f>
        <v>細電</v>
      </c>
      <c r="J1799" s="81" t="str">
        <f>_xlfn.XLOOKUP(表格1[[#This Row],[Model]],表格3[Model-Input-Ref2],表格3[Code])</f>
        <v>SDA</v>
      </c>
      <c r="K1799" s="89" t="s">
        <v>1270</v>
      </c>
      <c r="L1799" s="86">
        <v>1</v>
      </c>
      <c r="M1799" s="87">
        <v>488</v>
      </c>
      <c r="N1799" s="85">
        <f>IFERROR(表格1[[#This Row],[QTY]]*表格1[[#This Row],[Unit Price]],"-")</f>
        <v>488</v>
      </c>
      <c r="O1799" s="86">
        <v>369015</v>
      </c>
      <c r="R1799" s="86" t="str">
        <f>_xlfn.CONCAT(表格1[[#This Row],[Model]]," ",表格1[[#This Row],[inv no]])</f>
        <v>MWP-MM20P(WH) 369015</v>
      </c>
      <c r="S1799" s="86">
        <f>_xlfn.XLOOKUP(表格1[[#This Row],[Model]],表格3[Model-Input-Ref2],表格3[SRP PRICE])</f>
        <v>648</v>
      </c>
      <c r="T1799" s="43">
        <f>表格1[[#This Row],[Unit Price]]/表格1[[#This Row],[SRP]]</f>
        <v>0.75308641975308643</v>
      </c>
      <c r="U1799" s="86" t="str">
        <f>_xlfn.XLOOKUP(表格1[[#This Row],[Model]],表格3[Model-Input-Ref2],表格3[TOSHIBA/HIGHEST])</f>
        <v>Toshiba SRP</v>
      </c>
      <c r="V1799" s="86">
        <v>123</v>
      </c>
      <c r="W1799" s="86" t="str">
        <f>_xlfn.CONCAT(表格1[[#This Row],[欄4]],表格1[[#This Row],[inv no]])</f>
        <v>123369015</v>
      </c>
    </row>
    <row r="1800" spans="1:23" hidden="1">
      <c r="A1800" s="81">
        <v>1798</v>
      </c>
      <c r="B1800" s="81" t="s">
        <v>1260</v>
      </c>
      <c r="C1800" s="81" t="s">
        <v>2080</v>
      </c>
      <c r="D1800" s="82" t="str">
        <f ca="1">OFFSET(Roster!$A$3,MATCH(表格1[[#This Row],[Location]]&amp;" "&amp;表格1[[#This Row],[Shop]]&amp;"*",Roster!$A$4:$A$72,0),DAY(表格1[[#This Row],[date]]),1,1)</f>
        <v>Shan_2</v>
      </c>
      <c r="E1800" s="81">
        <f>MONTH(表格1[[#This Row],[date]])</f>
        <v>3</v>
      </c>
      <c r="F1800" s="90">
        <v>46111</v>
      </c>
      <c r="G1800" s="81" t="str">
        <f>VLOOKUP("*"&amp;表格1[[#This Row],[Input]]&amp;"*",'Ref-List'!$B:$D,2,)</f>
        <v>PLK-45SFIH(WT)</v>
      </c>
      <c r="H1800" s="81" t="str">
        <f>_xlfn.XLOOKUP(表格1[[#This Row],[Model]],表格3[Model-Input-Ref2],表格3[Product Line])</f>
        <v>電熱水瓶4.5L</v>
      </c>
      <c r="I1800" s="81" t="str">
        <f>_xlfn.XLOOKUP(表格1[[#This Row],[Model]],表格3[Model-Input-Ref2],表格3[大小電])</f>
        <v>細電</v>
      </c>
      <c r="J1800" s="81" t="str">
        <f>_xlfn.XLOOKUP(表格1[[#This Row],[Model]],表格3[Model-Input-Ref2],表格3[Code])</f>
        <v>SDA</v>
      </c>
      <c r="K1800" s="89" t="s">
        <v>1117</v>
      </c>
      <c r="L1800" s="86">
        <v>1</v>
      </c>
      <c r="M1800" s="87">
        <v>589</v>
      </c>
      <c r="N1800" s="85">
        <f>IFERROR(表格1[[#This Row],[QTY]]*表格1[[#This Row],[Unit Price]],"-")</f>
        <v>589</v>
      </c>
      <c r="O1800" s="86">
        <v>369020</v>
      </c>
      <c r="R1800" s="86" t="str">
        <f>_xlfn.CONCAT(表格1[[#This Row],[Model]]," ",表格1[[#This Row],[inv no]])</f>
        <v>PLK-45SFIH(WT) 369020</v>
      </c>
      <c r="S1800" s="86">
        <f>_xlfn.XLOOKUP(表格1[[#This Row],[Model]],表格3[Model-Input-Ref2],表格3[SRP PRICE])</f>
        <v>788</v>
      </c>
      <c r="T1800" s="43">
        <f>表格1[[#This Row],[Unit Price]]/表格1[[#This Row],[SRP]]</f>
        <v>0.7474619289340102</v>
      </c>
      <c r="U1800" s="86" t="str">
        <f>_xlfn.XLOOKUP(表格1[[#This Row],[Model]],表格3[Model-Input-Ref2],表格3[TOSHIBA/HIGHEST])</f>
        <v>Toshiba SRP</v>
      </c>
      <c r="V1800" s="86">
        <v>123</v>
      </c>
      <c r="W1800" s="86" t="str">
        <f>_xlfn.CONCAT(表格1[[#This Row],[欄4]],表格1[[#This Row],[inv no]])</f>
        <v>123369020</v>
      </c>
    </row>
    <row r="1801" spans="1:23" hidden="1">
      <c r="A1801" s="81">
        <v>1799</v>
      </c>
      <c r="B1801" s="81" t="s">
        <v>1260</v>
      </c>
      <c r="C1801" s="81" t="s">
        <v>2080</v>
      </c>
      <c r="D1801" s="82" t="str">
        <f ca="1">OFFSET(Roster!$A$3,MATCH(表格1[[#This Row],[Location]]&amp;" "&amp;表格1[[#This Row],[Shop]]&amp;"*",Roster!$A$4:$A$72,0),DAY(表格1[[#This Row],[date]]),1,1)</f>
        <v>Shan_2</v>
      </c>
      <c r="E1801" s="81">
        <f>MONTH(表格1[[#This Row],[date]])</f>
        <v>3</v>
      </c>
      <c r="F1801" s="90">
        <v>46111</v>
      </c>
      <c r="G1801" s="81" t="str">
        <f>VLOOKUP("*"&amp;表格1[[#This Row],[Input]]&amp;"*",'Ref-List'!$B:$D,2,)</f>
        <v>KT-17SHNH</v>
      </c>
      <c r="H1801" s="81" t="str">
        <f>_xlfn.XLOOKUP(表格1[[#This Row],[Model]],表格3[Model-Input-Ref2],表格3[Product Line])</f>
        <v>1.7L無線雙層電熱水壺</v>
      </c>
      <c r="I1801" s="81" t="str">
        <f>_xlfn.XLOOKUP(表格1[[#This Row],[Model]],表格3[Model-Input-Ref2],表格3[大小電])</f>
        <v>細電</v>
      </c>
      <c r="J1801" s="81" t="str">
        <f>_xlfn.XLOOKUP(表格1[[#This Row],[Model]],表格3[Model-Input-Ref2],表格3[Code])</f>
        <v>SDA</v>
      </c>
      <c r="K1801" s="89" t="s">
        <v>1283</v>
      </c>
      <c r="L1801" s="86">
        <v>1</v>
      </c>
      <c r="M1801" s="87">
        <v>198</v>
      </c>
      <c r="N1801" s="85">
        <f>IFERROR(表格1[[#This Row],[QTY]]*表格1[[#This Row],[Unit Price]],"-")</f>
        <v>198</v>
      </c>
      <c r="O1801" s="86">
        <v>369024</v>
      </c>
      <c r="R1801" s="86" t="str">
        <f>_xlfn.CONCAT(表格1[[#This Row],[Model]]," ",表格1[[#This Row],[inv no]])</f>
        <v>KT-17SHNH 369024</v>
      </c>
      <c r="S1801" s="86">
        <f>_xlfn.XLOOKUP(表格1[[#This Row],[Model]],表格3[Model-Input-Ref2],表格3[SRP PRICE])</f>
        <v>299</v>
      </c>
      <c r="T1801" s="43">
        <f>表格1[[#This Row],[Unit Price]]/表格1[[#This Row],[SRP]]</f>
        <v>0.66220735785953178</v>
      </c>
      <c r="U1801" s="86" t="str">
        <f>_xlfn.XLOOKUP(表格1[[#This Row],[Model]],表格3[Model-Input-Ref2],表格3[TOSHIBA/HIGHEST])</f>
        <v>Shops Highest Price</v>
      </c>
      <c r="V1801" s="86">
        <v>123</v>
      </c>
      <c r="W1801" s="86" t="str">
        <f>_xlfn.CONCAT(表格1[[#This Row],[欄4]],表格1[[#This Row],[inv no]])</f>
        <v>123369024</v>
      </c>
    </row>
    <row r="1802" spans="1:23" hidden="1">
      <c r="A1802" s="81">
        <v>1800</v>
      </c>
      <c r="B1802" s="81" t="s">
        <v>1260</v>
      </c>
      <c r="C1802" s="81" t="s">
        <v>2080</v>
      </c>
      <c r="D1802" s="82" t="str">
        <f ca="1">OFFSET(Roster!$A$3,MATCH(表格1[[#This Row],[Location]]&amp;" "&amp;表格1[[#This Row],[Shop]]&amp;"*",Roster!$A$4:$A$72,0),DAY(表格1[[#This Row],[date]]),1,1)</f>
        <v>Shan_2</v>
      </c>
      <c r="E1802" s="81">
        <f>MONTH(表格1[[#This Row],[date]])</f>
        <v>3</v>
      </c>
      <c r="F1802" s="90">
        <v>46111</v>
      </c>
      <c r="G1802" s="81" t="str">
        <f>VLOOKUP("*"&amp;表格1[[#This Row],[Input]]&amp;"*",'Ref-List'!$B:$D,2,)</f>
        <v>AW-Q901BPH(WW)</v>
      </c>
      <c r="H1802" s="81" t="str">
        <f>_xlfn.XLOOKUP(表格1[[#This Row],[Model]],表格3[Model-Input-Ref2],表格3[Product Line])</f>
        <v>日式洗衣機 (8公斤 結合高低水位)</v>
      </c>
      <c r="I1802" s="81" t="str">
        <f>_xlfn.XLOOKUP(表格1[[#This Row],[Model]],表格3[Model-Input-Ref2],表格3[大小電])</f>
        <v>大電</v>
      </c>
      <c r="J1802" s="81" t="str">
        <f>_xlfn.XLOOKUP(表格1[[#This Row],[Model]],表格3[Model-Input-Ref2],表格3[Code])</f>
        <v>LAD</v>
      </c>
      <c r="K1802" s="89" t="s">
        <v>1411</v>
      </c>
      <c r="L1802" s="86">
        <v>1</v>
      </c>
      <c r="M1802" s="87">
        <v>2166</v>
      </c>
      <c r="N1802" s="85">
        <f>IFERROR(表格1[[#This Row],[QTY]]*表格1[[#This Row],[Unit Price]],"-")</f>
        <v>2166</v>
      </c>
      <c r="O1802" s="86">
        <v>369001</v>
      </c>
      <c r="R1802" s="86" t="str">
        <f>_xlfn.CONCAT(表格1[[#This Row],[Model]]," ",表格1[[#This Row],[inv no]])</f>
        <v>AW-Q901BPH(WW) 369001</v>
      </c>
      <c r="S1802" s="86">
        <f>_xlfn.XLOOKUP(表格1[[#This Row],[Model]],表格3[Model-Input-Ref2],表格3[SRP PRICE])</f>
        <v>3780</v>
      </c>
      <c r="T1802" s="43">
        <f>表格1[[#This Row],[Unit Price]]/表格1[[#This Row],[SRP]]</f>
        <v>0.57301587301587298</v>
      </c>
      <c r="U1802" s="86" t="str">
        <f>_xlfn.XLOOKUP(表格1[[#This Row],[Model]],表格3[Model-Input-Ref2],表格3[TOSHIBA/HIGHEST])</f>
        <v>Toshiba SRP</v>
      </c>
      <c r="V1802" s="86">
        <v>123</v>
      </c>
      <c r="W1802" s="86" t="str">
        <f>_xlfn.CONCAT(表格1[[#This Row],[欄4]],表格1[[#This Row],[inv no]])</f>
        <v>123369001</v>
      </c>
    </row>
    <row r="1803" spans="1:23" hidden="1">
      <c r="A1803" s="81">
        <v>1801</v>
      </c>
      <c r="B1803" s="81" t="s">
        <v>1260</v>
      </c>
      <c r="C1803" s="81" t="s">
        <v>2080</v>
      </c>
      <c r="D1803" s="82" t="str">
        <f ca="1">OFFSET(Roster!$A$3,MATCH(表格1[[#This Row],[Location]]&amp;" "&amp;表格1[[#This Row],[Shop]]&amp;"*",Roster!$A$4:$A$72,0),DAY(表格1[[#This Row],[date]]),1,1)</f>
        <v>Shan_2</v>
      </c>
      <c r="E1803" s="81">
        <f>MONTH(表格1[[#This Row],[date]])</f>
        <v>3</v>
      </c>
      <c r="F1803" s="90">
        <v>46111</v>
      </c>
      <c r="G1803" s="81" t="str">
        <f>VLOOKUP("*"&amp;表格1[[#This Row],[Input]]&amp;"*",'Ref-List'!$B:$D,2,)</f>
        <v>GR-RB221WE-PMA(57)</v>
      </c>
      <c r="H1803" s="81" t="str">
        <f>_xlfn.XLOOKUP(表格1[[#This Row],[Model]],表格3[Model-Input-Ref2],表格3[Product Line])</f>
        <v>變頻下置式雙門雪櫃（163L）</v>
      </c>
      <c r="I1803" s="81" t="str">
        <f>_xlfn.XLOOKUP(表格1[[#This Row],[Model]],表格3[Model-Input-Ref2],表格3[大小電])</f>
        <v>大電</v>
      </c>
      <c r="J1803" s="81" t="str">
        <f>_xlfn.XLOOKUP(表格1[[#This Row],[Model]],表格3[Model-Input-Ref2],表格3[Code])</f>
        <v>REF</v>
      </c>
      <c r="K1803" s="89" t="s">
        <v>1386</v>
      </c>
      <c r="L1803" s="86">
        <v>1</v>
      </c>
      <c r="M1803" s="87">
        <v>1786</v>
      </c>
      <c r="N1803" s="85">
        <f>IFERROR(表格1[[#This Row],[QTY]]*表格1[[#This Row],[Unit Price]],"-")</f>
        <v>1786</v>
      </c>
      <c r="O1803" s="86">
        <v>369001</v>
      </c>
      <c r="R1803" s="86" t="str">
        <f>_xlfn.CONCAT(表格1[[#This Row],[Model]]," ",表格1[[#This Row],[inv no]])</f>
        <v>GR-RB221WE-PMA(57) 369001</v>
      </c>
      <c r="S1803" s="86">
        <f>_xlfn.XLOOKUP(表格1[[#This Row],[Model]],表格3[Model-Input-Ref2],表格3[SRP PRICE])</f>
        <v>3480</v>
      </c>
      <c r="T1803" s="43">
        <f>表格1[[#This Row],[Unit Price]]/表格1[[#This Row],[SRP]]</f>
        <v>0.51321839080459775</v>
      </c>
      <c r="U1803" s="86" t="str">
        <f>_xlfn.XLOOKUP(表格1[[#This Row],[Model]],表格3[Model-Input-Ref2],表格3[TOSHIBA/HIGHEST])</f>
        <v>Toshiba SRP</v>
      </c>
      <c r="V1803" s="86">
        <v>123</v>
      </c>
      <c r="W1803" s="86" t="str">
        <f>_xlfn.CONCAT(表格1[[#This Row],[欄4]],表格1[[#This Row],[inv no]])</f>
        <v>123369001</v>
      </c>
    </row>
    <row r="1804" spans="1:23" hidden="1">
      <c r="A1804" s="81">
        <v>1802</v>
      </c>
      <c r="B1804" s="81" t="s">
        <v>1260</v>
      </c>
      <c r="C1804" s="81" t="s">
        <v>2080</v>
      </c>
      <c r="D1804" s="82" t="str">
        <f ca="1">OFFSET(Roster!$A$3,MATCH(表格1[[#This Row],[Location]]&amp;" "&amp;表格1[[#This Row],[Shop]]&amp;"*",Roster!$A$4:$A$72,0),DAY(表格1[[#This Row],[date]]),1,1)</f>
        <v>Shan_2</v>
      </c>
      <c r="E1804" s="81">
        <f>MONTH(表格1[[#This Row],[date]])</f>
        <v>3</v>
      </c>
      <c r="F1804" s="90">
        <v>46111</v>
      </c>
      <c r="G1804" s="81" t="str">
        <f>VLOOKUP("*"&amp;表格1[[#This Row],[Input]]&amp;"*",'Ref-List'!$B:$D,2,)</f>
        <v>MWP-MM20P(WH)</v>
      </c>
      <c r="H1804" s="81" t="str">
        <f>_xlfn.XLOOKUP(表格1[[#This Row],[Model]],表格3[Model-Input-Ref2],表格3[Product Line])</f>
        <v>旋鈕式燒烤微波爐20L</v>
      </c>
      <c r="I1804" s="81" t="str">
        <f>_xlfn.XLOOKUP(表格1[[#This Row],[Model]],表格3[Model-Input-Ref2],表格3[大小電])</f>
        <v>細電</v>
      </c>
      <c r="J1804" s="81" t="str">
        <f>_xlfn.XLOOKUP(表格1[[#This Row],[Model]],表格3[Model-Input-Ref2],表格3[Code])</f>
        <v>SDA</v>
      </c>
      <c r="K1804" s="89" t="s">
        <v>1270</v>
      </c>
      <c r="L1804" s="86">
        <v>1</v>
      </c>
      <c r="M1804" s="87">
        <v>463.6</v>
      </c>
      <c r="N1804" s="85">
        <f>IFERROR(表格1[[#This Row],[QTY]]*表格1[[#This Row],[Unit Price]],"-")</f>
        <v>463.6</v>
      </c>
      <c r="O1804" s="86">
        <v>369001</v>
      </c>
      <c r="R1804" s="86" t="str">
        <f>_xlfn.CONCAT(表格1[[#This Row],[Model]]," ",表格1[[#This Row],[inv no]])</f>
        <v>MWP-MM20P(WH) 369001</v>
      </c>
      <c r="S1804" s="86">
        <f>_xlfn.XLOOKUP(表格1[[#This Row],[Model]],表格3[Model-Input-Ref2],表格3[SRP PRICE])</f>
        <v>648</v>
      </c>
      <c r="T1804" s="43">
        <f>表格1[[#This Row],[Unit Price]]/表格1[[#This Row],[SRP]]</f>
        <v>0.71543209876543212</v>
      </c>
      <c r="U1804" s="86" t="str">
        <f>_xlfn.XLOOKUP(表格1[[#This Row],[Model]],表格3[Model-Input-Ref2],表格3[TOSHIBA/HIGHEST])</f>
        <v>Toshiba SRP</v>
      </c>
      <c r="V1804" s="86">
        <v>123</v>
      </c>
      <c r="W1804" s="86" t="str">
        <f>_xlfn.CONCAT(表格1[[#This Row],[欄4]],表格1[[#This Row],[inv no]])</f>
        <v>123369001</v>
      </c>
    </row>
    <row r="1805" spans="1:23" hidden="1">
      <c r="A1805" s="81">
        <v>1803</v>
      </c>
      <c r="B1805" s="81" t="s">
        <v>1260</v>
      </c>
      <c r="C1805" s="81" t="s">
        <v>2080</v>
      </c>
      <c r="D1805" s="82" t="str">
        <f ca="1">OFFSET(Roster!$A$3,MATCH(表格1[[#This Row],[Location]]&amp;" "&amp;表格1[[#This Row],[Shop]]&amp;"*",Roster!$A$4:$A$72,0),DAY(表格1[[#This Row],[date]]),1,1)</f>
        <v>Shan_2</v>
      </c>
      <c r="E1805" s="81">
        <f>MONTH(表格1[[#This Row],[date]])</f>
        <v>3</v>
      </c>
      <c r="F1805" s="90">
        <v>46111</v>
      </c>
      <c r="G1805" s="81" t="str">
        <f>VLOOKUP("*"&amp;表格1[[#This Row],[Input]]&amp;"*",'Ref-List'!$B:$D,2,)</f>
        <v>F-LYA20(W)HKG</v>
      </c>
      <c r="H1805" s="81" t="str">
        <f>_xlfn.XLOOKUP(表格1[[#This Row],[Model]],表格3[Model-Input-Ref2],表格3[Product Line])</f>
        <v>12吋2合1座地座檯電風扇連遙控</v>
      </c>
      <c r="I1805" s="81" t="str">
        <f>_xlfn.XLOOKUP(表格1[[#This Row],[Model]],表格3[Model-Input-Ref2],表格3[大小電])</f>
        <v>細電</v>
      </c>
      <c r="J1805" s="81" t="str">
        <f>_xlfn.XLOOKUP(表格1[[#This Row],[Model]],表格3[Model-Input-Ref2],表格3[Code])</f>
        <v>EAD</v>
      </c>
      <c r="K1805" s="89" t="s">
        <v>1391</v>
      </c>
      <c r="L1805" s="86">
        <v>1</v>
      </c>
      <c r="M1805" s="87">
        <v>399</v>
      </c>
      <c r="N1805" s="85">
        <f>IFERROR(表格1[[#This Row],[QTY]]*表格1[[#This Row],[Unit Price]],"-")</f>
        <v>399</v>
      </c>
      <c r="O1805" s="86">
        <v>376416</v>
      </c>
      <c r="R1805" s="86" t="str">
        <f>_xlfn.CONCAT(表格1[[#This Row],[Model]]," ",表格1[[#This Row],[inv no]])</f>
        <v>F-LYA20(W)HKG 376416</v>
      </c>
      <c r="S1805" s="86">
        <f>_xlfn.XLOOKUP(表格1[[#This Row],[Model]],表格3[Model-Input-Ref2],表格3[SRP PRICE])</f>
        <v>988</v>
      </c>
      <c r="T1805" s="43">
        <f>表格1[[#This Row],[Unit Price]]/表格1[[#This Row],[SRP]]</f>
        <v>0.40384615384615385</v>
      </c>
      <c r="U1805" s="86" t="str">
        <f>_xlfn.XLOOKUP(表格1[[#This Row],[Model]],表格3[Model-Input-Ref2],表格3[TOSHIBA/HIGHEST])</f>
        <v>Toshiba SRP</v>
      </c>
      <c r="V1805" s="86">
        <v>123</v>
      </c>
      <c r="W1805" s="86" t="str">
        <f>_xlfn.CONCAT(表格1[[#This Row],[欄4]],表格1[[#This Row],[inv no]])</f>
        <v>123376416</v>
      </c>
    </row>
    <row r="1806" spans="1:23" hidden="1">
      <c r="A1806" s="81">
        <v>1804</v>
      </c>
      <c r="B1806" s="81" t="s">
        <v>1260</v>
      </c>
      <c r="C1806" s="81" t="s">
        <v>2080</v>
      </c>
      <c r="D1806" s="82" t="str">
        <f ca="1">OFFSET(Roster!$A$3,MATCH(表格1[[#This Row],[Location]]&amp;" "&amp;表格1[[#This Row],[Shop]]&amp;"*",Roster!$A$4:$A$72,0),DAY(表格1[[#This Row],[date]]),1,1)</f>
        <v>Shan_2</v>
      </c>
      <c r="E1806" s="81">
        <f>MONTH(表格1[[#This Row],[date]])</f>
        <v>3</v>
      </c>
      <c r="F1806" s="90">
        <v>46111</v>
      </c>
      <c r="G1806" s="81" t="str">
        <f>VLOOKUP("*"&amp;表格1[[#This Row],[Input]]&amp;"*",'Ref-List'!$B:$D,2,)</f>
        <v>RC-10DRNH</v>
      </c>
      <c r="H1806" s="81" t="str">
        <f>_xlfn.XLOOKUP(表格1[[#This Row],[Model]],表格3[Model-Input-Ref2],表格3[Product Line])</f>
        <v>多功能備長炭本厚釜電飯煲1L</v>
      </c>
      <c r="I1806" s="81" t="str">
        <f>_xlfn.XLOOKUP(表格1[[#This Row],[Model]],表格3[Model-Input-Ref2],表格3[大小電])</f>
        <v>細電</v>
      </c>
      <c r="J1806" s="81" t="str">
        <f>_xlfn.XLOOKUP(表格1[[#This Row],[Model]],表格3[Model-Input-Ref2],表格3[Code])</f>
        <v>SDA</v>
      </c>
      <c r="K1806" s="89" t="s">
        <v>1376</v>
      </c>
      <c r="L1806" s="86">
        <v>1</v>
      </c>
      <c r="M1806" s="87">
        <v>499</v>
      </c>
      <c r="N1806" s="85">
        <f>IFERROR(表格1[[#This Row],[QTY]]*表格1[[#This Row],[Unit Price]],"-")</f>
        <v>499</v>
      </c>
      <c r="O1806" s="86">
        <v>369032</v>
      </c>
      <c r="R1806" s="86" t="str">
        <f>_xlfn.CONCAT(表格1[[#This Row],[Model]]," ",表格1[[#This Row],[inv no]])</f>
        <v>RC-10DRNH 369032</v>
      </c>
      <c r="S1806" s="86">
        <f>_xlfn.XLOOKUP(表格1[[#This Row],[Model]],表格3[Model-Input-Ref2],表格3[SRP PRICE])</f>
        <v>798</v>
      </c>
      <c r="T1806" s="43">
        <f>表格1[[#This Row],[Unit Price]]/表格1[[#This Row],[SRP]]</f>
        <v>0.62531328320802004</v>
      </c>
      <c r="U1806" s="86" t="str">
        <f>_xlfn.XLOOKUP(表格1[[#This Row],[Model]],表格3[Model-Input-Ref2],表格3[TOSHIBA/HIGHEST])</f>
        <v>Toshiba SRP</v>
      </c>
      <c r="V1806" s="86">
        <v>123</v>
      </c>
      <c r="W1806" s="86" t="str">
        <f>_xlfn.CONCAT(表格1[[#This Row],[欄4]],表格1[[#This Row],[inv no]])</f>
        <v>123369032</v>
      </c>
    </row>
    <row r="1807" spans="1:23" hidden="1">
      <c r="A1807" s="81">
        <v>1805</v>
      </c>
      <c r="B1807" s="81" t="s">
        <v>1260</v>
      </c>
      <c r="C1807" s="81" t="s">
        <v>2080</v>
      </c>
      <c r="D1807" s="82" t="str">
        <f ca="1">OFFSET(Roster!$A$3,MATCH(表格1[[#This Row],[Location]]&amp;" "&amp;表格1[[#This Row],[Shop]]&amp;"*",Roster!$A$4:$A$72,0),DAY(表格1[[#This Row],[date]]),1,1)</f>
        <v>Shan_2</v>
      </c>
      <c r="E1807" s="81">
        <f>MONTH(表格1[[#This Row],[date]])</f>
        <v>3</v>
      </c>
      <c r="F1807" s="90">
        <v>46111</v>
      </c>
      <c r="G1807" s="81" t="str">
        <f>VLOOKUP("*"&amp;表格1[[#This Row],[Input]]&amp;"*",'Ref-List'!$B:$D,2,)</f>
        <v>F-LYA20(W)HKG</v>
      </c>
      <c r="H1807" s="81" t="str">
        <f>_xlfn.XLOOKUP(表格1[[#This Row],[Model]],表格3[Model-Input-Ref2],表格3[Product Line])</f>
        <v>12吋2合1座地座檯電風扇連遙控</v>
      </c>
      <c r="I1807" s="81" t="str">
        <f>_xlfn.XLOOKUP(表格1[[#This Row],[Model]],表格3[Model-Input-Ref2],表格3[大小電])</f>
        <v>細電</v>
      </c>
      <c r="J1807" s="81" t="str">
        <f>_xlfn.XLOOKUP(表格1[[#This Row],[Model]],表格3[Model-Input-Ref2],表格3[Code])</f>
        <v>EAD</v>
      </c>
      <c r="K1807" s="89" t="s">
        <v>1391</v>
      </c>
      <c r="L1807" s="86">
        <v>1</v>
      </c>
      <c r="M1807" s="87">
        <v>399</v>
      </c>
      <c r="N1807" s="85">
        <f>IFERROR(表格1[[#This Row],[QTY]]*表格1[[#This Row],[Unit Price]],"-")</f>
        <v>399</v>
      </c>
      <c r="O1807" s="86">
        <v>369043</v>
      </c>
      <c r="R1807" s="86" t="str">
        <f>_xlfn.CONCAT(表格1[[#This Row],[Model]]," ",表格1[[#This Row],[inv no]])</f>
        <v>F-LYA20(W)HKG 369043</v>
      </c>
      <c r="S1807" s="86">
        <f>_xlfn.XLOOKUP(表格1[[#This Row],[Model]],表格3[Model-Input-Ref2],表格3[SRP PRICE])</f>
        <v>988</v>
      </c>
      <c r="T1807" s="43">
        <f>表格1[[#This Row],[Unit Price]]/表格1[[#This Row],[SRP]]</f>
        <v>0.40384615384615385</v>
      </c>
      <c r="U1807" s="86" t="str">
        <f>_xlfn.XLOOKUP(表格1[[#This Row],[Model]],表格3[Model-Input-Ref2],表格3[TOSHIBA/HIGHEST])</f>
        <v>Toshiba SRP</v>
      </c>
      <c r="V1807" s="86">
        <v>123</v>
      </c>
      <c r="W1807" s="86" t="str">
        <f>_xlfn.CONCAT(表格1[[#This Row],[欄4]],表格1[[#This Row],[inv no]])</f>
        <v>123369043</v>
      </c>
    </row>
    <row r="1808" spans="1:23" hidden="1">
      <c r="A1808" s="81">
        <v>1806</v>
      </c>
      <c r="B1808" s="81" t="s">
        <v>1260</v>
      </c>
      <c r="C1808" s="81" t="s">
        <v>2080</v>
      </c>
      <c r="D1808" s="82" t="str">
        <f ca="1">OFFSET(Roster!$A$3,MATCH(表格1[[#This Row],[Location]]&amp;" "&amp;表格1[[#This Row],[Shop]]&amp;"*",Roster!$A$4:$A$72,0),DAY(表格1[[#This Row],[date]]),1,1)</f>
        <v>Shan_2</v>
      </c>
      <c r="E1808" s="81">
        <f>MONTH(表格1[[#This Row],[date]])</f>
        <v>3</v>
      </c>
      <c r="F1808" s="90">
        <v>46111</v>
      </c>
      <c r="G1808" s="81" t="str">
        <f>VLOOKUP("*"&amp;表格1[[#This Row],[Input]]&amp;"*",'Ref-List'!$B:$D,2,)</f>
        <v>GR-RB221WE-PMA(57)</v>
      </c>
      <c r="H1808" s="81" t="str">
        <f>_xlfn.XLOOKUP(表格1[[#This Row],[Model]],表格3[Model-Input-Ref2],表格3[Product Line])</f>
        <v>變頻下置式雙門雪櫃（163L）</v>
      </c>
      <c r="I1808" s="81" t="str">
        <f>_xlfn.XLOOKUP(表格1[[#This Row],[Model]],表格3[Model-Input-Ref2],表格3[大小電])</f>
        <v>大電</v>
      </c>
      <c r="J1808" s="81" t="str">
        <f>_xlfn.XLOOKUP(表格1[[#This Row],[Model]],表格3[Model-Input-Ref2],表格3[Code])</f>
        <v>REF</v>
      </c>
      <c r="K1808" s="89" t="s">
        <v>1386</v>
      </c>
      <c r="L1808" s="86">
        <v>1</v>
      </c>
      <c r="M1808" s="87">
        <v>1786</v>
      </c>
      <c r="N1808" s="85">
        <f>IFERROR(表格1[[#This Row],[QTY]]*表格1[[#This Row],[Unit Price]],"-")</f>
        <v>1786</v>
      </c>
      <c r="O1808" s="86">
        <v>369068</v>
      </c>
      <c r="R1808" s="86" t="str">
        <f>_xlfn.CONCAT(表格1[[#This Row],[Model]]," ",表格1[[#This Row],[inv no]])</f>
        <v>GR-RB221WE-PMA(57) 369068</v>
      </c>
      <c r="S1808" s="86">
        <f>_xlfn.XLOOKUP(表格1[[#This Row],[Model]],表格3[Model-Input-Ref2],表格3[SRP PRICE])</f>
        <v>3480</v>
      </c>
      <c r="T1808" s="43">
        <f>表格1[[#This Row],[Unit Price]]/表格1[[#This Row],[SRP]]</f>
        <v>0.51321839080459775</v>
      </c>
      <c r="U1808" s="86" t="str">
        <f>_xlfn.XLOOKUP(表格1[[#This Row],[Model]],表格3[Model-Input-Ref2],表格3[TOSHIBA/HIGHEST])</f>
        <v>Toshiba SRP</v>
      </c>
      <c r="V1808" s="86">
        <v>123</v>
      </c>
      <c r="W1808" s="86" t="str">
        <f>_xlfn.CONCAT(表格1[[#This Row],[欄4]],表格1[[#This Row],[inv no]])</f>
        <v>123369068</v>
      </c>
    </row>
    <row r="1809" spans="1:23" hidden="1">
      <c r="A1809" s="81">
        <v>1807</v>
      </c>
      <c r="B1809" s="81" t="s">
        <v>1260</v>
      </c>
      <c r="C1809" s="81" t="s">
        <v>2080</v>
      </c>
      <c r="D1809" s="82" t="str">
        <f ca="1">OFFSET(Roster!$A$3,MATCH(表格1[[#This Row],[Location]]&amp;" "&amp;表格1[[#This Row],[Shop]]&amp;"*",Roster!$A$4:$A$72,0),DAY(表格1[[#This Row],[date]]),1,1)</f>
        <v>Shan_2</v>
      </c>
      <c r="E1809" s="81">
        <f>MONTH(表格1[[#This Row],[date]])</f>
        <v>3</v>
      </c>
      <c r="F1809" s="90">
        <v>46112</v>
      </c>
      <c r="G1809" s="81" t="str">
        <f>VLOOKUP("*"&amp;表格1[[#This Row],[Input]]&amp;"*",'Ref-List'!$B:$D,2,)</f>
        <v>RC-7HMH</v>
      </c>
      <c r="H1809" s="81" t="str">
        <f>_xlfn.XLOOKUP(表格1[[#This Row],[Model]],表格3[Model-Input-Ref2],表格3[Product Line])</f>
        <v>備長炭本厚釜電飯煲0.7L</v>
      </c>
      <c r="I1809" s="81" t="str">
        <f>_xlfn.XLOOKUP(表格1[[#This Row],[Model]],表格3[Model-Input-Ref2],表格3[大小電])</f>
        <v>細電</v>
      </c>
      <c r="J1809" s="81" t="str">
        <f>_xlfn.XLOOKUP(表格1[[#This Row],[Model]],表格3[Model-Input-Ref2],表格3[Code])</f>
        <v>SDA</v>
      </c>
      <c r="K1809" s="89" t="s">
        <v>1284</v>
      </c>
      <c r="L1809" s="86">
        <v>1</v>
      </c>
      <c r="M1809" s="87">
        <v>788</v>
      </c>
      <c r="N1809" s="85">
        <f>IFERROR(表格1[[#This Row],[QTY]]*表格1[[#This Row],[Unit Price]],"-")</f>
        <v>788</v>
      </c>
      <c r="O1809" s="86">
        <v>369080</v>
      </c>
      <c r="R1809" s="86" t="str">
        <f>_xlfn.CONCAT(表格1[[#This Row],[Model]]," ",表格1[[#This Row],[inv no]])</f>
        <v>RC-7HMH 369080</v>
      </c>
      <c r="S1809" s="86">
        <f>_xlfn.XLOOKUP(表格1[[#This Row],[Model]],表格3[Model-Input-Ref2],表格3[SRP PRICE])</f>
        <v>1288</v>
      </c>
      <c r="T1809" s="43">
        <f>表格1[[#This Row],[Unit Price]]/表格1[[#This Row],[SRP]]</f>
        <v>0.61180124223602483</v>
      </c>
      <c r="U1809" s="86" t="str">
        <f>_xlfn.XLOOKUP(表格1[[#This Row],[Model]],表格3[Model-Input-Ref2],表格3[TOSHIBA/HIGHEST])</f>
        <v>Toshiba SRP</v>
      </c>
      <c r="V1809" s="86">
        <v>123</v>
      </c>
      <c r="W1809" s="86" t="str">
        <f>_xlfn.CONCAT(表格1[[#This Row],[欄4]],表格1[[#This Row],[inv no]])</f>
        <v>123369080</v>
      </c>
    </row>
    <row r="1810" spans="1:23" hidden="1">
      <c r="A1810" s="81">
        <v>1808</v>
      </c>
      <c r="B1810" s="81" t="s">
        <v>1260</v>
      </c>
      <c r="C1810" s="81" t="s">
        <v>2080</v>
      </c>
      <c r="D1810" s="82" t="str">
        <f ca="1">OFFSET(Roster!$A$3,MATCH(表格1[[#This Row],[Location]]&amp;" "&amp;表格1[[#This Row],[Shop]]&amp;"*",Roster!$A$4:$A$72,0),DAY(表格1[[#This Row],[date]]),1,1)</f>
        <v>Shan_2</v>
      </c>
      <c r="E1810" s="81">
        <f>MONTH(表格1[[#This Row],[date]])</f>
        <v>3</v>
      </c>
      <c r="F1810" s="90">
        <v>46112</v>
      </c>
      <c r="G1810" s="81" t="str">
        <f>VLOOKUP("*"&amp;表格1[[#This Row],[Input]]&amp;"*",'Ref-List'!$B:$D,2,)</f>
        <v>RC-10AMXH(W)</v>
      </c>
      <c r="H1810" s="81" t="str">
        <f>_xlfn.XLOOKUP(表格1[[#This Row],[Model]],表格3[Model-Input-Ref2],表格3[Product Line])</f>
        <v>酵活炊電飯煲(1.0公升)</v>
      </c>
      <c r="I1810" s="81" t="str">
        <f>_xlfn.XLOOKUP(表格1[[#This Row],[Model]],表格3[Model-Input-Ref2],表格3[大小電])</f>
        <v>細電</v>
      </c>
      <c r="J1810" s="81" t="str">
        <f>_xlfn.XLOOKUP(表格1[[#This Row],[Model]],表格3[Model-Input-Ref2],表格3[Code])</f>
        <v>SDA</v>
      </c>
      <c r="K1810" s="89" t="s">
        <v>1279</v>
      </c>
      <c r="L1810" s="86">
        <v>1</v>
      </c>
      <c r="M1810" s="87">
        <v>990</v>
      </c>
      <c r="N1810" s="85">
        <f>IFERROR(表格1[[#This Row],[QTY]]*表格1[[#This Row],[Unit Price]],"-")</f>
        <v>990</v>
      </c>
      <c r="O1810" s="86">
        <v>369088</v>
      </c>
      <c r="R1810" s="86" t="str">
        <f>_xlfn.CONCAT(表格1[[#This Row],[Model]]," ",表格1[[#This Row],[inv no]])</f>
        <v>RC-10AMXH(W) 369088</v>
      </c>
      <c r="S1810" s="86">
        <f>_xlfn.XLOOKUP(表格1[[#This Row],[Model]],表格3[Model-Input-Ref2],表格3[SRP PRICE])</f>
        <v>1288</v>
      </c>
      <c r="T1810" s="43">
        <f>表格1[[#This Row],[Unit Price]]/表格1[[#This Row],[SRP]]</f>
        <v>0.76863354037267084</v>
      </c>
      <c r="U1810" s="86" t="str">
        <f>_xlfn.XLOOKUP(表格1[[#This Row],[Model]],表格3[Model-Input-Ref2],表格3[TOSHIBA/HIGHEST])</f>
        <v>Toshiba SRP</v>
      </c>
      <c r="V1810" s="86">
        <v>123</v>
      </c>
      <c r="W1810" s="86" t="str">
        <f>_xlfn.CONCAT(表格1[[#This Row],[欄4]],表格1[[#This Row],[inv no]])</f>
        <v>123369088</v>
      </c>
    </row>
    <row r="1811" spans="1:23" hidden="1">
      <c r="A1811" s="81">
        <v>1809</v>
      </c>
      <c r="B1811" s="81" t="s">
        <v>1260</v>
      </c>
      <c r="C1811" s="81" t="s">
        <v>2080</v>
      </c>
      <c r="D1811" s="82" t="str">
        <f ca="1">OFFSET(Roster!$A$3,MATCH(表格1[[#This Row],[Location]]&amp;" "&amp;表格1[[#This Row],[Shop]]&amp;"*",Roster!$A$4:$A$72,0),DAY(表格1[[#This Row],[date]]),1,1)</f>
        <v>Shan_2</v>
      </c>
      <c r="E1811" s="81">
        <f>MONTH(表格1[[#This Row],[date]])</f>
        <v>3</v>
      </c>
      <c r="F1811" s="90">
        <v>46112</v>
      </c>
      <c r="G1811" s="81" t="str">
        <f>VLOOKUP("*"&amp;表格1[[#This Row],[Input]]&amp;"*",'Ref-List'!$B:$D,2,)</f>
        <v>RC-5SLIH(W)</v>
      </c>
      <c r="H1811" s="81" t="str">
        <f>_xlfn.XLOOKUP(表格1[[#This Row],[Model]],表格3[Model-Input-Ref2],表格3[Product Line])</f>
        <v>微型電腦珍珠飯煲</v>
      </c>
      <c r="I1811" s="81" t="str">
        <f>_xlfn.XLOOKUP(表格1[[#This Row],[Model]],表格3[Model-Input-Ref2],表格3[大小電])</f>
        <v>細電</v>
      </c>
      <c r="J1811" s="81" t="str">
        <f>_xlfn.XLOOKUP(表格1[[#This Row],[Model]],表格3[Model-Input-Ref2],表格3[Code])</f>
        <v>SDA</v>
      </c>
      <c r="K1811" s="89" t="s">
        <v>1264</v>
      </c>
      <c r="L1811" s="86">
        <v>1</v>
      </c>
      <c r="M1811" s="87">
        <v>550</v>
      </c>
      <c r="N1811" s="85">
        <f>IFERROR(表格1[[#This Row],[QTY]]*表格1[[#This Row],[Unit Price]],"-")</f>
        <v>550</v>
      </c>
      <c r="O1811" s="86">
        <v>369082</v>
      </c>
      <c r="R1811" s="86" t="str">
        <f>_xlfn.CONCAT(表格1[[#This Row],[Model]]," ",表格1[[#This Row],[inv no]])</f>
        <v>RC-5SLIH(W) 369082</v>
      </c>
      <c r="S1811" s="86">
        <f>_xlfn.XLOOKUP(表格1[[#This Row],[Model]],表格3[Model-Input-Ref2],表格3[SRP PRICE])</f>
        <v>658</v>
      </c>
      <c r="T1811" s="43">
        <f>表格1[[#This Row],[Unit Price]]/表格1[[#This Row],[SRP]]</f>
        <v>0.83586626139817632</v>
      </c>
      <c r="U1811" s="86" t="str">
        <f>_xlfn.XLOOKUP(表格1[[#This Row],[Model]],表格3[Model-Input-Ref2],表格3[TOSHIBA/HIGHEST])</f>
        <v>Toshiba SRP</v>
      </c>
      <c r="V1811" s="86">
        <v>123</v>
      </c>
      <c r="W1811" s="86" t="str">
        <f>_xlfn.CONCAT(表格1[[#This Row],[欄4]],表格1[[#This Row],[inv no]])</f>
        <v>123369082</v>
      </c>
    </row>
    <row r="1812" spans="1:23" hidden="1">
      <c r="A1812" s="81">
        <v>1810</v>
      </c>
      <c r="B1812" s="81" t="s">
        <v>1260</v>
      </c>
      <c r="C1812" s="81" t="s">
        <v>2080</v>
      </c>
      <c r="D1812" s="82" t="str">
        <f ca="1">OFFSET(Roster!$A$3,MATCH(表格1[[#This Row],[Location]]&amp;" "&amp;表格1[[#This Row],[Shop]]&amp;"*",Roster!$A$4:$A$72,0),DAY(表格1[[#This Row],[date]]),1,1)</f>
        <v>Shan_2</v>
      </c>
      <c r="E1812" s="81">
        <f>MONTH(表格1[[#This Row],[date]])</f>
        <v>3</v>
      </c>
      <c r="F1812" s="90">
        <v>46112</v>
      </c>
      <c r="G1812" s="81" t="str">
        <f>VLOOKUP("*"&amp;表格1[[#This Row],[Input]]&amp;"*",'Ref-List'!$B:$D,2,)</f>
        <v>F-LYA20(W)HKG</v>
      </c>
      <c r="H1812" s="81" t="str">
        <f>_xlfn.XLOOKUP(表格1[[#This Row],[Model]],表格3[Model-Input-Ref2],表格3[Product Line])</f>
        <v>12吋2合1座地座檯電風扇連遙控</v>
      </c>
      <c r="I1812" s="81" t="str">
        <f>_xlfn.XLOOKUP(表格1[[#This Row],[Model]],表格3[Model-Input-Ref2],表格3[大小電])</f>
        <v>細電</v>
      </c>
      <c r="J1812" s="81" t="str">
        <f>_xlfn.XLOOKUP(表格1[[#This Row],[Model]],表格3[Model-Input-Ref2],表格3[Code])</f>
        <v>EAD</v>
      </c>
      <c r="K1812" s="89" t="s">
        <v>1391</v>
      </c>
      <c r="L1812" s="86">
        <v>1</v>
      </c>
      <c r="M1812" s="87">
        <v>399</v>
      </c>
      <c r="N1812" s="85">
        <f>IFERROR(表格1[[#This Row],[QTY]]*表格1[[#This Row],[Unit Price]],"-")</f>
        <v>399</v>
      </c>
      <c r="O1812" s="86" t="s">
        <v>1765</v>
      </c>
      <c r="R1812" s="86" t="str">
        <f>_xlfn.CONCAT(表格1[[#This Row],[Model]]," ",表格1[[#This Row],[inv no]])</f>
        <v>F-LYA20(W)HKG TG260330T00100</v>
      </c>
      <c r="S1812" s="86">
        <f>_xlfn.XLOOKUP(表格1[[#This Row],[Model]],表格3[Model-Input-Ref2],表格3[SRP PRICE])</f>
        <v>988</v>
      </c>
      <c r="T1812" s="43">
        <f>表格1[[#This Row],[Unit Price]]/表格1[[#This Row],[SRP]]</f>
        <v>0.40384615384615385</v>
      </c>
      <c r="U1812" s="86" t="str">
        <f>_xlfn.XLOOKUP(表格1[[#This Row],[Model]],表格3[Model-Input-Ref2],表格3[TOSHIBA/HIGHEST])</f>
        <v>Toshiba SRP</v>
      </c>
      <c r="V1812" s="86">
        <v>123</v>
      </c>
      <c r="W1812" s="86" t="str">
        <f>_xlfn.CONCAT(表格1[[#This Row],[欄4]],表格1[[#This Row],[inv no]])</f>
        <v>123TG260330T00100</v>
      </c>
    </row>
    <row r="1813" spans="1:23" hidden="1">
      <c r="A1813" s="81">
        <v>1811</v>
      </c>
      <c r="B1813" s="81" t="s">
        <v>1260</v>
      </c>
      <c r="C1813" s="81" t="s">
        <v>2080</v>
      </c>
      <c r="D1813" s="82" t="str">
        <f ca="1">OFFSET(Roster!$A$3,MATCH(表格1[[#This Row],[Location]]&amp;" "&amp;表格1[[#This Row],[Shop]]&amp;"*",Roster!$A$4:$A$72,0),DAY(表格1[[#This Row],[date]]),1,1)</f>
        <v>Shan_2</v>
      </c>
      <c r="E1813" s="81">
        <f>MONTH(表格1[[#This Row],[date]])</f>
        <v>3</v>
      </c>
      <c r="F1813" s="90">
        <v>46112</v>
      </c>
      <c r="G1813" s="81" t="str">
        <f>VLOOKUP("*"&amp;表格1[[#This Row],[Input]]&amp;"*",'Ref-List'!$B:$D,2,)</f>
        <v>RC-18AMXH(W)</v>
      </c>
      <c r="H1813" s="81" t="str">
        <f>_xlfn.XLOOKUP(表格1[[#This Row],[Model]],表格3[Model-Input-Ref2],表格3[Product Line])</f>
        <v>酵活炊電飯煲(1.8公升)</v>
      </c>
      <c r="I1813" s="81" t="str">
        <f>_xlfn.XLOOKUP(表格1[[#This Row],[Model]],表格3[Model-Input-Ref2],表格3[大小電])</f>
        <v>細電</v>
      </c>
      <c r="J1813" s="81" t="str">
        <f>_xlfn.XLOOKUP(表格1[[#This Row],[Model]],表格3[Model-Input-Ref2],表格3[Code])</f>
        <v>SDA</v>
      </c>
      <c r="K1813" s="89" t="s">
        <v>1362</v>
      </c>
      <c r="L1813" s="86">
        <v>1</v>
      </c>
      <c r="M1813" s="87">
        <v>990</v>
      </c>
      <c r="N1813" s="85">
        <f>IFERROR(表格1[[#This Row],[QTY]]*表格1[[#This Row],[Unit Price]],"-")</f>
        <v>990</v>
      </c>
      <c r="O1813" s="86">
        <v>369105</v>
      </c>
      <c r="R1813" s="86" t="str">
        <f>_xlfn.CONCAT(表格1[[#This Row],[Model]]," ",表格1[[#This Row],[inv no]])</f>
        <v>RC-18AMXH(W) 369105</v>
      </c>
      <c r="S1813" s="86">
        <f>_xlfn.XLOOKUP(表格1[[#This Row],[Model]],表格3[Model-Input-Ref2],表格3[SRP PRICE])</f>
        <v>1588</v>
      </c>
      <c r="T1813" s="43">
        <f>表格1[[#This Row],[Unit Price]]/表格1[[#This Row],[SRP]]</f>
        <v>0.62342569269521408</v>
      </c>
      <c r="U1813" s="86" t="str">
        <f>_xlfn.XLOOKUP(表格1[[#This Row],[Model]],表格3[Model-Input-Ref2],表格3[TOSHIBA/HIGHEST])</f>
        <v>Toshiba SRP</v>
      </c>
      <c r="V1813" s="86">
        <v>123</v>
      </c>
      <c r="W1813" s="86" t="str">
        <f>_xlfn.CONCAT(表格1[[#This Row],[欄4]],表格1[[#This Row],[inv no]])</f>
        <v>123369105</v>
      </c>
    </row>
    <row r="1814" spans="1:23" hidden="1">
      <c r="A1814" s="81">
        <v>1812</v>
      </c>
      <c r="B1814" s="81" t="s">
        <v>1260</v>
      </c>
      <c r="C1814" s="81" t="s">
        <v>2080</v>
      </c>
      <c r="D1814" s="82" t="str">
        <f ca="1">OFFSET(Roster!$A$3,MATCH(表格1[[#This Row],[Location]]&amp;" "&amp;表格1[[#This Row],[Shop]]&amp;"*",Roster!$A$4:$A$72,0),DAY(表格1[[#This Row],[date]]),1,1)</f>
        <v>Shan_2</v>
      </c>
      <c r="E1814" s="81">
        <f>MONTH(表格1[[#This Row],[date]])</f>
        <v>3</v>
      </c>
      <c r="F1814" s="90">
        <v>46112</v>
      </c>
      <c r="G1814" s="81" t="str">
        <f>VLOOKUP("*"&amp;表格1[[#This Row],[Input]]&amp;"*",'Ref-List'!$B:$D,2,)</f>
        <v>GR-RT300WE-PMA(57)</v>
      </c>
      <c r="H1814" s="81" t="str">
        <f>_xlfn.XLOOKUP(表格1[[#This Row],[Model]],表格3[Model-Input-Ref2],表格3[Product Line])</f>
        <v>變頻式環保雙門雪櫃(233L)</v>
      </c>
      <c r="I1814" s="81" t="str">
        <f>_xlfn.XLOOKUP(表格1[[#This Row],[Model]],表格3[Model-Input-Ref2],表格3[大小電])</f>
        <v>大電</v>
      </c>
      <c r="J1814" s="81" t="str">
        <f>_xlfn.XLOOKUP(表格1[[#This Row],[Model]],表格3[Model-Input-Ref2],表格3[Code])</f>
        <v>REF</v>
      </c>
      <c r="K1814" s="89" t="s">
        <v>1462</v>
      </c>
      <c r="L1814" s="86">
        <v>1</v>
      </c>
      <c r="M1814" s="87">
        <v>2641</v>
      </c>
      <c r="N1814" s="85">
        <f>IFERROR(表格1[[#This Row],[QTY]]*表格1[[#This Row],[Unit Price]],"-")</f>
        <v>2641</v>
      </c>
      <c r="O1814" s="86">
        <v>369134</v>
      </c>
      <c r="R1814" s="86" t="str">
        <f>_xlfn.CONCAT(表格1[[#This Row],[Model]]," ",表格1[[#This Row],[inv no]])</f>
        <v>GR-RT300WE-PMA(57) 369134</v>
      </c>
      <c r="S1814" s="86">
        <f>_xlfn.XLOOKUP(表格1[[#This Row],[Model]],表格3[Model-Input-Ref2],表格3[SRP PRICE])</f>
        <v>4280</v>
      </c>
      <c r="T1814" s="43">
        <f>表格1[[#This Row],[Unit Price]]/表格1[[#This Row],[SRP]]</f>
        <v>0.61705607476635516</v>
      </c>
      <c r="U1814" s="86" t="str">
        <f>_xlfn.XLOOKUP(表格1[[#This Row],[Model]],表格3[Model-Input-Ref2],表格3[TOSHIBA/HIGHEST])</f>
        <v>Toshiba SRP</v>
      </c>
      <c r="V1814" s="86">
        <v>123</v>
      </c>
      <c r="W1814" s="86" t="str">
        <f>_xlfn.CONCAT(表格1[[#This Row],[欄4]],表格1[[#This Row],[inv no]])</f>
        <v>123369134</v>
      </c>
    </row>
    <row r="1815" spans="1:23" hidden="1">
      <c r="A1815" s="81">
        <v>1813</v>
      </c>
      <c r="B1815" s="81" t="s">
        <v>1260</v>
      </c>
      <c r="C1815" s="81" t="s">
        <v>2080</v>
      </c>
      <c r="D1815" s="82" t="str">
        <f ca="1">OFFSET(Roster!$A$3,MATCH(表格1[[#This Row],[Location]]&amp;" "&amp;表格1[[#This Row],[Shop]]&amp;"*",Roster!$A$4:$A$72,0),DAY(表格1[[#This Row],[date]]),1,1)</f>
        <v>Shan_2</v>
      </c>
      <c r="E1815" s="81">
        <f>MONTH(表格1[[#This Row],[date]])</f>
        <v>3</v>
      </c>
      <c r="F1815" s="90">
        <v>46112</v>
      </c>
      <c r="G1815" s="81" t="str">
        <f>VLOOKUP("*"&amp;表格1[[#This Row],[Input]]&amp;"*",'Ref-List'!$B:$D,2,)</f>
        <v>RC-5MMIH(WT)</v>
      </c>
      <c r="H1815" s="81" t="str">
        <f>_xlfn.XLOOKUP(表格1[[#This Row],[Model]],表格3[Model-Input-Ref2],表格3[Product Line])</f>
        <v>4毫米厚釜電飯煲0.54L</v>
      </c>
      <c r="I1815" s="81" t="str">
        <f>_xlfn.XLOOKUP(表格1[[#This Row],[Model]],表格3[Model-Input-Ref2],表格3[大小電])</f>
        <v>細電</v>
      </c>
      <c r="J1815" s="81" t="str">
        <f>_xlfn.XLOOKUP(表格1[[#This Row],[Model]],表格3[Model-Input-Ref2],表格3[Code])</f>
        <v>SDA</v>
      </c>
      <c r="K1815" s="89" t="s">
        <v>1195</v>
      </c>
      <c r="L1815" s="86">
        <v>1</v>
      </c>
      <c r="M1815" s="87">
        <v>450</v>
      </c>
      <c r="N1815" s="85">
        <f>IFERROR(表格1[[#This Row],[QTY]]*表格1[[#This Row],[Unit Price]],"-")</f>
        <v>450</v>
      </c>
      <c r="O1815" s="86">
        <v>369150</v>
      </c>
      <c r="R1815" s="86" t="str">
        <f>_xlfn.CONCAT(表格1[[#This Row],[Model]]," ",表格1[[#This Row],[inv no]])</f>
        <v>RC-5MMIH(WT) 369150</v>
      </c>
      <c r="S1815" s="86">
        <f>_xlfn.XLOOKUP(表格1[[#This Row],[Model]],表格3[Model-Input-Ref2],表格3[SRP PRICE])</f>
        <v>618</v>
      </c>
      <c r="T1815" s="43">
        <f>表格1[[#This Row],[Unit Price]]/表格1[[#This Row],[SRP]]</f>
        <v>0.72815533980582525</v>
      </c>
      <c r="U1815" s="86" t="str">
        <f>_xlfn.XLOOKUP(表格1[[#This Row],[Model]],表格3[Model-Input-Ref2],表格3[TOSHIBA/HIGHEST])</f>
        <v>Toshiba SRP</v>
      </c>
      <c r="V1815" s="86">
        <v>123</v>
      </c>
      <c r="W1815" s="86" t="str">
        <f>_xlfn.CONCAT(表格1[[#This Row],[欄4]],表格1[[#This Row],[inv no]])</f>
        <v>123369150</v>
      </c>
    </row>
    <row r="1816" spans="1:23" hidden="1">
      <c r="A1816" s="81">
        <v>1814</v>
      </c>
      <c r="B1816" s="81" t="s">
        <v>1260</v>
      </c>
      <c r="C1816" s="81" t="s">
        <v>2080</v>
      </c>
      <c r="D1816" s="82" t="str">
        <f ca="1">OFFSET(Roster!$A$3,MATCH(表格1[[#This Row],[Location]]&amp;" "&amp;表格1[[#This Row],[Shop]]&amp;"*",Roster!$A$4:$A$72,0),DAY(表格1[[#This Row],[date]]),1,1)</f>
        <v>Shan_2</v>
      </c>
      <c r="E1816" s="81">
        <f>MONTH(表格1[[#This Row],[date]])</f>
        <v>3</v>
      </c>
      <c r="F1816" s="90">
        <v>46112</v>
      </c>
      <c r="G1816" s="81" t="str">
        <f>VLOOKUP("*"&amp;表格1[[#This Row],[Input]]&amp;"*",'Ref-List'!$B:$D,2,)</f>
        <v>RC-10AMXH(W)</v>
      </c>
      <c r="H1816" s="81" t="str">
        <f>_xlfn.XLOOKUP(表格1[[#This Row],[Model]],表格3[Model-Input-Ref2],表格3[Product Line])</f>
        <v>酵活炊電飯煲(1.0公升)</v>
      </c>
      <c r="I1816" s="81" t="str">
        <f>_xlfn.XLOOKUP(表格1[[#This Row],[Model]],表格3[Model-Input-Ref2],表格3[大小電])</f>
        <v>細電</v>
      </c>
      <c r="J1816" s="81" t="str">
        <f>_xlfn.XLOOKUP(表格1[[#This Row],[Model]],表格3[Model-Input-Ref2],表格3[Code])</f>
        <v>SDA</v>
      </c>
      <c r="K1816" s="89" t="s">
        <v>1279</v>
      </c>
      <c r="L1816" s="86">
        <v>1</v>
      </c>
      <c r="M1816" s="87">
        <v>990</v>
      </c>
      <c r="N1816" s="85">
        <f>IFERROR(表格1[[#This Row],[QTY]]*表格1[[#This Row],[Unit Price]],"-")</f>
        <v>990</v>
      </c>
      <c r="O1816" s="86">
        <v>369174</v>
      </c>
      <c r="R1816" s="86" t="str">
        <f>_xlfn.CONCAT(表格1[[#This Row],[Model]]," ",表格1[[#This Row],[inv no]])</f>
        <v>RC-10AMXH(W) 369174</v>
      </c>
      <c r="S1816" s="86">
        <f>_xlfn.XLOOKUP(表格1[[#This Row],[Model]],表格3[Model-Input-Ref2],表格3[SRP PRICE])</f>
        <v>1288</v>
      </c>
      <c r="T1816" s="43">
        <f>表格1[[#This Row],[Unit Price]]/表格1[[#This Row],[SRP]]</f>
        <v>0.76863354037267084</v>
      </c>
      <c r="U1816" s="86" t="str">
        <f>_xlfn.XLOOKUP(表格1[[#This Row],[Model]],表格3[Model-Input-Ref2],表格3[TOSHIBA/HIGHEST])</f>
        <v>Toshiba SRP</v>
      </c>
      <c r="V1816" s="86">
        <v>123</v>
      </c>
      <c r="W1816" s="86" t="str">
        <f>_xlfn.CONCAT(表格1[[#This Row],[欄4]],表格1[[#This Row],[inv no]])</f>
        <v>123369174</v>
      </c>
    </row>
    <row r="1817" spans="1:23" hidden="1">
      <c r="A1817" s="81">
        <v>1815</v>
      </c>
      <c r="B1817" s="81" t="s">
        <v>1260</v>
      </c>
      <c r="C1817" s="81" t="s">
        <v>2080</v>
      </c>
      <c r="D1817" s="82" t="str">
        <f ca="1">OFFSET(Roster!$A$3,MATCH(表格1[[#This Row],[Location]]&amp;" "&amp;表格1[[#This Row],[Shop]]&amp;"*",Roster!$A$4:$A$72,0),DAY(表格1[[#This Row],[date]]),1,1)</f>
        <v>Shan_2</v>
      </c>
      <c r="E1817" s="81">
        <f>MONTH(表格1[[#This Row],[date]])</f>
        <v>3</v>
      </c>
      <c r="F1817" s="90">
        <v>46112</v>
      </c>
      <c r="G1817" s="81" t="str">
        <f>VLOOKUP("*"&amp;表格1[[#This Row],[Input]]&amp;"*",'Ref-List'!$B:$D,2,)</f>
        <v>RC-5MMIH(WT)</v>
      </c>
      <c r="H1817" s="81" t="str">
        <f>_xlfn.XLOOKUP(表格1[[#This Row],[Model]],表格3[Model-Input-Ref2],表格3[Product Line])</f>
        <v>4毫米厚釜電飯煲0.54L</v>
      </c>
      <c r="I1817" s="81" t="str">
        <f>_xlfn.XLOOKUP(表格1[[#This Row],[Model]],表格3[Model-Input-Ref2],表格3[大小電])</f>
        <v>細電</v>
      </c>
      <c r="J1817" s="81" t="str">
        <f>_xlfn.XLOOKUP(表格1[[#This Row],[Model]],表格3[Model-Input-Ref2],表格3[Code])</f>
        <v>SDA</v>
      </c>
      <c r="K1817" s="89" t="s">
        <v>1195</v>
      </c>
      <c r="L1817" s="86">
        <v>1</v>
      </c>
      <c r="M1817" s="87">
        <v>450</v>
      </c>
      <c r="N1817" s="85">
        <f>IFERROR(表格1[[#This Row],[QTY]]*表格1[[#This Row],[Unit Price]],"-")</f>
        <v>450</v>
      </c>
      <c r="O1817" s="86">
        <v>369222</v>
      </c>
      <c r="R1817" s="86" t="str">
        <f>_xlfn.CONCAT(表格1[[#This Row],[Model]]," ",表格1[[#This Row],[inv no]])</f>
        <v>RC-5MMIH(WT) 369222</v>
      </c>
      <c r="S1817" s="86">
        <f>_xlfn.XLOOKUP(表格1[[#This Row],[Model]],表格3[Model-Input-Ref2],表格3[SRP PRICE])</f>
        <v>618</v>
      </c>
      <c r="T1817" s="43">
        <f>表格1[[#This Row],[Unit Price]]/表格1[[#This Row],[SRP]]</f>
        <v>0.72815533980582525</v>
      </c>
      <c r="U1817" s="86" t="str">
        <f>_xlfn.XLOOKUP(表格1[[#This Row],[Model]],表格3[Model-Input-Ref2],表格3[TOSHIBA/HIGHEST])</f>
        <v>Toshiba SRP</v>
      </c>
      <c r="V1817" s="86">
        <v>123</v>
      </c>
      <c r="W1817" s="86" t="str">
        <f>_xlfn.CONCAT(表格1[[#This Row],[欄4]],表格1[[#This Row],[inv no]])</f>
        <v>123369222</v>
      </c>
    </row>
    <row r="1818" spans="1:23" hidden="1">
      <c r="A1818" s="81">
        <v>1816</v>
      </c>
      <c r="B1818" s="81" t="s">
        <v>1260</v>
      </c>
      <c r="C1818" s="81" t="s">
        <v>2080</v>
      </c>
      <c r="D1818" s="82" t="str">
        <f ca="1">OFFSET(Roster!$A$3,MATCH(表格1[[#This Row],[Location]]&amp;" "&amp;表格1[[#This Row],[Shop]]&amp;"*",Roster!$A$4:$A$72,0),DAY(表格1[[#This Row],[date]]),1,1)</f>
        <v>Shan_2</v>
      </c>
      <c r="E1818" s="81">
        <f>MONTH(表格1[[#This Row],[date]])</f>
        <v>3</v>
      </c>
      <c r="F1818" s="90">
        <v>46112</v>
      </c>
      <c r="G1818" s="81" t="str">
        <f>VLOOKUP("*"&amp;表格1[[#This Row],[Input]]&amp;"*",'Ref-List'!$B:$D,2,)</f>
        <v>RC-18JRUH(N)</v>
      </c>
      <c r="H1818" s="81" t="str">
        <f>_xlfn.XLOOKUP(表格1[[#This Row],[Model]],表格3[Model-Input-Ref2],表格3[Product Line])</f>
        <v>1.8公升電飯煲</v>
      </c>
      <c r="I1818" s="81" t="str">
        <f>_xlfn.XLOOKUP(表格1[[#This Row],[Model]],表格3[Model-Input-Ref2],表格3[大小電])</f>
        <v>細電</v>
      </c>
      <c r="J1818" s="81" t="str">
        <f>_xlfn.XLOOKUP(表格1[[#This Row],[Model]],表格3[Model-Input-Ref2],表格3[Code])</f>
        <v>SDA</v>
      </c>
      <c r="K1818" s="89" t="s">
        <v>1275</v>
      </c>
      <c r="L1818" s="86">
        <v>1</v>
      </c>
      <c r="M1818" s="87">
        <v>300</v>
      </c>
      <c r="N1818" s="85">
        <f>IFERROR(表格1[[#This Row],[QTY]]*表格1[[#This Row],[Unit Price]],"-")</f>
        <v>300</v>
      </c>
      <c r="O1818" s="86">
        <v>369227</v>
      </c>
      <c r="R1818" s="86" t="str">
        <f>_xlfn.CONCAT(表格1[[#This Row],[Model]]," ",表格1[[#This Row],[inv no]])</f>
        <v>RC-18JRUH(N) 369227</v>
      </c>
      <c r="S1818" s="86">
        <f>_xlfn.XLOOKUP(表格1[[#This Row],[Model]],表格3[Model-Input-Ref2],表格3[SRP PRICE])</f>
        <v>458</v>
      </c>
      <c r="T1818" s="43">
        <f>表格1[[#This Row],[Unit Price]]/表格1[[#This Row],[SRP]]</f>
        <v>0.65502183406113534</v>
      </c>
      <c r="U1818" s="86" t="str">
        <f>_xlfn.XLOOKUP(表格1[[#This Row],[Model]],表格3[Model-Input-Ref2],表格3[TOSHIBA/HIGHEST])</f>
        <v>Shops Highest Price</v>
      </c>
      <c r="V1818" s="86">
        <v>123</v>
      </c>
      <c r="W1818" s="86" t="str">
        <f>_xlfn.CONCAT(表格1[[#This Row],[欄4]],表格1[[#This Row],[inv no]])</f>
        <v>123369227</v>
      </c>
    </row>
    <row r="1819" spans="1:23" hidden="1">
      <c r="A1819" s="81">
        <v>1817</v>
      </c>
      <c r="B1819" s="81" t="s">
        <v>1260</v>
      </c>
      <c r="C1819" s="81" t="s">
        <v>2080</v>
      </c>
      <c r="D1819" s="82" t="str">
        <f ca="1">OFFSET(Roster!$A$3,MATCH(表格1[[#This Row],[Location]]&amp;" "&amp;表格1[[#This Row],[Shop]]&amp;"*",Roster!$A$4:$A$72,0),DAY(表格1[[#This Row],[date]]),1,1)</f>
        <v>Shan_2</v>
      </c>
      <c r="E1819" s="81">
        <f>MONTH(表格1[[#This Row],[date]])</f>
        <v>3</v>
      </c>
      <c r="F1819" s="90">
        <v>46112</v>
      </c>
      <c r="G1819" s="81" t="str">
        <f>VLOOKUP("*"&amp;表格1[[#This Row],[Input]]&amp;"*",'Ref-List'!$B:$D,2,)</f>
        <v>MWP-MM20P(WH)</v>
      </c>
      <c r="H1819" s="81" t="str">
        <f>_xlfn.XLOOKUP(表格1[[#This Row],[Model]],表格3[Model-Input-Ref2],表格3[Product Line])</f>
        <v>旋鈕式燒烤微波爐20L</v>
      </c>
      <c r="I1819" s="81" t="str">
        <f>_xlfn.XLOOKUP(表格1[[#This Row],[Model]],表格3[Model-Input-Ref2],表格3[大小電])</f>
        <v>細電</v>
      </c>
      <c r="J1819" s="81" t="str">
        <f>_xlfn.XLOOKUP(表格1[[#This Row],[Model]],表格3[Model-Input-Ref2],表格3[Code])</f>
        <v>SDA</v>
      </c>
      <c r="K1819" s="89" t="s">
        <v>1270</v>
      </c>
      <c r="L1819" s="86">
        <v>1</v>
      </c>
      <c r="M1819" s="87">
        <v>488</v>
      </c>
      <c r="N1819" s="85">
        <f>IFERROR(表格1[[#This Row],[QTY]]*表格1[[#This Row],[Unit Price]],"-")</f>
        <v>488</v>
      </c>
      <c r="O1819" s="86">
        <v>369250</v>
      </c>
      <c r="R1819" s="86" t="str">
        <f>_xlfn.CONCAT(表格1[[#This Row],[Model]]," ",表格1[[#This Row],[inv no]])</f>
        <v>MWP-MM20P(WH) 369250</v>
      </c>
      <c r="S1819" s="86">
        <f>_xlfn.XLOOKUP(表格1[[#This Row],[Model]],表格3[Model-Input-Ref2],表格3[SRP PRICE])</f>
        <v>648</v>
      </c>
      <c r="T1819" s="43">
        <f>表格1[[#This Row],[Unit Price]]/表格1[[#This Row],[SRP]]</f>
        <v>0.75308641975308643</v>
      </c>
      <c r="U1819" s="86" t="str">
        <f>_xlfn.XLOOKUP(表格1[[#This Row],[Model]],表格3[Model-Input-Ref2],表格3[TOSHIBA/HIGHEST])</f>
        <v>Toshiba SRP</v>
      </c>
      <c r="V1819" s="86">
        <v>123</v>
      </c>
      <c r="W1819" s="86" t="str">
        <f>_xlfn.CONCAT(表格1[[#This Row],[欄4]],表格1[[#This Row],[inv no]])</f>
        <v>123369250</v>
      </c>
    </row>
    <row r="1820" spans="1:23" hidden="1">
      <c r="A1820" s="81">
        <v>1818</v>
      </c>
      <c r="B1820" s="81" t="s">
        <v>1260</v>
      </c>
      <c r="C1820" s="81" t="s">
        <v>2080</v>
      </c>
      <c r="D1820" s="82" t="str">
        <f ca="1">OFFSET(Roster!$A$3,MATCH(表格1[[#This Row],[Location]]&amp;" "&amp;表格1[[#This Row],[Shop]]&amp;"*",Roster!$A$4:$A$72,0),DAY(表格1[[#This Row],[date]]),1,1)</f>
        <v>Shan_2</v>
      </c>
      <c r="E1820" s="81">
        <f>MONTH(表格1[[#This Row],[date]])</f>
        <v>3</v>
      </c>
      <c r="F1820" s="90">
        <v>46112</v>
      </c>
      <c r="G1820" s="81" t="str">
        <f>VLOOKUP("*"&amp;表格1[[#This Row],[Input]]&amp;"*",'Ref-List'!$B:$D,2,)</f>
        <v>RC-18JRUH(N)</v>
      </c>
      <c r="H1820" s="81" t="str">
        <f>_xlfn.XLOOKUP(表格1[[#This Row],[Model]],表格3[Model-Input-Ref2],表格3[Product Line])</f>
        <v>1.8公升電飯煲</v>
      </c>
      <c r="I1820" s="81" t="str">
        <f>_xlfn.XLOOKUP(表格1[[#This Row],[Model]],表格3[Model-Input-Ref2],表格3[大小電])</f>
        <v>細電</v>
      </c>
      <c r="J1820" s="81" t="str">
        <f>_xlfn.XLOOKUP(表格1[[#This Row],[Model]],表格3[Model-Input-Ref2],表格3[Code])</f>
        <v>SDA</v>
      </c>
      <c r="K1820" s="89" t="s">
        <v>1275</v>
      </c>
      <c r="L1820" s="86">
        <v>1</v>
      </c>
      <c r="M1820" s="87">
        <v>300</v>
      </c>
      <c r="N1820" s="85">
        <f>IFERROR(表格1[[#This Row],[QTY]]*表格1[[#This Row],[Unit Price]],"-")</f>
        <v>300</v>
      </c>
      <c r="O1820" s="86">
        <v>369260</v>
      </c>
      <c r="R1820" s="86" t="str">
        <f>_xlfn.CONCAT(表格1[[#This Row],[Model]]," ",表格1[[#This Row],[inv no]])</f>
        <v>RC-18JRUH(N) 369260</v>
      </c>
      <c r="S1820" s="86">
        <f>_xlfn.XLOOKUP(表格1[[#This Row],[Model]],表格3[Model-Input-Ref2],表格3[SRP PRICE])</f>
        <v>458</v>
      </c>
      <c r="T1820" s="43">
        <f>表格1[[#This Row],[Unit Price]]/表格1[[#This Row],[SRP]]</f>
        <v>0.65502183406113534</v>
      </c>
      <c r="U1820" s="86" t="str">
        <f>_xlfn.XLOOKUP(表格1[[#This Row],[Model]],表格3[Model-Input-Ref2],表格3[TOSHIBA/HIGHEST])</f>
        <v>Shops Highest Price</v>
      </c>
      <c r="V1820" s="86">
        <v>123</v>
      </c>
      <c r="W1820" s="86" t="str">
        <f>_xlfn.CONCAT(表格1[[#This Row],[欄4]],表格1[[#This Row],[inv no]])</f>
        <v>123369260</v>
      </c>
    </row>
    <row r="1821" spans="1:23" ht="16.5" hidden="1">
      <c r="A1821" s="81">
        <v>1819</v>
      </c>
      <c r="B1821" s="81" t="s">
        <v>1260</v>
      </c>
      <c r="C1821" s="81" t="s">
        <v>2080</v>
      </c>
      <c r="D1821" s="82" t="str">
        <f ca="1">OFFSET(Roster!$A$3,MATCH(表格1[[#This Row],[Location]]&amp;" "&amp;表格1[[#This Row],[Shop]]&amp;"*",Roster!$A$4:$A$72,0),DAY(表格1[[#This Row],[date]]),1,1)</f>
        <v>Shan_2</v>
      </c>
      <c r="E1821" s="81">
        <f>MONTH(表格1[[#This Row],[date]])</f>
        <v>3</v>
      </c>
      <c r="F1821" s="90">
        <v>46112</v>
      </c>
      <c r="G1821" s="81" t="str">
        <f>VLOOKUP("*"&amp;表格1[[#This Row],[Input]]&amp;"*",'Ref-List'!$B:$D,2,)</f>
        <v>KT-17SHNH</v>
      </c>
      <c r="H1821" s="81" t="str">
        <f>_xlfn.XLOOKUP(表格1[[#This Row],[Model]],表格3[Model-Input-Ref2],表格3[Product Line])</f>
        <v>1.7L無線雙層電熱水壺</v>
      </c>
      <c r="I1821" s="81" t="str">
        <f>_xlfn.XLOOKUP(表格1[[#This Row],[Model]],表格3[Model-Input-Ref2],表格3[大小電])</f>
        <v>細電</v>
      </c>
      <c r="J1821" s="81" t="str">
        <f>_xlfn.XLOOKUP(表格1[[#This Row],[Model]],表格3[Model-Input-Ref2],表格3[Code])</f>
        <v>SDA</v>
      </c>
      <c r="K1821" s="89" t="s">
        <v>1283</v>
      </c>
      <c r="L1821" s="86">
        <v>1</v>
      </c>
      <c r="M1821" s="87">
        <v>198</v>
      </c>
      <c r="N1821" s="85">
        <f>IFERROR(表格1[[#This Row],[QTY]]*表格1[[#This Row],[Unit Price]],"-")</f>
        <v>198</v>
      </c>
      <c r="O1821" s="86">
        <v>369284</v>
      </c>
      <c r="P1821" s="141"/>
      <c r="R1821" s="86" t="str">
        <f>_xlfn.CONCAT(表格1[[#This Row],[Model]]," ",表格1[[#This Row],[inv no]])</f>
        <v>KT-17SHNH 369284</v>
      </c>
      <c r="S1821" s="86">
        <f>_xlfn.XLOOKUP(表格1[[#This Row],[Model]],表格3[Model-Input-Ref2],表格3[SRP PRICE])</f>
        <v>299</v>
      </c>
      <c r="T1821" s="43">
        <f>表格1[[#This Row],[Unit Price]]/表格1[[#This Row],[SRP]]</f>
        <v>0.66220735785953178</v>
      </c>
      <c r="U1821" s="86" t="str">
        <f>_xlfn.XLOOKUP(表格1[[#This Row],[Model]],表格3[Model-Input-Ref2],表格3[TOSHIBA/HIGHEST])</f>
        <v>Shops Highest Price</v>
      </c>
      <c r="V1821" s="86">
        <v>123</v>
      </c>
      <c r="W1821" s="86" t="str">
        <f>_xlfn.CONCAT(表格1[[#This Row],[欄4]],表格1[[#This Row],[inv no]])</f>
        <v>123369284</v>
      </c>
    </row>
    <row r="1822" spans="1:23" hidden="1">
      <c r="A1822" s="81">
        <v>1820</v>
      </c>
      <c r="B1822" s="81" t="s">
        <v>1260</v>
      </c>
      <c r="C1822" s="81" t="s">
        <v>2080</v>
      </c>
      <c r="D1822" s="82" t="str">
        <f ca="1">OFFSET(Roster!$A$3,MATCH(表格1[[#This Row],[Location]]&amp;" "&amp;表格1[[#This Row],[Shop]]&amp;"*",Roster!$A$4:$A$72,0),DAY(表格1[[#This Row],[date]]),1,1)</f>
        <v>Shan_2</v>
      </c>
      <c r="E1822" s="81">
        <f>MONTH(表格1[[#This Row],[date]])</f>
        <v>3</v>
      </c>
      <c r="F1822" s="90">
        <v>46112</v>
      </c>
      <c r="G1822" s="81" t="str">
        <f>VLOOKUP("*"&amp;表格1[[#This Row],[Input]]&amp;"*",'Ref-List'!$B:$D,2,)</f>
        <v>F-LYA20(W)HKG</v>
      </c>
      <c r="H1822" s="81" t="str">
        <f>_xlfn.XLOOKUP(表格1[[#This Row],[Model]],表格3[Model-Input-Ref2],表格3[Product Line])</f>
        <v>12吋2合1座地座檯電風扇連遙控</v>
      </c>
      <c r="I1822" s="81" t="str">
        <f>_xlfn.XLOOKUP(表格1[[#This Row],[Model]],表格3[Model-Input-Ref2],表格3[大小電])</f>
        <v>細電</v>
      </c>
      <c r="J1822" s="81" t="str">
        <f>_xlfn.XLOOKUP(表格1[[#This Row],[Model]],表格3[Model-Input-Ref2],表格3[Code])</f>
        <v>EAD</v>
      </c>
      <c r="K1822" s="89" t="s">
        <v>1391</v>
      </c>
      <c r="L1822" s="86">
        <v>1</v>
      </c>
      <c r="M1822" s="87">
        <v>399</v>
      </c>
      <c r="N1822" s="85">
        <f>IFERROR(表格1[[#This Row],[QTY]]*表格1[[#This Row],[Unit Price]],"-")</f>
        <v>399</v>
      </c>
      <c r="O1822" s="86">
        <v>369281</v>
      </c>
      <c r="R1822" s="86" t="str">
        <f>_xlfn.CONCAT(表格1[[#This Row],[Model]]," ",表格1[[#This Row],[inv no]])</f>
        <v>F-LYA20(W)HKG 369281</v>
      </c>
      <c r="S1822" s="86">
        <f>_xlfn.XLOOKUP(表格1[[#This Row],[Model]],表格3[Model-Input-Ref2],表格3[SRP PRICE])</f>
        <v>988</v>
      </c>
      <c r="T1822" s="43">
        <f>表格1[[#This Row],[Unit Price]]/表格1[[#This Row],[SRP]]</f>
        <v>0.40384615384615385</v>
      </c>
      <c r="U1822" s="86" t="str">
        <f>_xlfn.XLOOKUP(表格1[[#This Row],[Model]],表格3[Model-Input-Ref2],表格3[TOSHIBA/HIGHEST])</f>
        <v>Toshiba SRP</v>
      </c>
      <c r="V1822" s="86">
        <v>123</v>
      </c>
      <c r="W1822" s="86" t="str">
        <f>_xlfn.CONCAT(表格1[[#This Row],[欄4]],表格1[[#This Row],[inv no]])</f>
        <v>123369281</v>
      </c>
    </row>
    <row r="1823" spans="1:23" hidden="1">
      <c r="A1823" s="81">
        <v>1821</v>
      </c>
      <c r="B1823" s="81" t="s">
        <v>1260</v>
      </c>
      <c r="C1823" s="81" t="s">
        <v>2080</v>
      </c>
      <c r="D1823" s="82" t="str">
        <f ca="1">OFFSET(Roster!$A$3,MATCH(表格1[[#This Row],[Location]]&amp;" "&amp;表格1[[#This Row],[Shop]]&amp;"*",Roster!$A$4:$A$72,0),DAY(表格1[[#This Row],[date]]),1,1)</f>
        <v>Shan_2</v>
      </c>
      <c r="E1823" s="81">
        <f>MONTH(表格1[[#This Row],[date]])</f>
        <v>3</v>
      </c>
      <c r="F1823" s="90">
        <v>46112</v>
      </c>
      <c r="G1823" s="81" t="str">
        <f>VLOOKUP("*"&amp;表格1[[#This Row],[Input]]&amp;"*",'Ref-List'!$B:$D,2,)</f>
        <v>RC-DR10T(W)</v>
      </c>
      <c r="H1823" s="81" t="str">
        <f>_xlfn.XLOOKUP(表格1[[#This Row],[Model]],表格3[Model-Input-Ref2],表格3[Product Line])</f>
        <v>IH磁應電飯煲</v>
      </c>
      <c r="I1823" s="81" t="str">
        <f>_xlfn.XLOOKUP(表格1[[#This Row],[Model]],表格3[Model-Input-Ref2],表格3[大小電])</f>
        <v>細電</v>
      </c>
      <c r="J1823" s="81" t="str">
        <f>_xlfn.XLOOKUP(表格1[[#This Row],[Model]],表格3[Model-Input-Ref2],表格3[Code])</f>
        <v>SDA</v>
      </c>
      <c r="K1823" s="89" t="s">
        <v>1294</v>
      </c>
      <c r="L1823" s="86">
        <v>1</v>
      </c>
      <c r="M1823" s="87">
        <v>2175.5</v>
      </c>
      <c r="N1823" s="85">
        <f>IFERROR(表格1[[#This Row],[QTY]]*表格1[[#This Row],[Unit Price]],"-")</f>
        <v>2175.5</v>
      </c>
      <c r="O1823" s="86">
        <v>369274</v>
      </c>
      <c r="R1823" s="86" t="str">
        <f>_xlfn.CONCAT(表格1[[#This Row],[Model]]," ",表格1[[#This Row],[inv no]])</f>
        <v>RC-DR10T(W) 369274</v>
      </c>
      <c r="S1823" s="86">
        <f>_xlfn.XLOOKUP(表格1[[#This Row],[Model]],表格3[Model-Input-Ref2],表格3[SRP PRICE])</f>
        <v>3188</v>
      </c>
      <c r="T1823" s="43">
        <f>表格1[[#This Row],[Unit Price]]/表格1[[#This Row],[SRP]]</f>
        <v>0.68240276035131742</v>
      </c>
      <c r="U1823" s="86" t="str">
        <f>_xlfn.XLOOKUP(表格1[[#This Row],[Model]],表格3[Model-Input-Ref2],表格3[TOSHIBA/HIGHEST])</f>
        <v>Toshiba SRP</v>
      </c>
      <c r="V1823" s="86">
        <v>123</v>
      </c>
      <c r="W1823" s="86" t="str">
        <f>_xlfn.CONCAT(表格1[[#This Row],[欄4]],表格1[[#This Row],[inv no]])</f>
        <v>123369274</v>
      </c>
    </row>
    <row r="1824" spans="1:23" hidden="1">
      <c r="A1824" s="81">
        <v>1822</v>
      </c>
      <c r="B1824" s="81" t="s">
        <v>1260</v>
      </c>
      <c r="C1824" s="81" t="s">
        <v>2080</v>
      </c>
      <c r="D1824" s="82" t="str">
        <f ca="1">OFFSET(Roster!$A$3,MATCH(表格1[[#This Row],[Location]]&amp;" "&amp;表格1[[#This Row],[Shop]]&amp;"*",Roster!$A$4:$A$72,0),DAY(表格1[[#This Row],[date]]),1,1)</f>
        <v>Shan_2</v>
      </c>
      <c r="E1824" s="81">
        <f>MONTH(表格1[[#This Row],[date]])</f>
        <v>3</v>
      </c>
      <c r="F1824" s="90">
        <v>46112</v>
      </c>
      <c r="G1824" s="81" t="str">
        <f>VLOOKUP("*"&amp;表格1[[#This Row],[Input]]&amp;"*",'Ref-List'!$B:$D,2,)</f>
        <v>KT-15DRTHK(W)</v>
      </c>
      <c r="H1824" s="81" t="str">
        <f>_xlfn.XLOOKUP(表格1[[#This Row],[Model]],表格3[Model-Input-Ref2],表格3[Product Line])</f>
        <v>無線雙層電熱水壺-附可鎖壺蓋</v>
      </c>
      <c r="I1824" s="81" t="str">
        <f>_xlfn.XLOOKUP(表格1[[#This Row],[Model]],表格3[Model-Input-Ref2],表格3[大小電])</f>
        <v>細電</v>
      </c>
      <c r="J1824" s="81" t="str">
        <f>_xlfn.XLOOKUP(表格1[[#This Row],[Model]],表格3[Model-Input-Ref2],表格3[Code])</f>
        <v>SDA</v>
      </c>
      <c r="K1824" s="89" t="s">
        <v>1278</v>
      </c>
      <c r="L1824" s="86">
        <v>1</v>
      </c>
      <c r="M1824" s="87">
        <v>338</v>
      </c>
      <c r="N1824" s="85">
        <f>IFERROR(表格1[[#This Row],[QTY]]*表格1[[#This Row],[Unit Price]],"-")</f>
        <v>338</v>
      </c>
      <c r="O1824" s="86">
        <v>369299</v>
      </c>
      <c r="R1824" s="86" t="str">
        <f>_xlfn.CONCAT(表格1[[#This Row],[Model]]," ",表格1[[#This Row],[inv no]])</f>
        <v>KT-15DRTHK(W) 369299</v>
      </c>
      <c r="S1824" s="86">
        <f>_xlfn.XLOOKUP(表格1[[#This Row],[Model]],表格3[Model-Input-Ref2],表格3[SRP PRICE])</f>
        <v>598</v>
      </c>
      <c r="T1824" s="43">
        <f>表格1[[#This Row],[Unit Price]]/表格1[[#This Row],[SRP]]</f>
        <v>0.56521739130434778</v>
      </c>
      <c r="U1824" s="86" t="str">
        <f>_xlfn.XLOOKUP(表格1[[#This Row],[Model]],表格3[Model-Input-Ref2],表格3[TOSHIBA/HIGHEST])</f>
        <v>Toshiba SRP</v>
      </c>
      <c r="V1824" s="86">
        <v>123</v>
      </c>
      <c r="W1824" s="86" t="str">
        <f>_xlfn.CONCAT(表格1[[#This Row],[欄4]],表格1[[#This Row],[inv no]])</f>
        <v>123369299</v>
      </c>
    </row>
    <row r="1825" spans="1:23" hidden="1">
      <c r="A1825" s="81">
        <v>1823</v>
      </c>
      <c r="B1825" s="81" t="s">
        <v>1260</v>
      </c>
      <c r="C1825" s="81" t="s">
        <v>2080</v>
      </c>
      <c r="D1825" s="82" t="str">
        <f ca="1">OFFSET(Roster!$A$3,MATCH(表格1[[#This Row],[Location]]&amp;" "&amp;表格1[[#This Row],[Shop]]&amp;"*",Roster!$A$4:$A$72,0),DAY(表格1[[#This Row],[date]]),1,1)</f>
        <v>Shan_2</v>
      </c>
      <c r="E1825" s="81">
        <f>MONTH(表格1[[#This Row],[date]])</f>
        <v>3</v>
      </c>
      <c r="F1825" s="90">
        <v>46112</v>
      </c>
      <c r="G1825" s="81" t="str">
        <f>VLOOKUP("*"&amp;表格1[[#This Row],[Input]]&amp;"*",'Ref-List'!$B:$D,2,)</f>
        <v>KT-15DRTHK(W)</v>
      </c>
      <c r="H1825" s="81" t="str">
        <f>_xlfn.XLOOKUP(表格1[[#This Row],[Model]],表格3[Model-Input-Ref2],表格3[Product Line])</f>
        <v>無線雙層電熱水壺-附可鎖壺蓋</v>
      </c>
      <c r="I1825" s="81" t="str">
        <f>_xlfn.XLOOKUP(表格1[[#This Row],[Model]],表格3[Model-Input-Ref2],表格3[大小電])</f>
        <v>細電</v>
      </c>
      <c r="J1825" s="81" t="str">
        <f>_xlfn.XLOOKUP(表格1[[#This Row],[Model]],表格3[Model-Input-Ref2],表格3[Code])</f>
        <v>SDA</v>
      </c>
      <c r="K1825" s="89" t="s">
        <v>1278</v>
      </c>
      <c r="L1825" s="86">
        <v>1</v>
      </c>
      <c r="M1825" s="87">
        <v>338</v>
      </c>
      <c r="N1825" s="85">
        <f>IFERROR(表格1[[#This Row],[QTY]]*表格1[[#This Row],[Unit Price]],"-")</f>
        <v>338</v>
      </c>
      <c r="O1825" s="86">
        <v>369297</v>
      </c>
      <c r="R1825" s="86" t="str">
        <f>_xlfn.CONCAT(表格1[[#This Row],[Model]]," ",表格1[[#This Row],[inv no]])</f>
        <v>KT-15DRTHK(W) 369297</v>
      </c>
      <c r="S1825" s="86">
        <f>_xlfn.XLOOKUP(表格1[[#This Row],[Model]],表格3[Model-Input-Ref2],表格3[SRP PRICE])</f>
        <v>598</v>
      </c>
      <c r="T1825" s="43">
        <f>表格1[[#This Row],[Unit Price]]/表格1[[#This Row],[SRP]]</f>
        <v>0.56521739130434778</v>
      </c>
      <c r="U1825" s="86" t="str">
        <f>_xlfn.XLOOKUP(表格1[[#This Row],[Model]],表格3[Model-Input-Ref2],表格3[TOSHIBA/HIGHEST])</f>
        <v>Toshiba SRP</v>
      </c>
      <c r="V1825" s="86">
        <v>123</v>
      </c>
      <c r="W1825" s="86" t="str">
        <f>_xlfn.CONCAT(表格1[[#This Row],[欄4]],表格1[[#This Row],[inv no]])</f>
        <v>123369297</v>
      </c>
    </row>
    <row r="1826" spans="1:23" hidden="1">
      <c r="A1826" s="81">
        <v>1824</v>
      </c>
      <c r="B1826" s="81" t="s">
        <v>1260</v>
      </c>
      <c r="C1826" s="81" t="s">
        <v>2080</v>
      </c>
      <c r="D1826" s="82" t="str">
        <f ca="1">OFFSET(Roster!$A$3,MATCH(表格1[[#This Row],[Location]]&amp;" "&amp;表格1[[#This Row],[Shop]]&amp;"*",Roster!$A$4:$A$72,0),DAY(表格1[[#This Row],[date]]),1,1)</f>
        <v>Shan_2</v>
      </c>
      <c r="E1826" s="81">
        <f>MONTH(表格1[[#This Row],[date]])</f>
        <v>3</v>
      </c>
      <c r="F1826" s="90">
        <v>46112</v>
      </c>
      <c r="G1826" s="81" t="str">
        <f>VLOOKUP("*"&amp;表格1[[#This Row],[Input]]&amp;"*",'Ref-List'!$B:$D,2,)</f>
        <v>KT-17SHNH</v>
      </c>
      <c r="H1826" s="81" t="str">
        <f>_xlfn.XLOOKUP(表格1[[#This Row],[Model]],表格3[Model-Input-Ref2],表格3[Product Line])</f>
        <v>1.7L無線雙層電熱水壺</v>
      </c>
      <c r="I1826" s="81" t="str">
        <f>_xlfn.XLOOKUP(表格1[[#This Row],[Model]],表格3[Model-Input-Ref2],表格3[大小電])</f>
        <v>細電</v>
      </c>
      <c r="J1826" s="81" t="str">
        <f>_xlfn.XLOOKUP(表格1[[#This Row],[Model]],表格3[Model-Input-Ref2],表格3[Code])</f>
        <v>SDA</v>
      </c>
      <c r="K1826" s="89" t="s">
        <v>1283</v>
      </c>
      <c r="L1826" s="86">
        <v>1</v>
      </c>
      <c r="M1826" s="87">
        <v>198</v>
      </c>
      <c r="N1826" s="85">
        <f>IFERROR(表格1[[#This Row],[QTY]]*表格1[[#This Row],[Unit Price]],"-")</f>
        <v>198</v>
      </c>
      <c r="O1826" s="86">
        <v>369315</v>
      </c>
      <c r="R1826" s="86" t="str">
        <f>_xlfn.CONCAT(表格1[[#This Row],[Model]]," ",表格1[[#This Row],[inv no]])</f>
        <v>KT-17SHNH 369315</v>
      </c>
      <c r="S1826" s="86">
        <f>_xlfn.XLOOKUP(表格1[[#This Row],[Model]],表格3[Model-Input-Ref2],表格3[SRP PRICE])</f>
        <v>299</v>
      </c>
      <c r="T1826" s="43">
        <f>表格1[[#This Row],[Unit Price]]/表格1[[#This Row],[SRP]]</f>
        <v>0.66220735785953178</v>
      </c>
      <c r="U1826" s="86" t="str">
        <f>_xlfn.XLOOKUP(表格1[[#This Row],[Model]],表格3[Model-Input-Ref2],表格3[TOSHIBA/HIGHEST])</f>
        <v>Shops Highest Price</v>
      </c>
      <c r="V1826" s="86">
        <v>123</v>
      </c>
      <c r="W1826" s="86" t="str">
        <f>_xlfn.CONCAT(表格1[[#This Row],[欄4]],表格1[[#This Row],[inv no]])</f>
        <v>123369315</v>
      </c>
    </row>
    <row r="1827" spans="1:23" hidden="1">
      <c r="A1827" s="81">
        <v>1825</v>
      </c>
      <c r="B1827" s="81" t="s">
        <v>1260</v>
      </c>
      <c r="C1827" s="81" t="s">
        <v>2080</v>
      </c>
      <c r="D1827" s="82" t="str">
        <f ca="1">OFFSET(Roster!$A$3,MATCH(表格1[[#This Row],[Location]]&amp;" "&amp;表格1[[#This Row],[Shop]]&amp;"*",Roster!$A$4:$A$72,0),DAY(表格1[[#This Row],[date]]),1,1)</f>
        <v>Shan_2</v>
      </c>
      <c r="E1827" s="81">
        <f>MONTH(表格1[[#This Row],[date]])</f>
        <v>3</v>
      </c>
      <c r="F1827" s="90">
        <v>46112</v>
      </c>
      <c r="G1827" s="81" t="str">
        <f>VLOOKUP("*"&amp;表格1[[#This Row],[Input]]&amp;"*",'Ref-List'!$B:$D,2,)</f>
        <v>RC-10NMFIH(WT)</v>
      </c>
      <c r="H1827" s="81" t="str">
        <f>_xlfn.XLOOKUP(表格1[[#This Row],[Model]],表格3[Model-Input-Ref2],表格3[Product Line])</f>
        <v>4毫米厚釜電飯煲1L</v>
      </c>
      <c r="I1827" s="81" t="str">
        <f>_xlfn.XLOOKUP(表格1[[#This Row],[Model]],表格3[Model-Input-Ref2],表格3[大小電])</f>
        <v>細電</v>
      </c>
      <c r="J1827" s="81" t="str">
        <f>_xlfn.XLOOKUP(表格1[[#This Row],[Model]],表格3[Model-Input-Ref2],表格3[Code])</f>
        <v>SDA</v>
      </c>
      <c r="K1827" s="89" t="s">
        <v>1244</v>
      </c>
      <c r="L1827" s="86">
        <v>1</v>
      </c>
      <c r="M1827" s="87">
        <v>798</v>
      </c>
      <c r="N1827" s="85">
        <f>IFERROR(表格1[[#This Row],[QTY]]*表格1[[#This Row],[Unit Price]],"-")</f>
        <v>798</v>
      </c>
      <c r="O1827" s="86">
        <v>369326</v>
      </c>
      <c r="R1827" s="86" t="str">
        <f>_xlfn.CONCAT(表格1[[#This Row],[Model]]," ",表格1[[#This Row],[inv no]])</f>
        <v>RC-10NMFIH(WT) 369326</v>
      </c>
      <c r="S1827" s="86">
        <f>_xlfn.XLOOKUP(表格1[[#This Row],[Model]],表格3[Model-Input-Ref2],表格3[SRP PRICE])</f>
        <v>898</v>
      </c>
      <c r="T1827" s="43">
        <f>表格1[[#This Row],[Unit Price]]/表格1[[#This Row],[SRP]]</f>
        <v>0.88864142538975499</v>
      </c>
      <c r="U1827" s="86" t="str">
        <f>_xlfn.XLOOKUP(表格1[[#This Row],[Model]],表格3[Model-Input-Ref2],表格3[TOSHIBA/HIGHEST])</f>
        <v>Toshiba SRP</v>
      </c>
      <c r="V1827" s="86">
        <v>123</v>
      </c>
      <c r="W1827" s="86" t="str">
        <f>_xlfn.CONCAT(表格1[[#This Row],[欄4]],表格1[[#This Row],[inv no]])</f>
        <v>123369326</v>
      </c>
    </row>
    <row r="1828" spans="1:23" ht="16.5" hidden="1">
      <c r="A1828" s="81">
        <v>1826</v>
      </c>
      <c r="B1828" s="81" t="s">
        <v>1260</v>
      </c>
      <c r="C1828" s="81" t="s">
        <v>2080</v>
      </c>
      <c r="D1828" s="82" t="str">
        <f ca="1">OFFSET(Roster!$A$3,MATCH(表格1[[#This Row],[Location]]&amp;" "&amp;表格1[[#This Row],[Shop]]&amp;"*",Roster!$A$4:$A$72,0),DAY(表格1[[#This Row],[date]]),1,1)</f>
        <v>Shan_2</v>
      </c>
      <c r="E1828" s="81">
        <f>MONTH(表格1[[#This Row],[date]])</f>
        <v>3</v>
      </c>
      <c r="F1828" s="90">
        <v>46112</v>
      </c>
      <c r="G1828" s="81" t="str">
        <f>VLOOKUP("*"&amp;表格1[[#This Row],[Input]]&amp;"*",'Ref-List'!$B:$D,2,)</f>
        <v>RC-18AMXH(W)</v>
      </c>
      <c r="H1828" s="81" t="str">
        <f>_xlfn.XLOOKUP(表格1[[#This Row],[Model]],表格3[Model-Input-Ref2],表格3[Product Line])</f>
        <v>酵活炊電飯煲(1.8公升)</v>
      </c>
      <c r="I1828" s="81" t="str">
        <f>_xlfn.XLOOKUP(表格1[[#This Row],[Model]],表格3[Model-Input-Ref2],表格3[大小電])</f>
        <v>細電</v>
      </c>
      <c r="J1828" s="81" t="str">
        <f>_xlfn.XLOOKUP(表格1[[#This Row],[Model]],表格3[Model-Input-Ref2],表格3[Code])</f>
        <v>SDA</v>
      </c>
      <c r="K1828" s="89" t="s">
        <v>1362</v>
      </c>
      <c r="L1828" s="86">
        <v>1</v>
      </c>
      <c r="M1828" s="87">
        <v>990</v>
      </c>
      <c r="N1828" s="85">
        <f>IFERROR(表格1[[#This Row],[QTY]]*表格1[[#This Row],[Unit Price]],"-")</f>
        <v>990</v>
      </c>
      <c r="O1828" s="86">
        <v>369339</v>
      </c>
      <c r="P1828" s="141"/>
      <c r="R1828" s="86" t="str">
        <f>_xlfn.CONCAT(表格1[[#This Row],[Model]]," ",表格1[[#This Row],[inv no]])</f>
        <v>RC-18AMXH(W) 369339</v>
      </c>
      <c r="S1828" s="86">
        <f>_xlfn.XLOOKUP(表格1[[#This Row],[Model]],表格3[Model-Input-Ref2],表格3[SRP PRICE])</f>
        <v>1588</v>
      </c>
      <c r="T1828" s="43">
        <f>表格1[[#This Row],[Unit Price]]/表格1[[#This Row],[SRP]]</f>
        <v>0.62342569269521408</v>
      </c>
      <c r="U1828" s="86" t="str">
        <f>_xlfn.XLOOKUP(表格1[[#This Row],[Model]],表格3[Model-Input-Ref2],表格3[TOSHIBA/HIGHEST])</f>
        <v>Toshiba SRP</v>
      </c>
      <c r="V1828" s="86">
        <v>123</v>
      </c>
      <c r="W1828" s="86" t="str">
        <f>_xlfn.CONCAT(表格1[[#This Row],[欄4]],表格1[[#This Row],[inv no]])</f>
        <v>123369339</v>
      </c>
    </row>
    <row r="1829" spans="1:23" hidden="1">
      <c r="A1829" s="81">
        <v>1827</v>
      </c>
      <c r="B1829" s="81" t="s">
        <v>1260</v>
      </c>
      <c r="C1829" s="81" t="s">
        <v>2080</v>
      </c>
      <c r="D1829" s="82" t="str">
        <f ca="1">OFFSET(Roster!$A$3,MATCH(表格1[[#This Row],[Location]]&amp;" "&amp;表格1[[#This Row],[Shop]]&amp;"*",Roster!$A$4:$A$72,0),DAY(表格1[[#This Row],[date]]),1,1)</f>
        <v>Shan_2</v>
      </c>
      <c r="E1829" s="81">
        <f>MONTH(表格1[[#This Row],[date]])</f>
        <v>3</v>
      </c>
      <c r="F1829" s="90">
        <v>46112</v>
      </c>
      <c r="G1829" s="81" t="str">
        <f>VLOOKUP("*"&amp;表格1[[#This Row],[Input]]&amp;"*",'Ref-List'!$B:$D,2,)</f>
        <v>GR-RM352WI-PMA(53)</v>
      </c>
      <c r="H1829" s="81" t="str">
        <f>_xlfn.XLOOKUP(表格1[[#This Row],[Model]],表格3[Model-Input-Ref2],表格3[Product Line])</f>
        <v>變頻三門雪櫃 (233L)</v>
      </c>
      <c r="I1829" s="81" t="str">
        <f>_xlfn.XLOOKUP(表格1[[#This Row],[Model]],表格3[Model-Input-Ref2],表格3[大小電])</f>
        <v>大電</v>
      </c>
      <c r="J1829" s="81" t="str">
        <f>_xlfn.XLOOKUP(表格1[[#This Row],[Model]],表格3[Model-Input-Ref2],表格3[Code])</f>
        <v>REF</v>
      </c>
      <c r="K1829" s="89" t="s">
        <v>1495</v>
      </c>
      <c r="L1829" s="86">
        <v>1</v>
      </c>
      <c r="M1829" s="87">
        <v>3315.5</v>
      </c>
      <c r="N1829" s="85">
        <f>IFERROR(表格1[[#This Row],[QTY]]*表格1[[#This Row],[Unit Price]],"-")</f>
        <v>3315.5</v>
      </c>
      <c r="O1829" s="86">
        <v>273300</v>
      </c>
      <c r="R1829" s="86" t="str">
        <f>_xlfn.CONCAT(表格1[[#This Row],[Model]]," ",表格1[[#This Row],[inv no]])</f>
        <v>GR-RM352WI-PMA(53) 273300</v>
      </c>
      <c r="S1829" s="86">
        <f>_xlfn.XLOOKUP(表格1[[#This Row],[Model]],表格3[Model-Input-Ref2],表格3[SRP PRICE])</f>
        <v>5580</v>
      </c>
      <c r="T1829" s="43">
        <f>表格1[[#This Row],[Unit Price]]/表格1[[#This Row],[SRP]]</f>
        <v>0.59417562724014339</v>
      </c>
      <c r="U1829" s="86" t="str">
        <f>_xlfn.XLOOKUP(表格1[[#This Row],[Model]],表格3[Model-Input-Ref2],表格3[TOSHIBA/HIGHEST])</f>
        <v>Toshiba SRP</v>
      </c>
      <c r="V1829" s="86">
        <v>123</v>
      </c>
      <c r="W1829" s="86" t="str">
        <f>_xlfn.CONCAT(表格1[[#This Row],[欄4]],表格1[[#This Row],[inv no]])</f>
        <v>123273300</v>
      </c>
    </row>
    <row r="1830" spans="1:23" hidden="1">
      <c r="A1830" s="81">
        <v>1828</v>
      </c>
      <c r="B1830" s="81" t="s">
        <v>1260</v>
      </c>
      <c r="C1830" s="81" t="s">
        <v>2080</v>
      </c>
      <c r="D1830" s="82" t="str">
        <f ca="1">OFFSET(Roster!$A$3,MATCH(表格1[[#This Row],[Location]]&amp;" "&amp;表格1[[#This Row],[Shop]]&amp;"*",Roster!$A$4:$A$72,0),DAY(表格1[[#This Row],[date]]),1,1)</f>
        <v>Shan_2</v>
      </c>
      <c r="E1830" s="81">
        <f>MONTH(表格1[[#This Row],[date]])</f>
        <v>3</v>
      </c>
      <c r="F1830" s="90">
        <v>46112</v>
      </c>
      <c r="G1830" s="81" t="str">
        <f>VLOOKUP("*"&amp;表格1[[#This Row],[Input]]&amp;"*",'Ref-List'!$B:$D,2,)</f>
        <v>F-LYA20(W)HKG</v>
      </c>
      <c r="H1830" s="81" t="str">
        <f>_xlfn.XLOOKUP(表格1[[#This Row],[Model]],表格3[Model-Input-Ref2],表格3[Product Line])</f>
        <v>12吋2合1座地座檯電風扇連遙控</v>
      </c>
      <c r="I1830" s="81" t="str">
        <f>_xlfn.XLOOKUP(表格1[[#This Row],[Model]],表格3[Model-Input-Ref2],表格3[大小電])</f>
        <v>細電</v>
      </c>
      <c r="J1830" s="81" t="str">
        <f>_xlfn.XLOOKUP(表格1[[#This Row],[Model]],表格3[Model-Input-Ref2],表格3[Code])</f>
        <v>EAD</v>
      </c>
      <c r="K1830" s="89" t="s">
        <v>1391</v>
      </c>
      <c r="L1830" s="86">
        <v>1</v>
      </c>
      <c r="M1830" s="87">
        <v>399</v>
      </c>
      <c r="N1830" s="85">
        <f>IFERROR(表格1[[#This Row],[QTY]]*表格1[[#This Row],[Unit Price]],"-")</f>
        <v>399</v>
      </c>
      <c r="O1830" s="86">
        <v>369401</v>
      </c>
      <c r="R1830" s="86" t="str">
        <f>_xlfn.CONCAT(表格1[[#This Row],[Model]]," ",表格1[[#This Row],[inv no]])</f>
        <v>F-LYA20(W)HKG 369401</v>
      </c>
      <c r="S1830" s="86">
        <f>_xlfn.XLOOKUP(表格1[[#This Row],[Model]],表格3[Model-Input-Ref2],表格3[SRP PRICE])</f>
        <v>988</v>
      </c>
      <c r="T1830" s="43">
        <f>表格1[[#This Row],[Unit Price]]/表格1[[#This Row],[SRP]]</f>
        <v>0.40384615384615385</v>
      </c>
      <c r="U1830" s="86" t="str">
        <f>_xlfn.XLOOKUP(表格1[[#This Row],[Model]],表格3[Model-Input-Ref2],表格3[TOSHIBA/HIGHEST])</f>
        <v>Toshiba SRP</v>
      </c>
      <c r="V1830" s="86">
        <v>123</v>
      </c>
      <c r="W1830" s="86" t="str">
        <f>_xlfn.CONCAT(表格1[[#This Row],[欄4]],表格1[[#This Row],[inv no]])</f>
        <v>123369401</v>
      </c>
    </row>
    <row r="1831" spans="1:23" hidden="1">
      <c r="A1831" s="81">
        <v>1829</v>
      </c>
      <c r="B1831" s="81" t="s">
        <v>1260</v>
      </c>
      <c r="C1831" s="81" t="s">
        <v>2080</v>
      </c>
      <c r="D1831" s="82" t="str">
        <f ca="1">OFFSET(Roster!$A$3,MATCH(表格1[[#This Row],[Location]]&amp;" "&amp;表格1[[#This Row],[Shop]]&amp;"*",Roster!$A$4:$A$72,0),DAY(表格1[[#This Row],[date]]),1,1)</f>
        <v>Shan_2</v>
      </c>
      <c r="E1831" s="81">
        <f>MONTH(表格1[[#This Row],[date]])</f>
        <v>3</v>
      </c>
      <c r="F1831" s="90">
        <v>46112</v>
      </c>
      <c r="G1831" s="81" t="str">
        <f>VLOOKUP("*"&amp;表格1[[#This Row],[Input]]&amp;"*",'Ref-List'!$B:$D,2,)</f>
        <v>F-LYA20(W)HKG</v>
      </c>
      <c r="H1831" s="81" t="str">
        <f>_xlfn.XLOOKUP(表格1[[#This Row],[Model]],表格3[Model-Input-Ref2],表格3[Product Line])</f>
        <v>12吋2合1座地座檯電風扇連遙控</v>
      </c>
      <c r="I1831" s="81" t="str">
        <f>_xlfn.XLOOKUP(表格1[[#This Row],[Model]],表格3[Model-Input-Ref2],表格3[大小電])</f>
        <v>細電</v>
      </c>
      <c r="J1831" s="81" t="str">
        <f>_xlfn.XLOOKUP(表格1[[#This Row],[Model]],表格3[Model-Input-Ref2],表格3[Code])</f>
        <v>EAD</v>
      </c>
      <c r="K1831" s="89" t="s">
        <v>1391</v>
      </c>
      <c r="L1831" s="86">
        <v>1</v>
      </c>
      <c r="M1831" s="87">
        <v>399</v>
      </c>
      <c r="N1831" s="85">
        <f>IFERROR(表格1[[#This Row],[QTY]]*表格1[[#This Row],[Unit Price]],"-")</f>
        <v>399</v>
      </c>
      <c r="O1831" s="86">
        <v>369406</v>
      </c>
      <c r="R1831" s="86" t="str">
        <f>_xlfn.CONCAT(表格1[[#This Row],[Model]]," ",表格1[[#This Row],[inv no]])</f>
        <v>F-LYA20(W)HKG 369406</v>
      </c>
      <c r="S1831" s="86">
        <f>_xlfn.XLOOKUP(表格1[[#This Row],[Model]],表格3[Model-Input-Ref2],表格3[SRP PRICE])</f>
        <v>988</v>
      </c>
      <c r="T1831" s="43">
        <f>表格1[[#This Row],[Unit Price]]/表格1[[#This Row],[SRP]]</f>
        <v>0.40384615384615385</v>
      </c>
      <c r="U1831" s="86" t="str">
        <f>_xlfn.XLOOKUP(表格1[[#This Row],[Model]],表格3[Model-Input-Ref2],表格3[TOSHIBA/HIGHEST])</f>
        <v>Toshiba SRP</v>
      </c>
      <c r="V1831" s="86">
        <v>123</v>
      </c>
      <c r="W1831" s="86" t="str">
        <f>_xlfn.CONCAT(表格1[[#This Row],[欄4]],表格1[[#This Row],[inv no]])</f>
        <v>123369406</v>
      </c>
    </row>
    <row r="1832" spans="1:23" hidden="1">
      <c r="A1832" s="81">
        <v>1830</v>
      </c>
      <c r="B1832" s="81" t="s">
        <v>1260</v>
      </c>
      <c r="C1832" s="81" t="s">
        <v>2080</v>
      </c>
      <c r="D1832" s="82" t="str">
        <f ca="1">OFFSET(Roster!$A$3,MATCH(表格1[[#This Row],[Location]]&amp;" "&amp;表格1[[#This Row],[Shop]]&amp;"*",Roster!$A$4:$A$72,0),DAY(表格1[[#This Row],[date]]),1,1)</f>
        <v>Shan_2</v>
      </c>
      <c r="E1832" s="81">
        <f>MONTH(表格1[[#This Row],[date]])</f>
        <v>3</v>
      </c>
      <c r="F1832" s="90">
        <v>46112</v>
      </c>
      <c r="G1832" s="81" t="str">
        <f>VLOOKUP("*"&amp;表格1[[#This Row],[Input]]&amp;"*",'Ref-List'!$B:$D,2,)</f>
        <v>KT-17DRTHK(H)</v>
      </c>
      <c r="H1832" s="81" t="str">
        <f>_xlfn.XLOOKUP(表格1[[#This Row],[Model]],表格3[Model-Input-Ref2],表格3[Product Line])</f>
        <v>無線雙層電熱水壺(1.7公升)</v>
      </c>
      <c r="I1832" s="81" t="str">
        <f>_xlfn.XLOOKUP(表格1[[#This Row],[Model]],表格3[Model-Input-Ref2],表格3[大小電])</f>
        <v>細電</v>
      </c>
      <c r="J1832" s="81" t="str">
        <f>_xlfn.XLOOKUP(表格1[[#This Row],[Model]],表格3[Model-Input-Ref2],表格3[Code])</f>
        <v>SDA</v>
      </c>
      <c r="K1832" s="89" t="s">
        <v>1271</v>
      </c>
      <c r="L1832" s="86">
        <v>1</v>
      </c>
      <c r="M1832" s="87">
        <v>388</v>
      </c>
      <c r="N1832" s="85">
        <f>IFERROR(表格1[[#This Row],[QTY]]*表格1[[#This Row],[Unit Price]],"-")</f>
        <v>388</v>
      </c>
      <c r="O1832" s="86">
        <v>369407</v>
      </c>
      <c r="R1832" s="86" t="str">
        <f>_xlfn.CONCAT(表格1[[#This Row],[Model]]," ",表格1[[#This Row],[inv no]])</f>
        <v>KT-17DRTHK(H) 369407</v>
      </c>
      <c r="S1832" s="86">
        <f>_xlfn.XLOOKUP(表格1[[#This Row],[Model]],表格3[Model-Input-Ref2],表格3[SRP PRICE])</f>
        <v>498</v>
      </c>
      <c r="T1832" s="43">
        <f>表格1[[#This Row],[Unit Price]]/表格1[[#This Row],[SRP]]</f>
        <v>0.77911646586345384</v>
      </c>
      <c r="U1832" s="86" t="str">
        <f>_xlfn.XLOOKUP(表格1[[#This Row],[Model]],表格3[Model-Input-Ref2],表格3[TOSHIBA/HIGHEST])</f>
        <v>Toshiba SRP</v>
      </c>
      <c r="V1832" s="86">
        <v>123</v>
      </c>
      <c r="W1832" s="86" t="str">
        <f>_xlfn.CONCAT(表格1[[#This Row],[欄4]],表格1[[#This Row],[inv no]])</f>
        <v>123369407</v>
      </c>
    </row>
    <row r="1833" spans="1:23" hidden="1">
      <c r="A1833" s="81">
        <v>1831</v>
      </c>
      <c r="B1833" s="81" t="s">
        <v>1260</v>
      </c>
      <c r="C1833" s="81" t="s">
        <v>2080</v>
      </c>
      <c r="D1833" s="82" t="str">
        <f ca="1">OFFSET(Roster!$A$3,MATCH(表格1[[#This Row],[Location]]&amp;" "&amp;表格1[[#This Row],[Shop]]&amp;"*",Roster!$A$4:$A$72,0),DAY(表格1[[#This Row],[date]]),1,1)</f>
        <v>Shan_2</v>
      </c>
      <c r="E1833" s="81">
        <f>MONTH(表格1[[#This Row],[date]])</f>
        <v>3</v>
      </c>
      <c r="F1833" s="90">
        <v>46112</v>
      </c>
      <c r="G1833" s="81" t="str">
        <f>VLOOKUP("*"&amp;表格1[[#This Row],[Input]]&amp;"*",'Ref-List'!$B:$D,2,)</f>
        <v>F-LYA20(W)HKG</v>
      </c>
      <c r="H1833" s="81" t="str">
        <f>_xlfn.XLOOKUP(表格1[[#This Row],[Model]],表格3[Model-Input-Ref2],表格3[Product Line])</f>
        <v>12吋2合1座地座檯電風扇連遙控</v>
      </c>
      <c r="I1833" s="81" t="str">
        <f>_xlfn.XLOOKUP(表格1[[#This Row],[Model]],表格3[Model-Input-Ref2],表格3[大小電])</f>
        <v>細電</v>
      </c>
      <c r="J1833" s="81" t="str">
        <f>_xlfn.XLOOKUP(表格1[[#This Row],[Model]],表格3[Model-Input-Ref2],表格3[Code])</f>
        <v>EAD</v>
      </c>
      <c r="K1833" s="89" t="s">
        <v>1391</v>
      </c>
      <c r="L1833" s="86">
        <v>1</v>
      </c>
      <c r="M1833" s="87">
        <v>399</v>
      </c>
      <c r="N1833" s="85">
        <f>IFERROR(表格1[[#This Row],[QTY]]*表格1[[#This Row],[Unit Price]],"-")</f>
        <v>399</v>
      </c>
      <c r="O1833" s="86">
        <v>369410</v>
      </c>
      <c r="R1833" s="86" t="str">
        <f>_xlfn.CONCAT(表格1[[#This Row],[Model]]," ",表格1[[#This Row],[inv no]])</f>
        <v>F-LYA20(W)HKG 369410</v>
      </c>
      <c r="S1833" s="86">
        <f>_xlfn.XLOOKUP(表格1[[#This Row],[Model]],表格3[Model-Input-Ref2],表格3[SRP PRICE])</f>
        <v>988</v>
      </c>
      <c r="T1833" s="43">
        <f>表格1[[#This Row],[Unit Price]]/表格1[[#This Row],[SRP]]</f>
        <v>0.40384615384615385</v>
      </c>
      <c r="U1833" s="86" t="str">
        <f>_xlfn.XLOOKUP(表格1[[#This Row],[Model]],表格3[Model-Input-Ref2],表格3[TOSHIBA/HIGHEST])</f>
        <v>Toshiba SRP</v>
      </c>
      <c r="V1833" s="86">
        <v>123</v>
      </c>
      <c r="W1833" s="86" t="str">
        <f>_xlfn.CONCAT(表格1[[#This Row],[欄4]],表格1[[#This Row],[inv no]])</f>
        <v>123369410</v>
      </c>
    </row>
    <row r="1834" spans="1:23" hidden="1">
      <c r="A1834" s="81">
        <v>1832</v>
      </c>
      <c r="B1834" s="81" t="s">
        <v>1470</v>
      </c>
      <c r="C1834" s="81" t="s">
        <v>1766</v>
      </c>
      <c r="D1834" s="82" t="str">
        <f ca="1">OFFSET(Roster!$A$3,MATCH(表格1[[#This Row],[Location]]&amp;" "&amp;表格1[[#This Row],[Shop]]&amp;"*",Roster!$A$4:$A$72,0),DAY(表格1[[#This Row],[date]]),1,1)</f>
        <v>Leo off</v>
      </c>
      <c r="E1834" s="81">
        <f>MONTH(表格1[[#This Row],[date]])</f>
        <v>3</v>
      </c>
      <c r="F1834" s="90">
        <v>46082</v>
      </c>
      <c r="G1834" s="81" t="str">
        <f>VLOOKUP("*"&amp;表格1[[#This Row],[Input]]&amp;"*",'Ref-List'!$B:$D,2,)</f>
        <v>CFK01W75</v>
      </c>
      <c r="H1834" s="81" t="str">
        <f>_xlfn.XLOOKUP(表格1[[#This Row],[Model]],表格3[Model-Input-Ref2],表格3[Product Line])</f>
        <v>變頻頂揭式洗衣機 (7.5公斤)</v>
      </c>
      <c r="I1834" s="81" t="str">
        <f>_xlfn.XLOOKUP(表格1[[#This Row],[Model]],表格3[Model-Input-Ref2],表格3[大小電])</f>
        <v>大電</v>
      </c>
      <c r="J1834" s="81" t="str">
        <f>_xlfn.XLOOKUP(表格1[[#This Row],[Model]],表格3[Model-Input-Ref2],表格3[Code])</f>
        <v>LAD</v>
      </c>
      <c r="K1834" s="89" t="s">
        <v>1266</v>
      </c>
      <c r="L1834" s="86">
        <v>1</v>
      </c>
      <c r="M1834" s="87">
        <v>3298</v>
      </c>
      <c r="N1834" s="85">
        <f>IFERROR(表格1[[#This Row],[QTY]]*表格1[[#This Row],[Unit Price]],"-")</f>
        <v>3298</v>
      </c>
      <c r="O1834" s="86">
        <v>1110679</v>
      </c>
      <c r="R1834" s="86" t="str">
        <f>_xlfn.CONCAT(表格1[[#This Row],[Model]]," ",表格1[[#This Row],[inv no]])</f>
        <v>CFK01W75 1110679</v>
      </c>
      <c r="S1834" s="86">
        <f>_xlfn.XLOOKUP(表格1[[#This Row],[Model]],表格3[Model-Input-Ref2],表格3[SRP PRICE])</f>
        <v>3888</v>
      </c>
      <c r="T1834" s="43">
        <f>表格1[[#This Row],[Unit Price]]/表格1[[#This Row],[SRP]]</f>
        <v>0.84825102880658432</v>
      </c>
      <c r="U1834" s="86" t="str">
        <f>_xlfn.XLOOKUP(表格1[[#This Row],[Model]],表格3[Model-Input-Ref2],表格3[TOSHIBA/HIGHEST])</f>
        <v>Shops Highest Price</v>
      </c>
      <c r="V1834" s="86">
        <v>1110</v>
      </c>
      <c r="W1834" s="86" t="str">
        <f>_xlfn.CONCAT(表格1[[#This Row],[欄4]],表格1[[#This Row],[inv no]])</f>
        <v>11101110679</v>
      </c>
    </row>
    <row r="1835" spans="1:23" hidden="1">
      <c r="A1835" s="81">
        <v>1833</v>
      </c>
      <c r="B1835" s="81" t="s">
        <v>1470</v>
      </c>
      <c r="C1835" s="81" t="s">
        <v>1766</v>
      </c>
      <c r="D1835" s="82" t="str">
        <f ca="1">OFFSET(Roster!$A$3,MATCH(表格1[[#This Row],[Location]]&amp;" "&amp;表格1[[#This Row],[Shop]]&amp;"*",Roster!$A$4:$A$72,0),DAY(表格1[[#This Row],[date]]),1,1)</f>
        <v>Leo off</v>
      </c>
      <c r="E1835" s="81">
        <f>MONTH(表格1[[#This Row],[date]])</f>
        <v>3</v>
      </c>
      <c r="F1835" s="90">
        <v>46082</v>
      </c>
      <c r="G1835" s="81" t="str">
        <f>VLOOKUP("*"&amp;表格1[[#This Row],[Input]]&amp;"*",'Ref-List'!$B:$D,2,)</f>
        <v>KT-17DRTHK(H)</v>
      </c>
      <c r="H1835" s="81" t="str">
        <f>_xlfn.XLOOKUP(表格1[[#This Row],[Model]],表格3[Model-Input-Ref2],表格3[Product Line])</f>
        <v>無線雙層電熱水壺(1.7公升)</v>
      </c>
      <c r="I1835" s="81" t="str">
        <f>_xlfn.XLOOKUP(表格1[[#This Row],[Model]],表格3[Model-Input-Ref2],表格3[大小電])</f>
        <v>細電</v>
      </c>
      <c r="J1835" s="81" t="str">
        <f>_xlfn.XLOOKUP(表格1[[#This Row],[Model]],表格3[Model-Input-Ref2],表格3[Code])</f>
        <v>SDA</v>
      </c>
      <c r="K1835" s="89" t="s">
        <v>1271</v>
      </c>
      <c r="L1835" s="86">
        <v>1</v>
      </c>
      <c r="M1835" s="87">
        <v>358</v>
      </c>
      <c r="N1835" s="85">
        <f>IFERROR(表格1[[#This Row],[QTY]]*表格1[[#This Row],[Unit Price]],"-")</f>
        <v>358</v>
      </c>
      <c r="O1835" s="86">
        <v>1110658</v>
      </c>
      <c r="R1835" s="86" t="str">
        <f>_xlfn.CONCAT(表格1[[#This Row],[Model]]," ",表格1[[#This Row],[inv no]])</f>
        <v>KT-17DRTHK(H) 1110658</v>
      </c>
      <c r="S1835" s="86">
        <f>_xlfn.XLOOKUP(表格1[[#This Row],[Model]],表格3[Model-Input-Ref2],表格3[SRP PRICE])</f>
        <v>498</v>
      </c>
      <c r="T1835" s="43">
        <f>表格1[[#This Row],[Unit Price]]/表格1[[#This Row],[SRP]]</f>
        <v>0.71887550200803207</v>
      </c>
      <c r="U1835" s="86" t="str">
        <f>_xlfn.XLOOKUP(表格1[[#This Row],[Model]],表格3[Model-Input-Ref2],表格3[TOSHIBA/HIGHEST])</f>
        <v>Toshiba SRP</v>
      </c>
      <c r="V1835" s="86">
        <v>1110</v>
      </c>
      <c r="W1835" s="86" t="str">
        <f>_xlfn.CONCAT(表格1[[#This Row],[欄4]],表格1[[#This Row],[inv no]])</f>
        <v>11101110658</v>
      </c>
    </row>
    <row r="1836" spans="1:23" hidden="1">
      <c r="A1836" s="81">
        <v>1834</v>
      </c>
      <c r="B1836" s="81" t="s">
        <v>1470</v>
      </c>
      <c r="C1836" s="81" t="s">
        <v>1766</v>
      </c>
      <c r="D1836" s="82" t="str">
        <f ca="1">OFFSET(Roster!$A$3,MATCH(表格1[[#This Row],[Location]]&amp;" "&amp;表格1[[#This Row],[Shop]]&amp;"*",Roster!$A$4:$A$72,0),DAY(表格1[[#This Row],[date]]),1,1)</f>
        <v>Leo off</v>
      </c>
      <c r="E1836" s="81">
        <f>MONTH(表格1[[#This Row],[date]])</f>
        <v>3</v>
      </c>
      <c r="F1836" s="90">
        <v>46082</v>
      </c>
      <c r="G1836" s="81" t="str">
        <f>VLOOKUP("*"&amp;表格1[[#This Row],[Input]]&amp;"*",'Ref-List'!$B:$D,2,)</f>
        <v>RAD-D300H</v>
      </c>
      <c r="H1836" s="81" t="str">
        <f>_xlfn.XLOOKUP(表格1[[#This Row],[Model]],表格3[Model-Input-Ref2],表格3[Product Line])</f>
        <v>壓縮式抽濕機 (30公升)</v>
      </c>
      <c r="I1836" s="81" t="str">
        <f>_xlfn.XLOOKUP(表格1[[#This Row],[Model]],表格3[Model-Input-Ref2],表格3[大小電])</f>
        <v>細電</v>
      </c>
      <c r="J1836" s="81" t="str">
        <f>_xlfn.XLOOKUP(表格1[[#This Row],[Model]],表格3[Model-Input-Ref2],表格3[Code])</f>
        <v>RAC</v>
      </c>
      <c r="K1836" s="89" t="s">
        <v>1252</v>
      </c>
      <c r="L1836" s="86">
        <v>1</v>
      </c>
      <c r="M1836" s="87">
        <v>1980</v>
      </c>
      <c r="N1836" s="85">
        <f>IFERROR(表格1[[#This Row],[QTY]]*表格1[[#This Row],[Unit Price]],"-")</f>
        <v>1980</v>
      </c>
      <c r="O1836" s="86">
        <v>1110657</v>
      </c>
      <c r="R1836" s="86" t="str">
        <f>_xlfn.CONCAT(表格1[[#This Row],[Model]]," ",表格1[[#This Row],[inv no]])</f>
        <v>RAD-D300H 1110657</v>
      </c>
      <c r="S1836" s="86">
        <f>_xlfn.XLOOKUP(表格1[[#This Row],[Model]],表格3[Model-Input-Ref2],表格3[SRP PRICE])</f>
        <v>3380</v>
      </c>
      <c r="T1836" s="43">
        <f>表格1[[#This Row],[Unit Price]]/表格1[[#This Row],[SRP]]</f>
        <v>0.58579881656804733</v>
      </c>
      <c r="U1836" s="86" t="str">
        <f>_xlfn.XLOOKUP(表格1[[#This Row],[Model]],表格3[Model-Input-Ref2],表格3[TOSHIBA/HIGHEST])</f>
        <v>Shops Highest Price</v>
      </c>
      <c r="V1836" s="86">
        <v>1110</v>
      </c>
      <c r="W1836" s="86" t="str">
        <f>_xlfn.CONCAT(表格1[[#This Row],[欄4]],表格1[[#This Row],[inv no]])</f>
        <v>11101110657</v>
      </c>
    </row>
    <row r="1837" spans="1:23" hidden="1">
      <c r="A1837" s="81">
        <v>1835</v>
      </c>
      <c r="B1837" s="81" t="s">
        <v>1470</v>
      </c>
      <c r="C1837" s="81" t="s">
        <v>1766</v>
      </c>
      <c r="D1837" s="82" t="str">
        <f ca="1">OFFSET(Roster!$A$3,MATCH(表格1[[#This Row],[Location]]&amp;" "&amp;表格1[[#This Row],[Shop]]&amp;"*",Roster!$A$4:$A$72,0),DAY(表格1[[#This Row],[date]]),1,1)</f>
        <v>Leo off</v>
      </c>
      <c r="E1837" s="81">
        <f>MONTH(表格1[[#This Row],[date]])</f>
        <v>3</v>
      </c>
      <c r="F1837" s="90">
        <v>46082</v>
      </c>
      <c r="G1837" s="81" t="str">
        <f>VLOOKUP("*"&amp;表格1[[#This Row],[Input]]&amp;"*",'Ref-List'!$B:$D,2,)</f>
        <v>IC-S19RH</v>
      </c>
      <c r="H1837" s="81" t="str">
        <f>_xlfn.XLOOKUP(表格1[[#This Row],[Model]],表格3[Model-Input-Ref2],表格3[Product Line])</f>
        <v>輕便式電磁爐7個功能</v>
      </c>
      <c r="I1837" s="81" t="str">
        <f>_xlfn.XLOOKUP(表格1[[#This Row],[Model]],表格3[Model-Input-Ref2],表格3[大小電])</f>
        <v>細電</v>
      </c>
      <c r="J1837" s="81" t="str">
        <f>_xlfn.XLOOKUP(表格1[[#This Row],[Model]],表格3[Model-Input-Ref2],表格3[Code])</f>
        <v>SDA</v>
      </c>
      <c r="K1837" s="89" t="s">
        <v>1289</v>
      </c>
      <c r="L1837" s="86">
        <v>1</v>
      </c>
      <c r="M1837" s="87">
        <v>400</v>
      </c>
      <c r="N1837" s="85">
        <f>IFERROR(表格1[[#This Row],[QTY]]*表格1[[#This Row],[Unit Price]],"-")</f>
        <v>400</v>
      </c>
      <c r="O1837" s="86">
        <v>1110700</v>
      </c>
      <c r="R1837" s="86" t="str">
        <f>_xlfn.CONCAT(表格1[[#This Row],[Model]]," ",表格1[[#This Row],[inv no]])</f>
        <v>IC-S19RH 1110700</v>
      </c>
      <c r="S1837" s="86">
        <f>_xlfn.XLOOKUP(表格1[[#This Row],[Model]],表格3[Model-Input-Ref2],表格3[SRP PRICE])</f>
        <v>638</v>
      </c>
      <c r="T1837" s="43">
        <f>表格1[[#This Row],[Unit Price]]/表格1[[#This Row],[SRP]]</f>
        <v>0.62695924764890287</v>
      </c>
      <c r="U1837" s="86" t="str">
        <f>_xlfn.XLOOKUP(表格1[[#This Row],[Model]],表格3[Model-Input-Ref2],表格3[TOSHIBA/HIGHEST])</f>
        <v>Toshiba SRP</v>
      </c>
      <c r="V1837" s="86">
        <v>1110</v>
      </c>
      <c r="W1837" s="86" t="str">
        <f>_xlfn.CONCAT(表格1[[#This Row],[欄4]],表格1[[#This Row],[inv no]])</f>
        <v>11101110700</v>
      </c>
    </row>
    <row r="1838" spans="1:23" hidden="1">
      <c r="A1838" s="81">
        <v>1836</v>
      </c>
      <c r="B1838" s="81" t="s">
        <v>1470</v>
      </c>
      <c r="C1838" s="81" t="s">
        <v>1766</v>
      </c>
      <c r="D1838" s="82" t="str">
        <f ca="1">OFFSET(Roster!$A$3,MATCH(表格1[[#This Row],[Location]]&amp;" "&amp;表格1[[#This Row],[Shop]]&amp;"*",Roster!$A$4:$A$72,0),DAY(表格1[[#This Row],[date]]),1,1)</f>
        <v>Leo off</v>
      </c>
      <c r="E1838" s="81">
        <f>MONTH(表格1[[#This Row],[date]])</f>
        <v>3</v>
      </c>
      <c r="F1838" s="90">
        <v>46082</v>
      </c>
      <c r="G1838" s="81" t="str">
        <f>VLOOKUP("*"&amp;表格1[[#This Row],[Input]]&amp;"*",'Ref-List'!$B:$D,2,)</f>
        <v>RC-10NMFIH(WT)</v>
      </c>
      <c r="H1838" s="81" t="str">
        <f>_xlfn.XLOOKUP(表格1[[#This Row],[Model]],表格3[Model-Input-Ref2],表格3[Product Line])</f>
        <v>4毫米厚釜電飯煲1L</v>
      </c>
      <c r="I1838" s="81" t="str">
        <f>_xlfn.XLOOKUP(表格1[[#This Row],[Model]],表格3[Model-Input-Ref2],表格3[大小電])</f>
        <v>細電</v>
      </c>
      <c r="J1838" s="81" t="str">
        <f>_xlfn.XLOOKUP(表格1[[#This Row],[Model]],表格3[Model-Input-Ref2],表格3[Code])</f>
        <v>SDA</v>
      </c>
      <c r="K1838" s="89" t="s">
        <v>1244</v>
      </c>
      <c r="L1838" s="86">
        <v>1</v>
      </c>
      <c r="M1838" s="87">
        <v>708</v>
      </c>
      <c r="N1838" s="85">
        <f>IFERROR(表格1[[#This Row],[QTY]]*表格1[[#This Row],[Unit Price]],"-")</f>
        <v>708</v>
      </c>
      <c r="O1838" s="86">
        <v>1110699</v>
      </c>
      <c r="R1838" s="86" t="str">
        <f>_xlfn.CONCAT(表格1[[#This Row],[Model]]," ",表格1[[#This Row],[inv no]])</f>
        <v>RC-10NMFIH(WT) 1110699</v>
      </c>
      <c r="S1838" s="86">
        <f>_xlfn.XLOOKUP(表格1[[#This Row],[Model]],表格3[Model-Input-Ref2],表格3[SRP PRICE])</f>
        <v>898</v>
      </c>
      <c r="T1838" s="43">
        <f>表格1[[#This Row],[Unit Price]]/表格1[[#This Row],[SRP]]</f>
        <v>0.7884187082405345</v>
      </c>
      <c r="U1838" s="86" t="str">
        <f>_xlfn.XLOOKUP(表格1[[#This Row],[Model]],表格3[Model-Input-Ref2],表格3[TOSHIBA/HIGHEST])</f>
        <v>Toshiba SRP</v>
      </c>
      <c r="V1838" s="86">
        <v>1110</v>
      </c>
      <c r="W1838" s="86" t="str">
        <f>_xlfn.CONCAT(表格1[[#This Row],[欄4]],表格1[[#This Row],[inv no]])</f>
        <v>11101110699</v>
      </c>
    </row>
    <row r="1839" spans="1:23" hidden="1">
      <c r="A1839" s="81">
        <v>1837</v>
      </c>
      <c r="B1839" s="81" t="s">
        <v>1470</v>
      </c>
      <c r="C1839" s="81" t="s">
        <v>1766</v>
      </c>
      <c r="D1839" s="82" t="str">
        <f ca="1">OFFSET(Roster!$A$3,MATCH(表格1[[#This Row],[Location]]&amp;" "&amp;表格1[[#This Row],[Shop]]&amp;"*",Roster!$A$4:$A$72,0),DAY(表格1[[#This Row],[date]]),1,1)</f>
        <v>Leo off</v>
      </c>
      <c r="E1839" s="81">
        <f>MONTH(表格1[[#This Row],[date]])</f>
        <v>3</v>
      </c>
      <c r="F1839" s="90">
        <v>46082</v>
      </c>
      <c r="G1839" s="81" t="str">
        <f>VLOOKUP("*"&amp;表格1[[#This Row],[Input]]&amp;"*",'Ref-List'!$B:$D,2,)</f>
        <v>GR-RT300WE-PMA(57)</v>
      </c>
      <c r="H1839" s="81" t="str">
        <f>_xlfn.XLOOKUP(表格1[[#This Row],[Model]],表格3[Model-Input-Ref2],表格3[Product Line])</f>
        <v>變頻式環保雙門雪櫃(233L)</v>
      </c>
      <c r="I1839" s="81" t="str">
        <f>_xlfn.XLOOKUP(表格1[[#This Row],[Model]],表格3[Model-Input-Ref2],表格3[大小電])</f>
        <v>大電</v>
      </c>
      <c r="J1839" s="81" t="str">
        <f>_xlfn.XLOOKUP(表格1[[#This Row],[Model]],表格3[Model-Input-Ref2],表格3[Code])</f>
        <v>REF</v>
      </c>
      <c r="K1839" s="89" t="s">
        <v>1462</v>
      </c>
      <c r="L1839" s="86">
        <v>1</v>
      </c>
      <c r="M1839" s="87">
        <v>2680</v>
      </c>
      <c r="N1839" s="85">
        <f>IFERROR(表格1[[#This Row],[QTY]]*表格1[[#This Row],[Unit Price]],"-")</f>
        <v>2680</v>
      </c>
      <c r="O1839" s="86">
        <v>1110695</v>
      </c>
      <c r="R1839" s="86" t="str">
        <f>_xlfn.CONCAT(表格1[[#This Row],[Model]]," ",表格1[[#This Row],[inv no]])</f>
        <v>GR-RT300WE-PMA(57) 1110695</v>
      </c>
      <c r="S1839" s="86">
        <f>_xlfn.XLOOKUP(表格1[[#This Row],[Model]],表格3[Model-Input-Ref2],表格3[SRP PRICE])</f>
        <v>4280</v>
      </c>
      <c r="T1839" s="43">
        <f>表格1[[#This Row],[Unit Price]]/表格1[[#This Row],[SRP]]</f>
        <v>0.62616822429906538</v>
      </c>
      <c r="U1839" s="86" t="str">
        <f>_xlfn.XLOOKUP(表格1[[#This Row],[Model]],表格3[Model-Input-Ref2],表格3[TOSHIBA/HIGHEST])</f>
        <v>Toshiba SRP</v>
      </c>
      <c r="V1839" s="86">
        <v>1110</v>
      </c>
      <c r="W1839" s="86" t="str">
        <f>_xlfn.CONCAT(表格1[[#This Row],[欄4]],表格1[[#This Row],[inv no]])</f>
        <v>11101110695</v>
      </c>
    </row>
    <row r="1840" spans="1:23" hidden="1">
      <c r="A1840" s="81">
        <v>1838</v>
      </c>
      <c r="B1840" s="81" t="s">
        <v>1470</v>
      </c>
      <c r="C1840" s="81" t="s">
        <v>1766</v>
      </c>
      <c r="D1840" s="82" t="str">
        <f ca="1">OFFSET(Roster!$A$3,MATCH(表格1[[#This Row],[Location]]&amp;" "&amp;表格1[[#This Row],[Shop]]&amp;"*",Roster!$A$4:$A$72,0),DAY(表格1[[#This Row],[date]]),1,1)</f>
        <v>Leo off</v>
      </c>
      <c r="E1840" s="81">
        <f>MONTH(表格1[[#This Row],[date]])</f>
        <v>3</v>
      </c>
      <c r="F1840" s="90">
        <v>46082</v>
      </c>
      <c r="G1840" s="81" t="str">
        <f>VLOOKUP("*"&amp;表格1[[#This Row],[Input]]&amp;"*",'Ref-List'!$B:$D,2,)</f>
        <v>RAD-D300H</v>
      </c>
      <c r="H1840" s="81" t="str">
        <f>_xlfn.XLOOKUP(表格1[[#This Row],[Model]],表格3[Model-Input-Ref2],表格3[Product Line])</f>
        <v>壓縮式抽濕機 (30公升)</v>
      </c>
      <c r="I1840" s="81" t="str">
        <f>_xlfn.XLOOKUP(表格1[[#This Row],[Model]],表格3[Model-Input-Ref2],表格3[大小電])</f>
        <v>細電</v>
      </c>
      <c r="J1840" s="81" t="str">
        <f>_xlfn.XLOOKUP(表格1[[#This Row],[Model]],表格3[Model-Input-Ref2],表格3[Code])</f>
        <v>RAC</v>
      </c>
      <c r="K1840" s="89" t="s">
        <v>1252</v>
      </c>
      <c r="L1840" s="86">
        <v>1</v>
      </c>
      <c r="M1840" s="87">
        <v>1980</v>
      </c>
      <c r="N1840" s="85">
        <f>IFERROR(表格1[[#This Row],[QTY]]*表格1[[#This Row],[Unit Price]],"-")</f>
        <v>1980</v>
      </c>
      <c r="O1840" s="86">
        <v>1110690</v>
      </c>
      <c r="R1840" s="86" t="str">
        <f>_xlfn.CONCAT(表格1[[#This Row],[Model]]," ",表格1[[#This Row],[inv no]])</f>
        <v>RAD-D300H 1110690</v>
      </c>
      <c r="S1840" s="86">
        <f>_xlfn.XLOOKUP(表格1[[#This Row],[Model]],表格3[Model-Input-Ref2],表格3[SRP PRICE])</f>
        <v>3380</v>
      </c>
      <c r="T1840" s="43">
        <f>表格1[[#This Row],[Unit Price]]/表格1[[#This Row],[SRP]]</f>
        <v>0.58579881656804733</v>
      </c>
      <c r="U1840" s="86" t="str">
        <f>_xlfn.XLOOKUP(表格1[[#This Row],[Model]],表格3[Model-Input-Ref2],表格3[TOSHIBA/HIGHEST])</f>
        <v>Shops Highest Price</v>
      </c>
      <c r="V1840" s="86">
        <v>1110</v>
      </c>
      <c r="W1840" s="86" t="str">
        <f>_xlfn.CONCAT(表格1[[#This Row],[欄4]],表格1[[#This Row],[inv no]])</f>
        <v>11101110690</v>
      </c>
    </row>
    <row r="1841" spans="1:23" hidden="1">
      <c r="A1841" s="81">
        <v>1839</v>
      </c>
      <c r="B1841" s="81" t="s">
        <v>1470</v>
      </c>
      <c r="C1841" s="81" t="s">
        <v>1766</v>
      </c>
      <c r="D1841" s="82" t="str">
        <f ca="1">OFFSET(Roster!$A$3,MATCH(表格1[[#This Row],[Location]]&amp;" "&amp;表格1[[#This Row],[Shop]]&amp;"*",Roster!$A$4:$A$72,0),DAY(表格1[[#This Row],[date]]),1,1)</f>
        <v>Leo off</v>
      </c>
      <c r="E1841" s="81">
        <f>MONTH(表格1[[#This Row],[date]])</f>
        <v>3</v>
      </c>
      <c r="F1841" s="90">
        <v>46082</v>
      </c>
      <c r="G1841" s="81" t="str">
        <f>VLOOKUP("*"&amp;表格1[[#This Row],[Input]]&amp;"*",'Ref-List'!$B:$D,2,)</f>
        <v>GR-RB360WE-PMA(06)</v>
      </c>
      <c r="H1841" s="81" t="str">
        <f>_xlfn.XLOOKUP(表格1[[#This Row],[Model]],表格3[Model-Input-Ref2],表格3[Product Line])</f>
        <v>變頻下置式雙門雪櫃系列270L</v>
      </c>
      <c r="I1841" s="81" t="str">
        <f>_xlfn.XLOOKUP(表格1[[#This Row],[Model]],表格3[Model-Input-Ref2],表格3[大小電])</f>
        <v>大電</v>
      </c>
      <c r="J1841" s="81" t="str">
        <f>_xlfn.XLOOKUP(表格1[[#This Row],[Model]],表格3[Model-Input-Ref2],表格3[Code])</f>
        <v>REF</v>
      </c>
      <c r="K1841" s="89" t="s">
        <v>1282</v>
      </c>
      <c r="L1841" s="86">
        <v>1</v>
      </c>
      <c r="M1841" s="87">
        <v>3480</v>
      </c>
      <c r="N1841" s="85">
        <f>IFERROR(表格1[[#This Row],[QTY]]*表格1[[#This Row],[Unit Price]],"-")</f>
        <v>3480</v>
      </c>
      <c r="O1841" s="86">
        <v>1110665</v>
      </c>
      <c r="R1841" s="86" t="str">
        <f>_xlfn.CONCAT(表格1[[#This Row],[Model]]," ",表格1[[#This Row],[inv no]])</f>
        <v>GR-RB360WE-PMA(06) 1110665</v>
      </c>
      <c r="S1841" s="86">
        <f>_xlfn.XLOOKUP(表格1[[#This Row],[Model]],表格3[Model-Input-Ref2],表格3[SRP PRICE])</f>
        <v>5080</v>
      </c>
      <c r="T1841" s="43">
        <f>表格1[[#This Row],[Unit Price]]/表格1[[#This Row],[SRP]]</f>
        <v>0.68503937007874016</v>
      </c>
      <c r="U1841" s="86" t="str">
        <f>_xlfn.XLOOKUP(表格1[[#This Row],[Model]],表格3[Model-Input-Ref2],表格3[TOSHIBA/HIGHEST])</f>
        <v>Toshiba SRP</v>
      </c>
      <c r="V1841" s="86">
        <v>1110</v>
      </c>
      <c r="W1841" s="86" t="str">
        <f>_xlfn.CONCAT(表格1[[#This Row],[欄4]],表格1[[#This Row],[inv no]])</f>
        <v>11101110665</v>
      </c>
    </row>
    <row r="1842" spans="1:23" hidden="1">
      <c r="A1842" s="81">
        <v>1840</v>
      </c>
      <c r="B1842" s="81" t="s">
        <v>1470</v>
      </c>
      <c r="C1842" s="81" t="s">
        <v>1766</v>
      </c>
      <c r="D1842" s="82" t="str">
        <f ca="1">OFFSET(Roster!$A$3,MATCH(表格1[[#This Row],[Location]]&amp;" "&amp;表格1[[#This Row],[Shop]]&amp;"*",Roster!$A$4:$A$72,0),DAY(表格1[[#This Row],[date]]),1,1)</f>
        <v>Leo off</v>
      </c>
      <c r="E1842" s="81">
        <f>MONTH(表格1[[#This Row],[date]])</f>
        <v>3</v>
      </c>
      <c r="F1842" s="90">
        <v>46082</v>
      </c>
      <c r="G1842" s="81" t="str">
        <f>VLOOKUP("*"&amp;表格1[[#This Row],[Input]]&amp;"*",'Ref-List'!$B:$D,2,)</f>
        <v>RAD-Y200H</v>
      </c>
      <c r="H1842" s="81" t="str">
        <f>_xlfn.XLOOKUP(表格1[[#This Row],[Model]],表格3[Model-Input-Ref2],表格3[Product Line])</f>
        <v>21L壓縮式抽濕機</v>
      </c>
      <c r="I1842" s="81" t="str">
        <f>_xlfn.XLOOKUP(表格1[[#This Row],[Model]],表格3[Model-Input-Ref2],表格3[大小電])</f>
        <v>大電</v>
      </c>
      <c r="J1842" s="81" t="str">
        <f>_xlfn.XLOOKUP(表格1[[#This Row],[Model]],表格3[Model-Input-Ref2],表格3[Code])</f>
        <v>RAC</v>
      </c>
      <c r="K1842" s="89" t="s">
        <v>1241</v>
      </c>
      <c r="L1842" s="86">
        <v>1</v>
      </c>
      <c r="M1842" s="87">
        <v>1888</v>
      </c>
      <c r="N1842" s="85">
        <f>IFERROR(表格1[[#This Row],[QTY]]*表格1[[#This Row],[Unit Price]],"-")</f>
        <v>1888</v>
      </c>
      <c r="O1842" s="86">
        <v>1110713</v>
      </c>
      <c r="R1842" s="86" t="str">
        <f>_xlfn.CONCAT(表格1[[#This Row],[Model]]," ",表格1[[#This Row],[inv no]])</f>
        <v>RAD-Y200H 1110713</v>
      </c>
      <c r="S1842" s="86">
        <f>_xlfn.XLOOKUP(表格1[[#This Row],[Model]],表格3[Model-Input-Ref2],表格3[SRP PRICE])</f>
        <v>3280</v>
      </c>
      <c r="T1842" s="43">
        <f>表格1[[#This Row],[Unit Price]]/表格1[[#This Row],[SRP]]</f>
        <v>0.57560975609756093</v>
      </c>
      <c r="U1842" s="86" t="str">
        <f>_xlfn.XLOOKUP(表格1[[#This Row],[Model]],表格3[Model-Input-Ref2],表格3[TOSHIBA/HIGHEST])</f>
        <v>Toshiba SRP</v>
      </c>
      <c r="V1842" s="86">
        <v>1110</v>
      </c>
      <c r="W1842" s="86" t="str">
        <f>_xlfn.CONCAT(表格1[[#This Row],[欄4]],表格1[[#This Row],[inv no]])</f>
        <v>11101110713</v>
      </c>
    </row>
    <row r="1843" spans="1:23" hidden="1">
      <c r="A1843" s="81">
        <v>1841</v>
      </c>
      <c r="B1843" s="81" t="s">
        <v>1470</v>
      </c>
      <c r="C1843" s="81" t="s">
        <v>1766</v>
      </c>
      <c r="D1843" s="82" t="str">
        <f ca="1">OFFSET(Roster!$A$3,MATCH(表格1[[#This Row],[Location]]&amp;" "&amp;表格1[[#This Row],[Shop]]&amp;"*",Roster!$A$4:$A$72,0),DAY(表格1[[#This Row],[date]]),1,1)</f>
        <v>Leo off</v>
      </c>
      <c r="E1843" s="81">
        <f>MONTH(表格1[[#This Row],[date]])</f>
        <v>3</v>
      </c>
      <c r="F1843" s="90">
        <v>46082</v>
      </c>
      <c r="G1843" s="81" t="str">
        <f>VLOOKUP("*"&amp;表格1[[#This Row],[Input]]&amp;"*",'Ref-List'!$B:$D,2,)</f>
        <v>RAD-D300H</v>
      </c>
      <c r="H1843" s="81" t="str">
        <f>_xlfn.XLOOKUP(表格1[[#This Row],[Model]],表格3[Model-Input-Ref2],表格3[Product Line])</f>
        <v>壓縮式抽濕機 (30公升)</v>
      </c>
      <c r="I1843" s="81" t="str">
        <f>_xlfn.XLOOKUP(表格1[[#This Row],[Model]],表格3[Model-Input-Ref2],表格3[大小電])</f>
        <v>細電</v>
      </c>
      <c r="J1843" s="81" t="str">
        <f>_xlfn.XLOOKUP(表格1[[#This Row],[Model]],表格3[Model-Input-Ref2],表格3[Code])</f>
        <v>RAC</v>
      </c>
      <c r="K1843" s="89" t="s">
        <v>1252</v>
      </c>
      <c r="L1843" s="86">
        <v>1</v>
      </c>
      <c r="M1843" s="87">
        <v>2280</v>
      </c>
      <c r="N1843" s="85">
        <f>IFERROR(表格1[[#This Row],[QTY]]*表格1[[#This Row],[Unit Price]],"-")</f>
        <v>2280</v>
      </c>
      <c r="O1843" s="86">
        <v>1110660</v>
      </c>
      <c r="R1843" s="86" t="str">
        <f>_xlfn.CONCAT(表格1[[#This Row],[Model]]," ",表格1[[#This Row],[inv no]])</f>
        <v>RAD-D300H 1110660</v>
      </c>
      <c r="S1843" s="86">
        <f>_xlfn.XLOOKUP(表格1[[#This Row],[Model]],表格3[Model-Input-Ref2],表格3[SRP PRICE])</f>
        <v>3380</v>
      </c>
      <c r="T1843" s="43">
        <f>表格1[[#This Row],[Unit Price]]/表格1[[#This Row],[SRP]]</f>
        <v>0.67455621301775148</v>
      </c>
      <c r="U1843" s="86" t="str">
        <f>_xlfn.XLOOKUP(表格1[[#This Row],[Model]],表格3[Model-Input-Ref2],表格3[TOSHIBA/HIGHEST])</f>
        <v>Shops Highest Price</v>
      </c>
      <c r="V1843" s="86">
        <v>1110</v>
      </c>
      <c r="W1843" s="86" t="str">
        <f>_xlfn.CONCAT(表格1[[#This Row],[欄4]],表格1[[#This Row],[inv no]])</f>
        <v>11101110660</v>
      </c>
    </row>
    <row r="1844" spans="1:23" hidden="1">
      <c r="A1844" s="81">
        <v>1842</v>
      </c>
      <c r="B1844" s="81" t="s">
        <v>1470</v>
      </c>
      <c r="C1844" s="81" t="s">
        <v>1766</v>
      </c>
      <c r="D1844" s="82" t="str">
        <f ca="1">OFFSET(Roster!$A$3,MATCH(表格1[[#This Row],[Location]]&amp;" "&amp;表格1[[#This Row],[Shop]]&amp;"*",Roster!$A$4:$A$72,0),DAY(表格1[[#This Row],[date]]),1,1)</f>
        <v>Leo</v>
      </c>
      <c r="E1844" s="81">
        <f>MONTH(表格1[[#This Row],[date]])</f>
        <v>3</v>
      </c>
      <c r="F1844" s="90">
        <v>46083</v>
      </c>
      <c r="G1844" s="81" t="str">
        <f>VLOOKUP("*"&amp;表格1[[#This Row],[Input]]&amp;"*",'Ref-List'!$B:$D,2,)</f>
        <v>RAD-D300H</v>
      </c>
      <c r="H1844" s="81" t="str">
        <f>_xlfn.XLOOKUP(表格1[[#This Row],[Model]],表格3[Model-Input-Ref2],表格3[Product Line])</f>
        <v>壓縮式抽濕機 (30公升)</v>
      </c>
      <c r="I1844" s="81" t="str">
        <f>_xlfn.XLOOKUP(表格1[[#This Row],[Model]],表格3[Model-Input-Ref2],表格3[大小電])</f>
        <v>細電</v>
      </c>
      <c r="J1844" s="81" t="str">
        <f>_xlfn.XLOOKUP(表格1[[#This Row],[Model]],表格3[Model-Input-Ref2],表格3[Code])</f>
        <v>RAC</v>
      </c>
      <c r="K1844" s="89" t="s">
        <v>1252</v>
      </c>
      <c r="L1844" s="86">
        <v>1</v>
      </c>
      <c r="M1844" s="87">
        <v>1980</v>
      </c>
      <c r="N1844" s="85">
        <f>IFERROR(表格1[[#This Row],[QTY]]*表格1[[#This Row],[Unit Price]],"-")</f>
        <v>1980</v>
      </c>
      <c r="O1844" s="86">
        <v>1110725</v>
      </c>
      <c r="R1844" s="86" t="str">
        <f>_xlfn.CONCAT(表格1[[#This Row],[Model]]," ",表格1[[#This Row],[inv no]])</f>
        <v>RAD-D300H 1110725</v>
      </c>
      <c r="S1844" s="86">
        <f>_xlfn.XLOOKUP(表格1[[#This Row],[Model]],表格3[Model-Input-Ref2],表格3[SRP PRICE])</f>
        <v>3380</v>
      </c>
      <c r="T1844" s="43">
        <f>表格1[[#This Row],[Unit Price]]/表格1[[#This Row],[SRP]]</f>
        <v>0.58579881656804733</v>
      </c>
      <c r="U1844" s="86" t="str">
        <f>_xlfn.XLOOKUP(表格1[[#This Row],[Model]],表格3[Model-Input-Ref2],表格3[TOSHIBA/HIGHEST])</f>
        <v>Shops Highest Price</v>
      </c>
      <c r="V1844" s="86">
        <v>1110</v>
      </c>
      <c r="W1844" s="86" t="str">
        <f>_xlfn.CONCAT(表格1[[#This Row],[欄4]],表格1[[#This Row],[inv no]])</f>
        <v>11101110725</v>
      </c>
    </row>
    <row r="1845" spans="1:23" ht="16.5" hidden="1">
      <c r="A1845" s="81">
        <v>1843</v>
      </c>
      <c r="B1845" s="81" t="s">
        <v>1470</v>
      </c>
      <c r="C1845" s="81" t="s">
        <v>1766</v>
      </c>
      <c r="D1845" s="82" t="str">
        <f ca="1">OFFSET(Roster!$A$3,MATCH(表格1[[#This Row],[Location]]&amp;" "&amp;表格1[[#This Row],[Shop]]&amp;"*",Roster!$A$4:$A$72,0),DAY(表格1[[#This Row],[date]]),1,1)</f>
        <v>Leo</v>
      </c>
      <c r="E1845" s="81">
        <f>MONTH(表格1[[#This Row],[date]])</f>
        <v>3</v>
      </c>
      <c r="F1845" s="90">
        <v>46083</v>
      </c>
      <c r="G1845" s="81" t="str">
        <f>VLOOKUP("*"&amp;表格1[[#This Row],[Input]]&amp;"*",'Ref-List'!$B:$D,2,)</f>
        <v>RAD-D300H</v>
      </c>
      <c r="H1845" s="81" t="str">
        <f>_xlfn.XLOOKUP(表格1[[#This Row],[Model]],表格3[Model-Input-Ref2],表格3[Product Line])</f>
        <v>壓縮式抽濕機 (30公升)</v>
      </c>
      <c r="I1845" s="81" t="str">
        <f>_xlfn.XLOOKUP(表格1[[#This Row],[Model]],表格3[Model-Input-Ref2],表格3[大小電])</f>
        <v>細電</v>
      </c>
      <c r="J1845" s="81" t="str">
        <f>_xlfn.XLOOKUP(表格1[[#This Row],[Model]],表格3[Model-Input-Ref2],表格3[Code])</f>
        <v>RAC</v>
      </c>
      <c r="K1845" s="89" t="s">
        <v>1252</v>
      </c>
      <c r="L1845" s="86">
        <v>1</v>
      </c>
      <c r="M1845" s="87">
        <v>1980</v>
      </c>
      <c r="N1845" s="85">
        <f>IFERROR(表格1[[#This Row],[QTY]]*表格1[[#This Row],[Unit Price]],"-")</f>
        <v>1980</v>
      </c>
      <c r="O1845" s="86">
        <v>1110722</v>
      </c>
      <c r="P1845" s="141"/>
      <c r="R1845" s="86" t="str">
        <f>_xlfn.CONCAT(表格1[[#This Row],[Model]]," ",表格1[[#This Row],[inv no]])</f>
        <v>RAD-D300H 1110722</v>
      </c>
      <c r="S1845" s="86">
        <f>_xlfn.XLOOKUP(表格1[[#This Row],[Model]],表格3[Model-Input-Ref2],表格3[SRP PRICE])</f>
        <v>3380</v>
      </c>
      <c r="T1845" s="43">
        <f>表格1[[#This Row],[Unit Price]]/表格1[[#This Row],[SRP]]</f>
        <v>0.58579881656804733</v>
      </c>
      <c r="U1845" s="86" t="str">
        <f>_xlfn.XLOOKUP(表格1[[#This Row],[Model]],表格3[Model-Input-Ref2],表格3[TOSHIBA/HIGHEST])</f>
        <v>Shops Highest Price</v>
      </c>
      <c r="V1845" s="86">
        <v>1110</v>
      </c>
      <c r="W1845" s="86" t="str">
        <f>_xlfn.CONCAT(表格1[[#This Row],[欄4]],表格1[[#This Row],[inv no]])</f>
        <v>11101110722</v>
      </c>
    </row>
    <row r="1846" spans="1:23" hidden="1">
      <c r="A1846" s="81">
        <v>1844</v>
      </c>
      <c r="B1846" s="81" t="s">
        <v>1470</v>
      </c>
      <c r="C1846" s="81" t="s">
        <v>1766</v>
      </c>
      <c r="D1846" s="82" t="str">
        <f ca="1">OFFSET(Roster!$A$3,MATCH(表格1[[#This Row],[Location]]&amp;" "&amp;表格1[[#This Row],[Shop]]&amp;"*",Roster!$A$4:$A$72,0),DAY(表格1[[#This Row],[date]]),1,1)</f>
        <v>Leo</v>
      </c>
      <c r="E1846" s="81">
        <f>MONTH(表格1[[#This Row],[date]])</f>
        <v>3</v>
      </c>
      <c r="F1846" s="90">
        <v>46083</v>
      </c>
      <c r="G1846" s="81" t="str">
        <f>VLOOKUP("*"&amp;表格1[[#This Row],[Input]]&amp;"*",'Ref-List'!$B:$D,2,)</f>
        <v>MM2-EM20PC(WH)</v>
      </c>
      <c r="H1846" s="81" t="str">
        <f>_xlfn.XLOOKUP(表格1[[#This Row],[Model]],表格3[Model-Input-Ref2],表格3[Product Line])</f>
        <v>輕觸式微波爐 (20公升)</v>
      </c>
      <c r="I1846" s="81" t="str">
        <f>_xlfn.XLOOKUP(表格1[[#This Row],[Model]],表格3[Model-Input-Ref2],表格3[大小電])</f>
        <v>細電</v>
      </c>
      <c r="J1846" s="81" t="str">
        <f>_xlfn.XLOOKUP(表格1[[#This Row],[Model]],表格3[Model-Input-Ref2],表格3[Code])</f>
        <v>MCA</v>
      </c>
      <c r="K1846" s="89" t="s">
        <v>1276</v>
      </c>
      <c r="L1846" s="86">
        <v>1</v>
      </c>
      <c r="M1846" s="87">
        <v>568</v>
      </c>
      <c r="N1846" s="85">
        <f>IFERROR(表格1[[#This Row],[QTY]]*表格1[[#This Row],[Unit Price]],"-")</f>
        <v>568</v>
      </c>
      <c r="O1846" s="86">
        <v>1110734</v>
      </c>
      <c r="R1846" s="86" t="str">
        <f>_xlfn.CONCAT(表格1[[#This Row],[Model]]," ",表格1[[#This Row],[inv no]])</f>
        <v>MM2-EM20PC(WH) 1110734</v>
      </c>
      <c r="S1846" s="86">
        <f>_xlfn.XLOOKUP(表格1[[#This Row],[Model]],表格3[Model-Input-Ref2],表格3[SRP PRICE])</f>
        <v>788</v>
      </c>
      <c r="T1846" s="43">
        <f>表格1[[#This Row],[Unit Price]]/表格1[[#This Row],[SRP]]</f>
        <v>0.7208121827411168</v>
      </c>
      <c r="U1846" s="86" t="str">
        <f>_xlfn.XLOOKUP(表格1[[#This Row],[Model]],表格3[Model-Input-Ref2],表格3[TOSHIBA/HIGHEST])</f>
        <v>Toshiba SRP</v>
      </c>
      <c r="V1846" s="86">
        <v>1110</v>
      </c>
      <c r="W1846" s="86" t="str">
        <f>_xlfn.CONCAT(表格1[[#This Row],[欄4]],表格1[[#This Row],[inv no]])</f>
        <v>11101110734</v>
      </c>
    </row>
    <row r="1847" spans="1:23" hidden="1">
      <c r="A1847" s="81">
        <v>1845</v>
      </c>
      <c r="B1847" s="81" t="s">
        <v>1470</v>
      </c>
      <c r="C1847" s="81" t="s">
        <v>1766</v>
      </c>
      <c r="D1847" s="82" t="str">
        <f ca="1">OFFSET(Roster!$A$3,MATCH(表格1[[#This Row],[Location]]&amp;" "&amp;表格1[[#This Row],[Shop]]&amp;"*",Roster!$A$4:$A$72,0),DAY(表格1[[#This Row],[date]]),1,1)</f>
        <v>Leo</v>
      </c>
      <c r="E1847" s="81">
        <f>MONTH(表格1[[#This Row],[date]])</f>
        <v>3</v>
      </c>
      <c r="F1847" s="90">
        <v>46083</v>
      </c>
      <c r="G1847" s="81" t="str">
        <f>VLOOKUP("*"&amp;表格1[[#This Row],[Input]]&amp;"*",'Ref-List'!$B:$D,2,)</f>
        <v>RC-10NMFIH(WT)</v>
      </c>
      <c r="H1847" s="81" t="str">
        <f>_xlfn.XLOOKUP(表格1[[#This Row],[Model]],表格3[Model-Input-Ref2],表格3[Product Line])</f>
        <v>4毫米厚釜電飯煲1L</v>
      </c>
      <c r="I1847" s="81" t="str">
        <f>_xlfn.XLOOKUP(表格1[[#This Row],[Model]],表格3[Model-Input-Ref2],表格3[大小電])</f>
        <v>細電</v>
      </c>
      <c r="J1847" s="81" t="str">
        <f>_xlfn.XLOOKUP(表格1[[#This Row],[Model]],表格3[Model-Input-Ref2],表格3[Code])</f>
        <v>SDA</v>
      </c>
      <c r="K1847" s="89" t="s">
        <v>1244</v>
      </c>
      <c r="L1847" s="86">
        <v>1</v>
      </c>
      <c r="M1847" s="87">
        <v>708</v>
      </c>
      <c r="N1847" s="85">
        <f>IFERROR(表格1[[#This Row],[QTY]]*表格1[[#This Row],[Unit Price]],"-")</f>
        <v>708</v>
      </c>
      <c r="O1847" s="86">
        <v>1110754</v>
      </c>
      <c r="R1847" s="86" t="str">
        <f>_xlfn.CONCAT(表格1[[#This Row],[Model]]," ",表格1[[#This Row],[inv no]])</f>
        <v>RC-10NMFIH(WT) 1110754</v>
      </c>
      <c r="S1847" s="86">
        <f>_xlfn.XLOOKUP(表格1[[#This Row],[Model]],表格3[Model-Input-Ref2],表格3[SRP PRICE])</f>
        <v>898</v>
      </c>
      <c r="T1847" s="43">
        <f>表格1[[#This Row],[Unit Price]]/表格1[[#This Row],[SRP]]</f>
        <v>0.7884187082405345</v>
      </c>
      <c r="U1847" s="86" t="str">
        <f>_xlfn.XLOOKUP(表格1[[#This Row],[Model]],表格3[Model-Input-Ref2],表格3[TOSHIBA/HIGHEST])</f>
        <v>Toshiba SRP</v>
      </c>
      <c r="V1847" s="86">
        <v>1110</v>
      </c>
      <c r="W1847" s="86" t="str">
        <f>_xlfn.CONCAT(表格1[[#This Row],[欄4]],表格1[[#This Row],[inv no]])</f>
        <v>11101110754</v>
      </c>
    </row>
    <row r="1848" spans="1:23" hidden="1">
      <c r="A1848" s="81">
        <v>1846</v>
      </c>
      <c r="B1848" s="81" t="s">
        <v>1470</v>
      </c>
      <c r="C1848" s="81" t="s">
        <v>1766</v>
      </c>
      <c r="D1848" s="82" t="str">
        <f ca="1">OFFSET(Roster!$A$3,MATCH(表格1[[#This Row],[Location]]&amp;" "&amp;表格1[[#This Row],[Shop]]&amp;"*",Roster!$A$4:$A$72,0),DAY(表格1[[#This Row],[date]]),1,1)</f>
        <v>Leo</v>
      </c>
      <c r="E1848" s="81">
        <f>MONTH(表格1[[#This Row],[date]])</f>
        <v>3</v>
      </c>
      <c r="F1848" s="90">
        <v>46083</v>
      </c>
      <c r="G1848" s="81" t="str">
        <f>VLOOKUP("*"&amp;表格1[[#This Row],[Input]]&amp;"*",'Ref-List'!$B:$D,2,)</f>
        <v>RC-10AMXH(W)</v>
      </c>
      <c r="H1848" s="81" t="str">
        <f>_xlfn.XLOOKUP(表格1[[#This Row],[Model]],表格3[Model-Input-Ref2],表格3[Product Line])</f>
        <v>酵活炊電飯煲(1.0公升)</v>
      </c>
      <c r="I1848" s="81" t="str">
        <f>_xlfn.XLOOKUP(表格1[[#This Row],[Model]],表格3[Model-Input-Ref2],表格3[大小電])</f>
        <v>細電</v>
      </c>
      <c r="J1848" s="81" t="str">
        <f>_xlfn.XLOOKUP(表格1[[#This Row],[Model]],表格3[Model-Input-Ref2],表格3[Code])</f>
        <v>SDA</v>
      </c>
      <c r="K1848" s="89" t="s">
        <v>1279</v>
      </c>
      <c r="L1848" s="86">
        <v>1</v>
      </c>
      <c r="M1848" s="87">
        <v>880</v>
      </c>
      <c r="N1848" s="85">
        <f>IFERROR(表格1[[#This Row],[QTY]]*表格1[[#This Row],[Unit Price]],"-")</f>
        <v>880</v>
      </c>
      <c r="O1848" s="86">
        <v>1110751</v>
      </c>
      <c r="R1848" s="86" t="str">
        <f>_xlfn.CONCAT(表格1[[#This Row],[Model]]," ",表格1[[#This Row],[inv no]])</f>
        <v>RC-10AMXH(W) 1110751</v>
      </c>
      <c r="S1848" s="86">
        <f>_xlfn.XLOOKUP(表格1[[#This Row],[Model]],表格3[Model-Input-Ref2],表格3[SRP PRICE])</f>
        <v>1288</v>
      </c>
      <c r="T1848" s="43">
        <f>表格1[[#This Row],[Unit Price]]/表格1[[#This Row],[SRP]]</f>
        <v>0.68322981366459623</v>
      </c>
      <c r="U1848" s="86" t="str">
        <f>_xlfn.XLOOKUP(表格1[[#This Row],[Model]],表格3[Model-Input-Ref2],表格3[TOSHIBA/HIGHEST])</f>
        <v>Toshiba SRP</v>
      </c>
      <c r="V1848" s="86">
        <v>1110</v>
      </c>
      <c r="W1848" s="86" t="str">
        <f>_xlfn.CONCAT(表格1[[#This Row],[欄4]],表格1[[#This Row],[inv no]])</f>
        <v>11101110751</v>
      </c>
    </row>
    <row r="1849" spans="1:23" hidden="1">
      <c r="A1849" s="81">
        <v>1847</v>
      </c>
      <c r="B1849" s="81" t="s">
        <v>1470</v>
      </c>
      <c r="C1849" s="81" t="s">
        <v>1766</v>
      </c>
      <c r="D1849" s="82" t="str">
        <f ca="1">OFFSET(Roster!$A$3,MATCH(表格1[[#This Row],[Location]]&amp;" "&amp;表格1[[#This Row],[Shop]]&amp;"*",Roster!$A$4:$A$72,0),DAY(表格1[[#This Row],[date]]),1,1)</f>
        <v>Leo</v>
      </c>
      <c r="E1849" s="81">
        <f>MONTH(表格1[[#This Row],[date]])</f>
        <v>3</v>
      </c>
      <c r="F1849" s="90">
        <v>46083</v>
      </c>
      <c r="G1849" s="81" t="str">
        <f>VLOOKUP("*"&amp;表格1[[#This Row],[Input]]&amp;"*",'Ref-List'!$B:$D,2,)</f>
        <v>MM2-EM20PC(WH)</v>
      </c>
      <c r="H1849" s="81" t="str">
        <f>_xlfn.XLOOKUP(表格1[[#This Row],[Model]],表格3[Model-Input-Ref2],表格3[Product Line])</f>
        <v>輕觸式微波爐 (20公升)</v>
      </c>
      <c r="I1849" s="81" t="str">
        <f>_xlfn.XLOOKUP(表格1[[#This Row],[Model]],表格3[Model-Input-Ref2],表格3[大小電])</f>
        <v>細電</v>
      </c>
      <c r="J1849" s="81" t="str">
        <f>_xlfn.XLOOKUP(表格1[[#This Row],[Model]],表格3[Model-Input-Ref2],表格3[Code])</f>
        <v>MCA</v>
      </c>
      <c r="K1849" s="89" t="s">
        <v>1276</v>
      </c>
      <c r="L1849" s="86">
        <v>1</v>
      </c>
      <c r="M1849" s="87">
        <v>598</v>
      </c>
      <c r="N1849" s="85">
        <f>IFERROR(表格1[[#This Row],[QTY]]*表格1[[#This Row],[Unit Price]],"-")</f>
        <v>598</v>
      </c>
      <c r="O1849" s="86">
        <v>1110743</v>
      </c>
      <c r="R1849" s="86" t="str">
        <f>_xlfn.CONCAT(表格1[[#This Row],[Model]]," ",表格1[[#This Row],[inv no]])</f>
        <v>MM2-EM20PC(WH) 1110743</v>
      </c>
      <c r="S1849" s="86">
        <f>_xlfn.XLOOKUP(表格1[[#This Row],[Model]],表格3[Model-Input-Ref2],表格3[SRP PRICE])</f>
        <v>788</v>
      </c>
      <c r="T1849" s="43">
        <f>表格1[[#This Row],[Unit Price]]/表格1[[#This Row],[SRP]]</f>
        <v>0.75888324873096447</v>
      </c>
      <c r="U1849" s="86" t="str">
        <f>_xlfn.XLOOKUP(表格1[[#This Row],[Model]],表格3[Model-Input-Ref2],表格3[TOSHIBA/HIGHEST])</f>
        <v>Toshiba SRP</v>
      </c>
      <c r="V1849" s="86">
        <v>1110</v>
      </c>
      <c r="W1849" s="86" t="str">
        <f>_xlfn.CONCAT(表格1[[#This Row],[欄4]],表格1[[#This Row],[inv no]])</f>
        <v>11101110743</v>
      </c>
    </row>
    <row r="1850" spans="1:23" hidden="1">
      <c r="A1850" s="81">
        <v>1848</v>
      </c>
      <c r="B1850" s="81" t="s">
        <v>1470</v>
      </c>
      <c r="C1850" s="81" t="s">
        <v>1766</v>
      </c>
      <c r="D1850" s="82" t="str">
        <f ca="1">OFFSET(Roster!$A$3,MATCH(表格1[[#This Row],[Location]]&amp;" "&amp;表格1[[#This Row],[Shop]]&amp;"*",Roster!$A$4:$A$72,0),DAY(表格1[[#This Row],[date]]),1,1)</f>
        <v>Leo</v>
      </c>
      <c r="E1850" s="81">
        <f>MONTH(表格1[[#This Row],[date]])</f>
        <v>3</v>
      </c>
      <c r="F1850" s="90">
        <v>46084</v>
      </c>
      <c r="G1850" s="81" t="str">
        <f>VLOOKUP("*"&amp;表格1[[#This Row],[Input]]&amp;"*",'Ref-List'!$B:$D,2,)</f>
        <v>TW-T21BU80UWH(MG)</v>
      </c>
      <c r="H1850" s="81" t="str">
        <f>_xlfn.XLOOKUP(表格1[[#This Row],[Model]],表格3[Model-Input-Ref2],表格3[Product Line])</f>
        <v>400MM超薄身前置式變頻洗衣機(7公斤)</v>
      </c>
      <c r="I1850" s="81" t="str">
        <f>_xlfn.XLOOKUP(表格1[[#This Row],[Model]],表格3[Model-Input-Ref2],表格3[大小電])</f>
        <v>大電</v>
      </c>
      <c r="J1850" s="81" t="str">
        <f>_xlfn.XLOOKUP(表格1[[#This Row],[Model]],表格3[Model-Input-Ref2],表格3[Code])</f>
        <v>LAD</v>
      </c>
      <c r="K1850" s="89" t="s">
        <v>1280</v>
      </c>
      <c r="L1850" s="86">
        <v>1</v>
      </c>
      <c r="M1850" s="87">
        <v>2880</v>
      </c>
      <c r="N1850" s="85">
        <f>IFERROR(表格1[[#This Row],[QTY]]*表格1[[#This Row],[Unit Price]],"-")</f>
        <v>2880</v>
      </c>
      <c r="O1850" s="86">
        <v>1110766</v>
      </c>
      <c r="R1850" s="86" t="str">
        <f>_xlfn.CONCAT(表格1[[#This Row],[Model]]," ",表格1[[#This Row],[inv no]])</f>
        <v>TW-T21BU80UWH(MG) 1110766</v>
      </c>
      <c r="S1850" s="86">
        <f>_xlfn.XLOOKUP(表格1[[#This Row],[Model]],表格3[Model-Input-Ref2],表格3[SRP PRICE])</f>
        <v>5180</v>
      </c>
      <c r="T1850" s="43">
        <f>表格1[[#This Row],[Unit Price]]/表格1[[#This Row],[SRP]]</f>
        <v>0.55598455598455598</v>
      </c>
      <c r="U1850" s="86" t="str">
        <f>_xlfn.XLOOKUP(表格1[[#This Row],[Model]],表格3[Model-Input-Ref2],表格3[TOSHIBA/HIGHEST])</f>
        <v>Toshiba SRP</v>
      </c>
      <c r="V1850" s="86">
        <v>1110</v>
      </c>
      <c r="W1850" s="86" t="str">
        <f>_xlfn.CONCAT(表格1[[#This Row],[欄4]],表格1[[#This Row],[inv no]])</f>
        <v>11101110766</v>
      </c>
    </row>
    <row r="1851" spans="1:23" ht="16.5" hidden="1">
      <c r="A1851" s="81">
        <v>1849</v>
      </c>
      <c r="B1851" s="81" t="s">
        <v>1470</v>
      </c>
      <c r="C1851" s="81" t="s">
        <v>1766</v>
      </c>
      <c r="D1851" s="82" t="str">
        <f ca="1">OFFSET(Roster!$A$3,MATCH(表格1[[#This Row],[Location]]&amp;" "&amp;表格1[[#This Row],[Shop]]&amp;"*",Roster!$A$4:$A$72,0),DAY(表格1[[#This Row],[date]]),1,1)</f>
        <v>Leo</v>
      </c>
      <c r="E1851" s="81">
        <f>MONTH(表格1[[#This Row],[date]])</f>
        <v>3</v>
      </c>
      <c r="F1851" s="90">
        <v>46084</v>
      </c>
      <c r="G1851" s="81" t="str">
        <f>VLOOKUP("*"&amp;表格1[[#This Row],[Input]]&amp;"*",'Ref-List'!$B:$D,2,)</f>
        <v>KT-08DH1VHK(W)</v>
      </c>
      <c r="H1851" s="81" t="str">
        <f>_xlfn.XLOOKUP(表格1[[#This Row],[Model]],表格3[Model-Input-Ref2],表格3[Product Line])</f>
        <v>無線雙層電熱水壺-附可鎖壺蓋(0.8公升)</v>
      </c>
      <c r="I1851" s="81" t="str">
        <f>_xlfn.XLOOKUP(表格1[[#This Row],[Model]],表格3[Model-Input-Ref2],表格3[大小電])</f>
        <v>細電</v>
      </c>
      <c r="J1851" s="81" t="str">
        <f>_xlfn.XLOOKUP(表格1[[#This Row],[Model]],表格3[Model-Input-Ref2],表格3[Code])</f>
        <v>SDA</v>
      </c>
      <c r="K1851" s="89" t="s">
        <v>1268</v>
      </c>
      <c r="L1851" s="86">
        <v>1</v>
      </c>
      <c r="M1851" s="87">
        <v>268</v>
      </c>
      <c r="N1851" s="85">
        <f>IFERROR(表格1[[#This Row],[QTY]]*表格1[[#This Row],[Unit Price]],"-")</f>
        <v>268</v>
      </c>
      <c r="O1851" s="86">
        <v>1110763</v>
      </c>
      <c r="P1851" s="141"/>
      <c r="R1851" s="86" t="str">
        <f>_xlfn.CONCAT(表格1[[#This Row],[Model]]," ",表格1[[#This Row],[inv no]])</f>
        <v>KT-08DH1VHK(W) 1110763</v>
      </c>
      <c r="S1851" s="86">
        <f>_xlfn.XLOOKUP(表格1[[#This Row],[Model]],表格3[Model-Input-Ref2],表格3[SRP PRICE])</f>
        <v>428</v>
      </c>
      <c r="T1851" s="43">
        <f>表格1[[#This Row],[Unit Price]]/表格1[[#This Row],[SRP]]</f>
        <v>0.62616822429906538</v>
      </c>
      <c r="U1851" s="86" t="str">
        <f>_xlfn.XLOOKUP(表格1[[#This Row],[Model]],表格3[Model-Input-Ref2],表格3[TOSHIBA/HIGHEST])</f>
        <v>Toshiba SRP</v>
      </c>
      <c r="V1851" s="86">
        <v>1110</v>
      </c>
      <c r="W1851" s="86" t="str">
        <f>_xlfn.CONCAT(表格1[[#This Row],[欄4]],表格1[[#This Row],[inv no]])</f>
        <v>11101110763</v>
      </c>
    </row>
    <row r="1852" spans="1:23" hidden="1">
      <c r="A1852" s="81">
        <v>1850</v>
      </c>
      <c r="B1852" s="81" t="s">
        <v>1470</v>
      </c>
      <c r="C1852" s="81" t="s">
        <v>1766</v>
      </c>
      <c r="D1852" s="82" t="str">
        <f ca="1">OFFSET(Roster!$A$3,MATCH(表格1[[#This Row],[Location]]&amp;" "&amp;表格1[[#This Row],[Shop]]&amp;"*",Roster!$A$4:$A$72,0),DAY(表格1[[#This Row],[date]]),1,1)</f>
        <v>Leo off</v>
      </c>
      <c r="E1852" s="81">
        <f>MONTH(表格1[[#This Row],[date]])</f>
        <v>3</v>
      </c>
      <c r="F1852" s="90">
        <v>46085</v>
      </c>
      <c r="G1852" s="81" t="str">
        <f>VLOOKUP("*"&amp;表格1[[#This Row],[Input]]&amp;"*",'Ref-List'!$B:$D,2,)</f>
        <v>RAD-D300H</v>
      </c>
      <c r="H1852" s="81" t="str">
        <f>_xlfn.XLOOKUP(表格1[[#This Row],[Model]],表格3[Model-Input-Ref2],表格3[Product Line])</f>
        <v>壓縮式抽濕機 (30公升)</v>
      </c>
      <c r="I1852" s="81" t="str">
        <f>_xlfn.XLOOKUP(表格1[[#This Row],[Model]],表格3[Model-Input-Ref2],表格3[大小電])</f>
        <v>細電</v>
      </c>
      <c r="J1852" s="81" t="str">
        <f>_xlfn.XLOOKUP(表格1[[#This Row],[Model]],表格3[Model-Input-Ref2],表格3[Code])</f>
        <v>RAC</v>
      </c>
      <c r="K1852" s="89" t="s">
        <v>1252</v>
      </c>
      <c r="L1852" s="86">
        <v>1</v>
      </c>
      <c r="M1852" s="87">
        <v>2032</v>
      </c>
      <c r="N1852" s="85">
        <f>IFERROR(表格1[[#This Row],[QTY]]*表格1[[#This Row],[Unit Price]],"-")</f>
        <v>2032</v>
      </c>
      <c r="O1852" s="86">
        <v>1110788</v>
      </c>
      <c r="R1852" s="86" t="str">
        <f>_xlfn.CONCAT(表格1[[#This Row],[Model]]," ",表格1[[#This Row],[inv no]])</f>
        <v>RAD-D300H 1110788</v>
      </c>
      <c r="S1852" s="86">
        <f>_xlfn.XLOOKUP(表格1[[#This Row],[Model]],表格3[Model-Input-Ref2],表格3[SRP PRICE])</f>
        <v>3380</v>
      </c>
      <c r="T1852" s="43">
        <f>表格1[[#This Row],[Unit Price]]/表格1[[#This Row],[SRP]]</f>
        <v>0.60118343195266277</v>
      </c>
      <c r="U1852" s="86" t="str">
        <f>_xlfn.XLOOKUP(表格1[[#This Row],[Model]],表格3[Model-Input-Ref2],表格3[TOSHIBA/HIGHEST])</f>
        <v>Shops Highest Price</v>
      </c>
      <c r="V1852" s="86">
        <v>1110</v>
      </c>
      <c r="W1852" s="86" t="str">
        <f>_xlfn.CONCAT(表格1[[#This Row],[欄4]],表格1[[#This Row],[inv no]])</f>
        <v>11101110788</v>
      </c>
    </row>
    <row r="1853" spans="1:23" hidden="1">
      <c r="A1853" s="81">
        <v>1851</v>
      </c>
      <c r="B1853" s="81" t="s">
        <v>1470</v>
      </c>
      <c r="C1853" s="81" t="s">
        <v>1766</v>
      </c>
      <c r="D1853" s="82" t="str">
        <f ca="1">OFFSET(Roster!$A$3,MATCH(表格1[[#This Row],[Location]]&amp;" "&amp;表格1[[#This Row],[Shop]]&amp;"*",Roster!$A$4:$A$72,0),DAY(表格1[[#This Row],[date]]),1,1)</f>
        <v>Leo off</v>
      </c>
      <c r="E1853" s="81">
        <f>MONTH(表格1[[#This Row],[date]])</f>
        <v>3</v>
      </c>
      <c r="F1853" s="90">
        <v>46085</v>
      </c>
      <c r="G1853" s="81" t="str">
        <f>VLOOKUP("*"&amp;表格1[[#This Row],[Input]]&amp;"*",'Ref-List'!$B:$D,2,)</f>
        <v>RAD-D300H</v>
      </c>
      <c r="H1853" s="81" t="str">
        <f>_xlfn.XLOOKUP(表格1[[#This Row],[Model]],表格3[Model-Input-Ref2],表格3[Product Line])</f>
        <v>壓縮式抽濕機 (30公升)</v>
      </c>
      <c r="I1853" s="81" t="str">
        <f>_xlfn.XLOOKUP(表格1[[#This Row],[Model]],表格3[Model-Input-Ref2],表格3[大小電])</f>
        <v>細電</v>
      </c>
      <c r="J1853" s="81" t="str">
        <f>_xlfn.XLOOKUP(表格1[[#This Row],[Model]],表格3[Model-Input-Ref2],表格3[Code])</f>
        <v>RAC</v>
      </c>
      <c r="K1853" s="89" t="s">
        <v>1252</v>
      </c>
      <c r="L1853" s="86">
        <v>1</v>
      </c>
      <c r="M1853" s="87">
        <v>1980</v>
      </c>
      <c r="N1853" s="85">
        <f>IFERROR(表格1[[#This Row],[QTY]]*表格1[[#This Row],[Unit Price]],"-")</f>
        <v>1980</v>
      </c>
      <c r="O1853" s="86">
        <v>1110824</v>
      </c>
      <c r="R1853" s="86" t="str">
        <f>_xlfn.CONCAT(表格1[[#This Row],[Model]]," ",表格1[[#This Row],[inv no]])</f>
        <v>RAD-D300H 1110824</v>
      </c>
      <c r="S1853" s="86">
        <f>_xlfn.XLOOKUP(表格1[[#This Row],[Model]],表格3[Model-Input-Ref2],表格3[SRP PRICE])</f>
        <v>3380</v>
      </c>
      <c r="T1853" s="43">
        <f>表格1[[#This Row],[Unit Price]]/表格1[[#This Row],[SRP]]</f>
        <v>0.58579881656804733</v>
      </c>
      <c r="U1853" s="86" t="str">
        <f>_xlfn.XLOOKUP(表格1[[#This Row],[Model]],表格3[Model-Input-Ref2],表格3[TOSHIBA/HIGHEST])</f>
        <v>Shops Highest Price</v>
      </c>
      <c r="V1853" s="86">
        <v>1110</v>
      </c>
      <c r="W1853" s="86" t="str">
        <f>_xlfn.CONCAT(表格1[[#This Row],[欄4]],表格1[[#This Row],[inv no]])</f>
        <v>11101110824</v>
      </c>
    </row>
    <row r="1854" spans="1:23" hidden="1">
      <c r="A1854" s="81">
        <v>1852</v>
      </c>
      <c r="B1854" s="81" t="s">
        <v>1470</v>
      </c>
      <c r="C1854" s="81" t="s">
        <v>1766</v>
      </c>
      <c r="D1854" s="82" t="str">
        <f ca="1">OFFSET(Roster!$A$3,MATCH(表格1[[#This Row],[Location]]&amp;" "&amp;表格1[[#This Row],[Shop]]&amp;"*",Roster!$A$4:$A$72,0),DAY(表格1[[#This Row],[date]]),1,1)</f>
        <v>Leo</v>
      </c>
      <c r="E1854" s="81">
        <f>MONTH(表格1[[#This Row],[date]])</f>
        <v>3</v>
      </c>
      <c r="F1854" s="90">
        <v>46086</v>
      </c>
      <c r="G1854" s="81" t="str">
        <f>VLOOKUP("*"&amp;表格1[[#This Row],[Input]]&amp;"*",'Ref-List'!$B:$D,2,)</f>
        <v>MV2-EG26PEI(BK)</v>
      </c>
      <c r="H1854" s="81" t="str">
        <f>_xlfn.XLOOKUP(表格1[[#This Row],[Model]],表格3[Model-Input-Ref2],表格3[Product Line])</f>
        <v>輕觸式平板燒烤微波爐 (26公升)</v>
      </c>
      <c r="I1854" s="81" t="str">
        <f>_xlfn.XLOOKUP(表格1[[#This Row],[Model]],表格3[Model-Input-Ref2],表格3[大小電])</f>
        <v>細電</v>
      </c>
      <c r="J1854" s="81" t="str">
        <f>_xlfn.XLOOKUP(表格1[[#This Row],[Model]],表格3[Model-Input-Ref2],表格3[Code])</f>
        <v>MCA</v>
      </c>
      <c r="K1854" s="89" t="s">
        <v>1394</v>
      </c>
      <c r="L1854" s="86">
        <v>1</v>
      </c>
      <c r="M1854" s="87">
        <v>930</v>
      </c>
      <c r="N1854" s="85">
        <f>IFERROR(表格1[[#This Row],[QTY]]*表格1[[#This Row],[Unit Price]],"-")</f>
        <v>930</v>
      </c>
      <c r="O1854" s="86">
        <v>1110867</v>
      </c>
      <c r="R1854" s="86" t="str">
        <f>_xlfn.CONCAT(表格1[[#This Row],[Model]]," ",表格1[[#This Row],[inv no]])</f>
        <v>MV2-EG26PEI(BK) 1110867</v>
      </c>
      <c r="S1854" s="86">
        <f>_xlfn.XLOOKUP(表格1[[#This Row],[Model]],表格3[Model-Input-Ref2],表格3[SRP PRICE])</f>
        <v>1180</v>
      </c>
      <c r="T1854" s="43">
        <f>表格1[[#This Row],[Unit Price]]/表格1[[#This Row],[SRP]]</f>
        <v>0.78813559322033899</v>
      </c>
      <c r="U1854" s="86" t="str">
        <f>_xlfn.XLOOKUP(表格1[[#This Row],[Model]],表格3[Model-Input-Ref2],表格3[TOSHIBA/HIGHEST])</f>
        <v>Toshiba SRP</v>
      </c>
      <c r="V1854" s="86">
        <v>1110</v>
      </c>
      <c r="W1854" s="86" t="str">
        <f>_xlfn.CONCAT(表格1[[#This Row],[欄4]],表格1[[#This Row],[inv no]])</f>
        <v>11101110867</v>
      </c>
    </row>
    <row r="1855" spans="1:23" hidden="1">
      <c r="A1855" s="81">
        <v>1853</v>
      </c>
      <c r="B1855" s="81" t="s">
        <v>1470</v>
      </c>
      <c r="C1855" s="81" t="s">
        <v>1766</v>
      </c>
      <c r="D1855" s="82" t="str">
        <f ca="1">OFFSET(Roster!$A$3,MATCH(表格1[[#This Row],[Location]]&amp;" "&amp;表格1[[#This Row],[Shop]]&amp;"*",Roster!$A$4:$A$72,0),DAY(表格1[[#This Row],[date]]),1,1)</f>
        <v>Leo</v>
      </c>
      <c r="E1855" s="81">
        <f>MONTH(表格1[[#This Row],[date]])</f>
        <v>3</v>
      </c>
      <c r="F1855" s="90">
        <v>46086</v>
      </c>
      <c r="G1855" s="81" t="str">
        <f>VLOOKUP("*"&amp;表格1[[#This Row],[Input]]&amp;"*",'Ref-List'!$B:$D,2,)</f>
        <v>RC-10AMXH(W)</v>
      </c>
      <c r="H1855" s="81" t="str">
        <f>_xlfn.XLOOKUP(表格1[[#This Row],[Model]],表格3[Model-Input-Ref2],表格3[Product Line])</f>
        <v>酵活炊電飯煲(1.0公升)</v>
      </c>
      <c r="I1855" s="81" t="str">
        <f>_xlfn.XLOOKUP(表格1[[#This Row],[Model]],表格3[Model-Input-Ref2],表格3[大小電])</f>
        <v>細電</v>
      </c>
      <c r="J1855" s="81" t="str">
        <f>_xlfn.XLOOKUP(表格1[[#This Row],[Model]],表格3[Model-Input-Ref2],表格3[Code])</f>
        <v>SDA</v>
      </c>
      <c r="K1855" s="89" t="s">
        <v>1279</v>
      </c>
      <c r="L1855" s="86">
        <v>1</v>
      </c>
      <c r="M1855" s="87">
        <v>880</v>
      </c>
      <c r="N1855" s="85">
        <f>IFERROR(表格1[[#This Row],[QTY]]*表格1[[#This Row],[Unit Price]],"-")</f>
        <v>880</v>
      </c>
      <c r="O1855" s="86">
        <v>1110863</v>
      </c>
      <c r="R1855" s="86" t="str">
        <f>_xlfn.CONCAT(表格1[[#This Row],[Model]]," ",表格1[[#This Row],[inv no]])</f>
        <v>RC-10AMXH(W) 1110863</v>
      </c>
      <c r="S1855" s="86">
        <f>_xlfn.XLOOKUP(表格1[[#This Row],[Model]],表格3[Model-Input-Ref2],表格3[SRP PRICE])</f>
        <v>1288</v>
      </c>
      <c r="T1855" s="43">
        <f>表格1[[#This Row],[Unit Price]]/表格1[[#This Row],[SRP]]</f>
        <v>0.68322981366459623</v>
      </c>
      <c r="U1855" s="86" t="str">
        <f>_xlfn.XLOOKUP(表格1[[#This Row],[Model]],表格3[Model-Input-Ref2],表格3[TOSHIBA/HIGHEST])</f>
        <v>Toshiba SRP</v>
      </c>
      <c r="V1855" s="86">
        <v>1110</v>
      </c>
      <c r="W1855" s="86" t="str">
        <f>_xlfn.CONCAT(表格1[[#This Row],[欄4]],表格1[[#This Row],[inv no]])</f>
        <v>11101110863</v>
      </c>
    </row>
    <row r="1856" spans="1:23" hidden="1">
      <c r="A1856" s="81">
        <v>1854</v>
      </c>
      <c r="B1856" s="81" t="s">
        <v>1470</v>
      </c>
      <c r="C1856" s="81" t="s">
        <v>1766</v>
      </c>
      <c r="D1856" s="82" t="str">
        <f ca="1">OFFSET(Roster!$A$3,MATCH(表格1[[#This Row],[Location]]&amp;" "&amp;表格1[[#This Row],[Shop]]&amp;"*",Roster!$A$4:$A$72,0),DAY(表格1[[#This Row],[date]]),1,1)</f>
        <v>Leo</v>
      </c>
      <c r="E1856" s="81">
        <f>MONTH(表格1[[#This Row],[date]])</f>
        <v>3</v>
      </c>
      <c r="F1856" s="90">
        <v>46086</v>
      </c>
      <c r="G1856" s="81" t="str">
        <f>VLOOKUP("*"&amp;表格1[[#This Row],[Input]]&amp;"*",'Ref-List'!$B:$D,2,)</f>
        <v>CFK01W75</v>
      </c>
      <c r="H1856" s="81" t="str">
        <f>_xlfn.XLOOKUP(表格1[[#This Row],[Model]],表格3[Model-Input-Ref2],表格3[Product Line])</f>
        <v>變頻頂揭式洗衣機 (7.5公斤)</v>
      </c>
      <c r="I1856" s="81" t="str">
        <f>_xlfn.XLOOKUP(表格1[[#This Row],[Model]],表格3[Model-Input-Ref2],表格3[大小電])</f>
        <v>大電</v>
      </c>
      <c r="J1856" s="81" t="str">
        <f>_xlfn.XLOOKUP(表格1[[#This Row],[Model]],表格3[Model-Input-Ref2],表格3[Code])</f>
        <v>LAD</v>
      </c>
      <c r="K1856" s="89" t="s">
        <v>1266</v>
      </c>
      <c r="L1856" s="86">
        <v>1</v>
      </c>
      <c r="M1856" s="87">
        <v>3298</v>
      </c>
      <c r="N1856" s="85">
        <f>IFERROR(表格1[[#This Row],[QTY]]*表格1[[#This Row],[Unit Price]],"-")</f>
        <v>3298</v>
      </c>
      <c r="O1856" s="86">
        <v>1110845</v>
      </c>
      <c r="R1856" s="86" t="str">
        <f>_xlfn.CONCAT(表格1[[#This Row],[Model]]," ",表格1[[#This Row],[inv no]])</f>
        <v>CFK01W75 1110845</v>
      </c>
      <c r="S1856" s="86">
        <f>_xlfn.XLOOKUP(表格1[[#This Row],[Model]],表格3[Model-Input-Ref2],表格3[SRP PRICE])</f>
        <v>3888</v>
      </c>
      <c r="T1856" s="43">
        <f>表格1[[#This Row],[Unit Price]]/表格1[[#This Row],[SRP]]</f>
        <v>0.84825102880658432</v>
      </c>
      <c r="U1856" s="86" t="str">
        <f>_xlfn.XLOOKUP(表格1[[#This Row],[Model]],表格3[Model-Input-Ref2],表格3[TOSHIBA/HIGHEST])</f>
        <v>Shops Highest Price</v>
      </c>
      <c r="V1856" s="86">
        <v>1110</v>
      </c>
      <c r="W1856" s="86" t="str">
        <f>_xlfn.CONCAT(表格1[[#This Row],[欄4]],表格1[[#This Row],[inv no]])</f>
        <v>11101110845</v>
      </c>
    </row>
    <row r="1857" spans="1:23" hidden="1">
      <c r="A1857" s="81">
        <v>1855</v>
      </c>
      <c r="B1857" s="81" t="s">
        <v>1470</v>
      </c>
      <c r="C1857" s="81" t="s">
        <v>1766</v>
      </c>
      <c r="D1857" s="82" t="str">
        <f ca="1">OFFSET(Roster!$A$3,MATCH(表格1[[#This Row],[Location]]&amp;" "&amp;表格1[[#This Row],[Shop]]&amp;"*",Roster!$A$4:$A$72,0),DAY(表格1[[#This Row],[date]]),1,1)</f>
        <v>Leo off</v>
      </c>
      <c r="E1857" s="81">
        <f>MONTH(表格1[[#This Row],[date]])</f>
        <v>3</v>
      </c>
      <c r="F1857" s="90">
        <v>46087</v>
      </c>
      <c r="G1857" s="81" t="str">
        <f>VLOOKUP("*"&amp;表格1[[#This Row],[Input]]&amp;"*",'Ref-List'!$B:$D,2,)</f>
        <v>AW-Q801APH(WW)</v>
      </c>
      <c r="H1857" s="81" t="str">
        <f>_xlfn.XLOOKUP(表格1[[#This Row],[Model]],表格3[Model-Input-Ref2],表格3[Product Line])</f>
        <v>日式洗衣機 (7公斤 結合高低水位)</v>
      </c>
      <c r="I1857" s="81" t="str">
        <f>_xlfn.XLOOKUP(表格1[[#This Row],[Model]],表格3[Model-Input-Ref2],表格3[大小電])</f>
        <v>大電</v>
      </c>
      <c r="J1857" s="81" t="str">
        <f>_xlfn.XLOOKUP(表格1[[#This Row],[Model]],表格3[Model-Input-Ref2],表格3[Code])</f>
        <v>LAD</v>
      </c>
      <c r="K1857" s="89" t="s">
        <v>1420</v>
      </c>
      <c r="L1857" s="86">
        <v>1</v>
      </c>
      <c r="M1857" s="87">
        <v>1980</v>
      </c>
      <c r="N1857" s="85">
        <f>IFERROR(表格1[[#This Row],[QTY]]*表格1[[#This Row],[Unit Price]],"-")</f>
        <v>1980</v>
      </c>
      <c r="O1857" s="86">
        <v>1110909</v>
      </c>
      <c r="R1857" s="86" t="str">
        <f>_xlfn.CONCAT(表格1[[#This Row],[Model]]," ",表格1[[#This Row],[inv no]])</f>
        <v>AW-Q801APH(WW) 1110909</v>
      </c>
      <c r="S1857" s="86">
        <f>_xlfn.XLOOKUP(表格1[[#This Row],[Model]],表格3[Model-Input-Ref2],表格3[SRP PRICE])</f>
        <v>3380</v>
      </c>
      <c r="T1857" s="43">
        <f>表格1[[#This Row],[Unit Price]]/表格1[[#This Row],[SRP]]</f>
        <v>0.58579881656804733</v>
      </c>
      <c r="U1857" s="86" t="str">
        <f>_xlfn.XLOOKUP(表格1[[#This Row],[Model]],表格3[Model-Input-Ref2],表格3[TOSHIBA/HIGHEST])</f>
        <v>Toshiba SRP</v>
      </c>
      <c r="V1857" s="86">
        <v>1110</v>
      </c>
      <c r="W1857" s="86" t="str">
        <f>_xlfn.CONCAT(表格1[[#This Row],[欄4]],表格1[[#This Row],[inv no]])</f>
        <v>11101110909</v>
      </c>
    </row>
    <row r="1858" spans="1:23" hidden="1">
      <c r="A1858" s="81">
        <v>1856</v>
      </c>
      <c r="B1858" s="81" t="s">
        <v>1470</v>
      </c>
      <c r="C1858" s="81" t="s">
        <v>1766</v>
      </c>
      <c r="D1858" s="82" t="str">
        <f ca="1">OFFSET(Roster!$A$3,MATCH(表格1[[#This Row],[Location]]&amp;" "&amp;表格1[[#This Row],[Shop]]&amp;"*",Roster!$A$4:$A$72,0),DAY(表格1[[#This Row],[date]]),1,1)</f>
        <v>Leo off</v>
      </c>
      <c r="E1858" s="81">
        <f>MONTH(表格1[[#This Row],[date]])</f>
        <v>3</v>
      </c>
      <c r="F1858" s="90">
        <v>46087</v>
      </c>
      <c r="G1858" s="81" t="str">
        <f>VLOOKUP("*"&amp;表格1[[#This Row],[Input]]&amp;"*",'Ref-List'!$B:$D,2,)</f>
        <v>TP-50DRUHK(W)</v>
      </c>
      <c r="H1858" s="81" t="str">
        <f>_xlfn.XLOOKUP(表格1[[#This Row],[Model]],表格3[Model-Input-Ref2],表格3[Product Line])</f>
        <v>電熱水瓶 (5公升)</v>
      </c>
      <c r="I1858" s="81" t="str">
        <f>_xlfn.XLOOKUP(表格1[[#This Row],[Model]],表格3[Model-Input-Ref2],表格3[大小電])</f>
        <v>細電</v>
      </c>
      <c r="J1858" s="81" t="str">
        <f>_xlfn.XLOOKUP(表格1[[#This Row],[Model]],表格3[Model-Input-Ref2],表格3[Code])</f>
        <v>SDA</v>
      </c>
      <c r="K1858" s="89" t="s">
        <v>1277</v>
      </c>
      <c r="L1858" s="86">
        <v>1</v>
      </c>
      <c r="M1858" s="87">
        <v>598</v>
      </c>
      <c r="N1858" s="85">
        <f>IFERROR(表格1[[#This Row],[QTY]]*表格1[[#This Row],[Unit Price]],"-")</f>
        <v>598</v>
      </c>
      <c r="O1858" s="86">
        <v>1110910</v>
      </c>
      <c r="R1858" s="86" t="str">
        <f>_xlfn.CONCAT(表格1[[#This Row],[Model]]," ",表格1[[#This Row],[inv no]])</f>
        <v>TP-50DRUHK(W) 1110910</v>
      </c>
      <c r="S1858" s="86">
        <f>_xlfn.XLOOKUP(表格1[[#This Row],[Model]],表格3[Model-Input-Ref2],表格3[SRP PRICE])</f>
        <v>718</v>
      </c>
      <c r="T1858" s="43">
        <f>表格1[[#This Row],[Unit Price]]/表格1[[#This Row],[SRP]]</f>
        <v>0.83286908077994426</v>
      </c>
      <c r="U1858" s="86" t="str">
        <f>_xlfn.XLOOKUP(表格1[[#This Row],[Model]],表格3[Model-Input-Ref2],表格3[TOSHIBA/HIGHEST])</f>
        <v>Toshiba SRP</v>
      </c>
      <c r="V1858" s="86">
        <v>1110</v>
      </c>
      <c r="W1858" s="86" t="str">
        <f>_xlfn.CONCAT(表格1[[#This Row],[欄4]],表格1[[#This Row],[inv no]])</f>
        <v>11101110910</v>
      </c>
    </row>
    <row r="1859" spans="1:23" hidden="1">
      <c r="A1859" s="81">
        <v>1857</v>
      </c>
      <c r="B1859" s="81" t="s">
        <v>1470</v>
      </c>
      <c r="C1859" s="81" t="s">
        <v>1766</v>
      </c>
      <c r="D1859" s="82" t="str">
        <f ca="1">OFFSET(Roster!$A$3,MATCH(表格1[[#This Row],[Location]]&amp;" "&amp;表格1[[#This Row],[Shop]]&amp;"*",Roster!$A$4:$A$72,0),DAY(表格1[[#This Row],[date]]),1,1)</f>
        <v>Leo</v>
      </c>
      <c r="E1859" s="81">
        <f>MONTH(表格1[[#This Row],[date]])</f>
        <v>3</v>
      </c>
      <c r="F1859" s="90">
        <v>46088</v>
      </c>
      <c r="G1859" s="81" t="str">
        <f>VLOOKUP("*"&amp;表格1[[#This Row],[Input]]&amp;"*",'Ref-List'!$B:$D,2,)</f>
        <v>RC-10AMXH(W)</v>
      </c>
      <c r="H1859" s="81" t="str">
        <f>_xlfn.XLOOKUP(表格1[[#This Row],[Model]],表格3[Model-Input-Ref2],表格3[Product Line])</f>
        <v>酵活炊電飯煲(1.0公升)</v>
      </c>
      <c r="I1859" s="81" t="str">
        <f>_xlfn.XLOOKUP(表格1[[#This Row],[Model]],表格3[Model-Input-Ref2],表格3[大小電])</f>
        <v>細電</v>
      </c>
      <c r="J1859" s="81" t="str">
        <f>_xlfn.XLOOKUP(表格1[[#This Row],[Model]],表格3[Model-Input-Ref2],表格3[Code])</f>
        <v>SDA</v>
      </c>
      <c r="K1859" s="89" t="s">
        <v>1279</v>
      </c>
      <c r="L1859" s="86">
        <v>1</v>
      </c>
      <c r="M1859" s="87">
        <v>880</v>
      </c>
      <c r="N1859" s="85">
        <f>IFERROR(表格1[[#This Row],[QTY]]*表格1[[#This Row],[Unit Price]],"-")</f>
        <v>880</v>
      </c>
      <c r="O1859" s="86">
        <v>1110920</v>
      </c>
      <c r="R1859" s="86" t="str">
        <f>_xlfn.CONCAT(表格1[[#This Row],[Model]]," ",表格1[[#This Row],[inv no]])</f>
        <v>RC-10AMXH(W) 1110920</v>
      </c>
      <c r="S1859" s="86">
        <f>_xlfn.XLOOKUP(表格1[[#This Row],[Model]],表格3[Model-Input-Ref2],表格3[SRP PRICE])</f>
        <v>1288</v>
      </c>
      <c r="T1859" s="43">
        <f>表格1[[#This Row],[Unit Price]]/表格1[[#This Row],[SRP]]</f>
        <v>0.68322981366459623</v>
      </c>
      <c r="U1859" s="86" t="str">
        <f>_xlfn.XLOOKUP(表格1[[#This Row],[Model]],表格3[Model-Input-Ref2],表格3[TOSHIBA/HIGHEST])</f>
        <v>Toshiba SRP</v>
      </c>
      <c r="V1859" s="86">
        <v>1110</v>
      </c>
      <c r="W1859" s="86" t="str">
        <f>_xlfn.CONCAT(表格1[[#This Row],[欄4]],表格1[[#This Row],[inv no]])</f>
        <v>11101110920</v>
      </c>
    </row>
    <row r="1860" spans="1:23" hidden="1">
      <c r="A1860" s="81">
        <v>1858</v>
      </c>
      <c r="B1860" s="81" t="s">
        <v>1470</v>
      </c>
      <c r="C1860" s="81" t="s">
        <v>1766</v>
      </c>
      <c r="D1860" s="82" t="str">
        <f ca="1">OFFSET(Roster!$A$3,MATCH(表格1[[#This Row],[Location]]&amp;" "&amp;表格1[[#This Row],[Shop]]&amp;"*",Roster!$A$4:$A$72,0),DAY(表格1[[#This Row],[date]]),1,1)</f>
        <v>Leo</v>
      </c>
      <c r="E1860" s="81">
        <f>MONTH(表格1[[#This Row],[date]])</f>
        <v>3</v>
      </c>
      <c r="F1860" s="90">
        <v>46088</v>
      </c>
      <c r="G1860" s="81" t="str">
        <f>VLOOKUP("*"&amp;表格1[[#This Row],[Input]]&amp;"*",'Ref-List'!$B:$D,2,)</f>
        <v>MX2-TT20SC(WH)</v>
      </c>
      <c r="H1860" s="81" t="str">
        <f>_xlfn.XLOOKUP(表格1[[#This Row],[Model]],表格3[Model-Input-Ref2],表格3[Product Line])</f>
        <v>3合1 微波蒸焗爐 (20公升)</v>
      </c>
      <c r="I1860" s="81" t="str">
        <f>_xlfn.XLOOKUP(表格1[[#This Row],[Model]],表格3[Model-Input-Ref2],表格3[大小電])</f>
        <v>細電</v>
      </c>
      <c r="J1860" s="81" t="str">
        <f>_xlfn.XLOOKUP(表格1[[#This Row],[Model]],表格3[Model-Input-Ref2],表格3[Code])</f>
        <v>MCA</v>
      </c>
      <c r="K1860" s="89" t="s">
        <v>1287</v>
      </c>
      <c r="L1860" s="86">
        <v>1</v>
      </c>
      <c r="M1860" s="87">
        <v>2440</v>
      </c>
      <c r="N1860" s="85">
        <f>IFERROR(表格1[[#This Row],[QTY]]*表格1[[#This Row],[Unit Price]],"-")</f>
        <v>2440</v>
      </c>
      <c r="O1860" s="86">
        <v>1110932</v>
      </c>
      <c r="R1860" s="86" t="str">
        <f>_xlfn.CONCAT(表格1[[#This Row],[Model]]," ",表格1[[#This Row],[inv no]])</f>
        <v>MX2-TT20SC(WH) 1110932</v>
      </c>
      <c r="S1860" s="86">
        <f>_xlfn.XLOOKUP(表格1[[#This Row],[Model]],表格3[Model-Input-Ref2],表格3[SRP PRICE])</f>
        <v>3580</v>
      </c>
      <c r="T1860" s="43">
        <f>表格1[[#This Row],[Unit Price]]/表格1[[#This Row],[SRP]]</f>
        <v>0.68156424581005581</v>
      </c>
      <c r="U1860" s="86" t="str">
        <f>_xlfn.XLOOKUP(表格1[[#This Row],[Model]],表格3[Model-Input-Ref2],表格3[TOSHIBA/HIGHEST])</f>
        <v>Toshiba SRP</v>
      </c>
      <c r="V1860" s="86">
        <v>1110</v>
      </c>
      <c r="W1860" s="86" t="str">
        <f>_xlfn.CONCAT(表格1[[#This Row],[欄4]],表格1[[#This Row],[inv no]])</f>
        <v>11101110932</v>
      </c>
    </row>
    <row r="1861" spans="1:23" hidden="1">
      <c r="A1861" s="81">
        <v>1859</v>
      </c>
      <c r="B1861" s="81" t="s">
        <v>1470</v>
      </c>
      <c r="C1861" s="81" t="s">
        <v>1766</v>
      </c>
      <c r="D1861" s="82" t="str">
        <f ca="1">OFFSET(Roster!$A$3,MATCH(表格1[[#This Row],[Location]]&amp;" "&amp;表格1[[#This Row],[Shop]]&amp;"*",Roster!$A$4:$A$72,0),DAY(表格1[[#This Row],[date]]),1,1)</f>
        <v>Leo</v>
      </c>
      <c r="E1861" s="81">
        <f>MONTH(表格1[[#This Row],[date]])</f>
        <v>3</v>
      </c>
      <c r="F1861" s="90">
        <v>46088</v>
      </c>
      <c r="G1861" s="81" t="str">
        <f>VLOOKUP("*"&amp;表格1[[#This Row],[Input]]&amp;"*",'Ref-List'!$B:$D,2,)</f>
        <v>RC-5SLIH(W)</v>
      </c>
      <c r="H1861" s="81" t="str">
        <f>_xlfn.XLOOKUP(表格1[[#This Row],[Model]],表格3[Model-Input-Ref2],表格3[Product Line])</f>
        <v>微型電腦珍珠飯煲</v>
      </c>
      <c r="I1861" s="81" t="str">
        <f>_xlfn.XLOOKUP(表格1[[#This Row],[Model]],表格3[Model-Input-Ref2],表格3[大小電])</f>
        <v>細電</v>
      </c>
      <c r="J1861" s="81" t="str">
        <f>_xlfn.XLOOKUP(表格1[[#This Row],[Model]],表格3[Model-Input-Ref2],表格3[Code])</f>
        <v>SDA</v>
      </c>
      <c r="K1861" s="89" t="s">
        <v>1264</v>
      </c>
      <c r="L1861" s="86">
        <v>1</v>
      </c>
      <c r="M1861" s="87">
        <v>538</v>
      </c>
      <c r="N1861" s="85">
        <f>IFERROR(表格1[[#This Row],[QTY]]*表格1[[#This Row],[Unit Price]],"-")</f>
        <v>538</v>
      </c>
      <c r="O1861" s="86">
        <v>1110964</v>
      </c>
      <c r="P1861" s="143"/>
      <c r="R1861" s="86" t="str">
        <f>_xlfn.CONCAT(表格1[[#This Row],[Model]]," ",表格1[[#This Row],[inv no]])</f>
        <v>RC-5SLIH(W) 1110964</v>
      </c>
      <c r="S1861" s="86">
        <f>_xlfn.XLOOKUP(表格1[[#This Row],[Model]],表格3[Model-Input-Ref2],表格3[SRP PRICE])</f>
        <v>658</v>
      </c>
      <c r="T1861" s="43">
        <f>表格1[[#This Row],[Unit Price]]/表格1[[#This Row],[SRP]]</f>
        <v>0.81762917933130697</v>
      </c>
      <c r="U1861" s="86" t="str">
        <f>_xlfn.XLOOKUP(表格1[[#This Row],[Model]],表格3[Model-Input-Ref2],表格3[TOSHIBA/HIGHEST])</f>
        <v>Toshiba SRP</v>
      </c>
      <c r="V1861" s="86">
        <v>1110</v>
      </c>
      <c r="W1861" s="86" t="str">
        <f>_xlfn.CONCAT(表格1[[#This Row],[欄4]],表格1[[#This Row],[inv no]])</f>
        <v>11101110964</v>
      </c>
    </row>
    <row r="1862" spans="1:23" ht="16.5" hidden="1">
      <c r="A1862" s="81">
        <v>1860</v>
      </c>
      <c r="B1862" s="81" t="s">
        <v>1470</v>
      </c>
      <c r="C1862" s="81" t="s">
        <v>1766</v>
      </c>
      <c r="D1862" s="82" t="str">
        <f ca="1">OFFSET(Roster!$A$3,MATCH(表格1[[#This Row],[Location]]&amp;" "&amp;表格1[[#This Row],[Shop]]&amp;"*",Roster!$A$4:$A$72,0),DAY(表格1[[#This Row],[date]]),1,1)</f>
        <v>Leo</v>
      </c>
      <c r="E1862" s="81">
        <f>MONTH(表格1[[#This Row],[date]])</f>
        <v>3</v>
      </c>
      <c r="F1862" s="90">
        <v>46088</v>
      </c>
      <c r="G1862" s="81" t="str">
        <f>VLOOKUP("*"&amp;表格1[[#This Row],[Input]]&amp;"*",'Ref-List'!$B:$D,2,)</f>
        <v>RC-5SLIH(W)</v>
      </c>
      <c r="H1862" s="81" t="str">
        <f>_xlfn.XLOOKUP(表格1[[#This Row],[Model]],表格3[Model-Input-Ref2],表格3[Product Line])</f>
        <v>微型電腦珍珠飯煲</v>
      </c>
      <c r="I1862" s="81" t="str">
        <f>_xlfn.XLOOKUP(表格1[[#This Row],[Model]],表格3[Model-Input-Ref2],表格3[大小電])</f>
        <v>細電</v>
      </c>
      <c r="J1862" s="81" t="str">
        <f>_xlfn.XLOOKUP(表格1[[#This Row],[Model]],表格3[Model-Input-Ref2],表格3[Code])</f>
        <v>SDA</v>
      </c>
      <c r="K1862" s="89" t="s">
        <v>1264</v>
      </c>
      <c r="L1862" s="86">
        <v>1</v>
      </c>
      <c r="M1862" s="87">
        <v>538</v>
      </c>
      <c r="N1862" s="85">
        <f>IFERROR(表格1[[#This Row],[QTY]]*表格1[[#This Row],[Unit Price]],"-")</f>
        <v>538</v>
      </c>
      <c r="O1862" s="86">
        <v>1110946</v>
      </c>
      <c r="P1862" s="141"/>
      <c r="R1862" s="86" t="str">
        <f>_xlfn.CONCAT(表格1[[#This Row],[Model]]," ",表格1[[#This Row],[inv no]])</f>
        <v>RC-5SLIH(W) 1110946</v>
      </c>
      <c r="S1862" s="86">
        <f>_xlfn.XLOOKUP(表格1[[#This Row],[Model]],表格3[Model-Input-Ref2],表格3[SRP PRICE])</f>
        <v>658</v>
      </c>
      <c r="T1862" s="43">
        <f>表格1[[#This Row],[Unit Price]]/表格1[[#This Row],[SRP]]</f>
        <v>0.81762917933130697</v>
      </c>
      <c r="U1862" s="86" t="str">
        <f>_xlfn.XLOOKUP(表格1[[#This Row],[Model]],表格3[Model-Input-Ref2],表格3[TOSHIBA/HIGHEST])</f>
        <v>Toshiba SRP</v>
      </c>
      <c r="V1862" s="86">
        <v>1110</v>
      </c>
      <c r="W1862" s="86" t="str">
        <f>_xlfn.CONCAT(表格1[[#This Row],[欄4]],表格1[[#This Row],[inv no]])</f>
        <v>11101110946</v>
      </c>
    </row>
    <row r="1863" spans="1:23" hidden="1">
      <c r="A1863" s="81">
        <v>1861</v>
      </c>
      <c r="B1863" s="81" t="s">
        <v>1470</v>
      </c>
      <c r="C1863" s="81" t="s">
        <v>1766</v>
      </c>
      <c r="D1863" s="82" t="str">
        <f ca="1">OFFSET(Roster!$A$3,MATCH(表格1[[#This Row],[Location]]&amp;" "&amp;表格1[[#This Row],[Shop]]&amp;"*",Roster!$A$4:$A$72,0),DAY(表格1[[#This Row],[date]]),1,1)</f>
        <v>Leo</v>
      </c>
      <c r="E1863" s="81">
        <f>MONTH(表格1[[#This Row],[date]])</f>
        <v>3</v>
      </c>
      <c r="F1863" s="90">
        <v>46088</v>
      </c>
      <c r="G1863" s="81" t="str">
        <f>VLOOKUP("*"&amp;表格1[[#This Row],[Input]]&amp;"*",'Ref-List'!$B:$D,2,)</f>
        <v>TW-T22BU95UWH(WK)-B</v>
      </c>
      <c r="H1863" s="81" t="str">
        <f>_xlfn.XLOOKUP(表格1[[#This Row],[Model]],表格3[Model-Input-Ref2],表格3[Product Line])</f>
        <v>470MM超薄身前置式變頻洗衣機(8.5公斤, 可飛頂)</v>
      </c>
      <c r="I1863" s="81" t="str">
        <f>_xlfn.XLOOKUP(表格1[[#This Row],[Model]],表格3[Model-Input-Ref2],表格3[大小電])</f>
        <v>大電</v>
      </c>
      <c r="J1863" s="81" t="str">
        <f>_xlfn.XLOOKUP(表格1[[#This Row],[Model]],表格3[Model-Input-Ref2],表格3[Code])</f>
        <v>LAD</v>
      </c>
      <c r="K1863" s="89" t="s">
        <v>969</v>
      </c>
      <c r="L1863" s="86">
        <v>1</v>
      </c>
      <c r="M1863" s="87">
        <v>4989</v>
      </c>
      <c r="N1863" s="85">
        <f>IFERROR(表格1[[#This Row],[QTY]]*表格1[[#This Row],[Unit Price]],"-")</f>
        <v>4989</v>
      </c>
      <c r="O1863" s="86">
        <v>1110927</v>
      </c>
      <c r="R1863" s="86" t="str">
        <f>_xlfn.CONCAT(表格1[[#This Row],[Model]]," ",表格1[[#This Row],[inv no]])</f>
        <v>TW-T22BU95UWH(WK)-B 1110927</v>
      </c>
      <c r="S1863" s="86">
        <f>_xlfn.XLOOKUP(表格1[[#This Row],[Model]],表格3[Model-Input-Ref2],表格3[SRP PRICE])</f>
        <v>5880</v>
      </c>
      <c r="T1863" s="43">
        <f>表格1[[#This Row],[Unit Price]]/表格1[[#This Row],[SRP]]</f>
        <v>0.84846938775510206</v>
      </c>
      <c r="U1863" s="86" t="str">
        <f>_xlfn.XLOOKUP(表格1[[#This Row],[Model]],表格3[Model-Input-Ref2],表格3[TOSHIBA/HIGHEST])</f>
        <v>Toshiba SRP</v>
      </c>
      <c r="V1863" s="86">
        <v>1110</v>
      </c>
      <c r="W1863" s="86" t="str">
        <f>_xlfn.CONCAT(表格1[[#This Row],[欄4]],表格1[[#This Row],[inv no]])</f>
        <v>11101110927</v>
      </c>
    </row>
    <row r="1864" spans="1:23" hidden="1">
      <c r="A1864" s="81">
        <v>1862</v>
      </c>
      <c r="B1864" s="81" t="s">
        <v>1470</v>
      </c>
      <c r="C1864" s="81" t="s">
        <v>1766</v>
      </c>
      <c r="D1864" s="82" t="str">
        <f ca="1">OFFSET(Roster!$A$3,MATCH(表格1[[#This Row],[Location]]&amp;" "&amp;表格1[[#This Row],[Shop]]&amp;"*",Roster!$A$4:$A$72,0),DAY(表格1[[#This Row],[date]]),1,1)</f>
        <v>Leo</v>
      </c>
      <c r="E1864" s="81">
        <f>MONTH(表格1[[#This Row],[date]])</f>
        <v>3</v>
      </c>
      <c r="F1864" s="90">
        <v>46089</v>
      </c>
      <c r="G1864" s="81" t="str">
        <f>VLOOKUP("*"&amp;表格1[[#This Row],[Input]]&amp;"*",'Ref-List'!$B:$D,2,)</f>
        <v>TW-T21BU90UWH(WW)</v>
      </c>
      <c r="H1864" s="81" t="str">
        <f>_xlfn.XLOOKUP(表格1[[#This Row],[Model]],表格3[Model-Input-Ref2],表格3[Product Line])</f>
        <v>8公斤超薄身前置式變頻洗衣機</v>
      </c>
      <c r="I1864" s="81" t="str">
        <f>_xlfn.XLOOKUP(表格1[[#This Row],[Model]],表格3[Model-Input-Ref2],表格3[大小電])</f>
        <v>大電</v>
      </c>
      <c r="J1864" s="81" t="str">
        <f>_xlfn.XLOOKUP(表格1[[#This Row],[Model]],表格3[Model-Input-Ref2],表格3[Code])</f>
        <v>LAD</v>
      </c>
      <c r="K1864" s="89" t="s">
        <v>1472</v>
      </c>
      <c r="L1864" s="86">
        <v>1</v>
      </c>
      <c r="M1864" s="87">
        <v>3080</v>
      </c>
      <c r="N1864" s="85">
        <f>IFERROR(表格1[[#This Row],[QTY]]*表格1[[#This Row],[Unit Price]],"-")</f>
        <v>3080</v>
      </c>
      <c r="O1864" s="86">
        <v>1110986</v>
      </c>
      <c r="R1864" s="86" t="str">
        <f>_xlfn.CONCAT(表格1[[#This Row],[Model]]," ",表格1[[#This Row],[inv no]])</f>
        <v>TW-T21BU90UWH(WW) 1110986</v>
      </c>
      <c r="S1864" s="86">
        <f>_xlfn.XLOOKUP(表格1[[#This Row],[Model]],表格3[Model-Input-Ref2],表格3[SRP PRICE])</f>
        <v>5480</v>
      </c>
      <c r="T1864" s="43">
        <f>表格1[[#This Row],[Unit Price]]/表格1[[#This Row],[SRP]]</f>
        <v>0.56204379562043794</v>
      </c>
      <c r="U1864" s="86" t="str">
        <f>_xlfn.XLOOKUP(表格1[[#This Row],[Model]],表格3[Model-Input-Ref2],表格3[TOSHIBA/HIGHEST])</f>
        <v>Toshiba SRP</v>
      </c>
      <c r="V1864" s="86">
        <v>1110</v>
      </c>
      <c r="W1864" s="86" t="str">
        <f>_xlfn.CONCAT(表格1[[#This Row],[欄4]],表格1[[#This Row],[inv no]])</f>
        <v>11101110986</v>
      </c>
    </row>
    <row r="1865" spans="1:23" hidden="1">
      <c r="A1865" s="81">
        <v>1863</v>
      </c>
      <c r="B1865" s="81" t="s">
        <v>1470</v>
      </c>
      <c r="C1865" s="81" t="s">
        <v>1766</v>
      </c>
      <c r="D1865" s="82" t="str">
        <f ca="1">OFFSET(Roster!$A$3,MATCH(表格1[[#This Row],[Location]]&amp;" "&amp;表格1[[#This Row],[Shop]]&amp;"*",Roster!$A$4:$A$72,0),DAY(表格1[[#This Row],[date]]),1,1)</f>
        <v>Leo</v>
      </c>
      <c r="E1865" s="81">
        <f>MONTH(表格1[[#This Row],[date]])</f>
        <v>3</v>
      </c>
      <c r="F1865" s="90">
        <v>46089</v>
      </c>
      <c r="G1865" s="81" t="str">
        <f>VLOOKUP("*"&amp;表格1[[#This Row],[Input]]&amp;"*",'Ref-List'!$B:$D,2,)</f>
        <v>RC-7HMH</v>
      </c>
      <c r="H1865" s="81" t="str">
        <f>_xlfn.XLOOKUP(表格1[[#This Row],[Model]],表格3[Model-Input-Ref2],表格3[Product Line])</f>
        <v>備長炭本厚釜電飯煲0.7L</v>
      </c>
      <c r="I1865" s="81" t="str">
        <f>_xlfn.XLOOKUP(表格1[[#This Row],[Model]],表格3[Model-Input-Ref2],表格3[大小電])</f>
        <v>細電</v>
      </c>
      <c r="J1865" s="81" t="str">
        <f>_xlfn.XLOOKUP(表格1[[#This Row],[Model]],表格3[Model-Input-Ref2],表格3[Code])</f>
        <v>SDA</v>
      </c>
      <c r="K1865" s="89" t="s">
        <v>1284</v>
      </c>
      <c r="L1865" s="86">
        <v>1</v>
      </c>
      <c r="M1865" s="87">
        <v>780</v>
      </c>
      <c r="N1865" s="85">
        <f>IFERROR(表格1[[#This Row],[QTY]]*表格1[[#This Row],[Unit Price]],"-")</f>
        <v>780</v>
      </c>
      <c r="O1865" s="86">
        <v>1110969</v>
      </c>
      <c r="R1865" s="86" t="str">
        <f>_xlfn.CONCAT(表格1[[#This Row],[Model]]," ",表格1[[#This Row],[inv no]])</f>
        <v>RC-7HMH 1110969</v>
      </c>
      <c r="S1865" s="86">
        <f>_xlfn.XLOOKUP(表格1[[#This Row],[Model]],表格3[Model-Input-Ref2],表格3[SRP PRICE])</f>
        <v>1288</v>
      </c>
      <c r="T1865" s="43">
        <f>表格1[[#This Row],[Unit Price]]/表格1[[#This Row],[SRP]]</f>
        <v>0.60559006211180122</v>
      </c>
      <c r="U1865" s="86" t="str">
        <f>_xlfn.XLOOKUP(表格1[[#This Row],[Model]],表格3[Model-Input-Ref2],表格3[TOSHIBA/HIGHEST])</f>
        <v>Toshiba SRP</v>
      </c>
      <c r="V1865" s="86">
        <v>1110</v>
      </c>
      <c r="W1865" s="86" t="str">
        <f>_xlfn.CONCAT(表格1[[#This Row],[欄4]],表格1[[#This Row],[inv no]])</f>
        <v>11101110969</v>
      </c>
    </row>
    <row r="1866" spans="1:23" hidden="1">
      <c r="A1866" s="81">
        <v>1864</v>
      </c>
      <c r="B1866" s="81" t="s">
        <v>1470</v>
      </c>
      <c r="C1866" s="81" t="s">
        <v>1766</v>
      </c>
      <c r="D1866" s="82" t="str">
        <f ca="1">OFFSET(Roster!$A$3,MATCH(表格1[[#This Row],[Location]]&amp;" "&amp;表格1[[#This Row],[Shop]]&amp;"*",Roster!$A$4:$A$72,0),DAY(表格1[[#This Row],[date]]),1,1)</f>
        <v>Leo</v>
      </c>
      <c r="E1866" s="81">
        <f>MONTH(表格1[[#This Row],[date]])</f>
        <v>3</v>
      </c>
      <c r="F1866" s="90">
        <v>46089</v>
      </c>
      <c r="G1866" s="81" t="str">
        <f>VLOOKUP("*"&amp;表格1[[#This Row],[Input]]&amp;"*",'Ref-List'!$B:$D,2,)</f>
        <v>TWP-TSR76THK(W)</v>
      </c>
      <c r="H1866" s="81" t="str">
        <f>_xlfn.XLOOKUP(表格1[[#This Row],[Model]],表格3[Model-Input-Ref2],表格3[Product Line])</f>
        <v>RO座檯式飲水機</v>
      </c>
      <c r="I1866" s="81" t="str">
        <f>_xlfn.XLOOKUP(表格1[[#This Row],[Model]],表格3[Model-Input-Ref2],表格3[大小電])</f>
        <v>細電</v>
      </c>
      <c r="J1866" s="81" t="str">
        <f>_xlfn.XLOOKUP(表格1[[#This Row],[Model]],表格3[Model-Input-Ref2],表格3[Code])</f>
        <v>KWH</v>
      </c>
      <c r="K1866" s="89" t="s">
        <v>1197</v>
      </c>
      <c r="L1866" s="86">
        <v>1</v>
      </c>
      <c r="M1866" s="87">
        <v>1770</v>
      </c>
      <c r="N1866" s="85">
        <f>IFERROR(表格1[[#This Row],[QTY]]*表格1[[#This Row],[Unit Price]],"-")</f>
        <v>1770</v>
      </c>
      <c r="O1866" s="86">
        <v>1110990</v>
      </c>
      <c r="R1866" s="86" t="str">
        <f>_xlfn.CONCAT(表格1[[#This Row],[Model]]," ",表格1[[#This Row],[inv no]])</f>
        <v>TWP-TSR76THK(W) 1110990</v>
      </c>
      <c r="S1866" s="86">
        <f>_xlfn.XLOOKUP(表格1[[#This Row],[Model]],表格3[Model-Input-Ref2],表格3[SRP PRICE])</f>
        <v>2680</v>
      </c>
      <c r="T1866" s="43">
        <f>表格1[[#This Row],[Unit Price]]/表格1[[#This Row],[SRP]]</f>
        <v>0.66044776119402981</v>
      </c>
      <c r="U1866" s="86" t="str">
        <f>_xlfn.XLOOKUP(表格1[[#This Row],[Model]],表格3[Model-Input-Ref2],表格3[TOSHIBA/HIGHEST])</f>
        <v>Toshiba SRP</v>
      </c>
      <c r="V1866" s="86">
        <v>1110</v>
      </c>
      <c r="W1866" s="86" t="str">
        <f>_xlfn.CONCAT(表格1[[#This Row],[欄4]],表格1[[#This Row],[inv no]])</f>
        <v>11101110990</v>
      </c>
    </row>
    <row r="1867" spans="1:23" ht="16.5" hidden="1">
      <c r="A1867" s="81">
        <v>1865</v>
      </c>
      <c r="B1867" s="81" t="s">
        <v>1470</v>
      </c>
      <c r="C1867" s="81" t="s">
        <v>1766</v>
      </c>
      <c r="D1867" s="82" t="str">
        <f ca="1">OFFSET(Roster!$A$3,MATCH(表格1[[#This Row],[Location]]&amp;" "&amp;表格1[[#This Row],[Shop]]&amp;"*",Roster!$A$4:$A$72,0),DAY(表格1[[#This Row],[date]]),1,1)</f>
        <v>Leo</v>
      </c>
      <c r="E1867" s="81">
        <f>MONTH(表格1[[#This Row],[date]])</f>
        <v>3</v>
      </c>
      <c r="F1867" s="90">
        <v>46089</v>
      </c>
      <c r="G1867" s="81" t="str">
        <f>VLOOKUP("*"&amp;表格1[[#This Row],[Input]]&amp;"*",'Ref-List'!$B:$D,2,)</f>
        <v>MS5-TR30SC(BK)</v>
      </c>
      <c r="H1867" s="81" t="str">
        <f>_xlfn.XLOOKUP(表格1[[#This Row],[Model]],表格3[Model-Input-Ref2],表格3[Product Line])</f>
        <v>蒸氣焗爐30L</v>
      </c>
      <c r="I1867" s="81" t="str">
        <f>_xlfn.XLOOKUP(表格1[[#This Row],[Model]],表格3[Model-Input-Ref2],表格3[大小電])</f>
        <v>細電</v>
      </c>
      <c r="J1867" s="81" t="str">
        <f>_xlfn.XLOOKUP(表格1[[#This Row],[Model]],表格3[Model-Input-Ref2],表格3[Code])</f>
        <v>MCA</v>
      </c>
      <c r="K1867" s="89" t="s">
        <v>1767</v>
      </c>
      <c r="L1867" s="86">
        <v>1</v>
      </c>
      <c r="M1867" s="87">
        <v>2109</v>
      </c>
      <c r="N1867" s="85">
        <f>IFERROR(表格1[[#This Row],[QTY]]*表格1[[#This Row],[Unit Price]],"-")</f>
        <v>2109</v>
      </c>
      <c r="O1867" s="86">
        <v>1110981</v>
      </c>
      <c r="P1867" s="141" t="s">
        <v>1696</v>
      </c>
      <c r="R1867" s="86" t="str">
        <f>_xlfn.CONCAT(表格1[[#This Row],[Model]]," ",表格1[[#This Row],[inv no]])</f>
        <v>MS5-TR30SC(BK) 1110981</v>
      </c>
      <c r="S1867" s="86">
        <f>_xlfn.XLOOKUP(表格1[[#This Row],[Model]],表格3[Model-Input-Ref2],表格3[SRP PRICE])</f>
        <v>5998</v>
      </c>
      <c r="T1867" s="43">
        <f>表格1[[#This Row],[Unit Price]]/表格1[[#This Row],[SRP]]</f>
        <v>0.35161720573524508</v>
      </c>
      <c r="U1867" s="86" t="str">
        <f>_xlfn.XLOOKUP(表格1[[#This Row],[Model]],表格3[Model-Input-Ref2],表格3[TOSHIBA/HIGHEST])</f>
        <v>Toshiba SRP</v>
      </c>
      <c r="V1867" s="86">
        <v>1110</v>
      </c>
      <c r="W1867" s="86" t="str">
        <f>_xlfn.CONCAT(表格1[[#This Row],[欄4]],表格1[[#This Row],[inv no]])</f>
        <v>11101110981</v>
      </c>
    </row>
    <row r="1868" spans="1:23" hidden="1">
      <c r="A1868" s="81">
        <v>1866</v>
      </c>
      <c r="B1868" s="81" t="s">
        <v>1470</v>
      </c>
      <c r="C1868" s="81" t="s">
        <v>1766</v>
      </c>
      <c r="D1868" s="82" t="str">
        <f ca="1">OFFSET(Roster!$A$3,MATCH(表格1[[#This Row],[Location]]&amp;" "&amp;表格1[[#This Row],[Shop]]&amp;"*",Roster!$A$4:$A$72,0),DAY(表格1[[#This Row],[date]]),1,1)</f>
        <v>Leo</v>
      </c>
      <c r="E1868" s="81">
        <f>MONTH(表格1[[#This Row],[date]])</f>
        <v>3</v>
      </c>
      <c r="F1868" s="90">
        <v>46089</v>
      </c>
      <c r="G1868" s="81" t="str">
        <f>VLOOKUP("*"&amp;表格1[[#This Row],[Input]]&amp;"*",'Ref-List'!$B:$D,2,)</f>
        <v>GR-RB449WE-PMA(57)</v>
      </c>
      <c r="H1868" s="81" t="str">
        <f>_xlfn.XLOOKUP(表格1[[#This Row],[Model]],表格3[Model-Input-Ref2],表格3[Product Line])</f>
        <v>變頻下置式雙門雪櫃</v>
      </c>
      <c r="I1868" s="81" t="str">
        <f>_xlfn.XLOOKUP(表格1[[#This Row],[Model]],表格3[Model-Input-Ref2],表格3[大小電])</f>
        <v>大電</v>
      </c>
      <c r="J1868" s="81" t="str">
        <f>_xlfn.XLOOKUP(表格1[[#This Row],[Model]],表格3[Model-Input-Ref2],表格3[Code])</f>
        <v>REF</v>
      </c>
      <c r="K1868" s="89" t="s">
        <v>1484</v>
      </c>
      <c r="L1868" s="86">
        <v>1</v>
      </c>
      <c r="M1868" s="87">
        <v>4298</v>
      </c>
      <c r="N1868" s="85">
        <f>IFERROR(表格1[[#This Row],[QTY]]*表格1[[#This Row],[Unit Price]],"-")</f>
        <v>4298</v>
      </c>
      <c r="O1868" s="86">
        <v>1110980</v>
      </c>
      <c r="R1868" s="86" t="str">
        <f>_xlfn.CONCAT(表格1[[#This Row],[Model]]," ",表格1[[#This Row],[inv no]])</f>
        <v>GR-RB449WE-PMA(57) 1110980</v>
      </c>
      <c r="S1868" s="86">
        <f>_xlfn.XLOOKUP(表格1[[#This Row],[Model]],表格3[Model-Input-Ref2],表格3[SRP PRICE])</f>
        <v>6280</v>
      </c>
      <c r="T1868" s="43">
        <f>表格1[[#This Row],[Unit Price]]/表格1[[#This Row],[SRP]]</f>
        <v>0.68439490445859874</v>
      </c>
      <c r="U1868" s="86" t="str">
        <f>_xlfn.XLOOKUP(表格1[[#This Row],[Model]],表格3[Model-Input-Ref2],表格3[TOSHIBA/HIGHEST])</f>
        <v>Toshiba SRP</v>
      </c>
      <c r="V1868" s="86">
        <v>1110</v>
      </c>
      <c r="W1868" s="86" t="str">
        <f>_xlfn.CONCAT(表格1[[#This Row],[欄4]],表格1[[#This Row],[inv no]])</f>
        <v>11101110980</v>
      </c>
    </row>
    <row r="1869" spans="1:23" hidden="1">
      <c r="A1869" s="81">
        <v>1867</v>
      </c>
      <c r="B1869" s="81" t="s">
        <v>1470</v>
      </c>
      <c r="C1869" s="81" t="s">
        <v>1766</v>
      </c>
      <c r="D1869" s="82" t="str">
        <f ca="1">OFFSET(Roster!$A$3,MATCH(表格1[[#This Row],[Location]]&amp;" "&amp;表格1[[#This Row],[Shop]]&amp;"*",Roster!$A$4:$A$72,0),DAY(表格1[[#This Row],[date]]),1,1)</f>
        <v>Leo</v>
      </c>
      <c r="E1869" s="81">
        <f>MONTH(表格1[[#This Row],[date]])</f>
        <v>3</v>
      </c>
      <c r="F1869" s="90">
        <v>46089</v>
      </c>
      <c r="G1869" s="81" t="str">
        <f>VLOOKUP("*"&amp;表格1[[#This Row],[Input]]&amp;"*",'Ref-List'!$B:$D,2,)</f>
        <v>RAD-D300H</v>
      </c>
      <c r="H1869" s="81" t="str">
        <f>_xlfn.XLOOKUP(表格1[[#This Row],[Model]],表格3[Model-Input-Ref2],表格3[Product Line])</f>
        <v>壓縮式抽濕機 (30公升)</v>
      </c>
      <c r="I1869" s="81" t="str">
        <f>_xlfn.XLOOKUP(表格1[[#This Row],[Model]],表格3[Model-Input-Ref2],表格3[大小電])</f>
        <v>細電</v>
      </c>
      <c r="J1869" s="81" t="str">
        <f>_xlfn.XLOOKUP(表格1[[#This Row],[Model]],表格3[Model-Input-Ref2],表格3[Code])</f>
        <v>RAC</v>
      </c>
      <c r="K1869" s="89" t="s">
        <v>1252</v>
      </c>
      <c r="L1869" s="86">
        <v>1</v>
      </c>
      <c r="M1869" s="87">
        <v>1980</v>
      </c>
      <c r="N1869" s="85">
        <f>IFERROR(表格1[[#This Row],[QTY]]*表格1[[#This Row],[Unit Price]],"-")</f>
        <v>1980</v>
      </c>
      <c r="O1869" s="86">
        <v>1111001</v>
      </c>
      <c r="R1869" s="86" t="str">
        <f>_xlfn.CONCAT(表格1[[#This Row],[Model]]," ",表格1[[#This Row],[inv no]])</f>
        <v>RAD-D300H 1111001</v>
      </c>
      <c r="S1869" s="86">
        <f>_xlfn.XLOOKUP(表格1[[#This Row],[Model]],表格3[Model-Input-Ref2],表格3[SRP PRICE])</f>
        <v>3380</v>
      </c>
      <c r="T1869" s="43">
        <f>表格1[[#This Row],[Unit Price]]/表格1[[#This Row],[SRP]]</f>
        <v>0.58579881656804733</v>
      </c>
      <c r="U1869" s="86" t="str">
        <f>_xlfn.XLOOKUP(表格1[[#This Row],[Model]],表格3[Model-Input-Ref2],表格3[TOSHIBA/HIGHEST])</f>
        <v>Shops Highest Price</v>
      </c>
      <c r="V1869" s="86">
        <v>1111</v>
      </c>
      <c r="W1869" s="86" t="str">
        <f>_xlfn.CONCAT(表格1[[#This Row],[欄4]],表格1[[#This Row],[inv no]])</f>
        <v>11111111001</v>
      </c>
    </row>
    <row r="1870" spans="1:23" hidden="1">
      <c r="A1870" s="81">
        <v>1868</v>
      </c>
      <c r="B1870" s="81" t="s">
        <v>1470</v>
      </c>
      <c r="C1870" s="81" t="s">
        <v>1766</v>
      </c>
      <c r="D1870" s="82" t="str">
        <f ca="1">OFFSET(Roster!$A$3,MATCH(表格1[[#This Row],[Location]]&amp;" "&amp;表格1[[#This Row],[Shop]]&amp;"*",Roster!$A$4:$A$72,0),DAY(表格1[[#This Row],[date]]),1,1)</f>
        <v>Leo</v>
      </c>
      <c r="E1870" s="81">
        <f>MONTH(表格1[[#This Row],[date]])</f>
        <v>3</v>
      </c>
      <c r="F1870" s="90">
        <v>46089</v>
      </c>
      <c r="G1870" s="81" t="str">
        <f>VLOOKUP("*"&amp;表格1[[#This Row],[Input]]&amp;"*",'Ref-List'!$B:$D,2,)</f>
        <v>RAD-D300H</v>
      </c>
      <c r="H1870" s="81" t="str">
        <f>_xlfn.XLOOKUP(表格1[[#This Row],[Model]],表格3[Model-Input-Ref2],表格3[Product Line])</f>
        <v>壓縮式抽濕機 (30公升)</v>
      </c>
      <c r="I1870" s="81" t="str">
        <f>_xlfn.XLOOKUP(表格1[[#This Row],[Model]],表格3[Model-Input-Ref2],表格3[大小電])</f>
        <v>細電</v>
      </c>
      <c r="J1870" s="81" t="str">
        <f>_xlfn.XLOOKUP(表格1[[#This Row],[Model]],表格3[Model-Input-Ref2],表格3[Code])</f>
        <v>RAC</v>
      </c>
      <c r="K1870" s="89" t="s">
        <v>1252</v>
      </c>
      <c r="L1870" s="86">
        <v>1</v>
      </c>
      <c r="M1870" s="87">
        <v>2000</v>
      </c>
      <c r="N1870" s="85">
        <f>IFERROR(表格1[[#This Row],[QTY]]*表格1[[#This Row],[Unit Price]],"-")</f>
        <v>2000</v>
      </c>
      <c r="O1870" s="86">
        <v>1110997</v>
      </c>
      <c r="R1870" s="86" t="str">
        <f>_xlfn.CONCAT(表格1[[#This Row],[Model]]," ",表格1[[#This Row],[inv no]])</f>
        <v>RAD-D300H 1110997</v>
      </c>
      <c r="S1870" s="86">
        <f>_xlfn.XLOOKUP(表格1[[#This Row],[Model]],表格3[Model-Input-Ref2],表格3[SRP PRICE])</f>
        <v>3380</v>
      </c>
      <c r="T1870" s="43">
        <f>表格1[[#This Row],[Unit Price]]/表格1[[#This Row],[SRP]]</f>
        <v>0.59171597633136097</v>
      </c>
      <c r="U1870" s="86" t="str">
        <f>_xlfn.XLOOKUP(表格1[[#This Row],[Model]],表格3[Model-Input-Ref2],表格3[TOSHIBA/HIGHEST])</f>
        <v>Shops Highest Price</v>
      </c>
      <c r="V1870" s="86">
        <v>1110</v>
      </c>
      <c r="W1870" s="86" t="str">
        <f>_xlfn.CONCAT(表格1[[#This Row],[欄4]],表格1[[#This Row],[inv no]])</f>
        <v>11101110997</v>
      </c>
    </row>
    <row r="1871" spans="1:23" hidden="1">
      <c r="A1871" s="81">
        <v>1869</v>
      </c>
      <c r="B1871" s="81" t="s">
        <v>1470</v>
      </c>
      <c r="C1871" s="81" t="s">
        <v>1766</v>
      </c>
      <c r="D1871" s="82" t="str">
        <f ca="1">OFFSET(Roster!$A$3,MATCH(表格1[[#This Row],[Location]]&amp;" "&amp;表格1[[#This Row],[Shop]]&amp;"*",Roster!$A$4:$A$72,0),DAY(表格1[[#This Row],[date]]),1,1)</f>
        <v>Leo</v>
      </c>
      <c r="E1871" s="81">
        <f>MONTH(表格1[[#This Row],[date]])</f>
        <v>3</v>
      </c>
      <c r="F1871" s="90">
        <v>46090</v>
      </c>
      <c r="G1871" s="81" t="str">
        <f>VLOOKUP("*"&amp;表格1[[#This Row],[Input]]&amp;"*",'Ref-List'!$B:$D,2,)</f>
        <v>RAD-D300H</v>
      </c>
      <c r="H1871" s="81" t="str">
        <f>_xlfn.XLOOKUP(表格1[[#This Row],[Model]],表格3[Model-Input-Ref2],表格3[Product Line])</f>
        <v>壓縮式抽濕機 (30公升)</v>
      </c>
      <c r="I1871" s="81" t="str">
        <f>_xlfn.XLOOKUP(表格1[[#This Row],[Model]],表格3[Model-Input-Ref2],表格3[大小電])</f>
        <v>細電</v>
      </c>
      <c r="J1871" s="81" t="str">
        <f>_xlfn.XLOOKUP(表格1[[#This Row],[Model]],表格3[Model-Input-Ref2],表格3[Code])</f>
        <v>RAC</v>
      </c>
      <c r="K1871" s="89" t="s">
        <v>1252</v>
      </c>
      <c r="L1871" s="86">
        <v>1</v>
      </c>
      <c r="M1871" s="87">
        <v>1980</v>
      </c>
      <c r="N1871" s="85">
        <f>IFERROR(表格1[[#This Row],[QTY]]*表格1[[#This Row],[Unit Price]],"-")</f>
        <v>1980</v>
      </c>
      <c r="O1871" s="86">
        <v>1111030</v>
      </c>
      <c r="R1871" s="86" t="str">
        <f>_xlfn.CONCAT(表格1[[#This Row],[Model]]," ",表格1[[#This Row],[inv no]])</f>
        <v>RAD-D300H 1111030</v>
      </c>
      <c r="S1871" s="86">
        <f>_xlfn.XLOOKUP(表格1[[#This Row],[Model]],表格3[Model-Input-Ref2],表格3[SRP PRICE])</f>
        <v>3380</v>
      </c>
      <c r="T1871" s="43">
        <f>表格1[[#This Row],[Unit Price]]/表格1[[#This Row],[SRP]]</f>
        <v>0.58579881656804733</v>
      </c>
      <c r="U1871" s="86" t="str">
        <f>_xlfn.XLOOKUP(表格1[[#This Row],[Model]],表格3[Model-Input-Ref2],表格3[TOSHIBA/HIGHEST])</f>
        <v>Shops Highest Price</v>
      </c>
      <c r="V1871" s="86">
        <v>1110</v>
      </c>
      <c r="W1871" s="86" t="str">
        <f>_xlfn.CONCAT(表格1[[#This Row],[欄4]],表格1[[#This Row],[inv no]])</f>
        <v>11101111030</v>
      </c>
    </row>
    <row r="1872" spans="1:23" hidden="1">
      <c r="A1872" s="81">
        <v>1870</v>
      </c>
      <c r="B1872" s="81" t="s">
        <v>1470</v>
      </c>
      <c r="C1872" s="81" t="s">
        <v>1766</v>
      </c>
      <c r="D1872" s="82" t="str">
        <f ca="1">OFFSET(Roster!$A$3,MATCH(表格1[[#This Row],[Location]]&amp;" "&amp;表格1[[#This Row],[Shop]]&amp;"*",Roster!$A$4:$A$72,0),DAY(表格1[[#This Row],[date]]),1,1)</f>
        <v>Leo</v>
      </c>
      <c r="E1872" s="81">
        <f>MONTH(表格1[[#This Row],[date]])</f>
        <v>3</v>
      </c>
      <c r="F1872" s="90">
        <v>46090</v>
      </c>
      <c r="G1872" s="81" t="str">
        <f>VLOOKUP("*"&amp;表格1[[#This Row],[Input]]&amp;"*",'Ref-List'!$B:$D,2,)</f>
        <v>CFK01W75</v>
      </c>
      <c r="H1872" s="81" t="str">
        <f>_xlfn.XLOOKUP(表格1[[#This Row],[Model]],表格3[Model-Input-Ref2],表格3[Product Line])</f>
        <v>變頻頂揭式洗衣機 (7.5公斤)</v>
      </c>
      <c r="I1872" s="81" t="str">
        <f>_xlfn.XLOOKUP(表格1[[#This Row],[Model]],表格3[Model-Input-Ref2],表格3[大小電])</f>
        <v>大電</v>
      </c>
      <c r="J1872" s="81" t="str">
        <f>_xlfn.XLOOKUP(表格1[[#This Row],[Model]],表格3[Model-Input-Ref2],表格3[Code])</f>
        <v>LAD</v>
      </c>
      <c r="K1872" s="89" t="s">
        <v>1266</v>
      </c>
      <c r="L1872" s="86">
        <v>1</v>
      </c>
      <c r="M1872" s="87">
        <v>3398</v>
      </c>
      <c r="N1872" s="85">
        <f>IFERROR(表格1[[#This Row],[QTY]]*表格1[[#This Row],[Unit Price]],"-")</f>
        <v>3398</v>
      </c>
      <c r="O1872" s="86">
        <v>1111015</v>
      </c>
      <c r="R1872" s="86" t="str">
        <f>_xlfn.CONCAT(表格1[[#This Row],[Model]]," ",表格1[[#This Row],[inv no]])</f>
        <v>CFK01W75 1111015</v>
      </c>
      <c r="S1872" s="86">
        <f>_xlfn.XLOOKUP(表格1[[#This Row],[Model]],表格3[Model-Input-Ref2],表格3[SRP PRICE])</f>
        <v>3888</v>
      </c>
      <c r="T1872" s="43">
        <f>表格1[[#This Row],[Unit Price]]/表格1[[#This Row],[SRP]]</f>
        <v>0.87397119341563789</v>
      </c>
      <c r="U1872" s="86" t="str">
        <f>_xlfn.XLOOKUP(表格1[[#This Row],[Model]],表格3[Model-Input-Ref2],表格3[TOSHIBA/HIGHEST])</f>
        <v>Shops Highest Price</v>
      </c>
      <c r="V1872" s="86">
        <v>1110</v>
      </c>
      <c r="W1872" s="86" t="str">
        <f>_xlfn.CONCAT(表格1[[#This Row],[欄4]],表格1[[#This Row],[inv no]])</f>
        <v>11101111015</v>
      </c>
    </row>
    <row r="1873" spans="1:23" hidden="1">
      <c r="A1873" s="81">
        <v>1871</v>
      </c>
      <c r="B1873" s="81" t="s">
        <v>1470</v>
      </c>
      <c r="C1873" s="81" t="s">
        <v>1766</v>
      </c>
      <c r="D1873" s="82" t="str">
        <f ca="1">OFFSET(Roster!$A$3,MATCH(表格1[[#This Row],[Location]]&amp;" "&amp;表格1[[#This Row],[Shop]]&amp;"*",Roster!$A$4:$A$72,0),DAY(表格1[[#This Row],[date]]),1,1)</f>
        <v>Leo</v>
      </c>
      <c r="E1873" s="81">
        <f>MONTH(表格1[[#This Row],[date]])</f>
        <v>3</v>
      </c>
      <c r="F1873" s="90">
        <v>46090</v>
      </c>
      <c r="G1873" s="81" t="str">
        <f>VLOOKUP("*"&amp;表格1[[#This Row],[Input]]&amp;"*",'Ref-List'!$B:$D,2,)</f>
        <v>GR-RB360WE-PMA(06)</v>
      </c>
      <c r="H1873" s="81" t="str">
        <f>_xlfn.XLOOKUP(表格1[[#This Row],[Model]],表格3[Model-Input-Ref2],表格3[Product Line])</f>
        <v>變頻下置式雙門雪櫃系列270L</v>
      </c>
      <c r="I1873" s="81" t="str">
        <f>_xlfn.XLOOKUP(表格1[[#This Row],[Model]],表格3[Model-Input-Ref2],表格3[大小電])</f>
        <v>大電</v>
      </c>
      <c r="J1873" s="81" t="str">
        <f>_xlfn.XLOOKUP(表格1[[#This Row],[Model]],表格3[Model-Input-Ref2],表格3[Code])</f>
        <v>REF</v>
      </c>
      <c r="K1873" s="89" t="s">
        <v>1282</v>
      </c>
      <c r="L1873" s="86">
        <v>1</v>
      </c>
      <c r="M1873" s="87">
        <v>3480</v>
      </c>
      <c r="N1873" s="85">
        <f>IFERROR(表格1[[#This Row],[QTY]]*表格1[[#This Row],[Unit Price]],"-")</f>
        <v>3480</v>
      </c>
      <c r="O1873" s="86">
        <v>1111037</v>
      </c>
      <c r="R1873" s="86" t="str">
        <f>_xlfn.CONCAT(表格1[[#This Row],[Model]]," ",表格1[[#This Row],[inv no]])</f>
        <v>GR-RB360WE-PMA(06) 1111037</v>
      </c>
      <c r="S1873" s="86">
        <f>_xlfn.XLOOKUP(表格1[[#This Row],[Model]],表格3[Model-Input-Ref2],表格3[SRP PRICE])</f>
        <v>5080</v>
      </c>
      <c r="T1873" s="43">
        <f>表格1[[#This Row],[Unit Price]]/表格1[[#This Row],[SRP]]</f>
        <v>0.68503937007874016</v>
      </c>
      <c r="U1873" s="86" t="str">
        <f>_xlfn.XLOOKUP(表格1[[#This Row],[Model]],表格3[Model-Input-Ref2],表格3[TOSHIBA/HIGHEST])</f>
        <v>Toshiba SRP</v>
      </c>
      <c r="V1873" s="86">
        <v>1110</v>
      </c>
      <c r="W1873" s="86" t="str">
        <f>_xlfn.CONCAT(表格1[[#This Row],[欄4]],表格1[[#This Row],[inv no]])</f>
        <v>11101111037</v>
      </c>
    </row>
    <row r="1874" spans="1:23" hidden="1">
      <c r="A1874" s="81">
        <v>1872</v>
      </c>
      <c r="B1874" s="81" t="s">
        <v>1470</v>
      </c>
      <c r="C1874" s="81" t="s">
        <v>1766</v>
      </c>
      <c r="D1874" s="82" t="str">
        <f ca="1">OFFSET(Roster!$A$3,MATCH(表格1[[#This Row],[Location]]&amp;" "&amp;表格1[[#This Row],[Shop]]&amp;"*",Roster!$A$4:$A$72,0),DAY(表格1[[#This Row],[date]]),1,1)</f>
        <v>Leo</v>
      </c>
      <c r="E1874" s="81">
        <f>MONTH(表格1[[#This Row],[date]])</f>
        <v>3</v>
      </c>
      <c r="F1874" s="90">
        <v>46090</v>
      </c>
      <c r="G1874" s="81" t="str">
        <f>VLOOKUP("*"&amp;表格1[[#This Row],[Input]]&amp;"*",'Ref-List'!$B:$D,2,)</f>
        <v>GR-RT300WE-PMA(57)</v>
      </c>
      <c r="H1874" s="81" t="str">
        <f>_xlfn.XLOOKUP(表格1[[#This Row],[Model]],表格3[Model-Input-Ref2],表格3[Product Line])</f>
        <v>變頻式環保雙門雪櫃(233L)</v>
      </c>
      <c r="I1874" s="81" t="str">
        <f>_xlfn.XLOOKUP(表格1[[#This Row],[Model]],表格3[Model-Input-Ref2],表格3[大小電])</f>
        <v>大電</v>
      </c>
      <c r="J1874" s="81" t="str">
        <f>_xlfn.XLOOKUP(表格1[[#This Row],[Model]],表格3[Model-Input-Ref2],表格3[Code])</f>
        <v>REF</v>
      </c>
      <c r="K1874" s="89" t="s">
        <v>1462</v>
      </c>
      <c r="L1874" s="86">
        <v>1</v>
      </c>
      <c r="M1874" s="87">
        <v>2680</v>
      </c>
      <c r="N1874" s="85">
        <f>IFERROR(表格1[[#This Row],[QTY]]*表格1[[#This Row],[Unit Price]],"-")</f>
        <v>2680</v>
      </c>
      <c r="O1874" s="86">
        <v>1111036</v>
      </c>
      <c r="R1874" s="86" t="str">
        <f>_xlfn.CONCAT(表格1[[#This Row],[Model]]," ",表格1[[#This Row],[inv no]])</f>
        <v>GR-RT300WE-PMA(57) 1111036</v>
      </c>
      <c r="S1874" s="86">
        <f>_xlfn.XLOOKUP(表格1[[#This Row],[Model]],表格3[Model-Input-Ref2],表格3[SRP PRICE])</f>
        <v>4280</v>
      </c>
      <c r="T1874" s="43">
        <f>表格1[[#This Row],[Unit Price]]/表格1[[#This Row],[SRP]]</f>
        <v>0.62616822429906538</v>
      </c>
      <c r="U1874" s="86" t="str">
        <f>_xlfn.XLOOKUP(表格1[[#This Row],[Model]],表格3[Model-Input-Ref2],表格3[TOSHIBA/HIGHEST])</f>
        <v>Toshiba SRP</v>
      </c>
      <c r="V1874" s="86">
        <v>1110</v>
      </c>
      <c r="W1874" s="86" t="str">
        <f>_xlfn.CONCAT(表格1[[#This Row],[欄4]],表格1[[#This Row],[inv no]])</f>
        <v>11101111036</v>
      </c>
    </row>
    <row r="1875" spans="1:23" hidden="1">
      <c r="A1875" s="81">
        <v>1873</v>
      </c>
      <c r="B1875" s="81" t="s">
        <v>1470</v>
      </c>
      <c r="C1875" s="81" t="s">
        <v>1766</v>
      </c>
      <c r="D1875" s="82" t="str">
        <f ca="1">OFFSET(Roster!$A$3,MATCH(表格1[[#This Row],[Location]]&amp;" "&amp;表格1[[#This Row],[Shop]]&amp;"*",Roster!$A$4:$A$72,0),DAY(表格1[[#This Row],[date]]),1,1)</f>
        <v>Leo</v>
      </c>
      <c r="E1875" s="81">
        <f>MONTH(表格1[[#This Row],[date]])</f>
        <v>3</v>
      </c>
      <c r="F1875" s="90">
        <v>46091</v>
      </c>
      <c r="G1875" s="81" t="str">
        <f>VLOOKUP("*"&amp;表格1[[#This Row],[Input]]&amp;"*",'Ref-List'!$B:$D,2,)</f>
        <v>RC-DR18T(W)</v>
      </c>
      <c r="H1875" s="81" t="str">
        <f>_xlfn.XLOOKUP(表格1[[#This Row],[Model]],表格3[Model-Input-Ref2],表格3[Product Line])</f>
        <v>IH磁應電飯煲
鑽石銅鍋</v>
      </c>
      <c r="I1875" s="81" t="str">
        <f>_xlfn.XLOOKUP(表格1[[#This Row],[Model]],表格3[Model-Input-Ref2],表格3[大小電])</f>
        <v>細電</v>
      </c>
      <c r="J1875" s="81" t="str">
        <f>_xlfn.XLOOKUP(表格1[[#This Row],[Model]],表格3[Model-Input-Ref2],表格3[Code])</f>
        <v>SDA</v>
      </c>
      <c r="K1875" s="89" t="s">
        <v>1378</v>
      </c>
      <c r="L1875" s="86">
        <v>1</v>
      </c>
      <c r="M1875" s="87">
        <v>2550</v>
      </c>
      <c r="N1875" s="85">
        <f>IFERROR(表格1[[#This Row],[QTY]]*表格1[[#This Row],[Unit Price]],"-")</f>
        <v>2550</v>
      </c>
      <c r="O1875" s="86">
        <v>1111068</v>
      </c>
      <c r="R1875" s="86" t="str">
        <f>_xlfn.CONCAT(表格1[[#This Row],[Model]]," ",表格1[[#This Row],[inv no]])</f>
        <v>RC-DR18T(W) 1111068</v>
      </c>
      <c r="S1875" s="86">
        <f>_xlfn.XLOOKUP(表格1[[#This Row],[Model]],表格3[Model-Input-Ref2],表格3[SRP PRICE])</f>
        <v>3588</v>
      </c>
      <c r="T1875" s="43">
        <f>表格1[[#This Row],[Unit Price]]/表格1[[#This Row],[SRP]]</f>
        <v>0.71070234113712372</v>
      </c>
      <c r="U1875" s="86" t="str">
        <f>_xlfn.XLOOKUP(表格1[[#This Row],[Model]],表格3[Model-Input-Ref2],表格3[TOSHIBA/HIGHEST])</f>
        <v>Toshiba SRP</v>
      </c>
      <c r="V1875" s="86">
        <v>1110</v>
      </c>
      <c r="W1875" s="86" t="str">
        <f>_xlfn.CONCAT(表格1[[#This Row],[欄4]],表格1[[#This Row],[inv no]])</f>
        <v>11101111068</v>
      </c>
    </row>
    <row r="1876" spans="1:23" hidden="1">
      <c r="A1876" s="81">
        <v>1874</v>
      </c>
      <c r="B1876" s="81" t="s">
        <v>1470</v>
      </c>
      <c r="C1876" s="81" t="s">
        <v>1766</v>
      </c>
      <c r="D1876" s="82" t="str">
        <f ca="1">OFFSET(Roster!$A$3,MATCH(表格1[[#This Row],[Location]]&amp;" "&amp;表格1[[#This Row],[Shop]]&amp;"*",Roster!$A$4:$A$72,0),DAY(表格1[[#This Row],[date]]),1,1)</f>
        <v>Leo</v>
      </c>
      <c r="E1876" s="81">
        <f>MONTH(表格1[[#This Row],[date]])</f>
        <v>3</v>
      </c>
      <c r="F1876" s="90">
        <v>46091</v>
      </c>
      <c r="G1876" s="81" t="str">
        <f>VLOOKUP("*"&amp;表格1[[#This Row],[Input]]&amp;"*",'Ref-List'!$B:$D,2,)</f>
        <v>IC-S19RH</v>
      </c>
      <c r="H1876" s="81" t="str">
        <f>_xlfn.XLOOKUP(表格1[[#This Row],[Model]],表格3[Model-Input-Ref2],表格3[Product Line])</f>
        <v>輕便式電磁爐7個功能</v>
      </c>
      <c r="I1876" s="81" t="str">
        <f>_xlfn.XLOOKUP(表格1[[#This Row],[Model]],表格3[Model-Input-Ref2],表格3[大小電])</f>
        <v>細電</v>
      </c>
      <c r="J1876" s="81" t="str">
        <f>_xlfn.XLOOKUP(表格1[[#This Row],[Model]],表格3[Model-Input-Ref2],表格3[Code])</f>
        <v>SDA</v>
      </c>
      <c r="K1876" s="89" t="s">
        <v>1289</v>
      </c>
      <c r="L1876" s="86">
        <v>1</v>
      </c>
      <c r="M1876" s="87">
        <v>400</v>
      </c>
      <c r="N1876" s="85">
        <f>IFERROR(表格1[[#This Row],[QTY]]*表格1[[#This Row],[Unit Price]],"-")</f>
        <v>400</v>
      </c>
      <c r="O1876" s="86">
        <v>1111044</v>
      </c>
      <c r="R1876" s="86" t="str">
        <f>_xlfn.CONCAT(表格1[[#This Row],[Model]]," ",表格1[[#This Row],[inv no]])</f>
        <v>IC-S19RH 1111044</v>
      </c>
      <c r="S1876" s="86">
        <f>_xlfn.XLOOKUP(表格1[[#This Row],[Model]],表格3[Model-Input-Ref2],表格3[SRP PRICE])</f>
        <v>638</v>
      </c>
      <c r="T1876" s="43">
        <f>表格1[[#This Row],[Unit Price]]/表格1[[#This Row],[SRP]]</f>
        <v>0.62695924764890287</v>
      </c>
      <c r="U1876" s="86" t="str">
        <f>_xlfn.XLOOKUP(表格1[[#This Row],[Model]],表格3[Model-Input-Ref2],表格3[TOSHIBA/HIGHEST])</f>
        <v>Toshiba SRP</v>
      </c>
      <c r="V1876" s="86">
        <v>1110</v>
      </c>
      <c r="W1876" s="86" t="str">
        <f>_xlfn.CONCAT(表格1[[#This Row],[欄4]],表格1[[#This Row],[inv no]])</f>
        <v>11101111044</v>
      </c>
    </row>
    <row r="1877" spans="1:23" hidden="1">
      <c r="A1877" s="81">
        <v>1875</v>
      </c>
      <c r="B1877" s="81" t="s">
        <v>1470</v>
      </c>
      <c r="C1877" s="81" t="s">
        <v>1766</v>
      </c>
      <c r="D1877" s="82" t="str">
        <f ca="1">OFFSET(Roster!$A$3,MATCH(表格1[[#This Row],[Location]]&amp;" "&amp;表格1[[#This Row],[Shop]]&amp;"*",Roster!$A$4:$A$72,0),DAY(表格1[[#This Row],[date]]),1,1)</f>
        <v>Leo</v>
      </c>
      <c r="E1877" s="81">
        <f>MONTH(表格1[[#This Row],[date]])</f>
        <v>3</v>
      </c>
      <c r="F1877" s="90">
        <v>46091</v>
      </c>
      <c r="G1877" s="81" t="str">
        <f>VLOOKUP("*"&amp;表格1[[#This Row],[Input]]&amp;"*",'Ref-List'!$B:$D,2,)</f>
        <v>RAD-D300H</v>
      </c>
      <c r="H1877" s="81" t="str">
        <f>_xlfn.XLOOKUP(表格1[[#This Row],[Model]],表格3[Model-Input-Ref2],表格3[Product Line])</f>
        <v>壓縮式抽濕機 (30公升)</v>
      </c>
      <c r="I1877" s="81" t="str">
        <f>_xlfn.XLOOKUP(表格1[[#This Row],[Model]],表格3[Model-Input-Ref2],表格3[大小電])</f>
        <v>細電</v>
      </c>
      <c r="J1877" s="81" t="str">
        <f>_xlfn.XLOOKUP(表格1[[#This Row],[Model]],表格3[Model-Input-Ref2],表格3[Code])</f>
        <v>RAC</v>
      </c>
      <c r="K1877" s="89" t="s">
        <v>1252</v>
      </c>
      <c r="L1877" s="86">
        <v>1</v>
      </c>
      <c r="M1877" s="87">
        <v>1980</v>
      </c>
      <c r="N1877" s="85">
        <f>IFERROR(表格1[[#This Row],[QTY]]*表格1[[#This Row],[Unit Price]],"-")</f>
        <v>1980</v>
      </c>
      <c r="O1877" s="86">
        <v>1111041</v>
      </c>
      <c r="R1877" s="86" t="str">
        <f>_xlfn.CONCAT(表格1[[#This Row],[Model]]," ",表格1[[#This Row],[inv no]])</f>
        <v>RAD-D300H 1111041</v>
      </c>
      <c r="S1877" s="86">
        <f>_xlfn.XLOOKUP(表格1[[#This Row],[Model]],表格3[Model-Input-Ref2],表格3[SRP PRICE])</f>
        <v>3380</v>
      </c>
      <c r="T1877" s="43">
        <f>表格1[[#This Row],[Unit Price]]/表格1[[#This Row],[SRP]]</f>
        <v>0.58579881656804733</v>
      </c>
      <c r="U1877" s="86" t="str">
        <f>_xlfn.XLOOKUP(表格1[[#This Row],[Model]],表格3[Model-Input-Ref2],表格3[TOSHIBA/HIGHEST])</f>
        <v>Shops Highest Price</v>
      </c>
      <c r="V1877" s="86">
        <v>1110</v>
      </c>
      <c r="W1877" s="86" t="str">
        <f>_xlfn.CONCAT(表格1[[#This Row],[欄4]],表格1[[#This Row],[inv no]])</f>
        <v>11101111041</v>
      </c>
    </row>
    <row r="1878" spans="1:23" hidden="1">
      <c r="A1878" s="81">
        <v>1876</v>
      </c>
      <c r="B1878" s="81" t="s">
        <v>1470</v>
      </c>
      <c r="C1878" s="81" t="s">
        <v>1766</v>
      </c>
      <c r="D1878" s="82" t="str">
        <f ca="1">OFFSET(Roster!$A$3,MATCH(表格1[[#This Row],[Location]]&amp;" "&amp;表格1[[#This Row],[Shop]]&amp;"*",Roster!$A$4:$A$72,0),DAY(表格1[[#This Row],[date]]),1,1)</f>
        <v>Leo</v>
      </c>
      <c r="E1878" s="81">
        <f>MONTH(表格1[[#This Row],[date]])</f>
        <v>3</v>
      </c>
      <c r="F1878" s="90">
        <v>46091</v>
      </c>
      <c r="G1878" s="81" t="str">
        <f>VLOOKUP("*"&amp;表格1[[#This Row],[Input]]&amp;"*",'Ref-List'!$B:$D,2,)</f>
        <v>CFK01W75</v>
      </c>
      <c r="H1878" s="81" t="str">
        <f>_xlfn.XLOOKUP(表格1[[#This Row],[Model]],表格3[Model-Input-Ref2],表格3[Product Line])</f>
        <v>變頻頂揭式洗衣機 (7.5公斤)</v>
      </c>
      <c r="I1878" s="81" t="str">
        <f>_xlfn.XLOOKUP(表格1[[#This Row],[Model]],表格3[Model-Input-Ref2],表格3[大小電])</f>
        <v>大電</v>
      </c>
      <c r="J1878" s="81" t="str">
        <f>_xlfn.XLOOKUP(表格1[[#This Row],[Model]],表格3[Model-Input-Ref2],表格3[Code])</f>
        <v>LAD</v>
      </c>
      <c r="K1878" s="89" t="s">
        <v>1266</v>
      </c>
      <c r="L1878" s="86">
        <v>1</v>
      </c>
      <c r="M1878" s="87">
        <v>3298</v>
      </c>
      <c r="N1878" s="85">
        <f>IFERROR(表格1[[#This Row],[QTY]]*表格1[[#This Row],[Unit Price]],"-")</f>
        <v>3298</v>
      </c>
      <c r="O1878" s="86">
        <v>1111054</v>
      </c>
      <c r="R1878" s="86" t="str">
        <f>_xlfn.CONCAT(表格1[[#This Row],[Model]]," ",表格1[[#This Row],[inv no]])</f>
        <v>CFK01W75 1111054</v>
      </c>
      <c r="S1878" s="86">
        <f>_xlfn.XLOOKUP(表格1[[#This Row],[Model]],表格3[Model-Input-Ref2],表格3[SRP PRICE])</f>
        <v>3888</v>
      </c>
      <c r="T1878" s="43">
        <f>表格1[[#This Row],[Unit Price]]/表格1[[#This Row],[SRP]]</f>
        <v>0.84825102880658432</v>
      </c>
      <c r="U1878" s="86" t="str">
        <f>_xlfn.XLOOKUP(表格1[[#This Row],[Model]],表格3[Model-Input-Ref2],表格3[TOSHIBA/HIGHEST])</f>
        <v>Shops Highest Price</v>
      </c>
      <c r="V1878" s="86">
        <v>1110</v>
      </c>
      <c r="W1878" s="86" t="str">
        <f>_xlfn.CONCAT(表格1[[#This Row],[欄4]],表格1[[#This Row],[inv no]])</f>
        <v>11101111054</v>
      </c>
    </row>
    <row r="1879" spans="1:23" hidden="1">
      <c r="A1879" s="81">
        <v>1877</v>
      </c>
      <c r="B1879" s="81" t="s">
        <v>1470</v>
      </c>
      <c r="C1879" s="81" t="s">
        <v>1766</v>
      </c>
      <c r="D1879" s="82" t="str">
        <f ca="1">OFFSET(Roster!$A$3,MATCH(表格1[[#This Row],[Location]]&amp;" "&amp;表格1[[#This Row],[Shop]]&amp;"*",Roster!$A$4:$A$72,0),DAY(表格1[[#This Row],[date]]),1,1)</f>
        <v>Leo</v>
      </c>
      <c r="E1879" s="81">
        <f>MONTH(表格1[[#This Row],[date]])</f>
        <v>3</v>
      </c>
      <c r="F1879" s="90">
        <v>46091</v>
      </c>
      <c r="G1879" s="81" t="str">
        <f>VLOOKUP("*"&amp;表格1[[#This Row],[Input]]&amp;"*",'Ref-List'!$B:$D,2,)</f>
        <v>TWD-T22BU95UWH(WK)-B</v>
      </c>
      <c r="H1879" s="81" t="str">
        <f>_xlfn.XLOOKUP(表格1[[#This Row],[Model]],表格3[Model-Input-Ref2],表格3[Product Line])</f>
        <v>470MM超薄身前置式變頻洗衣乾衣機 (洗8.5公斤/乾6公斤, 可飛頂)</v>
      </c>
      <c r="I1879" s="81" t="str">
        <f>_xlfn.XLOOKUP(表格1[[#This Row],[Model]],表格3[Model-Input-Ref2],表格3[大小電])</f>
        <v>大電</v>
      </c>
      <c r="J1879" s="81" t="str">
        <f>_xlfn.XLOOKUP(表格1[[#This Row],[Model]],表格3[Model-Input-Ref2],表格3[Code])</f>
        <v>LAD</v>
      </c>
      <c r="K1879" s="89" t="s">
        <v>1421</v>
      </c>
      <c r="L1879" s="86">
        <v>1</v>
      </c>
      <c r="M1879" s="87">
        <v>4580</v>
      </c>
      <c r="N1879" s="85">
        <f>IFERROR(表格1[[#This Row],[QTY]]*表格1[[#This Row],[Unit Price]],"-")</f>
        <v>4580</v>
      </c>
      <c r="O1879" s="86">
        <v>1111064</v>
      </c>
      <c r="R1879" s="86" t="str">
        <f>_xlfn.CONCAT(表格1[[#This Row],[Model]]," ",表格1[[#This Row],[inv no]])</f>
        <v>TWD-T22BU95UWH(WK)-B 1111064</v>
      </c>
      <c r="S1879" s="86">
        <f>_xlfn.XLOOKUP(表格1[[#This Row],[Model]],表格3[Model-Input-Ref2],表格3[SRP PRICE])</f>
        <v>7480</v>
      </c>
      <c r="T1879" s="43">
        <f>表格1[[#This Row],[Unit Price]]/表格1[[#This Row],[SRP]]</f>
        <v>0.61229946524064172</v>
      </c>
      <c r="U1879" s="86" t="str">
        <f>_xlfn.XLOOKUP(表格1[[#This Row],[Model]],表格3[Model-Input-Ref2],表格3[TOSHIBA/HIGHEST])</f>
        <v>Toshiba SRP</v>
      </c>
      <c r="V1879" s="86">
        <v>1110</v>
      </c>
      <c r="W1879" s="86" t="str">
        <f>_xlfn.CONCAT(表格1[[#This Row],[欄4]],表格1[[#This Row],[inv no]])</f>
        <v>11101111064</v>
      </c>
    </row>
    <row r="1880" spans="1:23" hidden="1">
      <c r="A1880" s="81">
        <v>1878</v>
      </c>
      <c r="B1880" s="81" t="s">
        <v>1470</v>
      </c>
      <c r="C1880" s="81" t="s">
        <v>1766</v>
      </c>
      <c r="D1880" s="82" t="str">
        <f ca="1">OFFSET(Roster!$A$3,MATCH(表格1[[#This Row],[Location]]&amp;" "&amp;表格1[[#This Row],[Shop]]&amp;"*",Roster!$A$4:$A$72,0),DAY(表格1[[#This Row],[date]]),1,1)</f>
        <v>Leo</v>
      </c>
      <c r="E1880" s="81">
        <f>MONTH(表格1[[#This Row],[date]])</f>
        <v>3</v>
      </c>
      <c r="F1880" s="90">
        <v>46091</v>
      </c>
      <c r="G1880" s="81" t="str">
        <f>VLOOKUP("*"&amp;表格1[[#This Row],[Input]]&amp;"*",'Ref-List'!$B:$D,2,)</f>
        <v>TW-T22BU95UWH(WK)-B</v>
      </c>
      <c r="H1880" s="81" t="str">
        <f>_xlfn.XLOOKUP(表格1[[#This Row],[Model]],表格3[Model-Input-Ref2],表格3[Product Line])</f>
        <v>470MM超薄身前置式變頻洗衣機(8.5公斤, 可飛頂)</v>
      </c>
      <c r="I1880" s="81" t="str">
        <f>_xlfn.XLOOKUP(表格1[[#This Row],[Model]],表格3[Model-Input-Ref2],表格3[大小電])</f>
        <v>大電</v>
      </c>
      <c r="J1880" s="81" t="str">
        <f>_xlfn.XLOOKUP(表格1[[#This Row],[Model]],表格3[Model-Input-Ref2],表格3[Code])</f>
        <v>LAD</v>
      </c>
      <c r="K1880" s="89" t="s">
        <v>969</v>
      </c>
      <c r="L1880" s="86">
        <v>1</v>
      </c>
      <c r="M1880" s="87">
        <v>3480</v>
      </c>
      <c r="N1880" s="85">
        <f>IFERROR(表格1[[#This Row],[QTY]]*表格1[[#This Row],[Unit Price]],"-")</f>
        <v>3480</v>
      </c>
      <c r="O1880" s="86">
        <v>1111080</v>
      </c>
      <c r="R1880" s="86" t="str">
        <f>_xlfn.CONCAT(表格1[[#This Row],[Model]]," ",表格1[[#This Row],[inv no]])</f>
        <v>TW-T22BU95UWH(WK)-B 1111080</v>
      </c>
      <c r="S1880" s="86">
        <f>_xlfn.XLOOKUP(表格1[[#This Row],[Model]],表格3[Model-Input-Ref2],表格3[SRP PRICE])</f>
        <v>5880</v>
      </c>
      <c r="T1880" s="43">
        <f>表格1[[#This Row],[Unit Price]]/表格1[[#This Row],[SRP]]</f>
        <v>0.59183673469387754</v>
      </c>
      <c r="U1880" s="86" t="str">
        <f>_xlfn.XLOOKUP(表格1[[#This Row],[Model]],表格3[Model-Input-Ref2],表格3[TOSHIBA/HIGHEST])</f>
        <v>Toshiba SRP</v>
      </c>
      <c r="V1880" s="86">
        <v>1110</v>
      </c>
      <c r="W1880" s="86" t="str">
        <f>_xlfn.CONCAT(表格1[[#This Row],[欄4]],表格1[[#This Row],[inv no]])</f>
        <v>11101111080</v>
      </c>
    </row>
    <row r="1881" spans="1:23" hidden="1">
      <c r="A1881" s="81">
        <v>1879</v>
      </c>
      <c r="B1881" s="81" t="s">
        <v>1470</v>
      </c>
      <c r="C1881" s="81" t="s">
        <v>1766</v>
      </c>
      <c r="D1881" s="82" t="str">
        <f ca="1">OFFSET(Roster!$A$3,MATCH(表格1[[#This Row],[Location]]&amp;" "&amp;表格1[[#This Row],[Shop]]&amp;"*",Roster!$A$4:$A$72,0),DAY(表格1[[#This Row],[date]]),1,1)</f>
        <v>Leo</v>
      </c>
      <c r="E1881" s="81">
        <f>MONTH(表格1[[#This Row],[date]])</f>
        <v>3</v>
      </c>
      <c r="F1881" s="90">
        <v>46091</v>
      </c>
      <c r="G1881" s="81" t="str">
        <f>VLOOKUP("*"&amp;表格1[[#This Row],[Input]]&amp;"*",'Ref-List'!$B:$D,2,)</f>
        <v>IC-21TSHK</v>
      </c>
      <c r="H1881" s="81" t="str">
        <f>_xlfn.XLOOKUP(表格1[[#This Row],[Model]],表格3[Model-Input-Ref2],表格3[Product Line])</f>
        <v>Induction Cooker</v>
      </c>
      <c r="I1881" s="81" t="str">
        <f>_xlfn.XLOOKUP(表格1[[#This Row],[Model]],表格3[Model-Input-Ref2],表格3[大小電])</f>
        <v>細電</v>
      </c>
      <c r="J1881" s="81" t="str">
        <f>_xlfn.XLOOKUP(表格1[[#This Row],[Model]],表格3[Model-Input-Ref2],表格3[Code])</f>
        <v>SDA</v>
      </c>
      <c r="K1881" s="89" t="s">
        <v>1242</v>
      </c>
      <c r="L1881" s="86">
        <v>1</v>
      </c>
      <c r="M1881" s="87">
        <v>798</v>
      </c>
      <c r="N1881" s="85">
        <f>IFERROR(表格1[[#This Row],[QTY]]*表格1[[#This Row],[Unit Price]],"-")</f>
        <v>798</v>
      </c>
      <c r="O1881" s="86">
        <v>1111050</v>
      </c>
      <c r="R1881" s="86" t="str">
        <f>_xlfn.CONCAT(表格1[[#This Row],[Model]]," ",表格1[[#This Row],[inv no]])</f>
        <v>IC-21TSHK 1111050</v>
      </c>
      <c r="S1881" s="86">
        <f>_xlfn.XLOOKUP(表格1[[#This Row],[Model]],表格3[Model-Input-Ref2],表格3[SRP PRICE])</f>
        <v>998</v>
      </c>
      <c r="T1881" s="43">
        <f>表格1[[#This Row],[Unit Price]]/表格1[[#This Row],[SRP]]</f>
        <v>0.79959919839679361</v>
      </c>
      <c r="U1881" s="86" t="str">
        <f>_xlfn.XLOOKUP(表格1[[#This Row],[Model]],表格3[Model-Input-Ref2],表格3[TOSHIBA/HIGHEST])</f>
        <v>web SRP</v>
      </c>
      <c r="V1881" s="86">
        <v>1110</v>
      </c>
      <c r="W1881" s="86" t="str">
        <f>_xlfn.CONCAT(表格1[[#This Row],[欄4]],表格1[[#This Row],[inv no]])</f>
        <v>11101111050</v>
      </c>
    </row>
    <row r="1882" spans="1:23" hidden="1">
      <c r="A1882" s="81">
        <v>1880</v>
      </c>
      <c r="B1882" s="81" t="s">
        <v>1470</v>
      </c>
      <c r="C1882" s="81" t="s">
        <v>1766</v>
      </c>
      <c r="D1882" s="82" t="str">
        <f ca="1">OFFSET(Roster!$A$3,MATCH(表格1[[#This Row],[Location]]&amp;" "&amp;表格1[[#This Row],[Shop]]&amp;"*",Roster!$A$4:$A$72,0),DAY(表格1[[#This Row],[date]]),1,1)</f>
        <v>Leo</v>
      </c>
      <c r="E1882" s="81">
        <f>MONTH(表格1[[#This Row],[date]])</f>
        <v>3</v>
      </c>
      <c r="F1882" s="90">
        <v>46091</v>
      </c>
      <c r="G1882" s="81" t="str">
        <f>VLOOKUP("*"&amp;表格1[[#This Row],[Input]]&amp;"*",'Ref-List'!$B:$D,2,)</f>
        <v>MX2-TT20SC(WH)</v>
      </c>
      <c r="H1882" s="81" t="str">
        <f>_xlfn.XLOOKUP(表格1[[#This Row],[Model]],表格3[Model-Input-Ref2],表格3[Product Line])</f>
        <v>3合1 微波蒸焗爐 (20公升)</v>
      </c>
      <c r="I1882" s="81" t="str">
        <f>_xlfn.XLOOKUP(表格1[[#This Row],[Model]],表格3[Model-Input-Ref2],表格3[大小電])</f>
        <v>細電</v>
      </c>
      <c r="J1882" s="81" t="str">
        <f>_xlfn.XLOOKUP(表格1[[#This Row],[Model]],表格3[Model-Input-Ref2],表格3[Code])</f>
        <v>MCA</v>
      </c>
      <c r="K1882" s="89" t="s">
        <v>1287</v>
      </c>
      <c r="L1882" s="86">
        <v>1</v>
      </c>
      <c r="M1882" s="87">
        <v>2440</v>
      </c>
      <c r="N1882" s="85">
        <f>IFERROR(表格1[[#This Row],[QTY]]*表格1[[#This Row],[Unit Price]],"-")</f>
        <v>2440</v>
      </c>
      <c r="O1882" s="86">
        <v>1111073</v>
      </c>
      <c r="R1882" s="86" t="str">
        <f>_xlfn.CONCAT(表格1[[#This Row],[Model]]," ",表格1[[#This Row],[inv no]])</f>
        <v>MX2-TT20SC(WH) 1111073</v>
      </c>
      <c r="S1882" s="86">
        <f>_xlfn.XLOOKUP(表格1[[#This Row],[Model]],表格3[Model-Input-Ref2],表格3[SRP PRICE])</f>
        <v>3580</v>
      </c>
      <c r="T1882" s="43">
        <f>表格1[[#This Row],[Unit Price]]/表格1[[#This Row],[SRP]]</f>
        <v>0.68156424581005581</v>
      </c>
      <c r="U1882" s="86" t="str">
        <f>_xlfn.XLOOKUP(表格1[[#This Row],[Model]],表格3[Model-Input-Ref2],表格3[TOSHIBA/HIGHEST])</f>
        <v>Toshiba SRP</v>
      </c>
      <c r="V1882" s="86">
        <v>1110</v>
      </c>
      <c r="W1882" s="86" t="str">
        <f>_xlfn.CONCAT(表格1[[#This Row],[欄4]],表格1[[#This Row],[inv no]])</f>
        <v>11101111073</v>
      </c>
    </row>
    <row r="1883" spans="1:23" hidden="1">
      <c r="A1883" s="81">
        <v>1881</v>
      </c>
      <c r="B1883" s="81" t="s">
        <v>1470</v>
      </c>
      <c r="C1883" s="81" t="s">
        <v>1766</v>
      </c>
      <c r="D1883" s="82" t="str">
        <f ca="1">OFFSET(Roster!$A$3,MATCH(表格1[[#This Row],[Location]]&amp;" "&amp;表格1[[#This Row],[Shop]]&amp;"*",Roster!$A$4:$A$72,0),DAY(表格1[[#This Row],[date]]),1,1)</f>
        <v>Leo</v>
      </c>
      <c r="E1883" s="81">
        <f>MONTH(表格1[[#This Row],[date]])</f>
        <v>3</v>
      </c>
      <c r="F1883" s="90">
        <v>46091</v>
      </c>
      <c r="G1883" s="81" t="str">
        <f>VLOOKUP("*"&amp;表格1[[#This Row],[Input]]&amp;"*",'Ref-List'!$B:$D,2,)</f>
        <v>RAD-D300H</v>
      </c>
      <c r="H1883" s="81" t="str">
        <f>_xlfn.XLOOKUP(表格1[[#This Row],[Model]],表格3[Model-Input-Ref2],表格3[Product Line])</f>
        <v>壓縮式抽濕機 (30公升)</v>
      </c>
      <c r="I1883" s="81" t="str">
        <f>_xlfn.XLOOKUP(表格1[[#This Row],[Model]],表格3[Model-Input-Ref2],表格3[大小電])</f>
        <v>細電</v>
      </c>
      <c r="J1883" s="81" t="str">
        <f>_xlfn.XLOOKUP(表格1[[#This Row],[Model]],表格3[Model-Input-Ref2],表格3[Code])</f>
        <v>RAC</v>
      </c>
      <c r="K1883" s="89" t="s">
        <v>1252</v>
      </c>
      <c r="L1883" s="86">
        <v>1</v>
      </c>
      <c r="M1883" s="87">
        <v>1980</v>
      </c>
      <c r="N1883" s="85">
        <f>IFERROR(表格1[[#This Row],[QTY]]*表格1[[#This Row],[Unit Price]],"-")</f>
        <v>1980</v>
      </c>
      <c r="O1883" s="86">
        <v>1111058</v>
      </c>
      <c r="R1883" s="86" t="str">
        <f>_xlfn.CONCAT(表格1[[#This Row],[Model]]," ",表格1[[#This Row],[inv no]])</f>
        <v>RAD-D300H 1111058</v>
      </c>
      <c r="S1883" s="86">
        <f>_xlfn.XLOOKUP(表格1[[#This Row],[Model]],表格3[Model-Input-Ref2],表格3[SRP PRICE])</f>
        <v>3380</v>
      </c>
      <c r="T1883" s="43">
        <f>表格1[[#This Row],[Unit Price]]/表格1[[#This Row],[SRP]]</f>
        <v>0.58579881656804733</v>
      </c>
      <c r="U1883" s="86" t="str">
        <f>_xlfn.XLOOKUP(表格1[[#This Row],[Model]],表格3[Model-Input-Ref2],表格3[TOSHIBA/HIGHEST])</f>
        <v>Shops Highest Price</v>
      </c>
      <c r="V1883" s="86">
        <v>1110</v>
      </c>
      <c r="W1883" s="86" t="str">
        <f>_xlfn.CONCAT(表格1[[#This Row],[欄4]],表格1[[#This Row],[inv no]])</f>
        <v>11101111058</v>
      </c>
    </row>
    <row r="1884" spans="1:23" hidden="1">
      <c r="A1884" s="81">
        <v>1882</v>
      </c>
      <c r="B1884" s="81" t="s">
        <v>1470</v>
      </c>
      <c r="C1884" s="81" t="s">
        <v>1766</v>
      </c>
      <c r="D1884" s="82" t="str">
        <f ca="1">OFFSET(Roster!$A$3,MATCH(表格1[[#This Row],[Location]]&amp;" "&amp;表格1[[#This Row],[Shop]]&amp;"*",Roster!$A$4:$A$72,0),DAY(表格1[[#This Row],[date]]),1,1)</f>
        <v>Leo off</v>
      </c>
      <c r="E1884" s="81">
        <f>MONTH(表格1[[#This Row],[date]])</f>
        <v>3</v>
      </c>
      <c r="F1884" s="90">
        <v>46092</v>
      </c>
      <c r="G1884" s="81" t="str">
        <f>VLOOKUP("*"&amp;表格1[[#This Row],[Input]]&amp;"*",'Ref-List'!$B:$D,2,)</f>
        <v>KT-14DHUHK(W)</v>
      </c>
      <c r="H1884" s="81" t="str">
        <f>_xlfn.XLOOKUP(表格1[[#This Row],[Model]],表格3[Model-Input-Ref2],表格3[Product Line])</f>
        <v>無線雙層電熱水壺(1.4公升)</v>
      </c>
      <c r="I1884" s="81" t="str">
        <f>_xlfn.XLOOKUP(表格1[[#This Row],[Model]],表格3[Model-Input-Ref2],表格3[大小電])</f>
        <v>細電</v>
      </c>
      <c r="J1884" s="81" t="str">
        <f>_xlfn.XLOOKUP(表格1[[#This Row],[Model]],表格3[Model-Input-Ref2],表格3[Code])</f>
        <v>SDA</v>
      </c>
      <c r="K1884" s="89" t="s">
        <v>1425</v>
      </c>
      <c r="L1884" s="86">
        <v>1</v>
      </c>
      <c r="M1884" s="87">
        <v>298</v>
      </c>
      <c r="N1884" s="85">
        <f>IFERROR(表格1[[#This Row],[QTY]]*表格1[[#This Row],[Unit Price]],"-")</f>
        <v>298</v>
      </c>
      <c r="O1884" s="86">
        <v>1111137</v>
      </c>
      <c r="R1884" s="86" t="str">
        <f>_xlfn.CONCAT(表格1[[#This Row],[Model]]," ",表格1[[#This Row],[inv no]])</f>
        <v>KT-14DHUHK(W) 1111137</v>
      </c>
      <c r="S1884" s="86">
        <f>_xlfn.XLOOKUP(表格1[[#This Row],[Model]],表格3[Model-Input-Ref2],表格3[SRP PRICE])</f>
        <v>458</v>
      </c>
      <c r="T1884" s="43">
        <f>表格1[[#This Row],[Unit Price]]/表格1[[#This Row],[SRP]]</f>
        <v>0.6506550218340611</v>
      </c>
      <c r="U1884" s="86" t="str">
        <f>_xlfn.XLOOKUP(表格1[[#This Row],[Model]],表格3[Model-Input-Ref2],表格3[TOSHIBA/HIGHEST])</f>
        <v>Toshiba SRP</v>
      </c>
      <c r="V1884" s="86">
        <v>1110</v>
      </c>
      <c r="W1884" s="86" t="str">
        <f>_xlfn.CONCAT(表格1[[#This Row],[欄4]],表格1[[#This Row],[inv no]])</f>
        <v>11101111137</v>
      </c>
    </row>
    <row r="1885" spans="1:23" hidden="1">
      <c r="A1885" s="81">
        <v>1883</v>
      </c>
      <c r="B1885" s="81" t="s">
        <v>1470</v>
      </c>
      <c r="C1885" s="81" t="s">
        <v>1766</v>
      </c>
      <c r="D1885" s="82" t="str">
        <f ca="1">OFFSET(Roster!$A$3,MATCH(表格1[[#This Row],[Location]]&amp;" "&amp;表格1[[#This Row],[Shop]]&amp;"*",Roster!$A$4:$A$72,0),DAY(表格1[[#This Row],[date]]),1,1)</f>
        <v>Leo off</v>
      </c>
      <c r="E1885" s="81">
        <f>MONTH(表格1[[#This Row],[date]])</f>
        <v>3</v>
      </c>
      <c r="F1885" s="90">
        <v>46092</v>
      </c>
      <c r="G1885" s="81" t="str">
        <f>VLOOKUP("*"&amp;表格1[[#This Row],[Input]]&amp;"*",'Ref-List'!$B:$D,2,)</f>
        <v>TWD-BN90GF4H(WK)</v>
      </c>
      <c r="H1885" s="81" t="str">
        <f>_xlfn.XLOOKUP(表格1[[#This Row],[Model]],表格3[Model-Input-Ref2],表格3[Product Line])</f>
        <v>超薄身前置式洗衣乾衣機 (洗8公斤 乾5公斤)</v>
      </c>
      <c r="I1885" s="81" t="str">
        <f>_xlfn.XLOOKUP(表格1[[#This Row],[Model]],表格3[Model-Input-Ref2],表格3[大小電])</f>
        <v>大電</v>
      </c>
      <c r="J1885" s="81" t="str">
        <f>_xlfn.XLOOKUP(表格1[[#This Row],[Model]],表格3[Model-Input-Ref2],表格3[Code])</f>
        <v>WM</v>
      </c>
      <c r="K1885" s="89" t="s">
        <v>1199</v>
      </c>
      <c r="L1885" s="86">
        <v>1</v>
      </c>
      <c r="M1885" s="87">
        <v>3560</v>
      </c>
      <c r="N1885" s="85">
        <f>IFERROR(表格1[[#This Row],[QTY]]*表格1[[#This Row],[Unit Price]],"-")</f>
        <v>3560</v>
      </c>
      <c r="O1885" s="86">
        <v>1111134</v>
      </c>
      <c r="R1885" s="86" t="str">
        <f>_xlfn.CONCAT(表格1[[#This Row],[Model]]," ",表格1[[#This Row],[inv no]])</f>
        <v>TWD-BN90GF4H(WK) 1111134</v>
      </c>
      <c r="S1885" s="86">
        <f>_xlfn.XLOOKUP(表格1[[#This Row],[Model]],表格3[Model-Input-Ref2],表格3[SRP PRICE])</f>
        <v>5980</v>
      </c>
      <c r="T1885" s="43">
        <f>表格1[[#This Row],[Unit Price]]/表格1[[#This Row],[SRP]]</f>
        <v>0.59531772575250841</v>
      </c>
      <c r="U1885" s="86" t="str">
        <f>_xlfn.XLOOKUP(表格1[[#This Row],[Model]],表格3[Model-Input-Ref2],表格3[TOSHIBA/HIGHEST])</f>
        <v>Toshiba SRP</v>
      </c>
      <c r="V1885" s="86">
        <v>1110</v>
      </c>
      <c r="W1885" s="86" t="str">
        <f>_xlfn.CONCAT(表格1[[#This Row],[欄4]],表格1[[#This Row],[inv no]])</f>
        <v>11101111134</v>
      </c>
    </row>
    <row r="1886" spans="1:23" hidden="1">
      <c r="A1886" s="81">
        <v>1884</v>
      </c>
      <c r="B1886" s="81" t="s">
        <v>1470</v>
      </c>
      <c r="C1886" s="81" t="s">
        <v>1766</v>
      </c>
      <c r="D1886" s="82" t="str">
        <f ca="1">OFFSET(Roster!$A$3,MATCH(表格1[[#This Row],[Location]]&amp;" "&amp;表格1[[#This Row],[Shop]]&amp;"*",Roster!$A$4:$A$72,0),DAY(表格1[[#This Row],[date]]),1,1)</f>
        <v>Leo off</v>
      </c>
      <c r="E1886" s="81">
        <f>MONTH(表格1[[#This Row],[date]])</f>
        <v>3</v>
      </c>
      <c r="F1886" s="90">
        <v>46092</v>
      </c>
      <c r="G1886" s="81" t="str">
        <f>VLOOKUP("*"&amp;表格1[[#This Row],[Input]]&amp;"*",'Ref-List'!$B:$D,2,)</f>
        <v>RAD-D300H</v>
      </c>
      <c r="H1886" s="81" t="str">
        <f>_xlfn.XLOOKUP(表格1[[#This Row],[Model]],表格3[Model-Input-Ref2],表格3[Product Line])</f>
        <v>壓縮式抽濕機 (30公升)</v>
      </c>
      <c r="I1886" s="81" t="str">
        <f>_xlfn.XLOOKUP(表格1[[#This Row],[Model]],表格3[Model-Input-Ref2],表格3[大小電])</f>
        <v>細電</v>
      </c>
      <c r="J1886" s="81" t="str">
        <f>_xlfn.XLOOKUP(表格1[[#This Row],[Model]],表格3[Model-Input-Ref2],表格3[Code])</f>
        <v>RAC</v>
      </c>
      <c r="K1886" s="89" t="s">
        <v>1252</v>
      </c>
      <c r="L1886" s="86">
        <v>1</v>
      </c>
      <c r="M1886" s="87">
        <v>1980</v>
      </c>
      <c r="N1886" s="85">
        <f>IFERROR(表格1[[#This Row],[QTY]]*表格1[[#This Row],[Unit Price]],"-")</f>
        <v>1980</v>
      </c>
      <c r="O1886" s="86">
        <v>1111127</v>
      </c>
      <c r="R1886" s="86" t="str">
        <f>_xlfn.CONCAT(表格1[[#This Row],[Model]]," ",表格1[[#This Row],[inv no]])</f>
        <v>RAD-D300H 1111127</v>
      </c>
      <c r="S1886" s="86">
        <f>_xlfn.XLOOKUP(表格1[[#This Row],[Model]],表格3[Model-Input-Ref2],表格3[SRP PRICE])</f>
        <v>3380</v>
      </c>
      <c r="T1886" s="43">
        <f>表格1[[#This Row],[Unit Price]]/表格1[[#This Row],[SRP]]</f>
        <v>0.58579881656804733</v>
      </c>
      <c r="U1886" s="86" t="str">
        <f>_xlfn.XLOOKUP(表格1[[#This Row],[Model]],表格3[Model-Input-Ref2],表格3[TOSHIBA/HIGHEST])</f>
        <v>Shops Highest Price</v>
      </c>
      <c r="V1886" s="86">
        <v>1110</v>
      </c>
      <c r="W1886" s="86" t="str">
        <f>_xlfn.CONCAT(表格1[[#This Row],[欄4]],表格1[[#This Row],[inv no]])</f>
        <v>11101111127</v>
      </c>
    </row>
    <row r="1887" spans="1:23" hidden="1">
      <c r="A1887" s="81">
        <v>1885</v>
      </c>
      <c r="B1887" s="81" t="s">
        <v>1470</v>
      </c>
      <c r="C1887" s="81" t="s">
        <v>1766</v>
      </c>
      <c r="D1887" s="82" t="str">
        <f ca="1">OFFSET(Roster!$A$3,MATCH(表格1[[#This Row],[Location]]&amp;" "&amp;表格1[[#This Row],[Shop]]&amp;"*",Roster!$A$4:$A$72,0),DAY(表格1[[#This Row],[date]]),1,1)</f>
        <v>Leo off</v>
      </c>
      <c r="E1887" s="81">
        <f>MONTH(表格1[[#This Row],[date]])</f>
        <v>3</v>
      </c>
      <c r="F1887" s="90">
        <v>46092</v>
      </c>
      <c r="G1887" s="81" t="str">
        <f>VLOOKUP("*"&amp;表格1[[#This Row],[Input]]&amp;"*",'Ref-List'!$B:$D,2,)</f>
        <v>TW-T21BU90UWH(WW)</v>
      </c>
      <c r="H1887" s="81" t="str">
        <f>_xlfn.XLOOKUP(表格1[[#This Row],[Model]],表格3[Model-Input-Ref2],表格3[Product Line])</f>
        <v>8公斤超薄身前置式變頻洗衣機</v>
      </c>
      <c r="I1887" s="81" t="str">
        <f>_xlfn.XLOOKUP(表格1[[#This Row],[Model]],表格3[Model-Input-Ref2],表格3[大小電])</f>
        <v>大電</v>
      </c>
      <c r="J1887" s="81" t="str">
        <f>_xlfn.XLOOKUP(表格1[[#This Row],[Model]],表格3[Model-Input-Ref2],表格3[Code])</f>
        <v>LAD</v>
      </c>
      <c r="K1887" s="89" t="s">
        <v>1472</v>
      </c>
      <c r="L1887" s="86">
        <v>1</v>
      </c>
      <c r="M1887" s="87">
        <v>3080</v>
      </c>
      <c r="N1887" s="85">
        <f>IFERROR(表格1[[#This Row],[QTY]]*表格1[[#This Row],[Unit Price]],"-")</f>
        <v>3080</v>
      </c>
      <c r="O1887" s="86">
        <v>1111100</v>
      </c>
      <c r="R1887" s="86" t="str">
        <f>_xlfn.CONCAT(表格1[[#This Row],[Model]]," ",表格1[[#This Row],[inv no]])</f>
        <v>TW-T21BU90UWH(WW) 1111100</v>
      </c>
      <c r="S1887" s="86">
        <f>_xlfn.XLOOKUP(表格1[[#This Row],[Model]],表格3[Model-Input-Ref2],表格3[SRP PRICE])</f>
        <v>5480</v>
      </c>
      <c r="T1887" s="43">
        <f>表格1[[#This Row],[Unit Price]]/表格1[[#This Row],[SRP]]</f>
        <v>0.56204379562043794</v>
      </c>
      <c r="U1887" s="86" t="str">
        <f>_xlfn.XLOOKUP(表格1[[#This Row],[Model]],表格3[Model-Input-Ref2],表格3[TOSHIBA/HIGHEST])</f>
        <v>Toshiba SRP</v>
      </c>
      <c r="V1887" s="86">
        <v>1110</v>
      </c>
      <c r="W1887" s="86" t="str">
        <f>_xlfn.CONCAT(表格1[[#This Row],[欄4]],表格1[[#This Row],[inv no]])</f>
        <v>11101111100</v>
      </c>
    </row>
    <row r="1888" spans="1:23" hidden="1">
      <c r="A1888" s="81">
        <v>1886</v>
      </c>
      <c r="B1888" s="81" t="s">
        <v>1470</v>
      </c>
      <c r="C1888" s="81" t="s">
        <v>1766</v>
      </c>
      <c r="D1888" s="82" t="str">
        <f ca="1">OFFSET(Roster!$A$3,MATCH(表格1[[#This Row],[Location]]&amp;" "&amp;表格1[[#This Row],[Shop]]&amp;"*",Roster!$A$4:$A$72,0),DAY(表格1[[#This Row],[date]]),1,1)</f>
        <v>Leo</v>
      </c>
      <c r="E1888" s="81">
        <f>MONTH(表格1[[#This Row],[date]])</f>
        <v>3</v>
      </c>
      <c r="F1888" s="90">
        <v>46093</v>
      </c>
      <c r="G1888" s="81" t="str">
        <f>VLOOKUP("*"&amp;表格1[[#This Row],[Input]]&amp;"*",'Ref-List'!$B:$D,2,)</f>
        <v>TWP-TSR76THK(W)</v>
      </c>
      <c r="H1888" s="81" t="str">
        <f>_xlfn.XLOOKUP(表格1[[#This Row],[Model]],表格3[Model-Input-Ref2],表格3[Product Line])</f>
        <v>RO座檯式飲水機</v>
      </c>
      <c r="I1888" s="81" t="str">
        <f>_xlfn.XLOOKUP(表格1[[#This Row],[Model]],表格3[Model-Input-Ref2],表格3[大小電])</f>
        <v>細電</v>
      </c>
      <c r="J1888" s="81" t="str">
        <f>_xlfn.XLOOKUP(表格1[[#This Row],[Model]],表格3[Model-Input-Ref2],表格3[Code])</f>
        <v>KWH</v>
      </c>
      <c r="K1888" s="89" t="s">
        <v>1197</v>
      </c>
      <c r="L1888" s="86">
        <v>1</v>
      </c>
      <c r="M1888" s="87">
        <v>1800</v>
      </c>
      <c r="N1888" s="85">
        <f>IFERROR(表格1[[#This Row],[QTY]]*表格1[[#This Row],[Unit Price]],"-")</f>
        <v>1800</v>
      </c>
      <c r="O1888" s="86">
        <v>1111165</v>
      </c>
      <c r="R1888" s="86" t="str">
        <f>_xlfn.CONCAT(表格1[[#This Row],[Model]]," ",表格1[[#This Row],[inv no]])</f>
        <v>TWP-TSR76THK(W) 1111165</v>
      </c>
      <c r="S1888" s="86">
        <f>_xlfn.XLOOKUP(表格1[[#This Row],[Model]],表格3[Model-Input-Ref2],表格3[SRP PRICE])</f>
        <v>2680</v>
      </c>
      <c r="T1888" s="43">
        <f>表格1[[#This Row],[Unit Price]]/表格1[[#This Row],[SRP]]</f>
        <v>0.67164179104477617</v>
      </c>
      <c r="U1888" s="86" t="str">
        <f>_xlfn.XLOOKUP(表格1[[#This Row],[Model]],表格3[Model-Input-Ref2],表格3[TOSHIBA/HIGHEST])</f>
        <v>Toshiba SRP</v>
      </c>
      <c r="V1888" s="86">
        <v>1110</v>
      </c>
      <c r="W1888" s="86" t="str">
        <f>_xlfn.CONCAT(表格1[[#This Row],[欄4]],表格1[[#This Row],[inv no]])</f>
        <v>11101111165</v>
      </c>
    </row>
    <row r="1889" spans="1:23" ht="16.5" hidden="1">
      <c r="A1889" s="81">
        <v>1887</v>
      </c>
      <c r="B1889" s="81" t="s">
        <v>1470</v>
      </c>
      <c r="C1889" s="81" t="s">
        <v>1766</v>
      </c>
      <c r="D1889" s="82" t="str">
        <f ca="1">OFFSET(Roster!$A$3,MATCH(表格1[[#This Row],[Location]]&amp;" "&amp;表格1[[#This Row],[Shop]]&amp;"*",Roster!$A$4:$A$72,0),DAY(表格1[[#This Row],[date]]),1,1)</f>
        <v>Leo</v>
      </c>
      <c r="E1889" s="81">
        <f>MONTH(表格1[[#This Row],[date]])</f>
        <v>3</v>
      </c>
      <c r="F1889" s="90">
        <v>46093</v>
      </c>
      <c r="G1889" s="81" t="str">
        <f>VLOOKUP("*"&amp;表格1[[#This Row],[Input]]&amp;"*",'Ref-List'!$B:$D,2,)</f>
        <v>MWP-MM20P(WH)</v>
      </c>
      <c r="H1889" s="81" t="str">
        <f>_xlfn.XLOOKUP(表格1[[#This Row],[Model]],表格3[Model-Input-Ref2],表格3[Product Line])</f>
        <v>旋鈕式燒烤微波爐20L</v>
      </c>
      <c r="I1889" s="81" t="str">
        <f>_xlfn.XLOOKUP(表格1[[#This Row],[Model]],表格3[Model-Input-Ref2],表格3[大小電])</f>
        <v>細電</v>
      </c>
      <c r="J1889" s="81" t="str">
        <f>_xlfn.XLOOKUP(表格1[[#This Row],[Model]],表格3[Model-Input-Ref2],表格3[Code])</f>
        <v>SDA</v>
      </c>
      <c r="K1889" s="89" t="s">
        <v>1270</v>
      </c>
      <c r="L1889" s="86">
        <v>1</v>
      </c>
      <c r="M1889" s="87">
        <v>532</v>
      </c>
      <c r="N1889" s="85">
        <f>IFERROR(表格1[[#This Row],[QTY]]*表格1[[#This Row],[Unit Price]],"-")</f>
        <v>532</v>
      </c>
      <c r="O1889" s="86">
        <v>1111144</v>
      </c>
      <c r="P1889" s="141"/>
      <c r="R1889" s="86" t="str">
        <f>_xlfn.CONCAT(表格1[[#This Row],[Model]]," ",表格1[[#This Row],[inv no]])</f>
        <v>MWP-MM20P(WH) 1111144</v>
      </c>
      <c r="S1889" s="86">
        <f>_xlfn.XLOOKUP(表格1[[#This Row],[Model]],表格3[Model-Input-Ref2],表格3[SRP PRICE])</f>
        <v>648</v>
      </c>
      <c r="T1889" s="43">
        <f>表格1[[#This Row],[Unit Price]]/表格1[[#This Row],[SRP]]</f>
        <v>0.82098765432098764</v>
      </c>
      <c r="U1889" s="86" t="str">
        <f>_xlfn.XLOOKUP(表格1[[#This Row],[Model]],表格3[Model-Input-Ref2],表格3[TOSHIBA/HIGHEST])</f>
        <v>Toshiba SRP</v>
      </c>
      <c r="V1889" s="86">
        <v>1110</v>
      </c>
      <c r="W1889" s="86" t="str">
        <f>_xlfn.CONCAT(表格1[[#This Row],[欄4]],表格1[[#This Row],[inv no]])</f>
        <v>11101111144</v>
      </c>
    </row>
    <row r="1890" spans="1:23" ht="16.5" hidden="1">
      <c r="A1890" s="81">
        <v>1888</v>
      </c>
      <c r="B1890" s="81" t="s">
        <v>1470</v>
      </c>
      <c r="C1890" s="81" t="s">
        <v>1766</v>
      </c>
      <c r="D1890" s="82" t="str">
        <f ca="1">OFFSET(Roster!$A$3,MATCH(表格1[[#This Row],[Location]]&amp;" "&amp;表格1[[#This Row],[Shop]]&amp;"*",Roster!$A$4:$A$72,0),DAY(表格1[[#This Row],[date]]),1,1)</f>
        <v>Leo</v>
      </c>
      <c r="E1890" s="81">
        <f>MONTH(表格1[[#This Row],[date]])</f>
        <v>3</v>
      </c>
      <c r="F1890" s="90">
        <v>46094</v>
      </c>
      <c r="G1890" s="81" t="str">
        <f>VLOOKUP("*"&amp;表格1[[#This Row],[Input]]&amp;"*",'Ref-List'!$B:$D,2,)</f>
        <v>MM2-EG20PC(WH)</v>
      </c>
      <c r="H1890" s="81" t="str">
        <f>_xlfn.XLOOKUP(表格1[[#This Row],[Model]],表格3[Model-Input-Ref2],表格3[Product Line])</f>
        <v>輕觸式燒烤微波爐</v>
      </c>
      <c r="I1890" s="81" t="str">
        <f>_xlfn.XLOOKUP(表格1[[#This Row],[Model]],表格3[Model-Input-Ref2],表格3[大小電])</f>
        <v>細電</v>
      </c>
      <c r="J1890" s="81" t="str">
        <f>_xlfn.XLOOKUP(表格1[[#This Row],[Model]],表格3[Model-Input-Ref2],表格3[Code])</f>
        <v>MCA</v>
      </c>
      <c r="K1890" s="89" t="s">
        <v>1273</v>
      </c>
      <c r="L1890" s="86">
        <v>1</v>
      </c>
      <c r="M1890" s="87">
        <v>640</v>
      </c>
      <c r="N1890" s="85">
        <f>IFERROR(表格1[[#This Row],[QTY]]*表格1[[#This Row],[Unit Price]],"-")</f>
        <v>640</v>
      </c>
      <c r="O1890" s="86">
        <v>1111186</v>
      </c>
      <c r="P1890" s="141"/>
      <c r="R1890" s="86" t="str">
        <f>_xlfn.CONCAT(表格1[[#This Row],[Model]]," ",表格1[[#This Row],[inv no]])</f>
        <v>MM2-EG20PC(WH) 1111186</v>
      </c>
      <c r="S1890" s="86">
        <f>_xlfn.XLOOKUP(表格1[[#This Row],[Model]],表格3[Model-Input-Ref2],表格3[SRP PRICE])</f>
        <v>918</v>
      </c>
      <c r="T1890" s="43">
        <f>表格1[[#This Row],[Unit Price]]/表格1[[#This Row],[SRP]]</f>
        <v>0.69716775599128544</v>
      </c>
      <c r="U1890" s="86" t="str">
        <f>_xlfn.XLOOKUP(表格1[[#This Row],[Model]],表格3[Model-Input-Ref2],表格3[TOSHIBA/HIGHEST])</f>
        <v>Shops Highest Price</v>
      </c>
      <c r="V1890" s="86">
        <v>1111</v>
      </c>
      <c r="W1890" s="86" t="str">
        <f>_xlfn.CONCAT(表格1[[#This Row],[欄4]],表格1[[#This Row],[inv no]])</f>
        <v>11111111186</v>
      </c>
    </row>
    <row r="1891" spans="1:23" hidden="1">
      <c r="A1891" s="81">
        <v>1889</v>
      </c>
      <c r="B1891" s="81" t="s">
        <v>1470</v>
      </c>
      <c r="C1891" s="81" t="s">
        <v>1766</v>
      </c>
      <c r="D1891" s="82" t="str">
        <f ca="1">OFFSET(Roster!$A$3,MATCH(表格1[[#This Row],[Location]]&amp;" "&amp;表格1[[#This Row],[Shop]]&amp;"*",Roster!$A$4:$A$72,0),DAY(表格1[[#This Row],[date]]),1,1)</f>
        <v>Leo</v>
      </c>
      <c r="E1891" s="81">
        <f>MONTH(表格1[[#This Row],[date]])</f>
        <v>3</v>
      </c>
      <c r="F1891" s="90">
        <v>46094</v>
      </c>
      <c r="G1891" s="81" t="str">
        <f>VLOOKUP("*"&amp;表格1[[#This Row],[Input]]&amp;"*",'Ref-List'!$B:$D,2,)</f>
        <v>CWF-09CRFN8-AD5</v>
      </c>
      <c r="H1891" s="81" t="str">
        <f>_xlfn.XLOOKUP(表格1[[#This Row],[Model]],表格3[Model-Input-Ref2],表格3[Product Line])</f>
        <v>Comfee 1匹變頻窗口式冷氣機</v>
      </c>
      <c r="I1891" s="81" t="str">
        <f>_xlfn.XLOOKUP(表格1[[#This Row],[Model]],表格3[Model-Input-Ref2],表格3[大小電])</f>
        <v>大電</v>
      </c>
      <c r="J1891" s="81" t="str">
        <f>_xlfn.XLOOKUP(表格1[[#This Row],[Model]],表格3[Model-Input-Ref2],表格3[Code])</f>
        <v>RAC</v>
      </c>
      <c r="K1891" s="89" t="s">
        <v>1768</v>
      </c>
      <c r="L1891" s="86">
        <v>1</v>
      </c>
      <c r="M1891" s="87">
        <v>3698</v>
      </c>
      <c r="N1891" s="85">
        <f>IFERROR(表格1[[#This Row],[QTY]]*表格1[[#This Row],[Unit Price]],"-")</f>
        <v>3698</v>
      </c>
      <c r="O1891" s="86">
        <v>1111171</v>
      </c>
      <c r="R1891" s="86" t="str">
        <f>_xlfn.CONCAT(表格1[[#This Row],[Model]]," ",表格1[[#This Row],[inv no]])</f>
        <v>CWF-09CRFN8-AD5 1111171</v>
      </c>
      <c r="S1891" s="86">
        <f>_xlfn.XLOOKUP(表格1[[#This Row],[Model]],表格3[Model-Input-Ref2],表格3[SRP PRICE])</f>
        <v>4600</v>
      </c>
      <c r="T1891" s="43">
        <f>表格1[[#This Row],[Unit Price]]/表格1[[#This Row],[SRP]]</f>
        <v>0.80391304347826087</v>
      </c>
      <c r="U1891" s="86" t="str">
        <f>_xlfn.XLOOKUP(表格1[[#This Row],[Model]],表格3[Model-Input-Ref2],表格3[TOSHIBA/HIGHEST])</f>
        <v>Shops Highest Price</v>
      </c>
      <c r="V1891" s="86">
        <v>1111</v>
      </c>
      <c r="W1891" s="86" t="str">
        <f>_xlfn.CONCAT(表格1[[#This Row],[欄4]],表格1[[#This Row],[inv no]])</f>
        <v>11111111171</v>
      </c>
    </row>
    <row r="1892" spans="1:23" hidden="1">
      <c r="A1892" s="81">
        <v>1890</v>
      </c>
      <c r="B1892" s="81" t="s">
        <v>1470</v>
      </c>
      <c r="C1892" s="81" t="s">
        <v>1766</v>
      </c>
      <c r="D1892" s="82" t="str">
        <f ca="1">OFFSET(Roster!$A$3,MATCH(表格1[[#This Row],[Location]]&amp;" "&amp;表格1[[#This Row],[Shop]]&amp;"*",Roster!$A$4:$A$72,0),DAY(表格1[[#This Row],[date]]),1,1)</f>
        <v>Leo</v>
      </c>
      <c r="E1892" s="81">
        <f>MONTH(表格1[[#This Row],[date]])</f>
        <v>3</v>
      </c>
      <c r="F1892" s="90">
        <v>46094</v>
      </c>
      <c r="G1892" s="81" t="str">
        <f>VLOOKUP("*"&amp;表格1[[#This Row],[Input]]&amp;"*",'Ref-List'!$B:$D,2,)</f>
        <v>TP-25DR2UHK(W)</v>
      </c>
      <c r="H1892" s="81" t="str">
        <f>_xlfn.XLOOKUP(表格1[[#This Row],[Model]],表格3[Model-Input-Ref2],表格3[Product Line])</f>
        <v>電熱水瓶 (2.5公升)</v>
      </c>
      <c r="I1892" s="81" t="str">
        <f>_xlfn.XLOOKUP(表格1[[#This Row],[Model]],表格3[Model-Input-Ref2],表格3[大小電])</f>
        <v>細電</v>
      </c>
      <c r="J1892" s="81" t="str">
        <f>_xlfn.XLOOKUP(表格1[[#This Row],[Model]],表格3[Model-Input-Ref2],表格3[Code])</f>
        <v>SDA</v>
      </c>
      <c r="K1892" s="89" t="s">
        <v>1285</v>
      </c>
      <c r="L1892" s="86">
        <v>1</v>
      </c>
      <c r="M1892" s="87">
        <v>398</v>
      </c>
      <c r="N1892" s="85">
        <f>IFERROR(表格1[[#This Row],[QTY]]*表格1[[#This Row],[Unit Price]],"-")</f>
        <v>398</v>
      </c>
      <c r="O1892" s="86">
        <v>1111202</v>
      </c>
      <c r="R1892" s="86" t="str">
        <f>_xlfn.CONCAT(表格1[[#This Row],[Model]]," ",表格1[[#This Row],[inv no]])</f>
        <v>TP-25DR2UHK(W) 1111202</v>
      </c>
      <c r="S1892" s="86">
        <f>_xlfn.XLOOKUP(表格1[[#This Row],[Model]],表格3[Model-Input-Ref2],表格3[SRP PRICE])</f>
        <v>538</v>
      </c>
      <c r="T1892" s="43">
        <f>表格1[[#This Row],[Unit Price]]/表格1[[#This Row],[SRP]]</f>
        <v>0.7397769516728625</v>
      </c>
      <c r="U1892" s="86" t="str">
        <f>_xlfn.XLOOKUP(表格1[[#This Row],[Model]],表格3[Model-Input-Ref2],表格3[TOSHIBA/HIGHEST])</f>
        <v>Toshiba SRP</v>
      </c>
      <c r="V1892" s="86">
        <v>1111</v>
      </c>
      <c r="W1892" s="86" t="str">
        <f>_xlfn.CONCAT(表格1[[#This Row],[欄4]],表格1[[#This Row],[inv no]])</f>
        <v>11111111202</v>
      </c>
    </row>
    <row r="1893" spans="1:23" hidden="1">
      <c r="A1893" s="81">
        <v>1891</v>
      </c>
      <c r="B1893" s="81" t="s">
        <v>1470</v>
      </c>
      <c r="C1893" s="81" t="s">
        <v>1766</v>
      </c>
      <c r="D1893" s="82" t="str">
        <f ca="1">OFFSET(Roster!$A$3,MATCH(表格1[[#This Row],[Location]]&amp;" "&amp;表格1[[#This Row],[Shop]]&amp;"*",Roster!$A$4:$A$72,0),DAY(表格1[[#This Row],[date]]),1,1)</f>
        <v>Leo</v>
      </c>
      <c r="E1893" s="81">
        <f>MONTH(表格1[[#This Row],[date]])</f>
        <v>3</v>
      </c>
      <c r="F1893" s="90">
        <v>46095</v>
      </c>
      <c r="G1893" s="81" t="str">
        <f>VLOOKUP("*"&amp;表格1[[#This Row],[Input]]&amp;"*",'Ref-List'!$B:$D,2,)</f>
        <v>MWP-MM20P(WH)</v>
      </c>
      <c r="H1893" s="81" t="str">
        <f>_xlfn.XLOOKUP(表格1[[#This Row],[Model]],表格3[Model-Input-Ref2],表格3[Product Line])</f>
        <v>旋鈕式燒烤微波爐20L</v>
      </c>
      <c r="I1893" s="81" t="str">
        <f>_xlfn.XLOOKUP(表格1[[#This Row],[Model]],表格3[Model-Input-Ref2],表格3[大小電])</f>
        <v>細電</v>
      </c>
      <c r="J1893" s="81" t="str">
        <f>_xlfn.XLOOKUP(表格1[[#This Row],[Model]],表格3[Model-Input-Ref2],表格3[Code])</f>
        <v>SDA</v>
      </c>
      <c r="K1893" s="89" t="s">
        <v>1270</v>
      </c>
      <c r="L1893" s="86">
        <v>1</v>
      </c>
      <c r="M1893" s="87">
        <v>532</v>
      </c>
      <c r="N1893" s="85">
        <f>IFERROR(表格1[[#This Row],[QTY]]*表格1[[#This Row],[Unit Price]],"-")</f>
        <v>532</v>
      </c>
      <c r="O1893" s="86">
        <v>1111214</v>
      </c>
      <c r="R1893" s="86" t="str">
        <f>_xlfn.CONCAT(表格1[[#This Row],[Model]]," ",表格1[[#This Row],[inv no]])</f>
        <v>MWP-MM20P(WH) 1111214</v>
      </c>
      <c r="S1893" s="86">
        <f>_xlfn.XLOOKUP(表格1[[#This Row],[Model]],表格3[Model-Input-Ref2],表格3[SRP PRICE])</f>
        <v>648</v>
      </c>
      <c r="T1893" s="43">
        <f>表格1[[#This Row],[Unit Price]]/表格1[[#This Row],[SRP]]</f>
        <v>0.82098765432098764</v>
      </c>
      <c r="U1893" s="86" t="str">
        <f>_xlfn.XLOOKUP(表格1[[#This Row],[Model]],表格3[Model-Input-Ref2],表格3[TOSHIBA/HIGHEST])</f>
        <v>Toshiba SRP</v>
      </c>
      <c r="V1893" s="86">
        <v>1111</v>
      </c>
      <c r="W1893" s="86" t="str">
        <f>_xlfn.CONCAT(表格1[[#This Row],[欄4]],表格1[[#This Row],[inv no]])</f>
        <v>11111111214</v>
      </c>
    </row>
    <row r="1894" spans="1:23" hidden="1">
      <c r="A1894" s="81">
        <v>1892</v>
      </c>
      <c r="B1894" s="81" t="s">
        <v>1470</v>
      </c>
      <c r="C1894" s="81" t="s">
        <v>1766</v>
      </c>
      <c r="D1894" s="82" t="str">
        <f ca="1">OFFSET(Roster!$A$3,MATCH(表格1[[#This Row],[Location]]&amp;" "&amp;表格1[[#This Row],[Shop]]&amp;"*",Roster!$A$4:$A$72,0),DAY(表格1[[#This Row],[date]]),1,1)</f>
        <v>Leo</v>
      </c>
      <c r="E1894" s="81">
        <f>MONTH(表格1[[#This Row],[date]])</f>
        <v>3</v>
      </c>
      <c r="F1894" s="90">
        <v>46095</v>
      </c>
      <c r="G1894" s="81" t="str">
        <f>VLOOKUP("*"&amp;表格1[[#This Row],[Input]]&amp;"*",'Ref-List'!$B:$D,2,)</f>
        <v>RC-5SLIH(W)</v>
      </c>
      <c r="H1894" s="81" t="str">
        <f>_xlfn.XLOOKUP(表格1[[#This Row],[Model]],表格3[Model-Input-Ref2],表格3[Product Line])</f>
        <v>微型電腦珍珠飯煲</v>
      </c>
      <c r="I1894" s="81" t="str">
        <f>_xlfn.XLOOKUP(表格1[[#This Row],[Model]],表格3[Model-Input-Ref2],表格3[大小電])</f>
        <v>細電</v>
      </c>
      <c r="J1894" s="81" t="str">
        <f>_xlfn.XLOOKUP(表格1[[#This Row],[Model]],表格3[Model-Input-Ref2],表格3[Code])</f>
        <v>SDA</v>
      </c>
      <c r="K1894" s="89" t="s">
        <v>1264</v>
      </c>
      <c r="L1894" s="86">
        <v>1</v>
      </c>
      <c r="M1894" s="87">
        <v>538</v>
      </c>
      <c r="N1894" s="85">
        <f>IFERROR(表格1[[#This Row],[QTY]]*表格1[[#This Row],[Unit Price]],"-")</f>
        <v>538</v>
      </c>
      <c r="O1894" s="86">
        <v>1111228</v>
      </c>
      <c r="R1894" s="86" t="str">
        <f>_xlfn.CONCAT(表格1[[#This Row],[Model]]," ",表格1[[#This Row],[inv no]])</f>
        <v>RC-5SLIH(W) 1111228</v>
      </c>
      <c r="S1894" s="86">
        <f>_xlfn.XLOOKUP(表格1[[#This Row],[Model]],表格3[Model-Input-Ref2],表格3[SRP PRICE])</f>
        <v>658</v>
      </c>
      <c r="T1894" s="43">
        <f>表格1[[#This Row],[Unit Price]]/表格1[[#This Row],[SRP]]</f>
        <v>0.81762917933130697</v>
      </c>
      <c r="U1894" s="86" t="str">
        <f>_xlfn.XLOOKUP(表格1[[#This Row],[Model]],表格3[Model-Input-Ref2],表格3[TOSHIBA/HIGHEST])</f>
        <v>Toshiba SRP</v>
      </c>
      <c r="V1894" s="86">
        <v>1111</v>
      </c>
      <c r="W1894" s="86" t="str">
        <f>_xlfn.CONCAT(表格1[[#This Row],[欄4]],表格1[[#This Row],[inv no]])</f>
        <v>11111111228</v>
      </c>
    </row>
    <row r="1895" spans="1:23" hidden="1">
      <c r="A1895" s="81">
        <v>1893</v>
      </c>
      <c r="B1895" s="81" t="s">
        <v>1470</v>
      </c>
      <c r="C1895" s="81" t="s">
        <v>1766</v>
      </c>
      <c r="D1895" s="82" t="str">
        <f ca="1">OFFSET(Roster!$A$3,MATCH(表格1[[#This Row],[Location]]&amp;" "&amp;表格1[[#This Row],[Shop]]&amp;"*",Roster!$A$4:$A$72,0),DAY(表格1[[#This Row],[date]]),1,1)</f>
        <v>Leo</v>
      </c>
      <c r="E1895" s="81">
        <f>MONTH(表格1[[#This Row],[date]])</f>
        <v>3</v>
      </c>
      <c r="F1895" s="90">
        <v>46095</v>
      </c>
      <c r="G1895" s="81" t="str">
        <f>VLOOKUP("*"&amp;表格1[[#This Row],[Input]]&amp;"*",'Ref-List'!$B:$D,2,)</f>
        <v>KT-08DH1VHK(W)</v>
      </c>
      <c r="H1895" s="81" t="str">
        <f>_xlfn.XLOOKUP(表格1[[#This Row],[Model]],表格3[Model-Input-Ref2],表格3[Product Line])</f>
        <v>無線雙層電熱水壺-附可鎖壺蓋(0.8公升)</v>
      </c>
      <c r="I1895" s="81" t="str">
        <f>_xlfn.XLOOKUP(表格1[[#This Row],[Model]],表格3[Model-Input-Ref2],表格3[大小電])</f>
        <v>細電</v>
      </c>
      <c r="J1895" s="81" t="str">
        <f>_xlfn.XLOOKUP(表格1[[#This Row],[Model]],表格3[Model-Input-Ref2],表格3[Code])</f>
        <v>SDA</v>
      </c>
      <c r="K1895" s="89" t="s">
        <v>1268</v>
      </c>
      <c r="L1895" s="86">
        <v>1</v>
      </c>
      <c r="M1895" s="87">
        <v>268</v>
      </c>
      <c r="N1895" s="85">
        <f>IFERROR(表格1[[#This Row],[QTY]]*表格1[[#This Row],[Unit Price]],"-")</f>
        <v>268</v>
      </c>
      <c r="O1895" s="86">
        <v>1111241</v>
      </c>
      <c r="R1895" s="86" t="str">
        <f>_xlfn.CONCAT(表格1[[#This Row],[Model]]," ",表格1[[#This Row],[inv no]])</f>
        <v>KT-08DH1VHK(W) 1111241</v>
      </c>
      <c r="S1895" s="86">
        <f>_xlfn.XLOOKUP(表格1[[#This Row],[Model]],表格3[Model-Input-Ref2],表格3[SRP PRICE])</f>
        <v>428</v>
      </c>
      <c r="T1895" s="43">
        <f>表格1[[#This Row],[Unit Price]]/表格1[[#This Row],[SRP]]</f>
        <v>0.62616822429906538</v>
      </c>
      <c r="U1895" s="86" t="str">
        <f>_xlfn.XLOOKUP(表格1[[#This Row],[Model]],表格3[Model-Input-Ref2],表格3[TOSHIBA/HIGHEST])</f>
        <v>Toshiba SRP</v>
      </c>
      <c r="V1895" s="86">
        <v>1111</v>
      </c>
      <c r="W1895" s="86" t="str">
        <f>_xlfn.CONCAT(表格1[[#This Row],[欄4]],表格1[[#This Row],[inv no]])</f>
        <v>11111111241</v>
      </c>
    </row>
    <row r="1896" spans="1:23" hidden="1">
      <c r="A1896" s="81">
        <v>1894</v>
      </c>
      <c r="B1896" s="81" t="s">
        <v>1470</v>
      </c>
      <c r="C1896" s="81" t="s">
        <v>1766</v>
      </c>
      <c r="D1896" s="82" t="str">
        <f ca="1">OFFSET(Roster!$A$3,MATCH(表格1[[#This Row],[Location]]&amp;" "&amp;表格1[[#This Row],[Shop]]&amp;"*",Roster!$A$4:$A$72,0),DAY(表格1[[#This Row],[date]]),1,1)</f>
        <v>Leo</v>
      </c>
      <c r="E1896" s="81">
        <f>MONTH(表格1[[#This Row],[date]])</f>
        <v>3</v>
      </c>
      <c r="F1896" s="90">
        <v>46096</v>
      </c>
      <c r="G1896" s="81" t="str">
        <f>VLOOKUP("*"&amp;表格1[[#This Row],[Input]]&amp;"*",'Ref-List'!$B:$D,2,)</f>
        <v>AW-Q901BPH(WW)</v>
      </c>
      <c r="H1896" s="81" t="str">
        <f>_xlfn.XLOOKUP(表格1[[#This Row],[Model]],表格3[Model-Input-Ref2],表格3[Product Line])</f>
        <v>日式洗衣機 (8公斤 結合高低水位)</v>
      </c>
      <c r="I1896" s="81" t="str">
        <f>_xlfn.XLOOKUP(表格1[[#This Row],[Model]],表格3[Model-Input-Ref2],表格3[大小電])</f>
        <v>大電</v>
      </c>
      <c r="J1896" s="81" t="str">
        <f>_xlfn.XLOOKUP(表格1[[#This Row],[Model]],表格3[Model-Input-Ref2],表格3[Code])</f>
        <v>LAD</v>
      </c>
      <c r="K1896" s="89" t="s">
        <v>1411</v>
      </c>
      <c r="L1896" s="86">
        <v>1</v>
      </c>
      <c r="M1896" s="87">
        <v>2298</v>
      </c>
      <c r="N1896" s="85">
        <f>IFERROR(表格1[[#This Row],[QTY]]*表格1[[#This Row],[Unit Price]],"-")</f>
        <v>2298</v>
      </c>
      <c r="O1896" s="86">
        <v>1111303</v>
      </c>
      <c r="R1896" s="86" t="str">
        <f>_xlfn.CONCAT(表格1[[#This Row],[Model]]," ",表格1[[#This Row],[inv no]])</f>
        <v>AW-Q901BPH(WW) 1111303</v>
      </c>
      <c r="S1896" s="86">
        <f>_xlfn.XLOOKUP(表格1[[#This Row],[Model]],表格3[Model-Input-Ref2],表格3[SRP PRICE])</f>
        <v>3780</v>
      </c>
      <c r="T1896" s="43">
        <f>表格1[[#This Row],[Unit Price]]/表格1[[#This Row],[SRP]]</f>
        <v>0.60793650793650789</v>
      </c>
      <c r="U1896" s="86" t="str">
        <f>_xlfn.XLOOKUP(表格1[[#This Row],[Model]],表格3[Model-Input-Ref2],表格3[TOSHIBA/HIGHEST])</f>
        <v>Toshiba SRP</v>
      </c>
      <c r="V1896" s="86">
        <v>1111</v>
      </c>
      <c r="W1896" s="86" t="str">
        <f>_xlfn.CONCAT(表格1[[#This Row],[欄4]],表格1[[#This Row],[inv no]])</f>
        <v>11111111303</v>
      </c>
    </row>
    <row r="1897" spans="1:23" hidden="1">
      <c r="A1897" s="81">
        <v>1895</v>
      </c>
      <c r="B1897" s="81" t="s">
        <v>1470</v>
      </c>
      <c r="C1897" s="81" t="s">
        <v>1766</v>
      </c>
      <c r="D1897" s="82" t="str">
        <f ca="1">OFFSET(Roster!$A$3,MATCH(表格1[[#This Row],[Location]]&amp;" "&amp;表格1[[#This Row],[Shop]]&amp;"*",Roster!$A$4:$A$72,0),DAY(表格1[[#This Row],[date]]),1,1)</f>
        <v>Leo</v>
      </c>
      <c r="E1897" s="81">
        <f>MONTH(表格1[[#This Row],[date]])</f>
        <v>3</v>
      </c>
      <c r="F1897" s="90">
        <v>46096</v>
      </c>
      <c r="G1897" s="81" t="str">
        <f>VLOOKUP("*"&amp;表格1[[#This Row],[Input]]&amp;"*",'Ref-List'!$B:$D,2,)</f>
        <v>KT-17DRTHK(H)</v>
      </c>
      <c r="H1897" s="81" t="str">
        <f>_xlfn.XLOOKUP(表格1[[#This Row],[Model]],表格3[Model-Input-Ref2],表格3[Product Line])</f>
        <v>無線雙層電熱水壺(1.7公升)</v>
      </c>
      <c r="I1897" s="81" t="str">
        <f>_xlfn.XLOOKUP(表格1[[#This Row],[Model]],表格3[Model-Input-Ref2],表格3[大小電])</f>
        <v>細電</v>
      </c>
      <c r="J1897" s="81" t="str">
        <f>_xlfn.XLOOKUP(表格1[[#This Row],[Model]],表格3[Model-Input-Ref2],表格3[Code])</f>
        <v>SDA</v>
      </c>
      <c r="K1897" s="89" t="s">
        <v>1271</v>
      </c>
      <c r="L1897" s="86">
        <v>1</v>
      </c>
      <c r="M1897" s="87">
        <v>358</v>
      </c>
      <c r="N1897" s="85">
        <f>IFERROR(表格1[[#This Row],[QTY]]*表格1[[#This Row],[Unit Price]],"-")</f>
        <v>358</v>
      </c>
      <c r="O1897" s="86">
        <v>1111274</v>
      </c>
      <c r="R1897" s="86" t="str">
        <f>_xlfn.CONCAT(表格1[[#This Row],[Model]]," ",表格1[[#This Row],[inv no]])</f>
        <v>KT-17DRTHK(H) 1111274</v>
      </c>
      <c r="S1897" s="86">
        <f>_xlfn.XLOOKUP(表格1[[#This Row],[Model]],表格3[Model-Input-Ref2],表格3[SRP PRICE])</f>
        <v>498</v>
      </c>
      <c r="T1897" s="43">
        <f>表格1[[#This Row],[Unit Price]]/表格1[[#This Row],[SRP]]</f>
        <v>0.71887550200803207</v>
      </c>
      <c r="U1897" s="86" t="str">
        <f>_xlfn.XLOOKUP(表格1[[#This Row],[Model]],表格3[Model-Input-Ref2],表格3[TOSHIBA/HIGHEST])</f>
        <v>Toshiba SRP</v>
      </c>
      <c r="V1897" s="86">
        <v>1111</v>
      </c>
      <c r="W1897" s="86" t="str">
        <f>_xlfn.CONCAT(表格1[[#This Row],[欄4]],表格1[[#This Row],[inv no]])</f>
        <v>11111111274</v>
      </c>
    </row>
    <row r="1898" spans="1:23" hidden="1">
      <c r="A1898" s="81">
        <v>1896</v>
      </c>
      <c r="B1898" s="81" t="s">
        <v>1470</v>
      </c>
      <c r="C1898" s="81" t="s">
        <v>1766</v>
      </c>
      <c r="D1898" s="82" t="str">
        <f ca="1">OFFSET(Roster!$A$3,MATCH(表格1[[#This Row],[Location]]&amp;" "&amp;表格1[[#This Row],[Shop]]&amp;"*",Roster!$A$4:$A$72,0),DAY(表格1[[#This Row],[date]]),1,1)</f>
        <v>Leo</v>
      </c>
      <c r="E1898" s="81">
        <f>MONTH(表格1[[#This Row],[date]])</f>
        <v>3</v>
      </c>
      <c r="F1898" s="90">
        <v>46096</v>
      </c>
      <c r="G1898" s="81" t="str">
        <f>VLOOKUP("*"&amp;表格1[[#This Row],[Input]]&amp;"*",'Ref-List'!$B:$D,2,)</f>
        <v>RC-7HMH</v>
      </c>
      <c r="H1898" s="81" t="str">
        <f>_xlfn.XLOOKUP(表格1[[#This Row],[Model]],表格3[Model-Input-Ref2],表格3[Product Line])</f>
        <v>備長炭本厚釜電飯煲0.7L</v>
      </c>
      <c r="I1898" s="81" t="str">
        <f>_xlfn.XLOOKUP(表格1[[#This Row],[Model]],表格3[Model-Input-Ref2],表格3[大小電])</f>
        <v>細電</v>
      </c>
      <c r="J1898" s="81" t="str">
        <f>_xlfn.XLOOKUP(表格1[[#This Row],[Model]],表格3[Model-Input-Ref2],表格3[Code])</f>
        <v>SDA</v>
      </c>
      <c r="K1898" s="89" t="s">
        <v>1284</v>
      </c>
      <c r="L1898" s="86">
        <v>1</v>
      </c>
      <c r="M1898" s="87">
        <v>780</v>
      </c>
      <c r="N1898" s="85">
        <f>IFERROR(表格1[[#This Row],[QTY]]*表格1[[#This Row],[Unit Price]],"-")</f>
        <v>780</v>
      </c>
      <c r="O1898" s="86">
        <v>1111273</v>
      </c>
      <c r="R1898" s="86" t="str">
        <f>_xlfn.CONCAT(表格1[[#This Row],[Model]]," ",表格1[[#This Row],[inv no]])</f>
        <v>RC-7HMH 1111273</v>
      </c>
      <c r="S1898" s="86">
        <f>_xlfn.XLOOKUP(表格1[[#This Row],[Model]],表格3[Model-Input-Ref2],表格3[SRP PRICE])</f>
        <v>1288</v>
      </c>
      <c r="T1898" s="43">
        <f>表格1[[#This Row],[Unit Price]]/表格1[[#This Row],[SRP]]</f>
        <v>0.60559006211180122</v>
      </c>
      <c r="U1898" s="86" t="str">
        <f>_xlfn.XLOOKUP(表格1[[#This Row],[Model]],表格3[Model-Input-Ref2],表格3[TOSHIBA/HIGHEST])</f>
        <v>Toshiba SRP</v>
      </c>
      <c r="V1898" s="86">
        <v>1111</v>
      </c>
      <c r="W1898" s="86" t="str">
        <f>_xlfn.CONCAT(表格1[[#This Row],[欄4]],表格1[[#This Row],[inv no]])</f>
        <v>11111111273</v>
      </c>
    </row>
    <row r="1899" spans="1:23" hidden="1">
      <c r="A1899" s="81">
        <v>1897</v>
      </c>
      <c r="B1899" s="81" t="s">
        <v>1470</v>
      </c>
      <c r="C1899" s="81" t="s">
        <v>1766</v>
      </c>
      <c r="D1899" s="82" t="str">
        <f ca="1">OFFSET(Roster!$A$3,MATCH(表格1[[#This Row],[Location]]&amp;" "&amp;表格1[[#This Row],[Shop]]&amp;"*",Roster!$A$4:$A$72,0),DAY(表格1[[#This Row],[date]]),1,1)</f>
        <v>Leo</v>
      </c>
      <c r="E1899" s="81">
        <f>MONTH(表格1[[#This Row],[date]])</f>
        <v>3</v>
      </c>
      <c r="F1899" s="90">
        <v>46096</v>
      </c>
      <c r="G1899" s="81" t="str">
        <f>VLOOKUP("*"&amp;表格1[[#This Row],[Input]]&amp;"*",'Ref-List'!$B:$D,2,)</f>
        <v>CFK01W75</v>
      </c>
      <c r="H1899" s="81" t="str">
        <f>_xlfn.XLOOKUP(表格1[[#This Row],[Model]],表格3[Model-Input-Ref2],表格3[Product Line])</f>
        <v>變頻頂揭式洗衣機 (7.5公斤)</v>
      </c>
      <c r="I1899" s="81" t="str">
        <f>_xlfn.XLOOKUP(表格1[[#This Row],[Model]],表格3[Model-Input-Ref2],表格3[大小電])</f>
        <v>大電</v>
      </c>
      <c r="J1899" s="81" t="str">
        <f>_xlfn.XLOOKUP(表格1[[#This Row],[Model]],表格3[Model-Input-Ref2],表格3[Code])</f>
        <v>LAD</v>
      </c>
      <c r="K1899" s="89" t="s">
        <v>1266</v>
      </c>
      <c r="L1899" s="86">
        <v>1</v>
      </c>
      <c r="M1899" s="87">
        <v>3298</v>
      </c>
      <c r="N1899" s="85">
        <f>IFERROR(表格1[[#This Row],[QTY]]*表格1[[#This Row],[Unit Price]],"-")</f>
        <v>3298</v>
      </c>
      <c r="O1899" s="86">
        <v>1111299</v>
      </c>
      <c r="R1899" s="86" t="str">
        <f>_xlfn.CONCAT(表格1[[#This Row],[Model]]," ",表格1[[#This Row],[inv no]])</f>
        <v>CFK01W75 1111299</v>
      </c>
      <c r="S1899" s="86">
        <f>_xlfn.XLOOKUP(表格1[[#This Row],[Model]],表格3[Model-Input-Ref2],表格3[SRP PRICE])</f>
        <v>3888</v>
      </c>
      <c r="T1899" s="43">
        <f>表格1[[#This Row],[Unit Price]]/表格1[[#This Row],[SRP]]</f>
        <v>0.84825102880658432</v>
      </c>
      <c r="U1899" s="86" t="str">
        <f>_xlfn.XLOOKUP(表格1[[#This Row],[Model]],表格3[Model-Input-Ref2],表格3[TOSHIBA/HIGHEST])</f>
        <v>Shops Highest Price</v>
      </c>
      <c r="V1899" s="86">
        <v>1111</v>
      </c>
      <c r="W1899" s="86" t="str">
        <f>_xlfn.CONCAT(表格1[[#This Row],[欄4]],表格1[[#This Row],[inv no]])</f>
        <v>11111111299</v>
      </c>
    </row>
    <row r="1900" spans="1:23" hidden="1">
      <c r="A1900" s="81">
        <v>1898</v>
      </c>
      <c r="B1900" s="81" t="s">
        <v>1470</v>
      </c>
      <c r="C1900" s="81" t="s">
        <v>1766</v>
      </c>
      <c r="D1900" s="82" t="str">
        <f ca="1">OFFSET(Roster!$A$3,MATCH(表格1[[#This Row],[Location]]&amp;" "&amp;表格1[[#This Row],[Shop]]&amp;"*",Roster!$A$4:$A$72,0),DAY(表格1[[#This Row],[date]]),1,1)</f>
        <v>Leo</v>
      </c>
      <c r="E1900" s="81">
        <f>MONTH(表格1[[#This Row],[date]])</f>
        <v>3</v>
      </c>
      <c r="F1900" s="90">
        <v>46096</v>
      </c>
      <c r="G1900" s="81" t="str">
        <f>VLOOKUP("*"&amp;表格1[[#This Row],[Input]]&amp;"*",'Ref-List'!$B:$D,2,)</f>
        <v>TWP-W2265THK(W)</v>
      </c>
      <c r="H1900" s="81" t="str">
        <f>_xlfn.XLOOKUP(表格1[[#This Row],[Model]],表格3[Model-Input-Ref2],表格3[Product Line])</f>
        <v>RO座檯式冷熱飲水機</v>
      </c>
      <c r="I1900" s="81" t="str">
        <f>_xlfn.XLOOKUP(表格1[[#This Row],[Model]],表格3[Model-Input-Ref2],表格3[大小電])</f>
        <v>細電</v>
      </c>
      <c r="J1900" s="81" t="str">
        <f>_xlfn.XLOOKUP(表格1[[#This Row],[Model]],表格3[Model-Input-Ref2],表格3[Code])</f>
        <v>KWH</v>
      </c>
      <c r="K1900" s="89">
        <v>2265</v>
      </c>
      <c r="L1900" s="86">
        <v>1</v>
      </c>
      <c r="M1900" s="87">
        <v>2880</v>
      </c>
      <c r="N1900" s="85">
        <f>IFERROR(表格1[[#This Row],[QTY]]*表格1[[#This Row],[Unit Price]],"-")</f>
        <v>2880</v>
      </c>
      <c r="O1900" s="86">
        <v>1111268</v>
      </c>
      <c r="R1900" s="86" t="str">
        <f>_xlfn.CONCAT(表格1[[#This Row],[Model]]," ",表格1[[#This Row],[inv no]])</f>
        <v>TWP-W2265THK(W) 1111268</v>
      </c>
      <c r="S1900" s="86">
        <f>_xlfn.XLOOKUP(表格1[[#This Row],[Model]],表格3[Model-Input-Ref2],表格3[SRP PRICE])</f>
        <v>3480</v>
      </c>
      <c r="T1900" s="43">
        <f>表格1[[#This Row],[Unit Price]]/表格1[[#This Row],[SRP]]</f>
        <v>0.82758620689655171</v>
      </c>
      <c r="U1900" s="86" t="str">
        <f>_xlfn.XLOOKUP(表格1[[#This Row],[Model]],表格3[Model-Input-Ref2],表格3[TOSHIBA/HIGHEST])</f>
        <v>Shops Highest Price</v>
      </c>
      <c r="V1900" s="86">
        <v>1111</v>
      </c>
      <c r="W1900" s="86" t="str">
        <f>_xlfn.CONCAT(表格1[[#This Row],[欄4]],表格1[[#This Row],[inv no]])</f>
        <v>11111111268</v>
      </c>
    </row>
    <row r="1901" spans="1:23" hidden="1">
      <c r="A1901" s="81">
        <v>1899</v>
      </c>
      <c r="B1901" s="81" t="s">
        <v>1470</v>
      </c>
      <c r="C1901" s="81" t="s">
        <v>1766</v>
      </c>
      <c r="D1901" s="82" t="str">
        <f ca="1">OFFSET(Roster!$A$3,MATCH(表格1[[#This Row],[Location]]&amp;" "&amp;表格1[[#This Row],[Shop]]&amp;"*",Roster!$A$4:$A$72,0),DAY(表格1[[#This Row],[date]]),1,1)</f>
        <v>Leo</v>
      </c>
      <c r="E1901" s="81">
        <f>MONTH(表格1[[#This Row],[date]])</f>
        <v>3</v>
      </c>
      <c r="F1901" s="90">
        <v>46096</v>
      </c>
      <c r="G1901" s="81" t="str">
        <f>VLOOKUP("*"&amp;表格1[[#This Row],[Input]]&amp;"*",'Ref-List'!$B:$D,2,)</f>
        <v>RAC-09G3CVRGR-HK</v>
      </c>
      <c r="H1901" s="81" t="str">
        <f>_xlfn.XLOOKUP(表格1[[#This Row],[Model]],表格3[Model-Input-Ref2],表格3[Product Line])</f>
        <v>1 匹 R32變頻窗口式冷氣機 (獨立抽濕遙控</v>
      </c>
      <c r="I1901" s="81" t="str">
        <f>_xlfn.XLOOKUP(表格1[[#This Row],[Model]],表格3[Model-Input-Ref2],表格3[大小電])</f>
        <v>大電</v>
      </c>
      <c r="J1901" s="81" t="str">
        <f>_xlfn.XLOOKUP(表格1[[#This Row],[Model]],表格3[Model-Input-Ref2],表格3[Code])</f>
        <v>AC</v>
      </c>
      <c r="K1901" s="89" t="s">
        <v>1474</v>
      </c>
      <c r="L1901" s="86">
        <v>1</v>
      </c>
      <c r="M1901" s="87">
        <v>4280</v>
      </c>
      <c r="N1901" s="85">
        <f>IFERROR(表格1[[#This Row],[QTY]]*表格1[[#This Row],[Unit Price]],"-")</f>
        <v>4280</v>
      </c>
      <c r="O1901" s="86">
        <v>1111310</v>
      </c>
      <c r="R1901" s="86" t="str">
        <f>_xlfn.CONCAT(表格1[[#This Row],[Model]]," ",表格1[[#This Row],[inv no]])</f>
        <v>RAC-09G3CVRGR-HK 1111310</v>
      </c>
      <c r="S1901" s="86">
        <f>_xlfn.XLOOKUP(表格1[[#This Row],[Model]],表格3[Model-Input-Ref2],表格3[SRP PRICE])</f>
        <v>6980</v>
      </c>
      <c r="T1901" s="43">
        <f>表格1[[#This Row],[Unit Price]]/表格1[[#This Row],[SRP]]</f>
        <v>0.61318051575931232</v>
      </c>
      <c r="U1901" s="86" t="str">
        <f>_xlfn.XLOOKUP(表格1[[#This Row],[Model]],表格3[Model-Input-Ref2],表格3[TOSHIBA/HIGHEST])</f>
        <v>Toshiba SRP</v>
      </c>
      <c r="V1901" s="86">
        <v>1111</v>
      </c>
      <c r="W1901" s="86" t="str">
        <f>_xlfn.CONCAT(表格1[[#This Row],[欄4]],表格1[[#This Row],[inv no]])</f>
        <v>11111111310</v>
      </c>
    </row>
    <row r="1902" spans="1:23" hidden="1">
      <c r="A1902" s="81">
        <v>1900</v>
      </c>
      <c r="B1902" s="81" t="s">
        <v>1470</v>
      </c>
      <c r="C1902" s="81" t="s">
        <v>1766</v>
      </c>
      <c r="D1902" s="82" t="str">
        <f ca="1">OFFSET(Roster!$A$3,MATCH(表格1[[#This Row],[Location]]&amp;" "&amp;表格1[[#This Row],[Shop]]&amp;"*",Roster!$A$4:$A$72,0),DAY(表格1[[#This Row],[date]]),1,1)</f>
        <v>Leo</v>
      </c>
      <c r="E1902" s="81">
        <f>MONTH(表格1[[#This Row],[date]])</f>
        <v>3</v>
      </c>
      <c r="F1902" s="90">
        <v>46096</v>
      </c>
      <c r="G1902" s="81" t="str">
        <f>VLOOKUP("*"&amp;表格1[[#This Row],[Input]]&amp;"*",'Ref-List'!$B:$D,2,)</f>
        <v>RAD-D300H</v>
      </c>
      <c r="H1902" s="81" t="str">
        <f>_xlfn.XLOOKUP(表格1[[#This Row],[Model]],表格3[Model-Input-Ref2],表格3[Product Line])</f>
        <v>壓縮式抽濕機 (30公升)</v>
      </c>
      <c r="I1902" s="81" t="str">
        <f>_xlfn.XLOOKUP(表格1[[#This Row],[Model]],表格3[Model-Input-Ref2],表格3[大小電])</f>
        <v>細電</v>
      </c>
      <c r="J1902" s="81" t="str">
        <f>_xlfn.XLOOKUP(表格1[[#This Row],[Model]],表格3[Model-Input-Ref2],表格3[Code])</f>
        <v>RAC</v>
      </c>
      <c r="K1902" s="89" t="s">
        <v>1252</v>
      </c>
      <c r="L1902" s="86">
        <v>1</v>
      </c>
      <c r="M1902" s="87">
        <v>2280</v>
      </c>
      <c r="N1902" s="85">
        <f>IFERROR(表格1[[#This Row],[QTY]]*表格1[[#This Row],[Unit Price]],"-")</f>
        <v>2280</v>
      </c>
      <c r="O1902" s="86">
        <v>1111294</v>
      </c>
      <c r="R1902" s="86" t="str">
        <f>_xlfn.CONCAT(表格1[[#This Row],[Model]]," ",表格1[[#This Row],[inv no]])</f>
        <v>RAD-D300H 1111294</v>
      </c>
      <c r="S1902" s="86">
        <f>_xlfn.XLOOKUP(表格1[[#This Row],[Model]],表格3[Model-Input-Ref2],表格3[SRP PRICE])</f>
        <v>3380</v>
      </c>
      <c r="T1902" s="43">
        <f>表格1[[#This Row],[Unit Price]]/表格1[[#This Row],[SRP]]</f>
        <v>0.67455621301775148</v>
      </c>
      <c r="U1902" s="86" t="str">
        <f>_xlfn.XLOOKUP(表格1[[#This Row],[Model]],表格3[Model-Input-Ref2],表格3[TOSHIBA/HIGHEST])</f>
        <v>Shops Highest Price</v>
      </c>
      <c r="V1902" s="86">
        <v>1111</v>
      </c>
      <c r="W1902" s="86" t="str">
        <f>_xlfn.CONCAT(表格1[[#This Row],[欄4]],表格1[[#This Row],[inv no]])</f>
        <v>11111111294</v>
      </c>
    </row>
    <row r="1903" spans="1:23" hidden="1">
      <c r="A1903" s="81">
        <v>1901</v>
      </c>
      <c r="B1903" s="81" t="s">
        <v>1470</v>
      </c>
      <c r="C1903" s="81" t="s">
        <v>1766</v>
      </c>
      <c r="D1903" s="82" t="str">
        <f ca="1">OFFSET(Roster!$A$3,MATCH(表格1[[#This Row],[Location]]&amp;" "&amp;表格1[[#This Row],[Shop]]&amp;"*",Roster!$A$4:$A$72,0),DAY(表格1[[#This Row],[date]]),1,1)</f>
        <v>Leo</v>
      </c>
      <c r="E1903" s="81">
        <f>MONTH(表格1[[#This Row],[date]])</f>
        <v>3</v>
      </c>
      <c r="F1903" s="90">
        <v>46096</v>
      </c>
      <c r="G1903" s="81" t="str">
        <f>VLOOKUP("*"&amp;表格1[[#This Row],[Input]]&amp;"*",'Ref-List'!$B:$D,2,)</f>
        <v>TW-T21BU90UWH(WW)</v>
      </c>
      <c r="H1903" s="81" t="str">
        <f>_xlfn.XLOOKUP(表格1[[#This Row],[Model]],表格3[Model-Input-Ref2],表格3[Product Line])</f>
        <v>8公斤超薄身前置式變頻洗衣機</v>
      </c>
      <c r="I1903" s="81" t="str">
        <f>_xlfn.XLOOKUP(表格1[[#This Row],[Model]],表格3[Model-Input-Ref2],表格3[大小電])</f>
        <v>大電</v>
      </c>
      <c r="J1903" s="81" t="str">
        <f>_xlfn.XLOOKUP(表格1[[#This Row],[Model]],表格3[Model-Input-Ref2],表格3[Code])</f>
        <v>LAD</v>
      </c>
      <c r="K1903" s="89" t="s">
        <v>1472</v>
      </c>
      <c r="L1903" s="86">
        <v>1</v>
      </c>
      <c r="M1903" s="87">
        <v>2980</v>
      </c>
      <c r="N1903" s="85">
        <f>IFERROR(表格1[[#This Row],[QTY]]*表格1[[#This Row],[Unit Price]],"-")</f>
        <v>2980</v>
      </c>
      <c r="O1903" s="86">
        <v>1111264</v>
      </c>
      <c r="R1903" s="86" t="str">
        <f>_xlfn.CONCAT(表格1[[#This Row],[Model]]," ",表格1[[#This Row],[inv no]])</f>
        <v>TW-T21BU90UWH(WW) 1111264</v>
      </c>
      <c r="S1903" s="86">
        <f>_xlfn.XLOOKUP(表格1[[#This Row],[Model]],表格3[Model-Input-Ref2],表格3[SRP PRICE])</f>
        <v>5480</v>
      </c>
      <c r="T1903" s="43">
        <f>表格1[[#This Row],[Unit Price]]/表格1[[#This Row],[SRP]]</f>
        <v>0.54379562043795615</v>
      </c>
      <c r="U1903" s="86" t="str">
        <f>_xlfn.XLOOKUP(表格1[[#This Row],[Model]],表格3[Model-Input-Ref2],表格3[TOSHIBA/HIGHEST])</f>
        <v>Toshiba SRP</v>
      </c>
      <c r="V1903" s="86">
        <v>1111</v>
      </c>
      <c r="W1903" s="86" t="str">
        <f>_xlfn.CONCAT(表格1[[#This Row],[欄4]],表格1[[#This Row],[inv no]])</f>
        <v>11111111264</v>
      </c>
    </row>
    <row r="1904" spans="1:23" hidden="1">
      <c r="A1904" s="81">
        <v>1902</v>
      </c>
      <c r="B1904" s="81" t="s">
        <v>1470</v>
      </c>
      <c r="C1904" s="81" t="s">
        <v>1766</v>
      </c>
      <c r="D1904" s="82" t="str">
        <f ca="1">OFFSET(Roster!$A$3,MATCH(表格1[[#This Row],[Location]]&amp;" "&amp;表格1[[#This Row],[Shop]]&amp;"*",Roster!$A$4:$A$72,0),DAY(表格1[[#This Row],[date]]),1,1)</f>
        <v>Leo</v>
      </c>
      <c r="E1904" s="81">
        <f>MONTH(表格1[[#This Row],[date]])</f>
        <v>3</v>
      </c>
      <c r="F1904" s="90">
        <v>46096</v>
      </c>
      <c r="G1904" s="81" t="str">
        <f>VLOOKUP("*"&amp;表格1[[#This Row],[Input]]&amp;"*",'Ref-List'!$B:$D,2,)</f>
        <v>GR-RB360WE-PMA(06)</v>
      </c>
      <c r="H1904" s="81" t="str">
        <f>_xlfn.XLOOKUP(表格1[[#This Row],[Model]],表格3[Model-Input-Ref2],表格3[Product Line])</f>
        <v>變頻下置式雙門雪櫃系列270L</v>
      </c>
      <c r="I1904" s="81" t="str">
        <f>_xlfn.XLOOKUP(表格1[[#This Row],[Model]],表格3[Model-Input-Ref2],表格3[大小電])</f>
        <v>大電</v>
      </c>
      <c r="J1904" s="81" t="str">
        <f>_xlfn.XLOOKUP(表格1[[#This Row],[Model]],表格3[Model-Input-Ref2],表格3[Code])</f>
        <v>REF</v>
      </c>
      <c r="K1904" s="89" t="s">
        <v>1282</v>
      </c>
      <c r="L1904" s="86">
        <v>1</v>
      </c>
      <c r="M1904" s="87">
        <v>3680</v>
      </c>
      <c r="N1904" s="85">
        <f>IFERROR(表格1[[#This Row],[QTY]]*表格1[[#This Row],[Unit Price]],"-")</f>
        <v>3680</v>
      </c>
      <c r="O1904" s="86">
        <v>1111304</v>
      </c>
      <c r="R1904" s="86" t="str">
        <f>_xlfn.CONCAT(表格1[[#This Row],[Model]]," ",表格1[[#This Row],[inv no]])</f>
        <v>GR-RB360WE-PMA(06) 1111304</v>
      </c>
      <c r="S1904" s="86">
        <f>_xlfn.XLOOKUP(表格1[[#This Row],[Model]],表格3[Model-Input-Ref2],表格3[SRP PRICE])</f>
        <v>5080</v>
      </c>
      <c r="T1904" s="43">
        <f>表格1[[#This Row],[Unit Price]]/表格1[[#This Row],[SRP]]</f>
        <v>0.72440944881889768</v>
      </c>
      <c r="U1904" s="86" t="str">
        <f>_xlfn.XLOOKUP(表格1[[#This Row],[Model]],表格3[Model-Input-Ref2],表格3[TOSHIBA/HIGHEST])</f>
        <v>Toshiba SRP</v>
      </c>
      <c r="V1904" s="86">
        <v>1111</v>
      </c>
      <c r="W1904" s="86" t="str">
        <f>_xlfn.CONCAT(表格1[[#This Row],[欄4]],表格1[[#This Row],[inv no]])</f>
        <v>11111111304</v>
      </c>
    </row>
    <row r="1905" spans="1:23" hidden="1">
      <c r="A1905" s="81">
        <v>1903</v>
      </c>
      <c r="B1905" s="81" t="s">
        <v>1470</v>
      </c>
      <c r="C1905" s="81" t="s">
        <v>1766</v>
      </c>
      <c r="D1905" s="82" t="str">
        <f ca="1">OFFSET(Roster!$A$3,MATCH(表格1[[#This Row],[Location]]&amp;" "&amp;表格1[[#This Row],[Shop]]&amp;"*",Roster!$A$4:$A$72,0),DAY(表格1[[#This Row],[date]]),1,1)</f>
        <v>Leo</v>
      </c>
      <c r="E1905" s="81">
        <f>MONTH(表格1[[#This Row],[date]])</f>
        <v>3</v>
      </c>
      <c r="F1905" s="90">
        <v>46096</v>
      </c>
      <c r="G1905" s="81" t="str">
        <f>VLOOKUP("*"&amp;表格1[[#This Row],[Input]]&amp;"*",'Ref-List'!$B:$D,2,)</f>
        <v>RAD-D300H</v>
      </c>
      <c r="H1905" s="81" t="str">
        <f>_xlfn.XLOOKUP(表格1[[#This Row],[Model]],表格3[Model-Input-Ref2],表格3[Product Line])</f>
        <v>壓縮式抽濕機 (30公升)</v>
      </c>
      <c r="I1905" s="81" t="str">
        <f>_xlfn.XLOOKUP(表格1[[#This Row],[Model]],表格3[Model-Input-Ref2],表格3[大小電])</f>
        <v>細電</v>
      </c>
      <c r="J1905" s="81" t="str">
        <f>_xlfn.XLOOKUP(表格1[[#This Row],[Model]],表格3[Model-Input-Ref2],表格3[Code])</f>
        <v>RAC</v>
      </c>
      <c r="K1905" s="89" t="s">
        <v>1252</v>
      </c>
      <c r="L1905" s="86">
        <v>1</v>
      </c>
      <c r="M1905" s="87">
        <v>1980</v>
      </c>
      <c r="N1905" s="85">
        <f>IFERROR(表格1[[#This Row],[QTY]]*表格1[[#This Row],[Unit Price]],"-")</f>
        <v>1980</v>
      </c>
      <c r="O1905" s="86">
        <v>1111293</v>
      </c>
      <c r="R1905" s="86" t="str">
        <f>_xlfn.CONCAT(表格1[[#This Row],[Model]]," ",表格1[[#This Row],[inv no]])</f>
        <v>RAD-D300H 1111293</v>
      </c>
      <c r="S1905" s="86">
        <f>_xlfn.XLOOKUP(表格1[[#This Row],[Model]],表格3[Model-Input-Ref2],表格3[SRP PRICE])</f>
        <v>3380</v>
      </c>
      <c r="T1905" s="43">
        <f>表格1[[#This Row],[Unit Price]]/表格1[[#This Row],[SRP]]</f>
        <v>0.58579881656804733</v>
      </c>
      <c r="U1905" s="86" t="str">
        <f>_xlfn.XLOOKUP(表格1[[#This Row],[Model]],表格3[Model-Input-Ref2],表格3[TOSHIBA/HIGHEST])</f>
        <v>Shops Highest Price</v>
      </c>
      <c r="V1905" s="86">
        <v>1111</v>
      </c>
      <c r="W1905" s="86" t="str">
        <f>_xlfn.CONCAT(表格1[[#This Row],[欄4]],表格1[[#This Row],[inv no]])</f>
        <v>11111111293</v>
      </c>
    </row>
    <row r="1906" spans="1:23" hidden="1">
      <c r="A1906" s="81">
        <v>1904</v>
      </c>
      <c r="B1906" s="81" t="s">
        <v>1470</v>
      </c>
      <c r="C1906" s="81" t="s">
        <v>1766</v>
      </c>
      <c r="D1906" s="82" t="str">
        <f ca="1">OFFSET(Roster!$A$3,MATCH(表格1[[#This Row],[Location]]&amp;" "&amp;表格1[[#This Row],[Shop]]&amp;"*",Roster!$A$4:$A$72,0),DAY(表格1[[#This Row],[date]]),1,1)</f>
        <v>Leo</v>
      </c>
      <c r="E1906" s="81">
        <f>MONTH(表格1[[#This Row],[date]])</f>
        <v>3</v>
      </c>
      <c r="F1906" s="90">
        <v>46096</v>
      </c>
      <c r="G1906" s="81" t="str">
        <f>VLOOKUP("*"&amp;表格1[[#This Row],[Input]]&amp;"*",'Ref-List'!$B:$D,2,)</f>
        <v>TWD-BN90GF4H(WK)</v>
      </c>
      <c r="H1906" s="81" t="str">
        <f>_xlfn.XLOOKUP(表格1[[#This Row],[Model]],表格3[Model-Input-Ref2],表格3[Product Line])</f>
        <v>超薄身前置式洗衣乾衣機 (洗8公斤 乾5公斤)</v>
      </c>
      <c r="I1906" s="81" t="str">
        <f>_xlfn.XLOOKUP(表格1[[#This Row],[Model]],表格3[Model-Input-Ref2],表格3[大小電])</f>
        <v>大電</v>
      </c>
      <c r="J1906" s="81" t="str">
        <f>_xlfn.XLOOKUP(表格1[[#This Row],[Model]],表格3[Model-Input-Ref2],表格3[Code])</f>
        <v>WM</v>
      </c>
      <c r="K1906" s="89" t="s">
        <v>1199</v>
      </c>
      <c r="L1906" s="86">
        <v>1</v>
      </c>
      <c r="M1906" s="87">
        <v>3560</v>
      </c>
      <c r="N1906" s="85">
        <f>IFERROR(表格1[[#This Row],[QTY]]*表格1[[#This Row],[Unit Price]],"-")</f>
        <v>3560</v>
      </c>
      <c r="O1906" s="86">
        <v>1111292</v>
      </c>
      <c r="R1906" s="86" t="str">
        <f>_xlfn.CONCAT(表格1[[#This Row],[Model]]," ",表格1[[#This Row],[inv no]])</f>
        <v>TWD-BN90GF4H(WK) 1111292</v>
      </c>
      <c r="S1906" s="86">
        <f>_xlfn.XLOOKUP(表格1[[#This Row],[Model]],表格3[Model-Input-Ref2],表格3[SRP PRICE])</f>
        <v>5980</v>
      </c>
      <c r="T1906" s="43">
        <f>表格1[[#This Row],[Unit Price]]/表格1[[#This Row],[SRP]]</f>
        <v>0.59531772575250841</v>
      </c>
      <c r="U1906" s="86" t="str">
        <f>_xlfn.XLOOKUP(表格1[[#This Row],[Model]],表格3[Model-Input-Ref2],表格3[TOSHIBA/HIGHEST])</f>
        <v>Toshiba SRP</v>
      </c>
      <c r="V1906" s="86">
        <v>1111</v>
      </c>
      <c r="W1906" s="86" t="str">
        <f>_xlfn.CONCAT(表格1[[#This Row],[欄4]],表格1[[#This Row],[inv no]])</f>
        <v>11111111292</v>
      </c>
    </row>
    <row r="1907" spans="1:23" hidden="1">
      <c r="A1907" s="81">
        <v>1905</v>
      </c>
      <c r="B1907" s="81" t="s">
        <v>1470</v>
      </c>
      <c r="C1907" s="81" t="s">
        <v>1766</v>
      </c>
      <c r="D1907" s="82" t="str">
        <f ca="1">OFFSET(Roster!$A$3,MATCH(表格1[[#This Row],[Location]]&amp;" "&amp;表格1[[#This Row],[Shop]]&amp;"*",Roster!$A$4:$A$72,0),DAY(表格1[[#This Row],[date]]),1,1)</f>
        <v>Leo</v>
      </c>
      <c r="E1907" s="81">
        <f>MONTH(表格1[[#This Row],[date]])</f>
        <v>3</v>
      </c>
      <c r="F1907" s="90">
        <v>46097</v>
      </c>
      <c r="G1907" s="81" t="str">
        <f>VLOOKUP("*"&amp;表格1[[#This Row],[Input]]&amp;"*",'Ref-List'!$B:$D,2,)</f>
        <v>AW-Q801APH(WW)</v>
      </c>
      <c r="H1907" s="81" t="str">
        <f>_xlfn.XLOOKUP(表格1[[#This Row],[Model]],表格3[Model-Input-Ref2],表格3[Product Line])</f>
        <v>日式洗衣機 (7公斤 結合高低水位)</v>
      </c>
      <c r="I1907" s="81" t="str">
        <f>_xlfn.XLOOKUP(表格1[[#This Row],[Model]],表格3[Model-Input-Ref2],表格3[大小電])</f>
        <v>大電</v>
      </c>
      <c r="J1907" s="81" t="str">
        <f>_xlfn.XLOOKUP(表格1[[#This Row],[Model]],表格3[Model-Input-Ref2],表格3[Code])</f>
        <v>LAD</v>
      </c>
      <c r="K1907" s="89" t="s">
        <v>1420</v>
      </c>
      <c r="L1907" s="86">
        <v>1</v>
      </c>
      <c r="M1907" s="87">
        <v>1980</v>
      </c>
      <c r="N1907" s="85">
        <f>IFERROR(表格1[[#This Row],[QTY]]*表格1[[#This Row],[Unit Price]],"-")</f>
        <v>1980</v>
      </c>
      <c r="O1907" s="86">
        <v>1111320</v>
      </c>
      <c r="R1907" s="86" t="str">
        <f>_xlfn.CONCAT(表格1[[#This Row],[Model]]," ",表格1[[#This Row],[inv no]])</f>
        <v>AW-Q801APH(WW) 1111320</v>
      </c>
      <c r="S1907" s="86">
        <f>_xlfn.XLOOKUP(表格1[[#This Row],[Model]],表格3[Model-Input-Ref2],表格3[SRP PRICE])</f>
        <v>3380</v>
      </c>
      <c r="T1907" s="43">
        <f>表格1[[#This Row],[Unit Price]]/表格1[[#This Row],[SRP]]</f>
        <v>0.58579881656804733</v>
      </c>
      <c r="U1907" s="86" t="str">
        <f>_xlfn.XLOOKUP(表格1[[#This Row],[Model]],表格3[Model-Input-Ref2],表格3[TOSHIBA/HIGHEST])</f>
        <v>Toshiba SRP</v>
      </c>
      <c r="V1907" s="86">
        <v>1111</v>
      </c>
      <c r="W1907" s="86" t="str">
        <f>_xlfn.CONCAT(表格1[[#This Row],[欄4]],表格1[[#This Row],[inv no]])</f>
        <v>11111111320</v>
      </c>
    </row>
    <row r="1908" spans="1:23" hidden="1">
      <c r="A1908" s="81">
        <v>1906</v>
      </c>
      <c r="B1908" s="81" t="s">
        <v>1470</v>
      </c>
      <c r="C1908" s="81" t="s">
        <v>1766</v>
      </c>
      <c r="D1908" s="82" t="str">
        <f ca="1">OFFSET(Roster!$A$3,MATCH(表格1[[#This Row],[Location]]&amp;" "&amp;表格1[[#This Row],[Shop]]&amp;"*",Roster!$A$4:$A$72,0),DAY(表格1[[#This Row],[date]]),1,1)</f>
        <v>Leo</v>
      </c>
      <c r="E1908" s="81">
        <f>MONTH(表格1[[#This Row],[date]])</f>
        <v>3</v>
      </c>
      <c r="F1908" s="90">
        <v>46097</v>
      </c>
      <c r="G1908" s="81" t="str">
        <f>VLOOKUP("*"&amp;表格1[[#This Row],[Input]]&amp;"*",'Ref-List'!$B:$D,2,)</f>
        <v>TW-T22BU95UWH(WK)-B</v>
      </c>
      <c r="H1908" s="81" t="str">
        <f>_xlfn.XLOOKUP(表格1[[#This Row],[Model]],表格3[Model-Input-Ref2],表格3[Product Line])</f>
        <v>470MM超薄身前置式變頻洗衣機(8.5公斤, 可飛頂)</v>
      </c>
      <c r="I1908" s="81" t="str">
        <f>_xlfn.XLOOKUP(表格1[[#This Row],[Model]],表格3[Model-Input-Ref2],表格3[大小電])</f>
        <v>大電</v>
      </c>
      <c r="J1908" s="81" t="str">
        <f>_xlfn.XLOOKUP(表格1[[#This Row],[Model]],表格3[Model-Input-Ref2],表格3[Code])</f>
        <v>LAD</v>
      </c>
      <c r="K1908" s="89" t="s">
        <v>969</v>
      </c>
      <c r="L1908" s="86">
        <v>1</v>
      </c>
      <c r="M1908" s="87">
        <v>4580</v>
      </c>
      <c r="N1908" s="85">
        <f>IFERROR(表格1[[#This Row],[QTY]]*表格1[[#This Row],[Unit Price]],"-")</f>
        <v>4580</v>
      </c>
      <c r="O1908" s="86">
        <v>1111315</v>
      </c>
      <c r="R1908" s="86" t="str">
        <f>_xlfn.CONCAT(表格1[[#This Row],[Model]]," ",表格1[[#This Row],[inv no]])</f>
        <v>TW-T22BU95UWH(WK)-B 1111315</v>
      </c>
      <c r="S1908" s="86">
        <f>_xlfn.XLOOKUP(表格1[[#This Row],[Model]],表格3[Model-Input-Ref2],表格3[SRP PRICE])</f>
        <v>5880</v>
      </c>
      <c r="T1908" s="43">
        <f>表格1[[#This Row],[Unit Price]]/表格1[[#This Row],[SRP]]</f>
        <v>0.77891156462585032</v>
      </c>
      <c r="U1908" s="86" t="str">
        <f>_xlfn.XLOOKUP(表格1[[#This Row],[Model]],表格3[Model-Input-Ref2],表格3[TOSHIBA/HIGHEST])</f>
        <v>Toshiba SRP</v>
      </c>
      <c r="V1908" s="86">
        <v>1111</v>
      </c>
      <c r="W1908" s="86" t="str">
        <f>_xlfn.CONCAT(表格1[[#This Row],[欄4]],表格1[[#This Row],[inv no]])</f>
        <v>11111111315</v>
      </c>
    </row>
    <row r="1909" spans="1:23" hidden="1">
      <c r="A1909" s="81">
        <v>1907</v>
      </c>
      <c r="B1909" s="81" t="s">
        <v>1470</v>
      </c>
      <c r="C1909" s="81" t="s">
        <v>1766</v>
      </c>
      <c r="D1909" s="82" t="str">
        <f ca="1">OFFSET(Roster!$A$3,MATCH(表格1[[#This Row],[Location]]&amp;" "&amp;表格1[[#This Row],[Shop]]&amp;"*",Roster!$A$4:$A$72,0),DAY(表格1[[#This Row],[date]]),1,1)</f>
        <v>Leo</v>
      </c>
      <c r="E1909" s="81">
        <f>MONTH(表格1[[#This Row],[date]])</f>
        <v>3</v>
      </c>
      <c r="F1909" s="90">
        <v>46098</v>
      </c>
      <c r="G1909" s="81" t="str">
        <f>VLOOKUP("*"&amp;表格1[[#This Row],[Input]]&amp;"*",'Ref-List'!$B:$D,2,)</f>
        <v>CWF-07CRFN8-AD5</v>
      </c>
      <c r="H1909" s="81" t="str">
        <f>_xlfn.XLOOKUP(表格1[[#This Row],[Model]],表格3[Model-Input-Ref2],表格3[Product Line])</f>
        <v>Comfee 3/4匹變頻窗口式冷氣機</v>
      </c>
      <c r="I1909" s="81" t="str">
        <f>_xlfn.XLOOKUP(表格1[[#This Row],[Model]],表格3[Model-Input-Ref2],表格3[大小電])</f>
        <v>大電</v>
      </c>
      <c r="J1909" s="81" t="str">
        <f>_xlfn.XLOOKUP(表格1[[#This Row],[Model]],表格3[Model-Input-Ref2],表格3[Code])</f>
        <v>RAC</v>
      </c>
      <c r="K1909" s="89" t="s">
        <v>1769</v>
      </c>
      <c r="L1909" s="86">
        <v>1</v>
      </c>
      <c r="M1909" s="87">
        <v>2650</v>
      </c>
      <c r="N1909" s="85">
        <f>IFERROR(表格1[[#This Row],[QTY]]*表格1[[#This Row],[Unit Price]],"-")</f>
        <v>2650</v>
      </c>
      <c r="O1909" s="86">
        <v>1111377</v>
      </c>
      <c r="R1909" s="86" t="str">
        <f>_xlfn.CONCAT(表格1[[#This Row],[Model]]," ",表格1[[#This Row],[inv no]])</f>
        <v>CWF-07CRFN8-AD5 1111377</v>
      </c>
      <c r="S1909" s="86">
        <f>_xlfn.XLOOKUP(表格1[[#This Row],[Model]],表格3[Model-Input-Ref2],表格3[SRP PRICE])</f>
        <v>3800</v>
      </c>
      <c r="T1909" s="43">
        <f>表格1[[#This Row],[Unit Price]]/表格1[[#This Row],[SRP]]</f>
        <v>0.69736842105263153</v>
      </c>
      <c r="U1909" s="86" t="str">
        <f>_xlfn.XLOOKUP(表格1[[#This Row],[Model]],表格3[Model-Input-Ref2],表格3[TOSHIBA/HIGHEST])</f>
        <v>Shops Highest Price</v>
      </c>
      <c r="V1909" s="86">
        <v>1111</v>
      </c>
      <c r="W1909" s="86" t="str">
        <f>_xlfn.CONCAT(表格1[[#This Row],[欄4]],表格1[[#This Row],[inv no]])</f>
        <v>11111111377</v>
      </c>
    </row>
    <row r="1910" spans="1:23" hidden="1">
      <c r="A1910" s="81">
        <v>1908</v>
      </c>
      <c r="B1910" s="81" t="s">
        <v>1470</v>
      </c>
      <c r="C1910" s="81" t="s">
        <v>1766</v>
      </c>
      <c r="D1910" s="82" t="str">
        <f ca="1">OFFSET(Roster!$A$3,MATCH(表格1[[#This Row],[Location]]&amp;" "&amp;表格1[[#This Row],[Shop]]&amp;"*",Roster!$A$4:$A$72,0),DAY(表格1[[#This Row],[date]]),1,1)</f>
        <v>Leo</v>
      </c>
      <c r="E1910" s="81">
        <f>MONTH(表格1[[#This Row],[date]])</f>
        <v>3</v>
      </c>
      <c r="F1910" s="90">
        <v>46098</v>
      </c>
      <c r="G1910" s="81" t="str">
        <f>VLOOKUP("*"&amp;表格1[[#This Row],[Input]]&amp;"*",'Ref-List'!$B:$D,2,)</f>
        <v>TWP-TSR76THK(W)</v>
      </c>
      <c r="H1910" s="81" t="str">
        <f>_xlfn.XLOOKUP(表格1[[#This Row],[Model]],表格3[Model-Input-Ref2],表格3[Product Line])</f>
        <v>RO座檯式飲水機</v>
      </c>
      <c r="I1910" s="81" t="str">
        <f>_xlfn.XLOOKUP(表格1[[#This Row],[Model]],表格3[Model-Input-Ref2],表格3[大小電])</f>
        <v>細電</v>
      </c>
      <c r="J1910" s="81" t="str">
        <f>_xlfn.XLOOKUP(表格1[[#This Row],[Model]],表格3[Model-Input-Ref2],表格3[Code])</f>
        <v>KWH</v>
      </c>
      <c r="K1910" s="89" t="s">
        <v>1197</v>
      </c>
      <c r="L1910" s="86">
        <v>1</v>
      </c>
      <c r="M1910" s="87">
        <v>1800</v>
      </c>
      <c r="N1910" s="85">
        <f>IFERROR(表格1[[#This Row],[QTY]]*表格1[[#This Row],[Unit Price]],"-")</f>
        <v>1800</v>
      </c>
      <c r="O1910" s="86">
        <v>1111385</v>
      </c>
      <c r="R1910" s="86" t="str">
        <f>_xlfn.CONCAT(表格1[[#This Row],[Model]]," ",表格1[[#This Row],[inv no]])</f>
        <v>TWP-TSR76THK(W) 1111385</v>
      </c>
      <c r="S1910" s="86">
        <f>_xlfn.XLOOKUP(表格1[[#This Row],[Model]],表格3[Model-Input-Ref2],表格3[SRP PRICE])</f>
        <v>2680</v>
      </c>
      <c r="T1910" s="43">
        <f>表格1[[#This Row],[Unit Price]]/表格1[[#This Row],[SRP]]</f>
        <v>0.67164179104477617</v>
      </c>
      <c r="U1910" s="86" t="str">
        <f>_xlfn.XLOOKUP(表格1[[#This Row],[Model]],表格3[Model-Input-Ref2],表格3[TOSHIBA/HIGHEST])</f>
        <v>Toshiba SRP</v>
      </c>
      <c r="V1910" s="86">
        <v>1111</v>
      </c>
      <c r="W1910" s="86" t="str">
        <f>_xlfn.CONCAT(表格1[[#This Row],[欄4]],表格1[[#This Row],[inv no]])</f>
        <v>11111111385</v>
      </c>
    </row>
    <row r="1911" spans="1:23" hidden="1">
      <c r="A1911" s="81">
        <v>1909</v>
      </c>
      <c r="B1911" s="81" t="s">
        <v>1470</v>
      </c>
      <c r="C1911" s="81" t="s">
        <v>1766</v>
      </c>
      <c r="D1911" s="82" t="str">
        <f ca="1">OFFSET(Roster!$A$3,MATCH(表格1[[#This Row],[Location]]&amp;" "&amp;表格1[[#This Row],[Shop]]&amp;"*",Roster!$A$4:$A$72,0),DAY(表格1[[#This Row],[date]]),1,1)</f>
        <v>Leo off</v>
      </c>
      <c r="E1911" s="81">
        <f>MONTH(表格1[[#This Row],[date]])</f>
        <v>3</v>
      </c>
      <c r="F1911" s="90">
        <v>46099</v>
      </c>
      <c r="G1911" s="81" t="str">
        <f>VLOOKUP("*"&amp;表格1[[#This Row],[Input]]&amp;"*",'Ref-List'!$B:$D,2,)</f>
        <v>VC-CLS1BF(R)</v>
      </c>
      <c r="H1911" s="81" t="str">
        <f>_xlfn.XLOOKUP(表格1[[#This Row],[Model]],表格3[Model-Input-Ref2],表格3[Product Line])</f>
        <v>超輕巧2合1無線吸塵機</v>
      </c>
      <c r="I1911" s="81" t="str">
        <f>_xlfn.XLOOKUP(表格1[[#This Row],[Model]],表格3[Model-Input-Ref2],表格3[大小電])</f>
        <v>細電</v>
      </c>
      <c r="J1911" s="81" t="str">
        <f>_xlfn.XLOOKUP(表格1[[#This Row],[Model]],表格3[Model-Input-Ref2],表格3[Code])</f>
        <v>MCA</v>
      </c>
      <c r="K1911" s="89" t="s">
        <v>1265</v>
      </c>
      <c r="L1911" s="86">
        <v>1</v>
      </c>
      <c r="M1911" s="87">
        <v>1088</v>
      </c>
      <c r="N1911" s="85">
        <f>IFERROR(表格1[[#This Row],[QTY]]*表格1[[#This Row],[Unit Price]],"-")</f>
        <v>1088</v>
      </c>
      <c r="O1911" s="86">
        <v>1111419</v>
      </c>
      <c r="R1911" s="86" t="str">
        <f>_xlfn.CONCAT(表格1[[#This Row],[Model]]," ",表格1[[#This Row],[inv no]])</f>
        <v>VC-CLS1BF(R) 1111419</v>
      </c>
      <c r="S1911" s="86">
        <f>_xlfn.XLOOKUP(表格1[[#This Row],[Model]],表格3[Model-Input-Ref2],表格3[SRP PRICE])</f>
        <v>1888</v>
      </c>
      <c r="T1911" s="43">
        <f>表格1[[#This Row],[Unit Price]]/表格1[[#This Row],[SRP]]</f>
        <v>0.57627118644067798</v>
      </c>
      <c r="U1911" s="86" t="str">
        <f>_xlfn.XLOOKUP(表格1[[#This Row],[Model]],表格3[Model-Input-Ref2],表格3[TOSHIBA/HIGHEST])</f>
        <v>Toshiba SRP</v>
      </c>
      <c r="V1911" s="86">
        <v>1111</v>
      </c>
      <c r="W1911" s="86" t="str">
        <f>_xlfn.CONCAT(表格1[[#This Row],[欄4]],表格1[[#This Row],[inv no]])</f>
        <v>11111111419</v>
      </c>
    </row>
    <row r="1912" spans="1:23" hidden="1">
      <c r="A1912" s="81">
        <v>1910</v>
      </c>
      <c r="B1912" s="81" t="s">
        <v>1470</v>
      </c>
      <c r="C1912" s="81" t="s">
        <v>1766</v>
      </c>
      <c r="D1912" s="82" t="str">
        <f ca="1">OFFSET(Roster!$A$3,MATCH(表格1[[#This Row],[Location]]&amp;" "&amp;表格1[[#This Row],[Shop]]&amp;"*",Roster!$A$4:$A$72,0),DAY(表格1[[#This Row],[date]]),1,1)</f>
        <v>Leo off</v>
      </c>
      <c r="E1912" s="81">
        <f>MONTH(表格1[[#This Row],[date]])</f>
        <v>3</v>
      </c>
      <c r="F1912" s="90">
        <v>46099</v>
      </c>
      <c r="G1912" s="81" t="str">
        <f>VLOOKUP("*"&amp;表格1[[#This Row],[Input]]&amp;"*",'Ref-List'!$B:$D,2,)</f>
        <v>MWP-MM20P(WH)</v>
      </c>
      <c r="H1912" s="81" t="str">
        <f>_xlfn.XLOOKUP(表格1[[#This Row],[Model]],表格3[Model-Input-Ref2],表格3[Product Line])</f>
        <v>旋鈕式燒烤微波爐20L</v>
      </c>
      <c r="I1912" s="81" t="str">
        <f>_xlfn.XLOOKUP(表格1[[#This Row],[Model]],表格3[Model-Input-Ref2],表格3[大小電])</f>
        <v>細電</v>
      </c>
      <c r="J1912" s="81" t="str">
        <f>_xlfn.XLOOKUP(表格1[[#This Row],[Model]],表格3[Model-Input-Ref2],表格3[Code])</f>
        <v>SDA</v>
      </c>
      <c r="K1912" s="89" t="s">
        <v>1270</v>
      </c>
      <c r="L1912" s="86">
        <v>1</v>
      </c>
      <c r="M1912" s="87">
        <v>550</v>
      </c>
      <c r="N1912" s="85">
        <f>IFERROR(表格1[[#This Row],[QTY]]*表格1[[#This Row],[Unit Price]],"-")</f>
        <v>550</v>
      </c>
      <c r="O1912" s="86">
        <v>1111461</v>
      </c>
      <c r="R1912" s="86" t="str">
        <f>_xlfn.CONCAT(表格1[[#This Row],[Model]]," ",表格1[[#This Row],[inv no]])</f>
        <v>MWP-MM20P(WH) 1111461</v>
      </c>
      <c r="S1912" s="86">
        <f>_xlfn.XLOOKUP(表格1[[#This Row],[Model]],表格3[Model-Input-Ref2],表格3[SRP PRICE])</f>
        <v>648</v>
      </c>
      <c r="T1912" s="43">
        <f>表格1[[#This Row],[Unit Price]]/表格1[[#This Row],[SRP]]</f>
        <v>0.84876543209876543</v>
      </c>
      <c r="U1912" s="86" t="str">
        <f>_xlfn.XLOOKUP(表格1[[#This Row],[Model]],表格3[Model-Input-Ref2],表格3[TOSHIBA/HIGHEST])</f>
        <v>Toshiba SRP</v>
      </c>
      <c r="V1912" s="86">
        <v>1111</v>
      </c>
      <c r="W1912" s="86" t="str">
        <f>_xlfn.CONCAT(表格1[[#This Row],[欄4]],表格1[[#This Row],[inv no]])</f>
        <v>11111111461</v>
      </c>
    </row>
    <row r="1913" spans="1:23" hidden="1">
      <c r="A1913" s="81">
        <v>1911</v>
      </c>
      <c r="B1913" s="81" t="s">
        <v>1470</v>
      </c>
      <c r="C1913" s="81" t="s">
        <v>1766</v>
      </c>
      <c r="D1913" s="82" t="str">
        <f ca="1">OFFSET(Roster!$A$3,MATCH(表格1[[#This Row],[Location]]&amp;" "&amp;表格1[[#This Row],[Shop]]&amp;"*",Roster!$A$4:$A$72,0),DAY(表格1[[#This Row],[date]]),1,1)</f>
        <v>Leo off</v>
      </c>
      <c r="E1913" s="81">
        <f>MONTH(表格1[[#This Row],[date]])</f>
        <v>3</v>
      </c>
      <c r="F1913" s="90">
        <v>46099</v>
      </c>
      <c r="G1913" s="81" t="str">
        <f>VLOOKUP("*"&amp;表格1[[#This Row],[Input]]&amp;"*",'Ref-List'!$B:$D,2,)</f>
        <v>RAD-D300H</v>
      </c>
      <c r="H1913" s="81" t="str">
        <f>_xlfn.XLOOKUP(表格1[[#This Row],[Model]],表格3[Model-Input-Ref2],表格3[Product Line])</f>
        <v>壓縮式抽濕機 (30公升)</v>
      </c>
      <c r="I1913" s="81" t="str">
        <f>_xlfn.XLOOKUP(表格1[[#This Row],[Model]],表格3[Model-Input-Ref2],表格3[大小電])</f>
        <v>細電</v>
      </c>
      <c r="J1913" s="81" t="str">
        <f>_xlfn.XLOOKUP(表格1[[#This Row],[Model]],表格3[Model-Input-Ref2],表格3[Code])</f>
        <v>RAC</v>
      </c>
      <c r="K1913" s="89" t="s">
        <v>1252</v>
      </c>
      <c r="L1913" s="86">
        <v>1</v>
      </c>
      <c r="M1913" s="87">
        <v>2030</v>
      </c>
      <c r="N1913" s="85">
        <f>IFERROR(表格1[[#This Row],[QTY]]*表格1[[#This Row],[Unit Price]],"-")</f>
        <v>2030</v>
      </c>
      <c r="O1913" s="86">
        <v>1111435</v>
      </c>
      <c r="R1913" s="86" t="str">
        <f>_xlfn.CONCAT(表格1[[#This Row],[Model]]," ",表格1[[#This Row],[inv no]])</f>
        <v>RAD-D300H 1111435</v>
      </c>
      <c r="S1913" s="86">
        <f>_xlfn.XLOOKUP(表格1[[#This Row],[Model]],表格3[Model-Input-Ref2],表格3[SRP PRICE])</f>
        <v>3380</v>
      </c>
      <c r="T1913" s="43">
        <f>表格1[[#This Row],[Unit Price]]/表格1[[#This Row],[SRP]]</f>
        <v>0.60059171597633132</v>
      </c>
      <c r="U1913" s="86" t="str">
        <f>_xlfn.XLOOKUP(表格1[[#This Row],[Model]],表格3[Model-Input-Ref2],表格3[TOSHIBA/HIGHEST])</f>
        <v>Shops Highest Price</v>
      </c>
      <c r="V1913" s="86">
        <v>1111</v>
      </c>
      <c r="W1913" s="86" t="str">
        <f>_xlfn.CONCAT(表格1[[#This Row],[欄4]],表格1[[#This Row],[inv no]])</f>
        <v>11111111435</v>
      </c>
    </row>
    <row r="1914" spans="1:23" hidden="1">
      <c r="A1914" s="81">
        <v>1912</v>
      </c>
      <c r="B1914" s="81" t="s">
        <v>1470</v>
      </c>
      <c r="C1914" s="81" t="s">
        <v>1766</v>
      </c>
      <c r="D1914" s="82" t="str">
        <f ca="1">OFFSET(Roster!$A$3,MATCH(表格1[[#This Row],[Location]]&amp;" "&amp;表格1[[#This Row],[Shop]]&amp;"*",Roster!$A$4:$A$72,0),DAY(表格1[[#This Row],[date]]),1,1)</f>
        <v>Leo off</v>
      </c>
      <c r="E1914" s="81">
        <f>MONTH(表格1[[#This Row],[date]])</f>
        <v>3</v>
      </c>
      <c r="F1914" s="90">
        <v>46099</v>
      </c>
      <c r="G1914" s="81" t="str">
        <f>VLOOKUP("*"&amp;表格1[[#This Row],[Input]]&amp;"*",'Ref-List'!$B:$D,2,)</f>
        <v>RAD-Y200H</v>
      </c>
      <c r="H1914" s="81" t="str">
        <f>_xlfn.XLOOKUP(表格1[[#This Row],[Model]],表格3[Model-Input-Ref2],表格3[Product Line])</f>
        <v>21L壓縮式抽濕機</v>
      </c>
      <c r="I1914" s="81" t="str">
        <f>_xlfn.XLOOKUP(表格1[[#This Row],[Model]],表格3[Model-Input-Ref2],表格3[大小電])</f>
        <v>大電</v>
      </c>
      <c r="J1914" s="81" t="str">
        <f>_xlfn.XLOOKUP(表格1[[#This Row],[Model]],表格3[Model-Input-Ref2],表格3[Code])</f>
        <v>RAC</v>
      </c>
      <c r="K1914" s="89" t="s">
        <v>1241</v>
      </c>
      <c r="L1914" s="86">
        <v>1</v>
      </c>
      <c r="M1914" s="87">
        <v>1788</v>
      </c>
      <c r="N1914" s="85">
        <f>IFERROR(表格1[[#This Row],[QTY]]*表格1[[#This Row],[Unit Price]],"-")</f>
        <v>1788</v>
      </c>
      <c r="O1914" s="86">
        <v>1111433</v>
      </c>
      <c r="R1914" s="86" t="str">
        <f>_xlfn.CONCAT(表格1[[#This Row],[Model]]," ",表格1[[#This Row],[inv no]])</f>
        <v>RAD-Y200H 1111433</v>
      </c>
      <c r="S1914" s="86">
        <f>_xlfn.XLOOKUP(表格1[[#This Row],[Model]],表格3[Model-Input-Ref2],表格3[SRP PRICE])</f>
        <v>3280</v>
      </c>
      <c r="T1914" s="43">
        <f>表格1[[#This Row],[Unit Price]]/表格1[[#This Row],[SRP]]</f>
        <v>0.54512195121951224</v>
      </c>
      <c r="U1914" s="86" t="str">
        <f>_xlfn.XLOOKUP(表格1[[#This Row],[Model]],表格3[Model-Input-Ref2],表格3[TOSHIBA/HIGHEST])</f>
        <v>Toshiba SRP</v>
      </c>
      <c r="V1914" s="86">
        <v>1111</v>
      </c>
      <c r="W1914" s="86" t="str">
        <f>_xlfn.CONCAT(表格1[[#This Row],[欄4]],表格1[[#This Row],[inv no]])</f>
        <v>11111111433</v>
      </c>
    </row>
    <row r="1915" spans="1:23" hidden="1">
      <c r="A1915" s="81">
        <v>1913</v>
      </c>
      <c r="B1915" s="81" t="s">
        <v>1470</v>
      </c>
      <c r="C1915" s="81" t="s">
        <v>1766</v>
      </c>
      <c r="D1915" s="82" t="str">
        <f ca="1">OFFSET(Roster!$A$3,MATCH(表格1[[#This Row],[Location]]&amp;" "&amp;表格1[[#This Row],[Shop]]&amp;"*",Roster!$A$4:$A$72,0),DAY(表格1[[#This Row],[date]]),1,1)</f>
        <v>Leo</v>
      </c>
      <c r="E1915" s="81">
        <f>MONTH(表格1[[#This Row],[date]])</f>
        <v>3</v>
      </c>
      <c r="F1915" s="90">
        <v>46102</v>
      </c>
      <c r="G1915" s="81" t="str">
        <f>VLOOKUP("*"&amp;表格1[[#This Row],[Input]]&amp;"*",'Ref-List'!$B:$D,2,)</f>
        <v>CWF-07CRFN8-AD5</v>
      </c>
      <c r="H1915" s="81" t="str">
        <f>_xlfn.XLOOKUP(表格1[[#This Row],[Model]],表格3[Model-Input-Ref2],表格3[Product Line])</f>
        <v>Comfee 3/4匹變頻窗口式冷氣機</v>
      </c>
      <c r="I1915" s="81" t="str">
        <f>_xlfn.XLOOKUP(表格1[[#This Row],[Model]],表格3[Model-Input-Ref2],表格3[大小電])</f>
        <v>大電</v>
      </c>
      <c r="J1915" s="81" t="str">
        <f>_xlfn.XLOOKUP(表格1[[#This Row],[Model]],表格3[Model-Input-Ref2],表格3[Code])</f>
        <v>RAC</v>
      </c>
      <c r="K1915" s="89" t="s">
        <v>1769</v>
      </c>
      <c r="L1915" s="86">
        <v>1</v>
      </c>
      <c r="M1915" s="87">
        <v>2650</v>
      </c>
      <c r="N1915" s="85">
        <f>IFERROR(表格1[[#This Row],[QTY]]*表格1[[#This Row],[Unit Price]],"-")</f>
        <v>2650</v>
      </c>
      <c r="O1915" s="86">
        <v>1111541</v>
      </c>
      <c r="R1915" s="86" t="str">
        <f>_xlfn.CONCAT(表格1[[#This Row],[Model]]," ",表格1[[#This Row],[inv no]])</f>
        <v>CWF-07CRFN8-AD5 1111541</v>
      </c>
      <c r="S1915" s="86">
        <f>_xlfn.XLOOKUP(表格1[[#This Row],[Model]],表格3[Model-Input-Ref2],表格3[SRP PRICE])</f>
        <v>3800</v>
      </c>
      <c r="T1915" s="43">
        <f>表格1[[#This Row],[Unit Price]]/表格1[[#This Row],[SRP]]</f>
        <v>0.69736842105263153</v>
      </c>
      <c r="U1915" s="86" t="str">
        <f>_xlfn.XLOOKUP(表格1[[#This Row],[Model]],表格3[Model-Input-Ref2],表格3[TOSHIBA/HIGHEST])</f>
        <v>Shops Highest Price</v>
      </c>
      <c r="V1915" s="86">
        <v>1111</v>
      </c>
      <c r="W1915" s="86" t="str">
        <f>_xlfn.CONCAT(表格1[[#This Row],[欄4]],表格1[[#This Row],[inv no]])</f>
        <v>11111111541</v>
      </c>
    </row>
    <row r="1916" spans="1:23" hidden="1">
      <c r="A1916" s="81">
        <v>1914</v>
      </c>
      <c r="B1916" s="81" t="s">
        <v>1470</v>
      </c>
      <c r="C1916" s="81" t="s">
        <v>1766</v>
      </c>
      <c r="D1916" s="82" t="str">
        <f ca="1">OFFSET(Roster!$A$3,MATCH(表格1[[#This Row],[Location]]&amp;" "&amp;表格1[[#This Row],[Shop]]&amp;"*",Roster!$A$4:$A$72,0),DAY(表格1[[#This Row],[date]]),1,1)</f>
        <v>Leo</v>
      </c>
      <c r="E1916" s="81">
        <f>MONTH(表格1[[#This Row],[date]])</f>
        <v>3</v>
      </c>
      <c r="F1916" s="90">
        <v>46102</v>
      </c>
      <c r="G1916" s="81" t="str">
        <f>VLOOKUP("*"&amp;表格1[[#This Row],[Input]]&amp;"*",'Ref-List'!$B:$D,2,)</f>
        <v>AW-Q801APH(WW)</v>
      </c>
      <c r="H1916" s="81" t="str">
        <f>_xlfn.XLOOKUP(表格1[[#This Row],[Model]],表格3[Model-Input-Ref2],表格3[Product Line])</f>
        <v>日式洗衣機 (7公斤 結合高低水位)</v>
      </c>
      <c r="I1916" s="81" t="str">
        <f>_xlfn.XLOOKUP(表格1[[#This Row],[Model]],表格3[Model-Input-Ref2],表格3[大小電])</f>
        <v>大電</v>
      </c>
      <c r="J1916" s="81" t="str">
        <f>_xlfn.XLOOKUP(表格1[[#This Row],[Model]],表格3[Model-Input-Ref2],表格3[Code])</f>
        <v>LAD</v>
      </c>
      <c r="K1916" s="89" t="s">
        <v>1420</v>
      </c>
      <c r="L1916" s="86">
        <v>1</v>
      </c>
      <c r="M1916" s="87">
        <v>1980</v>
      </c>
      <c r="N1916" s="85">
        <f>IFERROR(表格1[[#This Row],[QTY]]*表格1[[#This Row],[Unit Price]],"-")</f>
        <v>1980</v>
      </c>
      <c r="O1916" s="86">
        <v>1111591</v>
      </c>
      <c r="R1916" s="86" t="str">
        <f>_xlfn.CONCAT(表格1[[#This Row],[Model]]," ",表格1[[#This Row],[inv no]])</f>
        <v>AW-Q801APH(WW) 1111591</v>
      </c>
      <c r="S1916" s="86">
        <f>_xlfn.XLOOKUP(表格1[[#This Row],[Model]],表格3[Model-Input-Ref2],表格3[SRP PRICE])</f>
        <v>3380</v>
      </c>
      <c r="T1916" s="43">
        <f>表格1[[#This Row],[Unit Price]]/表格1[[#This Row],[SRP]]</f>
        <v>0.58579881656804733</v>
      </c>
      <c r="U1916" s="86" t="str">
        <f>_xlfn.XLOOKUP(表格1[[#This Row],[Model]],表格3[Model-Input-Ref2],表格3[TOSHIBA/HIGHEST])</f>
        <v>Toshiba SRP</v>
      </c>
      <c r="V1916" s="86">
        <v>1111</v>
      </c>
      <c r="W1916" s="86" t="str">
        <f>_xlfn.CONCAT(表格1[[#This Row],[欄4]],表格1[[#This Row],[inv no]])</f>
        <v>11111111591</v>
      </c>
    </row>
    <row r="1917" spans="1:23" hidden="1">
      <c r="A1917" s="81">
        <v>1915</v>
      </c>
      <c r="B1917" s="81" t="s">
        <v>1470</v>
      </c>
      <c r="C1917" s="81" t="s">
        <v>1766</v>
      </c>
      <c r="D1917" s="82" t="str">
        <f ca="1">OFFSET(Roster!$A$3,MATCH(表格1[[#This Row],[Location]]&amp;" "&amp;表格1[[#This Row],[Shop]]&amp;"*",Roster!$A$4:$A$72,0),DAY(表格1[[#This Row],[date]]),1,1)</f>
        <v>Leo</v>
      </c>
      <c r="E1917" s="81">
        <f>MONTH(表格1[[#This Row],[date]])</f>
        <v>3</v>
      </c>
      <c r="F1917" s="90">
        <v>46102</v>
      </c>
      <c r="G1917" s="81" t="str">
        <f>VLOOKUP("*"&amp;表格1[[#This Row],[Input]]&amp;"*",'Ref-List'!$B:$D,2,)</f>
        <v>TP-50DRUHK(W)</v>
      </c>
      <c r="H1917" s="81" t="str">
        <f>_xlfn.XLOOKUP(表格1[[#This Row],[Model]],表格3[Model-Input-Ref2],表格3[Product Line])</f>
        <v>電熱水瓶 (5公升)</v>
      </c>
      <c r="I1917" s="81" t="str">
        <f>_xlfn.XLOOKUP(表格1[[#This Row],[Model]],表格3[Model-Input-Ref2],表格3[大小電])</f>
        <v>細電</v>
      </c>
      <c r="J1917" s="81" t="str">
        <f>_xlfn.XLOOKUP(表格1[[#This Row],[Model]],表格3[Model-Input-Ref2],表格3[Code])</f>
        <v>SDA</v>
      </c>
      <c r="K1917" s="89" t="s">
        <v>1277</v>
      </c>
      <c r="L1917" s="86">
        <v>1</v>
      </c>
      <c r="M1917" s="87">
        <v>598</v>
      </c>
      <c r="N1917" s="85">
        <f>IFERROR(表格1[[#This Row],[QTY]]*表格1[[#This Row],[Unit Price]],"-")</f>
        <v>598</v>
      </c>
      <c r="O1917" s="86">
        <v>1111564</v>
      </c>
      <c r="R1917" s="86" t="str">
        <f>_xlfn.CONCAT(表格1[[#This Row],[Model]]," ",表格1[[#This Row],[inv no]])</f>
        <v>TP-50DRUHK(W) 1111564</v>
      </c>
      <c r="S1917" s="86">
        <f>_xlfn.XLOOKUP(表格1[[#This Row],[Model]],表格3[Model-Input-Ref2],表格3[SRP PRICE])</f>
        <v>718</v>
      </c>
      <c r="T1917" s="43">
        <f>表格1[[#This Row],[Unit Price]]/表格1[[#This Row],[SRP]]</f>
        <v>0.83286908077994426</v>
      </c>
      <c r="U1917" s="86" t="str">
        <f>_xlfn.XLOOKUP(表格1[[#This Row],[Model]],表格3[Model-Input-Ref2],表格3[TOSHIBA/HIGHEST])</f>
        <v>Toshiba SRP</v>
      </c>
      <c r="V1917" s="86">
        <v>1111</v>
      </c>
      <c r="W1917" s="86" t="str">
        <f>_xlfn.CONCAT(表格1[[#This Row],[欄4]],表格1[[#This Row],[inv no]])</f>
        <v>11111111564</v>
      </c>
    </row>
    <row r="1918" spans="1:23" hidden="1">
      <c r="A1918" s="81">
        <v>1916</v>
      </c>
      <c r="B1918" s="81" t="s">
        <v>1470</v>
      </c>
      <c r="C1918" s="81" t="s">
        <v>1766</v>
      </c>
      <c r="D1918" s="82" t="str">
        <f ca="1">OFFSET(Roster!$A$3,MATCH(表格1[[#This Row],[Location]]&amp;" "&amp;表格1[[#This Row],[Shop]]&amp;"*",Roster!$A$4:$A$72,0),DAY(表格1[[#This Row],[date]]),1,1)</f>
        <v>Leo</v>
      </c>
      <c r="E1918" s="81">
        <f>MONTH(表格1[[#This Row],[date]])</f>
        <v>3</v>
      </c>
      <c r="F1918" s="90">
        <v>46103</v>
      </c>
      <c r="G1918" s="81" t="str">
        <f>VLOOKUP("*"&amp;表格1[[#This Row],[Input]]&amp;"*",'Ref-List'!$B:$D,2,)</f>
        <v>F-LYA20(W)HKG</v>
      </c>
      <c r="H1918" s="81" t="str">
        <f>_xlfn.XLOOKUP(表格1[[#This Row],[Model]],表格3[Model-Input-Ref2],表格3[Product Line])</f>
        <v>12吋2合1座地座檯電風扇連遙控</v>
      </c>
      <c r="I1918" s="81" t="str">
        <f>_xlfn.XLOOKUP(表格1[[#This Row],[Model]],表格3[Model-Input-Ref2],表格3[大小電])</f>
        <v>細電</v>
      </c>
      <c r="J1918" s="81" t="str">
        <f>_xlfn.XLOOKUP(表格1[[#This Row],[Model]],表格3[Model-Input-Ref2],表格3[Code])</f>
        <v>EAD</v>
      </c>
      <c r="K1918" s="89" t="s">
        <v>1391</v>
      </c>
      <c r="L1918" s="86">
        <v>1</v>
      </c>
      <c r="M1918" s="87">
        <v>398</v>
      </c>
      <c r="N1918" s="85">
        <f>IFERROR(表格1[[#This Row],[QTY]]*表格1[[#This Row],[Unit Price]],"-")</f>
        <v>398</v>
      </c>
      <c r="O1918" s="86">
        <v>1111600</v>
      </c>
      <c r="R1918" s="86" t="str">
        <f>_xlfn.CONCAT(表格1[[#This Row],[Model]]," ",表格1[[#This Row],[inv no]])</f>
        <v>F-LYA20(W)HKG 1111600</v>
      </c>
      <c r="S1918" s="86">
        <f>_xlfn.XLOOKUP(表格1[[#This Row],[Model]],表格3[Model-Input-Ref2],表格3[SRP PRICE])</f>
        <v>988</v>
      </c>
      <c r="T1918" s="43">
        <f>表格1[[#This Row],[Unit Price]]/表格1[[#This Row],[SRP]]</f>
        <v>0.40283400809716602</v>
      </c>
      <c r="U1918" s="86" t="str">
        <f>_xlfn.XLOOKUP(表格1[[#This Row],[Model]],表格3[Model-Input-Ref2],表格3[TOSHIBA/HIGHEST])</f>
        <v>Toshiba SRP</v>
      </c>
      <c r="V1918" s="86">
        <v>1111</v>
      </c>
      <c r="W1918" s="86" t="str">
        <f>_xlfn.CONCAT(表格1[[#This Row],[欄4]],表格1[[#This Row],[inv no]])</f>
        <v>11111111600</v>
      </c>
    </row>
    <row r="1919" spans="1:23" hidden="1">
      <c r="A1919" s="81">
        <v>1917</v>
      </c>
      <c r="B1919" s="81" t="s">
        <v>1470</v>
      </c>
      <c r="C1919" s="81" t="s">
        <v>1766</v>
      </c>
      <c r="D1919" s="82" t="str">
        <f ca="1">OFFSET(Roster!$A$3,MATCH(表格1[[#This Row],[Location]]&amp;" "&amp;表格1[[#This Row],[Shop]]&amp;"*",Roster!$A$4:$A$72,0),DAY(表格1[[#This Row],[date]]),1,1)</f>
        <v>Leo</v>
      </c>
      <c r="E1919" s="81">
        <f>MONTH(表格1[[#This Row],[date]])</f>
        <v>3</v>
      </c>
      <c r="F1919" s="90">
        <v>46103</v>
      </c>
      <c r="G1919" s="81" t="str">
        <f>VLOOKUP("*"&amp;表格1[[#This Row],[Input]]&amp;"*",'Ref-List'!$B:$D,2,)</f>
        <v>RC-10NMFIH(WT)</v>
      </c>
      <c r="H1919" s="81" t="str">
        <f>_xlfn.XLOOKUP(表格1[[#This Row],[Model]],表格3[Model-Input-Ref2],表格3[Product Line])</f>
        <v>4毫米厚釜電飯煲1L</v>
      </c>
      <c r="I1919" s="81" t="str">
        <f>_xlfn.XLOOKUP(表格1[[#This Row],[Model]],表格3[Model-Input-Ref2],表格3[大小電])</f>
        <v>細電</v>
      </c>
      <c r="J1919" s="81" t="str">
        <f>_xlfn.XLOOKUP(表格1[[#This Row],[Model]],表格3[Model-Input-Ref2],表格3[Code])</f>
        <v>SDA</v>
      </c>
      <c r="K1919" s="89" t="s">
        <v>1244</v>
      </c>
      <c r="L1919" s="86">
        <v>1</v>
      </c>
      <c r="M1919" s="87">
        <v>708</v>
      </c>
      <c r="N1919" s="85">
        <f>IFERROR(表格1[[#This Row],[QTY]]*表格1[[#This Row],[Unit Price]],"-")</f>
        <v>708</v>
      </c>
      <c r="O1919" s="86">
        <v>1111622</v>
      </c>
      <c r="R1919" s="86" t="str">
        <f>_xlfn.CONCAT(表格1[[#This Row],[Model]]," ",表格1[[#This Row],[inv no]])</f>
        <v>RC-10NMFIH(WT) 1111622</v>
      </c>
      <c r="S1919" s="86">
        <f>_xlfn.XLOOKUP(表格1[[#This Row],[Model]],表格3[Model-Input-Ref2],表格3[SRP PRICE])</f>
        <v>898</v>
      </c>
      <c r="T1919" s="43">
        <f>表格1[[#This Row],[Unit Price]]/表格1[[#This Row],[SRP]]</f>
        <v>0.7884187082405345</v>
      </c>
      <c r="U1919" s="86" t="str">
        <f>_xlfn.XLOOKUP(表格1[[#This Row],[Model]],表格3[Model-Input-Ref2],表格3[TOSHIBA/HIGHEST])</f>
        <v>Toshiba SRP</v>
      </c>
      <c r="V1919" s="86">
        <v>1111</v>
      </c>
      <c r="W1919" s="86" t="str">
        <f>_xlfn.CONCAT(表格1[[#This Row],[欄4]],表格1[[#This Row],[inv no]])</f>
        <v>11111111622</v>
      </c>
    </row>
    <row r="1920" spans="1:23" hidden="1">
      <c r="A1920" s="81">
        <v>1918</v>
      </c>
      <c r="B1920" s="81" t="s">
        <v>1470</v>
      </c>
      <c r="C1920" s="81" t="s">
        <v>1766</v>
      </c>
      <c r="D1920" s="82" t="str">
        <f ca="1">OFFSET(Roster!$A$3,MATCH(表格1[[#This Row],[Location]]&amp;" "&amp;表格1[[#This Row],[Shop]]&amp;"*",Roster!$A$4:$A$72,0),DAY(表格1[[#This Row],[date]]),1,1)</f>
        <v>Leo</v>
      </c>
      <c r="E1920" s="81">
        <f>MONTH(表格1[[#This Row],[date]])</f>
        <v>3</v>
      </c>
      <c r="F1920" s="90">
        <v>46103</v>
      </c>
      <c r="G1920" s="81" t="str">
        <f>VLOOKUP("*"&amp;表格1[[#This Row],[Input]]&amp;"*",'Ref-List'!$B:$D,2,)</f>
        <v>TW-T22BU95UWH(WK)-B</v>
      </c>
      <c r="H1920" s="81" t="str">
        <f>_xlfn.XLOOKUP(表格1[[#This Row],[Model]],表格3[Model-Input-Ref2],表格3[Product Line])</f>
        <v>470MM超薄身前置式變頻洗衣機(8.5公斤, 可飛頂)</v>
      </c>
      <c r="I1920" s="81" t="str">
        <f>_xlfn.XLOOKUP(表格1[[#This Row],[Model]],表格3[Model-Input-Ref2],表格3[大小電])</f>
        <v>大電</v>
      </c>
      <c r="J1920" s="81" t="str">
        <f>_xlfn.XLOOKUP(表格1[[#This Row],[Model]],表格3[Model-Input-Ref2],表格3[Code])</f>
        <v>LAD</v>
      </c>
      <c r="K1920" s="89" t="s">
        <v>969</v>
      </c>
      <c r="L1920" s="86">
        <v>1</v>
      </c>
      <c r="M1920" s="87">
        <v>3480</v>
      </c>
      <c r="N1920" s="85">
        <f>IFERROR(表格1[[#This Row],[QTY]]*表格1[[#This Row],[Unit Price]],"-")</f>
        <v>3480</v>
      </c>
      <c r="O1920" s="86">
        <v>1111598</v>
      </c>
      <c r="R1920" s="86" t="str">
        <f>_xlfn.CONCAT(表格1[[#This Row],[Model]]," ",表格1[[#This Row],[inv no]])</f>
        <v>TW-T22BU95UWH(WK)-B 1111598</v>
      </c>
      <c r="S1920" s="86">
        <f>_xlfn.XLOOKUP(表格1[[#This Row],[Model]],表格3[Model-Input-Ref2],表格3[SRP PRICE])</f>
        <v>5880</v>
      </c>
      <c r="T1920" s="43">
        <f>表格1[[#This Row],[Unit Price]]/表格1[[#This Row],[SRP]]</f>
        <v>0.59183673469387754</v>
      </c>
      <c r="U1920" s="86" t="str">
        <f>_xlfn.XLOOKUP(表格1[[#This Row],[Model]],表格3[Model-Input-Ref2],表格3[TOSHIBA/HIGHEST])</f>
        <v>Toshiba SRP</v>
      </c>
      <c r="V1920" s="86">
        <v>1111</v>
      </c>
      <c r="W1920" s="86" t="str">
        <f>_xlfn.CONCAT(表格1[[#This Row],[欄4]],表格1[[#This Row],[inv no]])</f>
        <v>11111111598</v>
      </c>
    </row>
    <row r="1921" spans="1:23" hidden="1">
      <c r="A1921" s="81">
        <v>1919</v>
      </c>
      <c r="B1921" s="81" t="s">
        <v>1470</v>
      </c>
      <c r="C1921" s="81" t="s">
        <v>1766</v>
      </c>
      <c r="D1921" s="82" t="str">
        <f ca="1">OFFSET(Roster!$A$3,MATCH(表格1[[#This Row],[Location]]&amp;" "&amp;表格1[[#This Row],[Shop]]&amp;"*",Roster!$A$4:$A$72,0),DAY(表格1[[#This Row],[date]]),1,1)</f>
        <v>Leo</v>
      </c>
      <c r="E1921" s="81">
        <f>MONTH(表格1[[#This Row],[date]])</f>
        <v>3</v>
      </c>
      <c r="F1921" s="90">
        <v>46103</v>
      </c>
      <c r="G1921" s="81" t="str">
        <f>VLOOKUP("*"&amp;表格1[[#This Row],[Input]]&amp;"*",'Ref-List'!$B:$D,2,)</f>
        <v>RAD-D300H</v>
      </c>
      <c r="H1921" s="81" t="str">
        <f>_xlfn.XLOOKUP(表格1[[#This Row],[Model]],表格3[Model-Input-Ref2],表格3[Product Line])</f>
        <v>壓縮式抽濕機 (30公升)</v>
      </c>
      <c r="I1921" s="81" t="str">
        <f>_xlfn.XLOOKUP(表格1[[#This Row],[Model]],表格3[Model-Input-Ref2],表格3[大小電])</f>
        <v>細電</v>
      </c>
      <c r="J1921" s="81" t="str">
        <f>_xlfn.XLOOKUP(表格1[[#This Row],[Model]],表格3[Model-Input-Ref2],表格3[Code])</f>
        <v>RAC</v>
      </c>
      <c r="K1921" s="89" t="s">
        <v>1252</v>
      </c>
      <c r="L1921" s="86">
        <v>1</v>
      </c>
      <c r="M1921" s="87">
        <v>1980</v>
      </c>
      <c r="N1921" s="85">
        <f>IFERROR(表格1[[#This Row],[QTY]]*表格1[[#This Row],[Unit Price]],"-")</f>
        <v>1980</v>
      </c>
      <c r="O1921" s="86">
        <v>1111615</v>
      </c>
      <c r="R1921" s="86" t="str">
        <f>_xlfn.CONCAT(表格1[[#This Row],[Model]]," ",表格1[[#This Row],[inv no]])</f>
        <v>RAD-D300H 1111615</v>
      </c>
      <c r="S1921" s="86">
        <f>_xlfn.XLOOKUP(表格1[[#This Row],[Model]],表格3[Model-Input-Ref2],表格3[SRP PRICE])</f>
        <v>3380</v>
      </c>
      <c r="T1921" s="43">
        <f>表格1[[#This Row],[Unit Price]]/表格1[[#This Row],[SRP]]</f>
        <v>0.58579881656804733</v>
      </c>
      <c r="U1921" s="86" t="str">
        <f>_xlfn.XLOOKUP(表格1[[#This Row],[Model]],表格3[Model-Input-Ref2],表格3[TOSHIBA/HIGHEST])</f>
        <v>Shops Highest Price</v>
      </c>
      <c r="V1921" s="86">
        <v>1111</v>
      </c>
      <c r="W1921" s="86" t="str">
        <f>_xlfn.CONCAT(表格1[[#This Row],[欄4]],表格1[[#This Row],[inv no]])</f>
        <v>11111111615</v>
      </c>
    </row>
    <row r="1922" spans="1:23" hidden="1">
      <c r="A1922" s="81">
        <v>1920</v>
      </c>
      <c r="B1922" s="81" t="s">
        <v>1470</v>
      </c>
      <c r="C1922" s="81" t="s">
        <v>1766</v>
      </c>
      <c r="D1922" s="82" t="str">
        <f ca="1">OFFSET(Roster!$A$3,MATCH(表格1[[#This Row],[Location]]&amp;" "&amp;表格1[[#This Row],[Shop]]&amp;"*",Roster!$A$4:$A$72,0),DAY(表格1[[#This Row],[date]]),1,1)</f>
        <v>Leo</v>
      </c>
      <c r="E1922" s="81">
        <f>MONTH(表格1[[#This Row],[date]])</f>
        <v>3</v>
      </c>
      <c r="F1922" s="90">
        <v>46103</v>
      </c>
      <c r="G1922" s="81" t="str">
        <f>VLOOKUP("*"&amp;表格1[[#This Row],[Input]]&amp;"*",'Ref-List'!$B:$D,2,)</f>
        <v>RC-10AMXH(W)</v>
      </c>
      <c r="H1922" s="81" t="str">
        <f>_xlfn.XLOOKUP(表格1[[#This Row],[Model]],表格3[Model-Input-Ref2],表格3[Product Line])</f>
        <v>酵活炊電飯煲(1.0公升)</v>
      </c>
      <c r="I1922" s="81" t="str">
        <f>_xlfn.XLOOKUP(表格1[[#This Row],[Model]],表格3[Model-Input-Ref2],表格3[大小電])</f>
        <v>細電</v>
      </c>
      <c r="J1922" s="81" t="str">
        <f>_xlfn.XLOOKUP(表格1[[#This Row],[Model]],表格3[Model-Input-Ref2],表格3[Code])</f>
        <v>SDA</v>
      </c>
      <c r="K1922" s="89" t="s">
        <v>1279</v>
      </c>
      <c r="L1922" s="86">
        <v>1</v>
      </c>
      <c r="M1922" s="87">
        <v>880</v>
      </c>
      <c r="N1922" s="85">
        <f>IFERROR(表格1[[#This Row],[QTY]]*表格1[[#This Row],[Unit Price]],"-")</f>
        <v>880</v>
      </c>
      <c r="O1922" s="86">
        <v>1111627</v>
      </c>
      <c r="R1922" s="86" t="str">
        <f>_xlfn.CONCAT(表格1[[#This Row],[Model]]," ",表格1[[#This Row],[inv no]])</f>
        <v>RC-10AMXH(W) 1111627</v>
      </c>
      <c r="S1922" s="86">
        <f>_xlfn.XLOOKUP(表格1[[#This Row],[Model]],表格3[Model-Input-Ref2],表格3[SRP PRICE])</f>
        <v>1288</v>
      </c>
      <c r="T1922" s="43">
        <f>表格1[[#This Row],[Unit Price]]/表格1[[#This Row],[SRP]]</f>
        <v>0.68322981366459623</v>
      </c>
      <c r="U1922" s="86" t="str">
        <f>_xlfn.XLOOKUP(表格1[[#This Row],[Model]],表格3[Model-Input-Ref2],表格3[TOSHIBA/HIGHEST])</f>
        <v>Toshiba SRP</v>
      </c>
      <c r="V1922" s="86">
        <v>1111</v>
      </c>
      <c r="W1922" s="86" t="str">
        <f>_xlfn.CONCAT(表格1[[#This Row],[欄4]],表格1[[#This Row],[inv no]])</f>
        <v>11111111627</v>
      </c>
    </row>
    <row r="1923" spans="1:23" hidden="1">
      <c r="A1923" s="81">
        <v>1921</v>
      </c>
      <c r="B1923" s="81" t="s">
        <v>1470</v>
      </c>
      <c r="C1923" s="81" t="s">
        <v>1766</v>
      </c>
      <c r="D1923" s="82" t="str">
        <f ca="1">OFFSET(Roster!$A$3,MATCH(表格1[[#This Row],[Location]]&amp;" "&amp;表格1[[#This Row],[Shop]]&amp;"*",Roster!$A$4:$A$72,0),DAY(表格1[[#This Row],[date]]),1,1)</f>
        <v>Leo</v>
      </c>
      <c r="E1923" s="81">
        <f>MONTH(表格1[[#This Row],[date]])</f>
        <v>3</v>
      </c>
      <c r="F1923" s="90">
        <v>46103</v>
      </c>
      <c r="G1923" s="81" t="str">
        <f>VLOOKUP("*"&amp;表格1[[#This Row],[Input]]&amp;"*",'Ref-List'!$B:$D,2,)</f>
        <v>MM2-EM20PC(WH)</v>
      </c>
      <c r="H1923" s="81" t="str">
        <f>_xlfn.XLOOKUP(表格1[[#This Row],[Model]],表格3[Model-Input-Ref2],表格3[Product Line])</f>
        <v>輕觸式微波爐 (20公升)</v>
      </c>
      <c r="I1923" s="81" t="str">
        <f>_xlfn.XLOOKUP(表格1[[#This Row],[Model]],表格3[Model-Input-Ref2],表格3[大小電])</f>
        <v>細電</v>
      </c>
      <c r="J1923" s="81" t="str">
        <f>_xlfn.XLOOKUP(表格1[[#This Row],[Model]],表格3[Model-Input-Ref2],表格3[Code])</f>
        <v>MCA</v>
      </c>
      <c r="K1923" s="89" t="s">
        <v>1276</v>
      </c>
      <c r="L1923" s="86">
        <v>1</v>
      </c>
      <c r="M1923" s="87">
        <v>598</v>
      </c>
      <c r="N1923" s="85">
        <f>IFERROR(表格1[[#This Row],[QTY]]*表格1[[#This Row],[Unit Price]],"-")</f>
        <v>598</v>
      </c>
      <c r="O1923" s="86">
        <v>1111624</v>
      </c>
      <c r="R1923" s="86" t="str">
        <f>_xlfn.CONCAT(表格1[[#This Row],[Model]]," ",表格1[[#This Row],[inv no]])</f>
        <v>MM2-EM20PC(WH) 1111624</v>
      </c>
      <c r="S1923" s="86">
        <f>_xlfn.XLOOKUP(表格1[[#This Row],[Model]],表格3[Model-Input-Ref2],表格3[SRP PRICE])</f>
        <v>788</v>
      </c>
      <c r="T1923" s="43">
        <f>表格1[[#This Row],[Unit Price]]/表格1[[#This Row],[SRP]]</f>
        <v>0.75888324873096447</v>
      </c>
      <c r="U1923" s="86" t="str">
        <f>_xlfn.XLOOKUP(表格1[[#This Row],[Model]],表格3[Model-Input-Ref2],表格3[TOSHIBA/HIGHEST])</f>
        <v>Toshiba SRP</v>
      </c>
      <c r="V1923" s="86">
        <v>1111</v>
      </c>
      <c r="W1923" s="86" t="str">
        <f>_xlfn.CONCAT(表格1[[#This Row],[欄4]],表格1[[#This Row],[inv no]])</f>
        <v>11111111624</v>
      </c>
    </row>
    <row r="1924" spans="1:23" hidden="1">
      <c r="A1924" s="81">
        <v>1922</v>
      </c>
      <c r="B1924" s="81" t="s">
        <v>1470</v>
      </c>
      <c r="C1924" s="81" t="s">
        <v>1766</v>
      </c>
      <c r="D1924" s="82" t="str">
        <f ca="1">OFFSET(Roster!$A$3,MATCH(表格1[[#This Row],[Location]]&amp;" "&amp;表格1[[#This Row],[Shop]]&amp;"*",Roster!$A$4:$A$72,0),DAY(表格1[[#This Row],[date]]),1,1)</f>
        <v>Leo</v>
      </c>
      <c r="E1924" s="81">
        <f>MONTH(表格1[[#This Row],[date]])</f>
        <v>3</v>
      </c>
      <c r="F1924" s="90">
        <v>46103</v>
      </c>
      <c r="G1924" s="81" t="str">
        <f>VLOOKUP("*"&amp;表格1[[#This Row],[Input]]&amp;"*",'Ref-List'!$B:$D,2,)</f>
        <v>TW-T21BU90UWH(WW)</v>
      </c>
      <c r="H1924" s="81" t="str">
        <f>_xlfn.XLOOKUP(表格1[[#This Row],[Model]],表格3[Model-Input-Ref2],表格3[Product Line])</f>
        <v>8公斤超薄身前置式變頻洗衣機</v>
      </c>
      <c r="I1924" s="81" t="str">
        <f>_xlfn.XLOOKUP(表格1[[#This Row],[Model]],表格3[Model-Input-Ref2],表格3[大小電])</f>
        <v>大電</v>
      </c>
      <c r="J1924" s="81" t="str">
        <f>_xlfn.XLOOKUP(表格1[[#This Row],[Model]],表格3[Model-Input-Ref2],表格3[Code])</f>
        <v>LAD</v>
      </c>
      <c r="K1924" s="89" t="s">
        <v>1472</v>
      </c>
      <c r="L1924" s="86">
        <v>1</v>
      </c>
      <c r="M1924" s="87">
        <v>3080</v>
      </c>
      <c r="N1924" s="85">
        <f>IFERROR(表格1[[#This Row],[QTY]]*表格1[[#This Row],[Unit Price]],"-")</f>
        <v>3080</v>
      </c>
      <c r="O1924" s="86">
        <v>1111658</v>
      </c>
      <c r="R1924" s="86" t="str">
        <f>_xlfn.CONCAT(表格1[[#This Row],[Model]]," ",表格1[[#This Row],[inv no]])</f>
        <v>TW-T21BU90UWH(WW) 1111658</v>
      </c>
      <c r="S1924" s="86">
        <f>_xlfn.XLOOKUP(表格1[[#This Row],[Model]],表格3[Model-Input-Ref2],表格3[SRP PRICE])</f>
        <v>5480</v>
      </c>
      <c r="T1924" s="43">
        <f>表格1[[#This Row],[Unit Price]]/表格1[[#This Row],[SRP]]</f>
        <v>0.56204379562043794</v>
      </c>
      <c r="U1924" s="86" t="str">
        <f>_xlfn.XLOOKUP(表格1[[#This Row],[Model]],表格3[Model-Input-Ref2],表格3[TOSHIBA/HIGHEST])</f>
        <v>Toshiba SRP</v>
      </c>
      <c r="V1924" s="86">
        <v>1111</v>
      </c>
      <c r="W1924" s="86" t="str">
        <f>_xlfn.CONCAT(表格1[[#This Row],[欄4]],表格1[[#This Row],[inv no]])</f>
        <v>11111111658</v>
      </c>
    </row>
    <row r="1925" spans="1:23" hidden="1">
      <c r="A1925" s="81">
        <v>1923</v>
      </c>
      <c r="B1925" s="81" t="s">
        <v>1470</v>
      </c>
      <c r="C1925" s="81" t="s">
        <v>1766</v>
      </c>
      <c r="D1925" s="82" t="str">
        <f ca="1">OFFSET(Roster!$A$3,MATCH(表格1[[#This Row],[Location]]&amp;" "&amp;表格1[[#This Row],[Shop]]&amp;"*",Roster!$A$4:$A$72,0),DAY(表格1[[#This Row],[date]]),1,1)</f>
        <v>Leo</v>
      </c>
      <c r="E1925" s="81">
        <f>MONTH(表格1[[#This Row],[date]])</f>
        <v>3</v>
      </c>
      <c r="F1925" s="90">
        <v>46103</v>
      </c>
      <c r="G1925" s="81" t="str">
        <f>VLOOKUP("*"&amp;表格1[[#This Row],[Input]]&amp;"*",'Ref-List'!$B:$D,2,)</f>
        <v>RC-5SLIH(W)</v>
      </c>
      <c r="H1925" s="81" t="str">
        <f>_xlfn.XLOOKUP(表格1[[#This Row],[Model]],表格3[Model-Input-Ref2],表格3[Product Line])</f>
        <v>微型電腦珍珠飯煲</v>
      </c>
      <c r="I1925" s="81" t="str">
        <f>_xlfn.XLOOKUP(表格1[[#This Row],[Model]],表格3[Model-Input-Ref2],表格3[大小電])</f>
        <v>細電</v>
      </c>
      <c r="J1925" s="81" t="str">
        <f>_xlfn.XLOOKUP(表格1[[#This Row],[Model]],表格3[Model-Input-Ref2],表格3[Code])</f>
        <v>SDA</v>
      </c>
      <c r="K1925" s="89" t="s">
        <v>1264</v>
      </c>
      <c r="L1925" s="86">
        <v>1</v>
      </c>
      <c r="M1925" s="87">
        <v>538</v>
      </c>
      <c r="N1925" s="85">
        <f>IFERROR(表格1[[#This Row],[QTY]]*表格1[[#This Row],[Unit Price]],"-")</f>
        <v>538</v>
      </c>
      <c r="O1925" s="86">
        <v>1111660</v>
      </c>
      <c r="R1925" s="86" t="str">
        <f>_xlfn.CONCAT(表格1[[#This Row],[Model]]," ",表格1[[#This Row],[inv no]])</f>
        <v>RC-5SLIH(W) 1111660</v>
      </c>
      <c r="S1925" s="86">
        <f>_xlfn.XLOOKUP(表格1[[#This Row],[Model]],表格3[Model-Input-Ref2],表格3[SRP PRICE])</f>
        <v>658</v>
      </c>
      <c r="T1925" s="43">
        <f>表格1[[#This Row],[Unit Price]]/表格1[[#This Row],[SRP]]</f>
        <v>0.81762917933130697</v>
      </c>
      <c r="U1925" s="86" t="str">
        <f>_xlfn.XLOOKUP(表格1[[#This Row],[Model]],表格3[Model-Input-Ref2],表格3[TOSHIBA/HIGHEST])</f>
        <v>Toshiba SRP</v>
      </c>
      <c r="V1925" s="86">
        <v>1111</v>
      </c>
      <c r="W1925" s="86" t="str">
        <f>_xlfn.CONCAT(表格1[[#This Row],[欄4]],表格1[[#This Row],[inv no]])</f>
        <v>11111111660</v>
      </c>
    </row>
    <row r="1926" spans="1:23" hidden="1">
      <c r="A1926" s="81">
        <v>1924</v>
      </c>
      <c r="B1926" s="81" t="s">
        <v>1470</v>
      </c>
      <c r="C1926" s="81" t="s">
        <v>1766</v>
      </c>
      <c r="D1926" s="82" t="str">
        <f ca="1">OFFSET(Roster!$A$3,MATCH(表格1[[#This Row],[Location]]&amp;" "&amp;表格1[[#This Row],[Shop]]&amp;"*",Roster!$A$4:$A$72,0),DAY(表格1[[#This Row],[date]]),1,1)</f>
        <v>Leo</v>
      </c>
      <c r="E1926" s="81">
        <f>MONTH(表格1[[#This Row],[date]])</f>
        <v>3</v>
      </c>
      <c r="F1926" s="90">
        <v>46103</v>
      </c>
      <c r="G1926" s="81" t="str">
        <f>VLOOKUP("*"&amp;表格1[[#This Row],[Input]]&amp;"*",'Ref-List'!$B:$D,2,)</f>
        <v>MWP-MM20P(WH)</v>
      </c>
      <c r="H1926" s="81" t="str">
        <f>_xlfn.XLOOKUP(表格1[[#This Row],[Model]],表格3[Model-Input-Ref2],表格3[Product Line])</f>
        <v>旋鈕式燒烤微波爐20L</v>
      </c>
      <c r="I1926" s="81" t="str">
        <f>_xlfn.XLOOKUP(表格1[[#This Row],[Model]],表格3[Model-Input-Ref2],表格3[大小電])</f>
        <v>細電</v>
      </c>
      <c r="J1926" s="81" t="str">
        <f>_xlfn.XLOOKUP(表格1[[#This Row],[Model]],表格3[Model-Input-Ref2],表格3[Code])</f>
        <v>SDA</v>
      </c>
      <c r="K1926" s="89" t="s">
        <v>1270</v>
      </c>
      <c r="L1926" s="86">
        <v>1</v>
      </c>
      <c r="M1926" s="87">
        <v>550</v>
      </c>
      <c r="N1926" s="85">
        <f>IFERROR(表格1[[#This Row],[QTY]]*表格1[[#This Row],[Unit Price]],"-")</f>
        <v>550</v>
      </c>
      <c r="O1926" s="86">
        <v>1111636</v>
      </c>
      <c r="R1926" s="86" t="str">
        <f>_xlfn.CONCAT(表格1[[#This Row],[Model]]," ",表格1[[#This Row],[inv no]])</f>
        <v>MWP-MM20P(WH) 1111636</v>
      </c>
      <c r="S1926" s="86">
        <f>_xlfn.XLOOKUP(表格1[[#This Row],[Model]],表格3[Model-Input-Ref2],表格3[SRP PRICE])</f>
        <v>648</v>
      </c>
      <c r="T1926" s="43">
        <f>表格1[[#This Row],[Unit Price]]/表格1[[#This Row],[SRP]]</f>
        <v>0.84876543209876543</v>
      </c>
      <c r="U1926" s="86" t="str">
        <f>_xlfn.XLOOKUP(表格1[[#This Row],[Model]],表格3[Model-Input-Ref2],表格3[TOSHIBA/HIGHEST])</f>
        <v>Toshiba SRP</v>
      </c>
      <c r="V1926" s="86">
        <v>1111</v>
      </c>
      <c r="W1926" s="86" t="str">
        <f>_xlfn.CONCAT(表格1[[#This Row],[欄4]],表格1[[#This Row],[inv no]])</f>
        <v>11111111636</v>
      </c>
    </row>
    <row r="1927" spans="1:23" hidden="1">
      <c r="A1927" s="81">
        <v>1925</v>
      </c>
      <c r="B1927" s="81" t="s">
        <v>1470</v>
      </c>
      <c r="C1927" s="81" t="s">
        <v>1766</v>
      </c>
      <c r="D1927" s="82" t="str">
        <f ca="1">OFFSET(Roster!$A$3,MATCH(表格1[[#This Row],[Location]]&amp;" "&amp;表格1[[#This Row],[Shop]]&amp;"*",Roster!$A$4:$A$72,0),DAY(表格1[[#This Row],[date]]),1,1)</f>
        <v>Leo</v>
      </c>
      <c r="E1927" s="81">
        <f>MONTH(表格1[[#This Row],[date]])</f>
        <v>3</v>
      </c>
      <c r="F1927" s="90">
        <v>46103</v>
      </c>
      <c r="G1927" s="81" t="str">
        <f>VLOOKUP("*"&amp;表格1[[#This Row],[Input]]&amp;"*",'Ref-List'!$B:$D,2,)</f>
        <v>RC-7HMH</v>
      </c>
      <c r="H1927" s="81" t="str">
        <f>_xlfn.XLOOKUP(表格1[[#This Row],[Model]],表格3[Model-Input-Ref2],表格3[Product Line])</f>
        <v>備長炭本厚釜電飯煲0.7L</v>
      </c>
      <c r="I1927" s="81" t="str">
        <f>_xlfn.XLOOKUP(表格1[[#This Row],[Model]],表格3[Model-Input-Ref2],表格3[大小電])</f>
        <v>細電</v>
      </c>
      <c r="J1927" s="81" t="str">
        <f>_xlfn.XLOOKUP(表格1[[#This Row],[Model]],表格3[Model-Input-Ref2],表格3[Code])</f>
        <v>SDA</v>
      </c>
      <c r="K1927" s="89" t="s">
        <v>1284</v>
      </c>
      <c r="L1927" s="86">
        <v>1</v>
      </c>
      <c r="M1927" s="87">
        <v>780</v>
      </c>
      <c r="N1927" s="85">
        <f>IFERROR(表格1[[#This Row],[QTY]]*表格1[[#This Row],[Unit Price]],"-")</f>
        <v>780</v>
      </c>
      <c r="O1927" s="86">
        <v>1111655</v>
      </c>
      <c r="R1927" s="86" t="str">
        <f>_xlfn.CONCAT(表格1[[#This Row],[Model]]," ",表格1[[#This Row],[inv no]])</f>
        <v>RC-7HMH 1111655</v>
      </c>
      <c r="S1927" s="86">
        <f>_xlfn.XLOOKUP(表格1[[#This Row],[Model]],表格3[Model-Input-Ref2],表格3[SRP PRICE])</f>
        <v>1288</v>
      </c>
      <c r="T1927" s="43">
        <f>表格1[[#This Row],[Unit Price]]/表格1[[#This Row],[SRP]]</f>
        <v>0.60559006211180122</v>
      </c>
      <c r="U1927" s="86" t="str">
        <f>_xlfn.XLOOKUP(表格1[[#This Row],[Model]],表格3[Model-Input-Ref2],表格3[TOSHIBA/HIGHEST])</f>
        <v>Toshiba SRP</v>
      </c>
      <c r="V1927" s="86">
        <v>1111</v>
      </c>
      <c r="W1927" s="86" t="str">
        <f>_xlfn.CONCAT(表格1[[#This Row],[欄4]],表格1[[#This Row],[inv no]])</f>
        <v>11111111655</v>
      </c>
    </row>
    <row r="1928" spans="1:23" hidden="1">
      <c r="A1928" s="81">
        <v>1926</v>
      </c>
      <c r="B1928" s="81" t="s">
        <v>1470</v>
      </c>
      <c r="C1928" s="81" t="s">
        <v>1766</v>
      </c>
      <c r="D1928" s="82" t="str">
        <f ca="1">OFFSET(Roster!$A$3,MATCH(表格1[[#This Row],[Location]]&amp;" "&amp;表格1[[#This Row],[Shop]]&amp;"*",Roster!$A$4:$A$72,0),DAY(表格1[[#This Row],[date]]),1,1)</f>
        <v>Leo</v>
      </c>
      <c r="E1928" s="81">
        <f>MONTH(表格1[[#This Row],[date]])</f>
        <v>3</v>
      </c>
      <c r="F1928" s="90">
        <v>46103</v>
      </c>
      <c r="G1928" s="81" t="str">
        <f>VLOOKUP("*"&amp;表格1[[#This Row],[Input]]&amp;"*",'Ref-List'!$B:$D,2,)</f>
        <v>GR-RB449WE-PMA(57)</v>
      </c>
      <c r="H1928" s="81" t="str">
        <f>_xlfn.XLOOKUP(表格1[[#This Row],[Model]],表格3[Model-Input-Ref2],表格3[Product Line])</f>
        <v>變頻下置式雙門雪櫃</v>
      </c>
      <c r="I1928" s="81" t="str">
        <f>_xlfn.XLOOKUP(表格1[[#This Row],[Model]],表格3[Model-Input-Ref2],表格3[大小電])</f>
        <v>大電</v>
      </c>
      <c r="J1928" s="81" t="str">
        <f>_xlfn.XLOOKUP(表格1[[#This Row],[Model]],表格3[Model-Input-Ref2],表格3[Code])</f>
        <v>REF</v>
      </c>
      <c r="K1928" s="89" t="s">
        <v>1484</v>
      </c>
      <c r="L1928" s="86">
        <v>1</v>
      </c>
      <c r="M1928" s="87">
        <v>4198</v>
      </c>
      <c r="N1928" s="85">
        <f>IFERROR(表格1[[#This Row],[QTY]]*表格1[[#This Row],[Unit Price]],"-")</f>
        <v>4198</v>
      </c>
      <c r="O1928" s="86">
        <v>1111652</v>
      </c>
      <c r="R1928" s="86" t="str">
        <f>_xlfn.CONCAT(表格1[[#This Row],[Model]]," ",表格1[[#This Row],[inv no]])</f>
        <v>GR-RB449WE-PMA(57) 1111652</v>
      </c>
      <c r="S1928" s="86">
        <f>_xlfn.XLOOKUP(表格1[[#This Row],[Model]],表格3[Model-Input-Ref2],表格3[SRP PRICE])</f>
        <v>6280</v>
      </c>
      <c r="T1928" s="43">
        <f>表格1[[#This Row],[Unit Price]]/表格1[[#This Row],[SRP]]</f>
        <v>0.66847133757961785</v>
      </c>
      <c r="U1928" s="86" t="str">
        <f>_xlfn.XLOOKUP(表格1[[#This Row],[Model]],表格3[Model-Input-Ref2],表格3[TOSHIBA/HIGHEST])</f>
        <v>Toshiba SRP</v>
      </c>
      <c r="V1928" s="86">
        <v>1111</v>
      </c>
      <c r="W1928" s="86" t="str">
        <f>_xlfn.CONCAT(表格1[[#This Row],[欄4]],表格1[[#This Row],[inv no]])</f>
        <v>11111111652</v>
      </c>
    </row>
    <row r="1929" spans="1:23" hidden="1">
      <c r="A1929" s="81">
        <v>1927</v>
      </c>
      <c r="B1929" s="81" t="s">
        <v>1470</v>
      </c>
      <c r="C1929" s="81" t="s">
        <v>1766</v>
      </c>
      <c r="D1929" s="82" t="str">
        <f ca="1">OFFSET(Roster!$A$3,MATCH(表格1[[#This Row],[Location]]&amp;" "&amp;表格1[[#This Row],[Shop]]&amp;"*",Roster!$A$4:$A$72,0),DAY(表格1[[#This Row],[date]]),1,1)</f>
        <v>Leo</v>
      </c>
      <c r="E1929" s="81">
        <f>MONTH(表格1[[#This Row],[date]])</f>
        <v>3</v>
      </c>
      <c r="F1929" s="90">
        <v>46103</v>
      </c>
      <c r="G1929" s="81" t="str">
        <f>VLOOKUP("*"&amp;表格1[[#This Row],[Input]]&amp;"*",'Ref-List'!$B:$D,2,)</f>
        <v>MWP-MM20P(WH)</v>
      </c>
      <c r="H1929" s="81" t="str">
        <f>_xlfn.XLOOKUP(表格1[[#This Row],[Model]],表格3[Model-Input-Ref2],表格3[Product Line])</f>
        <v>旋鈕式燒烤微波爐20L</v>
      </c>
      <c r="I1929" s="81" t="str">
        <f>_xlfn.XLOOKUP(表格1[[#This Row],[Model]],表格3[Model-Input-Ref2],表格3[大小電])</f>
        <v>細電</v>
      </c>
      <c r="J1929" s="81" t="str">
        <f>_xlfn.XLOOKUP(表格1[[#This Row],[Model]],表格3[Model-Input-Ref2],表格3[Code])</f>
        <v>SDA</v>
      </c>
      <c r="K1929" s="89" t="s">
        <v>1270</v>
      </c>
      <c r="L1929" s="86">
        <v>1</v>
      </c>
      <c r="M1929" s="87">
        <v>550</v>
      </c>
      <c r="N1929" s="85">
        <f>IFERROR(表格1[[#This Row],[QTY]]*表格1[[#This Row],[Unit Price]],"-")</f>
        <v>550</v>
      </c>
      <c r="O1929" s="86">
        <v>1111633</v>
      </c>
      <c r="R1929" s="86" t="str">
        <f>_xlfn.CONCAT(表格1[[#This Row],[Model]]," ",表格1[[#This Row],[inv no]])</f>
        <v>MWP-MM20P(WH) 1111633</v>
      </c>
      <c r="S1929" s="86">
        <f>_xlfn.XLOOKUP(表格1[[#This Row],[Model]],表格3[Model-Input-Ref2],表格3[SRP PRICE])</f>
        <v>648</v>
      </c>
      <c r="T1929" s="43">
        <f>表格1[[#This Row],[Unit Price]]/表格1[[#This Row],[SRP]]</f>
        <v>0.84876543209876543</v>
      </c>
      <c r="U1929" s="86" t="str">
        <f>_xlfn.XLOOKUP(表格1[[#This Row],[Model]],表格3[Model-Input-Ref2],表格3[TOSHIBA/HIGHEST])</f>
        <v>Toshiba SRP</v>
      </c>
      <c r="V1929" s="86">
        <v>1111</v>
      </c>
      <c r="W1929" s="86" t="str">
        <f>_xlfn.CONCAT(表格1[[#This Row],[欄4]],表格1[[#This Row],[inv no]])</f>
        <v>11111111633</v>
      </c>
    </row>
    <row r="1930" spans="1:23" hidden="1">
      <c r="A1930" s="81">
        <v>1928</v>
      </c>
      <c r="B1930" s="81" t="s">
        <v>1470</v>
      </c>
      <c r="C1930" s="81" t="s">
        <v>1766</v>
      </c>
      <c r="D1930" s="82" t="str">
        <f ca="1">OFFSET(Roster!$A$3,MATCH(表格1[[#This Row],[Location]]&amp;" "&amp;表格1[[#This Row],[Shop]]&amp;"*",Roster!$A$4:$A$72,0),DAY(表格1[[#This Row],[date]]),1,1)</f>
        <v>Leo</v>
      </c>
      <c r="E1930" s="81">
        <f>MONTH(表格1[[#This Row],[date]])</f>
        <v>3</v>
      </c>
      <c r="F1930" s="90">
        <v>46104</v>
      </c>
      <c r="G1930" s="81" t="str">
        <f>VLOOKUP("*"&amp;表格1[[#This Row],[Input]]&amp;"*",'Ref-List'!$B:$D,2,)</f>
        <v>RAD-D300H</v>
      </c>
      <c r="H1930" s="81" t="str">
        <f>_xlfn.XLOOKUP(表格1[[#This Row],[Model]],表格3[Model-Input-Ref2],表格3[Product Line])</f>
        <v>壓縮式抽濕機 (30公升)</v>
      </c>
      <c r="I1930" s="81" t="str">
        <f>_xlfn.XLOOKUP(表格1[[#This Row],[Model]],表格3[Model-Input-Ref2],表格3[大小電])</f>
        <v>細電</v>
      </c>
      <c r="J1930" s="81" t="str">
        <f>_xlfn.XLOOKUP(表格1[[#This Row],[Model]],表格3[Model-Input-Ref2],表格3[Code])</f>
        <v>RAC</v>
      </c>
      <c r="K1930" s="89" t="s">
        <v>1252</v>
      </c>
      <c r="L1930" s="86">
        <v>1</v>
      </c>
      <c r="M1930" s="87">
        <v>1980</v>
      </c>
      <c r="N1930" s="85">
        <f>IFERROR(表格1[[#This Row],[QTY]]*表格1[[#This Row],[Unit Price]],"-")</f>
        <v>1980</v>
      </c>
      <c r="O1930" s="86">
        <v>1111700</v>
      </c>
      <c r="R1930" s="86" t="str">
        <f>_xlfn.CONCAT(表格1[[#This Row],[Model]]," ",表格1[[#This Row],[inv no]])</f>
        <v>RAD-D300H 1111700</v>
      </c>
      <c r="S1930" s="86">
        <f>_xlfn.XLOOKUP(表格1[[#This Row],[Model]],表格3[Model-Input-Ref2],表格3[SRP PRICE])</f>
        <v>3380</v>
      </c>
      <c r="T1930" s="43">
        <f>表格1[[#This Row],[Unit Price]]/表格1[[#This Row],[SRP]]</f>
        <v>0.58579881656804733</v>
      </c>
      <c r="U1930" s="86" t="str">
        <f>_xlfn.XLOOKUP(表格1[[#This Row],[Model]],表格3[Model-Input-Ref2],表格3[TOSHIBA/HIGHEST])</f>
        <v>Shops Highest Price</v>
      </c>
      <c r="V1930" s="86">
        <v>1111</v>
      </c>
      <c r="W1930" s="86" t="str">
        <f>_xlfn.CONCAT(表格1[[#This Row],[欄4]],表格1[[#This Row],[inv no]])</f>
        <v>11111111700</v>
      </c>
    </row>
    <row r="1931" spans="1:23" hidden="1">
      <c r="A1931" s="81">
        <v>1929</v>
      </c>
      <c r="B1931" s="81" t="s">
        <v>1470</v>
      </c>
      <c r="C1931" s="81" t="s">
        <v>1766</v>
      </c>
      <c r="D1931" s="82" t="str">
        <f ca="1">OFFSET(Roster!$A$3,MATCH(表格1[[#This Row],[Location]]&amp;" "&amp;表格1[[#This Row],[Shop]]&amp;"*",Roster!$A$4:$A$72,0),DAY(表格1[[#This Row],[date]]),1,1)</f>
        <v>Leo</v>
      </c>
      <c r="E1931" s="81">
        <f>MONTH(表格1[[#This Row],[date]])</f>
        <v>3</v>
      </c>
      <c r="F1931" s="90">
        <v>46104</v>
      </c>
      <c r="G1931" s="81" t="str">
        <f>VLOOKUP("*"&amp;表格1[[#This Row],[Input]]&amp;"*",'Ref-List'!$B:$D,2,)</f>
        <v>CFK01W75</v>
      </c>
      <c r="H1931" s="81" t="str">
        <f>_xlfn.XLOOKUP(表格1[[#This Row],[Model]],表格3[Model-Input-Ref2],表格3[Product Line])</f>
        <v>變頻頂揭式洗衣機 (7.5公斤)</v>
      </c>
      <c r="I1931" s="81" t="str">
        <f>_xlfn.XLOOKUP(表格1[[#This Row],[Model]],表格3[Model-Input-Ref2],表格3[大小電])</f>
        <v>大電</v>
      </c>
      <c r="J1931" s="81" t="str">
        <f>_xlfn.XLOOKUP(表格1[[#This Row],[Model]],表格3[Model-Input-Ref2],表格3[Code])</f>
        <v>LAD</v>
      </c>
      <c r="K1931" s="89" t="s">
        <v>1266</v>
      </c>
      <c r="L1931" s="86">
        <v>1</v>
      </c>
      <c r="M1931" s="87">
        <v>3398</v>
      </c>
      <c r="N1931" s="85">
        <f>IFERROR(表格1[[#This Row],[QTY]]*表格1[[#This Row],[Unit Price]],"-")</f>
        <v>3398</v>
      </c>
      <c r="O1931" s="86">
        <v>1111684</v>
      </c>
      <c r="R1931" s="86" t="str">
        <f>_xlfn.CONCAT(表格1[[#This Row],[Model]]," ",表格1[[#This Row],[inv no]])</f>
        <v>CFK01W75 1111684</v>
      </c>
      <c r="S1931" s="86">
        <f>_xlfn.XLOOKUP(表格1[[#This Row],[Model]],表格3[Model-Input-Ref2],表格3[SRP PRICE])</f>
        <v>3888</v>
      </c>
      <c r="T1931" s="43">
        <f>表格1[[#This Row],[Unit Price]]/表格1[[#This Row],[SRP]]</f>
        <v>0.87397119341563789</v>
      </c>
      <c r="U1931" s="86" t="str">
        <f>_xlfn.XLOOKUP(表格1[[#This Row],[Model]],表格3[Model-Input-Ref2],表格3[TOSHIBA/HIGHEST])</f>
        <v>Shops Highest Price</v>
      </c>
      <c r="V1931" s="86">
        <v>1111</v>
      </c>
      <c r="W1931" s="86" t="str">
        <f>_xlfn.CONCAT(表格1[[#This Row],[欄4]],表格1[[#This Row],[inv no]])</f>
        <v>11111111684</v>
      </c>
    </row>
    <row r="1932" spans="1:23" hidden="1">
      <c r="A1932" s="81">
        <v>1930</v>
      </c>
      <c r="B1932" s="81" t="s">
        <v>1470</v>
      </c>
      <c r="C1932" s="81" t="s">
        <v>1766</v>
      </c>
      <c r="D1932" s="82" t="str">
        <f ca="1">OFFSET(Roster!$A$3,MATCH(表格1[[#This Row],[Location]]&amp;" "&amp;表格1[[#This Row],[Shop]]&amp;"*",Roster!$A$4:$A$72,0),DAY(表格1[[#This Row],[date]]),1,1)</f>
        <v>Leo</v>
      </c>
      <c r="E1932" s="81">
        <f>MONTH(表格1[[#This Row],[date]])</f>
        <v>3</v>
      </c>
      <c r="F1932" s="90">
        <v>46104</v>
      </c>
      <c r="G1932" s="81" t="str">
        <f>VLOOKUP("*"&amp;表格1[[#This Row],[Input]]&amp;"*",'Ref-List'!$B:$D,2,)</f>
        <v>CFK01W75</v>
      </c>
      <c r="H1932" s="81" t="str">
        <f>_xlfn.XLOOKUP(表格1[[#This Row],[Model]],表格3[Model-Input-Ref2],表格3[Product Line])</f>
        <v>變頻頂揭式洗衣機 (7.5公斤)</v>
      </c>
      <c r="I1932" s="81" t="str">
        <f>_xlfn.XLOOKUP(表格1[[#This Row],[Model]],表格3[Model-Input-Ref2],表格3[大小電])</f>
        <v>大電</v>
      </c>
      <c r="J1932" s="81" t="str">
        <f>_xlfn.XLOOKUP(表格1[[#This Row],[Model]],表格3[Model-Input-Ref2],表格3[Code])</f>
        <v>LAD</v>
      </c>
      <c r="K1932" s="89" t="s">
        <v>1266</v>
      </c>
      <c r="L1932" s="86">
        <v>1</v>
      </c>
      <c r="M1932" s="87">
        <v>3298</v>
      </c>
      <c r="N1932" s="85">
        <f>IFERROR(表格1[[#This Row],[QTY]]*表格1[[#This Row],[Unit Price]],"-")</f>
        <v>3298</v>
      </c>
      <c r="O1932" s="86">
        <v>1111695</v>
      </c>
      <c r="R1932" s="86" t="str">
        <f>_xlfn.CONCAT(表格1[[#This Row],[Model]]," ",表格1[[#This Row],[inv no]])</f>
        <v>CFK01W75 1111695</v>
      </c>
      <c r="S1932" s="86">
        <f>_xlfn.XLOOKUP(表格1[[#This Row],[Model]],表格3[Model-Input-Ref2],表格3[SRP PRICE])</f>
        <v>3888</v>
      </c>
      <c r="T1932" s="43">
        <f>表格1[[#This Row],[Unit Price]]/表格1[[#This Row],[SRP]]</f>
        <v>0.84825102880658432</v>
      </c>
      <c r="U1932" s="86" t="str">
        <f>_xlfn.XLOOKUP(表格1[[#This Row],[Model]],表格3[Model-Input-Ref2],表格3[TOSHIBA/HIGHEST])</f>
        <v>Shops Highest Price</v>
      </c>
      <c r="V1932" s="86">
        <v>1111</v>
      </c>
      <c r="W1932" s="86" t="str">
        <f>_xlfn.CONCAT(表格1[[#This Row],[欄4]],表格1[[#This Row],[inv no]])</f>
        <v>11111111695</v>
      </c>
    </row>
    <row r="1933" spans="1:23" hidden="1">
      <c r="A1933" s="81">
        <v>1931</v>
      </c>
      <c r="B1933" s="81" t="s">
        <v>1470</v>
      </c>
      <c r="C1933" s="81" t="s">
        <v>1766</v>
      </c>
      <c r="D1933" s="82" t="str">
        <f ca="1">OFFSET(Roster!$A$3,MATCH(表格1[[#This Row],[Location]]&amp;" "&amp;表格1[[#This Row],[Shop]]&amp;"*",Roster!$A$4:$A$72,0),DAY(表格1[[#This Row],[date]]),1,1)</f>
        <v>Leo</v>
      </c>
      <c r="E1933" s="81">
        <f>MONTH(表格1[[#This Row],[date]])</f>
        <v>3</v>
      </c>
      <c r="F1933" s="90">
        <v>46104</v>
      </c>
      <c r="G1933" s="81" t="str">
        <f>VLOOKUP("*"&amp;表格1[[#This Row],[Input]]&amp;"*",'Ref-List'!$B:$D,2,)</f>
        <v>CWF-09CRFN8-AD5</v>
      </c>
      <c r="H1933" s="81" t="str">
        <f>_xlfn.XLOOKUP(表格1[[#This Row],[Model]],表格3[Model-Input-Ref2],表格3[Product Line])</f>
        <v>Comfee 1匹變頻窗口式冷氣機</v>
      </c>
      <c r="I1933" s="81" t="str">
        <f>_xlfn.XLOOKUP(表格1[[#This Row],[Model]],表格3[Model-Input-Ref2],表格3[大小電])</f>
        <v>大電</v>
      </c>
      <c r="J1933" s="81" t="str">
        <f>_xlfn.XLOOKUP(表格1[[#This Row],[Model]],表格3[Model-Input-Ref2],表格3[Code])</f>
        <v>RAC</v>
      </c>
      <c r="K1933" s="89" t="s">
        <v>1248</v>
      </c>
      <c r="L1933" s="86">
        <v>1</v>
      </c>
      <c r="M1933" s="87">
        <v>3540</v>
      </c>
      <c r="N1933" s="85">
        <f>IFERROR(表格1[[#This Row],[QTY]]*表格1[[#This Row],[Unit Price]],"-")</f>
        <v>3540</v>
      </c>
      <c r="O1933" s="86">
        <v>1111682</v>
      </c>
      <c r="R1933" s="86" t="str">
        <f>_xlfn.CONCAT(表格1[[#This Row],[Model]]," ",表格1[[#This Row],[inv no]])</f>
        <v>CWF-09CRFN8-AD5 1111682</v>
      </c>
      <c r="S1933" s="86">
        <f>_xlfn.XLOOKUP(表格1[[#This Row],[Model]],表格3[Model-Input-Ref2],表格3[SRP PRICE])</f>
        <v>4600</v>
      </c>
      <c r="T1933" s="43">
        <f>表格1[[#This Row],[Unit Price]]/表格1[[#This Row],[SRP]]</f>
        <v>0.76956521739130435</v>
      </c>
      <c r="U1933" s="86" t="str">
        <f>_xlfn.XLOOKUP(表格1[[#This Row],[Model]],表格3[Model-Input-Ref2],表格3[TOSHIBA/HIGHEST])</f>
        <v>Shops Highest Price</v>
      </c>
      <c r="V1933" s="86">
        <v>1111</v>
      </c>
      <c r="W1933" s="86" t="str">
        <f>_xlfn.CONCAT(表格1[[#This Row],[欄4]],表格1[[#This Row],[inv no]])</f>
        <v>11111111682</v>
      </c>
    </row>
    <row r="1934" spans="1:23" hidden="1">
      <c r="A1934" s="81">
        <v>1932</v>
      </c>
      <c r="B1934" s="81" t="s">
        <v>1470</v>
      </c>
      <c r="C1934" s="81" t="s">
        <v>1766</v>
      </c>
      <c r="D1934" s="82" t="str">
        <f ca="1">OFFSET(Roster!$A$3,MATCH(表格1[[#This Row],[Location]]&amp;" "&amp;表格1[[#This Row],[Shop]]&amp;"*",Roster!$A$4:$A$72,0),DAY(表格1[[#This Row],[date]]),1,1)</f>
        <v>Leo</v>
      </c>
      <c r="E1934" s="81">
        <f>MONTH(表格1[[#This Row],[date]])</f>
        <v>3</v>
      </c>
      <c r="F1934" s="90">
        <v>46104</v>
      </c>
      <c r="G1934" s="81" t="str">
        <f>VLOOKUP("*"&amp;表格1[[#This Row],[Input]]&amp;"*",'Ref-List'!$B:$D,2,)</f>
        <v>TW-T21BU90UWH(WW)</v>
      </c>
      <c r="H1934" s="81" t="str">
        <f>_xlfn.XLOOKUP(表格1[[#This Row],[Model]],表格3[Model-Input-Ref2],表格3[Product Line])</f>
        <v>8公斤超薄身前置式變頻洗衣機</v>
      </c>
      <c r="I1934" s="81" t="str">
        <f>_xlfn.XLOOKUP(表格1[[#This Row],[Model]],表格3[Model-Input-Ref2],表格3[大小電])</f>
        <v>大電</v>
      </c>
      <c r="J1934" s="81" t="str">
        <f>_xlfn.XLOOKUP(表格1[[#This Row],[Model]],表格3[Model-Input-Ref2],表格3[Code])</f>
        <v>LAD</v>
      </c>
      <c r="K1934" s="89" t="s">
        <v>1472</v>
      </c>
      <c r="L1934" s="86">
        <v>1</v>
      </c>
      <c r="M1934" s="87">
        <v>3080</v>
      </c>
      <c r="N1934" s="85">
        <f>IFERROR(表格1[[#This Row],[QTY]]*表格1[[#This Row],[Unit Price]],"-")</f>
        <v>3080</v>
      </c>
      <c r="O1934" s="86">
        <v>1111692</v>
      </c>
      <c r="R1934" s="86" t="str">
        <f>_xlfn.CONCAT(表格1[[#This Row],[Model]]," ",表格1[[#This Row],[inv no]])</f>
        <v>TW-T21BU90UWH(WW) 1111692</v>
      </c>
      <c r="S1934" s="86">
        <f>_xlfn.XLOOKUP(表格1[[#This Row],[Model]],表格3[Model-Input-Ref2],表格3[SRP PRICE])</f>
        <v>5480</v>
      </c>
      <c r="T1934" s="43">
        <f>表格1[[#This Row],[Unit Price]]/表格1[[#This Row],[SRP]]</f>
        <v>0.56204379562043794</v>
      </c>
      <c r="U1934" s="86" t="str">
        <f>_xlfn.XLOOKUP(表格1[[#This Row],[Model]],表格3[Model-Input-Ref2],表格3[TOSHIBA/HIGHEST])</f>
        <v>Toshiba SRP</v>
      </c>
      <c r="V1934" s="86">
        <v>1111</v>
      </c>
      <c r="W1934" s="86" t="str">
        <f>_xlfn.CONCAT(表格1[[#This Row],[欄4]],表格1[[#This Row],[inv no]])</f>
        <v>11111111692</v>
      </c>
    </row>
    <row r="1935" spans="1:23" hidden="1">
      <c r="A1935" s="81">
        <v>1933</v>
      </c>
      <c r="B1935" s="81" t="s">
        <v>1470</v>
      </c>
      <c r="C1935" s="81" t="s">
        <v>1766</v>
      </c>
      <c r="D1935" s="82" t="str">
        <f ca="1">OFFSET(Roster!$A$3,MATCH(表格1[[#This Row],[Location]]&amp;" "&amp;表格1[[#This Row],[Shop]]&amp;"*",Roster!$A$4:$A$72,0),DAY(表格1[[#This Row],[date]]),1,1)</f>
        <v>Leo</v>
      </c>
      <c r="E1935" s="81">
        <f>MONTH(表格1[[#This Row],[date]])</f>
        <v>3</v>
      </c>
      <c r="F1935" s="90">
        <v>46104</v>
      </c>
      <c r="G1935" s="81" t="str">
        <f>VLOOKUP("*"&amp;表格1[[#This Row],[Input]]&amp;"*",'Ref-List'!$B:$D,2,)</f>
        <v>MM2-EM20PC(WH)</v>
      </c>
      <c r="H1935" s="81" t="str">
        <f>_xlfn.XLOOKUP(表格1[[#This Row],[Model]],表格3[Model-Input-Ref2],表格3[Product Line])</f>
        <v>輕觸式微波爐 (20公升)</v>
      </c>
      <c r="I1935" s="81" t="str">
        <f>_xlfn.XLOOKUP(表格1[[#This Row],[Model]],表格3[Model-Input-Ref2],表格3[大小電])</f>
        <v>細電</v>
      </c>
      <c r="J1935" s="81" t="str">
        <f>_xlfn.XLOOKUP(表格1[[#This Row],[Model]],表格3[Model-Input-Ref2],表格3[Code])</f>
        <v>MCA</v>
      </c>
      <c r="K1935" s="89" t="s">
        <v>1276</v>
      </c>
      <c r="L1935" s="86">
        <v>1</v>
      </c>
      <c r="M1935" s="87">
        <v>546</v>
      </c>
      <c r="N1935" s="85">
        <f>IFERROR(表格1[[#This Row],[QTY]]*表格1[[#This Row],[Unit Price]],"-")</f>
        <v>546</v>
      </c>
      <c r="O1935" s="86">
        <v>1111676</v>
      </c>
      <c r="R1935" s="86" t="str">
        <f>_xlfn.CONCAT(表格1[[#This Row],[Model]]," ",表格1[[#This Row],[inv no]])</f>
        <v>MM2-EM20PC(WH) 1111676</v>
      </c>
      <c r="S1935" s="86">
        <f>_xlfn.XLOOKUP(表格1[[#This Row],[Model]],表格3[Model-Input-Ref2],表格3[SRP PRICE])</f>
        <v>788</v>
      </c>
      <c r="T1935" s="43">
        <f>表格1[[#This Row],[Unit Price]]/表格1[[#This Row],[SRP]]</f>
        <v>0.69289340101522845</v>
      </c>
      <c r="U1935" s="86" t="str">
        <f>_xlfn.XLOOKUP(表格1[[#This Row],[Model]],表格3[Model-Input-Ref2],表格3[TOSHIBA/HIGHEST])</f>
        <v>Toshiba SRP</v>
      </c>
      <c r="V1935" s="86">
        <v>1111</v>
      </c>
      <c r="W1935" s="86" t="str">
        <f>_xlfn.CONCAT(表格1[[#This Row],[欄4]],表格1[[#This Row],[inv no]])</f>
        <v>11111111676</v>
      </c>
    </row>
    <row r="1936" spans="1:23" hidden="1">
      <c r="A1936" s="81">
        <v>1934</v>
      </c>
      <c r="B1936" s="81" t="s">
        <v>1470</v>
      </c>
      <c r="C1936" s="81" t="s">
        <v>1766</v>
      </c>
      <c r="D1936" s="82" t="str">
        <f ca="1">OFFSET(Roster!$A$3,MATCH(表格1[[#This Row],[Location]]&amp;" "&amp;表格1[[#This Row],[Shop]]&amp;"*",Roster!$A$4:$A$72,0),DAY(表格1[[#This Row],[date]]),1,1)</f>
        <v>Leo</v>
      </c>
      <c r="E1936" s="81">
        <f>MONTH(表格1[[#This Row],[date]])</f>
        <v>3</v>
      </c>
      <c r="F1936" s="90">
        <v>46104</v>
      </c>
      <c r="G1936" s="81" t="str">
        <f>VLOOKUP("*"&amp;表格1[[#This Row],[Input]]&amp;"*",'Ref-List'!$B:$D,2,)</f>
        <v>TW-T21BU90UWH(WW)</v>
      </c>
      <c r="H1936" s="81" t="str">
        <f>_xlfn.XLOOKUP(表格1[[#This Row],[Model]],表格3[Model-Input-Ref2],表格3[Product Line])</f>
        <v>8公斤超薄身前置式變頻洗衣機</v>
      </c>
      <c r="I1936" s="81" t="str">
        <f>_xlfn.XLOOKUP(表格1[[#This Row],[Model]],表格3[Model-Input-Ref2],表格3[大小電])</f>
        <v>大電</v>
      </c>
      <c r="J1936" s="81" t="str">
        <f>_xlfn.XLOOKUP(表格1[[#This Row],[Model]],表格3[Model-Input-Ref2],表格3[Code])</f>
        <v>LAD</v>
      </c>
      <c r="K1936" s="89" t="s">
        <v>1472</v>
      </c>
      <c r="L1936" s="86">
        <v>1</v>
      </c>
      <c r="M1936" s="87">
        <v>3080</v>
      </c>
      <c r="N1936" s="85">
        <f>IFERROR(表格1[[#This Row],[QTY]]*表格1[[#This Row],[Unit Price]],"-")</f>
        <v>3080</v>
      </c>
      <c r="O1936" s="86">
        <v>1111689</v>
      </c>
      <c r="R1936" s="86" t="str">
        <f>_xlfn.CONCAT(表格1[[#This Row],[Model]]," ",表格1[[#This Row],[inv no]])</f>
        <v>TW-T21BU90UWH(WW) 1111689</v>
      </c>
      <c r="S1936" s="86">
        <f>_xlfn.XLOOKUP(表格1[[#This Row],[Model]],表格3[Model-Input-Ref2],表格3[SRP PRICE])</f>
        <v>5480</v>
      </c>
      <c r="T1936" s="43">
        <f>表格1[[#This Row],[Unit Price]]/表格1[[#This Row],[SRP]]</f>
        <v>0.56204379562043794</v>
      </c>
      <c r="U1936" s="86" t="str">
        <f>_xlfn.XLOOKUP(表格1[[#This Row],[Model]],表格3[Model-Input-Ref2],表格3[TOSHIBA/HIGHEST])</f>
        <v>Toshiba SRP</v>
      </c>
      <c r="V1936" s="86">
        <v>1111</v>
      </c>
      <c r="W1936" s="86" t="str">
        <f>_xlfn.CONCAT(表格1[[#This Row],[欄4]],表格1[[#This Row],[inv no]])</f>
        <v>11111111689</v>
      </c>
    </row>
    <row r="1937" spans="1:23" hidden="1">
      <c r="A1937" s="81">
        <v>1935</v>
      </c>
      <c r="B1937" s="81" t="s">
        <v>1470</v>
      </c>
      <c r="C1937" s="81" t="s">
        <v>1766</v>
      </c>
      <c r="D1937" s="82" t="str">
        <f ca="1">OFFSET(Roster!$A$3,MATCH(表格1[[#This Row],[Location]]&amp;" "&amp;表格1[[#This Row],[Shop]]&amp;"*",Roster!$A$4:$A$72,0),DAY(表格1[[#This Row],[date]]),1,1)</f>
        <v>Leo</v>
      </c>
      <c r="E1937" s="81">
        <f>MONTH(表格1[[#This Row],[date]])</f>
        <v>3</v>
      </c>
      <c r="F1937" s="90">
        <v>46104</v>
      </c>
      <c r="G1937" s="81" t="str">
        <f>VLOOKUP("*"&amp;表格1[[#This Row],[Input]]&amp;"*",'Ref-List'!$B:$D,2,)</f>
        <v>TW-T22BU95UWH(WK)-B</v>
      </c>
      <c r="H1937" s="81" t="str">
        <f>_xlfn.XLOOKUP(表格1[[#This Row],[Model]],表格3[Model-Input-Ref2],表格3[Product Line])</f>
        <v>470MM超薄身前置式變頻洗衣機(8.5公斤, 可飛頂)</v>
      </c>
      <c r="I1937" s="81" t="str">
        <f>_xlfn.XLOOKUP(表格1[[#This Row],[Model]],表格3[Model-Input-Ref2],表格3[大小電])</f>
        <v>大電</v>
      </c>
      <c r="J1937" s="81" t="str">
        <f>_xlfn.XLOOKUP(表格1[[#This Row],[Model]],表格3[Model-Input-Ref2],表格3[Code])</f>
        <v>LAD</v>
      </c>
      <c r="K1937" s="89" t="s">
        <v>969</v>
      </c>
      <c r="L1937" s="86">
        <v>1</v>
      </c>
      <c r="M1937" s="87">
        <v>4580</v>
      </c>
      <c r="N1937" s="85">
        <f>IFERROR(表格1[[#This Row],[QTY]]*表格1[[#This Row],[Unit Price]],"-")</f>
        <v>4580</v>
      </c>
      <c r="O1937" s="86">
        <v>1111703</v>
      </c>
      <c r="R1937" s="86" t="str">
        <f>_xlfn.CONCAT(表格1[[#This Row],[Model]]," ",表格1[[#This Row],[inv no]])</f>
        <v>TW-T22BU95UWH(WK)-B 1111703</v>
      </c>
      <c r="S1937" s="86">
        <f>_xlfn.XLOOKUP(表格1[[#This Row],[Model]],表格3[Model-Input-Ref2],表格3[SRP PRICE])</f>
        <v>5880</v>
      </c>
      <c r="T1937" s="43">
        <f>表格1[[#This Row],[Unit Price]]/表格1[[#This Row],[SRP]]</f>
        <v>0.77891156462585032</v>
      </c>
      <c r="U1937" s="86" t="str">
        <f>_xlfn.XLOOKUP(表格1[[#This Row],[Model]],表格3[Model-Input-Ref2],表格3[TOSHIBA/HIGHEST])</f>
        <v>Toshiba SRP</v>
      </c>
      <c r="V1937" s="86">
        <v>1111</v>
      </c>
      <c r="W1937" s="86" t="str">
        <f>_xlfn.CONCAT(表格1[[#This Row],[欄4]],表格1[[#This Row],[inv no]])</f>
        <v>11111111703</v>
      </c>
    </row>
    <row r="1938" spans="1:23" hidden="1">
      <c r="A1938" s="81">
        <v>1936</v>
      </c>
      <c r="B1938" s="81" t="s">
        <v>1470</v>
      </c>
      <c r="C1938" s="81" t="s">
        <v>1766</v>
      </c>
      <c r="D1938" s="82" t="str">
        <f ca="1">OFFSET(Roster!$A$3,MATCH(表格1[[#This Row],[Location]]&amp;" "&amp;表格1[[#This Row],[Shop]]&amp;"*",Roster!$A$4:$A$72,0),DAY(表格1[[#This Row],[date]]),1,1)</f>
        <v>Leo</v>
      </c>
      <c r="E1938" s="81">
        <f>MONTH(表格1[[#This Row],[date]])</f>
        <v>3</v>
      </c>
      <c r="F1938" s="90">
        <v>46104</v>
      </c>
      <c r="G1938" s="81" t="str">
        <f>VLOOKUP("*"&amp;表格1[[#This Row],[Input]]&amp;"*",'Ref-List'!$B:$D,2,)</f>
        <v>MX2-STR25SC(WH)</v>
      </c>
      <c r="H1938" s="81" t="str">
        <f>_xlfn.XLOOKUP(表格1[[#This Row],[Model]],表格3[Model-Input-Ref2],表格3[Product Line])</f>
        <v>4合1氣炸微波蒸焗爐(25公升)</v>
      </c>
      <c r="I1938" s="81" t="str">
        <f>_xlfn.XLOOKUP(表格1[[#This Row],[Model]],表格3[Model-Input-Ref2],表格3[大小電])</f>
        <v>細電</v>
      </c>
      <c r="J1938" s="81" t="str">
        <f>_xlfn.XLOOKUP(表格1[[#This Row],[Model]],表格3[Model-Input-Ref2],表格3[Code])</f>
        <v>MCA</v>
      </c>
      <c r="K1938" s="89" t="s">
        <v>1410</v>
      </c>
      <c r="L1938" s="86">
        <v>1</v>
      </c>
      <c r="M1938" s="87">
        <v>3280</v>
      </c>
      <c r="N1938" s="85">
        <f>IFERROR(表格1[[#This Row],[QTY]]*表格1[[#This Row],[Unit Price]],"-")</f>
        <v>3280</v>
      </c>
      <c r="O1938" s="86">
        <v>1111688</v>
      </c>
      <c r="R1938" s="86" t="str">
        <f>_xlfn.CONCAT(表格1[[#This Row],[Model]]," ",表格1[[#This Row],[inv no]])</f>
        <v>MX2-STR25SC(WH) 1111688</v>
      </c>
      <c r="S1938" s="86">
        <f>_xlfn.XLOOKUP(表格1[[#This Row],[Model]],表格3[Model-Input-Ref2],表格3[SRP PRICE])</f>
        <v>4998</v>
      </c>
      <c r="T1938" s="43">
        <f>表格1[[#This Row],[Unit Price]]/表格1[[#This Row],[SRP]]</f>
        <v>0.65626250500200078</v>
      </c>
      <c r="U1938" s="86" t="str">
        <f>_xlfn.XLOOKUP(表格1[[#This Row],[Model]],表格3[Model-Input-Ref2],表格3[TOSHIBA/HIGHEST])</f>
        <v>Toshiba SRP</v>
      </c>
      <c r="V1938" s="86">
        <v>1111</v>
      </c>
      <c r="W1938" s="86" t="str">
        <f>_xlfn.CONCAT(表格1[[#This Row],[欄4]],表格1[[#This Row],[inv no]])</f>
        <v>11111111688</v>
      </c>
    </row>
    <row r="1939" spans="1:23" hidden="1">
      <c r="A1939" s="81">
        <v>1937</v>
      </c>
      <c r="B1939" s="81" t="s">
        <v>1470</v>
      </c>
      <c r="C1939" s="81" t="s">
        <v>1766</v>
      </c>
      <c r="D1939" s="82" t="str">
        <f ca="1">OFFSET(Roster!$A$3,MATCH(表格1[[#This Row],[Location]]&amp;" "&amp;表格1[[#This Row],[Shop]]&amp;"*",Roster!$A$4:$A$72,0),DAY(表格1[[#This Row],[date]]),1,1)</f>
        <v>Leo</v>
      </c>
      <c r="E1939" s="81">
        <f>MONTH(表格1[[#This Row],[date]])</f>
        <v>3</v>
      </c>
      <c r="F1939" s="90">
        <v>46104</v>
      </c>
      <c r="G1939" s="81" t="str">
        <f>VLOOKUP("*"&amp;表格1[[#This Row],[Input]]&amp;"*",'Ref-List'!$B:$D,2,)</f>
        <v>MX2-TT20SC(WH)</v>
      </c>
      <c r="H1939" s="81" t="str">
        <f>_xlfn.XLOOKUP(表格1[[#This Row],[Model]],表格3[Model-Input-Ref2],表格3[Product Line])</f>
        <v>3合1 微波蒸焗爐 (20公升)</v>
      </c>
      <c r="I1939" s="81" t="str">
        <f>_xlfn.XLOOKUP(表格1[[#This Row],[Model]],表格3[Model-Input-Ref2],表格3[大小電])</f>
        <v>細電</v>
      </c>
      <c r="J1939" s="81" t="str">
        <f>_xlfn.XLOOKUP(表格1[[#This Row],[Model]],表格3[Model-Input-Ref2],表格3[Code])</f>
        <v>MCA</v>
      </c>
      <c r="K1939" s="89" t="s">
        <v>1287</v>
      </c>
      <c r="L1939" s="86">
        <v>1</v>
      </c>
      <c r="M1939" s="87">
        <v>2388</v>
      </c>
      <c r="N1939" s="85">
        <f>IFERROR(表格1[[#This Row],[QTY]]*表格1[[#This Row],[Unit Price]],"-")</f>
        <v>2388</v>
      </c>
      <c r="O1939" s="86">
        <v>1111699</v>
      </c>
      <c r="R1939" s="86" t="str">
        <f>_xlfn.CONCAT(表格1[[#This Row],[Model]]," ",表格1[[#This Row],[inv no]])</f>
        <v>MX2-TT20SC(WH) 1111699</v>
      </c>
      <c r="S1939" s="86">
        <f>_xlfn.XLOOKUP(表格1[[#This Row],[Model]],表格3[Model-Input-Ref2],表格3[SRP PRICE])</f>
        <v>3580</v>
      </c>
      <c r="T1939" s="43">
        <f>表格1[[#This Row],[Unit Price]]/表格1[[#This Row],[SRP]]</f>
        <v>0.66703910614525141</v>
      </c>
      <c r="U1939" s="86" t="str">
        <f>_xlfn.XLOOKUP(表格1[[#This Row],[Model]],表格3[Model-Input-Ref2],表格3[TOSHIBA/HIGHEST])</f>
        <v>Toshiba SRP</v>
      </c>
      <c r="V1939" s="86">
        <v>1111</v>
      </c>
      <c r="W1939" s="86" t="str">
        <f>_xlfn.CONCAT(表格1[[#This Row],[欄4]],表格1[[#This Row],[inv no]])</f>
        <v>11111111699</v>
      </c>
    </row>
    <row r="1940" spans="1:23" hidden="1">
      <c r="A1940" s="81">
        <v>1938</v>
      </c>
      <c r="B1940" s="81" t="s">
        <v>1470</v>
      </c>
      <c r="C1940" s="81" t="s">
        <v>1766</v>
      </c>
      <c r="D1940" s="82" t="str">
        <f ca="1">OFFSET(Roster!$A$3,MATCH(表格1[[#This Row],[Location]]&amp;" "&amp;表格1[[#This Row],[Shop]]&amp;"*",Roster!$A$4:$A$72,0),DAY(表格1[[#This Row],[date]]),1,1)</f>
        <v>Leo</v>
      </c>
      <c r="E1940" s="81">
        <f>MONTH(表格1[[#This Row],[date]])</f>
        <v>3</v>
      </c>
      <c r="F1940" s="90">
        <v>46105</v>
      </c>
      <c r="G1940" s="81" t="str">
        <f>VLOOKUP("*"&amp;表格1[[#This Row],[Input]]&amp;"*",'Ref-List'!$B:$D,2,)</f>
        <v>RC-10IRPH</v>
      </c>
      <c r="H1940" s="81" t="str">
        <f>_xlfn.XLOOKUP(表格1[[#This Row],[Model]],表格3[Model-Input-Ref2],表格3[Product Line])</f>
        <v>低醣磁應電飯煲1L</v>
      </c>
      <c r="I1940" s="81" t="str">
        <f>_xlfn.XLOOKUP(表格1[[#This Row],[Model]],表格3[Model-Input-Ref2],表格3[大小電])</f>
        <v>細電</v>
      </c>
      <c r="J1940" s="81" t="str">
        <f>_xlfn.XLOOKUP(表格1[[#This Row],[Model]],表格3[Model-Input-Ref2],表格3[Code])</f>
        <v>SDA</v>
      </c>
      <c r="K1940" s="89" t="s">
        <v>1297</v>
      </c>
      <c r="L1940" s="86">
        <v>5</v>
      </c>
      <c r="M1940" s="87">
        <f>3490/5</f>
        <v>698</v>
      </c>
      <c r="N1940" s="85">
        <f>IFERROR(表格1[[#This Row],[QTY]]*表格1[[#This Row],[Unit Price]],"-")</f>
        <v>3490</v>
      </c>
      <c r="O1940" s="86">
        <v>1111727</v>
      </c>
      <c r="R1940" s="86" t="str">
        <f>_xlfn.CONCAT(表格1[[#This Row],[Model]]," ",表格1[[#This Row],[inv no]])</f>
        <v>RC-10IRPH 1111727</v>
      </c>
      <c r="S1940" s="86">
        <f>_xlfn.XLOOKUP(表格1[[#This Row],[Model]],表格3[Model-Input-Ref2],表格3[SRP PRICE])</f>
        <v>1388</v>
      </c>
      <c r="T1940" s="43">
        <f>表格1[[#This Row],[Unit Price]]/表格1[[#This Row],[SRP]]</f>
        <v>0.50288184438040351</v>
      </c>
      <c r="U1940" s="86" t="str">
        <f>_xlfn.XLOOKUP(表格1[[#This Row],[Model]],表格3[Model-Input-Ref2],表格3[TOSHIBA/HIGHEST])</f>
        <v>Toshiba SRP</v>
      </c>
      <c r="V1940" s="86">
        <v>1111</v>
      </c>
      <c r="W1940" s="86" t="str">
        <f>_xlfn.CONCAT(表格1[[#This Row],[欄4]],表格1[[#This Row],[inv no]])</f>
        <v>11111111727</v>
      </c>
    </row>
    <row r="1941" spans="1:23" hidden="1">
      <c r="A1941" s="81">
        <v>1939</v>
      </c>
      <c r="B1941" s="81" t="s">
        <v>1470</v>
      </c>
      <c r="C1941" s="81" t="s">
        <v>1766</v>
      </c>
      <c r="D1941" s="82" t="str">
        <f ca="1">OFFSET(Roster!$A$3,MATCH(表格1[[#This Row],[Location]]&amp;" "&amp;表格1[[#This Row],[Shop]]&amp;"*",Roster!$A$4:$A$72,0),DAY(表格1[[#This Row],[date]]),1,1)</f>
        <v>Leo</v>
      </c>
      <c r="E1941" s="81">
        <f>MONTH(表格1[[#This Row],[date]])</f>
        <v>3</v>
      </c>
      <c r="F1941" s="90">
        <v>46105</v>
      </c>
      <c r="G1941" s="81" t="str">
        <f>VLOOKUP("*"&amp;表格1[[#This Row],[Input]]&amp;"*",'Ref-List'!$B:$D,2,)</f>
        <v>RC-18ISPH</v>
      </c>
      <c r="H1941" s="81" t="str">
        <f>_xlfn.XLOOKUP(表格1[[#This Row],[Model]],表格3[Model-Input-Ref2],表格3[Product Line])</f>
        <v>低醣磁應電飯煲1.8L</v>
      </c>
      <c r="I1941" s="81" t="str">
        <f>_xlfn.XLOOKUP(表格1[[#This Row],[Model]],表格3[Model-Input-Ref2],表格3[大小電])</f>
        <v>細電</v>
      </c>
      <c r="J1941" s="81" t="str">
        <f>_xlfn.XLOOKUP(表格1[[#This Row],[Model]],表格3[Model-Input-Ref2],表格3[Code])</f>
        <v>SDA</v>
      </c>
      <c r="K1941" s="89" t="s">
        <v>1281</v>
      </c>
      <c r="L1941" s="86">
        <v>5</v>
      </c>
      <c r="M1941" s="87">
        <v>788</v>
      </c>
      <c r="N1941" s="85">
        <f>IFERROR(表格1[[#This Row],[QTY]]*表格1[[#This Row],[Unit Price]],"-")</f>
        <v>3940</v>
      </c>
      <c r="O1941" s="86">
        <v>1111736</v>
      </c>
      <c r="R1941" s="86" t="str">
        <f>_xlfn.CONCAT(表格1[[#This Row],[Model]]," ",表格1[[#This Row],[inv no]])</f>
        <v>RC-18ISPH 1111736</v>
      </c>
      <c r="S1941" s="86">
        <f>_xlfn.XLOOKUP(表格1[[#This Row],[Model]],表格3[Model-Input-Ref2],表格3[SRP PRICE])</f>
        <v>1436</v>
      </c>
      <c r="T1941" s="43">
        <f>表格1[[#This Row],[Unit Price]]/表格1[[#This Row],[SRP]]</f>
        <v>0.54874651810584962</v>
      </c>
      <c r="U1941" s="86" t="str">
        <f>_xlfn.XLOOKUP(表格1[[#This Row],[Model]],表格3[Model-Input-Ref2],表格3[TOSHIBA/HIGHEST])</f>
        <v>Shops Highest Price</v>
      </c>
      <c r="V1941" s="86">
        <v>1111</v>
      </c>
      <c r="W1941" s="86" t="str">
        <f>_xlfn.CONCAT(表格1[[#This Row],[欄4]],表格1[[#This Row],[inv no]])</f>
        <v>11111111736</v>
      </c>
    </row>
    <row r="1942" spans="1:23" hidden="1">
      <c r="A1942" s="81">
        <v>1940</v>
      </c>
      <c r="B1942" s="81" t="s">
        <v>1470</v>
      </c>
      <c r="C1942" s="81" t="s">
        <v>1766</v>
      </c>
      <c r="D1942" s="82" t="str">
        <f ca="1">OFFSET(Roster!$A$3,MATCH(表格1[[#This Row],[Location]]&amp;" "&amp;表格1[[#This Row],[Shop]]&amp;"*",Roster!$A$4:$A$72,0),DAY(表格1[[#This Row],[date]]),1,1)</f>
        <v>Leo</v>
      </c>
      <c r="E1942" s="81">
        <f>MONTH(表格1[[#This Row],[date]])</f>
        <v>3</v>
      </c>
      <c r="F1942" s="90">
        <v>46105</v>
      </c>
      <c r="G1942" s="81" t="str">
        <f>VLOOKUP("*"&amp;表格1[[#This Row],[Input]]&amp;"*",'Ref-List'!$B:$D,2,)</f>
        <v>MW3-SAC24SE(BK)</v>
      </c>
      <c r="H1942" s="81" t="str">
        <f>_xlfn.XLOOKUP(表格1[[#This Row],[Model]],表格3[Model-Input-Ref2],表格3[Product Line])</f>
        <v>智能氣炸烤焗爐(24公升)</v>
      </c>
      <c r="I1942" s="81" t="str">
        <f>_xlfn.XLOOKUP(表格1[[#This Row],[Model]],表格3[Model-Input-Ref2],表格3[大小電])</f>
        <v>細電</v>
      </c>
      <c r="J1942" s="81" t="str">
        <f>_xlfn.XLOOKUP(表格1[[#This Row],[Model]],表格3[Model-Input-Ref2],表格3[Code])</f>
        <v>MCA</v>
      </c>
      <c r="K1942" s="89" t="s">
        <v>1274</v>
      </c>
      <c r="L1942" s="86">
        <v>5</v>
      </c>
      <c r="M1942" s="87">
        <v>1052</v>
      </c>
      <c r="N1942" s="85">
        <f>IFERROR(表格1[[#This Row],[QTY]]*表格1[[#This Row],[Unit Price]],"-")</f>
        <v>5260</v>
      </c>
      <c r="O1942" s="86">
        <v>1111735</v>
      </c>
      <c r="R1942" s="86" t="str">
        <f>_xlfn.CONCAT(表格1[[#This Row],[Model]]," ",表格1[[#This Row],[inv no]])</f>
        <v>MW3-SAC24SE(BK) 1111735</v>
      </c>
      <c r="S1942" s="86">
        <f>_xlfn.XLOOKUP(表格1[[#This Row],[Model]],表格3[Model-Input-Ref2],表格3[SRP PRICE])</f>
        <v>1680</v>
      </c>
      <c r="T1942" s="43">
        <f>表格1[[#This Row],[Unit Price]]/表格1[[#This Row],[SRP]]</f>
        <v>0.62619047619047619</v>
      </c>
      <c r="U1942" s="86" t="str">
        <f>_xlfn.XLOOKUP(表格1[[#This Row],[Model]],表格3[Model-Input-Ref2],表格3[TOSHIBA/HIGHEST])</f>
        <v>Toshiba SRP</v>
      </c>
      <c r="V1942" s="86">
        <v>1111</v>
      </c>
      <c r="W1942" s="86" t="str">
        <f>_xlfn.CONCAT(表格1[[#This Row],[欄4]],表格1[[#This Row],[inv no]])</f>
        <v>11111111735</v>
      </c>
    </row>
    <row r="1943" spans="1:23" hidden="1">
      <c r="A1943" s="81">
        <v>1941</v>
      </c>
      <c r="B1943" s="81" t="s">
        <v>1470</v>
      </c>
      <c r="C1943" s="81" t="s">
        <v>1766</v>
      </c>
      <c r="D1943" s="82" t="str">
        <f ca="1">OFFSET(Roster!$A$3,MATCH(表格1[[#This Row],[Location]]&amp;" "&amp;表格1[[#This Row],[Shop]]&amp;"*",Roster!$A$4:$A$72,0),DAY(表格1[[#This Row],[date]]),1,1)</f>
        <v>Leo</v>
      </c>
      <c r="E1943" s="81">
        <f>MONTH(表格1[[#This Row],[date]])</f>
        <v>3</v>
      </c>
      <c r="F1943" s="90">
        <v>46105</v>
      </c>
      <c r="G1943" s="81" t="str">
        <f>VLOOKUP("*"&amp;表格1[[#This Row],[Input]]&amp;"*",'Ref-List'!$B:$D,2,)</f>
        <v>RC-10ISSHK(W)</v>
      </c>
      <c r="H1943" s="81" t="str">
        <f>_xlfn.XLOOKUP(表格1[[#This Row],[Model]],表格3[Model-Input-Ref2],表格3[Product Line])</f>
        <v>磁應電飯煲(1公升)</v>
      </c>
      <c r="I1943" s="81" t="str">
        <f>_xlfn.XLOOKUP(表格1[[#This Row],[Model]],表格3[Model-Input-Ref2],表格3[大小電])</f>
        <v>細電</v>
      </c>
      <c r="J1943" s="81" t="str">
        <f>_xlfn.XLOOKUP(表格1[[#This Row],[Model]],表格3[Model-Input-Ref2],表格3[Code])</f>
        <v>SDA</v>
      </c>
      <c r="K1943" s="89" t="s">
        <v>1286</v>
      </c>
      <c r="L1943" s="86">
        <v>1</v>
      </c>
      <c r="M1943" s="87">
        <v>880</v>
      </c>
      <c r="N1943" s="85">
        <f>IFERROR(表格1[[#This Row],[QTY]]*表格1[[#This Row],[Unit Price]],"-")</f>
        <v>880</v>
      </c>
      <c r="O1943" s="86">
        <v>1111708</v>
      </c>
      <c r="R1943" s="86" t="str">
        <f>_xlfn.CONCAT(表格1[[#This Row],[Model]]," ",表格1[[#This Row],[inv no]])</f>
        <v>RC-10ISSHK(W) 1111708</v>
      </c>
      <c r="S1943" s="86">
        <f>_xlfn.XLOOKUP(表格1[[#This Row],[Model]],表格3[Model-Input-Ref2],表格3[SRP PRICE])</f>
        <v>1188</v>
      </c>
      <c r="T1943" s="43">
        <f>表格1[[#This Row],[Unit Price]]/表格1[[#This Row],[SRP]]</f>
        <v>0.7407407407407407</v>
      </c>
      <c r="U1943" s="86" t="str">
        <f>_xlfn.XLOOKUP(表格1[[#This Row],[Model]],表格3[Model-Input-Ref2],表格3[TOSHIBA/HIGHEST])</f>
        <v>Shops Highest Price</v>
      </c>
      <c r="V1943" s="86">
        <v>1111</v>
      </c>
      <c r="W1943" s="86" t="str">
        <f>_xlfn.CONCAT(表格1[[#This Row],[欄4]],表格1[[#This Row],[inv no]])</f>
        <v>11111111708</v>
      </c>
    </row>
    <row r="1944" spans="1:23" hidden="1">
      <c r="A1944" s="81">
        <v>1942</v>
      </c>
      <c r="B1944" s="81" t="s">
        <v>1470</v>
      </c>
      <c r="C1944" s="81" t="s">
        <v>1766</v>
      </c>
      <c r="D1944" s="82" t="str">
        <f ca="1">OFFSET(Roster!$A$3,MATCH(表格1[[#This Row],[Location]]&amp;" "&amp;表格1[[#This Row],[Shop]]&amp;"*",Roster!$A$4:$A$72,0),DAY(表格1[[#This Row],[date]]),1,1)</f>
        <v>Leo</v>
      </c>
      <c r="E1944" s="81">
        <f>MONTH(表格1[[#This Row],[date]])</f>
        <v>3</v>
      </c>
      <c r="F1944" s="90">
        <v>46105</v>
      </c>
      <c r="G1944" s="81" t="str">
        <f>VLOOKUP("*"&amp;表格1[[#This Row],[Input]]&amp;"*",'Ref-List'!$B:$D,2,)</f>
        <v>DW-05T2-HK</v>
      </c>
      <c r="H1944" s="81" t="str">
        <f>_xlfn.XLOOKUP(表格1[[#This Row],[Model]],表格3[Model-Input-Ref2],表格3[Product Line])</f>
        <v>座檯式洗碗碟機</v>
      </c>
      <c r="I1944" s="81" t="str">
        <f>_xlfn.XLOOKUP(表格1[[#This Row],[Model]],表格3[Model-Input-Ref2],表格3[大小電])</f>
        <v>細電</v>
      </c>
      <c r="J1944" s="81" t="str">
        <f>_xlfn.XLOOKUP(表格1[[#This Row],[Model]],表格3[Model-Input-Ref2],表格3[Code])</f>
        <v>DW</v>
      </c>
      <c r="K1944" s="89" t="s">
        <v>1475</v>
      </c>
      <c r="L1944" s="86">
        <v>1</v>
      </c>
      <c r="M1944" s="87">
        <v>3480</v>
      </c>
      <c r="N1944" s="85">
        <f>IFERROR(表格1[[#This Row],[QTY]]*表格1[[#This Row],[Unit Price]],"-")</f>
        <v>3480</v>
      </c>
      <c r="O1944" s="86">
        <v>1111767</v>
      </c>
      <c r="R1944" s="86" t="str">
        <f>_xlfn.CONCAT(表格1[[#This Row],[Model]]," ",表格1[[#This Row],[inv no]])</f>
        <v>DW-05T2-HK 1111767</v>
      </c>
      <c r="S1944" s="86">
        <f>_xlfn.XLOOKUP(表格1[[#This Row],[Model]],表格3[Model-Input-Ref2],表格3[SRP PRICE])</f>
        <v>4580</v>
      </c>
      <c r="T1944" s="43">
        <f>表格1[[#This Row],[Unit Price]]/表格1[[#This Row],[SRP]]</f>
        <v>0.75982532751091703</v>
      </c>
      <c r="U1944" s="86" t="str">
        <f>_xlfn.XLOOKUP(表格1[[#This Row],[Model]],表格3[Model-Input-Ref2],表格3[TOSHIBA/HIGHEST])</f>
        <v>Toshiba SRP</v>
      </c>
      <c r="V1944" s="86">
        <v>1111</v>
      </c>
      <c r="W1944" s="86" t="str">
        <f>_xlfn.CONCAT(表格1[[#This Row],[欄4]],表格1[[#This Row],[inv no]])</f>
        <v>11111111767</v>
      </c>
    </row>
    <row r="1945" spans="1:23" hidden="1">
      <c r="A1945" s="81">
        <v>1943</v>
      </c>
      <c r="B1945" s="81" t="s">
        <v>1470</v>
      </c>
      <c r="C1945" s="81" t="s">
        <v>1766</v>
      </c>
      <c r="D1945" s="82" t="str">
        <f ca="1">OFFSET(Roster!$A$3,MATCH(表格1[[#This Row],[Location]]&amp;" "&amp;表格1[[#This Row],[Shop]]&amp;"*",Roster!$A$4:$A$72,0),DAY(表格1[[#This Row],[date]]),1,1)</f>
        <v>Leo off</v>
      </c>
      <c r="E1945" s="81">
        <f>MONTH(表格1[[#This Row],[date]])</f>
        <v>3</v>
      </c>
      <c r="F1945" s="90">
        <v>46106</v>
      </c>
      <c r="G1945" s="81" t="str">
        <f>VLOOKUP("*"&amp;表格1[[#This Row],[Input]]&amp;"*",'Ref-List'!$B:$D,2,)</f>
        <v>AW-Q751APH(WW)</v>
      </c>
      <c r="H1945" s="81" t="str">
        <f>_xlfn.XLOOKUP(表格1[[#This Row],[Model]],表格3[Model-Input-Ref2],表格3[Product Line])</f>
        <v>日式洗衣機 (6.5公斤 結合高低水位)</v>
      </c>
      <c r="I1945" s="81" t="str">
        <f>_xlfn.XLOOKUP(表格1[[#This Row],[Model]],表格3[Model-Input-Ref2],表格3[大小電])</f>
        <v>大電</v>
      </c>
      <c r="J1945" s="81" t="str">
        <f>_xlfn.XLOOKUP(表格1[[#This Row],[Model]],表格3[Model-Input-Ref2],表格3[Code])</f>
        <v>LAD</v>
      </c>
      <c r="K1945" s="89" t="s">
        <v>1770</v>
      </c>
      <c r="L1945" s="86">
        <v>1</v>
      </c>
      <c r="M1945" s="87">
        <v>1780</v>
      </c>
      <c r="N1945" s="85">
        <f>IFERROR(表格1[[#This Row],[QTY]]*表格1[[#This Row],[Unit Price]],"-")</f>
        <v>1780</v>
      </c>
      <c r="O1945" s="86">
        <v>1111785</v>
      </c>
      <c r="R1945" s="86" t="str">
        <f>_xlfn.CONCAT(表格1[[#This Row],[Model]]," ",表格1[[#This Row],[inv no]])</f>
        <v>AW-Q751APH(WW) 1111785</v>
      </c>
      <c r="S1945" s="86">
        <f>_xlfn.XLOOKUP(表格1[[#This Row],[Model]],表格3[Model-Input-Ref2],表格3[SRP PRICE])</f>
        <v>2880</v>
      </c>
      <c r="T1945" s="43">
        <f>表格1[[#This Row],[Unit Price]]/表格1[[#This Row],[SRP]]</f>
        <v>0.61805555555555558</v>
      </c>
      <c r="U1945" s="86" t="str">
        <f>_xlfn.XLOOKUP(表格1[[#This Row],[Model]],表格3[Model-Input-Ref2],表格3[TOSHIBA/HIGHEST])</f>
        <v>Toshiba SRP</v>
      </c>
      <c r="V1945" s="86">
        <v>1111</v>
      </c>
      <c r="W1945" s="86" t="str">
        <f>_xlfn.CONCAT(表格1[[#This Row],[欄4]],表格1[[#This Row],[inv no]])</f>
        <v>11111111785</v>
      </c>
    </row>
    <row r="1946" spans="1:23" hidden="1">
      <c r="A1946" s="81">
        <v>1944</v>
      </c>
      <c r="B1946" s="81" t="s">
        <v>1470</v>
      </c>
      <c r="C1946" s="81" t="s">
        <v>1766</v>
      </c>
      <c r="D1946" s="82" t="str">
        <f ca="1">OFFSET(Roster!$A$3,MATCH(表格1[[#This Row],[Location]]&amp;" "&amp;表格1[[#This Row],[Shop]]&amp;"*",Roster!$A$4:$A$72,0),DAY(表格1[[#This Row],[date]]),1,1)</f>
        <v>Leo off</v>
      </c>
      <c r="E1946" s="81">
        <f>MONTH(表格1[[#This Row],[date]])</f>
        <v>3</v>
      </c>
      <c r="F1946" s="90">
        <v>46106</v>
      </c>
      <c r="G1946" s="81" t="str">
        <f>VLOOKUP("*"&amp;表格1[[#This Row],[Input]]&amp;"*",'Ref-List'!$B:$D,2,)</f>
        <v>CWF-07CRFN8-AD5</v>
      </c>
      <c r="H1946" s="81" t="str">
        <f>_xlfn.XLOOKUP(表格1[[#This Row],[Model]],表格3[Model-Input-Ref2],表格3[Product Line])</f>
        <v>Comfee 3/4匹變頻窗口式冷氣機</v>
      </c>
      <c r="I1946" s="81" t="str">
        <f>_xlfn.XLOOKUP(表格1[[#This Row],[Model]],表格3[Model-Input-Ref2],表格3[大小電])</f>
        <v>大電</v>
      </c>
      <c r="J1946" s="81" t="str">
        <f>_xlfn.XLOOKUP(表格1[[#This Row],[Model]],表格3[Model-Input-Ref2],表格3[Code])</f>
        <v>RAC</v>
      </c>
      <c r="K1946" s="89" t="s">
        <v>1771</v>
      </c>
      <c r="L1946" s="86">
        <v>1</v>
      </c>
      <c r="M1946" s="87">
        <v>2650</v>
      </c>
      <c r="N1946" s="85">
        <f>IFERROR(表格1[[#This Row],[QTY]]*表格1[[#This Row],[Unit Price]],"-")</f>
        <v>2650</v>
      </c>
      <c r="O1946" s="86">
        <v>1111797</v>
      </c>
      <c r="R1946" s="86" t="str">
        <f>_xlfn.CONCAT(表格1[[#This Row],[Model]]," ",表格1[[#This Row],[inv no]])</f>
        <v>CWF-07CRFN8-AD5 1111797</v>
      </c>
      <c r="S1946" s="86">
        <f>_xlfn.XLOOKUP(表格1[[#This Row],[Model]],表格3[Model-Input-Ref2],表格3[SRP PRICE])</f>
        <v>3800</v>
      </c>
      <c r="T1946" s="43">
        <f>表格1[[#This Row],[Unit Price]]/表格1[[#This Row],[SRP]]</f>
        <v>0.69736842105263153</v>
      </c>
      <c r="U1946" s="86" t="str">
        <f>_xlfn.XLOOKUP(表格1[[#This Row],[Model]],表格3[Model-Input-Ref2],表格3[TOSHIBA/HIGHEST])</f>
        <v>Shops Highest Price</v>
      </c>
      <c r="V1946" s="86">
        <v>1111</v>
      </c>
      <c r="W1946" s="86" t="str">
        <f>_xlfn.CONCAT(表格1[[#This Row],[欄4]],表格1[[#This Row],[inv no]])</f>
        <v>11111111797</v>
      </c>
    </row>
    <row r="1947" spans="1:23" hidden="1">
      <c r="A1947" s="81">
        <v>1945</v>
      </c>
      <c r="B1947" s="81" t="s">
        <v>1470</v>
      </c>
      <c r="C1947" s="81" t="s">
        <v>1766</v>
      </c>
      <c r="D1947" s="82" t="str">
        <f ca="1">OFFSET(Roster!$A$3,MATCH(表格1[[#This Row],[Location]]&amp;" "&amp;表格1[[#This Row],[Shop]]&amp;"*",Roster!$A$4:$A$72,0),DAY(表格1[[#This Row],[date]]),1,1)</f>
        <v>Leo</v>
      </c>
      <c r="E1947" s="81">
        <f>MONTH(表格1[[#This Row],[date]])</f>
        <v>3</v>
      </c>
      <c r="F1947" s="90">
        <v>46107</v>
      </c>
      <c r="G1947" s="81" t="str">
        <f>VLOOKUP("*"&amp;表格1[[#This Row],[Input]]&amp;"*",'Ref-List'!$B:$D,2,)</f>
        <v>CWF-07CRFN8-AD5</v>
      </c>
      <c r="H1947" s="81" t="str">
        <f>_xlfn.XLOOKUP(表格1[[#This Row],[Model]],表格3[Model-Input-Ref2],表格3[Product Line])</f>
        <v>Comfee 3/4匹變頻窗口式冷氣機</v>
      </c>
      <c r="I1947" s="81" t="str">
        <f>_xlfn.XLOOKUP(表格1[[#This Row],[Model]],表格3[Model-Input-Ref2],表格3[大小電])</f>
        <v>大電</v>
      </c>
      <c r="J1947" s="81" t="str">
        <f>_xlfn.XLOOKUP(表格1[[#This Row],[Model]],表格3[Model-Input-Ref2],表格3[Code])</f>
        <v>RAC</v>
      </c>
      <c r="K1947" s="89" t="s">
        <v>1771</v>
      </c>
      <c r="L1947" s="86">
        <v>1</v>
      </c>
      <c r="M1947" s="87">
        <v>2650</v>
      </c>
      <c r="N1947" s="85">
        <f>IFERROR(表格1[[#This Row],[QTY]]*表格1[[#This Row],[Unit Price]],"-")</f>
        <v>2650</v>
      </c>
      <c r="O1947" s="86">
        <v>1111803</v>
      </c>
      <c r="R1947" s="86" t="str">
        <f>_xlfn.CONCAT(表格1[[#This Row],[Model]]," ",表格1[[#This Row],[inv no]])</f>
        <v>CWF-07CRFN8-AD5 1111803</v>
      </c>
      <c r="S1947" s="86">
        <f>_xlfn.XLOOKUP(表格1[[#This Row],[Model]],表格3[Model-Input-Ref2],表格3[SRP PRICE])</f>
        <v>3800</v>
      </c>
      <c r="T1947" s="43">
        <f>表格1[[#This Row],[Unit Price]]/表格1[[#This Row],[SRP]]</f>
        <v>0.69736842105263153</v>
      </c>
      <c r="U1947" s="86" t="str">
        <f>_xlfn.XLOOKUP(表格1[[#This Row],[Model]],表格3[Model-Input-Ref2],表格3[TOSHIBA/HIGHEST])</f>
        <v>Shops Highest Price</v>
      </c>
      <c r="V1947" s="86">
        <v>1111</v>
      </c>
      <c r="W1947" s="86" t="str">
        <f>_xlfn.CONCAT(表格1[[#This Row],[欄4]],表格1[[#This Row],[inv no]])</f>
        <v>11111111803</v>
      </c>
    </row>
    <row r="1948" spans="1:23" ht="16.5" hidden="1">
      <c r="A1948" s="81">
        <v>1946</v>
      </c>
      <c r="B1948" s="81" t="s">
        <v>1470</v>
      </c>
      <c r="C1948" s="81" t="s">
        <v>1766</v>
      </c>
      <c r="D1948" s="82" t="str">
        <f ca="1">OFFSET(Roster!$A$3,MATCH(表格1[[#This Row],[Location]]&amp;" "&amp;表格1[[#This Row],[Shop]]&amp;"*",Roster!$A$4:$A$72,0),DAY(表格1[[#This Row],[date]]),1,1)</f>
        <v>Leo</v>
      </c>
      <c r="E1948" s="81">
        <f>MONTH(表格1[[#This Row],[date]])</f>
        <v>3</v>
      </c>
      <c r="F1948" s="90">
        <v>46107</v>
      </c>
      <c r="G1948" s="81" t="str">
        <f>VLOOKUP("*"&amp;表格1[[#This Row],[Input]]&amp;"*",'Ref-List'!$B:$D,2,)</f>
        <v>F-LYA20(W)HKG</v>
      </c>
      <c r="H1948" s="81" t="str">
        <f>_xlfn.XLOOKUP(表格1[[#This Row],[Model]],表格3[Model-Input-Ref2],表格3[Product Line])</f>
        <v>12吋2合1座地座檯電風扇連遙控</v>
      </c>
      <c r="I1948" s="81" t="str">
        <f>_xlfn.XLOOKUP(表格1[[#This Row],[Model]],表格3[Model-Input-Ref2],表格3[大小電])</f>
        <v>細電</v>
      </c>
      <c r="J1948" s="81" t="str">
        <f>_xlfn.XLOOKUP(表格1[[#This Row],[Model]],表格3[Model-Input-Ref2],表格3[Code])</f>
        <v>EAD</v>
      </c>
      <c r="K1948" s="89" t="s">
        <v>1391</v>
      </c>
      <c r="L1948" s="86">
        <v>1</v>
      </c>
      <c r="M1948" s="87">
        <v>398</v>
      </c>
      <c r="N1948" s="85">
        <f>IFERROR(表格1[[#This Row],[QTY]]*表格1[[#This Row],[Unit Price]],"-")</f>
        <v>398</v>
      </c>
      <c r="O1948" s="86">
        <v>1111810</v>
      </c>
      <c r="P1948" s="137"/>
      <c r="R1948" s="86" t="str">
        <f>_xlfn.CONCAT(表格1[[#This Row],[Model]]," ",表格1[[#This Row],[inv no]])</f>
        <v>F-LYA20(W)HKG 1111810</v>
      </c>
      <c r="S1948" s="86">
        <f>_xlfn.XLOOKUP(表格1[[#This Row],[Model]],表格3[Model-Input-Ref2],表格3[SRP PRICE])</f>
        <v>988</v>
      </c>
      <c r="T1948" s="43">
        <f>表格1[[#This Row],[Unit Price]]/表格1[[#This Row],[SRP]]</f>
        <v>0.40283400809716602</v>
      </c>
      <c r="U1948" s="86" t="str">
        <f>_xlfn.XLOOKUP(表格1[[#This Row],[Model]],表格3[Model-Input-Ref2],表格3[TOSHIBA/HIGHEST])</f>
        <v>Toshiba SRP</v>
      </c>
      <c r="V1948" s="86">
        <v>1111</v>
      </c>
      <c r="W1948" s="86" t="str">
        <f>_xlfn.CONCAT(表格1[[#This Row],[欄4]],表格1[[#This Row],[inv no]])</f>
        <v>11111111810</v>
      </c>
    </row>
    <row r="1949" spans="1:23" hidden="1">
      <c r="A1949" s="81">
        <v>1947</v>
      </c>
      <c r="B1949" s="81" t="s">
        <v>1470</v>
      </c>
      <c r="C1949" s="81" t="s">
        <v>1766</v>
      </c>
      <c r="D1949" s="82" t="str">
        <f ca="1">OFFSET(Roster!$A$3,MATCH(表格1[[#This Row],[Location]]&amp;" "&amp;表格1[[#This Row],[Shop]]&amp;"*",Roster!$A$4:$A$72,0),DAY(表格1[[#This Row],[date]]),1,1)</f>
        <v>Leo off</v>
      </c>
      <c r="E1949" s="81">
        <f>MONTH(表格1[[#This Row],[date]])</f>
        <v>3</v>
      </c>
      <c r="F1949" s="90">
        <v>46108</v>
      </c>
      <c r="G1949" s="81" t="str">
        <f>VLOOKUP("*"&amp;表格1[[#This Row],[Input]]&amp;"*",'Ref-List'!$B:$D,2,)</f>
        <v>AW-Q901BPH(WW)</v>
      </c>
      <c r="H1949" s="81" t="str">
        <f>_xlfn.XLOOKUP(表格1[[#This Row],[Model]],表格3[Model-Input-Ref2],表格3[Product Line])</f>
        <v>日式洗衣機 (8公斤 結合高低水位)</v>
      </c>
      <c r="I1949" s="81" t="str">
        <f>_xlfn.XLOOKUP(表格1[[#This Row],[Model]],表格3[Model-Input-Ref2],表格3[大小電])</f>
        <v>大電</v>
      </c>
      <c r="J1949" s="81" t="str">
        <f>_xlfn.XLOOKUP(表格1[[#This Row],[Model]],表格3[Model-Input-Ref2],表格3[Code])</f>
        <v>LAD</v>
      </c>
      <c r="K1949" s="89" t="s">
        <v>1411</v>
      </c>
      <c r="L1949" s="86">
        <v>1</v>
      </c>
      <c r="M1949" s="87">
        <v>2210</v>
      </c>
      <c r="N1949" s="85">
        <f>IFERROR(表格1[[#This Row],[QTY]]*表格1[[#This Row],[Unit Price]],"-")</f>
        <v>2210</v>
      </c>
      <c r="O1949" s="86">
        <v>1111877</v>
      </c>
      <c r="R1949" s="86" t="str">
        <f>_xlfn.CONCAT(表格1[[#This Row],[Model]]," ",表格1[[#This Row],[inv no]])</f>
        <v>AW-Q901BPH(WW) 1111877</v>
      </c>
      <c r="S1949" s="86">
        <f>_xlfn.XLOOKUP(表格1[[#This Row],[Model]],表格3[Model-Input-Ref2],表格3[SRP PRICE])</f>
        <v>3780</v>
      </c>
      <c r="T1949" s="43">
        <f>表格1[[#This Row],[Unit Price]]/表格1[[#This Row],[SRP]]</f>
        <v>0.58465608465608465</v>
      </c>
      <c r="U1949" s="86" t="str">
        <f>_xlfn.XLOOKUP(表格1[[#This Row],[Model]],表格3[Model-Input-Ref2],表格3[TOSHIBA/HIGHEST])</f>
        <v>Toshiba SRP</v>
      </c>
      <c r="V1949" s="86">
        <v>1111</v>
      </c>
      <c r="W1949" s="86" t="str">
        <f>_xlfn.CONCAT(表格1[[#This Row],[欄4]],表格1[[#This Row],[inv no]])</f>
        <v>11111111877</v>
      </c>
    </row>
    <row r="1950" spans="1:23" hidden="1">
      <c r="A1950" s="81">
        <v>1948</v>
      </c>
      <c r="B1950" s="81" t="s">
        <v>1470</v>
      </c>
      <c r="C1950" s="81" t="s">
        <v>1766</v>
      </c>
      <c r="D1950" s="82" t="str">
        <f ca="1">OFFSET(Roster!$A$3,MATCH(表格1[[#This Row],[Location]]&amp;" "&amp;表格1[[#This Row],[Shop]]&amp;"*",Roster!$A$4:$A$72,0),DAY(表格1[[#This Row],[date]]),1,1)</f>
        <v>Leo off</v>
      </c>
      <c r="E1950" s="81">
        <f>MONTH(表格1[[#This Row],[date]])</f>
        <v>3</v>
      </c>
      <c r="F1950" s="90">
        <v>46108</v>
      </c>
      <c r="G1950" s="81" t="str">
        <f>VLOOKUP("*"&amp;表格1[[#This Row],[Input]]&amp;"*",'Ref-List'!$B:$D,2,)</f>
        <v>TW-T21BU90UWH(WW)</v>
      </c>
      <c r="H1950" s="81" t="str">
        <f>_xlfn.XLOOKUP(表格1[[#This Row],[Model]],表格3[Model-Input-Ref2],表格3[Product Line])</f>
        <v>8公斤超薄身前置式變頻洗衣機</v>
      </c>
      <c r="I1950" s="81" t="str">
        <f>_xlfn.XLOOKUP(表格1[[#This Row],[Model]],表格3[Model-Input-Ref2],表格3[大小電])</f>
        <v>大電</v>
      </c>
      <c r="J1950" s="81" t="str">
        <f>_xlfn.XLOOKUP(表格1[[#This Row],[Model]],表格3[Model-Input-Ref2],表格3[Code])</f>
        <v>LAD</v>
      </c>
      <c r="K1950" s="89" t="s">
        <v>1472</v>
      </c>
      <c r="L1950" s="86">
        <v>1</v>
      </c>
      <c r="M1950" s="87">
        <v>3080</v>
      </c>
      <c r="N1950" s="85">
        <f>IFERROR(表格1[[#This Row],[QTY]]*表格1[[#This Row],[Unit Price]],"-")</f>
        <v>3080</v>
      </c>
      <c r="O1950" s="86">
        <v>1111863</v>
      </c>
      <c r="R1950" s="86" t="str">
        <f>_xlfn.CONCAT(表格1[[#This Row],[Model]]," ",表格1[[#This Row],[inv no]])</f>
        <v>TW-T21BU90UWH(WW) 1111863</v>
      </c>
      <c r="S1950" s="86">
        <f>_xlfn.XLOOKUP(表格1[[#This Row],[Model]],表格3[Model-Input-Ref2],表格3[SRP PRICE])</f>
        <v>5480</v>
      </c>
      <c r="T1950" s="43">
        <f>表格1[[#This Row],[Unit Price]]/表格1[[#This Row],[SRP]]</f>
        <v>0.56204379562043794</v>
      </c>
      <c r="U1950" s="86" t="str">
        <f>_xlfn.XLOOKUP(表格1[[#This Row],[Model]],表格3[Model-Input-Ref2],表格3[TOSHIBA/HIGHEST])</f>
        <v>Toshiba SRP</v>
      </c>
      <c r="V1950" s="86">
        <v>1111</v>
      </c>
      <c r="W1950" s="86" t="str">
        <f>_xlfn.CONCAT(表格1[[#This Row],[欄4]],表格1[[#This Row],[inv no]])</f>
        <v>11111111863</v>
      </c>
    </row>
    <row r="1951" spans="1:23" hidden="1">
      <c r="A1951" s="81">
        <v>1949</v>
      </c>
      <c r="B1951" s="81" t="s">
        <v>1470</v>
      </c>
      <c r="C1951" s="81" t="s">
        <v>1766</v>
      </c>
      <c r="D1951" s="82" t="str">
        <f ca="1">OFFSET(Roster!$A$3,MATCH(表格1[[#This Row],[Location]]&amp;" "&amp;表格1[[#This Row],[Shop]]&amp;"*",Roster!$A$4:$A$72,0),DAY(表格1[[#This Row],[date]]),1,1)</f>
        <v>Leo off</v>
      </c>
      <c r="E1951" s="81">
        <f>MONTH(表格1[[#This Row],[date]])</f>
        <v>3</v>
      </c>
      <c r="F1951" s="90">
        <v>46108</v>
      </c>
      <c r="G1951" s="81" t="str">
        <f>VLOOKUP("*"&amp;表格1[[#This Row],[Input]]&amp;"*",'Ref-List'!$B:$D,2,)</f>
        <v>MM2-EG20PC(WH)</v>
      </c>
      <c r="H1951" s="81" t="str">
        <f>_xlfn.XLOOKUP(表格1[[#This Row],[Model]],表格3[Model-Input-Ref2],表格3[Product Line])</f>
        <v>輕觸式燒烤微波爐</v>
      </c>
      <c r="I1951" s="81" t="str">
        <f>_xlfn.XLOOKUP(表格1[[#This Row],[Model]],表格3[Model-Input-Ref2],表格3[大小電])</f>
        <v>細電</v>
      </c>
      <c r="J1951" s="81" t="str">
        <f>_xlfn.XLOOKUP(表格1[[#This Row],[Model]],表格3[Model-Input-Ref2],表格3[Code])</f>
        <v>MCA</v>
      </c>
      <c r="K1951" s="89" t="s">
        <v>1273</v>
      </c>
      <c r="L1951" s="86">
        <v>1</v>
      </c>
      <c r="M1951" s="87">
        <v>596</v>
      </c>
      <c r="N1951" s="85">
        <f>IFERROR(表格1[[#This Row],[QTY]]*表格1[[#This Row],[Unit Price]],"-")</f>
        <v>596</v>
      </c>
      <c r="O1951" s="86">
        <v>1111887</v>
      </c>
      <c r="R1951" s="86" t="str">
        <f>_xlfn.CONCAT(表格1[[#This Row],[Model]]," ",表格1[[#This Row],[inv no]])</f>
        <v>MM2-EG20PC(WH) 1111887</v>
      </c>
      <c r="S1951" s="86">
        <f>_xlfn.XLOOKUP(表格1[[#This Row],[Model]],表格3[Model-Input-Ref2],表格3[SRP PRICE])</f>
        <v>918</v>
      </c>
      <c r="T1951" s="43">
        <f>表格1[[#This Row],[Unit Price]]/表格1[[#This Row],[SRP]]</f>
        <v>0.64923747276688448</v>
      </c>
      <c r="U1951" s="86" t="str">
        <f>_xlfn.XLOOKUP(表格1[[#This Row],[Model]],表格3[Model-Input-Ref2],表格3[TOSHIBA/HIGHEST])</f>
        <v>Shops Highest Price</v>
      </c>
      <c r="V1951" s="86">
        <v>1111</v>
      </c>
      <c r="W1951" s="86" t="str">
        <f>_xlfn.CONCAT(表格1[[#This Row],[欄4]],表格1[[#This Row],[inv no]])</f>
        <v>11111111887</v>
      </c>
    </row>
    <row r="1952" spans="1:23" hidden="1">
      <c r="A1952" s="81">
        <v>1950</v>
      </c>
      <c r="B1952" s="81" t="s">
        <v>1470</v>
      </c>
      <c r="C1952" s="81" t="s">
        <v>1766</v>
      </c>
      <c r="D1952" s="82" t="str">
        <f ca="1">OFFSET(Roster!$A$3,MATCH(表格1[[#This Row],[Location]]&amp;" "&amp;表格1[[#This Row],[Shop]]&amp;"*",Roster!$A$4:$A$72,0),DAY(表格1[[#This Row],[date]]),1,1)</f>
        <v>Leo off</v>
      </c>
      <c r="E1952" s="81">
        <f>MONTH(表格1[[#This Row],[date]])</f>
        <v>3</v>
      </c>
      <c r="F1952" s="90">
        <v>46108</v>
      </c>
      <c r="G1952" s="81" t="str">
        <f>VLOOKUP("*"&amp;表格1[[#This Row],[Input]]&amp;"*",'Ref-List'!$B:$D,2,)</f>
        <v>RC-7HMH</v>
      </c>
      <c r="H1952" s="81" t="str">
        <f>_xlfn.XLOOKUP(表格1[[#This Row],[Model]],表格3[Model-Input-Ref2],表格3[Product Line])</f>
        <v>備長炭本厚釜電飯煲0.7L</v>
      </c>
      <c r="I1952" s="81" t="str">
        <f>_xlfn.XLOOKUP(表格1[[#This Row],[Model]],表格3[Model-Input-Ref2],表格3[大小電])</f>
        <v>細電</v>
      </c>
      <c r="J1952" s="81" t="str">
        <f>_xlfn.XLOOKUP(表格1[[#This Row],[Model]],表格3[Model-Input-Ref2],表格3[Code])</f>
        <v>SDA</v>
      </c>
      <c r="K1952" s="89" t="s">
        <v>1284</v>
      </c>
      <c r="L1952" s="86">
        <v>1</v>
      </c>
      <c r="M1952" s="87">
        <v>780</v>
      </c>
      <c r="N1952" s="85">
        <f>IFERROR(表格1[[#This Row],[QTY]]*表格1[[#This Row],[Unit Price]],"-")</f>
        <v>780</v>
      </c>
      <c r="O1952" s="86">
        <v>1111872</v>
      </c>
      <c r="R1952" s="86" t="str">
        <f>_xlfn.CONCAT(表格1[[#This Row],[Model]]," ",表格1[[#This Row],[inv no]])</f>
        <v>RC-7HMH 1111872</v>
      </c>
      <c r="S1952" s="86">
        <f>_xlfn.XLOOKUP(表格1[[#This Row],[Model]],表格3[Model-Input-Ref2],表格3[SRP PRICE])</f>
        <v>1288</v>
      </c>
      <c r="T1952" s="43">
        <f>表格1[[#This Row],[Unit Price]]/表格1[[#This Row],[SRP]]</f>
        <v>0.60559006211180122</v>
      </c>
      <c r="U1952" s="86" t="str">
        <f>_xlfn.XLOOKUP(表格1[[#This Row],[Model]],表格3[Model-Input-Ref2],表格3[TOSHIBA/HIGHEST])</f>
        <v>Toshiba SRP</v>
      </c>
      <c r="V1952" s="86">
        <v>1111</v>
      </c>
      <c r="W1952" s="86" t="str">
        <f>_xlfn.CONCAT(表格1[[#This Row],[欄4]],表格1[[#This Row],[inv no]])</f>
        <v>11111111872</v>
      </c>
    </row>
    <row r="1953" spans="1:23" hidden="1">
      <c r="A1953" s="81">
        <v>1951</v>
      </c>
      <c r="B1953" s="81" t="s">
        <v>1470</v>
      </c>
      <c r="C1953" s="81" t="s">
        <v>1766</v>
      </c>
      <c r="D1953" s="82" t="str">
        <f ca="1">OFFSET(Roster!$A$3,MATCH(表格1[[#This Row],[Location]]&amp;" "&amp;表格1[[#This Row],[Shop]]&amp;"*",Roster!$A$4:$A$72,0),DAY(表格1[[#This Row],[date]]),1,1)</f>
        <v>Leo off</v>
      </c>
      <c r="E1953" s="81">
        <f>MONTH(表格1[[#This Row],[date]])</f>
        <v>3</v>
      </c>
      <c r="F1953" s="90">
        <v>46108</v>
      </c>
      <c r="G1953" s="81" t="str">
        <f>VLOOKUP("*"&amp;表格1[[#This Row],[Input]]&amp;"*",'Ref-List'!$B:$D,2,)</f>
        <v>AW-Q901BPH(WW)</v>
      </c>
      <c r="H1953" s="81" t="str">
        <f>_xlfn.XLOOKUP(表格1[[#This Row],[Model]],表格3[Model-Input-Ref2],表格3[Product Line])</f>
        <v>日式洗衣機 (8公斤 結合高低水位)</v>
      </c>
      <c r="I1953" s="81" t="str">
        <f>_xlfn.XLOOKUP(表格1[[#This Row],[Model]],表格3[Model-Input-Ref2],表格3[大小電])</f>
        <v>大電</v>
      </c>
      <c r="J1953" s="81" t="str">
        <f>_xlfn.XLOOKUP(表格1[[#This Row],[Model]],表格3[Model-Input-Ref2],表格3[Code])</f>
        <v>LAD</v>
      </c>
      <c r="K1953" s="89" t="s">
        <v>1411</v>
      </c>
      <c r="L1953" s="86">
        <v>1</v>
      </c>
      <c r="M1953" s="87">
        <v>2210</v>
      </c>
      <c r="N1953" s="85">
        <f>IFERROR(表格1[[#This Row],[QTY]]*表格1[[#This Row],[Unit Price]],"-")</f>
        <v>2210</v>
      </c>
      <c r="O1953" s="86">
        <v>1111883</v>
      </c>
      <c r="R1953" s="86" t="str">
        <f>_xlfn.CONCAT(表格1[[#This Row],[Model]]," ",表格1[[#This Row],[inv no]])</f>
        <v>AW-Q901BPH(WW) 1111883</v>
      </c>
      <c r="S1953" s="86">
        <f>_xlfn.XLOOKUP(表格1[[#This Row],[Model]],表格3[Model-Input-Ref2],表格3[SRP PRICE])</f>
        <v>3780</v>
      </c>
      <c r="T1953" s="43">
        <f>表格1[[#This Row],[Unit Price]]/表格1[[#This Row],[SRP]]</f>
        <v>0.58465608465608465</v>
      </c>
      <c r="U1953" s="86" t="str">
        <f>_xlfn.XLOOKUP(表格1[[#This Row],[Model]],表格3[Model-Input-Ref2],表格3[TOSHIBA/HIGHEST])</f>
        <v>Toshiba SRP</v>
      </c>
      <c r="V1953" s="86">
        <v>1111</v>
      </c>
      <c r="W1953" s="86" t="str">
        <f>_xlfn.CONCAT(表格1[[#This Row],[欄4]],表格1[[#This Row],[inv no]])</f>
        <v>11111111883</v>
      </c>
    </row>
    <row r="1954" spans="1:23" hidden="1">
      <c r="A1954" s="81">
        <v>1952</v>
      </c>
      <c r="B1954" s="81" t="s">
        <v>1470</v>
      </c>
      <c r="C1954" s="81" t="s">
        <v>1766</v>
      </c>
      <c r="D1954" s="82" t="str">
        <f ca="1">OFFSET(Roster!$A$3,MATCH(表格1[[#This Row],[Location]]&amp;" "&amp;表格1[[#This Row],[Shop]]&amp;"*",Roster!$A$4:$A$72,0),DAY(表格1[[#This Row],[date]]),1,1)</f>
        <v>Leo off</v>
      </c>
      <c r="E1954" s="81">
        <f>MONTH(表格1[[#This Row],[date]])</f>
        <v>3</v>
      </c>
      <c r="F1954" s="90">
        <v>46109</v>
      </c>
      <c r="G1954" s="81" t="str">
        <f>VLOOKUP("*"&amp;表格1[[#This Row],[Input]]&amp;"*",'Ref-List'!$B:$D,2,)</f>
        <v>AW-Q901BPH(WW)</v>
      </c>
      <c r="H1954" s="81" t="str">
        <f>_xlfn.XLOOKUP(表格1[[#This Row],[Model]],表格3[Model-Input-Ref2],表格3[Product Line])</f>
        <v>日式洗衣機 (8公斤 結合高低水位)</v>
      </c>
      <c r="I1954" s="81" t="str">
        <f>_xlfn.XLOOKUP(表格1[[#This Row],[Model]],表格3[Model-Input-Ref2],表格3[大小電])</f>
        <v>大電</v>
      </c>
      <c r="J1954" s="81" t="str">
        <f>_xlfn.XLOOKUP(表格1[[#This Row],[Model]],表格3[Model-Input-Ref2],表格3[Code])</f>
        <v>LAD</v>
      </c>
      <c r="K1954" s="89" t="s">
        <v>1411</v>
      </c>
      <c r="L1954" s="86">
        <v>1</v>
      </c>
      <c r="M1954" s="87">
        <v>2210</v>
      </c>
      <c r="N1954" s="85">
        <f>IFERROR(表格1[[#This Row],[QTY]]*表格1[[#This Row],[Unit Price]],"-")</f>
        <v>2210</v>
      </c>
      <c r="O1954" s="86">
        <v>1111925</v>
      </c>
      <c r="R1954" s="86" t="str">
        <f>_xlfn.CONCAT(表格1[[#This Row],[Model]]," ",表格1[[#This Row],[inv no]])</f>
        <v>AW-Q901BPH(WW) 1111925</v>
      </c>
      <c r="S1954" s="86">
        <f>_xlfn.XLOOKUP(表格1[[#This Row],[Model]],表格3[Model-Input-Ref2],表格3[SRP PRICE])</f>
        <v>3780</v>
      </c>
      <c r="T1954" s="43">
        <f>表格1[[#This Row],[Unit Price]]/表格1[[#This Row],[SRP]]</f>
        <v>0.58465608465608465</v>
      </c>
      <c r="U1954" s="86" t="str">
        <f>_xlfn.XLOOKUP(表格1[[#This Row],[Model]],表格3[Model-Input-Ref2],表格3[TOSHIBA/HIGHEST])</f>
        <v>Toshiba SRP</v>
      </c>
      <c r="V1954" s="86">
        <v>1111</v>
      </c>
      <c r="W1954" s="86" t="str">
        <f>_xlfn.CONCAT(表格1[[#This Row],[欄4]],表格1[[#This Row],[inv no]])</f>
        <v>11111111925</v>
      </c>
    </row>
    <row r="1955" spans="1:23" hidden="1">
      <c r="A1955" s="81">
        <v>1953</v>
      </c>
      <c r="B1955" s="81" t="s">
        <v>1470</v>
      </c>
      <c r="C1955" s="81" t="s">
        <v>1766</v>
      </c>
      <c r="D1955" s="82" t="str">
        <f ca="1">OFFSET(Roster!$A$3,MATCH(表格1[[#This Row],[Location]]&amp;" "&amp;表格1[[#This Row],[Shop]]&amp;"*",Roster!$A$4:$A$72,0),DAY(表格1[[#This Row],[date]]),1,1)</f>
        <v>Leo off</v>
      </c>
      <c r="E1955" s="81">
        <f>MONTH(表格1[[#This Row],[date]])</f>
        <v>3</v>
      </c>
      <c r="F1955" s="90">
        <v>46109</v>
      </c>
      <c r="G1955" s="81" t="str">
        <f>VLOOKUP("*"&amp;表格1[[#This Row],[Input]]&amp;"*",'Ref-List'!$B:$D,2,)</f>
        <v>F-LYA20(W)HKG</v>
      </c>
      <c r="H1955" s="81" t="str">
        <f>_xlfn.XLOOKUP(表格1[[#This Row],[Model]],表格3[Model-Input-Ref2],表格3[Product Line])</f>
        <v>12吋2合1座地座檯電風扇連遙控</v>
      </c>
      <c r="I1955" s="81" t="str">
        <f>_xlfn.XLOOKUP(表格1[[#This Row],[Model]],表格3[Model-Input-Ref2],表格3[大小電])</f>
        <v>細電</v>
      </c>
      <c r="J1955" s="81" t="str">
        <f>_xlfn.XLOOKUP(表格1[[#This Row],[Model]],表格3[Model-Input-Ref2],表格3[Code])</f>
        <v>EAD</v>
      </c>
      <c r="K1955" s="89" t="s">
        <v>1391</v>
      </c>
      <c r="L1955" s="86">
        <v>1</v>
      </c>
      <c r="M1955" s="87">
        <v>398</v>
      </c>
      <c r="N1955" s="85">
        <f>IFERROR(表格1[[#This Row],[QTY]]*表格1[[#This Row],[Unit Price]],"-")</f>
        <v>398</v>
      </c>
      <c r="O1955" s="86">
        <v>1111916</v>
      </c>
      <c r="R1955" s="86" t="str">
        <f>_xlfn.CONCAT(表格1[[#This Row],[Model]]," ",表格1[[#This Row],[inv no]])</f>
        <v>F-LYA20(W)HKG 1111916</v>
      </c>
      <c r="S1955" s="86">
        <f>_xlfn.XLOOKUP(表格1[[#This Row],[Model]],表格3[Model-Input-Ref2],表格3[SRP PRICE])</f>
        <v>988</v>
      </c>
      <c r="T1955" s="43">
        <f>表格1[[#This Row],[Unit Price]]/表格1[[#This Row],[SRP]]</f>
        <v>0.40283400809716602</v>
      </c>
      <c r="U1955" s="86" t="str">
        <f>_xlfn.XLOOKUP(表格1[[#This Row],[Model]],表格3[Model-Input-Ref2],表格3[TOSHIBA/HIGHEST])</f>
        <v>Toshiba SRP</v>
      </c>
      <c r="V1955" s="86">
        <v>1111</v>
      </c>
      <c r="W1955" s="86" t="str">
        <f>_xlfn.CONCAT(表格1[[#This Row],[欄4]],表格1[[#This Row],[inv no]])</f>
        <v>11111111916</v>
      </c>
    </row>
    <row r="1956" spans="1:23" hidden="1">
      <c r="A1956" s="81">
        <v>1954</v>
      </c>
      <c r="B1956" s="81" t="s">
        <v>1470</v>
      </c>
      <c r="C1956" s="81" t="s">
        <v>1766</v>
      </c>
      <c r="D1956" s="82" t="str">
        <f ca="1">OFFSET(Roster!$A$3,MATCH(表格1[[#This Row],[Location]]&amp;" "&amp;表格1[[#This Row],[Shop]]&amp;"*",Roster!$A$4:$A$72,0),DAY(表格1[[#This Row],[date]]),1,1)</f>
        <v>Leo off</v>
      </c>
      <c r="E1956" s="81">
        <f>MONTH(表格1[[#This Row],[date]])</f>
        <v>3</v>
      </c>
      <c r="F1956" s="90">
        <v>46109</v>
      </c>
      <c r="G1956" s="81" t="str">
        <f>VLOOKUP("*"&amp;表格1[[#This Row],[Input]]&amp;"*",'Ref-List'!$B:$D,2,)</f>
        <v>KT-08DH1VHK(W)</v>
      </c>
      <c r="H1956" s="81" t="str">
        <f>_xlfn.XLOOKUP(表格1[[#This Row],[Model]],表格3[Model-Input-Ref2],表格3[Product Line])</f>
        <v>無線雙層電熱水壺-附可鎖壺蓋(0.8公升)</v>
      </c>
      <c r="I1956" s="81" t="str">
        <f>_xlfn.XLOOKUP(表格1[[#This Row],[Model]],表格3[Model-Input-Ref2],表格3[大小電])</f>
        <v>細電</v>
      </c>
      <c r="J1956" s="81" t="str">
        <f>_xlfn.XLOOKUP(表格1[[#This Row],[Model]],表格3[Model-Input-Ref2],表格3[Code])</f>
        <v>SDA</v>
      </c>
      <c r="K1956" s="89" t="s">
        <v>1268</v>
      </c>
      <c r="L1956" s="86">
        <v>1</v>
      </c>
      <c r="M1956" s="87">
        <v>248</v>
      </c>
      <c r="N1956" s="85">
        <f>IFERROR(表格1[[#This Row],[QTY]]*表格1[[#This Row],[Unit Price]],"-")</f>
        <v>248</v>
      </c>
      <c r="O1956" s="86">
        <v>1111897</v>
      </c>
      <c r="R1956" s="86" t="str">
        <f>_xlfn.CONCAT(表格1[[#This Row],[Model]]," ",表格1[[#This Row],[inv no]])</f>
        <v>KT-08DH1VHK(W) 1111897</v>
      </c>
      <c r="S1956" s="86">
        <f>_xlfn.XLOOKUP(表格1[[#This Row],[Model]],表格3[Model-Input-Ref2],表格3[SRP PRICE])</f>
        <v>428</v>
      </c>
      <c r="T1956" s="43">
        <f>表格1[[#This Row],[Unit Price]]/表格1[[#This Row],[SRP]]</f>
        <v>0.57943925233644855</v>
      </c>
      <c r="U1956" s="86" t="str">
        <f>_xlfn.XLOOKUP(表格1[[#This Row],[Model]],表格3[Model-Input-Ref2],表格3[TOSHIBA/HIGHEST])</f>
        <v>Toshiba SRP</v>
      </c>
      <c r="V1956" s="86">
        <v>1111</v>
      </c>
      <c r="W1956" s="86" t="str">
        <f>_xlfn.CONCAT(表格1[[#This Row],[欄4]],表格1[[#This Row],[inv no]])</f>
        <v>11111111897</v>
      </c>
    </row>
    <row r="1957" spans="1:23" hidden="1">
      <c r="A1957" s="81">
        <v>1955</v>
      </c>
      <c r="B1957" s="81" t="s">
        <v>1470</v>
      </c>
      <c r="C1957" s="81" t="s">
        <v>1766</v>
      </c>
      <c r="D1957" s="82" t="str">
        <f ca="1">OFFSET(Roster!$A$3,MATCH(表格1[[#This Row],[Location]]&amp;" "&amp;表格1[[#This Row],[Shop]]&amp;"*",Roster!$A$4:$A$72,0),DAY(表格1[[#This Row],[date]]),1,1)</f>
        <v>Leo off</v>
      </c>
      <c r="E1957" s="81">
        <f>MONTH(表格1[[#This Row],[date]])</f>
        <v>3</v>
      </c>
      <c r="F1957" s="90">
        <v>46109</v>
      </c>
      <c r="G1957" s="81" t="str">
        <f>VLOOKUP("*"&amp;表格1[[#This Row],[Input]]&amp;"*",'Ref-List'!$B:$D,2,)</f>
        <v>TWP-W2265THK(W)</v>
      </c>
      <c r="H1957" s="81" t="str">
        <f>_xlfn.XLOOKUP(表格1[[#This Row],[Model]],表格3[Model-Input-Ref2],表格3[Product Line])</f>
        <v>RO座檯式冷熱飲水機</v>
      </c>
      <c r="I1957" s="81" t="str">
        <f>_xlfn.XLOOKUP(表格1[[#This Row],[Model]],表格3[Model-Input-Ref2],表格3[大小電])</f>
        <v>細電</v>
      </c>
      <c r="J1957" s="81" t="str">
        <f>_xlfn.XLOOKUP(表格1[[#This Row],[Model]],表格3[Model-Input-Ref2],表格3[Code])</f>
        <v>KWH</v>
      </c>
      <c r="K1957" s="89" t="s">
        <v>1694</v>
      </c>
      <c r="L1957" s="86">
        <v>1</v>
      </c>
      <c r="M1957" s="87">
        <v>2880</v>
      </c>
      <c r="N1957" s="85">
        <f>IFERROR(表格1[[#This Row],[QTY]]*表格1[[#This Row],[Unit Price]],"-")</f>
        <v>2880</v>
      </c>
      <c r="O1957" s="86">
        <v>1111930</v>
      </c>
      <c r="R1957" s="86" t="str">
        <f>_xlfn.CONCAT(表格1[[#This Row],[Model]]," ",表格1[[#This Row],[inv no]])</f>
        <v>TWP-W2265THK(W) 1111930</v>
      </c>
      <c r="S1957" s="86">
        <f>_xlfn.XLOOKUP(表格1[[#This Row],[Model]],表格3[Model-Input-Ref2],表格3[SRP PRICE])</f>
        <v>3480</v>
      </c>
      <c r="T1957" s="43">
        <f>表格1[[#This Row],[Unit Price]]/表格1[[#This Row],[SRP]]</f>
        <v>0.82758620689655171</v>
      </c>
      <c r="U1957" s="86" t="str">
        <f>_xlfn.XLOOKUP(表格1[[#This Row],[Model]],表格3[Model-Input-Ref2],表格3[TOSHIBA/HIGHEST])</f>
        <v>Shops Highest Price</v>
      </c>
      <c r="V1957" s="86">
        <v>1111</v>
      </c>
      <c r="W1957" s="86" t="str">
        <f>_xlfn.CONCAT(表格1[[#This Row],[欄4]],表格1[[#This Row],[inv no]])</f>
        <v>11111111930</v>
      </c>
    </row>
    <row r="1958" spans="1:23" ht="16.5" hidden="1">
      <c r="A1958" s="81">
        <v>1956</v>
      </c>
      <c r="B1958" s="81" t="s">
        <v>1470</v>
      </c>
      <c r="C1958" s="81" t="s">
        <v>1766</v>
      </c>
      <c r="D1958" s="82" t="str">
        <f ca="1">OFFSET(Roster!$A$3,MATCH(表格1[[#This Row],[Location]]&amp;" "&amp;表格1[[#This Row],[Shop]]&amp;"*",Roster!$A$4:$A$72,0),DAY(表格1[[#This Row],[date]]),1,1)</f>
        <v>Leo off</v>
      </c>
      <c r="E1958" s="81">
        <f>MONTH(表格1[[#This Row],[date]])</f>
        <v>3</v>
      </c>
      <c r="F1958" s="90">
        <v>46109</v>
      </c>
      <c r="G1958" s="81" t="str">
        <f>VLOOKUP("*"&amp;表格1[[#This Row],[Input]]&amp;"*",'Ref-List'!$B:$D,2,)</f>
        <v>GR-RB449WE-PMA(57)</v>
      </c>
      <c r="H1958" s="81" t="str">
        <f>_xlfn.XLOOKUP(表格1[[#This Row],[Model]],表格3[Model-Input-Ref2],表格3[Product Line])</f>
        <v>變頻下置式雙門雪櫃</v>
      </c>
      <c r="I1958" s="81" t="str">
        <f>_xlfn.XLOOKUP(表格1[[#This Row],[Model]],表格3[Model-Input-Ref2],表格3[大小電])</f>
        <v>大電</v>
      </c>
      <c r="J1958" s="81" t="str">
        <f>_xlfn.XLOOKUP(表格1[[#This Row],[Model]],表格3[Model-Input-Ref2],表格3[Code])</f>
        <v>REF</v>
      </c>
      <c r="K1958" s="89" t="s">
        <v>1484</v>
      </c>
      <c r="L1958" s="86">
        <v>1</v>
      </c>
      <c r="M1958" s="87">
        <v>4298</v>
      </c>
      <c r="N1958" s="85">
        <f>IFERROR(表格1[[#This Row],[QTY]]*表格1[[#This Row],[Unit Price]],"-")</f>
        <v>4298</v>
      </c>
      <c r="O1958" s="86">
        <v>1111929</v>
      </c>
      <c r="P1958" s="141"/>
      <c r="R1958" s="86" t="str">
        <f>_xlfn.CONCAT(表格1[[#This Row],[Model]]," ",表格1[[#This Row],[inv no]])</f>
        <v>GR-RB449WE-PMA(57) 1111929</v>
      </c>
      <c r="S1958" s="86">
        <f>_xlfn.XLOOKUP(表格1[[#This Row],[Model]],表格3[Model-Input-Ref2],表格3[SRP PRICE])</f>
        <v>6280</v>
      </c>
      <c r="T1958" s="43">
        <f>表格1[[#This Row],[Unit Price]]/表格1[[#This Row],[SRP]]</f>
        <v>0.68439490445859874</v>
      </c>
      <c r="U1958" s="86" t="str">
        <f>_xlfn.XLOOKUP(表格1[[#This Row],[Model]],表格3[Model-Input-Ref2],表格3[TOSHIBA/HIGHEST])</f>
        <v>Toshiba SRP</v>
      </c>
      <c r="V1958" s="86">
        <v>1111</v>
      </c>
      <c r="W1958" s="86" t="str">
        <f>_xlfn.CONCAT(表格1[[#This Row],[欄4]],表格1[[#This Row],[inv no]])</f>
        <v>11111111929</v>
      </c>
    </row>
    <row r="1959" spans="1:23" hidden="1">
      <c r="A1959" s="81">
        <v>1957</v>
      </c>
      <c r="B1959" s="81" t="s">
        <v>1470</v>
      </c>
      <c r="C1959" s="81" t="s">
        <v>1766</v>
      </c>
      <c r="D1959" s="82" t="str">
        <f ca="1">OFFSET(Roster!$A$3,MATCH(表格1[[#This Row],[Location]]&amp;" "&amp;表格1[[#This Row],[Shop]]&amp;"*",Roster!$A$4:$A$72,0),DAY(表格1[[#This Row],[date]]),1,1)</f>
        <v>Leo</v>
      </c>
      <c r="E1959" s="81">
        <f>MONTH(表格1[[#This Row],[date]])</f>
        <v>3</v>
      </c>
      <c r="F1959" s="90">
        <v>46110</v>
      </c>
      <c r="G1959" s="81" t="str">
        <f>VLOOKUP("*"&amp;表格1[[#This Row],[Input]]&amp;"*",'Ref-List'!$B:$D,2,)</f>
        <v>RC-7HMH</v>
      </c>
      <c r="H1959" s="81" t="str">
        <f>_xlfn.XLOOKUP(表格1[[#This Row],[Model]],表格3[Model-Input-Ref2],表格3[Product Line])</f>
        <v>備長炭本厚釜電飯煲0.7L</v>
      </c>
      <c r="I1959" s="81" t="str">
        <f>_xlfn.XLOOKUP(表格1[[#This Row],[Model]],表格3[Model-Input-Ref2],表格3[大小電])</f>
        <v>細電</v>
      </c>
      <c r="J1959" s="81" t="str">
        <f>_xlfn.XLOOKUP(表格1[[#This Row],[Model]],表格3[Model-Input-Ref2],表格3[Code])</f>
        <v>SDA</v>
      </c>
      <c r="K1959" s="89" t="s">
        <v>1284</v>
      </c>
      <c r="L1959" s="86">
        <v>1</v>
      </c>
      <c r="M1959" s="87">
        <v>780</v>
      </c>
      <c r="N1959" s="85">
        <f>IFERROR(表格1[[#This Row],[QTY]]*表格1[[#This Row],[Unit Price]],"-")</f>
        <v>780</v>
      </c>
      <c r="O1959" s="86">
        <v>1111979</v>
      </c>
      <c r="R1959" s="86" t="str">
        <f>_xlfn.CONCAT(表格1[[#This Row],[Model]]," ",表格1[[#This Row],[inv no]])</f>
        <v>RC-7HMH 1111979</v>
      </c>
      <c r="S1959" s="86">
        <f>_xlfn.XLOOKUP(表格1[[#This Row],[Model]],表格3[Model-Input-Ref2],表格3[SRP PRICE])</f>
        <v>1288</v>
      </c>
      <c r="T1959" s="43">
        <f>表格1[[#This Row],[Unit Price]]/表格1[[#This Row],[SRP]]</f>
        <v>0.60559006211180122</v>
      </c>
      <c r="U1959" s="86" t="str">
        <f>_xlfn.XLOOKUP(表格1[[#This Row],[Model]],表格3[Model-Input-Ref2],表格3[TOSHIBA/HIGHEST])</f>
        <v>Toshiba SRP</v>
      </c>
      <c r="V1959" s="86">
        <v>1111</v>
      </c>
      <c r="W1959" s="86" t="str">
        <f>_xlfn.CONCAT(表格1[[#This Row],[欄4]],表格1[[#This Row],[inv no]])</f>
        <v>11111111979</v>
      </c>
    </row>
    <row r="1960" spans="1:23" hidden="1">
      <c r="A1960" s="81">
        <v>1958</v>
      </c>
      <c r="B1960" s="81" t="s">
        <v>1470</v>
      </c>
      <c r="C1960" s="81" t="s">
        <v>1766</v>
      </c>
      <c r="D1960" s="82" t="str">
        <f ca="1">OFFSET(Roster!$A$3,MATCH(表格1[[#This Row],[Location]]&amp;" "&amp;表格1[[#This Row],[Shop]]&amp;"*",Roster!$A$4:$A$72,0),DAY(表格1[[#This Row],[date]]),1,1)</f>
        <v>Leo</v>
      </c>
      <c r="E1960" s="81">
        <f>MONTH(表格1[[#This Row],[date]])</f>
        <v>3</v>
      </c>
      <c r="F1960" s="90">
        <v>46110</v>
      </c>
      <c r="G1960" s="81" t="str">
        <f>VLOOKUP("*"&amp;表格1[[#This Row],[Input]]&amp;"*",'Ref-List'!$B:$D,2,)</f>
        <v>GR-A28HSZ(DS)</v>
      </c>
      <c r="H1960" s="81" t="str">
        <f>_xlfn.XLOOKUP(表格1[[#This Row],[Model]],表格3[Model-Input-Ref2],表格3[Product Line])</f>
        <v>雙門變頻式環保雪櫃231L</v>
      </c>
      <c r="I1960" s="81" t="str">
        <f>_xlfn.XLOOKUP(表格1[[#This Row],[Model]],表格3[Model-Input-Ref2],表格3[大小電])</f>
        <v>大電</v>
      </c>
      <c r="J1960" s="81" t="str">
        <f>_xlfn.XLOOKUP(表格1[[#This Row],[Model]],表格3[Model-Input-Ref2],表格3[Code])</f>
        <v>REF</v>
      </c>
      <c r="K1960" s="89" t="s">
        <v>1578</v>
      </c>
      <c r="L1960" s="86">
        <v>1</v>
      </c>
      <c r="M1960" s="87">
        <v>2380</v>
      </c>
      <c r="N1960" s="85">
        <f>IFERROR(表格1[[#This Row],[QTY]]*表格1[[#This Row],[Unit Price]],"-")</f>
        <v>2380</v>
      </c>
      <c r="O1960" s="86">
        <v>1111999</v>
      </c>
      <c r="R1960" s="86" t="str">
        <f>_xlfn.CONCAT(表格1[[#This Row],[Model]]," ",表格1[[#This Row],[inv no]])</f>
        <v>GR-A28HSZ(DS) 1111999</v>
      </c>
      <c r="S1960" s="86">
        <f>_xlfn.XLOOKUP(表格1[[#This Row],[Model]],表格3[Model-Input-Ref2],表格3[SRP PRICE])</f>
        <v>3780</v>
      </c>
      <c r="T1960" s="43">
        <f>表格1[[#This Row],[Unit Price]]/表格1[[#This Row],[SRP]]</f>
        <v>0.62962962962962965</v>
      </c>
      <c r="U1960" s="86" t="str">
        <f>_xlfn.XLOOKUP(表格1[[#This Row],[Model]],表格3[Model-Input-Ref2],表格3[TOSHIBA/HIGHEST])</f>
        <v>Shops Highest Price</v>
      </c>
      <c r="V1960" s="86">
        <v>1111</v>
      </c>
      <c r="W1960" s="86" t="str">
        <f>_xlfn.CONCAT(表格1[[#This Row],[欄4]],表格1[[#This Row],[inv no]])</f>
        <v>11111111999</v>
      </c>
    </row>
    <row r="1961" spans="1:23" hidden="1">
      <c r="A1961" s="81">
        <v>1959</v>
      </c>
      <c r="B1961" s="81" t="s">
        <v>1470</v>
      </c>
      <c r="C1961" s="81" t="s">
        <v>1766</v>
      </c>
      <c r="D1961" s="82" t="str">
        <f ca="1">OFFSET(Roster!$A$3,MATCH(表格1[[#This Row],[Location]]&amp;" "&amp;表格1[[#This Row],[Shop]]&amp;"*",Roster!$A$4:$A$72,0),DAY(表格1[[#This Row],[date]]),1,1)</f>
        <v>Leo</v>
      </c>
      <c r="E1961" s="81">
        <f>MONTH(表格1[[#This Row],[date]])</f>
        <v>3</v>
      </c>
      <c r="F1961" s="90">
        <v>46110</v>
      </c>
      <c r="G1961" s="81" t="str">
        <f>VLOOKUP("*"&amp;表格1[[#This Row],[Input]]&amp;"*",'Ref-List'!$B:$D,2,)</f>
        <v>MM2-EM20PC(WH)</v>
      </c>
      <c r="H1961" s="81" t="str">
        <f>_xlfn.XLOOKUP(表格1[[#This Row],[Model]],表格3[Model-Input-Ref2],表格3[Product Line])</f>
        <v>輕觸式微波爐 (20公升)</v>
      </c>
      <c r="I1961" s="81" t="str">
        <f>_xlfn.XLOOKUP(表格1[[#This Row],[Model]],表格3[Model-Input-Ref2],表格3[大小電])</f>
        <v>細電</v>
      </c>
      <c r="J1961" s="81" t="str">
        <f>_xlfn.XLOOKUP(表格1[[#This Row],[Model]],表格3[Model-Input-Ref2],表格3[Code])</f>
        <v>MCA</v>
      </c>
      <c r="K1961" s="89" t="s">
        <v>1276</v>
      </c>
      <c r="L1961" s="86">
        <v>1</v>
      </c>
      <c r="M1961" s="87">
        <v>568</v>
      </c>
      <c r="N1961" s="85">
        <f>IFERROR(表格1[[#This Row],[QTY]]*表格1[[#This Row],[Unit Price]],"-")</f>
        <v>568</v>
      </c>
      <c r="O1961" s="86">
        <v>1111976</v>
      </c>
      <c r="R1961" s="86" t="str">
        <f>_xlfn.CONCAT(表格1[[#This Row],[Model]]," ",表格1[[#This Row],[inv no]])</f>
        <v>MM2-EM20PC(WH) 1111976</v>
      </c>
      <c r="S1961" s="86">
        <f>_xlfn.XLOOKUP(表格1[[#This Row],[Model]],表格3[Model-Input-Ref2],表格3[SRP PRICE])</f>
        <v>788</v>
      </c>
      <c r="T1961" s="43">
        <f>表格1[[#This Row],[Unit Price]]/表格1[[#This Row],[SRP]]</f>
        <v>0.7208121827411168</v>
      </c>
      <c r="U1961" s="86" t="str">
        <f>_xlfn.XLOOKUP(表格1[[#This Row],[Model]],表格3[Model-Input-Ref2],表格3[TOSHIBA/HIGHEST])</f>
        <v>Toshiba SRP</v>
      </c>
      <c r="V1961" s="86">
        <v>1111</v>
      </c>
      <c r="W1961" s="86" t="str">
        <f>_xlfn.CONCAT(表格1[[#This Row],[欄4]],表格1[[#This Row],[inv no]])</f>
        <v>11111111976</v>
      </c>
    </row>
    <row r="1962" spans="1:23" hidden="1">
      <c r="A1962" s="81">
        <v>1960</v>
      </c>
      <c r="B1962" s="81" t="s">
        <v>1470</v>
      </c>
      <c r="C1962" s="81" t="s">
        <v>1766</v>
      </c>
      <c r="D1962" s="82" t="str">
        <f ca="1">OFFSET(Roster!$A$3,MATCH(表格1[[#This Row],[Location]]&amp;" "&amp;表格1[[#This Row],[Shop]]&amp;"*",Roster!$A$4:$A$72,0),DAY(表格1[[#This Row],[date]]),1,1)</f>
        <v>Leo</v>
      </c>
      <c r="E1962" s="81">
        <f>MONTH(表格1[[#This Row],[date]])</f>
        <v>3</v>
      </c>
      <c r="F1962" s="90">
        <v>46110</v>
      </c>
      <c r="G1962" s="81" t="str">
        <f>VLOOKUP("*"&amp;表格1[[#This Row],[Input]]&amp;"*",'Ref-List'!$B:$D,2,)</f>
        <v>GR-RM598WE-PGA(B3)</v>
      </c>
      <c r="H1962" s="81" t="str">
        <f>_xlfn.XLOOKUP(表格1[[#This Row],[Model]],表格3[Model-Input-Ref2],表格3[Product Line])</f>
        <v>變頻六門雪櫃(451L)</v>
      </c>
      <c r="I1962" s="81" t="str">
        <f>_xlfn.XLOOKUP(表格1[[#This Row],[Model]],表格3[Model-Input-Ref2],表格3[大小電])</f>
        <v>大電</v>
      </c>
      <c r="J1962" s="81" t="str">
        <f>_xlfn.XLOOKUP(表格1[[#This Row],[Model]],表格3[Model-Input-Ref2],表格3[Code])</f>
        <v>REF</v>
      </c>
      <c r="K1962" s="89" t="s">
        <v>1491</v>
      </c>
      <c r="L1962" s="86">
        <v>1</v>
      </c>
      <c r="M1962" s="87">
        <v>9554</v>
      </c>
      <c r="N1962" s="85">
        <f>IFERROR(表格1[[#This Row],[QTY]]*表格1[[#This Row],[Unit Price]],"-")</f>
        <v>9554</v>
      </c>
      <c r="O1962" s="86">
        <v>1112004</v>
      </c>
      <c r="R1962" s="86" t="str">
        <f>_xlfn.CONCAT(表格1[[#This Row],[Model]]," ",表格1[[#This Row],[inv no]])</f>
        <v>GR-RM598WE-PGA(B3) 1112004</v>
      </c>
      <c r="S1962" s="86">
        <f>_xlfn.XLOOKUP(表格1[[#This Row],[Model]],表格3[Model-Input-Ref2],表格3[SRP PRICE])</f>
        <v>14980</v>
      </c>
      <c r="T1962" s="43">
        <f>表格1[[#This Row],[Unit Price]]/表格1[[#This Row],[SRP]]</f>
        <v>0.6377837116154873</v>
      </c>
      <c r="U1962" s="86" t="str">
        <f>_xlfn.XLOOKUP(表格1[[#This Row],[Model]],表格3[Model-Input-Ref2],表格3[TOSHIBA/HIGHEST])</f>
        <v>Toshiba SRP</v>
      </c>
      <c r="V1962" s="86">
        <v>1111</v>
      </c>
      <c r="W1962" s="86" t="str">
        <f>_xlfn.CONCAT(表格1[[#This Row],[欄4]],表格1[[#This Row],[inv no]])</f>
        <v>11111112004</v>
      </c>
    </row>
    <row r="1963" spans="1:23" hidden="1">
      <c r="A1963" s="81">
        <v>1961</v>
      </c>
      <c r="B1963" s="81" t="s">
        <v>1470</v>
      </c>
      <c r="C1963" s="81" t="s">
        <v>1766</v>
      </c>
      <c r="D1963" s="82" t="str">
        <f ca="1">OFFSET(Roster!$A$3,MATCH(表格1[[#This Row],[Location]]&amp;" "&amp;表格1[[#This Row],[Shop]]&amp;"*",Roster!$A$4:$A$72,0),DAY(表格1[[#This Row],[date]]),1,1)</f>
        <v>Leo</v>
      </c>
      <c r="E1963" s="81">
        <f>MONTH(表格1[[#This Row],[date]])</f>
        <v>3</v>
      </c>
      <c r="F1963" s="90">
        <v>46110</v>
      </c>
      <c r="G1963" s="81" t="str">
        <f>VLOOKUP("*"&amp;表格1[[#This Row],[Input]]&amp;"*",'Ref-List'!$B:$D,2,)</f>
        <v>GR-RM352WI-PMA(53)</v>
      </c>
      <c r="H1963" s="81" t="str">
        <f>_xlfn.XLOOKUP(表格1[[#This Row],[Model]],表格3[Model-Input-Ref2],表格3[Product Line])</f>
        <v>變頻三門雪櫃 (233L)</v>
      </c>
      <c r="I1963" s="81" t="str">
        <f>_xlfn.XLOOKUP(表格1[[#This Row],[Model]],表格3[Model-Input-Ref2],表格3[大小電])</f>
        <v>大電</v>
      </c>
      <c r="J1963" s="81" t="str">
        <f>_xlfn.XLOOKUP(表格1[[#This Row],[Model]],表格3[Model-Input-Ref2],表格3[Code])</f>
        <v>REF</v>
      </c>
      <c r="K1963" s="89" t="s">
        <v>1495</v>
      </c>
      <c r="L1963" s="86">
        <v>1</v>
      </c>
      <c r="M1963" s="87">
        <v>3470</v>
      </c>
      <c r="N1963" s="85">
        <f>IFERROR(表格1[[#This Row],[QTY]]*表格1[[#This Row],[Unit Price]],"-")</f>
        <v>3470</v>
      </c>
      <c r="O1963" s="86">
        <v>1112011</v>
      </c>
      <c r="R1963" s="86" t="str">
        <f>_xlfn.CONCAT(表格1[[#This Row],[Model]]," ",表格1[[#This Row],[inv no]])</f>
        <v>GR-RM352WI-PMA(53) 1112011</v>
      </c>
      <c r="S1963" s="86">
        <f>_xlfn.XLOOKUP(表格1[[#This Row],[Model]],表格3[Model-Input-Ref2],表格3[SRP PRICE])</f>
        <v>5580</v>
      </c>
      <c r="T1963" s="43">
        <f>表格1[[#This Row],[Unit Price]]/表格1[[#This Row],[SRP]]</f>
        <v>0.62186379928315416</v>
      </c>
      <c r="U1963" s="86" t="str">
        <f>_xlfn.XLOOKUP(表格1[[#This Row],[Model]],表格3[Model-Input-Ref2],表格3[TOSHIBA/HIGHEST])</f>
        <v>Toshiba SRP</v>
      </c>
      <c r="V1963" s="86">
        <v>1111</v>
      </c>
      <c r="W1963" s="86" t="str">
        <f>_xlfn.CONCAT(表格1[[#This Row],[欄4]],表格1[[#This Row],[inv no]])</f>
        <v>11111112011</v>
      </c>
    </row>
    <row r="1964" spans="1:23" hidden="1">
      <c r="A1964" s="81">
        <v>1962</v>
      </c>
      <c r="B1964" s="81" t="s">
        <v>1470</v>
      </c>
      <c r="C1964" s="81" t="s">
        <v>1766</v>
      </c>
      <c r="D1964" s="82" t="str">
        <f ca="1">OFFSET(Roster!$A$3,MATCH(表格1[[#This Row],[Location]]&amp;" "&amp;表格1[[#This Row],[Shop]]&amp;"*",Roster!$A$4:$A$72,0),DAY(表格1[[#This Row],[date]]),1,1)</f>
        <v>Leo</v>
      </c>
      <c r="E1964" s="81">
        <f>MONTH(表格1[[#This Row],[date]])</f>
        <v>3</v>
      </c>
      <c r="F1964" s="90">
        <v>46110</v>
      </c>
      <c r="G1964" s="81" t="str">
        <f>VLOOKUP("*"&amp;表格1[[#This Row],[Input]]&amp;"*",'Ref-List'!$B:$D,2,)</f>
        <v>GR-A28HSZ(DS)</v>
      </c>
      <c r="H1964" s="81" t="str">
        <f>_xlfn.XLOOKUP(表格1[[#This Row],[Model]],表格3[Model-Input-Ref2],表格3[Product Line])</f>
        <v>雙門變頻式環保雪櫃231L</v>
      </c>
      <c r="I1964" s="81" t="str">
        <f>_xlfn.XLOOKUP(表格1[[#This Row],[Model]],表格3[Model-Input-Ref2],表格3[大小電])</f>
        <v>大電</v>
      </c>
      <c r="J1964" s="81" t="str">
        <f>_xlfn.XLOOKUP(表格1[[#This Row],[Model]],表格3[Model-Input-Ref2],表格3[Code])</f>
        <v>REF</v>
      </c>
      <c r="K1964" s="89" t="s">
        <v>1578</v>
      </c>
      <c r="L1964" s="86">
        <v>1</v>
      </c>
      <c r="M1964" s="87">
        <v>2380</v>
      </c>
      <c r="N1964" s="85">
        <f>IFERROR(表格1[[#This Row],[QTY]]*表格1[[#This Row],[Unit Price]],"-")</f>
        <v>2380</v>
      </c>
      <c r="O1964" s="86">
        <v>1111987</v>
      </c>
      <c r="R1964" s="86" t="str">
        <f>_xlfn.CONCAT(表格1[[#This Row],[Model]]," ",表格1[[#This Row],[inv no]])</f>
        <v>GR-A28HSZ(DS) 1111987</v>
      </c>
      <c r="S1964" s="86">
        <f>_xlfn.XLOOKUP(表格1[[#This Row],[Model]],表格3[Model-Input-Ref2],表格3[SRP PRICE])</f>
        <v>3780</v>
      </c>
      <c r="T1964" s="43">
        <f>表格1[[#This Row],[Unit Price]]/表格1[[#This Row],[SRP]]</f>
        <v>0.62962962962962965</v>
      </c>
      <c r="U1964" s="86" t="str">
        <f>_xlfn.XLOOKUP(表格1[[#This Row],[Model]],表格3[Model-Input-Ref2],表格3[TOSHIBA/HIGHEST])</f>
        <v>Shops Highest Price</v>
      </c>
      <c r="V1964" s="86">
        <v>1111</v>
      </c>
      <c r="W1964" s="86" t="str">
        <f>_xlfn.CONCAT(表格1[[#This Row],[欄4]],表格1[[#This Row],[inv no]])</f>
        <v>11111111987</v>
      </c>
    </row>
    <row r="1965" spans="1:23" hidden="1">
      <c r="A1965" s="81">
        <v>1963</v>
      </c>
      <c r="B1965" s="81" t="s">
        <v>1470</v>
      </c>
      <c r="C1965" s="81" t="s">
        <v>1766</v>
      </c>
      <c r="D1965" s="82" t="str">
        <f ca="1">OFFSET(Roster!$A$3,MATCH(表格1[[#This Row],[Location]]&amp;" "&amp;表格1[[#This Row],[Shop]]&amp;"*",Roster!$A$4:$A$72,0),DAY(表格1[[#This Row],[date]]),1,1)</f>
        <v>Leo</v>
      </c>
      <c r="E1965" s="81">
        <f>MONTH(表格1[[#This Row],[date]])</f>
        <v>3</v>
      </c>
      <c r="F1965" s="90">
        <v>46110</v>
      </c>
      <c r="G1965" s="81" t="str">
        <f>VLOOKUP("*"&amp;表格1[[#This Row],[Input]]&amp;"*",'Ref-List'!$B:$D,2,)</f>
        <v>F-LYA20(W)HKG</v>
      </c>
      <c r="H1965" s="81" t="str">
        <f>_xlfn.XLOOKUP(表格1[[#This Row],[Model]],表格3[Model-Input-Ref2],表格3[Product Line])</f>
        <v>12吋2合1座地座檯電風扇連遙控</v>
      </c>
      <c r="I1965" s="81" t="str">
        <f>_xlfn.XLOOKUP(表格1[[#This Row],[Model]],表格3[Model-Input-Ref2],表格3[大小電])</f>
        <v>細電</v>
      </c>
      <c r="J1965" s="81" t="str">
        <f>_xlfn.XLOOKUP(表格1[[#This Row],[Model]],表格3[Model-Input-Ref2],表格3[Code])</f>
        <v>EAD</v>
      </c>
      <c r="K1965" s="89" t="s">
        <v>1391</v>
      </c>
      <c r="L1965" s="86">
        <v>1</v>
      </c>
      <c r="M1965" s="87">
        <v>398</v>
      </c>
      <c r="N1965" s="85">
        <f>IFERROR(表格1[[#This Row],[QTY]]*表格1[[#This Row],[Unit Price]],"-")</f>
        <v>398</v>
      </c>
      <c r="O1965" s="86">
        <v>1111960</v>
      </c>
      <c r="R1965" s="86" t="str">
        <f>_xlfn.CONCAT(表格1[[#This Row],[Model]]," ",表格1[[#This Row],[inv no]])</f>
        <v>F-LYA20(W)HKG 1111960</v>
      </c>
      <c r="S1965" s="86">
        <f>_xlfn.XLOOKUP(表格1[[#This Row],[Model]],表格3[Model-Input-Ref2],表格3[SRP PRICE])</f>
        <v>988</v>
      </c>
      <c r="T1965" s="43">
        <f>表格1[[#This Row],[Unit Price]]/表格1[[#This Row],[SRP]]</f>
        <v>0.40283400809716602</v>
      </c>
      <c r="U1965" s="86" t="str">
        <f>_xlfn.XLOOKUP(表格1[[#This Row],[Model]],表格3[Model-Input-Ref2],表格3[TOSHIBA/HIGHEST])</f>
        <v>Toshiba SRP</v>
      </c>
      <c r="V1965" s="86">
        <v>1111</v>
      </c>
      <c r="W1965" s="86" t="str">
        <f>_xlfn.CONCAT(表格1[[#This Row],[欄4]],表格1[[#This Row],[inv no]])</f>
        <v>11111111960</v>
      </c>
    </row>
    <row r="1966" spans="1:23" hidden="1">
      <c r="A1966" s="81">
        <v>1964</v>
      </c>
      <c r="B1966" s="81" t="s">
        <v>1470</v>
      </c>
      <c r="C1966" s="81" t="s">
        <v>1766</v>
      </c>
      <c r="D1966" s="82" t="str">
        <f ca="1">OFFSET(Roster!$A$3,MATCH(表格1[[#This Row],[Location]]&amp;" "&amp;表格1[[#This Row],[Shop]]&amp;"*",Roster!$A$4:$A$72,0),DAY(表格1[[#This Row],[date]]),1,1)</f>
        <v>Leo</v>
      </c>
      <c r="E1966" s="81">
        <f>MONTH(表格1[[#This Row],[date]])</f>
        <v>3</v>
      </c>
      <c r="F1966" s="90">
        <v>46111</v>
      </c>
      <c r="G1966" s="81" t="str">
        <f>VLOOKUP("*"&amp;表格1[[#This Row],[Input]]&amp;"*",'Ref-List'!$B:$D,2,)</f>
        <v>GR-RB360WE-PMA(06)</v>
      </c>
      <c r="H1966" s="81" t="str">
        <f>_xlfn.XLOOKUP(表格1[[#This Row],[Model]],表格3[Model-Input-Ref2],表格3[Product Line])</f>
        <v>變頻下置式雙門雪櫃系列270L</v>
      </c>
      <c r="I1966" s="81" t="str">
        <f>_xlfn.XLOOKUP(表格1[[#This Row],[Model]],表格3[Model-Input-Ref2],表格3[大小電])</f>
        <v>大電</v>
      </c>
      <c r="J1966" s="81" t="str">
        <f>_xlfn.XLOOKUP(表格1[[#This Row],[Model]],表格3[Model-Input-Ref2],表格3[Code])</f>
        <v>REF</v>
      </c>
      <c r="K1966" s="89" t="s">
        <v>1282</v>
      </c>
      <c r="L1966" s="86">
        <v>1</v>
      </c>
      <c r="M1966" s="87">
        <v>3680</v>
      </c>
      <c r="N1966" s="85">
        <f>IFERROR(表格1[[#This Row],[QTY]]*表格1[[#This Row],[Unit Price]],"-")</f>
        <v>3680</v>
      </c>
      <c r="O1966" s="86">
        <v>1112052</v>
      </c>
      <c r="R1966" s="86" t="str">
        <f>_xlfn.CONCAT(表格1[[#This Row],[Model]]," ",表格1[[#This Row],[inv no]])</f>
        <v>GR-RB360WE-PMA(06) 1112052</v>
      </c>
      <c r="S1966" s="86">
        <f>_xlfn.XLOOKUP(表格1[[#This Row],[Model]],表格3[Model-Input-Ref2],表格3[SRP PRICE])</f>
        <v>5080</v>
      </c>
      <c r="T1966" s="43">
        <f>表格1[[#This Row],[Unit Price]]/表格1[[#This Row],[SRP]]</f>
        <v>0.72440944881889768</v>
      </c>
      <c r="U1966" s="86" t="str">
        <f>_xlfn.XLOOKUP(表格1[[#This Row],[Model]],表格3[Model-Input-Ref2],表格3[TOSHIBA/HIGHEST])</f>
        <v>Toshiba SRP</v>
      </c>
      <c r="V1966" s="86">
        <v>1111</v>
      </c>
      <c r="W1966" s="86" t="str">
        <f>_xlfn.CONCAT(表格1[[#This Row],[欄4]],表格1[[#This Row],[inv no]])</f>
        <v>11111112052</v>
      </c>
    </row>
    <row r="1967" spans="1:23" hidden="1">
      <c r="A1967" s="81">
        <v>1965</v>
      </c>
      <c r="B1967" s="81" t="s">
        <v>1470</v>
      </c>
      <c r="C1967" s="81" t="s">
        <v>1766</v>
      </c>
      <c r="D1967" s="82" t="str">
        <f ca="1">OFFSET(Roster!$A$3,MATCH(表格1[[#This Row],[Location]]&amp;" "&amp;表格1[[#This Row],[Shop]]&amp;"*",Roster!$A$4:$A$72,0),DAY(表格1[[#This Row],[date]]),1,1)</f>
        <v>Leo</v>
      </c>
      <c r="E1967" s="81">
        <f>MONTH(表格1[[#This Row],[date]])</f>
        <v>3</v>
      </c>
      <c r="F1967" s="90">
        <v>46111</v>
      </c>
      <c r="G1967" s="81" t="str">
        <f>VLOOKUP("*"&amp;表格1[[#This Row],[Input]]&amp;"*",'Ref-List'!$B:$D,2,)</f>
        <v>RC-5SLIH(W)</v>
      </c>
      <c r="H1967" s="81" t="str">
        <f>_xlfn.XLOOKUP(表格1[[#This Row],[Model]],表格3[Model-Input-Ref2],表格3[Product Line])</f>
        <v>微型電腦珍珠飯煲</v>
      </c>
      <c r="I1967" s="81" t="str">
        <f>_xlfn.XLOOKUP(表格1[[#This Row],[Model]],表格3[Model-Input-Ref2],表格3[大小電])</f>
        <v>細電</v>
      </c>
      <c r="J1967" s="81" t="str">
        <f>_xlfn.XLOOKUP(表格1[[#This Row],[Model]],表格3[Model-Input-Ref2],表格3[Code])</f>
        <v>SDA</v>
      </c>
      <c r="K1967" s="89" t="s">
        <v>1264</v>
      </c>
      <c r="L1967" s="86">
        <v>1</v>
      </c>
      <c r="M1967" s="87">
        <v>538</v>
      </c>
      <c r="N1967" s="85">
        <f>IFERROR(表格1[[#This Row],[QTY]]*表格1[[#This Row],[Unit Price]],"-")</f>
        <v>538</v>
      </c>
      <c r="O1967" s="86">
        <v>1112053</v>
      </c>
      <c r="R1967" s="86" t="str">
        <f>_xlfn.CONCAT(表格1[[#This Row],[Model]]," ",表格1[[#This Row],[inv no]])</f>
        <v>RC-5SLIH(W) 1112053</v>
      </c>
      <c r="S1967" s="86">
        <f>_xlfn.XLOOKUP(表格1[[#This Row],[Model]],表格3[Model-Input-Ref2],表格3[SRP PRICE])</f>
        <v>658</v>
      </c>
      <c r="T1967" s="43">
        <f>表格1[[#This Row],[Unit Price]]/表格1[[#This Row],[SRP]]</f>
        <v>0.81762917933130697</v>
      </c>
      <c r="U1967" s="86" t="str">
        <f>_xlfn.XLOOKUP(表格1[[#This Row],[Model]],表格3[Model-Input-Ref2],表格3[TOSHIBA/HIGHEST])</f>
        <v>Toshiba SRP</v>
      </c>
      <c r="V1967" s="86">
        <v>1111</v>
      </c>
      <c r="W1967" s="86" t="str">
        <f>_xlfn.CONCAT(表格1[[#This Row],[欄4]],表格1[[#This Row],[inv no]])</f>
        <v>11111112053</v>
      </c>
    </row>
    <row r="1968" spans="1:23" hidden="1">
      <c r="A1968" s="81">
        <v>1966</v>
      </c>
      <c r="B1968" s="81" t="s">
        <v>1470</v>
      </c>
      <c r="C1968" s="81" t="s">
        <v>1766</v>
      </c>
      <c r="D1968" s="82" t="str">
        <f ca="1">OFFSET(Roster!$A$3,MATCH(表格1[[#This Row],[Location]]&amp;" "&amp;表格1[[#This Row],[Shop]]&amp;"*",Roster!$A$4:$A$72,0),DAY(表格1[[#This Row],[date]]),1,1)</f>
        <v>Leo</v>
      </c>
      <c r="E1968" s="81">
        <f>MONTH(表格1[[#This Row],[date]])</f>
        <v>3</v>
      </c>
      <c r="F1968" s="90">
        <v>46111</v>
      </c>
      <c r="G1968" s="81" t="str">
        <f>VLOOKUP("*"&amp;表格1[[#This Row],[Input]]&amp;"*",'Ref-List'!$B:$D,2,)</f>
        <v>AW-Q801APH(WW)</v>
      </c>
      <c r="H1968" s="81" t="str">
        <f>_xlfn.XLOOKUP(表格1[[#This Row],[Model]],表格3[Model-Input-Ref2],表格3[Product Line])</f>
        <v>日式洗衣機 (7公斤 結合高低水位)</v>
      </c>
      <c r="I1968" s="81" t="str">
        <f>_xlfn.XLOOKUP(表格1[[#This Row],[Model]],表格3[Model-Input-Ref2],表格3[大小電])</f>
        <v>大電</v>
      </c>
      <c r="J1968" s="81" t="str">
        <f>_xlfn.XLOOKUP(表格1[[#This Row],[Model]],表格3[Model-Input-Ref2],表格3[Code])</f>
        <v>LAD</v>
      </c>
      <c r="K1968" s="89" t="s">
        <v>1420</v>
      </c>
      <c r="L1968" s="86">
        <v>1</v>
      </c>
      <c r="M1968" s="87">
        <v>1880</v>
      </c>
      <c r="N1968" s="85">
        <f>IFERROR(表格1[[#This Row],[QTY]]*表格1[[#This Row],[Unit Price]],"-")</f>
        <v>1880</v>
      </c>
      <c r="O1968" s="86">
        <v>1112032</v>
      </c>
      <c r="R1968" s="86" t="str">
        <f>_xlfn.CONCAT(表格1[[#This Row],[Model]]," ",表格1[[#This Row],[inv no]])</f>
        <v>AW-Q801APH(WW) 1112032</v>
      </c>
      <c r="S1968" s="86">
        <f>_xlfn.XLOOKUP(表格1[[#This Row],[Model]],表格3[Model-Input-Ref2],表格3[SRP PRICE])</f>
        <v>3380</v>
      </c>
      <c r="T1968" s="43">
        <f>表格1[[#This Row],[Unit Price]]/表格1[[#This Row],[SRP]]</f>
        <v>0.55621301775147924</v>
      </c>
      <c r="U1968" s="86" t="str">
        <f>_xlfn.XLOOKUP(表格1[[#This Row],[Model]],表格3[Model-Input-Ref2],表格3[TOSHIBA/HIGHEST])</f>
        <v>Toshiba SRP</v>
      </c>
      <c r="V1968" s="86">
        <v>1111</v>
      </c>
      <c r="W1968" s="86" t="str">
        <f>_xlfn.CONCAT(表格1[[#This Row],[欄4]],表格1[[#This Row],[inv no]])</f>
        <v>11111112032</v>
      </c>
    </row>
    <row r="1969" spans="1:23" hidden="1">
      <c r="A1969" s="81">
        <v>1967</v>
      </c>
      <c r="B1969" s="81" t="s">
        <v>1470</v>
      </c>
      <c r="C1969" s="81" t="s">
        <v>1766</v>
      </c>
      <c r="D1969" s="82" t="str">
        <f ca="1">OFFSET(Roster!$A$3,MATCH(表格1[[#This Row],[Location]]&amp;" "&amp;表格1[[#This Row],[Shop]]&amp;"*",Roster!$A$4:$A$72,0),DAY(表格1[[#This Row],[date]]),1,1)</f>
        <v>Leo</v>
      </c>
      <c r="E1969" s="81">
        <f>MONTH(表格1[[#This Row],[date]])</f>
        <v>3</v>
      </c>
      <c r="F1969" s="90">
        <v>46111</v>
      </c>
      <c r="G1969" s="81" t="str">
        <f>VLOOKUP("*"&amp;表格1[[#This Row],[Input]]&amp;"*",'Ref-List'!$B:$D,2,)</f>
        <v>F-LYA20(W)HKG</v>
      </c>
      <c r="H1969" s="81" t="str">
        <f>_xlfn.XLOOKUP(表格1[[#This Row],[Model]],表格3[Model-Input-Ref2],表格3[Product Line])</f>
        <v>12吋2合1座地座檯電風扇連遙控</v>
      </c>
      <c r="I1969" s="81" t="str">
        <f>_xlfn.XLOOKUP(表格1[[#This Row],[Model]],表格3[Model-Input-Ref2],表格3[大小電])</f>
        <v>細電</v>
      </c>
      <c r="J1969" s="81" t="str">
        <f>_xlfn.XLOOKUP(表格1[[#This Row],[Model]],表格3[Model-Input-Ref2],表格3[Code])</f>
        <v>EAD</v>
      </c>
      <c r="K1969" s="89" t="s">
        <v>1391</v>
      </c>
      <c r="L1969" s="86">
        <v>1</v>
      </c>
      <c r="M1969" s="87">
        <v>398</v>
      </c>
      <c r="N1969" s="85">
        <f>IFERROR(表格1[[#This Row],[QTY]]*表格1[[#This Row],[Unit Price]],"-")</f>
        <v>398</v>
      </c>
      <c r="O1969" s="86">
        <v>1112059</v>
      </c>
      <c r="R1969" s="86" t="str">
        <f>_xlfn.CONCAT(表格1[[#This Row],[Model]]," ",表格1[[#This Row],[inv no]])</f>
        <v>F-LYA20(W)HKG 1112059</v>
      </c>
      <c r="S1969" s="86">
        <f>_xlfn.XLOOKUP(表格1[[#This Row],[Model]],表格3[Model-Input-Ref2],表格3[SRP PRICE])</f>
        <v>988</v>
      </c>
      <c r="T1969" s="43">
        <f>表格1[[#This Row],[Unit Price]]/表格1[[#This Row],[SRP]]</f>
        <v>0.40283400809716602</v>
      </c>
      <c r="U1969" s="86" t="str">
        <f>_xlfn.XLOOKUP(表格1[[#This Row],[Model]],表格3[Model-Input-Ref2],表格3[TOSHIBA/HIGHEST])</f>
        <v>Toshiba SRP</v>
      </c>
      <c r="V1969" s="86">
        <v>1111</v>
      </c>
      <c r="W1969" s="86" t="str">
        <f>_xlfn.CONCAT(表格1[[#This Row],[欄4]],表格1[[#This Row],[inv no]])</f>
        <v>11111112059</v>
      </c>
    </row>
    <row r="1970" spans="1:23" hidden="1">
      <c r="A1970" s="81">
        <v>1968</v>
      </c>
      <c r="B1970" s="81" t="s">
        <v>1470</v>
      </c>
      <c r="C1970" s="81" t="s">
        <v>1766</v>
      </c>
      <c r="D1970" s="82" t="str">
        <f ca="1">OFFSET(Roster!$A$3,MATCH(表格1[[#This Row],[Location]]&amp;" "&amp;表格1[[#This Row],[Shop]]&amp;"*",Roster!$A$4:$A$72,0),DAY(表格1[[#This Row],[date]]),1,1)</f>
        <v>Leo</v>
      </c>
      <c r="E1970" s="81">
        <f>MONTH(表格1[[#This Row],[date]])</f>
        <v>3</v>
      </c>
      <c r="F1970" s="90">
        <v>46111</v>
      </c>
      <c r="G1970" s="81" t="str">
        <f>VLOOKUP("*"&amp;表格1[[#This Row],[Input]]&amp;"*",'Ref-List'!$B:$D,2,)</f>
        <v>TW-T22BU95UWH(WK)-B</v>
      </c>
      <c r="H1970" s="81" t="str">
        <f>_xlfn.XLOOKUP(表格1[[#This Row],[Model]],表格3[Model-Input-Ref2],表格3[Product Line])</f>
        <v>470MM超薄身前置式變頻洗衣機(8.5公斤, 可飛頂)</v>
      </c>
      <c r="I1970" s="81" t="str">
        <f>_xlfn.XLOOKUP(表格1[[#This Row],[Model]],表格3[Model-Input-Ref2],表格3[大小電])</f>
        <v>大電</v>
      </c>
      <c r="J1970" s="81" t="str">
        <f>_xlfn.XLOOKUP(表格1[[#This Row],[Model]],表格3[Model-Input-Ref2],表格3[Code])</f>
        <v>LAD</v>
      </c>
      <c r="K1970" s="89" t="s">
        <v>969</v>
      </c>
      <c r="L1970" s="86">
        <v>1</v>
      </c>
      <c r="M1970" s="87">
        <v>4580</v>
      </c>
      <c r="N1970" s="85">
        <f>IFERROR(表格1[[#This Row],[QTY]]*表格1[[#This Row],[Unit Price]],"-")</f>
        <v>4580</v>
      </c>
      <c r="O1970" s="86">
        <v>1112046</v>
      </c>
      <c r="R1970" s="86" t="str">
        <f>_xlfn.CONCAT(表格1[[#This Row],[Model]]," ",表格1[[#This Row],[inv no]])</f>
        <v>TW-T22BU95UWH(WK)-B 1112046</v>
      </c>
      <c r="S1970" s="86">
        <f>_xlfn.XLOOKUP(表格1[[#This Row],[Model]],表格3[Model-Input-Ref2],表格3[SRP PRICE])</f>
        <v>5880</v>
      </c>
      <c r="T1970" s="43">
        <f>表格1[[#This Row],[Unit Price]]/表格1[[#This Row],[SRP]]</f>
        <v>0.77891156462585032</v>
      </c>
      <c r="U1970" s="86" t="str">
        <f>_xlfn.XLOOKUP(表格1[[#This Row],[Model]],表格3[Model-Input-Ref2],表格3[TOSHIBA/HIGHEST])</f>
        <v>Toshiba SRP</v>
      </c>
      <c r="V1970" s="86">
        <v>1111</v>
      </c>
      <c r="W1970" s="86" t="str">
        <f>_xlfn.CONCAT(表格1[[#This Row],[欄4]],表格1[[#This Row],[inv no]])</f>
        <v>11111112046</v>
      </c>
    </row>
    <row r="1971" spans="1:23" ht="16.5" hidden="1">
      <c r="A1971" s="81">
        <v>1969</v>
      </c>
      <c r="B1971" s="81" t="s">
        <v>1470</v>
      </c>
      <c r="C1971" s="81" t="s">
        <v>1766</v>
      </c>
      <c r="D1971" s="82" t="str">
        <f ca="1">OFFSET(Roster!$A$3,MATCH(表格1[[#This Row],[Location]]&amp;" "&amp;表格1[[#This Row],[Shop]]&amp;"*",Roster!$A$4:$A$72,0),DAY(表格1[[#This Row],[date]]),1,1)</f>
        <v>Leo</v>
      </c>
      <c r="E1971" s="81">
        <f>MONTH(表格1[[#This Row],[date]])</f>
        <v>3</v>
      </c>
      <c r="F1971" s="90">
        <v>46112</v>
      </c>
      <c r="G1971" s="81" t="str">
        <f>VLOOKUP("*"&amp;表格1[[#This Row],[Input]]&amp;"*",'Ref-List'!$B:$D,2,)</f>
        <v>MM2-EM20PC(WH)</v>
      </c>
      <c r="H1971" s="81" t="str">
        <f>_xlfn.XLOOKUP(表格1[[#This Row],[Model]],表格3[Model-Input-Ref2],表格3[Product Line])</f>
        <v>輕觸式微波爐 (20公升)</v>
      </c>
      <c r="I1971" s="81" t="str">
        <f>_xlfn.XLOOKUP(表格1[[#This Row],[Model]],表格3[Model-Input-Ref2],表格3[大小電])</f>
        <v>細電</v>
      </c>
      <c r="J1971" s="81" t="str">
        <f>_xlfn.XLOOKUP(表格1[[#This Row],[Model]],表格3[Model-Input-Ref2],表格3[Code])</f>
        <v>MCA</v>
      </c>
      <c r="K1971" s="89" t="s">
        <v>1276</v>
      </c>
      <c r="L1971" s="86">
        <v>1</v>
      </c>
      <c r="M1971" s="87">
        <v>568</v>
      </c>
      <c r="N1971" s="85">
        <f>IFERROR(表格1[[#This Row],[QTY]]*表格1[[#This Row],[Unit Price]],"-")</f>
        <v>568</v>
      </c>
      <c r="O1971" s="86">
        <v>1112078</v>
      </c>
      <c r="P1971" s="141"/>
      <c r="R1971" s="86" t="str">
        <f>_xlfn.CONCAT(表格1[[#This Row],[Model]]," ",表格1[[#This Row],[inv no]])</f>
        <v>MM2-EM20PC(WH) 1112078</v>
      </c>
      <c r="S1971" s="86">
        <f>_xlfn.XLOOKUP(表格1[[#This Row],[Model]],表格3[Model-Input-Ref2],表格3[SRP PRICE])</f>
        <v>788</v>
      </c>
      <c r="T1971" s="43">
        <f>表格1[[#This Row],[Unit Price]]/表格1[[#This Row],[SRP]]</f>
        <v>0.7208121827411168</v>
      </c>
      <c r="U1971" s="86" t="str">
        <f>_xlfn.XLOOKUP(表格1[[#This Row],[Model]],表格3[Model-Input-Ref2],表格3[TOSHIBA/HIGHEST])</f>
        <v>Toshiba SRP</v>
      </c>
      <c r="V1971" s="86">
        <v>1111</v>
      </c>
      <c r="W1971" s="86" t="str">
        <f>_xlfn.CONCAT(表格1[[#This Row],[欄4]],表格1[[#This Row],[inv no]])</f>
        <v>11111112078</v>
      </c>
    </row>
    <row r="1972" spans="1:23" hidden="1">
      <c r="A1972" s="81">
        <v>1970</v>
      </c>
      <c r="B1972" s="81" t="s">
        <v>1470</v>
      </c>
      <c r="C1972" s="81" t="s">
        <v>1766</v>
      </c>
      <c r="D1972" s="82" t="str">
        <f ca="1">OFFSET(Roster!$A$3,MATCH(表格1[[#This Row],[Location]]&amp;" "&amp;表格1[[#This Row],[Shop]]&amp;"*",Roster!$A$4:$A$72,0),DAY(表格1[[#This Row],[date]]),1,1)</f>
        <v>Leo</v>
      </c>
      <c r="E1972" s="81">
        <f>MONTH(表格1[[#This Row],[date]])</f>
        <v>3</v>
      </c>
      <c r="F1972" s="90">
        <v>46112</v>
      </c>
      <c r="G1972" s="81" t="str">
        <f>VLOOKUP("*"&amp;表格1[[#This Row],[Input]]&amp;"*",'Ref-List'!$B:$D,2,)</f>
        <v>TW-T21BU90UWH(WW)</v>
      </c>
      <c r="H1972" s="81" t="str">
        <f>_xlfn.XLOOKUP(表格1[[#This Row],[Model]],表格3[Model-Input-Ref2],表格3[Product Line])</f>
        <v>8公斤超薄身前置式變頻洗衣機</v>
      </c>
      <c r="I1972" s="81" t="str">
        <f>_xlfn.XLOOKUP(表格1[[#This Row],[Model]],表格3[Model-Input-Ref2],表格3[大小電])</f>
        <v>大電</v>
      </c>
      <c r="J1972" s="81" t="str">
        <f>_xlfn.XLOOKUP(表格1[[#This Row],[Model]],表格3[Model-Input-Ref2],表格3[Code])</f>
        <v>LAD</v>
      </c>
      <c r="K1972" s="89" t="s">
        <v>1472</v>
      </c>
      <c r="L1972" s="86">
        <v>1</v>
      </c>
      <c r="M1972" s="87">
        <v>3080</v>
      </c>
      <c r="N1972" s="85">
        <f>IFERROR(表格1[[#This Row],[QTY]]*表格1[[#This Row],[Unit Price]],"-")</f>
        <v>3080</v>
      </c>
      <c r="O1972" s="86">
        <v>1112088</v>
      </c>
      <c r="R1972" s="86" t="str">
        <f>_xlfn.CONCAT(表格1[[#This Row],[Model]]," ",表格1[[#This Row],[inv no]])</f>
        <v>TW-T21BU90UWH(WW) 1112088</v>
      </c>
      <c r="S1972" s="86">
        <f>_xlfn.XLOOKUP(表格1[[#This Row],[Model]],表格3[Model-Input-Ref2],表格3[SRP PRICE])</f>
        <v>5480</v>
      </c>
      <c r="T1972" s="43">
        <f>表格1[[#This Row],[Unit Price]]/表格1[[#This Row],[SRP]]</f>
        <v>0.56204379562043794</v>
      </c>
      <c r="U1972" s="86" t="str">
        <f>_xlfn.XLOOKUP(表格1[[#This Row],[Model]],表格3[Model-Input-Ref2],表格3[TOSHIBA/HIGHEST])</f>
        <v>Toshiba SRP</v>
      </c>
      <c r="V1972" s="86">
        <v>1111</v>
      </c>
      <c r="W1972" s="86" t="str">
        <f>_xlfn.CONCAT(表格1[[#This Row],[欄4]],表格1[[#This Row],[inv no]])</f>
        <v>11111112088</v>
      </c>
    </row>
    <row r="1973" spans="1:23" hidden="1">
      <c r="A1973" s="81">
        <v>1971</v>
      </c>
      <c r="B1973" s="81" t="s">
        <v>1470</v>
      </c>
      <c r="C1973" s="81" t="s">
        <v>1766</v>
      </c>
      <c r="D1973" s="82" t="str">
        <f ca="1">OFFSET(Roster!$A$3,MATCH(表格1[[#This Row],[Location]]&amp;" "&amp;表格1[[#This Row],[Shop]]&amp;"*",Roster!$A$4:$A$72,0),DAY(表格1[[#This Row],[date]]),1,1)</f>
        <v>Leo</v>
      </c>
      <c r="E1973" s="81">
        <f>MONTH(表格1[[#This Row],[date]])</f>
        <v>3</v>
      </c>
      <c r="F1973" s="90">
        <v>46112</v>
      </c>
      <c r="G1973" s="81" t="str">
        <f>VLOOKUP("*"&amp;表格1[[#This Row],[Input]]&amp;"*",'Ref-List'!$B:$D,2,)</f>
        <v>TW-T21BU90UWH(WW)</v>
      </c>
      <c r="H1973" s="81" t="str">
        <f>_xlfn.XLOOKUP(表格1[[#This Row],[Model]],表格3[Model-Input-Ref2],表格3[Product Line])</f>
        <v>8公斤超薄身前置式變頻洗衣機</v>
      </c>
      <c r="I1973" s="81" t="str">
        <f>_xlfn.XLOOKUP(表格1[[#This Row],[Model]],表格3[Model-Input-Ref2],表格3[大小電])</f>
        <v>大電</v>
      </c>
      <c r="J1973" s="81" t="str">
        <f>_xlfn.XLOOKUP(表格1[[#This Row],[Model]],表格3[Model-Input-Ref2],表格3[Code])</f>
        <v>LAD</v>
      </c>
      <c r="K1973" s="89" t="s">
        <v>1472</v>
      </c>
      <c r="L1973" s="86">
        <v>1</v>
      </c>
      <c r="M1973" s="87">
        <v>2980</v>
      </c>
      <c r="N1973" s="85">
        <f>IFERROR(表格1[[#This Row],[QTY]]*表格1[[#This Row],[Unit Price]],"-")</f>
        <v>2980</v>
      </c>
      <c r="O1973" s="86">
        <v>1112074</v>
      </c>
      <c r="R1973" s="86" t="str">
        <f>_xlfn.CONCAT(表格1[[#This Row],[Model]]," ",表格1[[#This Row],[inv no]])</f>
        <v>TW-T21BU90UWH(WW) 1112074</v>
      </c>
      <c r="S1973" s="86">
        <f>_xlfn.XLOOKUP(表格1[[#This Row],[Model]],表格3[Model-Input-Ref2],表格3[SRP PRICE])</f>
        <v>5480</v>
      </c>
      <c r="T1973" s="43">
        <f>表格1[[#This Row],[Unit Price]]/表格1[[#This Row],[SRP]]</f>
        <v>0.54379562043795615</v>
      </c>
      <c r="U1973" s="86" t="str">
        <f>_xlfn.XLOOKUP(表格1[[#This Row],[Model]],表格3[Model-Input-Ref2],表格3[TOSHIBA/HIGHEST])</f>
        <v>Toshiba SRP</v>
      </c>
      <c r="V1973" s="86">
        <v>1111</v>
      </c>
      <c r="W1973" s="86" t="str">
        <f>_xlfn.CONCAT(表格1[[#This Row],[欄4]],表格1[[#This Row],[inv no]])</f>
        <v>11111112074</v>
      </c>
    </row>
    <row r="1974" spans="1:23" hidden="1">
      <c r="A1974" s="81">
        <v>1972</v>
      </c>
      <c r="B1974" s="81" t="s">
        <v>1470</v>
      </c>
      <c r="C1974" s="81" t="s">
        <v>1766</v>
      </c>
      <c r="D1974" s="82" t="str">
        <f ca="1">OFFSET(Roster!$A$3,MATCH(表格1[[#This Row],[Location]]&amp;" "&amp;表格1[[#This Row],[Shop]]&amp;"*",Roster!$A$4:$A$72,0),DAY(表格1[[#This Row],[date]]),1,1)</f>
        <v>Leo</v>
      </c>
      <c r="E1974" s="81">
        <f>MONTH(表格1[[#This Row],[date]])</f>
        <v>3</v>
      </c>
      <c r="F1974" s="90">
        <v>46112</v>
      </c>
      <c r="G1974" s="81" t="str">
        <f>VLOOKUP("*"&amp;表格1[[#This Row],[Input]]&amp;"*",'Ref-List'!$B:$D,2,)</f>
        <v>MM2-EM20PC(WH)</v>
      </c>
      <c r="H1974" s="81" t="str">
        <f>_xlfn.XLOOKUP(表格1[[#This Row],[Model]],表格3[Model-Input-Ref2],表格3[Product Line])</f>
        <v>輕觸式微波爐 (20公升)</v>
      </c>
      <c r="I1974" s="81" t="str">
        <f>_xlfn.XLOOKUP(表格1[[#This Row],[Model]],表格3[Model-Input-Ref2],表格3[大小電])</f>
        <v>細電</v>
      </c>
      <c r="J1974" s="81" t="str">
        <f>_xlfn.XLOOKUP(表格1[[#This Row],[Model]],表格3[Model-Input-Ref2],表格3[Code])</f>
        <v>MCA</v>
      </c>
      <c r="K1974" s="89" t="s">
        <v>1276</v>
      </c>
      <c r="L1974" s="86">
        <v>1</v>
      </c>
      <c r="M1974" s="87">
        <v>546</v>
      </c>
      <c r="N1974" s="85">
        <f>IFERROR(表格1[[#This Row],[QTY]]*表格1[[#This Row],[Unit Price]],"-")</f>
        <v>546</v>
      </c>
      <c r="O1974" s="86">
        <v>1112073</v>
      </c>
      <c r="R1974" s="86" t="str">
        <f>_xlfn.CONCAT(表格1[[#This Row],[Model]]," ",表格1[[#This Row],[inv no]])</f>
        <v>MM2-EM20PC(WH) 1112073</v>
      </c>
      <c r="S1974" s="86">
        <f>_xlfn.XLOOKUP(表格1[[#This Row],[Model]],表格3[Model-Input-Ref2],表格3[SRP PRICE])</f>
        <v>788</v>
      </c>
      <c r="T1974" s="43">
        <f>表格1[[#This Row],[Unit Price]]/表格1[[#This Row],[SRP]]</f>
        <v>0.69289340101522845</v>
      </c>
      <c r="U1974" s="86" t="str">
        <f>_xlfn.XLOOKUP(表格1[[#This Row],[Model]],表格3[Model-Input-Ref2],表格3[TOSHIBA/HIGHEST])</f>
        <v>Toshiba SRP</v>
      </c>
      <c r="V1974" s="86">
        <v>1111</v>
      </c>
      <c r="W1974" s="86" t="str">
        <f>_xlfn.CONCAT(表格1[[#This Row],[欄4]],表格1[[#This Row],[inv no]])</f>
        <v>11111112073</v>
      </c>
    </row>
    <row r="1975" spans="1:23" hidden="1">
      <c r="A1975" s="81">
        <v>1973</v>
      </c>
      <c r="B1975" s="86" t="s">
        <v>1772</v>
      </c>
      <c r="C1975" s="86" t="s">
        <v>1773</v>
      </c>
      <c r="D1975" s="82" t="str">
        <f ca="1">OFFSET(Roster!$A$3,MATCH(表格1[[#This Row],[Location]]&amp;" "&amp;表格1[[#This Row],[Shop]]&amp;"*",Roster!$A$4:$A$72,0),DAY(表格1[[#This Row],[date]]),1,1)</f>
        <v>Michelle</v>
      </c>
      <c r="E1975" s="81">
        <f>MONTH(表格1[[#This Row],[date]])</f>
        <v>3</v>
      </c>
      <c r="F1975" s="90">
        <v>46082</v>
      </c>
      <c r="G1975" s="81" t="str">
        <f>VLOOKUP("*"&amp;表格1[[#This Row],[Input]]&amp;"*",'Ref-List'!$B:$D,2,)</f>
        <v>RC-10NMFIH(WT)</v>
      </c>
      <c r="H1975" s="81" t="str">
        <f>_xlfn.XLOOKUP(表格1[[#This Row],[Model]],表格3[Model-Input-Ref2],表格3[Product Line])</f>
        <v>4毫米厚釜電飯煲1L</v>
      </c>
      <c r="I1975" s="81" t="str">
        <f>_xlfn.XLOOKUP(表格1[[#This Row],[Model]],表格3[Model-Input-Ref2],表格3[大小電])</f>
        <v>細電</v>
      </c>
      <c r="J1975" s="81" t="str">
        <f>_xlfn.XLOOKUP(表格1[[#This Row],[Model]],表格3[Model-Input-Ref2],表格3[Code])</f>
        <v>SDA</v>
      </c>
      <c r="K1975" s="89" t="s">
        <v>1244</v>
      </c>
      <c r="L1975" s="86">
        <v>2</v>
      </c>
      <c r="M1975" s="87">
        <v>719</v>
      </c>
      <c r="N1975" s="85">
        <f>IFERROR(表格1[[#This Row],[QTY]]*表格1[[#This Row],[Unit Price]],"-")</f>
        <v>1438</v>
      </c>
      <c r="O1975" s="86">
        <v>519084</v>
      </c>
      <c r="R1975" s="86" t="str">
        <f>_xlfn.CONCAT(表格1[[#This Row],[Model]]," ",表格1[[#This Row],[inv no]])</f>
        <v>RC-10NMFIH(WT) 519084</v>
      </c>
      <c r="S1975" s="86">
        <f>_xlfn.XLOOKUP(表格1[[#This Row],[Model]],表格3[Model-Input-Ref2],表格3[SRP PRICE])</f>
        <v>898</v>
      </c>
      <c r="T1975" s="43">
        <f>表格1[[#This Row],[Unit Price]]/表格1[[#This Row],[SRP]]</f>
        <v>0.80066815144766146</v>
      </c>
      <c r="U1975" s="86" t="str">
        <f>_xlfn.XLOOKUP(表格1[[#This Row],[Model]],表格3[Model-Input-Ref2],表格3[TOSHIBA/HIGHEST])</f>
        <v>Toshiba SRP</v>
      </c>
      <c r="V1975" s="86">
        <v>1111</v>
      </c>
      <c r="W1975" s="86" t="str">
        <f>_xlfn.CONCAT(表格1[[#This Row],[欄4]],表格1[[#This Row],[inv no]])</f>
        <v>1111519084</v>
      </c>
    </row>
    <row r="1976" spans="1:23" hidden="1">
      <c r="A1976" s="81">
        <v>1974</v>
      </c>
      <c r="B1976" s="86" t="s">
        <v>1772</v>
      </c>
      <c r="C1976" s="86" t="s">
        <v>1773</v>
      </c>
      <c r="D1976" s="82" t="str">
        <f ca="1">OFFSET(Roster!$A$3,MATCH(表格1[[#This Row],[Location]]&amp;" "&amp;表格1[[#This Row],[Shop]]&amp;"*",Roster!$A$4:$A$72,0),DAY(表格1[[#This Row],[date]]),1,1)</f>
        <v>Michelle</v>
      </c>
      <c r="E1976" s="81">
        <f>MONTH(表格1[[#This Row],[date]])</f>
        <v>3</v>
      </c>
      <c r="F1976" s="90">
        <v>46082</v>
      </c>
      <c r="G1976" s="81" t="str">
        <f>VLOOKUP("*"&amp;表格1[[#This Row],[Input]]&amp;"*",'Ref-List'!$B:$D,2,)</f>
        <v>RC-10NMFIH(WT)</v>
      </c>
      <c r="H1976" s="81" t="str">
        <f>_xlfn.XLOOKUP(表格1[[#This Row],[Model]],表格3[Model-Input-Ref2],表格3[Product Line])</f>
        <v>4毫米厚釜電飯煲1L</v>
      </c>
      <c r="I1976" s="81" t="str">
        <f>_xlfn.XLOOKUP(表格1[[#This Row],[Model]],表格3[Model-Input-Ref2],表格3[大小電])</f>
        <v>細電</v>
      </c>
      <c r="J1976" s="81" t="str">
        <f>_xlfn.XLOOKUP(表格1[[#This Row],[Model]],表格3[Model-Input-Ref2],表格3[Code])</f>
        <v>SDA</v>
      </c>
      <c r="K1976" s="89" t="s">
        <v>1244</v>
      </c>
      <c r="L1976" s="86">
        <v>1</v>
      </c>
      <c r="M1976" s="87">
        <v>719</v>
      </c>
      <c r="N1976" s="85">
        <f>IFERROR(表格1[[#This Row],[QTY]]*表格1[[#This Row],[Unit Price]],"-")</f>
        <v>719</v>
      </c>
      <c r="O1976" s="86">
        <v>519102</v>
      </c>
      <c r="R1976" s="86" t="str">
        <f>_xlfn.CONCAT(表格1[[#This Row],[Model]]," ",表格1[[#This Row],[inv no]])</f>
        <v>RC-10NMFIH(WT) 519102</v>
      </c>
      <c r="S1976" s="86">
        <f>_xlfn.XLOOKUP(表格1[[#This Row],[Model]],表格3[Model-Input-Ref2],表格3[SRP PRICE])</f>
        <v>898</v>
      </c>
      <c r="T1976" s="43">
        <f>表格1[[#This Row],[Unit Price]]/表格1[[#This Row],[SRP]]</f>
        <v>0.80066815144766146</v>
      </c>
      <c r="U1976" s="86" t="str">
        <f>_xlfn.XLOOKUP(表格1[[#This Row],[Model]],表格3[Model-Input-Ref2],表格3[TOSHIBA/HIGHEST])</f>
        <v>Toshiba SRP</v>
      </c>
      <c r="V1976" s="86">
        <v>1111</v>
      </c>
      <c r="W1976" s="86" t="str">
        <f>_xlfn.CONCAT(表格1[[#This Row],[欄4]],表格1[[#This Row],[inv no]])</f>
        <v>1111519102</v>
      </c>
    </row>
    <row r="1977" spans="1:23" hidden="1">
      <c r="A1977" s="81">
        <v>1975</v>
      </c>
      <c r="B1977" s="86" t="s">
        <v>1772</v>
      </c>
      <c r="C1977" s="86" t="s">
        <v>1773</v>
      </c>
      <c r="D1977" s="82" t="str">
        <f ca="1">OFFSET(Roster!$A$3,MATCH(表格1[[#This Row],[Location]]&amp;" "&amp;表格1[[#This Row],[Shop]]&amp;"*",Roster!$A$4:$A$72,0),DAY(表格1[[#This Row],[date]]),1,1)</f>
        <v>Michelle</v>
      </c>
      <c r="E1977" s="81">
        <f>MONTH(表格1[[#This Row],[date]])</f>
        <v>3</v>
      </c>
      <c r="F1977" s="90">
        <v>46082</v>
      </c>
      <c r="G1977" s="81" t="str">
        <f>VLOOKUP("*"&amp;表格1[[#This Row],[Input]]&amp;"*",'Ref-List'!$B:$D,2,)</f>
        <v>RC-18NMFIH(WT)</v>
      </c>
      <c r="H1977" s="81" t="str">
        <f>_xlfn.XLOOKUP(表格1[[#This Row],[Model]],表格3[Model-Input-Ref2],表格3[Product Line])</f>
        <v>4毫米厚釜電飯煲1.8L</v>
      </c>
      <c r="I1977" s="81" t="str">
        <f>_xlfn.XLOOKUP(表格1[[#This Row],[Model]],表格3[Model-Input-Ref2],表格3[大小電])</f>
        <v>細電</v>
      </c>
      <c r="J1977" s="81" t="str">
        <f>_xlfn.XLOOKUP(表格1[[#This Row],[Model]],表格3[Model-Input-Ref2],表格3[Code])</f>
        <v>SDA</v>
      </c>
      <c r="K1977" s="89" t="s">
        <v>1267</v>
      </c>
      <c r="L1977" s="86">
        <v>1</v>
      </c>
      <c r="M1977" s="87">
        <v>799</v>
      </c>
      <c r="N1977" s="85">
        <f>IFERROR(表格1[[#This Row],[QTY]]*表格1[[#This Row],[Unit Price]],"-")</f>
        <v>799</v>
      </c>
      <c r="O1977" s="142">
        <v>519086</v>
      </c>
      <c r="R1977" s="86" t="str">
        <f>_xlfn.CONCAT(表格1[[#This Row],[Model]]," ",表格1[[#This Row],[inv no]])</f>
        <v>RC-18NMFIH(WT) 519086</v>
      </c>
      <c r="S1977" s="86">
        <f>_xlfn.XLOOKUP(表格1[[#This Row],[Model]],表格3[Model-Input-Ref2],表格3[SRP PRICE])</f>
        <v>998</v>
      </c>
      <c r="T1977" s="43">
        <f>表格1[[#This Row],[Unit Price]]/表格1[[#This Row],[SRP]]</f>
        <v>0.80060120240480959</v>
      </c>
      <c r="U1977" s="86" t="str">
        <f>_xlfn.XLOOKUP(表格1[[#This Row],[Model]],表格3[Model-Input-Ref2],表格3[TOSHIBA/HIGHEST])</f>
        <v>Toshiba SRP</v>
      </c>
      <c r="V1977" s="86">
        <v>1111</v>
      </c>
      <c r="W1977" s="86" t="str">
        <f>_xlfn.CONCAT(表格1[[#This Row],[欄4]],表格1[[#This Row],[inv no]])</f>
        <v>1111519086</v>
      </c>
    </row>
    <row r="1978" spans="1:23" hidden="1">
      <c r="A1978" s="81">
        <v>1976</v>
      </c>
      <c r="B1978" s="86" t="s">
        <v>1772</v>
      </c>
      <c r="C1978" s="86" t="s">
        <v>1773</v>
      </c>
      <c r="D1978" s="82" t="str">
        <f ca="1">OFFSET(Roster!$A$3,MATCH(表格1[[#This Row],[Location]]&amp;" "&amp;表格1[[#This Row],[Shop]]&amp;"*",Roster!$A$4:$A$72,0),DAY(表格1[[#This Row],[date]]),1,1)</f>
        <v>Michelle</v>
      </c>
      <c r="E1978" s="81">
        <f>MONTH(表格1[[#This Row],[date]])</f>
        <v>3</v>
      </c>
      <c r="F1978" s="90">
        <v>46082</v>
      </c>
      <c r="G1978" s="81" t="str">
        <f>VLOOKUP("*"&amp;表格1[[#This Row],[Input]]&amp;"*",'Ref-List'!$B:$D,2,)</f>
        <v>RC-10AMXH(W)</v>
      </c>
      <c r="H1978" s="81" t="str">
        <f>_xlfn.XLOOKUP(表格1[[#This Row],[Model]],表格3[Model-Input-Ref2],表格3[Product Line])</f>
        <v>酵活炊電飯煲(1.0公升)</v>
      </c>
      <c r="I1978" s="81" t="str">
        <f>_xlfn.XLOOKUP(表格1[[#This Row],[Model]],表格3[Model-Input-Ref2],表格3[大小電])</f>
        <v>細電</v>
      </c>
      <c r="J1978" s="81" t="str">
        <f>_xlfn.XLOOKUP(表格1[[#This Row],[Model]],表格3[Model-Input-Ref2],表格3[Code])</f>
        <v>SDA</v>
      </c>
      <c r="K1978" s="89" t="s">
        <v>1279</v>
      </c>
      <c r="L1978" s="86">
        <v>1</v>
      </c>
      <c r="M1978" s="87">
        <v>990</v>
      </c>
      <c r="N1978" s="85">
        <f>IFERROR(表格1[[#This Row],[QTY]]*表格1[[#This Row],[Unit Price]],"-")</f>
        <v>990</v>
      </c>
      <c r="O1978" s="86">
        <v>519081</v>
      </c>
      <c r="R1978" s="86" t="str">
        <f>_xlfn.CONCAT(表格1[[#This Row],[Model]]," ",表格1[[#This Row],[inv no]])</f>
        <v>RC-10AMXH(W) 519081</v>
      </c>
      <c r="S1978" s="86">
        <f>_xlfn.XLOOKUP(表格1[[#This Row],[Model]],表格3[Model-Input-Ref2],表格3[SRP PRICE])</f>
        <v>1288</v>
      </c>
      <c r="T1978" s="43">
        <f>表格1[[#This Row],[Unit Price]]/表格1[[#This Row],[SRP]]</f>
        <v>0.76863354037267084</v>
      </c>
      <c r="U1978" s="86" t="str">
        <f>_xlfn.XLOOKUP(表格1[[#This Row],[Model]],表格3[Model-Input-Ref2],表格3[TOSHIBA/HIGHEST])</f>
        <v>Toshiba SRP</v>
      </c>
      <c r="V1978" s="86">
        <v>1111</v>
      </c>
      <c r="W1978" s="86" t="str">
        <f>_xlfn.CONCAT(表格1[[#This Row],[欄4]],表格1[[#This Row],[inv no]])</f>
        <v>1111519081</v>
      </c>
    </row>
    <row r="1979" spans="1:23" hidden="1">
      <c r="A1979" s="81">
        <v>1977</v>
      </c>
      <c r="B1979" s="86" t="s">
        <v>1772</v>
      </c>
      <c r="C1979" s="86" t="s">
        <v>1773</v>
      </c>
      <c r="D1979" s="82" t="str">
        <f ca="1">OFFSET(Roster!$A$3,MATCH(表格1[[#This Row],[Location]]&amp;" "&amp;表格1[[#This Row],[Shop]]&amp;"*",Roster!$A$4:$A$72,0),DAY(表格1[[#This Row],[date]]),1,1)</f>
        <v>Michelle</v>
      </c>
      <c r="E1979" s="81">
        <f>MONTH(表格1[[#This Row],[date]])</f>
        <v>3</v>
      </c>
      <c r="F1979" s="90">
        <v>46082</v>
      </c>
      <c r="G1979" s="81" t="str">
        <f>VLOOKUP("*"&amp;表格1[[#This Row],[Input]]&amp;"*",'Ref-List'!$B:$D,2,)</f>
        <v>MM2-EM20PC(WH)</v>
      </c>
      <c r="H1979" s="81" t="str">
        <f>_xlfn.XLOOKUP(表格1[[#This Row],[Model]],表格3[Model-Input-Ref2],表格3[Product Line])</f>
        <v>輕觸式微波爐 (20公升)</v>
      </c>
      <c r="I1979" s="81" t="str">
        <f>_xlfn.XLOOKUP(表格1[[#This Row],[Model]],表格3[Model-Input-Ref2],表格3[大小電])</f>
        <v>細電</v>
      </c>
      <c r="J1979" s="81" t="str">
        <f>_xlfn.XLOOKUP(表格1[[#This Row],[Model]],表格3[Model-Input-Ref2],表格3[Code])</f>
        <v>MCA</v>
      </c>
      <c r="K1979" s="89" t="s">
        <v>1276</v>
      </c>
      <c r="L1979" s="86">
        <v>1</v>
      </c>
      <c r="M1979" s="87">
        <v>598</v>
      </c>
      <c r="N1979" s="85">
        <f>IFERROR(表格1[[#This Row],[QTY]]*表格1[[#This Row],[Unit Price]],"-")</f>
        <v>598</v>
      </c>
      <c r="O1979" s="86">
        <v>519083</v>
      </c>
      <c r="R1979" s="86" t="str">
        <f>_xlfn.CONCAT(表格1[[#This Row],[Model]]," ",表格1[[#This Row],[inv no]])</f>
        <v>MM2-EM20PC(WH) 519083</v>
      </c>
      <c r="S1979" s="86">
        <f>_xlfn.XLOOKUP(表格1[[#This Row],[Model]],表格3[Model-Input-Ref2],表格3[SRP PRICE])</f>
        <v>788</v>
      </c>
      <c r="T1979" s="43">
        <f>表格1[[#This Row],[Unit Price]]/表格1[[#This Row],[SRP]]</f>
        <v>0.75888324873096447</v>
      </c>
      <c r="U1979" s="86" t="str">
        <f>_xlfn.XLOOKUP(表格1[[#This Row],[Model]],表格3[Model-Input-Ref2],表格3[TOSHIBA/HIGHEST])</f>
        <v>Toshiba SRP</v>
      </c>
      <c r="V1979" s="86">
        <v>1111</v>
      </c>
      <c r="W1979" s="86" t="str">
        <f>_xlfn.CONCAT(表格1[[#This Row],[欄4]],表格1[[#This Row],[inv no]])</f>
        <v>1111519083</v>
      </c>
    </row>
    <row r="1980" spans="1:23" hidden="1">
      <c r="A1980" s="81">
        <v>1978</v>
      </c>
      <c r="B1980" s="86" t="s">
        <v>1772</v>
      </c>
      <c r="C1980" s="86" t="s">
        <v>1773</v>
      </c>
      <c r="D1980" s="82" t="str">
        <f ca="1">OFFSET(Roster!$A$3,MATCH(表格1[[#This Row],[Location]]&amp;" "&amp;表格1[[#This Row],[Shop]]&amp;"*",Roster!$A$4:$A$72,0),DAY(表格1[[#This Row],[date]]),1,1)</f>
        <v>Michelle</v>
      </c>
      <c r="E1980" s="81">
        <f>MONTH(表格1[[#This Row],[date]])</f>
        <v>3</v>
      </c>
      <c r="F1980" s="90">
        <v>46082</v>
      </c>
      <c r="G1980" s="81" t="str">
        <f>VLOOKUP("*"&amp;表格1[[#This Row],[Input]]&amp;"*",'Ref-List'!$B:$D,2,)</f>
        <v>MV-AG21TF(BK)</v>
      </c>
      <c r="H1980" s="81" t="str">
        <f>_xlfn.XLOOKUP(表格1[[#This Row],[Model]],表格3[Model-Input-Ref2],表格3[Product Line])</f>
        <v>燒烤微波爐21L</v>
      </c>
      <c r="I1980" s="81" t="str">
        <f>_xlfn.XLOOKUP(表格1[[#This Row],[Model]],表格3[Model-Input-Ref2],表格3[大小電])</f>
        <v>細電</v>
      </c>
      <c r="J1980" s="81" t="str">
        <f>_xlfn.XLOOKUP(表格1[[#This Row],[Model]],表格3[Model-Input-Ref2],表格3[Code])</f>
        <v>SDA</v>
      </c>
      <c r="K1980" s="89" t="s">
        <v>1486</v>
      </c>
      <c r="L1980" s="86">
        <v>1</v>
      </c>
      <c r="M1980" s="87">
        <v>798</v>
      </c>
      <c r="N1980" s="85">
        <f>IFERROR(表格1[[#This Row],[QTY]]*表格1[[#This Row],[Unit Price]],"-")</f>
        <v>798</v>
      </c>
      <c r="O1980" s="86">
        <v>519127</v>
      </c>
      <c r="R1980" s="86" t="str">
        <f>_xlfn.CONCAT(表格1[[#This Row],[Model]]," ",表格1[[#This Row],[inv no]])</f>
        <v>MV-AG21TF(BK) 519127</v>
      </c>
      <c r="S1980" s="86">
        <f>_xlfn.XLOOKUP(表格1[[#This Row],[Model]],表格3[Model-Input-Ref2],表格3[SRP PRICE])</f>
        <v>1098</v>
      </c>
      <c r="T1980" s="43">
        <f>表格1[[#This Row],[Unit Price]]/表格1[[#This Row],[SRP]]</f>
        <v>0.72677595628415304</v>
      </c>
      <c r="U1980" s="86" t="str">
        <f>_xlfn.XLOOKUP(表格1[[#This Row],[Model]],表格3[Model-Input-Ref2],表格3[TOSHIBA/HIGHEST])</f>
        <v>Toshiba SRP</v>
      </c>
      <c r="V1980" s="86">
        <v>1111</v>
      </c>
      <c r="W1980" s="86" t="str">
        <f>_xlfn.CONCAT(表格1[[#This Row],[欄4]],表格1[[#This Row],[inv no]])</f>
        <v>1111519127</v>
      </c>
    </row>
    <row r="1981" spans="1:23" hidden="1">
      <c r="A1981" s="81">
        <v>1979</v>
      </c>
      <c r="B1981" s="86" t="s">
        <v>1772</v>
      </c>
      <c r="C1981" s="86" t="s">
        <v>1773</v>
      </c>
      <c r="D1981" s="82" t="str">
        <f ca="1">OFFSET(Roster!$A$3,MATCH(表格1[[#This Row],[Location]]&amp;" "&amp;表格1[[#This Row],[Shop]]&amp;"*",Roster!$A$4:$A$72,0),DAY(表格1[[#This Row],[date]]),1,1)</f>
        <v>Michelle</v>
      </c>
      <c r="E1981" s="81">
        <f>MONTH(表格1[[#This Row],[date]])</f>
        <v>3</v>
      </c>
      <c r="F1981" s="90">
        <v>46082</v>
      </c>
      <c r="G1981" s="81" t="str">
        <f>VLOOKUP("*"&amp;表格1[[#This Row],[Input]]&amp;"*",'Ref-List'!$B:$D,2,)</f>
        <v>KT-17SHNH</v>
      </c>
      <c r="H1981" s="81" t="str">
        <f>_xlfn.XLOOKUP(表格1[[#This Row],[Model]],表格3[Model-Input-Ref2],表格3[Product Line])</f>
        <v>1.7L無線雙層電熱水壺</v>
      </c>
      <c r="I1981" s="81" t="str">
        <f>_xlfn.XLOOKUP(表格1[[#This Row],[Model]],表格3[Model-Input-Ref2],表格3[大小電])</f>
        <v>細電</v>
      </c>
      <c r="J1981" s="81" t="str">
        <f>_xlfn.XLOOKUP(表格1[[#This Row],[Model]],表格3[Model-Input-Ref2],表格3[Code])</f>
        <v>SDA</v>
      </c>
      <c r="K1981" s="89" t="s">
        <v>1283</v>
      </c>
      <c r="L1981" s="86">
        <v>1</v>
      </c>
      <c r="M1981" s="87">
        <v>198</v>
      </c>
      <c r="N1981" s="85">
        <f>IFERROR(表格1[[#This Row],[QTY]]*表格1[[#This Row],[Unit Price]],"-")</f>
        <v>198</v>
      </c>
      <c r="O1981" s="86">
        <v>519124</v>
      </c>
      <c r="R1981" s="86" t="str">
        <f>_xlfn.CONCAT(表格1[[#This Row],[Model]]," ",表格1[[#This Row],[inv no]])</f>
        <v>KT-17SHNH 519124</v>
      </c>
      <c r="S1981" s="86">
        <f>_xlfn.XLOOKUP(表格1[[#This Row],[Model]],表格3[Model-Input-Ref2],表格3[SRP PRICE])</f>
        <v>299</v>
      </c>
      <c r="T1981" s="43">
        <f>表格1[[#This Row],[Unit Price]]/表格1[[#This Row],[SRP]]</f>
        <v>0.66220735785953178</v>
      </c>
      <c r="U1981" s="86" t="str">
        <f>_xlfn.XLOOKUP(表格1[[#This Row],[Model]],表格3[Model-Input-Ref2],表格3[TOSHIBA/HIGHEST])</f>
        <v>Shops Highest Price</v>
      </c>
      <c r="V1981" s="86">
        <v>1111</v>
      </c>
      <c r="W1981" s="86" t="str">
        <f>_xlfn.CONCAT(表格1[[#This Row],[欄4]],表格1[[#This Row],[inv no]])</f>
        <v>1111519124</v>
      </c>
    </row>
    <row r="1982" spans="1:23" hidden="1">
      <c r="A1982" s="81">
        <v>1980</v>
      </c>
      <c r="B1982" s="86" t="s">
        <v>1772</v>
      </c>
      <c r="C1982" s="86" t="s">
        <v>1773</v>
      </c>
      <c r="D1982" s="82" t="str">
        <f ca="1">OFFSET(Roster!$A$3,MATCH(表格1[[#This Row],[Location]]&amp;" "&amp;表格1[[#This Row],[Shop]]&amp;"*",Roster!$A$4:$A$72,0),DAY(表格1[[#This Row],[date]]),1,1)</f>
        <v>Michelle off</v>
      </c>
      <c r="E1982" s="81">
        <f>MONTH(表格1[[#This Row],[date]])</f>
        <v>3</v>
      </c>
      <c r="F1982" s="90">
        <v>46083</v>
      </c>
      <c r="G1982" s="81" t="str">
        <f>VLOOKUP("*"&amp;表格1[[#This Row],[Input]]&amp;"*",'Ref-List'!$B:$D,2,)</f>
        <v>RC-18NMFIH(WT)</v>
      </c>
      <c r="H1982" s="81" t="str">
        <f>_xlfn.XLOOKUP(表格1[[#This Row],[Model]],表格3[Model-Input-Ref2],表格3[Product Line])</f>
        <v>4毫米厚釜電飯煲1.8L</v>
      </c>
      <c r="I1982" s="81" t="str">
        <f>_xlfn.XLOOKUP(表格1[[#This Row],[Model]],表格3[Model-Input-Ref2],表格3[大小電])</f>
        <v>細電</v>
      </c>
      <c r="J1982" s="81" t="str">
        <f>_xlfn.XLOOKUP(表格1[[#This Row],[Model]],表格3[Model-Input-Ref2],表格3[Code])</f>
        <v>SDA</v>
      </c>
      <c r="K1982" s="89" t="s">
        <v>1267</v>
      </c>
      <c r="L1982" s="86">
        <v>1</v>
      </c>
      <c r="M1982" s="87">
        <v>799</v>
      </c>
      <c r="N1982" s="85">
        <f>IFERROR(表格1[[#This Row],[QTY]]*表格1[[#This Row],[Unit Price]],"-")</f>
        <v>799</v>
      </c>
      <c r="O1982" s="86">
        <v>519139</v>
      </c>
      <c r="R1982" s="86" t="str">
        <f>_xlfn.CONCAT(表格1[[#This Row],[Model]]," ",表格1[[#This Row],[inv no]])</f>
        <v>RC-18NMFIH(WT) 519139</v>
      </c>
      <c r="S1982" s="86">
        <f>_xlfn.XLOOKUP(表格1[[#This Row],[Model]],表格3[Model-Input-Ref2],表格3[SRP PRICE])</f>
        <v>998</v>
      </c>
      <c r="T1982" s="43">
        <f>表格1[[#This Row],[Unit Price]]/表格1[[#This Row],[SRP]]</f>
        <v>0.80060120240480959</v>
      </c>
      <c r="U1982" s="86" t="str">
        <f>_xlfn.XLOOKUP(表格1[[#This Row],[Model]],表格3[Model-Input-Ref2],表格3[TOSHIBA/HIGHEST])</f>
        <v>Toshiba SRP</v>
      </c>
      <c r="V1982" s="86">
        <v>1111</v>
      </c>
      <c r="W1982" s="86" t="str">
        <f>_xlfn.CONCAT(表格1[[#This Row],[欄4]],表格1[[#This Row],[inv no]])</f>
        <v>1111519139</v>
      </c>
    </row>
    <row r="1983" spans="1:23" hidden="1">
      <c r="A1983" s="81">
        <v>1981</v>
      </c>
      <c r="B1983" s="86" t="s">
        <v>1772</v>
      </c>
      <c r="C1983" s="86" t="s">
        <v>1773</v>
      </c>
      <c r="D1983" s="82" t="str">
        <f ca="1">OFFSET(Roster!$A$3,MATCH(表格1[[#This Row],[Location]]&amp;" "&amp;表格1[[#This Row],[Shop]]&amp;"*",Roster!$A$4:$A$72,0),DAY(表格1[[#This Row],[date]]),1,1)</f>
        <v>Michelle off</v>
      </c>
      <c r="E1983" s="81">
        <f>MONTH(表格1[[#This Row],[date]])</f>
        <v>3</v>
      </c>
      <c r="F1983" s="90">
        <v>46083</v>
      </c>
      <c r="G1983" s="81" t="str">
        <f>VLOOKUP("*"&amp;表格1[[#This Row],[Input]]&amp;"*",'Ref-List'!$B:$D,2,)</f>
        <v>RAD-D300H</v>
      </c>
      <c r="H1983" s="81" t="str">
        <f>_xlfn.XLOOKUP(表格1[[#This Row],[Model]],表格3[Model-Input-Ref2],表格3[Product Line])</f>
        <v>壓縮式抽濕機 (30公升)</v>
      </c>
      <c r="I1983" s="81" t="str">
        <f>_xlfn.XLOOKUP(表格1[[#This Row],[Model]],表格3[Model-Input-Ref2],表格3[大小電])</f>
        <v>細電</v>
      </c>
      <c r="J1983" s="81" t="str">
        <f>_xlfn.XLOOKUP(表格1[[#This Row],[Model]],表格3[Model-Input-Ref2],表格3[Code])</f>
        <v>RAC</v>
      </c>
      <c r="K1983" s="89" t="s">
        <v>1252</v>
      </c>
      <c r="L1983" s="86">
        <v>1</v>
      </c>
      <c r="M1983" s="87">
        <v>2280</v>
      </c>
      <c r="N1983" s="85">
        <f>IFERROR(表格1[[#This Row],[QTY]]*表格1[[#This Row],[Unit Price]],"-")</f>
        <v>2280</v>
      </c>
      <c r="O1983" s="86">
        <v>519171</v>
      </c>
      <c r="R1983" s="86" t="str">
        <f>_xlfn.CONCAT(表格1[[#This Row],[Model]]," ",表格1[[#This Row],[inv no]])</f>
        <v>RAD-D300H 519171</v>
      </c>
      <c r="S1983" s="86">
        <f>_xlfn.XLOOKUP(表格1[[#This Row],[Model]],表格3[Model-Input-Ref2],表格3[SRP PRICE])</f>
        <v>3380</v>
      </c>
      <c r="T1983" s="43">
        <f>表格1[[#This Row],[Unit Price]]/表格1[[#This Row],[SRP]]</f>
        <v>0.67455621301775148</v>
      </c>
      <c r="U1983" s="86" t="str">
        <f>_xlfn.XLOOKUP(表格1[[#This Row],[Model]],表格3[Model-Input-Ref2],表格3[TOSHIBA/HIGHEST])</f>
        <v>Shops Highest Price</v>
      </c>
      <c r="V1983" s="86">
        <v>1111</v>
      </c>
      <c r="W1983" s="86" t="str">
        <f>_xlfn.CONCAT(表格1[[#This Row],[欄4]],表格1[[#This Row],[inv no]])</f>
        <v>1111519171</v>
      </c>
    </row>
    <row r="1984" spans="1:23" hidden="1">
      <c r="A1984" s="81">
        <v>1982</v>
      </c>
      <c r="B1984" s="86" t="s">
        <v>1772</v>
      </c>
      <c r="C1984" s="86" t="s">
        <v>1773</v>
      </c>
      <c r="D1984" s="82" t="str">
        <f ca="1">OFFSET(Roster!$A$3,MATCH(表格1[[#This Row],[Location]]&amp;" "&amp;表格1[[#This Row],[Shop]]&amp;"*",Roster!$A$4:$A$72,0),DAY(表格1[[#This Row],[date]]),1,1)</f>
        <v>Michelle off</v>
      </c>
      <c r="E1984" s="81">
        <f>MONTH(表格1[[#This Row],[date]])</f>
        <v>3</v>
      </c>
      <c r="F1984" s="90">
        <v>46083</v>
      </c>
      <c r="G1984" s="81" t="str">
        <f>VLOOKUP("*"&amp;表格1[[#This Row],[Input]]&amp;"*",'Ref-List'!$B:$D,2,)</f>
        <v>TP-50DRUHK(W)</v>
      </c>
      <c r="H1984" s="81" t="str">
        <f>_xlfn.XLOOKUP(表格1[[#This Row],[Model]],表格3[Model-Input-Ref2],表格3[Product Line])</f>
        <v>電熱水瓶 (5公升)</v>
      </c>
      <c r="I1984" s="81" t="str">
        <f>_xlfn.XLOOKUP(表格1[[#This Row],[Model]],表格3[Model-Input-Ref2],表格3[大小電])</f>
        <v>細電</v>
      </c>
      <c r="J1984" s="81" t="str">
        <f>_xlfn.XLOOKUP(表格1[[#This Row],[Model]],表格3[Model-Input-Ref2],表格3[Code])</f>
        <v>SDA</v>
      </c>
      <c r="K1984" s="89" t="s">
        <v>1277</v>
      </c>
      <c r="L1984" s="86">
        <v>1</v>
      </c>
      <c r="M1984" s="87">
        <v>598</v>
      </c>
      <c r="N1984" s="85">
        <f>IFERROR(表格1[[#This Row],[QTY]]*表格1[[#This Row],[Unit Price]],"-")</f>
        <v>598</v>
      </c>
      <c r="O1984" s="86">
        <v>519148</v>
      </c>
      <c r="R1984" s="86" t="str">
        <f>_xlfn.CONCAT(表格1[[#This Row],[Model]]," ",表格1[[#This Row],[inv no]])</f>
        <v>TP-50DRUHK(W) 519148</v>
      </c>
      <c r="S1984" s="86">
        <f>_xlfn.XLOOKUP(表格1[[#This Row],[Model]],表格3[Model-Input-Ref2],表格3[SRP PRICE])</f>
        <v>718</v>
      </c>
      <c r="T1984" s="43">
        <f>表格1[[#This Row],[Unit Price]]/表格1[[#This Row],[SRP]]</f>
        <v>0.83286908077994426</v>
      </c>
      <c r="U1984" s="86" t="str">
        <f>_xlfn.XLOOKUP(表格1[[#This Row],[Model]],表格3[Model-Input-Ref2],表格3[TOSHIBA/HIGHEST])</f>
        <v>Toshiba SRP</v>
      </c>
      <c r="V1984" s="86">
        <v>1111</v>
      </c>
      <c r="W1984" s="86" t="str">
        <f>_xlfn.CONCAT(表格1[[#This Row],[欄4]],表格1[[#This Row],[inv no]])</f>
        <v>1111519148</v>
      </c>
    </row>
    <row r="1985" spans="1:23" hidden="1">
      <c r="A1985" s="81">
        <v>1983</v>
      </c>
      <c r="B1985" s="86" t="s">
        <v>1772</v>
      </c>
      <c r="C1985" s="86" t="s">
        <v>1773</v>
      </c>
      <c r="D1985" s="82" t="str">
        <f ca="1">OFFSET(Roster!$A$3,MATCH(表格1[[#This Row],[Location]]&amp;" "&amp;表格1[[#This Row],[Shop]]&amp;"*",Roster!$A$4:$A$72,0),DAY(表格1[[#This Row],[date]]),1,1)</f>
        <v>Michelle off</v>
      </c>
      <c r="E1985" s="81">
        <f>MONTH(表格1[[#This Row],[date]])</f>
        <v>3</v>
      </c>
      <c r="F1985" s="90">
        <v>46084</v>
      </c>
      <c r="G1985" s="81" t="str">
        <f>VLOOKUP("*"&amp;表格1[[#This Row],[Input]]&amp;"*",'Ref-List'!$B:$D,2,)</f>
        <v>RC-10DRNH</v>
      </c>
      <c r="H1985" s="81" t="str">
        <f>_xlfn.XLOOKUP(表格1[[#This Row],[Model]],表格3[Model-Input-Ref2],表格3[Product Line])</f>
        <v>多功能備長炭本厚釜電飯煲1L</v>
      </c>
      <c r="I1985" s="81" t="str">
        <f>_xlfn.XLOOKUP(表格1[[#This Row],[Model]],表格3[Model-Input-Ref2],表格3[大小電])</f>
        <v>細電</v>
      </c>
      <c r="J1985" s="81" t="str">
        <f>_xlfn.XLOOKUP(表格1[[#This Row],[Model]],表格3[Model-Input-Ref2],表格3[Code])</f>
        <v>SDA</v>
      </c>
      <c r="K1985" s="89" t="s">
        <v>1376</v>
      </c>
      <c r="L1985" s="86">
        <v>1</v>
      </c>
      <c r="M1985" s="87">
        <v>499</v>
      </c>
      <c r="N1985" s="85">
        <f>IFERROR(表格1[[#This Row],[QTY]]*表格1[[#This Row],[Unit Price]],"-")</f>
        <v>499</v>
      </c>
      <c r="O1985" s="86">
        <v>519214</v>
      </c>
      <c r="R1985" s="86" t="str">
        <f>_xlfn.CONCAT(表格1[[#This Row],[Model]]," ",表格1[[#This Row],[inv no]])</f>
        <v>RC-10DRNH 519214</v>
      </c>
      <c r="S1985" s="86">
        <f>_xlfn.XLOOKUP(表格1[[#This Row],[Model]],表格3[Model-Input-Ref2],表格3[SRP PRICE])</f>
        <v>798</v>
      </c>
      <c r="T1985" s="43">
        <f>表格1[[#This Row],[Unit Price]]/表格1[[#This Row],[SRP]]</f>
        <v>0.62531328320802004</v>
      </c>
      <c r="U1985" s="86" t="str">
        <f>_xlfn.XLOOKUP(表格1[[#This Row],[Model]],表格3[Model-Input-Ref2],表格3[TOSHIBA/HIGHEST])</f>
        <v>Toshiba SRP</v>
      </c>
      <c r="V1985" s="86">
        <v>1111</v>
      </c>
      <c r="W1985" s="86" t="str">
        <f>_xlfn.CONCAT(表格1[[#This Row],[欄4]],表格1[[#This Row],[inv no]])</f>
        <v>1111519214</v>
      </c>
    </row>
    <row r="1986" spans="1:23" hidden="1">
      <c r="A1986" s="81">
        <v>1984</v>
      </c>
      <c r="B1986" s="86" t="s">
        <v>1772</v>
      </c>
      <c r="C1986" s="86" t="s">
        <v>1773</v>
      </c>
      <c r="D1986" s="82" t="str">
        <f ca="1">OFFSET(Roster!$A$3,MATCH(表格1[[#This Row],[Location]]&amp;" "&amp;表格1[[#This Row],[Shop]]&amp;"*",Roster!$A$4:$A$72,0),DAY(表格1[[#This Row],[date]]),1,1)</f>
        <v>Michelle off</v>
      </c>
      <c r="E1986" s="81">
        <f>MONTH(表格1[[#This Row],[date]])</f>
        <v>3</v>
      </c>
      <c r="F1986" s="90">
        <v>46084</v>
      </c>
      <c r="G1986" s="81" t="str">
        <f>VLOOKUP("*"&amp;表格1[[#This Row],[Input]]&amp;"*",'Ref-List'!$B:$D,2,)</f>
        <v>RC-10ISSHK(W)</v>
      </c>
      <c r="H1986" s="81" t="str">
        <f>_xlfn.XLOOKUP(表格1[[#This Row],[Model]],表格3[Model-Input-Ref2],表格3[Product Line])</f>
        <v>磁應電飯煲(1公升)</v>
      </c>
      <c r="I1986" s="81" t="str">
        <f>_xlfn.XLOOKUP(表格1[[#This Row],[Model]],表格3[Model-Input-Ref2],表格3[大小電])</f>
        <v>細電</v>
      </c>
      <c r="J1986" s="81" t="str">
        <f>_xlfn.XLOOKUP(表格1[[#This Row],[Model]],表格3[Model-Input-Ref2],表格3[Code])</f>
        <v>SDA</v>
      </c>
      <c r="K1986" s="89" t="s">
        <v>1286</v>
      </c>
      <c r="L1986" s="86">
        <v>1</v>
      </c>
      <c r="M1986" s="87">
        <v>938</v>
      </c>
      <c r="N1986" s="85">
        <f>IFERROR(表格1[[#This Row],[QTY]]*表格1[[#This Row],[Unit Price]],"-")</f>
        <v>938</v>
      </c>
      <c r="O1986" s="86">
        <v>415410</v>
      </c>
      <c r="R1986" s="86" t="str">
        <f>_xlfn.CONCAT(表格1[[#This Row],[Model]]," ",表格1[[#This Row],[inv no]])</f>
        <v>RC-10ISSHK(W) 415410</v>
      </c>
      <c r="S1986" s="86">
        <f>_xlfn.XLOOKUP(表格1[[#This Row],[Model]],表格3[Model-Input-Ref2],表格3[SRP PRICE])</f>
        <v>1188</v>
      </c>
      <c r="T1986" s="43">
        <f>表格1[[#This Row],[Unit Price]]/表格1[[#This Row],[SRP]]</f>
        <v>0.78956228956228958</v>
      </c>
      <c r="U1986" s="86" t="str">
        <f>_xlfn.XLOOKUP(表格1[[#This Row],[Model]],表格3[Model-Input-Ref2],表格3[TOSHIBA/HIGHEST])</f>
        <v>Shops Highest Price</v>
      </c>
      <c r="V1986" s="86">
        <v>1111</v>
      </c>
      <c r="W1986" s="86" t="str">
        <f>_xlfn.CONCAT(表格1[[#This Row],[欄4]],表格1[[#This Row],[inv no]])</f>
        <v>1111415410</v>
      </c>
    </row>
    <row r="1987" spans="1:23" hidden="1">
      <c r="A1987" s="81">
        <v>1985</v>
      </c>
      <c r="B1987" s="86" t="s">
        <v>1772</v>
      </c>
      <c r="C1987" s="86" t="s">
        <v>1773</v>
      </c>
      <c r="D1987" s="82" t="str">
        <f ca="1">OFFSET(Roster!$A$3,MATCH(表格1[[#This Row],[Location]]&amp;" "&amp;表格1[[#This Row],[Shop]]&amp;"*",Roster!$A$4:$A$72,0),DAY(表格1[[#This Row],[date]]),1,1)</f>
        <v>Michelle off</v>
      </c>
      <c r="E1987" s="81">
        <f>MONTH(表格1[[#This Row],[date]])</f>
        <v>3</v>
      </c>
      <c r="F1987" s="90">
        <v>46084</v>
      </c>
      <c r="G1987" s="81" t="str">
        <f>VLOOKUP("*"&amp;表格1[[#This Row],[Input]]&amp;"*",'Ref-List'!$B:$D,2,)</f>
        <v>TWD-BN90GF4H(WK)</v>
      </c>
      <c r="H1987" s="81" t="str">
        <f>_xlfn.XLOOKUP(表格1[[#This Row],[Model]],表格3[Model-Input-Ref2],表格3[Product Line])</f>
        <v>超薄身前置式洗衣乾衣機 (洗8公斤 乾5公斤)</v>
      </c>
      <c r="I1987" s="81" t="str">
        <f>_xlfn.XLOOKUP(表格1[[#This Row],[Model]],表格3[Model-Input-Ref2],表格3[大小電])</f>
        <v>大電</v>
      </c>
      <c r="J1987" s="81" t="str">
        <f>_xlfn.XLOOKUP(表格1[[#This Row],[Model]],表格3[Model-Input-Ref2],表格3[Code])</f>
        <v>WM</v>
      </c>
      <c r="K1987" s="89" t="s">
        <v>1199</v>
      </c>
      <c r="L1987" s="86">
        <v>1</v>
      </c>
      <c r="M1987" s="87">
        <v>3780</v>
      </c>
      <c r="N1987" s="85">
        <f>IFERROR(表格1[[#This Row],[QTY]]*表格1[[#This Row],[Unit Price]],"-")</f>
        <v>3780</v>
      </c>
      <c r="O1987" s="86">
        <v>519181</v>
      </c>
      <c r="R1987" s="86" t="str">
        <f>_xlfn.CONCAT(表格1[[#This Row],[Model]]," ",表格1[[#This Row],[inv no]])</f>
        <v>TWD-BN90GF4H(WK) 519181</v>
      </c>
      <c r="S1987" s="86">
        <f>_xlfn.XLOOKUP(表格1[[#This Row],[Model]],表格3[Model-Input-Ref2],表格3[SRP PRICE])</f>
        <v>5980</v>
      </c>
      <c r="T1987" s="43">
        <f>表格1[[#This Row],[Unit Price]]/表格1[[#This Row],[SRP]]</f>
        <v>0.63210702341137126</v>
      </c>
      <c r="U1987" s="86" t="str">
        <f>_xlfn.XLOOKUP(表格1[[#This Row],[Model]],表格3[Model-Input-Ref2],表格3[TOSHIBA/HIGHEST])</f>
        <v>Toshiba SRP</v>
      </c>
      <c r="V1987" s="86">
        <v>1111</v>
      </c>
      <c r="W1987" s="86" t="str">
        <f>_xlfn.CONCAT(表格1[[#This Row],[欄4]],表格1[[#This Row],[inv no]])</f>
        <v>1111519181</v>
      </c>
    </row>
    <row r="1988" spans="1:23" hidden="1">
      <c r="A1988" s="81">
        <v>1986</v>
      </c>
      <c r="B1988" s="86" t="s">
        <v>1772</v>
      </c>
      <c r="C1988" s="86" t="s">
        <v>1773</v>
      </c>
      <c r="D1988" s="82" t="str">
        <f ca="1">OFFSET(Roster!$A$3,MATCH(表格1[[#This Row],[Location]]&amp;" "&amp;表格1[[#This Row],[Shop]]&amp;"*",Roster!$A$4:$A$72,0),DAY(表格1[[#This Row],[date]]),1,1)</f>
        <v>Michelle off</v>
      </c>
      <c r="E1988" s="81">
        <f>MONTH(表格1[[#This Row],[date]])</f>
        <v>3</v>
      </c>
      <c r="F1988" s="90">
        <v>46084</v>
      </c>
      <c r="G1988" s="81" t="str">
        <f>VLOOKUP("*"&amp;表格1[[#This Row],[Input]]&amp;"*",'Ref-List'!$B:$D,2,)</f>
        <v>KT-15DRRH</v>
      </c>
      <c r="H1988" s="81" t="str">
        <f>_xlfn.XLOOKUP(表格1[[#This Row],[Model]],表格3[Model-Input-Ref2],表格3[Product Line])</f>
        <v>1.5L無線雙層電熱水壺</v>
      </c>
      <c r="I1988" s="81" t="str">
        <f>_xlfn.XLOOKUP(表格1[[#This Row],[Model]],表格3[Model-Input-Ref2],表格3[大小電])</f>
        <v>細電</v>
      </c>
      <c r="J1988" s="81" t="str">
        <f>_xlfn.XLOOKUP(表格1[[#This Row],[Model]],表格3[Model-Input-Ref2],表格3[Code])</f>
        <v>SDA</v>
      </c>
      <c r="K1988" s="89" t="s">
        <v>1488</v>
      </c>
      <c r="L1988" s="86">
        <v>1</v>
      </c>
      <c r="M1988" s="87">
        <v>298</v>
      </c>
      <c r="N1988" s="85">
        <f>IFERROR(表格1[[#This Row],[QTY]]*表格1[[#This Row],[Unit Price]],"-")</f>
        <v>298</v>
      </c>
      <c r="O1988" s="86">
        <v>519214</v>
      </c>
      <c r="R1988" s="86" t="str">
        <f>_xlfn.CONCAT(表格1[[#This Row],[Model]]," ",表格1[[#This Row],[inv no]])</f>
        <v>KT-15DRRH 519214</v>
      </c>
      <c r="S1988" s="86">
        <f>_xlfn.XLOOKUP(表格1[[#This Row],[Model]],表格3[Model-Input-Ref2],表格3[SRP PRICE])</f>
        <v>438</v>
      </c>
      <c r="T1988" s="43">
        <f>表格1[[#This Row],[Unit Price]]/表格1[[#This Row],[SRP]]</f>
        <v>0.68036529680365299</v>
      </c>
      <c r="U1988" s="86" t="str">
        <f>_xlfn.XLOOKUP(表格1[[#This Row],[Model]],表格3[Model-Input-Ref2],表格3[TOSHIBA/HIGHEST])</f>
        <v>Toshiba SRP</v>
      </c>
      <c r="V1988" s="86">
        <v>1111</v>
      </c>
      <c r="W1988" s="86" t="str">
        <f>_xlfn.CONCAT(表格1[[#This Row],[欄4]],表格1[[#This Row],[inv no]])</f>
        <v>1111519214</v>
      </c>
    </row>
    <row r="1989" spans="1:23" ht="16.5" hidden="1">
      <c r="A1989" s="81">
        <v>1987</v>
      </c>
      <c r="B1989" s="86" t="s">
        <v>1772</v>
      </c>
      <c r="C1989" s="86" t="s">
        <v>1773</v>
      </c>
      <c r="D1989" s="82" t="str">
        <f ca="1">OFFSET(Roster!$A$3,MATCH(表格1[[#This Row],[Location]]&amp;" "&amp;表格1[[#This Row],[Shop]]&amp;"*",Roster!$A$4:$A$72,0),DAY(表格1[[#This Row],[date]]),1,1)</f>
        <v>Michelle off</v>
      </c>
      <c r="E1989" s="81">
        <f>MONTH(表格1[[#This Row],[date]])</f>
        <v>3</v>
      </c>
      <c r="F1989" s="90">
        <v>46085</v>
      </c>
      <c r="G1989" s="81" t="str">
        <f>VLOOKUP("*"&amp;表格1[[#This Row],[Input]]&amp;"*",'Ref-List'!$B:$D,2,)</f>
        <v>AW-Q800APH(WW)</v>
      </c>
      <c r="H1989" s="81" t="str">
        <f>_xlfn.XLOOKUP(表格1[[#This Row],[Model]],表格3[Model-Input-Ref2],表格3[Product Line])</f>
        <v>日式洗衣機 (7公斤 結合高低水位)</v>
      </c>
      <c r="I1989" s="81" t="str">
        <f>_xlfn.XLOOKUP(表格1[[#This Row],[Model]],表格3[Model-Input-Ref2],表格3[大小電])</f>
        <v>大電</v>
      </c>
      <c r="J1989" s="81" t="str">
        <f>_xlfn.XLOOKUP(表格1[[#This Row],[Model]],表格3[Model-Input-Ref2],表格3[Code])</f>
        <v>LAD</v>
      </c>
      <c r="K1989" s="89" t="s">
        <v>1479</v>
      </c>
      <c r="L1989" s="86">
        <v>1</v>
      </c>
      <c r="M1989" s="87">
        <v>2088</v>
      </c>
      <c r="N1989" s="85">
        <f>IFERROR(表格1[[#This Row],[QTY]]*表格1[[#This Row],[Unit Price]],"-")</f>
        <v>2088</v>
      </c>
      <c r="O1989" s="86">
        <v>519249</v>
      </c>
      <c r="P1989" s="141"/>
      <c r="R1989" s="86" t="str">
        <f>_xlfn.CONCAT(表格1[[#This Row],[Model]]," ",表格1[[#This Row],[inv no]])</f>
        <v>AW-Q800APH(WW) 519249</v>
      </c>
      <c r="S1989" s="86">
        <f>_xlfn.XLOOKUP(表格1[[#This Row],[Model]],表格3[Model-Input-Ref2],表格3[SRP PRICE])</f>
        <v>3580</v>
      </c>
      <c r="T1989" s="43">
        <f>表格1[[#This Row],[Unit Price]]/表格1[[#This Row],[SRP]]</f>
        <v>0.5832402234636872</v>
      </c>
      <c r="U1989" s="86" t="str">
        <f>_xlfn.XLOOKUP(表格1[[#This Row],[Model]],表格3[Model-Input-Ref2],表格3[TOSHIBA/HIGHEST])</f>
        <v>Toshiba SRP</v>
      </c>
      <c r="V1989" s="86">
        <v>1111</v>
      </c>
      <c r="W1989" s="86" t="str">
        <f>_xlfn.CONCAT(表格1[[#This Row],[欄4]],表格1[[#This Row],[inv no]])</f>
        <v>1111519249</v>
      </c>
    </row>
    <row r="1990" spans="1:23" ht="16.5" hidden="1">
      <c r="A1990" s="81">
        <v>1988</v>
      </c>
      <c r="B1990" s="86" t="s">
        <v>1772</v>
      </c>
      <c r="C1990" s="86" t="s">
        <v>1773</v>
      </c>
      <c r="D1990" s="82" t="str">
        <f ca="1">OFFSET(Roster!$A$3,MATCH(表格1[[#This Row],[Location]]&amp;" "&amp;表格1[[#This Row],[Shop]]&amp;"*",Roster!$A$4:$A$72,0),DAY(表格1[[#This Row],[date]]),1,1)</f>
        <v>Michelle</v>
      </c>
      <c r="E1990" s="81">
        <f>MONTH(表格1[[#This Row],[date]])</f>
        <v>3</v>
      </c>
      <c r="F1990" s="90">
        <v>46086</v>
      </c>
      <c r="G1990" s="81" t="str">
        <f>VLOOKUP("*"&amp;表格1[[#This Row],[Input]]&amp;"*",'Ref-List'!$B:$D,2,)</f>
        <v>RC-5SLIH(W)</v>
      </c>
      <c r="H1990" s="81" t="str">
        <f>_xlfn.XLOOKUP(表格1[[#This Row],[Model]],表格3[Model-Input-Ref2],表格3[Product Line])</f>
        <v>微型電腦珍珠飯煲</v>
      </c>
      <c r="I1990" s="81" t="str">
        <f>_xlfn.XLOOKUP(表格1[[#This Row],[Model]],表格3[Model-Input-Ref2],表格3[大小電])</f>
        <v>細電</v>
      </c>
      <c r="J1990" s="81" t="str">
        <f>_xlfn.XLOOKUP(表格1[[#This Row],[Model]],表格3[Model-Input-Ref2],表格3[Code])</f>
        <v>SDA</v>
      </c>
      <c r="K1990" s="89" t="s">
        <v>1264</v>
      </c>
      <c r="L1990" s="86">
        <v>1</v>
      </c>
      <c r="M1990" s="87">
        <v>593</v>
      </c>
      <c r="N1990" s="85">
        <f>IFERROR(表格1[[#This Row],[QTY]]*表格1[[#This Row],[Unit Price]],"-")</f>
        <v>593</v>
      </c>
      <c r="O1990" s="86">
        <v>519252</v>
      </c>
      <c r="P1990" s="141"/>
      <c r="R1990" s="86" t="str">
        <f>_xlfn.CONCAT(表格1[[#This Row],[Model]]," ",表格1[[#This Row],[inv no]])</f>
        <v>RC-5SLIH(W) 519252</v>
      </c>
      <c r="S1990" s="86">
        <f>_xlfn.XLOOKUP(表格1[[#This Row],[Model]],表格3[Model-Input-Ref2],表格3[SRP PRICE])</f>
        <v>658</v>
      </c>
      <c r="T1990" s="43">
        <f>表格1[[#This Row],[Unit Price]]/表格1[[#This Row],[SRP]]</f>
        <v>0.90121580547112456</v>
      </c>
      <c r="U1990" s="86" t="str">
        <f>_xlfn.XLOOKUP(表格1[[#This Row],[Model]],表格3[Model-Input-Ref2],表格3[TOSHIBA/HIGHEST])</f>
        <v>Toshiba SRP</v>
      </c>
      <c r="V1990" s="86">
        <v>1111</v>
      </c>
      <c r="W1990" s="86" t="str">
        <f>_xlfn.CONCAT(表格1[[#This Row],[欄4]],表格1[[#This Row],[inv no]])</f>
        <v>1111519252</v>
      </c>
    </row>
    <row r="1991" spans="1:23" hidden="1">
      <c r="A1991" s="81">
        <v>1989</v>
      </c>
      <c r="B1991" s="86" t="s">
        <v>1772</v>
      </c>
      <c r="C1991" s="86" t="s">
        <v>1773</v>
      </c>
      <c r="D1991" s="82" t="str">
        <f ca="1">OFFSET(Roster!$A$3,MATCH(表格1[[#This Row],[Location]]&amp;" "&amp;表格1[[#This Row],[Shop]]&amp;"*",Roster!$A$4:$A$72,0),DAY(表格1[[#This Row],[date]]),1,1)</f>
        <v>Michelle</v>
      </c>
      <c r="E1991" s="81">
        <f>MONTH(表格1[[#This Row],[date]])</f>
        <v>3</v>
      </c>
      <c r="F1991" s="90">
        <v>46086</v>
      </c>
      <c r="G1991" s="81" t="str">
        <f>VLOOKUP("*"&amp;表格1[[#This Row],[Input]]&amp;"*",'Ref-List'!$B:$D,2,)</f>
        <v>RC-DR10T(W)</v>
      </c>
      <c r="H1991" s="81" t="str">
        <f>_xlfn.XLOOKUP(表格1[[#This Row],[Model]],表格3[Model-Input-Ref2],表格3[Product Line])</f>
        <v>IH磁應電飯煲</v>
      </c>
      <c r="I1991" s="81" t="str">
        <f>_xlfn.XLOOKUP(表格1[[#This Row],[Model]],表格3[Model-Input-Ref2],表格3[大小電])</f>
        <v>細電</v>
      </c>
      <c r="J1991" s="81" t="str">
        <f>_xlfn.XLOOKUP(表格1[[#This Row],[Model]],表格3[Model-Input-Ref2],表格3[Code])</f>
        <v>SDA</v>
      </c>
      <c r="K1991" s="89" t="s">
        <v>1294</v>
      </c>
      <c r="L1991" s="86">
        <v>1</v>
      </c>
      <c r="M1991" s="87">
        <v>2380</v>
      </c>
      <c r="N1991" s="85">
        <f>IFERROR(表格1[[#This Row],[QTY]]*表格1[[#This Row],[Unit Price]],"-")</f>
        <v>2380</v>
      </c>
      <c r="O1991" s="142">
        <v>519259</v>
      </c>
      <c r="R1991" s="86" t="str">
        <f>_xlfn.CONCAT(表格1[[#This Row],[Model]]," ",表格1[[#This Row],[inv no]])</f>
        <v>RC-DR10T(W) 519259</v>
      </c>
      <c r="S1991" s="86">
        <f>_xlfn.XLOOKUP(表格1[[#This Row],[Model]],表格3[Model-Input-Ref2],表格3[SRP PRICE])</f>
        <v>3188</v>
      </c>
      <c r="T1991" s="43">
        <f>表格1[[#This Row],[Unit Price]]/表格1[[#This Row],[SRP]]</f>
        <v>0.74654956085319946</v>
      </c>
      <c r="U1991" s="86" t="str">
        <f>_xlfn.XLOOKUP(表格1[[#This Row],[Model]],表格3[Model-Input-Ref2],表格3[TOSHIBA/HIGHEST])</f>
        <v>Toshiba SRP</v>
      </c>
      <c r="V1991" s="86">
        <v>1111</v>
      </c>
      <c r="W1991" s="86" t="str">
        <f>_xlfn.CONCAT(表格1[[#This Row],[欄4]],表格1[[#This Row],[inv no]])</f>
        <v>1111519259</v>
      </c>
    </row>
    <row r="1992" spans="1:23" hidden="1">
      <c r="A1992" s="81">
        <v>1990</v>
      </c>
      <c r="B1992" s="86" t="s">
        <v>1772</v>
      </c>
      <c r="C1992" s="86" t="s">
        <v>1773</v>
      </c>
      <c r="D1992" s="82" t="str">
        <f ca="1">OFFSET(Roster!$A$3,MATCH(表格1[[#This Row],[Location]]&amp;" "&amp;表格1[[#This Row],[Shop]]&amp;"*",Roster!$A$4:$A$72,0),DAY(表格1[[#This Row],[date]]),1,1)</f>
        <v>Michelle</v>
      </c>
      <c r="E1992" s="81">
        <f>MONTH(表格1[[#This Row],[date]])</f>
        <v>3</v>
      </c>
      <c r="F1992" s="90">
        <v>46086</v>
      </c>
      <c r="G1992" s="81" t="str">
        <f>VLOOKUP("*"&amp;表格1[[#This Row],[Input]]&amp;"*",'Ref-List'!$B:$D,2,)</f>
        <v>RC-DZ4K(N)</v>
      </c>
      <c r="H1992" s="81" t="str">
        <f>_xlfn.XLOOKUP(表格1[[#This Row],[Model]],表格3[Model-Input-Ref2],表格3[Product Line])</f>
        <v>IH磁應電飯煲</v>
      </c>
      <c r="I1992" s="81" t="str">
        <f>_xlfn.XLOOKUP(表格1[[#This Row],[Model]],表格3[Model-Input-Ref2],表格3[大小電])</f>
        <v>細電</v>
      </c>
      <c r="J1992" s="81" t="str">
        <f>_xlfn.XLOOKUP(表格1[[#This Row],[Model]],表格3[Model-Input-Ref2],表格3[Code])</f>
        <v>SDA</v>
      </c>
      <c r="K1992" s="89" t="s">
        <v>1561</v>
      </c>
      <c r="L1992" s="86">
        <v>1</v>
      </c>
      <c r="M1992" s="87">
        <v>3280</v>
      </c>
      <c r="N1992" s="85">
        <f>IFERROR(表格1[[#This Row],[QTY]]*表格1[[#This Row],[Unit Price]],"-")</f>
        <v>3280</v>
      </c>
      <c r="O1992" s="142">
        <v>519206</v>
      </c>
      <c r="R1992" s="86" t="str">
        <f>_xlfn.CONCAT(表格1[[#This Row],[Model]]," ",表格1[[#This Row],[inv no]])</f>
        <v>RC-DZ4K(N) 519206</v>
      </c>
      <c r="S1992" s="86">
        <f>_xlfn.XLOOKUP(表格1[[#This Row],[Model]],表格3[Model-Input-Ref2],表格3[SRP PRICE])</f>
        <v>3888</v>
      </c>
      <c r="T1992" s="43">
        <f>表格1[[#This Row],[Unit Price]]/表格1[[#This Row],[SRP]]</f>
        <v>0.84362139917695478</v>
      </c>
      <c r="U1992" s="86" t="str">
        <f>_xlfn.XLOOKUP(表格1[[#This Row],[Model]],表格3[Model-Input-Ref2],表格3[TOSHIBA/HIGHEST])</f>
        <v>Shops Highest Price</v>
      </c>
      <c r="V1992" s="86">
        <v>1111</v>
      </c>
      <c r="W1992" s="86" t="str">
        <f>_xlfn.CONCAT(表格1[[#This Row],[欄4]],表格1[[#This Row],[inv no]])</f>
        <v>1111519206</v>
      </c>
    </row>
    <row r="1993" spans="1:23" hidden="1">
      <c r="A1993" s="81">
        <v>1991</v>
      </c>
      <c r="B1993" s="86" t="s">
        <v>1772</v>
      </c>
      <c r="C1993" s="86" t="s">
        <v>1773</v>
      </c>
      <c r="D1993" s="82" t="str">
        <f ca="1">OFFSET(Roster!$A$3,MATCH(表格1[[#This Row],[Location]]&amp;" "&amp;表格1[[#This Row],[Shop]]&amp;"*",Roster!$A$4:$A$72,0),DAY(表格1[[#This Row],[date]]),1,1)</f>
        <v>Michelle</v>
      </c>
      <c r="E1993" s="81">
        <f>MONTH(表格1[[#This Row],[date]])</f>
        <v>3</v>
      </c>
      <c r="F1993" s="90">
        <v>46086</v>
      </c>
      <c r="G1993" s="81" t="str">
        <f>VLOOKUP("*"&amp;表格1[[#This Row],[Input]]&amp;"*",'Ref-List'!$B:$D,2,)</f>
        <v>RC-DZ4K(N)</v>
      </c>
      <c r="H1993" s="81" t="str">
        <f>_xlfn.XLOOKUP(表格1[[#This Row],[Model]],表格3[Model-Input-Ref2],表格3[Product Line])</f>
        <v>IH磁應電飯煲</v>
      </c>
      <c r="I1993" s="81" t="str">
        <f>_xlfn.XLOOKUP(表格1[[#This Row],[Model]],表格3[Model-Input-Ref2],表格3[大小電])</f>
        <v>細電</v>
      </c>
      <c r="J1993" s="81" t="str">
        <f>_xlfn.XLOOKUP(表格1[[#This Row],[Model]],表格3[Model-Input-Ref2],表格3[Code])</f>
        <v>SDA</v>
      </c>
      <c r="K1993" s="89" t="s">
        <v>1561</v>
      </c>
      <c r="L1993" s="86">
        <v>1</v>
      </c>
      <c r="M1993" s="87">
        <v>3280</v>
      </c>
      <c r="N1993" s="85">
        <f>IFERROR(表格1[[#This Row],[QTY]]*表格1[[#This Row],[Unit Price]],"-")</f>
        <v>3280</v>
      </c>
      <c r="O1993" s="86">
        <v>519267</v>
      </c>
      <c r="R1993" s="86" t="str">
        <f>_xlfn.CONCAT(表格1[[#This Row],[Model]]," ",表格1[[#This Row],[inv no]])</f>
        <v>RC-DZ4K(N) 519267</v>
      </c>
      <c r="S1993" s="86">
        <f>_xlfn.XLOOKUP(表格1[[#This Row],[Model]],表格3[Model-Input-Ref2],表格3[SRP PRICE])</f>
        <v>3888</v>
      </c>
      <c r="T1993" s="43">
        <f>表格1[[#This Row],[Unit Price]]/表格1[[#This Row],[SRP]]</f>
        <v>0.84362139917695478</v>
      </c>
      <c r="U1993" s="86" t="str">
        <f>_xlfn.XLOOKUP(表格1[[#This Row],[Model]],表格3[Model-Input-Ref2],表格3[TOSHIBA/HIGHEST])</f>
        <v>Shops Highest Price</v>
      </c>
      <c r="V1993" s="86">
        <v>1111</v>
      </c>
      <c r="W1993" s="86" t="str">
        <f>_xlfn.CONCAT(表格1[[#This Row],[欄4]],表格1[[#This Row],[inv no]])</f>
        <v>1111519267</v>
      </c>
    </row>
    <row r="1994" spans="1:23" hidden="1">
      <c r="A1994" s="81">
        <v>1992</v>
      </c>
      <c r="B1994" s="86" t="s">
        <v>1772</v>
      </c>
      <c r="C1994" s="86" t="s">
        <v>1773</v>
      </c>
      <c r="D1994" s="82" t="str">
        <f ca="1">OFFSET(Roster!$A$3,MATCH(表格1[[#This Row],[Location]]&amp;" "&amp;表格1[[#This Row],[Shop]]&amp;"*",Roster!$A$4:$A$72,0),DAY(表格1[[#This Row],[date]]),1,1)</f>
        <v>Michelle</v>
      </c>
      <c r="E1994" s="81">
        <f>MONTH(表格1[[#This Row],[date]])</f>
        <v>3</v>
      </c>
      <c r="F1994" s="90">
        <v>46086</v>
      </c>
      <c r="G1994" s="81" t="str">
        <f>VLOOKUP("*"&amp;表格1[[#This Row],[Input]]&amp;"*",'Ref-List'!$B:$D,2,)</f>
        <v>MM2-EM20PC(WH)</v>
      </c>
      <c r="H1994" s="81" t="str">
        <f>_xlfn.XLOOKUP(表格1[[#This Row],[Model]],表格3[Model-Input-Ref2],表格3[Product Line])</f>
        <v>輕觸式微波爐 (20公升)</v>
      </c>
      <c r="I1994" s="81" t="str">
        <f>_xlfn.XLOOKUP(表格1[[#This Row],[Model]],表格3[Model-Input-Ref2],表格3[大小電])</f>
        <v>細電</v>
      </c>
      <c r="J1994" s="81" t="str">
        <f>_xlfn.XLOOKUP(表格1[[#This Row],[Model]],表格3[Model-Input-Ref2],表格3[Code])</f>
        <v>MCA</v>
      </c>
      <c r="K1994" s="89" t="s">
        <v>1276</v>
      </c>
      <c r="L1994" s="86">
        <v>1</v>
      </c>
      <c r="M1994" s="87">
        <v>598</v>
      </c>
      <c r="N1994" s="85">
        <f>IFERROR(表格1[[#This Row],[QTY]]*表格1[[#This Row],[Unit Price]],"-")</f>
        <v>598</v>
      </c>
      <c r="O1994" s="86">
        <v>519260</v>
      </c>
      <c r="R1994" s="86" t="str">
        <f>_xlfn.CONCAT(表格1[[#This Row],[Model]]," ",表格1[[#This Row],[inv no]])</f>
        <v>MM2-EM20PC(WH) 519260</v>
      </c>
      <c r="S1994" s="86">
        <f>_xlfn.XLOOKUP(表格1[[#This Row],[Model]],表格3[Model-Input-Ref2],表格3[SRP PRICE])</f>
        <v>788</v>
      </c>
      <c r="T1994" s="43">
        <f>表格1[[#This Row],[Unit Price]]/表格1[[#This Row],[SRP]]</f>
        <v>0.75888324873096447</v>
      </c>
      <c r="U1994" s="86" t="str">
        <f>_xlfn.XLOOKUP(表格1[[#This Row],[Model]],表格3[Model-Input-Ref2],表格3[TOSHIBA/HIGHEST])</f>
        <v>Toshiba SRP</v>
      </c>
      <c r="V1994" s="86">
        <v>1111</v>
      </c>
      <c r="W1994" s="86" t="str">
        <f>_xlfn.CONCAT(表格1[[#This Row],[欄4]],表格1[[#This Row],[inv no]])</f>
        <v>1111519260</v>
      </c>
    </row>
    <row r="1995" spans="1:23" hidden="1">
      <c r="A1995" s="81">
        <v>1993</v>
      </c>
      <c r="B1995" s="86" t="s">
        <v>1772</v>
      </c>
      <c r="C1995" s="86" t="s">
        <v>1773</v>
      </c>
      <c r="D1995" s="82" t="str">
        <f ca="1">OFFSET(Roster!$A$3,MATCH(表格1[[#This Row],[Location]]&amp;" "&amp;表格1[[#This Row],[Shop]]&amp;"*",Roster!$A$4:$A$72,0),DAY(表格1[[#This Row],[date]]),1,1)</f>
        <v>Michelle</v>
      </c>
      <c r="E1995" s="81">
        <f>MONTH(表格1[[#This Row],[date]])</f>
        <v>3</v>
      </c>
      <c r="F1995" s="90">
        <v>46086</v>
      </c>
      <c r="G1995" s="81" t="str">
        <f>VLOOKUP("*"&amp;表格1[[#This Row],[Input]]&amp;"*",'Ref-List'!$B:$D,2,)</f>
        <v>GR-RB449WE-PMA(57)</v>
      </c>
      <c r="H1995" s="81" t="str">
        <f>_xlfn.XLOOKUP(表格1[[#This Row],[Model]],表格3[Model-Input-Ref2],表格3[Product Line])</f>
        <v>變頻下置式雙門雪櫃</v>
      </c>
      <c r="I1995" s="81" t="str">
        <f>_xlfn.XLOOKUP(表格1[[#This Row],[Model]],表格3[Model-Input-Ref2],表格3[大小電])</f>
        <v>大電</v>
      </c>
      <c r="J1995" s="81" t="str">
        <f>_xlfn.XLOOKUP(表格1[[#This Row],[Model]],表格3[Model-Input-Ref2],表格3[Code])</f>
        <v>REF</v>
      </c>
      <c r="K1995" s="89" t="s">
        <v>1484</v>
      </c>
      <c r="L1995" s="86">
        <v>1</v>
      </c>
      <c r="M1995" s="87">
        <v>4880</v>
      </c>
      <c r="N1995" s="85">
        <f>IFERROR(表格1[[#This Row],[QTY]]*表格1[[#This Row],[Unit Price]],"-")</f>
        <v>4880</v>
      </c>
      <c r="O1995" s="86">
        <v>519298</v>
      </c>
      <c r="R1995" s="86" t="str">
        <f>_xlfn.CONCAT(表格1[[#This Row],[Model]]," ",表格1[[#This Row],[inv no]])</f>
        <v>GR-RB449WE-PMA(57) 519298</v>
      </c>
      <c r="S1995" s="86">
        <f>_xlfn.XLOOKUP(表格1[[#This Row],[Model]],表格3[Model-Input-Ref2],表格3[SRP PRICE])</f>
        <v>6280</v>
      </c>
      <c r="T1995" s="43">
        <f>表格1[[#This Row],[Unit Price]]/表格1[[#This Row],[SRP]]</f>
        <v>0.77707006369426757</v>
      </c>
      <c r="U1995" s="86" t="str">
        <f>_xlfn.XLOOKUP(表格1[[#This Row],[Model]],表格3[Model-Input-Ref2],表格3[TOSHIBA/HIGHEST])</f>
        <v>Toshiba SRP</v>
      </c>
      <c r="V1995" s="86">
        <v>1111</v>
      </c>
      <c r="W1995" s="86" t="str">
        <f>_xlfn.CONCAT(表格1[[#This Row],[欄4]],表格1[[#This Row],[inv no]])</f>
        <v>1111519298</v>
      </c>
    </row>
    <row r="1996" spans="1:23" hidden="1">
      <c r="A1996" s="81">
        <v>1994</v>
      </c>
      <c r="B1996" s="86" t="s">
        <v>1772</v>
      </c>
      <c r="C1996" s="86" t="s">
        <v>1773</v>
      </c>
      <c r="D1996" s="82" t="str">
        <f ca="1">OFFSET(Roster!$A$3,MATCH(表格1[[#This Row],[Location]]&amp;" "&amp;表格1[[#This Row],[Shop]]&amp;"*",Roster!$A$4:$A$72,0),DAY(表格1[[#This Row],[date]]),1,1)</f>
        <v>Michelle</v>
      </c>
      <c r="E1996" s="81">
        <f>MONTH(表格1[[#This Row],[date]])</f>
        <v>3</v>
      </c>
      <c r="F1996" s="90">
        <v>46086</v>
      </c>
      <c r="G1996" s="81" t="str">
        <f>VLOOKUP("*"&amp;表格1[[#This Row],[Input]]&amp;"*",'Ref-List'!$B:$D,2,)</f>
        <v>RAD-D300H</v>
      </c>
      <c r="H1996" s="81" t="str">
        <f>_xlfn.XLOOKUP(表格1[[#This Row],[Model]],表格3[Model-Input-Ref2],表格3[Product Line])</f>
        <v>壓縮式抽濕機 (30公升)</v>
      </c>
      <c r="I1996" s="81" t="str">
        <f>_xlfn.XLOOKUP(表格1[[#This Row],[Model]],表格3[Model-Input-Ref2],表格3[大小電])</f>
        <v>細電</v>
      </c>
      <c r="J1996" s="81" t="str">
        <f>_xlfn.XLOOKUP(表格1[[#This Row],[Model]],表格3[Model-Input-Ref2],表格3[Code])</f>
        <v>RAC</v>
      </c>
      <c r="K1996" s="89" t="s">
        <v>1252</v>
      </c>
      <c r="L1996" s="86">
        <v>1</v>
      </c>
      <c r="M1996" s="87">
        <v>2280</v>
      </c>
      <c r="N1996" s="85">
        <f>IFERROR(表格1[[#This Row],[QTY]]*表格1[[#This Row],[Unit Price]],"-")</f>
        <v>2280</v>
      </c>
      <c r="O1996" s="86">
        <v>519291</v>
      </c>
      <c r="R1996" s="86" t="str">
        <f>_xlfn.CONCAT(表格1[[#This Row],[Model]]," ",表格1[[#This Row],[inv no]])</f>
        <v>RAD-D300H 519291</v>
      </c>
      <c r="S1996" s="86">
        <f>_xlfn.XLOOKUP(表格1[[#This Row],[Model]],表格3[Model-Input-Ref2],表格3[SRP PRICE])</f>
        <v>3380</v>
      </c>
      <c r="T1996" s="43">
        <f>表格1[[#This Row],[Unit Price]]/表格1[[#This Row],[SRP]]</f>
        <v>0.67455621301775148</v>
      </c>
      <c r="U1996" s="86" t="str">
        <f>_xlfn.XLOOKUP(表格1[[#This Row],[Model]],表格3[Model-Input-Ref2],表格3[TOSHIBA/HIGHEST])</f>
        <v>Shops Highest Price</v>
      </c>
      <c r="V1996" s="86">
        <v>1111</v>
      </c>
      <c r="W1996" s="86" t="str">
        <f>_xlfn.CONCAT(表格1[[#This Row],[欄4]],表格1[[#This Row],[inv no]])</f>
        <v>1111519291</v>
      </c>
    </row>
    <row r="1997" spans="1:23" hidden="1">
      <c r="A1997" s="81">
        <v>1995</v>
      </c>
      <c r="B1997" s="86" t="s">
        <v>1772</v>
      </c>
      <c r="C1997" s="86" t="s">
        <v>1773</v>
      </c>
      <c r="D1997" s="82" t="str">
        <f ca="1">OFFSET(Roster!$A$3,MATCH(表格1[[#This Row],[Location]]&amp;" "&amp;表格1[[#This Row],[Shop]]&amp;"*",Roster!$A$4:$A$72,0),DAY(表格1[[#This Row],[date]]),1,1)</f>
        <v>Michelle</v>
      </c>
      <c r="E1997" s="81">
        <f>MONTH(表格1[[#This Row],[date]])</f>
        <v>3</v>
      </c>
      <c r="F1997" s="90">
        <v>46086</v>
      </c>
      <c r="G1997" s="81" t="str">
        <f>VLOOKUP("*"&amp;表格1[[#This Row],[Input]]&amp;"*",'Ref-List'!$B:$D,2,)</f>
        <v>TL-MC35Z</v>
      </c>
      <c r="H1997" s="81" t="str">
        <f>_xlfn.XLOOKUP(表格1[[#This Row],[Model]],表格3[Model-Input-Ref2],表格3[Product Line])</f>
        <v>35L多功能電焗爐</v>
      </c>
      <c r="I1997" s="81" t="str">
        <f>_xlfn.XLOOKUP(表格1[[#This Row],[Model]],表格3[Model-Input-Ref2],表格3[大小電])</f>
        <v>細電</v>
      </c>
      <c r="J1997" s="81" t="str">
        <f>_xlfn.XLOOKUP(表格1[[#This Row],[Model]],表格3[Model-Input-Ref2],表格3[Code])</f>
        <v>SDA</v>
      </c>
      <c r="K1997" s="89" t="s">
        <v>1295</v>
      </c>
      <c r="L1997" s="86">
        <v>1</v>
      </c>
      <c r="M1997" s="87">
        <v>888</v>
      </c>
      <c r="N1997" s="85">
        <f>IFERROR(表格1[[#This Row],[QTY]]*表格1[[#This Row],[Unit Price]],"-")</f>
        <v>888</v>
      </c>
      <c r="O1997" s="86">
        <v>519282</v>
      </c>
      <c r="R1997" s="86" t="str">
        <f>_xlfn.CONCAT(表格1[[#This Row],[Model]]," ",表格1[[#This Row],[inv no]])</f>
        <v>TL-MC35Z 519282</v>
      </c>
      <c r="S1997" s="86">
        <f>_xlfn.XLOOKUP(表格1[[#This Row],[Model]],表格3[Model-Input-Ref2],表格3[SRP PRICE])</f>
        <v>1098</v>
      </c>
      <c r="T1997" s="43">
        <f>表格1[[#This Row],[Unit Price]]/表格1[[#This Row],[SRP]]</f>
        <v>0.80874316939890711</v>
      </c>
      <c r="U1997" s="86" t="str">
        <f>_xlfn.XLOOKUP(表格1[[#This Row],[Model]],表格3[Model-Input-Ref2],表格3[TOSHIBA/HIGHEST])</f>
        <v>Toshiba SRP</v>
      </c>
      <c r="V1997" s="86">
        <v>1111</v>
      </c>
      <c r="W1997" s="86" t="str">
        <f>_xlfn.CONCAT(表格1[[#This Row],[欄4]],表格1[[#This Row],[inv no]])</f>
        <v>1111519282</v>
      </c>
    </row>
    <row r="1998" spans="1:23" hidden="1">
      <c r="A1998" s="81">
        <v>1996</v>
      </c>
      <c r="B1998" s="86" t="s">
        <v>1772</v>
      </c>
      <c r="C1998" s="86" t="s">
        <v>1773</v>
      </c>
      <c r="D1998" s="82" t="str">
        <f ca="1">OFFSET(Roster!$A$3,MATCH(表格1[[#This Row],[Location]]&amp;" "&amp;表格1[[#This Row],[Shop]]&amp;"*",Roster!$A$4:$A$72,0),DAY(表格1[[#This Row],[date]]),1,1)</f>
        <v>Michelle</v>
      </c>
      <c r="E1998" s="81">
        <f>MONTH(表格1[[#This Row],[date]])</f>
        <v>3</v>
      </c>
      <c r="F1998" s="90">
        <v>46086</v>
      </c>
      <c r="G1998" s="81" t="str">
        <f>VLOOKUP("*"&amp;表格1[[#This Row],[Input]]&amp;"*",'Ref-List'!$B:$D,2,)</f>
        <v>KT-17DRTHK(H)</v>
      </c>
      <c r="H1998" s="81" t="str">
        <f>_xlfn.XLOOKUP(表格1[[#This Row],[Model]],表格3[Model-Input-Ref2],表格3[Product Line])</f>
        <v>無線雙層電熱水壺(1.7公升)</v>
      </c>
      <c r="I1998" s="81" t="str">
        <f>_xlfn.XLOOKUP(表格1[[#This Row],[Model]],表格3[Model-Input-Ref2],表格3[大小電])</f>
        <v>細電</v>
      </c>
      <c r="J1998" s="81" t="str">
        <f>_xlfn.XLOOKUP(表格1[[#This Row],[Model]],表格3[Model-Input-Ref2],表格3[Code])</f>
        <v>SDA</v>
      </c>
      <c r="K1998" s="89" t="s">
        <v>1271</v>
      </c>
      <c r="L1998" s="86">
        <v>1</v>
      </c>
      <c r="M1998" s="87">
        <v>388</v>
      </c>
      <c r="N1998" s="85">
        <f>IFERROR(表格1[[#This Row],[QTY]]*表格1[[#This Row],[Unit Price]],"-")</f>
        <v>388</v>
      </c>
      <c r="O1998" s="142">
        <v>519297</v>
      </c>
      <c r="R1998" s="86" t="str">
        <f>_xlfn.CONCAT(表格1[[#This Row],[Model]]," ",表格1[[#This Row],[inv no]])</f>
        <v>KT-17DRTHK(H) 519297</v>
      </c>
      <c r="S1998" s="86">
        <f>_xlfn.XLOOKUP(表格1[[#This Row],[Model]],表格3[Model-Input-Ref2],表格3[SRP PRICE])</f>
        <v>498</v>
      </c>
      <c r="T1998" s="43">
        <f>表格1[[#This Row],[Unit Price]]/表格1[[#This Row],[SRP]]</f>
        <v>0.77911646586345384</v>
      </c>
      <c r="U1998" s="86" t="str">
        <f>_xlfn.XLOOKUP(表格1[[#This Row],[Model]],表格3[Model-Input-Ref2],表格3[TOSHIBA/HIGHEST])</f>
        <v>Toshiba SRP</v>
      </c>
      <c r="V1998" s="86">
        <v>1111</v>
      </c>
      <c r="W1998" s="86" t="str">
        <f>_xlfn.CONCAT(表格1[[#This Row],[欄4]],表格1[[#This Row],[inv no]])</f>
        <v>1111519297</v>
      </c>
    </row>
    <row r="1999" spans="1:23" hidden="1">
      <c r="A1999" s="81">
        <v>1997</v>
      </c>
      <c r="B1999" s="86" t="s">
        <v>1772</v>
      </c>
      <c r="C1999" s="86" t="s">
        <v>1773</v>
      </c>
      <c r="D1999" s="82" t="str">
        <f ca="1">OFFSET(Roster!$A$3,MATCH(表格1[[#This Row],[Location]]&amp;" "&amp;表格1[[#This Row],[Shop]]&amp;"*",Roster!$A$4:$A$72,0),DAY(表格1[[#This Row],[date]]),1,1)</f>
        <v>Michelle</v>
      </c>
      <c r="E1999" s="81">
        <f>MONTH(表格1[[#This Row],[date]])</f>
        <v>3</v>
      </c>
      <c r="F1999" s="90">
        <v>46087</v>
      </c>
      <c r="G1999" s="81" t="str">
        <f>VLOOKUP("*"&amp;表格1[[#This Row],[Input]]&amp;"*",'Ref-List'!$B:$D,2,)</f>
        <v>MWP-MM20P(WH)</v>
      </c>
      <c r="H1999" s="81" t="str">
        <f>_xlfn.XLOOKUP(表格1[[#This Row],[Model]],表格3[Model-Input-Ref2],表格3[Product Line])</f>
        <v>旋鈕式燒烤微波爐20L</v>
      </c>
      <c r="I1999" s="81" t="str">
        <f>_xlfn.XLOOKUP(表格1[[#This Row],[Model]],表格3[Model-Input-Ref2],表格3[大小電])</f>
        <v>細電</v>
      </c>
      <c r="J1999" s="81" t="str">
        <f>_xlfn.XLOOKUP(表格1[[#This Row],[Model]],表格3[Model-Input-Ref2],表格3[Code])</f>
        <v>SDA</v>
      </c>
      <c r="K1999" s="89" t="s">
        <v>1270</v>
      </c>
      <c r="L1999" s="86">
        <v>1</v>
      </c>
      <c r="M1999" s="87">
        <v>488</v>
      </c>
      <c r="N1999" s="85">
        <f>IFERROR(表格1[[#This Row],[QTY]]*表格1[[#This Row],[Unit Price]],"-")</f>
        <v>488</v>
      </c>
      <c r="O1999" s="142">
        <v>519330</v>
      </c>
      <c r="R1999" s="86" t="str">
        <f>_xlfn.CONCAT(表格1[[#This Row],[Model]]," ",表格1[[#This Row],[inv no]])</f>
        <v>MWP-MM20P(WH) 519330</v>
      </c>
      <c r="S1999" s="86">
        <f>_xlfn.XLOOKUP(表格1[[#This Row],[Model]],表格3[Model-Input-Ref2],表格3[SRP PRICE])</f>
        <v>648</v>
      </c>
      <c r="T1999" s="43">
        <f>表格1[[#This Row],[Unit Price]]/表格1[[#This Row],[SRP]]</f>
        <v>0.75308641975308643</v>
      </c>
      <c r="U1999" s="86" t="str">
        <f>_xlfn.XLOOKUP(表格1[[#This Row],[Model]],表格3[Model-Input-Ref2],表格3[TOSHIBA/HIGHEST])</f>
        <v>Toshiba SRP</v>
      </c>
      <c r="V1999" s="86">
        <v>1111</v>
      </c>
      <c r="W1999" s="86" t="str">
        <f>_xlfn.CONCAT(表格1[[#This Row],[欄4]],表格1[[#This Row],[inv no]])</f>
        <v>1111519330</v>
      </c>
    </row>
    <row r="2000" spans="1:23" hidden="1">
      <c r="A2000" s="81">
        <v>1998</v>
      </c>
      <c r="B2000" s="86" t="s">
        <v>1772</v>
      </c>
      <c r="C2000" s="86" t="s">
        <v>1773</v>
      </c>
      <c r="D2000" s="82" t="str">
        <f ca="1">OFFSET(Roster!$A$3,MATCH(表格1[[#This Row],[Location]]&amp;" "&amp;表格1[[#This Row],[Shop]]&amp;"*",Roster!$A$4:$A$72,0),DAY(表格1[[#This Row],[date]]),1,1)</f>
        <v>Michelle</v>
      </c>
      <c r="E2000" s="81">
        <f>MONTH(表格1[[#This Row],[date]])</f>
        <v>3</v>
      </c>
      <c r="F2000" s="90">
        <v>46087</v>
      </c>
      <c r="G2000" s="81" t="str">
        <f>VLOOKUP("*"&amp;表格1[[#This Row],[Input]]&amp;"*",'Ref-List'!$B:$D,2,)</f>
        <v>KT-17SHNH</v>
      </c>
      <c r="H2000" s="81" t="str">
        <f>_xlfn.XLOOKUP(表格1[[#This Row],[Model]],表格3[Model-Input-Ref2],表格3[Product Line])</f>
        <v>1.7L無線雙層電熱水壺</v>
      </c>
      <c r="I2000" s="81" t="str">
        <f>_xlfn.XLOOKUP(表格1[[#This Row],[Model]],表格3[Model-Input-Ref2],表格3[大小電])</f>
        <v>細電</v>
      </c>
      <c r="J2000" s="81" t="str">
        <f>_xlfn.XLOOKUP(表格1[[#This Row],[Model]],表格3[Model-Input-Ref2],表格3[Code])</f>
        <v>SDA</v>
      </c>
      <c r="K2000" s="89" t="s">
        <v>1283</v>
      </c>
      <c r="L2000" s="86">
        <v>1</v>
      </c>
      <c r="M2000" s="87">
        <v>198</v>
      </c>
      <c r="N2000" s="85">
        <f>IFERROR(表格1[[#This Row],[QTY]]*表格1[[#This Row],[Unit Price]],"-")</f>
        <v>198</v>
      </c>
      <c r="O2000" s="86">
        <v>519321</v>
      </c>
      <c r="R2000" s="86" t="str">
        <f>_xlfn.CONCAT(表格1[[#This Row],[Model]]," ",表格1[[#This Row],[inv no]])</f>
        <v>KT-17SHNH 519321</v>
      </c>
      <c r="S2000" s="86">
        <f>_xlfn.XLOOKUP(表格1[[#This Row],[Model]],表格3[Model-Input-Ref2],表格3[SRP PRICE])</f>
        <v>299</v>
      </c>
      <c r="T2000" s="43">
        <f>表格1[[#This Row],[Unit Price]]/表格1[[#This Row],[SRP]]</f>
        <v>0.66220735785953178</v>
      </c>
      <c r="U2000" s="86" t="str">
        <f>_xlfn.XLOOKUP(表格1[[#This Row],[Model]],表格3[Model-Input-Ref2],表格3[TOSHIBA/HIGHEST])</f>
        <v>Shops Highest Price</v>
      </c>
      <c r="V2000" s="86">
        <v>1111</v>
      </c>
      <c r="W2000" s="86" t="str">
        <f>_xlfn.CONCAT(表格1[[#This Row],[欄4]],表格1[[#This Row],[inv no]])</f>
        <v>1111519321</v>
      </c>
    </row>
    <row r="2001" spans="1:23" hidden="1">
      <c r="A2001" s="81">
        <v>1999</v>
      </c>
      <c r="B2001" s="86" t="s">
        <v>1772</v>
      </c>
      <c r="C2001" s="86" t="s">
        <v>1773</v>
      </c>
      <c r="D2001" s="82" t="str">
        <f ca="1">OFFSET(Roster!$A$3,MATCH(表格1[[#This Row],[Location]]&amp;" "&amp;表格1[[#This Row],[Shop]]&amp;"*",Roster!$A$4:$A$72,0),DAY(表格1[[#This Row],[date]]),1,1)</f>
        <v>Michelle</v>
      </c>
      <c r="E2001" s="81">
        <f>MONTH(表格1[[#This Row],[date]])</f>
        <v>3</v>
      </c>
      <c r="F2001" s="90">
        <v>46088</v>
      </c>
      <c r="G2001" s="81" t="str">
        <f>VLOOKUP("*"&amp;表格1[[#This Row],[Input]]&amp;"*",'Ref-List'!$B:$D,2,)</f>
        <v>RC-18NMFIH(WT)</v>
      </c>
      <c r="H2001" s="81" t="str">
        <f>_xlfn.XLOOKUP(表格1[[#This Row],[Model]],表格3[Model-Input-Ref2],表格3[Product Line])</f>
        <v>4毫米厚釜電飯煲1.8L</v>
      </c>
      <c r="I2001" s="81" t="str">
        <f>_xlfn.XLOOKUP(表格1[[#This Row],[Model]],表格3[Model-Input-Ref2],表格3[大小電])</f>
        <v>細電</v>
      </c>
      <c r="J2001" s="81" t="str">
        <f>_xlfn.XLOOKUP(表格1[[#This Row],[Model]],表格3[Model-Input-Ref2],表格3[Code])</f>
        <v>SDA</v>
      </c>
      <c r="K2001" s="89" t="s">
        <v>1267</v>
      </c>
      <c r="L2001" s="86">
        <v>1</v>
      </c>
      <c r="M2001" s="87">
        <v>799</v>
      </c>
      <c r="N2001" s="85">
        <f>IFERROR(表格1[[#This Row],[QTY]]*表格1[[#This Row],[Unit Price]],"-")</f>
        <v>799</v>
      </c>
      <c r="O2001" s="86">
        <v>519336</v>
      </c>
      <c r="R2001" s="86" t="str">
        <f>_xlfn.CONCAT(表格1[[#This Row],[Model]]," ",表格1[[#This Row],[inv no]])</f>
        <v>RC-18NMFIH(WT) 519336</v>
      </c>
      <c r="S2001" s="86">
        <f>_xlfn.XLOOKUP(表格1[[#This Row],[Model]],表格3[Model-Input-Ref2],表格3[SRP PRICE])</f>
        <v>998</v>
      </c>
      <c r="T2001" s="43">
        <f>表格1[[#This Row],[Unit Price]]/表格1[[#This Row],[SRP]]</f>
        <v>0.80060120240480959</v>
      </c>
      <c r="U2001" s="86" t="str">
        <f>_xlfn.XLOOKUP(表格1[[#This Row],[Model]],表格3[Model-Input-Ref2],表格3[TOSHIBA/HIGHEST])</f>
        <v>Toshiba SRP</v>
      </c>
      <c r="V2001" s="86">
        <v>1111</v>
      </c>
      <c r="W2001" s="86" t="str">
        <f>_xlfn.CONCAT(表格1[[#This Row],[欄4]],表格1[[#This Row],[inv no]])</f>
        <v>1111519336</v>
      </c>
    </row>
    <row r="2002" spans="1:23" hidden="1">
      <c r="A2002" s="81">
        <v>2000</v>
      </c>
      <c r="B2002" s="86" t="s">
        <v>1772</v>
      </c>
      <c r="C2002" s="86" t="s">
        <v>1773</v>
      </c>
      <c r="D2002" s="82" t="str">
        <f ca="1">OFFSET(Roster!$A$3,MATCH(表格1[[#This Row],[Location]]&amp;" "&amp;表格1[[#This Row],[Shop]]&amp;"*",Roster!$A$4:$A$72,0),DAY(表格1[[#This Row],[date]]),1,1)</f>
        <v>Michelle</v>
      </c>
      <c r="E2002" s="81">
        <f>MONTH(表格1[[#This Row],[date]])</f>
        <v>3</v>
      </c>
      <c r="F2002" s="90">
        <v>46088</v>
      </c>
      <c r="G2002" s="81" t="str">
        <f>VLOOKUP("*"&amp;表格1[[#This Row],[Input]]&amp;"*",'Ref-List'!$B:$D,2,)</f>
        <v>RC-10DRNH</v>
      </c>
      <c r="H2002" s="81" t="str">
        <f>_xlfn.XLOOKUP(表格1[[#This Row],[Model]],表格3[Model-Input-Ref2],表格3[Product Line])</f>
        <v>多功能備長炭本厚釜電飯煲1L</v>
      </c>
      <c r="I2002" s="81" t="str">
        <f>_xlfn.XLOOKUP(表格1[[#This Row],[Model]],表格3[Model-Input-Ref2],表格3[大小電])</f>
        <v>細電</v>
      </c>
      <c r="J2002" s="81" t="str">
        <f>_xlfn.XLOOKUP(表格1[[#This Row],[Model]],表格3[Model-Input-Ref2],表格3[Code])</f>
        <v>SDA</v>
      </c>
      <c r="K2002" s="89" t="s">
        <v>1376</v>
      </c>
      <c r="L2002" s="86">
        <v>1</v>
      </c>
      <c r="M2002" s="87">
        <v>499</v>
      </c>
      <c r="N2002" s="85">
        <f>IFERROR(表格1[[#This Row],[QTY]]*表格1[[#This Row],[Unit Price]],"-")</f>
        <v>499</v>
      </c>
      <c r="O2002" s="86">
        <v>519339</v>
      </c>
      <c r="R2002" s="86" t="str">
        <f>_xlfn.CONCAT(表格1[[#This Row],[Model]]," ",表格1[[#This Row],[inv no]])</f>
        <v>RC-10DRNH 519339</v>
      </c>
      <c r="S2002" s="86">
        <f>_xlfn.XLOOKUP(表格1[[#This Row],[Model]],表格3[Model-Input-Ref2],表格3[SRP PRICE])</f>
        <v>798</v>
      </c>
      <c r="T2002" s="43">
        <f>表格1[[#This Row],[Unit Price]]/表格1[[#This Row],[SRP]]</f>
        <v>0.62531328320802004</v>
      </c>
      <c r="U2002" s="86" t="str">
        <f>_xlfn.XLOOKUP(表格1[[#This Row],[Model]],表格3[Model-Input-Ref2],表格3[TOSHIBA/HIGHEST])</f>
        <v>Toshiba SRP</v>
      </c>
      <c r="V2002" s="86">
        <v>1111</v>
      </c>
      <c r="W2002" s="86" t="str">
        <f>_xlfn.CONCAT(表格1[[#This Row],[欄4]],表格1[[#This Row],[inv no]])</f>
        <v>1111519339</v>
      </c>
    </row>
    <row r="2003" spans="1:23" hidden="1">
      <c r="A2003" s="81">
        <v>2001</v>
      </c>
      <c r="B2003" s="86" t="s">
        <v>1772</v>
      </c>
      <c r="C2003" s="86" t="s">
        <v>1773</v>
      </c>
      <c r="D2003" s="82" t="str">
        <f ca="1">OFFSET(Roster!$A$3,MATCH(表格1[[#This Row],[Location]]&amp;" "&amp;表格1[[#This Row],[Shop]]&amp;"*",Roster!$A$4:$A$72,0),DAY(表格1[[#This Row],[date]]),1,1)</f>
        <v>Michelle</v>
      </c>
      <c r="E2003" s="81">
        <f>MONTH(表格1[[#This Row],[date]])</f>
        <v>3</v>
      </c>
      <c r="F2003" s="90">
        <v>46088</v>
      </c>
      <c r="G2003" s="81" t="str">
        <f>VLOOKUP("*"&amp;表格1[[#This Row],[Input]]&amp;"*",'Ref-List'!$B:$D,2,)</f>
        <v>MX2-STR25SC(WH)</v>
      </c>
      <c r="H2003" s="81" t="str">
        <f>_xlfn.XLOOKUP(表格1[[#This Row],[Model]],表格3[Model-Input-Ref2],表格3[Product Line])</f>
        <v>4合1氣炸微波蒸焗爐(25公升)</v>
      </c>
      <c r="I2003" s="81" t="str">
        <f>_xlfn.XLOOKUP(表格1[[#This Row],[Model]],表格3[Model-Input-Ref2],表格3[大小電])</f>
        <v>細電</v>
      </c>
      <c r="J2003" s="81" t="str">
        <f>_xlfn.XLOOKUP(表格1[[#This Row],[Model]],表格3[Model-Input-Ref2],表格3[Code])</f>
        <v>MCA</v>
      </c>
      <c r="K2003" s="89" t="s">
        <v>1410</v>
      </c>
      <c r="L2003" s="86">
        <v>1</v>
      </c>
      <c r="M2003" s="87">
        <v>3580</v>
      </c>
      <c r="N2003" s="85">
        <f>IFERROR(表格1[[#This Row],[QTY]]*表格1[[#This Row],[Unit Price]],"-")</f>
        <v>3580</v>
      </c>
      <c r="O2003" s="142">
        <v>519392</v>
      </c>
      <c r="R2003" s="86" t="str">
        <f>_xlfn.CONCAT(表格1[[#This Row],[Model]]," ",表格1[[#This Row],[inv no]])</f>
        <v>MX2-STR25SC(WH) 519392</v>
      </c>
      <c r="S2003" s="86">
        <f>_xlfn.XLOOKUP(表格1[[#This Row],[Model]],表格3[Model-Input-Ref2],表格3[SRP PRICE])</f>
        <v>4998</v>
      </c>
      <c r="T2003" s="43">
        <f>表格1[[#This Row],[Unit Price]]/表格1[[#This Row],[SRP]]</f>
        <v>0.71628651460584236</v>
      </c>
      <c r="U2003" s="86" t="str">
        <f>_xlfn.XLOOKUP(表格1[[#This Row],[Model]],表格3[Model-Input-Ref2],表格3[TOSHIBA/HIGHEST])</f>
        <v>Toshiba SRP</v>
      </c>
      <c r="V2003" s="86">
        <v>1111</v>
      </c>
      <c r="W2003" s="86" t="str">
        <f>_xlfn.CONCAT(表格1[[#This Row],[欄4]],表格1[[#This Row],[inv no]])</f>
        <v>1111519392</v>
      </c>
    </row>
    <row r="2004" spans="1:23" hidden="1">
      <c r="A2004" s="81">
        <v>2002</v>
      </c>
      <c r="B2004" s="86" t="s">
        <v>1772</v>
      </c>
      <c r="C2004" s="86" t="s">
        <v>1773</v>
      </c>
      <c r="D2004" s="82" t="str">
        <f ca="1">OFFSET(Roster!$A$3,MATCH(表格1[[#This Row],[Location]]&amp;" "&amp;表格1[[#This Row],[Shop]]&amp;"*",Roster!$A$4:$A$72,0),DAY(表格1[[#This Row],[date]]),1,1)</f>
        <v>Michelle</v>
      </c>
      <c r="E2004" s="81">
        <f>MONTH(表格1[[#This Row],[date]])</f>
        <v>3</v>
      </c>
      <c r="F2004" s="90">
        <v>46088</v>
      </c>
      <c r="G2004" s="81" t="str">
        <f>VLOOKUP("*"&amp;表格1[[#This Row],[Input]]&amp;"*",'Ref-List'!$B:$D,2,)</f>
        <v>GR-RT300WE-PMA(57)</v>
      </c>
      <c r="H2004" s="81" t="str">
        <f>_xlfn.XLOOKUP(表格1[[#This Row],[Model]],表格3[Model-Input-Ref2],表格3[Product Line])</f>
        <v>變頻式環保雙門雪櫃(233L)</v>
      </c>
      <c r="I2004" s="81" t="str">
        <f>_xlfn.XLOOKUP(表格1[[#This Row],[Model]],表格3[Model-Input-Ref2],表格3[大小電])</f>
        <v>大電</v>
      </c>
      <c r="J2004" s="81" t="str">
        <f>_xlfn.XLOOKUP(表格1[[#This Row],[Model]],表格3[Model-Input-Ref2],表格3[Code])</f>
        <v>REF</v>
      </c>
      <c r="K2004" s="89" t="s">
        <v>1462</v>
      </c>
      <c r="L2004" s="86">
        <v>1</v>
      </c>
      <c r="M2004" s="87">
        <v>2780</v>
      </c>
      <c r="N2004" s="85">
        <f>IFERROR(表格1[[#This Row],[QTY]]*表格1[[#This Row],[Unit Price]],"-")</f>
        <v>2780</v>
      </c>
      <c r="O2004" s="142">
        <v>519372</v>
      </c>
      <c r="R2004" s="86" t="str">
        <f>_xlfn.CONCAT(表格1[[#This Row],[Model]]," ",表格1[[#This Row],[inv no]])</f>
        <v>GR-RT300WE-PMA(57) 519372</v>
      </c>
      <c r="S2004" s="86">
        <f>_xlfn.XLOOKUP(表格1[[#This Row],[Model]],表格3[Model-Input-Ref2],表格3[SRP PRICE])</f>
        <v>4280</v>
      </c>
      <c r="T2004" s="43">
        <f>表格1[[#This Row],[Unit Price]]/表格1[[#This Row],[SRP]]</f>
        <v>0.64953271028037385</v>
      </c>
      <c r="U2004" s="86" t="str">
        <f>_xlfn.XLOOKUP(表格1[[#This Row],[Model]],表格3[Model-Input-Ref2],表格3[TOSHIBA/HIGHEST])</f>
        <v>Toshiba SRP</v>
      </c>
      <c r="V2004" s="86">
        <v>1111</v>
      </c>
      <c r="W2004" s="86" t="str">
        <f>_xlfn.CONCAT(表格1[[#This Row],[欄4]],表格1[[#This Row],[inv no]])</f>
        <v>1111519372</v>
      </c>
    </row>
    <row r="2005" spans="1:23" hidden="1">
      <c r="A2005" s="81">
        <v>2003</v>
      </c>
      <c r="B2005" s="86" t="s">
        <v>1772</v>
      </c>
      <c r="C2005" s="86" t="s">
        <v>1773</v>
      </c>
      <c r="D2005" s="82" t="str">
        <f ca="1">OFFSET(Roster!$A$3,MATCH(表格1[[#This Row],[Location]]&amp;" "&amp;表格1[[#This Row],[Shop]]&amp;"*",Roster!$A$4:$A$72,0),DAY(表格1[[#This Row],[date]]),1,1)</f>
        <v>Michelle</v>
      </c>
      <c r="E2005" s="81">
        <f>MONTH(表格1[[#This Row],[date]])</f>
        <v>3</v>
      </c>
      <c r="F2005" s="90">
        <v>46088</v>
      </c>
      <c r="G2005" s="81" t="str">
        <f>VLOOKUP("*"&amp;表格1[[#This Row],[Input]]&amp;"*",'Ref-List'!$B:$D,2,)</f>
        <v>GR-RB449WE-PMA(57)</v>
      </c>
      <c r="H2005" s="81" t="str">
        <f>_xlfn.XLOOKUP(表格1[[#This Row],[Model]],表格3[Model-Input-Ref2],表格3[Product Line])</f>
        <v>變頻下置式雙門雪櫃</v>
      </c>
      <c r="I2005" s="81" t="str">
        <f>_xlfn.XLOOKUP(表格1[[#This Row],[Model]],表格3[Model-Input-Ref2],表格3[大小電])</f>
        <v>大電</v>
      </c>
      <c r="J2005" s="81" t="str">
        <f>_xlfn.XLOOKUP(表格1[[#This Row],[Model]],表格3[Model-Input-Ref2],表格3[Code])</f>
        <v>REF</v>
      </c>
      <c r="K2005" s="89" t="s">
        <v>1484</v>
      </c>
      <c r="L2005" s="86">
        <v>1</v>
      </c>
      <c r="M2005" s="87">
        <v>4880</v>
      </c>
      <c r="N2005" s="85">
        <f>IFERROR(表格1[[#This Row],[QTY]]*表格1[[#This Row],[Unit Price]],"-")</f>
        <v>4880</v>
      </c>
      <c r="O2005" s="86">
        <v>519393</v>
      </c>
      <c r="R2005" s="86" t="str">
        <f>_xlfn.CONCAT(表格1[[#This Row],[Model]]," ",表格1[[#This Row],[inv no]])</f>
        <v>GR-RB449WE-PMA(57) 519393</v>
      </c>
      <c r="S2005" s="86">
        <f>_xlfn.XLOOKUP(表格1[[#This Row],[Model]],表格3[Model-Input-Ref2],表格3[SRP PRICE])</f>
        <v>6280</v>
      </c>
      <c r="T2005" s="43">
        <f>表格1[[#This Row],[Unit Price]]/表格1[[#This Row],[SRP]]</f>
        <v>0.77707006369426757</v>
      </c>
      <c r="U2005" s="86" t="str">
        <f>_xlfn.XLOOKUP(表格1[[#This Row],[Model]],表格3[Model-Input-Ref2],表格3[TOSHIBA/HIGHEST])</f>
        <v>Toshiba SRP</v>
      </c>
      <c r="V2005" s="86">
        <v>1111</v>
      </c>
      <c r="W2005" s="86" t="str">
        <f>_xlfn.CONCAT(表格1[[#This Row],[欄4]],表格1[[#This Row],[inv no]])</f>
        <v>1111519393</v>
      </c>
    </row>
    <row r="2006" spans="1:23" hidden="1">
      <c r="A2006" s="81">
        <v>2004</v>
      </c>
      <c r="B2006" s="86" t="s">
        <v>1772</v>
      </c>
      <c r="C2006" s="86" t="s">
        <v>1773</v>
      </c>
      <c r="D2006" s="82" t="str">
        <f ca="1">OFFSET(Roster!$A$3,MATCH(表格1[[#This Row],[Location]]&amp;" "&amp;表格1[[#This Row],[Shop]]&amp;"*",Roster!$A$4:$A$72,0),DAY(表格1[[#This Row],[date]]),1,1)</f>
        <v>Michelle</v>
      </c>
      <c r="E2006" s="81">
        <f>MONTH(表格1[[#This Row],[date]])</f>
        <v>3</v>
      </c>
      <c r="F2006" s="90">
        <v>46088</v>
      </c>
      <c r="G2006" s="81" t="str">
        <f>VLOOKUP("*"&amp;表格1[[#This Row],[Input]]&amp;"*",'Ref-List'!$B:$D,2,)</f>
        <v>GR-RB449WE-PMA(57)</v>
      </c>
      <c r="H2006" s="81" t="str">
        <f>_xlfn.XLOOKUP(表格1[[#This Row],[Model]],表格3[Model-Input-Ref2],表格3[Product Line])</f>
        <v>變頻下置式雙門雪櫃</v>
      </c>
      <c r="I2006" s="81" t="str">
        <f>_xlfn.XLOOKUP(表格1[[#This Row],[Model]],表格3[Model-Input-Ref2],表格3[大小電])</f>
        <v>大電</v>
      </c>
      <c r="J2006" s="81" t="str">
        <f>_xlfn.XLOOKUP(表格1[[#This Row],[Model]],表格3[Model-Input-Ref2],表格3[Code])</f>
        <v>REF</v>
      </c>
      <c r="K2006" s="89" t="s">
        <v>1484</v>
      </c>
      <c r="L2006" s="86">
        <v>1</v>
      </c>
      <c r="M2006" s="87">
        <v>4880</v>
      </c>
      <c r="N2006" s="85">
        <f>IFERROR(表格1[[#This Row],[QTY]]*表格1[[#This Row],[Unit Price]],"-")</f>
        <v>4880</v>
      </c>
      <c r="O2006" s="142">
        <v>519395</v>
      </c>
      <c r="R2006" s="86" t="str">
        <f>_xlfn.CONCAT(表格1[[#This Row],[Model]]," ",表格1[[#This Row],[inv no]])</f>
        <v>GR-RB449WE-PMA(57) 519395</v>
      </c>
      <c r="S2006" s="86">
        <f>_xlfn.XLOOKUP(表格1[[#This Row],[Model]],表格3[Model-Input-Ref2],表格3[SRP PRICE])</f>
        <v>6280</v>
      </c>
      <c r="T2006" s="43">
        <f>表格1[[#This Row],[Unit Price]]/表格1[[#This Row],[SRP]]</f>
        <v>0.77707006369426757</v>
      </c>
      <c r="U2006" s="86" t="str">
        <f>_xlfn.XLOOKUP(表格1[[#This Row],[Model]],表格3[Model-Input-Ref2],表格3[TOSHIBA/HIGHEST])</f>
        <v>Toshiba SRP</v>
      </c>
      <c r="V2006" s="86">
        <v>1111</v>
      </c>
      <c r="W2006" s="86" t="str">
        <f>_xlfn.CONCAT(表格1[[#This Row],[欄4]],表格1[[#This Row],[inv no]])</f>
        <v>1111519395</v>
      </c>
    </row>
    <row r="2007" spans="1:23" hidden="1">
      <c r="A2007" s="81">
        <v>2005</v>
      </c>
      <c r="B2007" s="86" t="s">
        <v>1772</v>
      </c>
      <c r="C2007" s="86" t="s">
        <v>1773</v>
      </c>
      <c r="D2007" s="82" t="str">
        <f ca="1">OFFSET(Roster!$A$3,MATCH(表格1[[#This Row],[Location]]&amp;" "&amp;表格1[[#This Row],[Shop]]&amp;"*",Roster!$A$4:$A$72,0),DAY(表格1[[#This Row],[date]]),1,1)</f>
        <v>Michelle</v>
      </c>
      <c r="E2007" s="81">
        <f>MONTH(表格1[[#This Row],[date]])</f>
        <v>3</v>
      </c>
      <c r="F2007" s="90">
        <v>46088</v>
      </c>
      <c r="G2007" s="81" t="str">
        <f>VLOOKUP("*"&amp;表格1[[#This Row],[Input]]&amp;"*",'Ref-List'!$B:$D,2,)</f>
        <v>GR-RM598WE-PGA(B3)</v>
      </c>
      <c r="H2007" s="81" t="str">
        <f>_xlfn.XLOOKUP(表格1[[#This Row],[Model]],表格3[Model-Input-Ref2],表格3[Product Line])</f>
        <v>變頻六門雪櫃(451L)</v>
      </c>
      <c r="I2007" s="81" t="str">
        <f>_xlfn.XLOOKUP(表格1[[#This Row],[Model]],表格3[Model-Input-Ref2],表格3[大小電])</f>
        <v>大電</v>
      </c>
      <c r="J2007" s="81" t="str">
        <f>_xlfn.XLOOKUP(表格1[[#This Row],[Model]],表格3[Model-Input-Ref2],表格3[Code])</f>
        <v>REF</v>
      </c>
      <c r="K2007" s="89" t="s">
        <v>1491</v>
      </c>
      <c r="L2007" s="86">
        <v>1</v>
      </c>
      <c r="M2007" s="87">
        <v>10590</v>
      </c>
      <c r="N2007" s="85">
        <f>IFERROR(表格1[[#This Row],[QTY]]*表格1[[#This Row],[Unit Price]],"-")</f>
        <v>10590</v>
      </c>
      <c r="O2007" s="86">
        <v>519391</v>
      </c>
      <c r="R2007" s="86" t="str">
        <f>_xlfn.CONCAT(表格1[[#This Row],[Model]]," ",表格1[[#This Row],[inv no]])</f>
        <v>GR-RM598WE-PGA(B3) 519391</v>
      </c>
      <c r="S2007" s="86">
        <f>_xlfn.XLOOKUP(表格1[[#This Row],[Model]],表格3[Model-Input-Ref2],表格3[SRP PRICE])</f>
        <v>14980</v>
      </c>
      <c r="T2007" s="43">
        <f>表格1[[#This Row],[Unit Price]]/表格1[[#This Row],[SRP]]</f>
        <v>0.70694259012016025</v>
      </c>
      <c r="U2007" s="86" t="str">
        <f>_xlfn.XLOOKUP(表格1[[#This Row],[Model]],表格3[Model-Input-Ref2],表格3[TOSHIBA/HIGHEST])</f>
        <v>Toshiba SRP</v>
      </c>
      <c r="V2007" s="86">
        <v>1111</v>
      </c>
      <c r="W2007" s="86" t="str">
        <f>_xlfn.CONCAT(表格1[[#This Row],[欄4]],表格1[[#This Row],[inv no]])</f>
        <v>1111519391</v>
      </c>
    </row>
    <row r="2008" spans="1:23" hidden="1">
      <c r="A2008" s="81">
        <v>2006</v>
      </c>
      <c r="B2008" s="86" t="s">
        <v>1772</v>
      </c>
      <c r="C2008" s="86" t="s">
        <v>1773</v>
      </c>
      <c r="D2008" s="82" t="str">
        <f ca="1">OFFSET(Roster!$A$3,MATCH(表格1[[#This Row],[Location]]&amp;" "&amp;表格1[[#This Row],[Shop]]&amp;"*",Roster!$A$4:$A$72,0),DAY(表格1[[#This Row],[date]]),1,1)</f>
        <v>Michelle</v>
      </c>
      <c r="E2008" s="81">
        <f>MONTH(表格1[[#This Row],[date]])</f>
        <v>3</v>
      </c>
      <c r="F2008" s="90">
        <v>46088</v>
      </c>
      <c r="G2008" s="81" t="str">
        <f>VLOOKUP("*"&amp;表格1[[#This Row],[Input]]&amp;"*",'Ref-List'!$B:$D,2,)</f>
        <v>TW-T21BU80UWH(MG)</v>
      </c>
      <c r="H2008" s="81" t="str">
        <f>_xlfn.XLOOKUP(表格1[[#This Row],[Model]],表格3[Model-Input-Ref2],表格3[Product Line])</f>
        <v>400MM超薄身前置式變頻洗衣機(7公斤)</v>
      </c>
      <c r="I2008" s="81" t="str">
        <f>_xlfn.XLOOKUP(表格1[[#This Row],[Model]],表格3[Model-Input-Ref2],表格3[大小電])</f>
        <v>大電</v>
      </c>
      <c r="J2008" s="81" t="str">
        <f>_xlfn.XLOOKUP(表格1[[#This Row],[Model]],表格3[Model-Input-Ref2],表格3[Code])</f>
        <v>LAD</v>
      </c>
      <c r="K2008" s="89" t="s">
        <v>1280</v>
      </c>
      <c r="L2008" s="86">
        <v>1</v>
      </c>
      <c r="M2008" s="87">
        <v>3090</v>
      </c>
      <c r="N2008" s="85">
        <f>IFERROR(表格1[[#This Row],[QTY]]*表格1[[#This Row],[Unit Price]],"-")</f>
        <v>3090</v>
      </c>
      <c r="O2008" s="86">
        <v>519372</v>
      </c>
      <c r="R2008" s="86" t="str">
        <f>_xlfn.CONCAT(表格1[[#This Row],[Model]]," ",表格1[[#This Row],[inv no]])</f>
        <v>TW-T21BU80UWH(MG) 519372</v>
      </c>
      <c r="S2008" s="86">
        <f>_xlfn.XLOOKUP(表格1[[#This Row],[Model]],表格3[Model-Input-Ref2],表格3[SRP PRICE])</f>
        <v>5180</v>
      </c>
      <c r="T2008" s="43">
        <f>表格1[[#This Row],[Unit Price]]/表格1[[#This Row],[SRP]]</f>
        <v>0.59652509652509655</v>
      </c>
      <c r="U2008" s="86" t="str">
        <f>_xlfn.XLOOKUP(表格1[[#This Row],[Model]],表格3[Model-Input-Ref2],表格3[TOSHIBA/HIGHEST])</f>
        <v>Toshiba SRP</v>
      </c>
      <c r="V2008" s="86">
        <v>1111</v>
      </c>
      <c r="W2008" s="86" t="str">
        <f>_xlfn.CONCAT(表格1[[#This Row],[欄4]],表格1[[#This Row],[inv no]])</f>
        <v>1111519372</v>
      </c>
    </row>
    <row r="2009" spans="1:23" hidden="1">
      <c r="A2009" s="81">
        <v>2007</v>
      </c>
      <c r="B2009" s="86" t="s">
        <v>1772</v>
      </c>
      <c r="C2009" s="86" t="s">
        <v>1773</v>
      </c>
      <c r="D2009" s="82" t="str">
        <f ca="1">OFFSET(Roster!$A$3,MATCH(表格1[[#This Row],[Location]]&amp;" "&amp;表格1[[#This Row],[Shop]]&amp;"*",Roster!$A$4:$A$72,0),DAY(表格1[[#This Row],[date]]),1,1)</f>
        <v>Michelle</v>
      </c>
      <c r="E2009" s="81">
        <f>MONTH(表格1[[#This Row],[date]])</f>
        <v>3</v>
      </c>
      <c r="F2009" s="90">
        <v>46089</v>
      </c>
      <c r="G2009" s="81" t="str">
        <f>VLOOKUP("*"&amp;表格1[[#This Row],[Input]]&amp;"*",'Ref-List'!$B:$D,2,)</f>
        <v>RC-10NMFIH(WT)</v>
      </c>
      <c r="H2009" s="81" t="str">
        <f>_xlfn.XLOOKUP(表格1[[#This Row],[Model]],表格3[Model-Input-Ref2],表格3[Product Line])</f>
        <v>4毫米厚釜電飯煲1L</v>
      </c>
      <c r="I2009" s="81" t="str">
        <f>_xlfn.XLOOKUP(表格1[[#This Row],[Model]],表格3[Model-Input-Ref2],表格3[大小電])</f>
        <v>細電</v>
      </c>
      <c r="J2009" s="81" t="str">
        <f>_xlfn.XLOOKUP(表格1[[#This Row],[Model]],表格3[Model-Input-Ref2],表格3[Code])</f>
        <v>SDA</v>
      </c>
      <c r="K2009" s="89" t="s">
        <v>1244</v>
      </c>
      <c r="L2009" s="86">
        <v>1</v>
      </c>
      <c r="M2009" s="87">
        <v>719</v>
      </c>
      <c r="N2009" s="85">
        <f>IFERROR(表格1[[#This Row],[QTY]]*表格1[[#This Row],[Unit Price]],"-")</f>
        <v>719</v>
      </c>
      <c r="O2009" s="142">
        <v>519419</v>
      </c>
      <c r="R2009" s="86" t="str">
        <f>_xlfn.CONCAT(表格1[[#This Row],[Model]]," ",表格1[[#This Row],[inv no]])</f>
        <v>RC-10NMFIH(WT) 519419</v>
      </c>
      <c r="S2009" s="86">
        <f>_xlfn.XLOOKUP(表格1[[#This Row],[Model]],表格3[Model-Input-Ref2],表格3[SRP PRICE])</f>
        <v>898</v>
      </c>
      <c r="T2009" s="43">
        <f>表格1[[#This Row],[Unit Price]]/表格1[[#This Row],[SRP]]</f>
        <v>0.80066815144766146</v>
      </c>
      <c r="U2009" s="86" t="str">
        <f>_xlfn.XLOOKUP(表格1[[#This Row],[Model]],表格3[Model-Input-Ref2],表格3[TOSHIBA/HIGHEST])</f>
        <v>Toshiba SRP</v>
      </c>
      <c r="V2009" s="86">
        <v>1111</v>
      </c>
      <c r="W2009" s="86" t="str">
        <f>_xlfn.CONCAT(表格1[[#This Row],[欄4]],表格1[[#This Row],[inv no]])</f>
        <v>1111519419</v>
      </c>
    </row>
    <row r="2010" spans="1:23" hidden="1">
      <c r="A2010" s="81">
        <v>2008</v>
      </c>
      <c r="B2010" s="86" t="s">
        <v>1772</v>
      </c>
      <c r="C2010" s="86" t="s">
        <v>1773</v>
      </c>
      <c r="D2010" s="82" t="str">
        <f ca="1">OFFSET(Roster!$A$3,MATCH(表格1[[#This Row],[Location]]&amp;" "&amp;表格1[[#This Row],[Shop]]&amp;"*",Roster!$A$4:$A$72,0),DAY(表格1[[#This Row],[date]]),1,1)</f>
        <v>Michelle</v>
      </c>
      <c r="E2010" s="81">
        <f>MONTH(表格1[[#This Row],[date]])</f>
        <v>3</v>
      </c>
      <c r="F2010" s="90">
        <v>46089</v>
      </c>
      <c r="G2010" s="81" t="str">
        <f>VLOOKUP("*"&amp;表格1[[#This Row],[Input]]&amp;"*",'Ref-List'!$B:$D,2,)</f>
        <v>RC-18DRNH</v>
      </c>
      <c r="H2010" s="81" t="str">
        <f>_xlfn.XLOOKUP(表格1[[#This Row],[Model]],表格3[Model-Input-Ref2],表格3[Product Line])</f>
        <v>多功能備長炭本厚釜電飯煲1.8L</v>
      </c>
      <c r="I2010" s="81" t="str">
        <f>_xlfn.XLOOKUP(表格1[[#This Row],[Model]],表格3[Model-Input-Ref2],表格3[大小電])</f>
        <v>細電</v>
      </c>
      <c r="J2010" s="81" t="str">
        <f>_xlfn.XLOOKUP(表格1[[#This Row],[Model]],表格3[Model-Input-Ref2],表格3[Code])</f>
        <v>SDA</v>
      </c>
      <c r="K2010" s="89" t="s">
        <v>1389</v>
      </c>
      <c r="L2010" s="86">
        <v>1</v>
      </c>
      <c r="M2010" s="87">
        <v>619</v>
      </c>
      <c r="N2010" s="85">
        <f>IFERROR(表格1[[#This Row],[QTY]]*表格1[[#This Row],[Unit Price]],"-")</f>
        <v>619</v>
      </c>
      <c r="O2010" s="86">
        <v>519449</v>
      </c>
      <c r="R2010" s="86" t="str">
        <f>_xlfn.CONCAT(表格1[[#This Row],[Model]]," ",表格1[[#This Row],[inv no]])</f>
        <v>RC-18DRNH 519449</v>
      </c>
      <c r="S2010" s="86">
        <f>_xlfn.XLOOKUP(表格1[[#This Row],[Model]],表格3[Model-Input-Ref2],表格3[SRP PRICE])</f>
        <v>898</v>
      </c>
      <c r="T2010" s="43">
        <f>表格1[[#This Row],[Unit Price]]/表格1[[#This Row],[SRP]]</f>
        <v>0.68930957683741645</v>
      </c>
      <c r="U2010" s="86" t="str">
        <f>_xlfn.XLOOKUP(表格1[[#This Row],[Model]],表格3[Model-Input-Ref2],表格3[TOSHIBA/HIGHEST])</f>
        <v>Toshiba SRP</v>
      </c>
      <c r="V2010" s="86">
        <v>1111</v>
      </c>
      <c r="W2010" s="86" t="str">
        <f>_xlfn.CONCAT(表格1[[#This Row],[欄4]],表格1[[#This Row],[inv no]])</f>
        <v>1111519449</v>
      </c>
    </row>
    <row r="2011" spans="1:23" ht="16.5" hidden="1">
      <c r="A2011" s="81">
        <v>2009</v>
      </c>
      <c r="B2011" s="86" t="s">
        <v>1772</v>
      </c>
      <c r="C2011" s="86" t="s">
        <v>1773</v>
      </c>
      <c r="D2011" s="82" t="str">
        <f ca="1">OFFSET(Roster!$A$3,MATCH(表格1[[#This Row],[Location]]&amp;" "&amp;表格1[[#This Row],[Shop]]&amp;"*",Roster!$A$4:$A$72,0),DAY(表格1[[#This Row],[date]]),1,1)</f>
        <v>Michelle</v>
      </c>
      <c r="E2011" s="81">
        <f>MONTH(表格1[[#This Row],[date]])</f>
        <v>3</v>
      </c>
      <c r="F2011" s="90">
        <v>46089</v>
      </c>
      <c r="G2011" s="81" t="str">
        <f>VLOOKUP("*"&amp;表格1[[#This Row],[Input]]&amp;"*",'Ref-List'!$B:$D,2,)</f>
        <v>RC-10ISSHK(W)</v>
      </c>
      <c r="H2011" s="81" t="str">
        <f>_xlfn.XLOOKUP(表格1[[#This Row],[Model]],表格3[Model-Input-Ref2],表格3[Product Line])</f>
        <v>磁應電飯煲(1公升)</v>
      </c>
      <c r="I2011" s="81" t="str">
        <f>_xlfn.XLOOKUP(表格1[[#This Row],[Model]],表格3[Model-Input-Ref2],表格3[大小電])</f>
        <v>細電</v>
      </c>
      <c r="J2011" s="81" t="str">
        <f>_xlfn.XLOOKUP(表格1[[#This Row],[Model]],表格3[Model-Input-Ref2],表格3[Code])</f>
        <v>SDA</v>
      </c>
      <c r="K2011" s="89" t="s">
        <v>1286</v>
      </c>
      <c r="L2011" s="86">
        <v>1</v>
      </c>
      <c r="M2011" s="87">
        <v>938</v>
      </c>
      <c r="N2011" s="85">
        <f>IFERROR(表格1[[#This Row],[QTY]]*表格1[[#This Row],[Unit Price]],"-")</f>
        <v>938</v>
      </c>
      <c r="O2011" s="86">
        <v>519401</v>
      </c>
      <c r="P2011" s="141"/>
      <c r="R2011" s="86" t="str">
        <f>_xlfn.CONCAT(表格1[[#This Row],[Model]]," ",表格1[[#This Row],[inv no]])</f>
        <v>RC-10ISSHK(W) 519401</v>
      </c>
      <c r="S2011" s="86">
        <f>_xlfn.XLOOKUP(表格1[[#This Row],[Model]],表格3[Model-Input-Ref2],表格3[SRP PRICE])</f>
        <v>1188</v>
      </c>
      <c r="T2011" s="43">
        <f>表格1[[#This Row],[Unit Price]]/表格1[[#This Row],[SRP]]</f>
        <v>0.78956228956228958</v>
      </c>
      <c r="U2011" s="86" t="str">
        <f>_xlfn.XLOOKUP(表格1[[#This Row],[Model]],表格3[Model-Input-Ref2],表格3[TOSHIBA/HIGHEST])</f>
        <v>Shops Highest Price</v>
      </c>
      <c r="V2011" s="86">
        <v>1111</v>
      </c>
      <c r="W2011" s="86" t="str">
        <f>_xlfn.CONCAT(表格1[[#This Row],[欄4]],表格1[[#This Row],[inv no]])</f>
        <v>1111519401</v>
      </c>
    </row>
    <row r="2012" spans="1:23" hidden="1">
      <c r="A2012" s="81">
        <v>2010</v>
      </c>
      <c r="B2012" s="86" t="s">
        <v>1772</v>
      </c>
      <c r="C2012" s="86" t="s">
        <v>1773</v>
      </c>
      <c r="D2012" s="82" t="str">
        <f ca="1">OFFSET(Roster!$A$3,MATCH(表格1[[#This Row],[Location]]&amp;" "&amp;表格1[[#This Row],[Shop]]&amp;"*",Roster!$A$4:$A$72,0),DAY(表格1[[#This Row],[date]]),1,1)</f>
        <v>Michelle</v>
      </c>
      <c r="E2012" s="81">
        <f>MONTH(表格1[[#This Row],[date]])</f>
        <v>3</v>
      </c>
      <c r="F2012" s="90">
        <v>46089</v>
      </c>
      <c r="G2012" s="81" t="str">
        <f>VLOOKUP("*"&amp;表格1[[#This Row],[Input]]&amp;"*",'Ref-List'!$B:$D,2,)</f>
        <v>MWP-MM20P(WH)</v>
      </c>
      <c r="H2012" s="81" t="str">
        <f>_xlfn.XLOOKUP(表格1[[#This Row],[Model]],表格3[Model-Input-Ref2],表格3[Product Line])</f>
        <v>旋鈕式燒烤微波爐20L</v>
      </c>
      <c r="I2012" s="81" t="str">
        <f>_xlfn.XLOOKUP(表格1[[#This Row],[Model]],表格3[Model-Input-Ref2],表格3[大小電])</f>
        <v>細電</v>
      </c>
      <c r="J2012" s="81" t="str">
        <f>_xlfn.XLOOKUP(表格1[[#This Row],[Model]],表格3[Model-Input-Ref2],表格3[Code])</f>
        <v>SDA</v>
      </c>
      <c r="K2012" s="89" t="s">
        <v>1270</v>
      </c>
      <c r="L2012" s="86">
        <v>1</v>
      </c>
      <c r="M2012" s="87">
        <v>579</v>
      </c>
      <c r="N2012" s="85">
        <f>IFERROR(表格1[[#This Row],[QTY]]*表格1[[#This Row],[Unit Price]],"-")</f>
        <v>579</v>
      </c>
      <c r="O2012" s="142">
        <v>519461</v>
      </c>
      <c r="R2012" s="86" t="str">
        <f>_xlfn.CONCAT(表格1[[#This Row],[Model]]," ",表格1[[#This Row],[inv no]])</f>
        <v>MWP-MM20P(WH) 519461</v>
      </c>
      <c r="S2012" s="86">
        <f>_xlfn.XLOOKUP(表格1[[#This Row],[Model]],表格3[Model-Input-Ref2],表格3[SRP PRICE])</f>
        <v>648</v>
      </c>
      <c r="T2012" s="43">
        <f>表格1[[#This Row],[Unit Price]]/表格1[[#This Row],[SRP]]</f>
        <v>0.89351851851851849</v>
      </c>
      <c r="U2012" s="86" t="str">
        <f>_xlfn.XLOOKUP(表格1[[#This Row],[Model]],表格3[Model-Input-Ref2],表格3[TOSHIBA/HIGHEST])</f>
        <v>Toshiba SRP</v>
      </c>
      <c r="V2012" s="86">
        <v>1111</v>
      </c>
      <c r="W2012" s="86" t="str">
        <f>_xlfn.CONCAT(表格1[[#This Row],[欄4]],表格1[[#This Row],[inv no]])</f>
        <v>1111519461</v>
      </c>
    </row>
    <row r="2013" spans="1:23" hidden="1">
      <c r="A2013" s="81">
        <v>2011</v>
      </c>
      <c r="B2013" s="86" t="s">
        <v>1772</v>
      </c>
      <c r="C2013" s="86" t="s">
        <v>1773</v>
      </c>
      <c r="D2013" s="82" t="str">
        <f ca="1">OFFSET(Roster!$A$3,MATCH(表格1[[#This Row],[Location]]&amp;" "&amp;表格1[[#This Row],[Shop]]&amp;"*",Roster!$A$4:$A$72,0),DAY(表格1[[#This Row],[date]]),1,1)</f>
        <v>Michelle</v>
      </c>
      <c r="E2013" s="81">
        <f>MONTH(表格1[[#This Row],[date]])</f>
        <v>3</v>
      </c>
      <c r="F2013" s="90">
        <v>46089</v>
      </c>
      <c r="G2013" s="81" t="str">
        <f>VLOOKUP("*"&amp;表格1[[#This Row],[Input]]&amp;"*",'Ref-List'!$B:$D,2,)</f>
        <v>GR-RT234WE-PMA(57)</v>
      </c>
      <c r="H2013" s="81" t="str">
        <f>_xlfn.XLOOKUP(表格1[[#This Row],[Model]],表格3[Model-Input-Ref2],表格3[Product Line])</f>
        <v>變頻式環保雙門雪櫃（179L）</v>
      </c>
      <c r="I2013" s="81" t="str">
        <f>_xlfn.XLOOKUP(表格1[[#This Row],[Model]],表格3[Model-Input-Ref2],表格3[大小電])</f>
        <v>大電</v>
      </c>
      <c r="J2013" s="81" t="str">
        <f>_xlfn.XLOOKUP(表格1[[#This Row],[Model]],表格3[Model-Input-Ref2],表格3[Code])</f>
        <v>REF</v>
      </c>
      <c r="K2013" s="89" t="s">
        <v>1423</v>
      </c>
      <c r="L2013" s="86">
        <v>1</v>
      </c>
      <c r="M2013" s="87">
        <v>1980</v>
      </c>
      <c r="N2013" s="85">
        <f>IFERROR(表格1[[#This Row],[QTY]]*表格1[[#This Row],[Unit Price]],"-")</f>
        <v>1980</v>
      </c>
      <c r="O2013" s="142">
        <v>519408</v>
      </c>
      <c r="P2013" s="143"/>
      <c r="R2013" s="86" t="str">
        <f>_xlfn.CONCAT(表格1[[#This Row],[Model]]," ",表格1[[#This Row],[inv no]])</f>
        <v>GR-RT234WE-PMA(57) 519408</v>
      </c>
      <c r="S2013" s="86">
        <f>_xlfn.XLOOKUP(表格1[[#This Row],[Model]],表格3[Model-Input-Ref2],表格3[SRP PRICE])</f>
        <v>3680</v>
      </c>
      <c r="T2013" s="43">
        <f>表格1[[#This Row],[Unit Price]]/表格1[[#This Row],[SRP]]</f>
        <v>0.53804347826086951</v>
      </c>
      <c r="U2013" s="86" t="str">
        <f>_xlfn.XLOOKUP(表格1[[#This Row],[Model]],表格3[Model-Input-Ref2],表格3[TOSHIBA/HIGHEST])</f>
        <v>Toshiba SRP</v>
      </c>
      <c r="V2013" s="86">
        <v>1111</v>
      </c>
      <c r="W2013" s="86" t="str">
        <f>_xlfn.CONCAT(表格1[[#This Row],[欄4]],表格1[[#This Row],[inv no]])</f>
        <v>1111519408</v>
      </c>
    </row>
    <row r="2014" spans="1:23" hidden="1">
      <c r="A2014" s="81">
        <v>2012</v>
      </c>
      <c r="B2014" s="86" t="s">
        <v>1772</v>
      </c>
      <c r="C2014" s="86" t="s">
        <v>1773</v>
      </c>
      <c r="D2014" s="82" t="str">
        <f ca="1">OFFSET(Roster!$A$3,MATCH(表格1[[#This Row],[Location]]&amp;" "&amp;表格1[[#This Row],[Shop]]&amp;"*",Roster!$A$4:$A$72,0),DAY(表格1[[#This Row],[date]]),1,1)</f>
        <v>Michelle</v>
      </c>
      <c r="E2014" s="81">
        <f>MONTH(表格1[[#This Row],[date]])</f>
        <v>3</v>
      </c>
      <c r="F2014" s="90">
        <v>46089</v>
      </c>
      <c r="G2014" s="81" t="str">
        <f>VLOOKUP("*"&amp;表格1[[#This Row],[Input]]&amp;"*",'Ref-List'!$B:$D,2,)</f>
        <v>GR-RT300WE-PMA(57)</v>
      </c>
      <c r="H2014" s="81" t="str">
        <f>_xlfn.XLOOKUP(表格1[[#This Row],[Model]],表格3[Model-Input-Ref2],表格3[Product Line])</f>
        <v>變頻式環保雙門雪櫃(233L)</v>
      </c>
      <c r="I2014" s="81" t="str">
        <f>_xlfn.XLOOKUP(表格1[[#This Row],[Model]],表格3[Model-Input-Ref2],表格3[大小電])</f>
        <v>大電</v>
      </c>
      <c r="J2014" s="81" t="str">
        <f>_xlfn.XLOOKUP(表格1[[#This Row],[Model]],表格3[Model-Input-Ref2],表格3[Code])</f>
        <v>REF</v>
      </c>
      <c r="K2014" s="89" t="s">
        <v>1462</v>
      </c>
      <c r="L2014" s="86">
        <v>1</v>
      </c>
      <c r="M2014" s="87">
        <v>2780</v>
      </c>
      <c r="N2014" s="85">
        <f>IFERROR(表格1[[#This Row],[QTY]]*表格1[[#This Row],[Unit Price]],"-")</f>
        <v>2780</v>
      </c>
      <c r="O2014" s="142">
        <v>519413</v>
      </c>
      <c r="R2014" s="86" t="str">
        <f>_xlfn.CONCAT(表格1[[#This Row],[Model]]," ",表格1[[#This Row],[inv no]])</f>
        <v>GR-RT300WE-PMA(57) 519413</v>
      </c>
      <c r="S2014" s="86">
        <f>_xlfn.XLOOKUP(表格1[[#This Row],[Model]],表格3[Model-Input-Ref2],表格3[SRP PRICE])</f>
        <v>4280</v>
      </c>
      <c r="T2014" s="43">
        <f>表格1[[#This Row],[Unit Price]]/表格1[[#This Row],[SRP]]</f>
        <v>0.64953271028037385</v>
      </c>
      <c r="U2014" s="86" t="str">
        <f>_xlfn.XLOOKUP(表格1[[#This Row],[Model]],表格3[Model-Input-Ref2],表格3[TOSHIBA/HIGHEST])</f>
        <v>Toshiba SRP</v>
      </c>
      <c r="V2014" s="86">
        <v>1111</v>
      </c>
      <c r="W2014" s="86" t="str">
        <f>_xlfn.CONCAT(表格1[[#This Row],[欄4]],表格1[[#This Row],[inv no]])</f>
        <v>1111519413</v>
      </c>
    </row>
    <row r="2015" spans="1:23" hidden="1">
      <c r="A2015" s="81">
        <v>2013</v>
      </c>
      <c r="B2015" s="86" t="s">
        <v>1772</v>
      </c>
      <c r="C2015" s="86" t="s">
        <v>1773</v>
      </c>
      <c r="D2015" s="82" t="str">
        <f ca="1">OFFSET(Roster!$A$3,MATCH(表格1[[#This Row],[Location]]&amp;" "&amp;表格1[[#This Row],[Shop]]&amp;"*",Roster!$A$4:$A$72,0),DAY(表格1[[#This Row],[date]]),1,1)</f>
        <v>Michelle</v>
      </c>
      <c r="E2015" s="81">
        <f>MONTH(表格1[[#This Row],[date]])</f>
        <v>3</v>
      </c>
      <c r="F2015" s="90">
        <v>46089</v>
      </c>
      <c r="G2015" s="81" t="str">
        <f>VLOOKUP("*"&amp;表格1[[#This Row],[Input]]&amp;"*",'Ref-List'!$B:$D,2,)</f>
        <v>GR-RT300WE-PMA(57)</v>
      </c>
      <c r="H2015" s="81" t="str">
        <f>_xlfn.XLOOKUP(表格1[[#This Row],[Model]],表格3[Model-Input-Ref2],表格3[Product Line])</f>
        <v>變頻式環保雙門雪櫃(233L)</v>
      </c>
      <c r="I2015" s="81" t="str">
        <f>_xlfn.XLOOKUP(表格1[[#This Row],[Model]],表格3[Model-Input-Ref2],表格3[大小電])</f>
        <v>大電</v>
      </c>
      <c r="J2015" s="81" t="str">
        <f>_xlfn.XLOOKUP(表格1[[#This Row],[Model]],表格3[Model-Input-Ref2],表格3[Code])</f>
        <v>REF</v>
      </c>
      <c r="K2015" s="89" t="s">
        <v>1462</v>
      </c>
      <c r="L2015" s="86">
        <v>1</v>
      </c>
      <c r="M2015" s="87">
        <v>2780</v>
      </c>
      <c r="N2015" s="85">
        <f>IFERROR(表格1[[#This Row],[QTY]]*表格1[[#This Row],[Unit Price]],"-")</f>
        <v>2780</v>
      </c>
      <c r="O2015" s="142">
        <v>519425</v>
      </c>
      <c r="R2015" s="86" t="str">
        <f>_xlfn.CONCAT(表格1[[#This Row],[Model]]," ",表格1[[#This Row],[inv no]])</f>
        <v>GR-RT300WE-PMA(57) 519425</v>
      </c>
      <c r="S2015" s="86">
        <f>_xlfn.XLOOKUP(表格1[[#This Row],[Model]],表格3[Model-Input-Ref2],表格3[SRP PRICE])</f>
        <v>4280</v>
      </c>
      <c r="T2015" s="43">
        <f>表格1[[#This Row],[Unit Price]]/表格1[[#This Row],[SRP]]</f>
        <v>0.64953271028037385</v>
      </c>
      <c r="U2015" s="86" t="str">
        <f>_xlfn.XLOOKUP(表格1[[#This Row],[Model]],表格3[Model-Input-Ref2],表格3[TOSHIBA/HIGHEST])</f>
        <v>Toshiba SRP</v>
      </c>
      <c r="V2015" s="86">
        <v>1111</v>
      </c>
      <c r="W2015" s="86" t="str">
        <f>_xlfn.CONCAT(表格1[[#This Row],[欄4]],表格1[[#This Row],[inv no]])</f>
        <v>1111519425</v>
      </c>
    </row>
    <row r="2016" spans="1:23" hidden="1">
      <c r="A2016" s="81">
        <v>2014</v>
      </c>
      <c r="B2016" s="86" t="s">
        <v>1772</v>
      </c>
      <c r="C2016" s="86" t="s">
        <v>1773</v>
      </c>
      <c r="D2016" s="82" t="str">
        <f ca="1">OFFSET(Roster!$A$3,MATCH(表格1[[#This Row],[Location]]&amp;" "&amp;表格1[[#This Row],[Shop]]&amp;"*",Roster!$A$4:$A$72,0),DAY(表格1[[#This Row],[date]]),1,1)</f>
        <v>Michelle</v>
      </c>
      <c r="E2016" s="81">
        <f>MONTH(表格1[[#This Row],[date]])</f>
        <v>3</v>
      </c>
      <c r="F2016" s="90">
        <v>46089</v>
      </c>
      <c r="G2016" s="81" t="str">
        <f>VLOOKUP("*"&amp;表格1[[#This Row],[Input]]&amp;"*",'Ref-List'!$B:$D,2,)</f>
        <v>TW-T21BU80UWH(MG)</v>
      </c>
      <c r="H2016" s="81" t="str">
        <f>_xlfn.XLOOKUP(表格1[[#This Row],[Model]],表格3[Model-Input-Ref2],表格3[Product Line])</f>
        <v>400MM超薄身前置式變頻洗衣機(7公斤)</v>
      </c>
      <c r="I2016" s="81" t="str">
        <f>_xlfn.XLOOKUP(表格1[[#This Row],[Model]],表格3[Model-Input-Ref2],表格3[大小電])</f>
        <v>大電</v>
      </c>
      <c r="J2016" s="81" t="str">
        <f>_xlfn.XLOOKUP(表格1[[#This Row],[Model]],表格3[Model-Input-Ref2],表格3[Code])</f>
        <v>LAD</v>
      </c>
      <c r="K2016" s="89" t="s">
        <v>1280</v>
      </c>
      <c r="L2016" s="86">
        <v>1</v>
      </c>
      <c r="M2016" s="87">
        <v>3090</v>
      </c>
      <c r="N2016" s="85">
        <f>IFERROR(表格1[[#This Row],[QTY]]*表格1[[#This Row],[Unit Price]],"-")</f>
        <v>3090</v>
      </c>
      <c r="O2016" s="142">
        <v>519425</v>
      </c>
      <c r="R2016" s="86" t="str">
        <f>_xlfn.CONCAT(表格1[[#This Row],[Model]]," ",表格1[[#This Row],[inv no]])</f>
        <v>TW-T21BU80UWH(MG) 519425</v>
      </c>
      <c r="S2016" s="86">
        <f>_xlfn.XLOOKUP(表格1[[#This Row],[Model]],表格3[Model-Input-Ref2],表格3[SRP PRICE])</f>
        <v>5180</v>
      </c>
      <c r="T2016" s="43">
        <f>表格1[[#This Row],[Unit Price]]/表格1[[#This Row],[SRP]]</f>
        <v>0.59652509652509655</v>
      </c>
      <c r="U2016" s="86" t="str">
        <f>_xlfn.XLOOKUP(表格1[[#This Row],[Model]],表格3[Model-Input-Ref2],表格3[TOSHIBA/HIGHEST])</f>
        <v>Toshiba SRP</v>
      </c>
      <c r="V2016" s="86">
        <v>1111</v>
      </c>
      <c r="W2016" s="86" t="str">
        <f>_xlfn.CONCAT(表格1[[#This Row],[欄4]],表格1[[#This Row],[inv no]])</f>
        <v>1111519425</v>
      </c>
    </row>
    <row r="2017" spans="1:23" hidden="1">
      <c r="A2017" s="81">
        <v>2015</v>
      </c>
      <c r="B2017" s="86" t="s">
        <v>1772</v>
      </c>
      <c r="C2017" s="86" t="s">
        <v>1773</v>
      </c>
      <c r="D2017" s="82" t="str">
        <f ca="1">OFFSET(Roster!$A$3,MATCH(表格1[[#This Row],[Location]]&amp;" "&amp;表格1[[#This Row],[Shop]]&amp;"*",Roster!$A$4:$A$72,0),DAY(表格1[[#This Row],[date]]),1,1)</f>
        <v>Michelle</v>
      </c>
      <c r="E2017" s="81">
        <f>MONTH(表格1[[#This Row],[date]])</f>
        <v>3</v>
      </c>
      <c r="F2017" s="90">
        <v>46089</v>
      </c>
      <c r="G2017" s="81" t="str">
        <f>VLOOKUP("*"&amp;表格1[[#This Row],[Input]]&amp;"*",'Ref-List'!$B:$D,2,)</f>
        <v>KT-17DRTHK(H)</v>
      </c>
      <c r="H2017" s="81" t="str">
        <f>_xlfn.XLOOKUP(表格1[[#This Row],[Model]],表格3[Model-Input-Ref2],表格3[Product Line])</f>
        <v>無線雙層電熱水壺(1.7公升)</v>
      </c>
      <c r="I2017" s="81" t="str">
        <f>_xlfn.XLOOKUP(表格1[[#This Row],[Model]],表格3[Model-Input-Ref2],表格3[大小電])</f>
        <v>細電</v>
      </c>
      <c r="J2017" s="81" t="str">
        <f>_xlfn.XLOOKUP(表格1[[#This Row],[Model]],表格3[Model-Input-Ref2],表格3[Code])</f>
        <v>SDA</v>
      </c>
      <c r="K2017" s="89" t="s">
        <v>1271</v>
      </c>
      <c r="L2017" s="86">
        <v>1</v>
      </c>
      <c r="M2017" s="87">
        <v>388</v>
      </c>
      <c r="N2017" s="85">
        <f>IFERROR(表格1[[#This Row],[QTY]]*表格1[[#This Row],[Unit Price]],"-")</f>
        <v>388</v>
      </c>
      <c r="O2017" s="142">
        <v>519409</v>
      </c>
      <c r="R2017" s="86" t="str">
        <f>_xlfn.CONCAT(表格1[[#This Row],[Model]]," ",表格1[[#This Row],[inv no]])</f>
        <v>KT-17DRTHK(H) 519409</v>
      </c>
      <c r="S2017" s="86">
        <f>_xlfn.XLOOKUP(表格1[[#This Row],[Model]],表格3[Model-Input-Ref2],表格3[SRP PRICE])</f>
        <v>498</v>
      </c>
      <c r="T2017" s="43">
        <f>表格1[[#This Row],[Unit Price]]/表格1[[#This Row],[SRP]]</f>
        <v>0.77911646586345384</v>
      </c>
      <c r="U2017" s="86" t="str">
        <f>_xlfn.XLOOKUP(表格1[[#This Row],[Model]],表格3[Model-Input-Ref2],表格3[TOSHIBA/HIGHEST])</f>
        <v>Toshiba SRP</v>
      </c>
      <c r="V2017" s="86">
        <v>1111</v>
      </c>
      <c r="W2017" s="86" t="str">
        <f>_xlfn.CONCAT(表格1[[#This Row],[欄4]],表格1[[#This Row],[inv no]])</f>
        <v>1111519409</v>
      </c>
    </row>
    <row r="2018" spans="1:23" hidden="1">
      <c r="A2018" s="81">
        <v>2016</v>
      </c>
      <c r="B2018" s="86" t="s">
        <v>1772</v>
      </c>
      <c r="C2018" s="86" t="s">
        <v>1773</v>
      </c>
      <c r="D2018" s="82" t="str">
        <f ca="1">OFFSET(Roster!$A$3,MATCH(表格1[[#This Row],[Location]]&amp;" "&amp;表格1[[#This Row],[Shop]]&amp;"*",Roster!$A$4:$A$72,0),DAY(表格1[[#This Row],[date]]),1,1)</f>
        <v>Michelle off</v>
      </c>
      <c r="E2018" s="81">
        <f>MONTH(表格1[[#This Row],[date]])</f>
        <v>3</v>
      </c>
      <c r="F2018" s="90">
        <v>46090</v>
      </c>
      <c r="G2018" s="81" t="str">
        <f>VLOOKUP("*"&amp;表格1[[#This Row],[Input]]&amp;"*",'Ref-List'!$B:$D,2,)</f>
        <v>RC-10IRPH</v>
      </c>
      <c r="H2018" s="81" t="str">
        <f>_xlfn.XLOOKUP(表格1[[#This Row],[Model]],表格3[Model-Input-Ref2],表格3[Product Line])</f>
        <v>低醣磁應電飯煲1L</v>
      </c>
      <c r="I2018" s="81" t="str">
        <f>_xlfn.XLOOKUP(表格1[[#This Row],[Model]],表格3[Model-Input-Ref2],表格3[大小電])</f>
        <v>細電</v>
      </c>
      <c r="J2018" s="81" t="str">
        <f>_xlfn.XLOOKUP(表格1[[#This Row],[Model]],表格3[Model-Input-Ref2],表格3[Code])</f>
        <v>SDA</v>
      </c>
      <c r="K2018" s="89" t="s">
        <v>1297</v>
      </c>
      <c r="L2018" s="86">
        <v>1</v>
      </c>
      <c r="M2018" s="87">
        <v>798</v>
      </c>
      <c r="N2018" s="85">
        <f>IFERROR(表格1[[#This Row],[QTY]]*表格1[[#This Row],[Unit Price]],"-")</f>
        <v>798</v>
      </c>
      <c r="O2018" s="142">
        <v>519491</v>
      </c>
      <c r="R2018" s="86" t="str">
        <f>_xlfn.CONCAT(表格1[[#This Row],[Model]]," ",表格1[[#This Row],[inv no]])</f>
        <v>RC-10IRPH 519491</v>
      </c>
      <c r="S2018" s="86">
        <f>_xlfn.XLOOKUP(表格1[[#This Row],[Model]],表格3[Model-Input-Ref2],表格3[SRP PRICE])</f>
        <v>1388</v>
      </c>
      <c r="T2018" s="43">
        <f>表格1[[#This Row],[Unit Price]]/表格1[[#This Row],[SRP]]</f>
        <v>0.5749279538904899</v>
      </c>
      <c r="U2018" s="86" t="str">
        <f>_xlfn.XLOOKUP(表格1[[#This Row],[Model]],表格3[Model-Input-Ref2],表格3[TOSHIBA/HIGHEST])</f>
        <v>Toshiba SRP</v>
      </c>
      <c r="V2018" s="86">
        <v>1111</v>
      </c>
      <c r="W2018" s="86" t="str">
        <f>_xlfn.CONCAT(表格1[[#This Row],[欄4]],表格1[[#This Row],[inv no]])</f>
        <v>1111519491</v>
      </c>
    </row>
    <row r="2019" spans="1:23" hidden="1">
      <c r="A2019" s="81">
        <v>2017</v>
      </c>
      <c r="B2019" s="86" t="s">
        <v>1772</v>
      </c>
      <c r="C2019" s="86" t="s">
        <v>1773</v>
      </c>
      <c r="D2019" s="82" t="str">
        <f ca="1">OFFSET(Roster!$A$3,MATCH(表格1[[#This Row],[Location]]&amp;" "&amp;表格1[[#This Row],[Shop]]&amp;"*",Roster!$A$4:$A$72,0),DAY(表格1[[#This Row],[date]]),1,1)</f>
        <v>Michelle off</v>
      </c>
      <c r="E2019" s="81">
        <f>MONTH(表格1[[#This Row],[date]])</f>
        <v>3</v>
      </c>
      <c r="F2019" s="90">
        <v>46090</v>
      </c>
      <c r="G2019" s="81" t="str">
        <f>VLOOKUP("*"&amp;表格1[[#This Row],[Input]]&amp;"*",'Ref-List'!$B:$D,2,)</f>
        <v>MWP-MG20P(BK)</v>
      </c>
      <c r="H2019" s="81" t="str">
        <f>_xlfn.XLOOKUP(表格1[[#This Row],[Model]],表格3[Model-Input-Ref2],表格3[Product Line])</f>
        <v>旋鈕式燒烤微波爐20L黑色</v>
      </c>
      <c r="I2019" s="81" t="str">
        <f>_xlfn.XLOOKUP(表格1[[#This Row],[Model]],表格3[Model-Input-Ref2],表格3[大小電])</f>
        <v>細電</v>
      </c>
      <c r="J2019" s="81" t="str">
        <f>_xlfn.XLOOKUP(表格1[[#This Row],[Model]],表格3[Model-Input-Ref2],表格3[Code])</f>
        <v>SDA</v>
      </c>
      <c r="K2019" s="89" t="s">
        <v>1485</v>
      </c>
      <c r="L2019" s="86">
        <v>1</v>
      </c>
      <c r="M2019" s="87">
        <v>579</v>
      </c>
      <c r="N2019" s="85">
        <f>IFERROR(表格1[[#This Row],[QTY]]*表格1[[#This Row],[Unit Price]],"-")</f>
        <v>579</v>
      </c>
      <c r="O2019" s="142">
        <v>519469</v>
      </c>
      <c r="R2019" s="86" t="str">
        <f>_xlfn.CONCAT(表格1[[#This Row],[Model]]," ",表格1[[#This Row],[inv no]])</f>
        <v>MWP-MG20P(BK) 519469</v>
      </c>
      <c r="S2019" s="86">
        <f>_xlfn.XLOOKUP(表格1[[#This Row],[Model]],表格3[Model-Input-Ref2],表格3[SRP PRICE])</f>
        <v>918</v>
      </c>
      <c r="T2019" s="43">
        <f>表格1[[#This Row],[Unit Price]]/表格1[[#This Row],[SRP]]</f>
        <v>0.63071895424836599</v>
      </c>
      <c r="U2019" s="86" t="str">
        <f>_xlfn.XLOOKUP(表格1[[#This Row],[Model]],表格3[Model-Input-Ref2],表格3[TOSHIBA/HIGHEST])</f>
        <v>Toshiba SRP</v>
      </c>
      <c r="V2019" s="86">
        <v>1111</v>
      </c>
      <c r="W2019" s="86" t="str">
        <f>_xlfn.CONCAT(表格1[[#This Row],[欄4]],表格1[[#This Row],[inv no]])</f>
        <v>1111519469</v>
      </c>
    </row>
    <row r="2020" spans="1:23" hidden="1">
      <c r="A2020" s="81">
        <v>2018</v>
      </c>
      <c r="B2020" s="86" t="s">
        <v>1772</v>
      </c>
      <c r="C2020" s="86" t="s">
        <v>1773</v>
      </c>
      <c r="D2020" s="82" t="str">
        <f ca="1">OFFSET(Roster!$A$3,MATCH(表格1[[#This Row],[Location]]&amp;" "&amp;表格1[[#This Row],[Shop]]&amp;"*",Roster!$A$4:$A$72,0),DAY(表格1[[#This Row],[date]]),1,1)</f>
        <v>Michelle off</v>
      </c>
      <c r="E2020" s="81">
        <f>MONTH(表格1[[#This Row],[date]])</f>
        <v>3</v>
      </c>
      <c r="F2020" s="90">
        <v>46090</v>
      </c>
      <c r="G2020" s="81" t="str">
        <f>VLOOKUP("*"&amp;表格1[[#This Row],[Input]]&amp;"*",'Ref-List'!$B:$D,2,)</f>
        <v>AW-Q800APH(WW)</v>
      </c>
      <c r="H2020" s="81" t="str">
        <f>_xlfn.XLOOKUP(表格1[[#This Row],[Model]],表格3[Model-Input-Ref2],表格3[Product Line])</f>
        <v>日式洗衣機 (7公斤 結合高低水位)</v>
      </c>
      <c r="I2020" s="81" t="str">
        <f>_xlfn.XLOOKUP(表格1[[#This Row],[Model]],表格3[Model-Input-Ref2],表格3[大小電])</f>
        <v>大電</v>
      </c>
      <c r="J2020" s="81" t="str">
        <f>_xlfn.XLOOKUP(表格1[[#This Row],[Model]],表格3[Model-Input-Ref2],表格3[Code])</f>
        <v>LAD</v>
      </c>
      <c r="K2020" s="89" t="s">
        <v>1479</v>
      </c>
      <c r="L2020" s="86">
        <v>1</v>
      </c>
      <c r="M2020" s="87">
        <v>2080</v>
      </c>
      <c r="N2020" s="85">
        <f>IFERROR(表格1[[#This Row],[QTY]]*表格1[[#This Row],[Unit Price]],"-")</f>
        <v>2080</v>
      </c>
      <c r="O2020" s="142">
        <v>519471</v>
      </c>
      <c r="R2020" s="86" t="str">
        <f>_xlfn.CONCAT(表格1[[#This Row],[Model]]," ",表格1[[#This Row],[inv no]])</f>
        <v>AW-Q800APH(WW) 519471</v>
      </c>
      <c r="S2020" s="86">
        <f>_xlfn.XLOOKUP(表格1[[#This Row],[Model]],表格3[Model-Input-Ref2],表格3[SRP PRICE])</f>
        <v>3580</v>
      </c>
      <c r="T2020" s="43">
        <f>表格1[[#This Row],[Unit Price]]/表格1[[#This Row],[SRP]]</f>
        <v>0.58100558659217882</v>
      </c>
      <c r="U2020" s="86" t="str">
        <f>_xlfn.XLOOKUP(表格1[[#This Row],[Model]],表格3[Model-Input-Ref2],表格3[TOSHIBA/HIGHEST])</f>
        <v>Toshiba SRP</v>
      </c>
      <c r="V2020" s="86">
        <v>1111</v>
      </c>
      <c r="W2020" s="86" t="str">
        <f>_xlfn.CONCAT(表格1[[#This Row],[欄4]],表格1[[#This Row],[inv no]])</f>
        <v>1111519471</v>
      </c>
    </row>
    <row r="2021" spans="1:23" ht="16.5" hidden="1">
      <c r="A2021" s="81">
        <v>2019</v>
      </c>
      <c r="B2021" s="86" t="s">
        <v>1772</v>
      </c>
      <c r="C2021" s="86" t="s">
        <v>1773</v>
      </c>
      <c r="D2021" s="82" t="str">
        <f ca="1">OFFSET(Roster!$A$3,MATCH(表格1[[#This Row],[Location]]&amp;" "&amp;表格1[[#This Row],[Shop]]&amp;"*",Roster!$A$4:$A$72,0),DAY(表格1[[#This Row],[date]]),1,1)</f>
        <v>Michelle off</v>
      </c>
      <c r="E2021" s="81">
        <f>MONTH(表格1[[#This Row],[date]])</f>
        <v>3</v>
      </c>
      <c r="F2021" s="90">
        <v>46091</v>
      </c>
      <c r="G2021" s="81" t="str">
        <f>VLOOKUP("*"&amp;表格1[[#This Row],[Input]]&amp;"*",'Ref-List'!$B:$D,2,)</f>
        <v>RC-18NMFIH(WT)</v>
      </c>
      <c r="H2021" s="81" t="str">
        <f>_xlfn.XLOOKUP(表格1[[#This Row],[Model]],表格3[Model-Input-Ref2],表格3[Product Line])</f>
        <v>4毫米厚釜電飯煲1.8L</v>
      </c>
      <c r="I2021" s="81" t="str">
        <f>_xlfn.XLOOKUP(表格1[[#This Row],[Model]],表格3[Model-Input-Ref2],表格3[大小電])</f>
        <v>細電</v>
      </c>
      <c r="J2021" s="81" t="str">
        <f>_xlfn.XLOOKUP(表格1[[#This Row],[Model]],表格3[Model-Input-Ref2],表格3[Code])</f>
        <v>SDA</v>
      </c>
      <c r="K2021" s="89" t="s">
        <v>1267</v>
      </c>
      <c r="L2021" s="86">
        <v>1</v>
      </c>
      <c r="M2021" s="87">
        <v>799</v>
      </c>
      <c r="N2021" s="85">
        <f>IFERROR(表格1[[#This Row],[QTY]]*表格1[[#This Row],[Unit Price]],"-")</f>
        <v>799</v>
      </c>
      <c r="O2021" s="142">
        <v>519531</v>
      </c>
      <c r="P2021" s="137"/>
      <c r="R2021" s="86" t="str">
        <f>_xlfn.CONCAT(表格1[[#This Row],[Model]]," ",表格1[[#This Row],[inv no]])</f>
        <v>RC-18NMFIH(WT) 519531</v>
      </c>
      <c r="S2021" s="86">
        <f>_xlfn.XLOOKUP(表格1[[#This Row],[Model]],表格3[Model-Input-Ref2],表格3[SRP PRICE])</f>
        <v>998</v>
      </c>
      <c r="T2021" s="43">
        <f>表格1[[#This Row],[Unit Price]]/表格1[[#This Row],[SRP]]</f>
        <v>0.80060120240480959</v>
      </c>
      <c r="U2021" s="86" t="str">
        <f>_xlfn.XLOOKUP(表格1[[#This Row],[Model]],表格3[Model-Input-Ref2],表格3[TOSHIBA/HIGHEST])</f>
        <v>Toshiba SRP</v>
      </c>
      <c r="V2021" s="86">
        <v>1111</v>
      </c>
      <c r="W2021" s="86" t="str">
        <f>_xlfn.CONCAT(表格1[[#This Row],[欄4]],表格1[[#This Row],[inv no]])</f>
        <v>1111519531</v>
      </c>
    </row>
    <row r="2022" spans="1:23" hidden="1">
      <c r="A2022" s="81">
        <v>2020</v>
      </c>
      <c r="B2022" s="86" t="s">
        <v>1772</v>
      </c>
      <c r="C2022" s="86" t="s">
        <v>1773</v>
      </c>
      <c r="D2022" s="82" t="str">
        <f ca="1">OFFSET(Roster!$A$3,MATCH(表格1[[#This Row],[Location]]&amp;" "&amp;表格1[[#This Row],[Shop]]&amp;"*",Roster!$A$4:$A$72,0),DAY(表格1[[#This Row],[date]]),1,1)</f>
        <v>Michelle off</v>
      </c>
      <c r="E2022" s="81">
        <f>MONTH(表格1[[#This Row],[date]])</f>
        <v>3</v>
      </c>
      <c r="F2022" s="90">
        <v>46091</v>
      </c>
      <c r="G2022" s="81" t="str">
        <f>VLOOKUP("*"&amp;表格1[[#This Row],[Input]]&amp;"*",'Ref-List'!$B:$D,2,)</f>
        <v>RC-10ISSHK(W)</v>
      </c>
      <c r="H2022" s="81" t="str">
        <f>_xlfn.XLOOKUP(表格1[[#This Row],[Model]],表格3[Model-Input-Ref2],表格3[Product Line])</f>
        <v>磁應電飯煲(1公升)</v>
      </c>
      <c r="I2022" s="81" t="str">
        <f>_xlfn.XLOOKUP(表格1[[#This Row],[Model]],表格3[Model-Input-Ref2],表格3[大小電])</f>
        <v>細電</v>
      </c>
      <c r="J2022" s="81" t="str">
        <f>_xlfn.XLOOKUP(表格1[[#This Row],[Model]],表格3[Model-Input-Ref2],表格3[Code])</f>
        <v>SDA</v>
      </c>
      <c r="K2022" s="89" t="s">
        <v>1286</v>
      </c>
      <c r="L2022" s="86">
        <v>1</v>
      </c>
      <c r="M2022" s="87">
        <v>938</v>
      </c>
      <c r="N2022" s="85">
        <f>IFERROR(表格1[[#This Row],[QTY]]*表格1[[#This Row],[Unit Price]],"-")</f>
        <v>938</v>
      </c>
      <c r="O2022" s="142">
        <v>519550</v>
      </c>
      <c r="R2022" s="86" t="str">
        <f>_xlfn.CONCAT(表格1[[#This Row],[Model]]," ",表格1[[#This Row],[inv no]])</f>
        <v>RC-10ISSHK(W) 519550</v>
      </c>
      <c r="S2022" s="86">
        <f>_xlfn.XLOOKUP(表格1[[#This Row],[Model]],表格3[Model-Input-Ref2],表格3[SRP PRICE])</f>
        <v>1188</v>
      </c>
      <c r="T2022" s="43">
        <f>表格1[[#This Row],[Unit Price]]/表格1[[#This Row],[SRP]]</f>
        <v>0.78956228956228958</v>
      </c>
      <c r="U2022" s="86" t="str">
        <f>_xlfn.XLOOKUP(表格1[[#This Row],[Model]],表格3[Model-Input-Ref2],表格3[TOSHIBA/HIGHEST])</f>
        <v>Shops Highest Price</v>
      </c>
      <c r="V2022" s="86">
        <v>1111</v>
      </c>
      <c r="W2022" s="86" t="str">
        <f>_xlfn.CONCAT(表格1[[#This Row],[欄4]],表格1[[#This Row],[inv no]])</f>
        <v>1111519550</v>
      </c>
    </row>
    <row r="2023" spans="1:23" hidden="1">
      <c r="A2023" s="81">
        <v>2021</v>
      </c>
      <c r="B2023" s="86" t="s">
        <v>1772</v>
      </c>
      <c r="C2023" s="86" t="s">
        <v>1773</v>
      </c>
      <c r="D2023" s="82" t="str">
        <f ca="1">OFFSET(Roster!$A$3,MATCH(表格1[[#This Row],[Location]]&amp;" "&amp;表格1[[#This Row],[Shop]]&amp;"*",Roster!$A$4:$A$72,0),DAY(表格1[[#This Row],[date]]),1,1)</f>
        <v>Michelle off</v>
      </c>
      <c r="E2023" s="81">
        <f>MONTH(表格1[[#This Row],[date]])</f>
        <v>3</v>
      </c>
      <c r="F2023" s="90">
        <v>46091</v>
      </c>
      <c r="G2023" s="81" t="str">
        <f>VLOOKUP("*"&amp;表格1[[#This Row],[Input]]&amp;"*",'Ref-List'!$B:$D,2,)</f>
        <v>MWP-MM20P(WH)</v>
      </c>
      <c r="H2023" s="81" t="str">
        <f>_xlfn.XLOOKUP(表格1[[#This Row],[Model]],表格3[Model-Input-Ref2],表格3[Product Line])</f>
        <v>旋鈕式燒烤微波爐20L</v>
      </c>
      <c r="I2023" s="81" t="str">
        <f>_xlfn.XLOOKUP(表格1[[#This Row],[Model]],表格3[Model-Input-Ref2],表格3[大小電])</f>
        <v>細電</v>
      </c>
      <c r="J2023" s="81" t="str">
        <f>_xlfn.XLOOKUP(表格1[[#This Row],[Model]],表格3[Model-Input-Ref2],表格3[Code])</f>
        <v>SDA</v>
      </c>
      <c r="K2023" s="89" t="s">
        <v>1270</v>
      </c>
      <c r="L2023" s="86">
        <v>1</v>
      </c>
      <c r="M2023" s="87">
        <v>488</v>
      </c>
      <c r="N2023" s="85">
        <f>IFERROR(表格1[[#This Row],[QTY]]*表格1[[#This Row],[Unit Price]],"-")</f>
        <v>488</v>
      </c>
      <c r="O2023" s="142">
        <v>519518</v>
      </c>
      <c r="R2023" s="86" t="str">
        <f>_xlfn.CONCAT(表格1[[#This Row],[Model]]," ",表格1[[#This Row],[inv no]])</f>
        <v>MWP-MM20P(WH) 519518</v>
      </c>
      <c r="S2023" s="86">
        <f>_xlfn.XLOOKUP(表格1[[#This Row],[Model]],表格3[Model-Input-Ref2],表格3[SRP PRICE])</f>
        <v>648</v>
      </c>
      <c r="T2023" s="43">
        <f>表格1[[#This Row],[Unit Price]]/表格1[[#This Row],[SRP]]</f>
        <v>0.75308641975308643</v>
      </c>
      <c r="U2023" s="86" t="str">
        <f>_xlfn.XLOOKUP(表格1[[#This Row],[Model]],表格3[Model-Input-Ref2],表格3[TOSHIBA/HIGHEST])</f>
        <v>Toshiba SRP</v>
      </c>
      <c r="V2023" s="86">
        <v>1111</v>
      </c>
      <c r="W2023" s="86" t="str">
        <f>_xlfn.CONCAT(表格1[[#This Row],[欄4]],表格1[[#This Row],[inv no]])</f>
        <v>1111519518</v>
      </c>
    </row>
    <row r="2024" spans="1:23" hidden="1">
      <c r="A2024" s="81">
        <v>2022</v>
      </c>
      <c r="B2024" s="86" t="s">
        <v>1772</v>
      </c>
      <c r="C2024" s="86" t="s">
        <v>1773</v>
      </c>
      <c r="D2024" s="82" t="str">
        <f ca="1">OFFSET(Roster!$A$3,MATCH(表格1[[#This Row],[Location]]&amp;" "&amp;表格1[[#This Row],[Shop]]&amp;"*",Roster!$A$4:$A$72,0),DAY(表格1[[#This Row],[date]]),1,1)</f>
        <v>Michelle off</v>
      </c>
      <c r="E2024" s="81">
        <f>MONTH(表格1[[#This Row],[date]])</f>
        <v>3</v>
      </c>
      <c r="F2024" s="90">
        <v>46091</v>
      </c>
      <c r="G2024" s="81" t="str">
        <f>VLOOKUP("*"&amp;表格1[[#This Row],[Input]]&amp;"*",'Ref-List'!$B:$D,2,)</f>
        <v>MWP-MM20P(WH)</v>
      </c>
      <c r="H2024" s="81" t="str">
        <f>_xlfn.XLOOKUP(表格1[[#This Row],[Model]],表格3[Model-Input-Ref2],表格3[Product Line])</f>
        <v>旋鈕式燒烤微波爐20L</v>
      </c>
      <c r="I2024" s="81" t="str">
        <f>_xlfn.XLOOKUP(表格1[[#This Row],[Model]],表格3[Model-Input-Ref2],表格3[大小電])</f>
        <v>細電</v>
      </c>
      <c r="J2024" s="81" t="str">
        <f>_xlfn.XLOOKUP(表格1[[#This Row],[Model]],表格3[Model-Input-Ref2],表格3[Code])</f>
        <v>SDA</v>
      </c>
      <c r="K2024" s="89" t="s">
        <v>1270</v>
      </c>
      <c r="L2024" s="86">
        <v>1</v>
      </c>
      <c r="M2024" s="87">
        <v>488</v>
      </c>
      <c r="N2024" s="85">
        <f>IFERROR(表格1[[#This Row],[QTY]]*表格1[[#This Row],[Unit Price]],"-")</f>
        <v>488</v>
      </c>
      <c r="O2024" s="86">
        <v>519574</v>
      </c>
      <c r="R2024" s="86" t="str">
        <f>_xlfn.CONCAT(表格1[[#This Row],[Model]]," ",表格1[[#This Row],[inv no]])</f>
        <v>MWP-MM20P(WH) 519574</v>
      </c>
      <c r="S2024" s="86">
        <f>_xlfn.XLOOKUP(表格1[[#This Row],[Model]],表格3[Model-Input-Ref2],表格3[SRP PRICE])</f>
        <v>648</v>
      </c>
      <c r="T2024" s="43">
        <f>表格1[[#This Row],[Unit Price]]/表格1[[#This Row],[SRP]]</f>
        <v>0.75308641975308643</v>
      </c>
      <c r="U2024" s="86" t="str">
        <f>_xlfn.XLOOKUP(表格1[[#This Row],[Model]],表格3[Model-Input-Ref2],表格3[TOSHIBA/HIGHEST])</f>
        <v>Toshiba SRP</v>
      </c>
      <c r="V2024" s="86">
        <v>1111</v>
      </c>
      <c r="W2024" s="86" t="str">
        <f>_xlfn.CONCAT(表格1[[#This Row],[欄4]],表格1[[#This Row],[inv no]])</f>
        <v>1111519574</v>
      </c>
    </row>
    <row r="2025" spans="1:23" hidden="1">
      <c r="A2025" s="81">
        <v>2023</v>
      </c>
      <c r="B2025" s="86" t="s">
        <v>1772</v>
      </c>
      <c r="C2025" s="86" t="s">
        <v>1773</v>
      </c>
      <c r="D2025" s="82" t="str">
        <f ca="1">OFFSET(Roster!$A$3,MATCH(表格1[[#This Row],[Location]]&amp;" "&amp;表格1[[#This Row],[Shop]]&amp;"*",Roster!$A$4:$A$72,0),DAY(表格1[[#This Row],[date]]),1,1)</f>
        <v>Michelle off</v>
      </c>
      <c r="E2025" s="81">
        <f>MONTH(表格1[[#This Row],[date]])</f>
        <v>3</v>
      </c>
      <c r="F2025" s="90">
        <v>46091</v>
      </c>
      <c r="G2025" s="81" t="str">
        <f>VLOOKUP("*"&amp;表格1[[#This Row],[Input]]&amp;"*",'Ref-List'!$B:$D,2,)</f>
        <v>GR-RB360WE-PMA(06)</v>
      </c>
      <c r="H2025" s="81" t="str">
        <f>_xlfn.XLOOKUP(表格1[[#This Row],[Model]],表格3[Model-Input-Ref2],表格3[Product Line])</f>
        <v>變頻下置式雙門雪櫃系列270L</v>
      </c>
      <c r="I2025" s="81" t="str">
        <f>_xlfn.XLOOKUP(表格1[[#This Row],[Model]],表格3[Model-Input-Ref2],表格3[大小電])</f>
        <v>大電</v>
      </c>
      <c r="J2025" s="81" t="str">
        <f>_xlfn.XLOOKUP(表格1[[#This Row],[Model]],表格3[Model-Input-Ref2],表格3[Code])</f>
        <v>REF</v>
      </c>
      <c r="K2025" s="89" t="s">
        <v>1282</v>
      </c>
      <c r="L2025" s="86">
        <v>1</v>
      </c>
      <c r="M2025" s="87">
        <v>3980</v>
      </c>
      <c r="N2025" s="85">
        <f>IFERROR(表格1[[#This Row],[QTY]]*表格1[[#This Row],[Unit Price]],"-")</f>
        <v>3980</v>
      </c>
      <c r="O2025" s="86">
        <v>519559</v>
      </c>
      <c r="R2025" s="86" t="str">
        <f>_xlfn.CONCAT(表格1[[#This Row],[Model]]," ",表格1[[#This Row],[inv no]])</f>
        <v>GR-RB360WE-PMA(06) 519559</v>
      </c>
      <c r="S2025" s="86">
        <f>_xlfn.XLOOKUP(表格1[[#This Row],[Model]],表格3[Model-Input-Ref2],表格3[SRP PRICE])</f>
        <v>5080</v>
      </c>
      <c r="T2025" s="43">
        <f>表格1[[#This Row],[Unit Price]]/表格1[[#This Row],[SRP]]</f>
        <v>0.78346456692913391</v>
      </c>
      <c r="U2025" s="86" t="str">
        <f>_xlfn.XLOOKUP(表格1[[#This Row],[Model]],表格3[Model-Input-Ref2],表格3[TOSHIBA/HIGHEST])</f>
        <v>Toshiba SRP</v>
      </c>
      <c r="V2025" s="86">
        <v>1111</v>
      </c>
      <c r="W2025" s="86" t="str">
        <f>_xlfn.CONCAT(表格1[[#This Row],[欄4]],表格1[[#This Row],[inv no]])</f>
        <v>1111519559</v>
      </c>
    </row>
    <row r="2026" spans="1:23" ht="16.5" hidden="1">
      <c r="A2026" s="81">
        <v>2024</v>
      </c>
      <c r="B2026" s="86" t="s">
        <v>1772</v>
      </c>
      <c r="C2026" s="86" t="s">
        <v>1773</v>
      </c>
      <c r="D2026" s="82" t="str">
        <f ca="1">OFFSET(Roster!$A$3,MATCH(表格1[[#This Row],[Location]]&amp;" "&amp;表格1[[#This Row],[Shop]]&amp;"*",Roster!$A$4:$A$72,0),DAY(表格1[[#This Row],[date]]),1,1)</f>
        <v>Michelle off</v>
      </c>
      <c r="E2026" s="81">
        <f>MONTH(表格1[[#This Row],[date]])</f>
        <v>3</v>
      </c>
      <c r="F2026" s="90">
        <v>46091</v>
      </c>
      <c r="G2026" s="81" t="str">
        <f>VLOOKUP("*"&amp;表格1[[#This Row],[Input]]&amp;"*",'Ref-List'!$B:$D,2,)</f>
        <v>TW-T22BU95UWH(WK)-B</v>
      </c>
      <c r="H2026" s="81" t="str">
        <f>_xlfn.XLOOKUP(表格1[[#This Row],[Model]],表格3[Model-Input-Ref2],表格3[Product Line])</f>
        <v>470MM超薄身前置式變頻洗衣機(8.5公斤, 可飛頂)</v>
      </c>
      <c r="I2026" s="81" t="str">
        <f>_xlfn.XLOOKUP(表格1[[#This Row],[Model]],表格3[Model-Input-Ref2],表格3[大小電])</f>
        <v>大電</v>
      </c>
      <c r="J2026" s="81" t="str">
        <f>_xlfn.XLOOKUP(表格1[[#This Row],[Model]],表格3[Model-Input-Ref2],表格3[Code])</f>
        <v>LAD</v>
      </c>
      <c r="K2026" s="89" t="s">
        <v>969</v>
      </c>
      <c r="L2026" s="86">
        <v>1</v>
      </c>
      <c r="M2026" s="87">
        <v>3680</v>
      </c>
      <c r="N2026" s="85">
        <f>IFERROR(表格1[[#This Row],[QTY]]*表格1[[#This Row],[Unit Price]],"-")</f>
        <v>3680</v>
      </c>
      <c r="O2026" s="142">
        <v>519559</v>
      </c>
      <c r="P2026" s="141"/>
      <c r="R2026" s="86" t="str">
        <f>_xlfn.CONCAT(表格1[[#This Row],[Model]]," ",表格1[[#This Row],[inv no]])</f>
        <v>TW-T22BU95UWH(WK)-B 519559</v>
      </c>
      <c r="S2026" s="86">
        <f>_xlfn.XLOOKUP(表格1[[#This Row],[Model]],表格3[Model-Input-Ref2],表格3[SRP PRICE])</f>
        <v>5880</v>
      </c>
      <c r="T2026" s="43">
        <f>表格1[[#This Row],[Unit Price]]/表格1[[#This Row],[SRP]]</f>
        <v>0.62585034013605445</v>
      </c>
      <c r="U2026" s="86" t="str">
        <f>_xlfn.XLOOKUP(表格1[[#This Row],[Model]],表格3[Model-Input-Ref2],表格3[TOSHIBA/HIGHEST])</f>
        <v>Toshiba SRP</v>
      </c>
      <c r="V2026" s="86">
        <v>1111</v>
      </c>
      <c r="W2026" s="86" t="str">
        <f>_xlfn.CONCAT(表格1[[#This Row],[欄4]],表格1[[#This Row],[inv no]])</f>
        <v>1111519559</v>
      </c>
    </row>
    <row r="2027" spans="1:23" hidden="1">
      <c r="A2027" s="81">
        <v>2025</v>
      </c>
      <c r="B2027" s="86" t="s">
        <v>1772</v>
      </c>
      <c r="C2027" s="86" t="s">
        <v>1773</v>
      </c>
      <c r="D2027" s="82" t="str">
        <f ca="1">OFFSET(Roster!$A$3,MATCH(表格1[[#This Row],[Location]]&amp;" "&amp;表格1[[#This Row],[Shop]]&amp;"*",Roster!$A$4:$A$72,0),DAY(表格1[[#This Row],[date]]),1,1)</f>
        <v>Michelle off</v>
      </c>
      <c r="E2027" s="81">
        <f>MONTH(表格1[[#This Row],[date]])</f>
        <v>3</v>
      </c>
      <c r="F2027" s="90">
        <v>46091</v>
      </c>
      <c r="G2027" s="81" t="str">
        <f>VLOOKUP("*"&amp;表格1[[#This Row],[Input]]&amp;"*",'Ref-List'!$B:$D,2,)</f>
        <v>VC-CLX50BF(R)</v>
      </c>
      <c r="H2027" s="81" t="str">
        <f>_xlfn.XLOOKUP(表格1[[#This Row],[Model]],表格3[Model-Input-Ref2],表格3[Product Line])</f>
        <v>All-in-one 輕巧無線吸塵機</v>
      </c>
      <c r="I2027" s="81" t="str">
        <f>_xlfn.XLOOKUP(表格1[[#This Row],[Model]],表格3[Model-Input-Ref2],表格3[大小電])</f>
        <v>細電</v>
      </c>
      <c r="J2027" s="81" t="str">
        <f>_xlfn.XLOOKUP(表格1[[#This Row],[Model]],表格3[Model-Input-Ref2],表格3[Code])</f>
        <v>MCA</v>
      </c>
      <c r="K2027" s="89" t="s">
        <v>1774</v>
      </c>
      <c r="L2027" s="86">
        <v>1</v>
      </c>
      <c r="M2027" s="87">
        <v>1798</v>
      </c>
      <c r="N2027" s="85">
        <f>IFERROR(表格1[[#This Row],[QTY]]*表格1[[#This Row],[Unit Price]],"-")</f>
        <v>1798</v>
      </c>
      <c r="O2027" s="142">
        <v>519573</v>
      </c>
      <c r="R2027" s="86" t="str">
        <f>_xlfn.CONCAT(表格1[[#This Row],[Model]]," ",表格1[[#This Row],[inv no]])</f>
        <v>VC-CLX50BF(R) 519573</v>
      </c>
      <c r="S2027" s="86">
        <f>_xlfn.XLOOKUP(表格1[[#This Row],[Model]],表格3[Model-Input-Ref2],表格3[SRP PRICE])</f>
        <v>3188</v>
      </c>
      <c r="T2027" s="43">
        <f>表格1[[#This Row],[Unit Price]]/表格1[[#This Row],[SRP]]</f>
        <v>0.56398996235884569</v>
      </c>
      <c r="U2027" s="86" t="str">
        <f>_xlfn.XLOOKUP(表格1[[#This Row],[Model]],表格3[Model-Input-Ref2],表格3[TOSHIBA/HIGHEST])</f>
        <v>Toshiba SRP</v>
      </c>
      <c r="V2027" s="86">
        <v>1111</v>
      </c>
      <c r="W2027" s="86" t="str">
        <f>_xlfn.CONCAT(表格1[[#This Row],[欄4]],表格1[[#This Row],[inv no]])</f>
        <v>1111519573</v>
      </c>
    </row>
    <row r="2028" spans="1:23" ht="16.5" hidden="1">
      <c r="A2028" s="81">
        <v>2026</v>
      </c>
      <c r="B2028" s="86" t="s">
        <v>1772</v>
      </c>
      <c r="C2028" s="86" t="s">
        <v>1773</v>
      </c>
      <c r="D2028" s="82" t="str">
        <f ca="1">OFFSET(Roster!$A$3,MATCH(表格1[[#This Row],[Location]]&amp;" "&amp;表格1[[#This Row],[Shop]]&amp;"*",Roster!$A$4:$A$72,0),DAY(表格1[[#This Row],[date]]),1,1)</f>
        <v>Michelle off</v>
      </c>
      <c r="E2028" s="81">
        <f>MONTH(表格1[[#This Row],[date]])</f>
        <v>3</v>
      </c>
      <c r="F2028" s="90">
        <v>46091</v>
      </c>
      <c r="G2028" s="81" t="str">
        <f>VLOOKUP("*"&amp;表格1[[#This Row],[Input]]&amp;"*",'Ref-List'!$B:$D,2,)</f>
        <v>RAD-DIA17HK</v>
      </c>
      <c r="H2028" s="81" t="str">
        <f>_xlfn.XLOOKUP(表格1[[#This Row],[Model]],表格3[Model-Input-Ref2],表格3[Product Line])</f>
        <v>變頻二合一空氣淨化抽濕機 (28公升)</v>
      </c>
      <c r="I2028" s="81" t="str">
        <f>_xlfn.XLOOKUP(表格1[[#This Row],[Model]],表格3[Model-Input-Ref2],表格3[大小電])</f>
        <v>大電</v>
      </c>
      <c r="J2028" s="81" t="str">
        <f>_xlfn.XLOOKUP(表格1[[#This Row],[Model]],表格3[Model-Input-Ref2],表格3[Code])</f>
        <v>RAC</v>
      </c>
      <c r="K2028" s="89" t="s">
        <v>1480</v>
      </c>
      <c r="L2028" s="86">
        <v>1</v>
      </c>
      <c r="M2028" s="87">
        <v>3580</v>
      </c>
      <c r="N2028" s="85">
        <f>IFERROR(表格1[[#This Row],[QTY]]*表格1[[#This Row],[Unit Price]],"-")</f>
        <v>3580</v>
      </c>
      <c r="O2028" s="142">
        <v>519532</v>
      </c>
      <c r="P2028" s="141"/>
      <c r="R2028" s="86" t="str">
        <f>_xlfn.CONCAT(表格1[[#This Row],[Model]]," ",表格1[[#This Row],[inv no]])</f>
        <v>RAD-DIA17HK 519532</v>
      </c>
      <c r="S2028" s="86">
        <f>_xlfn.XLOOKUP(表格1[[#This Row],[Model]],表格3[Model-Input-Ref2],表格3[SRP PRICE])</f>
        <v>4980</v>
      </c>
      <c r="T2028" s="43">
        <f>表格1[[#This Row],[Unit Price]]/表格1[[#This Row],[SRP]]</f>
        <v>0.71887550200803207</v>
      </c>
      <c r="U2028" s="86" t="str">
        <f>_xlfn.XLOOKUP(表格1[[#This Row],[Model]],表格3[Model-Input-Ref2],表格3[TOSHIBA/HIGHEST])</f>
        <v>Toshiba SRP</v>
      </c>
      <c r="V2028" s="86">
        <v>1111</v>
      </c>
      <c r="W2028" s="86" t="str">
        <f>_xlfn.CONCAT(表格1[[#This Row],[欄4]],表格1[[#This Row],[inv no]])</f>
        <v>1111519532</v>
      </c>
    </row>
    <row r="2029" spans="1:23" hidden="1">
      <c r="A2029" s="81">
        <v>2027</v>
      </c>
      <c r="B2029" s="86" t="s">
        <v>1772</v>
      </c>
      <c r="C2029" s="86" t="s">
        <v>1773</v>
      </c>
      <c r="D2029" s="82" t="str">
        <f ca="1">OFFSET(Roster!$A$3,MATCH(表格1[[#This Row],[Location]]&amp;" "&amp;表格1[[#This Row],[Shop]]&amp;"*",Roster!$A$4:$A$72,0),DAY(表格1[[#This Row],[date]]),1,1)</f>
        <v>Michelle</v>
      </c>
      <c r="E2029" s="81">
        <f>MONTH(表格1[[#This Row],[date]])</f>
        <v>3</v>
      </c>
      <c r="F2029" s="90">
        <v>46092</v>
      </c>
      <c r="G2029" s="81" t="str">
        <f>VLOOKUP("*"&amp;表格1[[#This Row],[Input]]&amp;"*",'Ref-List'!$B:$D,2,)</f>
        <v>RC-DS18K(N)</v>
      </c>
      <c r="H2029" s="81" t="str">
        <f>_xlfn.XLOOKUP(表格1[[#This Row],[Model]],表格3[Model-Input-Ref2],表格3[Product Line])</f>
        <v>IH磁應電飯煲</v>
      </c>
      <c r="I2029" s="81" t="str">
        <f>_xlfn.XLOOKUP(表格1[[#This Row],[Model]],表格3[Model-Input-Ref2],表格3[大小電])</f>
        <v>細電</v>
      </c>
      <c r="J2029" s="81" t="str">
        <f>_xlfn.XLOOKUP(表格1[[#This Row],[Model]],表格3[Model-Input-Ref2],表格3[Code])</f>
        <v>SDA</v>
      </c>
      <c r="K2029" s="89" t="s">
        <v>1498</v>
      </c>
      <c r="L2029" s="86">
        <v>1</v>
      </c>
      <c r="M2029" s="87">
        <v>3490</v>
      </c>
      <c r="N2029" s="85">
        <f>IFERROR(表格1[[#This Row],[QTY]]*表格1[[#This Row],[Unit Price]],"-")</f>
        <v>3490</v>
      </c>
      <c r="O2029" s="142">
        <v>519592</v>
      </c>
      <c r="R2029" s="86" t="str">
        <f>_xlfn.CONCAT(表格1[[#This Row],[Model]]," ",表格1[[#This Row],[inv no]])</f>
        <v>RC-DS18K(N) 519592</v>
      </c>
      <c r="S2029" s="86">
        <f>_xlfn.XLOOKUP(表格1[[#This Row],[Model]],表格3[Model-Input-Ref2],表格3[SRP PRICE])</f>
        <v>4988</v>
      </c>
      <c r="T2029" s="43">
        <f>表格1[[#This Row],[Unit Price]]/表格1[[#This Row],[SRP]]</f>
        <v>0.69967923015236566</v>
      </c>
      <c r="U2029" s="86" t="str">
        <f>_xlfn.XLOOKUP(表格1[[#This Row],[Model]],表格3[Model-Input-Ref2],表格3[TOSHIBA/HIGHEST])</f>
        <v>Toshiba SRP</v>
      </c>
      <c r="V2029" s="86">
        <v>1111</v>
      </c>
      <c r="W2029" s="86" t="str">
        <f>_xlfn.CONCAT(表格1[[#This Row],[欄4]],表格1[[#This Row],[inv no]])</f>
        <v>1111519592</v>
      </c>
    </row>
    <row r="2030" spans="1:23" ht="16.5" hidden="1">
      <c r="A2030" s="81">
        <v>2028</v>
      </c>
      <c r="B2030" s="86" t="s">
        <v>1772</v>
      </c>
      <c r="C2030" s="86" t="s">
        <v>1773</v>
      </c>
      <c r="D2030" s="82" t="str">
        <f ca="1">OFFSET(Roster!$A$3,MATCH(表格1[[#This Row],[Location]]&amp;" "&amp;表格1[[#This Row],[Shop]]&amp;"*",Roster!$A$4:$A$72,0),DAY(表格1[[#This Row],[date]]),1,1)</f>
        <v>Michelle</v>
      </c>
      <c r="E2030" s="81">
        <f>MONTH(表格1[[#This Row],[date]])</f>
        <v>3</v>
      </c>
      <c r="F2030" s="90">
        <v>46092</v>
      </c>
      <c r="G2030" s="81" t="str">
        <f>VLOOKUP("*"&amp;表格1[[#This Row],[Input]]&amp;"*",'Ref-List'!$B:$D,2,)</f>
        <v>MW3-SAC24SE(BK)</v>
      </c>
      <c r="H2030" s="81" t="str">
        <f>_xlfn.XLOOKUP(表格1[[#This Row],[Model]],表格3[Model-Input-Ref2],表格3[Product Line])</f>
        <v>智能氣炸烤焗爐(24公升)</v>
      </c>
      <c r="I2030" s="81" t="str">
        <f>_xlfn.XLOOKUP(表格1[[#This Row],[Model]],表格3[Model-Input-Ref2],表格3[大小電])</f>
        <v>細電</v>
      </c>
      <c r="J2030" s="81" t="str">
        <f>_xlfn.XLOOKUP(表格1[[#This Row],[Model]],表格3[Model-Input-Ref2],表格3[Code])</f>
        <v>MCA</v>
      </c>
      <c r="K2030" s="89" t="s">
        <v>1274</v>
      </c>
      <c r="L2030" s="86">
        <v>1</v>
      </c>
      <c r="M2030" s="87">
        <v>1320</v>
      </c>
      <c r="N2030" s="85">
        <f>IFERROR(表格1[[#This Row],[QTY]]*表格1[[#This Row],[Unit Price]],"-")</f>
        <v>1320</v>
      </c>
      <c r="O2030" s="142">
        <v>519599</v>
      </c>
      <c r="P2030" s="141"/>
      <c r="R2030" s="86" t="str">
        <f>_xlfn.CONCAT(表格1[[#This Row],[Model]]," ",表格1[[#This Row],[inv no]])</f>
        <v>MW3-SAC24SE(BK) 519599</v>
      </c>
      <c r="S2030" s="86">
        <f>_xlfn.XLOOKUP(表格1[[#This Row],[Model]],表格3[Model-Input-Ref2],表格3[SRP PRICE])</f>
        <v>1680</v>
      </c>
      <c r="T2030" s="43">
        <f>表格1[[#This Row],[Unit Price]]/表格1[[#This Row],[SRP]]</f>
        <v>0.7857142857142857</v>
      </c>
      <c r="U2030" s="86" t="str">
        <f>_xlfn.XLOOKUP(表格1[[#This Row],[Model]],表格3[Model-Input-Ref2],表格3[TOSHIBA/HIGHEST])</f>
        <v>Toshiba SRP</v>
      </c>
      <c r="V2030" s="86">
        <v>1111</v>
      </c>
      <c r="W2030" s="86" t="str">
        <f>_xlfn.CONCAT(表格1[[#This Row],[欄4]],表格1[[#This Row],[inv no]])</f>
        <v>1111519599</v>
      </c>
    </row>
    <row r="2031" spans="1:23" hidden="1">
      <c r="A2031" s="81">
        <v>2029</v>
      </c>
      <c r="B2031" s="86" t="s">
        <v>1772</v>
      </c>
      <c r="C2031" s="86" t="s">
        <v>1773</v>
      </c>
      <c r="D2031" s="82" t="str">
        <f ca="1">OFFSET(Roster!$A$3,MATCH(表格1[[#This Row],[Location]]&amp;" "&amp;表格1[[#This Row],[Shop]]&amp;"*",Roster!$A$4:$A$72,0),DAY(表格1[[#This Row],[date]]),1,1)</f>
        <v>Michelle</v>
      </c>
      <c r="E2031" s="81">
        <f>MONTH(表格1[[#This Row],[date]])</f>
        <v>3</v>
      </c>
      <c r="F2031" s="90">
        <v>46092</v>
      </c>
      <c r="G2031" s="81" t="str">
        <f>VLOOKUP("*"&amp;表格1[[#This Row],[Input]]&amp;"*",'Ref-List'!$B:$D,2,)</f>
        <v>GR-RT234WE-PMA(57)</v>
      </c>
      <c r="H2031" s="81" t="str">
        <f>_xlfn.XLOOKUP(表格1[[#This Row],[Model]],表格3[Model-Input-Ref2],表格3[Product Line])</f>
        <v>變頻式環保雙門雪櫃（179L）</v>
      </c>
      <c r="I2031" s="81" t="str">
        <f>_xlfn.XLOOKUP(表格1[[#This Row],[Model]],表格3[Model-Input-Ref2],表格3[大小電])</f>
        <v>大電</v>
      </c>
      <c r="J2031" s="81" t="str">
        <f>_xlfn.XLOOKUP(表格1[[#This Row],[Model]],表格3[Model-Input-Ref2],表格3[Code])</f>
        <v>REF</v>
      </c>
      <c r="K2031" s="89" t="s">
        <v>1423</v>
      </c>
      <c r="L2031" s="86">
        <v>1</v>
      </c>
      <c r="M2031" s="87">
        <v>1980</v>
      </c>
      <c r="N2031" s="85">
        <f>IFERROR(表格1[[#This Row],[QTY]]*表格1[[#This Row],[Unit Price]],"-")</f>
        <v>1980</v>
      </c>
      <c r="O2031" s="142">
        <v>519586</v>
      </c>
      <c r="R2031" s="86" t="str">
        <f>_xlfn.CONCAT(表格1[[#This Row],[Model]]," ",表格1[[#This Row],[inv no]])</f>
        <v>GR-RT234WE-PMA(57) 519586</v>
      </c>
      <c r="S2031" s="86">
        <f>_xlfn.XLOOKUP(表格1[[#This Row],[Model]],表格3[Model-Input-Ref2],表格3[SRP PRICE])</f>
        <v>3680</v>
      </c>
      <c r="T2031" s="43">
        <f>表格1[[#This Row],[Unit Price]]/表格1[[#This Row],[SRP]]</f>
        <v>0.53804347826086951</v>
      </c>
      <c r="U2031" s="86" t="str">
        <f>_xlfn.XLOOKUP(表格1[[#This Row],[Model]],表格3[Model-Input-Ref2],表格3[TOSHIBA/HIGHEST])</f>
        <v>Toshiba SRP</v>
      </c>
      <c r="V2031" s="86">
        <v>1111</v>
      </c>
      <c r="W2031" s="86" t="str">
        <f>_xlfn.CONCAT(表格1[[#This Row],[欄4]],表格1[[#This Row],[inv no]])</f>
        <v>1111519586</v>
      </c>
    </row>
    <row r="2032" spans="1:23" hidden="1">
      <c r="A2032" s="81">
        <v>2030</v>
      </c>
      <c r="B2032" s="86" t="s">
        <v>1772</v>
      </c>
      <c r="C2032" s="86" t="s">
        <v>1773</v>
      </c>
      <c r="D2032" s="82" t="str">
        <f ca="1">OFFSET(Roster!$A$3,MATCH(表格1[[#This Row],[Location]]&amp;" "&amp;表格1[[#This Row],[Shop]]&amp;"*",Roster!$A$4:$A$72,0),DAY(表格1[[#This Row],[date]]),1,1)</f>
        <v>Michelle</v>
      </c>
      <c r="E2032" s="81">
        <f>MONTH(表格1[[#This Row],[date]])</f>
        <v>3</v>
      </c>
      <c r="F2032" s="90">
        <v>46092</v>
      </c>
      <c r="G2032" s="81" t="str">
        <f>VLOOKUP("*"&amp;表格1[[#This Row],[Input]]&amp;"*",'Ref-List'!$B:$D,2,)</f>
        <v>TWD-BN90GF4H(WK)</v>
      </c>
      <c r="H2032" s="81" t="str">
        <f>_xlfn.XLOOKUP(表格1[[#This Row],[Model]],表格3[Model-Input-Ref2],表格3[Product Line])</f>
        <v>超薄身前置式洗衣乾衣機 (洗8公斤 乾5公斤)</v>
      </c>
      <c r="I2032" s="81" t="str">
        <f>_xlfn.XLOOKUP(表格1[[#This Row],[Model]],表格3[Model-Input-Ref2],表格3[大小電])</f>
        <v>大電</v>
      </c>
      <c r="J2032" s="81" t="str">
        <f>_xlfn.XLOOKUP(表格1[[#This Row],[Model]],表格3[Model-Input-Ref2],表格3[Code])</f>
        <v>WM</v>
      </c>
      <c r="K2032" s="89" t="s">
        <v>1199</v>
      </c>
      <c r="L2032" s="86">
        <v>1</v>
      </c>
      <c r="M2032" s="87">
        <v>3780</v>
      </c>
      <c r="N2032" s="85">
        <f>IFERROR(表格1[[#This Row],[QTY]]*表格1[[#This Row],[Unit Price]],"-")</f>
        <v>3780</v>
      </c>
      <c r="O2032" s="86">
        <v>519598</v>
      </c>
      <c r="R2032" s="86" t="str">
        <f>_xlfn.CONCAT(表格1[[#This Row],[Model]]," ",表格1[[#This Row],[inv no]])</f>
        <v>TWD-BN90GF4H(WK) 519598</v>
      </c>
      <c r="S2032" s="86">
        <f>_xlfn.XLOOKUP(表格1[[#This Row],[Model]],表格3[Model-Input-Ref2],表格3[SRP PRICE])</f>
        <v>5980</v>
      </c>
      <c r="T2032" s="43">
        <f>表格1[[#This Row],[Unit Price]]/表格1[[#This Row],[SRP]]</f>
        <v>0.63210702341137126</v>
      </c>
      <c r="U2032" s="86" t="str">
        <f>_xlfn.XLOOKUP(表格1[[#This Row],[Model]],表格3[Model-Input-Ref2],表格3[TOSHIBA/HIGHEST])</f>
        <v>Toshiba SRP</v>
      </c>
      <c r="V2032" s="86">
        <v>1111</v>
      </c>
      <c r="W2032" s="86" t="str">
        <f>_xlfn.CONCAT(表格1[[#This Row],[欄4]],表格1[[#This Row],[inv no]])</f>
        <v>1111519598</v>
      </c>
    </row>
    <row r="2033" spans="1:23" hidden="1">
      <c r="A2033" s="81">
        <v>2031</v>
      </c>
      <c r="B2033" s="86" t="s">
        <v>1772</v>
      </c>
      <c r="C2033" s="86" t="s">
        <v>1773</v>
      </c>
      <c r="D2033" s="82" t="str">
        <f ca="1">OFFSET(Roster!$A$3,MATCH(表格1[[#This Row],[Location]]&amp;" "&amp;表格1[[#This Row],[Shop]]&amp;"*",Roster!$A$4:$A$72,0),DAY(表格1[[#This Row],[date]]),1,1)</f>
        <v>Michelle</v>
      </c>
      <c r="E2033" s="81">
        <f>MONTH(表格1[[#This Row],[date]])</f>
        <v>3</v>
      </c>
      <c r="F2033" s="90">
        <v>46092</v>
      </c>
      <c r="G2033" s="81" t="str">
        <f>VLOOKUP("*"&amp;表格1[[#This Row],[Input]]&amp;"*",'Ref-List'!$B:$D,2,)</f>
        <v>PLK-30FLIH(WT)</v>
      </c>
      <c r="H2033" s="81" t="str">
        <f>_xlfn.XLOOKUP(表格1[[#This Row],[Model]],表格3[Model-Input-Ref2],表格3[Product Line])</f>
        <v>電熱水瓶3L</v>
      </c>
      <c r="I2033" s="81" t="str">
        <f>_xlfn.XLOOKUP(表格1[[#This Row],[Model]],表格3[Model-Input-Ref2],表格3[大小電])</f>
        <v>細電</v>
      </c>
      <c r="J2033" s="81" t="str">
        <f>_xlfn.XLOOKUP(表格1[[#This Row],[Model]],表格3[Model-Input-Ref2],表格3[Code])</f>
        <v>SDA</v>
      </c>
      <c r="K2033" s="89" t="s">
        <v>1272</v>
      </c>
      <c r="L2033" s="86">
        <v>1</v>
      </c>
      <c r="M2033" s="87">
        <v>489</v>
      </c>
      <c r="N2033" s="85">
        <f>IFERROR(表格1[[#This Row],[QTY]]*表格1[[#This Row],[Unit Price]],"-")</f>
        <v>489</v>
      </c>
      <c r="O2033" s="142">
        <v>519588</v>
      </c>
      <c r="R2033" s="86" t="str">
        <f>_xlfn.CONCAT(表格1[[#This Row],[Model]]," ",表格1[[#This Row],[inv no]])</f>
        <v>PLK-30FLIH(WT) 519588</v>
      </c>
      <c r="S2033" s="86">
        <f>_xlfn.XLOOKUP(表格1[[#This Row],[Model]],表格3[Model-Input-Ref2],表格3[SRP PRICE])</f>
        <v>658</v>
      </c>
      <c r="T2033" s="43">
        <f>表格1[[#This Row],[Unit Price]]/表格1[[#This Row],[SRP]]</f>
        <v>0.74316109422492405</v>
      </c>
      <c r="U2033" s="86" t="str">
        <f>_xlfn.XLOOKUP(表格1[[#This Row],[Model]],表格3[Model-Input-Ref2],表格3[TOSHIBA/HIGHEST])</f>
        <v>Toshiba SRP</v>
      </c>
      <c r="V2033" s="86">
        <v>1111</v>
      </c>
      <c r="W2033" s="86" t="str">
        <f>_xlfn.CONCAT(表格1[[#This Row],[欄4]],表格1[[#This Row],[inv no]])</f>
        <v>1111519588</v>
      </c>
    </row>
    <row r="2034" spans="1:23" hidden="1">
      <c r="A2034" s="81">
        <v>2032</v>
      </c>
      <c r="B2034" s="86" t="s">
        <v>1772</v>
      </c>
      <c r="C2034" s="86" t="s">
        <v>1773</v>
      </c>
      <c r="D2034" s="82" t="str">
        <f ca="1">OFFSET(Roster!$A$3,MATCH(表格1[[#This Row],[Location]]&amp;" "&amp;表格1[[#This Row],[Shop]]&amp;"*",Roster!$A$4:$A$72,0),DAY(表格1[[#This Row],[date]]),1,1)</f>
        <v>Michelle</v>
      </c>
      <c r="E2034" s="81">
        <f>MONTH(表格1[[#This Row],[date]])</f>
        <v>3</v>
      </c>
      <c r="F2034" s="90">
        <v>46093</v>
      </c>
      <c r="G2034" s="81" t="str">
        <f>VLOOKUP("*"&amp;表格1[[#This Row],[Input]]&amp;"*",'Ref-List'!$B:$D,2,)</f>
        <v>RC-10NMFIH(WT)</v>
      </c>
      <c r="H2034" s="81" t="str">
        <f>_xlfn.XLOOKUP(表格1[[#This Row],[Model]],表格3[Model-Input-Ref2],表格3[Product Line])</f>
        <v>4毫米厚釜電飯煲1L</v>
      </c>
      <c r="I2034" s="81" t="str">
        <f>_xlfn.XLOOKUP(表格1[[#This Row],[Model]],表格3[Model-Input-Ref2],表格3[大小電])</f>
        <v>細電</v>
      </c>
      <c r="J2034" s="81" t="str">
        <f>_xlfn.XLOOKUP(表格1[[#This Row],[Model]],表格3[Model-Input-Ref2],表格3[Code])</f>
        <v>SDA</v>
      </c>
      <c r="K2034" s="89" t="s">
        <v>1244</v>
      </c>
      <c r="L2034" s="86">
        <v>1</v>
      </c>
      <c r="M2034" s="87">
        <v>719</v>
      </c>
      <c r="N2034" s="85">
        <f>IFERROR(表格1[[#This Row],[QTY]]*表格1[[#This Row],[Unit Price]],"-")</f>
        <v>719</v>
      </c>
      <c r="O2034" s="86">
        <v>519640</v>
      </c>
      <c r="R2034" s="86" t="str">
        <f>_xlfn.CONCAT(表格1[[#This Row],[Model]]," ",表格1[[#This Row],[inv no]])</f>
        <v>RC-10NMFIH(WT) 519640</v>
      </c>
      <c r="S2034" s="86">
        <f>_xlfn.XLOOKUP(表格1[[#This Row],[Model]],表格3[Model-Input-Ref2],表格3[SRP PRICE])</f>
        <v>898</v>
      </c>
      <c r="T2034" s="43">
        <f>表格1[[#This Row],[Unit Price]]/表格1[[#This Row],[SRP]]</f>
        <v>0.80066815144766146</v>
      </c>
      <c r="U2034" s="86" t="str">
        <f>_xlfn.XLOOKUP(表格1[[#This Row],[Model]],表格3[Model-Input-Ref2],表格3[TOSHIBA/HIGHEST])</f>
        <v>Toshiba SRP</v>
      </c>
      <c r="V2034" s="86">
        <v>1111</v>
      </c>
      <c r="W2034" s="86" t="str">
        <f>_xlfn.CONCAT(表格1[[#This Row],[欄4]],表格1[[#This Row],[inv no]])</f>
        <v>1111519640</v>
      </c>
    </row>
    <row r="2035" spans="1:23" hidden="1">
      <c r="A2035" s="81">
        <v>2033</v>
      </c>
      <c r="B2035" s="86" t="s">
        <v>1772</v>
      </c>
      <c r="C2035" s="86" t="s">
        <v>1773</v>
      </c>
      <c r="D2035" s="82" t="str">
        <f ca="1">OFFSET(Roster!$A$3,MATCH(表格1[[#This Row],[Location]]&amp;" "&amp;表格1[[#This Row],[Shop]]&amp;"*",Roster!$A$4:$A$72,0),DAY(表格1[[#This Row],[date]]),1,1)</f>
        <v>Michelle</v>
      </c>
      <c r="E2035" s="81">
        <f>MONTH(表格1[[#This Row],[date]])</f>
        <v>3</v>
      </c>
      <c r="F2035" s="90">
        <v>46093</v>
      </c>
      <c r="G2035" s="81" t="str">
        <f>VLOOKUP("*"&amp;表格1[[#This Row],[Input]]&amp;"*",'Ref-List'!$B:$D,2,)</f>
        <v>RC-10NMFIH(WT)</v>
      </c>
      <c r="H2035" s="81" t="str">
        <f>_xlfn.XLOOKUP(表格1[[#This Row],[Model]],表格3[Model-Input-Ref2],表格3[Product Line])</f>
        <v>4毫米厚釜電飯煲1L</v>
      </c>
      <c r="I2035" s="81" t="str">
        <f>_xlfn.XLOOKUP(表格1[[#This Row],[Model]],表格3[Model-Input-Ref2],表格3[大小電])</f>
        <v>細電</v>
      </c>
      <c r="J2035" s="81" t="str">
        <f>_xlfn.XLOOKUP(表格1[[#This Row],[Model]],表格3[Model-Input-Ref2],表格3[Code])</f>
        <v>SDA</v>
      </c>
      <c r="K2035" s="89" t="s">
        <v>1244</v>
      </c>
      <c r="L2035" s="86">
        <v>1</v>
      </c>
      <c r="M2035" s="87">
        <v>719</v>
      </c>
      <c r="N2035" s="85">
        <f>IFERROR(表格1[[#This Row],[QTY]]*表格1[[#This Row],[Unit Price]],"-")</f>
        <v>719</v>
      </c>
      <c r="O2035" s="142">
        <v>519665</v>
      </c>
      <c r="R2035" s="86" t="str">
        <f>_xlfn.CONCAT(表格1[[#This Row],[Model]]," ",表格1[[#This Row],[inv no]])</f>
        <v>RC-10NMFIH(WT) 519665</v>
      </c>
      <c r="S2035" s="86">
        <f>_xlfn.XLOOKUP(表格1[[#This Row],[Model]],表格3[Model-Input-Ref2],表格3[SRP PRICE])</f>
        <v>898</v>
      </c>
      <c r="T2035" s="43">
        <f>表格1[[#This Row],[Unit Price]]/表格1[[#This Row],[SRP]]</f>
        <v>0.80066815144766146</v>
      </c>
      <c r="U2035" s="86" t="str">
        <f>_xlfn.XLOOKUP(表格1[[#This Row],[Model]],表格3[Model-Input-Ref2],表格3[TOSHIBA/HIGHEST])</f>
        <v>Toshiba SRP</v>
      </c>
      <c r="V2035" s="86">
        <v>1111</v>
      </c>
      <c r="W2035" s="86" t="str">
        <f>_xlfn.CONCAT(表格1[[#This Row],[欄4]],表格1[[#This Row],[inv no]])</f>
        <v>1111519665</v>
      </c>
    </row>
    <row r="2036" spans="1:23" hidden="1">
      <c r="A2036" s="81">
        <v>2034</v>
      </c>
      <c r="B2036" s="86" t="s">
        <v>1772</v>
      </c>
      <c r="C2036" s="86" t="s">
        <v>1773</v>
      </c>
      <c r="D2036" s="82" t="str">
        <f ca="1">OFFSET(Roster!$A$3,MATCH(表格1[[#This Row],[Location]]&amp;" "&amp;表格1[[#This Row],[Shop]]&amp;"*",Roster!$A$4:$A$72,0),DAY(表格1[[#This Row],[date]]),1,1)</f>
        <v>Michelle</v>
      </c>
      <c r="E2036" s="81">
        <f>MONTH(表格1[[#This Row],[date]])</f>
        <v>3</v>
      </c>
      <c r="F2036" s="90">
        <v>46093</v>
      </c>
      <c r="G2036" s="81" t="str">
        <f>VLOOKUP("*"&amp;表格1[[#This Row],[Input]]&amp;"*",'Ref-List'!$B:$D,2,)</f>
        <v>RC-18NMFIH(WT)</v>
      </c>
      <c r="H2036" s="81" t="str">
        <f>_xlfn.XLOOKUP(表格1[[#This Row],[Model]],表格3[Model-Input-Ref2],表格3[Product Line])</f>
        <v>4毫米厚釜電飯煲1.8L</v>
      </c>
      <c r="I2036" s="81" t="str">
        <f>_xlfn.XLOOKUP(表格1[[#This Row],[Model]],表格3[Model-Input-Ref2],表格3[大小電])</f>
        <v>細電</v>
      </c>
      <c r="J2036" s="81" t="str">
        <f>_xlfn.XLOOKUP(表格1[[#This Row],[Model]],表格3[Model-Input-Ref2],表格3[Code])</f>
        <v>SDA</v>
      </c>
      <c r="K2036" s="89" t="s">
        <v>1267</v>
      </c>
      <c r="L2036" s="86">
        <v>1</v>
      </c>
      <c r="M2036" s="87">
        <v>799</v>
      </c>
      <c r="N2036" s="85">
        <f>IFERROR(表格1[[#This Row],[QTY]]*表格1[[#This Row],[Unit Price]],"-")</f>
        <v>799</v>
      </c>
      <c r="O2036" s="142">
        <v>519635</v>
      </c>
      <c r="R2036" s="86" t="str">
        <f>_xlfn.CONCAT(表格1[[#This Row],[Model]]," ",表格1[[#This Row],[inv no]])</f>
        <v>RC-18NMFIH(WT) 519635</v>
      </c>
      <c r="S2036" s="86">
        <f>_xlfn.XLOOKUP(表格1[[#This Row],[Model]],表格3[Model-Input-Ref2],表格3[SRP PRICE])</f>
        <v>998</v>
      </c>
      <c r="T2036" s="43">
        <f>表格1[[#This Row],[Unit Price]]/表格1[[#This Row],[SRP]]</f>
        <v>0.80060120240480959</v>
      </c>
      <c r="U2036" s="86" t="str">
        <f>_xlfn.XLOOKUP(表格1[[#This Row],[Model]],表格3[Model-Input-Ref2],表格3[TOSHIBA/HIGHEST])</f>
        <v>Toshiba SRP</v>
      </c>
      <c r="V2036" s="86">
        <v>1111</v>
      </c>
      <c r="W2036" s="86" t="str">
        <f>_xlfn.CONCAT(表格1[[#This Row],[欄4]],表格1[[#This Row],[inv no]])</f>
        <v>1111519635</v>
      </c>
    </row>
    <row r="2037" spans="1:23" hidden="1">
      <c r="A2037" s="81">
        <v>2035</v>
      </c>
      <c r="B2037" s="86" t="s">
        <v>1772</v>
      </c>
      <c r="C2037" s="86" t="s">
        <v>1773</v>
      </c>
      <c r="D2037" s="82" t="str">
        <f ca="1">OFFSET(Roster!$A$3,MATCH(表格1[[#This Row],[Location]]&amp;" "&amp;表格1[[#This Row],[Shop]]&amp;"*",Roster!$A$4:$A$72,0),DAY(表格1[[#This Row],[date]]),1,1)</f>
        <v>Michelle</v>
      </c>
      <c r="E2037" s="81">
        <f>MONTH(表格1[[#This Row],[date]])</f>
        <v>3</v>
      </c>
      <c r="F2037" s="90">
        <v>46093</v>
      </c>
      <c r="G2037" s="81" t="str">
        <f>VLOOKUP("*"&amp;表格1[[#This Row],[Input]]&amp;"*",'Ref-List'!$B:$D,2,)</f>
        <v>RC-DX10T(W)</v>
      </c>
      <c r="H2037" s="81" t="str">
        <f>_xlfn.XLOOKUP(表格1[[#This Row],[Model]],表格3[Model-Input-Ref2],表格3[Product Line])</f>
        <v>真空壓力磁應電飯煲(1.0公升)</v>
      </c>
      <c r="I2037" s="81" t="str">
        <f>_xlfn.XLOOKUP(表格1[[#This Row],[Model]],表格3[Model-Input-Ref2],表格3[大小電])</f>
        <v>細電</v>
      </c>
      <c r="J2037" s="81" t="str">
        <f>_xlfn.XLOOKUP(表格1[[#This Row],[Model]],表格3[Model-Input-Ref2],表格3[Code])</f>
        <v>SDA</v>
      </c>
      <c r="K2037" s="89" t="s">
        <v>1579</v>
      </c>
      <c r="L2037" s="86">
        <v>1</v>
      </c>
      <c r="M2037" s="87">
        <v>4680</v>
      </c>
      <c r="N2037" s="85">
        <f>IFERROR(表格1[[#This Row],[QTY]]*表格1[[#This Row],[Unit Price]],"-")</f>
        <v>4680</v>
      </c>
      <c r="O2037" s="86">
        <v>519638</v>
      </c>
      <c r="R2037" s="86" t="str">
        <f>_xlfn.CONCAT(表格1[[#This Row],[Model]]," ",表格1[[#This Row],[inv no]])</f>
        <v>RC-DX10T(W) 519638</v>
      </c>
      <c r="S2037" s="86">
        <f>_xlfn.XLOOKUP(表格1[[#This Row],[Model]],表格3[Model-Input-Ref2],表格3[SRP PRICE])</f>
        <v>5988</v>
      </c>
      <c r="T2037" s="43">
        <f>表格1[[#This Row],[Unit Price]]/表格1[[#This Row],[SRP]]</f>
        <v>0.78156312625250501</v>
      </c>
      <c r="U2037" s="86" t="str">
        <f>_xlfn.XLOOKUP(表格1[[#This Row],[Model]],表格3[Model-Input-Ref2],表格3[TOSHIBA/HIGHEST])</f>
        <v>Toshiba SRP</v>
      </c>
      <c r="V2037" s="86">
        <v>1111</v>
      </c>
      <c r="W2037" s="86" t="str">
        <f>_xlfn.CONCAT(表格1[[#This Row],[欄4]],表格1[[#This Row],[inv no]])</f>
        <v>1111519638</v>
      </c>
    </row>
    <row r="2038" spans="1:23" hidden="1">
      <c r="A2038" s="81">
        <v>2036</v>
      </c>
      <c r="B2038" s="86" t="s">
        <v>1772</v>
      </c>
      <c r="C2038" s="86" t="s">
        <v>1773</v>
      </c>
      <c r="D2038" s="82" t="str">
        <f ca="1">OFFSET(Roster!$A$3,MATCH(表格1[[#This Row],[Location]]&amp;" "&amp;表格1[[#This Row],[Shop]]&amp;"*",Roster!$A$4:$A$72,0),DAY(表格1[[#This Row],[date]]),1,1)</f>
        <v>Michelle</v>
      </c>
      <c r="E2038" s="81">
        <f>MONTH(表格1[[#This Row],[date]])</f>
        <v>3</v>
      </c>
      <c r="F2038" s="90">
        <v>46093</v>
      </c>
      <c r="G2038" s="81" t="str">
        <f>VLOOKUP("*"&amp;表格1[[#This Row],[Input]]&amp;"*",'Ref-List'!$B:$D,2,)</f>
        <v>TWD-T21BU95UWH(WW)</v>
      </c>
      <c r="H2038" s="81" t="str">
        <f>_xlfn.XLOOKUP(表格1[[#This Row],[Model]],表格3[Model-Input-Ref2],表格3[Product Line])</f>
        <v>470MM超薄身前置式變頻洗衣乾衣機 (洗8.5公斤 乾6公斤)</v>
      </c>
      <c r="I2038" s="81" t="str">
        <f>_xlfn.XLOOKUP(表格1[[#This Row],[Model]],表格3[Model-Input-Ref2],表格3[大小電])</f>
        <v>大電</v>
      </c>
      <c r="J2038" s="81" t="str">
        <f>_xlfn.XLOOKUP(表格1[[#This Row],[Model]],表格3[Model-Input-Ref2],表格3[Code])</f>
        <v>LAD</v>
      </c>
      <c r="K2038" s="89" t="s">
        <v>1461</v>
      </c>
      <c r="L2038" s="86">
        <v>1</v>
      </c>
      <c r="M2038" s="87">
        <v>4380</v>
      </c>
      <c r="N2038" s="85">
        <f>IFERROR(表格1[[#This Row],[QTY]]*表格1[[#This Row],[Unit Price]],"-")</f>
        <v>4380</v>
      </c>
      <c r="O2038" s="142">
        <v>519673</v>
      </c>
      <c r="R2038" s="86" t="str">
        <f>_xlfn.CONCAT(表格1[[#This Row],[Model]]," ",表格1[[#This Row],[inv no]])</f>
        <v>TWD-T21BU95UWH(WW) 519673</v>
      </c>
      <c r="S2038" s="86">
        <f>_xlfn.XLOOKUP(表格1[[#This Row],[Model]],表格3[Model-Input-Ref2],表格3[SRP PRICE])</f>
        <v>7280</v>
      </c>
      <c r="T2038" s="43">
        <f>表格1[[#This Row],[Unit Price]]/表格1[[#This Row],[SRP]]</f>
        <v>0.60164835164835162</v>
      </c>
      <c r="U2038" s="86" t="str">
        <f>_xlfn.XLOOKUP(表格1[[#This Row],[Model]],表格3[Model-Input-Ref2],表格3[TOSHIBA/HIGHEST])</f>
        <v>Toshiba SRP</v>
      </c>
      <c r="V2038" s="86">
        <v>1111</v>
      </c>
      <c r="W2038" s="86" t="str">
        <f>_xlfn.CONCAT(表格1[[#This Row],[欄4]],表格1[[#This Row],[inv no]])</f>
        <v>1111519673</v>
      </c>
    </row>
    <row r="2039" spans="1:23" hidden="1">
      <c r="A2039" s="81">
        <v>2037</v>
      </c>
      <c r="B2039" s="86" t="s">
        <v>1772</v>
      </c>
      <c r="C2039" s="86" t="s">
        <v>1773</v>
      </c>
      <c r="D2039" s="82" t="str">
        <f ca="1">OFFSET(Roster!$A$3,MATCH(表格1[[#This Row],[Location]]&amp;" "&amp;表格1[[#This Row],[Shop]]&amp;"*",Roster!$A$4:$A$72,0),DAY(表格1[[#This Row],[date]]),1,1)</f>
        <v>Michelle</v>
      </c>
      <c r="E2039" s="81">
        <f>MONTH(表格1[[#This Row],[date]])</f>
        <v>3</v>
      </c>
      <c r="F2039" s="90">
        <v>46093</v>
      </c>
      <c r="G2039" s="81" t="str">
        <f>VLOOKUP("*"&amp;表格1[[#This Row],[Input]]&amp;"*",'Ref-List'!$B:$D,2,)</f>
        <v>PLK-30FLIH(WT)</v>
      </c>
      <c r="H2039" s="81" t="str">
        <f>_xlfn.XLOOKUP(表格1[[#This Row],[Model]],表格3[Model-Input-Ref2],表格3[Product Line])</f>
        <v>電熱水瓶3L</v>
      </c>
      <c r="I2039" s="81" t="str">
        <f>_xlfn.XLOOKUP(表格1[[#This Row],[Model]],表格3[Model-Input-Ref2],表格3[大小電])</f>
        <v>細電</v>
      </c>
      <c r="J2039" s="81" t="str">
        <f>_xlfn.XLOOKUP(表格1[[#This Row],[Model]],表格3[Model-Input-Ref2],表格3[Code])</f>
        <v>SDA</v>
      </c>
      <c r="K2039" s="89" t="s">
        <v>1272</v>
      </c>
      <c r="L2039" s="86">
        <v>1</v>
      </c>
      <c r="M2039" s="87">
        <v>487</v>
      </c>
      <c r="N2039" s="85">
        <f>IFERROR(表格1[[#This Row],[QTY]]*表格1[[#This Row],[Unit Price]],"-")</f>
        <v>487</v>
      </c>
      <c r="O2039" s="142">
        <v>519643</v>
      </c>
      <c r="R2039" s="86" t="str">
        <f>_xlfn.CONCAT(表格1[[#This Row],[Model]]," ",表格1[[#This Row],[inv no]])</f>
        <v>PLK-30FLIH(WT) 519643</v>
      </c>
      <c r="S2039" s="86">
        <f>_xlfn.XLOOKUP(表格1[[#This Row],[Model]],表格3[Model-Input-Ref2],表格3[SRP PRICE])</f>
        <v>658</v>
      </c>
      <c r="T2039" s="43">
        <f>表格1[[#This Row],[Unit Price]]/表格1[[#This Row],[SRP]]</f>
        <v>0.74012158054711241</v>
      </c>
      <c r="U2039" s="86" t="str">
        <f>_xlfn.XLOOKUP(表格1[[#This Row],[Model]],表格3[Model-Input-Ref2],表格3[TOSHIBA/HIGHEST])</f>
        <v>Toshiba SRP</v>
      </c>
      <c r="V2039" s="86">
        <v>1111</v>
      </c>
      <c r="W2039" s="86" t="str">
        <f>_xlfn.CONCAT(表格1[[#This Row],[欄4]],表格1[[#This Row],[inv no]])</f>
        <v>1111519643</v>
      </c>
    </row>
    <row r="2040" spans="1:23" hidden="1">
      <c r="A2040" s="81">
        <v>2038</v>
      </c>
      <c r="B2040" s="86" t="s">
        <v>1772</v>
      </c>
      <c r="C2040" s="86" t="s">
        <v>1773</v>
      </c>
      <c r="D2040" s="82" t="str">
        <f ca="1">OFFSET(Roster!$A$3,MATCH(表格1[[#This Row],[Location]]&amp;" "&amp;表格1[[#This Row],[Shop]]&amp;"*",Roster!$A$4:$A$72,0),DAY(表格1[[#This Row],[date]]),1,1)</f>
        <v>Michelle</v>
      </c>
      <c r="E2040" s="81">
        <f>MONTH(表格1[[#This Row],[date]])</f>
        <v>3</v>
      </c>
      <c r="F2040" s="90">
        <v>46093</v>
      </c>
      <c r="G2040" s="81" t="str">
        <f>VLOOKUP("*"&amp;表格1[[#This Row],[Input]]&amp;"*",'Ref-List'!$B:$D,2,)</f>
        <v>KT-17SHNH</v>
      </c>
      <c r="H2040" s="81" t="str">
        <f>_xlfn.XLOOKUP(表格1[[#This Row],[Model]],表格3[Model-Input-Ref2],表格3[Product Line])</f>
        <v>1.7L無線雙層電熱水壺</v>
      </c>
      <c r="I2040" s="81" t="str">
        <f>_xlfn.XLOOKUP(表格1[[#This Row],[Model]],表格3[Model-Input-Ref2],表格3[大小電])</f>
        <v>細電</v>
      </c>
      <c r="J2040" s="81" t="str">
        <f>_xlfn.XLOOKUP(表格1[[#This Row],[Model]],表格3[Model-Input-Ref2],表格3[Code])</f>
        <v>SDA</v>
      </c>
      <c r="K2040" s="89" t="s">
        <v>1283</v>
      </c>
      <c r="L2040" s="86">
        <v>1</v>
      </c>
      <c r="M2040" s="87">
        <v>198</v>
      </c>
      <c r="N2040" s="85">
        <f>IFERROR(表格1[[#This Row],[QTY]]*表格1[[#This Row],[Unit Price]],"-")</f>
        <v>198</v>
      </c>
      <c r="O2040" s="142">
        <v>519663</v>
      </c>
      <c r="R2040" s="86" t="str">
        <f>_xlfn.CONCAT(表格1[[#This Row],[Model]]," ",表格1[[#This Row],[inv no]])</f>
        <v>KT-17SHNH 519663</v>
      </c>
      <c r="S2040" s="86">
        <f>_xlfn.XLOOKUP(表格1[[#This Row],[Model]],表格3[Model-Input-Ref2],表格3[SRP PRICE])</f>
        <v>299</v>
      </c>
      <c r="T2040" s="43">
        <f>表格1[[#This Row],[Unit Price]]/表格1[[#This Row],[SRP]]</f>
        <v>0.66220735785953178</v>
      </c>
      <c r="U2040" s="86" t="str">
        <f>_xlfn.XLOOKUP(表格1[[#This Row],[Model]],表格3[Model-Input-Ref2],表格3[TOSHIBA/HIGHEST])</f>
        <v>Shops Highest Price</v>
      </c>
      <c r="V2040" s="86">
        <v>1111</v>
      </c>
      <c r="W2040" s="86" t="str">
        <f>_xlfn.CONCAT(表格1[[#This Row],[欄4]],表格1[[#This Row],[inv no]])</f>
        <v>1111519663</v>
      </c>
    </row>
    <row r="2041" spans="1:23" hidden="1">
      <c r="A2041" s="81">
        <v>2039</v>
      </c>
      <c r="B2041" s="86" t="s">
        <v>1772</v>
      </c>
      <c r="C2041" s="86" t="s">
        <v>1773</v>
      </c>
      <c r="D2041" s="82" t="str">
        <f ca="1">OFFSET(Roster!$A$3,MATCH(表格1[[#This Row],[Location]]&amp;" "&amp;表格1[[#This Row],[Shop]]&amp;"*",Roster!$A$4:$A$72,0),DAY(表格1[[#This Row],[date]]),1,1)</f>
        <v>Michelle</v>
      </c>
      <c r="E2041" s="81">
        <f>MONTH(表格1[[#This Row],[date]])</f>
        <v>3</v>
      </c>
      <c r="F2041" s="90">
        <v>46094</v>
      </c>
      <c r="G2041" s="81" t="str">
        <f>VLOOKUP("*"&amp;表格1[[#This Row],[Input]]&amp;"*",'Ref-List'!$B:$D,2,)</f>
        <v>PLK-30FLIH(WT)</v>
      </c>
      <c r="H2041" s="81" t="str">
        <f>_xlfn.XLOOKUP(表格1[[#This Row],[Model]],表格3[Model-Input-Ref2],表格3[Product Line])</f>
        <v>電熱水瓶3L</v>
      </c>
      <c r="I2041" s="81" t="str">
        <f>_xlfn.XLOOKUP(表格1[[#This Row],[Model]],表格3[Model-Input-Ref2],表格3[大小電])</f>
        <v>細電</v>
      </c>
      <c r="J2041" s="81" t="str">
        <f>_xlfn.XLOOKUP(表格1[[#This Row],[Model]],表格3[Model-Input-Ref2],表格3[Code])</f>
        <v>SDA</v>
      </c>
      <c r="K2041" s="89" t="s">
        <v>1272</v>
      </c>
      <c r="L2041" s="86">
        <v>1</v>
      </c>
      <c r="M2041" s="87">
        <v>489</v>
      </c>
      <c r="N2041" s="85">
        <f>IFERROR(表格1[[#This Row],[QTY]]*表格1[[#This Row],[Unit Price]],"-")</f>
        <v>489</v>
      </c>
      <c r="O2041" s="142">
        <v>519678</v>
      </c>
      <c r="R2041" s="86" t="str">
        <f>_xlfn.CONCAT(表格1[[#This Row],[Model]]," ",表格1[[#This Row],[inv no]])</f>
        <v>PLK-30FLIH(WT) 519678</v>
      </c>
      <c r="S2041" s="86">
        <f>_xlfn.XLOOKUP(表格1[[#This Row],[Model]],表格3[Model-Input-Ref2],表格3[SRP PRICE])</f>
        <v>658</v>
      </c>
      <c r="T2041" s="43">
        <f>表格1[[#This Row],[Unit Price]]/表格1[[#This Row],[SRP]]</f>
        <v>0.74316109422492405</v>
      </c>
      <c r="U2041" s="86" t="str">
        <f>_xlfn.XLOOKUP(表格1[[#This Row],[Model]],表格3[Model-Input-Ref2],表格3[TOSHIBA/HIGHEST])</f>
        <v>Toshiba SRP</v>
      </c>
      <c r="V2041" s="86">
        <v>1111</v>
      </c>
      <c r="W2041" s="86" t="str">
        <f>_xlfn.CONCAT(表格1[[#This Row],[欄4]],表格1[[#This Row],[inv no]])</f>
        <v>1111519678</v>
      </c>
    </row>
    <row r="2042" spans="1:23" hidden="1">
      <c r="A2042" s="81">
        <v>2040</v>
      </c>
      <c r="B2042" s="86" t="s">
        <v>1772</v>
      </c>
      <c r="C2042" s="86" t="s">
        <v>1773</v>
      </c>
      <c r="D2042" s="82" t="str">
        <f ca="1">OFFSET(Roster!$A$3,MATCH(表格1[[#This Row],[Location]]&amp;" "&amp;表格1[[#This Row],[Shop]]&amp;"*",Roster!$A$4:$A$72,0),DAY(表格1[[#This Row],[date]]),1,1)</f>
        <v>Michelle</v>
      </c>
      <c r="E2042" s="81">
        <f>MONTH(表格1[[#This Row],[date]])</f>
        <v>3</v>
      </c>
      <c r="F2042" s="90">
        <v>46094</v>
      </c>
      <c r="G2042" s="81" t="str">
        <f>VLOOKUP("*"&amp;表格1[[#This Row],[Input]]&amp;"*",'Ref-List'!$B:$D,2,)</f>
        <v>RC-10NMFIH(WT)</v>
      </c>
      <c r="H2042" s="81" t="str">
        <f>_xlfn.XLOOKUP(表格1[[#This Row],[Model]],表格3[Model-Input-Ref2],表格3[Product Line])</f>
        <v>4毫米厚釜電飯煲1L</v>
      </c>
      <c r="I2042" s="81" t="str">
        <f>_xlfn.XLOOKUP(表格1[[#This Row],[Model]],表格3[Model-Input-Ref2],表格3[大小電])</f>
        <v>細電</v>
      </c>
      <c r="J2042" s="81" t="str">
        <f>_xlfn.XLOOKUP(表格1[[#This Row],[Model]],表格3[Model-Input-Ref2],表格3[Code])</f>
        <v>SDA</v>
      </c>
      <c r="K2042" s="89" t="s">
        <v>1244</v>
      </c>
      <c r="L2042" s="86">
        <v>1</v>
      </c>
      <c r="M2042" s="87">
        <v>719</v>
      </c>
      <c r="N2042" s="85">
        <f>IFERROR(表格1[[#This Row],[QTY]]*表格1[[#This Row],[Unit Price]],"-")</f>
        <v>719</v>
      </c>
      <c r="O2042" s="86">
        <v>519702</v>
      </c>
      <c r="R2042" s="86" t="str">
        <f>_xlfn.CONCAT(表格1[[#This Row],[Model]]," ",表格1[[#This Row],[inv no]])</f>
        <v>RC-10NMFIH(WT) 519702</v>
      </c>
      <c r="S2042" s="86">
        <f>_xlfn.XLOOKUP(表格1[[#This Row],[Model]],表格3[Model-Input-Ref2],表格3[SRP PRICE])</f>
        <v>898</v>
      </c>
      <c r="T2042" s="43">
        <f>表格1[[#This Row],[Unit Price]]/表格1[[#This Row],[SRP]]</f>
        <v>0.80066815144766146</v>
      </c>
      <c r="U2042" s="86" t="str">
        <f>_xlfn.XLOOKUP(表格1[[#This Row],[Model]],表格3[Model-Input-Ref2],表格3[TOSHIBA/HIGHEST])</f>
        <v>Toshiba SRP</v>
      </c>
      <c r="V2042" s="86">
        <v>1111</v>
      </c>
      <c r="W2042" s="86" t="str">
        <f>_xlfn.CONCAT(表格1[[#This Row],[欄4]],表格1[[#This Row],[inv no]])</f>
        <v>1111519702</v>
      </c>
    </row>
    <row r="2043" spans="1:23" hidden="1">
      <c r="A2043" s="81">
        <v>2041</v>
      </c>
      <c r="B2043" s="86" t="s">
        <v>1772</v>
      </c>
      <c r="C2043" s="86" t="s">
        <v>1773</v>
      </c>
      <c r="D2043" s="82" t="str">
        <f ca="1">OFFSET(Roster!$A$3,MATCH(表格1[[#This Row],[Location]]&amp;" "&amp;表格1[[#This Row],[Shop]]&amp;"*",Roster!$A$4:$A$72,0),DAY(表格1[[#This Row],[date]]),1,1)</f>
        <v>Michelle</v>
      </c>
      <c r="E2043" s="81">
        <f>MONTH(表格1[[#This Row],[date]])</f>
        <v>3</v>
      </c>
      <c r="F2043" s="90">
        <v>46094</v>
      </c>
      <c r="G2043" s="81" t="str">
        <f>VLOOKUP("*"&amp;表格1[[#This Row],[Input]]&amp;"*",'Ref-List'!$B:$D,2,)</f>
        <v>RC-10IRPH</v>
      </c>
      <c r="H2043" s="81" t="str">
        <f>_xlfn.XLOOKUP(表格1[[#This Row],[Model]],表格3[Model-Input-Ref2],表格3[Product Line])</f>
        <v>低醣磁應電飯煲1L</v>
      </c>
      <c r="I2043" s="81" t="str">
        <f>_xlfn.XLOOKUP(表格1[[#This Row],[Model]],表格3[Model-Input-Ref2],表格3[大小電])</f>
        <v>細電</v>
      </c>
      <c r="J2043" s="81" t="str">
        <f>_xlfn.XLOOKUP(表格1[[#This Row],[Model]],表格3[Model-Input-Ref2],表格3[Code])</f>
        <v>SDA</v>
      </c>
      <c r="K2043" s="89" t="s">
        <v>1297</v>
      </c>
      <c r="L2043" s="86">
        <v>1</v>
      </c>
      <c r="M2043" s="87">
        <v>798</v>
      </c>
      <c r="N2043" s="85">
        <f>IFERROR(表格1[[#This Row],[QTY]]*表格1[[#This Row],[Unit Price]],"-")</f>
        <v>798</v>
      </c>
      <c r="O2043" s="142">
        <v>519690</v>
      </c>
      <c r="R2043" s="86" t="str">
        <f>_xlfn.CONCAT(表格1[[#This Row],[Model]]," ",表格1[[#This Row],[inv no]])</f>
        <v>RC-10IRPH 519690</v>
      </c>
      <c r="S2043" s="86">
        <f>_xlfn.XLOOKUP(表格1[[#This Row],[Model]],表格3[Model-Input-Ref2],表格3[SRP PRICE])</f>
        <v>1388</v>
      </c>
      <c r="T2043" s="43">
        <f>表格1[[#This Row],[Unit Price]]/表格1[[#This Row],[SRP]]</f>
        <v>0.5749279538904899</v>
      </c>
      <c r="U2043" s="86" t="str">
        <f>_xlfn.XLOOKUP(表格1[[#This Row],[Model]],表格3[Model-Input-Ref2],表格3[TOSHIBA/HIGHEST])</f>
        <v>Toshiba SRP</v>
      </c>
      <c r="V2043" s="86">
        <v>1111</v>
      </c>
      <c r="W2043" s="86" t="str">
        <f>_xlfn.CONCAT(表格1[[#This Row],[欄4]],表格1[[#This Row],[inv no]])</f>
        <v>1111519690</v>
      </c>
    </row>
    <row r="2044" spans="1:23" hidden="1">
      <c r="A2044" s="81">
        <v>2042</v>
      </c>
      <c r="B2044" s="86" t="s">
        <v>1772</v>
      </c>
      <c r="C2044" s="86" t="s">
        <v>1773</v>
      </c>
      <c r="D2044" s="82" t="str">
        <f ca="1">OFFSET(Roster!$A$3,MATCH(表格1[[#This Row],[Location]]&amp;" "&amp;表格1[[#This Row],[Shop]]&amp;"*",Roster!$A$4:$A$72,0),DAY(表格1[[#This Row],[date]]),1,1)</f>
        <v>Michelle</v>
      </c>
      <c r="E2044" s="81">
        <f>MONTH(表格1[[#This Row],[date]])</f>
        <v>3</v>
      </c>
      <c r="F2044" s="90">
        <v>46094</v>
      </c>
      <c r="G2044" s="81" t="str">
        <f>VLOOKUP("*"&amp;表格1[[#This Row],[Input]]&amp;"*",'Ref-List'!$B:$D,2,)</f>
        <v>GR-RT300WE-PMA(57)</v>
      </c>
      <c r="H2044" s="81" t="str">
        <f>_xlfn.XLOOKUP(表格1[[#This Row],[Model]],表格3[Model-Input-Ref2],表格3[Product Line])</f>
        <v>變頻式環保雙門雪櫃(233L)</v>
      </c>
      <c r="I2044" s="81" t="str">
        <f>_xlfn.XLOOKUP(表格1[[#This Row],[Model]],表格3[Model-Input-Ref2],表格3[大小電])</f>
        <v>大電</v>
      </c>
      <c r="J2044" s="81" t="str">
        <f>_xlfn.XLOOKUP(表格1[[#This Row],[Model]],表格3[Model-Input-Ref2],表格3[Code])</f>
        <v>REF</v>
      </c>
      <c r="K2044" s="89" t="s">
        <v>1462</v>
      </c>
      <c r="L2044" s="86">
        <v>1</v>
      </c>
      <c r="M2044" s="87">
        <v>2780</v>
      </c>
      <c r="N2044" s="85">
        <f>IFERROR(表格1[[#This Row],[QTY]]*表格1[[#This Row],[Unit Price]],"-")</f>
        <v>2780</v>
      </c>
      <c r="O2044" s="86">
        <v>519705</v>
      </c>
      <c r="R2044" s="86" t="str">
        <f>_xlfn.CONCAT(表格1[[#This Row],[Model]]," ",表格1[[#This Row],[inv no]])</f>
        <v>GR-RT300WE-PMA(57) 519705</v>
      </c>
      <c r="S2044" s="86">
        <f>_xlfn.XLOOKUP(表格1[[#This Row],[Model]],表格3[Model-Input-Ref2],表格3[SRP PRICE])</f>
        <v>4280</v>
      </c>
      <c r="T2044" s="43">
        <f>表格1[[#This Row],[Unit Price]]/表格1[[#This Row],[SRP]]</f>
        <v>0.64953271028037385</v>
      </c>
      <c r="U2044" s="86" t="str">
        <f>_xlfn.XLOOKUP(表格1[[#This Row],[Model]],表格3[Model-Input-Ref2],表格3[TOSHIBA/HIGHEST])</f>
        <v>Toshiba SRP</v>
      </c>
      <c r="V2044" s="86">
        <v>1111</v>
      </c>
      <c r="W2044" s="86" t="str">
        <f>_xlfn.CONCAT(表格1[[#This Row],[欄4]],表格1[[#This Row],[inv no]])</f>
        <v>1111519705</v>
      </c>
    </row>
    <row r="2045" spans="1:23" hidden="1">
      <c r="A2045" s="81">
        <v>2043</v>
      </c>
      <c r="B2045" s="86" t="s">
        <v>1772</v>
      </c>
      <c r="C2045" s="86" t="s">
        <v>1773</v>
      </c>
      <c r="D2045" s="82" t="str">
        <f ca="1">OFFSET(Roster!$A$3,MATCH(表格1[[#This Row],[Location]]&amp;" "&amp;表格1[[#This Row],[Shop]]&amp;"*",Roster!$A$4:$A$72,0),DAY(表格1[[#This Row],[date]]),1,1)</f>
        <v>Michelle</v>
      </c>
      <c r="E2045" s="81">
        <f>MONTH(表格1[[#This Row],[date]])</f>
        <v>3</v>
      </c>
      <c r="F2045" s="90">
        <v>46094</v>
      </c>
      <c r="G2045" s="81" t="str">
        <f>VLOOKUP("*"&amp;表格1[[#This Row],[Input]]&amp;"*",'Ref-List'!$B:$D,2,)</f>
        <v>GR-RB360WE-PMA(06)</v>
      </c>
      <c r="H2045" s="81" t="str">
        <f>_xlfn.XLOOKUP(表格1[[#This Row],[Model]],表格3[Model-Input-Ref2],表格3[Product Line])</f>
        <v>變頻下置式雙門雪櫃系列270L</v>
      </c>
      <c r="I2045" s="81" t="str">
        <f>_xlfn.XLOOKUP(表格1[[#This Row],[Model]],表格3[Model-Input-Ref2],表格3[大小電])</f>
        <v>大電</v>
      </c>
      <c r="J2045" s="81" t="str">
        <f>_xlfn.XLOOKUP(表格1[[#This Row],[Model]],表格3[Model-Input-Ref2],表格3[Code])</f>
        <v>REF</v>
      </c>
      <c r="K2045" s="89" t="s">
        <v>1282</v>
      </c>
      <c r="L2045" s="86">
        <v>1</v>
      </c>
      <c r="M2045" s="87">
        <v>3580</v>
      </c>
      <c r="N2045" s="85">
        <f>IFERROR(表格1[[#This Row],[QTY]]*表格1[[#This Row],[Unit Price]],"-")</f>
        <v>3580</v>
      </c>
      <c r="O2045" s="142">
        <v>519715</v>
      </c>
      <c r="R2045" s="86" t="str">
        <f>_xlfn.CONCAT(表格1[[#This Row],[Model]]," ",表格1[[#This Row],[inv no]])</f>
        <v>GR-RB360WE-PMA(06) 519715</v>
      </c>
      <c r="S2045" s="86">
        <f>_xlfn.XLOOKUP(表格1[[#This Row],[Model]],表格3[Model-Input-Ref2],表格3[SRP PRICE])</f>
        <v>5080</v>
      </c>
      <c r="T2045" s="43">
        <f>表格1[[#This Row],[Unit Price]]/表格1[[#This Row],[SRP]]</f>
        <v>0.70472440944881887</v>
      </c>
      <c r="U2045" s="86" t="str">
        <f>_xlfn.XLOOKUP(表格1[[#This Row],[Model]],表格3[Model-Input-Ref2],表格3[TOSHIBA/HIGHEST])</f>
        <v>Toshiba SRP</v>
      </c>
      <c r="V2045" s="86">
        <v>1111</v>
      </c>
      <c r="W2045" s="86" t="str">
        <f>_xlfn.CONCAT(表格1[[#This Row],[欄4]],表格1[[#This Row],[inv no]])</f>
        <v>1111519715</v>
      </c>
    </row>
    <row r="2046" spans="1:23" hidden="1">
      <c r="A2046" s="81">
        <v>2044</v>
      </c>
      <c r="B2046" s="86" t="s">
        <v>1772</v>
      </c>
      <c r="C2046" s="86" t="s">
        <v>1773</v>
      </c>
      <c r="D2046" s="82" t="str">
        <f ca="1">OFFSET(Roster!$A$3,MATCH(表格1[[#This Row],[Location]]&amp;" "&amp;表格1[[#This Row],[Shop]]&amp;"*",Roster!$A$4:$A$72,0),DAY(表格1[[#This Row],[date]]),1,1)</f>
        <v>Michelle</v>
      </c>
      <c r="E2046" s="81">
        <f>MONTH(表格1[[#This Row],[date]])</f>
        <v>3</v>
      </c>
      <c r="F2046" s="90">
        <v>46095</v>
      </c>
      <c r="G2046" s="81" t="str">
        <f>VLOOKUP("*"&amp;表格1[[#This Row],[Input]]&amp;"*",'Ref-List'!$B:$D,2,)</f>
        <v>TWD-T22BU95UWH(WK)-B</v>
      </c>
      <c r="H2046" s="81" t="str">
        <f>_xlfn.XLOOKUP(表格1[[#This Row],[Model]],表格3[Model-Input-Ref2],表格3[Product Line])</f>
        <v>470MM超薄身前置式變頻洗衣乾衣機 (洗8.5公斤/乾6公斤, 可飛頂)</v>
      </c>
      <c r="I2046" s="81" t="str">
        <f>_xlfn.XLOOKUP(表格1[[#This Row],[Model]],表格3[Model-Input-Ref2],表格3[大小電])</f>
        <v>大電</v>
      </c>
      <c r="J2046" s="81" t="str">
        <f>_xlfn.XLOOKUP(表格1[[#This Row],[Model]],表格3[Model-Input-Ref2],表格3[Code])</f>
        <v>LAD</v>
      </c>
      <c r="K2046" s="89" t="s">
        <v>1421</v>
      </c>
      <c r="L2046" s="86">
        <v>1</v>
      </c>
      <c r="M2046" s="87">
        <v>4780</v>
      </c>
      <c r="N2046" s="85">
        <f>IFERROR(表格1[[#This Row],[QTY]]*表格1[[#This Row],[Unit Price]],"-")</f>
        <v>4780</v>
      </c>
      <c r="O2046" s="142">
        <v>519737</v>
      </c>
      <c r="R2046" s="86" t="str">
        <f>_xlfn.CONCAT(表格1[[#This Row],[Model]]," ",表格1[[#This Row],[inv no]])</f>
        <v>TWD-T22BU95UWH(WK)-B 519737</v>
      </c>
      <c r="S2046" s="86">
        <f>_xlfn.XLOOKUP(表格1[[#This Row],[Model]],表格3[Model-Input-Ref2],表格3[SRP PRICE])</f>
        <v>7480</v>
      </c>
      <c r="T2046" s="43">
        <f>表格1[[#This Row],[Unit Price]]/表格1[[#This Row],[SRP]]</f>
        <v>0.63903743315508021</v>
      </c>
      <c r="U2046" s="86" t="str">
        <f>_xlfn.XLOOKUP(表格1[[#This Row],[Model]],表格3[Model-Input-Ref2],表格3[TOSHIBA/HIGHEST])</f>
        <v>Toshiba SRP</v>
      </c>
      <c r="V2046" s="86">
        <v>1111</v>
      </c>
      <c r="W2046" s="86" t="str">
        <f>_xlfn.CONCAT(表格1[[#This Row],[欄4]],表格1[[#This Row],[inv no]])</f>
        <v>1111519737</v>
      </c>
    </row>
    <row r="2047" spans="1:23" hidden="1">
      <c r="A2047" s="81">
        <v>2045</v>
      </c>
      <c r="B2047" s="86" t="s">
        <v>1772</v>
      </c>
      <c r="C2047" s="86" t="s">
        <v>1773</v>
      </c>
      <c r="D2047" s="82" t="str">
        <f ca="1">OFFSET(Roster!$A$3,MATCH(表格1[[#This Row],[Location]]&amp;" "&amp;表格1[[#This Row],[Shop]]&amp;"*",Roster!$A$4:$A$72,0),DAY(表格1[[#This Row],[date]]),1,1)</f>
        <v>Michelle</v>
      </c>
      <c r="E2047" s="81">
        <f>MONTH(表格1[[#This Row],[date]])</f>
        <v>3</v>
      </c>
      <c r="F2047" s="90">
        <v>46095</v>
      </c>
      <c r="G2047" s="81" t="str">
        <f>VLOOKUP("*"&amp;表格1[[#This Row],[Input]]&amp;"*",'Ref-List'!$B:$D,2,)</f>
        <v>RAD-D300H</v>
      </c>
      <c r="H2047" s="81" t="str">
        <f>_xlfn.XLOOKUP(表格1[[#This Row],[Model]],表格3[Model-Input-Ref2],表格3[Product Line])</f>
        <v>壓縮式抽濕機 (30公升)</v>
      </c>
      <c r="I2047" s="81" t="str">
        <f>_xlfn.XLOOKUP(表格1[[#This Row],[Model]],表格3[Model-Input-Ref2],表格3[大小電])</f>
        <v>細電</v>
      </c>
      <c r="J2047" s="81" t="str">
        <f>_xlfn.XLOOKUP(表格1[[#This Row],[Model]],表格3[Model-Input-Ref2],表格3[Code])</f>
        <v>RAC</v>
      </c>
      <c r="K2047" s="89" t="s">
        <v>1252</v>
      </c>
      <c r="L2047" s="86">
        <v>1</v>
      </c>
      <c r="M2047" s="87">
        <v>2280</v>
      </c>
      <c r="N2047" s="85">
        <f>IFERROR(表格1[[#This Row],[QTY]]*表格1[[#This Row],[Unit Price]],"-")</f>
        <v>2280</v>
      </c>
      <c r="O2047" s="86">
        <v>519759</v>
      </c>
      <c r="R2047" s="86" t="str">
        <f>_xlfn.CONCAT(表格1[[#This Row],[Model]]," ",表格1[[#This Row],[inv no]])</f>
        <v>RAD-D300H 519759</v>
      </c>
      <c r="S2047" s="86">
        <f>_xlfn.XLOOKUP(表格1[[#This Row],[Model]],表格3[Model-Input-Ref2],表格3[SRP PRICE])</f>
        <v>3380</v>
      </c>
      <c r="T2047" s="43">
        <f>表格1[[#This Row],[Unit Price]]/表格1[[#This Row],[SRP]]</f>
        <v>0.67455621301775148</v>
      </c>
      <c r="U2047" s="86" t="str">
        <f>_xlfn.XLOOKUP(表格1[[#This Row],[Model]],表格3[Model-Input-Ref2],表格3[TOSHIBA/HIGHEST])</f>
        <v>Shops Highest Price</v>
      </c>
      <c r="V2047" s="86">
        <v>1111</v>
      </c>
      <c r="W2047" s="86" t="str">
        <f>_xlfn.CONCAT(表格1[[#This Row],[欄4]],表格1[[#This Row],[inv no]])</f>
        <v>1111519759</v>
      </c>
    </row>
    <row r="2048" spans="1:23" hidden="1">
      <c r="A2048" s="81">
        <v>2046</v>
      </c>
      <c r="B2048" s="86" t="s">
        <v>1772</v>
      </c>
      <c r="C2048" s="86" t="s">
        <v>1773</v>
      </c>
      <c r="D2048" s="82" t="str">
        <f ca="1">OFFSET(Roster!$A$3,MATCH(表格1[[#This Row],[Location]]&amp;" "&amp;表格1[[#This Row],[Shop]]&amp;"*",Roster!$A$4:$A$72,0),DAY(表格1[[#This Row],[date]]),1,1)</f>
        <v>Michelle</v>
      </c>
      <c r="E2048" s="81">
        <f>MONTH(表格1[[#This Row],[date]])</f>
        <v>3</v>
      </c>
      <c r="F2048" s="90">
        <v>46095</v>
      </c>
      <c r="G2048" s="81" t="str">
        <f>VLOOKUP("*"&amp;表格1[[#This Row],[Input]]&amp;"*",'Ref-List'!$B:$D,2,)</f>
        <v>MM2-EM20PC(WH)</v>
      </c>
      <c r="H2048" s="81" t="str">
        <f>_xlfn.XLOOKUP(表格1[[#This Row],[Model]],表格3[Model-Input-Ref2],表格3[Product Line])</f>
        <v>輕觸式微波爐 (20公升)</v>
      </c>
      <c r="I2048" s="81" t="str">
        <f>_xlfn.XLOOKUP(表格1[[#This Row],[Model]],表格3[Model-Input-Ref2],表格3[大小電])</f>
        <v>細電</v>
      </c>
      <c r="J2048" s="81" t="str">
        <f>_xlfn.XLOOKUP(表格1[[#This Row],[Model]],表格3[Model-Input-Ref2],表格3[Code])</f>
        <v>MCA</v>
      </c>
      <c r="K2048" s="89" t="s">
        <v>1276</v>
      </c>
      <c r="L2048" s="86">
        <v>1</v>
      </c>
      <c r="M2048" s="87">
        <v>598</v>
      </c>
      <c r="N2048" s="85">
        <f>IFERROR(表格1[[#This Row],[QTY]]*表格1[[#This Row],[Unit Price]],"-")</f>
        <v>598</v>
      </c>
      <c r="O2048" s="142">
        <v>519721</v>
      </c>
      <c r="R2048" s="86" t="str">
        <f>_xlfn.CONCAT(表格1[[#This Row],[Model]]," ",表格1[[#This Row],[inv no]])</f>
        <v>MM2-EM20PC(WH) 519721</v>
      </c>
      <c r="S2048" s="86">
        <f>_xlfn.XLOOKUP(表格1[[#This Row],[Model]],表格3[Model-Input-Ref2],表格3[SRP PRICE])</f>
        <v>788</v>
      </c>
      <c r="T2048" s="43">
        <f>表格1[[#This Row],[Unit Price]]/表格1[[#This Row],[SRP]]</f>
        <v>0.75888324873096447</v>
      </c>
      <c r="U2048" s="86" t="str">
        <f>_xlfn.XLOOKUP(表格1[[#This Row],[Model]],表格3[Model-Input-Ref2],表格3[TOSHIBA/HIGHEST])</f>
        <v>Toshiba SRP</v>
      </c>
      <c r="V2048" s="86">
        <v>1111</v>
      </c>
      <c r="W2048" s="86" t="str">
        <f>_xlfn.CONCAT(表格1[[#This Row],[欄4]],表格1[[#This Row],[inv no]])</f>
        <v>1111519721</v>
      </c>
    </row>
    <row r="2049" spans="1:23" hidden="1">
      <c r="A2049" s="81">
        <v>2047</v>
      </c>
      <c r="B2049" s="86" t="s">
        <v>1772</v>
      </c>
      <c r="C2049" s="86" t="s">
        <v>1773</v>
      </c>
      <c r="D2049" s="82" t="str">
        <f ca="1">OFFSET(Roster!$A$3,MATCH(表格1[[#This Row],[Location]]&amp;" "&amp;表格1[[#This Row],[Shop]]&amp;"*",Roster!$A$4:$A$72,0),DAY(表格1[[#This Row],[date]]),1,1)</f>
        <v>Michelle</v>
      </c>
      <c r="E2049" s="81">
        <f>MONTH(表格1[[#This Row],[date]])</f>
        <v>3</v>
      </c>
      <c r="F2049" s="90">
        <v>46095</v>
      </c>
      <c r="G2049" s="81" t="str">
        <f>VLOOKUP("*"&amp;表格1[[#This Row],[Input]]&amp;"*",'Ref-List'!$B:$D,2,)</f>
        <v>MX2-STR25SC(WH)</v>
      </c>
      <c r="H2049" s="81" t="str">
        <f>_xlfn.XLOOKUP(表格1[[#This Row],[Model]],表格3[Model-Input-Ref2],表格3[Product Line])</f>
        <v>4合1氣炸微波蒸焗爐(25公升)</v>
      </c>
      <c r="I2049" s="81" t="str">
        <f>_xlfn.XLOOKUP(表格1[[#This Row],[Model]],表格3[Model-Input-Ref2],表格3[大小電])</f>
        <v>細電</v>
      </c>
      <c r="J2049" s="81" t="str">
        <f>_xlfn.XLOOKUP(表格1[[#This Row],[Model]],表格3[Model-Input-Ref2],表格3[Code])</f>
        <v>MCA</v>
      </c>
      <c r="K2049" s="89" t="s">
        <v>1410</v>
      </c>
      <c r="L2049" s="86">
        <v>1</v>
      </c>
      <c r="M2049" s="87">
        <v>3580</v>
      </c>
      <c r="N2049" s="85">
        <f>IFERROR(表格1[[#This Row],[QTY]]*表格1[[#This Row],[Unit Price]],"-")</f>
        <v>3580</v>
      </c>
      <c r="O2049" s="142">
        <v>519748</v>
      </c>
      <c r="R2049" s="86" t="str">
        <f>_xlfn.CONCAT(表格1[[#This Row],[Model]]," ",表格1[[#This Row],[inv no]])</f>
        <v>MX2-STR25SC(WH) 519748</v>
      </c>
      <c r="S2049" s="86">
        <f>_xlfn.XLOOKUP(表格1[[#This Row],[Model]],表格3[Model-Input-Ref2],表格3[SRP PRICE])</f>
        <v>4998</v>
      </c>
      <c r="T2049" s="43">
        <f>表格1[[#This Row],[Unit Price]]/表格1[[#This Row],[SRP]]</f>
        <v>0.71628651460584236</v>
      </c>
      <c r="U2049" s="86" t="str">
        <f>_xlfn.XLOOKUP(表格1[[#This Row],[Model]],表格3[Model-Input-Ref2],表格3[TOSHIBA/HIGHEST])</f>
        <v>Toshiba SRP</v>
      </c>
      <c r="V2049" s="86">
        <v>1111</v>
      </c>
      <c r="W2049" s="86" t="str">
        <f>_xlfn.CONCAT(表格1[[#This Row],[欄4]],表格1[[#This Row],[inv no]])</f>
        <v>1111519748</v>
      </c>
    </row>
    <row r="2050" spans="1:23" hidden="1">
      <c r="A2050" s="81">
        <v>2048</v>
      </c>
      <c r="B2050" s="86" t="s">
        <v>1772</v>
      </c>
      <c r="C2050" s="86" t="s">
        <v>1773</v>
      </c>
      <c r="D2050" s="82" t="str">
        <f ca="1">OFFSET(Roster!$A$3,MATCH(表格1[[#This Row],[Location]]&amp;" "&amp;表格1[[#This Row],[Shop]]&amp;"*",Roster!$A$4:$A$72,0),DAY(表格1[[#This Row],[date]]),1,1)</f>
        <v>Michelle</v>
      </c>
      <c r="E2050" s="81">
        <f>MONTH(表格1[[#This Row],[date]])</f>
        <v>3</v>
      </c>
      <c r="F2050" s="90">
        <v>46095</v>
      </c>
      <c r="G2050" s="81" t="str">
        <f>VLOOKUP("*"&amp;表格1[[#This Row],[Input]]&amp;"*",'Ref-List'!$B:$D,2,)</f>
        <v>TP-50DRUHK(W)</v>
      </c>
      <c r="H2050" s="81" t="str">
        <f>_xlfn.XLOOKUP(表格1[[#This Row],[Model]],表格3[Model-Input-Ref2],表格3[Product Line])</f>
        <v>電熱水瓶 (5公升)</v>
      </c>
      <c r="I2050" s="81" t="str">
        <f>_xlfn.XLOOKUP(表格1[[#This Row],[Model]],表格3[Model-Input-Ref2],表格3[大小電])</f>
        <v>細電</v>
      </c>
      <c r="J2050" s="81" t="str">
        <f>_xlfn.XLOOKUP(表格1[[#This Row],[Model]],表格3[Model-Input-Ref2],表格3[Code])</f>
        <v>SDA</v>
      </c>
      <c r="K2050" s="89" t="s">
        <v>1277</v>
      </c>
      <c r="L2050" s="86">
        <v>1</v>
      </c>
      <c r="M2050" s="87">
        <v>598</v>
      </c>
      <c r="N2050" s="85">
        <f>IFERROR(表格1[[#This Row],[QTY]]*表格1[[#This Row],[Unit Price]],"-")</f>
        <v>598</v>
      </c>
      <c r="O2050" s="142">
        <v>519725</v>
      </c>
      <c r="R2050" s="86" t="str">
        <f>_xlfn.CONCAT(表格1[[#This Row],[Model]]," ",表格1[[#This Row],[inv no]])</f>
        <v>TP-50DRUHK(W) 519725</v>
      </c>
      <c r="S2050" s="86">
        <f>_xlfn.XLOOKUP(表格1[[#This Row],[Model]],表格3[Model-Input-Ref2],表格3[SRP PRICE])</f>
        <v>718</v>
      </c>
      <c r="T2050" s="43">
        <f>表格1[[#This Row],[Unit Price]]/表格1[[#This Row],[SRP]]</f>
        <v>0.83286908077994426</v>
      </c>
      <c r="U2050" s="86" t="str">
        <f>_xlfn.XLOOKUP(表格1[[#This Row],[Model]],表格3[Model-Input-Ref2],表格3[TOSHIBA/HIGHEST])</f>
        <v>Toshiba SRP</v>
      </c>
      <c r="V2050" s="86">
        <v>1111</v>
      </c>
      <c r="W2050" s="86" t="str">
        <f>_xlfn.CONCAT(表格1[[#This Row],[欄4]],表格1[[#This Row],[inv no]])</f>
        <v>1111519725</v>
      </c>
    </row>
    <row r="2051" spans="1:23" hidden="1">
      <c r="A2051" s="81">
        <v>2049</v>
      </c>
      <c r="B2051" s="86" t="s">
        <v>1772</v>
      </c>
      <c r="C2051" s="86" t="s">
        <v>1773</v>
      </c>
      <c r="D2051" s="82" t="str">
        <f ca="1">OFFSET(Roster!$A$3,MATCH(表格1[[#This Row],[Location]]&amp;" "&amp;表格1[[#This Row],[Shop]]&amp;"*",Roster!$A$4:$A$72,0),DAY(表格1[[#This Row],[date]]),1,1)</f>
        <v>Michelle</v>
      </c>
      <c r="E2051" s="81">
        <f>MONTH(表格1[[#This Row],[date]])</f>
        <v>3</v>
      </c>
      <c r="F2051" s="90">
        <v>46095</v>
      </c>
      <c r="G2051" s="81" t="str">
        <f>VLOOKUP("*"&amp;表格1[[#This Row],[Input]]&amp;"*",'Ref-List'!$B:$D,2,)</f>
        <v>TP-50DRUHK(W)</v>
      </c>
      <c r="H2051" s="81" t="str">
        <f>_xlfn.XLOOKUP(表格1[[#This Row],[Model]],表格3[Model-Input-Ref2],表格3[Product Line])</f>
        <v>電熱水瓶 (5公升)</v>
      </c>
      <c r="I2051" s="81" t="str">
        <f>_xlfn.XLOOKUP(表格1[[#This Row],[Model]],表格3[Model-Input-Ref2],表格3[大小電])</f>
        <v>細電</v>
      </c>
      <c r="J2051" s="81" t="str">
        <f>_xlfn.XLOOKUP(表格1[[#This Row],[Model]],表格3[Model-Input-Ref2],表格3[Code])</f>
        <v>SDA</v>
      </c>
      <c r="K2051" s="89" t="s">
        <v>1277</v>
      </c>
      <c r="L2051" s="86">
        <v>1</v>
      </c>
      <c r="M2051" s="87">
        <v>598</v>
      </c>
      <c r="N2051" s="85">
        <f>IFERROR(表格1[[#This Row],[QTY]]*表格1[[#This Row],[Unit Price]],"-")</f>
        <v>598</v>
      </c>
      <c r="O2051" s="142">
        <v>519726</v>
      </c>
      <c r="R2051" s="86" t="str">
        <f>_xlfn.CONCAT(表格1[[#This Row],[Model]]," ",表格1[[#This Row],[inv no]])</f>
        <v>TP-50DRUHK(W) 519726</v>
      </c>
      <c r="S2051" s="86">
        <f>_xlfn.XLOOKUP(表格1[[#This Row],[Model]],表格3[Model-Input-Ref2],表格3[SRP PRICE])</f>
        <v>718</v>
      </c>
      <c r="T2051" s="43">
        <f>表格1[[#This Row],[Unit Price]]/表格1[[#This Row],[SRP]]</f>
        <v>0.83286908077994426</v>
      </c>
      <c r="U2051" s="86" t="str">
        <f>_xlfn.XLOOKUP(表格1[[#This Row],[Model]],表格3[Model-Input-Ref2],表格3[TOSHIBA/HIGHEST])</f>
        <v>Toshiba SRP</v>
      </c>
      <c r="V2051" s="86">
        <v>1111</v>
      </c>
      <c r="W2051" s="86" t="str">
        <f>_xlfn.CONCAT(表格1[[#This Row],[欄4]],表格1[[#This Row],[inv no]])</f>
        <v>1111519726</v>
      </c>
    </row>
    <row r="2052" spans="1:23" hidden="1">
      <c r="A2052" s="81">
        <v>2050</v>
      </c>
      <c r="B2052" s="86" t="s">
        <v>1772</v>
      </c>
      <c r="C2052" s="86" t="s">
        <v>1773</v>
      </c>
      <c r="D2052" s="82" t="str">
        <f ca="1">OFFSET(Roster!$A$3,MATCH(表格1[[#This Row],[Location]]&amp;" "&amp;表格1[[#This Row],[Shop]]&amp;"*",Roster!$A$4:$A$72,0),DAY(表格1[[#This Row],[date]]),1,1)</f>
        <v>Michelle</v>
      </c>
      <c r="E2052" s="81">
        <f>MONTH(表格1[[#This Row],[date]])</f>
        <v>3</v>
      </c>
      <c r="F2052" s="90">
        <v>46095</v>
      </c>
      <c r="G2052" s="81" t="str">
        <f>VLOOKUP("*"&amp;表格1[[#This Row],[Input]]&amp;"*",'Ref-List'!$B:$D,2,)</f>
        <v>RAC-12G3CVRGR-HK</v>
      </c>
      <c r="H2052" s="81" t="str">
        <f>_xlfn.XLOOKUP(表格1[[#This Row],[Model]],表格3[Model-Input-Ref2],表格3[Product Line])</f>
        <v>R32變頻窗口式冷氣機 (獨立抽濕遙控</v>
      </c>
      <c r="I2052" s="81" t="str">
        <f>_xlfn.XLOOKUP(表格1[[#This Row],[Model]],表格3[Model-Input-Ref2],表格3[大小電])</f>
        <v>大電</v>
      </c>
      <c r="J2052" s="81" t="str">
        <f>_xlfn.XLOOKUP(表格1[[#This Row],[Model]],表格3[Model-Input-Ref2],表格3[Code])</f>
        <v>AC</v>
      </c>
      <c r="K2052" s="89" t="s">
        <v>1454</v>
      </c>
      <c r="L2052" s="86">
        <v>1</v>
      </c>
      <c r="M2052" s="87">
        <v>5980</v>
      </c>
      <c r="N2052" s="85">
        <f>IFERROR(表格1[[#This Row],[QTY]]*表格1[[#This Row],[Unit Price]],"-")</f>
        <v>5980</v>
      </c>
      <c r="O2052" s="142">
        <v>519737</v>
      </c>
      <c r="R2052" s="86" t="str">
        <f>_xlfn.CONCAT(表格1[[#This Row],[Model]]," ",表格1[[#This Row],[inv no]])</f>
        <v>RAC-12G3CVRGR-HK 519737</v>
      </c>
      <c r="S2052" s="86">
        <f>_xlfn.XLOOKUP(表格1[[#This Row],[Model]],表格3[Model-Input-Ref2],表格3[SRP PRICE])</f>
        <v>8680</v>
      </c>
      <c r="T2052" s="43">
        <f>表格1[[#This Row],[Unit Price]]/表格1[[#This Row],[SRP]]</f>
        <v>0.68894009216589858</v>
      </c>
      <c r="U2052" s="86" t="str">
        <f>_xlfn.XLOOKUP(表格1[[#This Row],[Model]],表格3[Model-Input-Ref2],表格3[TOSHIBA/HIGHEST])</f>
        <v>Toshiba SRP</v>
      </c>
      <c r="V2052" s="86">
        <v>1111</v>
      </c>
      <c r="W2052" s="86" t="str">
        <f>_xlfn.CONCAT(表格1[[#This Row],[欄4]],表格1[[#This Row],[inv no]])</f>
        <v>1111519737</v>
      </c>
    </row>
    <row r="2053" spans="1:23" hidden="1">
      <c r="A2053" s="81">
        <v>2051</v>
      </c>
      <c r="B2053" s="86" t="s">
        <v>1772</v>
      </c>
      <c r="C2053" s="86" t="s">
        <v>1773</v>
      </c>
      <c r="D2053" s="82" t="str">
        <f ca="1">OFFSET(Roster!$A$3,MATCH(表格1[[#This Row],[Location]]&amp;" "&amp;表格1[[#This Row],[Shop]]&amp;"*",Roster!$A$4:$A$72,0),DAY(表格1[[#This Row],[date]]),1,1)</f>
        <v>Michelle</v>
      </c>
      <c r="E2053" s="81">
        <f>MONTH(表格1[[#This Row],[date]])</f>
        <v>3</v>
      </c>
      <c r="F2053" s="90">
        <v>46095</v>
      </c>
      <c r="G2053" s="81" t="str">
        <f>VLOOKUP("*"&amp;表格1[[#This Row],[Input]]&amp;"*",'Ref-List'!$B:$D,2,)</f>
        <v>RC-10IRPH</v>
      </c>
      <c r="H2053" s="81" t="str">
        <f>_xlfn.XLOOKUP(表格1[[#This Row],[Model]],表格3[Model-Input-Ref2],表格3[Product Line])</f>
        <v>低醣磁應電飯煲1L</v>
      </c>
      <c r="I2053" s="81" t="str">
        <f>_xlfn.XLOOKUP(表格1[[#This Row],[Model]],表格3[Model-Input-Ref2],表格3[大小電])</f>
        <v>細電</v>
      </c>
      <c r="J2053" s="81" t="str">
        <f>_xlfn.XLOOKUP(表格1[[#This Row],[Model]],表格3[Model-Input-Ref2],表格3[Code])</f>
        <v>SDA</v>
      </c>
      <c r="K2053" s="89" t="s">
        <v>1297</v>
      </c>
      <c r="L2053" s="86">
        <v>1</v>
      </c>
      <c r="M2053" s="87">
        <v>798</v>
      </c>
      <c r="N2053" s="85">
        <f>IFERROR(表格1[[#This Row],[QTY]]*表格1[[#This Row],[Unit Price]],"-")</f>
        <v>798</v>
      </c>
      <c r="O2053" s="142">
        <v>519733</v>
      </c>
      <c r="R2053" s="86" t="str">
        <f>_xlfn.CONCAT(表格1[[#This Row],[Model]]," ",表格1[[#This Row],[inv no]])</f>
        <v>RC-10IRPH 519733</v>
      </c>
      <c r="S2053" s="86">
        <f>_xlfn.XLOOKUP(表格1[[#This Row],[Model]],表格3[Model-Input-Ref2],表格3[SRP PRICE])</f>
        <v>1388</v>
      </c>
      <c r="T2053" s="43">
        <f>表格1[[#This Row],[Unit Price]]/表格1[[#This Row],[SRP]]</f>
        <v>0.5749279538904899</v>
      </c>
      <c r="U2053" s="86" t="str">
        <f>_xlfn.XLOOKUP(表格1[[#This Row],[Model]],表格3[Model-Input-Ref2],表格3[TOSHIBA/HIGHEST])</f>
        <v>Toshiba SRP</v>
      </c>
      <c r="V2053" s="86">
        <v>1111</v>
      </c>
      <c r="W2053" s="86" t="str">
        <f>_xlfn.CONCAT(表格1[[#This Row],[欄4]],表格1[[#This Row],[inv no]])</f>
        <v>1111519733</v>
      </c>
    </row>
    <row r="2054" spans="1:23" hidden="1">
      <c r="A2054" s="81">
        <v>2052</v>
      </c>
      <c r="B2054" s="86" t="s">
        <v>1772</v>
      </c>
      <c r="C2054" s="86" t="s">
        <v>1773</v>
      </c>
      <c r="D2054" s="82" t="str">
        <f ca="1">OFFSET(Roster!$A$3,MATCH(表格1[[#This Row],[Location]]&amp;" "&amp;表格1[[#This Row],[Shop]]&amp;"*",Roster!$A$4:$A$72,0),DAY(表格1[[#This Row],[date]]),1,1)</f>
        <v>Michelle</v>
      </c>
      <c r="E2054" s="81">
        <f>MONTH(表格1[[#This Row],[date]])</f>
        <v>3</v>
      </c>
      <c r="F2054" s="90">
        <v>46095</v>
      </c>
      <c r="G2054" s="81" t="str">
        <f>VLOOKUP("*"&amp;表格1[[#This Row],[Input]]&amp;"*",'Ref-List'!$B:$D,2,)</f>
        <v>GR-RB449WE-PMA(57)</v>
      </c>
      <c r="H2054" s="81" t="str">
        <f>_xlfn.XLOOKUP(表格1[[#This Row],[Model]],表格3[Model-Input-Ref2],表格3[Product Line])</f>
        <v>變頻下置式雙門雪櫃</v>
      </c>
      <c r="I2054" s="81" t="str">
        <f>_xlfn.XLOOKUP(表格1[[#This Row],[Model]],表格3[Model-Input-Ref2],表格3[大小電])</f>
        <v>大電</v>
      </c>
      <c r="J2054" s="81" t="str">
        <f>_xlfn.XLOOKUP(表格1[[#This Row],[Model]],表格3[Model-Input-Ref2],表格3[Code])</f>
        <v>REF</v>
      </c>
      <c r="K2054" s="89" t="s">
        <v>1484</v>
      </c>
      <c r="L2054" s="86">
        <v>1</v>
      </c>
      <c r="M2054" s="87">
        <v>4880</v>
      </c>
      <c r="N2054" s="85">
        <f>IFERROR(表格1[[#This Row],[QTY]]*表格1[[#This Row],[Unit Price]],"-")</f>
        <v>4880</v>
      </c>
      <c r="O2054" s="142">
        <v>519721</v>
      </c>
      <c r="R2054" s="86" t="str">
        <f>_xlfn.CONCAT(表格1[[#This Row],[Model]]," ",表格1[[#This Row],[inv no]])</f>
        <v>GR-RB449WE-PMA(57) 519721</v>
      </c>
      <c r="S2054" s="86">
        <f>_xlfn.XLOOKUP(表格1[[#This Row],[Model]],表格3[Model-Input-Ref2],表格3[SRP PRICE])</f>
        <v>6280</v>
      </c>
      <c r="T2054" s="43">
        <f>表格1[[#This Row],[Unit Price]]/表格1[[#This Row],[SRP]]</f>
        <v>0.77707006369426757</v>
      </c>
      <c r="U2054" s="86" t="str">
        <f>_xlfn.XLOOKUP(表格1[[#This Row],[Model]],表格3[Model-Input-Ref2],表格3[TOSHIBA/HIGHEST])</f>
        <v>Toshiba SRP</v>
      </c>
      <c r="V2054" s="86">
        <v>1111</v>
      </c>
      <c r="W2054" s="86" t="str">
        <f>_xlfn.CONCAT(表格1[[#This Row],[欄4]],表格1[[#This Row],[inv no]])</f>
        <v>1111519721</v>
      </c>
    </row>
    <row r="2055" spans="1:23" hidden="1">
      <c r="A2055" s="81">
        <v>2053</v>
      </c>
      <c r="B2055" s="86" t="s">
        <v>1772</v>
      </c>
      <c r="C2055" s="86" t="s">
        <v>1773</v>
      </c>
      <c r="D2055" s="82" t="str">
        <f ca="1">OFFSET(Roster!$A$3,MATCH(表格1[[#This Row],[Location]]&amp;" "&amp;表格1[[#This Row],[Shop]]&amp;"*",Roster!$A$4:$A$72,0),DAY(表格1[[#This Row],[date]]),1,1)</f>
        <v>Michelle</v>
      </c>
      <c r="E2055" s="81">
        <f>MONTH(表格1[[#This Row],[date]])</f>
        <v>3</v>
      </c>
      <c r="F2055" s="90">
        <v>46095</v>
      </c>
      <c r="G2055" s="81" t="str">
        <f>VLOOKUP("*"&amp;表格1[[#This Row],[Input]]&amp;"*",'Ref-List'!$B:$D,2,)</f>
        <v>GR-RB449WE-PMA(57)</v>
      </c>
      <c r="H2055" s="81" t="str">
        <f>_xlfn.XLOOKUP(表格1[[#This Row],[Model]],表格3[Model-Input-Ref2],表格3[Product Line])</f>
        <v>變頻下置式雙門雪櫃</v>
      </c>
      <c r="I2055" s="81" t="str">
        <f>_xlfn.XLOOKUP(表格1[[#This Row],[Model]],表格3[Model-Input-Ref2],表格3[大小電])</f>
        <v>大電</v>
      </c>
      <c r="J2055" s="81" t="str">
        <f>_xlfn.XLOOKUP(表格1[[#This Row],[Model]],表格3[Model-Input-Ref2],表格3[Code])</f>
        <v>REF</v>
      </c>
      <c r="K2055" s="89" t="s">
        <v>1484</v>
      </c>
      <c r="L2055" s="86">
        <v>1</v>
      </c>
      <c r="M2055" s="87">
        <v>4880</v>
      </c>
      <c r="N2055" s="85">
        <f>IFERROR(表格1[[#This Row],[QTY]]*表格1[[#This Row],[Unit Price]],"-")</f>
        <v>4880</v>
      </c>
      <c r="O2055" s="142">
        <v>519737</v>
      </c>
      <c r="R2055" s="86" t="str">
        <f>_xlfn.CONCAT(表格1[[#This Row],[Model]]," ",表格1[[#This Row],[inv no]])</f>
        <v>GR-RB449WE-PMA(57) 519737</v>
      </c>
      <c r="S2055" s="86">
        <f>_xlfn.XLOOKUP(表格1[[#This Row],[Model]],表格3[Model-Input-Ref2],表格3[SRP PRICE])</f>
        <v>6280</v>
      </c>
      <c r="T2055" s="43">
        <f>表格1[[#This Row],[Unit Price]]/表格1[[#This Row],[SRP]]</f>
        <v>0.77707006369426757</v>
      </c>
      <c r="U2055" s="86" t="str">
        <f>_xlfn.XLOOKUP(表格1[[#This Row],[Model]],表格3[Model-Input-Ref2],表格3[TOSHIBA/HIGHEST])</f>
        <v>Toshiba SRP</v>
      </c>
      <c r="V2055" s="86">
        <v>1111</v>
      </c>
      <c r="W2055" s="86" t="str">
        <f>_xlfn.CONCAT(表格1[[#This Row],[欄4]],表格1[[#This Row],[inv no]])</f>
        <v>1111519737</v>
      </c>
    </row>
    <row r="2056" spans="1:23" hidden="1">
      <c r="A2056" s="81">
        <v>2054</v>
      </c>
      <c r="B2056" s="86" t="s">
        <v>1772</v>
      </c>
      <c r="C2056" s="86" t="s">
        <v>1773</v>
      </c>
      <c r="D2056" s="82" t="str">
        <f ca="1">OFFSET(Roster!$A$3,MATCH(表格1[[#This Row],[Location]]&amp;" "&amp;表格1[[#This Row],[Shop]]&amp;"*",Roster!$A$4:$A$72,0),DAY(表格1[[#This Row],[date]]),1,1)</f>
        <v>Michelle</v>
      </c>
      <c r="E2056" s="81">
        <f>MONTH(表格1[[#This Row],[date]])</f>
        <v>3</v>
      </c>
      <c r="F2056" s="90">
        <v>46095</v>
      </c>
      <c r="G2056" s="81" t="str">
        <f>VLOOKUP("*"&amp;表格1[[#This Row],[Input]]&amp;"*",'Ref-List'!$B:$D,2,)</f>
        <v>MM2-EG20PC(WH)</v>
      </c>
      <c r="H2056" s="81" t="str">
        <f>_xlfn.XLOOKUP(表格1[[#This Row],[Model]],表格3[Model-Input-Ref2],表格3[Product Line])</f>
        <v>輕觸式燒烤微波爐</v>
      </c>
      <c r="I2056" s="81" t="str">
        <f>_xlfn.XLOOKUP(表格1[[#This Row],[Model]],表格3[Model-Input-Ref2],表格3[大小電])</f>
        <v>細電</v>
      </c>
      <c r="J2056" s="81" t="str">
        <f>_xlfn.XLOOKUP(表格1[[#This Row],[Model]],表格3[Model-Input-Ref2],表格3[Code])</f>
        <v>MCA</v>
      </c>
      <c r="K2056" s="89" t="s">
        <v>1273</v>
      </c>
      <c r="L2056" s="86">
        <v>1</v>
      </c>
      <c r="M2056" s="87">
        <v>698</v>
      </c>
      <c r="N2056" s="85">
        <f>IFERROR(表格1[[#This Row],[QTY]]*表格1[[#This Row],[Unit Price]],"-")</f>
        <v>698</v>
      </c>
      <c r="O2056" s="86">
        <v>519925</v>
      </c>
      <c r="R2056" s="86" t="str">
        <f>_xlfn.CONCAT(表格1[[#This Row],[Model]]," ",表格1[[#This Row],[inv no]])</f>
        <v>MM2-EG20PC(WH) 519925</v>
      </c>
      <c r="S2056" s="86">
        <f>_xlfn.XLOOKUP(表格1[[#This Row],[Model]],表格3[Model-Input-Ref2],表格3[SRP PRICE])</f>
        <v>918</v>
      </c>
      <c r="T2056" s="43">
        <f>表格1[[#This Row],[Unit Price]]/表格1[[#This Row],[SRP]]</f>
        <v>0.76034858387799564</v>
      </c>
      <c r="U2056" s="86" t="str">
        <f>_xlfn.XLOOKUP(表格1[[#This Row],[Model]],表格3[Model-Input-Ref2],表格3[TOSHIBA/HIGHEST])</f>
        <v>Shops Highest Price</v>
      </c>
      <c r="V2056" s="86">
        <v>1111</v>
      </c>
      <c r="W2056" s="86" t="str">
        <f>_xlfn.CONCAT(表格1[[#This Row],[欄4]],表格1[[#This Row],[inv no]])</f>
        <v>1111519925</v>
      </c>
    </row>
    <row r="2057" spans="1:23" hidden="1">
      <c r="A2057" s="81">
        <v>2055</v>
      </c>
      <c r="B2057" s="86" t="s">
        <v>1772</v>
      </c>
      <c r="C2057" s="86" t="s">
        <v>1773</v>
      </c>
      <c r="D2057" s="82" t="str">
        <f ca="1">OFFSET(Roster!$A$3,MATCH(表格1[[#This Row],[Location]]&amp;" "&amp;表格1[[#This Row],[Shop]]&amp;"*",Roster!$A$4:$A$72,0),DAY(表格1[[#This Row],[date]]),1,1)</f>
        <v>Michelle</v>
      </c>
      <c r="E2057" s="81">
        <f>MONTH(表格1[[#This Row],[date]])</f>
        <v>3</v>
      </c>
      <c r="F2057" s="90">
        <v>46096</v>
      </c>
      <c r="G2057" s="81" t="str">
        <f>VLOOKUP("*"&amp;表格1[[#This Row],[Input]]&amp;"*",'Ref-List'!$B:$D,2,)</f>
        <v>RC-10NMFIH(WT)</v>
      </c>
      <c r="H2057" s="81" t="str">
        <f>_xlfn.XLOOKUP(表格1[[#This Row],[Model]],表格3[Model-Input-Ref2],表格3[Product Line])</f>
        <v>4毫米厚釜電飯煲1L</v>
      </c>
      <c r="I2057" s="81" t="str">
        <f>_xlfn.XLOOKUP(表格1[[#This Row],[Model]],表格3[Model-Input-Ref2],表格3[大小電])</f>
        <v>細電</v>
      </c>
      <c r="J2057" s="81" t="str">
        <f>_xlfn.XLOOKUP(表格1[[#This Row],[Model]],表格3[Model-Input-Ref2],表格3[Code])</f>
        <v>SDA</v>
      </c>
      <c r="K2057" s="89" t="s">
        <v>1244</v>
      </c>
      <c r="L2057" s="86">
        <v>1</v>
      </c>
      <c r="M2057" s="87">
        <v>719</v>
      </c>
      <c r="N2057" s="85">
        <f>IFERROR(表格1[[#This Row],[QTY]]*表格1[[#This Row],[Unit Price]],"-")</f>
        <v>719</v>
      </c>
      <c r="O2057" s="86">
        <v>519780</v>
      </c>
      <c r="P2057" s="86" t="s">
        <v>1845</v>
      </c>
      <c r="R2057" s="86" t="str">
        <f>_xlfn.CONCAT(表格1[[#This Row],[Model]]," ",表格1[[#This Row],[inv no]])</f>
        <v>RC-10NMFIH(WT) 519780</v>
      </c>
      <c r="S2057" s="86">
        <f>_xlfn.XLOOKUP(表格1[[#This Row],[Model]],表格3[Model-Input-Ref2],表格3[SRP PRICE])</f>
        <v>898</v>
      </c>
      <c r="T2057" s="43">
        <f>表格1[[#This Row],[Unit Price]]/表格1[[#This Row],[SRP]]</f>
        <v>0.80066815144766146</v>
      </c>
      <c r="U2057" s="86" t="str">
        <f>_xlfn.XLOOKUP(表格1[[#This Row],[Model]],表格3[Model-Input-Ref2],表格3[TOSHIBA/HIGHEST])</f>
        <v>Toshiba SRP</v>
      </c>
      <c r="V2057" s="86">
        <v>1111</v>
      </c>
      <c r="W2057" s="86" t="str">
        <f>_xlfn.CONCAT(表格1[[#This Row],[欄4]],表格1[[#This Row],[inv no]])</f>
        <v>1111519780</v>
      </c>
    </row>
    <row r="2058" spans="1:23" hidden="1">
      <c r="A2058" s="81">
        <v>2056</v>
      </c>
      <c r="B2058" s="86" t="s">
        <v>1772</v>
      </c>
      <c r="C2058" s="86" t="s">
        <v>1773</v>
      </c>
      <c r="D2058" s="82" t="str">
        <f ca="1">OFFSET(Roster!$A$3,MATCH(表格1[[#This Row],[Location]]&amp;" "&amp;表格1[[#This Row],[Shop]]&amp;"*",Roster!$A$4:$A$72,0),DAY(表格1[[#This Row],[date]]),1,1)</f>
        <v>Michelle</v>
      </c>
      <c r="E2058" s="81">
        <f>MONTH(表格1[[#This Row],[date]])</f>
        <v>3</v>
      </c>
      <c r="F2058" s="90">
        <v>46096</v>
      </c>
      <c r="G2058" s="81" t="str">
        <f>VLOOKUP("*"&amp;表格1[[#This Row],[Input]]&amp;"*",'Ref-List'!$B:$D,2,)</f>
        <v>RC-10DRNH</v>
      </c>
      <c r="H2058" s="81" t="str">
        <f>_xlfn.XLOOKUP(表格1[[#This Row],[Model]],表格3[Model-Input-Ref2],表格3[Product Line])</f>
        <v>多功能備長炭本厚釜電飯煲1L</v>
      </c>
      <c r="I2058" s="81" t="str">
        <f>_xlfn.XLOOKUP(表格1[[#This Row],[Model]],表格3[Model-Input-Ref2],表格3[大小電])</f>
        <v>細電</v>
      </c>
      <c r="J2058" s="81" t="str">
        <f>_xlfn.XLOOKUP(表格1[[#This Row],[Model]],表格3[Model-Input-Ref2],表格3[Code])</f>
        <v>SDA</v>
      </c>
      <c r="K2058" s="89" t="s">
        <v>1376</v>
      </c>
      <c r="L2058" s="86">
        <v>1</v>
      </c>
      <c r="M2058" s="87">
        <v>499</v>
      </c>
      <c r="N2058" s="85">
        <f>IFERROR(表格1[[#This Row],[QTY]]*表格1[[#This Row],[Unit Price]],"-")</f>
        <v>499</v>
      </c>
      <c r="O2058" s="86">
        <v>519781</v>
      </c>
      <c r="R2058" s="86" t="str">
        <f>_xlfn.CONCAT(表格1[[#This Row],[Model]]," ",表格1[[#This Row],[inv no]])</f>
        <v>RC-10DRNH 519781</v>
      </c>
      <c r="S2058" s="86">
        <f>_xlfn.XLOOKUP(表格1[[#This Row],[Model]],表格3[Model-Input-Ref2],表格3[SRP PRICE])</f>
        <v>798</v>
      </c>
      <c r="T2058" s="43">
        <f>表格1[[#This Row],[Unit Price]]/表格1[[#This Row],[SRP]]</f>
        <v>0.62531328320802004</v>
      </c>
      <c r="U2058" s="86" t="str">
        <f>_xlfn.XLOOKUP(表格1[[#This Row],[Model]],表格3[Model-Input-Ref2],表格3[TOSHIBA/HIGHEST])</f>
        <v>Toshiba SRP</v>
      </c>
      <c r="V2058" s="86">
        <v>1111</v>
      </c>
      <c r="W2058" s="86" t="str">
        <f>_xlfn.CONCAT(表格1[[#This Row],[欄4]],表格1[[#This Row],[inv no]])</f>
        <v>1111519781</v>
      </c>
    </row>
    <row r="2059" spans="1:23" hidden="1">
      <c r="A2059" s="81">
        <v>2057</v>
      </c>
      <c r="B2059" s="86" t="s">
        <v>1772</v>
      </c>
      <c r="C2059" s="86" t="s">
        <v>1773</v>
      </c>
      <c r="D2059" s="82" t="str">
        <f ca="1">OFFSET(Roster!$A$3,MATCH(表格1[[#This Row],[Location]]&amp;" "&amp;表格1[[#This Row],[Shop]]&amp;"*",Roster!$A$4:$A$72,0),DAY(表格1[[#This Row],[date]]),1,1)</f>
        <v>Michelle</v>
      </c>
      <c r="E2059" s="81">
        <f>MONTH(表格1[[#This Row],[date]])</f>
        <v>3</v>
      </c>
      <c r="F2059" s="90">
        <v>46096</v>
      </c>
      <c r="G2059" s="81" t="str">
        <f>VLOOKUP("*"&amp;表格1[[#This Row],[Input]]&amp;"*",'Ref-List'!$B:$D,2,)</f>
        <v>RC-10AMXH(W)</v>
      </c>
      <c r="H2059" s="81" t="str">
        <f>_xlfn.XLOOKUP(表格1[[#This Row],[Model]],表格3[Model-Input-Ref2],表格3[Product Line])</f>
        <v>酵活炊電飯煲(1.0公升)</v>
      </c>
      <c r="I2059" s="81" t="str">
        <f>_xlfn.XLOOKUP(表格1[[#This Row],[Model]],表格3[Model-Input-Ref2],表格3[大小電])</f>
        <v>細電</v>
      </c>
      <c r="J2059" s="81" t="str">
        <f>_xlfn.XLOOKUP(表格1[[#This Row],[Model]],表格3[Model-Input-Ref2],表格3[Code])</f>
        <v>SDA</v>
      </c>
      <c r="K2059" s="89" t="s">
        <v>1279</v>
      </c>
      <c r="L2059" s="86">
        <v>1</v>
      </c>
      <c r="M2059" s="87">
        <v>990</v>
      </c>
      <c r="N2059" s="85">
        <f>IFERROR(表格1[[#This Row],[QTY]]*表格1[[#This Row],[Unit Price]],"-")</f>
        <v>990</v>
      </c>
      <c r="O2059" s="86">
        <v>519800</v>
      </c>
      <c r="R2059" s="86" t="str">
        <f>_xlfn.CONCAT(表格1[[#This Row],[Model]]," ",表格1[[#This Row],[inv no]])</f>
        <v>RC-10AMXH(W) 519800</v>
      </c>
      <c r="S2059" s="86">
        <f>_xlfn.XLOOKUP(表格1[[#This Row],[Model]],表格3[Model-Input-Ref2],表格3[SRP PRICE])</f>
        <v>1288</v>
      </c>
      <c r="T2059" s="43">
        <f>表格1[[#This Row],[Unit Price]]/表格1[[#This Row],[SRP]]</f>
        <v>0.76863354037267084</v>
      </c>
      <c r="U2059" s="86" t="str">
        <f>_xlfn.XLOOKUP(表格1[[#This Row],[Model]],表格3[Model-Input-Ref2],表格3[TOSHIBA/HIGHEST])</f>
        <v>Toshiba SRP</v>
      </c>
      <c r="V2059" s="86">
        <v>1111</v>
      </c>
      <c r="W2059" s="86" t="str">
        <f>_xlfn.CONCAT(表格1[[#This Row],[欄4]],表格1[[#This Row],[inv no]])</f>
        <v>1111519800</v>
      </c>
    </row>
    <row r="2060" spans="1:23" ht="16.5" hidden="1">
      <c r="A2060" s="81">
        <v>2058</v>
      </c>
      <c r="B2060" s="86" t="s">
        <v>1772</v>
      </c>
      <c r="C2060" s="86" t="s">
        <v>1773</v>
      </c>
      <c r="D2060" s="82" t="str">
        <f ca="1">OFFSET(Roster!$A$3,MATCH(表格1[[#This Row],[Location]]&amp;" "&amp;表格1[[#This Row],[Shop]]&amp;"*",Roster!$A$4:$A$72,0),DAY(表格1[[#This Row],[date]]),1,1)</f>
        <v>Michelle</v>
      </c>
      <c r="E2060" s="81">
        <f>MONTH(表格1[[#This Row],[date]])</f>
        <v>3</v>
      </c>
      <c r="F2060" s="90">
        <v>46096</v>
      </c>
      <c r="G2060" s="81" t="str">
        <f>VLOOKUP("*"&amp;表格1[[#This Row],[Input]]&amp;"*",'Ref-List'!$B:$D,2,)</f>
        <v>RC-10AMXH(W)</v>
      </c>
      <c r="H2060" s="81" t="str">
        <f>_xlfn.XLOOKUP(表格1[[#This Row],[Model]],表格3[Model-Input-Ref2],表格3[Product Line])</f>
        <v>酵活炊電飯煲(1.0公升)</v>
      </c>
      <c r="I2060" s="81" t="str">
        <f>_xlfn.XLOOKUP(表格1[[#This Row],[Model]],表格3[Model-Input-Ref2],表格3[大小電])</f>
        <v>細電</v>
      </c>
      <c r="J2060" s="81" t="str">
        <f>_xlfn.XLOOKUP(表格1[[#This Row],[Model]],表格3[Model-Input-Ref2],表格3[Code])</f>
        <v>SDA</v>
      </c>
      <c r="K2060" s="89" t="s">
        <v>1279</v>
      </c>
      <c r="L2060" s="86">
        <v>1</v>
      </c>
      <c r="M2060" s="87">
        <v>990</v>
      </c>
      <c r="N2060" s="85">
        <f>IFERROR(表格1[[#This Row],[QTY]]*表格1[[#This Row],[Unit Price]],"-")</f>
        <v>990</v>
      </c>
      <c r="O2060" s="86">
        <v>519811</v>
      </c>
      <c r="P2060" s="141"/>
      <c r="R2060" s="86" t="str">
        <f>_xlfn.CONCAT(表格1[[#This Row],[Model]]," ",表格1[[#This Row],[inv no]])</f>
        <v>RC-10AMXH(W) 519811</v>
      </c>
      <c r="S2060" s="86">
        <f>_xlfn.XLOOKUP(表格1[[#This Row],[Model]],表格3[Model-Input-Ref2],表格3[SRP PRICE])</f>
        <v>1288</v>
      </c>
      <c r="T2060" s="43">
        <f>表格1[[#This Row],[Unit Price]]/表格1[[#This Row],[SRP]]</f>
        <v>0.76863354037267084</v>
      </c>
      <c r="U2060" s="86" t="str">
        <f>_xlfn.XLOOKUP(表格1[[#This Row],[Model]],表格3[Model-Input-Ref2],表格3[TOSHIBA/HIGHEST])</f>
        <v>Toshiba SRP</v>
      </c>
      <c r="V2060" s="86">
        <v>1111</v>
      </c>
      <c r="W2060" s="86" t="str">
        <f>_xlfn.CONCAT(表格1[[#This Row],[欄4]],表格1[[#This Row],[inv no]])</f>
        <v>1111519811</v>
      </c>
    </row>
    <row r="2061" spans="1:23" hidden="1">
      <c r="A2061" s="81">
        <v>2059</v>
      </c>
      <c r="B2061" s="86" t="s">
        <v>1772</v>
      </c>
      <c r="C2061" s="86" t="s">
        <v>1773</v>
      </c>
      <c r="D2061" s="82" t="str">
        <f ca="1">OFFSET(Roster!$A$3,MATCH(表格1[[#This Row],[Location]]&amp;" "&amp;表格1[[#This Row],[Shop]]&amp;"*",Roster!$A$4:$A$72,0),DAY(表格1[[#This Row],[date]]),1,1)</f>
        <v>Michelle</v>
      </c>
      <c r="E2061" s="81">
        <f>MONTH(表格1[[#This Row],[date]])</f>
        <v>3</v>
      </c>
      <c r="F2061" s="90">
        <v>46096</v>
      </c>
      <c r="G2061" s="81" t="str">
        <f>VLOOKUP("*"&amp;表格1[[#This Row],[Input]]&amp;"*",'Ref-List'!$B:$D,2,)</f>
        <v>RC-15BHH(W)</v>
      </c>
      <c r="H2061" s="81" t="str">
        <f>_xlfn.XLOOKUP(表格1[[#This Row],[Model]],表格3[Model-Input-Ref2],表格3[Product Line])</f>
        <v>酵活炊磁應電飯煲(1.5公升)</v>
      </c>
      <c r="I2061" s="81" t="str">
        <f>_xlfn.XLOOKUP(表格1[[#This Row],[Model]],表格3[Model-Input-Ref2],表格3[大小電])</f>
        <v>細電</v>
      </c>
      <c r="J2061" s="81" t="str">
        <f>_xlfn.XLOOKUP(表格1[[#This Row],[Model]],表格3[Model-Input-Ref2],表格3[Code])</f>
        <v>SDA</v>
      </c>
      <c r="K2061" s="89" t="s">
        <v>1381</v>
      </c>
      <c r="L2061" s="86">
        <v>1</v>
      </c>
      <c r="M2061" s="87">
        <v>2088</v>
      </c>
      <c r="N2061" s="85">
        <f>IFERROR(表格1[[#This Row],[QTY]]*表格1[[#This Row],[Unit Price]],"-")</f>
        <v>2088</v>
      </c>
      <c r="O2061" s="142">
        <v>519800</v>
      </c>
      <c r="R2061" s="86" t="str">
        <f>_xlfn.CONCAT(表格1[[#This Row],[Model]]," ",表格1[[#This Row],[inv no]])</f>
        <v>RC-15BHH(W) 519800</v>
      </c>
      <c r="S2061" s="86">
        <f>_xlfn.XLOOKUP(表格1[[#This Row],[Model]],表格3[Model-Input-Ref2],表格3[SRP PRICE])</f>
        <v>2388</v>
      </c>
      <c r="T2061" s="43">
        <f>表格1[[#This Row],[Unit Price]]/表格1[[#This Row],[SRP]]</f>
        <v>0.87437185929648242</v>
      </c>
      <c r="U2061" s="86" t="str">
        <f>_xlfn.XLOOKUP(表格1[[#This Row],[Model]],表格3[Model-Input-Ref2],表格3[TOSHIBA/HIGHEST])</f>
        <v>Toshiba SRP</v>
      </c>
      <c r="V2061" s="86">
        <v>1111</v>
      </c>
      <c r="W2061" s="86" t="str">
        <f>_xlfn.CONCAT(表格1[[#This Row],[欄4]],表格1[[#This Row],[inv no]])</f>
        <v>1111519800</v>
      </c>
    </row>
    <row r="2062" spans="1:23" ht="16.5" hidden="1">
      <c r="A2062" s="81">
        <v>2060</v>
      </c>
      <c r="B2062" s="86" t="s">
        <v>1772</v>
      </c>
      <c r="C2062" s="86" t="s">
        <v>1773</v>
      </c>
      <c r="D2062" s="82" t="str">
        <f ca="1">OFFSET(Roster!$A$3,MATCH(表格1[[#This Row],[Location]]&amp;" "&amp;表格1[[#This Row],[Shop]]&amp;"*",Roster!$A$4:$A$72,0),DAY(表格1[[#This Row],[date]]),1,1)</f>
        <v>Michelle</v>
      </c>
      <c r="E2062" s="81">
        <f>MONTH(表格1[[#This Row],[date]])</f>
        <v>3</v>
      </c>
      <c r="F2062" s="90">
        <v>46096</v>
      </c>
      <c r="G2062" s="81" t="str">
        <f>VLOOKUP("*"&amp;表格1[[#This Row],[Input]]&amp;"*",'Ref-List'!$B:$D,2,)</f>
        <v>GR-RT300WE-PMA(57)</v>
      </c>
      <c r="H2062" s="81" t="str">
        <f>_xlfn.XLOOKUP(表格1[[#This Row],[Model]],表格3[Model-Input-Ref2],表格3[Product Line])</f>
        <v>變頻式環保雙門雪櫃(233L)</v>
      </c>
      <c r="I2062" s="81" t="str">
        <f>_xlfn.XLOOKUP(表格1[[#This Row],[Model]],表格3[Model-Input-Ref2],表格3[大小電])</f>
        <v>大電</v>
      </c>
      <c r="J2062" s="81" t="str">
        <f>_xlfn.XLOOKUP(表格1[[#This Row],[Model]],表格3[Model-Input-Ref2],表格3[Code])</f>
        <v>REF</v>
      </c>
      <c r="K2062" s="89" t="s">
        <v>1462</v>
      </c>
      <c r="L2062" s="86">
        <v>1</v>
      </c>
      <c r="M2062" s="87">
        <v>2780</v>
      </c>
      <c r="N2062" s="85">
        <f>IFERROR(表格1[[#This Row],[QTY]]*表格1[[#This Row],[Unit Price]],"-")</f>
        <v>2780</v>
      </c>
      <c r="O2062" s="142">
        <v>519779</v>
      </c>
      <c r="P2062" s="141"/>
      <c r="R2062" s="86" t="str">
        <f>_xlfn.CONCAT(表格1[[#This Row],[Model]]," ",表格1[[#This Row],[inv no]])</f>
        <v>GR-RT300WE-PMA(57) 519779</v>
      </c>
      <c r="S2062" s="86">
        <f>_xlfn.XLOOKUP(表格1[[#This Row],[Model]],表格3[Model-Input-Ref2],表格3[SRP PRICE])</f>
        <v>4280</v>
      </c>
      <c r="T2062" s="43">
        <f>表格1[[#This Row],[Unit Price]]/表格1[[#This Row],[SRP]]</f>
        <v>0.64953271028037385</v>
      </c>
      <c r="U2062" s="86" t="str">
        <f>_xlfn.XLOOKUP(表格1[[#This Row],[Model]],表格3[Model-Input-Ref2],表格3[TOSHIBA/HIGHEST])</f>
        <v>Toshiba SRP</v>
      </c>
      <c r="V2062" s="86">
        <v>1111</v>
      </c>
      <c r="W2062" s="86" t="str">
        <f>_xlfn.CONCAT(表格1[[#This Row],[欄4]],表格1[[#This Row],[inv no]])</f>
        <v>1111519779</v>
      </c>
    </row>
    <row r="2063" spans="1:23" hidden="1">
      <c r="A2063" s="81">
        <v>2061</v>
      </c>
      <c r="B2063" s="86" t="s">
        <v>1772</v>
      </c>
      <c r="C2063" s="86" t="s">
        <v>1773</v>
      </c>
      <c r="D2063" s="82" t="str">
        <f ca="1">OFFSET(Roster!$A$3,MATCH(表格1[[#This Row],[Location]]&amp;" "&amp;表格1[[#This Row],[Shop]]&amp;"*",Roster!$A$4:$A$72,0),DAY(表格1[[#This Row],[date]]),1,1)</f>
        <v>Michelle</v>
      </c>
      <c r="E2063" s="81">
        <f>MONTH(表格1[[#This Row],[date]])</f>
        <v>3</v>
      </c>
      <c r="F2063" s="90">
        <v>46096</v>
      </c>
      <c r="G2063" s="81" t="str">
        <f>VLOOKUP("*"&amp;表格1[[#This Row],[Input]]&amp;"*",'Ref-List'!$B:$D,2,)</f>
        <v>GR-RB360WE-PMA(06)</v>
      </c>
      <c r="H2063" s="81" t="str">
        <f>_xlfn.XLOOKUP(表格1[[#This Row],[Model]],表格3[Model-Input-Ref2],表格3[Product Line])</f>
        <v>變頻下置式雙門雪櫃系列270L</v>
      </c>
      <c r="I2063" s="81" t="str">
        <f>_xlfn.XLOOKUP(表格1[[#This Row],[Model]],表格3[Model-Input-Ref2],表格3[大小電])</f>
        <v>大電</v>
      </c>
      <c r="J2063" s="81" t="str">
        <f>_xlfn.XLOOKUP(表格1[[#This Row],[Model]],表格3[Model-Input-Ref2],表格3[Code])</f>
        <v>REF</v>
      </c>
      <c r="K2063" s="89" t="s">
        <v>1282</v>
      </c>
      <c r="L2063" s="86">
        <v>1</v>
      </c>
      <c r="M2063" s="87">
        <v>3580</v>
      </c>
      <c r="N2063" s="85">
        <f>IFERROR(表格1[[#This Row],[QTY]]*表格1[[#This Row],[Unit Price]],"-")</f>
        <v>3580</v>
      </c>
      <c r="O2063" s="86">
        <v>519772</v>
      </c>
      <c r="R2063" s="86" t="str">
        <f>_xlfn.CONCAT(表格1[[#This Row],[Model]]," ",表格1[[#This Row],[inv no]])</f>
        <v>GR-RB360WE-PMA(06) 519772</v>
      </c>
      <c r="S2063" s="86">
        <f>_xlfn.XLOOKUP(表格1[[#This Row],[Model]],表格3[Model-Input-Ref2],表格3[SRP PRICE])</f>
        <v>5080</v>
      </c>
      <c r="T2063" s="43">
        <f>表格1[[#This Row],[Unit Price]]/表格1[[#This Row],[SRP]]</f>
        <v>0.70472440944881887</v>
      </c>
      <c r="U2063" s="86" t="str">
        <f>_xlfn.XLOOKUP(表格1[[#This Row],[Model]],表格3[Model-Input-Ref2],表格3[TOSHIBA/HIGHEST])</f>
        <v>Toshiba SRP</v>
      </c>
      <c r="V2063" s="86">
        <v>1111</v>
      </c>
      <c r="W2063" s="86" t="str">
        <f>_xlfn.CONCAT(表格1[[#This Row],[欄4]],表格1[[#This Row],[inv no]])</f>
        <v>1111519772</v>
      </c>
    </row>
    <row r="2064" spans="1:23" hidden="1">
      <c r="A2064" s="81">
        <v>2062</v>
      </c>
      <c r="B2064" s="86" t="s">
        <v>1772</v>
      </c>
      <c r="C2064" s="86" t="s">
        <v>1773</v>
      </c>
      <c r="D2064" s="82" t="str">
        <f ca="1">OFFSET(Roster!$A$3,MATCH(表格1[[#This Row],[Location]]&amp;" "&amp;表格1[[#This Row],[Shop]]&amp;"*",Roster!$A$4:$A$72,0),DAY(表格1[[#This Row],[date]]),1,1)</f>
        <v>Michelle</v>
      </c>
      <c r="E2064" s="81">
        <f>MONTH(表格1[[#This Row],[date]])</f>
        <v>3</v>
      </c>
      <c r="F2064" s="90">
        <v>46096</v>
      </c>
      <c r="G2064" s="81" t="str">
        <f>VLOOKUP("*"&amp;表格1[[#This Row],[Input]]&amp;"*",'Ref-List'!$B:$D,2,)</f>
        <v>GR-RB360WE-PMA(06)</v>
      </c>
      <c r="H2064" s="81" t="str">
        <f>_xlfn.XLOOKUP(表格1[[#This Row],[Model]],表格3[Model-Input-Ref2],表格3[Product Line])</f>
        <v>變頻下置式雙門雪櫃系列270L</v>
      </c>
      <c r="I2064" s="81" t="str">
        <f>_xlfn.XLOOKUP(表格1[[#This Row],[Model]],表格3[Model-Input-Ref2],表格3[大小電])</f>
        <v>大電</v>
      </c>
      <c r="J2064" s="81" t="str">
        <f>_xlfn.XLOOKUP(表格1[[#This Row],[Model]],表格3[Model-Input-Ref2],表格3[Code])</f>
        <v>REF</v>
      </c>
      <c r="K2064" s="89" t="s">
        <v>1282</v>
      </c>
      <c r="L2064" s="86">
        <v>1</v>
      </c>
      <c r="M2064" s="87">
        <v>3580</v>
      </c>
      <c r="N2064" s="85">
        <f>IFERROR(表格1[[#This Row],[QTY]]*表格1[[#This Row],[Unit Price]],"-")</f>
        <v>3580</v>
      </c>
      <c r="O2064" s="86">
        <v>519803</v>
      </c>
      <c r="R2064" s="86" t="str">
        <f>_xlfn.CONCAT(表格1[[#This Row],[Model]]," ",表格1[[#This Row],[inv no]])</f>
        <v>GR-RB360WE-PMA(06) 519803</v>
      </c>
      <c r="S2064" s="86">
        <f>_xlfn.XLOOKUP(表格1[[#This Row],[Model]],表格3[Model-Input-Ref2],表格3[SRP PRICE])</f>
        <v>5080</v>
      </c>
      <c r="T2064" s="43">
        <f>表格1[[#This Row],[Unit Price]]/表格1[[#This Row],[SRP]]</f>
        <v>0.70472440944881887</v>
      </c>
      <c r="U2064" s="86" t="str">
        <f>_xlfn.XLOOKUP(表格1[[#This Row],[Model]],表格3[Model-Input-Ref2],表格3[TOSHIBA/HIGHEST])</f>
        <v>Toshiba SRP</v>
      </c>
      <c r="V2064" s="86">
        <v>1111</v>
      </c>
      <c r="W2064" s="86" t="str">
        <f>_xlfn.CONCAT(表格1[[#This Row],[欄4]],表格1[[#This Row],[inv no]])</f>
        <v>1111519803</v>
      </c>
    </row>
    <row r="2065" spans="1:23" hidden="1">
      <c r="A2065" s="81">
        <v>2063</v>
      </c>
      <c r="B2065" s="86" t="s">
        <v>1772</v>
      </c>
      <c r="C2065" s="86" t="s">
        <v>1773</v>
      </c>
      <c r="D2065" s="82" t="str">
        <f ca="1">OFFSET(Roster!$A$3,MATCH(表格1[[#This Row],[Location]]&amp;" "&amp;表格1[[#This Row],[Shop]]&amp;"*",Roster!$A$4:$A$72,0),DAY(表格1[[#This Row],[date]]),1,1)</f>
        <v>Michelle</v>
      </c>
      <c r="E2065" s="81">
        <f>MONTH(表格1[[#This Row],[date]])</f>
        <v>3</v>
      </c>
      <c r="F2065" s="90">
        <v>46096</v>
      </c>
      <c r="G2065" s="81" t="str">
        <f>VLOOKUP("*"&amp;表格1[[#This Row],[Input]]&amp;"*",'Ref-List'!$B:$D,2,)</f>
        <v>GR-RM612WE-PGA(B5)</v>
      </c>
      <c r="H2065" s="81" t="str">
        <f>_xlfn.XLOOKUP(表格1[[#This Row],[Model]],表格3[Model-Input-Ref2],表格3[Product Line])</f>
        <v>變頻五門雪櫃(375L)</v>
      </c>
      <c r="I2065" s="81" t="str">
        <f>_xlfn.XLOOKUP(表格1[[#This Row],[Model]],表格3[Model-Input-Ref2],表格3[大小電])</f>
        <v>大電</v>
      </c>
      <c r="J2065" s="81" t="str">
        <f>_xlfn.XLOOKUP(表格1[[#This Row],[Model]],表格3[Model-Input-Ref2],表格3[Code])</f>
        <v>REF</v>
      </c>
      <c r="K2065" s="89" t="s">
        <v>1257</v>
      </c>
      <c r="L2065" s="86">
        <v>1</v>
      </c>
      <c r="M2065" s="87">
        <v>9980</v>
      </c>
      <c r="N2065" s="85">
        <f>IFERROR(表格1[[#This Row],[QTY]]*表格1[[#This Row],[Unit Price]],"-")</f>
        <v>9980</v>
      </c>
      <c r="O2065" s="86">
        <v>519785</v>
      </c>
      <c r="R2065" s="86" t="str">
        <f>_xlfn.CONCAT(表格1[[#This Row],[Model]]," ",表格1[[#This Row],[inv no]])</f>
        <v>GR-RM612WE-PGA(B5) 519785</v>
      </c>
      <c r="S2065" s="86">
        <f>_xlfn.XLOOKUP(表格1[[#This Row],[Model]],表格3[Model-Input-Ref2],表格3[SRP PRICE])</f>
        <v>11000</v>
      </c>
      <c r="T2065" s="43">
        <f>表格1[[#This Row],[Unit Price]]/表格1[[#This Row],[SRP]]</f>
        <v>0.90727272727272723</v>
      </c>
      <c r="U2065" s="86" t="str">
        <f>_xlfn.XLOOKUP(表格1[[#This Row],[Model]],表格3[Model-Input-Ref2],表格3[TOSHIBA/HIGHEST])</f>
        <v>Shops Highest Price</v>
      </c>
      <c r="V2065" s="86">
        <v>1111</v>
      </c>
      <c r="W2065" s="86" t="str">
        <f>_xlfn.CONCAT(表格1[[#This Row],[欄4]],表格1[[#This Row],[inv no]])</f>
        <v>1111519785</v>
      </c>
    </row>
    <row r="2066" spans="1:23" ht="16.5" hidden="1">
      <c r="A2066" s="81">
        <v>2064</v>
      </c>
      <c r="B2066" s="86" t="s">
        <v>1772</v>
      </c>
      <c r="C2066" s="86" t="s">
        <v>1773</v>
      </c>
      <c r="D2066" s="82" t="str">
        <f ca="1">OFFSET(Roster!$A$3,MATCH(表格1[[#This Row],[Location]]&amp;" "&amp;表格1[[#This Row],[Shop]]&amp;"*",Roster!$A$4:$A$72,0),DAY(表格1[[#This Row],[date]]),1,1)</f>
        <v>Michelle</v>
      </c>
      <c r="E2066" s="81">
        <f>MONTH(表格1[[#This Row],[date]])</f>
        <v>3</v>
      </c>
      <c r="F2066" s="90">
        <v>46096</v>
      </c>
      <c r="G2066" s="81" t="str">
        <f>VLOOKUP("*"&amp;表格1[[#This Row],[Input]]&amp;"*",'Ref-List'!$B:$D,2,)</f>
        <v>TW-T25BZU115MWH(MG)</v>
      </c>
      <c r="H2066" s="81" t="str">
        <f>_xlfn.XLOOKUP(表格1[[#This Row],[Model]],表格3[Model-Input-Ref2],表格3[Product Line])</f>
        <v>前置式變頻洗衣機(10.5公斤)</v>
      </c>
      <c r="I2066" s="81" t="str">
        <f>_xlfn.XLOOKUP(表格1[[#This Row],[Model]],表格3[Model-Input-Ref2],表格3[大小電])</f>
        <v>大電</v>
      </c>
      <c r="J2066" s="81" t="str">
        <f>_xlfn.XLOOKUP(表格1[[#This Row],[Model]],表格3[Model-Input-Ref2],表格3[Code])</f>
        <v>LAD</v>
      </c>
      <c r="K2066" s="89" t="s">
        <v>1099</v>
      </c>
      <c r="L2066" s="86">
        <v>1</v>
      </c>
      <c r="M2066" s="87">
        <v>4980</v>
      </c>
      <c r="N2066" s="85">
        <f>IFERROR(表格1[[#This Row],[QTY]]*表格1[[#This Row],[Unit Price]],"-")</f>
        <v>4980</v>
      </c>
      <c r="O2066" s="86">
        <v>519784</v>
      </c>
      <c r="P2066" s="141"/>
      <c r="R2066" s="86" t="str">
        <f>_xlfn.CONCAT(表格1[[#This Row],[Model]]," ",表格1[[#This Row],[inv no]])</f>
        <v>TW-T25BZU115MWH(MG) 519784</v>
      </c>
      <c r="S2066" s="86">
        <f>_xlfn.XLOOKUP(表格1[[#This Row],[Model]],表格3[Model-Input-Ref2],表格3[SRP PRICE])</f>
        <v>7980</v>
      </c>
      <c r="T2066" s="43">
        <f>表格1[[#This Row],[Unit Price]]/表格1[[#This Row],[SRP]]</f>
        <v>0.62406015037593987</v>
      </c>
      <c r="U2066" s="86" t="str">
        <f>_xlfn.XLOOKUP(表格1[[#This Row],[Model]],表格3[Model-Input-Ref2],表格3[TOSHIBA/HIGHEST])</f>
        <v>Toshiba SRP</v>
      </c>
      <c r="V2066" s="86">
        <v>1111</v>
      </c>
      <c r="W2066" s="86" t="str">
        <f>_xlfn.CONCAT(表格1[[#This Row],[欄4]],表格1[[#This Row],[inv no]])</f>
        <v>1111519784</v>
      </c>
    </row>
    <row r="2067" spans="1:23" hidden="1">
      <c r="A2067" s="81">
        <v>2065</v>
      </c>
      <c r="B2067" s="86" t="s">
        <v>1772</v>
      </c>
      <c r="C2067" s="86" t="s">
        <v>1773</v>
      </c>
      <c r="D2067" s="82" t="str">
        <f ca="1">OFFSET(Roster!$A$3,MATCH(表格1[[#This Row],[Location]]&amp;" "&amp;表格1[[#This Row],[Shop]]&amp;"*",Roster!$A$4:$A$72,0),DAY(表格1[[#This Row],[date]]),1,1)</f>
        <v>Michelle</v>
      </c>
      <c r="E2067" s="81">
        <f>MONTH(表格1[[#This Row],[date]])</f>
        <v>3</v>
      </c>
      <c r="F2067" s="90">
        <v>46096</v>
      </c>
      <c r="G2067" s="81" t="str">
        <f>VLOOKUP("*"&amp;表格1[[#This Row],[Input]]&amp;"*",'Ref-List'!$B:$D,2,)</f>
        <v>MWP-MM20P(WH)</v>
      </c>
      <c r="H2067" s="81" t="str">
        <f>_xlfn.XLOOKUP(表格1[[#This Row],[Model]],表格3[Model-Input-Ref2],表格3[Product Line])</f>
        <v>旋鈕式燒烤微波爐20L</v>
      </c>
      <c r="I2067" s="81" t="str">
        <f>_xlfn.XLOOKUP(表格1[[#This Row],[Model]],表格3[Model-Input-Ref2],表格3[大小電])</f>
        <v>細電</v>
      </c>
      <c r="J2067" s="81" t="str">
        <f>_xlfn.XLOOKUP(表格1[[#This Row],[Model]],表格3[Model-Input-Ref2],表格3[Code])</f>
        <v>SDA</v>
      </c>
      <c r="K2067" s="89" t="s">
        <v>1270</v>
      </c>
      <c r="L2067" s="86">
        <v>1</v>
      </c>
      <c r="M2067" s="87">
        <v>488</v>
      </c>
      <c r="N2067" s="85">
        <f>IFERROR(表格1[[#This Row],[QTY]]*表格1[[#This Row],[Unit Price]],"-")</f>
        <v>488</v>
      </c>
      <c r="O2067" s="86">
        <v>519796</v>
      </c>
      <c r="R2067" s="86" t="str">
        <f>_xlfn.CONCAT(表格1[[#This Row],[Model]]," ",表格1[[#This Row],[inv no]])</f>
        <v>MWP-MM20P(WH) 519796</v>
      </c>
      <c r="S2067" s="86">
        <f>_xlfn.XLOOKUP(表格1[[#This Row],[Model]],表格3[Model-Input-Ref2],表格3[SRP PRICE])</f>
        <v>648</v>
      </c>
      <c r="T2067" s="43">
        <f>表格1[[#This Row],[Unit Price]]/表格1[[#This Row],[SRP]]</f>
        <v>0.75308641975308643</v>
      </c>
      <c r="U2067" s="86" t="str">
        <f>_xlfn.XLOOKUP(表格1[[#This Row],[Model]],表格3[Model-Input-Ref2],表格3[TOSHIBA/HIGHEST])</f>
        <v>Toshiba SRP</v>
      </c>
      <c r="V2067" s="86">
        <v>1111</v>
      </c>
      <c r="W2067" s="86" t="str">
        <f>_xlfn.CONCAT(表格1[[#This Row],[欄4]],表格1[[#This Row],[inv no]])</f>
        <v>1111519796</v>
      </c>
    </row>
    <row r="2068" spans="1:23" hidden="1">
      <c r="A2068" s="81">
        <v>2066</v>
      </c>
      <c r="B2068" s="86" t="s">
        <v>1772</v>
      </c>
      <c r="C2068" s="86" t="s">
        <v>1773</v>
      </c>
      <c r="D2068" s="82" t="str">
        <f ca="1">OFFSET(Roster!$A$3,MATCH(表格1[[#This Row],[Location]]&amp;" "&amp;表格1[[#This Row],[Shop]]&amp;"*",Roster!$A$4:$A$72,0),DAY(表格1[[#This Row],[date]]),1,1)</f>
        <v>Michelle</v>
      </c>
      <c r="E2068" s="81">
        <f>MONTH(表格1[[#This Row],[date]])</f>
        <v>3</v>
      </c>
      <c r="F2068" s="90">
        <v>46096</v>
      </c>
      <c r="G2068" s="81" t="str">
        <f>VLOOKUP("*"&amp;表格1[[#This Row],[Input]]&amp;"*",'Ref-List'!$B:$D,2,)</f>
        <v>MS3-STQ20SC(WH)</v>
      </c>
      <c r="H2068" s="81" t="str">
        <f>_xlfn.XLOOKUP(表格1[[#This Row],[Model]],表格3[Model-Input-Ref2],表格3[Product Line])</f>
        <v>20L 智能蒸氣焗爐</v>
      </c>
      <c r="I2068" s="81" t="str">
        <f>_xlfn.XLOOKUP(表格1[[#This Row],[Model]],表格3[Model-Input-Ref2],表格3[大小電])</f>
        <v>細電</v>
      </c>
      <c r="J2068" s="81" t="str">
        <f>_xlfn.XLOOKUP(表格1[[#This Row],[Model]],表格3[Model-Input-Ref2],表格3[Code])</f>
        <v>MCA</v>
      </c>
      <c r="K2068" s="89" t="s">
        <v>1383</v>
      </c>
      <c r="L2068" s="86">
        <v>1</v>
      </c>
      <c r="M2068" s="87">
        <v>2100</v>
      </c>
      <c r="N2068" s="85">
        <f>IFERROR(表格1[[#This Row],[QTY]]*表格1[[#This Row],[Unit Price]],"-")</f>
        <v>2100</v>
      </c>
      <c r="O2068" s="86">
        <v>519778</v>
      </c>
      <c r="R2068" s="86" t="str">
        <f>_xlfn.CONCAT(表格1[[#This Row],[Model]]," ",表格1[[#This Row],[inv no]])</f>
        <v>MS3-STQ20SC(WH) 519778</v>
      </c>
      <c r="S2068" s="86">
        <f>_xlfn.XLOOKUP(表格1[[#This Row],[Model]],表格3[Model-Input-Ref2],表格3[SRP PRICE])</f>
        <v>2880</v>
      </c>
      <c r="T2068" s="43">
        <f>表格1[[#This Row],[Unit Price]]/表格1[[#This Row],[SRP]]</f>
        <v>0.72916666666666663</v>
      </c>
      <c r="U2068" s="86" t="str">
        <f>_xlfn.XLOOKUP(表格1[[#This Row],[Model]],表格3[Model-Input-Ref2],表格3[TOSHIBA/HIGHEST])</f>
        <v>Toshiba SRP</v>
      </c>
      <c r="V2068" s="86">
        <v>1111</v>
      </c>
      <c r="W2068" s="86" t="str">
        <f>_xlfn.CONCAT(表格1[[#This Row],[欄4]],表格1[[#This Row],[inv no]])</f>
        <v>1111519778</v>
      </c>
    </row>
    <row r="2069" spans="1:23" hidden="1">
      <c r="A2069" s="81">
        <v>2067</v>
      </c>
      <c r="B2069" s="86" t="s">
        <v>1772</v>
      </c>
      <c r="C2069" s="86" t="s">
        <v>1773</v>
      </c>
      <c r="D2069" s="82" t="str">
        <f ca="1">OFFSET(Roster!$A$3,MATCH(表格1[[#This Row],[Location]]&amp;" "&amp;表格1[[#This Row],[Shop]]&amp;"*",Roster!$A$4:$A$72,0),DAY(表格1[[#This Row],[date]]),1,1)</f>
        <v>Michelle</v>
      </c>
      <c r="E2069" s="81">
        <f>MONTH(表格1[[#This Row],[date]])</f>
        <v>3</v>
      </c>
      <c r="F2069" s="90">
        <v>46096</v>
      </c>
      <c r="G2069" s="81" t="str">
        <f>VLOOKUP("*"&amp;表格1[[#This Row],[Input]]&amp;"*",'Ref-List'!$B:$D,2,)</f>
        <v>KT-15DRTHK(W)</v>
      </c>
      <c r="H2069" s="81" t="str">
        <f>_xlfn.XLOOKUP(表格1[[#This Row],[Model]],表格3[Model-Input-Ref2],表格3[Product Line])</f>
        <v>無線雙層電熱水壺-附可鎖壺蓋</v>
      </c>
      <c r="I2069" s="81" t="str">
        <f>_xlfn.XLOOKUP(表格1[[#This Row],[Model]],表格3[Model-Input-Ref2],表格3[大小電])</f>
        <v>細電</v>
      </c>
      <c r="J2069" s="81" t="str">
        <f>_xlfn.XLOOKUP(表格1[[#This Row],[Model]],表格3[Model-Input-Ref2],表格3[Code])</f>
        <v>SDA</v>
      </c>
      <c r="K2069" s="89" t="s">
        <v>1278</v>
      </c>
      <c r="L2069" s="86">
        <v>1</v>
      </c>
      <c r="M2069" s="87">
        <v>358</v>
      </c>
      <c r="N2069" s="85">
        <f>IFERROR(表格1[[#This Row],[QTY]]*表格1[[#This Row],[Unit Price]],"-")</f>
        <v>358</v>
      </c>
      <c r="O2069" s="86">
        <v>519811</v>
      </c>
      <c r="R2069" s="86" t="str">
        <f>_xlfn.CONCAT(表格1[[#This Row],[Model]]," ",表格1[[#This Row],[inv no]])</f>
        <v>KT-15DRTHK(W) 519811</v>
      </c>
      <c r="S2069" s="86">
        <f>_xlfn.XLOOKUP(表格1[[#This Row],[Model]],表格3[Model-Input-Ref2],表格3[SRP PRICE])</f>
        <v>598</v>
      </c>
      <c r="T2069" s="43">
        <f>表格1[[#This Row],[Unit Price]]/表格1[[#This Row],[SRP]]</f>
        <v>0.59866220735785958</v>
      </c>
      <c r="U2069" s="86" t="str">
        <f>_xlfn.XLOOKUP(表格1[[#This Row],[Model]],表格3[Model-Input-Ref2],表格3[TOSHIBA/HIGHEST])</f>
        <v>Toshiba SRP</v>
      </c>
      <c r="V2069" s="86">
        <v>1111</v>
      </c>
      <c r="W2069" s="86" t="str">
        <f>_xlfn.CONCAT(表格1[[#This Row],[欄4]],表格1[[#This Row],[inv no]])</f>
        <v>1111519811</v>
      </c>
    </row>
    <row r="2070" spans="1:23" hidden="1">
      <c r="A2070" s="81">
        <v>2068</v>
      </c>
      <c r="B2070" s="86" t="s">
        <v>1772</v>
      </c>
      <c r="C2070" s="86" t="s">
        <v>1773</v>
      </c>
      <c r="D2070" s="82" t="str">
        <f ca="1">OFFSET(Roster!$A$3,MATCH(表格1[[#This Row],[Location]]&amp;" "&amp;表格1[[#This Row],[Shop]]&amp;"*",Roster!$A$4:$A$72,0),DAY(表格1[[#This Row],[date]]),1,1)</f>
        <v>Michelle</v>
      </c>
      <c r="E2070" s="81">
        <f>MONTH(表格1[[#This Row],[date]])</f>
        <v>3</v>
      </c>
      <c r="F2070" s="90">
        <v>46096</v>
      </c>
      <c r="G2070" s="81" t="str">
        <f>VLOOKUP("*"&amp;表格1[[#This Row],[Input]]&amp;"*",'Ref-List'!$B:$D,2,)</f>
        <v>MM2-EG20PC(WH)</v>
      </c>
      <c r="H2070" s="81" t="str">
        <f>_xlfn.XLOOKUP(表格1[[#This Row],[Model]],表格3[Model-Input-Ref2],表格3[Product Line])</f>
        <v>輕觸式燒烤微波爐</v>
      </c>
      <c r="I2070" s="81" t="str">
        <f>_xlfn.XLOOKUP(表格1[[#This Row],[Model]],表格3[Model-Input-Ref2],表格3[大小電])</f>
        <v>細電</v>
      </c>
      <c r="J2070" s="81" t="str">
        <f>_xlfn.XLOOKUP(表格1[[#This Row],[Model]],表格3[Model-Input-Ref2],表格3[Code])</f>
        <v>MCA</v>
      </c>
      <c r="K2070" s="89" t="s">
        <v>1273</v>
      </c>
      <c r="L2070" s="86">
        <v>1</v>
      </c>
      <c r="M2070" s="87">
        <v>698</v>
      </c>
      <c r="N2070" s="85">
        <f>IFERROR(表格1[[#This Row],[QTY]]*表格1[[#This Row],[Unit Price]],"-")</f>
        <v>698</v>
      </c>
      <c r="O2070" s="86">
        <v>519814</v>
      </c>
      <c r="R2070" s="86" t="str">
        <f>_xlfn.CONCAT(表格1[[#This Row],[Model]]," ",表格1[[#This Row],[inv no]])</f>
        <v>MM2-EG20PC(WH) 519814</v>
      </c>
      <c r="S2070" s="86">
        <f>_xlfn.XLOOKUP(表格1[[#This Row],[Model]],表格3[Model-Input-Ref2],表格3[SRP PRICE])</f>
        <v>918</v>
      </c>
      <c r="T2070" s="43">
        <f>表格1[[#This Row],[Unit Price]]/表格1[[#This Row],[SRP]]</f>
        <v>0.76034858387799564</v>
      </c>
      <c r="U2070" s="86" t="str">
        <f>_xlfn.XLOOKUP(表格1[[#This Row],[Model]],表格3[Model-Input-Ref2],表格3[TOSHIBA/HIGHEST])</f>
        <v>Shops Highest Price</v>
      </c>
      <c r="V2070" s="86">
        <v>1111</v>
      </c>
      <c r="W2070" s="86" t="str">
        <f>_xlfn.CONCAT(表格1[[#This Row],[欄4]],表格1[[#This Row],[inv no]])</f>
        <v>1111519814</v>
      </c>
    </row>
    <row r="2071" spans="1:23" hidden="1">
      <c r="A2071" s="81">
        <v>2069</v>
      </c>
      <c r="B2071" s="86" t="s">
        <v>1772</v>
      </c>
      <c r="C2071" s="86" t="s">
        <v>1773</v>
      </c>
      <c r="D2071" s="82" t="str">
        <f ca="1">OFFSET(Roster!$A$3,MATCH(表格1[[#This Row],[Location]]&amp;" "&amp;表格1[[#This Row],[Shop]]&amp;"*",Roster!$A$4:$A$72,0),DAY(表格1[[#This Row],[date]]),1,1)</f>
        <v>Michelle off</v>
      </c>
      <c r="E2071" s="81">
        <f>MONTH(表格1[[#This Row],[date]])</f>
        <v>3</v>
      </c>
      <c r="F2071" s="90">
        <v>46097</v>
      </c>
      <c r="G2071" s="81" t="str">
        <f>VLOOKUP("*"&amp;表格1[[#This Row],[Input]]&amp;"*",'Ref-List'!$B:$D,2,)</f>
        <v>DWS-34AHK</v>
      </c>
      <c r="H2071" s="81" t="str">
        <f>_xlfn.XLOOKUP(表格1[[#This Row],[Model]],表格3[Model-Input-Ref2],表格3[Product Line])</f>
        <v>獨立式免安裝洗碗碟機</v>
      </c>
      <c r="I2071" s="81" t="str">
        <f>_xlfn.XLOOKUP(表格1[[#This Row],[Model]],表格3[Model-Input-Ref2],表格3[大小電])</f>
        <v>細電</v>
      </c>
      <c r="J2071" s="81" t="str">
        <f>_xlfn.XLOOKUP(表格1[[#This Row],[Model]],表格3[Model-Input-Ref2],表格3[Code])</f>
        <v>DM</v>
      </c>
      <c r="K2071" s="89" t="s">
        <v>1240</v>
      </c>
      <c r="L2071" s="86">
        <v>1</v>
      </c>
      <c r="M2071" s="87">
        <v>2380</v>
      </c>
      <c r="N2071" s="85">
        <f>IFERROR(表格1[[#This Row],[QTY]]*表格1[[#This Row],[Unit Price]],"-")</f>
        <v>2380</v>
      </c>
      <c r="O2071" s="86">
        <v>519843</v>
      </c>
      <c r="R2071" s="86" t="str">
        <f>_xlfn.CONCAT(表格1[[#This Row],[Model]]," ",表格1[[#This Row],[inv no]])</f>
        <v>DWS-34AHK 519843</v>
      </c>
      <c r="S2071" s="86">
        <f>_xlfn.XLOOKUP(表格1[[#This Row],[Model]],表格3[Model-Input-Ref2],表格3[SRP PRICE])</f>
        <v>3999</v>
      </c>
      <c r="T2071" s="43">
        <f>表格1[[#This Row],[Unit Price]]/表格1[[#This Row],[SRP]]</f>
        <v>0.5951487871967992</v>
      </c>
      <c r="U2071" s="86" t="str">
        <f>_xlfn.XLOOKUP(表格1[[#This Row],[Model]],表格3[Model-Input-Ref2],表格3[TOSHIBA/HIGHEST])</f>
        <v>Web SRP</v>
      </c>
      <c r="V2071" s="86">
        <v>1111</v>
      </c>
      <c r="W2071" s="86" t="str">
        <f>_xlfn.CONCAT(表格1[[#This Row],[欄4]],表格1[[#This Row],[inv no]])</f>
        <v>1111519843</v>
      </c>
    </row>
    <row r="2072" spans="1:23" hidden="1">
      <c r="A2072" s="81">
        <v>2070</v>
      </c>
      <c r="B2072" s="86" t="s">
        <v>1772</v>
      </c>
      <c r="C2072" s="86" t="s">
        <v>1773</v>
      </c>
      <c r="D2072" s="82" t="str">
        <f ca="1">OFFSET(Roster!$A$3,MATCH(表格1[[#This Row],[Location]]&amp;" "&amp;表格1[[#This Row],[Shop]]&amp;"*",Roster!$A$4:$A$72,0),DAY(表格1[[#This Row],[date]]),1,1)</f>
        <v>Michelle off</v>
      </c>
      <c r="E2072" s="81">
        <f>MONTH(表格1[[#This Row],[date]])</f>
        <v>3</v>
      </c>
      <c r="F2072" s="90">
        <v>46097</v>
      </c>
      <c r="G2072" s="81" t="str">
        <f>VLOOKUP("*"&amp;表格1[[#This Row],[Input]]&amp;"*",'Ref-List'!$B:$D,2,)</f>
        <v>MM2-EM20PC(WH)</v>
      </c>
      <c r="H2072" s="81" t="str">
        <f>_xlfn.XLOOKUP(表格1[[#This Row],[Model]],表格3[Model-Input-Ref2],表格3[Product Line])</f>
        <v>輕觸式微波爐 (20公升)</v>
      </c>
      <c r="I2072" s="81" t="str">
        <f>_xlfn.XLOOKUP(表格1[[#This Row],[Model]],表格3[Model-Input-Ref2],表格3[大小電])</f>
        <v>細電</v>
      </c>
      <c r="J2072" s="81" t="str">
        <f>_xlfn.XLOOKUP(表格1[[#This Row],[Model]],表格3[Model-Input-Ref2],表格3[Code])</f>
        <v>MCA</v>
      </c>
      <c r="K2072" s="89" t="s">
        <v>1276</v>
      </c>
      <c r="L2072" s="86">
        <v>1</v>
      </c>
      <c r="M2072" s="87">
        <v>698</v>
      </c>
      <c r="N2072" s="85">
        <f>IFERROR(表格1[[#This Row],[QTY]]*表格1[[#This Row],[Unit Price]],"-")</f>
        <v>698</v>
      </c>
      <c r="O2072" s="86">
        <v>519870</v>
      </c>
      <c r="R2072" s="86" t="str">
        <f>_xlfn.CONCAT(表格1[[#This Row],[Model]]," ",表格1[[#This Row],[inv no]])</f>
        <v>MM2-EM20PC(WH) 519870</v>
      </c>
      <c r="S2072" s="86">
        <f>_xlfn.XLOOKUP(表格1[[#This Row],[Model]],表格3[Model-Input-Ref2],表格3[SRP PRICE])</f>
        <v>788</v>
      </c>
      <c r="T2072" s="43">
        <f>表格1[[#This Row],[Unit Price]]/表格1[[#This Row],[SRP]]</f>
        <v>0.8857868020304569</v>
      </c>
      <c r="U2072" s="86" t="str">
        <f>_xlfn.XLOOKUP(表格1[[#This Row],[Model]],表格3[Model-Input-Ref2],表格3[TOSHIBA/HIGHEST])</f>
        <v>Toshiba SRP</v>
      </c>
      <c r="V2072" s="86">
        <v>1111</v>
      </c>
      <c r="W2072" s="86" t="str">
        <f>_xlfn.CONCAT(表格1[[#This Row],[欄4]],表格1[[#This Row],[inv no]])</f>
        <v>1111519870</v>
      </c>
    </row>
    <row r="2073" spans="1:23" hidden="1">
      <c r="A2073" s="81">
        <v>2071</v>
      </c>
      <c r="B2073" s="86" t="s">
        <v>1772</v>
      </c>
      <c r="C2073" s="86" t="s">
        <v>1773</v>
      </c>
      <c r="D2073" s="82" t="str">
        <f ca="1">OFFSET(Roster!$A$3,MATCH(表格1[[#This Row],[Location]]&amp;" "&amp;表格1[[#This Row],[Shop]]&amp;"*",Roster!$A$4:$A$72,0),DAY(表格1[[#This Row],[date]]),1,1)</f>
        <v>Michelle off</v>
      </c>
      <c r="E2073" s="81">
        <f>MONTH(表格1[[#This Row],[date]])</f>
        <v>3</v>
      </c>
      <c r="F2073" s="90">
        <v>46097</v>
      </c>
      <c r="G2073" s="81" t="str">
        <f>VLOOKUP("*"&amp;表格1[[#This Row],[Input]]&amp;"*",'Ref-List'!$B:$D,2,)</f>
        <v>MS5-STR30SC(BK)</v>
      </c>
      <c r="H2073" s="81" t="str">
        <f>_xlfn.XLOOKUP(表格1[[#This Row],[Model]],表格3[Model-Input-Ref2],表格3[Product Line])</f>
        <v>30公升蒸氣焗爐</v>
      </c>
      <c r="I2073" s="81" t="str">
        <f>_xlfn.XLOOKUP(表格1[[#This Row],[Model]],表格3[Model-Input-Ref2],表格3[大小電])</f>
        <v>細電</v>
      </c>
      <c r="J2073" s="81" t="str">
        <f>_xlfn.XLOOKUP(表格1[[#This Row],[Model]],表格3[Model-Input-Ref2],表格3[Code])</f>
        <v>MCA</v>
      </c>
      <c r="K2073" s="89" t="s">
        <v>1379</v>
      </c>
      <c r="L2073" s="86">
        <v>1</v>
      </c>
      <c r="M2073" s="87">
        <v>3980</v>
      </c>
      <c r="N2073" s="85">
        <f>IFERROR(表格1[[#This Row],[QTY]]*表格1[[#This Row],[Unit Price]],"-")</f>
        <v>3980</v>
      </c>
      <c r="O2073" s="86">
        <v>519849</v>
      </c>
      <c r="R2073" s="86" t="str">
        <f>_xlfn.CONCAT(表格1[[#This Row],[Model]]," ",表格1[[#This Row],[inv no]])</f>
        <v>MS5-STR30SC(BK) 519849</v>
      </c>
      <c r="S2073" s="86">
        <f>_xlfn.XLOOKUP(表格1[[#This Row],[Model]],表格3[Model-Input-Ref2],表格3[SRP PRICE])</f>
        <v>5998</v>
      </c>
      <c r="T2073" s="43">
        <f>表格1[[#This Row],[Unit Price]]/表格1[[#This Row],[SRP]]</f>
        <v>0.66355451817272426</v>
      </c>
      <c r="U2073" s="86" t="str">
        <f>_xlfn.XLOOKUP(表格1[[#This Row],[Model]],表格3[Model-Input-Ref2],表格3[TOSHIBA/HIGHEST])</f>
        <v>Shops Highest Price</v>
      </c>
      <c r="V2073" s="86">
        <v>1111</v>
      </c>
      <c r="W2073" s="86" t="str">
        <f>_xlfn.CONCAT(表格1[[#This Row],[欄4]],表格1[[#This Row],[inv no]])</f>
        <v>1111519849</v>
      </c>
    </row>
    <row r="2074" spans="1:23" hidden="1">
      <c r="A2074" s="81">
        <v>2072</v>
      </c>
      <c r="B2074" s="86" t="s">
        <v>1772</v>
      </c>
      <c r="C2074" s="86" t="s">
        <v>1773</v>
      </c>
      <c r="D2074" s="82" t="str">
        <f ca="1">OFFSET(Roster!$A$3,MATCH(表格1[[#This Row],[Location]]&amp;" "&amp;表格1[[#This Row],[Shop]]&amp;"*",Roster!$A$4:$A$72,0),DAY(表格1[[#This Row],[date]]),1,1)</f>
        <v>Michelle off</v>
      </c>
      <c r="E2074" s="81">
        <f>MONTH(表格1[[#This Row],[date]])</f>
        <v>3</v>
      </c>
      <c r="F2074" s="90">
        <v>46097</v>
      </c>
      <c r="G2074" s="81" t="str">
        <f>VLOOKUP("*"&amp;表格1[[#This Row],[Input]]&amp;"*",'Ref-List'!$B:$D,2,)</f>
        <v>KT-17SHNH</v>
      </c>
      <c r="H2074" s="81" t="str">
        <f>_xlfn.XLOOKUP(表格1[[#This Row],[Model]],表格3[Model-Input-Ref2],表格3[Product Line])</f>
        <v>1.7L無線雙層電熱水壺</v>
      </c>
      <c r="I2074" s="81" t="str">
        <f>_xlfn.XLOOKUP(表格1[[#This Row],[Model]],表格3[Model-Input-Ref2],表格3[大小電])</f>
        <v>細電</v>
      </c>
      <c r="J2074" s="81" t="str">
        <f>_xlfn.XLOOKUP(表格1[[#This Row],[Model]],表格3[Model-Input-Ref2],表格3[Code])</f>
        <v>SDA</v>
      </c>
      <c r="K2074" s="89" t="s">
        <v>1283</v>
      </c>
      <c r="L2074" s="86">
        <v>1</v>
      </c>
      <c r="M2074" s="87">
        <v>198</v>
      </c>
      <c r="N2074" s="85">
        <f>IFERROR(表格1[[#This Row],[QTY]]*表格1[[#This Row],[Unit Price]],"-")</f>
        <v>198</v>
      </c>
      <c r="O2074" s="86">
        <v>519833</v>
      </c>
      <c r="R2074" s="86" t="str">
        <f>_xlfn.CONCAT(表格1[[#This Row],[Model]]," ",表格1[[#This Row],[inv no]])</f>
        <v>KT-17SHNH 519833</v>
      </c>
      <c r="S2074" s="86">
        <f>_xlfn.XLOOKUP(表格1[[#This Row],[Model]],表格3[Model-Input-Ref2],表格3[SRP PRICE])</f>
        <v>299</v>
      </c>
      <c r="T2074" s="43">
        <f>表格1[[#This Row],[Unit Price]]/表格1[[#This Row],[SRP]]</f>
        <v>0.66220735785953178</v>
      </c>
      <c r="U2074" s="86" t="str">
        <f>_xlfn.XLOOKUP(表格1[[#This Row],[Model]],表格3[Model-Input-Ref2],表格3[TOSHIBA/HIGHEST])</f>
        <v>Shops Highest Price</v>
      </c>
      <c r="V2074" s="86">
        <v>1111</v>
      </c>
      <c r="W2074" s="86" t="str">
        <f>_xlfn.CONCAT(表格1[[#This Row],[欄4]],表格1[[#This Row],[inv no]])</f>
        <v>1111519833</v>
      </c>
    </row>
    <row r="2075" spans="1:23" hidden="1">
      <c r="A2075" s="81">
        <v>2073</v>
      </c>
      <c r="B2075" s="86" t="s">
        <v>1772</v>
      </c>
      <c r="C2075" s="86" t="s">
        <v>1773</v>
      </c>
      <c r="D2075" s="82" t="str">
        <f ca="1">OFFSET(Roster!$A$3,MATCH(表格1[[#This Row],[Location]]&amp;" "&amp;表格1[[#This Row],[Shop]]&amp;"*",Roster!$A$4:$A$72,0),DAY(表格1[[#This Row],[date]]),1,1)</f>
        <v>Michelle off</v>
      </c>
      <c r="E2075" s="81">
        <f>MONTH(表格1[[#This Row],[date]])</f>
        <v>3</v>
      </c>
      <c r="F2075" s="90">
        <v>46097</v>
      </c>
      <c r="G2075" s="81" t="str">
        <f>VLOOKUP("*"&amp;表格1[[#This Row],[Input]]&amp;"*",'Ref-List'!$B:$D,2,)</f>
        <v>RC-5MMIH(WT)</v>
      </c>
      <c r="H2075" s="81" t="str">
        <f>_xlfn.XLOOKUP(表格1[[#This Row],[Model]],表格3[Model-Input-Ref2],表格3[Product Line])</f>
        <v>4毫米厚釜電飯煲0.54L</v>
      </c>
      <c r="I2075" s="81" t="str">
        <f>_xlfn.XLOOKUP(表格1[[#This Row],[Model]],表格3[Model-Input-Ref2],表格3[大小電])</f>
        <v>細電</v>
      </c>
      <c r="J2075" s="81" t="str">
        <f>_xlfn.XLOOKUP(表格1[[#This Row],[Model]],表格3[Model-Input-Ref2],表格3[Code])</f>
        <v>SDA</v>
      </c>
      <c r="K2075" s="89" t="s">
        <v>1195</v>
      </c>
      <c r="L2075" s="86">
        <v>1</v>
      </c>
      <c r="M2075" s="87">
        <v>557</v>
      </c>
      <c r="N2075" s="85">
        <f>IFERROR(表格1[[#This Row],[QTY]]*表格1[[#This Row],[Unit Price]],"-")</f>
        <v>557</v>
      </c>
      <c r="O2075" s="86">
        <v>519869</v>
      </c>
      <c r="R2075" s="86" t="str">
        <f>_xlfn.CONCAT(表格1[[#This Row],[Model]]," ",表格1[[#This Row],[inv no]])</f>
        <v>RC-5MMIH(WT) 519869</v>
      </c>
      <c r="S2075" s="86">
        <f>_xlfn.XLOOKUP(表格1[[#This Row],[Model]],表格3[Model-Input-Ref2],表格3[SRP PRICE])</f>
        <v>618</v>
      </c>
      <c r="T2075" s="43">
        <f>表格1[[#This Row],[Unit Price]]/表格1[[#This Row],[SRP]]</f>
        <v>0.90129449838187703</v>
      </c>
      <c r="U2075" s="86" t="str">
        <f>_xlfn.XLOOKUP(表格1[[#This Row],[Model]],表格3[Model-Input-Ref2],表格3[TOSHIBA/HIGHEST])</f>
        <v>Toshiba SRP</v>
      </c>
      <c r="V2075" s="86">
        <v>1111</v>
      </c>
      <c r="W2075" s="86" t="str">
        <f>_xlfn.CONCAT(表格1[[#This Row],[欄4]],表格1[[#This Row],[inv no]])</f>
        <v>1111519869</v>
      </c>
    </row>
    <row r="2076" spans="1:23" hidden="1">
      <c r="A2076" s="81">
        <v>2074</v>
      </c>
      <c r="B2076" s="86" t="s">
        <v>1772</v>
      </c>
      <c r="C2076" s="86" t="s">
        <v>1773</v>
      </c>
      <c r="D2076" s="82" t="str">
        <f ca="1">OFFSET(Roster!$A$3,MATCH(表格1[[#This Row],[Location]]&amp;" "&amp;表格1[[#This Row],[Shop]]&amp;"*",Roster!$A$4:$A$72,0),DAY(表格1[[#This Row],[date]]),1,1)</f>
        <v>Michelle off</v>
      </c>
      <c r="E2076" s="81">
        <f>MONTH(表格1[[#This Row],[date]])</f>
        <v>3</v>
      </c>
      <c r="F2076" s="90">
        <v>46097</v>
      </c>
      <c r="G2076" s="81" t="str">
        <f>VLOOKUP("*"&amp;表格1[[#This Row],[Input]]&amp;"*",'Ref-List'!$B:$D,2,)</f>
        <v>GR-RT300WE-PMA(57)</v>
      </c>
      <c r="H2076" s="81" t="str">
        <f>_xlfn.XLOOKUP(表格1[[#This Row],[Model]],表格3[Model-Input-Ref2],表格3[Product Line])</f>
        <v>變頻式環保雙門雪櫃(233L)</v>
      </c>
      <c r="I2076" s="81" t="str">
        <f>_xlfn.XLOOKUP(表格1[[#This Row],[Model]],表格3[Model-Input-Ref2],表格3[大小電])</f>
        <v>大電</v>
      </c>
      <c r="J2076" s="81" t="str">
        <f>_xlfn.XLOOKUP(表格1[[#This Row],[Model]],表格3[Model-Input-Ref2],表格3[Code])</f>
        <v>REF</v>
      </c>
      <c r="K2076" s="89" t="s">
        <v>1462</v>
      </c>
      <c r="L2076" s="86">
        <v>1</v>
      </c>
      <c r="M2076" s="87">
        <v>2780</v>
      </c>
      <c r="N2076" s="85">
        <f>IFERROR(表格1[[#This Row],[QTY]]*表格1[[#This Row],[Unit Price]],"-")</f>
        <v>2780</v>
      </c>
      <c r="O2076" s="86">
        <v>519822</v>
      </c>
      <c r="R2076" s="86" t="str">
        <f>_xlfn.CONCAT(表格1[[#This Row],[Model]]," ",表格1[[#This Row],[inv no]])</f>
        <v>GR-RT300WE-PMA(57) 519822</v>
      </c>
      <c r="S2076" s="86">
        <f>_xlfn.XLOOKUP(表格1[[#This Row],[Model]],表格3[Model-Input-Ref2],表格3[SRP PRICE])</f>
        <v>4280</v>
      </c>
      <c r="T2076" s="43">
        <f>表格1[[#This Row],[Unit Price]]/表格1[[#This Row],[SRP]]</f>
        <v>0.64953271028037385</v>
      </c>
      <c r="U2076" s="86" t="str">
        <f>_xlfn.XLOOKUP(表格1[[#This Row],[Model]],表格3[Model-Input-Ref2],表格3[TOSHIBA/HIGHEST])</f>
        <v>Toshiba SRP</v>
      </c>
      <c r="V2076" s="86">
        <v>1111</v>
      </c>
      <c r="W2076" s="86" t="str">
        <f>_xlfn.CONCAT(表格1[[#This Row],[欄4]],表格1[[#This Row],[inv no]])</f>
        <v>1111519822</v>
      </c>
    </row>
    <row r="2077" spans="1:23" hidden="1">
      <c r="A2077" s="81">
        <v>2075</v>
      </c>
      <c r="B2077" s="86" t="s">
        <v>1772</v>
      </c>
      <c r="C2077" s="86" t="s">
        <v>1773</v>
      </c>
      <c r="D2077" s="82" t="str">
        <f ca="1">OFFSET(Roster!$A$3,MATCH(表格1[[#This Row],[Location]]&amp;" "&amp;表格1[[#This Row],[Shop]]&amp;"*",Roster!$A$4:$A$72,0),DAY(表格1[[#This Row],[date]]),1,1)</f>
        <v>Michelle</v>
      </c>
      <c r="E2077" s="81">
        <f>MONTH(表格1[[#This Row],[date]])</f>
        <v>3</v>
      </c>
      <c r="F2077" s="90">
        <v>46098</v>
      </c>
      <c r="G2077" s="81" t="str">
        <f>VLOOKUP("*"&amp;表格1[[#This Row],[Input]]&amp;"*",'Ref-List'!$B:$D,2,)</f>
        <v>RC-18NMFIH(WT)</v>
      </c>
      <c r="H2077" s="81" t="str">
        <f>_xlfn.XLOOKUP(表格1[[#This Row],[Model]],表格3[Model-Input-Ref2],表格3[Product Line])</f>
        <v>4毫米厚釜電飯煲1.8L</v>
      </c>
      <c r="I2077" s="81" t="str">
        <f>_xlfn.XLOOKUP(表格1[[#This Row],[Model]],表格3[Model-Input-Ref2],表格3[大小電])</f>
        <v>細電</v>
      </c>
      <c r="J2077" s="81" t="str">
        <f>_xlfn.XLOOKUP(表格1[[#This Row],[Model]],表格3[Model-Input-Ref2],表格3[Code])</f>
        <v>SDA</v>
      </c>
      <c r="K2077" s="89" t="s">
        <v>1267</v>
      </c>
      <c r="L2077" s="86">
        <v>1</v>
      </c>
      <c r="M2077" s="87">
        <v>799</v>
      </c>
      <c r="N2077" s="85">
        <f>IFERROR(表格1[[#This Row],[QTY]]*表格1[[#This Row],[Unit Price]],"-")</f>
        <v>799</v>
      </c>
      <c r="O2077" s="86">
        <v>519882</v>
      </c>
      <c r="R2077" s="86" t="str">
        <f>_xlfn.CONCAT(表格1[[#This Row],[Model]]," ",表格1[[#This Row],[inv no]])</f>
        <v>RC-18NMFIH(WT) 519882</v>
      </c>
      <c r="S2077" s="86">
        <f>_xlfn.XLOOKUP(表格1[[#This Row],[Model]],表格3[Model-Input-Ref2],表格3[SRP PRICE])</f>
        <v>998</v>
      </c>
      <c r="T2077" s="43">
        <f>表格1[[#This Row],[Unit Price]]/表格1[[#This Row],[SRP]]</f>
        <v>0.80060120240480959</v>
      </c>
      <c r="U2077" s="86" t="str">
        <f>_xlfn.XLOOKUP(表格1[[#This Row],[Model]],表格3[Model-Input-Ref2],表格3[TOSHIBA/HIGHEST])</f>
        <v>Toshiba SRP</v>
      </c>
      <c r="V2077" s="86">
        <v>1111</v>
      </c>
      <c r="W2077" s="86" t="str">
        <f>_xlfn.CONCAT(表格1[[#This Row],[欄4]],表格1[[#This Row],[inv no]])</f>
        <v>1111519882</v>
      </c>
    </row>
    <row r="2078" spans="1:23" hidden="1">
      <c r="A2078" s="81">
        <v>2076</v>
      </c>
      <c r="B2078" s="86" t="s">
        <v>1772</v>
      </c>
      <c r="C2078" s="86" t="s">
        <v>1773</v>
      </c>
      <c r="D2078" s="82" t="str">
        <f ca="1">OFFSET(Roster!$A$3,MATCH(表格1[[#This Row],[Location]]&amp;" "&amp;表格1[[#This Row],[Shop]]&amp;"*",Roster!$A$4:$A$72,0),DAY(表格1[[#This Row],[date]]),1,1)</f>
        <v>Michelle</v>
      </c>
      <c r="E2078" s="81">
        <f>MONTH(表格1[[#This Row],[date]])</f>
        <v>3</v>
      </c>
      <c r="F2078" s="90">
        <v>46098</v>
      </c>
      <c r="G2078" s="81" t="str">
        <f>VLOOKUP("*"&amp;表格1[[#This Row],[Input]]&amp;"*",'Ref-List'!$B:$D,2,)</f>
        <v>RC-7HMH</v>
      </c>
      <c r="H2078" s="81" t="str">
        <f>_xlfn.XLOOKUP(表格1[[#This Row],[Model]],表格3[Model-Input-Ref2],表格3[Product Line])</f>
        <v>備長炭本厚釜電飯煲0.7L</v>
      </c>
      <c r="I2078" s="81" t="str">
        <f>_xlfn.XLOOKUP(表格1[[#This Row],[Model]],表格3[Model-Input-Ref2],表格3[大小電])</f>
        <v>細電</v>
      </c>
      <c r="J2078" s="81" t="str">
        <f>_xlfn.XLOOKUP(表格1[[#This Row],[Model]],表格3[Model-Input-Ref2],表格3[Code])</f>
        <v>SDA</v>
      </c>
      <c r="K2078" s="89" t="s">
        <v>1284</v>
      </c>
      <c r="L2078" s="86">
        <v>1</v>
      </c>
      <c r="M2078" s="87">
        <v>838</v>
      </c>
      <c r="N2078" s="85">
        <f>IFERROR(表格1[[#This Row],[QTY]]*表格1[[#This Row],[Unit Price]],"-")</f>
        <v>838</v>
      </c>
      <c r="O2078" s="86">
        <v>519879</v>
      </c>
      <c r="R2078" s="86" t="str">
        <f>_xlfn.CONCAT(表格1[[#This Row],[Model]]," ",表格1[[#This Row],[inv no]])</f>
        <v>RC-7HMH 519879</v>
      </c>
      <c r="S2078" s="86">
        <f>_xlfn.XLOOKUP(表格1[[#This Row],[Model]],表格3[Model-Input-Ref2],表格3[SRP PRICE])</f>
        <v>1288</v>
      </c>
      <c r="T2078" s="43">
        <f>表格1[[#This Row],[Unit Price]]/表格1[[#This Row],[SRP]]</f>
        <v>0.65062111801242239</v>
      </c>
      <c r="U2078" s="86" t="str">
        <f>_xlfn.XLOOKUP(表格1[[#This Row],[Model]],表格3[Model-Input-Ref2],表格3[TOSHIBA/HIGHEST])</f>
        <v>Toshiba SRP</v>
      </c>
      <c r="V2078" s="86">
        <v>1111</v>
      </c>
      <c r="W2078" s="86" t="str">
        <f>_xlfn.CONCAT(表格1[[#This Row],[欄4]],表格1[[#This Row],[inv no]])</f>
        <v>1111519879</v>
      </c>
    </row>
    <row r="2079" spans="1:23" hidden="1">
      <c r="A2079" s="81">
        <v>2077</v>
      </c>
      <c r="B2079" s="86" t="s">
        <v>1772</v>
      </c>
      <c r="C2079" s="86" t="s">
        <v>1773</v>
      </c>
      <c r="D2079" s="82" t="str">
        <f ca="1">OFFSET(Roster!$A$3,MATCH(表格1[[#This Row],[Location]]&amp;" "&amp;表格1[[#This Row],[Shop]]&amp;"*",Roster!$A$4:$A$72,0),DAY(表格1[[#This Row],[date]]),1,1)</f>
        <v>Michelle</v>
      </c>
      <c r="E2079" s="81">
        <f>MONTH(表格1[[#This Row],[date]])</f>
        <v>3</v>
      </c>
      <c r="F2079" s="90">
        <v>46098</v>
      </c>
      <c r="G2079" s="81" t="str">
        <f>VLOOKUP("*"&amp;表格1[[#This Row],[Input]]&amp;"*",'Ref-List'!$B:$D,2,)</f>
        <v>RC-DX10T(W)</v>
      </c>
      <c r="H2079" s="81" t="str">
        <f>_xlfn.XLOOKUP(表格1[[#This Row],[Model]],表格3[Model-Input-Ref2],表格3[Product Line])</f>
        <v>真空壓力磁應電飯煲(1.0公升)</v>
      </c>
      <c r="I2079" s="81" t="str">
        <f>_xlfn.XLOOKUP(表格1[[#This Row],[Model]],表格3[Model-Input-Ref2],表格3[大小電])</f>
        <v>細電</v>
      </c>
      <c r="J2079" s="81" t="str">
        <f>_xlfn.XLOOKUP(表格1[[#This Row],[Model]],表格3[Model-Input-Ref2],表格3[Code])</f>
        <v>SDA</v>
      </c>
      <c r="K2079" s="89" t="s">
        <v>1579</v>
      </c>
      <c r="L2079" s="86">
        <v>1</v>
      </c>
      <c r="M2079" s="87">
        <v>4680</v>
      </c>
      <c r="N2079" s="85">
        <f>IFERROR(表格1[[#This Row],[QTY]]*表格1[[#This Row],[Unit Price]],"-")</f>
        <v>4680</v>
      </c>
      <c r="O2079" s="86">
        <v>519873</v>
      </c>
      <c r="R2079" s="86" t="str">
        <f>_xlfn.CONCAT(表格1[[#This Row],[Model]]," ",表格1[[#This Row],[inv no]])</f>
        <v>RC-DX10T(W) 519873</v>
      </c>
      <c r="S2079" s="86">
        <f>_xlfn.XLOOKUP(表格1[[#This Row],[Model]],表格3[Model-Input-Ref2],表格3[SRP PRICE])</f>
        <v>5988</v>
      </c>
      <c r="T2079" s="43">
        <f>表格1[[#This Row],[Unit Price]]/表格1[[#This Row],[SRP]]</f>
        <v>0.78156312625250501</v>
      </c>
      <c r="U2079" s="86" t="str">
        <f>_xlfn.XLOOKUP(表格1[[#This Row],[Model]],表格3[Model-Input-Ref2],表格3[TOSHIBA/HIGHEST])</f>
        <v>Toshiba SRP</v>
      </c>
      <c r="V2079" s="86">
        <v>1111</v>
      </c>
      <c r="W2079" s="86" t="str">
        <f>_xlfn.CONCAT(表格1[[#This Row],[欄4]],表格1[[#This Row],[inv no]])</f>
        <v>1111519873</v>
      </c>
    </row>
    <row r="2080" spans="1:23" hidden="1">
      <c r="A2080" s="81">
        <v>2078</v>
      </c>
      <c r="B2080" s="86" t="s">
        <v>1772</v>
      </c>
      <c r="C2080" s="86" t="s">
        <v>1773</v>
      </c>
      <c r="D2080" s="82" t="str">
        <f ca="1">OFFSET(Roster!$A$3,MATCH(表格1[[#This Row],[Location]]&amp;" "&amp;表格1[[#This Row],[Shop]]&amp;"*",Roster!$A$4:$A$72,0),DAY(表格1[[#This Row],[date]]),1,1)</f>
        <v>Michelle</v>
      </c>
      <c r="E2080" s="81">
        <f>MONTH(表格1[[#This Row],[date]])</f>
        <v>3</v>
      </c>
      <c r="F2080" s="90">
        <v>46098</v>
      </c>
      <c r="G2080" s="81" t="str">
        <f>VLOOKUP("*"&amp;表格1[[#This Row],[Input]]&amp;"*",'Ref-List'!$B:$D,2,)</f>
        <v>RC-10BHH(W)</v>
      </c>
      <c r="H2080" s="81" t="str">
        <f>_xlfn.XLOOKUP(表格1[[#This Row],[Model]],表格3[Model-Input-Ref2],表格3[Product Line])</f>
        <v>酵活炊磁應電飯煲</v>
      </c>
      <c r="I2080" s="81" t="str">
        <f>_xlfn.XLOOKUP(表格1[[#This Row],[Model]],表格3[Model-Input-Ref2],表格3[大小電])</f>
        <v>細電</v>
      </c>
      <c r="J2080" s="81" t="str">
        <f>_xlfn.XLOOKUP(表格1[[#This Row],[Model]],表格3[Model-Input-Ref2],表格3[Code])</f>
        <v>SDA</v>
      </c>
      <c r="K2080" s="89" t="s">
        <v>1269</v>
      </c>
      <c r="L2080" s="86">
        <v>1</v>
      </c>
      <c r="M2080" s="87">
        <v>1888</v>
      </c>
      <c r="N2080" s="85">
        <f>IFERROR(表格1[[#This Row],[QTY]]*表格1[[#This Row],[Unit Price]],"-")</f>
        <v>1888</v>
      </c>
      <c r="O2080" s="86">
        <v>519875</v>
      </c>
      <c r="R2080" s="86" t="str">
        <f>_xlfn.CONCAT(表格1[[#This Row],[Model]]," ",表格1[[#This Row],[inv no]])</f>
        <v>RC-10BHH(W) 519875</v>
      </c>
      <c r="S2080" s="86">
        <f>_xlfn.XLOOKUP(表格1[[#This Row],[Model]],表格3[Model-Input-Ref2],表格3[SRP PRICE])</f>
        <v>2088</v>
      </c>
      <c r="T2080" s="43">
        <f>表格1[[#This Row],[Unit Price]]/表格1[[#This Row],[SRP]]</f>
        <v>0.90421455938697315</v>
      </c>
      <c r="U2080" s="86" t="str">
        <f>_xlfn.XLOOKUP(表格1[[#This Row],[Model]],表格3[Model-Input-Ref2],表格3[TOSHIBA/HIGHEST])</f>
        <v>Shops Highest Price</v>
      </c>
      <c r="V2080" s="86">
        <v>1111</v>
      </c>
      <c r="W2080" s="86" t="str">
        <f>_xlfn.CONCAT(表格1[[#This Row],[欄4]],表格1[[#This Row],[inv no]])</f>
        <v>1111519875</v>
      </c>
    </row>
    <row r="2081" spans="1:23" hidden="1">
      <c r="A2081" s="81">
        <v>2079</v>
      </c>
      <c r="B2081" s="86" t="s">
        <v>1772</v>
      </c>
      <c r="C2081" s="86" t="s">
        <v>1773</v>
      </c>
      <c r="D2081" s="82" t="str">
        <f ca="1">OFFSET(Roster!$A$3,MATCH(表格1[[#This Row],[Location]]&amp;" "&amp;表格1[[#This Row],[Shop]]&amp;"*",Roster!$A$4:$A$72,0),DAY(表格1[[#This Row],[date]]),1,1)</f>
        <v>Michelle</v>
      </c>
      <c r="E2081" s="81">
        <f>MONTH(表格1[[#This Row],[date]])</f>
        <v>3</v>
      </c>
      <c r="F2081" s="90">
        <v>46098</v>
      </c>
      <c r="G2081" s="81" t="str">
        <f>VLOOKUP("*"&amp;表格1[[#This Row],[Input]]&amp;"*",'Ref-List'!$B:$D,2,)</f>
        <v>RAC-09G3CVRGR-HK</v>
      </c>
      <c r="H2081" s="81" t="str">
        <f>_xlfn.XLOOKUP(表格1[[#This Row],[Model]],表格3[Model-Input-Ref2],表格3[Product Line])</f>
        <v>1 匹 R32變頻窗口式冷氣機 (獨立抽濕遙控</v>
      </c>
      <c r="I2081" s="81" t="str">
        <f>_xlfn.XLOOKUP(表格1[[#This Row],[Model]],表格3[Model-Input-Ref2],表格3[大小電])</f>
        <v>大電</v>
      </c>
      <c r="J2081" s="81" t="str">
        <f>_xlfn.XLOOKUP(表格1[[#This Row],[Model]],表格3[Model-Input-Ref2],表格3[Code])</f>
        <v>AC</v>
      </c>
      <c r="K2081" s="89" t="s">
        <v>1474</v>
      </c>
      <c r="L2081" s="86">
        <v>1</v>
      </c>
      <c r="M2081" s="87">
        <v>4980</v>
      </c>
      <c r="N2081" s="85">
        <f>IFERROR(表格1[[#This Row],[QTY]]*表格1[[#This Row],[Unit Price]],"-")</f>
        <v>4980</v>
      </c>
      <c r="O2081" s="86">
        <v>519877</v>
      </c>
      <c r="R2081" s="86" t="str">
        <f>_xlfn.CONCAT(表格1[[#This Row],[Model]]," ",表格1[[#This Row],[inv no]])</f>
        <v>RAC-09G3CVRGR-HK 519877</v>
      </c>
      <c r="S2081" s="86">
        <f>_xlfn.XLOOKUP(表格1[[#This Row],[Model]],表格3[Model-Input-Ref2],表格3[SRP PRICE])</f>
        <v>6980</v>
      </c>
      <c r="T2081" s="43">
        <f>表格1[[#This Row],[Unit Price]]/表格1[[#This Row],[SRP]]</f>
        <v>0.71346704871060174</v>
      </c>
      <c r="U2081" s="86" t="str">
        <f>_xlfn.XLOOKUP(表格1[[#This Row],[Model]],表格3[Model-Input-Ref2],表格3[TOSHIBA/HIGHEST])</f>
        <v>Toshiba SRP</v>
      </c>
      <c r="V2081" s="86">
        <v>1111</v>
      </c>
      <c r="W2081" s="86" t="str">
        <f>_xlfn.CONCAT(表格1[[#This Row],[欄4]],表格1[[#This Row],[inv no]])</f>
        <v>1111519877</v>
      </c>
    </row>
    <row r="2082" spans="1:23" hidden="1">
      <c r="A2082" s="81">
        <v>2080</v>
      </c>
      <c r="B2082" s="86" t="s">
        <v>1772</v>
      </c>
      <c r="C2082" s="86" t="s">
        <v>1773</v>
      </c>
      <c r="D2082" s="82" t="str">
        <f ca="1">OFFSET(Roster!$A$3,MATCH(表格1[[#This Row],[Location]]&amp;" "&amp;表格1[[#This Row],[Shop]]&amp;"*",Roster!$A$4:$A$72,0),DAY(表格1[[#This Row],[date]]),1,1)</f>
        <v>Michelle</v>
      </c>
      <c r="E2082" s="81">
        <f>MONTH(表格1[[#This Row],[date]])</f>
        <v>3</v>
      </c>
      <c r="F2082" s="90">
        <v>46099</v>
      </c>
      <c r="G2082" s="81" t="str">
        <f>VLOOKUP("*"&amp;表格1[[#This Row],[Input]]&amp;"*",'Ref-List'!$B:$D,2,)</f>
        <v>RAD-D300H</v>
      </c>
      <c r="H2082" s="81" t="str">
        <f>_xlfn.XLOOKUP(表格1[[#This Row],[Model]],表格3[Model-Input-Ref2],表格3[Product Line])</f>
        <v>壓縮式抽濕機 (30公升)</v>
      </c>
      <c r="I2082" s="81" t="str">
        <f>_xlfn.XLOOKUP(表格1[[#This Row],[Model]],表格3[Model-Input-Ref2],表格3[大小電])</f>
        <v>細電</v>
      </c>
      <c r="J2082" s="81" t="str">
        <f>_xlfn.XLOOKUP(表格1[[#This Row],[Model]],表格3[Model-Input-Ref2],表格3[Code])</f>
        <v>RAC</v>
      </c>
      <c r="K2082" s="89" t="s">
        <v>1252</v>
      </c>
      <c r="L2082" s="86">
        <v>1</v>
      </c>
      <c r="M2082" s="87">
        <v>2280</v>
      </c>
      <c r="N2082" s="85">
        <f>IFERROR(表格1[[#This Row],[QTY]]*表格1[[#This Row],[Unit Price]],"-")</f>
        <v>2280</v>
      </c>
      <c r="O2082" s="86">
        <v>519959</v>
      </c>
      <c r="R2082" s="86" t="str">
        <f>_xlfn.CONCAT(表格1[[#This Row],[Model]]," ",表格1[[#This Row],[inv no]])</f>
        <v>RAD-D300H 519959</v>
      </c>
      <c r="S2082" s="86">
        <f>_xlfn.XLOOKUP(表格1[[#This Row],[Model]],表格3[Model-Input-Ref2],表格3[SRP PRICE])</f>
        <v>3380</v>
      </c>
      <c r="T2082" s="43">
        <f>表格1[[#This Row],[Unit Price]]/表格1[[#This Row],[SRP]]</f>
        <v>0.67455621301775148</v>
      </c>
      <c r="U2082" s="86" t="str">
        <f>_xlfn.XLOOKUP(表格1[[#This Row],[Model]],表格3[Model-Input-Ref2],表格3[TOSHIBA/HIGHEST])</f>
        <v>Shops Highest Price</v>
      </c>
      <c r="V2082" s="86">
        <v>1111</v>
      </c>
      <c r="W2082" s="86" t="str">
        <f>_xlfn.CONCAT(表格1[[#This Row],[欄4]],表格1[[#This Row],[inv no]])</f>
        <v>1111519959</v>
      </c>
    </row>
    <row r="2083" spans="1:23" hidden="1">
      <c r="A2083" s="81">
        <v>2081</v>
      </c>
      <c r="B2083" s="86" t="s">
        <v>1772</v>
      </c>
      <c r="C2083" s="86" t="s">
        <v>1773</v>
      </c>
      <c r="D2083" s="82" t="str">
        <f ca="1">OFFSET(Roster!$A$3,MATCH(表格1[[#This Row],[Location]]&amp;" "&amp;表格1[[#This Row],[Shop]]&amp;"*",Roster!$A$4:$A$72,0),DAY(表格1[[#This Row],[date]]),1,1)</f>
        <v>Michelle</v>
      </c>
      <c r="E2083" s="81">
        <f>MONTH(表格1[[#This Row],[date]])</f>
        <v>3</v>
      </c>
      <c r="F2083" s="90">
        <v>46099</v>
      </c>
      <c r="G2083" s="81" t="str">
        <f>VLOOKUP("*"&amp;表格1[[#This Row],[Input]]&amp;"*",'Ref-List'!$B:$D,2,)</f>
        <v>MM2-EM20PC(WH)</v>
      </c>
      <c r="H2083" s="81" t="str">
        <f>_xlfn.XLOOKUP(表格1[[#This Row],[Model]],表格3[Model-Input-Ref2],表格3[Product Line])</f>
        <v>輕觸式微波爐 (20公升)</v>
      </c>
      <c r="I2083" s="81" t="str">
        <f>_xlfn.XLOOKUP(表格1[[#This Row],[Model]],表格3[Model-Input-Ref2],表格3[大小電])</f>
        <v>細電</v>
      </c>
      <c r="J2083" s="81" t="str">
        <f>_xlfn.XLOOKUP(表格1[[#This Row],[Model]],表格3[Model-Input-Ref2],表格3[Code])</f>
        <v>MCA</v>
      </c>
      <c r="K2083" s="89" t="s">
        <v>1276</v>
      </c>
      <c r="L2083" s="86">
        <v>1</v>
      </c>
      <c r="M2083" s="87">
        <v>598</v>
      </c>
      <c r="N2083" s="85">
        <f>IFERROR(表格1[[#This Row],[QTY]]*表格1[[#This Row],[Unit Price]],"-")</f>
        <v>598</v>
      </c>
      <c r="O2083" s="86">
        <v>519919</v>
      </c>
      <c r="R2083" s="86" t="str">
        <f>_xlfn.CONCAT(表格1[[#This Row],[Model]]," ",表格1[[#This Row],[inv no]])</f>
        <v>MM2-EM20PC(WH) 519919</v>
      </c>
      <c r="S2083" s="86">
        <f>_xlfn.XLOOKUP(表格1[[#This Row],[Model]],表格3[Model-Input-Ref2],表格3[SRP PRICE])</f>
        <v>788</v>
      </c>
      <c r="T2083" s="43">
        <f>表格1[[#This Row],[Unit Price]]/表格1[[#This Row],[SRP]]</f>
        <v>0.75888324873096447</v>
      </c>
      <c r="U2083" s="86" t="str">
        <f>_xlfn.XLOOKUP(表格1[[#This Row],[Model]],表格3[Model-Input-Ref2],表格3[TOSHIBA/HIGHEST])</f>
        <v>Toshiba SRP</v>
      </c>
      <c r="V2083" s="86">
        <v>1111</v>
      </c>
      <c r="W2083" s="86" t="str">
        <f>_xlfn.CONCAT(表格1[[#This Row],[欄4]],表格1[[#This Row],[inv no]])</f>
        <v>1111519919</v>
      </c>
    </row>
    <row r="2084" spans="1:23" hidden="1">
      <c r="A2084" s="81">
        <v>2082</v>
      </c>
      <c r="B2084" s="86" t="s">
        <v>1772</v>
      </c>
      <c r="C2084" s="86" t="s">
        <v>1773</v>
      </c>
      <c r="D2084" s="82" t="str">
        <f ca="1">OFFSET(Roster!$A$3,MATCH(表格1[[#This Row],[Location]]&amp;" "&amp;表格1[[#This Row],[Shop]]&amp;"*",Roster!$A$4:$A$72,0),DAY(表格1[[#This Row],[date]]),1,1)</f>
        <v>Michelle</v>
      </c>
      <c r="E2084" s="81">
        <f>MONTH(表格1[[#This Row],[date]])</f>
        <v>3</v>
      </c>
      <c r="F2084" s="90">
        <v>46099</v>
      </c>
      <c r="G2084" s="81" t="str">
        <f>VLOOKUP("*"&amp;表格1[[#This Row],[Input]]&amp;"*",'Ref-List'!$B:$D,2,)</f>
        <v>MX2-STR25SC(WH)</v>
      </c>
      <c r="H2084" s="81" t="str">
        <f>_xlfn.XLOOKUP(表格1[[#This Row],[Model]],表格3[Model-Input-Ref2],表格3[Product Line])</f>
        <v>4合1氣炸微波蒸焗爐(25公升)</v>
      </c>
      <c r="I2084" s="81" t="str">
        <f>_xlfn.XLOOKUP(表格1[[#This Row],[Model]],表格3[Model-Input-Ref2],表格3[大小電])</f>
        <v>細電</v>
      </c>
      <c r="J2084" s="81" t="str">
        <f>_xlfn.XLOOKUP(表格1[[#This Row],[Model]],表格3[Model-Input-Ref2],表格3[Code])</f>
        <v>MCA</v>
      </c>
      <c r="K2084" s="89" t="s">
        <v>1410</v>
      </c>
      <c r="L2084" s="86">
        <v>1</v>
      </c>
      <c r="M2084" s="87">
        <v>3580</v>
      </c>
      <c r="N2084" s="85">
        <f>IFERROR(表格1[[#This Row],[QTY]]*表格1[[#This Row],[Unit Price]],"-")</f>
        <v>3580</v>
      </c>
      <c r="O2084" s="86">
        <v>519938</v>
      </c>
      <c r="R2084" s="86" t="str">
        <f>_xlfn.CONCAT(表格1[[#This Row],[Model]]," ",表格1[[#This Row],[inv no]])</f>
        <v>MX2-STR25SC(WH) 519938</v>
      </c>
      <c r="S2084" s="86">
        <f>_xlfn.XLOOKUP(表格1[[#This Row],[Model]],表格3[Model-Input-Ref2],表格3[SRP PRICE])</f>
        <v>4998</v>
      </c>
      <c r="T2084" s="43">
        <f>表格1[[#This Row],[Unit Price]]/表格1[[#This Row],[SRP]]</f>
        <v>0.71628651460584236</v>
      </c>
      <c r="U2084" s="86" t="str">
        <f>_xlfn.XLOOKUP(表格1[[#This Row],[Model]],表格3[Model-Input-Ref2],表格3[TOSHIBA/HIGHEST])</f>
        <v>Toshiba SRP</v>
      </c>
      <c r="V2084" s="86">
        <v>1111</v>
      </c>
      <c r="W2084" s="86" t="str">
        <f>_xlfn.CONCAT(表格1[[#This Row],[欄4]],表格1[[#This Row],[inv no]])</f>
        <v>1111519938</v>
      </c>
    </row>
    <row r="2085" spans="1:23" hidden="1">
      <c r="A2085" s="81">
        <v>2083</v>
      </c>
      <c r="B2085" s="86" t="s">
        <v>1772</v>
      </c>
      <c r="C2085" s="86" t="s">
        <v>1773</v>
      </c>
      <c r="D2085" s="82" t="str">
        <f ca="1">OFFSET(Roster!$A$3,MATCH(表格1[[#This Row],[Location]]&amp;" "&amp;表格1[[#This Row],[Shop]]&amp;"*",Roster!$A$4:$A$72,0),DAY(表格1[[#This Row],[date]]),1,1)</f>
        <v>Michelle</v>
      </c>
      <c r="E2085" s="81">
        <f>MONTH(表格1[[#This Row],[date]])</f>
        <v>3</v>
      </c>
      <c r="F2085" s="90">
        <v>46099</v>
      </c>
      <c r="G2085" s="81" t="str">
        <f>VLOOKUP("*"&amp;表格1[[#This Row],[Input]]&amp;"*",'Ref-List'!$B:$D,2,)</f>
        <v>RC-10ISSHK(W)</v>
      </c>
      <c r="H2085" s="81" t="str">
        <f>_xlfn.XLOOKUP(表格1[[#This Row],[Model]],表格3[Model-Input-Ref2],表格3[Product Line])</f>
        <v>磁應電飯煲(1公升)</v>
      </c>
      <c r="I2085" s="81" t="str">
        <f>_xlfn.XLOOKUP(表格1[[#This Row],[Model]],表格3[Model-Input-Ref2],表格3[大小電])</f>
        <v>細電</v>
      </c>
      <c r="J2085" s="81" t="str">
        <f>_xlfn.XLOOKUP(表格1[[#This Row],[Model]],表格3[Model-Input-Ref2],表格3[Code])</f>
        <v>SDA</v>
      </c>
      <c r="K2085" s="89" t="s">
        <v>1286</v>
      </c>
      <c r="L2085" s="86">
        <v>1</v>
      </c>
      <c r="M2085" s="87">
        <v>968</v>
      </c>
      <c r="N2085" s="85">
        <f>IFERROR(表格1[[#This Row],[QTY]]*表格1[[#This Row],[Unit Price]],"-")</f>
        <v>968</v>
      </c>
      <c r="O2085" s="86">
        <v>519931</v>
      </c>
      <c r="R2085" s="86" t="str">
        <f>_xlfn.CONCAT(表格1[[#This Row],[Model]]," ",表格1[[#This Row],[inv no]])</f>
        <v>RC-10ISSHK(W) 519931</v>
      </c>
      <c r="S2085" s="86">
        <f>_xlfn.XLOOKUP(表格1[[#This Row],[Model]],表格3[Model-Input-Ref2],表格3[SRP PRICE])</f>
        <v>1188</v>
      </c>
      <c r="T2085" s="43">
        <f>表格1[[#This Row],[Unit Price]]/表格1[[#This Row],[SRP]]</f>
        <v>0.81481481481481477</v>
      </c>
      <c r="U2085" s="86" t="str">
        <f>_xlfn.XLOOKUP(表格1[[#This Row],[Model]],表格3[Model-Input-Ref2],表格3[TOSHIBA/HIGHEST])</f>
        <v>Shops Highest Price</v>
      </c>
      <c r="V2085" s="86">
        <v>1111</v>
      </c>
      <c r="W2085" s="86" t="str">
        <f>_xlfn.CONCAT(表格1[[#This Row],[欄4]],表格1[[#This Row],[inv no]])</f>
        <v>1111519931</v>
      </c>
    </row>
    <row r="2086" spans="1:23" hidden="1">
      <c r="A2086" s="81">
        <v>2084</v>
      </c>
      <c r="B2086" s="86" t="s">
        <v>1772</v>
      </c>
      <c r="C2086" s="86" t="s">
        <v>1773</v>
      </c>
      <c r="D2086" s="82" t="str">
        <f ca="1">OFFSET(Roster!$A$3,MATCH(表格1[[#This Row],[Location]]&amp;" "&amp;表格1[[#This Row],[Shop]]&amp;"*",Roster!$A$4:$A$72,0),DAY(表格1[[#This Row],[date]]),1,1)</f>
        <v>Michelle</v>
      </c>
      <c r="E2086" s="81">
        <f>MONTH(表格1[[#This Row],[date]])</f>
        <v>3</v>
      </c>
      <c r="F2086" s="90">
        <v>46099</v>
      </c>
      <c r="G2086" s="81" t="str">
        <f>VLOOKUP("*"&amp;表格1[[#This Row],[Input]]&amp;"*",'Ref-List'!$B:$D,2,)</f>
        <v>RC-10AMXH(W)</v>
      </c>
      <c r="H2086" s="81" t="str">
        <f>_xlfn.XLOOKUP(表格1[[#This Row],[Model]],表格3[Model-Input-Ref2],表格3[Product Line])</f>
        <v>酵活炊電飯煲(1.0公升)</v>
      </c>
      <c r="I2086" s="81" t="str">
        <f>_xlfn.XLOOKUP(表格1[[#This Row],[Model]],表格3[Model-Input-Ref2],表格3[大小電])</f>
        <v>細電</v>
      </c>
      <c r="J2086" s="81" t="str">
        <f>_xlfn.XLOOKUP(表格1[[#This Row],[Model]],表格3[Model-Input-Ref2],表格3[Code])</f>
        <v>SDA</v>
      </c>
      <c r="K2086" s="89" t="s">
        <v>1279</v>
      </c>
      <c r="L2086" s="86">
        <v>1</v>
      </c>
      <c r="M2086" s="87">
        <v>990</v>
      </c>
      <c r="N2086" s="85">
        <f>IFERROR(表格1[[#This Row],[QTY]]*表格1[[#This Row],[Unit Price]],"-")</f>
        <v>990</v>
      </c>
      <c r="O2086" s="86">
        <v>519953</v>
      </c>
      <c r="R2086" s="86" t="str">
        <f>_xlfn.CONCAT(表格1[[#This Row],[Model]]," ",表格1[[#This Row],[inv no]])</f>
        <v>RC-10AMXH(W) 519953</v>
      </c>
      <c r="S2086" s="86">
        <f>_xlfn.XLOOKUP(表格1[[#This Row],[Model]],表格3[Model-Input-Ref2],表格3[SRP PRICE])</f>
        <v>1288</v>
      </c>
      <c r="T2086" s="43">
        <f>表格1[[#This Row],[Unit Price]]/表格1[[#This Row],[SRP]]</f>
        <v>0.76863354037267084</v>
      </c>
      <c r="U2086" s="86" t="str">
        <f>_xlfn.XLOOKUP(表格1[[#This Row],[Model]],表格3[Model-Input-Ref2],表格3[TOSHIBA/HIGHEST])</f>
        <v>Toshiba SRP</v>
      </c>
      <c r="V2086" s="86">
        <v>1111</v>
      </c>
      <c r="W2086" s="86" t="str">
        <f>_xlfn.CONCAT(表格1[[#This Row],[欄4]],表格1[[#This Row],[inv no]])</f>
        <v>1111519953</v>
      </c>
    </row>
    <row r="2087" spans="1:23" hidden="1">
      <c r="A2087" s="81">
        <v>2085</v>
      </c>
      <c r="B2087" s="86" t="s">
        <v>1772</v>
      </c>
      <c r="C2087" s="86" t="s">
        <v>1773</v>
      </c>
      <c r="D2087" s="82" t="str">
        <f ca="1">OFFSET(Roster!$A$3,MATCH(表格1[[#This Row],[Location]]&amp;" "&amp;表格1[[#This Row],[Shop]]&amp;"*",Roster!$A$4:$A$72,0),DAY(表格1[[#This Row],[date]]),1,1)</f>
        <v>Michelle</v>
      </c>
      <c r="E2087" s="81">
        <f>MONTH(表格1[[#This Row],[date]])</f>
        <v>3</v>
      </c>
      <c r="F2087" s="90">
        <v>46099</v>
      </c>
      <c r="G2087" s="81" t="str">
        <f>VLOOKUP("*"&amp;表格1[[#This Row],[Input]]&amp;"*",'Ref-List'!$B:$D,2,)</f>
        <v>GR-RM598WE-PGA(B3)</v>
      </c>
      <c r="H2087" s="81" t="str">
        <f>_xlfn.XLOOKUP(表格1[[#This Row],[Model]],表格3[Model-Input-Ref2],表格3[Product Line])</f>
        <v>變頻六門雪櫃(451L)</v>
      </c>
      <c r="I2087" s="81" t="str">
        <f>_xlfn.XLOOKUP(表格1[[#This Row],[Model]],表格3[Model-Input-Ref2],表格3[大小電])</f>
        <v>大電</v>
      </c>
      <c r="J2087" s="81" t="str">
        <f>_xlfn.XLOOKUP(表格1[[#This Row],[Model]],表格3[Model-Input-Ref2],表格3[Code])</f>
        <v>REF</v>
      </c>
      <c r="K2087" s="89" t="s">
        <v>1491</v>
      </c>
      <c r="L2087" s="86">
        <v>1</v>
      </c>
      <c r="M2087" s="87">
        <v>10090</v>
      </c>
      <c r="N2087" s="85">
        <f>IFERROR(表格1[[#This Row],[QTY]]*表格1[[#This Row],[Unit Price]],"-")</f>
        <v>10090</v>
      </c>
      <c r="O2087" s="86">
        <v>519926</v>
      </c>
      <c r="R2087" s="86" t="str">
        <f>_xlfn.CONCAT(表格1[[#This Row],[Model]]," ",表格1[[#This Row],[inv no]])</f>
        <v>GR-RM598WE-PGA(B3) 519926</v>
      </c>
      <c r="S2087" s="86">
        <f>_xlfn.XLOOKUP(表格1[[#This Row],[Model]],表格3[Model-Input-Ref2],表格3[SRP PRICE])</f>
        <v>14980</v>
      </c>
      <c r="T2087" s="43">
        <f>表格1[[#This Row],[Unit Price]]/表格1[[#This Row],[SRP]]</f>
        <v>0.67356475300400531</v>
      </c>
      <c r="U2087" s="86" t="str">
        <f>_xlfn.XLOOKUP(表格1[[#This Row],[Model]],表格3[Model-Input-Ref2],表格3[TOSHIBA/HIGHEST])</f>
        <v>Toshiba SRP</v>
      </c>
      <c r="V2087" s="86">
        <v>1111</v>
      </c>
      <c r="W2087" s="86" t="str">
        <f>_xlfn.CONCAT(表格1[[#This Row],[欄4]],表格1[[#This Row],[inv no]])</f>
        <v>1111519926</v>
      </c>
    </row>
    <row r="2088" spans="1:23" hidden="1">
      <c r="A2088" s="81">
        <v>2086</v>
      </c>
      <c r="B2088" s="86" t="s">
        <v>1772</v>
      </c>
      <c r="C2088" s="86" t="s">
        <v>1773</v>
      </c>
      <c r="D2088" s="82" t="str">
        <f ca="1">OFFSET(Roster!$A$3,MATCH(表格1[[#This Row],[Location]]&amp;" "&amp;表格1[[#This Row],[Shop]]&amp;"*",Roster!$A$4:$A$72,0),DAY(表格1[[#This Row],[date]]),1,1)</f>
        <v>Michelle</v>
      </c>
      <c r="E2088" s="81">
        <f>MONTH(表格1[[#This Row],[date]])</f>
        <v>3</v>
      </c>
      <c r="F2088" s="90">
        <v>46099</v>
      </c>
      <c r="G2088" s="81" t="str">
        <f>VLOOKUP("*"&amp;表格1[[#This Row],[Input]]&amp;"*",'Ref-List'!$B:$D,2,)</f>
        <v>AW-Q800APH(WW)</v>
      </c>
      <c r="H2088" s="81" t="str">
        <f>_xlfn.XLOOKUP(表格1[[#This Row],[Model]],表格3[Model-Input-Ref2],表格3[Product Line])</f>
        <v>日式洗衣機 (7公斤 結合高低水位)</v>
      </c>
      <c r="I2088" s="81" t="str">
        <f>_xlfn.XLOOKUP(表格1[[#This Row],[Model]],表格3[Model-Input-Ref2],表格3[大小電])</f>
        <v>大電</v>
      </c>
      <c r="J2088" s="81" t="str">
        <f>_xlfn.XLOOKUP(表格1[[#This Row],[Model]],表格3[Model-Input-Ref2],表格3[Code])</f>
        <v>LAD</v>
      </c>
      <c r="K2088" s="89" t="s">
        <v>1479</v>
      </c>
      <c r="L2088" s="86">
        <v>1</v>
      </c>
      <c r="M2088" s="87">
        <v>2080</v>
      </c>
      <c r="N2088" s="85">
        <f>IFERROR(表格1[[#This Row],[QTY]]*表格1[[#This Row],[Unit Price]],"-")</f>
        <v>2080</v>
      </c>
      <c r="O2088" s="142">
        <v>519961</v>
      </c>
      <c r="R2088" s="86" t="str">
        <f>_xlfn.CONCAT(表格1[[#This Row],[Model]]," ",表格1[[#This Row],[inv no]])</f>
        <v>AW-Q800APH(WW) 519961</v>
      </c>
      <c r="S2088" s="86">
        <f>_xlfn.XLOOKUP(表格1[[#This Row],[Model]],表格3[Model-Input-Ref2],表格3[SRP PRICE])</f>
        <v>3580</v>
      </c>
      <c r="T2088" s="43">
        <f>表格1[[#This Row],[Unit Price]]/表格1[[#This Row],[SRP]]</f>
        <v>0.58100558659217882</v>
      </c>
      <c r="U2088" s="86" t="str">
        <f>_xlfn.XLOOKUP(表格1[[#This Row],[Model]],表格3[Model-Input-Ref2],表格3[TOSHIBA/HIGHEST])</f>
        <v>Toshiba SRP</v>
      </c>
      <c r="V2088" s="86">
        <v>1111</v>
      </c>
      <c r="W2088" s="86" t="str">
        <f>_xlfn.CONCAT(表格1[[#This Row],[欄4]],表格1[[#This Row],[inv no]])</f>
        <v>1111519961</v>
      </c>
    </row>
    <row r="2089" spans="1:23" hidden="1">
      <c r="A2089" s="81">
        <v>2087</v>
      </c>
      <c r="B2089" s="86" t="s">
        <v>1772</v>
      </c>
      <c r="C2089" s="86" t="s">
        <v>1773</v>
      </c>
      <c r="D2089" s="82" t="str">
        <f ca="1">OFFSET(Roster!$A$3,MATCH(表格1[[#This Row],[Location]]&amp;" "&amp;表格1[[#This Row],[Shop]]&amp;"*",Roster!$A$4:$A$72,0),DAY(表格1[[#This Row],[date]]),1,1)</f>
        <v>Michelle</v>
      </c>
      <c r="E2089" s="81">
        <f>MONTH(表格1[[#This Row],[date]])</f>
        <v>3</v>
      </c>
      <c r="F2089" s="90">
        <v>46099</v>
      </c>
      <c r="G2089" s="81" t="str">
        <f>VLOOKUP("*"&amp;表格1[[#This Row],[Input]]&amp;"*",'Ref-List'!$B:$D,2,)</f>
        <v>TWD-T21BU95UWH(WW)</v>
      </c>
      <c r="H2089" s="81" t="str">
        <f>_xlfn.XLOOKUP(表格1[[#This Row],[Model]],表格3[Model-Input-Ref2],表格3[Product Line])</f>
        <v>470MM超薄身前置式變頻洗衣乾衣機 (洗8.5公斤 乾6公斤)</v>
      </c>
      <c r="I2089" s="81" t="str">
        <f>_xlfn.XLOOKUP(表格1[[#This Row],[Model]],表格3[Model-Input-Ref2],表格3[大小電])</f>
        <v>大電</v>
      </c>
      <c r="J2089" s="81" t="str">
        <f>_xlfn.XLOOKUP(表格1[[#This Row],[Model]],表格3[Model-Input-Ref2],表格3[Code])</f>
        <v>LAD</v>
      </c>
      <c r="K2089" s="89" t="s">
        <v>1461</v>
      </c>
      <c r="L2089" s="86">
        <v>1</v>
      </c>
      <c r="M2089" s="87">
        <v>3999</v>
      </c>
      <c r="N2089" s="85">
        <f>IFERROR(表格1[[#This Row],[QTY]]*表格1[[#This Row],[Unit Price]],"-")</f>
        <v>3999</v>
      </c>
      <c r="O2089" s="86">
        <v>519940</v>
      </c>
      <c r="R2089" s="86" t="str">
        <f>_xlfn.CONCAT(表格1[[#This Row],[Model]]," ",表格1[[#This Row],[inv no]])</f>
        <v>TWD-T21BU95UWH(WW) 519940</v>
      </c>
      <c r="S2089" s="86">
        <f>_xlfn.XLOOKUP(表格1[[#This Row],[Model]],表格3[Model-Input-Ref2],表格3[SRP PRICE])</f>
        <v>7280</v>
      </c>
      <c r="T2089" s="43">
        <f>表格1[[#This Row],[Unit Price]]/表格1[[#This Row],[SRP]]</f>
        <v>0.54931318681318686</v>
      </c>
      <c r="U2089" s="86" t="str">
        <f>_xlfn.XLOOKUP(表格1[[#This Row],[Model]],表格3[Model-Input-Ref2],表格3[TOSHIBA/HIGHEST])</f>
        <v>Toshiba SRP</v>
      </c>
      <c r="V2089" s="86">
        <v>1111</v>
      </c>
      <c r="W2089" s="86" t="str">
        <f>_xlfn.CONCAT(表格1[[#This Row],[欄4]],表格1[[#This Row],[inv no]])</f>
        <v>1111519940</v>
      </c>
    </row>
    <row r="2090" spans="1:23" hidden="1">
      <c r="A2090" s="81">
        <v>2088</v>
      </c>
      <c r="B2090" s="86" t="s">
        <v>1772</v>
      </c>
      <c r="C2090" s="86" t="s">
        <v>1773</v>
      </c>
      <c r="D2090" s="82" t="str">
        <f ca="1">OFFSET(Roster!$A$3,MATCH(表格1[[#This Row],[Location]]&amp;" "&amp;表格1[[#This Row],[Shop]]&amp;"*",Roster!$A$4:$A$72,0),DAY(表格1[[#This Row],[date]]),1,1)</f>
        <v>Michelle</v>
      </c>
      <c r="E2090" s="81">
        <f>MONTH(表格1[[#This Row],[date]])</f>
        <v>3</v>
      </c>
      <c r="F2090" s="90">
        <v>46099</v>
      </c>
      <c r="G2090" s="81" t="str">
        <f>VLOOKUP("*"&amp;表格1[[#This Row],[Input]]&amp;"*",'Ref-List'!$B:$D,2,)</f>
        <v>TWD-T21BU95UWH(WW)</v>
      </c>
      <c r="H2090" s="81" t="str">
        <f>_xlfn.XLOOKUP(表格1[[#This Row],[Model]],表格3[Model-Input-Ref2],表格3[Product Line])</f>
        <v>470MM超薄身前置式變頻洗衣乾衣機 (洗8.5公斤 乾6公斤)</v>
      </c>
      <c r="I2090" s="81" t="str">
        <f>_xlfn.XLOOKUP(表格1[[#This Row],[Model]],表格3[Model-Input-Ref2],表格3[大小電])</f>
        <v>大電</v>
      </c>
      <c r="J2090" s="81" t="str">
        <f>_xlfn.XLOOKUP(表格1[[#This Row],[Model]],表格3[Model-Input-Ref2],表格3[Code])</f>
        <v>LAD</v>
      </c>
      <c r="K2090" s="89" t="s">
        <v>1461</v>
      </c>
      <c r="L2090" s="86">
        <v>1</v>
      </c>
      <c r="M2090" s="87">
        <v>3999</v>
      </c>
      <c r="N2090" s="85">
        <f>IFERROR(表格1[[#This Row],[QTY]]*表格1[[#This Row],[Unit Price]],"-")</f>
        <v>3999</v>
      </c>
      <c r="O2090" s="86">
        <v>519944</v>
      </c>
      <c r="R2090" s="86" t="str">
        <f>_xlfn.CONCAT(表格1[[#This Row],[Model]]," ",表格1[[#This Row],[inv no]])</f>
        <v>TWD-T21BU95UWH(WW) 519944</v>
      </c>
      <c r="S2090" s="86">
        <f>_xlfn.XLOOKUP(表格1[[#This Row],[Model]],表格3[Model-Input-Ref2],表格3[SRP PRICE])</f>
        <v>7280</v>
      </c>
      <c r="T2090" s="43">
        <f>表格1[[#This Row],[Unit Price]]/表格1[[#This Row],[SRP]]</f>
        <v>0.54931318681318686</v>
      </c>
      <c r="U2090" s="86" t="str">
        <f>_xlfn.XLOOKUP(表格1[[#This Row],[Model]],表格3[Model-Input-Ref2],表格3[TOSHIBA/HIGHEST])</f>
        <v>Toshiba SRP</v>
      </c>
      <c r="V2090" s="86">
        <v>1111</v>
      </c>
      <c r="W2090" s="86" t="str">
        <f>_xlfn.CONCAT(表格1[[#This Row],[欄4]],表格1[[#This Row],[inv no]])</f>
        <v>1111519944</v>
      </c>
    </row>
    <row r="2091" spans="1:23" hidden="1">
      <c r="A2091" s="81">
        <v>2089</v>
      </c>
      <c r="B2091" s="86" t="s">
        <v>1772</v>
      </c>
      <c r="C2091" s="86" t="s">
        <v>1773</v>
      </c>
      <c r="D2091" s="82" t="str">
        <f ca="1">OFFSET(Roster!$A$3,MATCH(表格1[[#This Row],[Location]]&amp;" "&amp;表格1[[#This Row],[Shop]]&amp;"*",Roster!$A$4:$A$72,0),DAY(表格1[[#This Row],[date]]),1,1)</f>
        <v>Michelle</v>
      </c>
      <c r="E2091" s="81">
        <f>MONTH(表格1[[#This Row],[date]])</f>
        <v>3</v>
      </c>
      <c r="F2091" s="90">
        <v>46100</v>
      </c>
      <c r="G2091" s="81" t="str">
        <f>VLOOKUP("*"&amp;表格1[[#This Row],[Input]]&amp;"*",'Ref-List'!$B:$D,2,)</f>
        <v>RC-18NMFIH(WT)</v>
      </c>
      <c r="H2091" s="81" t="str">
        <f>_xlfn.XLOOKUP(表格1[[#This Row],[Model]],表格3[Model-Input-Ref2],表格3[Product Line])</f>
        <v>4毫米厚釜電飯煲1.8L</v>
      </c>
      <c r="I2091" s="81" t="str">
        <f>_xlfn.XLOOKUP(表格1[[#This Row],[Model]],表格3[Model-Input-Ref2],表格3[大小電])</f>
        <v>細電</v>
      </c>
      <c r="J2091" s="81" t="str">
        <f>_xlfn.XLOOKUP(表格1[[#This Row],[Model]],表格3[Model-Input-Ref2],表格3[Code])</f>
        <v>SDA</v>
      </c>
      <c r="K2091" s="89" t="s">
        <v>1267</v>
      </c>
      <c r="L2091" s="86">
        <v>1</v>
      </c>
      <c r="M2091" s="87">
        <v>799</v>
      </c>
      <c r="N2091" s="85">
        <f>IFERROR(表格1[[#This Row],[QTY]]*表格1[[#This Row],[Unit Price]],"-")</f>
        <v>799</v>
      </c>
      <c r="O2091" s="86">
        <v>519972</v>
      </c>
      <c r="R2091" s="86" t="str">
        <f>_xlfn.CONCAT(表格1[[#This Row],[Model]]," ",表格1[[#This Row],[inv no]])</f>
        <v>RC-18NMFIH(WT) 519972</v>
      </c>
      <c r="S2091" s="86">
        <f>_xlfn.XLOOKUP(表格1[[#This Row],[Model]],表格3[Model-Input-Ref2],表格3[SRP PRICE])</f>
        <v>998</v>
      </c>
      <c r="T2091" s="43">
        <f>表格1[[#This Row],[Unit Price]]/表格1[[#This Row],[SRP]]</f>
        <v>0.80060120240480959</v>
      </c>
      <c r="U2091" s="86" t="str">
        <f>_xlfn.XLOOKUP(表格1[[#This Row],[Model]],表格3[Model-Input-Ref2],表格3[TOSHIBA/HIGHEST])</f>
        <v>Toshiba SRP</v>
      </c>
      <c r="V2091" s="86">
        <v>1111</v>
      </c>
      <c r="W2091" s="86" t="str">
        <f>_xlfn.CONCAT(表格1[[#This Row],[欄4]],表格1[[#This Row],[inv no]])</f>
        <v>1111519972</v>
      </c>
    </row>
    <row r="2092" spans="1:23" hidden="1">
      <c r="A2092" s="81">
        <v>2090</v>
      </c>
      <c r="B2092" s="86" t="s">
        <v>1772</v>
      </c>
      <c r="C2092" s="86" t="s">
        <v>1773</v>
      </c>
      <c r="D2092" s="82" t="str">
        <f ca="1">OFFSET(Roster!$A$3,MATCH(表格1[[#This Row],[Location]]&amp;" "&amp;表格1[[#This Row],[Shop]]&amp;"*",Roster!$A$4:$A$72,0),DAY(表格1[[#This Row],[date]]),1,1)</f>
        <v>Michelle</v>
      </c>
      <c r="E2092" s="81">
        <f>MONTH(表格1[[#This Row],[date]])</f>
        <v>3</v>
      </c>
      <c r="F2092" s="90">
        <v>46100</v>
      </c>
      <c r="G2092" s="81" t="str">
        <f>VLOOKUP("*"&amp;表格1[[#This Row],[Input]]&amp;"*",'Ref-List'!$B:$D,2,)</f>
        <v>RC-18NMFIH(WT)</v>
      </c>
      <c r="H2092" s="81" t="str">
        <f>_xlfn.XLOOKUP(表格1[[#This Row],[Model]],表格3[Model-Input-Ref2],表格3[Product Line])</f>
        <v>4毫米厚釜電飯煲1.8L</v>
      </c>
      <c r="I2092" s="81" t="str">
        <f>_xlfn.XLOOKUP(表格1[[#This Row],[Model]],表格3[Model-Input-Ref2],表格3[大小電])</f>
        <v>細電</v>
      </c>
      <c r="J2092" s="81" t="str">
        <f>_xlfn.XLOOKUP(表格1[[#This Row],[Model]],表格3[Model-Input-Ref2],表格3[Code])</f>
        <v>SDA</v>
      </c>
      <c r="K2092" s="89" t="s">
        <v>1267</v>
      </c>
      <c r="L2092" s="86">
        <v>1</v>
      </c>
      <c r="M2092" s="87">
        <v>799</v>
      </c>
      <c r="N2092" s="85">
        <f>IFERROR(表格1[[#This Row],[QTY]]*表格1[[#This Row],[Unit Price]],"-")</f>
        <v>799</v>
      </c>
      <c r="O2092" s="86">
        <v>519978</v>
      </c>
      <c r="R2092" s="86" t="str">
        <f>_xlfn.CONCAT(表格1[[#This Row],[Model]]," ",表格1[[#This Row],[inv no]])</f>
        <v>RC-18NMFIH(WT) 519978</v>
      </c>
      <c r="S2092" s="86">
        <f>_xlfn.XLOOKUP(表格1[[#This Row],[Model]],表格3[Model-Input-Ref2],表格3[SRP PRICE])</f>
        <v>998</v>
      </c>
      <c r="T2092" s="43">
        <f>表格1[[#This Row],[Unit Price]]/表格1[[#This Row],[SRP]]</f>
        <v>0.80060120240480959</v>
      </c>
      <c r="U2092" s="86" t="str">
        <f>_xlfn.XLOOKUP(表格1[[#This Row],[Model]],表格3[Model-Input-Ref2],表格3[TOSHIBA/HIGHEST])</f>
        <v>Toshiba SRP</v>
      </c>
      <c r="V2092" s="86">
        <v>1111</v>
      </c>
      <c r="W2092" s="86" t="str">
        <f>_xlfn.CONCAT(表格1[[#This Row],[欄4]],表格1[[#This Row],[inv no]])</f>
        <v>1111519978</v>
      </c>
    </row>
    <row r="2093" spans="1:23" hidden="1">
      <c r="A2093" s="81">
        <v>2091</v>
      </c>
      <c r="B2093" s="86" t="s">
        <v>1772</v>
      </c>
      <c r="C2093" s="86" t="s">
        <v>1773</v>
      </c>
      <c r="D2093" s="82" t="str">
        <f ca="1">OFFSET(Roster!$A$3,MATCH(表格1[[#This Row],[Location]]&amp;" "&amp;表格1[[#This Row],[Shop]]&amp;"*",Roster!$A$4:$A$72,0),DAY(表格1[[#This Row],[date]]),1,1)</f>
        <v>Michelle</v>
      </c>
      <c r="E2093" s="81">
        <f>MONTH(表格1[[#This Row],[date]])</f>
        <v>3</v>
      </c>
      <c r="F2093" s="90">
        <v>46100</v>
      </c>
      <c r="G2093" s="81" t="str">
        <f>VLOOKUP("*"&amp;表格1[[#This Row],[Input]]&amp;"*",'Ref-List'!$B:$D,2,)</f>
        <v>GR-RB221WE-PMA(57)</v>
      </c>
      <c r="H2093" s="81" t="str">
        <f>_xlfn.XLOOKUP(表格1[[#This Row],[Model]],表格3[Model-Input-Ref2],表格3[Product Line])</f>
        <v>變頻下置式雙門雪櫃（163L）</v>
      </c>
      <c r="I2093" s="81" t="str">
        <f>_xlfn.XLOOKUP(表格1[[#This Row],[Model]],表格3[Model-Input-Ref2],表格3[大小電])</f>
        <v>大電</v>
      </c>
      <c r="J2093" s="81" t="str">
        <f>_xlfn.XLOOKUP(表格1[[#This Row],[Model]],表格3[Model-Input-Ref2],表格3[Code])</f>
        <v>REF</v>
      </c>
      <c r="K2093" s="89" t="s">
        <v>1386</v>
      </c>
      <c r="L2093" s="86">
        <v>1</v>
      </c>
      <c r="M2093" s="87">
        <v>1880</v>
      </c>
      <c r="N2093" s="85">
        <f>IFERROR(表格1[[#This Row],[QTY]]*表格1[[#This Row],[Unit Price]],"-")</f>
        <v>1880</v>
      </c>
      <c r="O2093" s="142">
        <v>519965</v>
      </c>
      <c r="R2093" s="86" t="str">
        <f>_xlfn.CONCAT(表格1[[#This Row],[Model]]," ",表格1[[#This Row],[inv no]])</f>
        <v>GR-RB221WE-PMA(57) 519965</v>
      </c>
      <c r="S2093" s="86">
        <f>_xlfn.XLOOKUP(表格1[[#This Row],[Model]],表格3[Model-Input-Ref2],表格3[SRP PRICE])</f>
        <v>3480</v>
      </c>
      <c r="T2093" s="43">
        <f>表格1[[#This Row],[Unit Price]]/表格1[[#This Row],[SRP]]</f>
        <v>0.54022988505747127</v>
      </c>
      <c r="U2093" s="86" t="str">
        <f>_xlfn.XLOOKUP(表格1[[#This Row],[Model]],表格3[Model-Input-Ref2],表格3[TOSHIBA/HIGHEST])</f>
        <v>Toshiba SRP</v>
      </c>
      <c r="V2093" s="86">
        <v>1111</v>
      </c>
      <c r="W2093" s="86" t="str">
        <f>_xlfn.CONCAT(表格1[[#This Row],[欄4]],表格1[[#This Row],[inv no]])</f>
        <v>1111519965</v>
      </c>
    </row>
    <row r="2094" spans="1:23" hidden="1">
      <c r="A2094" s="81">
        <v>2092</v>
      </c>
      <c r="B2094" s="86" t="s">
        <v>1772</v>
      </c>
      <c r="C2094" s="86" t="s">
        <v>1773</v>
      </c>
      <c r="D2094" s="82" t="str">
        <f ca="1">OFFSET(Roster!$A$3,MATCH(表格1[[#This Row],[Location]]&amp;" "&amp;表格1[[#This Row],[Shop]]&amp;"*",Roster!$A$4:$A$72,0),DAY(表格1[[#This Row],[date]]),1,1)</f>
        <v>Michelle</v>
      </c>
      <c r="E2094" s="81">
        <f>MONTH(表格1[[#This Row],[date]])</f>
        <v>3</v>
      </c>
      <c r="F2094" s="90">
        <v>46100</v>
      </c>
      <c r="G2094" s="81" t="str">
        <f>VLOOKUP("*"&amp;表格1[[#This Row],[Input]]&amp;"*",'Ref-List'!$B:$D,2,)</f>
        <v>GR-RT300WE-PMA(57)</v>
      </c>
      <c r="H2094" s="81" t="str">
        <f>_xlfn.XLOOKUP(表格1[[#This Row],[Model]],表格3[Model-Input-Ref2],表格3[Product Line])</f>
        <v>變頻式環保雙門雪櫃(233L)</v>
      </c>
      <c r="I2094" s="81" t="str">
        <f>_xlfn.XLOOKUP(表格1[[#This Row],[Model]],表格3[Model-Input-Ref2],表格3[大小電])</f>
        <v>大電</v>
      </c>
      <c r="J2094" s="81" t="str">
        <f>_xlfn.XLOOKUP(表格1[[#This Row],[Model]],表格3[Model-Input-Ref2],表格3[Code])</f>
        <v>REF</v>
      </c>
      <c r="K2094" s="89" t="s">
        <v>1462</v>
      </c>
      <c r="L2094" s="86">
        <v>1</v>
      </c>
      <c r="M2094" s="87">
        <v>2780</v>
      </c>
      <c r="N2094" s="85">
        <f>IFERROR(表格1[[#This Row],[QTY]]*表格1[[#This Row],[Unit Price]],"-")</f>
        <v>2780</v>
      </c>
      <c r="O2094" s="86">
        <v>519974</v>
      </c>
      <c r="R2094" s="86" t="str">
        <f>_xlfn.CONCAT(表格1[[#This Row],[Model]]," ",表格1[[#This Row],[inv no]])</f>
        <v>GR-RT300WE-PMA(57) 519974</v>
      </c>
      <c r="S2094" s="86">
        <f>_xlfn.XLOOKUP(表格1[[#This Row],[Model]],表格3[Model-Input-Ref2],表格3[SRP PRICE])</f>
        <v>4280</v>
      </c>
      <c r="T2094" s="43">
        <f>表格1[[#This Row],[Unit Price]]/表格1[[#This Row],[SRP]]</f>
        <v>0.64953271028037385</v>
      </c>
      <c r="U2094" s="86" t="str">
        <f>_xlfn.XLOOKUP(表格1[[#This Row],[Model]],表格3[Model-Input-Ref2],表格3[TOSHIBA/HIGHEST])</f>
        <v>Toshiba SRP</v>
      </c>
      <c r="V2094" s="86">
        <v>1111</v>
      </c>
      <c r="W2094" s="86" t="str">
        <f>_xlfn.CONCAT(表格1[[#This Row],[欄4]],表格1[[#This Row],[inv no]])</f>
        <v>1111519974</v>
      </c>
    </row>
    <row r="2095" spans="1:23" hidden="1">
      <c r="A2095" s="81">
        <v>2093</v>
      </c>
      <c r="B2095" s="86" t="s">
        <v>1772</v>
      </c>
      <c r="C2095" s="86" t="s">
        <v>1773</v>
      </c>
      <c r="D2095" s="82" t="str">
        <f ca="1">OFFSET(Roster!$A$3,MATCH(表格1[[#This Row],[Location]]&amp;" "&amp;表格1[[#This Row],[Shop]]&amp;"*",Roster!$A$4:$A$72,0),DAY(表格1[[#This Row],[date]]),1,1)</f>
        <v>Michelle</v>
      </c>
      <c r="E2095" s="81">
        <f>MONTH(表格1[[#This Row],[date]])</f>
        <v>3</v>
      </c>
      <c r="F2095" s="90">
        <v>46100</v>
      </c>
      <c r="G2095" s="81" t="str">
        <f>VLOOKUP("*"&amp;表格1[[#This Row],[Input]]&amp;"*",'Ref-List'!$B:$D,2,)</f>
        <v>RC-10NMFIH(WT)</v>
      </c>
      <c r="H2095" s="81" t="str">
        <f>_xlfn.XLOOKUP(表格1[[#This Row],[Model]],表格3[Model-Input-Ref2],表格3[Product Line])</f>
        <v>4毫米厚釜電飯煲1L</v>
      </c>
      <c r="I2095" s="81" t="str">
        <f>_xlfn.XLOOKUP(表格1[[#This Row],[Model]],表格3[Model-Input-Ref2],表格3[大小電])</f>
        <v>細電</v>
      </c>
      <c r="J2095" s="81" t="str">
        <f>_xlfn.XLOOKUP(表格1[[#This Row],[Model]],表格3[Model-Input-Ref2],表格3[Code])</f>
        <v>SDA</v>
      </c>
      <c r="K2095" s="89" t="s">
        <v>1244</v>
      </c>
      <c r="L2095" s="86">
        <v>1</v>
      </c>
      <c r="M2095" s="87">
        <v>719</v>
      </c>
      <c r="N2095" s="85">
        <f>IFERROR(表格1[[#This Row],[QTY]]*表格1[[#This Row],[Unit Price]],"-")</f>
        <v>719</v>
      </c>
      <c r="O2095" s="86">
        <v>519980</v>
      </c>
      <c r="R2095" s="86" t="str">
        <f>_xlfn.CONCAT(表格1[[#This Row],[Model]]," ",表格1[[#This Row],[inv no]])</f>
        <v>RC-10NMFIH(WT) 519980</v>
      </c>
      <c r="S2095" s="86">
        <f>_xlfn.XLOOKUP(表格1[[#This Row],[Model]],表格3[Model-Input-Ref2],表格3[SRP PRICE])</f>
        <v>898</v>
      </c>
      <c r="T2095" s="43">
        <f>表格1[[#This Row],[Unit Price]]/表格1[[#This Row],[SRP]]</f>
        <v>0.80066815144766146</v>
      </c>
      <c r="U2095" s="86" t="str">
        <f>_xlfn.XLOOKUP(表格1[[#This Row],[Model]],表格3[Model-Input-Ref2],表格3[TOSHIBA/HIGHEST])</f>
        <v>Toshiba SRP</v>
      </c>
      <c r="V2095" s="86">
        <v>1111</v>
      </c>
      <c r="W2095" s="86" t="str">
        <f>_xlfn.CONCAT(表格1[[#This Row],[欄4]],表格1[[#This Row],[inv no]])</f>
        <v>1111519980</v>
      </c>
    </row>
    <row r="2096" spans="1:23" hidden="1">
      <c r="A2096" s="81">
        <v>2094</v>
      </c>
      <c r="B2096" s="86" t="s">
        <v>1772</v>
      </c>
      <c r="C2096" s="86" t="s">
        <v>1773</v>
      </c>
      <c r="D2096" s="82" t="str">
        <f ca="1">OFFSET(Roster!$A$3,MATCH(表格1[[#This Row],[Location]]&amp;" "&amp;表格1[[#This Row],[Shop]]&amp;"*",Roster!$A$4:$A$72,0),DAY(表格1[[#This Row],[date]]),1,1)</f>
        <v>Michelle</v>
      </c>
      <c r="E2096" s="81">
        <f>MONTH(表格1[[#This Row],[date]])</f>
        <v>3</v>
      </c>
      <c r="F2096" s="90">
        <v>46101</v>
      </c>
      <c r="G2096" s="81" t="str">
        <f>VLOOKUP("*"&amp;表格1[[#This Row],[Input]]&amp;"*",'Ref-List'!$B:$D,2,)</f>
        <v>RC-7HMH</v>
      </c>
      <c r="H2096" s="81" t="str">
        <f>_xlfn.XLOOKUP(表格1[[#This Row],[Model]],表格3[Model-Input-Ref2],表格3[Product Line])</f>
        <v>備長炭本厚釜電飯煲0.7L</v>
      </c>
      <c r="I2096" s="81" t="str">
        <f>_xlfn.XLOOKUP(表格1[[#This Row],[Model]],表格3[Model-Input-Ref2],表格3[大小電])</f>
        <v>細電</v>
      </c>
      <c r="J2096" s="81" t="str">
        <f>_xlfn.XLOOKUP(表格1[[#This Row],[Model]],表格3[Model-Input-Ref2],表格3[Code])</f>
        <v>SDA</v>
      </c>
      <c r="K2096" s="89" t="s">
        <v>1284</v>
      </c>
      <c r="L2096" s="86">
        <v>1</v>
      </c>
      <c r="M2096" s="87">
        <v>898</v>
      </c>
      <c r="N2096" s="85">
        <f>IFERROR(表格1[[#This Row],[QTY]]*表格1[[#This Row],[Unit Price]],"-")</f>
        <v>898</v>
      </c>
      <c r="O2096" s="86">
        <v>520020</v>
      </c>
      <c r="R2096" s="86" t="str">
        <f>_xlfn.CONCAT(表格1[[#This Row],[Model]]," ",表格1[[#This Row],[inv no]])</f>
        <v>RC-7HMH 520020</v>
      </c>
      <c r="S2096" s="86">
        <f>_xlfn.XLOOKUP(表格1[[#This Row],[Model]],表格3[Model-Input-Ref2],表格3[SRP PRICE])</f>
        <v>1288</v>
      </c>
      <c r="T2096" s="43">
        <f>表格1[[#This Row],[Unit Price]]/表格1[[#This Row],[SRP]]</f>
        <v>0.69720496894409933</v>
      </c>
      <c r="U2096" s="86" t="str">
        <f>_xlfn.XLOOKUP(表格1[[#This Row],[Model]],表格3[Model-Input-Ref2],表格3[TOSHIBA/HIGHEST])</f>
        <v>Toshiba SRP</v>
      </c>
      <c r="V2096" s="86">
        <v>1111</v>
      </c>
      <c r="W2096" s="86" t="str">
        <f>_xlfn.CONCAT(表格1[[#This Row],[欄4]],表格1[[#This Row],[inv no]])</f>
        <v>1111520020</v>
      </c>
    </row>
    <row r="2097" spans="1:23" hidden="1">
      <c r="A2097" s="81">
        <v>2095</v>
      </c>
      <c r="B2097" s="86" t="s">
        <v>1772</v>
      </c>
      <c r="C2097" s="86" t="s">
        <v>1773</v>
      </c>
      <c r="D2097" s="82" t="str">
        <f ca="1">OFFSET(Roster!$A$3,MATCH(表格1[[#This Row],[Location]]&amp;" "&amp;表格1[[#This Row],[Shop]]&amp;"*",Roster!$A$4:$A$72,0),DAY(表格1[[#This Row],[date]]),1,1)</f>
        <v>Michelle</v>
      </c>
      <c r="E2097" s="81">
        <f>MONTH(表格1[[#This Row],[date]])</f>
        <v>3</v>
      </c>
      <c r="F2097" s="90">
        <v>46101</v>
      </c>
      <c r="G2097" s="81" t="str">
        <f>VLOOKUP("*"&amp;表格1[[#This Row],[Input]]&amp;"*",'Ref-List'!$B:$D,2,)</f>
        <v>TWD-T21BU95UWH(WW)</v>
      </c>
      <c r="H2097" s="81" t="str">
        <f>_xlfn.XLOOKUP(表格1[[#This Row],[Model]],表格3[Model-Input-Ref2],表格3[Product Line])</f>
        <v>470MM超薄身前置式變頻洗衣乾衣機 (洗8.5公斤 乾6公斤)</v>
      </c>
      <c r="I2097" s="81" t="str">
        <f>_xlfn.XLOOKUP(表格1[[#This Row],[Model]],表格3[Model-Input-Ref2],表格3[大小電])</f>
        <v>大電</v>
      </c>
      <c r="J2097" s="81" t="str">
        <f>_xlfn.XLOOKUP(表格1[[#This Row],[Model]],表格3[Model-Input-Ref2],表格3[Code])</f>
        <v>LAD</v>
      </c>
      <c r="K2097" s="89" t="s">
        <v>1461</v>
      </c>
      <c r="L2097" s="86">
        <v>1</v>
      </c>
      <c r="M2097" s="87">
        <v>3999</v>
      </c>
      <c r="N2097" s="85">
        <f>IFERROR(表格1[[#This Row],[QTY]]*表格1[[#This Row],[Unit Price]],"-")</f>
        <v>3999</v>
      </c>
      <c r="O2097" s="142">
        <v>520019</v>
      </c>
      <c r="R2097" s="86" t="str">
        <f>_xlfn.CONCAT(表格1[[#This Row],[Model]]," ",表格1[[#This Row],[inv no]])</f>
        <v>TWD-T21BU95UWH(WW) 520019</v>
      </c>
      <c r="S2097" s="86">
        <f>_xlfn.XLOOKUP(表格1[[#This Row],[Model]],表格3[Model-Input-Ref2],表格3[SRP PRICE])</f>
        <v>7280</v>
      </c>
      <c r="T2097" s="43">
        <f>表格1[[#This Row],[Unit Price]]/表格1[[#This Row],[SRP]]</f>
        <v>0.54931318681318686</v>
      </c>
      <c r="U2097" s="86" t="str">
        <f>_xlfn.XLOOKUP(表格1[[#This Row],[Model]],表格3[Model-Input-Ref2],表格3[TOSHIBA/HIGHEST])</f>
        <v>Toshiba SRP</v>
      </c>
      <c r="V2097" s="86">
        <v>1111</v>
      </c>
      <c r="W2097" s="86" t="str">
        <f>_xlfn.CONCAT(表格1[[#This Row],[欄4]],表格1[[#This Row],[inv no]])</f>
        <v>1111520019</v>
      </c>
    </row>
    <row r="2098" spans="1:23" hidden="1">
      <c r="A2098" s="81">
        <v>2096</v>
      </c>
      <c r="B2098" s="86" t="s">
        <v>1772</v>
      </c>
      <c r="C2098" s="86" t="s">
        <v>1773</v>
      </c>
      <c r="D2098" s="82" t="str">
        <f ca="1">OFFSET(Roster!$A$3,MATCH(表格1[[#This Row],[Location]]&amp;" "&amp;表格1[[#This Row],[Shop]]&amp;"*",Roster!$A$4:$A$72,0),DAY(表格1[[#This Row],[date]]),1,1)</f>
        <v>Michelle</v>
      </c>
      <c r="E2098" s="81">
        <f>MONTH(表格1[[#This Row],[date]])</f>
        <v>3</v>
      </c>
      <c r="F2098" s="90">
        <v>46101</v>
      </c>
      <c r="G2098" s="81" t="str">
        <f>VLOOKUP("*"&amp;表格1[[#This Row],[Input]]&amp;"*",'Ref-List'!$B:$D,2,)</f>
        <v>TWD-BN90GF4H(WK)</v>
      </c>
      <c r="H2098" s="81" t="str">
        <f>_xlfn.XLOOKUP(表格1[[#This Row],[Model]],表格3[Model-Input-Ref2],表格3[Product Line])</f>
        <v>超薄身前置式洗衣乾衣機 (洗8公斤 乾5公斤)</v>
      </c>
      <c r="I2098" s="81" t="str">
        <f>_xlfn.XLOOKUP(表格1[[#This Row],[Model]],表格3[Model-Input-Ref2],表格3[大小電])</f>
        <v>大電</v>
      </c>
      <c r="J2098" s="81" t="str">
        <f>_xlfn.XLOOKUP(表格1[[#This Row],[Model]],表格3[Model-Input-Ref2],表格3[Code])</f>
        <v>WM</v>
      </c>
      <c r="K2098" s="89" t="s">
        <v>1199</v>
      </c>
      <c r="L2098" s="86">
        <v>1</v>
      </c>
      <c r="M2098" s="87">
        <v>3980</v>
      </c>
      <c r="N2098" s="85">
        <f>IFERROR(表格1[[#This Row],[QTY]]*表格1[[#This Row],[Unit Price]],"-")</f>
        <v>3980</v>
      </c>
      <c r="O2098" s="86">
        <v>520049</v>
      </c>
      <c r="R2098" s="86" t="str">
        <f>_xlfn.CONCAT(表格1[[#This Row],[Model]]," ",表格1[[#This Row],[inv no]])</f>
        <v>TWD-BN90GF4H(WK) 520049</v>
      </c>
      <c r="S2098" s="86">
        <f>_xlfn.XLOOKUP(表格1[[#This Row],[Model]],表格3[Model-Input-Ref2],表格3[SRP PRICE])</f>
        <v>5980</v>
      </c>
      <c r="T2098" s="43">
        <f>表格1[[#This Row],[Unit Price]]/表格1[[#This Row],[SRP]]</f>
        <v>0.66555183946488294</v>
      </c>
      <c r="U2098" s="86" t="str">
        <f>_xlfn.XLOOKUP(表格1[[#This Row],[Model]],表格3[Model-Input-Ref2],表格3[TOSHIBA/HIGHEST])</f>
        <v>Toshiba SRP</v>
      </c>
      <c r="V2098" s="86">
        <v>1111</v>
      </c>
      <c r="W2098" s="86" t="str">
        <f>_xlfn.CONCAT(表格1[[#This Row],[欄4]],表格1[[#This Row],[inv no]])</f>
        <v>1111520049</v>
      </c>
    </row>
    <row r="2099" spans="1:23" hidden="1">
      <c r="A2099" s="81">
        <v>2097</v>
      </c>
      <c r="B2099" s="86" t="s">
        <v>1772</v>
      </c>
      <c r="C2099" s="86" t="s">
        <v>1773</v>
      </c>
      <c r="D2099" s="82" t="str">
        <f ca="1">OFFSET(Roster!$A$3,MATCH(表格1[[#This Row],[Location]]&amp;" "&amp;表格1[[#This Row],[Shop]]&amp;"*",Roster!$A$4:$A$72,0),DAY(表格1[[#This Row],[date]]),1,1)</f>
        <v>Michelle</v>
      </c>
      <c r="E2099" s="81">
        <f>MONTH(表格1[[#This Row],[date]])</f>
        <v>3</v>
      </c>
      <c r="F2099" s="90">
        <v>46101</v>
      </c>
      <c r="G2099" s="81" t="str">
        <f>VLOOKUP("*"&amp;表格1[[#This Row],[Input]]&amp;"*",'Ref-List'!$B:$D,2,)</f>
        <v>TWD-T22BU95UWH(WK)-B</v>
      </c>
      <c r="H2099" s="81" t="str">
        <f>_xlfn.XLOOKUP(表格1[[#This Row],[Model]],表格3[Model-Input-Ref2],表格3[Product Line])</f>
        <v>470MM超薄身前置式變頻洗衣乾衣機 (洗8.5公斤/乾6公斤, 可飛頂)</v>
      </c>
      <c r="I2099" s="81" t="str">
        <f>_xlfn.XLOOKUP(表格1[[#This Row],[Model]],表格3[Model-Input-Ref2],表格3[大小電])</f>
        <v>大電</v>
      </c>
      <c r="J2099" s="81" t="str">
        <f>_xlfn.XLOOKUP(表格1[[#This Row],[Model]],表格3[Model-Input-Ref2],表格3[Code])</f>
        <v>LAD</v>
      </c>
      <c r="K2099" s="89" t="s">
        <v>1421</v>
      </c>
      <c r="L2099" s="86">
        <v>1</v>
      </c>
      <c r="M2099" s="87">
        <v>4780</v>
      </c>
      <c r="N2099" s="85">
        <f>IFERROR(表格1[[#This Row],[QTY]]*表格1[[#This Row],[Unit Price]],"-")</f>
        <v>4780</v>
      </c>
      <c r="O2099" s="86">
        <v>520071</v>
      </c>
      <c r="R2099" s="86" t="str">
        <f>_xlfn.CONCAT(表格1[[#This Row],[Model]]," ",表格1[[#This Row],[inv no]])</f>
        <v>TWD-T22BU95UWH(WK)-B 520071</v>
      </c>
      <c r="S2099" s="86">
        <f>_xlfn.XLOOKUP(表格1[[#This Row],[Model]],表格3[Model-Input-Ref2],表格3[SRP PRICE])</f>
        <v>7480</v>
      </c>
      <c r="T2099" s="43">
        <f>表格1[[#This Row],[Unit Price]]/表格1[[#This Row],[SRP]]</f>
        <v>0.63903743315508021</v>
      </c>
      <c r="U2099" s="86" t="str">
        <f>_xlfn.XLOOKUP(表格1[[#This Row],[Model]],表格3[Model-Input-Ref2],表格3[TOSHIBA/HIGHEST])</f>
        <v>Toshiba SRP</v>
      </c>
      <c r="V2099" s="86">
        <v>1111</v>
      </c>
      <c r="W2099" s="86" t="str">
        <f>_xlfn.CONCAT(表格1[[#This Row],[欄4]],表格1[[#This Row],[inv no]])</f>
        <v>1111520071</v>
      </c>
    </row>
    <row r="2100" spans="1:23" hidden="1">
      <c r="A2100" s="81">
        <v>2098</v>
      </c>
      <c r="B2100" s="86" t="s">
        <v>1772</v>
      </c>
      <c r="C2100" s="86" t="s">
        <v>1773</v>
      </c>
      <c r="D2100" s="82" t="str">
        <f ca="1">OFFSET(Roster!$A$3,MATCH(表格1[[#This Row],[Location]]&amp;" "&amp;表格1[[#This Row],[Shop]]&amp;"*",Roster!$A$4:$A$72,0),DAY(表格1[[#This Row],[date]]),1,1)</f>
        <v>Michelle</v>
      </c>
      <c r="E2100" s="81">
        <f>MONTH(表格1[[#This Row],[date]])</f>
        <v>3</v>
      </c>
      <c r="F2100" s="90">
        <v>46101</v>
      </c>
      <c r="G2100" s="81" t="str">
        <f>VLOOKUP("*"&amp;表格1[[#This Row],[Input]]&amp;"*",'Ref-List'!$B:$D,2,)</f>
        <v>MWP-MM20P(WH)</v>
      </c>
      <c r="H2100" s="81" t="str">
        <f>_xlfn.XLOOKUP(表格1[[#This Row],[Model]],表格3[Model-Input-Ref2],表格3[Product Line])</f>
        <v>旋鈕式燒烤微波爐20L</v>
      </c>
      <c r="I2100" s="81" t="str">
        <f>_xlfn.XLOOKUP(表格1[[#This Row],[Model]],表格3[Model-Input-Ref2],表格3[大小電])</f>
        <v>細電</v>
      </c>
      <c r="J2100" s="81" t="str">
        <f>_xlfn.XLOOKUP(表格1[[#This Row],[Model]],表格3[Model-Input-Ref2],表格3[Code])</f>
        <v>SDA</v>
      </c>
      <c r="K2100" s="89" t="s">
        <v>1270</v>
      </c>
      <c r="L2100" s="86">
        <v>1</v>
      </c>
      <c r="M2100" s="87">
        <v>488</v>
      </c>
      <c r="N2100" s="85">
        <f>IFERROR(表格1[[#This Row],[QTY]]*表格1[[#This Row],[Unit Price]],"-")</f>
        <v>488</v>
      </c>
      <c r="O2100" s="86">
        <v>520008</v>
      </c>
      <c r="R2100" s="86" t="str">
        <f>_xlfn.CONCAT(表格1[[#This Row],[Model]]," ",表格1[[#This Row],[inv no]])</f>
        <v>MWP-MM20P(WH) 520008</v>
      </c>
      <c r="S2100" s="86">
        <f>_xlfn.XLOOKUP(表格1[[#This Row],[Model]],表格3[Model-Input-Ref2],表格3[SRP PRICE])</f>
        <v>648</v>
      </c>
      <c r="T2100" s="43">
        <f>表格1[[#This Row],[Unit Price]]/表格1[[#This Row],[SRP]]</f>
        <v>0.75308641975308643</v>
      </c>
      <c r="U2100" s="86" t="str">
        <f>_xlfn.XLOOKUP(表格1[[#This Row],[Model]],表格3[Model-Input-Ref2],表格3[TOSHIBA/HIGHEST])</f>
        <v>Toshiba SRP</v>
      </c>
      <c r="V2100" s="86">
        <v>1111</v>
      </c>
      <c r="W2100" s="86" t="str">
        <f>_xlfn.CONCAT(表格1[[#This Row],[欄4]],表格1[[#This Row],[inv no]])</f>
        <v>1111520008</v>
      </c>
    </row>
    <row r="2101" spans="1:23" hidden="1">
      <c r="A2101" s="81">
        <v>2099</v>
      </c>
      <c r="B2101" s="86" t="s">
        <v>1772</v>
      </c>
      <c r="C2101" s="86" t="s">
        <v>1773</v>
      </c>
      <c r="D2101" s="82" t="str">
        <f ca="1">OFFSET(Roster!$A$3,MATCH(表格1[[#This Row],[Location]]&amp;" "&amp;表格1[[#This Row],[Shop]]&amp;"*",Roster!$A$4:$A$72,0),DAY(表格1[[#This Row],[date]]),1,1)</f>
        <v>Michelle</v>
      </c>
      <c r="E2101" s="81">
        <f>MONTH(表格1[[#This Row],[date]])</f>
        <v>3</v>
      </c>
      <c r="F2101" s="90">
        <v>46101</v>
      </c>
      <c r="G2101" s="81" t="str">
        <f>VLOOKUP("*"&amp;表格1[[#This Row],[Input]]&amp;"*",'Ref-List'!$B:$D,2,)</f>
        <v>DW-05T2-HK</v>
      </c>
      <c r="H2101" s="81" t="str">
        <f>_xlfn.XLOOKUP(表格1[[#This Row],[Model]],表格3[Model-Input-Ref2],表格3[Product Line])</f>
        <v>座檯式洗碗碟機</v>
      </c>
      <c r="I2101" s="81" t="str">
        <f>_xlfn.XLOOKUP(表格1[[#This Row],[Model]],表格3[Model-Input-Ref2],表格3[大小電])</f>
        <v>細電</v>
      </c>
      <c r="J2101" s="81" t="str">
        <f>_xlfn.XLOOKUP(表格1[[#This Row],[Model]],表格3[Model-Input-Ref2],表格3[Code])</f>
        <v>DW</v>
      </c>
      <c r="K2101" s="89" t="s">
        <v>1475</v>
      </c>
      <c r="L2101" s="86">
        <v>1</v>
      </c>
      <c r="M2101" s="87">
        <v>3780</v>
      </c>
      <c r="N2101" s="85">
        <f>IFERROR(表格1[[#This Row],[QTY]]*表格1[[#This Row],[Unit Price]],"-")</f>
        <v>3780</v>
      </c>
      <c r="O2101" s="86">
        <v>520063</v>
      </c>
      <c r="R2101" s="86" t="str">
        <f>_xlfn.CONCAT(表格1[[#This Row],[Model]]," ",表格1[[#This Row],[inv no]])</f>
        <v>DW-05T2-HK 520063</v>
      </c>
      <c r="S2101" s="86">
        <f>_xlfn.XLOOKUP(表格1[[#This Row],[Model]],表格3[Model-Input-Ref2],表格3[SRP PRICE])</f>
        <v>4580</v>
      </c>
      <c r="T2101" s="43">
        <f>表格1[[#This Row],[Unit Price]]/表格1[[#This Row],[SRP]]</f>
        <v>0.8253275109170306</v>
      </c>
      <c r="U2101" s="86" t="str">
        <f>_xlfn.XLOOKUP(表格1[[#This Row],[Model]],表格3[Model-Input-Ref2],表格3[TOSHIBA/HIGHEST])</f>
        <v>Toshiba SRP</v>
      </c>
      <c r="V2101" s="86">
        <v>1111</v>
      </c>
      <c r="W2101" s="86" t="str">
        <f>_xlfn.CONCAT(表格1[[#This Row],[欄4]],表格1[[#This Row],[inv no]])</f>
        <v>1111520063</v>
      </c>
    </row>
    <row r="2102" spans="1:23" hidden="1">
      <c r="A2102" s="81">
        <v>2100</v>
      </c>
      <c r="B2102" s="86" t="s">
        <v>1772</v>
      </c>
      <c r="C2102" s="86" t="s">
        <v>1773</v>
      </c>
      <c r="D2102" s="82" t="str">
        <f ca="1">OFFSET(Roster!$A$3,MATCH(表格1[[#This Row],[Location]]&amp;" "&amp;表格1[[#This Row],[Shop]]&amp;"*",Roster!$A$4:$A$72,0),DAY(表格1[[#This Row],[date]]),1,1)</f>
        <v>Michelle</v>
      </c>
      <c r="E2102" s="81">
        <f>MONTH(表格1[[#This Row],[date]])</f>
        <v>3</v>
      </c>
      <c r="F2102" s="90">
        <v>46102</v>
      </c>
      <c r="G2102" s="81" t="str">
        <f>VLOOKUP("*"&amp;表格1[[#This Row],[Input]]&amp;"*",'Ref-List'!$B:$D,2,)</f>
        <v>MWP-MM20P(WH)</v>
      </c>
      <c r="H2102" s="81" t="str">
        <f>_xlfn.XLOOKUP(表格1[[#This Row],[Model]],表格3[Model-Input-Ref2],表格3[Product Line])</f>
        <v>旋鈕式燒烤微波爐20L</v>
      </c>
      <c r="I2102" s="81" t="str">
        <f>_xlfn.XLOOKUP(表格1[[#This Row],[Model]],表格3[Model-Input-Ref2],表格3[大小電])</f>
        <v>細電</v>
      </c>
      <c r="J2102" s="81" t="str">
        <f>_xlfn.XLOOKUP(表格1[[#This Row],[Model]],表格3[Model-Input-Ref2],表格3[Code])</f>
        <v>SDA</v>
      </c>
      <c r="K2102" s="89" t="s">
        <v>1270</v>
      </c>
      <c r="L2102" s="86">
        <v>1</v>
      </c>
      <c r="M2102" s="87">
        <v>488</v>
      </c>
      <c r="N2102" s="85">
        <f>IFERROR(表格1[[#This Row],[QTY]]*表格1[[#This Row],[Unit Price]],"-")</f>
        <v>488</v>
      </c>
      <c r="O2102" s="86">
        <v>520087</v>
      </c>
      <c r="R2102" s="86" t="str">
        <f>_xlfn.CONCAT(表格1[[#This Row],[Model]]," ",表格1[[#This Row],[inv no]])</f>
        <v>MWP-MM20P(WH) 520087</v>
      </c>
      <c r="S2102" s="86">
        <f>_xlfn.XLOOKUP(表格1[[#This Row],[Model]],表格3[Model-Input-Ref2],表格3[SRP PRICE])</f>
        <v>648</v>
      </c>
      <c r="T2102" s="43">
        <f>表格1[[#This Row],[Unit Price]]/表格1[[#This Row],[SRP]]</f>
        <v>0.75308641975308643</v>
      </c>
      <c r="U2102" s="86" t="str">
        <f>_xlfn.XLOOKUP(表格1[[#This Row],[Model]],表格3[Model-Input-Ref2],表格3[TOSHIBA/HIGHEST])</f>
        <v>Toshiba SRP</v>
      </c>
      <c r="V2102" s="86">
        <v>1111</v>
      </c>
      <c r="W2102" s="86" t="str">
        <f>_xlfn.CONCAT(表格1[[#This Row],[欄4]],表格1[[#This Row],[inv no]])</f>
        <v>1111520087</v>
      </c>
    </row>
    <row r="2103" spans="1:23" hidden="1">
      <c r="A2103" s="81">
        <v>2101</v>
      </c>
      <c r="B2103" s="86" t="s">
        <v>1772</v>
      </c>
      <c r="C2103" s="86" t="s">
        <v>1773</v>
      </c>
      <c r="D2103" s="82" t="str">
        <f ca="1">OFFSET(Roster!$A$3,MATCH(表格1[[#This Row],[Location]]&amp;" "&amp;表格1[[#This Row],[Shop]]&amp;"*",Roster!$A$4:$A$72,0),DAY(表格1[[#This Row],[date]]),1,1)</f>
        <v>Michelle</v>
      </c>
      <c r="E2103" s="81">
        <f>MONTH(表格1[[#This Row],[date]])</f>
        <v>3</v>
      </c>
      <c r="F2103" s="90">
        <v>46102</v>
      </c>
      <c r="G2103" s="81" t="str">
        <f>VLOOKUP("*"&amp;表格1[[#This Row],[Input]]&amp;"*",'Ref-List'!$B:$D,2,)</f>
        <v>MX2-STR25SC(WH)</v>
      </c>
      <c r="H2103" s="81" t="str">
        <f>_xlfn.XLOOKUP(表格1[[#This Row],[Model]],表格3[Model-Input-Ref2],表格3[Product Line])</f>
        <v>4合1氣炸微波蒸焗爐(25公升)</v>
      </c>
      <c r="I2103" s="81" t="str">
        <f>_xlfn.XLOOKUP(表格1[[#This Row],[Model]],表格3[Model-Input-Ref2],表格3[大小電])</f>
        <v>細電</v>
      </c>
      <c r="J2103" s="81" t="str">
        <f>_xlfn.XLOOKUP(表格1[[#This Row],[Model]],表格3[Model-Input-Ref2],表格3[Code])</f>
        <v>MCA</v>
      </c>
      <c r="K2103" s="89" t="s">
        <v>1410</v>
      </c>
      <c r="L2103" s="86">
        <v>1</v>
      </c>
      <c r="M2103" s="87">
        <v>3580</v>
      </c>
      <c r="N2103" s="85">
        <f>IFERROR(表格1[[#This Row],[QTY]]*表格1[[#This Row],[Unit Price]],"-")</f>
        <v>3580</v>
      </c>
      <c r="O2103" s="86">
        <v>520113</v>
      </c>
      <c r="R2103" s="86" t="str">
        <f>_xlfn.CONCAT(表格1[[#This Row],[Model]]," ",表格1[[#This Row],[inv no]])</f>
        <v>MX2-STR25SC(WH) 520113</v>
      </c>
      <c r="S2103" s="86">
        <f>_xlfn.XLOOKUP(表格1[[#This Row],[Model]],表格3[Model-Input-Ref2],表格3[SRP PRICE])</f>
        <v>4998</v>
      </c>
      <c r="T2103" s="43">
        <f>表格1[[#This Row],[Unit Price]]/表格1[[#This Row],[SRP]]</f>
        <v>0.71628651460584236</v>
      </c>
      <c r="U2103" s="86" t="str">
        <f>_xlfn.XLOOKUP(表格1[[#This Row],[Model]],表格3[Model-Input-Ref2],表格3[TOSHIBA/HIGHEST])</f>
        <v>Toshiba SRP</v>
      </c>
      <c r="V2103" s="86">
        <v>1111</v>
      </c>
      <c r="W2103" s="86" t="str">
        <f>_xlfn.CONCAT(表格1[[#This Row],[欄4]],表格1[[#This Row],[inv no]])</f>
        <v>1111520113</v>
      </c>
    </row>
    <row r="2104" spans="1:23" hidden="1">
      <c r="A2104" s="81">
        <v>2102</v>
      </c>
      <c r="B2104" s="86" t="s">
        <v>1772</v>
      </c>
      <c r="C2104" s="86" t="s">
        <v>1773</v>
      </c>
      <c r="D2104" s="82" t="str">
        <f ca="1">OFFSET(Roster!$A$3,MATCH(表格1[[#This Row],[Location]]&amp;" "&amp;表格1[[#This Row],[Shop]]&amp;"*",Roster!$A$4:$A$72,0),DAY(表格1[[#This Row],[date]]),1,1)</f>
        <v>Michelle</v>
      </c>
      <c r="E2104" s="81">
        <f>MONTH(表格1[[#This Row],[date]])</f>
        <v>3</v>
      </c>
      <c r="F2104" s="90">
        <v>46102</v>
      </c>
      <c r="G2104" s="81" t="str">
        <f>VLOOKUP("*"&amp;表格1[[#This Row],[Input]]&amp;"*",'Ref-List'!$B:$D,2,)</f>
        <v>KT-17DRTHK(H)</v>
      </c>
      <c r="H2104" s="81" t="str">
        <f>_xlfn.XLOOKUP(表格1[[#This Row],[Model]],表格3[Model-Input-Ref2],表格3[Product Line])</f>
        <v>無線雙層電熱水壺(1.7公升)</v>
      </c>
      <c r="I2104" s="81" t="str">
        <f>_xlfn.XLOOKUP(表格1[[#This Row],[Model]],表格3[Model-Input-Ref2],表格3[大小電])</f>
        <v>細電</v>
      </c>
      <c r="J2104" s="81" t="str">
        <f>_xlfn.XLOOKUP(表格1[[#This Row],[Model]],表格3[Model-Input-Ref2],表格3[Code])</f>
        <v>SDA</v>
      </c>
      <c r="K2104" s="89" t="s">
        <v>1271</v>
      </c>
      <c r="L2104" s="86">
        <v>1</v>
      </c>
      <c r="M2104" s="87">
        <v>388</v>
      </c>
      <c r="N2104" s="85">
        <f>IFERROR(表格1[[#This Row],[QTY]]*表格1[[#This Row],[Unit Price]],"-")</f>
        <v>388</v>
      </c>
      <c r="O2104" s="142">
        <v>520088</v>
      </c>
      <c r="R2104" s="86" t="str">
        <f>_xlfn.CONCAT(表格1[[#This Row],[Model]]," ",表格1[[#This Row],[inv no]])</f>
        <v>KT-17DRTHK(H) 520088</v>
      </c>
      <c r="S2104" s="86">
        <f>_xlfn.XLOOKUP(表格1[[#This Row],[Model]],表格3[Model-Input-Ref2],表格3[SRP PRICE])</f>
        <v>498</v>
      </c>
      <c r="T2104" s="43">
        <f>表格1[[#This Row],[Unit Price]]/表格1[[#This Row],[SRP]]</f>
        <v>0.77911646586345384</v>
      </c>
      <c r="U2104" s="86" t="str">
        <f>_xlfn.XLOOKUP(表格1[[#This Row],[Model]],表格3[Model-Input-Ref2],表格3[TOSHIBA/HIGHEST])</f>
        <v>Toshiba SRP</v>
      </c>
      <c r="V2104" s="86">
        <v>1111</v>
      </c>
      <c r="W2104" s="86" t="str">
        <f>_xlfn.CONCAT(表格1[[#This Row],[欄4]],表格1[[#This Row],[inv no]])</f>
        <v>1111520088</v>
      </c>
    </row>
    <row r="2105" spans="1:23" hidden="1">
      <c r="A2105" s="81">
        <v>2103</v>
      </c>
      <c r="B2105" s="86" t="s">
        <v>1772</v>
      </c>
      <c r="C2105" s="86" t="s">
        <v>1773</v>
      </c>
      <c r="D2105" s="82" t="str">
        <f ca="1">OFFSET(Roster!$A$3,MATCH(表格1[[#This Row],[Location]]&amp;" "&amp;表格1[[#This Row],[Shop]]&amp;"*",Roster!$A$4:$A$72,0),DAY(表格1[[#This Row],[date]]),1,1)</f>
        <v>Michelle</v>
      </c>
      <c r="E2105" s="81">
        <f>MONTH(表格1[[#This Row],[date]])</f>
        <v>3</v>
      </c>
      <c r="F2105" s="90">
        <v>46102</v>
      </c>
      <c r="G2105" s="81" t="str">
        <f>VLOOKUP("*"&amp;表格1[[#This Row],[Input]]&amp;"*",'Ref-List'!$B:$D,2,)</f>
        <v>KT-17DRTHK(H)</v>
      </c>
      <c r="H2105" s="81" t="str">
        <f>_xlfn.XLOOKUP(表格1[[#This Row],[Model]],表格3[Model-Input-Ref2],表格3[Product Line])</f>
        <v>無線雙層電熱水壺(1.7公升)</v>
      </c>
      <c r="I2105" s="81" t="str">
        <f>_xlfn.XLOOKUP(表格1[[#This Row],[Model]],表格3[Model-Input-Ref2],表格3[大小電])</f>
        <v>細電</v>
      </c>
      <c r="J2105" s="81" t="str">
        <f>_xlfn.XLOOKUP(表格1[[#This Row],[Model]],表格3[Model-Input-Ref2],表格3[Code])</f>
        <v>SDA</v>
      </c>
      <c r="K2105" s="89" t="s">
        <v>1271</v>
      </c>
      <c r="L2105" s="86">
        <v>1</v>
      </c>
      <c r="M2105" s="87">
        <v>388</v>
      </c>
      <c r="N2105" s="85">
        <f>IFERROR(表格1[[#This Row],[QTY]]*表格1[[#This Row],[Unit Price]],"-")</f>
        <v>388</v>
      </c>
      <c r="O2105" s="142">
        <v>520091</v>
      </c>
      <c r="R2105" s="86" t="str">
        <f>_xlfn.CONCAT(表格1[[#This Row],[Model]]," ",表格1[[#This Row],[inv no]])</f>
        <v>KT-17DRTHK(H) 520091</v>
      </c>
      <c r="S2105" s="86">
        <f>_xlfn.XLOOKUP(表格1[[#This Row],[Model]],表格3[Model-Input-Ref2],表格3[SRP PRICE])</f>
        <v>498</v>
      </c>
      <c r="T2105" s="43">
        <f>表格1[[#This Row],[Unit Price]]/表格1[[#This Row],[SRP]]</f>
        <v>0.77911646586345384</v>
      </c>
      <c r="U2105" s="86" t="str">
        <f>_xlfn.XLOOKUP(表格1[[#This Row],[Model]],表格3[Model-Input-Ref2],表格3[TOSHIBA/HIGHEST])</f>
        <v>Toshiba SRP</v>
      </c>
      <c r="V2105" s="86">
        <v>1111</v>
      </c>
      <c r="W2105" s="86" t="str">
        <f>_xlfn.CONCAT(表格1[[#This Row],[欄4]],表格1[[#This Row],[inv no]])</f>
        <v>1111520091</v>
      </c>
    </row>
    <row r="2106" spans="1:23" hidden="1">
      <c r="A2106" s="81">
        <v>2104</v>
      </c>
      <c r="B2106" s="86" t="s">
        <v>1772</v>
      </c>
      <c r="C2106" s="86" t="s">
        <v>1773</v>
      </c>
      <c r="D2106" s="82" t="str">
        <f ca="1">OFFSET(Roster!$A$3,MATCH(表格1[[#This Row],[Location]]&amp;" "&amp;表格1[[#This Row],[Shop]]&amp;"*",Roster!$A$4:$A$72,0),DAY(表格1[[#This Row],[date]]),1,1)</f>
        <v>Michelle</v>
      </c>
      <c r="E2106" s="81">
        <f>MONTH(表格1[[#This Row],[date]])</f>
        <v>3</v>
      </c>
      <c r="F2106" s="90">
        <v>46102</v>
      </c>
      <c r="G2106" s="81" t="str">
        <f>VLOOKUP("*"&amp;表格1[[#This Row],[Input]]&amp;"*",'Ref-List'!$B:$D,2,)</f>
        <v>RC-10ISSHK(W)</v>
      </c>
      <c r="H2106" s="81" t="str">
        <f>_xlfn.XLOOKUP(表格1[[#This Row],[Model]],表格3[Model-Input-Ref2],表格3[Product Line])</f>
        <v>磁應電飯煲(1公升)</v>
      </c>
      <c r="I2106" s="81" t="str">
        <f>_xlfn.XLOOKUP(表格1[[#This Row],[Model]],表格3[Model-Input-Ref2],表格3[大小電])</f>
        <v>細電</v>
      </c>
      <c r="J2106" s="81" t="str">
        <f>_xlfn.XLOOKUP(表格1[[#This Row],[Model]],表格3[Model-Input-Ref2],表格3[Code])</f>
        <v>SDA</v>
      </c>
      <c r="K2106" s="89" t="s">
        <v>1286</v>
      </c>
      <c r="L2106" s="86">
        <v>1</v>
      </c>
      <c r="M2106" s="87">
        <v>938</v>
      </c>
      <c r="N2106" s="85">
        <f>IFERROR(表格1[[#This Row],[QTY]]*表格1[[#This Row],[Unit Price]],"-")</f>
        <v>938</v>
      </c>
      <c r="O2106" s="86">
        <v>520106</v>
      </c>
      <c r="R2106" s="86" t="str">
        <f>_xlfn.CONCAT(表格1[[#This Row],[Model]]," ",表格1[[#This Row],[inv no]])</f>
        <v>RC-10ISSHK(W) 520106</v>
      </c>
      <c r="S2106" s="86">
        <f>_xlfn.XLOOKUP(表格1[[#This Row],[Model]],表格3[Model-Input-Ref2],表格3[SRP PRICE])</f>
        <v>1188</v>
      </c>
      <c r="T2106" s="43">
        <f>表格1[[#This Row],[Unit Price]]/表格1[[#This Row],[SRP]]</f>
        <v>0.78956228956228958</v>
      </c>
      <c r="U2106" s="86" t="str">
        <f>_xlfn.XLOOKUP(表格1[[#This Row],[Model]],表格3[Model-Input-Ref2],表格3[TOSHIBA/HIGHEST])</f>
        <v>Shops Highest Price</v>
      </c>
      <c r="V2106" s="86">
        <v>1111</v>
      </c>
      <c r="W2106" s="86" t="str">
        <f>_xlfn.CONCAT(表格1[[#This Row],[欄4]],表格1[[#This Row],[inv no]])</f>
        <v>1111520106</v>
      </c>
    </row>
    <row r="2107" spans="1:23" hidden="1">
      <c r="A2107" s="81">
        <v>2105</v>
      </c>
      <c r="B2107" s="86" t="s">
        <v>1772</v>
      </c>
      <c r="C2107" s="86" t="s">
        <v>1773</v>
      </c>
      <c r="D2107" s="82" t="str">
        <f ca="1">OFFSET(Roster!$A$3,MATCH(表格1[[#This Row],[Location]]&amp;" "&amp;表格1[[#This Row],[Shop]]&amp;"*",Roster!$A$4:$A$72,0),DAY(表格1[[#This Row],[date]]),1,1)</f>
        <v>Michelle</v>
      </c>
      <c r="E2107" s="81">
        <f>MONTH(表格1[[#This Row],[date]])</f>
        <v>3</v>
      </c>
      <c r="F2107" s="90">
        <v>46102</v>
      </c>
      <c r="G2107" s="81" t="str">
        <f>VLOOKUP("*"&amp;表格1[[#This Row],[Input]]&amp;"*",'Ref-List'!$B:$D,2,)</f>
        <v>GR-RB221WE-PMA(57)</v>
      </c>
      <c r="H2107" s="81" t="str">
        <f>_xlfn.XLOOKUP(表格1[[#This Row],[Model]],表格3[Model-Input-Ref2],表格3[Product Line])</f>
        <v>變頻下置式雙門雪櫃（163L）</v>
      </c>
      <c r="I2107" s="81" t="str">
        <f>_xlfn.XLOOKUP(表格1[[#This Row],[Model]],表格3[Model-Input-Ref2],表格3[大小電])</f>
        <v>大電</v>
      </c>
      <c r="J2107" s="81" t="str">
        <f>_xlfn.XLOOKUP(表格1[[#This Row],[Model]],表格3[Model-Input-Ref2],表格3[Code])</f>
        <v>REF</v>
      </c>
      <c r="K2107" s="89" t="s">
        <v>1386</v>
      </c>
      <c r="L2107" s="86">
        <v>1</v>
      </c>
      <c r="M2107" s="87">
        <v>1880</v>
      </c>
      <c r="N2107" s="85">
        <f>IFERROR(表格1[[#This Row],[QTY]]*表格1[[#This Row],[Unit Price]],"-")</f>
        <v>1880</v>
      </c>
      <c r="O2107" s="86">
        <v>520083</v>
      </c>
      <c r="R2107" s="86" t="str">
        <f>_xlfn.CONCAT(表格1[[#This Row],[Model]]," ",表格1[[#This Row],[inv no]])</f>
        <v>GR-RB221WE-PMA(57) 520083</v>
      </c>
      <c r="S2107" s="86">
        <f>_xlfn.XLOOKUP(表格1[[#This Row],[Model]],表格3[Model-Input-Ref2],表格3[SRP PRICE])</f>
        <v>3480</v>
      </c>
      <c r="T2107" s="43">
        <f>表格1[[#This Row],[Unit Price]]/表格1[[#This Row],[SRP]]</f>
        <v>0.54022988505747127</v>
      </c>
      <c r="U2107" s="86" t="str">
        <f>_xlfn.XLOOKUP(表格1[[#This Row],[Model]],表格3[Model-Input-Ref2],表格3[TOSHIBA/HIGHEST])</f>
        <v>Toshiba SRP</v>
      </c>
      <c r="V2107" s="86">
        <v>1111</v>
      </c>
      <c r="W2107" s="86" t="str">
        <f>_xlfn.CONCAT(表格1[[#This Row],[欄4]],表格1[[#This Row],[inv no]])</f>
        <v>1111520083</v>
      </c>
    </row>
    <row r="2108" spans="1:23" hidden="1">
      <c r="A2108" s="81">
        <v>2106</v>
      </c>
      <c r="B2108" s="86" t="s">
        <v>1772</v>
      </c>
      <c r="C2108" s="86" t="s">
        <v>1773</v>
      </c>
      <c r="D2108" s="82" t="str">
        <f ca="1">OFFSET(Roster!$A$3,MATCH(表格1[[#This Row],[Location]]&amp;" "&amp;表格1[[#This Row],[Shop]]&amp;"*",Roster!$A$4:$A$72,0),DAY(表格1[[#This Row],[date]]),1,1)</f>
        <v>Michelle</v>
      </c>
      <c r="E2108" s="81">
        <f>MONTH(表格1[[#This Row],[date]])</f>
        <v>3</v>
      </c>
      <c r="F2108" s="90">
        <v>46102</v>
      </c>
      <c r="G2108" s="81" t="str">
        <f>VLOOKUP("*"&amp;表格1[[#This Row],[Input]]&amp;"*",'Ref-List'!$B:$D,2,)</f>
        <v>GR-RB410WE-PMA(06)</v>
      </c>
      <c r="H2108" s="81" t="str">
        <f>_xlfn.XLOOKUP(表格1[[#This Row],[Model]],表格3[Model-Input-Ref2],表格3[Product Line])</f>
        <v>雙門雪櫃</v>
      </c>
      <c r="I2108" s="81" t="str">
        <f>_xlfn.XLOOKUP(表格1[[#This Row],[Model]],表格3[Model-Input-Ref2],表格3[大小電])</f>
        <v>大電</v>
      </c>
      <c r="J2108" s="81" t="str">
        <f>_xlfn.XLOOKUP(表格1[[#This Row],[Model]],表格3[Model-Input-Ref2],表格3[Code])</f>
        <v>REF</v>
      </c>
      <c r="K2108" s="89" t="s">
        <v>1775</v>
      </c>
      <c r="L2108" s="86">
        <v>1</v>
      </c>
      <c r="M2108" s="87">
        <v>3980</v>
      </c>
      <c r="N2108" s="85">
        <f>IFERROR(表格1[[#This Row],[QTY]]*表格1[[#This Row],[Unit Price]],"-")</f>
        <v>3980</v>
      </c>
      <c r="O2108" s="142">
        <v>520104</v>
      </c>
      <c r="R2108" s="86" t="str">
        <f>_xlfn.CONCAT(表格1[[#This Row],[Model]]," ",表格1[[#This Row],[inv no]])</f>
        <v>GR-RB410WE-PMA(06) 520104</v>
      </c>
      <c r="S2108" s="86">
        <f>_xlfn.XLOOKUP(表格1[[#This Row],[Model]],表格3[Model-Input-Ref2],表格3[SRP PRICE])</f>
        <v>4000</v>
      </c>
      <c r="T2108" s="43">
        <f>表格1[[#This Row],[Unit Price]]/表格1[[#This Row],[SRP]]</f>
        <v>0.995</v>
      </c>
      <c r="U2108" s="86" t="str">
        <f>_xlfn.XLOOKUP(表格1[[#This Row],[Model]],表格3[Model-Input-Ref2],表格3[TOSHIBA/HIGHEST])</f>
        <v>Shops Highest Price</v>
      </c>
      <c r="V2108" s="86">
        <v>1111</v>
      </c>
      <c r="W2108" s="86" t="str">
        <f>_xlfn.CONCAT(表格1[[#This Row],[欄4]],表格1[[#This Row],[inv no]])</f>
        <v>1111520104</v>
      </c>
    </row>
    <row r="2109" spans="1:23" hidden="1">
      <c r="A2109" s="81">
        <v>2107</v>
      </c>
      <c r="B2109" s="86" t="s">
        <v>1772</v>
      </c>
      <c r="C2109" s="86" t="s">
        <v>1773</v>
      </c>
      <c r="D2109" s="82" t="str">
        <f ca="1">OFFSET(Roster!$A$3,MATCH(表格1[[#This Row],[Location]]&amp;" "&amp;表格1[[#This Row],[Shop]]&amp;"*",Roster!$A$4:$A$72,0),DAY(表格1[[#This Row],[date]]),1,1)</f>
        <v>Michelle</v>
      </c>
      <c r="E2109" s="81">
        <f>MONTH(表格1[[#This Row],[date]])</f>
        <v>3</v>
      </c>
      <c r="F2109" s="90">
        <v>46102</v>
      </c>
      <c r="G2109" s="81" t="str">
        <f>VLOOKUP("*"&amp;表格1[[#This Row],[Input]]&amp;"*",'Ref-List'!$B:$D,2,)</f>
        <v>TWD-T21BU95UWH(WW)</v>
      </c>
      <c r="H2109" s="81" t="str">
        <f>_xlfn.XLOOKUP(表格1[[#This Row],[Model]],表格3[Model-Input-Ref2],表格3[Product Line])</f>
        <v>470MM超薄身前置式變頻洗衣乾衣機 (洗8.5公斤 乾6公斤)</v>
      </c>
      <c r="I2109" s="81" t="str">
        <f>_xlfn.XLOOKUP(表格1[[#This Row],[Model]],表格3[Model-Input-Ref2],表格3[大小電])</f>
        <v>大電</v>
      </c>
      <c r="J2109" s="81" t="str">
        <f>_xlfn.XLOOKUP(表格1[[#This Row],[Model]],表格3[Model-Input-Ref2],表格3[Code])</f>
        <v>LAD</v>
      </c>
      <c r="K2109" s="89" t="s">
        <v>1461</v>
      </c>
      <c r="L2109" s="86">
        <v>1</v>
      </c>
      <c r="M2109" s="87">
        <v>3999</v>
      </c>
      <c r="N2109" s="85">
        <f>IFERROR(表格1[[#This Row],[QTY]]*表格1[[#This Row],[Unit Price]],"-")</f>
        <v>3999</v>
      </c>
      <c r="O2109" s="142">
        <v>520095</v>
      </c>
      <c r="R2109" s="86" t="str">
        <f>_xlfn.CONCAT(表格1[[#This Row],[Model]]," ",表格1[[#This Row],[inv no]])</f>
        <v>TWD-T21BU95UWH(WW) 520095</v>
      </c>
      <c r="S2109" s="86">
        <f>_xlfn.XLOOKUP(表格1[[#This Row],[Model]],表格3[Model-Input-Ref2],表格3[SRP PRICE])</f>
        <v>7280</v>
      </c>
      <c r="T2109" s="43">
        <f>表格1[[#This Row],[Unit Price]]/表格1[[#This Row],[SRP]]</f>
        <v>0.54931318681318686</v>
      </c>
      <c r="U2109" s="86" t="str">
        <f>_xlfn.XLOOKUP(表格1[[#This Row],[Model]],表格3[Model-Input-Ref2],表格3[TOSHIBA/HIGHEST])</f>
        <v>Toshiba SRP</v>
      </c>
      <c r="V2109" s="86">
        <v>1111</v>
      </c>
      <c r="W2109" s="86" t="str">
        <f>_xlfn.CONCAT(表格1[[#This Row],[欄4]],表格1[[#This Row],[inv no]])</f>
        <v>1111520095</v>
      </c>
    </row>
    <row r="2110" spans="1:23" hidden="1">
      <c r="A2110" s="81">
        <v>2108</v>
      </c>
      <c r="B2110" s="86" t="s">
        <v>1772</v>
      </c>
      <c r="C2110" s="86" t="s">
        <v>1773</v>
      </c>
      <c r="D2110" s="82" t="str">
        <f ca="1">OFFSET(Roster!$A$3,MATCH(表格1[[#This Row],[Location]]&amp;" "&amp;表格1[[#This Row],[Shop]]&amp;"*",Roster!$A$4:$A$72,0),DAY(表格1[[#This Row],[date]]),1,1)</f>
        <v>Michelle</v>
      </c>
      <c r="E2110" s="81">
        <f>MONTH(表格1[[#This Row],[date]])</f>
        <v>3</v>
      </c>
      <c r="F2110" s="90">
        <v>46102</v>
      </c>
      <c r="G2110" s="81" t="str">
        <f>VLOOKUP("*"&amp;表格1[[#This Row],[Input]]&amp;"*",'Ref-List'!$B:$D,2,)</f>
        <v>TWD-T21BU95UWH(WW)</v>
      </c>
      <c r="H2110" s="81" t="str">
        <f>_xlfn.XLOOKUP(表格1[[#This Row],[Model]],表格3[Model-Input-Ref2],表格3[Product Line])</f>
        <v>470MM超薄身前置式變頻洗衣乾衣機 (洗8.5公斤 乾6公斤)</v>
      </c>
      <c r="I2110" s="81" t="str">
        <f>_xlfn.XLOOKUP(表格1[[#This Row],[Model]],表格3[Model-Input-Ref2],表格3[大小電])</f>
        <v>大電</v>
      </c>
      <c r="J2110" s="81" t="str">
        <f>_xlfn.XLOOKUP(表格1[[#This Row],[Model]],表格3[Model-Input-Ref2],表格3[Code])</f>
        <v>LAD</v>
      </c>
      <c r="K2110" s="89" t="s">
        <v>1461</v>
      </c>
      <c r="L2110" s="86">
        <v>1</v>
      </c>
      <c r="M2110" s="87">
        <v>3999</v>
      </c>
      <c r="N2110" s="85">
        <f>IFERROR(表格1[[#This Row],[QTY]]*表格1[[#This Row],[Unit Price]],"-")</f>
        <v>3999</v>
      </c>
      <c r="O2110" s="86">
        <v>520104</v>
      </c>
      <c r="R2110" s="86" t="str">
        <f>_xlfn.CONCAT(表格1[[#This Row],[Model]]," ",表格1[[#This Row],[inv no]])</f>
        <v>TWD-T21BU95UWH(WW) 520104</v>
      </c>
      <c r="S2110" s="86">
        <f>_xlfn.XLOOKUP(表格1[[#This Row],[Model]],表格3[Model-Input-Ref2],表格3[SRP PRICE])</f>
        <v>7280</v>
      </c>
      <c r="T2110" s="43">
        <f>表格1[[#This Row],[Unit Price]]/表格1[[#This Row],[SRP]]</f>
        <v>0.54931318681318686</v>
      </c>
      <c r="U2110" s="86" t="str">
        <f>_xlfn.XLOOKUP(表格1[[#This Row],[Model]],表格3[Model-Input-Ref2],表格3[TOSHIBA/HIGHEST])</f>
        <v>Toshiba SRP</v>
      </c>
      <c r="V2110" s="86">
        <v>1111</v>
      </c>
      <c r="W2110" s="86" t="str">
        <f>_xlfn.CONCAT(表格1[[#This Row],[欄4]],表格1[[#This Row],[inv no]])</f>
        <v>1111520104</v>
      </c>
    </row>
    <row r="2111" spans="1:23" hidden="1">
      <c r="A2111" s="81">
        <v>2109</v>
      </c>
      <c r="B2111" s="86" t="s">
        <v>1772</v>
      </c>
      <c r="C2111" s="86" t="s">
        <v>1773</v>
      </c>
      <c r="D2111" s="82" t="str">
        <f ca="1">OFFSET(Roster!$A$3,MATCH(表格1[[#This Row],[Location]]&amp;" "&amp;表格1[[#This Row],[Shop]]&amp;"*",Roster!$A$4:$A$72,0),DAY(表格1[[#This Row],[date]]),1,1)</f>
        <v>Michelle</v>
      </c>
      <c r="E2111" s="81">
        <f>MONTH(表格1[[#This Row],[date]])</f>
        <v>3</v>
      </c>
      <c r="F2111" s="90">
        <v>46103</v>
      </c>
      <c r="G2111" s="81" t="str">
        <f>VLOOKUP("*"&amp;表格1[[#This Row],[Input]]&amp;"*",'Ref-List'!$B:$D,2,)</f>
        <v>RC-10NMFIH(WT)</v>
      </c>
      <c r="H2111" s="81" t="str">
        <f>_xlfn.XLOOKUP(表格1[[#This Row],[Model]],表格3[Model-Input-Ref2],表格3[Product Line])</f>
        <v>4毫米厚釜電飯煲1L</v>
      </c>
      <c r="I2111" s="81" t="str">
        <f>_xlfn.XLOOKUP(表格1[[#This Row],[Model]],表格3[Model-Input-Ref2],表格3[大小電])</f>
        <v>細電</v>
      </c>
      <c r="J2111" s="81" t="str">
        <f>_xlfn.XLOOKUP(表格1[[#This Row],[Model]],表格3[Model-Input-Ref2],表格3[Code])</f>
        <v>SDA</v>
      </c>
      <c r="K2111" s="89" t="s">
        <v>1244</v>
      </c>
      <c r="L2111" s="86">
        <v>1</v>
      </c>
      <c r="M2111" s="87">
        <v>719</v>
      </c>
      <c r="N2111" s="85">
        <f>IFERROR(表格1[[#This Row],[QTY]]*表格1[[#This Row],[Unit Price]],"-")</f>
        <v>719</v>
      </c>
      <c r="O2111" s="86">
        <v>520149</v>
      </c>
      <c r="R2111" s="86" t="str">
        <f>_xlfn.CONCAT(表格1[[#This Row],[Model]]," ",表格1[[#This Row],[inv no]])</f>
        <v>RC-10NMFIH(WT) 520149</v>
      </c>
      <c r="S2111" s="86">
        <f>_xlfn.XLOOKUP(表格1[[#This Row],[Model]],表格3[Model-Input-Ref2],表格3[SRP PRICE])</f>
        <v>898</v>
      </c>
      <c r="T2111" s="43">
        <f>表格1[[#This Row],[Unit Price]]/表格1[[#This Row],[SRP]]</f>
        <v>0.80066815144766146</v>
      </c>
      <c r="U2111" s="86" t="str">
        <f>_xlfn.XLOOKUP(表格1[[#This Row],[Model]],表格3[Model-Input-Ref2],表格3[TOSHIBA/HIGHEST])</f>
        <v>Toshiba SRP</v>
      </c>
      <c r="V2111" s="86">
        <v>1111</v>
      </c>
      <c r="W2111" s="86" t="str">
        <f>_xlfn.CONCAT(表格1[[#This Row],[欄4]],表格1[[#This Row],[inv no]])</f>
        <v>1111520149</v>
      </c>
    </row>
    <row r="2112" spans="1:23" hidden="1">
      <c r="A2112" s="81">
        <v>2110</v>
      </c>
      <c r="B2112" s="86" t="s">
        <v>1772</v>
      </c>
      <c r="C2112" s="86" t="s">
        <v>1773</v>
      </c>
      <c r="D2112" s="82" t="str">
        <f ca="1">OFFSET(Roster!$A$3,MATCH(表格1[[#This Row],[Location]]&amp;" "&amp;表格1[[#This Row],[Shop]]&amp;"*",Roster!$A$4:$A$72,0),DAY(表格1[[#This Row],[date]]),1,1)</f>
        <v>Michelle</v>
      </c>
      <c r="E2112" s="81">
        <f>MONTH(表格1[[#This Row],[date]])</f>
        <v>3</v>
      </c>
      <c r="F2112" s="90">
        <v>46103</v>
      </c>
      <c r="G2112" s="81" t="str">
        <f>VLOOKUP("*"&amp;表格1[[#This Row],[Input]]&amp;"*",'Ref-List'!$B:$D,2,)</f>
        <v>RC-18DRNH</v>
      </c>
      <c r="H2112" s="81" t="str">
        <f>_xlfn.XLOOKUP(表格1[[#This Row],[Model]],表格3[Model-Input-Ref2],表格3[Product Line])</f>
        <v>多功能備長炭本厚釜電飯煲1.8L</v>
      </c>
      <c r="I2112" s="81" t="str">
        <f>_xlfn.XLOOKUP(表格1[[#This Row],[Model]],表格3[Model-Input-Ref2],表格3[大小電])</f>
        <v>細電</v>
      </c>
      <c r="J2112" s="81" t="str">
        <f>_xlfn.XLOOKUP(表格1[[#This Row],[Model]],表格3[Model-Input-Ref2],表格3[Code])</f>
        <v>SDA</v>
      </c>
      <c r="K2112" s="89" t="s">
        <v>1389</v>
      </c>
      <c r="L2112" s="86">
        <v>1</v>
      </c>
      <c r="M2112" s="87">
        <v>549</v>
      </c>
      <c r="N2112" s="85">
        <f>IFERROR(表格1[[#This Row],[QTY]]*表格1[[#This Row],[Unit Price]],"-")</f>
        <v>549</v>
      </c>
      <c r="O2112" s="86">
        <v>520173</v>
      </c>
      <c r="R2112" s="86" t="str">
        <f>_xlfn.CONCAT(表格1[[#This Row],[Model]]," ",表格1[[#This Row],[inv no]])</f>
        <v>RC-18DRNH 520173</v>
      </c>
      <c r="S2112" s="86">
        <f>_xlfn.XLOOKUP(表格1[[#This Row],[Model]],表格3[Model-Input-Ref2],表格3[SRP PRICE])</f>
        <v>898</v>
      </c>
      <c r="T2112" s="43">
        <f>表格1[[#This Row],[Unit Price]]/表格1[[#This Row],[SRP]]</f>
        <v>0.61135857461024501</v>
      </c>
      <c r="U2112" s="86" t="str">
        <f>_xlfn.XLOOKUP(表格1[[#This Row],[Model]],表格3[Model-Input-Ref2],表格3[TOSHIBA/HIGHEST])</f>
        <v>Toshiba SRP</v>
      </c>
      <c r="V2112" s="86">
        <v>1111</v>
      </c>
      <c r="W2112" s="86" t="str">
        <f>_xlfn.CONCAT(表格1[[#This Row],[欄4]],表格1[[#This Row],[inv no]])</f>
        <v>1111520173</v>
      </c>
    </row>
    <row r="2113" spans="1:23" hidden="1">
      <c r="A2113" s="81">
        <v>2111</v>
      </c>
      <c r="B2113" s="86" t="s">
        <v>1772</v>
      </c>
      <c r="C2113" s="86" t="s">
        <v>1773</v>
      </c>
      <c r="D2113" s="82" t="str">
        <f ca="1">OFFSET(Roster!$A$3,MATCH(表格1[[#This Row],[Location]]&amp;" "&amp;表格1[[#This Row],[Shop]]&amp;"*",Roster!$A$4:$A$72,0),DAY(表格1[[#This Row],[date]]),1,1)</f>
        <v>Michelle</v>
      </c>
      <c r="E2113" s="81">
        <f>MONTH(表格1[[#This Row],[date]])</f>
        <v>3</v>
      </c>
      <c r="F2113" s="90">
        <v>46103</v>
      </c>
      <c r="G2113" s="81" t="str">
        <f>VLOOKUP("*"&amp;表格1[[#This Row],[Input]]&amp;"*",'Ref-List'!$B:$D,2,)</f>
        <v>RC-10IRPH</v>
      </c>
      <c r="H2113" s="81" t="str">
        <f>_xlfn.XLOOKUP(表格1[[#This Row],[Model]],表格3[Model-Input-Ref2],表格3[Product Line])</f>
        <v>低醣磁應電飯煲1L</v>
      </c>
      <c r="I2113" s="81" t="str">
        <f>_xlfn.XLOOKUP(表格1[[#This Row],[Model]],表格3[Model-Input-Ref2],表格3[大小電])</f>
        <v>細電</v>
      </c>
      <c r="J2113" s="81" t="str">
        <f>_xlfn.XLOOKUP(表格1[[#This Row],[Model]],表格3[Model-Input-Ref2],表格3[Code])</f>
        <v>SDA</v>
      </c>
      <c r="K2113" s="89" t="s">
        <v>1297</v>
      </c>
      <c r="L2113" s="86">
        <v>1</v>
      </c>
      <c r="M2113" s="87">
        <v>798</v>
      </c>
      <c r="N2113" s="85">
        <f>IFERROR(表格1[[#This Row],[QTY]]*表格1[[#This Row],[Unit Price]],"-")</f>
        <v>798</v>
      </c>
      <c r="O2113" s="86">
        <v>520164</v>
      </c>
      <c r="R2113" s="86" t="str">
        <f>_xlfn.CONCAT(表格1[[#This Row],[Model]]," ",表格1[[#This Row],[inv no]])</f>
        <v>RC-10IRPH 520164</v>
      </c>
      <c r="S2113" s="86">
        <f>_xlfn.XLOOKUP(表格1[[#This Row],[Model]],表格3[Model-Input-Ref2],表格3[SRP PRICE])</f>
        <v>1388</v>
      </c>
      <c r="T2113" s="43">
        <f>表格1[[#This Row],[Unit Price]]/表格1[[#This Row],[SRP]]</f>
        <v>0.5749279538904899</v>
      </c>
      <c r="U2113" s="86" t="str">
        <f>_xlfn.XLOOKUP(表格1[[#This Row],[Model]],表格3[Model-Input-Ref2],表格3[TOSHIBA/HIGHEST])</f>
        <v>Toshiba SRP</v>
      </c>
      <c r="V2113" s="86">
        <v>1111</v>
      </c>
      <c r="W2113" s="86" t="str">
        <f>_xlfn.CONCAT(表格1[[#This Row],[欄4]],表格1[[#This Row],[inv no]])</f>
        <v>1111520164</v>
      </c>
    </row>
    <row r="2114" spans="1:23" hidden="1">
      <c r="A2114" s="81">
        <v>2112</v>
      </c>
      <c r="B2114" s="86" t="s">
        <v>1772</v>
      </c>
      <c r="C2114" s="86" t="s">
        <v>1773</v>
      </c>
      <c r="D2114" s="82" t="str">
        <f ca="1">OFFSET(Roster!$A$3,MATCH(表格1[[#This Row],[Location]]&amp;" "&amp;表格1[[#This Row],[Shop]]&amp;"*",Roster!$A$4:$A$72,0),DAY(表格1[[#This Row],[date]]),1,1)</f>
        <v>Michelle</v>
      </c>
      <c r="E2114" s="81">
        <f>MONTH(表格1[[#This Row],[date]])</f>
        <v>3</v>
      </c>
      <c r="F2114" s="90">
        <v>46103</v>
      </c>
      <c r="G2114" s="81" t="str">
        <f>VLOOKUP("*"&amp;表格1[[#This Row],[Input]]&amp;"*",'Ref-List'!$B:$D,2,)</f>
        <v>RC-18ISPH</v>
      </c>
      <c r="H2114" s="81" t="str">
        <f>_xlfn.XLOOKUP(表格1[[#This Row],[Model]],表格3[Model-Input-Ref2],表格3[Product Line])</f>
        <v>低醣磁應電飯煲1.8L</v>
      </c>
      <c r="I2114" s="81" t="str">
        <f>_xlfn.XLOOKUP(表格1[[#This Row],[Model]],表格3[Model-Input-Ref2],表格3[大小電])</f>
        <v>細電</v>
      </c>
      <c r="J2114" s="81" t="str">
        <f>_xlfn.XLOOKUP(表格1[[#This Row],[Model]],表格3[Model-Input-Ref2],表格3[Code])</f>
        <v>SDA</v>
      </c>
      <c r="K2114" s="89" t="s">
        <v>1281</v>
      </c>
      <c r="L2114" s="86">
        <v>1</v>
      </c>
      <c r="M2114" s="87">
        <v>898</v>
      </c>
      <c r="N2114" s="85">
        <f>IFERROR(表格1[[#This Row],[QTY]]*表格1[[#This Row],[Unit Price]],"-")</f>
        <v>898</v>
      </c>
      <c r="O2114" s="86">
        <v>520147</v>
      </c>
      <c r="R2114" s="86" t="str">
        <f>_xlfn.CONCAT(表格1[[#This Row],[Model]]," ",表格1[[#This Row],[inv no]])</f>
        <v>RC-18ISPH 520147</v>
      </c>
      <c r="S2114" s="86">
        <f>_xlfn.XLOOKUP(表格1[[#This Row],[Model]],表格3[Model-Input-Ref2],表格3[SRP PRICE])</f>
        <v>1436</v>
      </c>
      <c r="T2114" s="43">
        <f>表格1[[#This Row],[Unit Price]]/表格1[[#This Row],[SRP]]</f>
        <v>0.62534818941504178</v>
      </c>
      <c r="U2114" s="86" t="str">
        <f>_xlfn.XLOOKUP(表格1[[#This Row],[Model]],表格3[Model-Input-Ref2],表格3[TOSHIBA/HIGHEST])</f>
        <v>Shops Highest Price</v>
      </c>
      <c r="V2114" s="86">
        <v>1111</v>
      </c>
      <c r="W2114" s="86" t="str">
        <f>_xlfn.CONCAT(表格1[[#This Row],[欄4]],表格1[[#This Row],[inv no]])</f>
        <v>1111520147</v>
      </c>
    </row>
    <row r="2115" spans="1:23" hidden="1">
      <c r="A2115" s="81">
        <v>2113</v>
      </c>
      <c r="B2115" s="86" t="s">
        <v>1772</v>
      </c>
      <c r="C2115" s="86" t="s">
        <v>1773</v>
      </c>
      <c r="D2115" s="82" t="str">
        <f ca="1">OFFSET(Roster!$A$3,MATCH(表格1[[#This Row],[Location]]&amp;" "&amp;表格1[[#This Row],[Shop]]&amp;"*",Roster!$A$4:$A$72,0),DAY(表格1[[#This Row],[date]]),1,1)</f>
        <v>Michelle</v>
      </c>
      <c r="E2115" s="81">
        <f>MONTH(表格1[[#This Row],[date]])</f>
        <v>3</v>
      </c>
      <c r="F2115" s="90">
        <v>46103</v>
      </c>
      <c r="G2115" s="81" t="str">
        <f>VLOOKUP("*"&amp;表格1[[#This Row],[Input]]&amp;"*",'Ref-List'!$B:$D,2,)</f>
        <v>RC-DS10K(N)</v>
      </c>
      <c r="H2115" s="81" t="str">
        <f>_xlfn.XLOOKUP(表格1[[#This Row],[Model]],表格3[Model-Input-Ref2],表格3[Product Line])</f>
        <v>IH磁應電飯煲</v>
      </c>
      <c r="I2115" s="81" t="str">
        <f>_xlfn.XLOOKUP(表格1[[#This Row],[Model]],表格3[Model-Input-Ref2],表格3[大小電])</f>
        <v>細電</v>
      </c>
      <c r="J2115" s="81" t="str">
        <f>_xlfn.XLOOKUP(表格1[[#This Row],[Model]],表格3[Model-Input-Ref2],表格3[Code])</f>
        <v>SDA</v>
      </c>
      <c r="K2115" s="89" t="s">
        <v>1633</v>
      </c>
      <c r="L2115" s="86">
        <v>1</v>
      </c>
      <c r="M2115" s="87">
        <v>3150</v>
      </c>
      <c r="N2115" s="85">
        <f>IFERROR(表格1[[#This Row],[QTY]]*表格1[[#This Row],[Unit Price]],"-")</f>
        <v>3150</v>
      </c>
      <c r="O2115" s="142">
        <v>520178</v>
      </c>
      <c r="R2115" s="86" t="str">
        <f>_xlfn.CONCAT(表格1[[#This Row],[Model]]," ",表格1[[#This Row],[inv no]])</f>
        <v>RC-DS10K(N) 520178</v>
      </c>
      <c r="S2115" s="86">
        <f>_xlfn.XLOOKUP(表格1[[#This Row],[Model]],表格3[Model-Input-Ref2],表格3[SRP PRICE])</f>
        <v>4588</v>
      </c>
      <c r="T2115" s="43">
        <f>表格1[[#This Row],[Unit Price]]/表格1[[#This Row],[SRP]]</f>
        <v>0.68657367044463824</v>
      </c>
      <c r="U2115" s="86" t="str">
        <f>_xlfn.XLOOKUP(表格1[[#This Row],[Model]],表格3[Model-Input-Ref2],表格3[TOSHIBA/HIGHEST])</f>
        <v>Toshiba SRP</v>
      </c>
      <c r="V2115" s="86">
        <v>1111</v>
      </c>
      <c r="W2115" s="86" t="str">
        <f>_xlfn.CONCAT(表格1[[#This Row],[欄4]],表格1[[#This Row],[inv no]])</f>
        <v>1111520178</v>
      </c>
    </row>
    <row r="2116" spans="1:23" hidden="1">
      <c r="A2116" s="81">
        <v>2114</v>
      </c>
      <c r="B2116" s="86" t="s">
        <v>1772</v>
      </c>
      <c r="C2116" s="86" t="s">
        <v>1773</v>
      </c>
      <c r="D2116" s="82" t="str">
        <f ca="1">OFFSET(Roster!$A$3,MATCH(表格1[[#This Row],[Location]]&amp;" "&amp;表格1[[#This Row],[Shop]]&amp;"*",Roster!$A$4:$A$72,0),DAY(表格1[[#This Row],[date]]),1,1)</f>
        <v>Michelle</v>
      </c>
      <c r="E2116" s="81">
        <f>MONTH(表格1[[#This Row],[date]])</f>
        <v>3</v>
      </c>
      <c r="F2116" s="90">
        <v>46103</v>
      </c>
      <c r="G2116" s="81" t="str">
        <f>VLOOKUP("*"&amp;表格1[[#This Row],[Input]]&amp;"*",'Ref-List'!$B:$D,2,)</f>
        <v>GR-RB221WE-PMA(57)</v>
      </c>
      <c r="H2116" s="81" t="str">
        <f>_xlfn.XLOOKUP(表格1[[#This Row],[Model]],表格3[Model-Input-Ref2],表格3[Product Line])</f>
        <v>變頻下置式雙門雪櫃（163L）</v>
      </c>
      <c r="I2116" s="81" t="str">
        <f>_xlfn.XLOOKUP(表格1[[#This Row],[Model]],表格3[Model-Input-Ref2],表格3[大小電])</f>
        <v>大電</v>
      </c>
      <c r="J2116" s="81" t="str">
        <f>_xlfn.XLOOKUP(表格1[[#This Row],[Model]],表格3[Model-Input-Ref2],表格3[Code])</f>
        <v>REF</v>
      </c>
      <c r="K2116" s="89" t="s">
        <v>1386</v>
      </c>
      <c r="L2116" s="86">
        <v>1</v>
      </c>
      <c r="M2116" s="87">
        <v>1880</v>
      </c>
      <c r="N2116" s="85">
        <f>IFERROR(表格1[[#This Row],[QTY]]*表格1[[#This Row],[Unit Price]],"-")</f>
        <v>1880</v>
      </c>
      <c r="O2116" s="86">
        <v>520136</v>
      </c>
      <c r="R2116" s="86" t="str">
        <f>_xlfn.CONCAT(表格1[[#This Row],[Model]]," ",表格1[[#This Row],[inv no]])</f>
        <v>GR-RB221WE-PMA(57) 520136</v>
      </c>
      <c r="S2116" s="86">
        <f>_xlfn.XLOOKUP(表格1[[#This Row],[Model]],表格3[Model-Input-Ref2],表格3[SRP PRICE])</f>
        <v>3480</v>
      </c>
      <c r="T2116" s="43">
        <f>表格1[[#This Row],[Unit Price]]/表格1[[#This Row],[SRP]]</f>
        <v>0.54022988505747127</v>
      </c>
      <c r="U2116" s="86" t="str">
        <f>_xlfn.XLOOKUP(表格1[[#This Row],[Model]],表格3[Model-Input-Ref2],表格3[TOSHIBA/HIGHEST])</f>
        <v>Toshiba SRP</v>
      </c>
      <c r="V2116" s="86">
        <v>1111</v>
      </c>
      <c r="W2116" s="86" t="str">
        <f>_xlfn.CONCAT(表格1[[#This Row],[欄4]],表格1[[#This Row],[inv no]])</f>
        <v>1111520136</v>
      </c>
    </row>
    <row r="2117" spans="1:23" hidden="1">
      <c r="A2117" s="81">
        <v>2115</v>
      </c>
      <c r="B2117" s="86" t="s">
        <v>1772</v>
      </c>
      <c r="C2117" s="86" t="s">
        <v>1773</v>
      </c>
      <c r="D2117" s="82" t="str">
        <f ca="1">OFFSET(Roster!$A$3,MATCH(表格1[[#This Row],[Location]]&amp;" "&amp;表格1[[#This Row],[Shop]]&amp;"*",Roster!$A$4:$A$72,0),DAY(表格1[[#This Row],[date]]),1,1)</f>
        <v>Michelle</v>
      </c>
      <c r="E2117" s="81">
        <f>MONTH(表格1[[#This Row],[date]])</f>
        <v>3</v>
      </c>
      <c r="F2117" s="90">
        <v>46103</v>
      </c>
      <c r="G2117" s="81" t="str">
        <f>VLOOKUP("*"&amp;表格1[[#This Row],[Input]]&amp;"*",'Ref-List'!$B:$D,2,)</f>
        <v>GR-RB221WE-PMA(57)</v>
      </c>
      <c r="H2117" s="81" t="str">
        <f>_xlfn.XLOOKUP(表格1[[#This Row],[Model]],表格3[Model-Input-Ref2],表格3[Product Line])</f>
        <v>變頻下置式雙門雪櫃（163L）</v>
      </c>
      <c r="I2117" s="81" t="str">
        <f>_xlfn.XLOOKUP(表格1[[#This Row],[Model]],表格3[Model-Input-Ref2],表格3[大小電])</f>
        <v>大電</v>
      </c>
      <c r="J2117" s="81" t="str">
        <f>_xlfn.XLOOKUP(表格1[[#This Row],[Model]],表格3[Model-Input-Ref2],表格3[Code])</f>
        <v>REF</v>
      </c>
      <c r="K2117" s="89" t="s">
        <v>1386</v>
      </c>
      <c r="L2117" s="86">
        <v>1</v>
      </c>
      <c r="M2117" s="87">
        <v>1880</v>
      </c>
      <c r="N2117" s="85">
        <f>IFERROR(表格1[[#This Row],[QTY]]*表格1[[#This Row],[Unit Price]],"-")</f>
        <v>1880</v>
      </c>
      <c r="O2117" s="86">
        <v>520154</v>
      </c>
      <c r="R2117" s="86" t="str">
        <f>_xlfn.CONCAT(表格1[[#This Row],[Model]]," ",表格1[[#This Row],[inv no]])</f>
        <v>GR-RB221WE-PMA(57) 520154</v>
      </c>
      <c r="S2117" s="86">
        <f>_xlfn.XLOOKUP(表格1[[#This Row],[Model]],表格3[Model-Input-Ref2],表格3[SRP PRICE])</f>
        <v>3480</v>
      </c>
      <c r="T2117" s="43">
        <f>表格1[[#This Row],[Unit Price]]/表格1[[#This Row],[SRP]]</f>
        <v>0.54022988505747127</v>
      </c>
      <c r="U2117" s="86" t="str">
        <f>_xlfn.XLOOKUP(表格1[[#This Row],[Model]],表格3[Model-Input-Ref2],表格3[TOSHIBA/HIGHEST])</f>
        <v>Toshiba SRP</v>
      </c>
      <c r="V2117" s="86">
        <v>1111</v>
      </c>
      <c r="W2117" s="86" t="str">
        <f>_xlfn.CONCAT(表格1[[#This Row],[欄4]],表格1[[#This Row],[inv no]])</f>
        <v>1111520154</v>
      </c>
    </row>
    <row r="2118" spans="1:23" hidden="1">
      <c r="A2118" s="81">
        <v>2116</v>
      </c>
      <c r="B2118" s="86" t="s">
        <v>1772</v>
      </c>
      <c r="C2118" s="86" t="s">
        <v>1773</v>
      </c>
      <c r="D2118" s="82" t="str">
        <f ca="1">OFFSET(Roster!$A$3,MATCH(表格1[[#This Row],[Location]]&amp;" "&amp;表格1[[#This Row],[Shop]]&amp;"*",Roster!$A$4:$A$72,0),DAY(表格1[[#This Row],[date]]),1,1)</f>
        <v>Michelle</v>
      </c>
      <c r="E2118" s="81">
        <f>MONTH(表格1[[#This Row],[date]])</f>
        <v>3</v>
      </c>
      <c r="F2118" s="90">
        <v>46103</v>
      </c>
      <c r="G2118" s="81" t="str">
        <f>VLOOKUP("*"&amp;表格1[[#This Row],[Input]]&amp;"*",'Ref-List'!$B:$D,2,)</f>
        <v>GR-RT300WE-PMA(57)</v>
      </c>
      <c r="H2118" s="81" t="str">
        <f>_xlfn.XLOOKUP(表格1[[#This Row],[Model]],表格3[Model-Input-Ref2],表格3[Product Line])</f>
        <v>變頻式環保雙門雪櫃(233L)</v>
      </c>
      <c r="I2118" s="81" t="str">
        <f>_xlfn.XLOOKUP(表格1[[#This Row],[Model]],表格3[Model-Input-Ref2],表格3[大小電])</f>
        <v>大電</v>
      </c>
      <c r="J2118" s="81" t="str">
        <f>_xlfn.XLOOKUP(表格1[[#This Row],[Model]],表格3[Model-Input-Ref2],表格3[Code])</f>
        <v>REF</v>
      </c>
      <c r="K2118" s="89" t="s">
        <v>1462</v>
      </c>
      <c r="L2118" s="86">
        <v>1</v>
      </c>
      <c r="M2118" s="87">
        <v>2780</v>
      </c>
      <c r="N2118" s="85">
        <f>IFERROR(表格1[[#This Row],[QTY]]*表格1[[#This Row],[Unit Price]],"-")</f>
        <v>2780</v>
      </c>
      <c r="O2118" s="142">
        <v>520139</v>
      </c>
      <c r="R2118" s="86" t="str">
        <f>_xlfn.CONCAT(表格1[[#This Row],[Model]]," ",表格1[[#This Row],[inv no]])</f>
        <v>GR-RT300WE-PMA(57) 520139</v>
      </c>
      <c r="S2118" s="86">
        <f>_xlfn.XLOOKUP(表格1[[#This Row],[Model]],表格3[Model-Input-Ref2],表格3[SRP PRICE])</f>
        <v>4280</v>
      </c>
      <c r="T2118" s="43">
        <f>表格1[[#This Row],[Unit Price]]/表格1[[#This Row],[SRP]]</f>
        <v>0.64953271028037385</v>
      </c>
      <c r="U2118" s="86" t="str">
        <f>_xlfn.XLOOKUP(表格1[[#This Row],[Model]],表格3[Model-Input-Ref2],表格3[TOSHIBA/HIGHEST])</f>
        <v>Toshiba SRP</v>
      </c>
      <c r="V2118" s="86">
        <v>1111</v>
      </c>
      <c r="W2118" s="86" t="str">
        <f>_xlfn.CONCAT(表格1[[#This Row],[欄4]],表格1[[#This Row],[inv no]])</f>
        <v>1111520139</v>
      </c>
    </row>
    <row r="2119" spans="1:23" hidden="1">
      <c r="A2119" s="81">
        <v>2117</v>
      </c>
      <c r="B2119" s="86" t="s">
        <v>1772</v>
      </c>
      <c r="C2119" s="86" t="s">
        <v>1773</v>
      </c>
      <c r="D2119" s="82" t="str">
        <f ca="1">OFFSET(Roster!$A$3,MATCH(表格1[[#This Row],[Location]]&amp;" "&amp;表格1[[#This Row],[Shop]]&amp;"*",Roster!$A$4:$A$72,0),DAY(表格1[[#This Row],[date]]),1,1)</f>
        <v>Michelle</v>
      </c>
      <c r="E2119" s="81">
        <f>MONTH(表格1[[#This Row],[date]])</f>
        <v>3</v>
      </c>
      <c r="F2119" s="90">
        <v>46103</v>
      </c>
      <c r="G2119" s="81" t="str">
        <f>VLOOKUP("*"&amp;表格1[[#This Row],[Input]]&amp;"*",'Ref-List'!$B:$D,2,)</f>
        <v>GR-RM612WE-PGA(B5)</v>
      </c>
      <c r="H2119" s="81" t="str">
        <f>_xlfn.XLOOKUP(表格1[[#This Row],[Model]],表格3[Model-Input-Ref2],表格3[Product Line])</f>
        <v>變頻五門雪櫃(375L)</v>
      </c>
      <c r="I2119" s="81" t="str">
        <f>_xlfn.XLOOKUP(表格1[[#This Row],[Model]],表格3[Model-Input-Ref2],表格3[大小電])</f>
        <v>大電</v>
      </c>
      <c r="J2119" s="81" t="str">
        <f>_xlfn.XLOOKUP(表格1[[#This Row],[Model]],表格3[Model-Input-Ref2],表格3[Code])</f>
        <v>REF</v>
      </c>
      <c r="K2119" s="89" t="s">
        <v>1257</v>
      </c>
      <c r="L2119" s="86">
        <v>1</v>
      </c>
      <c r="M2119" s="87">
        <v>8880</v>
      </c>
      <c r="N2119" s="85">
        <f>IFERROR(表格1[[#This Row],[QTY]]*表格1[[#This Row],[Unit Price]],"-")</f>
        <v>8880</v>
      </c>
      <c r="O2119" s="142">
        <v>520172</v>
      </c>
      <c r="R2119" s="86" t="str">
        <f>_xlfn.CONCAT(表格1[[#This Row],[Model]]," ",表格1[[#This Row],[inv no]])</f>
        <v>GR-RM612WE-PGA(B5) 520172</v>
      </c>
      <c r="S2119" s="86">
        <f>_xlfn.XLOOKUP(表格1[[#This Row],[Model]],表格3[Model-Input-Ref2],表格3[SRP PRICE])</f>
        <v>11000</v>
      </c>
      <c r="T2119" s="43">
        <f>表格1[[#This Row],[Unit Price]]/表格1[[#This Row],[SRP]]</f>
        <v>0.80727272727272725</v>
      </c>
      <c r="U2119" s="86" t="str">
        <f>_xlfn.XLOOKUP(表格1[[#This Row],[Model]],表格3[Model-Input-Ref2],表格3[TOSHIBA/HIGHEST])</f>
        <v>Shops Highest Price</v>
      </c>
      <c r="V2119" s="86">
        <v>1111</v>
      </c>
      <c r="W2119" s="86" t="str">
        <f>_xlfn.CONCAT(表格1[[#This Row],[欄4]],表格1[[#This Row],[inv no]])</f>
        <v>1111520172</v>
      </c>
    </row>
    <row r="2120" spans="1:23" hidden="1">
      <c r="A2120" s="81">
        <v>2118</v>
      </c>
      <c r="B2120" s="86" t="s">
        <v>1772</v>
      </c>
      <c r="C2120" s="86" t="s">
        <v>1773</v>
      </c>
      <c r="D2120" s="82" t="str">
        <f ca="1">OFFSET(Roster!$A$3,MATCH(表格1[[#This Row],[Location]]&amp;" "&amp;表格1[[#This Row],[Shop]]&amp;"*",Roster!$A$4:$A$72,0),DAY(表格1[[#This Row],[date]]),1,1)</f>
        <v>Michelle</v>
      </c>
      <c r="E2120" s="81">
        <f>MONTH(表格1[[#This Row],[date]])</f>
        <v>3</v>
      </c>
      <c r="F2120" s="90">
        <v>46103</v>
      </c>
      <c r="G2120" s="81" t="str">
        <f>VLOOKUP("*"&amp;表格1[[#This Row],[Input]]&amp;"*",'Ref-List'!$B:$D,2,)</f>
        <v>TW-T21BU80UWH(MG)</v>
      </c>
      <c r="H2120" s="81" t="str">
        <f>_xlfn.XLOOKUP(表格1[[#This Row],[Model]],表格3[Model-Input-Ref2],表格3[Product Line])</f>
        <v>400MM超薄身前置式變頻洗衣機(7公斤)</v>
      </c>
      <c r="I2120" s="81" t="str">
        <f>_xlfn.XLOOKUP(表格1[[#This Row],[Model]],表格3[Model-Input-Ref2],表格3[大小電])</f>
        <v>大電</v>
      </c>
      <c r="J2120" s="81" t="str">
        <f>_xlfn.XLOOKUP(表格1[[#This Row],[Model]],表格3[Model-Input-Ref2],表格3[Code])</f>
        <v>LAD</v>
      </c>
      <c r="K2120" s="89" t="s">
        <v>1280</v>
      </c>
      <c r="L2120" s="86">
        <v>1</v>
      </c>
      <c r="M2120" s="87">
        <v>3190</v>
      </c>
      <c r="N2120" s="85">
        <f>IFERROR(表格1[[#This Row],[QTY]]*表格1[[#This Row],[Unit Price]],"-")</f>
        <v>3190</v>
      </c>
      <c r="O2120" s="86">
        <v>520143</v>
      </c>
      <c r="R2120" s="86" t="str">
        <f>_xlfn.CONCAT(表格1[[#This Row],[Model]]," ",表格1[[#This Row],[inv no]])</f>
        <v>TW-T21BU80UWH(MG) 520143</v>
      </c>
      <c r="S2120" s="86">
        <f>_xlfn.XLOOKUP(表格1[[#This Row],[Model]],表格3[Model-Input-Ref2],表格3[SRP PRICE])</f>
        <v>5180</v>
      </c>
      <c r="T2120" s="43">
        <f>表格1[[#This Row],[Unit Price]]/表格1[[#This Row],[SRP]]</f>
        <v>0.61583011583011582</v>
      </c>
      <c r="U2120" s="86" t="str">
        <f>_xlfn.XLOOKUP(表格1[[#This Row],[Model]],表格3[Model-Input-Ref2],表格3[TOSHIBA/HIGHEST])</f>
        <v>Toshiba SRP</v>
      </c>
      <c r="V2120" s="86">
        <v>1111</v>
      </c>
      <c r="W2120" s="86" t="str">
        <f>_xlfn.CONCAT(表格1[[#This Row],[欄4]],表格1[[#This Row],[inv no]])</f>
        <v>1111520143</v>
      </c>
    </row>
    <row r="2121" spans="1:23" hidden="1">
      <c r="A2121" s="81">
        <v>2119</v>
      </c>
      <c r="B2121" s="86" t="s">
        <v>1772</v>
      </c>
      <c r="C2121" s="86" t="s">
        <v>1773</v>
      </c>
      <c r="D2121" s="82" t="str">
        <f ca="1">OFFSET(Roster!$A$3,MATCH(表格1[[#This Row],[Location]]&amp;" "&amp;表格1[[#This Row],[Shop]]&amp;"*",Roster!$A$4:$A$72,0),DAY(表格1[[#This Row],[date]]),1,1)</f>
        <v>Michelle</v>
      </c>
      <c r="E2121" s="81">
        <f>MONTH(表格1[[#This Row],[date]])</f>
        <v>3</v>
      </c>
      <c r="F2121" s="90">
        <v>46103</v>
      </c>
      <c r="G2121" s="81" t="str">
        <f>VLOOKUP("*"&amp;表格1[[#This Row],[Input]]&amp;"*",'Ref-List'!$B:$D,2,)</f>
        <v>TW-T21BU80UWH(MG)</v>
      </c>
      <c r="H2121" s="81" t="str">
        <f>_xlfn.XLOOKUP(表格1[[#This Row],[Model]],表格3[Model-Input-Ref2],表格3[Product Line])</f>
        <v>400MM超薄身前置式變頻洗衣機(7公斤)</v>
      </c>
      <c r="I2121" s="81" t="str">
        <f>_xlfn.XLOOKUP(表格1[[#This Row],[Model]],表格3[Model-Input-Ref2],表格3[大小電])</f>
        <v>大電</v>
      </c>
      <c r="J2121" s="81" t="str">
        <f>_xlfn.XLOOKUP(表格1[[#This Row],[Model]],表格3[Model-Input-Ref2],表格3[Code])</f>
        <v>LAD</v>
      </c>
      <c r="K2121" s="89" t="s">
        <v>1280</v>
      </c>
      <c r="L2121" s="86">
        <v>1</v>
      </c>
      <c r="M2121" s="87">
        <v>3190</v>
      </c>
      <c r="N2121" s="85">
        <f>IFERROR(表格1[[#This Row],[QTY]]*表格1[[#This Row],[Unit Price]],"-")</f>
        <v>3190</v>
      </c>
      <c r="O2121" s="86">
        <v>520154</v>
      </c>
      <c r="R2121" s="86" t="str">
        <f>_xlfn.CONCAT(表格1[[#This Row],[Model]]," ",表格1[[#This Row],[inv no]])</f>
        <v>TW-T21BU80UWH(MG) 520154</v>
      </c>
      <c r="S2121" s="86">
        <f>_xlfn.XLOOKUP(表格1[[#This Row],[Model]],表格3[Model-Input-Ref2],表格3[SRP PRICE])</f>
        <v>5180</v>
      </c>
      <c r="T2121" s="43">
        <f>表格1[[#This Row],[Unit Price]]/表格1[[#This Row],[SRP]]</f>
        <v>0.61583011583011582</v>
      </c>
      <c r="U2121" s="86" t="str">
        <f>_xlfn.XLOOKUP(表格1[[#This Row],[Model]],表格3[Model-Input-Ref2],表格3[TOSHIBA/HIGHEST])</f>
        <v>Toshiba SRP</v>
      </c>
      <c r="V2121" s="86">
        <v>1111</v>
      </c>
      <c r="W2121" s="86" t="str">
        <f>_xlfn.CONCAT(表格1[[#This Row],[欄4]],表格1[[#This Row],[inv no]])</f>
        <v>1111520154</v>
      </c>
    </row>
    <row r="2122" spans="1:23" hidden="1">
      <c r="A2122" s="81">
        <v>2120</v>
      </c>
      <c r="B2122" s="86" t="s">
        <v>1772</v>
      </c>
      <c r="C2122" s="86" t="s">
        <v>1773</v>
      </c>
      <c r="D2122" s="82" t="str">
        <f ca="1">OFFSET(Roster!$A$3,MATCH(表格1[[#This Row],[Location]]&amp;" "&amp;表格1[[#This Row],[Shop]]&amp;"*",Roster!$A$4:$A$72,0),DAY(表格1[[#This Row],[date]]),1,1)</f>
        <v>Michelle</v>
      </c>
      <c r="E2122" s="81">
        <f>MONTH(表格1[[#This Row],[date]])</f>
        <v>3</v>
      </c>
      <c r="F2122" s="90">
        <v>46103</v>
      </c>
      <c r="G2122" s="81" t="str">
        <f>VLOOKUP("*"&amp;表格1[[#This Row],[Input]]&amp;"*",'Ref-List'!$B:$D,2,)</f>
        <v>TW-T22BU95UWH(WK)-B</v>
      </c>
      <c r="H2122" s="81" t="str">
        <f>_xlfn.XLOOKUP(表格1[[#This Row],[Model]],表格3[Model-Input-Ref2],表格3[Product Line])</f>
        <v>470MM超薄身前置式變頻洗衣機(8.5公斤, 可飛頂)</v>
      </c>
      <c r="I2122" s="81" t="str">
        <f>_xlfn.XLOOKUP(表格1[[#This Row],[Model]],表格3[Model-Input-Ref2],表格3[大小電])</f>
        <v>大電</v>
      </c>
      <c r="J2122" s="81" t="str">
        <f>_xlfn.XLOOKUP(表格1[[#This Row],[Model]],表格3[Model-Input-Ref2],表格3[Code])</f>
        <v>LAD</v>
      </c>
      <c r="K2122" s="89" t="s">
        <v>969</v>
      </c>
      <c r="L2122" s="86">
        <v>1</v>
      </c>
      <c r="M2122" s="87">
        <v>3680</v>
      </c>
      <c r="N2122" s="85">
        <f>IFERROR(表格1[[#This Row],[QTY]]*表格1[[#This Row],[Unit Price]],"-")</f>
        <v>3680</v>
      </c>
      <c r="O2122" s="86">
        <v>520133</v>
      </c>
      <c r="R2122" s="86" t="str">
        <f>_xlfn.CONCAT(表格1[[#This Row],[Model]]," ",表格1[[#This Row],[inv no]])</f>
        <v>TW-T22BU95UWH(WK)-B 520133</v>
      </c>
      <c r="S2122" s="86">
        <f>_xlfn.XLOOKUP(表格1[[#This Row],[Model]],表格3[Model-Input-Ref2],表格3[SRP PRICE])</f>
        <v>5880</v>
      </c>
      <c r="T2122" s="43">
        <f>表格1[[#This Row],[Unit Price]]/表格1[[#This Row],[SRP]]</f>
        <v>0.62585034013605445</v>
      </c>
      <c r="U2122" s="86" t="str">
        <f>_xlfn.XLOOKUP(表格1[[#This Row],[Model]],表格3[Model-Input-Ref2],表格3[TOSHIBA/HIGHEST])</f>
        <v>Toshiba SRP</v>
      </c>
      <c r="V2122" s="86">
        <v>1111</v>
      </c>
      <c r="W2122" s="86" t="str">
        <f>_xlfn.CONCAT(表格1[[#This Row],[欄4]],表格1[[#This Row],[inv no]])</f>
        <v>1111520133</v>
      </c>
    </row>
    <row r="2123" spans="1:23" hidden="1">
      <c r="A2123" s="81">
        <v>2121</v>
      </c>
      <c r="B2123" s="86" t="s">
        <v>1772</v>
      </c>
      <c r="C2123" s="86" t="s">
        <v>1773</v>
      </c>
      <c r="D2123" s="82" t="str">
        <f ca="1">OFFSET(Roster!$A$3,MATCH(表格1[[#This Row],[Location]]&amp;" "&amp;表格1[[#This Row],[Shop]]&amp;"*",Roster!$A$4:$A$72,0),DAY(表格1[[#This Row],[date]]),1,1)</f>
        <v>Michelle</v>
      </c>
      <c r="E2123" s="81">
        <f>MONTH(表格1[[#This Row],[date]])</f>
        <v>3</v>
      </c>
      <c r="F2123" s="90">
        <v>46103</v>
      </c>
      <c r="G2123" s="81" t="str">
        <f>VLOOKUP("*"&amp;表格1[[#This Row],[Input]]&amp;"*",'Ref-List'!$B:$D,2,)</f>
        <v>CAF-A400HK(H)</v>
      </c>
      <c r="H2123" s="81" t="str">
        <f>_xlfn.XLOOKUP(表格1[[#This Row],[Model]],表格3[Model-Input-Ref2],表格3[Product Line])</f>
        <v>抗菌除臭空氣清淨機</v>
      </c>
      <c r="I2123" s="81" t="str">
        <f>_xlfn.XLOOKUP(表格1[[#This Row],[Model]],表格3[Model-Input-Ref2],表格3[大小電])</f>
        <v>細電</v>
      </c>
      <c r="J2123" s="81" t="str">
        <f>_xlfn.XLOOKUP(表格1[[#This Row],[Model]],表格3[Model-Input-Ref2],表格3[Code])</f>
        <v>AP</v>
      </c>
      <c r="K2123" s="89" t="s">
        <v>1476</v>
      </c>
      <c r="L2123" s="86">
        <v>1</v>
      </c>
      <c r="M2123" s="87">
        <v>888</v>
      </c>
      <c r="N2123" s="85">
        <f>IFERROR(表格1[[#This Row],[QTY]]*表格1[[#This Row],[Unit Price]],"-")</f>
        <v>888</v>
      </c>
      <c r="O2123" s="86">
        <v>520180</v>
      </c>
      <c r="R2123" s="86" t="str">
        <f>_xlfn.CONCAT(表格1[[#This Row],[Model]]," ",表格1[[#This Row],[inv no]])</f>
        <v>CAF-A400HK(H) 520180</v>
      </c>
      <c r="S2123" s="86">
        <f>_xlfn.XLOOKUP(表格1[[#This Row],[Model]],表格3[Model-Input-Ref2],表格3[SRP PRICE])</f>
        <v>1500</v>
      </c>
      <c r="T2123" s="43">
        <f>表格1[[#This Row],[Unit Price]]/表格1[[#This Row],[SRP]]</f>
        <v>0.59199999999999997</v>
      </c>
      <c r="U2123" s="86" t="str">
        <f>_xlfn.XLOOKUP(表格1[[#This Row],[Model]],表格3[Model-Input-Ref2],表格3[TOSHIBA/HIGHEST])</f>
        <v>Shops Highest Price</v>
      </c>
      <c r="V2123" s="86">
        <v>1111</v>
      </c>
      <c r="W2123" s="86" t="str">
        <f>_xlfn.CONCAT(表格1[[#This Row],[欄4]],表格1[[#This Row],[inv no]])</f>
        <v>1111520180</v>
      </c>
    </row>
    <row r="2124" spans="1:23" hidden="1">
      <c r="A2124" s="81">
        <v>2122</v>
      </c>
      <c r="B2124" s="86" t="s">
        <v>1772</v>
      </c>
      <c r="C2124" s="86" t="s">
        <v>1773</v>
      </c>
      <c r="D2124" s="82" t="str">
        <f ca="1">OFFSET(Roster!$A$3,MATCH(表格1[[#This Row],[Location]]&amp;" "&amp;表格1[[#This Row],[Shop]]&amp;"*",Roster!$A$4:$A$72,0),DAY(表格1[[#This Row],[date]]),1,1)</f>
        <v>Michelle</v>
      </c>
      <c r="E2124" s="81">
        <f>MONTH(表格1[[#This Row],[date]])</f>
        <v>3</v>
      </c>
      <c r="F2124" s="90">
        <v>46103</v>
      </c>
      <c r="G2124" s="81" t="str">
        <f>VLOOKUP("*"&amp;表格1[[#This Row],[Input]]&amp;"*",'Ref-List'!$B:$D,2,)</f>
        <v>MS3-STQ20SC(WH)</v>
      </c>
      <c r="H2124" s="81" t="str">
        <f>_xlfn.XLOOKUP(表格1[[#This Row],[Model]],表格3[Model-Input-Ref2],表格3[Product Line])</f>
        <v>20L 智能蒸氣焗爐</v>
      </c>
      <c r="I2124" s="81" t="str">
        <f>_xlfn.XLOOKUP(表格1[[#This Row],[Model]],表格3[Model-Input-Ref2],表格3[大小電])</f>
        <v>細電</v>
      </c>
      <c r="J2124" s="81" t="str">
        <f>_xlfn.XLOOKUP(表格1[[#This Row],[Model]],表格3[Model-Input-Ref2],表格3[Code])</f>
        <v>MCA</v>
      </c>
      <c r="K2124" s="89" t="s">
        <v>1383</v>
      </c>
      <c r="L2124" s="86">
        <v>1</v>
      </c>
      <c r="M2124" s="87">
        <v>2100</v>
      </c>
      <c r="N2124" s="85">
        <f>IFERROR(表格1[[#This Row],[QTY]]*表格1[[#This Row],[Unit Price]],"-")</f>
        <v>2100</v>
      </c>
      <c r="O2124" s="142">
        <v>520162</v>
      </c>
      <c r="R2124" s="86" t="str">
        <f>_xlfn.CONCAT(表格1[[#This Row],[Model]]," ",表格1[[#This Row],[inv no]])</f>
        <v>MS3-STQ20SC(WH) 520162</v>
      </c>
      <c r="S2124" s="86">
        <f>_xlfn.XLOOKUP(表格1[[#This Row],[Model]],表格3[Model-Input-Ref2],表格3[SRP PRICE])</f>
        <v>2880</v>
      </c>
      <c r="T2124" s="43">
        <f>表格1[[#This Row],[Unit Price]]/表格1[[#This Row],[SRP]]</f>
        <v>0.72916666666666663</v>
      </c>
      <c r="U2124" s="86" t="str">
        <f>_xlfn.XLOOKUP(表格1[[#This Row],[Model]],表格3[Model-Input-Ref2],表格3[TOSHIBA/HIGHEST])</f>
        <v>Toshiba SRP</v>
      </c>
      <c r="V2124" s="86">
        <v>1111</v>
      </c>
      <c r="W2124" s="86" t="str">
        <f>_xlfn.CONCAT(表格1[[#This Row],[欄4]],表格1[[#This Row],[inv no]])</f>
        <v>1111520162</v>
      </c>
    </row>
    <row r="2125" spans="1:23" hidden="1">
      <c r="A2125" s="81">
        <v>2123</v>
      </c>
      <c r="B2125" s="86" t="s">
        <v>1772</v>
      </c>
      <c r="C2125" s="86" t="s">
        <v>1773</v>
      </c>
      <c r="D2125" s="82" t="str">
        <f ca="1">OFFSET(Roster!$A$3,MATCH(表格1[[#This Row],[Location]]&amp;" "&amp;表格1[[#This Row],[Shop]]&amp;"*",Roster!$A$4:$A$72,0),DAY(表格1[[#This Row],[date]]),1,1)</f>
        <v>Michelle</v>
      </c>
      <c r="E2125" s="81">
        <f>MONTH(表格1[[#This Row],[date]])</f>
        <v>3</v>
      </c>
      <c r="F2125" s="90">
        <v>46103</v>
      </c>
      <c r="G2125" s="81" t="str">
        <f>VLOOKUP("*"&amp;表格1[[#This Row],[Input]]&amp;"*",'Ref-List'!$B:$D,2,)</f>
        <v>MX2-STR25SC(WH)</v>
      </c>
      <c r="H2125" s="81" t="str">
        <f>_xlfn.XLOOKUP(表格1[[#This Row],[Model]],表格3[Model-Input-Ref2],表格3[Product Line])</f>
        <v>4合1氣炸微波蒸焗爐(25公升)</v>
      </c>
      <c r="I2125" s="81" t="str">
        <f>_xlfn.XLOOKUP(表格1[[#This Row],[Model]],表格3[Model-Input-Ref2],表格3[大小電])</f>
        <v>細電</v>
      </c>
      <c r="J2125" s="81" t="str">
        <f>_xlfn.XLOOKUP(表格1[[#This Row],[Model]],表格3[Model-Input-Ref2],表格3[Code])</f>
        <v>MCA</v>
      </c>
      <c r="K2125" s="89" t="s">
        <v>1410</v>
      </c>
      <c r="L2125" s="86">
        <v>1</v>
      </c>
      <c r="M2125" s="87">
        <v>3580</v>
      </c>
      <c r="N2125" s="85">
        <f>IFERROR(表格1[[#This Row],[QTY]]*表格1[[#This Row],[Unit Price]],"-")</f>
        <v>3580</v>
      </c>
      <c r="O2125" s="86">
        <v>520189</v>
      </c>
      <c r="R2125" s="86" t="str">
        <f>_xlfn.CONCAT(表格1[[#This Row],[Model]]," ",表格1[[#This Row],[inv no]])</f>
        <v>MX2-STR25SC(WH) 520189</v>
      </c>
      <c r="S2125" s="86">
        <f>_xlfn.XLOOKUP(表格1[[#This Row],[Model]],表格3[Model-Input-Ref2],表格3[SRP PRICE])</f>
        <v>4998</v>
      </c>
      <c r="T2125" s="43">
        <f>表格1[[#This Row],[Unit Price]]/表格1[[#This Row],[SRP]]</f>
        <v>0.71628651460584236</v>
      </c>
      <c r="U2125" s="86" t="str">
        <f>_xlfn.XLOOKUP(表格1[[#This Row],[Model]],表格3[Model-Input-Ref2],表格3[TOSHIBA/HIGHEST])</f>
        <v>Toshiba SRP</v>
      </c>
      <c r="V2125" s="86">
        <v>1111</v>
      </c>
      <c r="W2125" s="86" t="str">
        <f>_xlfn.CONCAT(表格1[[#This Row],[欄4]],表格1[[#This Row],[inv no]])</f>
        <v>1111520189</v>
      </c>
    </row>
    <row r="2126" spans="1:23" hidden="1">
      <c r="A2126" s="81">
        <v>2124</v>
      </c>
      <c r="B2126" s="86" t="s">
        <v>1772</v>
      </c>
      <c r="C2126" s="86" t="s">
        <v>1773</v>
      </c>
      <c r="D2126" s="82" t="str">
        <f ca="1">OFFSET(Roster!$A$3,MATCH(表格1[[#This Row],[Location]]&amp;" "&amp;表格1[[#This Row],[Shop]]&amp;"*",Roster!$A$4:$A$72,0),DAY(表格1[[#This Row],[date]]),1,1)</f>
        <v>Michelle</v>
      </c>
      <c r="E2126" s="81">
        <f>MONTH(表格1[[#This Row],[date]])</f>
        <v>3</v>
      </c>
      <c r="F2126" s="90">
        <v>46103</v>
      </c>
      <c r="G2126" s="81" t="str">
        <f>VLOOKUP("*"&amp;表格1[[#This Row],[Input]]&amp;"*",'Ref-List'!$B:$D,2,)</f>
        <v>TP-50DRUHK(W)</v>
      </c>
      <c r="H2126" s="81" t="str">
        <f>_xlfn.XLOOKUP(表格1[[#This Row],[Model]],表格3[Model-Input-Ref2],表格3[Product Line])</f>
        <v>電熱水瓶 (5公升)</v>
      </c>
      <c r="I2126" s="81" t="str">
        <f>_xlfn.XLOOKUP(表格1[[#This Row],[Model]],表格3[Model-Input-Ref2],表格3[大小電])</f>
        <v>細電</v>
      </c>
      <c r="J2126" s="81" t="str">
        <f>_xlfn.XLOOKUP(表格1[[#This Row],[Model]],表格3[Model-Input-Ref2],表格3[Code])</f>
        <v>SDA</v>
      </c>
      <c r="K2126" s="89" t="s">
        <v>1277</v>
      </c>
      <c r="L2126" s="86">
        <v>1</v>
      </c>
      <c r="M2126" s="87">
        <v>598</v>
      </c>
      <c r="N2126" s="85">
        <f>IFERROR(表格1[[#This Row],[QTY]]*表格1[[#This Row],[Unit Price]],"-")</f>
        <v>598</v>
      </c>
      <c r="O2126" s="86">
        <v>520141</v>
      </c>
      <c r="R2126" s="86" t="str">
        <f>_xlfn.CONCAT(表格1[[#This Row],[Model]]," ",表格1[[#This Row],[inv no]])</f>
        <v>TP-50DRUHK(W) 520141</v>
      </c>
      <c r="S2126" s="86">
        <f>_xlfn.XLOOKUP(表格1[[#This Row],[Model]],表格3[Model-Input-Ref2],表格3[SRP PRICE])</f>
        <v>718</v>
      </c>
      <c r="T2126" s="43">
        <f>表格1[[#This Row],[Unit Price]]/表格1[[#This Row],[SRP]]</f>
        <v>0.83286908077994426</v>
      </c>
      <c r="U2126" s="86" t="str">
        <f>_xlfn.XLOOKUP(表格1[[#This Row],[Model]],表格3[Model-Input-Ref2],表格3[TOSHIBA/HIGHEST])</f>
        <v>Toshiba SRP</v>
      </c>
      <c r="V2126" s="86">
        <v>1111</v>
      </c>
      <c r="W2126" s="86" t="str">
        <f>_xlfn.CONCAT(表格1[[#This Row],[欄4]],表格1[[#This Row],[inv no]])</f>
        <v>1111520141</v>
      </c>
    </row>
    <row r="2127" spans="1:23" hidden="1">
      <c r="A2127" s="81">
        <v>2125</v>
      </c>
      <c r="B2127" s="86" t="s">
        <v>1772</v>
      </c>
      <c r="C2127" s="86" t="s">
        <v>1773</v>
      </c>
      <c r="D2127" s="82" t="str">
        <f ca="1">OFFSET(Roster!$A$3,MATCH(表格1[[#This Row],[Location]]&amp;" "&amp;表格1[[#This Row],[Shop]]&amp;"*",Roster!$A$4:$A$72,0),DAY(表格1[[#This Row],[date]]),1,1)</f>
        <v>Michelle</v>
      </c>
      <c r="E2127" s="81">
        <f>MONTH(表格1[[#This Row],[date]])</f>
        <v>3</v>
      </c>
      <c r="F2127" s="90">
        <v>46103</v>
      </c>
      <c r="G2127" s="81" t="str">
        <f>VLOOKUP("*"&amp;表格1[[#This Row],[Input]]&amp;"*",'Ref-List'!$B:$D,2,)</f>
        <v>KT-17SHNH</v>
      </c>
      <c r="H2127" s="81" t="str">
        <f>_xlfn.XLOOKUP(表格1[[#This Row],[Model]],表格3[Model-Input-Ref2],表格3[Product Line])</f>
        <v>1.7L無線雙層電熱水壺</v>
      </c>
      <c r="I2127" s="81" t="str">
        <f>_xlfn.XLOOKUP(表格1[[#This Row],[Model]],表格3[Model-Input-Ref2],表格3[大小電])</f>
        <v>細電</v>
      </c>
      <c r="J2127" s="81" t="str">
        <f>_xlfn.XLOOKUP(表格1[[#This Row],[Model]],表格3[Model-Input-Ref2],表格3[Code])</f>
        <v>SDA</v>
      </c>
      <c r="K2127" s="89" t="s">
        <v>1283</v>
      </c>
      <c r="L2127" s="86">
        <v>1</v>
      </c>
      <c r="M2127" s="87">
        <v>198</v>
      </c>
      <c r="N2127" s="85">
        <f>IFERROR(表格1[[#This Row],[QTY]]*表格1[[#This Row],[Unit Price]],"-")</f>
        <v>198</v>
      </c>
      <c r="O2127" s="86">
        <v>520121</v>
      </c>
      <c r="R2127" s="86" t="str">
        <f>_xlfn.CONCAT(表格1[[#This Row],[Model]]," ",表格1[[#This Row],[inv no]])</f>
        <v>KT-17SHNH 520121</v>
      </c>
      <c r="S2127" s="86">
        <f>_xlfn.XLOOKUP(表格1[[#This Row],[Model]],表格3[Model-Input-Ref2],表格3[SRP PRICE])</f>
        <v>299</v>
      </c>
      <c r="T2127" s="43">
        <f>表格1[[#This Row],[Unit Price]]/表格1[[#This Row],[SRP]]</f>
        <v>0.66220735785953178</v>
      </c>
      <c r="U2127" s="86" t="str">
        <f>_xlfn.XLOOKUP(表格1[[#This Row],[Model]],表格3[Model-Input-Ref2],表格3[TOSHIBA/HIGHEST])</f>
        <v>Shops Highest Price</v>
      </c>
      <c r="V2127" s="86">
        <v>1111</v>
      </c>
      <c r="W2127" s="86" t="str">
        <f>_xlfn.CONCAT(表格1[[#This Row],[欄4]],表格1[[#This Row],[inv no]])</f>
        <v>1111520121</v>
      </c>
    </row>
    <row r="2128" spans="1:23" hidden="1">
      <c r="A2128" s="81">
        <v>2126</v>
      </c>
      <c r="B2128" s="86" t="s">
        <v>1772</v>
      </c>
      <c r="C2128" s="86" t="s">
        <v>1773</v>
      </c>
      <c r="D2128" s="82" t="str">
        <f ca="1">OFFSET(Roster!$A$3,MATCH(表格1[[#This Row],[Location]]&amp;" "&amp;表格1[[#This Row],[Shop]]&amp;"*",Roster!$A$4:$A$72,0),DAY(表格1[[#This Row],[date]]),1,1)</f>
        <v>Michelle</v>
      </c>
      <c r="E2128" s="81">
        <f>MONTH(表格1[[#This Row],[date]])</f>
        <v>3</v>
      </c>
      <c r="F2128" s="90">
        <v>46103</v>
      </c>
      <c r="G2128" s="81" t="str">
        <f>VLOOKUP("*"&amp;表格1[[#This Row],[Input]]&amp;"*",'Ref-List'!$B:$D,2,)</f>
        <v>CWF-07CRFN8-AD5</v>
      </c>
      <c r="H2128" s="81" t="str">
        <f>_xlfn.XLOOKUP(表格1[[#This Row],[Model]],表格3[Model-Input-Ref2],表格3[Product Line])</f>
        <v>Comfee 3/4匹變頻窗口式冷氣機</v>
      </c>
      <c r="I2128" s="81" t="str">
        <f>_xlfn.XLOOKUP(表格1[[#This Row],[Model]],表格3[Model-Input-Ref2],表格3[大小電])</f>
        <v>大電</v>
      </c>
      <c r="J2128" s="81" t="str">
        <f>_xlfn.XLOOKUP(表格1[[#This Row],[Model]],表格3[Model-Input-Ref2],表格3[Code])</f>
        <v>RAC</v>
      </c>
      <c r="K2128" s="89" t="s">
        <v>1771</v>
      </c>
      <c r="L2128" s="86">
        <v>1</v>
      </c>
      <c r="M2128" s="87">
        <v>2990</v>
      </c>
      <c r="N2128" s="85">
        <f>IFERROR(表格1[[#This Row],[QTY]]*表格1[[#This Row],[Unit Price]],"-")</f>
        <v>2990</v>
      </c>
      <c r="O2128" s="86">
        <v>520163</v>
      </c>
      <c r="R2128" s="86" t="str">
        <f>_xlfn.CONCAT(表格1[[#This Row],[Model]]," ",表格1[[#This Row],[inv no]])</f>
        <v>CWF-07CRFN8-AD5 520163</v>
      </c>
      <c r="S2128" s="86">
        <f>_xlfn.XLOOKUP(表格1[[#This Row],[Model]],表格3[Model-Input-Ref2],表格3[SRP PRICE])</f>
        <v>3800</v>
      </c>
      <c r="T2128" s="43">
        <f>表格1[[#This Row],[Unit Price]]/表格1[[#This Row],[SRP]]</f>
        <v>0.7868421052631579</v>
      </c>
      <c r="U2128" s="86" t="str">
        <f>_xlfn.XLOOKUP(表格1[[#This Row],[Model]],表格3[Model-Input-Ref2],表格3[TOSHIBA/HIGHEST])</f>
        <v>Shops Highest Price</v>
      </c>
      <c r="V2128" s="86">
        <v>1111</v>
      </c>
      <c r="W2128" s="86" t="str">
        <f>_xlfn.CONCAT(表格1[[#This Row],[欄4]],表格1[[#This Row],[inv no]])</f>
        <v>1111520163</v>
      </c>
    </row>
    <row r="2129" spans="1:23" hidden="1">
      <c r="A2129" s="81">
        <v>2127</v>
      </c>
      <c r="B2129" s="86" t="s">
        <v>1772</v>
      </c>
      <c r="C2129" s="86" t="s">
        <v>1773</v>
      </c>
      <c r="D2129" s="82" t="str">
        <f ca="1">OFFSET(Roster!$A$3,MATCH(表格1[[#This Row],[Location]]&amp;" "&amp;表格1[[#This Row],[Shop]]&amp;"*",Roster!$A$4:$A$72,0),DAY(表格1[[#This Row],[date]]),1,1)</f>
        <v>Michelle off</v>
      </c>
      <c r="E2129" s="81">
        <f>MONTH(表格1[[#This Row],[date]])</f>
        <v>3</v>
      </c>
      <c r="F2129" s="90">
        <v>46104</v>
      </c>
      <c r="G2129" s="81" t="str">
        <f>VLOOKUP("*"&amp;表格1[[#This Row],[Input]]&amp;"*",'Ref-List'!$B:$D,2,)</f>
        <v>GR-H913(MG)</v>
      </c>
      <c r="H2129" s="81" t="str">
        <f>_xlfn.XLOOKUP(表格1[[#This Row],[Model]],表格3[Model-Input-Ref2],表格3[Product Line])</f>
        <v>單門直冷式環保雪櫃81L</v>
      </c>
      <c r="I2129" s="81" t="str">
        <f>_xlfn.XLOOKUP(表格1[[#This Row],[Model]],表格3[Model-Input-Ref2],表格3[大小電])</f>
        <v>大電</v>
      </c>
      <c r="J2129" s="81" t="str">
        <f>_xlfn.XLOOKUP(表格1[[#This Row],[Model]],表格3[Model-Input-Ref2],表格3[Code])</f>
        <v>REF</v>
      </c>
      <c r="K2129" s="89" t="s">
        <v>1776</v>
      </c>
      <c r="L2129" s="86">
        <v>1</v>
      </c>
      <c r="M2129" s="87">
        <v>1480</v>
      </c>
      <c r="N2129" s="85">
        <f>IFERROR(表格1[[#This Row],[QTY]]*表格1[[#This Row],[Unit Price]],"-")</f>
        <v>1480</v>
      </c>
      <c r="O2129" s="86">
        <v>520217</v>
      </c>
      <c r="R2129" s="86" t="str">
        <f>_xlfn.CONCAT(表格1[[#This Row],[Model]]," ",表格1[[#This Row],[inv no]])</f>
        <v>GR-H913(MG) 520217</v>
      </c>
      <c r="S2129" s="86">
        <f>_xlfn.XLOOKUP(表格1[[#This Row],[Model]],表格3[Model-Input-Ref2],表格3[SRP PRICE])</f>
        <v>1980</v>
      </c>
      <c r="T2129" s="43">
        <f>表格1[[#This Row],[Unit Price]]/表格1[[#This Row],[SRP]]</f>
        <v>0.74747474747474751</v>
      </c>
      <c r="U2129" s="86" t="str">
        <f>_xlfn.XLOOKUP(表格1[[#This Row],[Model]],表格3[Model-Input-Ref2],表格3[TOSHIBA/HIGHEST])</f>
        <v>Toshiba SRP</v>
      </c>
      <c r="V2129" s="86">
        <v>1111</v>
      </c>
      <c r="W2129" s="86" t="str">
        <f>_xlfn.CONCAT(表格1[[#This Row],[欄4]],表格1[[#This Row],[inv no]])</f>
        <v>1111520217</v>
      </c>
    </row>
    <row r="2130" spans="1:23" hidden="1">
      <c r="A2130" s="81">
        <v>2128</v>
      </c>
      <c r="B2130" s="86" t="s">
        <v>1772</v>
      </c>
      <c r="C2130" s="86" t="s">
        <v>1773</v>
      </c>
      <c r="D2130" s="82" t="str">
        <f ca="1">OFFSET(Roster!$A$3,MATCH(表格1[[#This Row],[Location]]&amp;" "&amp;表格1[[#This Row],[Shop]]&amp;"*",Roster!$A$4:$A$72,0),DAY(表格1[[#This Row],[date]]),1,1)</f>
        <v>Michelle off</v>
      </c>
      <c r="E2130" s="81">
        <f>MONTH(表格1[[#This Row],[date]])</f>
        <v>3</v>
      </c>
      <c r="F2130" s="90">
        <v>46104</v>
      </c>
      <c r="G2130" s="81" t="str">
        <f>VLOOKUP("*"&amp;表格1[[#This Row],[Input]]&amp;"*",'Ref-List'!$B:$D,2,)</f>
        <v>GR-H913(MG)</v>
      </c>
      <c r="H2130" s="81" t="str">
        <f>_xlfn.XLOOKUP(表格1[[#This Row],[Model]],表格3[Model-Input-Ref2],表格3[Product Line])</f>
        <v>單門直冷式環保雪櫃81L</v>
      </c>
      <c r="I2130" s="81" t="str">
        <f>_xlfn.XLOOKUP(表格1[[#This Row],[Model]],表格3[Model-Input-Ref2],表格3[大小電])</f>
        <v>大電</v>
      </c>
      <c r="J2130" s="81" t="str">
        <f>_xlfn.XLOOKUP(表格1[[#This Row],[Model]],表格3[Model-Input-Ref2],表格3[Code])</f>
        <v>REF</v>
      </c>
      <c r="K2130" s="89" t="s">
        <v>1776</v>
      </c>
      <c r="L2130" s="86">
        <v>1</v>
      </c>
      <c r="M2130" s="87">
        <v>1480</v>
      </c>
      <c r="N2130" s="85">
        <f>IFERROR(表格1[[#This Row],[QTY]]*表格1[[#This Row],[Unit Price]],"-")</f>
        <v>1480</v>
      </c>
      <c r="O2130" s="142">
        <v>520223</v>
      </c>
      <c r="R2130" s="86" t="str">
        <f>_xlfn.CONCAT(表格1[[#This Row],[Model]]," ",表格1[[#This Row],[inv no]])</f>
        <v>GR-H913(MG) 520223</v>
      </c>
      <c r="S2130" s="86">
        <f>_xlfn.XLOOKUP(表格1[[#This Row],[Model]],表格3[Model-Input-Ref2],表格3[SRP PRICE])</f>
        <v>1980</v>
      </c>
      <c r="T2130" s="43">
        <f>表格1[[#This Row],[Unit Price]]/表格1[[#This Row],[SRP]]</f>
        <v>0.74747474747474751</v>
      </c>
      <c r="U2130" s="86" t="str">
        <f>_xlfn.XLOOKUP(表格1[[#This Row],[Model]],表格3[Model-Input-Ref2],表格3[TOSHIBA/HIGHEST])</f>
        <v>Toshiba SRP</v>
      </c>
      <c r="V2130" s="86">
        <v>1111</v>
      </c>
      <c r="W2130" s="86" t="str">
        <f>_xlfn.CONCAT(表格1[[#This Row],[欄4]],表格1[[#This Row],[inv no]])</f>
        <v>1111520223</v>
      </c>
    </row>
    <row r="2131" spans="1:23" hidden="1">
      <c r="A2131" s="81">
        <v>2129</v>
      </c>
      <c r="B2131" s="86" t="s">
        <v>1772</v>
      </c>
      <c r="C2131" s="86" t="s">
        <v>1773</v>
      </c>
      <c r="D2131" s="82" t="str">
        <f ca="1">OFFSET(Roster!$A$3,MATCH(表格1[[#This Row],[Location]]&amp;" "&amp;表格1[[#This Row],[Shop]]&amp;"*",Roster!$A$4:$A$72,0),DAY(表格1[[#This Row],[date]]),1,1)</f>
        <v>Michelle off</v>
      </c>
      <c r="E2131" s="81">
        <f>MONTH(表格1[[#This Row],[date]])</f>
        <v>3</v>
      </c>
      <c r="F2131" s="90">
        <v>46104</v>
      </c>
      <c r="G2131" s="81" t="str">
        <f>VLOOKUP("*"&amp;表格1[[#This Row],[Input]]&amp;"*",'Ref-List'!$B:$D,2,)</f>
        <v>GR-RM598WE-PGA(B3)</v>
      </c>
      <c r="H2131" s="81" t="str">
        <f>_xlfn.XLOOKUP(表格1[[#This Row],[Model]],表格3[Model-Input-Ref2],表格3[Product Line])</f>
        <v>變頻六門雪櫃(451L)</v>
      </c>
      <c r="I2131" s="81" t="str">
        <f>_xlfn.XLOOKUP(表格1[[#This Row],[Model]],表格3[Model-Input-Ref2],表格3[大小電])</f>
        <v>大電</v>
      </c>
      <c r="J2131" s="81" t="str">
        <f>_xlfn.XLOOKUP(表格1[[#This Row],[Model]],表格3[Model-Input-Ref2],表格3[Code])</f>
        <v>REF</v>
      </c>
      <c r="K2131" s="89" t="s">
        <v>1491</v>
      </c>
      <c r="L2131" s="86">
        <v>1</v>
      </c>
      <c r="M2131" s="87">
        <v>9600</v>
      </c>
      <c r="N2131" s="85">
        <f>IFERROR(表格1[[#This Row],[QTY]]*表格1[[#This Row],[Unit Price]],"-")</f>
        <v>9600</v>
      </c>
      <c r="O2131" s="142">
        <v>520206</v>
      </c>
      <c r="R2131" s="86" t="str">
        <f>_xlfn.CONCAT(表格1[[#This Row],[Model]]," ",表格1[[#This Row],[inv no]])</f>
        <v>GR-RM598WE-PGA(B3) 520206</v>
      </c>
      <c r="S2131" s="86">
        <f>_xlfn.XLOOKUP(表格1[[#This Row],[Model]],表格3[Model-Input-Ref2],表格3[SRP PRICE])</f>
        <v>14980</v>
      </c>
      <c r="T2131" s="43">
        <f>表格1[[#This Row],[Unit Price]]/表格1[[#This Row],[SRP]]</f>
        <v>0.64085447263017359</v>
      </c>
      <c r="U2131" s="86" t="str">
        <f>_xlfn.XLOOKUP(表格1[[#This Row],[Model]],表格3[Model-Input-Ref2],表格3[TOSHIBA/HIGHEST])</f>
        <v>Toshiba SRP</v>
      </c>
      <c r="V2131" s="86">
        <v>1111</v>
      </c>
      <c r="W2131" s="86" t="str">
        <f>_xlfn.CONCAT(表格1[[#This Row],[欄4]],表格1[[#This Row],[inv no]])</f>
        <v>1111520206</v>
      </c>
    </row>
    <row r="2132" spans="1:23" hidden="1">
      <c r="A2132" s="81">
        <v>2130</v>
      </c>
      <c r="B2132" s="86" t="s">
        <v>1772</v>
      </c>
      <c r="C2132" s="86" t="s">
        <v>1773</v>
      </c>
      <c r="D2132" s="82" t="str">
        <f ca="1">OFFSET(Roster!$A$3,MATCH(表格1[[#This Row],[Location]]&amp;" "&amp;表格1[[#This Row],[Shop]]&amp;"*",Roster!$A$4:$A$72,0),DAY(表格1[[#This Row],[date]]),1,1)</f>
        <v>Michelle off</v>
      </c>
      <c r="E2132" s="81">
        <f>MONTH(表格1[[#This Row],[date]])</f>
        <v>3</v>
      </c>
      <c r="F2132" s="90">
        <v>46105</v>
      </c>
      <c r="G2132" s="81" t="str">
        <f>VLOOKUP("*"&amp;表格1[[#This Row],[Input]]&amp;"*",'Ref-List'!$B:$D,2,)</f>
        <v>RC-10NMFIH(WT)</v>
      </c>
      <c r="H2132" s="81" t="str">
        <f>_xlfn.XLOOKUP(表格1[[#This Row],[Model]],表格3[Model-Input-Ref2],表格3[Product Line])</f>
        <v>4毫米厚釜電飯煲1L</v>
      </c>
      <c r="I2132" s="81" t="str">
        <f>_xlfn.XLOOKUP(表格1[[#This Row],[Model]],表格3[Model-Input-Ref2],表格3[大小電])</f>
        <v>細電</v>
      </c>
      <c r="J2132" s="81" t="str">
        <f>_xlfn.XLOOKUP(表格1[[#This Row],[Model]],表格3[Model-Input-Ref2],表格3[Code])</f>
        <v>SDA</v>
      </c>
      <c r="K2132" s="89" t="s">
        <v>1244</v>
      </c>
      <c r="L2132" s="86">
        <v>1</v>
      </c>
      <c r="M2132" s="87">
        <v>719</v>
      </c>
      <c r="N2132" s="85">
        <f>IFERROR(表格1[[#This Row],[QTY]]*表格1[[#This Row],[Unit Price]],"-")</f>
        <v>719</v>
      </c>
      <c r="O2132" s="142">
        <v>520246</v>
      </c>
      <c r="R2132" s="86" t="str">
        <f>_xlfn.CONCAT(表格1[[#This Row],[Model]]," ",表格1[[#This Row],[inv no]])</f>
        <v>RC-10NMFIH(WT) 520246</v>
      </c>
      <c r="S2132" s="86">
        <f>_xlfn.XLOOKUP(表格1[[#This Row],[Model]],表格3[Model-Input-Ref2],表格3[SRP PRICE])</f>
        <v>898</v>
      </c>
      <c r="T2132" s="43">
        <f>表格1[[#This Row],[Unit Price]]/表格1[[#This Row],[SRP]]</f>
        <v>0.80066815144766146</v>
      </c>
      <c r="U2132" s="86" t="str">
        <f>_xlfn.XLOOKUP(表格1[[#This Row],[Model]],表格3[Model-Input-Ref2],表格3[TOSHIBA/HIGHEST])</f>
        <v>Toshiba SRP</v>
      </c>
      <c r="V2132" s="86">
        <v>1111</v>
      </c>
      <c r="W2132" s="86" t="str">
        <f>_xlfn.CONCAT(表格1[[#This Row],[欄4]],表格1[[#This Row],[inv no]])</f>
        <v>1111520246</v>
      </c>
    </row>
    <row r="2133" spans="1:23" hidden="1">
      <c r="A2133" s="81">
        <v>2131</v>
      </c>
      <c r="B2133" s="86" t="s">
        <v>1772</v>
      </c>
      <c r="C2133" s="86" t="s">
        <v>1773</v>
      </c>
      <c r="D2133" s="82" t="str">
        <f ca="1">OFFSET(Roster!$A$3,MATCH(表格1[[#This Row],[Location]]&amp;" "&amp;表格1[[#This Row],[Shop]]&amp;"*",Roster!$A$4:$A$72,0),DAY(表格1[[#This Row],[date]]),1,1)</f>
        <v>Michelle off</v>
      </c>
      <c r="E2133" s="81">
        <f>MONTH(表格1[[#This Row],[date]])</f>
        <v>3</v>
      </c>
      <c r="F2133" s="90">
        <v>46105</v>
      </c>
      <c r="G2133" s="81" t="str">
        <f>VLOOKUP("*"&amp;表格1[[#This Row],[Input]]&amp;"*",'Ref-List'!$B:$D,2,)</f>
        <v>RC-10AMXH(W)</v>
      </c>
      <c r="H2133" s="81" t="str">
        <f>_xlfn.XLOOKUP(表格1[[#This Row],[Model]],表格3[Model-Input-Ref2],表格3[Product Line])</f>
        <v>酵活炊電飯煲(1.0公升)</v>
      </c>
      <c r="I2133" s="81" t="str">
        <f>_xlfn.XLOOKUP(表格1[[#This Row],[Model]],表格3[Model-Input-Ref2],表格3[大小電])</f>
        <v>細電</v>
      </c>
      <c r="J2133" s="81" t="str">
        <f>_xlfn.XLOOKUP(表格1[[#This Row],[Model]],表格3[Model-Input-Ref2],表格3[Code])</f>
        <v>SDA</v>
      </c>
      <c r="K2133" s="89" t="s">
        <v>1279</v>
      </c>
      <c r="L2133" s="86">
        <v>1</v>
      </c>
      <c r="M2133" s="87">
        <v>990</v>
      </c>
      <c r="N2133" s="85">
        <f>IFERROR(表格1[[#This Row],[QTY]]*表格1[[#This Row],[Unit Price]],"-")</f>
        <v>990</v>
      </c>
      <c r="O2133" s="86">
        <v>520238</v>
      </c>
      <c r="R2133" s="86" t="str">
        <f>_xlfn.CONCAT(表格1[[#This Row],[Model]]," ",表格1[[#This Row],[inv no]])</f>
        <v>RC-10AMXH(W) 520238</v>
      </c>
      <c r="S2133" s="86">
        <f>_xlfn.XLOOKUP(表格1[[#This Row],[Model]],表格3[Model-Input-Ref2],表格3[SRP PRICE])</f>
        <v>1288</v>
      </c>
      <c r="T2133" s="43">
        <f>表格1[[#This Row],[Unit Price]]/表格1[[#This Row],[SRP]]</f>
        <v>0.76863354037267084</v>
      </c>
      <c r="U2133" s="86" t="str">
        <f>_xlfn.XLOOKUP(表格1[[#This Row],[Model]],表格3[Model-Input-Ref2],表格3[TOSHIBA/HIGHEST])</f>
        <v>Toshiba SRP</v>
      </c>
      <c r="V2133" s="86">
        <v>1111</v>
      </c>
      <c r="W2133" s="86" t="str">
        <f>_xlfn.CONCAT(表格1[[#This Row],[欄4]],表格1[[#This Row],[inv no]])</f>
        <v>1111520238</v>
      </c>
    </row>
    <row r="2134" spans="1:23" hidden="1">
      <c r="A2134" s="81">
        <v>2132</v>
      </c>
      <c r="B2134" s="86" t="s">
        <v>1772</v>
      </c>
      <c r="C2134" s="86" t="s">
        <v>1773</v>
      </c>
      <c r="D2134" s="82" t="str">
        <f ca="1">OFFSET(Roster!$A$3,MATCH(表格1[[#This Row],[Location]]&amp;" "&amp;表格1[[#This Row],[Shop]]&amp;"*",Roster!$A$4:$A$72,0),DAY(表格1[[#This Row],[date]]),1,1)</f>
        <v>Michelle</v>
      </c>
      <c r="E2134" s="81">
        <f>MONTH(表格1[[#This Row],[date]])</f>
        <v>3</v>
      </c>
      <c r="F2134" s="90">
        <v>46106</v>
      </c>
      <c r="G2134" s="81" t="str">
        <f>VLOOKUP("*"&amp;表格1[[#This Row],[Input]]&amp;"*",'Ref-List'!$B:$D,2,)</f>
        <v>RC-10AMXH(W)</v>
      </c>
      <c r="H2134" s="81" t="str">
        <f>_xlfn.XLOOKUP(表格1[[#This Row],[Model]],表格3[Model-Input-Ref2],表格3[Product Line])</f>
        <v>酵活炊電飯煲(1.0公升)</v>
      </c>
      <c r="I2134" s="81" t="str">
        <f>_xlfn.XLOOKUP(表格1[[#This Row],[Model]],表格3[Model-Input-Ref2],表格3[大小電])</f>
        <v>細電</v>
      </c>
      <c r="J2134" s="81" t="str">
        <f>_xlfn.XLOOKUP(表格1[[#This Row],[Model]],表格3[Model-Input-Ref2],表格3[Code])</f>
        <v>SDA</v>
      </c>
      <c r="K2134" s="89" t="s">
        <v>1279</v>
      </c>
      <c r="L2134" s="86">
        <v>1</v>
      </c>
      <c r="M2134" s="87">
        <v>990</v>
      </c>
      <c r="N2134" s="85">
        <f>IFERROR(表格1[[#This Row],[QTY]]*表格1[[#This Row],[Unit Price]],"-")</f>
        <v>990</v>
      </c>
      <c r="O2134" s="86">
        <v>520282</v>
      </c>
      <c r="R2134" s="86" t="str">
        <f>_xlfn.CONCAT(表格1[[#This Row],[Model]]," ",表格1[[#This Row],[inv no]])</f>
        <v>RC-10AMXH(W) 520282</v>
      </c>
      <c r="S2134" s="86">
        <f>_xlfn.XLOOKUP(表格1[[#This Row],[Model]],表格3[Model-Input-Ref2],表格3[SRP PRICE])</f>
        <v>1288</v>
      </c>
      <c r="T2134" s="43">
        <f>表格1[[#This Row],[Unit Price]]/表格1[[#This Row],[SRP]]</f>
        <v>0.76863354037267084</v>
      </c>
      <c r="U2134" s="86" t="str">
        <f>_xlfn.XLOOKUP(表格1[[#This Row],[Model]],表格3[Model-Input-Ref2],表格3[TOSHIBA/HIGHEST])</f>
        <v>Toshiba SRP</v>
      </c>
      <c r="V2134" s="86">
        <v>1111</v>
      </c>
      <c r="W2134" s="86" t="str">
        <f>_xlfn.CONCAT(表格1[[#This Row],[欄4]],表格1[[#This Row],[inv no]])</f>
        <v>1111520282</v>
      </c>
    </row>
    <row r="2135" spans="1:23" hidden="1">
      <c r="A2135" s="81">
        <v>2133</v>
      </c>
      <c r="B2135" s="86" t="s">
        <v>1772</v>
      </c>
      <c r="C2135" s="86" t="s">
        <v>1773</v>
      </c>
      <c r="D2135" s="82" t="str">
        <f ca="1">OFFSET(Roster!$A$3,MATCH(表格1[[#This Row],[Location]]&amp;" "&amp;表格1[[#This Row],[Shop]]&amp;"*",Roster!$A$4:$A$72,0),DAY(表格1[[#This Row],[date]]),1,1)</f>
        <v>Michelle</v>
      </c>
      <c r="E2135" s="81">
        <f>MONTH(表格1[[#This Row],[date]])</f>
        <v>3</v>
      </c>
      <c r="F2135" s="90">
        <v>46106</v>
      </c>
      <c r="G2135" s="81" t="str">
        <f>VLOOKUP("*"&amp;表格1[[#This Row],[Input]]&amp;"*",'Ref-List'!$B:$D,2,)</f>
        <v>GR-RB221WE-PMA(57)</v>
      </c>
      <c r="H2135" s="81" t="str">
        <f>_xlfn.XLOOKUP(表格1[[#This Row],[Model]],表格3[Model-Input-Ref2],表格3[Product Line])</f>
        <v>變頻下置式雙門雪櫃（163L）</v>
      </c>
      <c r="I2135" s="81" t="str">
        <f>_xlfn.XLOOKUP(表格1[[#This Row],[Model]],表格3[Model-Input-Ref2],表格3[大小電])</f>
        <v>大電</v>
      </c>
      <c r="J2135" s="81" t="str">
        <f>_xlfn.XLOOKUP(表格1[[#This Row],[Model]],表格3[Model-Input-Ref2],表格3[Code])</f>
        <v>REF</v>
      </c>
      <c r="K2135" s="89" t="s">
        <v>1386</v>
      </c>
      <c r="L2135" s="86">
        <v>1</v>
      </c>
      <c r="M2135" s="87">
        <v>1880</v>
      </c>
      <c r="N2135" s="85">
        <f>IFERROR(表格1[[#This Row],[QTY]]*表格1[[#This Row],[Unit Price]],"-")</f>
        <v>1880</v>
      </c>
      <c r="O2135" s="142">
        <v>520305</v>
      </c>
      <c r="R2135" s="86" t="str">
        <f>_xlfn.CONCAT(表格1[[#This Row],[Model]]," ",表格1[[#This Row],[inv no]])</f>
        <v>GR-RB221WE-PMA(57) 520305</v>
      </c>
      <c r="S2135" s="86">
        <f>_xlfn.XLOOKUP(表格1[[#This Row],[Model]],表格3[Model-Input-Ref2],表格3[SRP PRICE])</f>
        <v>3480</v>
      </c>
      <c r="T2135" s="43">
        <f>表格1[[#This Row],[Unit Price]]/表格1[[#This Row],[SRP]]</f>
        <v>0.54022988505747127</v>
      </c>
      <c r="U2135" s="86" t="str">
        <f>_xlfn.XLOOKUP(表格1[[#This Row],[Model]],表格3[Model-Input-Ref2],表格3[TOSHIBA/HIGHEST])</f>
        <v>Toshiba SRP</v>
      </c>
      <c r="V2135" s="86">
        <v>1111</v>
      </c>
      <c r="W2135" s="86" t="str">
        <f>_xlfn.CONCAT(表格1[[#This Row],[欄4]],表格1[[#This Row],[inv no]])</f>
        <v>1111520305</v>
      </c>
    </row>
    <row r="2136" spans="1:23" hidden="1">
      <c r="A2136" s="81">
        <v>2134</v>
      </c>
      <c r="B2136" s="86" t="s">
        <v>1772</v>
      </c>
      <c r="C2136" s="86" t="s">
        <v>1773</v>
      </c>
      <c r="D2136" s="82" t="str">
        <f ca="1">OFFSET(Roster!$A$3,MATCH(表格1[[#This Row],[Location]]&amp;" "&amp;表格1[[#This Row],[Shop]]&amp;"*",Roster!$A$4:$A$72,0),DAY(表格1[[#This Row],[date]]),1,1)</f>
        <v>Michelle</v>
      </c>
      <c r="E2136" s="81">
        <f>MONTH(表格1[[#This Row],[date]])</f>
        <v>3</v>
      </c>
      <c r="F2136" s="90">
        <v>46106</v>
      </c>
      <c r="G2136" s="81" t="str">
        <f>VLOOKUP("*"&amp;表格1[[#This Row],[Input]]&amp;"*",'Ref-List'!$B:$D,2,)</f>
        <v>TW-T21BU95UWH(MG)</v>
      </c>
      <c r="H2136" s="81" t="str">
        <f>_xlfn.XLOOKUP(表格1[[#This Row],[Model]],表格3[Model-Input-Ref2],表格3[Product Line])</f>
        <v>470MM超薄身前置式變頻洗衣機(8.5公斤)</v>
      </c>
      <c r="I2136" s="81" t="str">
        <f>_xlfn.XLOOKUP(表格1[[#This Row],[Model]],表格3[Model-Input-Ref2],表格3[大小電])</f>
        <v>大電</v>
      </c>
      <c r="J2136" s="81" t="str">
        <f>_xlfn.XLOOKUP(表格1[[#This Row],[Model]],表格3[Model-Input-Ref2],表格3[Code])</f>
        <v>LAD</v>
      </c>
      <c r="K2136" s="89" t="s">
        <v>1492</v>
      </c>
      <c r="L2136" s="86">
        <v>1</v>
      </c>
      <c r="M2136" s="87">
        <v>3680</v>
      </c>
      <c r="N2136" s="85">
        <f>IFERROR(表格1[[#This Row],[QTY]]*表格1[[#This Row],[Unit Price]],"-")</f>
        <v>3680</v>
      </c>
      <c r="O2136" s="86">
        <v>520303</v>
      </c>
      <c r="R2136" s="86" t="str">
        <f>_xlfn.CONCAT(表格1[[#This Row],[Model]]," ",表格1[[#This Row],[inv no]])</f>
        <v>TW-T21BU95UWH(MG) 520303</v>
      </c>
      <c r="S2136" s="86">
        <f>_xlfn.XLOOKUP(表格1[[#This Row],[Model]],表格3[Model-Input-Ref2],表格3[SRP PRICE])</f>
        <v>3980</v>
      </c>
      <c r="T2136" s="43">
        <f>表格1[[#This Row],[Unit Price]]/表格1[[#This Row],[SRP]]</f>
        <v>0.92462311557788945</v>
      </c>
      <c r="U2136" s="86" t="str">
        <f>_xlfn.XLOOKUP(表格1[[#This Row],[Model]],表格3[Model-Input-Ref2],表格3[TOSHIBA/HIGHEST])</f>
        <v>Shops Highest Price</v>
      </c>
      <c r="V2136" s="86">
        <v>1111</v>
      </c>
      <c r="W2136" s="86" t="str">
        <f>_xlfn.CONCAT(表格1[[#This Row],[欄4]],表格1[[#This Row],[inv no]])</f>
        <v>1111520303</v>
      </c>
    </row>
    <row r="2137" spans="1:23" hidden="1">
      <c r="A2137" s="81">
        <v>2135</v>
      </c>
      <c r="B2137" s="86" t="s">
        <v>1772</v>
      </c>
      <c r="C2137" s="86" t="s">
        <v>1773</v>
      </c>
      <c r="D2137" s="82" t="str">
        <f ca="1">OFFSET(Roster!$A$3,MATCH(表格1[[#This Row],[Location]]&amp;" "&amp;表格1[[#This Row],[Shop]]&amp;"*",Roster!$A$4:$A$72,0),DAY(表格1[[#This Row],[date]]),1,1)</f>
        <v>Michelle</v>
      </c>
      <c r="E2137" s="81">
        <f>MONTH(表格1[[#This Row],[date]])</f>
        <v>3</v>
      </c>
      <c r="F2137" s="90">
        <v>46106</v>
      </c>
      <c r="G2137" s="81" t="str">
        <f>VLOOKUP("*"&amp;表格1[[#This Row],[Input]]&amp;"*",'Ref-List'!$B:$D,2,)</f>
        <v>PC-48DRSHK(K)</v>
      </c>
      <c r="H2137" s="81" t="str">
        <f>_xlfn.XLOOKUP(表格1[[#This Row],[Model]],表格3[Model-Input-Ref2],表格3[Product Line])</f>
        <v>電壓力鍋</v>
      </c>
      <c r="I2137" s="81" t="str">
        <f>_xlfn.XLOOKUP(表格1[[#This Row],[Model]],表格3[Model-Input-Ref2],表格3[大小電])</f>
        <v>細電</v>
      </c>
      <c r="J2137" s="81" t="str">
        <f>_xlfn.XLOOKUP(表格1[[#This Row],[Model]],表格3[Model-Input-Ref2],表格3[Code])</f>
        <v>SDA</v>
      </c>
      <c r="K2137" s="89" t="s">
        <v>1154</v>
      </c>
      <c r="L2137" s="86">
        <v>1</v>
      </c>
      <c r="M2137" s="87">
        <v>838</v>
      </c>
      <c r="N2137" s="85">
        <f>IFERROR(表格1[[#This Row],[QTY]]*表格1[[#This Row],[Unit Price]],"-")</f>
        <v>838</v>
      </c>
      <c r="O2137" s="86">
        <v>520294</v>
      </c>
      <c r="R2137" s="86" t="str">
        <f>_xlfn.CONCAT(表格1[[#This Row],[Model]]," ",表格1[[#This Row],[inv no]])</f>
        <v>PC-48DRSHK(K) 520294</v>
      </c>
      <c r="S2137" s="86">
        <f>_xlfn.XLOOKUP(表格1[[#This Row],[Model]],表格3[Model-Input-Ref2],表格3[SRP PRICE])</f>
        <v>1188</v>
      </c>
      <c r="T2137" s="43">
        <f>表格1[[#This Row],[Unit Price]]/表格1[[#This Row],[SRP]]</f>
        <v>0.70538720538720534</v>
      </c>
      <c r="U2137" s="86" t="str">
        <f>_xlfn.XLOOKUP(表格1[[#This Row],[Model]],表格3[Model-Input-Ref2],表格3[TOSHIBA/HIGHEST])</f>
        <v>Shops Highest Price</v>
      </c>
      <c r="V2137" s="86">
        <v>1111</v>
      </c>
      <c r="W2137" s="86" t="str">
        <f>_xlfn.CONCAT(表格1[[#This Row],[欄4]],表格1[[#This Row],[inv no]])</f>
        <v>1111520294</v>
      </c>
    </row>
    <row r="2138" spans="1:23" hidden="1">
      <c r="A2138" s="81">
        <v>2136</v>
      </c>
      <c r="B2138" s="86" t="s">
        <v>1772</v>
      </c>
      <c r="C2138" s="86" t="s">
        <v>1773</v>
      </c>
      <c r="D2138" s="82" t="str">
        <f ca="1">OFFSET(Roster!$A$3,MATCH(表格1[[#This Row],[Location]]&amp;" "&amp;表格1[[#This Row],[Shop]]&amp;"*",Roster!$A$4:$A$72,0),DAY(表格1[[#This Row],[date]]),1,1)</f>
        <v>Michelle</v>
      </c>
      <c r="E2138" s="81">
        <f>MONTH(表格1[[#This Row],[date]])</f>
        <v>3</v>
      </c>
      <c r="F2138" s="90">
        <v>46106</v>
      </c>
      <c r="G2138" s="81" t="str">
        <f>VLOOKUP("*"&amp;表格1[[#This Row],[Input]]&amp;"*",'Ref-List'!$B:$D,2,)</f>
        <v>TP-50DRUHK(W)</v>
      </c>
      <c r="H2138" s="81" t="str">
        <f>_xlfn.XLOOKUP(表格1[[#This Row],[Model]],表格3[Model-Input-Ref2],表格3[Product Line])</f>
        <v>電熱水瓶 (5公升)</v>
      </c>
      <c r="I2138" s="81" t="str">
        <f>_xlfn.XLOOKUP(表格1[[#This Row],[Model]],表格3[Model-Input-Ref2],表格3[大小電])</f>
        <v>細電</v>
      </c>
      <c r="J2138" s="81" t="str">
        <f>_xlfn.XLOOKUP(表格1[[#This Row],[Model]],表格3[Model-Input-Ref2],表格3[Code])</f>
        <v>SDA</v>
      </c>
      <c r="K2138" s="89" t="s">
        <v>1277</v>
      </c>
      <c r="L2138" s="86">
        <v>1</v>
      </c>
      <c r="M2138" s="87">
        <v>598</v>
      </c>
      <c r="N2138" s="85">
        <f>IFERROR(表格1[[#This Row],[QTY]]*表格1[[#This Row],[Unit Price]],"-")</f>
        <v>598</v>
      </c>
      <c r="O2138" s="142">
        <v>520285</v>
      </c>
      <c r="R2138" s="86" t="str">
        <f>_xlfn.CONCAT(表格1[[#This Row],[Model]]," ",表格1[[#This Row],[inv no]])</f>
        <v>TP-50DRUHK(W) 520285</v>
      </c>
      <c r="S2138" s="86">
        <f>_xlfn.XLOOKUP(表格1[[#This Row],[Model]],表格3[Model-Input-Ref2],表格3[SRP PRICE])</f>
        <v>718</v>
      </c>
      <c r="T2138" s="43">
        <f>表格1[[#This Row],[Unit Price]]/表格1[[#This Row],[SRP]]</f>
        <v>0.83286908077994426</v>
      </c>
      <c r="U2138" s="86" t="str">
        <f>_xlfn.XLOOKUP(表格1[[#This Row],[Model]],表格3[Model-Input-Ref2],表格3[TOSHIBA/HIGHEST])</f>
        <v>Toshiba SRP</v>
      </c>
      <c r="V2138" s="86">
        <v>1111</v>
      </c>
      <c r="W2138" s="86" t="str">
        <f>_xlfn.CONCAT(表格1[[#This Row],[欄4]],表格1[[#This Row],[inv no]])</f>
        <v>1111520285</v>
      </c>
    </row>
    <row r="2139" spans="1:23" hidden="1">
      <c r="A2139" s="81">
        <v>2137</v>
      </c>
      <c r="B2139" s="86" t="s">
        <v>1772</v>
      </c>
      <c r="C2139" s="86" t="s">
        <v>1773</v>
      </c>
      <c r="D2139" s="82" t="str">
        <f ca="1">OFFSET(Roster!$A$3,MATCH(表格1[[#This Row],[Location]]&amp;" "&amp;表格1[[#This Row],[Shop]]&amp;"*",Roster!$A$4:$A$72,0),DAY(表格1[[#This Row],[date]]),1,1)</f>
        <v>Michelle</v>
      </c>
      <c r="E2139" s="81">
        <f>MONTH(表格1[[#This Row],[date]])</f>
        <v>3</v>
      </c>
      <c r="F2139" s="90">
        <v>46107</v>
      </c>
      <c r="G2139" s="81" t="str">
        <f>VLOOKUP("*"&amp;表格1[[#This Row],[Input]]&amp;"*",'Ref-List'!$B:$D,2,)</f>
        <v>TWD-BN90GF4H(WK)</v>
      </c>
      <c r="H2139" s="81" t="str">
        <f>_xlfn.XLOOKUP(表格1[[#This Row],[Model]],表格3[Model-Input-Ref2],表格3[Product Line])</f>
        <v>超薄身前置式洗衣乾衣機 (洗8公斤 乾5公斤)</v>
      </c>
      <c r="I2139" s="81" t="str">
        <f>_xlfn.XLOOKUP(表格1[[#This Row],[Model]],表格3[Model-Input-Ref2],表格3[大小電])</f>
        <v>大電</v>
      </c>
      <c r="J2139" s="81" t="str">
        <f>_xlfn.XLOOKUP(表格1[[#This Row],[Model]],表格3[Model-Input-Ref2],表格3[Code])</f>
        <v>WM</v>
      </c>
      <c r="K2139" s="89" t="s">
        <v>1199</v>
      </c>
      <c r="L2139" s="86">
        <v>1</v>
      </c>
      <c r="M2139" s="87">
        <v>3980</v>
      </c>
      <c r="N2139" s="85">
        <f>IFERROR(表格1[[#This Row],[QTY]]*表格1[[#This Row],[Unit Price]],"-")</f>
        <v>3980</v>
      </c>
      <c r="O2139" s="86">
        <v>520321</v>
      </c>
      <c r="R2139" s="86" t="str">
        <f>_xlfn.CONCAT(表格1[[#This Row],[Model]]," ",表格1[[#This Row],[inv no]])</f>
        <v>TWD-BN90GF4H(WK) 520321</v>
      </c>
      <c r="S2139" s="86">
        <f>_xlfn.XLOOKUP(表格1[[#This Row],[Model]],表格3[Model-Input-Ref2],表格3[SRP PRICE])</f>
        <v>5980</v>
      </c>
      <c r="T2139" s="43">
        <f>表格1[[#This Row],[Unit Price]]/表格1[[#This Row],[SRP]]</f>
        <v>0.66555183946488294</v>
      </c>
      <c r="U2139" s="86" t="str">
        <f>_xlfn.XLOOKUP(表格1[[#This Row],[Model]],表格3[Model-Input-Ref2],表格3[TOSHIBA/HIGHEST])</f>
        <v>Toshiba SRP</v>
      </c>
      <c r="V2139" s="86">
        <v>1111</v>
      </c>
      <c r="W2139" s="86" t="str">
        <f>_xlfn.CONCAT(表格1[[#This Row],[欄4]],表格1[[#This Row],[inv no]])</f>
        <v>1111520321</v>
      </c>
    </row>
    <row r="2140" spans="1:23" hidden="1">
      <c r="A2140" s="81">
        <v>2138</v>
      </c>
      <c r="B2140" s="86" t="s">
        <v>1772</v>
      </c>
      <c r="C2140" s="86" t="s">
        <v>1773</v>
      </c>
      <c r="D2140" s="82" t="str">
        <f ca="1">OFFSET(Roster!$A$3,MATCH(表格1[[#This Row],[Location]]&amp;" "&amp;表格1[[#This Row],[Shop]]&amp;"*",Roster!$A$4:$A$72,0),DAY(表格1[[#This Row],[date]]),1,1)</f>
        <v>Michelle</v>
      </c>
      <c r="E2140" s="81">
        <f>MONTH(表格1[[#This Row],[date]])</f>
        <v>3</v>
      </c>
      <c r="F2140" s="90">
        <v>46107</v>
      </c>
      <c r="G2140" s="81" t="str">
        <f>VLOOKUP("*"&amp;表格1[[#This Row],[Input]]&amp;"*",'Ref-List'!$B:$D,2,)</f>
        <v>RC-5SLIH(W)</v>
      </c>
      <c r="H2140" s="81" t="str">
        <f>_xlfn.XLOOKUP(表格1[[#This Row],[Model]],表格3[Model-Input-Ref2],表格3[Product Line])</f>
        <v>微型電腦珍珠飯煲</v>
      </c>
      <c r="I2140" s="81" t="str">
        <f>_xlfn.XLOOKUP(表格1[[#This Row],[Model]],表格3[Model-Input-Ref2],表格3[大小電])</f>
        <v>細電</v>
      </c>
      <c r="J2140" s="81" t="str">
        <f>_xlfn.XLOOKUP(表格1[[#This Row],[Model]],表格3[Model-Input-Ref2],表格3[Code])</f>
        <v>SDA</v>
      </c>
      <c r="K2140" s="89" t="s">
        <v>1264</v>
      </c>
      <c r="L2140" s="86">
        <v>1</v>
      </c>
      <c r="M2140" s="87">
        <v>593</v>
      </c>
      <c r="N2140" s="85">
        <f>IFERROR(表格1[[#This Row],[QTY]]*表格1[[#This Row],[Unit Price]],"-")</f>
        <v>593</v>
      </c>
      <c r="O2140" s="86">
        <v>520314</v>
      </c>
      <c r="R2140" s="86" t="str">
        <f>_xlfn.CONCAT(表格1[[#This Row],[Model]]," ",表格1[[#This Row],[inv no]])</f>
        <v>RC-5SLIH(W) 520314</v>
      </c>
      <c r="S2140" s="86">
        <f>_xlfn.XLOOKUP(表格1[[#This Row],[Model]],表格3[Model-Input-Ref2],表格3[SRP PRICE])</f>
        <v>658</v>
      </c>
      <c r="T2140" s="43">
        <f>表格1[[#This Row],[Unit Price]]/表格1[[#This Row],[SRP]]</f>
        <v>0.90121580547112456</v>
      </c>
      <c r="U2140" s="86" t="str">
        <f>_xlfn.XLOOKUP(表格1[[#This Row],[Model]],表格3[Model-Input-Ref2],表格3[TOSHIBA/HIGHEST])</f>
        <v>Toshiba SRP</v>
      </c>
      <c r="V2140" s="86">
        <v>1111</v>
      </c>
      <c r="W2140" s="86" t="str">
        <f>_xlfn.CONCAT(表格1[[#This Row],[欄4]],表格1[[#This Row],[inv no]])</f>
        <v>1111520314</v>
      </c>
    </row>
    <row r="2141" spans="1:23" hidden="1">
      <c r="A2141" s="81">
        <v>2139</v>
      </c>
      <c r="B2141" s="86" t="s">
        <v>1772</v>
      </c>
      <c r="C2141" s="86" t="s">
        <v>1773</v>
      </c>
      <c r="D2141" s="82" t="str">
        <f ca="1">OFFSET(Roster!$A$3,MATCH(表格1[[#This Row],[Location]]&amp;" "&amp;表格1[[#This Row],[Shop]]&amp;"*",Roster!$A$4:$A$72,0),DAY(表格1[[#This Row],[date]]),1,1)</f>
        <v>Michelle</v>
      </c>
      <c r="E2141" s="81">
        <f>MONTH(表格1[[#This Row],[date]])</f>
        <v>3</v>
      </c>
      <c r="F2141" s="90">
        <v>46107</v>
      </c>
      <c r="G2141" s="81" t="str">
        <f>VLOOKUP("*"&amp;表格1[[#This Row],[Input]]&amp;"*",'Ref-List'!$B:$D,2,)</f>
        <v>RC-18NMFIH(WT)</v>
      </c>
      <c r="H2141" s="81" t="str">
        <f>_xlfn.XLOOKUP(表格1[[#This Row],[Model]],表格3[Model-Input-Ref2],表格3[Product Line])</f>
        <v>4毫米厚釜電飯煲1.8L</v>
      </c>
      <c r="I2141" s="81" t="str">
        <f>_xlfn.XLOOKUP(表格1[[#This Row],[Model]],表格3[Model-Input-Ref2],表格3[大小電])</f>
        <v>細電</v>
      </c>
      <c r="J2141" s="81" t="str">
        <f>_xlfn.XLOOKUP(表格1[[#This Row],[Model]],表格3[Model-Input-Ref2],表格3[Code])</f>
        <v>SDA</v>
      </c>
      <c r="K2141" s="89" t="s">
        <v>1267</v>
      </c>
      <c r="L2141" s="86">
        <v>1</v>
      </c>
      <c r="M2141" s="87">
        <v>799</v>
      </c>
      <c r="N2141" s="85">
        <f>IFERROR(表格1[[#This Row],[QTY]]*表格1[[#This Row],[Unit Price]],"-")</f>
        <v>799</v>
      </c>
      <c r="O2141" s="86">
        <v>520310</v>
      </c>
      <c r="R2141" s="86" t="str">
        <f>_xlfn.CONCAT(表格1[[#This Row],[Model]]," ",表格1[[#This Row],[inv no]])</f>
        <v>RC-18NMFIH(WT) 520310</v>
      </c>
      <c r="S2141" s="86">
        <f>_xlfn.XLOOKUP(表格1[[#This Row],[Model]],表格3[Model-Input-Ref2],表格3[SRP PRICE])</f>
        <v>998</v>
      </c>
      <c r="T2141" s="43">
        <f>表格1[[#This Row],[Unit Price]]/表格1[[#This Row],[SRP]]</f>
        <v>0.80060120240480959</v>
      </c>
      <c r="U2141" s="86" t="str">
        <f>_xlfn.XLOOKUP(表格1[[#This Row],[Model]],表格3[Model-Input-Ref2],表格3[TOSHIBA/HIGHEST])</f>
        <v>Toshiba SRP</v>
      </c>
      <c r="V2141" s="86">
        <v>1111</v>
      </c>
      <c r="W2141" s="86" t="str">
        <f>_xlfn.CONCAT(表格1[[#This Row],[欄4]],表格1[[#This Row],[inv no]])</f>
        <v>1111520310</v>
      </c>
    </row>
    <row r="2142" spans="1:23" hidden="1">
      <c r="A2142" s="81">
        <v>2140</v>
      </c>
      <c r="B2142" s="86" t="s">
        <v>1772</v>
      </c>
      <c r="C2142" s="86" t="s">
        <v>1773</v>
      </c>
      <c r="D2142" s="82" t="str">
        <f ca="1">OFFSET(Roster!$A$3,MATCH(表格1[[#This Row],[Location]]&amp;" "&amp;表格1[[#This Row],[Shop]]&amp;"*",Roster!$A$4:$A$72,0),DAY(表格1[[#This Row],[date]]),1,1)</f>
        <v>Michelle</v>
      </c>
      <c r="E2142" s="81">
        <f>MONTH(表格1[[#This Row],[date]])</f>
        <v>3</v>
      </c>
      <c r="F2142" s="90">
        <v>46107</v>
      </c>
      <c r="G2142" s="81" t="str">
        <f>VLOOKUP("*"&amp;表格1[[#This Row],[Input]]&amp;"*",'Ref-List'!$B:$D,2,)</f>
        <v>RC-18DRNH</v>
      </c>
      <c r="H2142" s="81" t="str">
        <f>_xlfn.XLOOKUP(表格1[[#This Row],[Model]],表格3[Model-Input-Ref2],表格3[Product Line])</f>
        <v>多功能備長炭本厚釜電飯煲1.8L</v>
      </c>
      <c r="I2142" s="81" t="str">
        <f>_xlfn.XLOOKUP(表格1[[#This Row],[Model]],表格3[Model-Input-Ref2],表格3[大小電])</f>
        <v>細電</v>
      </c>
      <c r="J2142" s="81" t="str">
        <f>_xlfn.XLOOKUP(表格1[[#This Row],[Model]],表格3[Model-Input-Ref2],表格3[Code])</f>
        <v>SDA</v>
      </c>
      <c r="K2142" s="89" t="s">
        <v>1389</v>
      </c>
      <c r="L2142" s="86">
        <v>1</v>
      </c>
      <c r="M2142" s="87">
        <v>619</v>
      </c>
      <c r="N2142" s="85">
        <f>IFERROR(表格1[[#This Row],[QTY]]*表格1[[#This Row],[Unit Price]],"-")</f>
        <v>619</v>
      </c>
      <c r="O2142" s="86">
        <v>520334</v>
      </c>
      <c r="R2142" s="86" t="str">
        <f>_xlfn.CONCAT(表格1[[#This Row],[Model]]," ",表格1[[#This Row],[inv no]])</f>
        <v>RC-18DRNH 520334</v>
      </c>
      <c r="S2142" s="86">
        <f>_xlfn.XLOOKUP(表格1[[#This Row],[Model]],表格3[Model-Input-Ref2],表格3[SRP PRICE])</f>
        <v>898</v>
      </c>
      <c r="T2142" s="43">
        <f>表格1[[#This Row],[Unit Price]]/表格1[[#This Row],[SRP]]</f>
        <v>0.68930957683741645</v>
      </c>
      <c r="U2142" s="86" t="str">
        <f>_xlfn.XLOOKUP(表格1[[#This Row],[Model]],表格3[Model-Input-Ref2],表格3[TOSHIBA/HIGHEST])</f>
        <v>Toshiba SRP</v>
      </c>
      <c r="V2142" s="86">
        <v>1111</v>
      </c>
      <c r="W2142" s="86" t="str">
        <f>_xlfn.CONCAT(表格1[[#This Row],[欄4]],表格1[[#This Row],[inv no]])</f>
        <v>1111520334</v>
      </c>
    </row>
    <row r="2143" spans="1:23" hidden="1">
      <c r="A2143" s="81">
        <v>2141</v>
      </c>
      <c r="B2143" s="86" t="s">
        <v>1772</v>
      </c>
      <c r="C2143" s="86" t="s">
        <v>1773</v>
      </c>
      <c r="D2143" s="82" t="str">
        <f ca="1">OFFSET(Roster!$A$3,MATCH(表格1[[#This Row],[Location]]&amp;" "&amp;表格1[[#This Row],[Shop]]&amp;"*",Roster!$A$4:$A$72,0),DAY(表格1[[#This Row],[date]]),1,1)</f>
        <v>Michelle</v>
      </c>
      <c r="E2143" s="81">
        <f>MONTH(表格1[[#This Row],[date]])</f>
        <v>3</v>
      </c>
      <c r="F2143" s="90">
        <v>46107</v>
      </c>
      <c r="G2143" s="81" t="str">
        <f>VLOOKUP("*"&amp;表格1[[#This Row],[Input]]&amp;"*",'Ref-List'!$B:$D,2,)</f>
        <v>RC-18ISPH</v>
      </c>
      <c r="H2143" s="81" t="str">
        <f>_xlfn.XLOOKUP(表格1[[#This Row],[Model]],表格3[Model-Input-Ref2],表格3[Product Line])</f>
        <v>低醣磁應電飯煲1.8L</v>
      </c>
      <c r="I2143" s="81" t="str">
        <f>_xlfn.XLOOKUP(表格1[[#This Row],[Model]],表格3[Model-Input-Ref2],表格3[大小電])</f>
        <v>細電</v>
      </c>
      <c r="J2143" s="81" t="str">
        <f>_xlfn.XLOOKUP(表格1[[#This Row],[Model]],表格3[Model-Input-Ref2],表格3[Code])</f>
        <v>SDA</v>
      </c>
      <c r="K2143" s="89" t="s">
        <v>1281</v>
      </c>
      <c r="L2143" s="86">
        <v>1</v>
      </c>
      <c r="M2143" s="87">
        <v>898</v>
      </c>
      <c r="N2143" s="85">
        <f>IFERROR(表格1[[#This Row],[QTY]]*表格1[[#This Row],[Unit Price]],"-")</f>
        <v>898</v>
      </c>
      <c r="O2143" s="86">
        <v>520340</v>
      </c>
      <c r="R2143" s="86" t="str">
        <f>_xlfn.CONCAT(表格1[[#This Row],[Model]]," ",表格1[[#This Row],[inv no]])</f>
        <v>RC-18ISPH 520340</v>
      </c>
      <c r="S2143" s="86">
        <f>_xlfn.XLOOKUP(表格1[[#This Row],[Model]],表格3[Model-Input-Ref2],表格3[SRP PRICE])</f>
        <v>1436</v>
      </c>
      <c r="T2143" s="43">
        <f>表格1[[#This Row],[Unit Price]]/表格1[[#This Row],[SRP]]</f>
        <v>0.62534818941504178</v>
      </c>
      <c r="U2143" s="86" t="str">
        <f>_xlfn.XLOOKUP(表格1[[#This Row],[Model]],表格3[Model-Input-Ref2],表格3[TOSHIBA/HIGHEST])</f>
        <v>Shops Highest Price</v>
      </c>
      <c r="V2143" s="86">
        <v>1111</v>
      </c>
      <c r="W2143" s="86" t="str">
        <f>_xlfn.CONCAT(表格1[[#This Row],[欄4]],表格1[[#This Row],[inv no]])</f>
        <v>1111520340</v>
      </c>
    </row>
    <row r="2144" spans="1:23" hidden="1">
      <c r="A2144" s="81">
        <v>2142</v>
      </c>
      <c r="B2144" s="86" t="s">
        <v>1772</v>
      </c>
      <c r="C2144" s="86" t="s">
        <v>1773</v>
      </c>
      <c r="D2144" s="82" t="str">
        <f ca="1">OFFSET(Roster!$A$3,MATCH(表格1[[#This Row],[Location]]&amp;" "&amp;表格1[[#This Row],[Shop]]&amp;"*",Roster!$A$4:$A$72,0),DAY(表格1[[#This Row],[date]]),1,1)</f>
        <v>Michelle</v>
      </c>
      <c r="E2144" s="81">
        <f>MONTH(表格1[[#This Row],[date]])</f>
        <v>3</v>
      </c>
      <c r="F2144" s="90">
        <v>46107</v>
      </c>
      <c r="G2144" s="81" t="str">
        <f>VLOOKUP("*"&amp;表格1[[#This Row],[Input]]&amp;"*",'Ref-List'!$B:$D,2,)</f>
        <v>RC-10AMXH(W)</v>
      </c>
      <c r="H2144" s="81" t="str">
        <f>_xlfn.XLOOKUP(表格1[[#This Row],[Model]],表格3[Model-Input-Ref2],表格3[Product Line])</f>
        <v>酵活炊電飯煲(1.0公升)</v>
      </c>
      <c r="I2144" s="81" t="str">
        <f>_xlfn.XLOOKUP(表格1[[#This Row],[Model]],表格3[Model-Input-Ref2],表格3[大小電])</f>
        <v>細電</v>
      </c>
      <c r="J2144" s="81" t="str">
        <f>_xlfn.XLOOKUP(表格1[[#This Row],[Model]],表格3[Model-Input-Ref2],表格3[Code])</f>
        <v>SDA</v>
      </c>
      <c r="K2144" s="89" t="s">
        <v>1279</v>
      </c>
      <c r="L2144" s="86">
        <v>1</v>
      </c>
      <c r="M2144" s="87">
        <v>990</v>
      </c>
      <c r="N2144" s="85">
        <f>IFERROR(表格1[[#This Row],[QTY]]*表格1[[#This Row],[Unit Price]],"-")</f>
        <v>990</v>
      </c>
      <c r="O2144" s="86">
        <v>520311</v>
      </c>
      <c r="R2144" s="86" t="str">
        <f>_xlfn.CONCAT(表格1[[#This Row],[Model]]," ",表格1[[#This Row],[inv no]])</f>
        <v>RC-10AMXH(W) 520311</v>
      </c>
      <c r="S2144" s="86">
        <f>_xlfn.XLOOKUP(表格1[[#This Row],[Model]],表格3[Model-Input-Ref2],表格3[SRP PRICE])</f>
        <v>1288</v>
      </c>
      <c r="T2144" s="43">
        <f>表格1[[#This Row],[Unit Price]]/表格1[[#This Row],[SRP]]</f>
        <v>0.76863354037267084</v>
      </c>
      <c r="U2144" s="86" t="str">
        <f>_xlfn.XLOOKUP(表格1[[#This Row],[Model]],表格3[Model-Input-Ref2],表格3[TOSHIBA/HIGHEST])</f>
        <v>Toshiba SRP</v>
      </c>
      <c r="V2144" s="86">
        <v>1111</v>
      </c>
      <c r="W2144" s="86" t="str">
        <f>_xlfn.CONCAT(表格1[[#This Row],[欄4]],表格1[[#This Row],[inv no]])</f>
        <v>1111520311</v>
      </c>
    </row>
    <row r="2145" spans="1:23" hidden="1">
      <c r="A2145" s="81">
        <v>2143</v>
      </c>
      <c r="B2145" s="86" t="s">
        <v>1772</v>
      </c>
      <c r="C2145" s="86" t="s">
        <v>1773</v>
      </c>
      <c r="D2145" s="82" t="str">
        <f ca="1">OFFSET(Roster!$A$3,MATCH(表格1[[#This Row],[Location]]&amp;" "&amp;表格1[[#This Row],[Shop]]&amp;"*",Roster!$A$4:$A$72,0),DAY(表格1[[#This Row],[date]]),1,1)</f>
        <v>Michelle</v>
      </c>
      <c r="E2145" s="81">
        <f>MONTH(表格1[[#This Row],[date]])</f>
        <v>3</v>
      </c>
      <c r="F2145" s="90">
        <v>46107</v>
      </c>
      <c r="G2145" s="81" t="str">
        <f>VLOOKUP("*"&amp;表格1[[#This Row],[Input]]&amp;"*",'Ref-List'!$B:$D,2,)</f>
        <v>GR-RM598WE-PGA(B3)</v>
      </c>
      <c r="H2145" s="81" t="str">
        <f>_xlfn.XLOOKUP(表格1[[#This Row],[Model]],表格3[Model-Input-Ref2],表格3[Product Line])</f>
        <v>變頻六門雪櫃(451L)</v>
      </c>
      <c r="I2145" s="81" t="str">
        <f>_xlfn.XLOOKUP(表格1[[#This Row],[Model]],表格3[Model-Input-Ref2],表格3[大小電])</f>
        <v>大電</v>
      </c>
      <c r="J2145" s="81" t="str">
        <f>_xlfn.XLOOKUP(表格1[[#This Row],[Model]],表格3[Model-Input-Ref2],表格3[Code])</f>
        <v>REF</v>
      </c>
      <c r="K2145" s="89" t="s">
        <v>1491</v>
      </c>
      <c r="L2145" s="86">
        <v>1</v>
      </c>
      <c r="M2145" s="87">
        <v>10990</v>
      </c>
      <c r="N2145" s="85">
        <f>IFERROR(表格1[[#This Row],[QTY]]*表格1[[#This Row],[Unit Price]],"-")</f>
        <v>10990</v>
      </c>
      <c r="O2145" s="86">
        <v>520308</v>
      </c>
      <c r="R2145" s="86" t="str">
        <f>_xlfn.CONCAT(表格1[[#This Row],[Model]]," ",表格1[[#This Row],[inv no]])</f>
        <v>GR-RM598WE-PGA(B3) 520308</v>
      </c>
      <c r="S2145" s="86">
        <f>_xlfn.XLOOKUP(表格1[[#This Row],[Model]],表格3[Model-Input-Ref2],表格3[SRP PRICE])</f>
        <v>14980</v>
      </c>
      <c r="T2145" s="43">
        <f>表格1[[#This Row],[Unit Price]]/表格1[[#This Row],[SRP]]</f>
        <v>0.73364485981308414</v>
      </c>
      <c r="U2145" s="86" t="str">
        <f>_xlfn.XLOOKUP(表格1[[#This Row],[Model]],表格3[Model-Input-Ref2],表格3[TOSHIBA/HIGHEST])</f>
        <v>Toshiba SRP</v>
      </c>
      <c r="V2145" s="86">
        <v>1111</v>
      </c>
      <c r="W2145" s="86" t="str">
        <f>_xlfn.CONCAT(表格1[[#This Row],[欄4]],表格1[[#This Row],[inv no]])</f>
        <v>1111520308</v>
      </c>
    </row>
    <row r="2146" spans="1:23" hidden="1">
      <c r="A2146" s="81">
        <v>2144</v>
      </c>
      <c r="B2146" s="86" t="s">
        <v>1772</v>
      </c>
      <c r="C2146" s="86" t="s">
        <v>1773</v>
      </c>
      <c r="D2146" s="82" t="str">
        <f ca="1">OFFSET(Roster!$A$3,MATCH(表格1[[#This Row],[Location]]&amp;" "&amp;表格1[[#This Row],[Shop]]&amp;"*",Roster!$A$4:$A$72,0),DAY(表格1[[#This Row],[date]]),1,1)</f>
        <v>Michelle</v>
      </c>
      <c r="E2146" s="81">
        <f>MONTH(表格1[[#This Row],[date]])</f>
        <v>3</v>
      </c>
      <c r="F2146" s="90">
        <v>46108</v>
      </c>
      <c r="G2146" s="81" t="str">
        <f>VLOOKUP("*"&amp;表格1[[#This Row],[Input]]&amp;"*",'Ref-List'!$B:$D,2,)</f>
        <v>RC-10IRPH</v>
      </c>
      <c r="H2146" s="81" t="str">
        <f>_xlfn.XLOOKUP(表格1[[#This Row],[Model]],表格3[Model-Input-Ref2],表格3[Product Line])</f>
        <v>低醣磁應電飯煲1L</v>
      </c>
      <c r="I2146" s="81" t="str">
        <f>_xlfn.XLOOKUP(表格1[[#This Row],[Model]],表格3[Model-Input-Ref2],表格3[大小電])</f>
        <v>細電</v>
      </c>
      <c r="J2146" s="81" t="str">
        <f>_xlfn.XLOOKUP(表格1[[#This Row],[Model]],表格3[Model-Input-Ref2],表格3[Code])</f>
        <v>SDA</v>
      </c>
      <c r="K2146" s="89" t="s">
        <v>1297</v>
      </c>
      <c r="L2146" s="86">
        <v>1</v>
      </c>
      <c r="M2146" s="87">
        <v>798</v>
      </c>
      <c r="N2146" s="85">
        <f>IFERROR(表格1[[#This Row],[QTY]]*表格1[[#This Row],[Unit Price]],"-")</f>
        <v>798</v>
      </c>
      <c r="O2146" s="86">
        <v>520376</v>
      </c>
      <c r="P2146" s="143"/>
      <c r="R2146" s="86" t="str">
        <f>_xlfn.CONCAT(表格1[[#This Row],[Model]]," ",表格1[[#This Row],[inv no]])</f>
        <v>RC-10IRPH 520376</v>
      </c>
      <c r="S2146" s="86">
        <f>_xlfn.XLOOKUP(表格1[[#This Row],[Model]],表格3[Model-Input-Ref2],表格3[SRP PRICE])</f>
        <v>1388</v>
      </c>
      <c r="T2146" s="43">
        <f>表格1[[#This Row],[Unit Price]]/表格1[[#This Row],[SRP]]</f>
        <v>0.5749279538904899</v>
      </c>
      <c r="U2146" s="86" t="str">
        <f>_xlfn.XLOOKUP(表格1[[#This Row],[Model]],表格3[Model-Input-Ref2],表格3[TOSHIBA/HIGHEST])</f>
        <v>Toshiba SRP</v>
      </c>
      <c r="V2146" s="86">
        <v>1111</v>
      </c>
      <c r="W2146" s="86" t="str">
        <f>_xlfn.CONCAT(表格1[[#This Row],[欄4]],表格1[[#This Row],[inv no]])</f>
        <v>1111520376</v>
      </c>
    </row>
    <row r="2147" spans="1:23" hidden="1">
      <c r="A2147" s="81">
        <v>2145</v>
      </c>
      <c r="B2147" s="86" t="s">
        <v>1772</v>
      </c>
      <c r="C2147" s="86" t="s">
        <v>1773</v>
      </c>
      <c r="D2147" s="82" t="str">
        <f ca="1">OFFSET(Roster!$A$3,MATCH(表格1[[#This Row],[Location]]&amp;" "&amp;表格1[[#This Row],[Shop]]&amp;"*",Roster!$A$4:$A$72,0),DAY(表格1[[#This Row],[date]]),1,1)</f>
        <v>Michelle</v>
      </c>
      <c r="E2147" s="81">
        <f>MONTH(表格1[[#This Row],[date]])</f>
        <v>3</v>
      </c>
      <c r="F2147" s="90">
        <v>46108</v>
      </c>
      <c r="G2147" s="81" t="str">
        <f>VLOOKUP("*"&amp;表格1[[#This Row],[Input]]&amp;"*",'Ref-List'!$B:$D,2,)</f>
        <v>GR-RB221WE-PMA(57)</v>
      </c>
      <c r="H2147" s="81" t="str">
        <f>_xlfn.XLOOKUP(表格1[[#This Row],[Model]],表格3[Model-Input-Ref2],表格3[Product Line])</f>
        <v>變頻下置式雙門雪櫃（163L）</v>
      </c>
      <c r="I2147" s="81" t="str">
        <f>_xlfn.XLOOKUP(表格1[[#This Row],[Model]],表格3[Model-Input-Ref2],表格3[大小電])</f>
        <v>大電</v>
      </c>
      <c r="J2147" s="81" t="str">
        <f>_xlfn.XLOOKUP(表格1[[#This Row],[Model]],表格3[Model-Input-Ref2],表格3[Code])</f>
        <v>REF</v>
      </c>
      <c r="K2147" s="89" t="s">
        <v>1386</v>
      </c>
      <c r="L2147" s="86">
        <v>1</v>
      </c>
      <c r="M2147" s="87">
        <v>1880</v>
      </c>
      <c r="N2147" s="85">
        <f>IFERROR(表格1[[#This Row],[QTY]]*表格1[[#This Row],[Unit Price]],"-")</f>
        <v>1880</v>
      </c>
      <c r="O2147" s="86">
        <v>520348</v>
      </c>
      <c r="R2147" s="86" t="str">
        <f>_xlfn.CONCAT(表格1[[#This Row],[Model]]," ",表格1[[#This Row],[inv no]])</f>
        <v>GR-RB221WE-PMA(57) 520348</v>
      </c>
      <c r="S2147" s="86">
        <f>_xlfn.XLOOKUP(表格1[[#This Row],[Model]],表格3[Model-Input-Ref2],表格3[SRP PRICE])</f>
        <v>3480</v>
      </c>
      <c r="T2147" s="43">
        <f>表格1[[#This Row],[Unit Price]]/表格1[[#This Row],[SRP]]</f>
        <v>0.54022988505747127</v>
      </c>
      <c r="U2147" s="86" t="str">
        <f>_xlfn.XLOOKUP(表格1[[#This Row],[Model]],表格3[Model-Input-Ref2],表格3[TOSHIBA/HIGHEST])</f>
        <v>Toshiba SRP</v>
      </c>
      <c r="V2147" s="86">
        <v>1111</v>
      </c>
      <c r="W2147" s="86" t="str">
        <f>_xlfn.CONCAT(表格1[[#This Row],[欄4]],表格1[[#This Row],[inv no]])</f>
        <v>1111520348</v>
      </c>
    </row>
    <row r="2148" spans="1:23" hidden="1">
      <c r="A2148" s="81">
        <v>2146</v>
      </c>
      <c r="B2148" s="86" t="s">
        <v>1772</v>
      </c>
      <c r="C2148" s="86" t="s">
        <v>1773</v>
      </c>
      <c r="D2148" s="82" t="str">
        <f ca="1">OFFSET(Roster!$A$3,MATCH(表格1[[#This Row],[Location]]&amp;" "&amp;表格1[[#This Row],[Shop]]&amp;"*",Roster!$A$4:$A$72,0),DAY(表格1[[#This Row],[date]]),1,1)</f>
        <v>Michelle</v>
      </c>
      <c r="E2148" s="81">
        <f>MONTH(表格1[[#This Row],[date]])</f>
        <v>3</v>
      </c>
      <c r="F2148" s="90">
        <v>46108</v>
      </c>
      <c r="G2148" s="81" t="str">
        <f>VLOOKUP("*"&amp;表格1[[#This Row],[Input]]&amp;"*",'Ref-List'!$B:$D,2,)</f>
        <v>AW-Q801APH(WW)</v>
      </c>
      <c r="H2148" s="81" t="str">
        <f>_xlfn.XLOOKUP(表格1[[#This Row],[Model]],表格3[Model-Input-Ref2],表格3[Product Line])</f>
        <v>日式洗衣機 (7公斤 結合高低水位)</v>
      </c>
      <c r="I2148" s="81" t="str">
        <f>_xlfn.XLOOKUP(表格1[[#This Row],[Model]],表格3[Model-Input-Ref2],表格3[大小電])</f>
        <v>大電</v>
      </c>
      <c r="J2148" s="81" t="str">
        <f>_xlfn.XLOOKUP(表格1[[#This Row],[Model]],表格3[Model-Input-Ref2],表格3[Code])</f>
        <v>LAD</v>
      </c>
      <c r="K2148" s="89" t="s">
        <v>1420</v>
      </c>
      <c r="L2148" s="86">
        <v>1</v>
      </c>
      <c r="M2148" s="87">
        <v>1880</v>
      </c>
      <c r="N2148" s="85">
        <f>IFERROR(表格1[[#This Row],[QTY]]*表格1[[#This Row],[Unit Price]],"-")</f>
        <v>1880</v>
      </c>
      <c r="O2148" s="86">
        <v>520348</v>
      </c>
      <c r="R2148" s="86" t="str">
        <f>_xlfn.CONCAT(表格1[[#This Row],[Model]]," ",表格1[[#This Row],[inv no]])</f>
        <v>AW-Q801APH(WW) 520348</v>
      </c>
      <c r="S2148" s="86">
        <f>_xlfn.XLOOKUP(表格1[[#This Row],[Model]],表格3[Model-Input-Ref2],表格3[SRP PRICE])</f>
        <v>3380</v>
      </c>
      <c r="T2148" s="43">
        <f>表格1[[#This Row],[Unit Price]]/表格1[[#This Row],[SRP]]</f>
        <v>0.55621301775147924</v>
      </c>
      <c r="U2148" s="86" t="str">
        <f>_xlfn.XLOOKUP(表格1[[#This Row],[Model]],表格3[Model-Input-Ref2],表格3[TOSHIBA/HIGHEST])</f>
        <v>Toshiba SRP</v>
      </c>
      <c r="V2148" s="86">
        <v>1111</v>
      </c>
      <c r="W2148" s="86" t="str">
        <f>_xlfn.CONCAT(表格1[[#This Row],[欄4]],表格1[[#This Row],[inv no]])</f>
        <v>1111520348</v>
      </c>
    </row>
    <row r="2149" spans="1:23" hidden="1">
      <c r="A2149" s="81">
        <v>2147</v>
      </c>
      <c r="B2149" s="86" t="s">
        <v>1772</v>
      </c>
      <c r="C2149" s="86" t="s">
        <v>1773</v>
      </c>
      <c r="D2149" s="82" t="str">
        <f ca="1">OFFSET(Roster!$A$3,MATCH(表格1[[#This Row],[Location]]&amp;" "&amp;表格1[[#This Row],[Shop]]&amp;"*",Roster!$A$4:$A$72,0),DAY(表格1[[#This Row],[date]]),1,1)</f>
        <v>Michelle</v>
      </c>
      <c r="E2149" s="81">
        <f>MONTH(表格1[[#This Row],[date]])</f>
        <v>3</v>
      </c>
      <c r="F2149" s="90">
        <v>46108</v>
      </c>
      <c r="G2149" s="81" t="str">
        <f>VLOOKUP("*"&amp;表格1[[#This Row],[Input]]&amp;"*",'Ref-List'!$B:$D,2,)</f>
        <v>MS3-STQ20SC(WH)</v>
      </c>
      <c r="H2149" s="81" t="str">
        <f>_xlfn.XLOOKUP(表格1[[#This Row],[Model]],表格3[Model-Input-Ref2],表格3[Product Line])</f>
        <v>20L 智能蒸氣焗爐</v>
      </c>
      <c r="I2149" s="81" t="str">
        <f>_xlfn.XLOOKUP(表格1[[#This Row],[Model]],表格3[Model-Input-Ref2],表格3[大小電])</f>
        <v>細電</v>
      </c>
      <c r="J2149" s="81" t="str">
        <f>_xlfn.XLOOKUP(表格1[[#This Row],[Model]],表格3[Model-Input-Ref2],表格3[Code])</f>
        <v>MCA</v>
      </c>
      <c r="K2149" s="89" t="s">
        <v>1383</v>
      </c>
      <c r="L2149" s="86">
        <v>1</v>
      </c>
      <c r="M2149" s="87">
        <v>2100</v>
      </c>
      <c r="N2149" s="85">
        <f>IFERROR(表格1[[#This Row],[QTY]]*表格1[[#This Row],[Unit Price]],"-")</f>
        <v>2100</v>
      </c>
      <c r="O2149" s="86">
        <v>520379</v>
      </c>
      <c r="R2149" s="86" t="str">
        <f>_xlfn.CONCAT(表格1[[#This Row],[Model]]," ",表格1[[#This Row],[inv no]])</f>
        <v>MS3-STQ20SC(WH) 520379</v>
      </c>
      <c r="S2149" s="86">
        <f>_xlfn.XLOOKUP(表格1[[#This Row],[Model]],表格3[Model-Input-Ref2],表格3[SRP PRICE])</f>
        <v>2880</v>
      </c>
      <c r="T2149" s="43">
        <f>表格1[[#This Row],[Unit Price]]/表格1[[#This Row],[SRP]]</f>
        <v>0.72916666666666663</v>
      </c>
      <c r="U2149" s="86" t="str">
        <f>_xlfn.XLOOKUP(表格1[[#This Row],[Model]],表格3[Model-Input-Ref2],表格3[TOSHIBA/HIGHEST])</f>
        <v>Toshiba SRP</v>
      </c>
      <c r="V2149" s="86">
        <v>1111</v>
      </c>
      <c r="W2149" s="86" t="str">
        <f>_xlfn.CONCAT(表格1[[#This Row],[欄4]],表格1[[#This Row],[inv no]])</f>
        <v>1111520379</v>
      </c>
    </row>
    <row r="2150" spans="1:23" ht="16.5" hidden="1">
      <c r="A2150" s="81">
        <v>2148</v>
      </c>
      <c r="B2150" s="86" t="s">
        <v>1772</v>
      </c>
      <c r="C2150" s="86" t="s">
        <v>1773</v>
      </c>
      <c r="D2150" s="82" t="str">
        <f ca="1">OFFSET(Roster!$A$3,MATCH(表格1[[#This Row],[Location]]&amp;" "&amp;表格1[[#This Row],[Shop]]&amp;"*",Roster!$A$4:$A$72,0),DAY(表格1[[#This Row],[date]]),1,1)</f>
        <v>Michelle</v>
      </c>
      <c r="E2150" s="81">
        <f>MONTH(表格1[[#This Row],[date]])</f>
        <v>3</v>
      </c>
      <c r="F2150" s="90">
        <v>46108</v>
      </c>
      <c r="G2150" s="81" t="str">
        <f>VLOOKUP("*"&amp;表格1[[#This Row],[Input]]&amp;"*",'Ref-List'!$B:$D,2,)</f>
        <v>KT-15DRRH</v>
      </c>
      <c r="H2150" s="81" t="str">
        <f>_xlfn.XLOOKUP(表格1[[#This Row],[Model]],表格3[Model-Input-Ref2],表格3[Product Line])</f>
        <v>1.5L無線雙層電熱水壺</v>
      </c>
      <c r="I2150" s="81" t="str">
        <f>_xlfn.XLOOKUP(表格1[[#This Row],[Model]],表格3[Model-Input-Ref2],表格3[大小電])</f>
        <v>細電</v>
      </c>
      <c r="J2150" s="81" t="str">
        <f>_xlfn.XLOOKUP(表格1[[#This Row],[Model]],表格3[Model-Input-Ref2],表格3[Code])</f>
        <v>SDA</v>
      </c>
      <c r="K2150" s="89" t="s">
        <v>1488</v>
      </c>
      <c r="L2150" s="86">
        <v>1</v>
      </c>
      <c r="M2150" s="87">
        <v>298</v>
      </c>
      <c r="N2150" s="85">
        <f>IFERROR(表格1[[#This Row],[QTY]]*表格1[[#This Row],[Unit Price]],"-")</f>
        <v>298</v>
      </c>
      <c r="O2150" s="86">
        <v>520373</v>
      </c>
      <c r="P2150" s="141"/>
      <c r="R2150" s="86" t="str">
        <f>_xlfn.CONCAT(表格1[[#This Row],[Model]]," ",表格1[[#This Row],[inv no]])</f>
        <v>KT-15DRRH 520373</v>
      </c>
      <c r="S2150" s="86">
        <f>_xlfn.XLOOKUP(表格1[[#This Row],[Model]],表格3[Model-Input-Ref2],表格3[SRP PRICE])</f>
        <v>438</v>
      </c>
      <c r="T2150" s="43">
        <f>表格1[[#This Row],[Unit Price]]/表格1[[#This Row],[SRP]]</f>
        <v>0.68036529680365299</v>
      </c>
      <c r="U2150" s="86" t="str">
        <f>_xlfn.XLOOKUP(表格1[[#This Row],[Model]],表格3[Model-Input-Ref2],表格3[TOSHIBA/HIGHEST])</f>
        <v>Toshiba SRP</v>
      </c>
      <c r="V2150" s="86">
        <v>1111</v>
      </c>
      <c r="W2150" s="86" t="str">
        <f>_xlfn.CONCAT(表格1[[#This Row],[欄4]],表格1[[#This Row],[inv no]])</f>
        <v>1111520373</v>
      </c>
    </row>
    <row r="2151" spans="1:23" ht="16.5" hidden="1">
      <c r="A2151" s="81">
        <v>2149</v>
      </c>
      <c r="B2151" s="86" t="s">
        <v>1772</v>
      </c>
      <c r="C2151" s="86" t="s">
        <v>1773</v>
      </c>
      <c r="D2151" s="82" t="str">
        <f ca="1">OFFSET(Roster!$A$3,MATCH(表格1[[#This Row],[Location]]&amp;" "&amp;表格1[[#This Row],[Shop]]&amp;"*",Roster!$A$4:$A$72,0),DAY(表格1[[#This Row],[date]]),1,1)</f>
        <v>Michelle</v>
      </c>
      <c r="E2151" s="81">
        <f>MONTH(表格1[[#This Row],[date]])</f>
        <v>3</v>
      </c>
      <c r="F2151" s="90">
        <v>46109</v>
      </c>
      <c r="G2151" s="81" t="str">
        <f>VLOOKUP("*"&amp;表格1[[#This Row],[Input]]&amp;"*",'Ref-List'!$B:$D,2,)</f>
        <v>KT-17DRTHK(H)</v>
      </c>
      <c r="H2151" s="81" t="str">
        <f>_xlfn.XLOOKUP(表格1[[#This Row],[Model]],表格3[Model-Input-Ref2],表格3[Product Line])</f>
        <v>無線雙層電熱水壺(1.7公升)</v>
      </c>
      <c r="I2151" s="81" t="str">
        <f>_xlfn.XLOOKUP(表格1[[#This Row],[Model]],表格3[Model-Input-Ref2],表格3[大小電])</f>
        <v>細電</v>
      </c>
      <c r="J2151" s="81" t="str">
        <f>_xlfn.XLOOKUP(表格1[[#This Row],[Model]],表格3[Model-Input-Ref2],表格3[Code])</f>
        <v>SDA</v>
      </c>
      <c r="K2151" s="89" t="s">
        <v>1271</v>
      </c>
      <c r="L2151" s="86">
        <v>1</v>
      </c>
      <c r="M2151" s="87">
        <v>388</v>
      </c>
      <c r="N2151" s="85">
        <f>IFERROR(表格1[[#This Row],[QTY]]*表格1[[#This Row],[Unit Price]],"-")</f>
        <v>388</v>
      </c>
      <c r="O2151" s="142">
        <v>126071</v>
      </c>
      <c r="P2151" s="141"/>
      <c r="R2151" s="86" t="str">
        <f>_xlfn.CONCAT(表格1[[#This Row],[Model]]," ",表格1[[#This Row],[inv no]])</f>
        <v>KT-17DRTHK(H) 126071</v>
      </c>
      <c r="S2151" s="86">
        <f>_xlfn.XLOOKUP(表格1[[#This Row],[Model]],表格3[Model-Input-Ref2],表格3[SRP PRICE])</f>
        <v>498</v>
      </c>
      <c r="T2151" s="43">
        <f>表格1[[#This Row],[Unit Price]]/表格1[[#This Row],[SRP]]</f>
        <v>0.77911646586345384</v>
      </c>
      <c r="U2151" s="86" t="str">
        <f>_xlfn.XLOOKUP(表格1[[#This Row],[Model]],表格3[Model-Input-Ref2],表格3[TOSHIBA/HIGHEST])</f>
        <v>Toshiba SRP</v>
      </c>
      <c r="V2151" s="86">
        <v>1111</v>
      </c>
      <c r="W2151" s="86" t="str">
        <f>_xlfn.CONCAT(表格1[[#This Row],[欄4]],表格1[[#This Row],[inv no]])</f>
        <v>1111126071</v>
      </c>
    </row>
    <row r="2152" spans="1:23" hidden="1">
      <c r="A2152" s="81">
        <v>2150</v>
      </c>
      <c r="B2152" s="86" t="s">
        <v>1772</v>
      </c>
      <c r="C2152" s="86" t="s">
        <v>1773</v>
      </c>
      <c r="D2152" s="82" t="str">
        <f ca="1">OFFSET(Roster!$A$3,MATCH(表格1[[#This Row],[Location]]&amp;" "&amp;表格1[[#This Row],[Shop]]&amp;"*",Roster!$A$4:$A$72,0),DAY(表格1[[#This Row],[date]]),1,1)</f>
        <v>Michelle</v>
      </c>
      <c r="E2152" s="81">
        <f>MONTH(表格1[[#This Row],[date]])</f>
        <v>3</v>
      </c>
      <c r="F2152" s="90">
        <v>46109</v>
      </c>
      <c r="G2152" s="81" t="str">
        <f>VLOOKUP("*"&amp;表格1[[#This Row],[Input]]&amp;"*",'Ref-List'!$B:$D,2,)</f>
        <v>RC-18ISPH</v>
      </c>
      <c r="H2152" s="81" t="str">
        <f>_xlfn.XLOOKUP(表格1[[#This Row],[Model]],表格3[Model-Input-Ref2],表格3[Product Line])</f>
        <v>低醣磁應電飯煲1.8L</v>
      </c>
      <c r="I2152" s="81" t="str">
        <f>_xlfn.XLOOKUP(表格1[[#This Row],[Model]],表格3[Model-Input-Ref2],表格3[大小電])</f>
        <v>細電</v>
      </c>
      <c r="J2152" s="81" t="str">
        <f>_xlfn.XLOOKUP(表格1[[#This Row],[Model]],表格3[Model-Input-Ref2],表格3[Code])</f>
        <v>SDA</v>
      </c>
      <c r="K2152" s="89" t="s">
        <v>1281</v>
      </c>
      <c r="L2152" s="86">
        <v>1</v>
      </c>
      <c r="M2152" s="87">
        <v>898</v>
      </c>
      <c r="N2152" s="85">
        <f>IFERROR(表格1[[#This Row],[QTY]]*表格1[[#This Row],[Unit Price]],"-")</f>
        <v>898</v>
      </c>
      <c r="O2152" s="86">
        <v>520387</v>
      </c>
      <c r="R2152" s="86" t="str">
        <f>_xlfn.CONCAT(表格1[[#This Row],[Model]]," ",表格1[[#This Row],[inv no]])</f>
        <v>RC-18ISPH 520387</v>
      </c>
      <c r="S2152" s="86">
        <f>_xlfn.XLOOKUP(表格1[[#This Row],[Model]],表格3[Model-Input-Ref2],表格3[SRP PRICE])</f>
        <v>1436</v>
      </c>
      <c r="T2152" s="43">
        <f>表格1[[#This Row],[Unit Price]]/表格1[[#This Row],[SRP]]</f>
        <v>0.62534818941504178</v>
      </c>
      <c r="U2152" s="86" t="str">
        <f>_xlfn.XLOOKUP(表格1[[#This Row],[Model]],表格3[Model-Input-Ref2],表格3[TOSHIBA/HIGHEST])</f>
        <v>Shops Highest Price</v>
      </c>
      <c r="V2152" s="86">
        <v>1111</v>
      </c>
      <c r="W2152" s="86" t="str">
        <f>_xlfn.CONCAT(表格1[[#This Row],[欄4]],表格1[[#This Row],[inv no]])</f>
        <v>1111520387</v>
      </c>
    </row>
    <row r="2153" spans="1:23" ht="16.5" hidden="1">
      <c r="A2153" s="81">
        <v>2151</v>
      </c>
      <c r="B2153" s="86" t="s">
        <v>1772</v>
      </c>
      <c r="C2153" s="86" t="s">
        <v>1773</v>
      </c>
      <c r="D2153" s="82" t="str">
        <f ca="1">OFFSET(Roster!$A$3,MATCH(表格1[[#This Row],[Location]]&amp;" "&amp;表格1[[#This Row],[Shop]]&amp;"*",Roster!$A$4:$A$72,0),DAY(表格1[[#This Row],[date]]),1,1)</f>
        <v>Michelle</v>
      </c>
      <c r="E2153" s="81">
        <f>MONTH(表格1[[#This Row],[date]])</f>
        <v>3</v>
      </c>
      <c r="F2153" s="90">
        <v>46109</v>
      </c>
      <c r="G2153" s="81" t="str">
        <f>VLOOKUP("*"&amp;表格1[[#This Row],[Input]]&amp;"*",'Ref-List'!$B:$D,2,)</f>
        <v>RC-10AMXH(W)</v>
      </c>
      <c r="H2153" s="81" t="str">
        <f>_xlfn.XLOOKUP(表格1[[#This Row],[Model]],表格3[Model-Input-Ref2],表格3[Product Line])</f>
        <v>酵活炊電飯煲(1.0公升)</v>
      </c>
      <c r="I2153" s="81" t="str">
        <f>_xlfn.XLOOKUP(表格1[[#This Row],[Model]],表格3[Model-Input-Ref2],表格3[大小電])</f>
        <v>細電</v>
      </c>
      <c r="J2153" s="81" t="str">
        <f>_xlfn.XLOOKUP(表格1[[#This Row],[Model]],表格3[Model-Input-Ref2],表格3[Code])</f>
        <v>SDA</v>
      </c>
      <c r="K2153" s="89" t="s">
        <v>1279</v>
      </c>
      <c r="L2153" s="86">
        <v>1</v>
      </c>
      <c r="M2153" s="87">
        <v>990</v>
      </c>
      <c r="N2153" s="85">
        <f>IFERROR(表格1[[#This Row],[QTY]]*表格1[[#This Row],[Unit Price]],"-")</f>
        <v>990</v>
      </c>
      <c r="O2153" s="86">
        <v>126081</v>
      </c>
      <c r="P2153" s="141"/>
      <c r="R2153" s="86" t="str">
        <f>_xlfn.CONCAT(表格1[[#This Row],[Model]]," ",表格1[[#This Row],[inv no]])</f>
        <v>RC-10AMXH(W) 126081</v>
      </c>
      <c r="S2153" s="86">
        <f>_xlfn.XLOOKUP(表格1[[#This Row],[Model]],表格3[Model-Input-Ref2],表格3[SRP PRICE])</f>
        <v>1288</v>
      </c>
      <c r="T2153" s="43">
        <f>表格1[[#This Row],[Unit Price]]/表格1[[#This Row],[SRP]]</f>
        <v>0.76863354037267084</v>
      </c>
      <c r="U2153" s="86" t="str">
        <f>_xlfn.XLOOKUP(表格1[[#This Row],[Model]],表格3[Model-Input-Ref2],表格3[TOSHIBA/HIGHEST])</f>
        <v>Toshiba SRP</v>
      </c>
      <c r="V2153" s="86">
        <v>1111</v>
      </c>
      <c r="W2153" s="86" t="str">
        <f>_xlfn.CONCAT(表格1[[#This Row],[欄4]],表格1[[#This Row],[inv no]])</f>
        <v>1111126081</v>
      </c>
    </row>
    <row r="2154" spans="1:23" ht="16.5" hidden="1">
      <c r="A2154" s="81">
        <v>2152</v>
      </c>
      <c r="B2154" s="86" t="s">
        <v>1772</v>
      </c>
      <c r="C2154" s="86" t="s">
        <v>1773</v>
      </c>
      <c r="D2154" s="82" t="str">
        <f ca="1">OFFSET(Roster!$A$3,MATCH(表格1[[#This Row],[Location]]&amp;" "&amp;表格1[[#This Row],[Shop]]&amp;"*",Roster!$A$4:$A$72,0),DAY(表格1[[#This Row],[date]]),1,1)</f>
        <v>Michelle</v>
      </c>
      <c r="E2154" s="81">
        <f>MONTH(表格1[[#This Row],[date]])</f>
        <v>3</v>
      </c>
      <c r="F2154" s="90">
        <v>46109</v>
      </c>
      <c r="G2154" s="81" t="str">
        <f>VLOOKUP("*"&amp;表格1[[#This Row],[Input]]&amp;"*",'Ref-List'!$B:$D,2,)</f>
        <v>GR-RT234WE-PMA(57)</v>
      </c>
      <c r="H2154" s="81" t="str">
        <f>_xlfn.XLOOKUP(表格1[[#This Row],[Model]],表格3[Model-Input-Ref2],表格3[Product Line])</f>
        <v>變頻式環保雙門雪櫃（179L）</v>
      </c>
      <c r="I2154" s="81" t="str">
        <f>_xlfn.XLOOKUP(表格1[[#This Row],[Model]],表格3[Model-Input-Ref2],表格3[大小電])</f>
        <v>大電</v>
      </c>
      <c r="J2154" s="81" t="str">
        <f>_xlfn.XLOOKUP(表格1[[#This Row],[Model]],表格3[Model-Input-Ref2],表格3[Code])</f>
        <v>REF</v>
      </c>
      <c r="K2154" s="89" t="s">
        <v>1423</v>
      </c>
      <c r="L2154" s="86">
        <v>1</v>
      </c>
      <c r="M2154" s="87">
        <v>1980</v>
      </c>
      <c r="N2154" s="85">
        <f>IFERROR(表格1[[#This Row],[QTY]]*表格1[[#This Row],[Unit Price]],"-")</f>
        <v>1980</v>
      </c>
      <c r="O2154" s="86">
        <v>126078</v>
      </c>
      <c r="P2154" s="141"/>
      <c r="R2154" s="86" t="str">
        <f>_xlfn.CONCAT(表格1[[#This Row],[Model]]," ",表格1[[#This Row],[inv no]])</f>
        <v>GR-RT234WE-PMA(57) 126078</v>
      </c>
      <c r="S2154" s="86">
        <f>_xlfn.XLOOKUP(表格1[[#This Row],[Model]],表格3[Model-Input-Ref2],表格3[SRP PRICE])</f>
        <v>3680</v>
      </c>
      <c r="T2154" s="43">
        <f>表格1[[#This Row],[Unit Price]]/表格1[[#This Row],[SRP]]</f>
        <v>0.53804347826086951</v>
      </c>
      <c r="U2154" s="86" t="str">
        <f>_xlfn.XLOOKUP(表格1[[#This Row],[Model]],表格3[Model-Input-Ref2],表格3[TOSHIBA/HIGHEST])</f>
        <v>Toshiba SRP</v>
      </c>
      <c r="V2154" s="86">
        <v>1111</v>
      </c>
      <c r="W2154" s="86" t="str">
        <f>_xlfn.CONCAT(表格1[[#This Row],[欄4]],表格1[[#This Row],[inv no]])</f>
        <v>1111126078</v>
      </c>
    </row>
    <row r="2155" spans="1:23" hidden="1">
      <c r="A2155" s="81">
        <v>2153</v>
      </c>
      <c r="B2155" s="86" t="s">
        <v>1772</v>
      </c>
      <c r="C2155" s="86" t="s">
        <v>1773</v>
      </c>
      <c r="D2155" s="82" t="str">
        <f ca="1">OFFSET(Roster!$A$3,MATCH(表格1[[#This Row],[Location]]&amp;" "&amp;表格1[[#This Row],[Shop]]&amp;"*",Roster!$A$4:$A$72,0),DAY(表格1[[#This Row],[date]]),1,1)</f>
        <v>Michelle</v>
      </c>
      <c r="E2155" s="81">
        <f>MONTH(表格1[[#This Row],[date]])</f>
        <v>3</v>
      </c>
      <c r="F2155" s="90">
        <v>46109</v>
      </c>
      <c r="G2155" s="81" t="str">
        <f>VLOOKUP("*"&amp;表格1[[#This Row],[Input]]&amp;"*",'Ref-List'!$B:$D,2,)</f>
        <v>GR-RB221WE-PMA(57)</v>
      </c>
      <c r="H2155" s="81" t="str">
        <f>_xlfn.XLOOKUP(表格1[[#This Row],[Model]],表格3[Model-Input-Ref2],表格3[Product Line])</f>
        <v>變頻下置式雙門雪櫃（163L）</v>
      </c>
      <c r="I2155" s="81" t="str">
        <f>_xlfn.XLOOKUP(表格1[[#This Row],[Model]],表格3[Model-Input-Ref2],表格3[大小電])</f>
        <v>大電</v>
      </c>
      <c r="J2155" s="81" t="str">
        <f>_xlfn.XLOOKUP(表格1[[#This Row],[Model]],表格3[Model-Input-Ref2],表格3[Code])</f>
        <v>REF</v>
      </c>
      <c r="K2155" s="89" t="s">
        <v>1386</v>
      </c>
      <c r="L2155" s="86">
        <v>1</v>
      </c>
      <c r="M2155" s="87">
        <v>1880</v>
      </c>
      <c r="N2155" s="85">
        <f>IFERROR(表格1[[#This Row],[QTY]]*表格1[[#This Row],[Unit Price]],"-")</f>
        <v>1880</v>
      </c>
      <c r="O2155" s="86">
        <v>520426</v>
      </c>
      <c r="R2155" s="86" t="str">
        <f>_xlfn.CONCAT(表格1[[#This Row],[Model]]," ",表格1[[#This Row],[inv no]])</f>
        <v>GR-RB221WE-PMA(57) 520426</v>
      </c>
      <c r="S2155" s="86">
        <f>_xlfn.XLOOKUP(表格1[[#This Row],[Model]],表格3[Model-Input-Ref2],表格3[SRP PRICE])</f>
        <v>3480</v>
      </c>
      <c r="T2155" s="43">
        <f>表格1[[#This Row],[Unit Price]]/表格1[[#This Row],[SRP]]</f>
        <v>0.54022988505747127</v>
      </c>
      <c r="U2155" s="86" t="str">
        <f>_xlfn.XLOOKUP(表格1[[#This Row],[Model]],表格3[Model-Input-Ref2],表格3[TOSHIBA/HIGHEST])</f>
        <v>Toshiba SRP</v>
      </c>
      <c r="V2155" s="86">
        <v>1111</v>
      </c>
      <c r="W2155" s="86" t="str">
        <f>_xlfn.CONCAT(表格1[[#This Row],[欄4]],表格1[[#This Row],[inv no]])</f>
        <v>1111520426</v>
      </c>
    </row>
    <row r="2156" spans="1:23" hidden="1">
      <c r="A2156" s="81">
        <v>2154</v>
      </c>
      <c r="B2156" s="86" t="s">
        <v>1772</v>
      </c>
      <c r="C2156" s="86" t="s">
        <v>1773</v>
      </c>
      <c r="D2156" s="82" t="str">
        <f ca="1">OFFSET(Roster!$A$3,MATCH(表格1[[#This Row],[Location]]&amp;" "&amp;表格1[[#This Row],[Shop]]&amp;"*",Roster!$A$4:$A$72,0),DAY(表格1[[#This Row],[date]]),1,1)</f>
        <v>Michelle</v>
      </c>
      <c r="E2156" s="81">
        <f>MONTH(表格1[[#This Row],[date]])</f>
        <v>3</v>
      </c>
      <c r="F2156" s="90">
        <v>46109</v>
      </c>
      <c r="G2156" s="81" t="str">
        <f>VLOOKUP("*"&amp;表格1[[#This Row],[Input]]&amp;"*",'Ref-List'!$B:$D,2,)</f>
        <v>GR-RT300WE-PMA(57)</v>
      </c>
      <c r="H2156" s="81" t="str">
        <f>_xlfn.XLOOKUP(表格1[[#This Row],[Model]],表格3[Model-Input-Ref2],表格3[Product Line])</f>
        <v>變頻式環保雙門雪櫃(233L)</v>
      </c>
      <c r="I2156" s="81" t="str">
        <f>_xlfn.XLOOKUP(表格1[[#This Row],[Model]],表格3[Model-Input-Ref2],表格3[大小電])</f>
        <v>大電</v>
      </c>
      <c r="J2156" s="81" t="str">
        <f>_xlfn.XLOOKUP(表格1[[#This Row],[Model]],表格3[Model-Input-Ref2],表格3[Code])</f>
        <v>REF</v>
      </c>
      <c r="K2156" s="89" t="s">
        <v>1462</v>
      </c>
      <c r="L2156" s="86">
        <v>1</v>
      </c>
      <c r="M2156" s="87">
        <v>2780</v>
      </c>
      <c r="N2156" s="85">
        <f>IFERROR(表格1[[#This Row],[QTY]]*表格1[[#This Row],[Unit Price]],"-")</f>
        <v>2780</v>
      </c>
      <c r="O2156" s="86">
        <v>126072</v>
      </c>
      <c r="R2156" s="86" t="str">
        <f>_xlfn.CONCAT(表格1[[#This Row],[Model]]," ",表格1[[#This Row],[inv no]])</f>
        <v>GR-RT300WE-PMA(57) 126072</v>
      </c>
      <c r="S2156" s="86">
        <f>_xlfn.XLOOKUP(表格1[[#This Row],[Model]],表格3[Model-Input-Ref2],表格3[SRP PRICE])</f>
        <v>4280</v>
      </c>
      <c r="T2156" s="43">
        <f>表格1[[#This Row],[Unit Price]]/表格1[[#This Row],[SRP]]</f>
        <v>0.64953271028037385</v>
      </c>
      <c r="U2156" s="86" t="str">
        <f>_xlfn.XLOOKUP(表格1[[#This Row],[Model]],表格3[Model-Input-Ref2],表格3[TOSHIBA/HIGHEST])</f>
        <v>Toshiba SRP</v>
      </c>
      <c r="V2156" s="86">
        <v>1111</v>
      </c>
      <c r="W2156" s="86" t="str">
        <f>_xlfn.CONCAT(表格1[[#This Row],[欄4]],表格1[[#This Row],[inv no]])</f>
        <v>1111126072</v>
      </c>
    </row>
    <row r="2157" spans="1:23" hidden="1">
      <c r="A2157" s="81">
        <v>2155</v>
      </c>
      <c r="B2157" s="86" t="s">
        <v>1772</v>
      </c>
      <c r="C2157" s="86" t="s">
        <v>1773</v>
      </c>
      <c r="D2157" s="82" t="str">
        <f ca="1">OFFSET(Roster!$A$3,MATCH(表格1[[#This Row],[Location]]&amp;" "&amp;表格1[[#This Row],[Shop]]&amp;"*",Roster!$A$4:$A$72,0),DAY(表格1[[#This Row],[date]]),1,1)</f>
        <v>Michelle</v>
      </c>
      <c r="E2157" s="81">
        <f>MONTH(表格1[[#This Row],[date]])</f>
        <v>3</v>
      </c>
      <c r="F2157" s="90">
        <v>46110</v>
      </c>
      <c r="G2157" s="81" t="str">
        <f>VLOOKUP("*"&amp;表格1[[#This Row],[Input]]&amp;"*",'Ref-List'!$B:$D,2,)</f>
        <v>GR-RB221WE-PMA(57)</v>
      </c>
      <c r="H2157" s="81" t="str">
        <f>_xlfn.XLOOKUP(表格1[[#This Row],[Model]],表格3[Model-Input-Ref2],表格3[Product Line])</f>
        <v>變頻下置式雙門雪櫃（163L）</v>
      </c>
      <c r="I2157" s="81" t="str">
        <f>_xlfn.XLOOKUP(表格1[[#This Row],[Model]],表格3[Model-Input-Ref2],表格3[大小電])</f>
        <v>大電</v>
      </c>
      <c r="J2157" s="81" t="str">
        <f>_xlfn.XLOOKUP(表格1[[#This Row],[Model]],表格3[Model-Input-Ref2],表格3[Code])</f>
        <v>REF</v>
      </c>
      <c r="K2157" s="89" t="s">
        <v>1386</v>
      </c>
      <c r="L2157" s="86">
        <v>1</v>
      </c>
      <c r="M2157" s="87">
        <v>1880</v>
      </c>
      <c r="N2157" s="85">
        <f>IFERROR(表格1[[#This Row],[QTY]]*表格1[[#This Row],[Unit Price]],"-")</f>
        <v>1880</v>
      </c>
      <c r="O2157" s="142">
        <v>520488</v>
      </c>
      <c r="R2157" s="86" t="str">
        <f>_xlfn.CONCAT(表格1[[#This Row],[Model]]," ",表格1[[#This Row],[inv no]])</f>
        <v>GR-RB221WE-PMA(57) 520488</v>
      </c>
      <c r="S2157" s="86">
        <f>_xlfn.XLOOKUP(表格1[[#This Row],[Model]],表格3[Model-Input-Ref2],表格3[SRP PRICE])</f>
        <v>3480</v>
      </c>
      <c r="T2157" s="43">
        <f>表格1[[#This Row],[Unit Price]]/表格1[[#This Row],[SRP]]</f>
        <v>0.54022988505747127</v>
      </c>
      <c r="U2157" s="86" t="str">
        <f>_xlfn.XLOOKUP(表格1[[#This Row],[Model]],表格3[Model-Input-Ref2],表格3[TOSHIBA/HIGHEST])</f>
        <v>Toshiba SRP</v>
      </c>
      <c r="V2157" s="86">
        <v>1111</v>
      </c>
      <c r="W2157" s="86" t="str">
        <f>_xlfn.CONCAT(表格1[[#This Row],[欄4]],表格1[[#This Row],[inv no]])</f>
        <v>1111520488</v>
      </c>
    </row>
    <row r="2158" spans="1:23" hidden="1">
      <c r="A2158" s="81">
        <v>2156</v>
      </c>
      <c r="B2158" s="86" t="s">
        <v>1772</v>
      </c>
      <c r="C2158" s="86" t="s">
        <v>1773</v>
      </c>
      <c r="D2158" s="82" t="str">
        <f ca="1">OFFSET(Roster!$A$3,MATCH(表格1[[#This Row],[Location]]&amp;" "&amp;表格1[[#This Row],[Shop]]&amp;"*",Roster!$A$4:$A$72,0),DAY(表格1[[#This Row],[date]]),1,1)</f>
        <v>Michelle</v>
      </c>
      <c r="E2158" s="81">
        <f>MONTH(表格1[[#This Row],[date]])</f>
        <v>3</v>
      </c>
      <c r="F2158" s="90">
        <v>46110</v>
      </c>
      <c r="G2158" s="81" t="str">
        <f>VLOOKUP("*"&amp;表格1[[#This Row],[Input]]&amp;"*",'Ref-List'!$B:$D,2,)</f>
        <v>GR-RT300WE-PMA(57)</v>
      </c>
      <c r="H2158" s="81" t="str">
        <f>_xlfn.XLOOKUP(表格1[[#This Row],[Model]],表格3[Model-Input-Ref2],表格3[Product Line])</f>
        <v>變頻式環保雙門雪櫃(233L)</v>
      </c>
      <c r="I2158" s="81" t="str">
        <f>_xlfn.XLOOKUP(表格1[[#This Row],[Model]],表格3[Model-Input-Ref2],表格3[大小電])</f>
        <v>大電</v>
      </c>
      <c r="J2158" s="81" t="str">
        <f>_xlfn.XLOOKUP(表格1[[#This Row],[Model]],表格3[Model-Input-Ref2],表格3[Code])</f>
        <v>REF</v>
      </c>
      <c r="K2158" s="89" t="s">
        <v>1462</v>
      </c>
      <c r="L2158" s="86">
        <v>1</v>
      </c>
      <c r="M2158" s="87">
        <v>2780</v>
      </c>
      <c r="N2158" s="85">
        <f>IFERROR(表格1[[#This Row],[QTY]]*表格1[[#This Row],[Unit Price]],"-")</f>
        <v>2780</v>
      </c>
      <c r="O2158" s="86">
        <v>520472</v>
      </c>
      <c r="R2158" s="86" t="str">
        <f>_xlfn.CONCAT(表格1[[#This Row],[Model]]," ",表格1[[#This Row],[inv no]])</f>
        <v>GR-RT300WE-PMA(57) 520472</v>
      </c>
      <c r="S2158" s="86">
        <f>_xlfn.XLOOKUP(表格1[[#This Row],[Model]],表格3[Model-Input-Ref2],表格3[SRP PRICE])</f>
        <v>4280</v>
      </c>
      <c r="T2158" s="43">
        <f>表格1[[#This Row],[Unit Price]]/表格1[[#This Row],[SRP]]</f>
        <v>0.64953271028037385</v>
      </c>
      <c r="U2158" s="86" t="str">
        <f>_xlfn.XLOOKUP(表格1[[#This Row],[Model]],表格3[Model-Input-Ref2],表格3[TOSHIBA/HIGHEST])</f>
        <v>Toshiba SRP</v>
      </c>
      <c r="V2158" s="86">
        <v>1111</v>
      </c>
      <c r="W2158" s="86" t="str">
        <f>_xlfn.CONCAT(表格1[[#This Row],[欄4]],表格1[[#This Row],[inv no]])</f>
        <v>1111520472</v>
      </c>
    </row>
    <row r="2159" spans="1:23" hidden="1">
      <c r="A2159" s="81">
        <v>2157</v>
      </c>
      <c r="B2159" s="86" t="s">
        <v>1772</v>
      </c>
      <c r="C2159" s="86" t="s">
        <v>1773</v>
      </c>
      <c r="D2159" s="82" t="str">
        <f ca="1">OFFSET(Roster!$A$3,MATCH(表格1[[#This Row],[Location]]&amp;" "&amp;表格1[[#This Row],[Shop]]&amp;"*",Roster!$A$4:$A$72,0),DAY(表格1[[#This Row],[date]]),1,1)</f>
        <v>Michelle</v>
      </c>
      <c r="E2159" s="81">
        <f>MONTH(表格1[[#This Row],[date]])</f>
        <v>3</v>
      </c>
      <c r="F2159" s="90">
        <v>46110</v>
      </c>
      <c r="G2159" s="81" t="str">
        <f>VLOOKUP("*"&amp;表格1[[#This Row],[Input]]&amp;"*",'Ref-List'!$B:$D,2,)</f>
        <v>GR-RT300WE-PMA(57)</v>
      </c>
      <c r="H2159" s="81" t="str">
        <f>_xlfn.XLOOKUP(表格1[[#This Row],[Model]],表格3[Model-Input-Ref2],表格3[Product Line])</f>
        <v>變頻式環保雙門雪櫃(233L)</v>
      </c>
      <c r="I2159" s="81" t="str">
        <f>_xlfn.XLOOKUP(表格1[[#This Row],[Model]],表格3[Model-Input-Ref2],表格3[大小電])</f>
        <v>大電</v>
      </c>
      <c r="J2159" s="81" t="str">
        <f>_xlfn.XLOOKUP(表格1[[#This Row],[Model]],表格3[Model-Input-Ref2],表格3[Code])</f>
        <v>REF</v>
      </c>
      <c r="K2159" s="89" t="s">
        <v>1462</v>
      </c>
      <c r="L2159" s="86">
        <v>1</v>
      </c>
      <c r="M2159" s="87">
        <v>2780</v>
      </c>
      <c r="N2159" s="85">
        <f>IFERROR(表格1[[#This Row],[QTY]]*表格1[[#This Row],[Unit Price]],"-")</f>
        <v>2780</v>
      </c>
      <c r="O2159" s="86">
        <v>520486</v>
      </c>
      <c r="R2159" s="86" t="str">
        <f>_xlfn.CONCAT(表格1[[#This Row],[Model]]," ",表格1[[#This Row],[inv no]])</f>
        <v>GR-RT300WE-PMA(57) 520486</v>
      </c>
      <c r="S2159" s="86">
        <f>_xlfn.XLOOKUP(表格1[[#This Row],[Model]],表格3[Model-Input-Ref2],表格3[SRP PRICE])</f>
        <v>4280</v>
      </c>
      <c r="T2159" s="43">
        <f>表格1[[#This Row],[Unit Price]]/表格1[[#This Row],[SRP]]</f>
        <v>0.64953271028037385</v>
      </c>
      <c r="U2159" s="86" t="str">
        <f>_xlfn.XLOOKUP(表格1[[#This Row],[Model]],表格3[Model-Input-Ref2],表格3[TOSHIBA/HIGHEST])</f>
        <v>Toshiba SRP</v>
      </c>
      <c r="V2159" s="86">
        <v>1111</v>
      </c>
      <c r="W2159" s="86" t="str">
        <f>_xlfn.CONCAT(表格1[[#This Row],[欄4]],表格1[[#This Row],[inv no]])</f>
        <v>1111520486</v>
      </c>
    </row>
    <row r="2160" spans="1:23" hidden="1">
      <c r="A2160" s="81">
        <v>2158</v>
      </c>
      <c r="B2160" s="86" t="s">
        <v>1772</v>
      </c>
      <c r="C2160" s="86" t="s">
        <v>1773</v>
      </c>
      <c r="D2160" s="82" t="str">
        <f ca="1">OFFSET(Roster!$A$3,MATCH(表格1[[#This Row],[Location]]&amp;" "&amp;表格1[[#This Row],[Shop]]&amp;"*",Roster!$A$4:$A$72,0),DAY(表格1[[#This Row],[date]]),1,1)</f>
        <v>Michelle</v>
      </c>
      <c r="E2160" s="81">
        <f>MONTH(表格1[[#This Row],[date]])</f>
        <v>3</v>
      </c>
      <c r="F2160" s="90">
        <v>46110</v>
      </c>
      <c r="G2160" s="81" t="str">
        <f>VLOOKUP("*"&amp;表格1[[#This Row],[Input]]&amp;"*",'Ref-List'!$B:$D,2,)</f>
        <v>TW-T21BU95UWH(MG)</v>
      </c>
      <c r="H2160" s="81" t="str">
        <f>_xlfn.XLOOKUP(表格1[[#This Row],[Model]],表格3[Model-Input-Ref2],表格3[Product Line])</f>
        <v>470MM超薄身前置式變頻洗衣機(8.5公斤)</v>
      </c>
      <c r="I2160" s="81" t="str">
        <f>_xlfn.XLOOKUP(表格1[[#This Row],[Model]],表格3[Model-Input-Ref2],表格3[大小電])</f>
        <v>大電</v>
      </c>
      <c r="J2160" s="81" t="str">
        <f>_xlfn.XLOOKUP(表格1[[#This Row],[Model]],表格3[Model-Input-Ref2],表格3[Code])</f>
        <v>LAD</v>
      </c>
      <c r="K2160" s="89" t="s">
        <v>1492</v>
      </c>
      <c r="L2160" s="86">
        <v>1</v>
      </c>
      <c r="M2160" s="87">
        <v>3590</v>
      </c>
      <c r="N2160" s="85">
        <f>IFERROR(表格1[[#This Row],[QTY]]*表格1[[#This Row],[Unit Price]],"-")</f>
        <v>3590</v>
      </c>
      <c r="O2160" s="86">
        <v>520486</v>
      </c>
      <c r="R2160" s="86" t="str">
        <f>_xlfn.CONCAT(表格1[[#This Row],[Model]]," ",表格1[[#This Row],[inv no]])</f>
        <v>TW-T21BU95UWH(MG) 520486</v>
      </c>
      <c r="S2160" s="86">
        <f>_xlfn.XLOOKUP(表格1[[#This Row],[Model]],表格3[Model-Input-Ref2],表格3[SRP PRICE])</f>
        <v>3980</v>
      </c>
      <c r="T2160" s="43">
        <f>表格1[[#This Row],[Unit Price]]/表格1[[#This Row],[SRP]]</f>
        <v>0.90201005025125625</v>
      </c>
      <c r="U2160" s="86" t="str">
        <f>_xlfn.XLOOKUP(表格1[[#This Row],[Model]],表格3[Model-Input-Ref2],表格3[TOSHIBA/HIGHEST])</f>
        <v>Shops Highest Price</v>
      </c>
      <c r="V2160" s="86">
        <v>1111</v>
      </c>
      <c r="W2160" s="86" t="str">
        <f>_xlfn.CONCAT(表格1[[#This Row],[欄4]],表格1[[#This Row],[inv no]])</f>
        <v>1111520486</v>
      </c>
    </row>
    <row r="2161" spans="1:23" hidden="1">
      <c r="A2161" s="81">
        <v>2159</v>
      </c>
      <c r="B2161" s="86" t="s">
        <v>1772</v>
      </c>
      <c r="C2161" s="86" t="s">
        <v>1773</v>
      </c>
      <c r="D2161" s="82" t="str">
        <f ca="1">OFFSET(Roster!$A$3,MATCH(表格1[[#This Row],[Location]]&amp;" "&amp;表格1[[#This Row],[Shop]]&amp;"*",Roster!$A$4:$A$72,0),DAY(表格1[[#This Row],[date]]),1,1)</f>
        <v>Michelle</v>
      </c>
      <c r="E2161" s="81">
        <f>MONTH(表格1[[#This Row],[date]])</f>
        <v>3</v>
      </c>
      <c r="F2161" s="90">
        <v>46110</v>
      </c>
      <c r="G2161" s="81" t="str">
        <f>VLOOKUP("*"&amp;表格1[[#This Row],[Input]]&amp;"*",'Ref-List'!$B:$D,2,)</f>
        <v>TWD-T22BU95UWH(WK)-B</v>
      </c>
      <c r="H2161" s="81" t="str">
        <f>_xlfn.XLOOKUP(表格1[[#This Row],[Model]],表格3[Model-Input-Ref2],表格3[Product Line])</f>
        <v>470MM超薄身前置式變頻洗衣乾衣機 (洗8.5公斤/乾6公斤, 可飛頂)</v>
      </c>
      <c r="I2161" s="81" t="str">
        <f>_xlfn.XLOOKUP(表格1[[#This Row],[Model]],表格3[Model-Input-Ref2],表格3[大小電])</f>
        <v>大電</v>
      </c>
      <c r="J2161" s="81" t="str">
        <f>_xlfn.XLOOKUP(表格1[[#This Row],[Model]],表格3[Model-Input-Ref2],表格3[Code])</f>
        <v>LAD</v>
      </c>
      <c r="K2161" s="89" t="s">
        <v>1421</v>
      </c>
      <c r="L2161" s="86">
        <v>1</v>
      </c>
      <c r="M2161" s="87">
        <v>4780</v>
      </c>
      <c r="N2161" s="85">
        <f>IFERROR(表格1[[#This Row],[QTY]]*表格1[[#This Row],[Unit Price]],"-")</f>
        <v>4780</v>
      </c>
      <c r="O2161" s="86">
        <v>520461</v>
      </c>
      <c r="R2161" s="86" t="str">
        <f>_xlfn.CONCAT(表格1[[#This Row],[Model]]," ",表格1[[#This Row],[inv no]])</f>
        <v>TWD-T22BU95UWH(WK)-B 520461</v>
      </c>
      <c r="S2161" s="86">
        <f>_xlfn.XLOOKUP(表格1[[#This Row],[Model]],表格3[Model-Input-Ref2],表格3[SRP PRICE])</f>
        <v>7480</v>
      </c>
      <c r="T2161" s="43">
        <f>表格1[[#This Row],[Unit Price]]/表格1[[#This Row],[SRP]]</f>
        <v>0.63903743315508021</v>
      </c>
      <c r="U2161" s="86" t="str">
        <f>_xlfn.XLOOKUP(表格1[[#This Row],[Model]],表格3[Model-Input-Ref2],表格3[TOSHIBA/HIGHEST])</f>
        <v>Toshiba SRP</v>
      </c>
      <c r="V2161" s="86">
        <v>1111</v>
      </c>
      <c r="W2161" s="86" t="str">
        <f>_xlfn.CONCAT(表格1[[#This Row],[欄4]],表格1[[#This Row],[inv no]])</f>
        <v>1111520461</v>
      </c>
    </row>
    <row r="2162" spans="1:23" hidden="1">
      <c r="A2162" s="81">
        <v>2160</v>
      </c>
      <c r="B2162" s="86" t="s">
        <v>1772</v>
      </c>
      <c r="C2162" s="86" t="s">
        <v>1773</v>
      </c>
      <c r="D2162" s="82" t="str">
        <f ca="1">OFFSET(Roster!$A$3,MATCH(表格1[[#This Row],[Location]]&amp;" "&amp;表格1[[#This Row],[Shop]]&amp;"*",Roster!$A$4:$A$72,0),DAY(表格1[[#This Row],[date]]),1,1)</f>
        <v>Michelle</v>
      </c>
      <c r="E2162" s="81">
        <f>MONTH(表格1[[#This Row],[date]])</f>
        <v>3</v>
      </c>
      <c r="F2162" s="90">
        <v>46110</v>
      </c>
      <c r="G2162" s="81" t="str">
        <f>VLOOKUP("*"&amp;表格1[[#This Row],[Input]]&amp;"*",'Ref-List'!$B:$D,2,)</f>
        <v>MWP-MM20P(WH)</v>
      </c>
      <c r="H2162" s="81" t="str">
        <f>_xlfn.XLOOKUP(表格1[[#This Row],[Model]],表格3[Model-Input-Ref2],表格3[Product Line])</f>
        <v>旋鈕式燒烤微波爐20L</v>
      </c>
      <c r="I2162" s="81" t="str">
        <f>_xlfn.XLOOKUP(表格1[[#This Row],[Model]],表格3[Model-Input-Ref2],表格3[大小電])</f>
        <v>細電</v>
      </c>
      <c r="J2162" s="81" t="str">
        <f>_xlfn.XLOOKUP(表格1[[#This Row],[Model]],表格3[Model-Input-Ref2],表格3[Code])</f>
        <v>SDA</v>
      </c>
      <c r="K2162" s="89" t="s">
        <v>1270</v>
      </c>
      <c r="L2162" s="86">
        <v>1</v>
      </c>
      <c r="M2162" s="87">
        <v>488</v>
      </c>
      <c r="N2162" s="85">
        <f>IFERROR(表格1[[#This Row],[QTY]]*表格1[[#This Row],[Unit Price]],"-")</f>
        <v>488</v>
      </c>
      <c r="O2162" s="86">
        <v>520450</v>
      </c>
      <c r="R2162" s="86" t="str">
        <f>_xlfn.CONCAT(表格1[[#This Row],[Model]]," ",表格1[[#This Row],[inv no]])</f>
        <v>MWP-MM20P(WH) 520450</v>
      </c>
      <c r="S2162" s="86">
        <f>_xlfn.XLOOKUP(表格1[[#This Row],[Model]],表格3[Model-Input-Ref2],表格3[SRP PRICE])</f>
        <v>648</v>
      </c>
      <c r="T2162" s="43">
        <f>表格1[[#This Row],[Unit Price]]/表格1[[#This Row],[SRP]]</f>
        <v>0.75308641975308643</v>
      </c>
      <c r="U2162" s="86" t="str">
        <f>_xlfn.XLOOKUP(表格1[[#This Row],[Model]],表格3[Model-Input-Ref2],表格3[TOSHIBA/HIGHEST])</f>
        <v>Toshiba SRP</v>
      </c>
      <c r="V2162" s="86">
        <v>1111</v>
      </c>
      <c r="W2162" s="86" t="str">
        <f>_xlfn.CONCAT(表格1[[#This Row],[欄4]],表格1[[#This Row],[inv no]])</f>
        <v>1111520450</v>
      </c>
    </row>
    <row r="2163" spans="1:23" hidden="1">
      <c r="A2163" s="81">
        <v>2161</v>
      </c>
      <c r="B2163" s="86" t="s">
        <v>1772</v>
      </c>
      <c r="C2163" s="86" t="s">
        <v>1773</v>
      </c>
      <c r="D2163" s="82" t="str">
        <f ca="1">OFFSET(Roster!$A$3,MATCH(表格1[[#This Row],[Location]]&amp;" "&amp;表格1[[#This Row],[Shop]]&amp;"*",Roster!$A$4:$A$72,0),DAY(表格1[[#This Row],[date]]),1,1)</f>
        <v>Michelle</v>
      </c>
      <c r="E2163" s="81">
        <f>MONTH(表格1[[#This Row],[date]])</f>
        <v>3</v>
      </c>
      <c r="F2163" s="90">
        <v>46110</v>
      </c>
      <c r="G2163" s="81" t="str">
        <f>VLOOKUP("*"&amp;表格1[[#This Row],[Input]]&amp;"*",'Ref-List'!$B:$D,2,)</f>
        <v>PLK-45SFIH(WT)</v>
      </c>
      <c r="H2163" s="81" t="str">
        <f>_xlfn.XLOOKUP(表格1[[#This Row],[Model]],表格3[Model-Input-Ref2],表格3[Product Line])</f>
        <v>電熱水瓶4.5L</v>
      </c>
      <c r="I2163" s="81" t="str">
        <f>_xlfn.XLOOKUP(表格1[[#This Row],[Model]],表格3[Model-Input-Ref2],表格3[大小電])</f>
        <v>細電</v>
      </c>
      <c r="J2163" s="81" t="str">
        <f>_xlfn.XLOOKUP(表格1[[#This Row],[Model]],表格3[Model-Input-Ref2],表格3[Code])</f>
        <v>SDA</v>
      </c>
      <c r="K2163" s="89" t="s">
        <v>1117</v>
      </c>
      <c r="L2163" s="86">
        <v>1</v>
      </c>
      <c r="M2163" s="87">
        <v>589</v>
      </c>
      <c r="N2163" s="85">
        <f>IFERROR(表格1[[#This Row],[QTY]]*表格1[[#This Row],[Unit Price]],"-")</f>
        <v>589</v>
      </c>
      <c r="O2163" s="86">
        <v>520472</v>
      </c>
      <c r="R2163" s="86" t="str">
        <f>_xlfn.CONCAT(表格1[[#This Row],[Model]]," ",表格1[[#This Row],[inv no]])</f>
        <v>PLK-45SFIH(WT) 520472</v>
      </c>
      <c r="S2163" s="86">
        <f>_xlfn.XLOOKUP(表格1[[#This Row],[Model]],表格3[Model-Input-Ref2],表格3[SRP PRICE])</f>
        <v>788</v>
      </c>
      <c r="T2163" s="43">
        <f>表格1[[#This Row],[Unit Price]]/表格1[[#This Row],[SRP]]</f>
        <v>0.7474619289340102</v>
      </c>
      <c r="U2163" s="86" t="str">
        <f>_xlfn.XLOOKUP(表格1[[#This Row],[Model]],表格3[Model-Input-Ref2],表格3[TOSHIBA/HIGHEST])</f>
        <v>Toshiba SRP</v>
      </c>
      <c r="V2163" s="86">
        <v>1111</v>
      </c>
      <c r="W2163" s="86" t="str">
        <f>_xlfn.CONCAT(表格1[[#This Row],[欄4]],表格1[[#This Row],[inv no]])</f>
        <v>1111520472</v>
      </c>
    </row>
    <row r="2164" spans="1:23" hidden="1">
      <c r="A2164" s="81">
        <v>2162</v>
      </c>
      <c r="B2164" s="86" t="s">
        <v>1772</v>
      </c>
      <c r="C2164" s="86" t="s">
        <v>1773</v>
      </c>
      <c r="D2164" s="82" t="str">
        <f ca="1">OFFSET(Roster!$A$3,MATCH(表格1[[#This Row],[Location]]&amp;" "&amp;表格1[[#This Row],[Shop]]&amp;"*",Roster!$A$4:$A$72,0),DAY(表格1[[#This Row],[date]]),1,1)</f>
        <v>Michelle</v>
      </c>
      <c r="E2164" s="81">
        <f>MONTH(表格1[[#This Row],[date]])</f>
        <v>3</v>
      </c>
      <c r="F2164" s="90">
        <v>46110</v>
      </c>
      <c r="G2164" s="81" t="str">
        <f>VLOOKUP("*"&amp;表格1[[#This Row],[Input]]&amp;"*",'Ref-List'!$B:$D,2,)</f>
        <v>MM2-EG20PC(WH)</v>
      </c>
      <c r="H2164" s="81" t="str">
        <f>_xlfn.XLOOKUP(表格1[[#This Row],[Model]],表格3[Model-Input-Ref2],表格3[Product Line])</f>
        <v>輕觸式燒烤微波爐</v>
      </c>
      <c r="I2164" s="81" t="str">
        <f>_xlfn.XLOOKUP(表格1[[#This Row],[Model]],表格3[Model-Input-Ref2],表格3[大小電])</f>
        <v>細電</v>
      </c>
      <c r="J2164" s="81" t="str">
        <f>_xlfn.XLOOKUP(表格1[[#This Row],[Model]],表格3[Model-Input-Ref2],表格3[Code])</f>
        <v>MCA</v>
      </c>
      <c r="K2164" s="89" t="s">
        <v>1273</v>
      </c>
      <c r="L2164" s="86">
        <v>1</v>
      </c>
      <c r="M2164" s="87">
        <v>698</v>
      </c>
      <c r="N2164" s="85">
        <f>IFERROR(表格1[[#This Row],[QTY]]*表格1[[#This Row],[Unit Price]],"-")</f>
        <v>698</v>
      </c>
      <c r="O2164" s="86">
        <v>520490</v>
      </c>
      <c r="R2164" s="86" t="str">
        <f>_xlfn.CONCAT(表格1[[#This Row],[Model]]," ",表格1[[#This Row],[inv no]])</f>
        <v>MM2-EG20PC(WH) 520490</v>
      </c>
      <c r="S2164" s="86">
        <f>_xlfn.XLOOKUP(表格1[[#This Row],[Model]],表格3[Model-Input-Ref2],表格3[SRP PRICE])</f>
        <v>918</v>
      </c>
      <c r="T2164" s="43">
        <f>表格1[[#This Row],[Unit Price]]/表格1[[#This Row],[SRP]]</f>
        <v>0.76034858387799564</v>
      </c>
      <c r="U2164" s="86" t="str">
        <f>_xlfn.XLOOKUP(表格1[[#This Row],[Model]],表格3[Model-Input-Ref2],表格3[TOSHIBA/HIGHEST])</f>
        <v>Shops Highest Price</v>
      </c>
      <c r="V2164" s="86">
        <v>1111</v>
      </c>
      <c r="W2164" s="86" t="str">
        <f>_xlfn.CONCAT(表格1[[#This Row],[欄4]],表格1[[#This Row],[inv no]])</f>
        <v>1111520490</v>
      </c>
    </row>
    <row r="2165" spans="1:23" hidden="1">
      <c r="A2165" s="81">
        <v>2163</v>
      </c>
      <c r="B2165" s="86" t="s">
        <v>1772</v>
      </c>
      <c r="C2165" s="86" t="s">
        <v>1773</v>
      </c>
      <c r="D2165" s="82" t="str">
        <f ca="1">OFFSET(Roster!$A$3,MATCH(表格1[[#This Row],[Location]]&amp;" "&amp;表格1[[#This Row],[Shop]]&amp;"*",Roster!$A$4:$A$72,0),DAY(表格1[[#This Row],[date]]),1,1)</f>
        <v>Michelle off</v>
      </c>
      <c r="E2165" s="81">
        <f>MONTH(表格1[[#This Row],[date]])</f>
        <v>3</v>
      </c>
      <c r="F2165" s="90">
        <v>46111</v>
      </c>
      <c r="G2165" s="81" t="str">
        <f>VLOOKUP("*"&amp;表格1[[#This Row],[Input]]&amp;"*",'Ref-List'!$B:$D,2,)</f>
        <v>RAC-12G3CVRGR-HK</v>
      </c>
      <c r="H2165" s="81" t="str">
        <f>_xlfn.XLOOKUP(表格1[[#This Row],[Model]],表格3[Model-Input-Ref2],表格3[Product Line])</f>
        <v>R32變頻窗口式冷氣機 (獨立抽濕遙控</v>
      </c>
      <c r="I2165" s="81" t="str">
        <f>_xlfn.XLOOKUP(表格1[[#This Row],[Model]],表格3[Model-Input-Ref2],表格3[大小電])</f>
        <v>大電</v>
      </c>
      <c r="J2165" s="81" t="str">
        <f>_xlfn.XLOOKUP(表格1[[#This Row],[Model]],表格3[Model-Input-Ref2],表格3[Code])</f>
        <v>AC</v>
      </c>
      <c r="K2165" s="89" t="s">
        <v>1454</v>
      </c>
      <c r="L2165" s="86">
        <v>1</v>
      </c>
      <c r="M2165" s="87">
        <v>5980</v>
      </c>
      <c r="N2165" s="85">
        <f>IFERROR(表格1[[#This Row],[QTY]]*表格1[[#This Row],[Unit Price]],"-")</f>
        <v>5980</v>
      </c>
      <c r="O2165" s="86">
        <v>520538</v>
      </c>
      <c r="R2165" s="86" t="str">
        <f>_xlfn.CONCAT(表格1[[#This Row],[Model]]," ",表格1[[#This Row],[inv no]])</f>
        <v>RAC-12G3CVRGR-HK 520538</v>
      </c>
      <c r="S2165" s="86">
        <f>_xlfn.XLOOKUP(表格1[[#This Row],[Model]],表格3[Model-Input-Ref2],表格3[SRP PRICE])</f>
        <v>8680</v>
      </c>
      <c r="T2165" s="43">
        <f>表格1[[#This Row],[Unit Price]]/表格1[[#This Row],[SRP]]</f>
        <v>0.68894009216589858</v>
      </c>
      <c r="U2165" s="86" t="str">
        <f>_xlfn.XLOOKUP(表格1[[#This Row],[Model]],表格3[Model-Input-Ref2],表格3[TOSHIBA/HIGHEST])</f>
        <v>Toshiba SRP</v>
      </c>
      <c r="V2165" s="86">
        <v>1111</v>
      </c>
      <c r="W2165" s="86" t="str">
        <f>_xlfn.CONCAT(表格1[[#This Row],[欄4]],表格1[[#This Row],[inv no]])</f>
        <v>1111520538</v>
      </c>
    </row>
    <row r="2166" spans="1:23" hidden="1">
      <c r="A2166" s="81">
        <v>2164</v>
      </c>
      <c r="B2166" s="86" t="s">
        <v>1772</v>
      </c>
      <c r="C2166" s="86" t="s">
        <v>1773</v>
      </c>
      <c r="D2166" s="82" t="str">
        <f ca="1">OFFSET(Roster!$A$3,MATCH(表格1[[#This Row],[Location]]&amp;" "&amp;表格1[[#This Row],[Shop]]&amp;"*",Roster!$A$4:$A$72,0),DAY(表格1[[#This Row],[date]]),1,1)</f>
        <v>Michelle off</v>
      </c>
      <c r="E2166" s="81">
        <f>MONTH(表格1[[#This Row],[date]])</f>
        <v>3</v>
      </c>
      <c r="F2166" s="90">
        <v>46111</v>
      </c>
      <c r="G2166" s="81" t="str">
        <f>VLOOKUP("*"&amp;表格1[[#This Row],[Input]]&amp;"*",'Ref-List'!$B:$D,2,)</f>
        <v>GR-RT300WE-PMA(57)</v>
      </c>
      <c r="H2166" s="81" t="str">
        <f>_xlfn.XLOOKUP(表格1[[#This Row],[Model]],表格3[Model-Input-Ref2],表格3[Product Line])</f>
        <v>變頻式環保雙門雪櫃(233L)</v>
      </c>
      <c r="I2166" s="81" t="str">
        <f>_xlfn.XLOOKUP(表格1[[#This Row],[Model]],表格3[Model-Input-Ref2],表格3[大小電])</f>
        <v>大電</v>
      </c>
      <c r="J2166" s="81" t="str">
        <f>_xlfn.XLOOKUP(表格1[[#This Row],[Model]],表格3[Model-Input-Ref2],表格3[Code])</f>
        <v>REF</v>
      </c>
      <c r="K2166" s="89" t="s">
        <v>1462</v>
      </c>
      <c r="L2166" s="86">
        <v>1</v>
      </c>
      <c r="M2166" s="87">
        <v>2780</v>
      </c>
      <c r="N2166" s="85">
        <f>IFERROR(表格1[[#This Row],[QTY]]*表格1[[#This Row],[Unit Price]],"-")</f>
        <v>2780</v>
      </c>
      <c r="O2166" s="86">
        <v>520496</v>
      </c>
      <c r="R2166" s="86" t="str">
        <f>_xlfn.CONCAT(表格1[[#This Row],[Model]]," ",表格1[[#This Row],[inv no]])</f>
        <v>GR-RT300WE-PMA(57) 520496</v>
      </c>
      <c r="S2166" s="86">
        <f>_xlfn.XLOOKUP(表格1[[#This Row],[Model]],表格3[Model-Input-Ref2],表格3[SRP PRICE])</f>
        <v>4280</v>
      </c>
      <c r="T2166" s="43">
        <f>表格1[[#This Row],[Unit Price]]/表格1[[#This Row],[SRP]]</f>
        <v>0.64953271028037385</v>
      </c>
      <c r="U2166" s="86" t="str">
        <f>_xlfn.XLOOKUP(表格1[[#This Row],[Model]],表格3[Model-Input-Ref2],表格3[TOSHIBA/HIGHEST])</f>
        <v>Toshiba SRP</v>
      </c>
      <c r="V2166" s="86">
        <v>1111</v>
      </c>
      <c r="W2166" s="86" t="str">
        <f>_xlfn.CONCAT(表格1[[#This Row],[欄4]],表格1[[#This Row],[inv no]])</f>
        <v>1111520496</v>
      </c>
    </row>
    <row r="2167" spans="1:23" hidden="1">
      <c r="A2167" s="81">
        <v>2165</v>
      </c>
      <c r="B2167" s="86" t="s">
        <v>1772</v>
      </c>
      <c r="C2167" s="86" t="s">
        <v>1773</v>
      </c>
      <c r="D2167" s="82" t="str">
        <f ca="1">OFFSET(Roster!$A$3,MATCH(表格1[[#This Row],[Location]]&amp;" "&amp;表格1[[#This Row],[Shop]]&amp;"*",Roster!$A$4:$A$72,0),DAY(表格1[[#This Row],[date]]),1,1)</f>
        <v>Michelle off</v>
      </c>
      <c r="E2167" s="81">
        <f>MONTH(表格1[[#This Row],[date]])</f>
        <v>3</v>
      </c>
      <c r="F2167" s="90">
        <v>46111</v>
      </c>
      <c r="G2167" s="81" t="str">
        <f>VLOOKUP("*"&amp;表格1[[#This Row],[Input]]&amp;"*",'Ref-List'!$B:$D,2,)</f>
        <v>GR-RT300WE-PMA(57)</v>
      </c>
      <c r="H2167" s="81" t="str">
        <f>_xlfn.XLOOKUP(表格1[[#This Row],[Model]],表格3[Model-Input-Ref2],表格3[Product Line])</f>
        <v>變頻式環保雙門雪櫃(233L)</v>
      </c>
      <c r="I2167" s="81" t="str">
        <f>_xlfn.XLOOKUP(表格1[[#This Row],[Model]],表格3[Model-Input-Ref2],表格3[大小電])</f>
        <v>大電</v>
      </c>
      <c r="J2167" s="81" t="str">
        <f>_xlfn.XLOOKUP(表格1[[#This Row],[Model]],表格3[Model-Input-Ref2],表格3[Code])</f>
        <v>REF</v>
      </c>
      <c r="K2167" s="89" t="s">
        <v>1462</v>
      </c>
      <c r="L2167" s="86">
        <v>1</v>
      </c>
      <c r="M2167" s="87">
        <v>2780</v>
      </c>
      <c r="N2167" s="85">
        <f>IFERROR(表格1[[#This Row],[QTY]]*表格1[[#This Row],[Unit Price]],"-")</f>
        <v>2780</v>
      </c>
      <c r="O2167" s="86">
        <v>520503</v>
      </c>
      <c r="R2167" s="86" t="str">
        <f>_xlfn.CONCAT(表格1[[#This Row],[Model]]," ",表格1[[#This Row],[inv no]])</f>
        <v>GR-RT300WE-PMA(57) 520503</v>
      </c>
      <c r="S2167" s="86">
        <f>_xlfn.XLOOKUP(表格1[[#This Row],[Model]],表格3[Model-Input-Ref2],表格3[SRP PRICE])</f>
        <v>4280</v>
      </c>
      <c r="T2167" s="43">
        <f>表格1[[#This Row],[Unit Price]]/表格1[[#This Row],[SRP]]</f>
        <v>0.64953271028037385</v>
      </c>
      <c r="U2167" s="86" t="str">
        <f>_xlfn.XLOOKUP(表格1[[#This Row],[Model]],表格3[Model-Input-Ref2],表格3[TOSHIBA/HIGHEST])</f>
        <v>Toshiba SRP</v>
      </c>
      <c r="V2167" s="86">
        <v>1111</v>
      </c>
      <c r="W2167" s="86" t="str">
        <f>_xlfn.CONCAT(表格1[[#This Row],[欄4]],表格1[[#This Row],[inv no]])</f>
        <v>1111520503</v>
      </c>
    </row>
    <row r="2168" spans="1:23" hidden="1">
      <c r="A2168" s="81">
        <v>2166</v>
      </c>
      <c r="B2168" s="86" t="s">
        <v>1772</v>
      </c>
      <c r="C2168" s="86" t="s">
        <v>1773</v>
      </c>
      <c r="D2168" s="82" t="str">
        <f ca="1">OFFSET(Roster!$A$3,MATCH(表格1[[#This Row],[Location]]&amp;" "&amp;表格1[[#This Row],[Shop]]&amp;"*",Roster!$A$4:$A$72,0),DAY(表格1[[#This Row],[date]]),1,1)</f>
        <v>Michelle off</v>
      </c>
      <c r="E2168" s="81">
        <f>MONTH(表格1[[#This Row],[date]])</f>
        <v>3</v>
      </c>
      <c r="F2168" s="90">
        <v>46111</v>
      </c>
      <c r="G2168" s="81" t="str">
        <f>VLOOKUP("*"&amp;表格1[[#This Row],[Input]]&amp;"*",'Ref-List'!$B:$D,2,)</f>
        <v>GR-RB360WE-PMA(06)</v>
      </c>
      <c r="H2168" s="81" t="str">
        <f>_xlfn.XLOOKUP(表格1[[#This Row],[Model]],表格3[Model-Input-Ref2],表格3[Product Line])</f>
        <v>變頻下置式雙門雪櫃系列270L</v>
      </c>
      <c r="I2168" s="81" t="str">
        <f>_xlfn.XLOOKUP(表格1[[#This Row],[Model]],表格3[Model-Input-Ref2],表格3[大小電])</f>
        <v>大電</v>
      </c>
      <c r="J2168" s="81" t="str">
        <f>_xlfn.XLOOKUP(表格1[[#This Row],[Model]],表格3[Model-Input-Ref2],表格3[Code])</f>
        <v>REF</v>
      </c>
      <c r="K2168" s="89" t="s">
        <v>1282</v>
      </c>
      <c r="L2168" s="86">
        <v>1</v>
      </c>
      <c r="M2168" s="87">
        <v>3580</v>
      </c>
      <c r="N2168" s="85">
        <f>IFERROR(表格1[[#This Row],[QTY]]*表格1[[#This Row],[Unit Price]],"-")</f>
        <v>3580</v>
      </c>
      <c r="O2168" s="86">
        <v>520495</v>
      </c>
      <c r="R2168" s="86" t="str">
        <f>_xlfn.CONCAT(表格1[[#This Row],[Model]]," ",表格1[[#This Row],[inv no]])</f>
        <v>GR-RB360WE-PMA(06) 520495</v>
      </c>
      <c r="S2168" s="86">
        <f>_xlfn.XLOOKUP(表格1[[#This Row],[Model]],表格3[Model-Input-Ref2],表格3[SRP PRICE])</f>
        <v>5080</v>
      </c>
      <c r="T2168" s="43">
        <f>表格1[[#This Row],[Unit Price]]/表格1[[#This Row],[SRP]]</f>
        <v>0.70472440944881887</v>
      </c>
      <c r="U2168" s="86" t="str">
        <f>_xlfn.XLOOKUP(表格1[[#This Row],[Model]],表格3[Model-Input-Ref2],表格3[TOSHIBA/HIGHEST])</f>
        <v>Toshiba SRP</v>
      </c>
      <c r="V2168" s="86">
        <v>1111</v>
      </c>
      <c r="W2168" s="86" t="str">
        <f>_xlfn.CONCAT(表格1[[#This Row],[欄4]],表格1[[#This Row],[inv no]])</f>
        <v>1111520495</v>
      </c>
    </row>
    <row r="2169" spans="1:23" hidden="1">
      <c r="A2169" s="81">
        <v>2167</v>
      </c>
      <c r="B2169" s="86" t="s">
        <v>1772</v>
      </c>
      <c r="C2169" s="86" t="s">
        <v>1773</v>
      </c>
      <c r="D2169" s="82" t="str">
        <f ca="1">OFFSET(Roster!$A$3,MATCH(表格1[[#This Row],[Location]]&amp;" "&amp;表格1[[#This Row],[Shop]]&amp;"*",Roster!$A$4:$A$72,0),DAY(表格1[[#This Row],[date]]),1,1)</f>
        <v>Michelle off</v>
      </c>
      <c r="E2169" s="81">
        <f>MONTH(表格1[[#This Row],[date]])</f>
        <v>3</v>
      </c>
      <c r="F2169" s="90">
        <v>46111</v>
      </c>
      <c r="G2169" s="81" t="str">
        <f>VLOOKUP("*"&amp;表格1[[#This Row],[Input]]&amp;"*",'Ref-List'!$B:$D,2,)</f>
        <v>TW-T21BU95UWH(MG)</v>
      </c>
      <c r="H2169" s="81" t="str">
        <f>_xlfn.XLOOKUP(表格1[[#This Row],[Model]],表格3[Model-Input-Ref2],表格3[Product Line])</f>
        <v>470MM超薄身前置式變頻洗衣機(8.5公斤)</v>
      </c>
      <c r="I2169" s="81" t="str">
        <f>_xlfn.XLOOKUP(表格1[[#This Row],[Model]],表格3[Model-Input-Ref2],表格3[大小電])</f>
        <v>大電</v>
      </c>
      <c r="J2169" s="81" t="str">
        <f>_xlfn.XLOOKUP(表格1[[#This Row],[Model]],表格3[Model-Input-Ref2],表格3[Code])</f>
        <v>LAD</v>
      </c>
      <c r="K2169" s="89" t="s">
        <v>1492</v>
      </c>
      <c r="L2169" s="86">
        <v>1</v>
      </c>
      <c r="M2169" s="87">
        <v>3590</v>
      </c>
      <c r="N2169" s="85">
        <f>IFERROR(表格1[[#This Row],[QTY]]*表格1[[#This Row],[Unit Price]],"-")</f>
        <v>3590</v>
      </c>
      <c r="O2169" s="86">
        <v>520538</v>
      </c>
      <c r="R2169" s="86" t="str">
        <f>_xlfn.CONCAT(表格1[[#This Row],[Model]]," ",表格1[[#This Row],[inv no]])</f>
        <v>TW-T21BU95UWH(MG) 520538</v>
      </c>
      <c r="S2169" s="86">
        <f>_xlfn.XLOOKUP(表格1[[#This Row],[Model]],表格3[Model-Input-Ref2],表格3[SRP PRICE])</f>
        <v>3980</v>
      </c>
      <c r="T2169" s="43">
        <f>表格1[[#This Row],[Unit Price]]/表格1[[#This Row],[SRP]]</f>
        <v>0.90201005025125625</v>
      </c>
      <c r="U2169" s="86" t="str">
        <f>_xlfn.XLOOKUP(表格1[[#This Row],[Model]],表格3[Model-Input-Ref2],表格3[TOSHIBA/HIGHEST])</f>
        <v>Shops Highest Price</v>
      </c>
      <c r="V2169" s="86">
        <v>1111</v>
      </c>
      <c r="W2169" s="86" t="str">
        <f>_xlfn.CONCAT(表格1[[#This Row],[欄4]],表格1[[#This Row],[inv no]])</f>
        <v>1111520538</v>
      </c>
    </row>
    <row r="2170" spans="1:23" hidden="1">
      <c r="A2170" s="81">
        <v>2168</v>
      </c>
      <c r="B2170" s="86" t="s">
        <v>1772</v>
      </c>
      <c r="C2170" s="86" t="s">
        <v>1773</v>
      </c>
      <c r="D2170" s="82" t="str">
        <f ca="1">OFFSET(Roster!$A$3,MATCH(表格1[[#This Row],[Location]]&amp;" "&amp;表格1[[#This Row],[Shop]]&amp;"*",Roster!$A$4:$A$72,0),DAY(表格1[[#This Row],[date]]),1,1)</f>
        <v>Michelle</v>
      </c>
      <c r="E2170" s="81">
        <f>MONTH(表格1[[#This Row],[date]])</f>
        <v>3</v>
      </c>
      <c r="F2170" s="90">
        <v>46112</v>
      </c>
      <c r="G2170" s="81" t="str">
        <f>VLOOKUP("*"&amp;表格1[[#This Row],[Input]]&amp;"*",'Ref-List'!$B:$D,2,)</f>
        <v>GR-RM612WE-PGA(B5)</v>
      </c>
      <c r="H2170" s="81" t="str">
        <f>_xlfn.XLOOKUP(表格1[[#This Row],[Model]],表格3[Model-Input-Ref2],表格3[Product Line])</f>
        <v>變頻五門雪櫃(375L)</v>
      </c>
      <c r="I2170" s="81" t="str">
        <f>_xlfn.XLOOKUP(表格1[[#This Row],[Model]],表格3[Model-Input-Ref2],表格3[大小電])</f>
        <v>大電</v>
      </c>
      <c r="J2170" s="81" t="str">
        <f>_xlfn.XLOOKUP(表格1[[#This Row],[Model]],表格3[Model-Input-Ref2],表格3[Code])</f>
        <v>REF</v>
      </c>
      <c r="K2170" s="89" t="s">
        <v>1257</v>
      </c>
      <c r="L2170" s="86">
        <v>1</v>
      </c>
      <c r="M2170" s="87">
        <v>9980</v>
      </c>
      <c r="N2170" s="85">
        <f>IFERROR(表格1[[#This Row],[QTY]]*表格1[[#This Row],[Unit Price]],"-")</f>
        <v>9980</v>
      </c>
      <c r="O2170" s="86">
        <v>520567</v>
      </c>
      <c r="R2170" s="86" t="str">
        <f>_xlfn.CONCAT(表格1[[#This Row],[Model]]," ",表格1[[#This Row],[inv no]])</f>
        <v>GR-RM612WE-PGA(B5) 520567</v>
      </c>
      <c r="S2170" s="86">
        <f>_xlfn.XLOOKUP(表格1[[#This Row],[Model]],表格3[Model-Input-Ref2],表格3[SRP PRICE])</f>
        <v>11000</v>
      </c>
      <c r="T2170" s="43">
        <f>表格1[[#This Row],[Unit Price]]/表格1[[#This Row],[SRP]]</f>
        <v>0.90727272727272723</v>
      </c>
      <c r="U2170" s="86" t="str">
        <f>_xlfn.XLOOKUP(表格1[[#This Row],[Model]],表格3[Model-Input-Ref2],表格3[TOSHIBA/HIGHEST])</f>
        <v>Shops Highest Price</v>
      </c>
      <c r="V2170" s="86">
        <v>1111</v>
      </c>
      <c r="W2170" s="86" t="str">
        <f>_xlfn.CONCAT(表格1[[#This Row],[欄4]],表格1[[#This Row],[inv no]])</f>
        <v>1111520567</v>
      </c>
    </row>
    <row r="2171" spans="1:23" hidden="1">
      <c r="A2171" s="81">
        <v>2169</v>
      </c>
      <c r="B2171" s="86" t="s">
        <v>1772</v>
      </c>
      <c r="C2171" s="86" t="s">
        <v>1773</v>
      </c>
      <c r="D2171" s="82" t="str">
        <f ca="1">OFFSET(Roster!$A$3,MATCH(表格1[[#This Row],[Location]]&amp;" "&amp;表格1[[#This Row],[Shop]]&amp;"*",Roster!$A$4:$A$72,0),DAY(表格1[[#This Row],[date]]),1,1)</f>
        <v>Michelle</v>
      </c>
      <c r="E2171" s="81">
        <f>MONTH(表格1[[#This Row],[date]])</f>
        <v>3</v>
      </c>
      <c r="F2171" s="90">
        <v>46112</v>
      </c>
      <c r="G2171" s="81" t="str">
        <f>VLOOKUP("*"&amp;表格1[[#This Row],[Input]]&amp;"*",'Ref-List'!$B:$D,2,)</f>
        <v>TWD-T22BU95UWH(WK)-B</v>
      </c>
      <c r="H2171" s="81" t="str">
        <f>_xlfn.XLOOKUP(表格1[[#This Row],[Model]],表格3[Model-Input-Ref2],表格3[Product Line])</f>
        <v>470MM超薄身前置式變頻洗衣乾衣機 (洗8.5公斤/乾6公斤, 可飛頂)</v>
      </c>
      <c r="I2171" s="81" t="str">
        <f>_xlfn.XLOOKUP(表格1[[#This Row],[Model]],表格3[Model-Input-Ref2],表格3[大小電])</f>
        <v>大電</v>
      </c>
      <c r="J2171" s="81" t="str">
        <f>_xlfn.XLOOKUP(表格1[[#This Row],[Model]],表格3[Model-Input-Ref2],表格3[Code])</f>
        <v>LAD</v>
      </c>
      <c r="K2171" s="89" t="s">
        <v>1421</v>
      </c>
      <c r="L2171" s="86">
        <v>1</v>
      </c>
      <c r="M2171" s="87">
        <v>4780</v>
      </c>
      <c r="N2171" s="85">
        <f>IFERROR(表格1[[#This Row],[QTY]]*表格1[[#This Row],[Unit Price]],"-")</f>
        <v>4780</v>
      </c>
      <c r="O2171" s="86">
        <v>520590</v>
      </c>
      <c r="R2171" s="86" t="str">
        <f>_xlfn.CONCAT(表格1[[#This Row],[Model]]," ",表格1[[#This Row],[inv no]])</f>
        <v>TWD-T22BU95UWH(WK)-B 520590</v>
      </c>
      <c r="S2171" s="86">
        <f>_xlfn.XLOOKUP(表格1[[#This Row],[Model]],表格3[Model-Input-Ref2],表格3[SRP PRICE])</f>
        <v>7480</v>
      </c>
      <c r="T2171" s="43">
        <f>表格1[[#This Row],[Unit Price]]/表格1[[#This Row],[SRP]]</f>
        <v>0.63903743315508021</v>
      </c>
      <c r="U2171" s="86" t="str">
        <f>_xlfn.XLOOKUP(表格1[[#This Row],[Model]],表格3[Model-Input-Ref2],表格3[TOSHIBA/HIGHEST])</f>
        <v>Toshiba SRP</v>
      </c>
      <c r="V2171" s="86">
        <v>1111</v>
      </c>
      <c r="W2171" s="86" t="str">
        <f>_xlfn.CONCAT(表格1[[#This Row],[欄4]],表格1[[#This Row],[inv no]])</f>
        <v>1111520590</v>
      </c>
    </row>
    <row r="2172" spans="1:23" hidden="1">
      <c r="A2172" s="81">
        <v>2170</v>
      </c>
      <c r="B2172" s="86" t="s">
        <v>1772</v>
      </c>
      <c r="C2172" s="86" t="s">
        <v>1773</v>
      </c>
      <c r="D2172" s="82" t="str">
        <f ca="1">OFFSET(Roster!$A$3,MATCH(表格1[[#This Row],[Location]]&amp;" "&amp;表格1[[#This Row],[Shop]]&amp;"*",Roster!$A$4:$A$72,0),DAY(表格1[[#This Row],[date]]),1,1)</f>
        <v>Michelle</v>
      </c>
      <c r="E2172" s="81">
        <f>MONTH(表格1[[#This Row],[date]])</f>
        <v>3</v>
      </c>
      <c r="F2172" s="90">
        <v>46112</v>
      </c>
      <c r="G2172" s="81" t="str">
        <f>VLOOKUP("*"&amp;表格1[[#This Row],[Input]]&amp;"*",'Ref-List'!$B:$D,2,)</f>
        <v>MM2-EM20PC(WH)</v>
      </c>
      <c r="H2172" s="81" t="str">
        <f>_xlfn.XLOOKUP(表格1[[#This Row],[Model]],表格3[Model-Input-Ref2],表格3[Product Line])</f>
        <v>輕觸式微波爐 (20公升)</v>
      </c>
      <c r="I2172" s="81" t="str">
        <f>_xlfn.XLOOKUP(表格1[[#This Row],[Model]],表格3[Model-Input-Ref2],表格3[大小電])</f>
        <v>細電</v>
      </c>
      <c r="J2172" s="81" t="str">
        <f>_xlfn.XLOOKUP(表格1[[#This Row],[Model]],表格3[Model-Input-Ref2],表格3[Code])</f>
        <v>MCA</v>
      </c>
      <c r="K2172" s="89" t="s">
        <v>1276</v>
      </c>
      <c r="L2172" s="86">
        <v>1</v>
      </c>
      <c r="M2172" s="87">
        <v>598</v>
      </c>
      <c r="N2172" s="85">
        <f>IFERROR(表格1[[#This Row],[QTY]]*表格1[[#This Row],[Unit Price]],"-")</f>
        <v>598</v>
      </c>
      <c r="O2172" s="86">
        <v>520605</v>
      </c>
      <c r="R2172" s="86" t="str">
        <f>_xlfn.CONCAT(表格1[[#This Row],[Model]]," ",表格1[[#This Row],[inv no]])</f>
        <v>MM2-EM20PC(WH) 520605</v>
      </c>
      <c r="S2172" s="86">
        <f>_xlfn.XLOOKUP(表格1[[#This Row],[Model]],表格3[Model-Input-Ref2],表格3[SRP PRICE])</f>
        <v>788</v>
      </c>
      <c r="T2172" s="43">
        <f>表格1[[#This Row],[Unit Price]]/表格1[[#This Row],[SRP]]</f>
        <v>0.75888324873096447</v>
      </c>
      <c r="U2172" s="86" t="str">
        <f>_xlfn.XLOOKUP(表格1[[#This Row],[Model]],表格3[Model-Input-Ref2],表格3[TOSHIBA/HIGHEST])</f>
        <v>Toshiba SRP</v>
      </c>
      <c r="V2172" s="86">
        <v>1111</v>
      </c>
      <c r="W2172" s="86" t="str">
        <f>_xlfn.CONCAT(表格1[[#This Row],[欄4]],表格1[[#This Row],[inv no]])</f>
        <v>1111520605</v>
      </c>
    </row>
    <row r="2173" spans="1:23" hidden="1">
      <c r="A2173" s="81">
        <v>2171</v>
      </c>
      <c r="B2173" s="86" t="s">
        <v>1772</v>
      </c>
      <c r="C2173" s="86" t="s">
        <v>1773</v>
      </c>
      <c r="D2173" s="82" t="str">
        <f ca="1">OFFSET(Roster!$A$3,MATCH(表格1[[#This Row],[Location]]&amp;" "&amp;表格1[[#This Row],[Shop]]&amp;"*",Roster!$A$4:$A$72,0),DAY(表格1[[#This Row],[date]]),1,1)</f>
        <v>Michelle</v>
      </c>
      <c r="E2173" s="81">
        <f>MONTH(表格1[[#This Row],[date]])</f>
        <v>3</v>
      </c>
      <c r="F2173" s="90">
        <v>46112</v>
      </c>
      <c r="G2173" s="81" t="str">
        <f>VLOOKUP("*"&amp;表格1[[#This Row],[Input]]&amp;"*",'Ref-List'!$B:$D,2,)</f>
        <v>KT-17SHNH</v>
      </c>
      <c r="H2173" s="81" t="str">
        <f>_xlfn.XLOOKUP(表格1[[#This Row],[Model]],表格3[Model-Input-Ref2],表格3[Product Line])</f>
        <v>1.7L無線雙層電熱水壺</v>
      </c>
      <c r="I2173" s="81" t="str">
        <f>_xlfn.XLOOKUP(表格1[[#This Row],[Model]],表格3[Model-Input-Ref2],表格3[大小電])</f>
        <v>細電</v>
      </c>
      <c r="J2173" s="81" t="str">
        <f>_xlfn.XLOOKUP(表格1[[#This Row],[Model]],表格3[Model-Input-Ref2],表格3[Code])</f>
        <v>SDA</v>
      </c>
      <c r="K2173" s="89" t="s">
        <v>1283</v>
      </c>
      <c r="L2173" s="86">
        <v>1</v>
      </c>
      <c r="M2173" s="87">
        <v>198</v>
      </c>
      <c r="N2173" s="85">
        <f>IFERROR(表格1[[#This Row],[QTY]]*表格1[[#This Row],[Unit Price]],"-")</f>
        <v>198</v>
      </c>
      <c r="O2173" s="86">
        <v>520570</v>
      </c>
      <c r="R2173" s="86" t="str">
        <f>_xlfn.CONCAT(表格1[[#This Row],[Model]]," ",表格1[[#This Row],[inv no]])</f>
        <v>KT-17SHNH 520570</v>
      </c>
      <c r="S2173" s="86">
        <f>_xlfn.XLOOKUP(表格1[[#This Row],[Model]],表格3[Model-Input-Ref2],表格3[SRP PRICE])</f>
        <v>299</v>
      </c>
      <c r="T2173" s="43">
        <f>表格1[[#This Row],[Unit Price]]/表格1[[#This Row],[SRP]]</f>
        <v>0.66220735785953178</v>
      </c>
      <c r="U2173" s="86" t="str">
        <f>_xlfn.XLOOKUP(表格1[[#This Row],[Model]],表格3[Model-Input-Ref2],表格3[TOSHIBA/HIGHEST])</f>
        <v>Shops Highest Price</v>
      </c>
      <c r="V2173" s="86">
        <v>1111</v>
      </c>
      <c r="W2173" s="86" t="str">
        <f>_xlfn.CONCAT(表格1[[#This Row],[欄4]],表格1[[#This Row],[inv no]])</f>
        <v>1111520570</v>
      </c>
    </row>
    <row r="2174" spans="1:23" hidden="1">
      <c r="A2174" s="81">
        <v>2172</v>
      </c>
      <c r="B2174" s="86" t="s">
        <v>1260</v>
      </c>
      <c r="C2174" s="86" t="s">
        <v>1778</v>
      </c>
      <c r="D2174" s="82" t="str">
        <f ca="1">OFFSET(Roster!$A$3,MATCH(表格1[[#This Row],[Location]]&amp;" "&amp;表格1[[#This Row],[Shop]]&amp;"*",Roster!$A$4:$A$72,0),DAY(表格1[[#This Row],[date]]),1,1)</f>
        <v>Pam</v>
      </c>
      <c r="E2174" s="81">
        <f>MONTH(表格1[[#This Row],[date]])</f>
        <v>3</v>
      </c>
      <c r="F2174" s="90">
        <v>46082</v>
      </c>
      <c r="G2174" s="81" t="str">
        <f>VLOOKUP("*"&amp;表格1[[#This Row],[Input]]&amp;"*",'Ref-List'!$B:$D,2,)</f>
        <v>RAD-D300H</v>
      </c>
      <c r="H2174" s="81" t="str">
        <f>_xlfn.XLOOKUP(表格1[[#This Row],[Model]],表格3[Model-Input-Ref2],表格3[Product Line])</f>
        <v>壓縮式抽濕機 (30公升)</v>
      </c>
      <c r="I2174" s="81" t="str">
        <f>_xlfn.XLOOKUP(表格1[[#This Row],[Model]],表格3[Model-Input-Ref2],表格3[大小電])</f>
        <v>細電</v>
      </c>
      <c r="J2174" s="81" t="str">
        <f>_xlfn.XLOOKUP(表格1[[#This Row],[Model]],表格3[Model-Input-Ref2],表格3[Code])</f>
        <v>RAC</v>
      </c>
      <c r="K2174" s="89" t="s">
        <v>1252</v>
      </c>
      <c r="L2174" s="86">
        <v>1</v>
      </c>
      <c r="M2174" s="87">
        <v>2280</v>
      </c>
      <c r="N2174" s="85">
        <f>IFERROR(表格1[[#This Row],[QTY]]*表格1[[#This Row],[Unit Price]],"-")</f>
        <v>2280</v>
      </c>
      <c r="O2174" s="142" t="s">
        <v>1779</v>
      </c>
      <c r="R2174" s="86" t="str">
        <f>_xlfn.CONCAT(表格1[[#This Row],[Model]]," ",表格1[[#This Row],[inv no]])</f>
        <v>RAD-D300H 051974</v>
      </c>
      <c r="S2174" s="86">
        <f>_xlfn.XLOOKUP(表格1[[#This Row],[Model]],表格3[Model-Input-Ref2],表格3[SRP PRICE])</f>
        <v>3380</v>
      </c>
      <c r="T2174" s="43">
        <f>表格1[[#This Row],[Unit Price]]/表格1[[#This Row],[SRP]]</f>
        <v>0.67455621301775148</v>
      </c>
      <c r="U2174" s="86" t="str">
        <f>_xlfn.XLOOKUP(表格1[[#This Row],[Model]],表格3[Model-Input-Ref2],表格3[TOSHIBA/HIGHEST])</f>
        <v>Shops Highest Price</v>
      </c>
      <c r="V2174" s="86">
        <v>1111</v>
      </c>
      <c r="W2174" s="86" t="str">
        <f>_xlfn.CONCAT(表格1[[#This Row],[欄4]],表格1[[#This Row],[inv no]])</f>
        <v>1111051974</v>
      </c>
    </row>
    <row r="2175" spans="1:23" hidden="1">
      <c r="A2175" s="81">
        <v>2173</v>
      </c>
      <c r="B2175" s="86" t="s">
        <v>1260</v>
      </c>
      <c r="C2175" s="86" t="s">
        <v>1778</v>
      </c>
      <c r="D2175" s="82" t="str">
        <f ca="1">OFFSET(Roster!$A$3,MATCH(表格1[[#This Row],[Location]]&amp;" "&amp;表格1[[#This Row],[Shop]]&amp;"*",Roster!$A$4:$A$72,0),DAY(表格1[[#This Row],[date]]),1,1)</f>
        <v>Pam</v>
      </c>
      <c r="E2175" s="81">
        <f>MONTH(表格1[[#This Row],[date]])</f>
        <v>3</v>
      </c>
      <c r="F2175" s="90">
        <v>46082</v>
      </c>
      <c r="G2175" s="81" t="str">
        <f>VLOOKUP("*"&amp;表格1[[#This Row],[Input]]&amp;"*",'Ref-List'!$B:$D,2,)</f>
        <v>RAD-D200H</v>
      </c>
      <c r="H2175" s="81" t="str">
        <f>_xlfn.XLOOKUP(表格1[[#This Row],[Model]],表格3[Model-Input-Ref2],表格3[Product Line])</f>
        <v>壓縮式抽濕機 (22公升)</v>
      </c>
      <c r="I2175" s="81" t="str">
        <f>_xlfn.XLOOKUP(表格1[[#This Row],[Model]],表格3[Model-Input-Ref2],表格3[大小電])</f>
        <v>細電</v>
      </c>
      <c r="J2175" s="81" t="str">
        <f>_xlfn.XLOOKUP(表格1[[#This Row],[Model]],表格3[Model-Input-Ref2],表格3[Code])</f>
        <v>RAC</v>
      </c>
      <c r="K2175" s="89" t="s">
        <v>1250</v>
      </c>
      <c r="L2175" s="86">
        <v>1</v>
      </c>
      <c r="M2175" s="87">
        <v>1980</v>
      </c>
      <c r="N2175" s="85">
        <f>IFERROR(表格1[[#This Row],[QTY]]*表格1[[#This Row],[Unit Price]],"-")</f>
        <v>1980</v>
      </c>
      <c r="O2175" s="142" t="s">
        <v>1780</v>
      </c>
      <c r="R2175" s="86" t="str">
        <f>_xlfn.CONCAT(表格1[[#This Row],[Model]]," ",表格1[[#This Row],[inv no]])</f>
        <v>RAD-D200H 052068</v>
      </c>
      <c r="S2175" s="86">
        <f>_xlfn.XLOOKUP(表格1[[#This Row],[Model]],表格3[Model-Input-Ref2],表格3[SRP PRICE])</f>
        <v>2880</v>
      </c>
      <c r="T2175" s="43">
        <f>表格1[[#This Row],[Unit Price]]/表格1[[#This Row],[SRP]]</f>
        <v>0.6875</v>
      </c>
      <c r="U2175" s="86" t="str">
        <f>_xlfn.XLOOKUP(表格1[[#This Row],[Model]],表格3[Model-Input-Ref2],表格3[TOSHIBA/HIGHEST])</f>
        <v>Shops Highest Price</v>
      </c>
      <c r="V2175" s="86">
        <v>1111</v>
      </c>
      <c r="W2175" s="86" t="str">
        <f>_xlfn.CONCAT(表格1[[#This Row],[欄4]],表格1[[#This Row],[inv no]])</f>
        <v>1111052068</v>
      </c>
    </row>
    <row r="2176" spans="1:23" hidden="1">
      <c r="A2176" s="81">
        <v>2174</v>
      </c>
      <c r="B2176" s="86" t="s">
        <v>1260</v>
      </c>
      <c r="C2176" s="86" t="s">
        <v>1778</v>
      </c>
      <c r="D2176" s="82" t="str">
        <f ca="1">OFFSET(Roster!$A$3,MATCH(表格1[[#This Row],[Location]]&amp;" "&amp;表格1[[#This Row],[Shop]]&amp;"*",Roster!$A$4:$A$72,0),DAY(表格1[[#This Row],[date]]),1,1)</f>
        <v>Pam</v>
      </c>
      <c r="E2176" s="81">
        <f>MONTH(表格1[[#This Row],[date]])</f>
        <v>3</v>
      </c>
      <c r="F2176" s="90">
        <v>46082</v>
      </c>
      <c r="G2176" s="81" t="str">
        <f>VLOOKUP("*"&amp;表格1[[#This Row],[Input]]&amp;"*",'Ref-List'!$B:$D,2,)</f>
        <v>GR-RT234WE-PMA(57)</v>
      </c>
      <c r="H2176" s="81" t="str">
        <f>_xlfn.XLOOKUP(表格1[[#This Row],[Model]],表格3[Model-Input-Ref2],表格3[Product Line])</f>
        <v>變頻式環保雙門雪櫃（179L）</v>
      </c>
      <c r="I2176" s="81" t="str">
        <f>_xlfn.XLOOKUP(表格1[[#This Row],[Model]],表格3[Model-Input-Ref2],表格3[大小電])</f>
        <v>大電</v>
      </c>
      <c r="J2176" s="81" t="str">
        <f>_xlfn.XLOOKUP(表格1[[#This Row],[Model]],表格3[Model-Input-Ref2],表格3[Code])</f>
        <v>REF</v>
      </c>
      <c r="K2176" s="89" t="s">
        <v>1423</v>
      </c>
      <c r="L2176" s="86">
        <v>1</v>
      </c>
      <c r="M2176" s="87">
        <v>1980</v>
      </c>
      <c r="N2176" s="85">
        <f>IFERROR(表格1[[#This Row],[QTY]]*表格1[[#This Row],[Unit Price]],"-")</f>
        <v>1980</v>
      </c>
      <c r="O2176" s="142" t="s">
        <v>1781</v>
      </c>
      <c r="R2176" s="86" t="str">
        <f>_xlfn.CONCAT(表格1[[#This Row],[Model]]," ",表格1[[#This Row],[inv no]])</f>
        <v>GR-RT234WE-PMA(57) 052206</v>
      </c>
      <c r="S2176" s="86">
        <f>_xlfn.XLOOKUP(表格1[[#This Row],[Model]],表格3[Model-Input-Ref2],表格3[SRP PRICE])</f>
        <v>3680</v>
      </c>
      <c r="T2176" s="43">
        <f>表格1[[#This Row],[Unit Price]]/表格1[[#This Row],[SRP]]</f>
        <v>0.53804347826086951</v>
      </c>
      <c r="U2176" s="86" t="str">
        <f>_xlfn.XLOOKUP(表格1[[#This Row],[Model]],表格3[Model-Input-Ref2],表格3[TOSHIBA/HIGHEST])</f>
        <v>Toshiba SRP</v>
      </c>
      <c r="V2176" s="86">
        <v>1111</v>
      </c>
      <c r="W2176" s="86" t="str">
        <f>_xlfn.CONCAT(表格1[[#This Row],[欄4]],表格1[[#This Row],[inv no]])</f>
        <v>1111052206</v>
      </c>
    </row>
    <row r="2177" spans="1:23" hidden="1">
      <c r="A2177" s="81">
        <v>2175</v>
      </c>
      <c r="B2177" s="86" t="s">
        <v>1260</v>
      </c>
      <c r="C2177" s="86" t="s">
        <v>1778</v>
      </c>
      <c r="D2177" s="82" t="str">
        <f ca="1">OFFSET(Roster!$A$3,MATCH(表格1[[#This Row],[Location]]&amp;" "&amp;表格1[[#This Row],[Shop]]&amp;"*",Roster!$A$4:$A$72,0),DAY(表格1[[#This Row],[date]]),1,1)</f>
        <v>Pam</v>
      </c>
      <c r="E2177" s="81">
        <f>MONTH(表格1[[#This Row],[date]])</f>
        <v>3</v>
      </c>
      <c r="F2177" s="90">
        <v>46082</v>
      </c>
      <c r="G2177" s="81" t="str">
        <f>VLOOKUP("*"&amp;表格1[[#This Row],[Input]]&amp;"*",'Ref-List'!$B:$D,2,)</f>
        <v>GR-RT234WE-PMA(57)</v>
      </c>
      <c r="H2177" s="81" t="str">
        <f>_xlfn.XLOOKUP(表格1[[#This Row],[Model]],表格3[Model-Input-Ref2],表格3[Product Line])</f>
        <v>變頻式環保雙門雪櫃（179L）</v>
      </c>
      <c r="I2177" s="81" t="str">
        <f>_xlfn.XLOOKUP(表格1[[#This Row],[Model]],表格3[Model-Input-Ref2],表格3[大小電])</f>
        <v>大電</v>
      </c>
      <c r="J2177" s="81" t="str">
        <f>_xlfn.XLOOKUP(表格1[[#This Row],[Model]],表格3[Model-Input-Ref2],表格3[Code])</f>
        <v>REF</v>
      </c>
      <c r="K2177" s="89" t="s">
        <v>1423</v>
      </c>
      <c r="L2177" s="86">
        <v>1</v>
      </c>
      <c r="M2177" s="87">
        <v>1980</v>
      </c>
      <c r="N2177" s="85">
        <f>IFERROR(表格1[[#This Row],[QTY]]*表格1[[#This Row],[Unit Price]],"-")</f>
        <v>1980</v>
      </c>
      <c r="O2177" s="142" t="s">
        <v>1782</v>
      </c>
      <c r="R2177" s="86" t="str">
        <f>_xlfn.CONCAT(表格1[[#This Row],[Model]]," ",表格1[[#This Row],[inv no]])</f>
        <v>GR-RT234WE-PMA(57) 095746</v>
      </c>
      <c r="S2177" s="86">
        <f>_xlfn.XLOOKUP(表格1[[#This Row],[Model]],表格3[Model-Input-Ref2],表格3[SRP PRICE])</f>
        <v>3680</v>
      </c>
      <c r="T2177" s="43">
        <f>表格1[[#This Row],[Unit Price]]/表格1[[#This Row],[SRP]]</f>
        <v>0.53804347826086951</v>
      </c>
      <c r="U2177" s="86" t="str">
        <f>_xlfn.XLOOKUP(表格1[[#This Row],[Model]],表格3[Model-Input-Ref2],表格3[TOSHIBA/HIGHEST])</f>
        <v>Toshiba SRP</v>
      </c>
      <c r="V2177" s="86">
        <v>1111</v>
      </c>
      <c r="W2177" s="86" t="str">
        <f>_xlfn.CONCAT(表格1[[#This Row],[欄4]],表格1[[#This Row],[inv no]])</f>
        <v>1111095746</v>
      </c>
    </row>
    <row r="2178" spans="1:23" hidden="1">
      <c r="A2178" s="81">
        <v>2176</v>
      </c>
      <c r="B2178" s="86" t="s">
        <v>1260</v>
      </c>
      <c r="C2178" s="86" t="s">
        <v>1778</v>
      </c>
      <c r="D2178" s="82" t="str">
        <f ca="1">OFFSET(Roster!$A$3,MATCH(表格1[[#This Row],[Location]]&amp;" "&amp;表格1[[#This Row],[Shop]]&amp;"*",Roster!$A$4:$A$72,0),DAY(表格1[[#This Row],[date]]),1,1)</f>
        <v>Pam off</v>
      </c>
      <c r="E2178" s="81">
        <f>MONTH(表格1[[#This Row],[date]])</f>
        <v>3</v>
      </c>
      <c r="F2178" s="90">
        <v>46083</v>
      </c>
      <c r="G2178" s="81" t="str">
        <f>VLOOKUP("*"&amp;表格1[[#This Row],[Input]]&amp;"*",'Ref-List'!$B:$D,2,)</f>
        <v>MM2-EM20PC(WH)</v>
      </c>
      <c r="H2178" s="81" t="str">
        <f>_xlfn.XLOOKUP(表格1[[#This Row],[Model]],表格3[Model-Input-Ref2],表格3[Product Line])</f>
        <v>輕觸式微波爐 (20公升)</v>
      </c>
      <c r="I2178" s="81" t="str">
        <f>_xlfn.XLOOKUP(表格1[[#This Row],[Model]],表格3[Model-Input-Ref2],表格3[大小電])</f>
        <v>細電</v>
      </c>
      <c r="J2178" s="81" t="str">
        <f>_xlfn.XLOOKUP(表格1[[#This Row],[Model]],表格3[Model-Input-Ref2],表格3[Code])</f>
        <v>MCA</v>
      </c>
      <c r="K2178" s="89" t="s">
        <v>1276</v>
      </c>
      <c r="L2178" s="86">
        <v>1</v>
      </c>
      <c r="M2178" s="87">
        <v>668</v>
      </c>
      <c r="N2178" s="85">
        <f>IFERROR(表格1[[#This Row],[QTY]]*表格1[[#This Row],[Unit Price]],"-")</f>
        <v>668</v>
      </c>
      <c r="O2178" s="86">
        <v>133690</v>
      </c>
      <c r="R2178" s="86" t="str">
        <f>_xlfn.CONCAT(表格1[[#This Row],[Model]]," ",表格1[[#This Row],[inv no]])</f>
        <v>MM2-EM20PC(WH) 133690</v>
      </c>
      <c r="S2178" s="86">
        <f>_xlfn.XLOOKUP(表格1[[#This Row],[Model]],表格3[Model-Input-Ref2],表格3[SRP PRICE])</f>
        <v>788</v>
      </c>
      <c r="T2178" s="43">
        <f>表格1[[#This Row],[Unit Price]]/表格1[[#This Row],[SRP]]</f>
        <v>0.84771573604060912</v>
      </c>
      <c r="U2178" s="86" t="str">
        <f>_xlfn.XLOOKUP(表格1[[#This Row],[Model]],表格3[Model-Input-Ref2],表格3[TOSHIBA/HIGHEST])</f>
        <v>Toshiba SRP</v>
      </c>
      <c r="V2178" s="86">
        <v>1111</v>
      </c>
      <c r="W2178" s="86" t="str">
        <f>_xlfn.CONCAT(表格1[[#This Row],[欄4]],表格1[[#This Row],[inv no]])</f>
        <v>1111133690</v>
      </c>
    </row>
    <row r="2179" spans="1:23" hidden="1">
      <c r="A2179" s="81">
        <v>2177</v>
      </c>
      <c r="B2179" s="86" t="s">
        <v>1260</v>
      </c>
      <c r="C2179" s="86" t="s">
        <v>1778</v>
      </c>
      <c r="D2179" s="82" t="str">
        <f ca="1">OFFSET(Roster!$A$3,MATCH(表格1[[#This Row],[Location]]&amp;" "&amp;表格1[[#This Row],[Shop]]&amp;"*",Roster!$A$4:$A$72,0),DAY(表格1[[#This Row],[date]]),1,1)</f>
        <v>Pam off</v>
      </c>
      <c r="E2179" s="81">
        <f>MONTH(表格1[[#This Row],[date]])</f>
        <v>3</v>
      </c>
      <c r="F2179" s="90">
        <v>46083</v>
      </c>
      <c r="G2179" s="81" t="str">
        <f>VLOOKUP("*"&amp;表格1[[#This Row],[Input]]&amp;"*",'Ref-List'!$B:$D,2,)</f>
        <v>RC-5SLIH(W)</v>
      </c>
      <c r="H2179" s="81" t="str">
        <f>_xlfn.XLOOKUP(表格1[[#This Row],[Model]],表格3[Model-Input-Ref2],表格3[Product Line])</f>
        <v>微型電腦珍珠飯煲</v>
      </c>
      <c r="I2179" s="81" t="str">
        <f>_xlfn.XLOOKUP(表格1[[#This Row],[Model]],表格3[Model-Input-Ref2],表格3[大小電])</f>
        <v>細電</v>
      </c>
      <c r="J2179" s="81" t="str">
        <f>_xlfn.XLOOKUP(表格1[[#This Row],[Model]],表格3[Model-Input-Ref2],表格3[Code])</f>
        <v>SDA</v>
      </c>
      <c r="K2179" s="89" t="s">
        <v>1264</v>
      </c>
      <c r="L2179" s="86">
        <v>1</v>
      </c>
      <c r="M2179" s="87">
        <v>558</v>
      </c>
      <c r="N2179" s="85">
        <f>IFERROR(表格1[[#This Row],[QTY]]*表格1[[#This Row],[Unit Price]],"-")</f>
        <v>558</v>
      </c>
      <c r="O2179" s="142" t="s">
        <v>1783</v>
      </c>
      <c r="R2179" s="86" t="str">
        <f>_xlfn.CONCAT(表格1[[#This Row],[Model]]," ",表格1[[#This Row],[inv no]])</f>
        <v>RC-5SLIH(W) 052520</v>
      </c>
      <c r="S2179" s="86">
        <f>_xlfn.XLOOKUP(表格1[[#This Row],[Model]],表格3[Model-Input-Ref2],表格3[SRP PRICE])</f>
        <v>658</v>
      </c>
      <c r="T2179" s="43">
        <f>表格1[[#This Row],[Unit Price]]/表格1[[#This Row],[SRP]]</f>
        <v>0.84802431610942253</v>
      </c>
      <c r="U2179" s="86" t="str">
        <f>_xlfn.XLOOKUP(表格1[[#This Row],[Model]],表格3[Model-Input-Ref2],表格3[TOSHIBA/HIGHEST])</f>
        <v>Toshiba SRP</v>
      </c>
      <c r="V2179" s="86">
        <v>1111</v>
      </c>
      <c r="W2179" s="86" t="str">
        <f>_xlfn.CONCAT(表格1[[#This Row],[欄4]],表格1[[#This Row],[inv no]])</f>
        <v>1111052520</v>
      </c>
    </row>
    <row r="2180" spans="1:23" hidden="1">
      <c r="A2180" s="81">
        <v>2178</v>
      </c>
      <c r="B2180" s="86" t="s">
        <v>1260</v>
      </c>
      <c r="C2180" s="86" t="s">
        <v>1778</v>
      </c>
      <c r="D2180" s="82" t="str">
        <f ca="1">OFFSET(Roster!$A$3,MATCH(表格1[[#This Row],[Location]]&amp;" "&amp;表格1[[#This Row],[Shop]]&amp;"*",Roster!$A$4:$A$72,0),DAY(表格1[[#This Row],[date]]),1,1)</f>
        <v>Pam off</v>
      </c>
      <c r="E2180" s="81">
        <f>MONTH(表格1[[#This Row],[date]])</f>
        <v>3</v>
      </c>
      <c r="F2180" s="90">
        <v>46083</v>
      </c>
      <c r="G2180" s="81" t="str">
        <f>VLOOKUP("*"&amp;表格1[[#This Row],[Input]]&amp;"*",'Ref-List'!$B:$D,2,)</f>
        <v>RC-10JRUH(N)</v>
      </c>
      <c r="H2180" s="81" t="str">
        <f>_xlfn.XLOOKUP(表格1[[#This Row],[Model]],表格3[Model-Input-Ref2],表格3[Product Line])</f>
        <v>電飯煲</v>
      </c>
      <c r="I2180" s="81" t="str">
        <f>_xlfn.XLOOKUP(表格1[[#This Row],[Model]],表格3[Model-Input-Ref2],表格3[大小電])</f>
        <v>細電</v>
      </c>
      <c r="J2180" s="81" t="str">
        <f>_xlfn.XLOOKUP(表格1[[#This Row],[Model]],表格3[Model-Input-Ref2],表格3[Code])</f>
        <v>SDA</v>
      </c>
      <c r="K2180" s="89" t="s">
        <v>1263</v>
      </c>
      <c r="L2180" s="86">
        <v>1</v>
      </c>
      <c r="M2180" s="87">
        <v>250</v>
      </c>
      <c r="N2180" s="85">
        <f>IFERROR(表格1[[#This Row],[QTY]]*表格1[[#This Row],[Unit Price]],"-")</f>
        <v>250</v>
      </c>
      <c r="O2180" s="86">
        <v>133619</v>
      </c>
      <c r="R2180" s="86" t="str">
        <f>_xlfn.CONCAT(表格1[[#This Row],[Model]]," ",表格1[[#This Row],[inv no]])</f>
        <v>RC-10JRUH(N) 133619</v>
      </c>
      <c r="S2180" s="86">
        <f>_xlfn.XLOOKUP(表格1[[#This Row],[Model]],表格3[Model-Input-Ref2],表格3[SRP PRICE])</f>
        <v>398</v>
      </c>
      <c r="T2180" s="43">
        <f>表格1[[#This Row],[Unit Price]]/表格1[[#This Row],[SRP]]</f>
        <v>0.62814070351758799</v>
      </c>
      <c r="U2180" s="86" t="str">
        <f>_xlfn.XLOOKUP(表格1[[#This Row],[Model]],表格3[Model-Input-Ref2],表格3[TOSHIBA/HIGHEST])</f>
        <v>Shops Highest Price</v>
      </c>
      <c r="V2180" s="86">
        <v>1111</v>
      </c>
      <c r="W2180" s="86" t="str">
        <f>_xlfn.CONCAT(表格1[[#This Row],[欄4]],表格1[[#This Row],[inv no]])</f>
        <v>1111133619</v>
      </c>
    </row>
    <row r="2181" spans="1:23" hidden="1">
      <c r="A2181" s="81">
        <v>2179</v>
      </c>
      <c r="B2181" s="86" t="s">
        <v>1260</v>
      </c>
      <c r="C2181" s="86" t="s">
        <v>1778</v>
      </c>
      <c r="D2181" s="82" t="str">
        <f ca="1">OFFSET(Roster!$A$3,MATCH(表格1[[#This Row],[Location]]&amp;" "&amp;表格1[[#This Row],[Shop]]&amp;"*",Roster!$A$4:$A$72,0),DAY(表格1[[#This Row],[date]]),1,1)</f>
        <v>Pam off</v>
      </c>
      <c r="E2181" s="81">
        <f>MONTH(表格1[[#This Row],[date]])</f>
        <v>3</v>
      </c>
      <c r="F2181" s="90">
        <v>46083</v>
      </c>
      <c r="G2181" s="81" t="str">
        <f>VLOOKUP("*"&amp;表格1[[#This Row],[Input]]&amp;"*",'Ref-List'!$B:$D,2,)</f>
        <v>VC-CLS1BF(R)</v>
      </c>
      <c r="H2181" s="81" t="str">
        <f>_xlfn.XLOOKUP(表格1[[#This Row],[Model]],表格3[Model-Input-Ref2],表格3[Product Line])</f>
        <v>超輕巧2合1無線吸塵機</v>
      </c>
      <c r="I2181" s="81" t="str">
        <f>_xlfn.XLOOKUP(表格1[[#This Row],[Model]],表格3[Model-Input-Ref2],表格3[大小電])</f>
        <v>細電</v>
      </c>
      <c r="J2181" s="81" t="str">
        <f>_xlfn.XLOOKUP(表格1[[#This Row],[Model]],表格3[Model-Input-Ref2],表格3[Code])</f>
        <v>MCA</v>
      </c>
      <c r="K2181" s="89" t="s">
        <v>1265</v>
      </c>
      <c r="L2181" s="86">
        <v>1</v>
      </c>
      <c r="M2181" s="87">
        <v>1480</v>
      </c>
      <c r="N2181" s="85">
        <f>IFERROR(表格1[[#This Row],[QTY]]*表格1[[#This Row],[Unit Price]],"-")</f>
        <v>1480</v>
      </c>
      <c r="O2181" s="142" t="s">
        <v>1784</v>
      </c>
      <c r="R2181" s="86" t="str">
        <f>_xlfn.CONCAT(表格1[[#This Row],[Model]]," ",表格1[[#This Row],[inv no]])</f>
        <v>VC-CLS1BF(R) 052490</v>
      </c>
      <c r="S2181" s="86">
        <f>_xlfn.XLOOKUP(表格1[[#This Row],[Model]],表格3[Model-Input-Ref2],表格3[SRP PRICE])</f>
        <v>1888</v>
      </c>
      <c r="T2181" s="43">
        <f>表格1[[#This Row],[Unit Price]]/表格1[[#This Row],[SRP]]</f>
        <v>0.78389830508474578</v>
      </c>
      <c r="U2181" s="86" t="str">
        <f>_xlfn.XLOOKUP(表格1[[#This Row],[Model]],表格3[Model-Input-Ref2],表格3[TOSHIBA/HIGHEST])</f>
        <v>Toshiba SRP</v>
      </c>
      <c r="V2181" s="86">
        <v>1111</v>
      </c>
      <c r="W2181" s="86" t="str">
        <f>_xlfn.CONCAT(表格1[[#This Row],[欄4]],表格1[[#This Row],[inv no]])</f>
        <v>1111052490</v>
      </c>
    </row>
    <row r="2182" spans="1:23" hidden="1">
      <c r="A2182" s="81">
        <v>2180</v>
      </c>
      <c r="B2182" s="86" t="s">
        <v>1260</v>
      </c>
      <c r="C2182" s="86" t="s">
        <v>1778</v>
      </c>
      <c r="D2182" s="82" t="str">
        <f ca="1">OFFSET(Roster!$A$3,MATCH(表格1[[#This Row],[Location]]&amp;" "&amp;表格1[[#This Row],[Shop]]&amp;"*",Roster!$A$4:$A$72,0),DAY(表格1[[#This Row],[date]]),1,1)</f>
        <v>Pam</v>
      </c>
      <c r="E2182" s="81">
        <f>MONTH(表格1[[#This Row],[date]])</f>
        <v>3</v>
      </c>
      <c r="F2182" s="90">
        <v>46084</v>
      </c>
      <c r="G2182" s="81" t="str">
        <f>VLOOKUP("*"&amp;表格1[[#This Row],[Input]]&amp;"*",'Ref-List'!$B:$D,2,)</f>
        <v>TP-25DR2UHK(W)</v>
      </c>
      <c r="H2182" s="81" t="str">
        <f>_xlfn.XLOOKUP(表格1[[#This Row],[Model]],表格3[Model-Input-Ref2],表格3[Product Line])</f>
        <v>電熱水瓶 (2.5公升)</v>
      </c>
      <c r="I2182" s="81" t="str">
        <f>_xlfn.XLOOKUP(表格1[[#This Row],[Model]],表格3[Model-Input-Ref2],表格3[大小電])</f>
        <v>細電</v>
      </c>
      <c r="J2182" s="81" t="str">
        <f>_xlfn.XLOOKUP(表格1[[#This Row],[Model]],表格3[Model-Input-Ref2],表格3[Code])</f>
        <v>SDA</v>
      </c>
      <c r="K2182" s="89" t="s">
        <v>1285</v>
      </c>
      <c r="L2182" s="86">
        <v>1</v>
      </c>
      <c r="M2182" s="87">
        <v>398</v>
      </c>
      <c r="N2182" s="85">
        <f>IFERROR(表格1[[#This Row],[QTY]]*表格1[[#This Row],[Unit Price]],"-")</f>
        <v>398</v>
      </c>
      <c r="O2182" s="142" t="s">
        <v>1785</v>
      </c>
      <c r="R2182" s="86" t="str">
        <f>_xlfn.CONCAT(表格1[[#This Row],[Model]]," ",表格1[[#This Row],[inv no]])</f>
        <v>TP-25DR2UHK(W) 052662</v>
      </c>
      <c r="S2182" s="86">
        <f>_xlfn.XLOOKUP(表格1[[#This Row],[Model]],表格3[Model-Input-Ref2],表格3[SRP PRICE])</f>
        <v>538</v>
      </c>
      <c r="T2182" s="43">
        <f>表格1[[#This Row],[Unit Price]]/表格1[[#This Row],[SRP]]</f>
        <v>0.7397769516728625</v>
      </c>
      <c r="U2182" s="86" t="str">
        <f>_xlfn.XLOOKUP(表格1[[#This Row],[Model]],表格3[Model-Input-Ref2],表格3[TOSHIBA/HIGHEST])</f>
        <v>Toshiba SRP</v>
      </c>
      <c r="V2182" s="86">
        <v>1111</v>
      </c>
      <c r="W2182" s="86" t="str">
        <f>_xlfn.CONCAT(表格1[[#This Row],[欄4]],表格1[[#This Row],[inv no]])</f>
        <v>1111052662</v>
      </c>
    </row>
    <row r="2183" spans="1:23" hidden="1">
      <c r="A2183" s="81">
        <v>2181</v>
      </c>
      <c r="B2183" s="86" t="s">
        <v>1260</v>
      </c>
      <c r="C2183" s="86" t="s">
        <v>1778</v>
      </c>
      <c r="D2183" s="82" t="str">
        <f ca="1">OFFSET(Roster!$A$3,MATCH(表格1[[#This Row],[Location]]&amp;" "&amp;表格1[[#This Row],[Shop]]&amp;"*",Roster!$A$4:$A$72,0),DAY(表格1[[#This Row],[date]]),1,1)</f>
        <v>Pam</v>
      </c>
      <c r="E2183" s="81">
        <f>MONTH(表格1[[#This Row],[date]])</f>
        <v>3</v>
      </c>
      <c r="F2183" s="90">
        <v>46084</v>
      </c>
      <c r="G2183" s="81" t="str">
        <f>VLOOKUP("*"&amp;表格1[[#This Row],[Input]]&amp;"*",'Ref-List'!$B:$D,2,)</f>
        <v>RAD-D300H</v>
      </c>
      <c r="H2183" s="81" t="str">
        <f>_xlfn.XLOOKUP(表格1[[#This Row],[Model]],表格3[Model-Input-Ref2],表格3[Product Line])</f>
        <v>壓縮式抽濕機 (30公升)</v>
      </c>
      <c r="I2183" s="81" t="str">
        <f>_xlfn.XLOOKUP(表格1[[#This Row],[Model]],表格3[Model-Input-Ref2],表格3[大小電])</f>
        <v>細電</v>
      </c>
      <c r="J2183" s="81" t="str">
        <f>_xlfn.XLOOKUP(表格1[[#This Row],[Model]],表格3[Model-Input-Ref2],表格3[Code])</f>
        <v>RAC</v>
      </c>
      <c r="K2183" s="89" t="s">
        <v>1252</v>
      </c>
      <c r="L2183" s="86">
        <v>1</v>
      </c>
      <c r="M2183" s="87">
        <v>2280</v>
      </c>
      <c r="N2183" s="85">
        <f>IFERROR(表格1[[#This Row],[QTY]]*表格1[[#This Row],[Unit Price]],"-")</f>
        <v>2280</v>
      </c>
      <c r="O2183" s="142" t="s">
        <v>1786</v>
      </c>
      <c r="R2183" s="86" t="str">
        <f>_xlfn.CONCAT(表格1[[#This Row],[Model]]," ",表格1[[#This Row],[inv no]])</f>
        <v>RAD-D300H 052685</v>
      </c>
      <c r="S2183" s="86">
        <f>_xlfn.XLOOKUP(表格1[[#This Row],[Model]],表格3[Model-Input-Ref2],表格3[SRP PRICE])</f>
        <v>3380</v>
      </c>
      <c r="T2183" s="43">
        <f>表格1[[#This Row],[Unit Price]]/表格1[[#This Row],[SRP]]</f>
        <v>0.67455621301775148</v>
      </c>
      <c r="U2183" s="86" t="str">
        <f>_xlfn.XLOOKUP(表格1[[#This Row],[Model]],表格3[Model-Input-Ref2],表格3[TOSHIBA/HIGHEST])</f>
        <v>Shops Highest Price</v>
      </c>
      <c r="V2183" s="86">
        <v>1111</v>
      </c>
      <c r="W2183" s="86" t="str">
        <f>_xlfn.CONCAT(表格1[[#This Row],[欄4]],表格1[[#This Row],[inv no]])</f>
        <v>1111052685</v>
      </c>
    </row>
    <row r="2184" spans="1:23" hidden="1">
      <c r="A2184" s="81">
        <v>2182</v>
      </c>
      <c r="B2184" s="86" t="s">
        <v>1260</v>
      </c>
      <c r="C2184" s="86" t="s">
        <v>1778</v>
      </c>
      <c r="D2184" s="82" t="str">
        <f ca="1">OFFSET(Roster!$A$3,MATCH(表格1[[#This Row],[Location]]&amp;" "&amp;表格1[[#This Row],[Shop]]&amp;"*",Roster!$A$4:$A$72,0),DAY(表格1[[#This Row],[date]]),1,1)</f>
        <v>Pam</v>
      </c>
      <c r="E2184" s="81">
        <f>MONTH(表格1[[#This Row],[date]])</f>
        <v>3</v>
      </c>
      <c r="F2184" s="90">
        <v>46084</v>
      </c>
      <c r="G2184" s="81" t="str">
        <f>VLOOKUP("*"&amp;表格1[[#This Row],[Input]]&amp;"*",'Ref-List'!$B:$D,2,)</f>
        <v>RAD-D300H</v>
      </c>
      <c r="H2184" s="81" t="str">
        <f>_xlfn.XLOOKUP(表格1[[#This Row],[Model]],表格3[Model-Input-Ref2],表格3[Product Line])</f>
        <v>壓縮式抽濕機 (30公升)</v>
      </c>
      <c r="I2184" s="81" t="str">
        <f>_xlfn.XLOOKUP(表格1[[#This Row],[Model]],表格3[Model-Input-Ref2],表格3[大小電])</f>
        <v>細電</v>
      </c>
      <c r="J2184" s="81" t="str">
        <f>_xlfn.XLOOKUP(表格1[[#This Row],[Model]],表格3[Model-Input-Ref2],表格3[Code])</f>
        <v>RAC</v>
      </c>
      <c r="K2184" s="89" t="s">
        <v>1252</v>
      </c>
      <c r="L2184" s="86">
        <v>1</v>
      </c>
      <c r="M2184" s="87">
        <v>2280</v>
      </c>
      <c r="N2184" s="85">
        <f>IFERROR(表格1[[#This Row],[QTY]]*表格1[[#This Row],[Unit Price]],"-")</f>
        <v>2280</v>
      </c>
      <c r="O2184" s="142" t="s">
        <v>1787</v>
      </c>
      <c r="R2184" s="86" t="str">
        <f>_xlfn.CONCAT(表格1[[#This Row],[Model]]," ",表格1[[#This Row],[inv no]])</f>
        <v>RAD-D300H 052752</v>
      </c>
      <c r="S2184" s="86">
        <f>_xlfn.XLOOKUP(表格1[[#This Row],[Model]],表格3[Model-Input-Ref2],表格3[SRP PRICE])</f>
        <v>3380</v>
      </c>
      <c r="T2184" s="43">
        <f>表格1[[#This Row],[Unit Price]]/表格1[[#This Row],[SRP]]</f>
        <v>0.67455621301775148</v>
      </c>
      <c r="U2184" s="86" t="str">
        <f>_xlfn.XLOOKUP(表格1[[#This Row],[Model]],表格3[Model-Input-Ref2],表格3[TOSHIBA/HIGHEST])</f>
        <v>Shops Highest Price</v>
      </c>
      <c r="V2184" s="86">
        <v>1111</v>
      </c>
      <c r="W2184" s="86" t="str">
        <f>_xlfn.CONCAT(表格1[[#This Row],[欄4]],表格1[[#This Row],[inv no]])</f>
        <v>1111052752</v>
      </c>
    </row>
    <row r="2185" spans="1:23" hidden="1">
      <c r="A2185" s="81">
        <v>2183</v>
      </c>
      <c r="B2185" s="86" t="s">
        <v>1260</v>
      </c>
      <c r="C2185" s="86" t="s">
        <v>1778</v>
      </c>
      <c r="D2185" s="82" t="str">
        <f ca="1">OFFSET(Roster!$A$3,MATCH(表格1[[#This Row],[Location]]&amp;" "&amp;表格1[[#This Row],[Shop]]&amp;"*",Roster!$A$4:$A$72,0),DAY(表格1[[#This Row],[date]]),1,1)</f>
        <v>Pam</v>
      </c>
      <c r="E2185" s="81">
        <f>MONTH(表格1[[#This Row],[date]])</f>
        <v>3</v>
      </c>
      <c r="F2185" s="90">
        <v>46084</v>
      </c>
      <c r="G2185" s="81" t="str">
        <f>VLOOKUP("*"&amp;表格1[[#This Row],[Input]]&amp;"*",'Ref-List'!$B:$D,2,)</f>
        <v>RAD-D200H</v>
      </c>
      <c r="H2185" s="81" t="str">
        <f>_xlfn.XLOOKUP(表格1[[#This Row],[Model]],表格3[Model-Input-Ref2],表格3[Product Line])</f>
        <v>壓縮式抽濕機 (22公升)</v>
      </c>
      <c r="I2185" s="81" t="str">
        <f>_xlfn.XLOOKUP(表格1[[#This Row],[Model]],表格3[Model-Input-Ref2],表格3[大小電])</f>
        <v>細電</v>
      </c>
      <c r="J2185" s="81" t="str">
        <f>_xlfn.XLOOKUP(表格1[[#This Row],[Model]],表格3[Model-Input-Ref2],表格3[Code])</f>
        <v>RAC</v>
      </c>
      <c r="K2185" s="89" t="s">
        <v>1250</v>
      </c>
      <c r="L2185" s="86">
        <v>1</v>
      </c>
      <c r="M2185" s="87">
        <v>1880</v>
      </c>
      <c r="N2185" s="85">
        <f>IFERROR(表格1[[#This Row],[QTY]]*表格1[[#This Row],[Unit Price]],"-")</f>
        <v>1880</v>
      </c>
      <c r="O2185" s="86">
        <v>366640</v>
      </c>
      <c r="R2185" s="86" t="str">
        <f>_xlfn.CONCAT(表格1[[#This Row],[Model]]," ",表格1[[#This Row],[inv no]])</f>
        <v>RAD-D200H 366640</v>
      </c>
      <c r="S2185" s="86">
        <f>_xlfn.XLOOKUP(表格1[[#This Row],[Model]],表格3[Model-Input-Ref2],表格3[SRP PRICE])</f>
        <v>2880</v>
      </c>
      <c r="T2185" s="43">
        <f>表格1[[#This Row],[Unit Price]]/表格1[[#This Row],[SRP]]</f>
        <v>0.65277777777777779</v>
      </c>
      <c r="U2185" s="86" t="str">
        <f>_xlfn.XLOOKUP(表格1[[#This Row],[Model]],表格3[Model-Input-Ref2],表格3[TOSHIBA/HIGHEST])</f>
        <v>Shops Highest Price</v>
      </c>
      <c r="V2185" s="86">
        <v>1111</v>
      </c>
      <c r="W2185" s="86" t="str">
        <f>_xlfn.CONCAT(表格1[[#This Row],[欄4]],表格1[[#This Row],[inv no]])</f>
        <v>1111366640</v>
      </c>
    </row>
    <row r="2186" spans="1:23" hidden="1">
      <c r="A2186" s="81">
        <v>2184</v>
      </c>
      <c r="B2186" s="86" t="s">
        <v>1260</v>
      </c>
      <c r="C2186" s="86" t="s">
        <v>1778</v>
      </c>
      <c r="D2186" s="82" t="str">
        <f ca="1">OFFSET(Roster!$A$3,MATCH(表格1[[#This Row],[Location]]&amp;" "&amp;表格1[[#This Row],[Shop]]&amp;"*",Roster!$A$4:$A$72,0),DAY(表格1[[#This Row],[date]]),1,1)</f>
        <v>Pam</v>
      </c>
      <c r="E2186" s="81">
        <f>MONTH(表格1[[#This Row],[date]])</f>
        <v>3</v>
      </c>
      <c r="F2186" s="90">
        <v>46084</v>
      </c>
      <c r="G2186" s="81" t="str">
        <f>VLOOKUP("*"&amp;表格1[[#This Row],[Input]]&amp;"*",'Ref-List'!$B:$D,2,)</f>
        <v>MWP-MM20P(WH)</v>
      </c>
      <c r="H2186" s="81" t="str">
        <f>_xlfn.XLOOKUP(表格1[[#This Row],[Model]],表格3[Model-Input-Ref2],表格3[Product Line])</f>
        <v>旋鈕式燒烤微波爐20L</v>
      </c>
      <c r="I2186" s="81" t="str">
        <f>_xlfn.XLOOKUP(表格1[[#This Row],[Model]],表格3[Model-Input-Ref2],表格3[大小電])</f>
        <v>細電</v>
      </c>
      <c r="J2186" s="81" t="str">
        <f>_xlfn.XLOOKUP(表格1[[#This Row],[Model]],表格3[Model-Input-Ref2],表格3[Code])</f>
        <v>SDA</v>
      </c>
      <c r="K2186" s="89" t="s">
        <v>1270</v>
      </c>
      <c r="L2186" s="86">
        <v>1</v>
      </c>
      <c r="M2186" s="87">
        <v>488</v>
      </c>
      <c r="N2186" s="85">
        <f>IFERROR(表格1[[#This Row],[QTY]]*表格1[[#This Row],[Unit Price]],"-")</f>
        <v>488</v>
      </c>
      <c r="O2186" s="86">
        <v>133909</v>
      </c>
      <c r="R2186" s="86" t="str">
        <f>_xlfn.CONCAT(表格1[[#This Row],[Model]]," ",表格1[[#This Row],[inv no]])</f>
        <v>MWP-MM20P(WH) 133909</v>
      </c>
      <c r="S2186" s="86">
        <f>_xlfn.XLOOKUP(表格1[[#This Row],[Model]],表格3[Model-Input-Ref2],表格3[SRP PRICE])</f>
        <v>648</v>
      </c>
      <c r="T2186" s="43">
        <f>表格1[[#This Row],[Unit Price]]/表格1[[#This Row],[SRP]]</f>
        <v>0.75308641975308643</v>
      </c>
      <c r="U2186" s="86" t="str">
        <f>_xlfn.XLOOKUP(表格1[[#This Row],[Model]],表格3[Model-Input-Ref2],表格3[TOSHIBA/HIGHEST])</f>
        <v>Toshiba SRP</v>
      </c>
      <c r="V2186" s="86">
        <v>1111</v>
      </c>
      <c r="W2186" s="86" t="str">
        <f>_xlfn.CONCAT(表格1[[#This Row],[欄4]],表格1[[#This Row],[inv no]])</f>
        <v>1111133909</v>
      </c>
    </row>
    <row r="2187" spans="1:23" hidden="1">
      <c r="A2187" s="81">
        <v>2185</v>
      </c>
      <c r="B2187" s="86" t="s">
        <v>1260</v>
      </c>
      <c r="C2187" s="86" t="s">
        <v>1778</v>
      </c>
      <c r="D2187" s="82" t="str">
        <f ca="1">OFFSET(Roster!$A$3,MATCH(表格1[[#This Row],[Location]]&amp;" "&amp;表格1[[#This Row],[Shop]]&amp;"*",Roster!$A$4:$A$72,0),DAY(表格1[[#This Row],[date]]),1,1)</f>
        <v>Pam</v>
      </c>
      <c r="E2187" s="81">
        <f>MONTH(表格1[[#This Row],[date]])</f>
        <v>3</v>
      </c>
      <c r="F2187" s="90">
        <v>46084</v>
      </c>
      <c r="G2187" s="81" t="str">
        <f>VLOOKUP("*"&amp;表格1[[#This Row],[Input]]&amp;"*",'Ref-List'!$B:$D,2,)</f>
        <v>RAD-D200H</v>
      </c>
      <c r="H2187" s="81" t="str">
        <f>_xlfn.XLOOKUP(表格1[[#This Row],[Model]],表格3[Model-Input-Ref2],表格3[Product Line])</f>
        <v>壓縮式抽濕機 (22公升)</v>
      </c>
      <c r="I2187" s="81" t="str">
        <f>_xlfn.XLOOKUP(表格1[[#This Row],[Model]],表格3[Model-Input-Ref2],表格3[大小電])</f>
        <v>細電</v>
      </c>
      <c r="J2187" s="81" t="str">
        <f>_xlfn.XLOOKUP(表格1[[#This Row],[Model]],表格3[Model-Input-Ref2],表格3[Code])</f>
        <v>RAC</v>
      </c>
      <c r="K2187" s="89" t="s">
        <v>1250</v>
      </c>
      <c r="L2187" s="86">
        <v>1</v>
      </c>
      <c r="M2187" s="87">
        <v>1880</v>
      </c>
      <c r="N2187" s="85">
        <f>IFERROR(表格1[[#This Row],[QTY]]*表格1[[#This Row],[Unit Price]],"-")</f>
        <v>1880</v>
      </c>
      <c r="O2187" s="142">
        <v>231917</v>
      </c>
      <c r="R2187" s="86" t="str">
        <f>_xlfn.CONCAT(表格1[[#This Row],[Model]]," ",表格1[[#This Row],[inv no]])</f>
        <v>RAD-D200H 231917</v>
      </c>
      <c r="S2187" s="86">
        <f>_xlfn.XLOOKUP(表格1[[#This Row],[Model]],表格3[Model-Input-Ref2],表格3[SRP PRICE])</f>
        <v>2880</v>
      </c>
      <c r="T2187" s="43">
        <f>表格1[[#This Row],[Unit Price]]/表格1[[#This Row],[SRP]]</f>
        <v>0.65277777777777779</v>
      </c>
      <c r="U2187" s="86" t="str">
        <f>_xlfn.XLOOKUP(表格1[[#This Row],[Model]],表格3[Model-Input-Ref2],表格3[TOSHIBA/HIGHEST])</f>
        <v>Shops Highest Price</v>
      </c>
      <c r="V2187" s="86">
        <v>1111</v>
      </c>
      <c r="W2187" s="86" t="str">
        <f>_xlfn.CONCAT(表格1[[#This Row],[欄4]],表格1[[#This Row],[inv no]])</f>
        <v>1111231917</v>
      </c>
    </row>
    <row r="2188" spans="1:23" hidden="1">
      <c r="A2188" s="81">
        <v>2186</v>
      </c>
      <c r="B2188" s="86" t="s">
        <v>1260</v>
      </c>
      <c r="C2188" s="86" t="s">
        <v>1778</v>
      </c>
      <c r="D2188" s="82" t="str">
        <f ca="1">OFFSET(Roster!$A$3,MATCH(表格1[[#This Row],[Location]]&amp;" "&amp;表格1[[#This Row],[Shop]]&amp;"*",Roster!$A$4:$A$72,0),DAY(表格1[[#This Row],[date]]),1,1)</f>
        <v>Pam</v>
      </c>
      <c r="E2188" s="81">
        <f>MONTH(表格1[[#This Row],[date]])</f>
        <v>3</v>
      </c>
      <c r="F2188" s="90">
        <v>46085</v>
      </c>
      <c r="G2188" s="81" t="str">
        <f>VLOOKUP("*"&amp;表格1[[#This Row],[Input]]&amp;"*",'Ref-List'!$B:$D,2,)</f>
        <v>KT-17DRTHK(H)</v>
      </c>
      <c r="H2188" s="81" t="str">
        <f>_xlfn.XLOOKUP(表格1[[#This Row],[Model]],表格3[Model-Input-Ref2],表格3[Product Line])</f>
        <v>無線雙層電熱水壺(1.7公升)</v>
      </c>
      <c r="I2188" s="81" t="str">
        <f>_xlfn.XLOOKUP(表格1[[#This Row],[Model]],表格3[Model-Input-Ref2],表格3[大小電])</f>
        <v>細電</v>
      </c>
      <c r="J2188" s="81" t="str">
        <f>_xlfn.XLOOKUP(表格1[[#This Row],[Model]],表格3[Model-Input-Ref2],表格3[Code])</f>
        <v>SDA</v>
      </c>
      <c r="K2188" s="89" t="s">
        <v>1271</v>
      </c>
      <c r="L2188" s="86">
        <v>1</v>
      </c>
      <c r="M2188" s="87">
        <v>398</v>
      </c>
      <c r="N2188" s="85">
        <f>IFERROR(表格1[[#This Row],[QTY]]*表格1[[#This Row],[Unit Price]],"-")</f>
        <v>398</v>
      </c>
      <c r="O2188" s="142" t="s">
        <v>1788</v>
      </c>
      <c r="R2188" s="86" t="str">
        <f>_xlfn.CONCAT(表格1[[#This Row],[Model]]," ",表格1[[#This Row],[inv no]])</f>
        <v>KT-17DRTHK(H) 053062</v>
      </c>
      <c r="S2188" s="86">
        <f>_xlfn.XLOOKUP(表格1[[#This Row],[Model]],表格3[Model-Input-Ref2],表格3[SRP PRICE])</f>
        <v>498</v>
      </c>
      <c r="T2188" s="43">
        <f>表格1[[#This Row],[Unit Price]]/表格1[[#This Row],[SRP]]</f>
        <v>0.79919678714859432</v>
      </c>
      <c r="U2188" s="86" t="str">
        <f>_xlfn.XLOOKUP(表格1[[#This Row],[Model]],表格3[Model-Input-Ref2],表格3[TOSHIBA/HIGHEST])</f>
        <v>Toshiba SRP</v>
      </c>
      <c r="V2188" s="86">
        <v>1111</v>
      </c>
      <c r="W2188" s="86" t="str">
        <f>_xlfn.CONCAT(表格1[[#This Row],[欄4]],表格1[[#This Row],[inv no]])</f>
        <v>1111053062</v>
      </c>
    </row>
    <row r="2189" spans="1:23" hidden="1">
      <c r="A2189" s="81">
        <v>2187</v>
      </c>
      <c r="B2189" s="86" t="s">
        <v>1260</v>
      </c>
      <c r="C2189" s="86" t="s">
        <v>1778</v>
      </c>
      <c r="D2189" s="82" t="str">
        <f ca="1">OFFSET(Roster!$A$3,MATCH(表格1[[#This Row],[Location]]&amp;" "&amp;表格1[[#This Row],[Shop]]&amp;"*",Roster!$A$4:$A$72,0),DAY(表格1[[#This Row],[date]]),1,1)</f>
        <v>Pam</v>
      </c>
      <c r="E2189" s="81">
        <f>MONTH(表格1[[#This Row],[date]])</f>
        <v>3</v>
      </c>
      <c r="F2189" s="90">
        <v>46085</v>
      </c>
      <c r="G2189" s="81" t="str">
        <f>VLOOKUP("*"&amp;表格1[[#This Row],[Input]]&amp;"*",'Ref-List'!$B:$D,2,)</f>
        <v>TP-25DR2UHK(W)</v>
      </c>
      <c r="H2189" s="81" t="str">
        <f>_xlfn.XLOOKUP(表格1[[#This Row],[Model]],表格3[Model-Input-Ref2],表格3[Product Line])</f>
        <v>電熱水瓶 (2.5公升)</v>
      </c>
      <c r="I2189" s="81" t="str">
        <f>_xlfn.XLOOKUP(表格1[[#This Row],[Model]],表格3[Model-Input-Ref2],表格3[大小電])</f>
        <v>細電</v>
      </c>
      <c r="J2189" s="81" t="str">
        <f>_xlfn.XLOOKUP(表格1[[#This Row],[Model]],表格3[Model-Input-Ref2],表格3[Code])</f>
        <v>SDA</v>
      </c>
      <c r="K2189" s="89" t="s">
        <v>1285</v>
      </c>
      <c r="L2189" s="86">
        <v>1</v>
      </c>
      <c r="M2189" s="87">
        <v>398</v>
      </c>
      <c r="N2189" s="85">
        <f>IFERROR(表格1[[#This Row],[QTY]]*表格1[[#This Row],[Unit Price]],"-")</f>
        <v>398</v>
      </c>
      <c r="O2189" s="86">
        <v>133982</v>
      </c>
      <c r="R2189" s="86" t="str">
        <f>_xlfn.CONCAT(表格1[[#This Row],[Model]]," ",表格1[[#This Row],[inv no]])</f>
        <v>TP-25DR2UHK(W) 133982</v>
      </c>
      <c r="S2189" s="86">
        <f>_xlfn.XLOOKUP(表格1[[#This Row],[Model]],表格3[Model-Input-Ref2],表格3[SRP PRICE])</f>
        <v>538</v>
      </c>
      <c r="T2189" s="43">
        <f>表格1[[#This Row],[Unit Price]]/表格1[[#This Row],[SRP]]</f>
        <v>0.7397769516728625</v>
      </c>
      <c r="U2189" s="86" t="str">
        <f>_xlfn.XLOOKUP(表格1[[#This Row],[Model]],表格3[Model-Input-Ref2],表格3[TOSHIBA/HIGHEST])</f>
        <v>Toshiba SRP</v>
      </c>
      <c r="V2189" s="86">
        <v>1111</v>
      </c>
      <c r="W2189" s="86" t="str">
        <f>_xlfn.CONCAT(表格1[[#This Row],[欄4]],表格1[[#This Row],[inv no]])</f>
        <v>1111133982</v>
      </c>
    </row>
    <row r="2190" spans="1:23" hidden="1">
      <c r="A2190" s="81">
        <v>2188</v>
      </c>
      <c r="B2190" s="86" t="s">
        <v>1260</v>
      </c>
      <c r="C2190" s="86" t="s">
        <v>1778</v>
      </c>
      <c r="D2190" s="82" t="str">
        <f ca="1">OFFSET(Roster!$A$3,MATCH(表格1[[#This Row],[Location]]&amp;" "&amp;表格1[[#This Row],[Shop]]&amp;"*",Roster!$A$4:$A$72,0),DAY(表格1[[#This Row],[date]]),1,1)</f>
        <v>Pam</v>
      </c>
      <c r="E2190" s="81">
        <f>MONTH(表格1[[#This Row],[date]])</f>
        <v>3</v>
      </c>
      <c r="F2190" s="90">
        <v>46085</v>
      </c>
      <c r="G2190" s="81" t="str">
        <f>VLOOKUP("*"&amp;表格1[[#This Row],[Input]]&amp;"*",'Ref-List'!$B:$D,2,)</f>
        <v>KT-17DRTHK(H)</v>
      </c>
      <c r="H2190" s="81" t="str">
        <f>_xlfn.XLOOKUP(表格1[[#This Row],[Model]],表格3[Model-Input-Ref2],表格3[Product Line])</f>
        <v>無線雙層電熱水壺(1.7公升)</v>
      </c>
      <c r="I2190" s="81" t="str">
        <f>_xlfn.XLOOKUP(表格1[[#This Row],[Model]],表格3[Model-Input-Ref2],表格3[大小電])</f>
        <v>細電</v>
      </c>
      <c r="J2190" s="81" t="str">
        <f>_xlfn.XLOOKUP(表格1[[#This Row],[Model]],表格3[Model-Input-Ref2],表格3[Code])</f>
        <v>SDA</v>
      </c>
      <c r="K2190" s="89" t="s">
        <v>1271</v>
      </c>
      <c r="L2190" s="86">
        <v>1</v>
      </c>
      <c r="M2190" s="87">
        <v>398</v>
      </c>
      <c r="N2190" s="85">
        <f>IFERROR(表格1[[#This Row],[QTY]]*表格1[[#This Row],[Unit Price]],"-")</f>
        <v>398</v>
      </c>
      <c r="O2190" s="86">
        <v>366905</v>
      </c>
      <c r="R2190" s="86" t="str">
        <f>_xlfn.CONCAT(表格1[[#This Row],[Model]]," ",表格1[[#This Row],[inv no]])</f>
        <v>KT-17DRTHK(H) 366905</v>
      </c>
      <c r="S2190" s="86">
        <f>_xlfn.XLOOKUP(表格1[[#This Row],[Model]],表格3[Model-Input-Ref2],表格3[SRP PRICE])</f>
        <v>498</v>
      </c>
      <c r="T2190" s="43">
        <f>表格1[[#This Row],[Unit Price]]/表格1[[#This Row],[SRP]]</f>
        <v>0.79919678714859432</v>
      </c>
      <c r="U2190" s="86" t="str">
        <f>_xlfn.XLOOKUP(表格1[[#This Row],[Model]],表格3[Model-Input-Ref2],表格3[TOSHIBA/HIGHEST])</f>
        <v>Toshiba SRP</v>
      </c>
      <c r="V2190" s="86">
        <v>1111</v>
      </c>
      <c r="W2190" s="86" t="str">
        <f>_xlfn.CONCAT(表格1[[#This Row],[欄4]],表格1[[#This Row],[inv no]])</f>
        <v>1111366905</v>
      </c>
    </row>
    <row r="2191" spans="1:23" hidden="1">
      <c r="A2191" s="81">
        <v>2189</v>
      </c>
      <c r="B2191" s="86" t="s">
        <v>1260</v>
      </c>
      <c r="C2191" s="86" t="s">
        <v>1778</v>
      </c>
      <c r="D2191" s="82" t="str">
        <f ca="1">OFFSET(Roster!$A$3,MATCH(表格1[[#This Row],[Location]]&amp;" "&amp;表格1[[#This Row],[Shop]]&amp;"*",Roster!$A$4:$A$72,0),DAY(表格1[[#This Row],[date]]),1,1)</f>
        <v>Pam</v>
      </c>
      <c r="E2191" s="81">
        <f>MONTH(表格1[[#This Row],[date]])</f>
        <v>3</v>
      </c>
      <c r="F2191" s="90">
        <v>46085</v>
      </c>
      <c r="G2191" s="81" t="str">
        <f>VLOOKUP("*"&amp;表格1[[#This Row],[Input]]&amp;"*",'Ref-List'!$B:$D,2,)</f>
        <v>RC-5SLIH(W)</v>
      </c>
      <c r="H2191" s="81" t="str">
        <f>_xlfn.XLOOKUP(表格1[[#This Row],[Model]],表格3[Model-Input-Ref2],表格3[Product Line])</f>
        <v>微型電腦珍珠飯煲</v>
      </c>
      <c r="I2191" s="81" t="str">
        <f>_xlfn.XLOOKUP(表格1[[#This Row],[Model]],表格3[Model-Input-Ref2],表格3[大小電])</f>
        <v>細電</v>
      </c>
      <c r="J2191" s="81" t="str">
        <f>_xlfn.XLOOKUP(表格1[[#This Row],[Model]],表格3[Model-Input-Ref2],表格3[Code])</f>
        <v>SDA</v>
      </c>
      <c r="K2191" s="89" t="s">
        <v>1264</v>
      </c>
      <c r="L2191" s="86">
        <v>1</v>
      </c>
      <c r="M2191" s="87">
        <v>558</v>
      </c>
      <c r="N2191" s="85">
        <f>IFERROR(表格1[[#This Row],[QTY]]*表格1[[#This Row],[Unit Price]],"-")</f>
        <v>558</v>
      </c>
      <c r="O2191" s="142" t="s">
        <v>1789</v>
      </c>
      <c r="R2191" s="86" t="str">
        <f>_xlfn.CONCAT(表格1[[#This Row],[Model]]," ",表格1[[#This Row],[inv no]])</f>
        <v>RC-5SLIH(W) 053007</v>
      </c>
      <c r="S2191" s="86">
        <f>_xlfn.XLOOKUP(表格1[[#This Row],[Model]],表格3[Model-Input-Ref2],表格3[SRP PRICE])</f>
        <v>658</v>
      </c>
      <c r="T2191" s="43">
        <f>表格1[[#This Row],[Unit Price]]/表格1[[#This Row],[SRP]]</f>
        <v>0.84802431610942253</v>
      </c>
      <c r="U2191" s="86" t="str">
        <f>_xlfn.XLOOKUP(表格1[[#This Row],[Model]],表格3[Model-Input-Ref2],表格3[TOSHIBA/HIGHEST])</f>
        <v>Toshiba SRP</v>
      </c>
      <c r="V2191" s="86">
        <v>1111</v>
      </c>
      <c r="W2191" s="86" t="str">
        <f>_xlfn.CONCAT(表格1[[#This Row],[欄4]],表格1[[#This Row],[inv no]])</f>
        <v>1111053007</v>
      </c>
    </row>
    <row r="2192" spans="1:23" hidden="1">
      <c r="A2192" s="81">
        <v>2190</v>
      </c>
      <c r="B2192" s="86" t="s">
        <v>1260</v>
      </c>
      <c r="C2192" s="86" t="s">
        <v>1778</v>
      </c>
      <c r="D2192" s="82" t="str">
        <f ca="1">OFFSET(Roster!$A$3,MATCH(表格1[[#This Row],[Location]]&amp;" "&amp;表格1[[#This Row],[Shop]]&amp;"*",Roster!$A$4:$A$72,0),DAY(表格1[[#This Row],[date]]),1,1)</f>
        <v>Pam</v>
      </c>
      <c r="E2192" s="81">
        <f>MONTH(表格1[[#This Row],[date]])</f>
        <v>3</v>
      </c>
      <c r="F2192" s="90">
        <v>46085</v>
      </c>
      <c r="G2192" s="81" t="str">
        <f>VLOOKUP("*"&amp;表格1[[#This Row],[Input]]&amp;"*",'Ref-List'!$B:$D,2,)</f>
        <v>MM2-EM20PC(WH)</v>
      </c>
      <c r="H2192" s="81" t="str">
        <f>_xlfn.XLOOKUP(表格1[[#This Row],[Model]],表格3[Model-Input-Ref2],表格3[Product Line])</f>
        <v>輕觸式微波爐 (20公升)</v>
      </c>
      <c r="I2192" s="81" t="str">
        <f>_xlfn.XLOOKUP(表格1[[#This Row],[Model]],表格3[Model-Input-Ref2],表格3[大小電])</f>
        <v>細電</v>
      </c>
      <c r="J2192" s="81" t="str">
        <f>_xlfn.XLOOKUP(表格1[[#This Row],[Model]],表格3[Model-Input-Ref2],表格3[Code])</f>
        <v>MCA</v>
      </c>
      <c r="K2192" s="89" t="s">
        <v>1276</v>
      </c>
      <c r="L2192" s="86">
        <v>1</v>
      </c>
      <c r="M2192" s="87">
        <v>668</v>
      </c>
      <c r="N2192" s="85">
        <f>IFERROR(表格1[[#This Row],[QTY]]*表格1[[#This Row],[Unit Price]],"-")</f>
        <v>668</v>
      </c>
      <c r="O2192" s="142" t="s">
        <v>1790</v>
      </c>
      <c r="R2192" s="86" t="str">
        <f>_xlfn.CONCAT(表格1[[#This Row],[Model]]," ",表格1[[#This Row],[inv no]])</f>
        <v>MM2-EM20PC(WH) 053010</v>
      </c>
      <c r="S2192" s="86">
        <f>_xlfn.XLOOKUP(表格1[[#This Row],[Model]],表格3[Model-Input-Ref2],表格3[SRP PRICE])</f>
        <v>788</v>
      </c>
      <c r="T2192" s="43">
        <f>表格1[[#This Row],[Unit Price]]/表格1[[#This Row],[SRP]]</f>
        <v>0.84771573604060912</v>
      </c>
      <c r="U2192" s="86" t="str">
        <f>_xlfn.XLOOKUP(表格1[[#This Row],[Model]],表格3[Model-Input-Ref2],表格3[TOSHIBA/HIGHEST])</f>
        <v>Toshiba SRP</v>
      </c>
      <c r="V2192" s="86">
        <v>1111</v>
      </c>
      <c r="W2192" s="86" t="str">
        <f>_xlfn.CONCAT(表格1[[#This Row],[欄4]],表格1[[#This Row],[inv no]])</f>
        <v>1111053010</v>
      </c>
    </row>
    <row r="2193" spans="1:23" hidden="1">
      <c r="A2193" s="81">
        <v>2191</v>
      </c>
      <c r="B2193" s="86" t="s">
        <v>1260</v>
      </c>
      <c r="C2193" s="86" t="s">
        <v>1778</v>
      </c>
      <c r="D2193" s="82" t="str">
        <f ca="1">OFFSET(Roster!$A$3,MATCH(表格1[[#This Row],[Location]]&amp;" "&amp;表格1[[#This Row],[Shop]]&amp;"*",Roster!$A$4:$A$72,0),DAY(表格1[[#This Row],[date]]),1,1)</f>
        <v>Pam</v>
      </c>
      <c r="E2193" s="81">
        <f>MONTH(表格1[[#This Row],[date]])</f>
        <v>3</v>
      </c>
      <c r="F2193" s="90">
        <v>46085</v>
      </c>
      <c r="G2193" s="81" t="str">
        <f>VLOOKUP("*"&amp;表格1[[#This Row],[Input]]&amp;"*",'Ref-List'!$B:$D,2,)</f>
        <v>RAD-D200H</v>
      </c>
      <c r="H2193" s="81" t="str">
        <f>_xlfn.XLOOKUP(表格1[[#This Row],[Model]],表格3[Model-Input-Ref2],表格3[Product Line])</f>
        <v>壓縮式抽濕機 (22公升)</v>
      </c>
      <c r="I2193" s="81" t="str">
        <f>_xlfn.XLOOKUP(表格1[[#This Row],[Model]],表格3[Model-Input-Ref2],表格3[大小電])</f>
        <v>細電</v>
      </c>
      <c r="J2193" s="81" t="str">
        <f>_xlfn.XLOOKUP(表格1[[#This Row],[Model]],表格3[Model-Input-Ref2],表格3[Code])</f>
        <v>RAC</v>
      </c>
      <c r="K2193" s="89" t="s">
        <v>1250</v>
      </c>
      <c r="L2193" s="86">
        <v>1</v>
      </c>
      <c r="M2193" s="87">
        <v>1880</v>
      </c>
      <c r="N2193" s="85">
        <f>IFERROR(表格1[[#This Row],[QTY]]*表格1[[#This Row],[Unit Price]],"-")</f>
        <v>1880</v>
      </c>
      <c r="O2193" s="142" t="s">
        <v>1791</v>
      </c>
      <c r="R2193" s="86" t="str">
        <f>_xlfn.CONCAT(表格1[[#This Row],[Model]]," ",表格1[[#This Row],[inv no]])</f>
        <v>RAD-D200H 053055</v>
      </c>
      <c r="S2193" s="86">
        <f>_xlfn.XLOOKUP(表格1[[#This Row],[Model]],表格3[Model-Input-Ref2],表格3[SRP PRICE])</f>
        <v>2880</v>
      </c>
      <c r="T2193" s="43">
        <f>表格1[[#This Row],[Unit Price]]/表格1[[#This Row],[SRP]]</f>
        <v>0.65277777777777779</v>
      </c>
      <c r="U2193" s="86" t="str">
        <f>_xlfn.XLOOKUP(表格1[[#This Row],[Model]],表格3[Model-Input-Ref2],表格3[TOSHIBA/HIGHEST])</f>
        <v>Shops Highest Price</v>
      </c>
      <c r="V2193" s="86">
        <v>1111</v>
      </c>
      <c r="W2193" s="86" t="str">
        <f>_xlfn.CONCAT(表格1[[#This Row],[欄4]],表格1[[#This Row],[inv no]])</f>
        <v>1111053055</v>
      </c>
    </row>
    <row r="2194" spans="1:23" ht="16.5" hidden="1">
      <c r="A2194" s="81">
        <v>2192</v>
      </c>
      <c r="B2194" s="86" t="s">
        <v>1260</v>
      </c>
      <c r="C2194" s="86" t="s">
        <v>1778</v>
      </c>
      <c r="D2194" s="82" t="str">
        <f ca="1">OFFSET(Roster!$A$3,MATCH(表格1[[#This Row],[Location]]&amp;" "&amp;表格1[[#This Row],[Shop]]&amp;"*",Roster!$A$4:$A$72,0),DAY(表格1[[#This Row],[date]]),1,1)</f>
        <v>Pam</v>
      </c>
      <c r="E2194" s="81">
        <f>MONTH(表格1[[#This Row],[date]])</f>
        <v>3</v>
      </c>
      <c r="F2194" s="90">
        <v>46085</v>
      </c>
      <c r="G2194" s="81" t="str">
        <f>VLOOKUP("*"&amp;表格1[[#This Row],[Input]]&amp;"*",'Ref-List'!$B:$D,2,)</f>
        <v>MV2-EG26PEI(BK)</v>
      </c>
      <c r="H2194" s="81" t="str">
        <f>_xlfn.XLOOKUP(表格1[[#This Row],[Model]],表格3[Model-Input-Ref2],表格3[Product Line])</f>
        <v>輕觸式平板燒烤微波爐 (26公升)</v>
      </c>
      <c r="I2194" s="81" t="str">
        <f>_xlfn.XLOOKUP(表格1[[#This Row],[Model]],表格3[Model-Input-Ref2],表格3[大小電])</f>
        <v>細電</v>
      </c>
      <c r="J2194" s="81" t="str">
        <f>_xlfn.XLOOKUP(表格1[[#This Row],[Model]],表格3[Model-Input-Ref2],表格3[Code])</f>
        <v>MCA</v>
      </c>
      <c r="K2194" s="89" t="s">
        <v>1394</v>
      </c>
      <c r="L2194" s="86">
        <v>1</v>
      </c>
      <c r="M2194" s="87">
        <v>888</v>
      </c>
      <c r="N2194" s="85">
        <f>IFERROR(表格1[[#This Row],[QTY]]*表格1[[#This Row],[Unit Price]],"-")</f>
        <v>888</v>
      </c>
      <c r="O2194" s="86">
        <v>134117</v>
      </c>
      <c r="P2194" s="141"/>
      <c r="R2194" s="86" t="str">
        <f>_xlfn.CONCAT(表格1[[#This Row],[Model]]," ",表格1[[#This Row],[inv no]])</f>
        <v>MV2-EG26PEI(BK) 134117</v>
      </c>
      <c r="S2194" s="86">
        <f>_xlfn.XLOOKUP(表格1[[#This Row],[Model]],表格3[Model-Input-Ref2],表格3[SRP PRICE])</f>
        <v>1180</v>
      </c>
      <c r="T2194" s="43">
        <f>表格1[[#This Row],[Unit Price]]/表格1[[#This Row],[SRP]]</f>
        <v>0.75254237288135595</v>
      </c>
      <c r="U2194" s="86" t="str">
        <f>_xlfn.XLOOKUP(表格1[[#This Row],[Model]],表格3[Model-Input-Ref2],表格3[TOSHIBA/HIGHEST])</f>
        <v>Toshiba SRP</v>
      </c>
      <c r="V2194" s="86">
        <v>1111</v>
      </c>
      <c r="W2194" s="86" t="str">
        <f>_xlfn.CONCAT(表格1[[#This Row],[欄4]],表格1[[#This Row],[inv no]])</f>
        <v>1111134117</v>
      </c>
    </row>
    <row r="2195" spans="1:23" hidden="1">
      <c r="A2195" s="81">
        <v>2193</v>
      </c>
      <c r="B2195" s="86" t="s">
        <v>1260</v>
      </c>
      <c r="C2195" s="86" t="s">
        <v>1778</v>
      </c>
      <c r="D2195" s="82" t="str">
        <f ca="1">OFFSET(Roster!$A$3,MATCH(表格1[[#This Row],[Location]]&amp;" "&amp;表格1[[#This Row],[Shop]]&amp;"*",Roster!$A$4:$A$72,0),DAY(表格1[[#This Row],[date]]),1,1)</f>
        <v>Pam</v>
      </c>
      <c r="E2195" s="81">
        <f>MONTH(表格1[[#This Row],[date]])</f>
        <v>3</v>
      </c>
      <c r="F2195" s="90">
        <v>46085</v>
      </c>
      <c r="G2195" s="81" t="str">
        <f>VLOOKUP("*"&amp;表格1[[#This Row],[Input]]&amp;"*",'Ref-List'!$B:$D,2,)</f>
        <v>MV2-EG26PEI(BK)</v>
      </c>
      <c r="H2195" s="81" t="str">
        <f>_xlfn.XLOOKUP(表格1[[#This Row],[Model]],表格3[Model-Input-Ref2],表格3[Product Line])</f>
        <v>輕觸式平板燒烤微波爐 (26公升)</v>
      </c>
      <c r="I2195" s="81" t="str">
        <f>_xlfn.XLOOKUP(表格1[[#This Row],[Model]],表格3[Model-Input-Ref2],表格3[大小電])</f>
        <v>細電</v>
      </c>
      <c r="J2195" s="81" t="str">
        <f>_xlfn.XLOOKUP(表格1[[#This Row],[Model]],表格3[Model-Input-Ref2],表格3[Code])</f>
        <v>MCA</v>
      </c>
      <c r="K2195" s="89" t="s">
        <v>1394</v>
      </c>
      <c r="L2195" s="86">
        <v>1</v>
      </c>
      <c r="M2195" s="87">
        <v>888</v>
      </c>
      <c r="N2195" s="85">
        <f>IFERROR(表格1[[#This Row],[QTY]]*表格1[[#This Row],[Unit Price]],"-")</f>
        <v>888</v>
      </c>
      <c r="O2195" s="142" t="s">
        <v>1792</v>
      </c>
      <c r="R2195" s="86" t="str">
        <f>_xlfn.CONCAT(表格1[[#This Row],[Model]]," ",表格1[[#This Row],[inv no]])</f>
        <v>MV2-EG26PEI(BK) 039521</v>
      </c>
      <c r="S2195" s="86">
        <f>_xlfn.XLOOKUP(表格1[[#This Row],[Model]],表格3[Model-Input-Ref2],表格3[SRP PRICE])</f>
        <v>1180</v>
      </c>
      <c r="T2195" s="43">
        <f>表格1[[#This Row],[Unit Price]]/表格1[[#This Row],[SRP]]</f>
        <v>0.75254237288135595</v>
      </c>
      <c r="U2195" s="86" t="str">
        <f>_xlfn.XLOOKUP(表格1[[#This Row],[Model]],表格3[Model-Input-Ref2],表格3[TOSHIBA/HIGHEST])</f>
        <v>Toshiba SRP</v>
      </c>
      <c r="V2195" s="86">
        <v>1111</v>
      </c>
      <c r="W2195" s="86" t="str">
        <f>_xlfn.CONCAT(表格1[[#This Row],[欄4]],表格1[[#This Row],[inv no]])</f>
        <v>1111039521</v>
      </c>
    </row>
    <row r="2196" spans="1:23" ht="16.5" hidden="1">
      <c r="A2196" s="81">
        <v>2194</v>
      </c>
      <c r="B2196" s="86" t="s">
        <v>1260</v>
      </c>
      <c r="C2196" s="86" t="s">
        <v>1778</v>
      </c>
      <c r="D2196" s="82" t="str">
        <f ca="1">OFFSET(Roster!$A$3,MATCH(表格1[[#This Row],[Location]]&amp;" "&amp;表格1[[#This Row],[Shop]]&amp;"*",Roster!$A$4:$A$72,0),DAY(表格1[[#This Row],[date]]),1,1)</f>
        <v>Pam</v>
      </c>
      <c r="E2196" s="81">
        <f>MONTH(表格1[[#This Row],[date]])</f>
        <v>3</v>
      </c>
      <c r="F2196" s="90">
        <v>46085</v>
      </c>
      <c r="G2196" s="81" t="str">
        <f>VLOOKUP("*"&amp;表格1[[#This Row],[Input]]&amp;"*",'Ref-List'!$B:$D,2,)</f>
        <v>TWD-T21BU95UWH(WW)</v>
      </c>
      <c r="H2196" s="81" t="str">
        <f>_xlfn.XLOOKUP(表格1[[#This Row],[Model]],表格3[Model-Input-Ref2],表格3[Product Line])</f>
        <v>470MM超薄身前置式變頻洗衣乾衣機 (洗8.5公斤 乾6公斤)</v>
      </c>
      <c r="I2196" s="81" t="str">
        <f>_xlfn.XLOOKUP(表格1[[#This Row],[Model]],表格3[Model-Input-Ref2],表格3[大小電])</f>
        <v>大電</v>
      </c>
      <c r="J2196" s="81" t="str">
        <f>_xlfn.XLOOKUP(表格1[[#This Row],[Model]],表格3[Model-Input-Ref2],表格3[Code])</f>
        <v>LAD</v>
      </c>
      <c r="K2196" s="89" t="s">
        <v>1461</v>
      </c>
      <c r="L2196" s="86">
        <v>1</v>
      </c>
      <c r="M2196" s="87">
        <v>4480</v>
      </c>
      <c r="N2196" s="85">
        <f>IFERROR(表格1[[#This Row],[QTY]]*表格1[[#This Row],[Unit Price]],"-")</f>
        <v>4480</v>
      </c>
      <c r="O2196" s="86">
        <v>134153</v>
      </c>
      <c r="P2196" s="141"/>
      <c r="R2196" s="86" t="str">
        <f>_xlfn.CONCAT(表格1[[#This Row],[Model]]," ",表格1[[#This Row],[inv no]])</f>
        <v>TWD-T21BU95UWH(WW) 134153</v>
      </c>
      <c r="S2196" s="86">
        <f>_xlfn.XLOOKUP(表格1[[#This Row],[Model]],表格3[Model-Input-Ref2],表格3[SRP PRICE])</f>
        <v>7280</v>
      </c>
      <c r="T2196" s="43">
        <f>表格1[[#This Row],[Unit Price]]/表格1[[#This Row],[SRP]]</f>
        <v>0.61538461538461542</v>
      </c>
      <c r="U2196" s="86" t="str">
        <f>_xlfn.XLOOKUP(表格1[[#This Row],[Model]],表格3[Model-Input-Ref2],表格3[TOSHIBA/HIGHEST])</f>
        <v>Toshiba SRP</v>
      </c>
      <c r="V2196" s="86">
        <v>1111</v>
      </c>
      <c r="W2196" s="86" t="str">
        <f>_xlfn.CONCAT(表格1[[#This Row],[欄4]],表格1[[#This Row],[inv no]])</f>
        <v>1111134153</v>
      </c>
    </row>
    <row r="2197" spans="1:23" hidden="1">
      <c r="A2197" s="81">
        <v>2195</v>
      </c>
      <c r="B2197" s="86" t="s">
        <v>1260</v>
      </c>
      <c r="C2197" s="86" t="s">
        <v>1778</v>
      </c>
      <c r="D2197" s="82" t="str">
        <f ca="1">OFFSET(Roster!$A$3,MATCH(表格1[[#This Row],[Location]]&amp;" "&amp;表格1[[#This Row],[Shop]]&amp;"*",Roster!$A$4:$A$72,0),DAY(表格1[[#This Row],[date]]),1,1)</f>
        <v>Pam</v>
      </c>
      <c r="E2197" s="81">
        <f>MONTH(表格1[[#This Row],[date]])</f>
        <v>3</v>
      </c>
      <c r="F2197" s="90">
        <v>46085</v>
      </c>
      <c r="G2197" s="81" t="str">
        <f>VLOOKUP("*"&amp;表格1[[#This Row],[Input]]&amp;"*",'Ref-List'!$B:$D,2,)</f>
        <v>RAD-D200H</v>
      </c>
      <c r="H2197" s="81" t="str">
        <f>_xlfn.XLOOKUP(表格1[[#This Row],[Model]],表格3[Model-Input-Ref2],表格3[Product Line])</f>
        <v>壓縮式抽濕機 (22公升)</v>
      </c>
      <c r="I2197" s="81" t="str">
        <f>_xlfn.XLOOKUP(表格1[[#This Row],[Model]],表格3[Model-Input-Ref2],表格3[大小電])</f>
        <v>細電</v>
      </c>
      <c r="J2197" s="81" t="str">
        <f>_xlfn.XLOOKUP(表格1[[#This Row],[Model]],表格3[Model-Input-Ref2],表格3[Code])</f>
        <v>RAC</v>
      </c>
      <c r="K2197" s="89" t="s">
        <v>1250</v>
      </c>
      <c r="L2197" s="86">
        <v>1</v>
      </c>
      <c r="M2197" s="87">
        <v>1880</v>
      </c>
      <c r="N2197" s="85">
        <f>IFERROR(表格1[[#This Row],[QTY]]*表格1[[#This Row],[Unit Price]],"-")</f>
        <v>1880</v>
      </c>
      <c r="O2197" s="142">
        <v>367208</v>
      </c>
      <c r="R2197" s="86" t="str">
        <f>_xlfn.CONCAT(表格1[[#This Row],[Model]]," ",表格1[[#This Row],[inv no]])</f>
        <v>RAD-D200H 367208</v>
      </c>
      <c r="S2197" s="86">
        <f>_xlfn.XLOOKUP(表格1[[#This Row],[Model]],表格3[Model-Input-Ref2],表格3[SRP PRICE])</f>
        <v>2880</v>
      </c>
      <c r="T2197" s="43">
        <f>表格1[[#This Row],[Unit Price]]/表格1[[#This Row],[SRP]]</f>
        <v>0.65277777777777779</v>
      </c>
      <c r="U2197" s="86" t="str">
        <f>_xlfn.XLOOKUP(表格1[[#This Row],[Model]],表格3[Model-Input-Ref2],表格3[TOSHIBA/HIGHEST])</f>
        <v>Shops Highest Price</v>
      </c>
      <c r="V2197" s="86">
        <v>1111</v>
      </c>
      <c r="W2197" s="86" t="str">
        <f>_xlfn.CONCAT(表格1[[#This Row],[欄4]],表格1[[#This Row],[inv no]])</f>
        <v>1111367208</v>
      </c>
    </row>
    <row r="2198" spans="1:23" hidden="1">
      <c r="A2198" s="81">
        <v>2196</v>
      </c>
      <c r="B2198" s="86" t="s">
        <v>1260</v>
      </c>
      <c r="C2198" s="86" t="s">
        <v>1777</v>
      </c>
      <c r="D2198" s="82" t="str">
        <f ca="1">OFFSET(Roster!$A$3,MATCH(表格1[[#This Row],[Location]]&amp;" "&amp;表格1[[#This Row],[Shop]]&amp;"*",Roster!$A$4:$A$72,0),DAY(表格1[[#This Row],[date]]),1,1)</f>
        <v>Pam</v>
      </c>
      <c r="E2198" s="81">
        <f>MONTH(表格1[[#This Row],[date]])</f>
        <v>3</v>
      </c>
      <c r="F2198" s="90">
        <v>46086</v>
      </c>
      <c r="G2198" s="81" t="str">
        <f>VLOOKUP("*"&amp;表格1[[#This Row],[Input]]&amp;"*",'Ref-List'!$B:$D,2,)</f>
        <v>RAD-D200H</v>
      </c>
      <c r="H2198" s="81" t="str">
        <f>_xlfn.XLOOKUP(表格1[[#This Row],[Model]],表格3[Model-Input-Ref2],表格3[Product Line])</f>
        <v>壓縮式抽濕機 (22公升)</v>
      </c>
      <c r="I2198" s="81" t="str">
        <f>_xlfn.XLOOKUP(表格1[[#This Row],[Model]],表格3[Model-Input-Ref2],表格3[大小電])</f>
        <v>細電</v>
      </c>
      <c r="J2198" s="81" t="str">
        <f>_xlfn.XLOOKUP(表格1[[#This Row],[Model]],表格3[Model-Input-Ref2],表格3[Code])</f>
        <v>RAC</v>
      </c>
      <c r="K2198" s="89" t="s">
        <v>1250</v>
      </c>
      <c r="L2198" s="86">
        <v>1</v>
      </c>
      <c r="M2198" s="87">
        <v>1880</v>
      </c>
      <c r="N2198" s="85">
        <f>IFERROR(表格1[[#This Row],[QTY]]*表格1[[#This Row],[Unit Price]],"-")</f>
        <v>1880</v>
      </c>
      <c r="O2198" s="142" t="s">
        <v>1793</v>
      </c>
      <c r="R2198" s="86" t="str">
        <f>_xlfn.CONCAT(表格1[[#This Row],[Model]]," ",表格1[[#This Row],[inv no]])</f>
        <v>RAD-D200H 053234</v>
      </c>
      <c r="S2198" s="86">
        <f>_xlfn.XLOOKUP(表格1[[#This Row],[Model]],表格3[Model-Input-Ref2],表格3[SRP PRICE])</f>
        <v>2880</v>
      </c>
      <c r="T2198" s="43">
        <f>表格1[[#This Row],[Unit Price]]/表格1[[#This Row],[SRP]]</f>
        <v>0.65277777777777779</v>
      </c>
      <c r="U2198" s="86" t="str">
        <f>_xlfn.XLOOKUP(表格1[[#This Row],[Model]],表格3[Model-Input-Ref2],表格3[TOSHIBA/HIGHEST])</f>
        <v>Shops Highest Price</v>
      </c>
      <c r="V2198" s="86">
        <v>1111</v>
      </c>
      <c r="W2198" s="86" t="str">
        <f>_xlfn.CONCAT(表格1[[#This Row],[欄4]],表格1[[#This Row],[inv no]])</f>
        <v>1111053234</v>
      </c>
    </row>
    <row r="2199" spans="1:23" hidden="1">
      <c r="A2199" s="81">
        <v>2197</v>
      </c>
      <c r="B2199" s="86" t="s">
        <v>1260</v>
      </c>
      <c r="C2199" s="86" t="s">
        <v>1777</v>
      </c>
      <c r="D2199" s="82" t="str">
        <f ca="1">OFFSET(Roster!$A$3,MATCH(表格1[[#This Row],[Location]]&amp;" "&amp;表格1[[#This Row],[Shop]]&amp;"*",Roster!$A$4:$A$72,0),DAY(表格1[[#This Row],[date]]),1,1)</f>
        <v>Pam</v>
      </c>
      <c r="E2199" s="81">
        <f>MONTH(表格1[[#This Row],[date]])</f>
        <v>3</v>
      </c>
      <c r="F2199" s="90">
        <v>46086</v>
      </c>
      <c r="G2199" s="81" t="str">
        <f>VLOOKUP("*"&amp;表格1[[#This Row],[Input]]&amp;"*",'Ref-List'!$B:$D,2,)</f>
        <v>KT-17DRTHK(H)</v>
      </c>
      <c r="H2199" s="81" t="str">
        <f>_xlfn.XLOOKUP(表格1[[#This Row],[Model]],表格3[Model-Input-Ref2],表格3[Product Line])</f>
        <v>無線雙層電熱水壺(1.7公升)</v>
      </c>
      <c r="I2199" s="81" t="str">
        <f>_xlfn.XLOOKUP(表格1[[#This Row],[Model]],表格3[Model-Input-Ref2],表格3[大小電])</f>
        <v>細電</v>
      </c>
      <c r="J2199" s="81" t="str">
        <f>_xlfn.XLOOKUP(表格1[[#This Row],[Model]],表格3[Model-Input-Ref2],表格3[Code])</f>
        <v>SDA</v>
      </c>
      <c r="K2199" s="89" t="s">
        <v>1271</v>
      </c>
      <c r="L2199" s="86">
        <v>1</v>
      </c>
      <c r="M2199" s="87">
        <v>398</v>
      </c>
      <c r="N2199" s="85">
        <f>IFERROR(表格1[[#This Row],[QTY]]*表格1[[#This Row],[Unit Price]],"-")</f>
        <v>398</v>
      </c>
      <c r="O2199" s="86">
        <v>134259</v>
      </c>
      <c r="R2199" s="86" t="str">
        <f>_xlfn.CONCAT(表格1[[#This Row],[Model]]," ",表格1[[#This Row],[inv no]])</f>
        <v>KT-17DRTHK(H) 134259</v>
      </c>
      <c r="S2199" s="86">
        <f>_xlfn.XLOOKUP(表格1[[#This Row],[Model]],表格3[Model-Input-Ref2],表格3[SRP PRICE])</f>
        <v>498</v>
      </c>
      <c r="T2199" s="43">
        <f>表格1[[#This Row],[Unit Price]]/表格1[[#This Row],[SRP]]</f>
        <v>0.79919678714859432</v>
      </c>
      <c r="U2199" s="86" t="str">
        <f>_xlfn.XLOOKUP(表格1[[#This Row],[Model]],表格3[Model-Input-Ref2],表格3[TOSHIBA/HIGHEST])</f>
        <v>Toshiba SRP</v>
      </c>
      <c r="V2199" s="86">
        <v>1111</v>
      </c>
      <c r="W2199" s="86" t="str">
        <f>_xlfn.CONCAT(表格1[[#This Row],[欄4]],表格1[[#This Row],[inv no]])</f>
        <v>1111134259</v>
      </c>
    </row>
    <row r="2200" spans="1:23" hidden="1">
      <c r="A2200" s="81">
        <v>2198</v>
      </c>
      <c r="B2200" s="86" t="s">
        <v>1260</v>
      </c>
      <c r="C2200" s="86" t="s">
        <v>1777</v>
      </c>
      <c r="D2200" s="82" t="str">
        <f ca="1">OFFSET(Roster!$A$3,MATCH(表格1[[#This Row],[Location]]&amp;" "&amp;表格1[[#This Row],[Shop]]&amp;"*",Roster!$A$4:$A$72,0),DAY(表格1[[#This Row],[date]]),1,1)</f>
        <v>Pam off</v>
      </c>
      <c r="E2200" s="81">
        <f>MONTH(表格1[[#This Row],[date]])</f>
        <v>3</v>
      </c>
      <c r="F2200" s="90">
        <v>46087</v>
      </c>
      <c r="G2200" s="81" t="str">
        <f>VLOOKUP("*"&amp;表格1[[#This Row],[Input]]&amp;"*",'Ref-List'!$B:$D,2,)</f>
        <v>KT-17DRTHK(H)</v>
      </c>
      <c r="H2200" s="81" t="str">
        <f>_xlfn.XLOOKUP(表格1[[#This Row],[Model]],表格3[Model-Input-Ref2],表格3[Product Line])</f>
        <v>無線雙層電熱水壺(1.7公升)</v>
      </c>
      <c r="I2200" s="81" t="str">
        <f>_xlfn.XLOOKUP(表格1[[#This Row],[Model]],表格3[Model-Input-Ref2],表格3[大小電])</f>
        <v>細電</v>
      </c>
      <c r="J2200" s="81" t="str">
        <f>_xlfn.XLOOKUP(表格1[[#This Row],[Model]],表格3[Model-Input-Ref2],表格3[Code])</f>
        <v>SDA</v>
      </c>
      <c r="K2200" s="89" t="s">
        <v>1271</v>
      </c>
      <c r="L2200" s="86">
        <v>1</v>
      </c>
      <c r="M2200" s="87">
        <v>398</v>
      </c>
      <c r="N2200" s="85">
        <f>IFERROR(表格1[[#This Row],[QTY]]*表格1[[#This Row],[Unit Price]],"-")</f>
        <v>398</v>
      </c>
      <c r="O2200" s="142" t="s">
        <v>1794</v>
      </c>
      <c r="R2200" s="86" t="str">
        <f>_xlfn.CONCAT(表格1[[#This Row],[Model]]," ",表格1[[#This Row],[inv no]])</f>
        <v>KT-17DRTHK(H) 053649</v>
      </c>
      <c r="S2200" s="86">
        <f>_xlfn.XLOOKUP(表格1[[#This Row],[Model]],表格3[Model-Input-Ref2],表格3[SRP PRICE])</f>
        <v>498</v>
      </c>
      <c r="T2200" s="43">
        <f>表格1[[#This Row],[Unit Price]]/表格1[[#This Row],[SRP]]</f>
        <v>0.79919678714859432</v>
      </c>
      <c r="U2200" s="86" t="str">
        <f>_xlfn.XLOOKUP(表格1[[#This Row],[Model]],表格3[Model-Input-Ref2],表格3[TOSHIBA/HIGHEST])</f>
        <v>Toshiba SRP</v>
      </c>
      <c r="V2200" s="86">
        <v>1111</v>
      </c>
      <c r="W2200" s="86" t="str">
        <f>_xlfn.CONCAT(表格1[[#This Row],[欄4]],表格1[[#This Row],[inv no]])</f>
        <v>1111053649</v>
      </c>
    </row>
    <row r="2201" spans="1:23" ht="16.5" hidden="1">
      <c r="A2201" s="81">
        <v>2199</v>
      </c>
      <c r="B2201" s="86" t="s">
        <v>1260</v>
      </c>
      <c r="C2201" s="86" t="s">
        <v>1777</v>
      </c>
      <c r="D2201" s="82" t="str">
        <f ca="1">OFFSET(Roster!$A$3,MATCH(表格1[[#This Row],[Location]]&amp;" "&amp;表格1[[#This Row],[Shop]]&amp;"*",Roster!$A$4:$A$72,0),DAY(表格1[[#This Row],[date]]),1,1)</f>
        <v>Pam off</v>
      </c>
      <c r="E2201" s="81">
        <f>MONTH(表格1[[#This Row],[date]])</f>
        <v>3</v>
      </c>
      <c r="F2201" s="90">
        <v>46087</v>
      </c>
      <c r="G2201" s="81" t="str">
        <f>VLOOKUP("*"&amp;表格1[[#This Row],[Input]]&amp;"*",'Ref-List'!$B:$D,2,)</f>
        <v>MS3-STQ20SC(WH)</v>
      </c>
      <c r="H2201" s="81" t="str">
        <f>_xlfn.XLOOKUP(表格1[[#This Row],[Model]],表格3[Model-Input-Ref2],表格3[Product Line])</f>
        <v>20L 智能蒸氣焗爐</v>
      </c>
      <c r="I2201" s="81" t="str">
        <f>_xlfn.XLOOKUP(表格1[[#This Row],[Model]],表格3[Model-Input-Ref2],表格3[大小電])</f>
        <v>細電</v>
      </c>
      <c r="J2201" s="81" t="str">
        <f>_xlfn.XLOOKUP(表格1[[#This Row],[Model]],表格3[Model-Input-Ref2],表格3[Code])</f>
        <v>MCA</v>
      </c>
      <c r="K2201" s="89" t="s">
        <v>1383</v>
      </c>
      <c r="L2201" s="86">
        <v>1</v>
      </c>
      <c r="M2201" s="87">
        <v>2100</v>
      </c>
      <c r="N2201" s="85">
        <f>IFERROR(表格1[[#This Row],[QTY]]*表格1[[#This Row],[Unit Price]],"-")</f>
        <v>2100</v>
      </c>
      <c r="O2201" s="142" t="s">
        <v>1795</v>
      </c>
      <c r="P2201" s="141"/>
      <c r="R2201" s="86" t="str">
        <f>_xlfn.CONCAT(表格1[[#This Row],[Model]]," ",表格1[[#This Row],[inv no]])</f>
        <v>MS3-STQ20SC(WH) 039599</v>
      </c>
      <c r="S2201" s="86">
        <f>_xlfn.XLOOKUP(表格1[[#This Row],[Model]],表格3[Model-Input-Ref2],表格3[SRP PRICE])</f>
        <v>2880</v>
      </c>
      <c r="T2201" s="43">
        <f>表格1[[#This Row],[Unit Price]]/表格1[[#This Row],[SRP]]</f>
        <v>0.72916666666666663</v>
      </c>
      <c r="U2201" s="86" t="str">
        <f>_xlfn.XLOOKUP(表格1[[#This Row],[Model]],表格3[Model-Input-Ref2],表格3[TOSHIBA/HIGHEST])</f>
        <v>Toshiba SRP</v>
      </c>
      <c r="V2201" s="86">
        <v>1111</v>
      </c>
      <c r="W2201" s="86" t="str">
        <f>_xlfn.CONCAT(表格1[[#This Row],[欄4]],表格1[[#This Row],[inv no]])</f>
        <v>1111039599</v>
      </c>
    </row>
    <row r="2202" spans="1:23" hidden="1">
      <c r="A2202" s="81">
        <v>2200</v>
      </c>
      <c r="B2202" s="86" t="s">
        <v>1260</v>
      </c>
      <c r="C2202" s="86" t="s">
        <v>1777</v>
      </c>
      <c r="D2202" s="82" t="str">
        <f ca="1">OFFSET(Roster!$A$3,MATCH(表格1[[#This Row],[Location]]&amp;" "&amp;表格1[[#This Row],[Shop]]&amp;"*",Roster!$A$4:$A$72,0),DAY(表格1[[#This Row],[date]]),1,1)</f>
        <v>Pam</v>
      </c>
      <c r="E2202" s="81">
        <f>MONTH(表格1[[#This Row],[date]])</f>
        <v>3</v>
      </c>
      <c r="F2202" s="90">
        <v>46088</v>
      </c>
      <c r="G2202" s="81" t="str">
        <f>VLOOKUP("*"&amp;表格1[[#This Row],[Input]]&amp;"*",'Ref-List'!$B:$D,2,)</f>
        <v>KT-17SHNH</v>
      </c>
      <c r="H2202" s="81" t="str">
        <f>_xlfn.XLOOKUP(表格1[[#This Row],[Model]],表格3[Model-Input-Ref2],表格3[Product Line])</f>
        <v>1.7L無線雙層電熱水壺</v>
      </c>
      <c r="I2202" s="81" t="str">
        <f>_xlfn.XLOOKUP(表格1[[#This Row],[Model]],表格3[Model-Input-Ref2],表格3[大小電])</f>
        <v>細電</v>
      </c>
      <c r="J2202" s="81" t="str">
        <f>_xlfn.XLOOKUP(表格1[[#This Row],[Model]],表格3[Model-Input-Ref2],表格3[Code])</f>
        <v>SDA</v>
      </c>
      <c r="K2202" s="89" t="s">
        <v>1283</v>
      </c>
      <c r="L2202" s="86">
        <v>1</v>
      </c>
      <c r="M2202" s="87">
        <v>228</v>
      </c>
      <c r="N2202" s="85">
        <f>IFERROR(表格1[[#This Row],[QTY]]*表格1[[#This Row],[Unit Price]],"-")</f>
        <v>228</v>
      </c>
      <c r="O2202" s="142" t="s">
        <v>1796</v>
      </c>
      <c r="R2202" s="86" t="str">
        <f>_xlfn.CONCAT(表格1[[#This Row],[Model]]," ",表格1[[#This Row],[inv no]])</f>
        <v>KT-17SHNH 053818</v>
      </c>
      <c r="S2202" s="86">
        <f>_xlfn.XLOOKUP(表格1[[#This Row],[Model]],表格3[Model-Input-Ref2],表格3[SRP PRICE])</f>
        <v>299</v>
      </c>
      <c r="T2202" s="43">
        <f>表格1[[#This Row],[Unit Price]]/表格1[[#This Row],[SRP]]</f>
        <v>0.76254180602006694</v>
      </c>
      <c r="U2202" s="86" t="str">
        <f>_xlfn.XLOOKUP(表格1[[#This Row],[Model]],表格3[Model-Input-Ref2],表格3[TOSHIBA/HIGHEST])</f>
        <v>Shops Highest Price</v>
      </c>
      <c r="V2202" s="86">
        <v>1111</v>
      </c>
      <c r="W2202" s="86" t="str">
        <f>_xlfn.CONCAT(表格1[[#This Row],[欄4]],表格1[[#This Row],[inv no]])</f>
        <v>1111053818</v>
      </c>
    </row>
    <row r="2203" spans="1:23" hidden="1">
      <c r="A2203" s="81">
        <v>2201</v>
      </c>
      <c r="B2203" s="86" t="s">
        <v>1260</v>
      </c>
      <c r="C2203" s="86" t="s">
        <v>1777</v>
      </c>
      <c r="D2203" s="82" t="str">
        <f ca="1">OFFSET(Roster!$A$3,MATCH(表格1[[#This Row],[Location]]&amp;" "&amp;表格1[[#This Row],[Shop]]&amp;"*",Roster!$A$4:$A$72,0),DAY(表格1[[#This Row],[date]]),1,1)</f>
        <v>Pam</v>
      </c>
      <c r="E2203" s="81">
        <f>MONTH(表格1[[#This Row],[date]])</f>
        <v>3</v>
      </c>
      <c r="F2203" s="90">
        <v>46088</v>
      </c>
      <c r="G2203" s="81" t="str">
        <f>VLOOKUP("*"&amp;表格1[[#This Row],[Input]]&amp;"*",'Ref-List'!$B:$D,2,)</f>
        <v>AW-Q901BPH(WW)</v>
      </c>
      <c r="H2203" s="81" t="str">
        <f>_xlfn.XLOOKUP(表格1[[#This Row],[Model]],表格3[Model-Input-Ref2],表格3[Product Line])</f>
        <v>日式洗衣機 (8公斤 結合高低水位)</v>
      </c>
      <c r="I2203" s="81" t="str">
        <f>_xlfn.XLOOKUP(表格1[[#This Row],[Model]],表格3[Model-Input-Ref2],表格3[大小電])</f>
        <v>大電</v>
      </c>
      <c r="J2203" s="81" t="str">
        <f>_xlfn.XLOOKUP(表格1[[#This Row],[Model]],表格3[Model-Input-Ref2],表格3[Code])</f>
        <v>LAD</v>
      </c>
      <c r="K2203" s="89" t="s">
        <v>1411</v>
      </c>
      <c r="L2203" s="86">
        <v>1</v>
      </c>
      <c r="M2203" s="87">
        <v>2380</v>
      </c>
      <c r="N2203" s="85">
        <f>IFERROR(表格1[[#This Row],[QTY]]*表格1[[#This Row],[Unit Price]],"-")</f>
        <v>2380</v>
      </c>
      <c r="O2203" s="142" t="s">
        <v>1797</v>
      </c>
      <c r="P2203" s="143"/>
      <c r="R2203" s="86" t="str">
        <f>_xlfn.CONCAT(表格1[[#This Row],[Model]]," ",表格1[[#This Row],[inv no]])</f>
        <v>AW-Q901BPH(WW) 053853</v>
      </c>
      <c r="S2203" s="86">
        <f>_xlfn.XLOOKUP(表格1[[#This Row],[Model]],表格3[Model-Input-Ref2],表格3[SRP PRICE])</f>
        <v>3780</v>
      </c>
      <c r="T2203" s="43">
        <f>表格1[[#This Row],[Unit Price]]/表格1[[#This Row],[SRP]]</f>
        <v>0.62962962962962965</v>
      </c>
      <c r="U2203" s="86" t="str">
        <f>_xlfn.XLOOKUP(表格1[[#This Row],[Model]],表格3[Model-Input-Ref2],表格3[TOSHIBA/HIGHEST])</f>
        <v>Toshiba SRP</v>
      </c>
      <c r="V2203" s="86">
        <v>1111</v>
      </c>
      <c r="W2203" s="86" t="str">
        <f>_xlfn.CONCAT(表格1[[#This Row],[欄4]],表格1[[#This Row],[inv no]])</f>
        <v>1111053853</v>
      </c>
    </row>
    <row r="2204" spans="1:23" hidden="1">
      <c r="A2204" s="81">
        <v>2202</v>
      </c>
      <c r="B2204" s="86" t="s">
        <v>1260</v>
      </c>
      <c r="C2204" s="86" t="s">
        <v>1777</v>
      </c>
      <c r="D2204" s="82" t="str">
        <f ca="1">OFFSET(Roster!$A$3,MATCH(表格1[[#This Row],[Location]]&amp;" "&amp;表格1[[#This Row],[Shop]]&amp;"*",Roster!$A$4:$A$72,0),DAY(表格1[[#This Row],[date]]),1,1)</f>
        <v>Pam</v>
      </c>
      <c r="E2204" s="81">
        <f>MONTH(表格1[[#This Row],[date]])</f>
        <v>3</v>
      </c>
      <c r="F2204" s="90">
        <v>46088</v>
      </c>
      <c r="G2204" s="81" t="str">
        <f>VLOOKUP("*"&amp;表格1[[#This Row],[Input]]&amp;"*",'Ref-List'!$B:$D,2,)</f>
        <v>RAD-D200H</v>
      </c>
      <c r="H2204" s="81" t="str">
        <f>_xlfn.XLOOKUP(表格1[[#This Row],[Model]],表格3[Model-Input-Ref2],表格3[Product Line])</f>
        <v>壓縮式抽濕機 (22公升)</v>
      </c>
      <c r="I2204" s="81" t="str">
        <f>_xlfn.XLOOKUP(表格1[[#This Row],[Model]],表格3[Model-Input-Ref2],表格3[大小電])</f>
        <v>細電</v>
      </c>
      <c r="J2204" s="81" t="str">
        <f>_xlfn.XLOOKUP(表格1[[#This Row],[Model]],表格3[Model-Input-Ref2],表格3[Code])</f>
        <v>RAC</v>
      </c>
      <c r="K2204" s="89" t="s">
        <v>1250</v>
      </c>
      <c r="L2204" s="86">
        <v>1</v>
      </c>
      <c r="M2204" s="87">
        <v>1830</v>
      </c>
      <c r="N2204" s="85">
        <f>IFERROR(表格1[[#This Row],[QTY]]*表格1[[#This Row],[Unit Price]],"-")</f>
        <v>1830</v>
      </c>
      <c r="O2204" s="142" t="s">
        <v>1798</v>
      </c>
      <c r="P2204" s="143"/>
      <c r="R2204" s="86" t="str">
        <f>_xlfn.CONCAT(表格1[[#This Row],[Model]]," ",表格1[[#This Row],[inv no]])</f>
        <v>RAD-D200H 054112</v>
      </c>
      <c r="S2204" s="86">
        <f>_xlfn.XLOOKUP(表格1[[#This Row],[Model]],表格3[Model-Input-Ref2],表格3[SRP PRICE])</f>
        <v>2880</v>
      </c>
      <c r="T2204" s="43">
        <f>表格1[[#This Row],[Unit Price]]/表格1[[#This Row],[SRP]]</f>
        <v>0.63541666666666663</v>
      </c>
      <c r="U2204" s="86" t="str">
        <f>_xlfn.XLOOKUP(表格1[[#This Row],[Model]],表格3[Model-Input-Ref2],表格3[TOSHIBA/HIGHEST])</f>
        <v>Shops Highest Price</v>
      </c>
      <c r="V2204" s="86">
        <v>1111</v>
      </c>
      <c r="W2204" s="86" t="str">
        <f>_xlfn.CONCAT(表格1[[#This Row],[欄4]],表格1[[#This Row],[inv no]])</f>
        <v>1111054112</v>
      </c>
    </row>
    <row r="2205" spans="1:23" hidden="1">
      <c r="A2205" s="81">
        <v>2203</v>
      </c>
      <c r="B2205" s="86" t="s">
        <v>1260</v>
      </c>
      <c r="C2205" s="86" t="s">
        <v>1777</v>
      </c>
      <c r="D2205" s="82" t="str">
        <f ca="1">OFFSET(Roster!$A$3,MATCH(表格1[[#This Row],[Location]]&amp;" "&amp;表格1[[#This Row],[Shop]]&amp;"*",Roster!$A$4:$A$72,0),DAY(表格1[[#This Row],[date]]),1,1)</f>
        <v>Pam</v>
      </c>
      <c r="E2205" s="81">
        <f>MONTH(表格1[[#This Row],[date]])</f>
        <v>3</v>
      </c>
      <c r="F2205" s="90">
        <v>46089</v>
      </c>
      <c r="G2205" s="81" t="str">
        <f>VLOOKUP("*"&amp;表格1[[#This Row],[Input]]&amp;"*",'Ref-List'!$B:$D,2,)</f>
        <v>RC-10JRUH(N)</v>
      </c>
      <c r="H2205" s="81" t="str">
        <f>_xlfn.XLOOKUP(表格1[[#This Row],[Model]],表格3[Model-Input-Ref2],表格3[Product Line])</f>
        <v>電飯煲</v>
      </c>
      <c r="I2205" s="81" t="str">
        <f>_xlfn.XLOOKUP(表格1[[#This Row],[Model]],表格3[Model-Input-Ref2],表格3[大小電])</f>
        <v>細電</v>
      </c>
      <c r="J2205" s="81" t="str">
        <f>_xlfn.XLOOKUP(表格1[[#This Row],[Model]],表格3[Model-Input-Ref2],表格3[Code])</f>
        <v>SDA</v>
      </c>
      <c r="K2205" s="89" t="s">
        <v>1263</v>
      </c>
      <c r="L2205" s="86">
        <v>1</v>
      </c>
      <c r="M2205" s="87">
        <v>250</v>
      </c>
      <c r="N2205" s="85">
        <f>IFERROR(表格1[[#This Row],[QTY]]*表格1[[#This Row],[Unit Price]],"-")</f>
        <v>250</v>
      </c>
      <c r="O2205" s="86">
        <v>135241</v>
      </c>
      <c r="P2205" s="143"/>
      <c r="R2205" s="86" t="str">
        <f>_xlfn.CONCAT(表格1[[#This Row],[Model]]," ",表格1[[#This Row],[inv no]])</f>
        <v>RC-10JRUH(N) 135241</v>
      </c>
      <c r="S2205" s="86">
        <f>_xlfn.XLOOKUP(表格1[[#This Row],[Model]],表格3[Model-Input-Ref2],表格3[SRP PRICE])</f>
        <v>398</v>
      </c>
      <c r="T2205" s="43">
        <f>表格1[[#This Row],[Unit Price]]/表格1[[#This Row],[SRP]]</f>
        <v>0.62814070351758799</v>
      </c>
      <c r="U2205" s="86" t="str">
        <f>_xlfn.XLOOKUP(表格1[[#This Row],[Model]],表格3[Model-Input-Ref2],表格3[TOSHIBA/HIGHEST])</f>
        <v>Shops Highest Price</v>
      </c>
      <c r="V2205" s="86">
        <v>1111</v>
      </c>
      <c r="W2205" s="86" t="str">
        <f>_xlfn.CONCAT(表格1[[#This Row],[欄4]],表格1[[#This Row],[inv no]])</f>
        <v>1111135241</v>
      </c>
    </row>
    <row r="2206" spans="1:23" hidden="1">
      <c r="A2206" s="81">
        <v>2204</v>
      </c>
      <c r="B2206" s="86" t="s">
        <v>1260</v>
      </c>
      <c r="C2206" s="86" t="s">
        <v>1777</v>
      </c>
      <c r="D2206" s="82" t="str">
        <f ca="1">OFFSET(Roster!$A$3,MATCH(表格1[[#This Row],[Location]]&amp;" "&amp;表格1[[#This Row],[Shop]]&amp;"*",Roster!$A$4:$A$72,0),DAY(表格1[[#This Row],[date]]),1,1)</f>
        <v>Pam</v>
      </c>
      <c r="E2206" s="81">
        <f>MONTH(表格1[[#This Row],[date]])</f>
        <v>3</v>
      </c>
      <c r="F2206" s="90">
        <v>46089</v>
      </c>
      <c r="G2206" s="81" t="str">
        <f>VLOOKUP("*"&amp;表格1[[#This Row],[Input]]&amp;"*",'Ref-List'!$B:$D,2,)</f>
        <v>RC-18JRUH(N)</v>
      </c>
      <c r="H2206" s="81" t="str">
        <f>_xlfn.XLOOKUP(表格1[[#This Row],[Model]],表格3[Model-Input-Ref2],表格3[Product Line])</f>
        <v>1.8公升電飯煲</v>
      </c>
      <c r="I2206" s="81" t="str">
        <f>_xlfn.XLOOKUP(表格1[[#This Row],[Model]],表格3[Model-Input-Ref2],表格3[大小電])</f>
        <v>細電</v>
      </c>
      <c r="J2206" s="81" t="str">
        <f>_xlfn.XLOOKUP(表格1[[#This Row],[Model]],表格3[Model-Input-Ref2],表格3[Code])</f>
        <v>SDA</v>
      </c>
      <c r="K2206" s="89" t="s">
        <v>1275</v>
      </c>
      <c r="L2206" s="86">
        <v>1</v>
      </c>
      <c r="M2206" s="87">
        <v>300</v>
      </c>
      <c r="N2206" s="85">
        <f>IFERROR(表格1[[#This Row],[QTY]]*表格1[[#This Row],[Unit Price]],"-")</f>
        <v>300</v>
      </c>
      <c r="O2206" s="142" t="s">
        <v>1799</v>
      </c>
      <c r="R2206" s="86" t="str">
        <f>_xlfn.CONCAT(表格1[[#This Row],[Model]]," ",表格1[[#This Row],[inv no]])</f>
        <v>RC-18JRUH(N) 054450</v>
      </c>
      <c r="S2206" s="86">
        <f>_xlfn.XLOOKUP(表格1[[#This Row],[Model]],表格3[Model-Input-Ref2],表格3[SRP PRICE])</f>
        <v>458</v>
      </c>
      <c r="T2206" s="43">
        <f>表格1[[#This Row],[Unit Price]]/表格1[[#This Row],[SRP]]</f>
        <v>0.65502183406113534</v>
      </c>
      <c r="U2206" s="86" t="str">
        <f>_xlfn.XLOOKUP(表格1[[#This Row],[Model]],表格3[Model-Input-Ref2],表格3[TOSHIBA/HIGHEST])</f>
        <v>Shops Highest Price</v>
      </c>
      <c r="V2206" s="86">
        <v>1111</v>
      </c>
      <c r="W2206" s="86" t="str">
        <f>_xlfn.CONCAT(表格1[[#This Row],[欄4]],表格1[[#This Row],[inv no]])</f>
        <v>1111054450</v>
      </c>
    </row>
    <row r="2207" spans="1:23" hidden="1">
      <c r="A2207" s="81">
        <v>2205</v>
      </c>
      <c r="B2207" s="86" t="s">
        <v>1260</v>
      </c>
      <c r="C2207" s="86" t="s">
        <v>1777</v>
      </c>
      <c r="D2207" s="82" t="str">
        <f ca="1">OFFSET(Roster!$A$3,MATCH(表格1[[#This Row],[Location]]&amp;" "&amp;表格1[[#This Row],[Shop]]&amp;"*",Roster!$A$4:$A$72,0),DAY(表格1[[#This Row],[date]]),1,1)</f>
        <v>Pam</v>
      </c>
      <c r="E2207" s="81">
        <f>MONTH(表格1[[#This Row],[date]])</f>
        <v>3</v>
      </c>
      <c r="F2207" s="90">
        <v>46089</v>
      </c>
      <c r="G2207" s="81" t="str">
        <f>VLOOKUP("*"&amp;表格1[[#This Row],[Input]]&amp;"*",'Ref-List'!$B:$D,2,)</f>
        <v>RC-5SLIH(W)</v>
      </c>
      <c r="H2207" s="81" t="str">
        <f>_xlfn.XLOOKUP(表格1[[#This Row],[Model]],表格3[Model-Input-Ref2],表格3[Product Line])</f>
        <v>微型電腦珍珠飯煲</v>
      </c>
      <c r="I2207" s="81" t="str">
        <f>_xlfn.XLOOKUP(表格1[[#This Row],[Model]],表格3[Model-Input-Ref2],表格3[大小電])</f>
        <v>細電</v>
      </c>
      <c r="J2207" s="81" t="str">
        <f>_xlfn.XLOOKUP(表格1[[#This Row],[Model]],表格3[Model-Input-Ref2],表格3[Code])</f>
        <v>SDA</v>
      </c>
      <c r="K2207" s="89" t="s">
        <v>1264</v>
      </c>
      <c r="L2207" s="86">
        <v>1</v>
      </c>
      <c r="M2207" s="87">
        <v>558</v>
      </c>
      <c r="N2207" s="85">
        <f>IFERROR(表格1[[#This Row],[QTY]]*表格1[[#This Row],[Unit Price]],"-")</f>
        <v>558</v>
      </c>
      <c r="O2207" s="142" t="s">
        <v>1800</v>
      </c>
      <c r="R2207" s="86" t="str">
        <f>_xlfn.CONCAT(表格1[[#This Row],[Model]]," ",表格1[[#This Row],[inv no]])</f>
        <v>RC-5SLIH(W) 054269</v>
      </c>
      <c r="S2207" s="86">
        <f>_xlfn.XLOOKUP(表格1[[#This Row],[Model]],表格3[Model-Input-Ref2],表格3[SRP PRICE])</f>
        <v>658</v>
      </c>
      <c r="T2207" s="43">
        <f>表格1[[#This Row],[Unit Price]]/表格1[[#This Row],[SRP]]</f>
        <v>0.84802431610942253</v>
      </c>
      <c r="U2207" s="86" t="str">
        <f>_xlfn.XLOOKUP(表格1[[#This Row],[Model]],表格3[Model-Input-Ref2],表格3[TOSHIBA/HIGHEST])</f>
        <v>Toshiba SRP</v>
      </c>
      <c r="V2207" s="86">
        <v>1111</v>
      </c>
      <c r="W2207" s="86" t="str">
        <f>_xlfn.CONCAT(表格1[[#This Row],[欄4]],表格1[[#This Row],[inv no]])</f>
        <v>1111054269</v>
      </c>
    </row>
    <row r="2208" spans="1:23" ht="16.5" hidden="1">
      <c r="A2208" s="81">
        <v>2206</v>
      </c>
      <c r="B2208" s="86" t="s">
        <v>1260</v>
      </c>
      <c r="C2208" s="86" t="s">
        <v>1777</v>
      </c>
      <c r="D2208" s="82" t="str">
        <f ca="1">OFFSET(Roster!$A$3,MATCH(表格1[[#This Row],[Location]]&amp;" "&amp;表格1[[#This Row],[Shop]]&amp;"*",Roster!$A$4:$A$72,0),DAY(表格1[[#This Row],[date]]),1,1)</f>
        <v>Pam</v>
      </c>
      <c r="E2208" s="81">
        <f>MONTH(表格1[[#This Row],[date]])</f>
        <v>3</v>
      </c>
      <c r="F2208" s="90">
        <v>46089</v>
      </c>
      <c r="G2208" s="81" t="str">
        <f>VLOOKUP("*"&amp;表格1[[#This Row],[Input]]&amp;"*",'Ref-List'!$B:$D,2,)</f>
        <v>RC-5SLIH(W)</v>
      </c>
      <c r="H2208" s="81" t="str">
        <f>_xlfn.XLOOKUP(表格1[[#This Row],[Model]],表格3[Model-Input-Ref2],表格3[Product Line])</f>
        <v>微型電腦珍珠飯煲</v>
      </c>
      <c r="I2208" s="81" t="str">
        <f>_xlfn.XLOOKUP(表格1[[#This Row],[Model]],表格3[Model-Input-Ref2],表格3[大小電])</f>
        <v>細電</v>
      </c>
      <c r="J2208" s="81" t="str">
        <f>_xlfn.XLOOKUP(表格1[[#This Row],[Model]],表格3[Model-Input-Ref2],表格3[Code])</f>
        <v>SDA</v>
      </c>
      <c r="K2208" s="89" t="s">
        <v>1264</v>
      </c>
      <c r="L2208" s="86">
        <v>1</v>
      </c>
      <c r="M2208" s="87">
        <v>558</v>
      </c>
      <c r="N2208" s="85">
        <f>IFERROR(表格1[[#This Row],[QTY]]*表格1[[#This Row],[Unit Price]],"-")</f>
        <v>558</v>
      </c>
      <c r="O2208" s="86">
        <v>368855</v>
      </c>
      <c r="P2208" s="141"/>
      <c r="R2208" s="86" t="str">
        <f>_xlfn.CONCAT(表格1[[#This Row],[Model]]," ",表格1[[#This Row],[inv no]])</f>
        <v>RC-5SLIH(W) 368855</v>
      </c>
      <c r="S2208" s="86">
        <f>_xlfn.XLOOKUP(表格1[[#This Row],[Model]],表格3[Model-Input-Ref2],表格3[SRP PRICE])</f>
        <v>658</v>
      </c>
      <c r="T2208" s="43">
        <f>表格1[[#This Row],[Unit Price]]/表格1[[#This Row],[SRP]]</f>
        <v>0.84802431610942253</v>
      </c>
      <c r="U2208" s="86" t="str">
        <f>_xlfn.XLOOKUP(表格1[[#This Row],[Model]],表格3[Model-Input-Ref2],表格3[TOSHIBA/HIGHEST])</f>
        <v>Toshiba SRP</v>
      </c>
      <c r="V2208" s="86">
        <v>1111</v>
      </c>
      <c r="W2208" s="86" t="str">
        <f>_xlfn.CONCAT(表格1[[#This Row],[欄4]],表格1[[#This Row],[inv no]])</f>
        <v>1111368855</v>
      </c>
    </row>
    <row r="2209" spans="1:23" hidden="1">
      <c r="A2209" s="81">
        <v>2207</v>
      </c>
      <c r="B2209" s="86" t="s">
        <v>1260</v>
      </c>
      <c r="C2209" s="86" t="s">
        <v>1777</v>
      </c>
      <c r="D2209" s="82" t="str">
        <f ca="1">OFFSET(Roster!$A$3,MATCH(表格1[[#This Row],[Location]]&amp;" "&amp;表格1[[#This Row],[Shop]]&amp;"*",Roster!$A$4:$A$72,0),DAY(表格1[[#This Row],[date]]),1,1)</f>
        <v>Pam</v>
      </c>
      <c r="E2209" s="81">
        <f>MONTH(表格1[[#This Row],[date]])</f>
        <v>3</v>
      </c>
      <c r="F2209" s="90">
        <v>46089</v>
      </c>
      <c r="G2209" s="81" t="str">
        <f>VLOOKUP("*"&amp;表格1[[#This Row],[Input]]&amp;"*",'Ref-List'!$B:$D,2,)</f>
        <v>RC-10JRUH(N)</v>
      </c>
      <c r="H2209" s="81" t="str">
        <f>_xlfn.XLOOKUP(表格1[[#This Row],[Model]],表格3[Model-Input-Ref2],表格3[Product Line])</f>
        <v>電飯煲</v>
      </c>
      <c r="I2209" s="81" t="str">
        <f>_xlfn.XLOOKUP(表格1[[#This Row],[Model]],表格3[Model-Input-Ref2],表格3[大小電])</f>
        <v>細電</v>
      </c>
      <c r="J2209" s="81" t="str">
        <f>_xlfn.XLOOKUP(表格1[[#This Row],[Model]],表格3[Model-Input-Ref2],表格3[Code])</f>
        <v>SDA</v>
      </c>
      <c r="K2209" s="89" t="s">
        <v>1263</v>
      </c>
      <c r="L2209" s="86">
        <v>1</v>
      </c>
      <c r="M2209" s="87">
        <v>250</v>
      </c>
      <c r="N2209" s="85">
        <f>IFERROR(表格1[[#This Row],[QTY]]*表格1[[#This Row],[Unit Price]],"-")</f>
        <v>250</v>
      </c>
      <c r="O2209" s="142" t="s">
        <v>1801</v>
      </c>
      <c r="R2209" s="86" t="str">
        <f>_xlfn.CONCAT(表格1[[#This Row],[Model]]," ",表格1[[#This Row],[inv no]])</f>
        <v>RC-10JRUH(N) 054579</v>
      </c>
      <c r="S2209" s="86">
        <f>_xlfn.XLOOKUP(表格1[[#This Row],[Model]],表格3[Model-Input-Ref2],表格3[SRP PRICE])</f>
        <v>398</v>
      </c>
      <c r="T2209" s="43">
        <f>表格1[[#This Row],[Unit Price]]/表格1[[#This Row],[SRP]]</f>
        <v>0.62814070351758799</v>
      </c>
      <c r="U2209" s="86" t="str">
        <f>_xlfn.XLOOKUP(表格1[[#This Row],[Model]],表格3[Model-Input-Ref2],表格3[TOSHIBA/HIGHEST])</f>
        <v>Shops Highest Price</v>
      </c>
      <c r="V2209" s="86">
        <v>1111</v>
      </c>
      <c r="W2209" s="86" t="str">
        <f>_xlfn.CONCAT(表格1[[#This Row],[欄4]],表格1[[#This Row],[inv no]])</f>
        <v>1111054579</v>
      </c>
    </row>
    <row r="2210" spans="1:23" hidden="1">
      <c r="A2210" s="81">
        <v>2208</v>
      </c>
      <c r="B2210" s="86" t="s">
        <v>1260</v>
      </c>
      <c r="C2210" s="86" t="s">
        <v>1777</v>
      </c>
      <c r="D2210" s="82" t="str">
        <f ca="1">OFFSET(Roster!$A$3,MATCH(表格1[[#This Row],[Location]]&amp;" "&amp;表格1[[#This Row],[Shop]]&amp;"*",Roster!$A$4:$A$72,0),DAY(表格1[[#This Row],[date]]),1,1)</f>
        <v>Pam</v>
      </c>
      <c r="E2210" s="81">
        <f>MONTH(表格1[[#This Row],[date]])</f>
        <v>3</v>
      </c>
      <c r="F2210" s="90">
        <v>46090</v>
      </c>
      <c r="G2210" s="81" t="str">
        <f>VLOOKUP("*"&amp;表格1[[#This Row],[Input]]&amp;"*",'Ref-List'!$B:$D,2,)</f>
        <v>MM2-EM20PC(WH)</v>
      </c>
      <c r="H2210" s="81" t="str">
        <f>_xlfn.XLOOKUP(表格1[[#This Row],[Model]],表格3[Model-Input-Ref2],表格3[Product Line])</f>
        <v>輕觸式微波爐 (20公升)</v>
      </c>
      <c r="I2210" s="81" t="str">
        <f>_xlfn.XLOOKUP(表格1[[#This Row],[Model]],表格3[Model-Input-Ref2],表格3[大小電])</f>
        <v>細電</v>
      </c>
      <c r="J2210" s="81" t="str">
        <f>_xlfn.XLOOKUP(表格1[[#This Row],[Model]],表格3[Model-Input-Ref2],表格3[Code])</f>
        <v>MCA</v>
      </c>
      <c r="K2210" s="89" t="s">
        <v>1276</v>
      </c>
      <c r="L2210" s="86">
        <v>1</v>
      </c>
      <c r="M2210" s="87">
        <v>634.6</v>
      </c>
      <c r="N2210" s="85">
        <f>IFERROR(表格1[[#This Row],[QTY]]*表格1[[#This Row],[Unit Price]],"-")</f>
        <v>634.6</v>
      </c>
      <c r="O2210" s="142" t="s">
        <v>1802</v>
      </c>
      <c r="P2210" s="143"/>
      <c r="R2210" s="86" t="str">
        <f>_xlfn.CONCAT(表格1[[#This Row],[Model]]," ",表格1[[#This Row],[inv no]])</f>
        <v>MM2-EM20PC(WH) 054659</v>
      </c>
      <c r="S2210" s="86">
        <f>_xlfn.XLOOKUP(表格1[[#This Row],[Model]],表格3[Model-Input-Ref2],表格3[SRP PRICE])</f>
        <v>788</v>
      </c>
      <c r="T2210" s="43">
        <f>表格1[[#This Row],[Unit Price]]/表格1[[#This Row],[SRP]]</f>
        <v>0.8053299492385787</v>
      </c>
      <c r="U2210" s="86" t="str">
        <f>_xlfn.XLOOKUP(表格1[[#This Row],[Model]],表格3[Model-Input-Ref2],表格3[TOSHIBA/HIGHEST])</f>
        <v>Toshiba SRP</v>
      </c>
      <c r="V2210" s="86">
        <v>1111</v>
      </c>
      <c r="W2210" s="86" t="str">
        <f>_xlfn.CONCAT(表格1[[#This Row],[欄4]],表格1[[#This Row],[inv no]])</f>
        <v>1111054659</v>
      </c>
    </row>
    <row r="2211" spans="1:23" hidden="1">
      <c r="A2211" s="81">
        <v>2209</v>
      </c>
      <c r="B2211" s="86" t="s">
        <v>1260</v>
      </c>
      <c r="C2211" s="86" t="s">
        <v>1777</v>
      </c>
      <c r="D2211" s="82" t="str">
        <f ca="1">OFFSET(Roster!$A$3,MATCH(表格1[[#This Row],[Location]]&amp;" "&amp;表格1[[#This Row],[Shop]]&amp;"*",Roster!$A$4:$A$72,0),DAY(表格1[[#This Row],[date]]),1,1)</f>
        <v>Pam</v>
      </c>
      <c r="E2211" s="81">
        <f>MONTH(表格1[[#This Row],[date]])</f>
        <v>3</v>
      </c>
      <c r="F2211" s="90">
        <v>46090</v>
      </c>
      <c r="G2211" s="81" t="str">
        <f>VLOOKUP("*"&amp;表格1[[#This Row],[Input]]&amp;"*",'Ref-List'!$B:$D,2,)</f>
        <v>RAD-D300H</v>
      </c>
      <c r="H2211" s="81" t="str">
        <f>_xlfn.XLOOKUP(表格1[[#This Row],[Model]],表格3[Model-Input-Ref2],表格3[Product Line])</f>
        <v>壓縮式抽濕機 (30公升)</v>
      </c>
      <c r="I2211" s="81" t="str">
        <f>_xlfn.XLOOKUP(表格1[[#This Row],[Model]],表格3[Model-Input-Ref2],表格3[大小電])</f>
        <v>細電</v>
      </c>
      <c r="J2211" s="81" t="str">
        <f>_xlfn.XLOOKUP(表格1[[#This Row],[Model]],表格3[Model-Input-Ref2],表格3[Code])</f>
        <v>RAC</v>
      </c>
      <c r="K2211" s="89" t="s">
        <v>1252</v>
      </c>
      <c r="L2211" s="86">
        <v>1</v>
      </c>
      <c r="M2211" s="87">
        <v>2280</v>
      </c>
      <c r="N2211" s="85">
        <f>IFERROR(表格1[[#This Row],[QTY]]*表格1[[#This Row],[Unit Price]],"-")</f>
        <v>2280</v>
      </c>
      <c r="O2211" s="142" t="s">
        <v>1803</v>
      </c>
      <c r="P2211" s="143"/>
      <c r="R2211" s="86" t="str">
        <f>_xlfn.CONCAT(表格1[[#This Row],[Model]]," ",表格1[[#This Row],[inv no]])</f>
        <v>RAD-D300H 054691</v>
      </c>
      <c r="S2211" s="86">
        <f>_xlfn.XLOOKUP(表格1[[#This Row],[Model]],表格3[Model-Input-Ref2],表格3[SRP PRICE])</f>
        <v>3380</v>
      </c>
      <c r="T2211" s="43">
        <f>表格1[[#This Row],[Unit Price]]/表格1[[#This Row],[SRP]]</f>
        <v>0.67455621301775148</v>
      </c>
      <c r="U2211" s="86" t="str">
        <f>_xlfn.XLOOKUP(表格1[[#This Row],[Model]],表格3[Model-Input-Ref2],表格3[TOSHIBA/HIGHEST])</f>
        <v>Shops Highest Price</v>
      </c>
      <c r="V2211" s="86">
        <v>1111</v>
      </c>
      <c r="W2211" s="86" t="str">
        <f>_xlfn.CONCAT(表格1[[#This Row],[欄4]],表格1[[#This Row],[inv no]])</f>
        <v>1111054691</v>
      </c>
    </row>
    <row r="2212" spans="1:23" hidden="1">
      <c r="A2212" s="81">
        <v>2210</v>
      </c>
      <c r="B2212" s="86" t="s">
        <v>1260</v>
      </c>
      <c r="C2212" s="86" t="s">
        <v>1777</v>
      </c>
      <c r="D2212" s="82" t="str">
        <f ca="1">OFFSET(Roster!$A$3,MATCH(表格1[[#This Row],[Location]]&amp;" "&amp;表格1[[#This Row],[Shop]]&amp;"*",Roster!$A$4:$A$72,0),DAY(表格1[[#This Row],[date]]),1,1)</f>
        <v>Pam</v>
      </c>
      <c r="E2212" s="81">
        <f>MONTH(表格1[[#This Row],[date]])</f>
        <v>3</v>
      </c>
      <c r="F2212" s="90">
        <v>46090</v>
      </c>
      <c r="G2212" s="81" t="str">
        <f>VLOOKUP("*"&amp;表格1[[#This Row],[Input]]&amp;"*",'Ref-List'!$B:$D,2,)</f>
        <v>KT-17SHNH</v>
      </c>
      <c r="H2212" s="81" t="str">
        <f>_xlfn.XLOOKUP(表格1[[#This Row],[Model]],表格3[Model-Input-Ref2],表格3[Product Line])</f>
        <v>1.7L無線雙層電熱水壺</v>
      </c>
      <c r="I2212" s="81" t="str">
        <f>_xlfn.XLOOKUP(表格1[[#This Row],[Model]],表格3[Model-Input-Ref2],表格3[大小電])</f>
        <v>細電</v>
      </c>
      <c r="J2212" s="81" t="str">
        <f>_xlfn.XLOOKUP(表格1[[#This Row],[Model]],表格3[Model-Input-Ref2],表格3[Code])</f>
        <v>SDA</v>
      </c>
      <c r="K2212" s="89" t="s">
        <v>1283</v>
      </c>
      <c r="L2212" s="86">
        <v>1</v>
      </c>
      <c r="M2212" s="87">
        <v>228</v>
      </c>
      <c r="N2212" s="85">
        <f>IFERROR(表格1[[#This Row],[QTY]]*表格1[[#This Row],[Unit Price]],"-")</f>
        <v>228</v>
      </c>
      <c r="O2212" s="142" t="s">
        <v>1804</v>
      </c>
      <c r="R2212" s="86" t="str">
        <f>_xlfn.CONCAT(表格1[[#This Row],[Model]]," ",表格1[[#This Row],[inv no]])</f>
        <v>KT-17SHNH 054707</v>
      </c>
      <c r="S2212" s="86">
        <f>_xlfn.XLOOKUP(表格1[[#This Row],[Model]],表格3[Model-Input-Ref2],表格3[SRP PRICE])</f>
        <v>299</v>
      </c>
      <c r="T2212" s="43">
        <f>表格1[[#This Row],[Unit Price]]/表格1[[#This Row],[SRP]]</f>
        <v>0.76254180602006694</v>
      </c>
      <c r="U2212" s="86" t="str">
        <f>_xlfn.XLOOKUP(表格1[[#This Row],[Model]],表格3[Model-Input-Ref2],表格3[TOSHIBA/HIGHEST])</f>
        <v>Shops Highest Price</v>
      </c>
      <c r="V2212" s="86">
        <v>1111</v>
      </c>
      <c r="W2212" s="86" t="str">
        <f>_xlfn.CONCAT(表格1[[#This Row],[欄4]],表格1[[#This Row],[inv no]])</f>
        <v>1111054707</v>
      </c>
    </row>
    <row r="2213" spans="1:23" hidden="1">
      <c r="A2213" s="81">
        <v>2211</v>
      </c>
      <c r="B2213" s="86" t="s">
        <v>1260</v>
      </c>
      <c r="C2213" s="86" t="s">
        <v>1777</v>
      </c>
      <c r="D2213" s="82" t="str">
        <f ca="1">OFFSET(Roster!$A$3,MATCH(表格1[[#This Row],[Location]]&amp;" "&amp;表格1[[#This Row],[Shop]]&amp;"*",Roster!$A$4:$A$72,0),DAY(表格1[[#This Row],[date]]),1,1)</f>
        <v>Pam</v>
      </c>
      <c r="E2213" s="81">
        <f>MONTH(表格1[[#This Row],[date]])</f>
        <v>3</v>
      </c>
      <c r="F2213" s="90">
        <v>46090</v>
      </c>
      <c r="G2213" s="81" t="str">
        <f>VLOOKUP("*"&amp;表格1[[#This Row],[Input]]&amp;"*",'Ref-List'!$B:$D,2,)</f>
        <v>KT-08DH1VHK(W)</v>
      </c>
      <c r="H2213" s="81" t="str">
        <f>_xlfn.XLOOKUP(表格1[[#This Row],[Model]],表格3[Model-Input-Ref2],表格3[Product Line])</f>
        <v>無線雙層電熱水壺-附可鎖壺蓋(0.8公升)</v>
      </c>
      <c r="I2213" s="81" t="str">
        <f>_xlfn.XLOOKUP(表格1[[#This Row],[Model]],表格3[Model-Input-Ref2],表格3[大小電])</f>
        <v>細電</v>
      </c>
      <c r="J2213" s="81" t="str">
        <f>_xlfn.XLOOKUP(表格1[[#This Row],[Model]],表格3[Model-Input-Ref2],表格3[Code])</f>
        <v>SDA</v>
      </c>
      <c r="K2213" s="89" t="s">
        <v>1268</v>
      </c>
      <c r="L2213" s="86">
        <v>1</v>
      </c>
      <c r="M2213" s="87">
        <v>268</v>
      </c>
      <c r="N2213" s="85">
        <f>IFERROR(表格1[[#This Row],[QTY]]*表格1[[#This Row],[Unit Price]],"-")</f>
        <v>268</v>
      </c>
      <c r="O2213" s="86">
        <v>135666</v>
      </c>
      <c r="R2213" s="86" t="str">
        <f>_xlfn.CONCAT(表格1[[#This Row],[Model]]," ",表格1[[#This Row],[inv no]])</f>
        <v>KT-08DH1VHK(W) 135666</v>
      </c>
      <c r="S2213" s="86">
        <f>_xlfn.XLOOKUP(表格1[[#This Row],[Model]],表格3[Model-Input-Ref2],表格3[SRP PRICE])</f>
        <v>428</v>
      </c>
      <c r="T2213" s="43">
        <f>表格1[[#This Row],[Unit Price]]/表格1[[#This Row],[SRP]]</f>
        <v>0.62616822429906538</v>
      </c>
      <c r="U2213" s="86" t="str">
        <f>_xlfn.XLOOKUP(表格1[[#This Row],[Model]],表格3[Model-Input-Ref2],表格3[TOSHIBA/HIGHEST])</f>
        <v>Toshiba SRP</v>
      </c>
      <c r="V2213" s="86">
        <v>1111</v>
      </c>
      <c r="W2213" s="86" t="str">
        <f>_xlfn.CONCAT(表格1[[#This Row],[欄4]],表格1[[#This Row],[inv no]])</f>
        <v>1111135666</v>
      </c>
    </row>
    <row r="2214" spans="1:23" hidden="1">
      <c r="A2214" s="81">
        <v>2212</v>
      </c>
      <c r="B2214" s="86" t="s">
        <v>1260</v>
      </c>
      <c r="C2214" s="86" t="s">
        <v>1777</v>
      </c>
      <c r="D2214" s="82" t="str">
        <f ca="1">OFFSET(Roster!$A$3,MATCH(表格1[[#This Row],[Location]]&amp;" "&amp;表格1[[#This Row],[Shop]]&amp;"*",Roster!$A$4:$A$72,0),DAY(表格1[[#This Row],[date]]),1,1)</f>
        <v>Pam</v>
      </c>
      <c r="E2214" s="81">
        <f>MONTH(表格1[[#This Row],[date]])</f>
        <v>3</v>
      </c>
      <c r="F2214" s="90">
        <v>46091</v>
      </c>
      <c r="G2214" s="81" t="str">
        <f>VLOOKUP("*"&amp;表格1[[#This Row],[Input]]&amp;"*",'Ref-List'!$B:$D,2,)</f>
        <v>RAD-Y200H</v>
      </c>
      <c r="H2214" s="81" t="str">
        <f>_xlfn.XLOOKUP(表格1[[#This Row],[Model]],表格3[Model-Input-Ref2],表格3[Product Line])</f>
        <v>21L壓縮式抽濕機</v>
      </c>
      <c r="I2214" s="81" t="str">
        <f>_xlfn.XLOOKUP(表格1[[#This Row],[Model]],表格3[Model-Input-Ref2],表格3[大小電])</f>
        <v>大電</v>
      </c>
      <c r="J2214" s="81" t="str">
        <f>_xlfn.XLOOKUP(表格1[[#This Row],[Model]],表格3[Model-Input-Ref2],表格3[Code])</f>
        <v>RAC</v>
      </c>
      <c r="K2214" s="89" t="s">
        <v>1241</v>
      </c>
      <c r="L2214" s="86">
        <v>1</v>
      </c>
      <c r="M2214" s="87">
        <v>1880</v>
      </c>
      <c r="N2214" s="85">
        <f>IFERROR(表格1[[#This Row],[QTY]]*表格1[[#This Row],[Unit Price]],"-")</f>
        <v>1880</v>
      </c>
      <c r="O2214" s="142" t="s">
        <v>1805</v>
      </c>
      <c r="R2214" s="86" t="str">
        <f>_xlfn.CONCAT(表格1[[#This Row],[Model]]," ",表格1[[#This Row],[inv no]])</f>
        <v>RAD-Y200H 054967</v>
      </c>
      <c r="S2214" s="86">
        <f>_xlfn.XLOOKUP(表格1[[#This Row],[Model]],表格3[Model-Input-Ref2],表格3[SRP PRICE])</f>
        <v>3280</v>
      </c>
      <c r="T2214" s="43">
        <f>表格1[[#This Row],[Unit Price]]/表格1[[#This Row],[SRP]]</f>
        <v>0.57317073170731703</v>
      </c>
      <c r="U2214" s="86" t="str">
        <f>_xlfn.XLOOKUP(表格1[[#This Row],[Model]],表格3[Model-Input-Ref2],表格3[TOSHIBA/HIGHEST])</f>
        <v>Toshiba SRP</v>
      </c>
      <c r="V2214" s="86">
        <v>1111</v>
      </c>
      <c r="W2214" s="86" t="str">
        <f>_xlfn.CONCAT(表格1[[#This Row],[欄4]],表格1[[#This Row],[inv no]])</f>
        <v>1111054967</v>
      </c>
    </row>
    <row r="2215" spans="1:23" ht="16.5" hidden="1">
      <c r="A2215" s="81">
        <v>2213</v>
      </c>
      <c r="B2215" s="86" t="s">
        <v>1260</v>
      </c>
      <c r="C2215" s="86" t="s">
        <v>1777</v>
      </c>
      <c r="D2215" s="82" t="str">
        <f ca="1">OFFSET(Roster!$A$3,MATCH(表格1[[#This Row],[Location]]&amp;" "&amp;表格1[[#This Row],[Shop]]&amp;"*",Roster!$A$4:$A$72,0),DAY(表格1[[#This Row],[date]]),1,1)</f>
        <v>Pam</v>
      </c>
      <c r="E2215" s="81">
        <f>MONTH(表格1[[#This Row],[date]])</f>
        <v>3</v>
      </c>
      <c r="F2215" s="90">
        <v>46091</v>
      </c>
      <c r="G2215" s="81" t="str">
        <f>VLOOKUP("*"&amp;表格1[[#This Row],[Input]]&amp;"*",'Ref-List'!$B:$D,2,)</f>
        <v>IC-20R1THK</v>
      </c>
      <c r="H2215" s="81" t="str">
        <f>_xlfn.XLOOKUP(表格1[[#This Row],[Model]],表格3[Model-Input-Ref2],表格3[Product Line])</f>
        <v>輕便式電磁爐</v>
      </c>
      <c r="I2215" s="81" t="str">
        <f>_xlfn.XLOOKUP(表格1[[#This Row],[Model]],表格3[Model-Input-Ref2],表格3[大小電])</f>
        <v>細電</v>
      </c>
      <c r="J2215" s="81" t="str">
        <f>_xlfn.XLOOKUP(表格1[[#This Row],[Model]],表格3[Model-Input-Ref2],表格3[Code])</f>
        <v>SDA</v>
      </c>
      <c r="K2215" s="89" t="s">
        <v>1243</v>
      </c>
      <c r="L2215" s="86">
        <v>1</v>
      </c>
      <c r="M2215" s="87">
        <v>298</v>
      </c>
      <c r="N2215" s="85">
        <f>IFERROR(表格1[[#This Row],[QTY]]*表格1[[#This Row],[Unit Price]],"-")</f>
        <v>298</v>
      </c>
      <c r="O2215" s="86">
        <v>135691</v>
      </c>
      <c r="P2215" s="141"/>
      <c r="R2215" s="86" t="str">
        <f>_xlfn.CONCAT(表格1[[#This Row],[Model]]," ",表格1[[#This Row],[inv no]])</f>
        <v>IC-20R1THK 135691</v>
      </c>
      <c r="S2215" s="86">
        <f>_xlfn.XLOOKUP(表格1[[#This Row],[Model]],表格3[Model-Input-Ref2],表格3[SRP PRICE])</f>
        <v>438</v>
      </c>
      <c r="T2215" s="43">
        <f>表格1[[#This Row],[Unit Price]]/表格1[[#This Row],[SRP]]</f>
        <v>0.68036529680365299</v>
      </c>
      <c r="U2215" s="86" t="str">
        <f>_xlfn.XLOOKUP(表格1[[#This Row],[Model]],表格3[Model-Input-Ref2],表格3[TOSHIBA/HIGHEST])</f>
        <v>Shops Highest Price</v>
      </c>
      <c r="V2215" s="86">
        <v>1111</v>
      </c>
      <c r="W2215" s="86" t="str">
        <f>_xlfn.CONCAT(表格1[[#This Row],[欄4]],表格1[[#This Row],[inv no]])</f>
        <v>1111135691</v>
      </c>
    </row>
    <row r="2216" spans="1:23" hidden="1">
      <c r="A2216" s="81">
        <v>2214</v>
      </c>
      <c r="B2216" s="86" t="s">
        <v>1260</v>
      </c>
      <c r="C2216" s="86" t="s">
        <v>1777</v>
      </c>
      <c r="D2216" s="82" t="str">
        <f ca="1">OFFSET(Roster!$A$3,MATCH(表格1[[#This Row],[Location]]&amp;" "&amp;表格1[[#This Row],[Shop]]&amp;"*",Roster!$A$4:$A$72,0),DAY(表格1[[#This Row],[date]]),1,1)</f>
        <v>Pam</v>
      </c>
      <c r="E2216" s="81">
        <f>MONTH(表格1[[#This Row],[date]])</f>
        <v>3</v>
      </c>
      <c r="F2216" s="90">
        <v>46091</v>
      </c>
      <c r="G2216" s="81" t="str">
        <f>VLOOKUP("*"&amp;表格1[[#This Row],[Input]]&amp;"*",'Ref-List'!$B:$D,2,)</f>
        <v>RC-10ISSHK(W)</v>
      </c>
      <c r="H2216" s="81" t="str">
        <f>_xlfn.XLOOKUP(表格1[[#This Row],[Model]],表格3[Model-Input-Ref2],表格3[Product Line])</f>
        <v>磁應電飯煲(1公升)</v>
      </c>
      <c r="I2216" s="81" t="str">
        <f>_xlfn.XLOOKUP(表格1[[#This Row],[Model]],表格3[Model-Input-Ref2],表格3[大小電])</f>
        <v>細電</v>
      </c>
      <c r="J2216" s="81" t="str">
        <f>_xlfn.XLOOKUP(表格1[[#This Row],[Model]],表格3[Model-Input-Ref2],表格3[Code])</f>
        <v>SDA</v>
      </c>
      <c r="K2216" s="89" t="s">
        <v>1286</v>
      </c>
      <c r="L2216" s="86">
        <v>1</v>
      </c>
      <c r="M2216" s="87">
        <v>898</v>
      </c>
      <c r="N2216" s="85">
        <f>IFERROR(表格1[[#This Row],[QTY]]*表格1[[#This Row],[Unit Price]],"-")</f>
        <v>898</v>
      </c>
      <c r="O2216" s="86">
        <v>369683</v>
      </c>
      <c r="R2216" s="86" t="str">
        <f>_xlfn.CONCAT(表格1[[#This Row],[Model]]," ",表格1[[#This Row],[inv no]])</f>
        <v>RC-10ISSHK(W) 369683</v>
      </c>
      <c r="S2216" s="86">
        <f>_xlfn.XLOOKUP(表格1[[#This Row],[Model]],表格3[Model-Input-Ref2],表格3[SRP PRICE])</f>
        <v>1188</v>
      </c>
      <c r="T2216" s="43">
        <f>表格1[[#This Row],[Unit Price]]/表格1[[#This Row],[SRP]]</f>
        <v>0.75589225589225584</v>
      </c>
      <c r="U2216" s="86" t="str">
        <f>_xlfn.XLOOKUP(表格1[[#This Row],[Model]],表格3[Model-Input-Ref2],表格3[TOSHIBA/HIGHEST])</f>
        <v>Shops Highest Price</v>
      </c>
      <c r="V2216" s="86">
        <v>1111</v>
      </c>
      <c r="W2216" s="86" t="str">
        <f>_xlfn.CONCAT(表格1[[#This Row],[欄4]],表格1[[#This Row],[inv no]])</f>
        <v>1111369683</v>
      </c>
    </row>
    <row r="2217" spans="1:23" hidden="1">
      <c r="A2217" s="81">
        <v>2215</v>
      </c>
      <c r="B2217" s="86" t="s">
        <v>1260</v>
      </c>
      <c r="C2217" s="86" t="s">
        <v>1777</v>
      </c>
      <c r="D2217" s="82" t="str">
        <f ca="1">OFFSET(Roster!$A$3,MATCH(表格1[[#This Row],[Location]]&amp;" "&amp;表格1[[#This Row],[Shop]]&amp;"*",Roster!$A$4:$A$72,0),DAY(表格1[[#This Row],[date]]),1,1)</f>
        <v>Pam</v>
      </c>
      <c r="E2217" s="81">
        <f>MONTH(表格1[[#This Row],[date]])</f>
        <v>3</v>
      </c>
      <c r="F2217" s="90">
        <v>46091</v>
      </c>
      <c r="G2217" s="81" t="str">
        <f>VLOOKUP("*"&amp;表格1[[#This Row],[Input]]&amp;"*",'Ref-List'!$B:$D,2,)</f>
        <v>TP-25DR2UHK(W)</v>
      </c>
      <c r="H2217" s="81" t="str">
        <f>_xlfn.XLOOKUP(表格1[[#This Row],[Model]],表格3[Model-Input-Ref2],表格3[Product Line])</f>
        <v>電熱水瓶 (2.5公升)</v>
      </c>
      <c r="I2217" s="81" t="str">
        <f>_xlfn.XLOOKUP(表格1[[#This Row],[Model]],表格3[Model-Input-Ref2],表格3[大小電])</f>
        <v>細電</v>
      </c>
      <c r="J2217" s="81" t="str">
        <f>_xlfn.XLOOKUP(表格1[[#This Row],[Model]],表格3[Model-Input-Ref2],表格3[Code])</f>
        <v>SDA</v>
      </c>
      <c r="K2217" s="89" t="s">
        <v>1285</v>
      </c>
      <c r="L2217" s="86">
        <v>1</v>
      </c>
      <c r="M2217" s="87">
        <v>398</v>
      </c>
      <c r="N2217" s="85">
        <f>IFERROR(表格1[[#This Row],[QTY]]*表格1[[#This Row],[Unit Price]],"-")</f>
        <v>398</v>
      </c>
      <c r="O2217" s="86">
        <v>575134</v>
      </c>
      <c r="R2217" s="86" t="str">
        <f>_xlfn.CONCAT(表格1[[#This Row],[Model]]," ",表格1[[#This Row],[inv no]])</f>
        <v>TP-25DR2UHK(W) 575134</v>
      </c>
      <c r="S2217" s="86">
        <f>_xlfn.XLOOKUP(表格1[[#This Row],[Model]],表格3[Model-Input-Ref2],表格3[SRP PRICE])</f>
        <v>538</v>
      </c>
      <c r="T2217" s="43">
        <f>表格1[[#This Row],[Unit Price]]/表格1[[#This Row],[SRP]]</f>
        <v>0.7397769516728625</v>
      </c>
      <c r="U2217" s="86" t="str">
        <f>_xlfn.XLOOKUP(表格1[[#This Row],[Model]],表格3[Model-Input-Ref2],表格3[TOSHIBA/HIGHEST])</f>
        <v>Toshiba SRP</v>
      </c>
      <c r="V2217" s="86">
        <v>1111</v>
      </c>
      <c r="W2217" s="86" t="str">
        <f>_xlfn.CONCAT(表格1[[#This Row],[欄4]],表格1[[#This Row],[inv no]])</f>
        <v>1111575134</v>
      </c>
    </row>
    <row r="2218" spans="1:23" hidden="1">
      <c r="A2218" s="81">
        <v>2216</v>
      </c>
      <c r="B2218" s="86" t="s">
        <v>1260</v>
      </c>
      <c r="C2218" s="86" t="s">
        <v>1777</v>
      </c>
      <c r="D2218" s="82" t="str">
        <f ca="1">OFFSET(Roster!$A$3,MATCH(表格1[[#This Row],[Location]]&amp;" "&amp;表格1[[#This Row],[Shop]]&amp;"*",Roster!$A$4:$A$72,0),DAY(表格1[[#This Row],[date]]),1,1)</f>
        <v>Pam</v>
      </c>
      <c r="E2218" s="81">
        <f>MONTH(表格1[[#This Row],[date]])</f>
        <v>3</v>
      </c>
      <c r="F2218" s="90">
        <v>46093</v>
      </c>
      <c r="G2218" s="81" t="str">
        <f>VLOOKUP("*"&amp;表格1[[#This Row],[Input]]&amp;"*",'Ref-List'!$B:$D,2,)</f>
        <v>RC-10NMFIH(WT)</v>
      </c>
      <c r="H2218" s="81" t="str">
        <f>_xlfn.XLOOKUP(表格1[[#This Row],[Model]],表格3[Model-Input-Ref2],表格3[Product Line])</f>
        <v>4毫米厚釜電飯煲1L</v>
      </c>
      <c r="I2218" s="81" t="str">
        <f>_xlfn.XLOOKUP(表格1[[#This Row],[Model]],表格3[Model-Input-Ref2],表格3[大小電])</f>
        <v>細電</v>
      </c>
      <c r="J2218" s="81" t="str">
        <f>_xlfn.XLOOKUP(表格1[[#This Row],[Model]],表格3[Model-Input-Ref2],表格3[Code])</f>
        <v>SDA</v>
      </c>
      <c r="K2218" s="89" t="s">
        <v>1244</v>
      </c>
      <c r="L2218" s="86">
        <v>1</v>
      </c>
      <c r="M2218" s="87">
        <v>719</v>
      </c>
      <c r="N2218" s="85">
        <f>IFERROR(表格1[[#This Row],[QTY]]*表格1[[#This Row],[Unit Price]],"-")</f>
        <v>719</v>
      </c>
      <c r="O2218" s="86">
        <v>136357</v>
      </c>
      <c r="R2218" s="86" t="str">
        <f>_xlfn.CONCAT(表格1[[#This Row],[Model]]," ",表格1[[#This Row],[inv no]])</f>
        <v>RC-10NMFIH(WT) 136357</v>
      </c>
      <c r="S2218" s="86">
        <f>_xlfn.XLOOKUP(表格1[[#This Row],[Model]],表格3[Model-Input-Ref2],表格3[SRP PRICE])</f>
        <v>898</v>
      </c>
      <c r="T2218" s="43">
        <f>表格1[[#This Row],[Unit Price]]/表格1[[#This Row],[SRP]]</f>
        <v>0.80066815144766146</v>
      </c>
      <c r="U2218" s="86" t="str">
        <f>_xlfn.XLOOKUP(表格1[[#This Row],[Model]],表格3[Model-Input-Ref2],表格3[TOSHIBA/HIGHEST])</f>
        <v>Toshiba SRP</v>
      </c>
      <c r="V2218" s="86">
        <v>1111</v>
      </c>
      <c r="W2218" s="86" t="str">
        <f>_xlfn.CONCAT(表格1[[#This Row],[欄4]],表格1[[#This Row],[inv no]])</f>
        <v>1111136357</v>
      </c>
    </row>
    <row r="2219" spans="1:23" hidden="1">
      <c r="A2219" s="81">
        <v>2217</v>
      </c>
      <c r="B2219" s="86" t="s">
        <v>1260</v>
      </c>
      <c r="C2219" s="86" t="s">
        <v>1777</v>
      </c>
      <c r="D2219" s="82" t="str">
        <f ca="1">OFFSET(Roster!$A$3,MATCH(表格1[[#This Row],[Location]]&amp;" "&amp;表格1[[#This Row],[Shop]]&amp;"*",Roster!$A$4:$A$72,0),DAY(表格1[[#This Row],[date]]),1,1)</f>
        <v>Pam</v>
      </c>
      <c r="E2219" s="81">
        <f>MONTH(表格1[[#This Row],[date]])</f>
        <v>3</v>
      </c>
      <c r="F2219" s="90">
        <v>46093</v>
      </c>
      <c r="G2219" s="81" t="str">
        <f>VLOOKUP("*"&amp;表格1[[#This Row],[Input]]&amp;"*",'Ref-List'!$B:$D,2,)</f>
        <v>F-LYA20(W)HKG</v>
      </c>
      <c r="H2219" s="81" t="str">
        <f>_xlfn.XLOOKUP(表格1[[#This Row],[Model]],表格3[Model-Input-Ref2],表格3[Product Line])</f>
        <v>12吋2合1座地座檯電風扇連遙控</v>
      </c>
      <c r="I2219" s="81" t="str">
        <f>_xlfn.XLOOKUP(表格1[[#This Row],[Model]],表格3[Model-Input-Ref2],表格3[大小電])</f>
        <v>細電</v>
      </c>
      <c r="J2219" s="81" t="str">
        <f>_xlfn.XLOOKUP(表格1[[#This Row],[Model]],表格3[Model-Input-Ref2],表格3[Code])</f>
        <v>EAD</v>
      </c>
      <c r="K2219" s="89" t="s">
        <v>1391</v>
      </c>
      <c r="L2219" s="86">
        <v>1</v>
      </c>
      <c r="M2219" s="87">
        <v>368</v>
      </c>
      <c r="N2219" s="85">
        <f>IFERROR(表格1[[#This Row],[QTY]]*表格1[[#This Row],[Unit Price]],"-")</f>
        <v>368</v>
      </c>
      <c r="O2219" s="86">
        <v>370369</v>
      </c>
      <c r="R2219" s="86" t="str">
        <f>_xlfn.CONCAT(表格1[[#This Row],[Model]]," ",表格1[[#This Row],[inv no]])</f>
        <v>F-LYA20(W)HKG 370369</v>
      </c>
      <c r="S2219" s="86">
        <f>_xlfn.XLOOKUP(表格1[[#This Row],[Model]],表格3[Model-Input-Ref2],表格3[SRP PRICE])</f>
        <v>988</v>
      </c>
      <c r="T2219" s="43">
        <f>表格1[[#This Row],[Unit Price]]/表格1[[#This Row],[SRP]]</f>
        <v>0.37246963562753038</v>
      </c>
      <c r="U2219" s="86" t="str">
        <f>_xlfn.XLOOKUP(表格1[[#This Row],[Model]],表格3[Model-Input-Ref2],表格3[TOSHIBA/HIGHEST])</f>
        <v>Toshiba SRP</v>
      </c>
      <c r="V2219" s="86">
        <v>1111</v>
      </c>
      <c r="W2219" s="86" t="str">
        <f>_xlfn.CONCAT(表格1[[#This Row],[欄4]],表格1[[#This Row],[inv no]])</f>
        <v>1111370369</v>
      </c>
    </row>
    <row r="2220" spans="1:23" hidden="1">
      <c r="A2220" s="81">
        <v>2218</v>
      </c>
      <c r="B2220" s="86" t="s">
        <v>1260</v>
      </c>
      <c r="C2220" s="86" t="s">
        <v>1777</v>
      </c>
      <c r="D2220" s="82" t="str">
        <f ca="1">OFFSET(Roster!$A$3,MATCH(表格1[[#This Row],[Location]]&amp;" "&amp;表格1[[#This Row],[Shop]]&amp;"*",Roster!$A$4:$A$72,0),DAY(表格1[[#This Row],[date]]),1,1)</f>
        <v>Pam</v>
      </c>
      <c r="E2220" s="81">
        <f>MONTH(表格1[[#This Row],[date]])</f>
        <v>3</v>
      </c>
      <c r="F2220" s="90">
        <v>46093</v>
      </c>
      <c r="G2220" s="81" t="str">
        <f>VLOOKUP("*"&amp;表格1[[#This Row],[Input]]&amp;"*",'Ref-List'!$B:$D,2,)</f>
        <v>KT-08DH1VHK(W)</v>
      </c>
      <c r="H2220" s="81" t="str">
        <f>_xlfn.XLOOKUP(表格1[[#This Row],[Model]],表格3[Model-Input-Ref2],表格3[Product Line])</f>
        <v>無線雙層電熱水壺-附可鎖壺蓋(0.8公升)</v>
      </c>
      <c r="I2220" s="81" t="str">
        <f>_xlfn.XLOOKUP(表格1[[#This Row],[Model]],表格3[Model-Input-Ref2],表格3[大小電])</f>
        <v>細電</v>
      </c>
      <c r="J2220" s="81" t="str">
        <f>_xlfn.XLOOKUP(表格1[[#This Row],[Model]],表格3[Model-Input-Ref2],表格3[Code])</f>
        <v>SDA</v>
      </c>
      <c r="K2220" s="89" t="s">
        <v>1268</v>
      </c>
      <c r="L2220" s="86">
        <v>1</v>
      </c>
      <c r="M2220" s="87">
        <v>268</v>
      </c>
      <c r="N2220" s="85">
        <f>IFERROR(表格1[[#This Row],[QTY]]*表格1[[#This Row],[Unit Price]],"-")</f>
        <v>268</v>
      </c>
      <c r="O2220" s="142" t="s">
        <v>1806</v>
      </c>
      <c r="R2220" s="86" t="str">
        <f>_xlfn.CONCAT(表格1[[#This Row],[Model]]," ",表格1[[#This Row],[inv no]])</f>
        <v>KT-08DH1VHK(W) 055532</v>
      </c>
      <c r="S2220" s="86">
        <f>_xlfn.XLOOKUP(表格1[[#This Row],[Model]],表格3[Model-Input-Ref2],表格3[SRP PRICE])</f>
        <v>428</v>
      </c>
      <c r="T2220" s="43">
        <f>表格1[[#This Row],[Unit Price]]/表格1[[#This Row],[SRP]]</f>
        <v>0.62616822429906538</v>
      </c>
      <c r="U2220" s="86" t="str">
        <f>_xlfn.XLOOKUP(表格1[[#This Row],[Model]],表格3[Model-Input-Ref2],表格3[TOSHIBA/HIGHEST])</f>
        <v>Toshiba SRP</v>
      </c>
      <c r="V2220" s="86">
        <v>1111</v>
      </c>
      <c r="W2220" s="86" t="str">
        <f>_xlfn.CONCAT(表格1[[#This Row],[欄4]],表格1[[#This Row],[inv no]])</f>
        <v>1111055532</v>
      </c>
    </row>
    <row r="2221" spans="1:23" hidden="1">
      <c r="A2221" s="81">
        <v>2219</v>
      </c>
      <c r="B2221" s="86" t="s">
        <v>1260</v>
      </c>
      <c r="C2221" s="86" t="s">
        <v>1777</v>
      </c>
      <c r="D2221" s="82" t="str">
        <f ca="1">OFFSET(Roster!$A$3,MATCH(表格1[[#This Row],[Location]]&amp;" "&amp;表格1[[#This Row],[Shop]]&amp;"*",Roster!$A$4:$A$72,0),DAY(表格1[[#This Row],[date]]),1,1)</f>
        <v>Pam</v>
      </c>
      <c r="E2221" s="81">
        <f>MONTH(表格1[[#This Row],[date]])</f>
        <v>3</v>
      </c>
      <c r="F2221" s="90">
        <v>46093</v>
      </c>
      <c r="G2221" s="81" t="str">
        <f>VLOOKUP("*"&amp;表格1[[#This Row],[Input]]&amp;"*",'Ref-List'!$B:$D,2,)</f>
        <v>RAD-D300H</v>
      </c>
      <c r="H2221" s="81" t="str">
        <f>_xlfn.XLOOKUP(表格1[[#This Row],[Model]],表格3[Model-Input-Ref2],表格3[Product Line])</f>
        <v>壓縮式抽濕機 (30公升)</v>
      </c>
      <c r="I2221" s="81" t="str">
        <f>_xlfn.XLOOKUP(表格1[[#This Row],[Model]],表格3[Model-Input-Ref2],表格3[大小電])</f>
        <v>細電</v>
      </c>
      <c r="J2221" s="81" t="str">
        <f>_xlfn.XLOOKUP(表格1[[#This Row],[Model]],表格3[Model-Input-Ref2],表格3[Code])</f>
        <v>RAC</v>
      </c>
      <c r="K2221" s="89" t="s">
        <v>1252</v>
      </c>
      <c r="L2221" s="86">
        <v>1</v>
      </c>
      <c r="M2221" s="87">
        <v>2280</v>
      </c>
      <c r="N2221" s="85">
        <f>IFERROR(表格1[[#This Row],[QTY]]*表格1[[#This Row],[Unit Price]],"-")</f>
        <v>2280</v>
      </c>
      <c r="O2221" s="142" t="s">
        <v>1808</v>
      </c>
      <c r="R2221" s="86" t="str">
        <f>_xlfn.CONCAT(表格1[[#This Row],[Model]]," ",表格1[[#This Row],[inv no]])</f>
        <v>RAD-D300H 055551</v>
      </c>
      <c r="S2221" s="86">
        <f>_xlfn.XLOOKUP(表格1[[#This Row],[Model]],表格3[Model-Input-Ref2],表格3[SRP PRICE])</f>
        <v>3380</v>
      </c>
      <c r="T2221" s="43">
        <f>表格1[[#This Row],[Unit Price]]/表格1[[#This Row],[SRP]]</f>
        <v>0.67455621301775148</v>
      </c>
      <c r="U2221" s="86" t="str">
        <f>_xlfn.XLOOKUP(表格1[[#This Row],[Model]],表格3[Model-Input-Ref2],表格3[TOSHIBA/HIGHEST])</f>
        <v>Shops Highest Price</v>
      </c>
      <c r="V2221" s="86">
        <v>1111</v>
      </c>
      <c r="W2221" s="86" t="str">
        <f>_xlfn.CONCAT(表格1[[#This Row],[欄4]],表格1[[#This Row],[inv no]])</f>
        <v>1111055551</v>
      </c>
    </row>
    <row r="2222" spans="1:23" hidden="1">
      <c r="A2222" s="81">
        <v>2220</v>
      </c>
      <c r="B2222" s="86" t="s">
        <v>1260</v>
      </c>
      <c r="C2222" s="86" t="s">
        <v>1777</v>
      </c>
      <c r="D2222" s="82" t="str">
        <f ca="1">OFFSET(Roster!$A$3,MATCH(表格1[[#This Row],[Location]]&amp;" "&amp;表格1[[#This Row],[Shop]]&amp;"*",Roster!$A$4:$A$72,0),DAY(表格1[[#This Row],[date]]),1,1)</f>
        <v>Pam</v>
      </c>
      <c r="E2222" s="81">
        <f>MONTH(表格1[[#This Row],[date]])</f>
        <v>3</v>
      </c>
      <c r="F2222" s="90">
        <v>46093</v>
      </c>
      <c r="G2222" s="81" t="str">
        <f>VLOOKUP("*"&amp;表格1[[#This Row],[Input]]&amp;"*",'Ref-List'!$B:$D,2,)</f>
        <v>AW-Q751APH(WW)</v>
      </c>
      <c r="H2222" s="81" t="str">
        <f>_xlfn.XLOOKUP(表格1[[#This Row],[Model]],表格3[Model-Input-Ref2],表格3[Product Line])</f>
        <v>日式洗衣機 (6.5公斤 結合高低水位)</v>
      </c>
      <c r="I2222" s="81" t="str">
        <f>_xlfn.XLOOKUP(表格1[[#This Row],[Model]],表格3[Model-Input-Ref2],表格3[大小電])</f>
        <v>大電</v>
      </c>
      <c r="J2222" s="81" t="str">
        <f>_xlfn.XLOOKUP(表格1[[#This Row],[Model]],表格3[Model-Input-Ref2],表格3[Code])</f>
        <v>LAD</v>
      </c>
      <c r="K2222" s="89" t="s">
        <v>1770</v>
      </c>
      <c r="L2222" s="86">
        <v>1</v>
      </c>
      <c r="M2222" s="87">
        <v>1860</v>
      </c>
      <c r="N2222" s="85">
        <f>IFERROR(表格1[[#This Row],[QTY]]*表格1[[#This Row],[Unit Price]],"-")</f>
        <v>1860</v>
      </c>
      <c r="O2222" s="142" t="s">
        <v>1809</v>
      </c>
      <c r="R2222" s="86" t="str">
        <f>_xlfn.CONCAT(表格1[[#This Row],[Model]]," ",表格1[[#This Row],[inv no]])</f>
        <v>AW-Q751APH(WW) 055511</v>
      </c>
      <c r="S2222" s="86">
        <f>_xlfn.XLOOKUP(表格1[[#This Row],[Model]],表格3[Model-Input-Ref2],表格3[SRP PRICE])</f>
        <v>2880</v>
      </c>
      <c r="T2222" s="43">
        <f>表格1[[#This Row],[Unit Price]]/表格1[[#This Row],[SRP]]</f>
        <v>0.64583333333333337</v>
      </c>
      <c r="U2222" s="86" t="str">
        <f>_xlfn.XLOOKUP(表格1[[#This Row],[Model]],表格3[Model-Input-Ref2],表格3[TOSHIBA/HIGHEST])</f>
        <v>Toshiba SRP</v>
      </c>
      <c r="V2222" s="86">
        <v>1111</v>
      </c>
      <c r="W2222" s="86" t="str">
        <f>_xlfn.CONCAT(表格1[[#This Row],[欄4]],表格1[[#This Row],[inv no]])</f>
        <v>1111055511</v>
      </c>
    </row>
    <row r="2223" spans="1:23" hidden="1">
      <c r="A2223" s="81">
        <v>2221</v>
      </c>
      <c r="B2223" s="86" t="s">
        <v>1260</v>
      </c>
      <c r="C2223" s="86" t="s">
        <v>1777</v>
      </c>
      <c r="D2223" s="82" t="str">
        <f ca="1">OFFSET(Roster!$A$3,MATCH(表格1[[#This Row],[Location]]&amp;" "&amp;表格1[[#This Row],[Shop]]&amp;"*",Roster!$A$4:$A$72,0),DAY(表格1[[#This Row],[date]]),1,1)</f>
        <v>Pam</v>
      </c>
      <c r="E2223" s="81">
        <f>MONTH(表格1[[#This Row],[date]])</f>
        <v>3</v>
      </c>
      <c r="F2223" s="90">
        <v>46094</v>
      </c>
      <c r="G2223" s="81" t="str">
        <f>VLOOKUP("*"&amp;表格1[[#This Row],[Input]]&amp;"*",'Ref-List'!$B:$D,2,)</f>
        <v>IC-20R1THK</v>
      </c>
      <c r="H2223" s="81" t="str">
        <f>_xlfn.XLOOKUP(表格1[[#This Row],[Model]],表格3[Model-Input-Ref2],表格3[Product Line])</f>
        <v>輕便式電磁爐</v>
      </c>
      <c r="I2223" s="81" t="str">
        <f>_xlfn.XLOOKUP(表格1[[#This Row],[Model]],表格3[Model-Input-Ref2],表格3[大小電])</f>
        <v>細電</v>
      </c>
      <c r="J2223" s="81" t="str">
        <f>_xlfn.XLOOKUP(表格1[[#This Row],[Model]],表格3[Model-Input-Ref2],表格3[Code])</f>
        <v>SDA</v>
      </c>
      <c r="K2223" s="89" t="s">
        <v>1243</v>
      </c>
      <c r="L2223" s="86">
        <v>1</v>
      </c>
      <c r="M2223" s="87">
        <v>298</v>
      </c>
      <c r="N2223" s="85">
        <f>IFERROR(表格1[[#This Row],[QTY]]*表格1[[#This Row],[Unit Price]],"-")</f>
        <v>298</v>
      </c>
      <c r="O2223" s="86">
        <v>136761</v>
      </c>
      <c r="R2223" s="86" t="str">
        <f>_xlfn.CONCAT(表格1[[#This Row],[Model]]," ",表格1[[#This Row],[inv no]])</f>
        <v>IC-20R1THK 136761</v>
      </c>
      <c r="S2223" s="86">
        <f>_xlfn.XLOOKUP(表格1[[#This Row],[Model]],表格3[Model-Input-Ref2],表格3[SRP PRICE])</f>
        <v>438</v>
      </c>
      <c r="T2223" s="43">
        <f>表格1[[#This Row],[Unit Price]]/表格1[[#This Row],[SRP]]</f>
        <v>0.68036529680365299</v>
      </c>
      <c r="U2223" s="86" t="str">
        <f>_xlfn.XLOOKUP(表格1[[#This Row],[Model]],表格3[Model-Input-Ref2],表格3[TOSHIBA/HIGHEST])</f>
        <v>Shops Highest Price</v>
      </c>
      <c r="V2223" s="86">
        <v>1111</v>
      </c>
      <c r="W2223" s="86" t="str">
        <f>_xlfn.CONCAT(表格1[[#This Row],[欄4]],表格1[[#This Row],[inv no]])</f>
        <v>1111136761</v>
      </c>
    </row>
    <row r="2224" spans="1:23" hidden="1">
      <c r="A2224" s="81">
        <v>2222</v>
      </c>
      <c r="B2224" s="86" t="s">
        <v>1260</v>
      </c>
      <c r="C2224" s="86" t="s">
        <v>1777</v>
      </c>
      <c r="D2224" s="82" t="str">
        <f ca="1">OFFSET(Roster!$A$3,MATCH(表格1[[#This Row],[Location]]&amp;" "&amp;表格1[[#This Row],[Shop]]&amp;"*",Roster!$A$4:$A$72,0),DAY(表格1[[#This Row],[date]]),1,1)</f>
        <v>Pam</v>
      </c>
      <c r="E2224" s="81">
        <f>MONTH(表格1[[#This Row],[date]])</f>
        <v>3</v>
      </c>
      <c r="F2224" s="90">
        <v>46094</v>
      </c>
      <c r="G2224" s="81" t="str">
        <f>VLOOKUP("*"&amp;表格1[[#This Row],[Input]]&amp;"*",'Ref-List'!$B:$D,2,)</f>
        <v>KT-17SHNH</v>
      </c>
      <c r="H2224" s="81" t="str">
        <f>_xlfn.XLOOKUP(表格1[[#This Row],[Model]],表格3[Model-Input-Ref2],表格3[Product Line])</f>
        <v>1.7L無線雙層電熱水壺</v>
      </c>
      <c r="I2224" s="81" t="str">
        <f>_xlfn.XLOOKUP(表格1[[#This Row],[Model]],表格3[Model-Input-Ref2],表格3[大小電])</f>
        <v>細電</v>
      </c>
      <c r="J2224" s="81" t="str">
        <f>_xlfn.XLOOKUP(表格1[[#This Row],[Model]],表格3[Model-Input-Ref2],表格3[Code])</f>
        <v>SDA</v>
      </c>
      <c r="K2224" s="89" t="s">
        <v>1283</v>
      </c>
      <c r="L2224" s="86">
        <v>1</v>
      </c>
      <c r="M2224" s="87">
        <v>228</v>
      </c>
      <c r="N2224" s="85">
        <f>IFERROR(表格1[[#This Row],[QTY]]*表格1[[#This Row],[Unit Price]],"-")</f>
        <v>228</v>
      </c>
      <c r="O2224" s="86">
        <v>136501</v>
      </c>
      <c r="R2224" s="86" t="str">
        <f>_xlfn.CONCAT(表格1[[#This Row],[Model]]," ",表格1[[#This Row],[inv no]])</f>
        <v>KT-17SHNH 136501</v>
      </c>
      <c r="S2224" s="86">
        <f>_xlfn.XLOOKUP(表格1[[#This Row],[Model]],表格3[Model-Input-Ref2],表格3[SRP PRICE])</f>
        <v>299</v>
      </c>
      <c r="T2224" s="43">
        <f>表格1[[#This Row],[Unit Price]]/表格1[[#This Row],[SRP]]</f>
        <v>0.76254180602006694</v>
      </c>
      <c r="U2224" s="86" t="str">
        <f>_xlfn.XLOOKUP(表格1[[#This Row],[Model]],表格3[Model-Input-Ref2],表格3[TOSHIBA/HIGHEST])</f>
        <v>Shops Highest Price</v>
      </c>
      <c r="V2224" s="86">
        <v>1111</v>
      </c>
      <c r="W2224" s="86" t="str">
        <f>_xlfn.CONCAT(表格1[[#This Row],[欄4]],表格1[[#This Row],[inv no]])</f>
        <v>1111136501</v>
      </c>
    </row>
    <row r="2225" spans="1:23" hidden="1">
      <c r="A2225" s="81">
        <v>2223</v>
      </c>
      <c r="B2225" s="86" t="s">
        <v>1260</v>
      </c>
      <c r="C2225" s="86" t="s">
        <v>1777</v>
      </c>
      <c r="D2225" s="82" t="str">
        <f ca="1">OFFSET(Roster!$A$3,MATCH(表格1[[#This Row],[Location]]&amp;" "&amp;表格1[[#This Row],[Shop]]&amp;"*",Roster!$A$4:$A$72,0),DAY(表格1[[#This Row],[date]]),1,1)</f>
        <v>Pam</v>
      </c>
      <c r="E2225" s="81">
        <f>MONTH(表格1[[#This Row],[date]])</f>
        <v>3</v>
      </c>
      <c r="F2225" s="90">
        <v>46094</v>
      </c>
      <c r="G2225" s="81" t="str">
        <f>VLOOKUP("*"&amp;表格1[[#This Row],[Input]]&amp;"*",'Ref-List'!$B:$D,2,)</f>
        <v>RC-18NMFIH(WT)</v>
      </c>
      <c r="H2225" s="81" t="str">
        <f>_xlfn.XLOOKUP(表格1[[#This Row],[Model]],表格3[Model-Input-Ref2],表格3[Product Line])</f>
        <v>4毫米厚釜電飯煲1.8L</v>
      </c>
      <c r="I2225" s="81" t="str">
        <f>_xlfn.XLOOKUP(表格1[[#This Row],[Model]],表格3[Model-Input-Ref2],表格3[大小電])</f>
        <v>細電</v>
      </c>
      <c r="J2225" s="81" t="str">
        <f>_xlfn.XLOOKUP(表格1[[#This Row],[Model]],表格3[Model-Input-Ref2],表格3[Code])</f>
        <v>SDA</v>
      </c>
      <c r="K2225" s="89" t="s">
        <v>1267</v>
      </c>
      <c r="L2225" s="86">
        <v>1</v>
      </c>
      <c r="M2225" s="87">
        <v>799</v>
      </c>
      <c r="N2225" s="85">
        <f>IFERROR(表格1[[#This Row],[QTY]]*表格1[[#This Row],[Unit Price]],"-")</f>
        <v>799</v>
      </c>
      <c r="O2225" s="86">
        <v>136698</v>
      </c>
      <c r="R2225" s="86" t="str">
        <f>_xlfn.CONCAT(表格1[[#This Row],[Model]]," ",表格1[[#This Row],[inv no]])</f>
        <v>RC-18NMFIH(WT) 136698</v>
      </c>
      <c r="S2225" s="86">
        <f>_xlfn.XLOOKUP(表格1[[#This Row],[Model]],表格3[Model-Input-Ref2],表格3[SRP PRICE])</f>
        <v>998</v>
      </c>
      <c r="T2225" s="43">
        <f>表格1[[#This Row],[Unit Price]]/表格1[[#This Row],[SRP]]</f>
        <v>0.80060120240480959</v>
      </c>
      <c r="U2225" s="86" t="str">
        <f>_xlfn.XLOOKUP(表格1[[#This Row],[Model]],表格3[Model-Input-Ref2],表格3[TOSHIBA/HIGHEST])</f>
        <v>Toshiba SRP</v>
      </c>
      <c r="V2225" s="86">
        <v>1111</v>
      </c>
      <c r="W2225" s="86" t="str">
        <f>_xlfn.CONCAT(表格1[[#This Row],[欄4]],表格1[[#This Row],[inv no]])</f>
        <v>1111136698</v>
      </c>
    </row>
    <row r="2226" spans="1:23" hidden="1">
      <c r="A2226" s="81">
        <v>2224</v>
      </c>
      <c r="B2226" s="86" t="s">
        <v>1260</v>
      </c>
      <c r="C2226" s="86" t="s">
        <v>1777</v>
      </c>
      <c r="D2226" s="82" t="str">
        <f ca="1">OFFSET(Roster!$A$3,MATCH(表格1[[#This Row],[Location]]&amp;" "&amp;表格1[[#This Row],[Shop]]&amp;"*",Roster!$A$4:$A$72,0),DAY(表格1[[#This Row],[date]]),1,1)</f>
        <v>Pam</v>
      </c>
      <c r="E2226" s="81">
        <f>MONTH(表格1[[#This Row],[date]])</f>
        <v>3</v>
      </c>
      <c r="F2226" s="90">
        <v>46094</v>
      </c>
      <c r="G2226" s="81" t="str">
        <f>VLOOKUP("*"&amp;表格1[[#This Row],[Input]]&amp;"*",'Ref-List'!$B:$D,2,)</f>
        <v>RC-5SLIH(W)</v>
      </c>
      <c r="H2226" s="81" t="str">
        <f>_xlfn.XLOOKUP(表格1[[#This Row],[Model]],表格3[Model-Input-Ref2],表格3[Product Line])</f>
        <v>微型電腦珍珠飯煲</v>
      </c>
      <c r="I2226" s="81" t="str">
        <f>_xlfn.XLOOKUP(表格1[[#This Row],[Model]],表格3[Model-Input-Ref2],表格3[大小電])</f>
        <v>細電</v>
      </c>
      <c r="J2226" s="81" t="str">
        <f>_xlfn.XLOOKUP(表格1[[#This Row],[Model]],表格3[Model-Input-Ref2],表格3[Code])</f>
        <v>SDA</v>
      </c>
      <c r="K2226" s="89" t="s">
        <v>1264</v>
      </c>
      <c r="L2226" s="86">
        <v>1</v>
      </c>
      <c r="M2226" s="87">
        <v>558</v>
      </c>
      <c r="N2226" s="85">
        <f>IFERROR(表格1[[#This Row],[QTY]]*表格1[[#This Row],[Unit Price]],"-")</f>
        <v>558</v>
      </c>
      <c r="O2226" s="86">
        <v>136687</v>
      </c>
      <c r="R2226" s="86" t="str">
        <f>_xlfn.CONCAT(表格1[[#This Row],[Model]]," ",表格1[[#This Row],[inv no]])</f>
        <v>RC-5SLIH(W) 136687</v>
      </c>
      <c r="S2226" s="86">
        <f>_xlfn.XLOOKUP(表格1[[#This Row],[Model]],表格3[Model-Input-Ref2],表格3[SRP PRICE])</f>
        <v>658</v>
      </c>
      <c r="T2226" s="43">
        <f>表格1[[#This Row],[Unit Price]]/表格1[[#This Row],[SRP]]</f>
        <v>0.84802431610942253</v>
      </c>
      <c r="U2226" s="86" t="str">
        <f>_xlfn.XLOOKUP(表格1[[#This Row],[Model]],表格3[Model-Input-Ref2],表格3[TOSHIBA/HIGHEST])</f>
        <v>Toshiba SRP</v>
      </c>
      <c r="V2226" s="86">
        <v>1111</v>
      </c>
      <c r="W2226" s="86" t="str">
        <f>_xlfn.CONCAT(表格1[[#This Row],[欄4]],表格1[[#This Row],[inv no]])</f>
        <v>1111136687</v>
      </c>
    </row>
    <row r="2227" spans="1:23" hidden="1">
      <c r="A2227" s="81">
        <v>2225</v>
      </c>
      <c r="B2227" s="86" t="s">
        <v>1260</v>
      </c>
      <c r="C2227" s="86" t="s">
        <v>1777</v>
      </c>
      <c r="D2227" s="82" t="str">
        <f ca="1">OFFSET(Roster!$A$3,MATCH(表格1[[#This Row],[Location]]&amp;" "&amp;表格1[[#This Row],[Shop]]&amp;"*",Roster!$A$4:$A$72,0),DAY(表格1[[#This Row],[date]]),1,1)</f>
        <v>Pam</v>
      </c>
      <c r="E2227" s="81">
        <f>MONTH(表格1[[#This Row],[date]])</f>
        <v>3</v>
      </c>
      <c r="F2227" s="90">
        <v>46094</v>
      </c>
      <c r="G2227" s="81" t="str">
        <f>VLOOKUP("*"&amp;表格1[[#This Row],[Input]]&amp;"*",'Ref-List'!$B:$D,2,)</f>
        <v>RC-10AMXH(W)</v>
      </c>
      <c r="H2227" s="81" t="str">
        <f>_xlfn.XLOOKUP(表格1[[#This Row],[Model]],表格3[Model-Input-Ref2],表格3[Product Line])</f>
        <v>酵活炊電飯煲(1.0公升)</v>
      </c>
      <c r="I2227" s="81" t="str">
        <f>_xlfn.XLOOKUP(表格1[[#This Row],[Model]],表格3[Model-Input-Ref2],表格3[大小電])</f>
        <v>細電</v>
      </c>
      <c r="J2227" s="81" t="str">
        <f>_xlfn.XLOOKUP(表格1[[#This Row],[Model]],表格3[Model-Input-Ref2],表格3[Code])</f>
        <v>SDA</v>
      </c>
      <c r="K2227" s="89" t="s">
        <v>1279</v>
      </c>
      <c r="L2227" s="86">
        <v>1</v>
      </c>
      <c r="M2227" s="87">
        <v>990</v>
      </c>
      <c r="N2227" s="85">
        <f>IFERROR(表格1[[#This Row],[QTY]]*表格1[[#This Row],[Unit Price]],"-")</f>
        <v>990</v>
      </c>
      <c r="O2227" s="86">
        <v>136741</v>
      </c>
      <c r="R2227" s="86" t="str">
        <f>_xlfn.CONCAT(表格1[[#This Row],[Model]]," ",表格1[[#This Row],[inv no]])</f>
        <v>RC-10AMXH(W) 136741</v>
      </c>
      <c r="S2227" s="86">
        <f>_xlfn.XLOOKUP(表格1[[#This Row],[Model]],表格3[Model-Input-Ref2],表格3[SRP PRICE])</f>
        <v>1288</v>
      </c>
      <c r="T2227" s="43">
        <f>表格1[[#This Row],[Unit Price]]/表格1[[#This Row],[SRP]]</f>
        <v>0.76863354037267084</v>
      </c>
      <c r="U2227" s="86" t="str">
        <f>_xlfn.XLOOKUP(表格1[[#This Row],[Model]],表格3[Model-Input-Ref2],表格3[TOSHIBA/HIGHEST])</f>
        <v>Toshiba SRP</v>
      </c>
      <c r="V2227" s="86">
        <v>1111</v>
      </c>
      <c r="W2227" s="86" t="str">
        <f>_xlfn.CONCAT(表格1[[#This Row],[欄4]],表格1[[#This Row],[inv no]])</f>
        <v>1111136741</v>
      </c>
    </row>
    <row r="2228" spans="1:23" hidden="1">
      <c r="A2228" s="81">
        <v>2226</v>
      </c>
      <c r="B2228" s="86" t="s">
        <v>1260</v>
      </c>
      <c r="C2228" s="86" t="s">
        <v>1777</v>
      </c>
      <c r="D2228" s="82" t="str">
        <f ca="1">OFFSET(Roster!$A$3,MATCH(表格1[[#This Row],[Location]]&amp;" "&amp;表格1[[#This Row],[Shop]]&amp;"*",Roster!$A$4:$A$72,0),DAY(表格1[[#This Row],[date]]),1,1)</f>
        <v>Pam</v>
      </c>
      <c r="E2228" s="81">
        <f>MONTH(表格1[[#This Row],[date]])</f>
        <v>3</v>
      </c>
      <c r="F2228" s="90">
        <v>46095</v>
      </c>
      <c r="G2228" s="81" t="str">
        <f>VLOOKUP("*"&amp;表格1[[#This Row],[Input]]&amp;"*",'Ref-List'!$B:$D,2,)</f>
        <v>RC-10JRUH(N)</v>
      </c>
      <c r="H2228" s="81" t="str">
        <f>_xlfn.XLOOKUP(表格1[[#This Row],[Model]],表格3[Model-Input-Ref2],表格3[Product Line])</f>
        <v>電飯煲</v>
      </c>
      <c r="I2228" s="81" t="str">
        <f>_xlfn.XLOOKUP(表格1[[#This Row],[Model]],表格3[Model-Input-Ref2],表格3[大小電])</f>
        <v>細電</v>
      </c>
      <c r="J2228" s="81" t="str">
        <f>_xlfn.XLOOKUP(表格1[[#This Row],[Model]],表格3[Model-Input-Ref2],表格3[Code])</f>
        <v>SDA</v>
      </c>
      <c r="K2228" s="89" t="s">
        <v>1263</v>
      </c>
      <c r="L2228" s="86">
        <v>1</v>
      </c>
      <c r="M2228" s="87">
        <v>250</v>
      </c>
      <c r="N2228" s="85">
        <f>IFERROR(表格1[[#This Row],[QTY]]*表格1[[#This Row],[Unit Price]],"-")</f>
        <v>250</v>
      </c>
      <c r="O2228" s="86">
        <v>371053</v>
      </c>
      <c r="R2228" s="86" t="str">
        <f>_xlfn.CONCAT(表格1[[#This Row],[Model]]," ",表格1[[#This Row],[inv no]])</f>
        <v>RC-10JRUH(N) 371053</v>
      </c>
      <c r="S2228" s="86">
        <f>_xlfn.XLOOKUP(表格1[[#This Row],[Model]],表格3[Model-Input-Ref2],表格3[SRP PRICE])</f>
        <v>398</v>
      </c>
      <c r="T2228" s="43">
        <f>表格1[[#This Row],[Unit Price]]/表格1[[#This Row],[SRP]]</f>
        <v>0.62814070351758799</v>
      </c>
      <c r="U2228" s="86" t="str">
        <f>_xlfn.XLOOKUP(表格1[[#This Row],[Model]],表格3[Model-Input-Ref2],表格3[TOSHIBA/HIGHEST])</f>
        <v>Shops Highest Price</v>
      </c>
      <c r="V2228" s="86">
        <v>1111</v>
      </c>
      <c r="W2228" s="86" t="str">
        <f>_xlfn.CONCAT(表格1[[#This Row],[欄4]],表格1[[#This Row],[inv no]])</f>
        <v>1111371053</v>
      </c>
    </row>
    <row r="2229" spans="1:23" hidden="1">
      <c r="A2229" s="81">
        <v>2227</v>
      </c>
      <c r="B2229" s="86" t="s">
        <v>1260</v>
      </c>
      <c r="C2229" s="86" t="s">
        <v>1777</v>
      </c>
      <c r="D2229" s="82" t="str">
        <f ca="1">OFFSET(Roster!$A$3,MATCH(表格1[[#This Row],[Location]]&amp;" "&amp;表格1[[#This Row],[Shop]]&amp;"*",Roster!$A$4:$A$72,0),DAY(表格1[[#This Row],[date]]),1,1)</f>
        <v>Pam</v>
      </c>
      <c r="E2229" s="81">
        <f>MONTH(表格1[[#This Row],[date]])</f>
        <v>3</v>
      </c>
      <c r="F2229" s="90">
        <v>46095</v>
      </c>
      <c r="G2229" s="81" t="str">
        <f>VLOOKUP("*"&amp;表格1[[#This Row],[Input]]&amp;"*",'Ref-List'!$B:$D,2,)</f>
        <v>RC-10JRUH(N)</v>
      </c>
      <c r="H2229" s="81" t="str">
        <f>_xlfn.XLOOKUP(表格1[[#This Row],[Model]],表格3[Model-Input-Ref2],表格3[Product Line])</f>
        <v>電飯煲</v>
      </c>
      <c r="I2229" s="81" t="str">
        <f>_xlfn.XLOOKUP(表格1[[#This Row],[Model]],表格3[Model-Input-Ref2],表格3[大小電])</f>
        <v>細電</v>
      </c>
      <c r="J2229" s="81" t="str">
        <f>_xlfn.XLOOKUP(表格1[[#This Row],[Model]],表格3[Model-Input-Ref2],表格3[Code])</f>
        <v>SDA</v>
      </c>
      <c r="K2229" s="89" t="s">
        <v>1263</v>
      </c>
      <c r="L2229" s="86">
        <v>1</v>
      </c>
      <c r="M2229" s="87">
        <v>250</v>
      </c>
      <c r="N2229" s="85">
        <f>IFERROR(表格1[[#This Row],[QTY]]*表格1[[#This Row],[Unit Price]],"-")</f>
        <v>250</v>
      </c>
      <c r="O2229" s="86">
        <v>136780</v>
      </c>
      <c r="R2229" s="86" t="str">
        <f>_xlfn.CONCAT(表格1[[#This Row],[Model]]," ",表格1[[#This Row],[inv no]])</f>
        <v>RC-10JRUH(N) 136780</v>
      </c>
      <c r="S2229" s="86">
        <f>_xlfn.XLOOKUP(表格1[[#This Row],[Model]],表格3[Model-Input-Ref2],表格3[SRP PRICE])</f>
        <v>398</v>
      </c>
      <c r="T2229" s="43">
        <f>表格1[[#This Row],[Unit Price]]/表格1[[#This Row],[SRP]]</f>
        <v>0.62814070351758799</v>
      </c>
      <c r="U2229" s="86" t="str">
        <f>_xlfn.XLOOKUP(表格1[[#This Row],[Model]],表格3[Model-Input-Ref2],表格3[TOSHIBA/HIGHEST])</f>
        <v>Shops Highest Price</v>
      </c>
      <c r="V2229" s="86">
        <v>1111</v>
      </c>
      <c r="W2229" s="86" t="str">
        <f>_xlfn.CONCAT(表格1[[#This Row],[欄4]],表格1[[#This Row],[inv no]])</f>
        <v>1111136780</v>
      </c>
    </row>
    <row r="2230" spans="1:23" hidden="1">
      <c r="A2230" s="81">
        <v>2228</v>
      </c>
      <c r="B2230" s="86" t="s">
        <v>1260</v>
      </c>
      <c r="C2230" s="86" t="s">
        <v>1777</v>
      </c>
      <c r="D2230" s="82" t="str">
        <f ca="1">OFFSET(Roster!$A$3,MATCH(表格1[[#This Row],[Location]]&amp;" "&amp;表格1[[#This Row],[Shop]]&amp;"*",Roster!$A$4:$A$72,0),DAY(表格1[[#This Row],[date]]),1,1)</f>
        <v>Pam</v>
      </c>
      <c r="E2230" s="81">
        <f>MONTH(表格1[[#This Row],[date]])</f>
        <v>3</v>
      </c>
      <c r="F2230" s="90">
        <v>46095</v>
      </c>
      <c r="G2230" s="81" t="str">
        <f>VLOOKUP("*"&amp;表格1[[#This Row],[Input]]&amp;"*",'Ref-List'!$B:$D,2,)</f>
        <v>KT-15DRTHK(W)</v>
      </c>
      <c r="H2230" s="81" t="str">
        <f>_xlfn.XLOOKUP(表格1[[#This Row],[Model]],表格3[Model-Input-Ref2],表格3[Product Line])</f>
        <v>無線雙層電熱水壺-附可鎖壺蓋</v>
      </c>
      <c r="I2230" s="81" t="str">
        <f>_xlfn.XLOOKUP(表格1[[#This Row],[Model]],表格3[Model-Input-Ref2],表格3[大小電])</f>
        <v>細電</v>
      </c>
      <c r="J2230" s="81" t="str">
        <f>_xlfn.XLOOKUP(表格1[[#This Row],[Model]],表格3[Model-Input-Ref2],表格3[Code])</f>
        <v>SDA</v>
      </c>
      <c r="K2230" s="89" t="s">
        <v>1278</v>
      </c>
      <c r="L2230" s="86">
        <v>1</v>
      </c>
      <c r="M2230" s="87">
        <v>498</v>
      </c>
      <c r="N2230" s="85">
        <f>IFERROR(表格1[[#This Row],[QTY]]*表格1[[#This Row],[Unit Price]],"-")</f>
        <v>498</v>
      </c>
      <c r="O2230" s="86">
        <v>371248</v>
      </c>
      <c r="R2230" s="86" t="str">
        <f>_xlfn.CONCAT(表格1[[#This Row],[Model]]," ",表格1[[#This Row],[inv no]])</f>
        <v>KT-15DRTHK(W) 371248</v>
      </c>
      <c r="S2230" s="86">
        <f>_xlfn.XLOOKUP(表格1[[#This Row],[Model]],表格3[Model-Input-Ref2],表格3[SRP PRICE])</f>
        <v>598</v>
      </c>
      <c r="T2230" s="43">
        <f>表格1[[#This Row],[Unit Price]]/表格1[[#This Row],[SRP]]</f>
        <v>0.83277591973244147</v>
      </c>
      <c r="U2230" s="86" t="str">
        <f>_xlfn.XLOOKUP(表格1[[#This Row],[Model]],表格3[Model-Input-Ref2],表格3[TOSHIBA/HIGHEST])</f>
        <v>Toshiba SRP</v>
      </c>
      <c r="V2230" s="86">
        <v>1111</v>
      </c>
      <c r="W2230" s="86" t="str">
        <f>_xlfn.CONCAT(表格1[[#This Row],[欄4]],表格1[[#This Row],[inv no]])</f>
        <v>1111371248</v>
      </c>
    </row>
    <row r="2231" spans="1:23" hidden="1">
      <c r="A2231" s="81">
        <v>2229</v>
      </c>
      <c r="B2231" s="86" t="s">
        <v>1260</v>
      </c>
      <c r="C2231" s="86" t="s">
        <v>1777</v>
      </c>
      <c r="D2231" s="82" t="str">
        <f ca="1">OFFSET(Roster!$A$3,MATCH(表格1[[#This Row],[Location]]&amp;" "&amp;表格1[[#This Row],[Shop]]&amp;"*",Roster!$A$4:$A$72,0),DAY(表格1[[#This Row],[date]]),1,1)</f>
        <v>Pam</v>
      </c>
      <c r="E2231" s="81">
        <f>MONTH(表格1[[#This Row],[date]])</f>
        <v>3</v>
      </c>
      <c r="F2231" s="90">
        <v>46095</v>
      </c>
      <c r="G2231" s="81" t="str">
        <f>VLOOKUP("*"&amp;表格1[[#This Row],[Input]]&amp;"*",'Ref-List'!$B:$D,2,)</f>
        <v>CRM-12PG10A0</v>
      </c>
      <c r="H2231" s="81" t="str">
        <f>_xlfn.XLOOKUP(表格1[[#This Row],[Model]],表格3[Model-Input-Ref2],表格3[Product Line])</f>
        <v>迷你電飯煲 0.36公升</v>
      </c>
      <c r="I2231" s="81" t="str">
        <f>_xlfn.XLOOKUP(表格1[[#This Row],[Model]],表格3[Model-Input-Ref2],表格3[大小電])</f>
        <v>細電</v>
      </c>
      <c r="J2231" s="81" t="str">
        <f>_xlfn.XLOOKUP(表格1[[#This Row],[Model]],表格3[Model-Input-Ref2],表格3[Code])</f>
        <v>SDA</v>
      </c>
      <c r="K2231" s="89" t="s">
        <v>1807</v>
      </c>
      <c r="L2231" s="86">
        <v>1</v>
      </c>
      <c r="M2231" s="87">
        <v>298</v>
      </c>
      <c r="N2231" s="85">
        <f>IFERROR(表格1[[#This Row],[QTY]]*表格1[[#This Row],[Unit Price]],"-")</f>
        <v>298</v>
      </c>
      <c r="O2231" s="142" t="s">
        <v>1810</v>
      </c>
      <c r="R2231" s="86" t="str">
        <f>_xlfn.CONCAT(表格1[[#This Row],[Model]]," ",表格1[[#This Row],[inv no]])</f>
        <v>CRM-12PG10A0 056218</v>
      </c>
      <c r="S2231" s="86">
        <f>_xlfn.XLOOKUP(表格1[[#This Row],[Model]],表格3[Model-Input-Ref2],表格3[SRP PRICE])</f>
        <v>329</v>
      </c>
      <c r="T2231" s="43">
        <f>表格1[[#This Row],[Unit Price]]/表格1[[#This Row],[SRP]]</f>
        <v>0.9057750759878419</v>
      </c>
      <c r="U2231" s="86" t="str">
        <f>_xlfn.XLOOKUP(表格1[[#This Row],[Model]],表格3[Model-Input-Ref2],表格3[TOSHIBA/HIGHEST])</f>
        <v>web SRP</v>
      </c>
      <c r="V2231" s="86">
        <v>1111</v>
      </c>
      <c r="W2231" s="86" t="str">
        <f>_xlfn.CONCAT(表格1[[#This Row],[欄4]],表格1[[#This Row],[inv no]])</f>
        <v>1111056218</v>
      </c>
    </row>
    <row r="2232" spans="1:23" hidden="1">
      <c r="A2232" s="81">
        <v>2230</v>
      </c>
      <c r="B2232" s="86" t="s">
        <v>1260</v>
      </c>
      <c r="C2232" s="86" t="s">
        <v>1777</v>
      </c>
      <c r="D2232" s="82" t="str">
        <f ca="1">OFFSET(Roster!$A$3,MATCH(表格1[[#This Row],[Location]]&amp;" "&amp;表格1[[#This Row],[Shop]]&amp;"*",Roster!$A$4:$A$72,0),DAY(表格1[[#This Row],[date]]),1,1)</f>
        <v>Pam</v>
      </c>
      <c r="E2232" s="81">
        <f>MONTH(表格1[[#This Row],[date]])</f>
        <v>3</v>
      </c>
      <c r="F2232" s="90">
        <v>46096</v>
      </c>
      <c r="G2232" s="81" t="str">
        <f>VLOOKUP("*"&amp;表格1[[#This Row],[Input]]&amp;"*",'Ref-List'!$B:$D,2,)</f>
        <v>RC-5SLIH(W)</v>
      </c>
      <c r="H2232" s="81" t="str">
        <f>_xlfn.XLOOKUP(表格1[[#This Row],[Model]],表格3[Model-Input-Ref2],表格3[Product Line])</f>
        <v>微型電腦珍珠飯煲</v>
      </c>
      <c r="I2232" s="81" t="str">
        <f>_xlfn.XLOOKUP(表格1[[#This Row],[Model]],表格3[Model-Input-Ref2],表格3[大小電])</f>
        <v>細電</v>
      </c>
      <c r="J2232" s="81" t="str">
        <f>_xlfn.XLOOKUP(表格1[[#This Row],[Model]],表格3[Model-Input-Ref2],表格3[Code])</f>
        <v>SDA</v>
      </c>
      <c r="K2232" s="89" t="s">
        <v>1264</v>
      </c>
      <c r="L2232" s="86">
        <v>1</v>
      </c>
      <c r="M2232" s="87">
        <v>558</v>
      </c>
      <c r="N2232" s="85">
        <f>IFERROR(表格1[[#This Row],[QTY]]*表格1[[#This Row],[Unit Price]],"-")</f>
        <v>558</v>
      </c>
      <c r="O2232" s="142" t="s">
        <v>1811</v>
      </c>
      <c r="R2232" s="86" t="str">
        <f>_xlfn.CONCAT(表格1[[#This Row],[Model]]," ",表格1[[#This Row],[inv no]])</f>
        <v>RC-5SLIH(W) 056538</v>
      </c>
      <c r="S2232" s="86">
        <f>_xlfn.XLOOKUP(表格1[[#This Row],[Model]],表格3[Model-Input-Ref2],表格3[SRP PRICE])</f>
        <v>658</v>
      </c>
      <c r="T2232" s="43">
        <f>表格1[[#This Row],[Unit Price]]/表格1[[#This Row],[SRP]]</f>
        <v>0.84802431610942253</v>
      </c>
      <c r="U2232" s="86" t="str">
        <f>_xlfn.XLOOKUP(表格1[[#This Row],[Model]],表格3[Model-Input-Ref2],表格3[TOSHIBA/HIGHEST])</f>
        <v>Toshiba SRP</v>
      </c>
      <c r="V2232" s="86">
        <v>1111</v>
      </c>
      <c r="W2232" s="86" t="str">
        <f>_xlfn.CONCAT(表格1[[#This Row],[欄4]],表格1[[#This Row],[inv no]])</f>
        <v>1111056538</v>
      </c>
    </row>
    <row r="2233" spans="1:23" hidden="1">
      <c r="A2233" s="81">
        <v>2231</v>
      </c>
      <c r="B2233" s="86" t="s">
        <v>1260</v>
      </c>
      <c r="C2233" s="86" t="s">
        <v>1777</v>
      </c>
      <c r="D2233" s="82" t="str">
        <f ca="1">OFFSET(Roster!$A$3,MATCH(表格1[[#This Row],[Location]]&amp;" "&amp;表格1[[#This Row],[Shop]]&amp;"*",Roster!$A$4:$A$72,0),DAY(表格1[[#This Row],[date]]),1,1)</f>
        <v>Pam</v>
      </c>
      <c r="E2233" s="81">
        <f>MONTH(表格1[[#This Row],[date]])</f>
        <v>3</v>
      </c>
      <c r="F2233" s="90">
        <v>46096</v>
      </c>
      <c r="G2233" s="81" t="str">
        <f>VLOOKUP("*"&amp;表格1[[#This Row],[Input]]&amp;"*",'Ref-List'!$B:$D,2,)</f>
        <v>MM2-EM20PC(WH)</v>
      </c>
      <c r="H2233" s="81" t="str">
        <f>_xlfn.XLOOKUP(表格1[[#This Row],[Model]],表格3[Model-Input-Ref2],表格3[Product Line])</f>
        <v>輕觸式微波爐 (20公升)</v>
      </c>
      <c r="I2233" s="81" t="str">
        <f>_xlfn.XLOOKUP(表格1[[#This Row],[Model]],表格3[Model-Input-Ref2],表格3[大小電])</f>
        <v>細電</v>
      </c>
      <c r="J2233" s="81" t="str">
        <f>_xlfn.XLOOKUP(表格1[[#This Row],[Model]],表格3[Model-Input-Ref2],表格3[Code])</f>
        <v>MCA</v>
      </c>
      <c r="K2233" s="89" t="s">
        <v>1276</v>
      </c>
      <c r="L2233" s="86">
        <v>1</v>
      </c>
      <c r="M2233" s="87">
        <v>668</v>
      </c>
      <c r="N2233" s="85">
        <f>IFERROR(表格1[[#This Row],[QTY]]*表格1[[#This Row],[Unit Price]],"-")</f>
        <v>668</v>
      </c>
      <c r="O2233" s="86">
        <v>137343</v>
      </c>
      <c r="R2233" s="86" t="str">
        <f>_xlfn.CONCAT(表格1[[#This Row],[Model]]," ",表格1[[#This Row],[inv no]])</f>
        <v>MM2-EM20PC(WH) 137343</v>
      </c>
      <c r="S2233" s="86">
        <f>_xlfn.XLOOKUP(表格1[[#This Row],[Model]],表格3[Model-Input-Ref2],表格3[SRP PRICE])</f>
        <v>788</v>
      </c>
      <c r="T2233" s="43">
        <f>表格1[[#This Row],[Unit Price]]/表格1[[#This Row],[SRP]]</f>
        <v>0.84771573604060912</v>
      </c>
      <c r="U2233" s="86" t="str">
        <f>_xlfn.XLOOKUP(表格1[[#This Row],[Model]],表格3[Model-Input-Ref2],表格3[TOSHIBA/HIGHEST])</f>
        <v>Toshiba SRP</v>
      </c>
      <c r="V2233" s="86">
        <v>1111</v>
      </c>
      <c r="W2233" s="86" t="str">
        <f>_xlfn.CONCAT(表格1[[#This Row],[欄4]],表格1[[#This Row],[inv no]])</f>
        <v>1111137343</v>
      </c>
    </row>
    <row r="2234" spans="1:23" hidden="1">
      <c r="A2234" s="81">
        <v>2232</v>
      </c>
      <c r="B2234" s="86" t="s">
        <v>1260</v>
      </c>
      <c r="C2234" s="86" t="s">
        <v>1777</v>
      </c>
      <c r="D2234" s="82" t="str">
        <f ca="1">OFFSET(Roster!$A$3,MATCH(表格1[[#This Row],[Location]]&amp;" "&amp;表格1[[#This Row],[Shop]]&amp;"*",Roster!$A$4:$A$72,0),DAY(表格1[[#This Row],[date]]),1,1)</f>
        <v>Pam</v>
      </c>
      <c r="E2234" s="81">
        <f>MONTH(表格1[[#This Row],[date]])</f>
        <v>3</v>
      </c>
      <c r="F2234" s="90">
        <v>46096</v>
      </c>
      <c r="G2234" s="81" t="str">
        <f>VLOOKUP("*"&amp;表格1[[#This Row],[Input]]&amp;"*",'Ref-List'!$B:$D,2,)</f>
        <v>RAD-D200H</v>
      </c>
      <c r="H2234" s="81" t="str">
        <f>_xlfn.XLOOKUP(表格1[[#This Row],[Model]],表格3[Model-Input-Ref2],表格3[Product Line])</f>
        <v>壓縮式抽濕機 (22公升)</v>
      </c>
      <c r="I2234" s="81" t="str">
        <f>_xlfn.XLOOKUP(表格1[[#This Row],[Model]],表格3[Model-Input-Ref2],表格3[大小電])</f>
        <v>細電</v>
      </c>
      <c r="J2234" s="81" t="str">
        <f>_xlfn.XLOOKUP(表格1[[#This Row],[Model]],表格3[Model-Input-Ref2],表格3[Code])</f>
        <v>RAC</v>
      </c>
      <c r="K2234" s="89" t="s">
        <v>1250</v>
      </c>
      <c r="L2234" s="86">
        <v>1</v>
      </c>
      <c r="M2234" s="87">
        <v>1880</v>
      </c>
      <c r="N2234" s="85">
        <f>IFERROR(表格1[[#This Row],[QTY]]*表格1[[#This Row],[Unit Price]],"-")</f>
        <v>1880</v>
      </c>
      <c r="O2234" s="142" t="s">
        <v>1812</v>
      </c>
      <c r="R2234" s="86" t="str">
        <f>_xlfn.CONCAT(表格1[[#This Row],[Model]]," ",表格1[[#This Row],[inv no]])</f>
        <v>RAD-D200H 056469</v>
      </c>
      <c r="S2234" s="86">
        <f>_xlfn.XLOOKUP(表格1[[#This Row],[Model]],表格3[Model-Input-Ref2],表格3[SRP PRICE])</f>
        <v>2880</v>
      </c>
      <c r="T2234" s="43">
        <f>表格1[[#This Row],[Unit Price]]/表格1[[#This Row],[SRP]]</f>
        <v>0.65277777777777779</v>
      </c>
      <c r="U2234" s="86" t="str">
        <f>_xlfn.XLOOKUP(表格1[[#This Row],[Model]],表格3[Model-Input-Ref2],表格3[TOSHIBA/HIGHEST])</f>
        <v>Shops Highest Price</v>
      </c>
      <c r="V2234" s="86">
        <v>1111</v>
      </c>
      <c r="W2234" s="86" t="str">
        <f>_xlfn.CONCAT(表格1[[#This Row],[欄4]],表格1[[#This Row],[inv no]])</f>
        <v>1111056469</v>
      </c>
    </row>
    <row r="2235" spans="1:23" hidden="1">
      <c r="A2235" s="81">
        <v>2233</v>
      </c>
      <c r="B2235" s="86" t="s">
        <v>1260</v>
      </c>
      <c r="C2235" s="86" t="s">
        <v>1777</v>
      </c>
      <c r="D2235" s="82" t="str">
        <f ca="1">OFFSET(Roster!$A$3,MATCH(表格1[[#This Row],[Location]]&amp;" "&amp;表格1[[#This Row],[Shop]]&amp;"*",Roster!$A$4:$A$72,0),DAY(表格1[[#This Row],[date]]),1,1)</f>
        <v>Pam</v>
      </c>
      <c r="E2235" s="81">
        <f>MONTH(表格1[[#This Row],[date]])</f>
        <v>3</v>
      </c>
      <c r="F2235" s="90">
        <v>46096</v>
      </c>
      <c r="G2235" s="81" t="str">
        <f>VLOOKUP("*"&amp;表格1[[#This Row],[Input]]&amp;"*",'Ref-List'!$B:$D,2,)</f>
        <v>F-LYA20(W)HKG</v>
      </c>
      <c r="H2235" s="81" t="str">
        <f>_xlfn.XLOOKUP(表格1[[#This Row],[Model]],表格3[Model-Input-Ref2],表格3[Product Line])</f>
        <v>12吋2合1座地座檯電風扇連遙控</v>
      </c>
      <c r="I2235" s="81" t="str">
        <f>_xlfn.XLOOKUP(表格1[[#This Row],[Model]],表格3[Model-Input-Ref2],表格3[大小電])</f>
        <v>細電</v>
      </c>
      <c r="J2235" s="81" t="str">
        <f>_xlfn.XLOOKUP(表格1[[#This Row],[Model]],表格3[Model-Input-Ref2],表格3[Code])</f>
        <v>EAD</v>
      </c>
      <c r="K2235" s="89" t="s">
        <v>1391</v>
      </c>
      <c r="L2235" s="86">
        <v>1</v>
      </c>
      <c r="M2235" s="87">
        <v>368</v>
      </c>
      <c r="N2235" s="85">
        <f>IFERROR(表格1[[#This Row],[QTY]]*表格1[[#This Row],[Unit Price]],"-")</f>
        <v>368</v>
      </c>
      <c r="O2235" s="86">
        <v>137297</v>
      </c>
      <c r="R2235" s="86" t="str">
        <f>_xlfn.CONCAT(表格1[[#This Row],[Model]]," ",表格1[[#This Row],[inv no]])</f>
        <v>F-LYA20(W)HKG 137297</v>
      </c>
      <c r="S2235" s="86">
        <f>_xlfn.XLOOKUP(表格1[[#This Row],[Model]],表格3[Model-Input-Ref2],表格3[SRP PRICE])</f>
        <v>988</v>
      </c>
      <c r="T2235" s="43">
        <f>表格1[[#This Row],[Unit Price]]/表格1[[#This Row],[SRP]]</f>
        <v>0.37246963562753038</v>
      </c>
      <c r="U2235" s="86" t="str">
        <f>_xlfn.XLOOKUP(表格1[[#This Row],[Model]],表格3[Model-Input-Ref2],表格3[TOSHIBA/HIGHEST])</f>
        <v>Toshiba SRP</v>
      </c>
      <c r="V2235" s="86">
        <v>1111</v>
      </c>
      <c r="W2235" s="86" t="str">
        <f>_xlfn.CONCAT(表格1[[#This Row],[欄4]],表格1[[#This Row],[inv no]])</f>
        <v>1111137297</v>
      </c>
    </row>
    <row r="2236" spans="1:23" hidden="1">
      <c r="A2236" s="81">
        <v>2234</v>
      </c>
      <c r="B2236" s="86" t="s">
        <v>1260</v>
      </c>
      <c r="C2236" s="86" t="s">
        <v>1777</v>
      </c>
      <c r="D2236" s="82" t="str">
        <f ca="1">OFFSET(Roster!$A$3,MATCH(表格1[[#This Row],[Location]]&amp;" "&amp;表格1[[#This Row],[Shop]]&amp;"*",Roster!$A$4:$A$72,0),DAY(表格1[[#This Row],[date]]),1,1)</f>
        <v>Pam</v>
      </c>
      <c r="E2236" s="81">
        <f>MONTH(表格1[[#This Row],[date]])</f>
        <v>3</v>
      </c>
      <c r="F2236" s="90">
        <v>46096</v>
      </c>
      <c r="G2236" s="81" t="str">
        <f>VLOOKUP("*"&amp;表格1[[#This Row],[Input]]&amp;"*",'Ref-List'!$B:$D,2,)</f>
        <v>RC-10BHH(W)</v>
      </c>
      <c r="H2236" s="81" t="str">
        <f>_xlfn.XLOOKUP(表格1[[#This Row],[Model]],表格3[Model-Input-Ref2],表格3[Product Line])</f>
        <v>酵活炊磁應電飯煲</v>
      </c>
      <c r="I2236" s="81" t="str">
        <f>_xlfn.XLOOKUP(表格1[[#This Row],[Model]],表格3[Model-Input-Ref2],表格3[大小電])</f>
        <v>細電</v>
      </c>
      <c r="J2236" s="81" t="str">
        <f>_xlfn.XLOOKUP(表格1[[#This Row],[Model]],表格3[Model-Input-Ref2],表格3[Code])</f>
        <v>SDA</v>
      </c>
      <c r="K2236" s="89" t="s">
        <v>1269</v>
      </c>
      <c r="L2236" s="86">
        <v>1</v>
      </c>
      <c r="M2236" s="87">
        <v>1688</v>
      </c>
      <c r="N2236" s="85">
        <f>IFERROR(表格1[[#This Row],[QTY]]*表格1[[#This Row],[Unit Price]],"-")</f>
        <v>1688</v>
      </c>
      <c r="O2236" s="142" t="s">
        <v>1813</v>
      </c>
      <c r="R2236" s="86" t="str">
        <f>_xlfn.CONCAT(表格1[[#This Row],[Model]]," ",表格1[[#This Row],[inv no]])</f>
        <v>RC-10BHH(W) 056632</v>
      </c>
      <c r="S2236" s="86">
        <f>_xlfn.XLOOKUP(表格1[[#This Row],[Model]],表格3[Model-Input-Ref2],表格3[SRP PRICE])</f>
        <v>2088</v>
      </c>
      <c r="T2236" s="43">
        <f>表格1[[#This Row],[Unit Price]]/表格1[[#This Row],[SRP]]</f>
        <v>0.80842911877394641</v>
      </c>
      <c r="U2236" s="86" t="str">
        <f>_xlfn.XLOOKUP(表格1[[#This Row],[Model]],表格3[Model-Input-Ref2],表格3[TOSHIBA/HIGHEST])</f>
        <v>Shops Highest Price</v>
      </c>
      <c r="V2236" s="86">
        <v>1111</v>
      </c>
      <c r="W2236" s="86" t="str">
        <f>_xlfn.CONCAT(表格1[[#This Row],[欄4]],表格1[[#This Row],[inv no]])</f>
        <v>1111056632</v>
      </c>
    </row>
    <row r="2237" spans="1:23" hidden="1">
      <c r="A2237" s="81">
        <v>2235</v>
      </c>
      <c r="B2237" s="86" t="s">
        <v>1260</v>
      </c>
      <c r="C2237" s="86" t="s">
        <v>1777</v>
      </c>
      <c r="D2237" s="82" t="str">
        <f ca="1">OFFSET(Roster!$A$3,MATCH(表格1[[#This Row],[Location]]&amp;" "&amp;表格1[[#This Row],[Shop]]&amp;"*",Roster!$A$4:$A$72,0),DAY(表格1[[#This Row],[date]]),1,1)</f>
        <v>Pam</v>
      </c>
      <c r="E2237" s="81">
        <f>MONTH(表格1[[#This Row],[date]])</f>
        <v>3</v>
      </c>
      <c r="F2237" s="90">
        <v>46096</v>
      </c>
      <c r="G2237" s="81" t="str">
        <f>VLOOKUP("*"&amp;表格1[[#This Row],[Input]]&amp;"*",'Ref-List'!$B:$D,2,)</f>
        <v>RC-5SLIH(W)</v>
      </c>
      <c r="H2237" s="81" t="str">
        <f>_xlfn.XLOOKUP(表格1[[#This Row],[Model]],表格3[Model-Input-Ref2],表格3[Product Line])</f>
        <v>微型電腦珍珠飯煲</v>
      </c>
      <c r="I2237" s="81" t="str">
        <f>_xlfn.XLOOKUP(表格1[[#This Row],[Model]],表格3[Model-Input-Ref2],表格3[大小電])</f>
        <v>細電</v>
      </c>
      <c r="J2237" s="81" t="str">
        <f>_xlfn.XLOOKUP(表格1[[#This Row],[Model]],表格3[Model-Input-Ref2],表格3[Code])</f>
        <v>SDA</v>
      </c>
      <c r="K2237" s="89" t="s">
        <v>1264</v>
      </c>
      <c r="L2237" s="86">
        <v>1</v>
      </c>
      <c r="M2237" s="87">
        <v>558</v>
      </c>
      <c r="N2237" s="85">
        <f>IFERROR(表格1[[#This Row],[QTY]]*表格1[[#This Row],[Unit Price]],"-")</f>
        <v>558</v>
      </c>
      <c r="O2237" s="86">
        <v>137493</v>
      </c>
      <c r="R2237" s="86" t="str">
        <f>_xlfn.CONCAT(表格1[[#This Row],[Model]]," ",表格1[[#This Row],[inv no]])</f>
        <v>RC-5SLIH(W) 137493</v>
      </c>
      <c r="S2237" s="86">
        <f>_xlfn.XLOOKUP(表格1[[#This Row],[Model]],表格3[Model-Input-Ref2],表格3[SRP PRICE])</f>
        <v>658</v>
      </c>
      <c r="T2237" s="43">
        <f>表格1[[#This Row],[Unit Price]]/表格1[[#This Row],[SRP]]</f>
        <v>0.84802431610942253</v>
      </c>
      <c r="U2237" s="86" t="str">
        <f>_xlfn.XLOOKUP(表格1[[#This Row],[Model]],表格3[Model-Input-Ref2],表格3[TOSHIBA/HIGHEST])</f>
        <v>Toshiba SRP</v>
      </c>
      <c r="V2237" s="86">
        <v>1111</v>
      </c>
      <c r="W2237" s="86" t="str">
        <f>_xlfn.CONCAT(表格1[[#This Row],[欄4]],表格1[[#This Row],[inv no]])</f>
        <v>1111137493</v>
      </c>
    </row>
    <row r="2238" spans="1:23" hidden="1">
      <c r="A2238" s="81">
        <v>2236</v>
      </c>
      <c r="B2238" s="86" t="s">
        <v>1260</v>
      </c>
      <c r="C2238" s="86" t="s">
        <v>1777</v>
      </c>
      <c r="D2238" s="82" t="str">
        <f ca="1">OFFSET(Roster!$A$3,MATCH(表格1[[#This Row],[Location]]&amp;" "&amp;表格1[[#This Row],[Shop]]&amp;"*",Roster!$A$4:$A$72,0),DAY(表格1[[#This Row],[date]]),1,1)</f>
        <v>Pam</v>
      </c>
      <c r="E2238" s="81">
        <f>MONTH(表格1[[#This Row],[date]])</f>
        <v>3</v>
      </c>
      <c r="F2238" s="90">
        <v>46097</v>
      </c>
      <c r="G2238" s="81" t="str">
        <f>VLOOKUP("*"&amp;表格1[[#This Row],[Input]]&amp;"*",'Ref-List'!$B:$D,2,)</f>
        <v>RC-10NMFIH(WT)</v>
      </c>
      <c r="H2238" s="81" t="str">
        <f>_xlfn.XLOOKUP(表格1[[#This Row],[Model]],表格3[Model-Input-Ref2],表格3[Product Line])</f>
        <v>4毫米厚釜電飯煲1L</v>
      </c>
      <c r="I2238" s="81" t="str">
        <f>_xlfn.XLOOKUP(表格1[[#This Row],[Model]],表格3[Model-Input-Ref2],表格3[大小電])</f>
        <v>細電</v>
      </c>
      <c r="J2238" s="81" t="str">
        <f>_xlfn.XLOOKUP(表格1[[#This Row],[Model]],表格3[Model-Input-Ref2],表格3[Code])</f>
        <v>SDA</v>
      </c>
      <c r="K2238" s="89" t="s">
        <v>1244</v>
      </c>
      <c r="L2238" s="86">
        <v>1</v>
      </c>
      <c r="M2238" s="87">
        <v>719</v>
      </c>
      <c r="N2238" s="85">
        <f>IFERROR(表格1[[#This Row],[QTY]]*表格1[[#This Row],[Unit Price]],"-")</f>
        <v>719</v>
      </c>
      <c r="O2238" s="142" t="s">
        <v>1814</v>
      </c>
      <c r="R2238" s="86" t="str">
        <f>_xlfn.CONCAT(表格1[[#This Row],[Model]]," ",表格1[[#This Row],[inv no]])</f>
        <v>RC-10NMFIH(WT) 056839</v>
      </c>
      <c r="S2238" s="86">
        <f>_xlfn.XLOOKUP(表格1[[#This Row],[Model]],表格3[Model-Input-Ref2],表格3[SRP PRICE])</f>
        <v>898</v>
      </c>
      <c r="T2238" s="43">
        <f>表格1[[#This Row],[Unit Price]]/表格1[[#This Row],[SRP]]</f>
        <v>0.80066815144766146</v>
      </c>
      <c r="U2238" s="86" t="str">
        <f>_xlfn.XLOOKUP(表格1[[#This Row],[Model]],表格3[Model-Input-Ref2],表格3[TOSHIBA/HIGHEST])</f>
        <v>Toshiba SRP</v>
      </c>
      <c r="V2238" s="86">
        <v>1111</v>
      </c>
      <c r="W2238" s="86" t="str">
        <f>_xlfn.CONCAT(表格1[[#This Row],[欄4]],表格1[[#This Row],[inv no]])</f>
        <v>1111056839</v>
      </c>
    </row>
    <row r="2239" spans="1:23" hidden="1">
      <c r="A2239" s="81">
        <v>2237</v>
      </c>
      <c r="B2239" s="86" t="s">
        <v>1260</v>
      </c>
      <c r="C2239" s="86" t="s">
        <v>1777</v>
      </c>
      <c r="D2239" s="82" t="str">
        <f ca="1">OFFSET(Roster!$A$3,MATCH(表格1[[#This Row],[Location]]&amp;" "&amp;表格1[[#This Row],[Shop]]&amp;"*",Roster!$A$4:$A$72,0),DAY(表格1[[#This Row],[date]]),1,1)</f>
        <v>Pam</v>
      </c>
      <c r="E2239" s="81">
        <f>MONTH(表格1[[#This Row],[date]])</f>
        <v>3</v>
      </c>
      <c r="F2239" s="90">
        <v>46097</v>
      </c>
      <c r="G2239" s="81" t="str">
        <f>VLOOKUP("*"&amp;表格1[[#This Row],[Input]]&amp;"*",'Ref-List'!$B:$D,2,)</f>
        <v>MWP-MM20P(WH)</v>
      </c>
      <c r="H2239" s="81" t="str">
        <f>_xlfn.XLOOKUP(表格1[[#This Row],[Model]],表格3[Model-Input-Ref2],表格3[Product Line])</f>
        <v>旋鈕式燒烤微波爐20L</v>
      </c>
      <c r="I2239" s="81" t="str">
        <f>_xlfn.XLOOKUP(表格1[[#This Row],[Model]],表格3[Model-Input-Ref2],表格3[大小電])</f>
        <v>細電</v>
      </c>
      <c r="J2239" s="81" t="str">
        <f>_xlfn.XLOOKUP(表格1[[#This Row],[Model]],表格3[Model-Input-Ref2],表格3[Code])</f>
        <v>SDA</v>
      </c>
      <c r="K2239" s="89" t="s">
        <v>1270</v>
      </c>
      <c r="L2239" s="86">
        <v>1</v>
      </c>
      <c r="M2239" s="87">
        <v>488</v>
      </c>
      <c r="N2239" s="85">
        <f>IFERROR(表格1[[#This Row],[QTY]]*表格1[[#This Row],[Unit Price]],"-")</f>
        <v>488</v>
      </c>
      <c r="O2239" s="142" t="s">
        <v>1815</v>
      </c>
      <c r="R2239" s="86" t="str">
        <f>_xlfn.CONCAT(表格1[[#This Row],[Model]]," ",表格1[[#This Row],[inv no]])</f>
        <v>MWP-MM20P(WH) 056739</v>
      </c>
      <c r="S2239" s="86">
        <f>_xlfn.XLOOKUP(表格1[[#This Row],[Model]],表格3[Model-Input-Ref2],表格3[SRP PRICE])</f>
        <v>648</v>
      </c>
      <c r="T2239" s="43">
        <f>表格1[[#This Row],[Unit Price]]/表格1[[#This Row],[SRP]]</f>
        <v>0.75308641975308643</v>
      </c>
      <c r="U2239" s="86" t="str">
        <f>_xlfn.XLOOKUP(表格1[[#This Row],[Model]],表格3[Model-Input-Ref2],表格3[TOSHIBA/HIGHEST])</f>
        <v>Toshiba SRP</v>
      </c>
      <c r="V2239" s="86">
        <v>1111</v>
      </c>
      <c r="W2239" s="86" t="str">
        <f>_xlfn.CONCAT(表格1[[#This Row],[欄4]],表格1[[#This Row],[inv no]])</f>
        <v>1111056739</v>
      </c>
    </row>
    <row r="2240" spans="1:23" hidden="1">
      <c r="A2240" s="81">
        <v>2238</v>
      </c>
      <c r="B2240" s="86" t="s">
        <v>1260</v>
      </c>
      <c r="C2240" s="86" t="s">
        <v>1777</v>
      </c>
      <c r="D2240" s="82" t="str">
        <f ca="1">OFFSET(Roster!$A$3,MATCH(表格1[[#This Row],[Location]]&amp;" "&amp;表格1[[#This Row],[Shop]]&amp;"*",Roster!$A$4:$A$72,0),DAY(表格1[[#This Row],[date]]),1,1)</f>
        <v>Pam</v>
      </c>
      <c r="E2240" s="81">
        <f>MONTH(表格1[[#This Row],[date]])</f>
        <v>3</v>
      </c>
      <c r="F2240" s="90">
        <v>46097</v>
      </c>
      <c r="G2240" s="81" t="str">
        <f>VLOOKUP("*"&amp;表格1[[#This Row],[Input]]&amp;"*",'Ref-List'!$B:$D,2,)</f>
        <v>KT-17DRTHK(H)</v>
      </c>
      <c r="H2240" s="81" t="str">
        <f>_xlfn.XLOOKUP(表格1[[#This Row],[Model]],表格3[Model-Input-Ref2],表格3[Product Line])</f>
        <v>無線雙層電熱水壺(1.7公升)</v>
      </c>
      <c r="I2240" s="81" t="str">
        <f>_xlfn.XLOOKUP(表格1[[#This Row],[Model]],表格3[Model-Input-Ref2],表格3[大小電])</f>
        <v>細電</v>
      </c>
      <c r="J2240" s="81" t="str">
        <f>_xlfn.XLOOKUP(表格1[[#This Row],[Model]],表格3[Model-Input-Ref2],表格3[Code])</f>
        <v>SDA</v>
      </c>
      <c r="K2240" s="89" t="s">
        <v>1271</v>
      </c>
      <c r="L2240" s="86">
        <v>1</v>
      </c>
      <c r="M2240" s="87">
        <v>398</v>
      </c>
      <c r="N2240" s="85">
        <f>IFERROR(表格1[[#This Row],[QTY]]*表格1[[#This Row],[Unit Price]],"-")</f>
        <v>398</v>
      </c>
      <c r="O2240" s="142" t="s">
        <v>1816</v>
      </c>
      <c r="R2240" s="86" t="str">
        <f>_xlfn.CONCAT(表格1[[#This Row],[Model]]," ",表格1[[#This Row],[inv no]])</f>
        <v>KT-17DRTHK(H) 056745</v>
      </c>
      <c r="S2240" s="86">
        <f>_xlfn.XLOOKUP(表格1[[#This Row],[Model]],表格3[Model-Input-Ref2],表格3[SRP PRICE])</f>
        <v>498</v>
      </c>
      <c r="T2240" s="43">
        <f>表格1[[#This Row],[Unit Price]]/表格1[[#This Row],[SRP]]</f>
        <v>0.79919678714859432</v>
      </c>
      <c r="U2240" s="86" t="str">
        <f>_xlfn.XLOOKUP(表格1[[#This Row],[Model]],表格3[Model-Input-Ref2],表格3[TOSHIBA/HIGHEST])</f>
        <v>Toshiba SRP</v>
      </c>
      <c r="V2240" s="86">
        <v>1111</v>
      </c>
      <c r="W2240" s="86" t="str">
        <f>_xlfn.CONCAT(表格1[[#This Row],[欄4]],表格1[[#This Row],[inv no]])</f>
        <v>1111056745</v>
      </c>
    </row>
    <row r="2241" spans="1:23" hidden="1">
      <c r="A2241" s="81">
        <v>2239</v>
      </c>
      <c r="B2241" s="86" t="s">
        <v>1260</v>
      </c>
      <c r="C2241" s="86" t="s">
        <v>1777</v>
      </c>
      <c r="D2241" s="82" t="str">
        <f ca="1">OFFSET(Roster!$A$3,MATCH(表格1[[#This Row],[Location]]&amp;" "&amp;表格1[[#This Row],[Shop]]&amp;"*",Roster!$A$4:$A$72,0),DAY(表格1[[#This Row],[date]]),1,1)</f>
        <v>Pam</v>
      </c>
      <c r="E2241" s="81">
        <f>MONTH(表格1[[#This Row],[date]])</f>
        <v>3</v>
      </c>
      <c r="F2241" s="90">
        <v>46097</v>
      </c>
      <c r="G2241" s="81" t="str">
        <f>VLOOKUP("*"&amp;表格1[[#This Row],[Input]]&amp;"*",'Ref-List'!$B:$D,2,)</f>
        <v>RAD-D300H</v>
      </c>
      <c r="H2241" s="81" t="str">
        <f>_xlfn.XLOOKUP(表格1[[#This Row],[Model]],表格3[Model-Input-Ref2],表格3[Product Line])</f>
        <v>壓縮式抽濕機 (30公升)</v>
      </c>
      <c r="I2241" s="81" t="str">
        <f>_xlfn.XLOOKUP(表格1[[#This Row],[Model]],表格3[Model-Input-Ref2],表格3[大小電])</f>
        <v>細電</v>
      </c>
      <c r="J2241" s="81" t="str">
        <f>_xlfn.XLOOKUP(表格1[[#This Row],[Model]],表格3[Model-Input-Ref2],表格3[Code])</f>
        <v>RAC</v>
      </c>
      <c r="K2241" s="89" t="s">
        <v>1252</v>
      </c>
      <c r="L2241" s="86">
        <v>1</v>
      </c>
      <c r="M2241" s="87">
        <v>2280</v>
      </c>
      <c r="N2241" s="85">
        <f>IFERROR(表格1[[#This Row],[QTY]]*表格1[[#This Row],[Unit Price]],"-")</f>
        <v>2280</v>
      </c>
      <c r="O2241" s="142" t="s">
        <v>1817</v>
      </c>
      <c r="R2241" s="86" t="str">
        <f>_xlfn.CONCAT(表格1[[#This Row],[Model]]," ",表格1[[#This Row],[inv no]])</f>
        <v>RAD-D300H 056792</v>
      </c>
      <c r="S2241" s="86">
        <f>_xlfn.XLOOKUP(表格1[[#This Row],[Model]],表格3[Model-Input-Ref2],表格3[SRP PRICE])</f>
        <v>3380</v>
      </c>
      <c r="T2241" s="43">
        <f>表格1[[#This Row],[Unit Price]]/表格1[[#This Row],[SRP]]</f>
        <v>0.67455621301775148</v>
      </c>
      <c r="U2241" s="86" t="str">
        <f>_xlfn.XLOOKUP(表格1[[#This Row],[Model]],表格3[Model-Input-Ref2],表格3[TOSHIBA/HIGHEST])</f>
        <v>Shops Highest Price</v>
      </c>
      <c r="V2241" s="86">
        <v>1111</v>
      </c>
      <c r="W2241" s="86" t="str">
        <f>_xlfn.CONCAT(表格1[[#This Row],[欄4]],表格1[[#This Row],[inv no]])</f>
        <v>1111056792</v>
      </c>
    </row>
    <row r="2242" spans="1:23" hidden="1">
      <c r="A2242" s="81">
        <v>2240</v>
      </c>
      <c r="B2242" s="86" t="s">
        <v>1260</v>
      </c>
      <c r="C2242" s="86" t="s">
        <v>1777</v>
      </c>
      <c r="D2242" s="82" t="str">
        <f ca="1">OFFSET(Roster!$A$3,MATCH(表格1[[#This Row],[Location]]&amp;" "&amp;表格1[[#This Row],[Shop]]&amp;"*",Roster!$A$4:$A$72,0),DAY(表格1[[#This Row],[date]]),1,1)</f>
        <v>Pam</v>
      </c>
      <c r="E2242" s="81">
        <f>MONTH(表格1[[#This Row],[date]])</f>
        <v>3</v>
      </c>
      <c r="F2242" s="90">
        <v>46097</v>
      </c>
      <c r="G2242" s="81" t="str">
        <f>VLOOKUP("*"&amp;表格1[[#This Row],[Input]]&amp;"*",'Ref-List'!$B:$D,2,)</f>
        <v>RAD-D200H</v>
      </c>
      <c r="H2242" s="81" t="str">
        <f>_xlfn.XLOOKUP(表格1[[#This Row],[Model]],表格3[Model-Input-Ref2],表格3[Product Line])</f>
        <v>壓縮式抽濕機 (22公升)</v>
      </c>
      <c r="I2242" s="81" t="str">
        <f>_xlfn.XLOOKUP(表格1[[#This Row],[Model]],表格3[Model-Input-Ref2],表格3[大小電])</f>
        <v>細電</v>
      </c>
      <c r="J2242" s="81" t="str">
        <f>_xlfn.XLOOKUP(表格1[[#This Row],[Model]],表格3[Model-Input-Ref2],表格3[Code])</f>
        <v>RAC</v>
      </c>
      <c r="K2242" s="89" t="s">
        <v>1250</v>
      </c>
      <c r="L2242" s="86">
        <v>1</v>
      </c>
      <c r="M2242" s="87">
        <v>1880</v>
      </c>
      <c r="N2242" s="85">
        <f>IFERROR(表格1[[#This Row],[QTY]]*表格1[[#This Row],[Unit Price]],"-")</f>
        <v>1880</v>
      </c>
      <c r="O2242" s="142" t="s">
        <v>1818</v>
      </c>
      <c r="R2242" s="86" t="str">
        <f>_xlfn.CONCAT(表格1[[#This Row],[Model]]," ",表格1[[#This Row],[inv no]])</f>
        <v>RAD-D200H 056795</v>
      </c>
      <c r="S2242" s="86">
        <f>_xlfn.XLOOKUP(表格1[[#This Row],[Model]],表格3[Model-Input-Ref2],表格3[SRP PRICE])</f>
        <v>2880</v>
      </c>
      <c r="T2242" s="43">
        <f>表格1[[#This Row],[Unit Price]]/表格1[[#This Row],[SRP]]</f>
        <v>0.65277777777777779</v>
      </c>
      <c r="U2242" s="86" t="str">
        <f>_xlfn.XLOOKUP(表格1[[#This Row],[Model]],表格3[Model-Input-Ref2],表格3[TOSHIBA/HIGHEST])</f>
        <v>Shops Highest Price</v>
      </c>
      <c r="V2242" s="86">
        <v>1111</v>
      </c>
      <c r="W2242" s="86" t="str">
        <f>_xlfn.CONCAT(表格1[[#This Row],[欄4]],表格1[[#This Row],[inv no]])</f>
        <v>1111056795</v>
      </c>
    </row>
    <row r="2243" spans="1:23" hidden="1">
      <c r="A2243" s="81">
        <v>2241</v>
      </c>
      <c r="B2243" s="86" t="s">
        <v>1260</v>
      </c>
      <c r="C2243" s="86" t="s">
        <v>1777</v>
      </c>
      <c r="D2243" s="82" t="str">
        <f ca="1">OFFSET(Roster!$A$3,MATCH(表格1[[#This Row],[Location]]&amp;" "&amp;表格1[[#This Row],[Shop]]&amp;"*",Roster!$A$4:$A$72,0),DAY(表格1[[#This Row],[date]]),1,1)</f>
        <v>Pam</v>
      </c>
      <c r="E2243" s="81">
        <f>MONTH(表格1[[#This Row],[date]])</f>
        <v>3</v>
      </c>
      <c r="F2243" s="90">
        <v>46097</v>
      </c>
      <c r="G2243" s="81" t="str">
        <f>VLOOKUP("*"&amp;表格1[[#This Row],[Input]]&amp;"*",'Ref-List'!$B:$D,2,)</f>
        <v>RC-15BHH(W)</v>
      </c>
      <c r="H2243" s="81" t="str">
        <f>_xlfn.XLOOKUP(表格1[[#This Row],[Model]],表格3[Model-Input-Ref2],表格3[Product Line])</f>
        <v>酵活炊磁應電飯煲(1.5公升)</v>
      </c>
      <c r="I2243" s="81" t="str">
        <f>_xlfn.XLOOKUP(表格1[[#This Row],[Model]],表格3[Model-Input-Ref2],表格3[大小電])</f>
        <v>細電</v>
      </c>
      <c r="J2243" s="81" t="str">
        <f>_xlfn.XLOOKUP(表格1[[#This Row],[Model]],表格3[Model-Input-Ref2],表格3[Code])</f>
        <v>SDA</v>
      </c>
      <c r="K2243" s="89" t="s">
        <v>1381</v>
      </c>
      <c r="L2243" s="86">
        <v>1</v>
      </c>
      <c r="M2243" s="87">
        <v>1888</v>
      </c>
      <c r="N2243" s="85">
        <f>IFERROR(表格1[[#This Row],[QTY]]*表格1[[#This Row],[Unit Price]],"-")</f>
        <v>1888</v>
      </c>
      <c r="O2243" s="142" t="s">
        <v>1819</v>
      </c>
      <c r="R2243" s="86" t="str">
        <f>_xlfn.CONCAT(表格1[[#This Row],[Model]]," ",表格1[[#This Row],[inv no]])</f>
        <v>RC-15BHH(W) 056856</v>
      </c>
      <c r="S2243" s="86">
        <f>_xlfn.XLOOKUP(表格1[[#This Row],[Model]],表格3[Model-Input-Ref2],表格3[SRP PRICE])</f>
        <v>2388</v>
      </c>
      <c r="T2243" s="43">
        <f>表格1[[#This Row],[Unit Price]]/表格1[[#This Row],[SRP]]</f>
        <v>0.79061976549413737</v>
      </c>
      <c r="U2243" s="86" t="str">
        <f>_xlfn.XLOOKUP(表格1[[#This Row],[Model]],表格3[Model-Input-Ref2],表格3[TOSHIBA/HIGHEST])</f>
        <v>Toshiba SRP</v>
      </c>
      <c r="V2243" s="86">
        <v>1111</v>
      </c>
      <c r="W2243" s="86" t="str">
        <f>_xlfn.CONCAT(表格1[[#This Row],[欄4]],表格1[[#This Row],[inv no]])</f>
        <v>1111056856</v>
      </c>
    </row>
    <row r="2244" spans="1:23" hidden="1">
      <c r="A2244" s="81">
        <v>2242</v>
      </c>
      <c r="B2244" s="86" t="s">
        <v>1260</v>
      </c>
      <c r="C2244" s="86" t="s">
        <v>1777</v>
      </c>
      <c r="D2244" s="82" t="str">
        <f ca="1">OFFSET(Roster!$A$3,MATCH(表格1[[#This Row],[Location]]&amp;" "&amp;表格1[[#This Row],[Shop]]&amp;"*",Roster!$A$4:$A$72,0),DAY(表格1[[#This Row],[date]]),1,1)</f>
        <v>Pam</v>
      </c>
      <c r="E2244" s="81">
        <f>MONTH(表格1[[#This Row],[date]])</f>
        <v>3</v>
      </c>
      <c r="F2244" s="90">
        <v>46097</v>
      </c>
      <c r="G2244" s="81" t="str">
        <f>VLOOKUP("*"&amp;表格1[[#This Row],[Input]]&amp;"*",'Ref-List'!$B:$D,2,)</f>
        <v>RAD-D200H</v>
      </c>
      <c r="H2244" s="81" t="str">
        <f>_xlfn.XLOOKUP(表格1[[#This Row],[Model]],表格3[Model-Input-Ref2],表格3[Product Line])</f>
        <v>壓縮式抽濕機 (22公升)</v>
      </c>
      <c r="I2244" s="81" t="str">
        <f>_xlfn.XLOOKUP(表格1[[#This Row],[Model]],表格3[Model-Input-Ref2],表格3[大小電])</f>
        <v>細電</v>
      </c>
      <c r="J2244" s="81" t="str">
        <f>_xlfn.XLOOKUP(表格1[[#This Row],[Model]],表格3[Model-Input-Ref2],表格3[Code])</f>
        <v>RAC</v>
      </c>
      <c r="K2244" s="89" t="s">
        <v>1250</v>
      </c>
      <c r="L2244" s="86">
        <v>1</v>
      </c>
      <c r="M2244" s="87">
        <v>1880</v>
      </c>
      <c r="N2244" s="85">
        <f>IFERROR(表格1[[#This Row],[QTY]]*表格1[[#This Row],[Unit Price]],"-")</f>
        <v>1880</v>
      </c>
      <c r="O2244" s="86">
        <v>137740</v>
      </c>
      <c r="R2244" s="86" t="str">
        <f>_xlfn.CONCAT(表格1[[#This Row],[Model]]," ",表格1[[#This Row],[inv no]])</f>
        <v>RAD-D200H 137740</v>
      </c>
      <c r="S2244" s="86">
        <f>_xlfn.XLOOKUP(表格1[[#This Row],[Model]],表格3[Model-Input-Ref2],表格3[SRP PRICE])</f>
        <v>2880</v>
      </c>
      <c r="T2244" s="43">
        <f>表格1[[#This Row],[Unit Price]]/表格1[[#This Row],[SRP]]</f>
        <v>0.65277777777777779</v>
      </c>
      <c r="U2244" s="86" t="str">
        <f>_xlfn.XLOOKUP(表格1[[#This Row],[Model]],表格3[Model-Input-Ref2],表格3[TOSHIBA/HIGHEST])</f>
        <v>Shops Highest Price</v>
      </c>
      <c r="V2244" s="86">
        <v>1111</v>
      </c>
      <c r="W2244" s="86" t="str">
        <f>_xlfn.CONCAT(表格1[[#This Row],[欄4]],表格1[[#This Row],[inv no]])</f>
        <v>1111137740</v>
      </c>
    </row>
    <row r="2245" spans="1:23" hidden="1">
      <c r="A2245" s="81">
        <v>2243</v>
      </c>
      <c r="B2245" s="86" t="s">
        <v>1260</v>
      </c>
      <c r="C2245" s="86" t="s">
        <v>1777</v>
      </c>
      <c r="D2245" s="82" t="str">
        <f ca="1">OFFSET(Roster!$A$3,MATCH(表格1[[#This Row],[Location]]&amp;" "&amp;表格1[[#This Row],[Shop]]&amp;"*",Roster!$A$4:$A$72,0),DAY(表格1[[#This Row],[date]]),1,1)</f>
        <v>Pam off</v>
      </c>
      <c r="E2245" s="81">
        <f>MONTH(表格1[[#This Row],[date]])</f>
        <v>3</v>
      </c>
      <c r="F2245" s="90">
        <v>46098</v>
      </c>
      <c r="G2245" s="81" t="str">
        <f>VLOOKUP("*"&amp;表格1[[#This Row],[Input]]&amp;"*",'Ref-List'!$B:$D,2,)</f>
        <v>MWP-MM20P(WH)</v>
      </c>
      <c r="H2245" s="81" t="str">
        <f>_xlfn.XLOOKUP(表格1[[#This Row],[Model]],表格3[Model-Input-Ref2],表格3[Product Line])</f>
        <v>旋鈕式燒烤微波爐20L</v>
      </c>
      <c r="I2245" s="81" t="str">
        <f>_xlfn.XLOOKUP(表格1[[#This Row],[Model]],表格3[Model-Input-Ref2],表格3[大小電])</f>
        <v>細電</v>
      </c>
      <c r="J2245" s="81" t="str">
        <f>_xlfn.XLOOKUP(表格1[[#This Row],[Model]],表格3[Model-Input-Ref2],表格3[Code])</f>
        <v>SDA</v>
      </c>
      <c r="K2245" s="89" t="s">
        <v>1270</v>
      </c>
      <c r="L2245" s="86">
        <v>1</v>
      </c>
      <c r="M2245" s="87">
        <v>488</v>
      </c>
      <c r="N2245" s="85">
        <f>IFERROR(表格1[[#This Row],[QTY]]*表格1[[#This Row],[Unit Price]],"-")</f>
        <v>488</v>
      </c>
      <c r="O2245" s="86">
        <v>137835</v>
      </c>
      <c r="R2245" s="86" t="str">
        <f>_xlfn.CONCAT(表格1[[#This Row],[Model]]," ",表格1[[#This Row],[inv no]])</f>
        <v>MWP-MM20P(WH) 137835</v>
      </c>
      <c r="S2245" s="86">
        <f>_xlfn.XLOOKUP(表格1[[#This Row],[Model]],表格3[Model-Input-Ref2],表格3[SRP PRICE])</f>
        <v>648</v>
      </c>
      <c r="T2245" s="43">
        <f>表格1[[#This Row],[Unit Price]]/表格1[[#This Row],[SRP]]</f>
        <v>0.75308641975308643</v>
      </c>
      <c r="U2245" s="86" t="str">
        <f>_xlfn.XLOOKUP(表格1[[#This Row],[Model]],表格3[Model-Input-Ref2],表格3[TOSHIBA/HIGHEST])</f>
        <v>Toshiba SRP</v>
      </c>
      <c r="V2245" s="86">
        <v>1111</v>
      </c>
      <c r="W2245" s="86" t="str">
        <f>_xlfn.CONCAT(表格1[[#This Row],[欄4]],表格1[[#This Row],[inv no]])</f>
        <v>1111137835</v>
      </c>
    </row>
    <row r="2246" spans="1:23" hidden="1">
      <c r="A2246" s="81">
        <v>2244</v>
      </c>
      <c r="B2246" s="86" t="s">
        <v>1260</v>
      </c>
      <c r="C2246" s="86" t="s">
        <v>1777</v>
      </c>
      <c r="D2246" s="82" t="str">
        <f ca="1">OFFSET(Roster!$A$3,MATCH(表格1[[#This Row],[Location]]&amp;" "&amp;表格1[[#This Row],[Shop]]&amp;"*",Roster!$A$4:$A$72,0),DAY(表格1[[#This Row],[date]]),1,1)</f>
        <v>Pam off</v>
      </c>
      <c r="E2246" s="81">
        <f>MONTH(表格1[[#This Row],[date]])</f>
        <v>3</v>
      </c>
      <c r="F2246" s="90">
        <v>46098</v>
      </c>
      <c r="G2246" s="81" t="str">
        <f>VLOOKUP("*"&amp;表格1[[#This Row],[Input]]&amp;"*",'Ref-List'!$B:$D,2,)</f>
        <v>F-LYA20(W)HKG</v>
      </c>
      <c r="H2246" s="81" t="str">
        <f>_xlfn.XLOOKUP(表格1[[#This Row],[Model]],表格3[Model-Input-Ref2],表格3[Product Line])</f>
        <v>12吋2合1座地座檯電風扇連遙控</v>
      </c>
      <c r="I2246" s="81" t="str">
        <f>_xlfn.XLOOKUP(表格1[[#This Row],[Model]],表格3[Model-Input-Ref2],表格3[大小電])</f>
        <v>細電</v>
      </c>
      <c r="J2246" s="81" t="str">
        <f>_xlfn.XLOOKUP(表格1[[#This Row],[Model]],表格3[Model-Input-Ref2],表格3[Code])</f>
        <v>EAD</v>
      </c>
      <c r="K2246" s="89" t="s">
        <v>1391</v>
      </c>
      <c r="L2246" s="86">
        <v>1</v>
      </c>
      <c r="M2246" s="87">
        <v>368</v>
      </c>
      <c r="N2246" s="85">
        <f>IFERROR(表格1[[#This Row],[QTY]]*表格1[[#This Row],[Unit Price]],"-")</f>
        <v>368</v>
      </c>
      <c r="O2246" s="86">
        <v>137882</v>
      </c>
      <c r="R2246" s="86" t="str">
        <f>_xlfn.CONCAT(表格1[[#This Row],[Model]]," ",表格1[[#This Row],[inv no]])</f>
        <v>F-LYA20(W)HKG 137882</v>
      </c>
      <c r="S2246" s="86">
        <f>_xlfn.XLOOKUP(表格1[[#This Row],[Model]],表格3[Model-Input-Ref2],表格3[SRP PRICE])</f>
        <v>988</v>
      </c>
      <c r="T2246" s="43">
        <f>表格1[[#This Row],[Unit Price]]/表格1[[#This Row],[SRP]]</f>
        <v>0.37246963562753038</v>
      </c>
      <c r="U2246" s="86" t="str">
        <f>_xlfn.XLOOKUP(表格1[[#This Row],[Model]],表格3[Model-Input-Ref2],表格3[TOSHIBA/HIGHEST])</f>
        <v>Toshiba SRP</v>
      </c>
      <c r="V2246" s="86">
        <v>1111</v>
      </c>
      <c r="W2246" s="86" t="str">
        <f>_xlfn.CONCAT(表格1[[#This Row],[欄4]],表格1[[#This Row],[inv no]])</f>
        <v>1111137882</v>
      </c>
    </row>
    <row r="2247" spans="1:23" ht="16.5" hidden="1">
      <c r="A2247" s="81">
        <v>2245</v>
      </c>
      <c r="B2247" s="86" t="s">
        <v>1260</v>
      </c>
      <c r="C2247" s="86" t="s">
        <v>1777</v>
      </c>
      <c r="D2247" s="82" t="str">
        <f ca="1">OFFSET(Roster!$A$3,MATCH(表格1[[#This Row],[Location]]&amp;" "&amp;表格1[[#This Row],[Shop]]&amp;"*",Roster!$A$4:$A$72,0),DAY(表格1[[#This Row],[date]]),1,1)</f>
        <v>Pam</v>
      </c>
      <c r="E2247" s="81">
        <f>MONTH(表格1[[#This Row],[date]])</f>
        <v>3</v>
      </c>
      <c r="F2247" s="90">
        <v>46099</v>
      </c>
      <c r="G2247" s="81" t="str">
        <f>VLOOKUP("*"&amp;表格1[[#This Row],[Input]]&amp;"*",'Ref-List'!$B:$D,2,)</f>
        <v>KT-08DH1VHK(W)</v>
      </c>
      <c r="H2247" s="81" t="str">
        <f>_xlfn.XLOOKUP(表格1[[#This Row],[Model]],表格3[Model-Input-Ref2],表格3[Product Line])</f>
        <v>無線雙層電熱水壺-附可鎖壺蓋(0.8公升)</v>
      </c>
      <c r="I2247" s="81" t="str">
        <f>_xlfn.XLOOKUP(表格1[[#This Row],[Model]],表格3[Model-Input-Ref2],表格3[大小電])</f>
        <v>細電</v>
      </c>
      <c r="J2247" s="81" t="str">
        <f>_xlfn.XLOOKUP(表格1[[#This Row],[Model]],表格3[Model-Input-Ref2],表格3[Code])</f>
        <v>SDA</v>
      </c>
      <c r="K2247" s="89" t="s">
        <v>1268</v>
      </c>
      <c r="L2247" s="86">
        <v>1</v>
      </c>
      <c r="M2247" s="87">
        <v>268</v>
      </c>
      <c r="N2247" s="85">
        <f>IFERROR(表格1[[#This Row],[QTY]]*表格1[[#This Row],[Unit Price]],"-")</f>
        <v>268</v>
      </c>
      <c r="O2247" s="86">
        <v>138073</v>
      </c>
      <c r="P2247" s="141"/>
      <c r="R2247" s="86" t="str">
        <f>_xlfn.CONCAT(表格1[[#This Row],[Model]]," ",表格1[[#This Row],[inv no]])</f>
        <v>KT-08DH1VHK(W) 138073</v>
      </c>
      <c r="S2247" s="86">
        <f>_xlfn.XLOOKUP(表格1[[#This Row],[Model]],表格3[Model-Input-Ref2],表格3[SRP PRICE])</f>
        <v>428</v>
      </c>
      <c r="T2247" s="43">
        <f>表格1[[#This Row],[Unit Price]]/表格1[[#This Row],[SRP]]</f>
        <v>0.62616822429906538</v>
      </c>
      <c r="U2247" s="86" t="str">
        <f>_xlfn.XLOOKUP(表格1[[#This Row],[Model]],表格3[Model-Input-Ref2],表格3[TOSHIBA/HIGHEST])</f>
        <v>Toshiba SRP</v>
      </c>
      <c r="V2247" s="86">
        <v>1111</v>
      </c>
      <c r="W2247" s="86" t="str">
        <f>_xlfn.CONCAT(表格1[[#This Row],[欄4]],表格1[[#This Row],[inv no]])</f>
        <v>1111138073</v>
      </c>
    </row>
    <row r="2248" spans="1:23" hidden="1">
      <c r="A2248" s="81">
        <v>2246</v>
      </c>
      <c r="B2248" s="86" t="s">
        <v>1260</v>
      </c>
      <c r="C2248" s="86" t="s">
        <v>1777</v>
      </c>
      <c r="D2248" s="82" t="str">
        <f ca="1">OFFSET(Roster!$A$3,MATCH(表格1[[#This Row],[Location]]&amp;" "&amp;表格1[[#This Row],[Shop]]&amp;"*",Roster!$A$4:$A$72,0),DAY(表格1[[#This Row],[date]]),1,1)</f>
        <v>Pam off</v>
      </c>
      <c r="E2248" s="81">
        <f>MONTH(表格1[[#This Row],[date]])</f>
        <v>3</v>
      </c>
      <c r="F2248" s="90">
        <v>46100</v>
      </c>
      <c r="G2248" s="81" t="str">
        <f>VLOOKUP("*"&amp;表格1[[#This Row],[Input]]&amp;"*",'Ref-List'!$B:$D,2,)</f>
        <v>RC-10ISSHK(W)</v>
      </c>
      <c r="H2248" s="81" t="str">
        <f>_xlfn.XLOOKUP(表格1[[#This Row],[Model]],表格3[Model-Input-Ref2],表格3[Product Line])</f>
        <v>磁應電飯煲(1公升)</v>
      </c>
      <c r="I2248" s="81" t="str">
        <f>_xlfn.XLOOKUP(表格1[[#This Row],[Model]],表格3[Model-Input-Ref2],表格3[大小電])</f>
        <v>細電</v>
      </c>
      <c r="J2248" s="81" t="str">
        <f>_xlfn.XLOOKUP(表格1[[#This Row],[Model]],表格3[Model-Input-Ref2],表格3[Code])</f>
        <v>SDA</v>
      </c>
      <c r="K2248" s="89" t="s">
        <v>1286</v>
      </c>
      <c r="L2248" s="86">
        <v>1</v>
      </c>
      <c r="M2248" s="87">
        <v>898</v>
      </c>
      <c r="N2248" s="85">
        <f>IFERROR(表格1[[#This Row],[QTY]]*表格1[[#This Row],[Unit Price]],"-")</f>
        <v>898</v>
      </c>
      <c r="O2248" s="142" t="s">
        <v>1820</v>
      </c>
      <c r="R2248" s="86" t="str">
        <f>_xlfn.CONCAT(表格1[[#This Row],[Model]]," ",表格1[[#This Row],[inv no]])</f>
        <v>RC-10ISSHK(W) 057416</v>
      </c>
      <c r="S2248" s="86">
        <f>_xlfn.XLOOKUP(表格1[[#This Row],[Model]],表格3[Model-Input-Ref2],表格3[SRP PRICE])</f>
        <v>1188</v>
      </c>
      <c r="T2248" s="43">
        <f>表格1[[#This Row],[Unit Price]]/表格1[[#This Row],[SRP]]</f>
        <v>0.75589225589225584</v>
      </c>
      <c r="U2248" s="86" t="str">
        <f>_xlfn.XLOOKUP(表格1[[#This Row],[Model]],表格3[Model-Input-Ref2],表格3[TOSHIBA/HIGHEST])</f>
        <v>Shops Highest Price</v>
      </c>
      <c r="V2248" s="86">
        <v>1111</v>
      </c>
      <c r="W2248" s="86" t="str">
        <f>_xlfn.CONCAT(表格1[[#This Row],[欄4]],表格1[[#This Row],[inv no]])</f>
        <v>1111057416</v>
      </c>
    </row>
    <row r="2249" spans="1:23" hidden="1">
      <c r="A2249" s="81">
        <v>2247</v>
      </c>
      <c r="B2249" s="86" t="s">
        <v>1260</v>
      </c>
      <c r="C2249" s="86" t="s">
        <v>1777</v>
      </c>
      <c r="D2249" s="82" t="str">
        <f ca="1">OFFSET(Roster!$A$3,MATCH(表格1[[#This Row],[Location]]&amp;" "&amp;表格1[[#This Row],[Shop]]&amp;"*",Roster!$A$4:$A$72,0),DAY(表格1[[#This Row],[date]]),1,1)</f>
        <v>Pam off</v>
      </c>
      <c r="E2249" s="86">
        <f>MONTH(表格1[[#This Row],[date]])</f>
        <v>3</v>
      </c>
      <c r="F2249" s="90">
        <v>46101</v>
      </c>
      <c r="G2249" s="86" t="str">
        <f>VLOOKUP("*"&amp;表格1[[#This Row],[Input]]&amp;"*",'Ref-List'!$B:$D,2,)</f>
        <v>AW-Q801APH(WW)</v>
      </c>
      <c r="H2249" s="86" t="str">
        <f>_xlfn.XLOOKUP(表格1[[#This Row],[Model]],表格3[Model-Input-Ref2],表格3[Product Line])</f>
        <v>日式洗衣機 (7公斤 結合高低水位)</v>
      </c>
      <c r="I2249" s="86" t="str">
        <f>_xlfn.XLOOKUP(表格1[[#This Row],[Model]],表格3[Model-Input-Ref2],表格3[大小電])</f>
        <v>大電</v>
      </c>
      <c r="J2249" s="86" t="str">
        <f>_xlfn.XLOOKUP(表格1[[#This Row],[Model]],表格3[Model-Input-Ref2],表格3[Code])</f>
        <v>LAD</v>
      </c>
      <c r="K2249" s="89" t="s">
        <v>1420</v>
      </c>
      <c r="L2249" s="86">
        <v>1</v>
      </c>
      <c r="M2249" s="87">
        <v>1980</v>
      </c>
      <c r="N2249" s="85">
        <f>IFERROR(表格1[[#This Row],[QTY]]*表格1[[#This Row],[Unit Price]],"-")</f>
        <v>1980</v>
      </c>
      <c r="O2249" s="86">
        <v>138613</v>
      </c>
      <c r="R2249" s="86" t="str">
        <f>_xlfn.CONCAT(表格1[[#This Row],[Model]]," ",表格1[[#This Row],[inv no]])</f>
        <v>AW-Q801APH(WW) 138613</v>
      </c>
      <c r="S2249" s="86">
        <f>_xlfn.XLOOKUP(表格1[[#This Row],[Model]],表格3[Model-Input-Ref2],表格3[SRP PRICE])</f>
        <v>3380</v>
      </c>
      <c r="T2249" s="43">
        <f>表格1[[#This Row],[Unit Price]]/表格1[[#This Row],[SRP]]</f>
        <v>0.58579881656804733</v>
      </c>
      <c r="U2249" s="86" t="str">
        <f>_xlfn.XLOOKUP(表格1[[#This Row],[Model]],表格3[Model-Input-Ref2],表格3[TOSHIBA/HIGHEST])</f>
        <v>Toshiba SRP</v>
      </c>
      <c r="W2249" s="86" t="str">
        <f>_xlfn.CONCAT(表格1[[#This Row],[欄4]],表格1[[#This Row],[inv no]])</f>
        <v>138613</v>
      </c>
    </row>
    <row r="2250" spans="1:23" hidden="1">
      <c r="A2250" s="81">
        <v>2248</v>
      </c>
      <c r="B2250" s="86" t="s">
        <v>1260</v>
      </c>
      <c r="C2250" s="86" t="s">
        <v>1777</v>
      </c>
      <c r="D2250" s="82" t="str">
        <f ca="1">OFFSET(Roster!$A$3,MATCH(表格1[[#This Row],[Location]]&amp;" "&amp;表格1[[#This Row],[Shop]]&amp;"*",Roster!$A$4:$A$72,0),DAY(表格1[[#This Row],[date]]),1,1)</f>
        <v>Pam off</v>
      </c>
      <c r="E2250" s="86">
        <f>MONTH(表格1[[#This Row],[date]])</f>
        <v>3</v>
      </c>
      <c r="F2250" s="90">
        <v>46101</v>
      </c>
      <c r="G2250" s="86" t="str">
        <f>VLOOKUP("*"&amp;表格1[[#This Row],[Input]]&amp;"*",'Ref-List'!$B:$D,2,)</f>
        <v>TP-50DRUHK(W)</v>
      </c>
      <c r="H2250" s="86" t="str">
        <f>_xlfn.XLOOKUP(表格1[[#This Row],[Model]],表格3[Model-Input-Ref2],表格3[Product Line])</f>
        <v>電熱水瓶 (5公升)</v>
      </c>
      <c r="I2250" s="86" t="str">
        <f>_xlfn.XLOOKUP(表格1[[#This Row],[Model]],表格3[Model-Input-Ref2],表格3[大小電])</f>
        <v>細電</v>
      </c>
      <c r="J2250" s="86" t="str">
        <f>_xlfn.XLOOKUP(表格1[[#This Row],[Model]],表格3[Model-Input-Ref2],表格3[Code])</f>
        <v>SDA</v>
      </c>
      <c r="K2250" s="89" t="s">
        <v>1277</v>
      </c>
      <c r="L2250" s="86">
        <v>1</v>
      </c>
      <c r="M2250" s="87">
        <v>628</v>
      </c>
      <c r="N2250" s="85">
        <f>IFERROR(表格1[[#This Row],[QTY]]*表格1[[#This Row],[Unit Price]],"-")</f>
        <v>628</v>
      </c>
      <c r="O2250" s="142" t="s">
        <v>1821</v>
      </c>
      <c r="R2250" s="86" t="str">
        <f>_xlfn.CONCAT(表格1[[#This Row],[Model]]," ",表格1[[#This Row],[inv no]])</f>
        <v>TP-50DRUHK(W) 057812</v>
      </c>
      <c r="S2250" s="86">
        <f>_xlfn.XLOOKUP(表格1[[#This Row],[Model]],表格3[Model-Input-Ref2],表格3[SRP PRICE])</f>
        <v>718</v>
      </c>
      <c r="T2250" s="43">
        <f>表格1[[#This Row],[Unit Price]]/表格1[[#This Row],[SRP]]</f>
        <v>0.87465181058495822</v>
      </c>
      <c r="U2250" s="86" t="str">
        <f>_xlfn.XLOOKUP(表格1[[#This Row],[Model]],表格3[Model-Input-Ref2],表格3[TOSHIBA/HIGHEST])</f>
        <v>Toshiba SRP</v>
      </c>
      <c r="W2250" s="86" t="str">
        <f>_xlfn.CONCAT(表格1[[#This Row],[欄4]],表格1[[#This Row],[inv no]])</f>
        <v>057812</v>
      </c>
    </row>
    <row r="2251" spans="1:23" hidden="1">
      <c r="A2251" s="81">
        <v>2249</v>
      </c>
      <c r="B2251" s="86" t="s">
        <v>1260</v>
      </c>
      <c r="C2251" s="86" t="s">
        <v>1777</v>
      </c>
      <c r="D2251" s="82" t="str">
        <f ca="1">OFFSET(Roster!$A$3,MATCH(表格1[[#This Row],[Location]]&amp;" "&amp;表格1[[#This Row],[Shop]]&amp;"*",Roster!$A$4:$A$72,0),DAY(表格1[[#This Row],[date]]),1,1)</f>
        <v>Pam off</v>
      </c>
      <c r="E2251" s="86">
        <f>MONTH(表格1[[#This Row],[date]])</f>
        <v>3</v>
      </c>
      <c r="F2251" s="90">
        <v>46101</v>
      </c>
      <c r="G2251" s="86" t="str">
        <f>VLOOKUP("*"&amp;表格1[[#This Row],[Input]]&amp;"*",'Ref-List'!$B:$D,2,)</f>
        <v>TP-25DR2UHK(W)</v>
      </c>
      <c r="H2251" s="86" t="str">
        <f>_xlfn.XLOOKUP(表格1[[#This Row],[Model]],表格3[Model-Input-Ref2],表格3[Product Line])</f>
        <v>電熱水瓶 (2.5公升)</v>
      </c>
      <c r="I2251" s="86" t="str">
        <f>_xlfn.XLOOKUP(表格1[[#This Row],[Model]],表格3[Model-Input-Ref2],表格3[大小電])</f>
        <v>細電</v>
      </c>
      <c r="J2251" s="86" t="str">
        <f>_xlfn.XLOOKUP(表格1[[#This Row],[Model]],表格3[Model-Input-Ref2],表格3[Code])</f>
        <v>SDA</v>
      </c>
      <c r="K2251" s="89" t="s">
        <v>1285</v>
      </c>
      <c r="L2251" s="86">
        <v>1</v>
      </c>
      <c r="M2251" s="87">
        <v>398</v>
      </c>
      <c r="N2251" s="85">
        <f>IFERROR(表格1[[#This Row],[QTY]]*表格1[[#This Row],[Unit Price]],"-")</f>
        <v>398</v>
      </c>
      <c r="O2251" s="142" t="s">
        <v>1821</v>
      </c>
      <c r="R2251" s="86" t="str">
        <f>_xlfn.CONCAT(表格1[[#This Row],[Model]]," ",表格1[[#This Row],[inv no]])</f>
        <v>TP-25DR2UHK(W) 057812</v>
      </c>
      <c r="S2251" s="86">
        <f>_xlfn.XLOOKUP(表格1[[#This Row],[Model]],表格3[Model-Input-Ref2],表格3[SRP PRICE])</f>
        <v>538</v>
      </c>
      <c r="T2251" s="43">
        <f>表格1[[#This Row],[Unit Price]]/表格1[[#This Row],[SRP]]</f>
        <v>0.7397769516728625</v>
      </c>
      <c r="U2251" s="86" t="str">
        <f>_xlfn.XLOOKUP(表格1[[#This Row],[Model]],表格3[Model-Input-Ref2],表格3[TOSHIBA/HIGHEST])</f>
        <v>Toshiba SRP</v>
      </c>
      <c r="W2251" s="86" t="str">
        <f>_xlfn.CONCAT(表格1[[#This Row],[欄4]],表格1[[#This Row],[inv no]])</f>
        <v>057812</v>
      </c>
    </row>
    <row r="2252" spans="1:23" hidden="1">
      <c r="A2252" s="81">
        <v>2250</v>
      </c>
      <c r="B2252" s="86" t="s">
        <v>1260</v>
      </c>
      <c r="C2252" s="86" t="s">
        <v>1777</v>
      </c>
      <c r="D2252" s="82" t="str">
        <f ca="1">OFFSET(Roster!$A$3,MATCH(表格1[[#This Row],[Location]]&amp;" "&amp;表格1[[#This Row],[Shop]]&amp;"*",Roster!$A$4:$A$72,0),DAY(表格1[[#This Row],[date]]),1,1)</f>
        <v>Pam off</v>
      </c>
      <c r="E2252" s="86">
        <f>MONTH(表格1[[#This Row],[date]])</f>
        <v>3</v>
      </c>
      <c r="F2252" s="90">
        <v>46101</v>
      </c>
      <c r="G2252" s="86" t="str">
        <f>VLOOKUP("*"&amp;表格1[[#This Row],[Input]]&amp;"*",'Ref-List'!$B:$D,2,)</f>
        <v>ET-TD7080(PN)</v>
      </c>
      <c r="H2252" s="86" t="str">
        <f>_xlfn.XLOOKUP(表格1[[#This Row],[Model]],表格3[Model-Input-Ref2],表格3[Product Line])</f>
        <v>多士焗爐8L</v>
      </c>
      <c r="I2252" s="86" t="str">
        <f>_xlfn.XLOOKUP(表格1[[#This Row],[Model]],表格3[Model-Input-Ref2],表格3[大小電])</f>
        <v>細電</v>
      </c>
      <c r="J2252" s="86" t="str">
        <f>_xlfn.XLOOKUP(表格1[[#This Row],[Model]],表格3[Model-Input-Ref2],表格3[Code])</f>
        <v>SDA</v>
      </c>
      <c r="K2252" s="89">
        <v>7080</v>
      </c>
      <c r="L2252" s="86">
        <v>1</v>
      </c>
      <c r="M2252" s="87">
        <v>338</v>
      </c>
      <c r="N2252" s="85">
        <f>IFERROR(表格1[[#This Row],[QTY]]*表格1[[#This Row],[Unit Price]],"-")</f>
        <v>338</v>
      </c>
      <c r="O2252" s="86">
        <v>138732</v>
      </c>
      <c r="R2252" s="86" t="str">
        <f>_xlfn.CONCAT(表格1[[#This Row],[Model]]," ",表格1[[#This Row],[inv no]])</f>
        <v>ET-TD7080(PN) 138732</v>
      </c>
      <c r="S2252" s="86">
        <f>_xlfn.XLOOKUP(表格1[[#This Row],[Model]],表格3[Model-Input-Ref2],表格3[SRP PRICE])</f>
        <v>498</v>
      </c>
      <c r="T2252" s="43">
        <f>表格1[[#This Row],[Unit Price]]/表格1[[#This Row],[SRP]]</f>
        <v>0.67871485943775101</v>
      </c>
      <c r="U2252" s="86" t="str">
        <f>_xlfn.XLOOKUP(表格1[[#This Row],[Model]],表格3[Model-Input-Ref2],表格3[TOSHIBA/HIGHEST])</f>
        <v>Toshiba SRP</v>
      </c>
      <c r="W2252" s="86" t="str">
        <f>_xlfn.CONCAT(表格1[[#This Row],[欄4]],表格1[[#This Row],[inv no]])</f>
        <v>138732</v>
      </c>
    </row>
    <row r="2253" spans="1:23" hidden="1">
      <c r="A2253" s="81">
        <v>2251</v>
      </c>
      <c r="B2253" s="86" t="s">
        <v>1260</v>
      </c>
      <c r="C2253" s="86" t="s">
        <v>1777</v>
      </c>
      <c r="D2253" s="82" t="str">
        <f ca="1">OFFSET(Roster!$A$3,MATCH(表格1[[#This Row],[Location]]&amp;" "&amp;表格1[[#This Row],[Shop]]&amp;"*",Roster!$A$4:$A$72,0),DAY(表格1[[#This Row],[date]]),1,1)</f>
        <v>Pam off</v>
      </c>
      <c r="E2253" s="86">
        <f>MONTH(表格1[[#This Row],[date]])</f>
        <v>3</v>
      </c>
      <c r="F2253" s="90">
        <v>46104</v>
      </c>
      <c r="G2253" s="86" t="str">
        <f>VLOOKUP("*"&amp;表格1[[#This Row],[Input]]&amp;"*",'Ref-List'!$B:$D,2,)</f>
        <v>MWP-MM20P(WH)</v>
      </c>
      <c r="H2253" s="86" t="str">
        <f>_xlfn.XLOOKUP(表格1[[#This Row],[Model]],表格3[Model-Input-Ref2],表格3[Product Line])</f>
        <v>旋鈕式燒烤微波爐20L</v>
      </c>
      <c r="I2253" s="86" t="str">
        <f>_xlfn.XLOOKUP(表格1[[#This Row],[Model]],表格3[Model-Input-Ref2],表格3[大小電])</f>
        <v>細電</v>
      </c>
      <c r="J2253" s="86" t="str">
        <f>_xlfn.XLOOKUP(表格1[[#This Row],[Model]],表格3[Model-Input-Ref2],表格3[Code])</f>
        <v>SDA</v>
      </c>
      <c r="K2253" s="89" t="s">
        <v>1270</v>
      </c>
      <c r="L2253" s="86">
        <v>1</v>
      </c>
      <c r="M2253" s="87">
        <v>488</v>
      </c>
      <c r="N2253" s="85">
        <f>IFERROR(表格1[[#This Row],[QTY]]*表格1[[#This Row],[Unit Price]],"-")</f>
        <v>488</v>
      </c>
      <c r="O2253" s="142" t="s">
        <v>1822</v>
      </c>
      <c r="R2253" s="86" t="str">
        <f>_xlfn.CONCAT(表格1[[#This Row],[Model]]," ",表格1[[#This Row],[inv no]])</f>
        <v>MWP-MM20P(WH) 058698</v>
      </c>
      <c r="S2253" s="86">
        <f>_xlfn.XLOOKUP(表格1[[#This Row],[Model]],表格3[Model-Input-Ref2],表格3[SRP PRICE])</f>
        <v>648</v>
      </c>
      <c r="T2253" s="43">
        <f>表格1[[#This Row],[Unit Price]]/表格1[[#This Row],[SRP]]</f>
        <v>0.75308641975308643</v>
      </c>
      <c r="U2253" s="86" t="str">
        <f>_xlfn.XLOOKUP(表格1[[#This Row],[Model]],表格3[Model-Input-Ref2],表格3[TOSHIBA/HIGHEST])</f>
        <v>Toshiba SRP</v>
      </c>
      <c r="W2253" s="86" t="str">
        <f>_xlfn.CONCAT(表格1[[#This Row],[欄4]],表格1[[#This Row],[inv no]])</f>
        <v>058698</v>
      </c>
    </row>
    <row r="2254" spans="1:23" hidden="1">
      <c r="A2254" s="81">
        <v>2252</v>
      </c>
      <c r="B2254" s="86" t="s">
        <v>1260</v>
      </c>
      <c r="C2254" s="86" t="s">
        <v>1777</v>
      </c>
      <c r="D2254" s="82" t="str">
        <f ca="1">OFFSET(Roster!$A$3,MATCH(表格1[[#This Row],[Location]]&amp;" "&amp;表格1[[#This Row],[Shop]]&amp;"*",Roster!$A$4:$A$72,0),DAY(表格1[[#This Row],[date]]),1,1)</f>
        <v>Pam off</v>
      </c>
      <c r="E2254" s="86">
        <f>MONTH(表格1[[#This Row],[date]])</f>
        <v>3</v>
      </c>
      <c r="F2254" s="90">
        <v>46104</v>
      </c>
      <c r="G2254" s="86" t="str">
        <f>VLOOKUP("*"&amp;表格1[[#This Row],[Input]]&amp;"*",'Ref-List'!$B:$D,2,)</f>
        <v>RC-10NMFIH(WT)</v>
      </c>
      <c r="H2254" s="86" t="str">
        <f>_xlfn.XLOOKUP(表格1[[#This Row],[Model]],表格3[Model-Input-Ref2],表格3[Product Line])</f>
        <v>4毫米厚釜電飯煲1L</v>
      </c>
      <c r="I2254" s="86" t="str">
        <f>_xlfn.XLOOKUP(表格1[[#This Row],[Model]],表格3[Model-Input-Ref2],表格3[大小電])</f>
        <v>細電</v>
      </c>
      <c r="J2254" s="86" t="str">
        <f>_xlfn.XLOOKUP(表格1[[#This Row],[Model]],表格3[Model-Input-Ref2],表格3[Code])</f>
        <v>SDA</v>
      </c>
      <c r="K2254" s="89" t="s">
        <v>1244</v>
      </c>
      <c r="L2254" s="86">
        <v>1</v>
      </c>
      <c r="M2254" s="87">
        <v>719</v>
      </c>
      <c r="N2254" s="85">
        <f>IFERROR(表格1[[#This Row],[QTY]]*表格1[[#This Row],[Unit Price]],"-")</f>
        <v>719</v>
      </c>
      <c r="O2254" s="142" t="s">
        <v>1823</v>
      </c>
      <c r="R2254" s="86" t="str">
        <f>_xlfn.CONCAT(表格1[[#This Row],[Model]]," ",表格1[[#This Row],[inv no]])</f>
        <v>RC-10NMFIH(WT) 058705</v>
      </c>
      <c r="S2254" s="86">
        <f>_xlfn.XLOOKUP(表格1[[#This Row],[Model]],表格3[Model-Input-Ref2],表格3[SRP PRICE])</f>
        <v>898</v>
      </c>
      <c r="T2254" s="43">
        <f>表格1[[#This Row],[Unit Price]]/表格1[[#This Row],[SRP]]</f>
        <v>0.80066815144766146</v>
      </c>
      <c r="U2254" s="86" t="str">
        <f>_xlfn.XLOOKUP(表格1[[#This Row],[Model]],表格3[Model-Input-Ref2],表格3[TOSHIBA/HIGHEST])</f>
        <v>Toshiba SRP</v>
      </c>
      <c r="W2254" s="86" t="str">
        <f>_xlfn.CONCAT(表格1[[#This Row],[欄4]],表格1[[#This Row],[inv no]])</f>
        <v>058705</v>
      </c>
    </row>
    <row r="2255" spans="1:23" hidden="1">
      <c r="A2255" s="81">
        <v>2253</v>
      </c>
      <c r="B2255" s="86" t="s">
        <v>1260</v>
      </c>
      <c r="C2255" s="86" t="s">
        <v>1777</v>
      </c>
      <c r="D2255" s="82" t="str">
        <f ca="1">OFFSET(Roster!$A$3,MATCH(表格1[[#This Row],[Location]]&amp;" "&amp;表格1[[#This Row],[Shop]]&amp;"*",Roster!$A$4:$A$72,0),DAY(表格1[[#This Row],[date]]),1,1)</f>
        <v>Pam</v>
      </c>
      <c r="E2255" s="86">
        <f>MONTH(表格1[[#This Row],[date]])</f>
        <v>3</v>
      </c>
      <c r="F2255" s="90">
        <v>46105</v>
      </c>
      <c r="G2255" s="86" t="str">
        <f>VLOOKUP("*"&amp;表格1[[#This Row],[Input]]&amp;"*",'Ref-List'!$B:$D,2,)</f>
        <v>RC-18NMFIH(WT)</v>
      </c>
      <c r="H2255" s="86" t="str">
        <f>_xlfn.XLOOKUP(表格1[[#This Row],[Model]],表格3[Model-Input-Ref2],表格3[Product Line])</f>
        <v>4毫米厚釜電飯煲1.8L</v>
      </c>
      <c r="I2255" s="86" t="str">
        <f>_xlfn.XLOOKUP(表格1[[#This Row],[Model]],表格3[Model-Input-Ref2],表格3[大小電])</f>
        <v>細電</v>
      </c>
      <c r="J2255" s="86" t="str">
        <f>_xlfn.XLOOKUP(表格1[[#This Row],[Model]],表格3[Model-Input-Ref2],表格3[Code])</f>
        <v>SDA</v>
      </c>
      <c r="K2255" s="89" t="s">
        <v>1267</v>
      </c>
      <c r="L2255" s="86">
        <v>1</v>
      </c>
      <c r="M2255" s="87">
        <v>799</v>
      </c>
      <c r="N2255" s="85">
        <f>IFERROR(表格1[[#This Row],[QTY]]*表格1[[#This Row],[Unit Price]],"-")</f>
        <v>799</v>
      </c>
      <c r="O2255" s="142" t="s">
        <v>1824</v>
      </c>
      <c r="R2255" s="86" t="str">
        <f>_xlfn.CONCAT(表格1[[#This Row],[Model]]," ",表格1[[#This Row],[inv no]])</f>
        <v>RC-18NMFIH(WT) 058760</v>
      </c>
      <c r="S2255" s="86">
        <f>_xlfn.XLOOKUP(表格1[[#This Row],[Model]],表格3[Model-Input-Ref2],表格3[SRP PRICE])</f>
        <v>998</v>
      </c>
      <c r="T2255" s="43">
        <f>表格1[[#This Row],[Unit Price]]/表格1[[#This Row],[SRP]]</f>
        <v>0.80060120240480959</v>
      </c>
      <c r="U2255" s="86" t="str">
        <f>_xlfn.XLOOKUP(表格1[[#This Row],[Model]],表格3[Model-Input-Ref2],表格3[TOSHIBA/HIGHEST])</f>
        <v>Toshiba SRP</v>
      </c>
      <c r="W2255" s="86" t="str">
        <f>_xlfn.CONCAT(表格1[[#This Row],[欄4]],表格1[[#This Row],[inv no]])</f>
        <v>058760</v>
      </c>
    </row>
    <row r="2256" spans="1:23" hidden="1">
      <c r="A2256" s="81">
        <v>2254</v>
      </c>
      <c r="B2256" s="86" t="s">
        <v>1260</v>
      </c>
      <c r="C2256" s="86" t="s">
        <v>1777</v>
      </c>
      <c r="D2256" s="82" t="str">
        <f ca="1">OFFSET(Roster!$A$3,MATCH(表格1[[#This Row],[Location]]&amp;" "&amp;表格1[[#This Row],[Shop]]&amp;"*",Roster!$A$4:$A$72,0),DAY(表格1[[#This Row],[date]]),1,1)</f>
        <v>Pam</v>
      </c>
      <c r="E2256" s="86">
        <f>MONTH(表格1[[#This Row],[date]])</f>
        <v>3</v>
      </c>
      <c r="F2256" s="90">
        <v>46106</v>
      </c>
      <c r="G2256" s="86" t="str">
        <f>VLOOKUP("*"&amp;表格1[[#This Row],[Input]]&amp;"*",'Ref-List'!$B:$D,2,)</f>
        <v>F-LYA20(W)HKG</v>
      </c>
      <c r="H2256" s="86" t="str">
        <f>_xlfn.XLOOKUP(表格1[[#This Row],[Model]],表格3[Model-Input-Ref2],表格3[Product Line])</f>
        <v>12吋2合1座地座檯電風扇連遙控</v>
      </c>
      <c r="I2256" s="86" t="str">
        <f>_xlfn.XLOOKUP(表格1[[#This Row],[Model]],表格3[Model-Input-Ref2],表格3[大小電])</f>
        <v>細電</v>
      </c>
      <c r="J2256" s="86" t="str">
        <f>_xlfn.XLOOKUP(表格1[[#This Row],[Model]],表格3[Model-Input-Ref2],表格3[Code])</f>
        <v>EAD</v>
      </c>
      <c r="K2256" s="89" t="s">
        <v>1391</v>
      </c>
      <c r="L2256" s="86">
        <v>1</v>
      </c>
      <c r="M2256" s="87">
        <v>368</v>
      </c>
      <c r="N2256" s="85">
        <f>IFERROR(表格1[[#This Row],[QTY]]*表格1[[#This Row],[Unit Price]],"-")</f>
        <v>368</v>
      </c>
      <c r="O2256" s="86">
        <v>140129</v>
      </c>
      <c r="R2256" s="86" t="str">
        <f>_xlfn.CONCAT(表格1[[#This Row],[Model]]," ",表格1[[#This Row],[inv no]])</f>
        <v>F-LYA20(W)HKG 140129</v>
      </c>
      <c r="S2256" s="86">
        <f>_xlfn.XLOOKUP(表格1[[#This Row],[Model]],表格3[Model-Input-Ref2],表格3[SRP PRICE])</f>
        <v>988</v>
      </c>
      <c r="T2256" s="43">
        <f>表格1[[#This Row],[Unit Price]]/表格1[[#This Row],[SRP]]</f>
        <v>0.37246963562753038</v>
      </c>
      <c r="U2256" s="86" t="str">
        <f>_xlfn.XLOOKUP(表格1[[#This Row],[Model]],表格3[Model-Input-Ref2],表格3[TOSHIBA/HIGHEST])</f>
        <v>Toshiba SRP</v>
      </c>
      <c r="W2256" s="86" t="str">
        <f>_xlfn.CONCAT(表格1[[#This Row],[欄4]],表格1[[#This Row],[inv no]])</f>
        <v>140129</v>
      </c>
    </row>
    <row r="2257" spans="1:23" hidden="1">
      <c r="A2257" s="81">
        <v>2255</v>
      </c>
      <c r="B2257" s="86" t="s">
        <v>1260</v>
      </c>
      <c r="C2257" s="86" t="s">
        <v>1777</v>
      </c>
      <c r="D2257" s="82" t="str">
        <f ca="1">OFFSET(Roster!$A$3,MATCH(表格1[[#This Row],[Location]]&amp;" "&amp;表格1[[#This Row],[Shop]]&amp;"*",Roster!$A$4:$A$72,0),DAY(表格1[[#This Row],[date]]),1,1)</f>
        <v>Pam</v>
      </c>
      <c r="E2257" s="86">
        <f>MONTH(表格1[[#This Row],[date]])</f>
        <v>3</v>
      </c>
      <c r="F2257" s="90">
        <v>46106</v>
      </c>
      <c r="G2257" s="86" t="str">
        <f>VLOOKUP("*"&amp;表格1[[#This Row],[Input]]&amp;"*",'Ref-List'!$B:$D,2,)</f>
        <v>F-LYA20(W)HKG</v>
      </c>
      <c r="H2257" s="86" t="str">
        <f>_xlfn.XLOOKUP(表格1[[#This Row],[Model]],表格3[Model-Input-Ref2],表格3[Product Line])</f>
        <v>12吋2合1座地座檯電風扇連遙控</v>
      </c>
      <c r="I2257" s="86" t="str">
        <f>_xlfn.XLOOKUP(表格1[[#This Row],[Model]],表格3[Model-Input-Ref2],表格3[大小電])</f>
        <v>細電</v>
      </c>
      <c r="J2257" s="86" t="str">
        <f>_xlfn.XLOOKUP(表格1[[#This Row],[Model]],表格3[Model-Input-Ref2],表格3[Code])</f>
        <v>EAD</v>
      </c>
      <c r="K2257" s="89" t="s">
        <v>1391</v>
      </c>
      <c r="L2257" s="86">
        <v>1</v>
      </c>
      <c r="M2257" s="87">
        <v>368</v>
      </c>
      <c r="N2257" s="85">
        <f>IFERROR(表格1[[#This Row],[QTY]]*表格1[[#This Row],[Unit Price]],"-")</f>
        <v>368</v>
      </c>
      <c r="O2257" s="142" t="s">
        <v>1825</v>
      </c>
      <c r="R2257" s="86" t="str">
        <f>_xlfn.CONCAT(表格1[[#This Row],[Model]]," ",表格1[[#This Row],[inv no]])</f>
        <v>F-LYA20(W)HKG 058960</v>
      </c>
      <c r="S2257" s="86">
        <f>_xlfn.XLOOKUP(表格1[[#This Row],[Model]],表格3[Model-Input-Ref2],表格3[SRP PRICE])</f>
        <v>988</v>
      </c>
      <c r="T2257" s="43">
        <f>表格1[[#This Row],[Unit Price]]/表格1[[#This Row],[SRP]]</f>
        <v>0.37246963562753038</v>
      </c>
      <c r="U2257" s="86" t="str">
        <f>_xlfn.XLOOKUP(表格1[[#This Row],[Model]],表格3[Model-Input-Ref2],表格3[TOSHIBA/HIGHEST])</f>
        <v>Toshiba SRP</v>
      </c>
      <c r="W2257" s="86" t="str">
        <f>_xlfn.CONCAT(表格1[[#This Row],[欄4]],表格1[[#This Row],[inv no]])</f>
        <v>058960</v>
      </c>
    </row>
    <row r="2258" spans="1:23" hidden="1">
      <c r="A2258" s="81">
        <v>2256</v>
      </c>
      <c r="B2258" s="86" t="s">
        <v>1260</v>
      </c>
      <c r="C2258" s="86" t="s">
        <v>1777</v>
      </c>
      <c r="D2258" s="82" t="str">
        <f ca="1">OFFSET(Roster!$A$3,MATCH(表格1[[#This Row],[Location]]&amp;" "&amp;表格1[[#This Row],[Shop]]&amp;"*",Roster!$A$4:$A$72,0),DAY(表格1[[#This Row],[date]]),1,1)</f>
        <v>Pam</v>
      </c>
      <c r="E2258" s="86">
        <f>MONTH(表格1[[#This Row],[date]])</f>
        <v>3</v>
      </c>
      <c r="F2258" s="90">
        <v>46106</v>
      </c>
      <c r="G2258" s="86" t="str">
        <f>VLOOKUP("*"&amp;表格1[[#This Row],[Input]]&amp;"*",'Ref-List'!$B:$D,2,)</f>
        <v>RC-18NMFIH(WT)</v>
      </c>
      <c r="H2258" s="86" t="str">
        <f>_xlfn.XLOOKUP(表格1[[#This Row],[Model]],表格3[Model-Input-Ref2],表格3[Product Line])</f>
        <v>4毫米厚釜電飯煲1.8L</v>
      </c>
      <c r="I2258" s="86" t="str">
        <f>_xlfn.XLOOKUP(表格1[[#This Row],[Model]],表格3[Model-Input-Ref2],表格3[大小電])</f>
        <v>細電</v>
      </c>
      <c r="J2258" s="86" t="str">
        <f>_xlfn.XLOOKUP(表格1[[#This Row],[Model]],表格3[Model-Input-Ref2],表格3[Code])</f>
        <v>SDA</v>
      </c>
      <c r="K2258" s="89" t="s">
        <v>1267</v>
      </c>
      <c r="L2258" s="86">
        <v>1</v>
      </c>
      <c r="M2258" s="87">
        <v>799</v>
      </c>
      <c r="N2258" s="85">
        <f>IFERROR(表格1[[#This Row],[QTY]]*表格1[[#This Row],[Unit Price]],"-")</f>
        <v>799</v>
      </c>
      <c r="O2258" s="142" t="s">
        <v>1826</v>
      </c>
      <c r="R2258" s="86" t="str">
        <f>_xlfn.CONCAT(表格1[[#This Row],[Model]]," ",表格1[[#This Row],[inv no]])</f>
        <v>RC-18NMFIH(WT) 059062</v>
      </c>
      <c r="S2258" s="86">
        <f>_xlfn.XLOOKUP(表格1[[#This Row],[Model]],表格3[Model-Input-Ref2],表格3[SRP PRICE])</f>
        <v>998</v>
      </c>
      <c r="T2258" s="43">
        <f>表格1[[#This Row],[Unit Price]]/表格1[[#This Row],[SRP]]</f>
        <v>0.80060120240480959</v>
      </c>
      <c r="U2258" s="86" t="str">
        <f>_xlfn.XLOOKUP(表格1[[#This Row],[Model]],表格3[Model-Input-Ref2],表格3[TOSHIBA/HIGHEST])</f>
        <v>Toshiba SRP</v>
      </c>
      <c r="W2258" s="86" t="str">
        <f>_xlfn.CONCAT(表格1[[#This Row],[欄4]],表格1[[#This Row],[inv no]])</f>
        <v>059062</v>
      </c>
    </row>
    <row r="2259" spans="1:23" hidden="1">
      <c r="A2259" s="81">
        <v>2257</v>
      </c>
      <c r="B2259" s="86" t="s">
        <v>1260</v>
      </c>
      <c r="C2259" s="86" t="s">
        <v>1777</v>
      </c>
      <c r="D2259" s="82" t="str">
        <f ca="1">OFFSET(Roster!$A$3,MATCH(表格1[[#This Row],[Location]]&amp;" "&amp;表格1[[#This Row],[Shop]]&amp;"*",Roster!$A$4:$A$72,0),DAY(表格1[[#This Row],[date]]),1,1)</f>
        <v>Pam</v>
      </c>
      <c r="E2259" s="86">
        <f>MONTH(表格1[[#This Row],[date]])</f>
        <v>3</v>
      </c>
      <c r="F2259" s="90">
        <v>46106</v>
      </c>
      <c r="G2259" s="86" t="str">
        <f>VLOOKUP("*"&amp;表格1[[#This Row],[Input]]&amp;"*",'Ref-List'!$B:$D,2,)</f>
        <v>F-LYA20(W)HKG</v>
      </c>
      <c r="H2259" s="86" t="str">
        <f>_xlfn.XLOOKUP(表格1[[#This Row],[Model]],表格3[Model-Input-Ref2],表格3[Product Line])</f>
        <v>12吋2合1座地座檯電風扇連遙控</v>
      </c>
      <c r="I2259" s="86" t="str">
        <f>_xlfn.XLOOKUP(表格1[[#This Row],[Model]],表格3[Model-Input-Ref2],表格3[大小電])</f>
        <v>細電</v>
      </c>
      <c r="J2259" s="86" t="str">
        <f>_xlfn.XLOOKUP(表格1[[#This Row],[Model]],表格3[Model-Input-Ref2],表格3[Code])</f>
        <v>EAD</v>
      </c>
      <c r="K2259" s="89" t="s">
        <v>1391</v>
      </c>
      <c r="L2259" s="86">
        <v>1</v>
      </c>
      <c r="M2259" s="87">
        <v>368</v>
      </c>
      <c r="N2259" s="85">
        <f>IFERROR(表格1[[#This Row],[QTY]]*表格1[[#This Row],[Unit Price]],"-")</f>
        <v>368</v>
      </c>
      <c r="O2259" s="86">
        <v>140229</v>
      </c>
      <c r="R2259" s="86" t="str">
        <f>_xlfn.CONCAT(表格1[[#This Row],[Model]]," ",表格1[[#This Row],[inv no]])</f>
        <v>F-LYA20(W)HKG 140229</v>
      </c>
      <c r="S2259" s="86">
        <f>_xlfn.XLOOKUP(表格1[[#This Row],[Model]],表格3[Model-Input-Ref2],表格3[SRP PRICE])</f>
        <v>988</v>
      </c>
      <c r="T2259" s="43">
        <f>表格1[[#This Row],[Unit Price]]/表格1[[#This Row],[SRP]]</f>
        <v>0.37246963562753038</v>
      </c>
      <c r="U2259" s="86" t="str">
        <f>_xlfn.XLOOKUP(表格1[[#This Row],[Model]],表格3[Model-Input-Ref2],表格3[TOSHIBA/HIGHEST])</f>
        <v>Toshiba SRP</v>
      </c>
      <c r="W2259" s="86" t="str">
        <f>_xlfn.CONCAT(表格1[[#This Row],[欄4]],表格1[[#This Row],[inv no]])</f>
        <v>140229</v>
      </c>
    </row>
    <row r="2260" spans="1:23" hidden="1">
      <c r="A2260" s="81">
        <v>2258</v>
      </c>
      <c r="B2260" s="86" t="s">
        <v>1260</v>
      </c>
      <c r="C2260" s="86" t="s">
        <v>1777</v>
      </c>
      <c r="D2260" s="82" t="str">
        <f ca="1">OFFSET(Roster!$A$3,MATCH(表格1[[#This Row],[Location]]&amp;" "&amp;表格1[[#This Row],[Shop]]&amp;"*",Roster!$A$4:$A$72,0),DAY(表格1[[#This Row],[date]]),1,1)</f>
        <v>Pam</v>
      </c>
      <c r="E2260" s="86">
        <f>MONTH(表格1[[#This Row],[date]])</f>
        <v>3</v>
      </c>
      <c r="F2260" s="90">
        <v>46106</v>
      </c>
      <c r="G2260" s="86" t="str">
        <f>VLOOKUP("*"&amp;表格1[[#This Row],[Input]]&amp;"*",'Ref-List'!$B:$D,2,)</f>
        <v>F-LYA20(W)HKG</v>
      </c>
      <c r="H2260" s="86" t="str">
        <f>_xlfn.XLOOKUP(表格1[[#This Row],[Model]],表格3[Model-Input-Ref2],表格3[Product Line])</f>
        <v>12吋2合1座地座檯電風扇連遙控</v>
      </c>
      <c r="I2260" s="86" t="str">
        <f>_xlfn.XLOOKUP(表格1[[#This Row],[Model]],表格3[Model-Input-Ref2],表格3[大小電])</f>
        <v>細電</v>
      </c>
      <c r="J2260" s="86" t="str">
        <f>_xlfn.XLOOKUP(表格1[[#This Row],[Model]],表格3[Model-Input-Ref2],表格3[Code])</f>
        <v>EAD</v>
      </c>
      <c r="K2260" s="89" t="s">
        <v>1391</v>
      </c>
      <c r="L2260" s="86">
        <v>1</v>
      </c>
      <c r="M2260" s="87">
        <v>368</v>
      </c>
      <c r="N2260" s="85">
        <f>IFERROR(表格1[[#This Row],[QTY]]*表格1[[#This Row],[Unit Price]],"-")</f>
        <v>368</v>
      </c>
      <c r="O2260" s="142" t="s">
        <v>1827</v>
      </c>
      <c r="R2260" s="86" t="str">
        <f>_xlfn.CONCAT(表格1[[#This Row],[Model]]," ",表格1[[#This Row],[inv no]])</f>
        <v>F-LYA20(W)HKG 001705</v>
      </c>
      <c r="S2260" s="86">
        <f>_xlfn.XLOOKUP(表格1[[#This Row],[Model]],表格3[Model-Input-Ref2],表格3[SRP PRICE])</f>
        <v>988</v>
      </c>
      <c r="T2260" s="43">
        <f>表格1[[#This Row],[Unit Price]]/表格1[[#This Row],[SRP]]</f>
        <v>0.37246963562753038</v>
      </c>
      <c r="U2260" s="86" t="str">
        <f>_xlfn.XLOOKUP(表格1[[#This Row],[Model]],表格3[Model-Input-Ref2],表格3[TOSHIBA/HIGHEST])</f>
        <v>Toshiba SRP</v>
      </c>
      <c r="W2260" s="86" t="str">
        <f>_xlfn.CONCAT(表格1[[#This Row],[欄4]],表格1[[#This Row],[inv no]])</f>
        <v>001705</v>
      </c>
    </row>
    <row r="2261" spans="1:23" hidden="1">
      <c r="A2261" s="81">
        <v>2259</v>
      </c>
      <c r="B2261" s="86" t="s">
        <v>1260</v>
      </c>
      <c r="C2261" s="86" t="s">
        <v>1777</v>
      </c>
      <c r="D2261" s="82" t="str">
        <f ca="1">OFFSET(Roster!$A$3,MATCH(表格1[[#This Row],[Location]]&amp;" "&amp;表格1[[#This Row],[Shop]]&amp;"*",Roster!$A$4:$A$72,0),DAY(表格1[[#This Row],[date]]),1,1)</f>
        <v>Pam</v>
      </c>
      <c r="E2261" s="86">
        <f>MONTH(表格1[[#This Row],[date]])</f>
        <v>3</v>
      </c>
      <c r="F2261" s="90">
        <v>46107</v>
      </c>
      <c r="G2261" s="86" t="str">
        <f>VLOOKUP("*"&amp;表格1[[#This Row],[Input]]&amp;"*",'Ref-List'!$B:$D,2,)</f>
        <v>MWP-MM20P(WH)</v>
      </c>
      <c r="H2261" s="86" t="str">
        <f>_xlfn.XLOOKUP(表格1[[#This Row],[Model]],表格3[Model-Input-Ref2],表格3[Product Line])</f>
        <v>旋鈕式燒烤微波爐20L</v>
      </c>
      <c r="I2261" s="86" t="str">
        <f>_xlfn.XLOOKUP(表格1[[#This Row],[Model]],表格3[Model-Input-Ref2],表格3[大小電])</f>
        <v>細電</v>
      </c>
      <c r="J2261" s="86" t="str">
        <f>_xlfn.XLOOKUP(表格1[[#This Row],[Model]],表格3[Model-Input-Ref2],表格3[Code])</f>
        <v>SDA</v>
      </c>
      <c r="K2261" s="89" t="s">
        <v>1270</v>
      </c>
      <c r="L2261" s="86">
        <v>1</v>
      </c>
      <c r="M2261" s="87">
        <v>488</v>
      </c>
      <c r="N2261" s="85">
        <f>IFERROR(表格1[[#This Row],[QTY]]*表格1[[#This Row],[Unit Price]],"-")</f>
        <v>488</v>
      </c>
      <c r="O2261" s="86">
        <v>582172</v>
      </c>
      <c r="R2261" s="86" t="str">
        <f>_xlfn.CONCAT(表格1[[#This Row],[Model]]," ",表格1[[#This Row],[inv no]])</f>
        <v>MWP-MM20P(WH) 582172</v>
      </c>
      <c r="S2261" s="86">
        <f>_xlfn.XLOOKUP(表格1[[#This Row],[Model]],表格3[Model-Input-Ref2],表格3[SRP PRICE])</f>
        <v>648</v>
      </c>
      <c r="T2261" s="43">
        <f>表格1[[#This Row],[Unit Price]]/表格1[[#This Row],[SRP]]</f>
        <v>0.75308641975308643</v>
      </c>
      <c r="U2261" s="86" t="str">
        <f>_xlfn.XLOOKUP(表格1[[#This Row],[Model]],表格3[Model-Input-Ref2],表格3[TOSHIBA/HIGHEST])</f>
        <v>Toshiba SRP</v>
      </c>
      <c r="W2261" s="86" t="str">
        <f>_xlfn.CONCAT(表格1[[#This Row],[欄4]],表格1[[#This Row],[inv no]])</f>
        <v>582172</v>
      </c>
    </row>
    <row r="2262" spans="1:23" hidden="1">
      <c r="A2262" s="81">
        <v>2260</v>
      </c>
      <c r="B2262" s="86" t="s">
        <v>1260</v>
      </c>
      <c r="C2262" s="86" t="s">
        <v>1777</v>
      </c>
      <c r="D2262" s="82" t="str">
        <f ca="1">OFFSET(Roster!$A$3,MATCH(表格1[[#This Row],[Location]]&amp;" "&amp;表格1[[#This Row],[Shop]]&amp;"*",Roster!$A$4:$A$72,0),DAY(表格1[[#This Row],[date]]),1,1)</f>
        <v>Pam</v>
      </c>
      <c r="E2262" s="86">
        <f>MONTH(表格1[[#This Row],[date]])</f>
        <v>3</v>
      </c>
      <c r="F2262" s="90">
        <v>46107</v>
      </c>
      <c r="G2262" s="86" t="str">
        <f>VLOOKUP("*"&amp;表格1[[#This Row],[Input]]&amp;"*",'Ref-List'!$B:$D,2,)</f>
        <v>F-LYA20(W)HKG</v>
      </c>
      <c r="H2262" s="86" t="str">
        <f>_xlfn.XLOOKUP(表格1[[#This Row],[Model]],表格3[Model-Input-Ref2],表格3[Product Line])</f>
        <v>12吋2合1座地座檯電風扇連遙控</v>
      </c>
      <c r="I2262" s="86" t="str">
        <f>_xlfn.XLOOKUP(表格1[[#This Row],[Model]],表格3[Model-Input-Ref2],表格3[大小電])</f>
        <v>細電</v>
      </c>
      <c r="J2262" s="86" t="str">
        <f>_xlfn.XLOOKUP(表格1[[#This Row],[Model]],表格3[Model-Input-Ref2],表格3[Code])</f>
        <v>EAD</v>
      </c>
      <c r="K2262" s="89" t="s">
        <v>1391</v>
      </c>
      <c r="L2262" s="86">
        <v>1</v>
      </c>
      <c r="M2262" s="87">
        <v>399</v>
      </c>
      <c r="N2262" s="85">
        <f>IFERROR(表格1[[#This Row],[QTY]]*表格1[[#This Row],[Unit Price]],"-")</f>
        <v>399</v>
      </c>
      <c r="O2262" s="142" t="s">
        <v>1828</v>
      </c>
      <c r="R2262" s="86" t="str">
        <f>_xlfn.CONCAT(表格1[[#This Row],[Model]]," ",表格1[[#This Row],[inv no]])</f>
        <v>F-LYA20(W)HKG 059457</v>
      </c>
      <c r="S2262" s="86">
        <f>_xlfn.XLOOKUP(表格1[[#This Row],[Model]],表格3[Model-Input-Ref2],表格3[SRP PRICE])</f>
        <v>988</v>
      </c>
      <c r="T2262" s="43">
        <f>表格1[[#This Row],[Unit Price]]/表格1[[#This Row],[SRP]]</f>
        <v>0.40384615384615385</v>
      </c>
      <c r="U2262" s="86" t="str">
        <f>_xlfn.XLOOKUP(表格1[[#This Row],[Model]],表格3[Model-Input-Ref2],表格3[TOSHIBA/HIGHEST])</f>
        <v>Toshiba SRP</v>
      </c>
      <c r="W2262" s="86" t="str">
        <f>_xlfn.CONCAT(表格1[[#This Row],[欄4]],表格1[[#This Row],[inv no]])</f>
        <v>059457</v>
      </c>
    </row>
    <row r="2263" spans="1:23" hidden="1">
      <c r="A2263" s="81">
        <v>2261</v>
      </c>
      <c r="B2263" s="86" t="s">
        <v>1260</v>
      </c>
      <c r="C2263" s="86" t="s">
        <v>1777</v>
      </c>
      <c r="D2263" s="82" t="str">
        <f ca="1">OFFSET(Roster!$A$3,MATCH(表格1[[#This Row],[Location]]&amp;" "&amp;表格1[[#This Row],[Shop]]&amp;"*",Roster!$A$4:$A$72,0),DAY(表格1[[#This Row],[date]]),1,1)</f>
        <v>Pam off</v>
      </c>
      <c r="E2263" s="86">
        <f>MONTH(表格1[[#This Row],[date]])</f>
        <v>3</v>
      </c>
      <c r="F2263" s="90">
        <v>46108</v>
      </c>
      <c r="G2263" s="86" t="str">
        <f>VLOOKUP("*"&amp;表格1[[#This Row],[Input]]&amp;"*",'Ref-List'!$B:$D,2,)</f>
        <v>IC-20R1THK</v>
      </c>
      <c r="H2263" s="86" t="str">
        <f>_xlfn.XLOOKUP(表格1[[#This Row],[Model]],表格3[Model-Input-Ref2],表格3[Product Line])</f>
        <v>輕便式電磁爐</v>
      </c>
      <c r="I2263" s="86" t="str">
        <f>_xlfn.XLOOKUP(表格1[[#This Row],[Model]],表格3[Model-Input-Ref2],表格3[大小電])</f>
        <v>細電</v>
      </c>
      <c r="J2263" s="86" t="str">
        <f>_xlfn.XLOOKUP(表格1[[#This Row],[Model]],表格3[Model-Input-Ref2],表格3[Code])</f>
        <v>SDA</v>
      </c>
      <c r="K2263" s="89" t="s">
        <v>1243</v>
      </c>
      <c r="L2263" s="86">
        <v>1</v>
      </c>
      <c r="M2263" s="87">
        <v>298</v>
      </c>
      <c r="N2263" s="85">
        <f>IFERROR(表格1[[#This Row],[QTY]]*表格1[[#This Row],[Unit Price]],"-")</f>
        <v>298</v>
      </c>
      <c r="O2263" s="86">
        <v>140934</v>
      </c>
      <c r="R2263" s="86" t="str">
        <f>_xlfn.CONCAT(表格1[[#This Row],[Model]]," ",表格1[[#This Row],[inv no]])</f>
        <v>IC-20R1THK 140934</v>
      </c>
      <c r="S2263" s="86">
        <f>_xlfn.XLOOKUP(表格1[[#This Row],[Model]],表格3[Model-Input-Ref2],表格3[SRP PRICE])</f>
        <v>438</v>
      </c>
      <c r="T2263" s="43">
        <f>表格1[[#This Row],[Unit Price]]/表格1[[#This Row],[SRP]]</f>
        <v>0.68036529680365299</v>
      </c>
      <c r="U2263" s="86" t="str">
        <f>_xlfn.XLOOKUP(表格1[[#This Row],[Model]],表格3[Model-Input-Ref2],表格3[TOSHIBA/HIGHEST])</f>
        <v>Shops Highest Price</v>
      </c>
      <c r="W2263" s="86" t="str">
        <f>_xlfn.CONCAT(表格1[[#This Row],[欄4]],表格1[[#This Row],[inv no]])</f>
        <v>140934</v>
      </c>
    </row>
    <row r="2264" spans="1:23" hidden="1">
      <c r="A2264" s="81">
        <v>2262</v>
      </c>
      <c r="B2264" s="86" t="s">
        <v>1260</v>
      </c>
      <c r="C2264" s="86" t="s">
        <v>1777</v>
      </c>
      <c r="D2264" s="82" t="str">
        <f ca="1">OFFSET(Roster!$A$3,MATCH(表格1[[#This Row],[Location]]&amp;" "&amp;表格1[[#This Row],[Shop]]&amp;"*",Roster!$A$4:$A$72,0),DAY(表格1[[#This Row],[date]]),1,1)</f>
        <v>Pam off</v>
      </c>
      <c r="E2264" s="86">
        <f>MONTH(表格1[[#This Row],[date]])</f>
        <v>3</v>
      </c>
      <c r="F2264" s="90">
        <v>46108</v>
      </c>
      <c r="G2264" s="86" t="str">
        <f>VLOOKUP("*"&amp;表格1[[#This Row],[Input]]&amp;"*",'Ref-List'!$B:$D,2,)</f>
        <v>F-LYA20(W)HKG</v>
      </c>
      <c r="H2264" s="86" t="str">
        <f>_xlfn.XLOOKUP(表格1[[#This Row],[Model]],表格3[Model-Input-Ref2],表格3[Product Line])</f>
        <v>12吋2合1座地座檯電風扇連遙控</v>
      </c>
      <c r="I2264" s="86" t="str">
        <f>_xlfn.XLOOKUP(表格1[[#This Row],[Model]],表格3[Model-Input-Ref2],表格3[大小電])</f>
        <v>細電</v>
      </c>
      <c r="J2264" s="86" t="str">
        <f>_xlfn.XLOOKUP(表格1[[#This Row],[Model]],表格3[Model-Input-Ref2],表格3[Code])</f>
        <v>EAD</v>
      </c>
      <c r="K2264" s="89" t="s">
        <v>1391</v>
      </c>
      <c r="L2264" s="86">
        <v>1</v>
      </c>
      <c r="M2264" s="87">
        <v>399</v>
      </c>
      <c r="N2264" s="85">
        <f>IFERROR(表格1[[#This Row],[QTY]]*表格1[[#This Row],[Unit Price]],"-")</f>
        <v>399</v>
      </c>
      <c r="O2264" s="86">
        <v>140663</v>
      </c>
      <c r="R2264" s="86" t="str">
        <f>_xlfn.CONCAT(表格1[[#This Row],[Model]]," ",表格1[[#This Row],[inv no]])</f>
        <v>F-LYA20(W)HKG 140663</v>
      </c>
      <c r="S2264" s="86">
        <f>_xlfn.XLOOKUP(表格1[[#This Row],[Model]],表格3[Model-Input-Ref2],表格3[SRP PRICE])</f>
        <v>988</v>
      </c>
      <c r="T2264" s="43">
        <f>表格1[[#This Row],[Unit Price]]/表格1[[#This Row],[SRP]]</f>
        <v>0.40384615384615385</v>
      </c>
      <c r="U2264" s="86" t="str">
        <f>_xlfn.XLOOKUP(表格1[[#This Row],[Model]],表格3[Model-Input-Ref2],表格3[TOSHIBA/HIGHEST])</f>
        <v>Toshiba SRP</v>
      </c>
      <c r="W2264" s="86" t="str">
        <f>_xlfn.CONCAT(表格1[[#This Row],[欄4]],表格1[[#This Row],[inv no]])</f>
        <v>140663</v>
      </c>
    </row>
    <row r="2265" spans="1:23" hidden="1">
      <c r="A2265" s="81">
        <v>2263</v>
      </c>
      <c r="B2265" s="86" t="s">
        <v>1260</v>
      </c>
      <c r="C2265" s="86" t="s">
        <v>1777</v>
      </c>
      <c r="D2265" s="82" t="str">
        <f ca="1">OFFSET(Roster!$A$3,MATCH(表格1[[#This Row],[Location]]&amp;" "&amp;表格1[[#This Row],[Shop]]&amp;"*",Roster!$A$4:$A$72,0),DAY(表格1[[#This Row],[date]]),1,1)</f>
        <v>Pam off</v>
      </c>
      <c r="E2265" s="86">
        <f>MONTH(表格1[[#This Row],[date]])</f>
        <v>3</v>
      </c>
      <c r="F2265" s="90">
        <v>46108</v>
      </c>
      <c r="G2265" s="86" t="str">
        <f>VLOOKUP("*"&amp;表格1[[#This Row],[Input]]&amp;"*",'Ref-List'!$B:$D,2,)</f>
        <v>RC-DR18T(W)</v>
      </c>
      <c r="H2265" s="86" t="str">
        <f>_xlfn.XLOOKUP(表格1[[#This Row],[Model]],表格3[Model-Input-Ref2],表格3[Product Line])</f>
        <v>IH磁應電飯煲
鑽石銅鍋</v>
      </c>
      <c r="I2265" s="86" t="str">
        <f>_xlfn.XLOOKUP(表格1[[#This Row],[Model]],表格3[Model-Input-Ref2],表格3[大小電])</f>
        <v>細電</v>
      </c>
      <c r="J2265" s="86" t="str">
        <f>_xlfn.XLOOKUP(表格1[[#This Row],[Model]],表格3[Model-Input-Ref2],表格3[Code])</f>
        <v>SDA</v>
      </c>
      <c r="K2265" s="89" t="s">
        <v>1378</v>
      </c>
      <c r="L2265" s="86">
        <v>1</v>
      </c>
      <c r="M2265" s="87">
        <v>2690</v>
      </c>
      <c r="N2265" s="85">
        <f>IFERROR(表格1[[#This Row],[QTY]]*表格1[[#This Row],[Unit Price]],"-")</f>
        <v>2690</v>
      </c>
      <c r="O2265" s="142" t="s">
        <v>1829</v>
      </c>
      <c r="R2265" s="86" t="str">
        <f>_xlfn.CONCAT(表格1[[#This Row],[Model]]," ",表格1[[#This Row],[inv no]])</f>
        <v>RC-DR18T(W) 059966</v>
      </c>
      <c r="S2265" s="86">
        <f>_xlfn.XLOOKUP(表格1[[#This Row],[Model]],表格3[Model-Input-Ref2],表格3[SRP PRICE])</f>
        <v>3588</v>
      </c>
      <c r="T2265" s="43">
        <f>表格1[[#This Row],[Unit Price]]/表格1[[#This Row],[SRP]]</f>
        <v>0.74972129319955405</v>
      </c>
      <c r="U2265" s="86" t="str">
        <f>_xlfn.XLOOKUP(表格1[[#This Row],[Model]],表格3[Model-Input-Ref2],表格3[TOSHIBA/HIGHEST])</f>
        <v>Toshiba SRP</v>
      </c>
      <c r="W2265" s="86" t="str">
        <f>_xlfn.CONCAT(表格1[[#This Row],[欄4]],表格1[[#This Row],[inv no]])</f>
        <v>059966</v>
      </c>
    </row>
    <row r="2266" spans="1:23" hidden="1">
      <c r="A2266" s="81">
        <v>2264</v>
      </c>
      <c r="B2266" s="86" t="s">
        <v>1260</v>
      </c>
      <c r="C2266" s="86" t="s">
        <v>1777</v>
      </c>
      <c r="D2266" s="82" t="str">
        <f ca="1">OFFSET(Roster!$A$3,MATCH(表格1[[#This Row],[Location]]&amp;" "&amp;表格1[[#This Row],[Shop]]&amp;"*",Roster!$A$4:$A$72,0),DAY(表格1[[#This Row],[date]]),1,1)</f>
        <v>Pam off</v>
      </c>
      <c r="E2266" s="86">
        <f>MONTH(表格1[[#This Row],[date]])</f>
        <v>3</v>
      </c>
      <c r="F2266" s="90">
        <v>46108</v>
      </c>
      <c r="G2266" s="86" t="str">
        <f>VLOOKUP("*"&amp;表格1[[#This Row],[Input]]&amp;"*",'Ref-List'!$B:$D,2,)</f>
        <v>RC-10NMFIH(WT)</v>
      </c>
      <c r="H2266" s="86" t="str">
        <f>_xlfn.XLOOKUP(表格1[[#This Row],[Model]],表格3[Model-Input-Ref2],表格3[Product Line])</f>
        <v>4毫米厚釜電飯煲1L</v>
      </c>
      <c r="I2266" s="86" t="str">
        <f>_xlfn.XLOOKUP(表格1[[#This Row],[Model]],表格3[Model-Input-Ref2],表格3[大小電])</f>
        <v>細電</v>
      </c>
      <c r="J2266" s="86" t="str">
        <f>_xlfn.XLOOKUP(表格1[[#This Row],[Model]],表格3[Model-Input-Ref2],表格3[Code])</f>
        <v>SDA</v>
      </c>
      <c r="K2266" s="89" t="s">
        <v>1244</v>
      </c>
      <c r="L2266" s="86">
        <v>1</v>
      </c>
      <c r="M2266" s="87">
        <v>719</v>
      </c>
      <c r="N2266" s="85">
        <f>IFERROR(表格1[[#This Row],[QTY]]*表格1[[#This Row],[Unit Price]],"-")</f>
        <v>719</v>
      </c>
      <c r="O2266" s="142" t="s">
        <v>1830</v>
      </c>
      <c r="R2266" s="86" t="str">
        <f>_xlfn.CONCAT(表格1[[#This Row],[Model]]," ",表格1[[#This Row],[inv no]])</f>
        <v>RC-10NMFIH(WT) 059901</v>
      </c>
      <c r="S2266" s="86">
        <f>_xlfn.XLOOKUP(表格1[[#This Row],[Model]],表格3[Model-Input-Ref2],表格3[SRP PRICE])</f>
        <v>898</v>
      </c>
      <c r="T2266" s="43">
        <f>表格1[[#This Row],[Unit Price]]/表格1[[#This Row],[SRP]]</f>
        <v>0.80066815144766146</v>
      </c>
      <c r="U2266" s="86" t="str">
        <f>_xlfn.XLOOKUP(表格1[[#This Row],[Model]],表格3[Model-Input-Ref2],表格3[TOSHIBA/HIGHEST])</f>
        <v>Toshiba SRP</v>
      </c>
      <c r="W2266" s="86" t="str">
        <f>_xlfn.CONCAT(表格1[[#This Row],[欄4]],表格1[[#This Row],[inv no]])</f>
        <v>059901</v>
      </c>
    </row>
    <row r="2267" spans="1:23" hidden="1">
      <c r="A2267" s="81">
        <v>2265</v>
      </c>
      <c r="B2267" s="86" t="s">
        <v>1260</v>
      </c>
      <c r="C2267" s="86" t="s">
        <v>1777</v>
      </c>
      <c r="D2267" s="82" t="str">
        <f ca="1">OFFSET(Roster!$A$3,MATCH(表格1[[#This Row],[Location]]&amp;" "&amp;表格1[[#This Row],[Shop]]&amp;"*",Roster!$A$4:$A$72,0),DAY(表格1[[#This Row],[date]]),1,1)</f>
        <v>Pam off</v>
      </c>
      <c r="E2267" s="86">
        <f>MONTH(表格1[[#This Row],[date]])</f>
        <v>3</v>
      </c>
      <c r="F2267" s="90">
        <v>46108</v>
      </c>
      <c r="G2267" s="86" t="str">
        <f>VLOOKUP("*"&amp;表格1[[#This Row],[Input]]&amp;"*",'Ref-List'!$B:$D,2,)</f>
        <v>F-LYA20(W)HKG</v>
      </c>
      <c r="H2267" s="86" t="str">
        <f>_xlfn.XLOOKUP(表格1[[#This Row],[Model]],表格3[Model-Input-Ref2],表格3[Product Line])</f>
        <v>12吋2合1座地座檯電風扇連遙控</v>
      </c>
      <c r="I2267" s="86" t="str">
        <f>_xlfn.XLOOKUP(表格1[[#This Row],[Model]],表格3[Model-Input-Ref2],表格3[大小電])</f>
        <v>細電</v>
      </c>
      <c r="J2267" s="86" t="str">
        <f>_xlfn.XLOOKUP(表格1[[#This Row],[Model]],表格3[Model-Input-Ref2],表格3[Code])</f>
        <v>EAD</v>
      </c>
      <c r="K2267" s="89" t="s">
        <v>1391</v>
      </c>
      <c r="L2267" s="86">
        <v>1</v>
      </c>
      <c r="M2267" s="87">
        <v>399</v>
      </c>
      <c r="N2267" s="85">
        <f>IFERROR(表格1[[#This Row],[QTY]]*表格1[[#This Row],[Unit Price]],"-")</f>
        <v>399</v>
      </c>
      <c r="O2267" s="142" t="s">
        <v>1832</v>
      </c>
      <c r="R2267" s="86" t="str">
        <f>_xlfn.CONCAT(表格1[[#This Row],[Model]]," ",表格1[[#This Row],[inv no]])</f>
        <v>F-LYA20(W)HKG 059796</v>
      </c>
      <c r="S2267" s="86">
        <f>_xlfn.XLOOKUP(表格1[[#This Row],[Model]],表格3[Model-Input-Ref2],表格3[SRP PRICE])</f>
        <v>988</v>
      </c>
      <c r="T2267" s="43">
        <f>表格1[[#This Row],[Unit Price]]/表格1[[#This Row],[SRP]]</f>
        <v>0.40384615384615385</v>
      </c>
      <c r="U2267" s="86" t="str">
        <f>_xlfn.XLOOKUP(表格1[[#This Row],[Model]],表格3[Model-Input-Ref2],表格3[TOSHIBA/HIGHEST])</f>
        <v>Toshiba SRP</v>
      </c>
      <c r="W2267" s="86" t="str">
        <f>_xlfn.CONCAT(表格1[[#This Row],[欄4]],表格1[[#This Row],[inv no]])</f>
        <v>059796</v>
      </c>
    </row>
    <row r="2268" spans="1:23" hidden="1">
      <c r="A2268" s="81">
        <v>2266</v>
      </c>
      <c r="B2268" s="86" t="s">
        <v>1260</v>
      </c>
      <c r="C2268" s="86" t="s">
        <v>1777</v>
      </c>
      <c r="D2268" s="82" t="str">
        <f ca="1">OFFSET(Roster!$A$3,MATCH(表格1[[#This Row],[Location]]&amp;" "&amp;表格1[[#This Row],[Shop]]&amp;"*",Roster!$A$4:$A$72,0),DAY(表格1[[#This Row],[date]]),1,1)</f>
        <v>Pam</v>
      </c>
      <c r="E2268" s="86">
        <f>MONTH(表格1[[#This Row],[date]])</f>
        <v>3</v>
      </c>
      <c r="F2268" s="90">
        <v>46109</v>
      </c>
      <c r="G2268" s="86" t="str">
        <f>VLOOKUP("*"&amp;表格1[[#This Row],[Input]]&amp;"*",'Ref-List'!$B:$D,2,)</f>
        <v>VC-CLS1BF(R)</v>
      </c>
      <c r="H2268" s="86" t="str">
        <f>_xlfn.XLOOKUP(表格1[[#This Row],[Model]],表格3[Model-Input-Ref2],表格3[Product Line])</f>
        <v>超輕巧2合1無線吸塵機</v>
      </c>
      <c r="I2268" s="86" t="str">
        <f>_xlfn.XLOOKUP(表格1[[#This Row],[Model]],表格3[Model-Input-Ref2],表格3[大小電])</f>
        <v>細電</v>
      </c>
      <c r="J2268" s="86" t="str">
        <f>_xlfn.XLOOKUP(表格1[[#This Row],[Model]],表格3[Model-Input-Ref2],表格3[Code])</f>
        <v>MCA</v>
      </c>
      <c r="K2268" s="89" t="s">
        <v>1265</v>
      </c>
      <c r="L2268" s="86">
        <v>1</v>
      </c>
      <c r="M2268" s="87">
        <v>1480</v>
      </c>
      <c r="N2268" s="85">
        <f>IFERROR(表格1[[#This Row],[QTY]]*表格1[[#This Row],[Unit Price]],"-")</f>
        <v>1480</v>
      </c>
      <c r="O2268" s="86">
        <v>297218</v>
      </c>
      <c r="R2268" s="86" t="str">
        <f>_xlfn.CONCAT(表格1[[#This Row],[Model]]," ",表格1[[#This Row],[inv no]])</f>
        <v>VC-CLS1BF(R) 297218</v>
      </c>
      <c r="S2268" s="86">
        <f>_xlfn.XLOOKUP(表格1[[#This Row],[Model]],表格3[Model-Input-Ref2],表格3[SRP PRICE])</f>
        <v>1888</v>
      </c>
      <c r="T2268" s="43">
        <f>表格1[[#This Row],[Unit Price]]/表格1[[#This Row],[SRP]]</f>
        <v>0.78389830508474578</v>
      </c>
      <c r="U2268" s="86" t="str">
        <f>_xlfn.XLOOKUP(表格1[[#This Row],[Model]],表格3[Model-Input-Ref2],表格3[TOSHIBA/HIGHEST])</f>
        <v>Toshiba SRP</v>
      </c>
      <c r="W2268" s="86" t="str">
        <f>_xlfn.CONCAT(表格1[[#This Row],[欄4]],表格1[[#This Row],[inv no]])</f>
        <v>297218</v>
      </c>
    </row>
    <row r="2269" spans="1:23" hidden="1">
      <c r="A2269" s="81">
        <v>2267</v>
      </c>
      <c r="B2269" s="86" t="s">
        <v>1260</v>
      </c>
      <c r="C2269" s="86" t="s">
        <v>1777</v>
      </c>
      <c r="D2269" s="82" t="str">
        <f ca="1">OFFSET(Roster!$A$3,MATCH(表格1[[#This Row],[Location]]&amp;" "&amp;表格1[[#This Row],[Shop]]&amp;"*",Roster!$A$4:$A$72,0),DAY(表格1[[#This Row],[date]]),1,1)</f>
        <v>Pam</v>
      </c>
      <c r="E2269" s="86">
        <f>MONTH(表格1[[#This Row],[date]])</f>
        <v>3</v>
      </c>
      <c r="F2269" s="90">
        <v>46109</v>
      </c>
      <c r="G2269" s="86" t="str">
        <f>VLOOKUP("*"&amp;表格1[[#This Row],[Input]]&amp;"*",'Ref-List'!$B:$D,2,)</f>
        <v>GR-RB449WE-PMA(57)</v>
      </c>
      <c r="H2269" s="86" t="str">
        <f>_xlfn.XLOOKUP(表格1[[#This Row],[Model]],表格3[Model-Input-Ref2],表格3[Product Line])</f>
        <v>變頻下置式雙門雪櫃</v>
      </c>
      <c r="I2269" s="86" t="str">
        <f>_xlfn.XLOOKUP(表格1[[#This Row],[Model]],表格3[Model-Input-Ref2],表格3[大小電])</f>
        <v>大電</v>
      </c>
      <c r="J2269" s="86" t="str">
        <f>_xlfn.XLOOKUP(表格1[[#This Row],[Model]],表格3[Model-Input-Ref2],表格3[Code])</f>
        <v>REF</v>
      </c>
      <c r="K2269" s="89" t="s">
        <v>1484</v>
      </c>
      <c r="L2269" s="86">
        <v>1</v>
      </c>
      <c r="M2269" s="87">
        <v>4880</v>
      </c>
      <c r="N2269" s="85">
        <f>IFERROR(表格1[[#This Row],[QTY]]*表格1[[#This Row],[Unit Price]],"-")</f>
        <v>4880</v>
      </c>
      <c r="O2269" s="86">
        <v>297235</v>
      </c>
      <c r="R2269" s="86" t="str">
        <f>_xlfn.CONCAT(表格1[[#This Row],[Model]]," ",表格1[[#This Row],[inv no]])</f>
        <v>GR-RB449WE-PMA(57) 297235</v>
      </c>
      <c r="S2269" s="86">
        <f>_xlfn.XLOOKUP(表格1[[#This Row],[Model]],表格3[Model-Input-Ref2],表格3[SRP PRICE])</f>
        <v>6280</v>
      </c>
      <c r="T2269" s="43">
        <f>表格1[[#This Row],[Unit Price]]/表格1[[#This Row],[SRP]]</f>
        <v>0.77707006369426757</v>
      </c>
      <c r="U2269" s="86" t="str">
        <f>_xlfn.XLOOKUP(表格1[[#This Row],[Model]],表格3[Model-Input-Ref2],表格3[TOSHIBA/HIGHEST])</f>
        <v>Toshiba SRP</v>
      </c>
      <c r="W2269" s="86" t="str">
        <f>_xlfn.CONCAT(表格1[[#This Row],[欄4]],表格1[[#This Row],[inv no]])</f>
        <v>297235</v>
      </c>
    </row>
    <row r="2270" spans="1:23" hidden="1">
      <c r="A2270" s="81">
        <v>2268</v>
      </c>
      <c r="B2270" s="86" t="s">
        <v>1260</v>
      </c>
      <c r="C2270" s="86" t="s">
        <v>1777</v>
      </c>
      <c r="D2270" s="82" t="str">
        <f ca="1">OFFSET(Roster!$A$3,MATCH(表格1[[#This Row],[Location]]&amp;" "&amp;表格1[[#This Row],[Shop]]&amp;"*",Roster!$A$4:$A$72,0),DAY(表格1[[#This Row],[date]]),1,1)</f>
        <v>Pam</v>
      </c>
      <c r="E2270" s="86">
        <f>MONTH(表格1[[#This Row],[date]])</f>
        <v>3</v>
      </c>
      <c r="F2270" s="90">
        <v>46109</v>
      </c>
      <c r="G2270" s="86" t="str">
        <f>VLOOKUP("*"&amp;表格1[[#This Row],[Input]]&amp;"*",'Ref-List'!$B:$D,2,)</f>
        <v>F-LYA20(W)HKG</v>
      </c>
      <c r="H2270" s="86" t="str">
        <f>_xlfn.XLOOKUP(表格1[[#This Row],[Model]],表格3[Model-Input-Ref2],表格3[Product Line])</f>
        <v>12吋2合1座地座檯電風扇連遙控</v>
      </c>
      <c r="I2270" s="86" t="str">
        <f>_xlfn.XLOOKUP(表格1[[#This Row],[Model]],表格3[Model-Input-Ref2],表格3[大小電])</f>
        <v>細電</v>
      </c>
      <c r="J2270" s="86" t="str">
        <f>_xlfn.XLOOKUP(表格1[[#This Row],[Model]],表格3[Model-Input-Ref2],表格3[Code])</f>
        <v>EAD</v>
      </c>
      <c r="K2270" s="89" t="s">
        <v>1391</v>
      </c>
      <c r="L2270" s="86">
        <v>1</v>
      </c>
      <c r="M2270" s="87">
        <v>399</v>
      </c>
      <c r="N2270" s="85">
        <f>IFERROR(表格1[[#This Row],[QTY]]*表格1[[#This Row],[Unit Price]],"-")</f>
        <v>399</v>
      </c>
      <c r="O2270" s="86">
        <v>297342</v>
      </c>
      <c r="R2270" s="86" t="str">
        <f>_xlfn.CONCAT(表格1[[#This Row],[Model]]," ",表格1[[#This Row],[inv no]])</f>
        <v>F-LYA20(W)HKG 297342</v>
      </c>
      <c r="S2270" s="86">
        <f>_xlfn.XLOOKUP(表格1[[#This Row],[Model]],表格3[Model-Input-Ref2],表格3[SRP PRICE])</f>
        <v>988</v>
      </c>
      <c r="T2270" s="43">
        <f>表格1[[#This Row],[Unit Price]]/表格1[[#This Row],[SRP]]</f>
        <v>0.40384615384615385</v>
      </c>
      <c r="U2270" s="86" t="str">
        <f>_xlfn.XLOOKUP(表格1[[#This Row],[Model]],表格3[Model-Input-Ref2],表格3[TOSHIBA/HIGHEST])</f>
        <v>Toshiba SRP</v>
      </c>
      <c r="W2270" s="86" t="str">
        <f>_xlfn.CONCAT(表格1[[#This Row],[欄4]],表格1[[#This Row],[inv no]])</f>
        <v>297342</v>
      </c>
    </row>
    <row r="2271" spans="1:23" hidden="1">
      <c r="A2271" s="81">
        <v>2269</v>
      </c>
      <c r="B2271" s="86" t="s">
        <v>1260</v>
      </c>
      <c r="C2271" s="86" t="s">
        <v>1777</v>
      </c>
      <c r="D2271" s="82" t="str">
        <f ca="1">OFFSET(Roster!$A$3,MATCH(表格1[[#This Row],[Location]]&amp;" "&amp;表格1[[#This Row],[Shop]]&amp;"*",Roster!$A$4:$A$72,0),DAY(表格1[[#This Row],[date]]),1,1)</f>
        <v>Pam</v>
      </c>
      <c r="E2271" s="86">
        <f>MONTH(表格1[[#This Row],[date]])</f>
        <v>3</v>
      </c>
      <c r="F2271" s="90">
        <v>46109</v>
      </c>
      <c r="G2271" s="86" t="str">
        <f>VLOOKUP("*"&amp;表格1[[#This Row],[Input]]&amp;"*",'Ref-List'!$B:$D,2,)</f>
        <v>RC-10ISSHK(W)</v>
      </c>
      <c r="H2271" s="86" t="str">
        <f>_xlfn.XLOOKUP(表格1[[#This Row],[Model]],表格3[Model-Input-Ref2],表格3[Product Line])</f>
        <v>磁應電飯煲(1公升)</v>
      </c>
      <c r="I2271" s="86" t="str">
        <f>_xlfn.XLOOKUP(表格1[[#This Row],[Model]],表格3[Model-Input-Ref2],表格3[大小電])</f>
        <v>細電</v>
      </c>
      <c r="J2271" s="86" t="str">
        <f>_xlfn.XLOOKUP(表格1[[#This Row],[Model]],表格3[Model-Input-Ref2],表格3[Code])</f>
        <v>SDA</v>
      </c>
      <c r="K2271" s="89" t="s">
        <v>1286</v>
      </c>
      <c r="L2271" s="86">
        <v>1</v>
      </c>
      <c r="M2271" s="87">
        <v>898</v>
      </c>
      <c r="N2271" s="85">
        <f>IFERROR(表格1[[#This Row],[QTY]]*表格1[[#This Row],[Unit Price]],"-")</f>
        <v>898</v>
      </c>
      <c r="O2271" s="142" t="s">
        <v>1833</v>
      </c>
      <c r="R2271" s="86" t="str">
        <f>_xlfn.CONCAT(表格1[[#This Row],[Model]]," ",表格1[[#This Row],[inv no]])</f>
        <v>RC-10ISSHK(W) 060315</v>
      </c>
      <c r="S2271" s="86">
        <f>_xlfn.XLOOKUP(表格1[[#This Row],[Model]],表格3[Model-Input-Ref2],表格3[SRP PRICE])</f>
        <v>1188</v>
      </c>
      <c r="T2271" s="43">
        <f>表格1[[#This Row],[Unit Price]]/表格1[[#This Row],[SRP]]</f>
        <v>0.75589225589225584</v>
      </c>
      <c r="U2271" s="86" t="str">
        <f>_xlfn.XLOOKUP(表格1[[#This Row],[Model]],表格3[Model-Input-Ref2],表格3[TOSHIBA/HIGHEST])</f>
        <v>Shops Highest Price</v>
      </c>
      <c r="W2271" s="86" t="str">
        <f>_xlfn.CONCAT(表格1[[#This Row],[欄4]],表格1[[#This Row],[inv no]])</f>
        <v>060315</v>
      </c>
    </row>
    <row r="2272" spans="1:23" hidden="1">
      <c r="A2272" s="81">
        <v>2270</v>
      </c>
      <c r="B2272" s="86" t="s">
        <v>1260</v>
      </c>
      <c r="C2272" s="86" t="s">
        <v>1777</v>
      </c>
      <c r="D2272" s="82" t="str">
        <f ca="1">OFFSET(Roster!$A$3,MATCH(表格1[[#This Row],[Location]]&amp;" "&amp;表格1[[#This Row],[Shop]]&amp;"*",Roster!$A$4:$A$72,0),DAY(表格1[[#This Row],[date]]),1,1)</f>
        <v>Pam</v>
      </c>
      <c r="E2272" s="86">
        <f>MONTH(表格1[[#This Row],[date]])</f>
        <v>3</v>
      </c>
      <c r="F2272" s="90">
        <v>46109</v>
      </c>
      <c r="G2272" s="86" t="str">
        <f>VLOOKUP("*"&amp;表格1[[#This Row],[Input]]&amp;"*",'Ref-List'!$B:$D,2,)</f>
        <v>F-LYA20(W)HKG</v>
      </c>
      <c r="H2272" s="86" t="str">
        <f>_xlfn.XLOOKUP(表格1[[#This Row],[Model]],表格3[Model-Input-Ref2],表格3[Product Line])</f>
        <v>12吋2合1座地座檯電風扇連遙控</v>
      </c>
      <c r="I2272" s="86" t="str">
        <f>_xlfn.XLOOKUP(表格1[[#This Row],[Model]],表格3[Model-Input-Ref2],表格3[大小電])</f>
        <v>細電</v>
      </c>
      <c r="J2272" s="86" t="str">
        <f>_xlfn.XLOOKUP(表格1[[#This Row],[Model]],表格3[Model-Input-Ref2],表格3[Code])</f>
        <v>EAD</v>
      </c>
      <c r="K2272" s="89" t="s">
        <v>1391</v>
      </c>
      <c r="L2272" s="86">
        <v>1</v>
      </c>
      <c r="M2272" s="87">
        <v>399</v>
      </c>
      <c r="N2272" s="85">
        <f>IFERROR(表格1[[#This Row],[QTY]]*表格1[[#This Row],[Unit Price]],"-")</f>
        <v>399</v>
      </c>
      <c r="O2272" s="142" t="s">
        <v>1834</v>
      </c>
      <c r="R2272" s="86" t="str">
        <f>_xlfn.CONCAT(表格1[[#This Row],[Model]]," ",表格1[[#This Row],[inv no]])</f>
        <v>F-LYA20(W)HKG 040508</v>
      </c>
      <c r="S2272" s="86">
        <f>_xlfn.XLOOKUP(表格1[[#This Row],[Model]],表格3[Model-Input-Ref2],表格3[SRP PRICE])</f>
        <v>988</v>
      </c>
      <c r="T2272" s="43">
        <f>表格1[[#This Row],[Unit Price]]/表格1[[#This Row],[SRP]]</f>
        <v>0.40384615384615385</v>
      </c>
      <c r="U2272" s="86" t="str">
        <f>_xlfn.XLOOKUP(表格1[[#This Row],[Model]],表格3[Model-Input-Ref2],表格3[TOSHIBA/HIGHEST])</f>
        <v>Toshiba SRP</v>
      </c>
      <c r="W2272" s="86" t="str">
        <f>_xlfn.CONCAT(表格1[[#This Row],[欄4]],表格1[[#This Row],[inv no]])</f>
        <v>040508</v>
      </c>
    </row>
    <row r="2273" spans="1:23" hidden="1">
      <c r="A2273" s="81">
        <v>2271</v>
      </c>
      <c r="B2273" s="86" t="s">
        <v>1260</v>
      </c>
      <c r="C2273" s="86" t="s">
        <v>1777</v>
      </c>
      <c r="D2273" s="82" t="str">
        <f ca="1">OFFSET(Roster!$A$3,MATCH(表格1[[#This Row],[Location]]&amp;" "&amp;表格1[[#This Row],[Shop]]&amp;"*",Roster!$A$4:$A$72,0),DAY(表格1[[#This Row],[date]]),1,1)</f>
        <v>Pam</v>
      </c>
      <c r="E2273" s="86">
        <f>MONTH(表格1[[#This Row],[date]])</f>
        <v>3</v>
      </c>
      <c r="F2273" s="90">
        <v>46109</v>
      </c>
      <c r="G2273" s="86" t="str">
        <f>VLOOKUP("*"&amp;表格1[[#This Row],[Input]]&amp;"*",'Ref-List'!$B:$D,2,)</f>
        <v>F-LYA20(W)HKG</v>
      </c>
      <c r="H2273" s="86" t="str">
        <f>_xlfn.XLOOKUP(表格1[[#This Row],[Model]],表格3[Model-Input-Ref2],表格3[Product Line])</f>
        <v>12吋2合1座地座檯電風扇連遙控</v>
      </c>
      <c r="I2273" s="86" t="str">
        <f>_xlfn.XLOOKUP(表格1[[#This Row],[Model]],表格3[Model-Input-Ref2],表格3[大小電])</f>
        <v>細電</v>
      </c>
      <c r="J2273" s="86" t="str">
        <f>_xlfn.XLOOKUP(表格1[[#This Row],[Model]],表格3[Model-Input-Ref2],表格3[Code])</f>
        <v>EAD</v>
      </c>
      <c r="K2273" s="89" t="s">
        <v>1391</v>
      </c>
      <c r="L2273" s="86">
        <v>1</v>
      </c>
      <c r="M2273" s="87">
        <v>399</v>
      </c>
      <c r="N2273" s="85">
        <f>IFERROR(表格1[[#This Row],[QTY]]*表格1[[#This Row],[Unit Price]],"-")</f>
        <v>399</v>
      </c>
      <c r="O2273" s="142" t="s">
        <v>1835</v>
      </c>
      <c r="R2273" s="86" t="str">
        <f>_xlfn.CONCAT(表格1[[#This Row],[Model]]," ",表格1[[#This Row],[inv no]])</f>
        <v>F-LYA20(W)HKG 060452</v>
      </c>
      <c r="S2273" s="86">
        <f>_xlfn.XLOOKUP(表格1[[#This Row],[Model]],表格3[Model-Input-Ref2],表格3[SRP PRICE])</f>
        <v>988</v>
      </c>
      <c r="T2273" s="43">
        <f>表格1[[#This Row],[Unit Price]]/表格1[[#This Row],[SRP]]</f>
        <v>0.40384615384615385</v>
      </c>
      <c r="U2273" s="86" t="str">
        <f>_xlfn.XLOOKUP(表格1[[#This Row],[Model]],表格3[Model-Input-Ref2],表格3[TOSHIBA/HIGHEST])</f>
        <v>Toshiba SRP</v>
      </c>
      <c r="W2273" s="86" t="str">
        <f>_xlfn.CONCAT(表格1[[#This Row],[欄4]],表格1[[#This Row],[inv no]])</f>
        <v>060452</v>
      </c>
    </row>
    <row r="2274" spans="1:23" hidden="1">
      <c r="A2274" s="81">
        <v>2272</v>
      </c>
      <c r="B2274" s="86" t="s">
        <v>1260</v>
      </c>
      <c r="C2274" s="86" t="s">
        <v>1777</v>
      </c>
      <c r="D2274" s="82" t="str">
        <f ca="1">OFFSET(Roster!$A$3,MATCH(表格1[[#This Row],[Location]]&amp;" "&amp;表格1[[#This Row],[Shop]]&amp;"*",Roster!$A$4:$A$72,0),DAY(表格1[[#This Row],[date]]),1,1)</f>
        <v>Pam</v>
      </c>
      <c r="E2274" s="86">
        <f>MONTH(表格1[[#This Row],[date]])</f>
        <v>3</v>
      </c>
      <c r="F2274" s="90">
        <v>46109</v>
      </c>
      <c r="G2274" s="86" t="str">
        <f>VLOOKUP("*"&amp;表格1[[#This Row],[Input]]&amp;"*",'Ref-List'!$B:$D,2,)</f>
        <v>RAD-D200H</v>
      </c>
      <c r="H2274" s="86" t="str">
        <f>_xlfn.XLOOKUP(表格1[[#This Row],[Model]],表格3[Model-Input-Ref2],表格3[Product Line])</f>
        <v>壓縮式抽濕機 (22公升)</v>
      </c>
      <c r="I2274" s="86" t="str">
        <f>_xlfn.XLOOKUP(表格1[[#This Row],[Model]],表格3[Model-Input-Ref2],表格3[大小電])</f>
        <v>細電</v>
      </c>
      <c r="J2274" s="86" t="str">
        <f>_xlfn.XLOOKUP(表格1[[#This Row],[Model]],表格3[Model-Input-Ref2],表格3[Code])</f>
        <v>RAC</v>
      </c>
      <c r="K2274" s="89" t="s">
        <v>1250</v>
      </c>
      <c r="L2274" s="86">
        <v>1</v>
      </c>
      <c r="M2274" s="87">
        <v>1880</v>
      </c>
      <c r="N2274" s="85">
        <f>IFERROR(表格1[[#This Row],[QTY]]*表格1[[#This Row],[Unit Price]],"-")</f>
        <v>1880</v>
      </c>
      <c r="O2274" s="142" t="s">
        <v>1836</v>
      </c>
      <c r="R2274" s="86" t="str">
        <f>_xlfn.CONCAT(表格1[[#This Row],[Model]]," ",表格1[[#This Row],[inv no]])</f>
        <v>RAD-D200H 060457</v>
      </c>
      <c r="S2274" s="86">
        <f>_xlfn.XLOOKUP(表格1[[#This Row],[Model]],表格3[Model-Input-Ref2],表格3[SRP PRICE])</f>
        <v>2880</v>
      </c>
      <c r="T2274" s="43">
        <f>表格1[[#This Row],[Unit Price]]/表格1[[#This Row],[SRP]]</f>
        <v>0.65277777777777779</v>
      </c>
      <c r="U2274" s="86" t="str">
        <f>_xlfn.XLOOKUP(表格1[[#This Row],[Model]],表格3[Model-Input-Ref2],表格3[TOSHIBA/HIGHEST])</f>
        <v>Shops Highest Price</v>
      </c>
      <c r="W2274" s="86" t="str">
        <f>_xlfn.CONCAT(表格1[[#This Row],[欄4]],表格1[[#This Row],[inv no]])</f>
        <v>060457</v>
      </c>
    </row>
    <row r="2275" spans="1:23" hidden="1">
      <c r="A2275" s="81">
        <v>2273</v>
      </c>
      <c r="B2275" s="86" t="s">
        <v>1260</v>
      </c>
      <c r="C2275" s="86" t="s">
        <v>1777</v>
      </c>
      <c r="D2275" s="82" t="str">
        <f ca="1">OFFSET(Roster!$A$3,MATCH(表格1[[#This Row],[Location]]&amp;" "&amp;表格1[[#This Row],[Shop]]&amp;"*",Roster!$A$4:$A$72,0),DAY(表格1[[#This Row],[date]]),1,1)</f>
        <v>Pam</v>
      </c>
      <c r="E2275" s="86">
        <f>MONTH(表格1[[#This Row],[date]])</f>
        <v>3</v>
      </c>
      <c r="F2275" s="90">
        <v>46110</v>
      </c>
      <c r="G2275" s="86" t="str">
        <f>VLOOKUP("*"&amp;表格1[[#This Row],[Input]]&amp;"*",'Ref-List'!$B:$D,2,)</f>
        <v>F-LYA20(W)HKG</v>
      </c>
      <c r="H2275" s="86" t="str">
        <f>_xlfn.XLOOKUP(表格1[[#This Row],[Model]],表格3[Model-Input-Ref2],表格3[Product Line])</f>
        <v>12吋2合1座地座檯電風扇連遙控</v>
      </c>
      <c r="I2275" s="86" t="str">
        <f>_xlfn.XLOOKUP(表格1[[#This Row],[Model]],表格3[Model-Input-Ref2],表格3[大小電])</f>
        <v>細電</v>
      </c>
      <c r="J2275" s="86" t="str">
        <f>_xlfn.XLOOKUP(表格1[[#This Row],[Model]],表格3[Model-Input-Ref2],表格3[Code])</f>
        <v>EAD</v>
      </c>
      <c r="K2275" s="89" t="s">
        <v>1391</v>
      </c>
      <c r="L2275" s="86">
        <v>1</v>
      </c>
      <c r="M2275" s="87">
        <v>399</v>
      </c>
      <c r="N2275" s="85">
        <f>IFERROR(表格1[[#This Row],[QTY]]*表格1[[#This Row],[Unit Price]],"-")</f>
        <v>399</v>
      </c>
      <c r="O2275" s="86">
        <v>583777</v>
      </c>
      <c r="R2275" s="86" t="str">
        <f>_xlfn.CONCAT(表格1[[#This Row],[Model]]," ",表格1[[#This Row],[inv no]])</f>
        <v>F-LYA20(W)HKG 583777</v>
      </c>
      <c r="S2275" s="86">
        <f>_xlfn.XLOOKUP(表格1[[#This Row],[Model]],表格3[Model-Input-Ref2],表格3[SRP PRICE])</f>
        <v>988</v>
      </c>
      <c r="T2275" s="43">
        <f>表格1[[#This Row],[Unit Price]]/表格1[[#This Row],[SRP]]</f>
        <v>0.40384615384615385</v>
      </c>
      <c r="U2275" s="86" t="str">
        <f>_xlfn.XLOOKUP(表格1[[#This Row],[Model]],表格3[Model-Input-Ref2],表格3[TOSHIBA/HIGHEST])</f>
        <v>Toshiba SRP</v>
      </c>
      <c r="W2275" s="86" t="str">
        <f>_xlfn.CONCAT(表格1[[#This Row],[欄4]],表格1[[#This Row],[inv no]])</f>
        <v>583777</v>
      </c>
    </row>
    <row r="2276" spans="1:23" hidden="1">
      <c r="A2276" s="81">
        <v>2274</v>
      </c>
      <c r="B2276" s="86" t="s">
        <v>1260</v>
      </c>
      <c r="C2276" s="86" t="s">
        <v>1777</v>
      </c>
      <c r="D2276" s="82" t="str">
        <f ca="1">OFFSET(Roster!$A$3,MATCH(表格1[[#This Row],[Location]]&amp;" "&amp;表格1[[#This Row],[Shop]]&amp;"*",Roster!$A$4:$A$72,0),DAY(表格1[[#This Row],[date]]),1,1)</f>
        <v>Pam</v>
      </c>
      <c r="E2276" s="86">
        <f>MONTH(表格1[[#This Row],[date]])</f>
        <v>3</v>
      </c>
      <c r="F2276" s="90">
        <v>46110</v>
      </c>
      <c r="G2276" s="86" t="str">
        <f>VLOOKUP("*"&amp;表格1[[#This Row],[Input]]&amp;"*",'Ref-List'!$B:$D,2,)</f>
        <v>F-LYA20(W)HKG</v>
      </c>
      <c r="H2276" s="86" t="str">
        <f>_xlfn.XLOOKUP(表格1[[#This Row],[Model]],表格3[Model-Input-Ref2],表格3[Product Line])</f>
        <v>12吋2合1座地座檯電風扇連遙控</v>
      </c>
      <c r="I2276" s="86" t="str">
        <f>_xlfn.XLOOKUP(表格1[[#This Row],[Model]],表格3[Model-Input-Ref2],表格3[大小電])</f>
        <v>細電</v>
      </c>
      <c r="J2276" s="86" t="str">
        <f>_xlfn.XLOOKUP(表格1[[#This Row],[Model]],表格3[Model-Input-Ref2],表格3[Code])</f>
        <v>EAD</v>
      </c>
      <c r="K2276" s="89" t="s">
        <v>1391</v>
      </c>
      <c r="L2276" s="86">
        <v>1</v>
      </c>
      <c r="M2276" s="87">
        <v>399</v>
      </c>
      <c r="N2276" s="85">
        <f>IFERROR(表格1[[#This Row],[QTY]]*表格1[[#This Row],[Unit Price]],"-")</f>
        <v>399</v>
      </c>
      <c r="O2276" s="142" t="s">
        <v>1837</v>
      </c>
      <c r="R2276" s="86" t="str">
        <f>_xlfn.CONCAT(表格1[[#This Row],[Model]]," ",表格1[[#This Row],[inv no]])</f>
        <v>F-LYA20(W)HKG 060684</v>
      </c>
      <c r="S2276" s="86">
        <f>_xlfn.XLOOKUP(表格1[[#This Row],[Model]],表格3[Model-Input-Ref2],表格3[SRP PRICE])</f>
        <v>988</v>
      </c>
      <c r="T2276" s="43">
        <f>表格1[[#This Row],[Unit Price]]/表格1[[#This Row],[SRP]]</f>
        <v>0.40384615384615385</v>
      </c>
      <c r="U2276" s="86" t="str">
        <f>_xlfn.XLOOKUP(表格1[[#This Row],[Model]],表格3[Model-Input-Ref2],表格3[TOSHIBA/HIGHEST])</f>
        <v>Toshiba SRP</v>
      </c>
      <c r="W2276" s="86" t="str">
        <f>_xlfn.CONCAT(表格1[[#This Row],[欄4]],表格1[[#This Row],[inv no]])</f>
        <v>060684</v>
      </c>
    </row>
    <row r="2277" spans="1:23" hidden="1">
      <c r="A2277" s="81">
        <v>2275</v>
      </c>
      <c r="B2277" s="86" t="s">
        <v>1260</v>
      </c>
      <c r="C2277" s="86" t="s">
        <v>1777</v>
      </c>
      <c r="D2277" s="82" t="str">
        <f ca="1">OFFSET(Roster!$A$3,MATCH(表格1[[#This Row],[Location]]&amp;" "&amp;表格1[[#This Row],[Shop]]&amp;"*",Roster!$A$4:$A$72,0),DAY(表格1[[#This Row],[date]]),1,1)</f>
        <v>Pam</v>
      </c>
      <c r="E2277" s="86">
        <f>MONTH(表格1[[#This Row],[date]])</f>
        <v>3</v>
      </c>
      <c r="F2277" s="90">
        <v>46110</v>
      </c>
      <c r="G2277" s="86" t="str">
        <f>VLOOKUP("*"&amp;表格1[[#This Row],[Input]]&amp;"*",'Ref-List'!$B:$D,2,)</f>
        <v>RC-18NMFIH(WT)</v>
      </c>
      <c r="H2277" s="86" t="str">
        <f>_xlfn.XLOOKUP(表格1[[#This Row],[Model]],表格3[Model-Input-Ref2],表格3[Product Line])</f>
        <v>4毫米厚釜電飯煲1.8L</v>
      </c>
      <c r="I2277" s="86" t="str">
        <f>_xlfn.XLOOKUP(表格1[[#This Row],[Model]],表格3[Model-Input-Ref2],表格3[大小電])</f>
        <v>細電</v>
      </c>
      <c r="J2277" s="86" t="str">
        <f>_xlfn.XLOOKUP(表格1[[#This Row],[Model]],表格3[Model-Input-Ref2],表格3[Code])</f>
        <v>SDA</v>
      </c>
      <c r="K2277" s="89" t="s">
        <v>1267</v>
      </c>
      <c r="L2277" s="86">
        <v>1</v>
      </c>
      <c r="M2277" s="87">
        <v>799</v>
      </c>
      <c r="N2277" s="85">
        <f>IFERROR(表格1[[#This Row],[QTY]]*表格1[[#This Row],[Unit Price]],"-")</f>
        <v>799</v>
      </c>
      <c r="O2277" s="86">
        <v>297457</v>
      </c>
      <c r="R2277" s="86" t="str">
        <f>_xlfn.CONCAT(表格1[[#This Row],[Model]]," ",表格1[[#This Row],[inv no]])</f>
        <v>RC-18NMFIH(WT) 297457</v>
      </c>
      <c r="S2277" s="86">
        <f>_xlfn.XLOOKUP(表格1[[#This Row],[Model]],表格3[Model-Input-Ref2],表格3[SRP PRICE])</f>
        <v>998</v>
      </c>
      <c r="T2277" s="43">
        <f>表格1[[#This Row],[Unit Price]]/表格1[[#This Row],[SRP]]</f>
        <v>0.80060120240480959</v>
      </c>
      <c r="U2277" s="86" t="str">
        <f>_xlfn.XLOOKUP(表格1[[#This Row],[Model]],表格3[Model-Input-Ref2],表格3[TOSHIBA/HIGHEST])</f>
        <v>Toshiba SRP</v>
      </c>
      <c r="W2277" s="86" t="str">
        <f>_xlfn.CONCAT(表格1[[#This Row],[欄4]],表格1[[#This Row],[inv no]])</f>
        <v>297457</v>
      </c>
    </row>
    <row r="2278" spans="1:23" hidden="1">
      <c r="A2278" s="81">
        <v>2276</v>
      </c>
      <c r="B2278" s="86" t="s">
        <v>1260</v>
      </c>
      <c r="C2278" s="86" t="s">
        <v>1777</v>
      </c>
      <c r="D2278" s="82" t="str">
        <f ca="1">OFFSET(Roster!$A$3,MATCH(表格1[[#This Row],[Location]]&amp;" "&amp;表格1[[#This Row],[Shop]]&amp;"*",Roster!$A$4:$A$72,0),DAY(表格1[[#This Row],[date]]),1,1)</f>
        <v>Pam</v>
      </c>
      <c r="E2278" s="86">
        <f>MONTH(表格1[[#This Row],[date]])</f>
        <v>3</v>
      </c>
      <c r="F2278" s="90">
        <v>46110</v>
      </c>
      <c r="G2278" s="86" t="str">
        <f>VLOOKUP("*"&amp;表格1[[#This Row],[Input]]&amp;"*",'Ref-List'!$B:$D,2,)</f>
        <v>F-LYA20(W)HKG</v>
      </c>
      <c r="H2278" s="86" t="str">
        <f>_xlfn.XLOOKUP(表格1[[#This Row],[Model]],表格3[Model-Input-Ref2],表格3[Product Line])</f>
        <v>12吋2合1座地座檯電風扇連遙控</v>
      </c>
      <c r="I2278" s="86" t="str">
        <f>_xlfn.XLOOKUP(表格1[[#This Row],[Model]],表格3[Model-Input-Ref2],表格3[大小電])</f>
        <v>細電</v>
      </c>
      <c r="J2278" s="86" t="str">
        <f>_xlfn.XLOOKUP(表格1[[#This Row],[Model]],表格3[Model-Input-Ref2],表格3[Code])</f>
        <v>EAD</v>
      </c>
      <c r="K2278" s="89" t="s">
        <v>1391</v>
      </c>
      <c r="L2278" s="86">
        <v>1</v>
      </c>
      <c r="M2278" s="87">
        <v>399</v>
      </c>
      <c r="N2278" s="85">
        <f>IFERROR(表格1[[#This Row],[QTY]]*表格1[[#This Row],[Unit Price]],"-")</f>
        <v>399</v>
      </c>
      <c r="O2278" s="86">
        <v>297535</v>
      </c>
      <c r="R2278" s="86" t="str">
        <f>_xlfn.CONCAT(表格1[[#This Row],[Model]]," ",表格1[[#This Row],[inv no]])</f>
        <v>F-LYA20(W)HKG 297535</v>
      </c>
      <c r="S2278" s="86">
        <f>_xlfn.XLOOKUP(表格1[[#This Row],[Model]],表格3[Model-Input-Ref2],表格3[SRP PRICE])</f>
        <v>988</v>
      </c>
      <c r="T2278" s="43">
        <f>表格1[[#This Row],[Unit Price]]/表格1[[#This Row],[SRP]]</f>
        <v>0.40384615384615385</v>
      </c>
      <c r="U2278" s="86" t="str">
        <f>_xlfn.XLOOKUP(表格1[[#This Row],[Model]],表格3[Model-Input-Ref2],表格3[TOSHIBA/HIGHEST])</f>
        <v>Toshiba SRP</v>
      </c>
      <c r="W2278" s="86" t="str">
        <f>_xlfn.CONCAT(表格1[[#This Row],[欄4]],表格1[[#This Row],[inv no]])</f>
        <v>297535</v>
      </c>
    </row>
    <row r="2279" spans="1:23" hidden="1">
      <c r="A2279" s="81">
        <v>2277</v>
      </c>
      <c r="B2279" s="86" t="s">
        <v>1260</v>
      </c>
      <c r="C2279" s="86" t="s">
        <v>1777</v>
      </c>
      <c r="D2279" s="82" t="str">
        <f ca="1">OFFSET(Roster!$A$3,MATCH(表格1[[#This Row],[Location]]&amp;" "&amp;表格1[[#This Row],[Shop]]&amp;"*",Roster!$A$4:$A$72,0),DAY(表格1[[#This Row],[date]]),1,1)</f>
        <v>Pam</v>
      </c>
      <c r="E2279" s="86">
        <f>MONTH(表格1[[#This Row],[date]])</f>
        <v>3</v>
      </c>
      <c r="F2279" s="90">
        <v>46110</v>
      </c>
      <c r="G2279" s="86" t="str">
        <f>VLOOKUP("*"&amp;表格1[[#This Row],[Input]]&amp;"*",'Ref-List'!$B:$D,2,)</f>
        <v>VC-CLS1BF(R)</v>
      </c>
      <c r="H2279" s="86" t="str">
        <f>_xlfn.XLOOKUP(表格1[[#This Row],[Model]],表格3[Model-Input-Ref2],表格3[Product Line])</f>
        <v>超輕巧2合1無線吸塵機</v>
      </c>
      <c r="I2279" s="86" t="str">
        <f>_xlfn.XLOOKUP(表格1[[#This Row],[Model]],表格3[Model-Input-Ref2],表格3[大小電])</f>
        <v>細電</v>
      </c>
      <c r="J2279" s="86" t="str">
        <f>_xlfn.XLOOKUP(表格1[[#This Row],[Model]],表格3[Model-Input-Ref2],表格3[Code])</f>
        <v>MCA</v>
      </c>
      <c r="K2279" s="89" t="s">
        <v>1265</v>
      </c>
      <c r="L2279" s="86">
        <v>1</v>
      </c>
      <c r="M2279" s="87">
        <v>1480</v>
      </c>
      <c r="N2279" s="85">
        <f>IFERROR(表格1[[#This Row],[QTY]]*表格1[[#This Row],[Unit Price]],"-")</f>
        <v>1480</v>
      </c>
      <c r="O2279" s="86">
        <v>584140</v>
      </c>
      <c r="R2279" s="86" t="str">
        <f>_xlfn.CONCAT(表格1[[#This Row],[Model]]," ",表格1[[#This Row],[inv no]])</f>
        <v>VC-CLS1BF(R) 584140</v>
      </c>
      <c r="S2279" s="86">
        <f>_xlfn.XLOOKUP(表格1[[#This Row],[Model]],表格3[Model-Input-Ref2],表格3[SRP PRICE])</f>
        <v>1888</v>
      </c>
      <c r="T2279" s="43">
        <f>表格1[[#This Row],[Unit Price]]/表格1[[#This Row],[SRP]]</f>
        <v>0.78389830508474578</v>
      </c>
      <c r="U2279" s="86" t="str">
        <f>_xlfn.XLOOKUP(表格1[[#This Row],[Model]],表格3[Model-Input-Ref2],表格3[TOSHIBA/HIGHEST])</f>
        <v>Toshiba SRP</v>
      </c>
      <c r="W2279" s="86" t="str">
        <f>_xlfn.CONCAT(表格1[[#This Row],[欄4]],表格1[[#This Row],[inv no]])</f>
        <v>584140</v>
      </c>
    </row>
    <row r="2280" spans="1:23" hidden="1">
      <c r="A2280" s="81">
        <v>2278</v>
      </c>
      <c r="B2280" s="86" t="s">
        <v>1260</v>
      </c>
      <c r="C2280" s="86" t="s">
        <v>1777</v>
      </c>
      <c r="D2280" s="82" t="str">
        <f ca="1">OFFSET(Roster!$A$3,MATCH(表格1[[#This Row],[Location]]&amp;" "&amp;表格1[[#This Row],[Shop]]&amp;"*",Roster!$A$4:$A$72,0),DAY(表格1[[#This Row],[date]]),1,1)</f>
        <v>Pam</v>
      </c>
      <c r="E2280" s="86">
        <f>MONTH(表格1[[#This Row],[date]])</f>
        <v>3</v>
      </c>
      <c r="F2280" s="90">
        <v>46110</v>
      </c>
      <c r="G2280" s="86" t="str">
        <f>VLOOKUP("*"&amp;表格1[[#This Row],[Input]]&amp;"*",'Ref-List'!$B:$D,2,)</f>
        <v>F-LYA20(W)HKG</v>
      </c>
      <c r="H2280" s="86" t="str">
        <f>_xlfn.XLOOKUP(表格1[[#This Row],[Model]],表格3[Model-Input-Ref2],表格3[Product Line])</f>
        <v>12吋2合1座地座檯電風扇連遙控</v>
      </c>
      <c r="I2280" s="86" t="str">
        <f>_xlfn.XLOOKUP(表格1[[#This Row],[Model]],表格3[Model-Input-Ref2],表格3[大小電])</f>
        <v>細電</v>
      </c>
      <c r="J2280" s="86" t="str">
        <f>_xlfn.XLOOKUP(表格1[[#This Row],[Model]],表格3[Model-Input-Ref2],表格3[Code])</f>
        <v>EAD</v>
      </c>
      <c r="K2280" s="89" t="s">
        <v>1391</v>
      </c>
      <c r="L2280" s="86">
        <v>1</v>
      </c>
      <c r="M2280" s="87">
        <v>399</v>
      </c>
      <c r="N2280" s="85">
        <f>IFERROR(表格1[[#This Row],[QTY]]*表格1[[#This Row],[Unit Price]],"-")</f>
        <v>399</v>
      </c>
      <c r="O2280" s="86">
        <v>147776</v>
      </c>
      <c r="R2280" s="86" t="str">
        <f>_xlfn.CONCAT(表格1[[#This Row],[Model]]," ",表格1[[#This Row],[inv no]])</f>
        <v>F-LYA20(W)HKG 147776</v>
      </c>
      <c r="S2280" s="86">
        <f>_xlfn.XLOOKUP(表格1[[#This Row],[Model]],表格3[Model-Input-Ref2],表格3[SRP PRICE])</f>
        <v>988</v>
      </c>
      <c r="T2280" s="43">
        <f>表格1[[#This Row],[Unit Price]]/表格1[[#This Row],[SRP]]</f>
        <v>0.40384615384615385</v>
      </c>
      <c r="U2280" s="86" t="str">
        <f>_xlfn.XLOOKUP(表格1[[#This Row],[Model]],表格3[Model-Input-Ref2],表格3[TOSHIBA/HIGHEST])</f>
        <v>Toshiba SRP</v>
      </c>
      <c r="W2280" s="86" t="str">
        <f>_xlfn.CONCAT(表格1[[#This Row],[欄4]],表格1[[#This Row],[inv no]])</f>
        <v>147776</v>
      </c>
    </row>
    <row r="2281" spans="1:23" hidden="1">
      <c r="A2281" s="81">
        <v>2279</v>
      </c>
      <c r="B2281" s="86" t="s">
        <v>1260</v>
      </c>
      <c r="C2281" s="86" t="s">
        <v>1777</v>
      </c>
      <c r="D2281" s="82" t="str">
        <f ca="1">OFFSET(Roster!$A$3,MATCH(表格1[[#This Row],[Location]]&amp;" "&amp;表格1[[#This Row],[Shop]]&amp;"*",Roster!$A$4:$A$72,0),DAY(表格1[[#This Row],[date]]),1,1)</f>
        <v>Pam</v>
      </c>
      <c r="E2281" s="86">
        <f>MONTH(表格1[[#This Row],[date]])</f>
        <v>3</v>
      </c>
      <c r="F2281" s="90">
        <v>46110</v>
      </c>
      <c r="G2281" s="86" t="str">
        <f>VLOOKUP("*"&amp;表格1[[#This Row],[Input]]&amp;"*",'Ref-List'!$B:$D,2,)</f>
        <v>RAD-D200H</v>
      </c>
      <c r="H2281" s="86" t="str">
        <f>_xlfn.XLOOKUP(表格1[[#This Row],[Model]],表格3[Model-Input-Ref2],表格3[Product Line])</f>
        <v>壓縮式抽濕機 (22公升)</v>
      </c>
      <c r="I2281" s="86" t="str">
        <f>_xlfn.XLOOKUP(表格1[[#This Row],[Model]],表格3[Model-Input-Ref2],表格3[大小電])</f>
        <v>細電</v>
      </c>
      <c r="J2281" s="86" t="str">
        <f>_xlfn.XLOOKUP(表格1[[#This Row],[Model]],表格3[Model-Input-Ref2],表格3[Code])</f>
        <v>RAC</v>
      </c>
      <c r="K2281" s="89" t="s">
        <v>1250</v>
      </c>
      <c r="L2281" s="86">
        <v>1</v>
      </c>
      <c r="M2281" s="87">
        <v>1880</v>
      </c>
      <c r="N2281" s="85">
        <f>IFERROR(表格1[[#This Row],[QTY]]*表格1[[#This Row],[Unit Price]],"-")</f>
        <v>1880</v>
      </c>
      <c r="O2281" s="142" t="s">
        <v>1838</v>
      </c>
      <c r="R2281" s="86" t="str">
        <f>_xlfn.CONCAT(表格1[[#This Row],[Model]]," ",表格1[[#This Row],[inv no]])</f>
        <v>RAD-D200H 061055</v>
      </c>
      <c r="S2281" s="86">
        <f>_xlfn.XLOOKUP(表格1[[#This Row],[Model]],表格3[Model-Input-Ref2],表格3[SRP PRICE])</f>
        <v>2880</v>
      </c>
      <c r="T2281" s="43">
        <f>表格1[[#This Row],[Unit Price]]/表格1[[#This Row],[SRP]]</f>
        <v>0.65277777777777779</v>
      </c>
      <c r="U2281" s="86" t="str">
        <f>_xlfn.XLOOKUP(表格1[[#This Row],[Model]],表格3[Model-Input-Ref2],表格3[TOSHIBA/HIGHEST])</f>
        <v>Shops Highest Price</v>
      </c>
      <c r="W2281" s="86" t="str">
        <f>_xlfn.CONCAT(表格1[[#This Row],[欄4]],表格1[[#This Row],[inv no]])</f>
        <v>061055</v>
      </c>
    </row>
    <row r="2282" spans="1:23" hidden="1">
      <c r="A2282" s="81">
        <v>2280</v>
      </c>
      <c r="B2282" s="86" t="s">
        <v>1260</v>
      </c>
      <c r="C2282" s="86" t="s">
        <v>1777</v>
      </c>
      <c r="D2282" s="82" t="str">
        <f ca="1">OFFSET(Roster!$A$3,MATCH(表格1[[#This Row],[Location]]&amp;" "&amp;表格1[[#This Row],[Shop]]&amp;"*",Roster!$A$4:$A$72,0),DAY(表格1[[#This Row],[date]]),1,1)</f>
        <v>Pam</v>
      </c>
      <c r="E2282" s="86">
        <f>MONTH(表格1[[#This Row],[date]])</f>
        <v>3</v>
      </c>
      <c r="F2282" s="90">
        <v>46110</v>
      </c>
      <c r="G2282" s="86" t="str">
        <f>VLOOKUP("*"&amp;表格1[[#This Row],[Input]]&amp;"*",'Ref-List'!$B:$D,2,)</f>
        <v>MX2-TT20SC(WH)</v>
      </c>
      <c r="H2282" s="86" t="str">
        <f>_xlfn.XLOOKUP(表格1[[#This Row],[Model]],表格3[Model-Input-Ref2],表格3[Product Line])</f>
        <v>3合1 微波蒸焗爐 (20公升)</v>
      </c>
      <c r="I2282" s="86" t="str">
        <f>_xlfn.XLOOKUP(表格1[[#This Row],[Model]],表格3[Model-Input-Ref2],表格3[大小電])</f>
        <v>細電</v>
      </c>
      <c r="J2282" s="86" t="str">
        <f>_xlfn.XLOOKUP(表格1[[#This Row],[Model]],表格3[Model-Input-Ref2],表格3[Code])</f>
        <v>MCA</v>
      </c>
      <c r="K2282" s="89" t="s">
        <v>1287</v>
      </c>
      <c r="L2282" s="86">
        <v>1</v>
      </c>
      <c r="M2282" s="87">
        <v>2580</v>
      </c>
      <c r="N2282" s="85">
        <f>IFERROR(表格1[[#This Row],[QTY]]*表格1[[#This Row],[Unit Price]],"-")</f>
        <v>2580</v>
      </c>
      <c r="O2282" s="142" t="s">
        <v>1839</v>
      </c>
      <c r="R2282" s="86" t="str">
        <f>_xlfn.CONCAT(表格1[[#This Row],[Model]]," ",表格1[[#This Row],[inv no]])</f>
        <v>MX2-TT20SC(WH) 061082</v>
      </c>
      <c r="S2282" s="86">
        <f>_xlfn.XLOOKUP(表格1[[#This Row],[Model]],表格3[Model-Input-Ref2],表格3[SRP PRICE])</f>
        <v>3580</v>
      </c>
      <c r="T2282" s="43">
        <f>表格1[[#This Row],[Unit Price]]/表格1[[#This Row],[SRP]]</f>
        <v>0.72067039106145248</v>
      </c>
      <c r="U2282" s="86" t="str">
        <f>_xlfn.XLOOKUP(表格1[[#This Row],[Model]],表格3[Model-Input-Ref2],表格3[TOSHIBA/HIGHEST])</f>
        <v>Toshiba SRP</v>
      </c>
      <c r="W2282" s="86" t="str">
        <f>_xlfn.CONCAT(表格1[[#This Row],[欄4]],表格1[[#This Row],[inv no]])</f>
        <v>061082</v>
      </c>
    </row>
    <row r="2283" spans="1:23" hidden="1">
      <c r="A2283" s="81">
        <v>2281</v>
      </c>
      <c r="B2283" s="86" t="s">
        <v>1260</v>
      </c>
      <c r="C2283" s="86" t="s">
        <v>1777</v>
      </c>
      <c r="D2283" s="82" t="str">
        <f ca="1">OFFSET(Roster!$A$3,MATCH(表格1[[#This Row],[Location]]&amp;" "&amp;表格1[[#This Row],[Shop]]&amp;"*",Roster!$A$4:$A$72,0),DAY(表格1[[#This Row],[date]]),1,1)</f>
        <v>Pam</v>
      </c>
      <c r="E2283" s="86">
        <f>MONTH(表格1[[#This Row],[date]])</f>
        <v>3</v>
      </c>
      <c r="F2283" s="90">
        <v>46111</v>
      </c>
      <c r="G2283" s="86" t="str">
        <f>VLOOKUP("*"&amp;表格1[[#This Row],[Input]]&amp;"*",'Ref-List'!$B:$D,2,)</f>
        <v>TW-T21BU90UWH(WW)</v>
      </c>
      <c r="H2283" s="86" t="str">
        <f>_xlfn.XLOOKUP(表格1[[#This Row],[Model]],表格3[Model-Input-Ref2],表格3[Product Line])</f>
        <v>8公斤超薄身前置式變頻洗衣機</v>
      </c>
      <c r="I2283" s="86" t="str">
        <f>_xlfn.XLOOKUP(表格1[[#This Row],[Model]],表格3[Model-Input-Ref2],表格3[大小電])</f>
        <v>大電</v>
      </c>
      <c r="J2283" s="86" t="str">
        <f>_xlfn.XLOOKUP(表格1[[#This Row],[Model]],表格3[Model-Input-Ref2],表格3[Code])</f>
        <v>LAD</v>
      </c>
      <c r="K2283" s="89" t="s">
        <v>1472</v>
      </c>
      <c r="L2283" s="86">
        <v>1</v>
      </c>
      <c r="M2283" s="87">
        <v>3480</v>
      </c>
      <c r="N2283" s="85">
        <f>IFERROR(表格1[[#This Row],[QTY]]*表格1[[#This Row],[Unit Price]],"-")</f>
        <v>3480</v>
      </c>
      <c r="O2283" s="86">
        <v>141933</v>
      </c>
      <c r="R2283" s="86" t="str">
        <f>_xlfn.CONCAT(表格1[[#This Row],[Model]]," ",表格1[[#This Row],[inv no]])</f>
        <v>TW-T21BU90UWH(WW) 141933</v>
      </c>
      <c r="S2283" s="86">
        <f>_xlfn.XLOOKUP(表格1[[#This Row],[Model]],表格3[Model-Input-Ref2],表格3[SRP PRICE])</f>
        <v>5480</v>
      </c>
      <c r="T2283" s="43">
        <f>表格1[[#This Row],[Unit Price]]/表格1[[#This Row],[SRP]]</f>
        <v>0.63503649635036497</v>
      </c>
      <c r="U2283" s="86" t="str">
        <f>_xlfn.XLOOKUP(表格1[[#This Row],[Model]],表格3[Model-Input-Ref2],表格3[TOSHIBA/HIGHEST])</f>
        <v>Toshiba SRP</v>
      </c>
      <c r="W2283" s="86" t="str">
        <f>_xlfn.CONCAT(表格1[[#This Row],[欄4]],表格1[[#This Row],[inv no]])</f>
        <v>141933</v>
      </c>
    </row>
    <row r="2284" spans="1:23" hidden="1">
      <c r="A2284" s="81">
        <v>2282</v>
      </c>
      <c r="B2284" s="86" t="s">
        <v>1260</v>
      </c>
      <c r="C2284" s="86" t="s">
        <v>1777</v>
      </c>
      <c r="D2284" s="82" t="str">
        <f ca="1">OFFSET(Roster!$A$3,MATCH(表格1[[#This Row],[Location]]&amp;" "&amp;表格1[[#This Row],[Shop]]&amp;"*",Roster!$A$4:$A$72,0),DAY(表格1[[#This Row],[date]]),1,1)</f>
        <v>Pam</v>
      </c>
      <c r="E2284" s="86">
        <f>MONTH(表格1[[#This Row],[date]])</f>
        <v>3</v>
      </c>
      <c r="F2284" s="90">
        <v>46111</v>
      </c>
      <c r="G2284" s="86" t="str">
        <f>VLOOKUP("*"&amp;表格1[[#This Row],[Input]]&amp;"*",'Ref-List'!$B:$D,2,)</f>
        <v>RC-7HMH</v>
      </c>
      <c r="H2284" s="86" t="str">
        <f>_xlfn.XLOOKUP(表格1[[#This Row],[Model]],表格3[Model-Input-Ref2],表格3[Product Line])</f>
        <v>備長炭本厚釜電飯煲0.7L</v>
      </c>
      <c r="I2284" s="86" t="str">
        <f>_xlfn.XLOOKUP(表格1[[#This Row],[Model]],表格3[Model-Input-Ref2],表格3[大小電])</f>
        <v>細電</v>
      </c>
      <c r="J2284" s="86" t="str">
        <f>_xlfn.XLOOKUP(表格1[[#This Row],[Model]],表格3[Model-Input-Ref2],表格3[Code])</f>
        <v>SDA</v>
      </c>
      <c r="K2284" s="89" t="s">
        <v>1284</v>
      </c>
      <c r="L2284" s="86">
        <v>1</v>
      </c>
      <c r="M2284" s="87">
        <v>798</v>
      </c>
      <c r="N2284" s="85">
        <f>IFERROR(表格1[[#This Row],[QTY]]*表格1[[#This Row],[Unit Price]],"-")</f>
        <v>798</v>
      </c>
      <c r="O2284" s="86">
        <v>141950</v>
      </c>
      <c r="R2284" s="86" t="str">
        <f>_xlfn.CONCAT(表格1[[#This Row],[Model]]," ",表格1[[#This Row],[inv no]])</f>
        <v>RC-7HMH 141950</v>
      </c>
      <c r="S2284" s="86">
        <f>_xlfn.XLOOKUP(表格1[[#This Row],[Model]],表格3[Model-Input-Ref2],表格3[SRP PRICE])</f>
        <v>1288</v>
      </c>
      <c r="T2284" s="43">
        <f>表格1[[#This Row],[Unit Price]]/表格1[[#This Row],[SRP]]</f>
        <v>0.61956521739130432</v>
      </c>
      <c r="U2284" s="86" t="str">
        <f>_xlfn.XLOOKUP(表格1[[#This Row],[Model]],表格3[Model-Input-Ref2],表格3[TOSHIBA/HIGHEST])</f>
        <v>Toshiba SRP</v>
      </c>
      <c r="W2284" s="86" t="str">
        <f>_xlfn.CONCAT(表格1[[#This Row],[欄4]],表格1[[#This Row],[inv no]])</f>
        <v>141950</v>
      </c>
    </row>
    <row r="2285" spans="1:23" hidden="1">
      <c r="A2285" s="81">
        <v>2283</v>
      </c>
      <c r="B2285" s="86" t="s">
        <v>1260</v>
      </c>
      <c r="C2285" s="86" t="s">
        <v>1777</v>
      </c>
      <c r="D2285" s="82" t="str">
        <f ca="1">OFFSET(Roster!$A$3,MATCH(表格1[[#This Row],[Location]]&amp;" "&amp;表格1[[#This Row],[Shop]]&amp;"*",Roster!$A$4:$A$72,0),DAY(表格1[[#This Row],[date]]),1,1)</f>
        <v>Pam</v>
      </c>
      <c r="E2285" s="86">
        <f>MONTH(表格1[[#This Row],[date]])</f>
        <v>3</v>
      </c>
      <c r="F2285" s="90">
        <v>46111</v>
      </c>
      <c r="G2285" s="86" t="str">
        <f>VLOOKUP("*"&amp;表格1[[#This Row],[Input]]&amp;"*",'Ref-List'!$B:$D,2,)</f>
        <v>MM2-EM20PC(WH)</v>
      </c>
      <c r="H2285" s="86" t="str">
        <f>_xlfn.XLOOKUP(表格1[[#This Row],[Model]],表格3[Model-Input-Ref2],表格3[Product Line])</f>
        <v>輕觸式微波爐 (20公升)</v>
      </c>
      <c r="I2285" s="86" t="str">
        <f>_xlfn.XLOOKUP(表格1[[#This Row],[Model]],表格3[Model-Input-Ref2],表格3[大小電])</f>
        <v>細電</v>
      </c>
      <c r="J2285" s="86" t="str">
        <f>_xlfn.XLOOKUP(表格1[[#This Row],[Model]],表格3[Model-Input-Ref2],表格3[Code])</f>
        <v>MCA</v>
      </c>
      <c r="K2285" s="89" t="s">
        <v>1276</v>
      </c>
      <c r="L2285" s="86">
        <v>1</v>
      </c>
      <c r="M2285" s="87">
        <v>668</v>
      </c>
      <c r="N2285" s="85">
        <f>IFERROR(表格1[[#This Row],[QTY]]*表格1[[#This Row],[Unit Price]],"-")</f>
        <v>668</v>
      </c>
      <c r="O2285" s="142" t="s">
        <v>1840</v>
      </c>
      <c r="R2285" s="86" t="str">
        <f>_xlfn.CONCAT(表格1[[#This Row],[Model]]," ",表格1[[#This Row],[inv no]])</f>
        <v>MM2-EM20PC(WH) 061330</v>
      </c>
      <c r="S2285" s="86">
        <f>_xlfn.XLOOKUP(表格1[[#This Row],[Model]],表格3[Model-Input-Ref2],表格3[SRP PRICE])</f>
        <v>788</v>
      </c>
      <c r="T2285" s="43">
        <f>表格1[[#This Row],[Unit Price]]/表格1[[#This Row],[SRP]]</f>
        <v>0.84771573604060912</v>
      </c>
      <c r="U2285" s="86" t="str">
        <f>_xlfn.XLOOKUP(表格1[[#This Row],[Model]],表格3[Model-Input-Ref2],表格3[TOSHIBA/HIGHEST])</f>
        <v>Toshiba SRP</v>
      </c>
      <c r="W2285" s="86" t="str">
        <f>_xlfn.CONCAT(表格1[[#This Row],[欄4]],表格1[[#This Row],[inv no]])</f>
        <v>061330</v>
      </c>
    </row>
    <row r="2286" spans="1:23" hidden="1">
      <c r="A2286" s="81">
        <v>2284</v>
      </c>
      <c r="B2286" s="86" t="s">
        <v>1260</v>
      </c>
      <c r="C2286" s="86" t="s">
        <v>1777</v>
      </c>
      <c r="D2286" s="82" t="str">
        <f ca="1">OFFSET(Roster!$A$3,MATCH(表格1[[#This Row],[Location]]&amp;" "&amp;表格1[[#This Row],[Shop]]&amp;"*",Roster!$A$4:$A$72,0),DAY(表格1[[#This Row],[date]]),1,1)</f>
        <v>Pam</v>
      </c>
      <c r="E2286" s="86">
        <f>MONTH(表格1[[#This Row],[date]])</f>
        <v>3</v>
      </c>
      <c r="F2286" s="90">
        <v>46111</v>
      </c>
      <c r="G2286" s="86" t="str">
        <f>VLOOKUP("*"&amp;表格1[[#This Row],[Input]]&amp;"*",'Ref-List'!$B:$D,2,)</f>
        <v>RC-5MMIH(WT)</v>
      </c>
      <c r="H2286" s="86" t="str">
        <f>_xlfn.XLOOKUP(表格1[[#This Row],[Model]],表格3[Model-Input-Ref2],表格3[Product Line])</f>
        <v>4毫米厚釜電飯煲0.54L</v>
      </c>
      <c r="I2286" s="86" t="str">
        <f>_xlfn.XLOOKUP(表格1[[#This Row],[Model]],表格3[Model-Input-Ref2],表格3[大小電])</f>
        <v>細電</v>
      </c>
      <c r="J2286" s="86" t="str">
        <f>_xlfn.XLOOKUP(表格1[[#This Row],[Model]],表格3[Model-Input-Ref2],表格3[Code])</f>
        <v>SDA</v>
      </c>
      <c r="K2286" s="89" t="s">
        <v>1195</v>
      </c>
      <c r="L2286" s="86">
        <v>1</v>
      </c>
      <c r="M2286" s="87">
        <v>556</v>
      </c>
      <c r="N2286" s="85">
        <f>IFERROR(表格1[[#This Row],[QTY]]*表格1[[#This Row],[Unit Price]],"-")</f>
        <v>556</v>
      </c>
      <c r="O2286" s="142" t="s">
        <v>1841</v>
      </c>
      <c r="R2286" s="86" t="str">
        <f>_xlfn.CONCAT(表格1[[#This Row],[Model]]," ",表格1[[#This Row],[inv no]])</f>
        <v>RC-5MMIH(WT) 061334</v>
      </c>
      <c r="S2286" s="86">
        <f>_xlfn.XLOOKUP(表格1[[#This Row],[Model]],表格3[Model-Input-Ref2],表格3[SRP PRICE])</f>
        <v>618</v>
      </c>
      <c r="T2286" s="43">
        <f>表格1[[#This Row],[Unit Price]]/表格1[[#This Row],[SRP]]</f>
        <v>0.89967637540453071</v>
      </c>
      <c r="U2286" s="86" t="str">
        <f>_xlfn.XLOOKUP(表格1[[#This Row],[Model]],表格3[Model-Input-Ref2],表格3[TOSHIBA/HIGHEST])</f>
        <v>Toshiba SRP</v>
      </c>
      <c r="W2286" s="86" t="str">
        <f>_xlfn.CONCAT(表格1[[#This Row],[欄4]],表格1[[#This Row],[inv no]])</f>
        <v>061334</v>
      </c>
    </row>
    <row r="2287" spans="1:23" hidden="1">
      <c r="A2287" s="81">
        <v>2285</v>
      </c>
      <c r="B2287" s="86" t="s">
        <v>1260</v>
      </c>
      <c r="C2287" s="86" t="s">
        <v>1777</v>
      </c>
      <c r="D2287" s="82" t="str">
        <f ca="1">OFFSET(Roster!$A$3,MATCH(表格1[[#This Row],[Location]]&amp;" "&amp;表格1[[#This Row],[Shop]]&amp;"*",Roster!$A$4:$A$72,0),DAY(表格1[[#This Row],[date]]),1,1)</f>
        <v>Pam</v>
      </c>
      <c r="E2287" s="86">
        <f>MONTH(表格1[[#This Row],[date]])</f>
        <v>3</v>
      </c>
      <c r="F2287" s="90">
        <v>46112</v>
      </c>
      <c r="G2287" s="86" t="str">
        <f>VLOOKUP("*"&amp;表格1[[#This Row],[Input]]&amp;"*",'Ref-List'!$B:$D,2,)</f>
        <v>MM2-EM20PC(WH)</v>
      </c>
      <c r="H2287" s="86" t="str">
        <f>_xlfn.XLOOKUP(表格1[[#This Row],[Model]],表格3[Model-Input-Ref2],表格3[Product Line])</f>
        <v>輕觸式微波爐 (20公升)</v>
      </c>
      <c r="I2287" s="86" t="str">
        <f>_xlfn.XLOOKUP(表格1[[#This Row],[Model]],表格3[Model-Input-Ref2],表格3[大小電])</f>
        <v>細電</v>
      </c>
      <c r="J2287" s="86" t="str">
        <f>_xlfn.XLOOKUP(表格1[[#This Row],[Model]],表格3[Model-Input-Ref2],表格3[Code])</f>
        <v>MCA</v>
      </c>
      <c r="K2287" s="89" t="s">
        <v>1276</v>
      </c>
      <c r="L2287" s="86">
        <v>1</v>
      </c>
      <c r="M2287" s="87">
        <v>668</v>
      </c>
      <c r="N2287" s="85">
        <f>IFERROR(表格1[[#This Row],[QTY]]*表格1[[#This Row],[Unit Price]],"-")</f>
        <v>668</v>
      </c>
      <c r="O2287" s="142" t="s">
        <v>1842</v>
      </c>
      <c r="R2287" s="86" t="str">
        <f>_xlfn.CONCAT(表格1[[#This Row],[Model]]," ",表格1[[#This Row],[inv no]])</f>
        <v>MM2-EM20PC(WH) 061602</v>
      </c>
      <c r="S2287" s="86">
        <f>_xlfn.XLOOKUP(表格1[[#This Row],[Model]],表格3[Model-Input-Ref2],表格3[SRP PRICE])</f>
        <v>788</v>
      </c>
      <c r="T2287" s="43">
        <f>表格1[[#This Row],[Unit Price]]/表格1[[#This Row],[SRP]]</f>
        <v>0.84771573604060912</v>
      </c>
      <c r="U2287" s="86" t="str">
        <f>_xlfn.XLOOKUP(表格1[[#This Row],[Model]],表格3[Model-Input-Ref2],表格3[TOSHIBA/HIGHEST])</f>
        <v>Toshiba SRP</v>
      </c>
      <c r="W2287" s="86" t="str">
        <f>_xlfn.CONCAT(表格1[[#This Row],[欄4]],表格1[[#This Row],[inv no]])</f>
        <v>061602</v>
      </c>
    </row>
    <row r="2288" spans="1:23" hidden="1">
      <c r="A2288" s="81">
        <v>2286</v>
      </c>
      <c r="B2288" s="86" t="s">
        <v>1260</v>
      </c>
      <c r="C2288" s="86" t="s">
        <v>1777</v>
      </c>
      <c r="D2288" s="82" t="str">
        <f ca="1">OFFSET(Roster!$A$3,MATCH(表格1[[#This Row],[Location]]&amp;" "&amp;表格1[[#This Row],[Shop]]&amp;"*",Roster!$A$4:$A$72,0),DAY(表格1[[#This Row],[date]]),1,1)</f>
        <v>Pam</v>
      </c>
      <c r="E2288" s="86">
        <f>MONTH(表格1[[#This Row],[date]])</f>
        <v>3</v>
      </c>
      <c r="F2288" s="90">
        <v>46112</v>
      </c>
      <c r="G2288" s="86" t="str">
        <f>VLOOKUP("*"&amp;表格1[[#This Row],[Input]]&amp;"*",'Ref-List'!$B:$D,2,)</f>
        <v>RC-7HMH</v>
      </c>
      <c r="H2288" s="86" t="str">
        <f>_xlfn.XLOOKUP(表格1[[#This Row],[Model]],表格3[Model-Input-Ref2],表格3[Product Line])</f>
        <v>備長炭本厚釜電飯煲0.7L</v>
      </c>
      <c r="I2288" s="86" t="str">
        <f>_xlfn.XLOOKUP(表格1[[#This Row],[Model]],表格3[Model-Input-Ref2],表格3[大小電])</f>
        <v>細電</v>
      </c>
      <c r="J2288" s="86" t="str">
        <f>_xlfn.XLOOKUP(表格1[[#This Row],[Model]],表格3[Model-Input-Ref2],表格3[Code])</f>
        <v>SDA</v>
      </c>
      <c r="K2288" s="89" t="s">
        <v>1284</v>
      </c>
      <c r="L2288" s="86">
        <v>1</v>
      </c>
      <c r="M2288" s="87">
        <v>798</v>
      </c>
      <c r="N2288" s="85">
        <f>IFERROR(表格1[[#This Row],[QTY]]*表格1[[#This Row],[Unit Price]],"-")</f>
        <v>798</v>
      </c>
      <c r="O2288" s="142" t="s">
        <v>1843</v>
      </c>
      <c r="R2288" s="86" t="str">
        <f>_xlfn.CONCAT(表格1[[#This Row],[Model]]," ",表格1[[#This Row],[inv no]])</f>
        <v>RC-7HMH 061644</v>
      </c>
      <c r="S2288" s="86">
        <f>_xlfn.XLOOKUP(表格1[[#This Row],[Model]],表格3[Model-Input-Ref2],表格3[SRP PRICE])</f>
        <v>1288</v>
      </c>
      <c r="T2288" s="43">
        <f>表格1[[#This Row],[Unit Price]]/表格1[[#This Row],[SRP]]</f>
        <v>0.61956521739130432</v>
      </c>
      <c r="U2288" s="86" t="str">
        <f>_xlfn.XLOOKUP(表格1[[#This Row],[Model]],表格3[Model-Input-Ref2],表格3[TOSHIBA/HIGHEST])</f>
        <v>Toshiba SRP</v>
      </c>
      <c r="W2288" s="86" t="str">
        <f>_xlfn.CONCAT(表格1[[#This Row],[欄4]],表格1[[#This Row],[inv no]])</f>
        <v>061644</v>
      </c>
    </row>
    <row r="2289" spans="1:23" hidden="1">
      <c r="A2289" s="81">
        <v>2287</v>
      </c>
      <c r="B2289" s="86" t="s">
        <v>1260</v>
      </c>
      <c r="C2289" s="86" t="s">
        <v>1777</v>
      </c>
      <c r="D2289" s="82" t="str">
        <f ca="1">OFFSET(Roster!$A$3,MATCH(表格1[[#This Row],[Location]]&amp;" "&amp;表格1[[#This Row],[Shop]]&amp;"*",Roster!$A$4:$A$72,0),DAY(表格1[[#This Row],[date]]),1,1)</f>
        <v>Pam</v>
      </c>
      <c r="E2289" s="86">
        <f>MONTH(表格1[[#This Row],[date]])</f>
        <v>3</v>
      </c>
      <c r="F2289" s="90">
        <v>46112</v>
      </c>
      <c r="G2289" s="86" t="str">
        <f>VLOOKUP("*"&amp;表格1[[#This Row],[Input]]&amp;"*",'Ref-List'!$B:$D,2,)</f>
        <v>AW-DQ110JPH(WW)</v>
      </c>
      <c r="H2289" s="86" t="str">
        <f>_xlfn.XLOOKUP(表格1[[#This Row],[Model]],表格3[Model-Input-Ref2],表格3[Product Line])</f>
        <v>變頻日式洗衣機 (10公斤 結合高低水位)</v>
      </c>
      <c r="I2289" s="86" t="str">
        <f>_xlfn.XLOOKUP(表格1[[#This Row],[Model]],表格3[Model-Input-Ref2],表格3[大小電])</f>
        <v>大電</v>
      </c>
      <c r="J2289" s="86" t="str">
        <f>_xlfn.XLOOKUP(表格1[[#This Row],[Model]],表格3[Model-Input-Ref2],表格3[Code])</f>
        <v>LAD</v>
      </c>
      <c r="K2289" s="89" t="s">
        <v>1831</v>
      </c>
      <c r="L2289" s="86">
        <v>1</v>
      </c>
      <c r="M2289" s="87">
        <v>2780</v>
      </c>
      <c r="N2289" s="85">
        <f>IFERROR(表格1[[#This Row],[QTY]]*表格1[[#This Row],[Unit Price]],"-")</f>
        <v>2780</v>
      </c>
      <c r="O2289" s="142" t="s">
        <v>1844</v>
      </c>
      <c r="R2289" s="86" t="str">
        <f>_xlfn.CONCAT(表格1[[#This Row],[Model]]," ",表格1[[#This Row],[inv no]])</f>
        <v>AW-DQ110JPH(WW) 061730</v>
      </c>
      <c r="S2289" s="86">
        <f>_xlfn.XLOOKUP(表格1[[#This Row],[Model]],表格3[Model-Input-Ref2],表格3[SRP PRICE])</f>
        <v>4680</v>
      </c>
      <c r="T2289" s="43">
        <f>表格1[[#This Row],[Unit Price]]/表格1[[#This Row],[SRP]]</f>
        <v>0.59401709401709402</v>
      </c>
      <c r="U2289" s="86" t="str">
        <f>_xlfn.XLOOKUP(表格1[[#This Row],[Model]],表格3[Model-Input-Ref2],表格3[TOSHIBA/HIGHEST])</f>
        <v>Toshiba SRP</v>
      </c>
      <c r="W2289" s="86" t="str">
        <f>_xlfn.CONCAT(表格1[[#This Row],[欄4]],表格1[[#This Row],[inv no]])</f>
        <v>061730</v>
      </c>
    </row>
    <row r="2290" spans="1:23" hidden="1">
      <c r="A2290" s="81">
        <v>2288</v>
      </c>
      <c r="B2290" s="86" t="s">
        <v>1418</v>
      </c>
      <c r="C2290" s="86" t="s">
        <v>1846</v>
      </c>
      <c r="D2290" s="82" t="str">
        <f ca="1">OFFSET(Roster!$A$3,MATCH(表格1[[#This Row],[Location]]&amp;" "&amp;表格1[[#This Row],[Shop]]&amp;"*",Roster!$A$4:$A$72,0),DAY(表格1[[#This Row],[date]]),1,1)</f>
        <v>Terence_1</v>
      </c>
      <c r="E2290" s="86">
        <f>MONTH(表格1[[#This Row],[date]])</f>
        <v>3</v>
      </c>
      <c r="F2290" s="90">
        <v>46100</v>
      </c>
      <c r="G2290" s="86" t="str">
        <f>VLOOKUP("*"&amp;表格1[[#This Row],[Input]]&amp;"*",'Ref-List'!$B:$D,2,)</f>
        <v>KT-08DH1VHK(W)</v>
      </c>
      <c r="H2290" s="86" t="str">
        <f>_xlfn.XLOOKUP(表格1[[#This Row],[Model]],表格3[Model-Input-Ref2],表格3[Product Line])</f>
        <v>無線雙層電熱水壺-附可鎖壺蓋(0.8公升)</v>
      </c>
      <c r="I2290" s="86" t="str">
        <f>_xlfn.XLOOKUP(表格1[[#This Row],[Model]],表格3[Model-Input-Ref2],表格3[大小電])</f>
        <v>細電</v>
      </c>
      <c r="J2290" s="86" t="str">
        <f>_xlfn.XLOOKUP(表格1[[#This Row],[Model]],表格3[Model-Input-Ref2],表格3[Code])</f>
        <v>SDA</v>
      </c>
      <c r="K2290" s="89" t="s">
        <v>1268</v>
      </c>
      <c r="L2290" s="86">
        <v>1</v>
      </c>
      <c r="M2290" s="87">
        <v>268</v>
      </c>
      <c r="N2290" s="85">
        <f>IFERROR(表格1[[#This Row],[QTY]]*表格1[[#This Row],[Unit Price]],"-")</f>
        <v>268</v>
      </c>
      <c r="O2290" s="142" t="s">
        <v>1847</v>
      </c>
      <c r="R2290" s="86" t="str">
        <f>_xlfn.CONCAT(表格1[[#This Row],[Model]]," ",表格1[[#This Row],[inv no]])</f>
        <v>KT-08DH1VHK(W) 018756</v>
      </c>
      <c r="S2290" s="86">
        <f>_xlfn.XLOOKUP(表格1[[#This Row],[Model]],表格3[Model-Input-Ref2],表格3[SRP PRICE])</f>
        <v>428</v>
      </c>
      <c r="T2290" s="43">
        <f>表格1[[#This Row],[Unit Price]]/表格1[[#This Row],[SRP]]</f>
        <v>0.62616822429906538</v>
      </c>
      <c r="U2290" s="86" t="str">
        <f>_xlfn.XLOOKUP(表格1[[#This Row],[Model]],表格3[Model-Input-Ref2],表格3[TOSHIBA/HIGHEST])</f>
        <v>Toshiba SRP</v>
      </c>
      <c r="W2290" s="86" t="str">
        <f>_xlfn.CONCAT(表格1[[#This Row],[欄4]],表格1[[#This Row],[inv no]])</f>
        <v>018756</v>
      </c>
    </row>
    <row r="2291" spans="1:23" hidden="1">
      <c r="A2291" s="81">
        <v>2289</v>
      </c>
      <c r="B2291" s="86" t="s">
        <v>1418</v>
      </c>
      <c r="C2291" s="86" t="s">
        <v>1846</v>
      </c>
      <c r="D2291" s="82" t="str">
        <f ca="1">OFFSET(Roster!$A$3,MATCH(表格1[[#This Row],[Location]]&amp;" "&amp;表格1[[#This Row],[Shop]]&amp;"*",Roster!$A$4:$A$72,0),DAY(表格1[[#This Row],[date]]),1,1)</f>
        <v>Terence_1</v>
      </c>
      <c r="E2291" s="86">
        <f>MONTH(表格1[[#This Row],[date]])</f>
        <v>3</v>
      </c>
      <c r="F2291" s="90">
        <v>46100</v>
      </c>
      <c r="G2291" s="86" t="str">
        <f>VLOOKUP("*"&amp;表格1[[#This Row],[Input]]&amp;"*",'Ref-List'!$B:$D,2,)</f>
        <v>MM2-EM20PC(WH)</v>
      </c>
      <c r="H2291" s="86" t="str">
        <f>_xlfn.XLOOKUP(表格1[[#This Row],[Model]],表格3[Model-Input-Ref2],表格3[Product Line])</f>
        <v>輕觸式微波爐 (20公升)</v>
      </c>
      <c r="I2291" s="86" t="str">
        <f>_xlfn.XLOOKUP(表格1[[#This Row],[Model]],表格3[Model-Input-Ref2],表格3[大小電])</f>
        <v>細電</v>
      </c>
      <c r="J2291" s="86" t="str">
        <f>_xlfn.XLOOKUP(表格1[[#This Row],[Model]],表格3[Model-Input-Ref2],表格3[Code])</f>
        <v>MCA</v>
      </c>
      <c r="K2291" s="89" t="s">
        <v>1276</v>
      </c>
      <c r="L2291" s="86">
        <v>1</v>
      </c>
      <c r="M2291" s="87">
        <v>598</v>
      </c>
      <c r="N2291" s="85">
        <f>IFERROR(表格1[[#This Row],[QTY]]*表格1[[#This Row],[Unit Price]],"-")</f>
        <v>598</v>
      </c>
      <c r="O2291" s="142" t="s">
        <v>1848</v>
      </c>
      <c r="R2291" s="86" t="str">
        <f>_xlfn.CONCAT(表格1[[#This Row],[Model]]," ",表格1[[#This Row],[inv no]])</f>
        <v>MM2-EM20PC(WH) 018751</v>
      </c>
      <c r="S2291" s="86">
        <f>_xlfn.XLOOKUP(表格1[[#This Row],[Model]],表格3[Model-Input-Ref2],表格3[SRP PRICE])</f>
        <v>788</v>
      </c>
      <c r="T2291" s="43">
        <f>表格1[[#This Row],[Unit Price]]/表格1[[#This Row],[SRP]]</f>
        <v>0.75888324873096447</v>
      </c>
      <c r="U2291" s="86" t="str">
        <f>_xlfn.XLOOKUP(表格1[[#This Row],[Model]],表格3[Model-Input-Ref2],表格3[TOSHIBA/HIGHEST])</f>
        <v>Toshiba SRP</v>
      </c>
      <c r="W2291" s="86" t="str">
        <f>_xlfn.CONCAT(表格1[[#This Row],[欄4]],表格1[[#This Row],[inv no]])</f>
        <v>018751</v>
      </c>
    </row>
    <row r="2292" spans="1:23" hidden="1">
      <c r="A2292" s="81">
        <v>2290</v>
      </c>
      <c r="B2292" s="86" t="s">
        <v>1418</v>
      </c>
      <c r="C2292" s="86" t="s">
        <v>1846</v>
      </c>
      <c r="D2292" s="82" t="str">
        <f ca="1">OFFSET(Roster!$A$3,MATCH(表格1[[#This Row],[Location]]&amp;" "&amp;表格1[[#This Row],[Shop]]&amp;"*",Roster!$A$4:$A$72,0),DAY(表格1[[#This Row],[date]]),1,1)</f>
        <v>Terence_1</v>
      </c>
      <c r="E2292" s="86">
        <f>MONTH(表格1[[#This Row],[date]])</f>
        <v>3</v>
      </c>
      <c r="F2292" s="90">
        <v>46100</v>
      </c>
      <c r="G2292" s="86" t="str">
        <f>VLOOKUP("*"&amp;表格1[[#This Row],[Input]]&amp;"*",'Ref-List'!$B:$D,2,)</f>
        <v>RC-10NMFIH(WT)</v>
      </c>
      <c r="H2292" s="86" t="str">
        <f>_xlfn.XLOOKUP(表格1[[#This Row],[Model]],表格3[Model-Input-Ref2],表格3[Product Line])</f>
        <v>4毫米厚釜電飯煲1L</v>
      </c>
      <c r="I2292" s="86" t="str">
        <f>_xlfn.XLOOKUP(表格1[[#This Row],[Model]],表格3[Model-Input-Ref2],表格3[大小電])</f>
        <v>細電</v>
      </c>
      <c r="J2292" s="86" t="str">
        <f>_xlfn.XLOOKUP(表格1[[#This Row],[Model]],表格3[Model-Input-Ref2],表格3[Code])</f>
        <v>SDA</v>
      </c>
      <c r="K2292" s="89" t="s">
        <v>1244</v>
      </c>
      <c r="L2292" s="86">
        <v>1</v>
      </c>
      <c r="M2292" s="87">
        <v>719</v>
      </c>
      <c r="N2292" s="85">
        <f>IFERROR(表格1[[#This Row],[QTY]]*表格1[[#This Row],[Unit Price]],"-")</f>
        <v>719</v>
      </c>
      <c r="O2292" s="142" t="s">
        <v>1849</v>
      </c>
      <c r="R2292" s="86" t="str">
        <f>_xlfn.CONCAT(表格1[[#This Row],[Model]]," ",表格1[[#This Row],[inv no]])</f>
        <v>RC-10NMFIH(WT) 029040</v>
      </c>
      <c r="S2292" s="86">
        <f>_xlfn.XLOOKUP(表格1[[#This Row],[Model]],表格3[Model-Input-Ref2],表格3[SRP PRICE])</f>
        <v>898</v>
      </c>
      <c r="T2292" s="43">
        <f>表格1[[#This Row],[Unit Price]]/表格1[[#This Row],[SRP]]</f>
        <v>0.80066815144766146</v>
      </c>
      <c r="U2292" s="86" t="str">
        <f>_xlfn.XLOOKUP(表格1[[#This Row],[Model]],表格3[Model-Input-Ref2],表格3[TOSHIBA/HIGHEST])</f>
        <v>Toshiba SRP</v>
      </c>
      <c r="W2292" s="86" t="str">
        <f>_xlfn.CONCAT(表格1[[#This Row],[欄4]],表格1[[#This Row],[inv no]])</f>
        <v>029040</v>
      </c>
    </row>
    <row r="2293" spans="1:23" hidden="1">
      <c r="A2293" s="81">
        <v>2291</v>
      </c>
      <c r="B2293" s="86" t="s">
        <v>1418</v>
      </c>
      <c r="C2293" s="86" t="s">
        <v>1846</v>
      </c>
      <c r="D2293" s="82" t="str">
        <f ca="1">OFFSET(Roster!$A$3,MATCH(表格1[[#This Row],[Location]]&amp;" "&amp;表格1[[#This Row],[Shop]]&amp;"*",Roster!$A$4:$A$72,0),DAY(表格1[[#This Row],[date]]),1,1)</f>
        <v>Terence_1</v>
      </c>
      <c r="E2293" s="86">
        <f>MONTH(表格1[[#This Row],[date]])</f>
        <v>3</v>
      </c>
      <c r="F2293" s="90">
        <v>46101</v>
      </c>
      <c r="G2293" s="86" t="str">
        <f>VLOOKUP("*"&amp;表格1[[#This Row],[Input]]&amp;"*",'Ref-List'!$B:$D,2,)</f>
        <v>GR-RT234WE-PMA(57)</v>
      </c>
      <c r="H2293" s="86" t="str">
        <f>_xlfn.XLOOKUP(表格1[[#This Row],[Model]],表格3[Model-Input-Ref2],表格3[Product Line])</f>
        <v>變頻式環保雙門雪櫃（179L）</v>
      </c>
      <c r="I2293" s="86" t="str">
        <f>_xlfn.XLOOKUP(表格1[[#This Row],[Model]],表格3[Model-Input-Ref2],表格3[大小電])</f>
        <v>大電</v>
      </c>
      <c r="J2293" s="86" t="str">
        <f>_xlfn.XLOOKUP(表格1[[#This Row],[Model]],表格3[Model-Input-Ref2],表格3[Code])</f>
        <v>REF</v>
      </c>
      <c r="K2293" s="89" t="s">
        <v>1423</v>
      </c>
      <c r="L2293" s="86">
        <v>1</v>
      </c>
      <c r="M2293" s="87">
        <v>1980</v>
      </c>
      <c r="N2293" s="85">
        <f>IFERROR(表格1[[#This Row],[QTY]]*表格1[[#This Row],[Unit Price]],"-")</f>
        <v>1980</v>
      </c>
      <c r="O2293" s="142" t="s">
        <v>1850</v>
      </c>
      <c r="R2293" s="86" t="str">
        <f>_xlfn.CONCAT(表格1[[#This Row],[Model]]," ",表格1[[#This Row],[inv no]])</f>
        <v>GR-RT234WE-PMA(57) 029240</v>
      </c>
      <c r="S2293" s="86">
        <f>_xlfn.XLOOKUP(表格1[[#This Row],[Model]],表格3[Model-Input-Ref2],表格3[SRP PRICE])</f>
        <v>3680</v>
      </c>
      <c r="T2293" s="43">
        <f>表格1[[#This Row],[Unit Price]]/表格1[[#This Row],[SRP]]</f>
        <v>0.53804347826086951</v>
      </c>
      <c r="U2293" s="86" t="str">
        <f>_xlfn.XLOOKUP(表格1[[#This Row],[Model]],表格3[Model-Input-Ref2],表格3[TOSHIBA/HIGHEST])</f>
        <v>Toshiba SRP</v>
      </c>
      <c r="W2293" s="86" t="str">
        <f>_xlfn.CONCAT(表格1[[#This Row],[欄4]],表格1[[#This Row],[inv no]])</f>
        <v>029240</v>
      </c>
    </row>
    <row r="2294" spans="1:23" hidden="1">
      <c r="A2294" s="81">
        <v>2292</v>
      </c>
      <c r="B2294" s="86" t="s">
        <v>1418</v>
      </c>
      <c r="C2294" s="86" t="s">
        <v>1846</v>
      </c>
      <c r="D2294" s="82" t="str">
        <f ca="1">OFFSET(Roster!$A$3,MATCH(表格1[[#This Row],[Location]]&amp;" "&amp;表格1[[#This Row],[Shop]]&amp;"*",Roster!$A$4:$A$72,0),DAY(表格1[[#This Row],[date]]),1,1)</f>
        <v>Terence_1</v>
      </c>
      <c r="E2294" s="86">
        <f>MONTH(表格1[[#This Row],[date]])</f>
        <v>3</v>
      </c>
      <c r="F2294" s="90">
        <v>46106</v>
      </c>
      <c r="G2294" s="86" t="str">
        <f>VLOOKUP("*"&amp;表格1[[#This Row],[Input]]&amp;"*",'Ref-List'!$B:$D,2,)</f>
        <v>RC-10ISSHK(W)</v>
      </c>
      <c r="H2294" s="86" t="str">
        <f>_xlfn.XLOOKUP(表格1[[#This Row],[Model]],表格3[Model-Input-Ref2],表格3[Product Line])</f>
        <v>磁應電飯煲(1公升)</v>
      </c>
      <c r="I2294" s="86" t="str">
        <f>_xlfn.XLOOKUP(表格1[[#This Row],[Model]],表格3[Model-Input-Ref2],表格3[大小電])</f>
        <v>細電</v>
      </c>
      <c r="J2294" s="86" t="str">
        <f>_xlfn.XLOOKUP(表格1[[#This Row],[Model]],表格3[Model-Input-Ref2],表格3[Code])</f>
        <v>SDA</v>
      </c>
      <c r="K2294" s="89" t="s">
        <v>1286</v>
      </c>
      <c r="L2294" s="86">
        <v>1</v>
      </c>
      <c r="M2294" s="87">
        <v>898</v>
      </c>
      <c r="N2294" s="85">
        <f>IFERROR(表格1[[#This Row],[QTY]]*表格1[[#This Row],[Unit Price]],"-")</f>
        <v>898</v>
      </c>
      <c r="O2294" s="142" t="s">
        <v>1851</v>
      </c>
      <c r="R2294" s="86" t="str">
        <f>_xlfn.CONCAT(表格1[[#This Row],[Model]]," ",表格1[[#This Row],[inv no]])</f>
        <v>RC-10ISSHK(W) 030405</v>
      </c>
      <c r="S2294" s="86">
        <f>_xlfn.XLOOKUP(表格1[[#This Row],[Model]],表格3[Model-Input-Ref2],表格3[SRP PRICE])</f>
        <v>1188</v>
      </c>
      <c r="T2294" s="43">
        <f>表格1[[#This Row],[Unit Price]]/表格1[[#This Row],[SRP]]</f>
        <v>0.75589225589225584</v>
      </c>
      <c r="U2294" s="86" t="str">
        <f>_xlfn.XLOOKUP(表格1[[#This Row],[Model]],表格3[Model-Input-Ref2],表格3[TOSHIBA/HIGHEST])</f>
        <v>Shops Highest Price</v>
      </c>
      <c r="W2294" s="86" t="str">
        <f>_xlfn.CONCAT(表格1[[#This Row],[欄4]],表格1[[#This Row],[inv no]])</f>
        <v>030405</v>
      </c>
    </row>
    <row r="2295" spans="1:23" hidden="1">
      <c r="A2295" s="81">
        <v>2293</v>
      </c>
      <c r="B2295" s="86" t="s">
        <v>1418</v>
      </c>
      <c r="C2295" s="86" t="s">
        <v>1846</v>
      </c>
      <c r="D2295" s="82" t="str">
        <f ca="1">OFFSET(Roster!$A$3,MATCH(表格1[[#This Row],[Location]]&amp;" "&amp;表格1[[#This Row],[Shop]]&amp;"*",Roster!$A$4:$A$72,0),DAY(表格1[[#This Row],[date]]),1,1)</f>
        <v>Terence_1</v>
      </c>
      <c r="E2295" s="86">
        <f>MONTH(表格1[[#This Row],[date]])</f>
        <v>3</v>
      </c>
      <c r="F2295" s="90">
        <v>46106</v>
      </c>
      <c r="G2295" s="86" t="str">
        <f>VLOOKUP("*"&amp;表格1[[#This Row],[Input]]&amp;"*",'Ref-List'!$B:$D,2,)</f>
        <v>GR-RM469WE-PGA(B3)</v>
      </c>
      <c r="H2295" s="86" t="str">
        <f>_xlfn.XLOOKUP(表格1[[#This Row],[Model]],表格3[Model-Input-Ref2],表格3[Product Line])</f>
        <v>旗艦級變頻三門雪櫃 (300L)</v>
      </c>
      <c r="I2295" s="86" t="str">
        <f>_xlfn.XLOOKUP(表格1[[#This Row],[Model]],表格3[Model-Input-Ref2],表格3[大小電])</f>
        <v>大電</v>
      </c>
      <c r="J2295" s="86" t="str">
        <f>_xlfn.XLOOKUP(表格1[[#This Row],[Model]],表格3[Model-Input-Ref2],表格3[Code])</f>
        <v>REF</v>
      </c>
      <c r="K2295" s="89" t="s">
        <v>1460</v>
      </c>
      <c r="L2295" s="86">
        <v>1</v>
      </c>
      <c r="M2295" s="87">
        <v>6580</v>
      </c>
      <c r="N2295" s="85">
        <f>IFERROR(表格1[[#This Row],[QTY]]*表格1[[#This Row],[Unit Price]],"-")</f>
        <v>6580</v>
      </c>
      <c r="O2295" s="142" t="s">
        <v>1851</v>
      </c>
      <c r="R2295" s="86" t="str">
        <f>_xlfn.CONCAT(表格1[[#This Row],[Model]]," ",表格1[[#This Row],[inv no]])</f>
        <v>GR-RM469WE-PGA(B3) 030405</v>
      </c>
      <c r="S2295" s="86">
        <f>_xlfn.XLOOKUP(表格1[[#This Row],[Model]],表格3[Model-Input-Ref2],表格3[SRP PRICE])</f>
        <v>8990</v>
      </c>
      <c r="T2295" s="43">
        <f>表格1[[#This Row],[Unit Price]]/表格1[[#This Row],[SRP]]</f>
        <v>0.73192436040044495</v>
      </c>
      <c r="U2295" s="86" t="str">
        <f>_xlfn.XLOOKUP(表格1[[#This Row],[Model]],表格3[Model-Input-Ref2],表格3[TOSHIBA/HIGHEST])</f>
        <v>Toshiba SRP</v>
      </c>
      <c r="W2295" s="86" t="str">
        <f>_xlfn.CONCAT(表格1[[#This Row],[欄4]],表格1[[#This Row],[inv no]])</f>
        <v>030405</v>
      </c>
    </row>
    <row r="2296" spans="1:23" hidden="1">
      <c r="A2296" s="81">
        <v>2294</v>
      </c>
      <c r="B2296" s="86" t="s">
        <v>1366</v>
      </c>
      <c r="C2296" s="86" t="s">
        <v>1853</v>
      </c>
      <c r="D2296" s="82" t="str">
        <f ca="1">OFFSET(Roster!$A$3,MATCH(表格1[[#This Row],[Location]]&amp;" "&amp;表格1[[#This Row],[Shop]]&amp;"*",Roster!$A$4:$A$72,0),DAY(表格1[[#This Row],[date]]),1,1)</f>
        <v>Maggie Yip</v>
      </c>
      <c r="E2296" s="86">
        <f>MONTH(表格1[[#This Row],[date]])</f>
        <v>3</v>
      </c>
      <c r="F2296" s="90">
        <v>46082</v>
      </c>
      <c r="G2296" s="86" t="str">
        <f>VLOOKUP("*"&amp;表格1[[#This Row],[Input]]&amp;"*",'Ref-List'!$B:$D,2,)</f>
        <v>KT-15DRTHK(W)</v>
      </c>
      <c r="H2296" s="86" t="str">
        <f>_xlfn.XLOOKUP(表格1[[#This Row],[Model]],表格3[Model-Input-Ref2],表格3[Product Line])</f>
        <v>無線雙層電熱水壺-附可鎖壺蓋</v>
      </c>
      <c r="I2296" s="86" t="str">
        <f>_xlfn.XLOOKUP(表格1[[#This Row],[Model]],表格3[Model-Input-Ref2],表格3[大小電])</f>
        <v>細電</v>
      </c>
      <c r="J2296" s="86" t="str">
        <f>_xlfn.XLOOKUP(表格1[[#This Row],[Model]],表格3[Model-Input-Ref2],表格3[Code])</f>
        <v>SDA</v>
      </c>
      <c r="K2296" s="89" t="s">
        <v>1278</v>
      </c>
      <c r="L2296" s="86">
        <v>1</v>
      </c>
      <c r="M2296" s="87">
        <v>358</v>
      </c>
      <c r="N2296" s="85">
        <f>IFERROR(表格1[[#This Row],[QTY]]*表格1[[#This Row],[Unit Price]],"-")</f>
        <v>358</v>
      </c>
      <c r="O2296" s="86">
        <v>343137</v>
      </c>
      <c r="R2296" s="86" t="str">
        <f>_xlfn.CONCAT(表格1[[#This Row],[Model]]," ",表格1[[#This Row],[inv no]])</f>
        <v>KT-15DRTHK(W) 343137</v>
      </c>
      <c r="S2296" s="86">
        <f>_xlfn.XLOOKUP(表格1[[#This Row],[Model]],表格3[Model-Input-Ref2],表格3[SRP PRICE])</f>
        <v>598</v>
      </c>
      <c r="T2296" s="43">
        <f>表格1[[#This Row],[Unit Price]]/表格1[[#This Row],[SRP]]</f>
        <v>0.59866220735785958</v>
      </c>
      <c r="U2296" s="86" t="str">
        <f>_xlfn.XLOOKUP(表格1[[#This Row],[Model]],表格3[Model-Input-Ref2],表格3[TOSHIBA/HIGHEST])</f>
        <v>Toshiba SRP</v>
      </c>
      <c r="W2296" s="86" t="str">
        <f>_xlfn.CONCAT(表格1[[#This Row],[欄4]],表格1[[#This Row],[inv no]])</f>
        <v>343137</v>
      </c>
    </row>
    <row r="2297" spans="1:23" hidden="1">
      <c r="A2297" s="81">
        <v>2295</v>
      </c>
      <c r="B2297" s="86" t="s">
        <v>1366</v>
      </c>
      <c r="C2297" s="86" t="s">
        <v>1853</v>
      </c>
      <c r="D2297" s="82" t="str">
        <f ca="1">OFFSET(Roster!$A$3,MATCH(表格1[[#This Row],[Location]]&amp;" "&amp;表格1[[#This Row],[Shop]]&amp;"*",Roster!$A$4:$A$72,0),DAY(表格1[[#This Row],[date]]),1,1)</f>
        <v>Maggie Yip</v>
      </c>
      <c r="E2297" s="86">
        <f>MONTH(表格1[[#This Row],[date]])</f>
        <v>3</v>
      </c>
      <c r="F2297" s="90">
        <v>46082</v>
      </c>
      <c r="G2297" s="86" t="str">
        <f>VLOOKUP("*"&amp;表格1[[#This Row],[Input]]&amp;"*",'Ref-List'!$B:$D,2,)</f>
        <v>KT-17SHNH</v>
      </c>
      <c r="H2297" s="86" t="str">
        <f>_xlfn.XLOOKUP(表格1[[#This Row],[Model]],表格3[Model-Input-Ref2],表格3[Product Line])</f>
        <v>1.7L無線雙層電熱水壺</v>
      </c>
      <c r="I2297" s="86" t="str">
        <f>_xlfn.XLOOKUP(表格1[[#This Row],[Model]],表格3[Model-Input-Ref2],表格3[大小電])</f>
        <v>細電</v>
      </c>
      <c r="J2297" s="86" t="str">
        <f>_xlfn.XLOOKUP(表格1[[#This Row],[Model]],表格3[Model-Input-Ref2],表格3[Code])</f>
        <v>SDA</v>
      </c>
      <c r="K2297" s="89" t="s">
        <v>1283</v>
      </c>
      <c r="L2297" s="86">
        <v>1</v>
      </c>
      <c r="M2297" s="87">
        <v>198</v>
      </c>
      <c r="N2297" s="85">
        <f>IFERROR(表格1[[#This Row],[QTY]]*表格1[[#This Row],[Unit Price]],"-")</f>
        <v>198</v>
      </c>
      <c r="O2297" s="86">
        <v>343261</v>
      </c>
      <c r="R2297" s="86" t="str">
        <f>_xlfn.CONCAT(表格1[[#This Row],[Model]]," ",表格1[[#This Row],[inv no]])</f>
        <v>KT-17SHNH 343261</v>
      </c>
      <c r="S2297" s="86">
        <f>_xlfn.XLOOKUP(表格1[[#This Row],[Model]],表格3[Model-Input-Ref2],表格3[SRP PRICE])</f>
        <v>299</v>
      </c>
      <c r="T2297" s="43">
        <f>表格1[[#This Row],[Unit Price]]/表格1[[#This Row],[SRP]]</f>
        <v>0.66220735785953178</v>
      </c>
      <c r="U2297" s="86" t="str">
        <f>_xlfn.XLOOKUP(表格1[[#This Row],[Model]],表格3[Model-Input-Ref2],表格3[TOSHIBA/HIGHEST])</f>
        <v>Shops Highest Price</v>
      </c>
      <c r="W2297" s="86" t="str">
        <f>_xlfn.CONCAT(表格1[[#This Row],[欄4]],表格1[[#This Row],[inv no]])</f>
        <v>343261</v>
      </c>
    </row>
    <row r="2298" spans="1:23" hidden="1">
      <c r="A2298" s="81">
        <v>2296</v>
      </c>
      <c r="B2298" s="86" t="s">
        <v>1366</v>
      </c>
      <c r="C2298" s="86" t="s">
        <v>1853</v>
      </c>
      <c r="D2298" s="82" t="str">
        <f ca="1">OFFSET(Roster!$A$3,MATCH(表格1[[#This Row],[Location]]&amp;" "&amp;表格1[[#This Row],[Shop]]&amp;"*",Roster!$A$4:$A$72,0),DAY(表格1[[#This Row],[date]]),1,1)</f>
        <v>Maggie Yip</v>
      </c>
      <c r="E2298" s="86">
        <f>MONTH(表格1[[#This Row],[date]])</f>
        <v>3</v>
      </c>
      <c r="F2298" s="90">
        <v>46082</v>
      </c>
      <c r="G2298" s="86" t="str">
        <f>VLOOKUP("*"&amp;表格1[[#This Row],[Input]]&amp;"*",'Ref-List'!$B:$D,2,)</f>
        <v>KT-08DH1VHK(W)</v>
      </c>
      <c r="H2298" s="86" t="str">
        <f>_xlfn.XLOOKUP(表格1[[#This Row],[Model]],表格3[Model-Input-Ref2],表格3[Product Line])</f>
        <v>無線雙層電熱水壺-附可鎖壺蓋(0.8公升)</v>
      </c>
      <c r="I2298" s="86" t="str">
        <f>_xlfn.XLOOKUP(表格1[[#This Row],[Model]],表格3[Model-Input-Ref2],表格3[大小電])</f>
        <v>細電</v>
      </c>
      <c r="J2298" s="86" t="str">
        <f>_xlfn.XLOOKUP(表格1[[#This Row],[Model]],表格3[Model-Input-Ref2],表格3[Code])</f>
        <v>SDA</v>
      </c>
      <c r="K2298" s="89" t="s">
        <v>1268</v>
      </c>
      <c r="L2298" s="86">
        <v>1</v>
      </c>
      <c r="M2298" s="87">
        <v>268</v>
      </c>
      <c r="N2298" s="85">
        <f>IFERROR(表格1[[#This Row],[QTY]]*表格1[[#This Row],[Unit Price]],"-")</f>
        <v>268</v>
      </c>
      <c r="O2298" s="86">
        <v>343451</v>
      </c>
      <c r="R2298" s="86" t="str">
        <f>_xlfn.CONCAT(表格1[[#This Row],[Model]]," ",表格1[[#This Row],[inv no]])</f>
        <v>KT-08DH1VHK(W) 343451</v>
      </c>
      <c r="S2298" s="86">
        <f>_xlfn.XLOOKUP(表格1[[#This Row],[Model]],表格3[Model-Input-Ref2],表格3[SRP PRICE])</f>
        <v>428</v>
      </c>
      <c r="T2298" s="43">
        <f>表格1[[#This Row],[Unit Price]]/表格1[[#This Row],[SRP]]</f>
        <v>0.62616822429906538</v>
      </c>
      <c r="U2298" s="86" t="str">
        <f>_xlfn.XLOOKUP(表格1[[#This Row],[Model]],表格3[Model-Input-Ref2],表格3[TOSHIBA/HIGHEST])</f>
        <v>Toshiba SRP</v>
      </c>
      <c r="W2298" s="86" t="str">
        <f>_xlfn.CONCAT(表格1[[#This Row],[欄4]],表格1[[#This Row],[inv no]])</f>
        <v>343451</v>
      </c>
    </row>
    <row r="2299" spans="1:23" hidden="1">
      <c r="A2299" s="81">
        <v>2297</v>
      </c>
      <c r="B2299" s="86" t="s">
        <v>1366</v>
      </c>
      <c r="C2299" s="86" t="s">
        <v>1853</v>
      </c>
      <c r="D2299" s="82" t="str">
        <f ca="1">OFFSET(Roster!$A$3,MATCH(表格1[[#This Row],[Location]]&amp;" "&amp;表格1[[#This Row],[Shop]]&amp;"*",Roster!$A$4:$A$72,0),DAY(表格1[[#This Row],[date]]),1,1)</f>
        <v>Maggie Yip</v>
      </c>
      <c r="E2299" s="86">
        <f>MONTH(表格1[[#This Row],[date]])</f>
        <v>3</v>
      </c>
      <c r="F2299" s="90">
        <v>46082</v>
      </c>
      <c r="G2299" s="86" t="str">
        <f>VLOOKUP("*"&amp;表格1[[#This Row],[Input]]&amp;"*",'Ref-List'!$B:$D,2,)</f>
        <v>TP-50DRUHK(W)</v>
      </c>
      <c r="H2299" s="86" t="str">
        <f>_xlfn.XLOOKUP(表格1[[#This Row],[Model]],表格3[Model-Input-Ref2],表格3[Product Line])</f>
        <v>電熱水瓶 (5公升)</v>
      </c>
      <c r="I2299" s="86" t="str">
        <f>_xlfn.XLOOKUP(表格1[[#This Row],[Model]],表格3[Model-Input-Ref2],表格3[大小電])</f>
        <v>細電</v>
      </c>
      <c r="J2299" s="86" t="str">
        <f>_xlfn.XLOOKUP(表格1[[#This Row],[Model]],表格3[Model-Input-Ref2],表格3[Code])</f>
        <v>SDA</v>
      </c>
      <c r="K2299" s="89" t="s">
        <v>1277</v>
      </c>
      <c r="L2299" s="86">
        <v>1</v>
      </c>
      <c r="M2299" s="87">
        <v>598</v>
      </c>
      <c r="N2299" s="85">
        <f>IFERROR(表格1[[#This Row],[QTY]]*表格1[[#This Row],[Unit Price]],"-")</f>
        <v>598</v>
      </c>
      <c r="O2299" s="86">
        <v>524872</v>
      </c>
      <c r="R2299" s="86" t="str">
        <f>_xlfn.CONCAT(表格1[[#This Row],[Model]]," ",表格1[[#This Row],[inv no]])</f>
        <v>TP-50DRUHK(W) 524872</v>
      </c>
      <c r="S2299" s="86">
        <f>_xlfn.XLOOKUP(表格1[[#This Row],[Model]],表格3[Model-Input-Ref2],表格3[SRP PRICE])</f>
        <v>718</v>
      </c>
      <c r="T2299" s="43">
        <f>表格1[[#This Row],[Unit Price]]/表格1[[#This Row],[SRP]]</f>
        <v>0.83286908077994426</v>
      </c>
      <c r="U2299" s="86" t="str">
        <f>_xlfn.XLOOKUP(表格1[[#This Row],[Model]],表格3[Model-Input-Ref2],表格3[TOSHIBA/HIGHEST])</f>
        <v>Toshiba SRP</v>
      </c>
      <c r="W2299" s="86" t="str">
        <f>_xlfn.CONCAT(表格1[[#This Row],[欄4]],表格1[[#This Row],[inv no]])</f>
        <v>524872</v>
      </c>
    </row>
    <row r="2300" spans="1:23" hidden="1">
      <c r="A2300" s="81">
        <v>2298</v>
      </c>
      <c r="B2300" s="86" t="s">
        <v>1366</v>
      </c>
      <c r="C2300" s="86" t="s">
        <v>1853</v>
      </c>
      <c r="D2300" s="82" t="str">
        <f ca="1">OFFSET(Roster!$A$3,MATCH(表格1[[#This Row],[Location]]&amp;" "&amp;表格1[[#This Row],[Shop]]&amp;"*",Roster!$A$4:$A$72,0),DAY(表格1[[#This Row],[date]]),1,1)</f>
        <v>Maggie Yip</v>
      </c>
      <c r="E2300" s="86">
        <f>MONTH(表格1[[#This Row],[date]])</f>
        <v>3</v>
      </c>
      <c r="F2300" s="90">
        <v>46083</v>
      </c>
      <c r="G2300" s="86" t="str">
        <f>VLOOKUP("*"&amp;表格1[[#This Row],[Input]]&amp;"*",'Ref-List'!$B:$D,2,)</f>
        <v>ET-TD7080(PN)</v>
      </c>
      <c r="H2300" s="86" t="str">
        <f>_xlfn.XLOOKUP(表格1[[#This Row],[Model]],表格3[Model-Input-Ref2],表格3[Product Line])</f>
        <v>多士焗爐8L</v>
      </c>
      <c r="I2300" s="86" t="str">
        <f>_xlfn.XLOOKUP(表格1[[#This Row],[Model]],表格3[Model-Input-Ref2],表格3[大小電])</f>
        <v>細電</v>
      </c>
      <c r="J2300" s="86" t="str">
        <f>_xlfn.XLOOKUP(表格1[[#This Row],[Model]],表格3[Model-Input-Ref2],表格3[Code])</f>
        <v>SDA</v>
      </c>
      <c r="K2300" s="89">
        <v>7080</v>
      </c>
      <c r="L2300" s="86">
        <v>1</v>
      </c>
      <c r="M2300" s="87">
        <v>358</v>
      </c>
      <c r="N2300" s="85">
        <f>IFERROR(表格1[[#This Row],[QTY]]*表格1[[#This Row],[Unit Price]],"-")</f>
        <v>358</v>
      </c>
      <c r="O2300" s="86">
        <v>343750</v>
      </c>
      <c r="R2300" s="86" t="str">
        <f>_xlfn.CONCAT(表格1[[#This Row],[Model]]," ",表格1[[#This Row],[inv no]])</f>
        <v>ET-TD7080(PN) 343750</v>
      </c>
      <c r="S2300" s="86">
        <f>_xlfn.XLOOKUP(表格1[[#This Row],[Model]],表格3[Model-Input-Ref2],表格3[SRP PRICE])</f>
        <v>498</v>
      </c>
      <c r="T2300" s="43">
        <f>表格1[[#This Row],[Unit Price]]/表格1[[#This Row],[SRP]]</f>
        <v>0.71887550200803207</v>
      </c>
      <c r="U2300" s="86" t="str">
        <f>_xlfn.XLOOKUP(表格1[[#This Row],[Model]],表格3[Model-Input-Ref2],表格3[TOSHIBA/HIGHEST])</f>
        <v>Toshiba SRP</v>
      </c>
      <c r="W2300" s="86" t="str">
        <f>_xlfn.CONCAT(表格1[[#This Row],[欄4]],表格1[[#This Row],[inv no]])</f>
        <v>343750</v>
      </c>
    </row>
    <row r="2301" spans="1:23" hidden="1">
      <c r="A2301" s="81">
        <v>2299</v>
      </c>
      <c r="B2301" s="86" t="s">
        <v>1366</v>
      </c>
      <c r="C2301" s="86" t="s">
        <v>1853</v>
      </c>
      <c r="D2301" s="82" t="str">
        <f ca="1">OFFSET(Roster!$A$3,MATCH(表格1[[#This Row],[Location]]&amp;" "&amp;表格1[[#This Row],[Shop]]&amp;"*",Roster!$A$4:$A$72,0),DAY(表格1[[#This Row],[date]]),1,1)</f>
        <v>Maggie Yip</v>
      </c>
      <c r="E2301" s="86">
        <f>MONTH(表格1[[#This Row],[date]])</f>
        <v>3</v>
      </c>
      <c r="F2301" s="90">
        <v>46083</v>
      </c>
      <c r="G2301" s="86" t="str">
        <f>VLOOKUP("*"&amp;表格1[[#This Row],[Input]]&amp;"*",'Ref-List'!$B:$D,2,)</f>
        <v>RC-5MMIH(WT)</v>
      </c>
      <c r="H2301" s="86" t="str">
        <f>_xlfn.XLOOKUP(表格1[[#This Row],[Model]],表格3[Model-Input-Ref2],表格3[Product Line])</f>
        <v>4毫米厚釜電飯煲0.54L</v>
      </c>
      <c r="I2301" s="86" t="str">
        <f>_xlfn.XLOOKUP(表格1[[#This Row],[Model]],表格3[Model-Input-Ref2],表格3[大小電])</f>
        <v>細電</v>
      </c>
      <c r="J2301" s="86" t="str">
        <f>_xlfn.XLOOKUP(表格1[[#This Row],[Model]],表格3[Model-Input-Ref2],表格3[Code])</f>
        <v>SDA</v>
      </c>
      <c r="K2301" s="89" t="s">
        <v>1195</v>
      </c>
      <c r="L2301" s="86">
        <v>1</v>
      </c>
      <c r="M2301" s="87">
        <v>557</v>
      </c>
      <c r="N2301" s="85">
        <f>IFERROR(表格1[[#This Row],[QTY]]*表格1[[#This Row],[Unit Price]],"-")</f>
        <v>557</v>
      </c>
      <c r="O2301" s="142" t="s">
        <v>1854</v>
      </c>
      <c r="R2301" s="86" t="str">
        <f>_xlfn.CONCAT(表格1[[#This Row],[Model]]," ",表格1[[#This Row],[inv no]])</f>
        <v>RC-5MMIH(WT) 013988</v>
      </c>
      <c r="S2301" s="86">
        <f>_xlfn.XLOOKUP(表格1[[#This Row],[Model]],表格3[Model-Input-Ref2],表格3[SRP PRICE])</f>
        <v>618</v>
      </c>
      <c r="T2301" s="43">
        <f>表格1[[#This Row],[Unit Price]]/表格1[[#This Row],[SRP]]</f>
        <v>0.90129449838187703</v>
      </c>
      <c r="U2301" s="86" t="str">
        <f>_xlfn.XLOOKUP(表格1[[#This Row],[Model]],表格3[Model-Input-Ref2],表格3[TOSHIBA/HIGHEST])</f>
        <v>Toshiba SRP</v>
      </c>
      <c r="W2301" s="86" t="str">
        <f>_xlfn.CONCAT(表格1[[#This Row],[欄4]],表格1[[#This Row],[inv no]])</f>
        <v>013988</v>
      </c>
    </row>
    <row r="2302" spans="1:23" hidden="1">
      <c r="A2302" s="81">
        <v>2300</v>
      </c>
      <c r="B2302" s="86" t="s">
        <v>1366</v>
      </c>
      <c r="C2302" s="86" t="s">
        <v>1853</v>
      </c>
      <c r="D2302" s="82" t="str">
        <f ca="1">OFFSET(Roster!$A$3,MATCH(表格1[[#This Row],[Location]]&amp;" "&amp;表格1[[#This Row],[Shop]]&amp;"*",Roster!$A$4:$A$72,0),DAY(表格1[[#This Row],[date]]),1,1)</f>
        <v>Maggie Yip</v>
      </c>
      <c r="E2302" s="86">
        <f>MONTH(表格1[[#This Row],[date]])</f>
        <v>3</v>
      </c>
      <c r="F2302" s="90">
        <v>46086</v>
      </c>
      <c r="G2302" s="86" t="str">
        <f>VLOOKUP("*"&amp;表格1[[#This Row],[Input]]&amp;"*",'Ref-List'!$B:$D,2,)</f>
        <v>KT-17DRTHK(H)</v>
      </c>
      <c r="H2302" s="86" t="str">
        <f>_xlfn.XLOOKUP(表格1[[#This Row],[Model]],表格3[Model-Input-Ref2],表格3[Product Line])</f>
        <v>無線雙層電熱水壺(1.7公升)</v>
      </c>
      <c r="I2302" s="86" t="str">
        <f>_xlfn.XLOOKUP(表格1[[#This Row],[Model]],表格3[Model-Input-Ref2],表格3[大小電])</f>
        <v>細電</v>
      </c>
      <c r="J2302" s="86" t="str">
        <f>_xlfn.XLOOKUP(表格1[[#This Row],[Model]],表格3[Model-Input-Ref2],表格3[Code])</f>
        <v>SDA</v>
      </c>
      <c r="K2302" s="89" t="s">
        <v>1271</v>
      </c>
      <c r="L2302" s="86">
        <v>1</v>
      </c>
      <c r="M2302" s="87">
        <v>398</v>
      </c>
      <c r="N2302" s="85">
        <f>IFERROR(表格1[[#This Row],[QTY]]*表格1[[#This Row],[Unit Price]],"-")</f>
        <v>398</v>
      </c>
      <c r="O2302" s="86">
        <v>525234</v>
      </c>
      <c r="R2302" s="86" t="str">
        <f>_xlfn.CONCAT(表格1[[#This Row],[Model]]," ",表格1[[#This Row],[inv no]])</f>
        <v>KT-17DRTHK(H) 525234</v>
      </c>
      <c r="S2302" s="86">
        <f>_xlfn.XLOOKUP(表格1[[#This Row],[Model]],表格3[Model-Input-Ref2],表格3[SRP PRICE])</f>
        <v>498</v>
      </c>
      <c r="T2302" s="43">
        <f>表格1[[#This Row],[Unit Price]]/表格1[[#This Row],[SRP]]</f>
        <v>0.79919678714859432</v>
      </c>
      <c r="U2302" s="86" t="str">
        <f>_xlfn.XLOOKUP(表格1[[#This Row],[Model]],表格3[Model-Input-Ref2],表格3[TOSHIBA/HIGHEST])</f>
        <v>Toshiba SRP</v>
      </c>
      <c r="W2302" s="86" t="str">
        <f>_xlfn.CONCAT(表格1[[#This Row],[欄4]],表格1[[#This Row],[inv no]])</f>
        <v>525234</v>
      </c>
    </row>
    <row r="2303" spans="1:23" hidden="1">
      <c r="A2303" s="81">
        <v>2301</v>
      </c>
      <c r="B2303" s="86" t="s">
        <v>1366</v>
      </c>
      <c r="C2303" s="86" t="s">
        <v>1853</v>
      </c>
      <c r="D2303" s="82" t="str">
        <f ca="1">OFFSET(Roster!$A$3,MATCH(表格1[[#This Row],[Location]]&amp;" "&amp;表格1[[#This Row],[Shop]]&amp;"*",Roster!$A$4:$A$72,0),DAY(表格1[[#This Row],[date]]),1,1)</f>
        <v>Maggie Yip</v>
      </c>
      <c r="E2303" s="86">
        <f>MONTH(表格1[[#This Row],[date]])</f>
        <v>3</v>
      </c>
      <c r="F2303" s="90">
        <v>46086</v>
      </c>
      <c r="G2303" s="86" t="str">
        <f>VLOOKUP("*"&amp;表格1[[#This Row],[Input]]&amp;"*",'Ref-List'!$B:$D,2,)</f>
        <v>RAD-D200H</v>
      </c>
      <c r="H2303" s="86" t="str">
        <f>_xlfn.XLOOKUP(表格1[[#This Row],[Model]],表格3[Model-Input-Ref2],表格3[Product Line])</f>
        <v>壓縮式抽濕機 (22公升)</v>
      </c>
      <c r="I2303" s="86" t="str">
        <f>_xlfn.XLOOKUP(表格1[[#This Row],[Model]],表格3[Model-Input-Ref2],表格3[大小電])</f>
        <v>細電</v>
      </c>
      <c r="J2303" s="86" t="str">
        <f>_xlfn.XLOOKUP(表格1[[#This Row],[Model]],表格3[Model-Input-Ref2],表格3[Code])</f>
        <v>RAC</v>
      </c>
      <c r="K2303" s="89" t="s">
        <v>1250</v>
      </c>
      <c r="L2303" s="86">
        <v>1</v>
      </c>
      <c r="M2303" s="87">
        <v>1980</v>
      </c>
      <c r="N2303" s="85">
        <f>IFERROR(表格1[[#This Row],[QTY]]*表格1[[#This Row],[Unit Price]],"-")</f>
        <v>1980</v>
      </c>
      <c r="O2303" s="86">
        <v>344936</v>
      </c>
      <c r="R2303" s="86" t="str">
        <f>_xlfn.CONCAT(表格1[[#This Row],[Model]]," ",表格1[[#This Row],[inv no]])</f>
        <v>RAD-D200H 344936</v>
      </c>
      <c r="S2303" s="86">
        <f>_xlfn.XLOOKUP(表格1[[#This Row],[Model]],表格3[Model-Input-Ref2],表格3[SRP PRICE])</f>
        <v>2880</v>
      </c>
      <c r="T2303" s="43">
        <f>表格1[[#This Row],[Unit Price]]/表格1[[#This Row],[SRP]]</f>
        <v>0.6875</v>
      </c>
      <c r="U2303" s="86" t="str">
        <f>_xlfn.XLOOKUP(表格1[[#This Row],[Model]],表格3[Model-Input-Ref2],表格3[TOSHIBA/HIGHEST])</f>
        <v>Shops Highest Price</v>
      </c>
      <c r="W2303" s="86" t="str">
        <f>_xlfn.CONCAT(表格1[[#This Row],[欄4]],表格1[[#This Row],[inv no]])</f>
        <v>344936</v>
      </c>
    </row>
    <row r="2304" spans="1:23" hidden="1">
      <c r="A2304" s="81">
        <v>2302</v>
      </c>
      <c r="B2304" s="86" t="s">
        <v>1366</v>
      </c>
      <c r="C2304" s="86" t="s">
        <v>1853</v>
      </c>
      <c r="D2304" s="82" t="str">
        <f ca="1">OFFSET(Roster!$A$3,MATCH(表格1[[#This Row],[Location]]&amp;" "&amp;表格1[[#This Row],[Shop]]&amp;"*",Roster!$A$4:$A$72,0),DAY(表格1[[#This Row],[date]]),1,1)</f>
        <v>Maggie Yip</v>
      </c>
      <c r="E2304" s="86">
        <f>MONTH(表格1[[#This Row],[date]])</f>
        <v>3</v>
      </c>
      <c r="F2304" s="90">
        <v>46086</v>
      </c>
      <c r="G2304" s="86" t="str">
        <f>VLOOKUP("*"&amp;表格1[[#This Row],[Input]]&amp;"*",'Ref-List'!$B:$D,2,)</f>
        <v>RC-DS18K(N)</v>
      </c>
      <c r="H2304" s="86" t="str">
        <f>_xlfn.XLOOKUP(表格1[[#This Row],[Model]],表格3[Model-Input-Ref2],表格3[Product Line])</f>
        <v>IH磁應電飯煲</v>
      </c>
      <c r="I2304" s="86" t="str">
        <f>_xlfn.XLOOKUP(表格1[[#This Row],[Model]],表格3[Model-Input-Ref2],表格3[大小電])</f>
        <v>細電</v>
      </c>
      <c r="J2304" s="86" t="str">
        <f>_xlfn.XLOOKUP(表格1[[#This Row],[Model]],表格3[Model-Input-Ref2],表格3[Code])</f>
        <v>SDA</v>
      </c>
      <c r="K2304" s="89" t="s">
        <v>1498</v>
      </c>
      <c r="L2304" s="86">
        <v>1</v>
      </c>
      <c r="M2304" s="87">
        <v>3490</v>
      </c>
      <c r="N2304" s="85">
        <f>IFERROR(表格1[[#This Row],[QTY]]*表格1[[#This Row],[Unit Price]],"-")</f>
        <v>3490</v>
      </c>
      <c r="O2304" s="86">
        <v>318105</v>
      </c>
      <c r="R2304" s="86" t="str">
        <f>_xlfn.CONCAT(表格1[[#This Row],[Model]]," ",表格1[[#This Row],[inv no]])</f>
        <v>RC-DS18K(N) 318105</v>
      </c>
      <c r="S2304" s="86">
        <f>_xlfn.XLOOKUP(表格1[[#This Row],[Model]],表格3[Model-Input-Ref2],表格3[SRP PRICE])</f>
        <v>4988</v>
      </c>
      <c r="T2304" s="43">
        <f>表格1[[#This Row],[Unit Price]]/表格1[[#This Row],[SRP]]</f>
        <v>0.69967923015236566</v>
      </c>
      <c r="U2304" s="86" t="str">
        <f>_xlfn.XLOOKUP(表格1[[#This Row],[Model]],表格3[Model-Input-Ref2],表格3[TOSHIBA/HIGHEST])</f>
        <v>Toshiba SRP</v>
      </c>
      <c r="W2304" s="86" t="str">
        <f>_xlfn.CONCAT(表格1[[#This Row],[欄4]],表格1[[#This Row],[inv no]])</f>
        <v>318105</v>
      </c>
    </row>
    <row r="2305" spans="1:23" hidden="1">
      <c r="A2305" s="81">
        <v>2303</v>
      </c>
      <c r="B2305" s="86" t="s">
        <v>1366</v>
      </c>
      <c r="C2305" s="86" t="s">
        <v>1853</v>
      </c>
      <c r="D2305" s="82" t="str">
        <f ca="1">OFFSET(Roster!$A$3,MATCH(表格1[[#This Row],[Location]]&amp;" "&amp;表格1[[#This Row],[Shop]]&amp;"*",Roster!$A$4:$A$72,0),DAY(表格1[[#This Row],[date]]),1,1)</f>
        <v>Maggie Yip</v>
      </c>
      <c r="E2305" s="86">
        <f>MONTH(表格1[[#This Row],[date]])</f>
        <v>3</v>
      </c>
      <c r="F2305" s="90">
        <v>46087</v>
      </c>
      <c r="G2305" s="86" t="str">
        <f>VLOOKUP("*"&amp;表格1[[#This Row],[Input]]&amp;"*",'Ref-List'!$B:$D,2,)</f>
        <v>KT-08DH1VHK(W)</v>
      </c>
      <c r="H2305" s="86" t="str">
        <f>_xlfn.XLOOKUP(表格1[[#This Row],[Model]],表格3[Model-Input-Ref2],表格3[Product Line])</f>
        <v>無線雙層電熱水壺-附可鎖壺蓋(0.8公升)</v>
      </c>
      <c r="I2305" s="86" t="str">
        <f>_xlfn.XLOOKUP(表格1[[#This Row],[Model]],表格3[Model-Input-Ref2],表格3[大小電])</f>
        <v>細電</v>
      </c>
      <c r="J2305" s="86" t="str">
        <f>_xlfn.XLOOKUP(表格1[[#This Row],[Model]],表格3[Model-Input-Ref2],表格3[Code])</f>
        <v>SDA</v>
      </c>
      <c r="K2305" s="89" t="s">
        <v>1268</v>
      </c>
      <c r="L2305" s="86">
        <v>1</v>
      </c>
      <c r="M2305" s="87">
        <v>268</v>
      </c>
      <c r="N2305" s="85">
        <f>IFERROR(表格1[[#This Row],[QTY]]*表格1[[#This Row],[Unit Price]],"-")</f>
        <v>268</v>
      </c>
      <c r="O2305" s="86">
        <v>525708</v>
      </c>
      <c r="R2305" s="86" t="str">
        <f>_xlfn.CONCAT(表格1[[#This Row],[Model]]," ",表格1[[#This Row],[inv no]])</f>
        <v>KT-08DH1VHK(W) 525708</v>
      </c>
      <c r="S2305" s="86">
        <f>_xlfn.XLOOKUP(表格1[[#This Row],[Model]],表格3[Model-Input-Ref2],表格3[SRP PRICE])</f>
        <v>428</v>
      </c>
      <c r="T2305" s="43">
        <f>表格1[[#This Row],[Unit Price]]/表格1[[#This Row],[SRP]]</f>
        <v>0.62616822429906538</v>
      </c>
      <c r="U2305" s="86" t="str">
        <f>_xlfn.XLOOKUP(表格1[[#This Row],[Model]],表格3[Model-Input-Ref2],表格3[TOSHIBA/HIGHEST])</f>
        <v>Toshiba SRP</v>
      </c>
      <c r="W2305" s="86" t="str">
        <f>_xlfn.CONCAT(表格1[[#This Row],[欄4]],表格1[[#This Row],[inv no]])</f>
        <v>525708</v>
      </c>
    </row>
    <row r="2306" spans="1:23" hidden="1">
      <c r="A2306" s="81">
        <v>2304</v>
      </c>
      <c r="B2306" s="86" t="s">
        <v>1366</v>
      </c>
      <c r="C2306" s="86" t="s">
        <v>1853</v>
      </c>
      <c r="D2306" s="82" t="str">
        <f ca="1">OFFSET(Roster!$A$3,MATCH(表格1[[#This Row],[Location]]&amp;" "&amp;表格1[[#This Row],[Shop]]&amp;"*",Roster!$A$4:$A$72,0),DAY(表格1[[#This Row],[date]]),1,1)</f>
        <v>Maggie Yip</v>
      </c>
      <c r="E2306" s="86">
        <f>MONTH(表格1[[#This Row],[date]])</f>
        <v>3</v>
      </c>
      <c r="F2306" s="90">
        <v>46087</v>
      </c>
      <c r="G2306" s="86" t="str">
        <f>VLOOKUP("*"&amp;表格1[[#This Row],[Input]]&amp;"*",'Ref-List'!$B:$D,2,)</f>
        <v>IC-21TSHK</v>
      </c>
      <c r="H2306" s="86" t="str">
        <f>_xlfn.XLOOKUP(表格1[[#This Row],[Model]],表格3[Model-Input-Ref2],表格3[Product Line])</f>
        <v>Induction Cooker</v>
      </c>
      <c r="I2306" s="86" t="str">
        <f>_xlfn.XLOOKUP(表格1[[#This Row],[Model]],表格3[Model-Input-Ref2],表格3[大小電])</f>
        <v>細電</v>
      </c>
      <c r="J2306" s="86" t="str">
        <f>_xlfn.XLOOKUP(表格1[[#This Row],[Model]],表格3[Model-Input-Ref2],表格3[Code])</f>
        <v>SDA</v>
      </c>
      <c r="K2306" s="89" t="s">
        <v>1242</v>
      </c>
      <c r="L2306" s="86">
        <v>1</v>
      </c>
      <c r="M2306" s="87">
        <v>798</v>
      </c>
      <c r="N2306" s="85">
        <f>IFERROR(表格1[[#This Row],[QTY]]*表格1[[#This Row],[Unit Price]],"-")</f>
        <v>798</v>
      </c>
      <c r="O2306" s="86">
        <v>525841</v>
      </c>
      <c r="R2306" s="86" t="str">
        <f>_xlfn.CONCAT(表格1[[#This Row],[Model]]," ",表格1[[#This Row],[inv no]])</f>
        <v>IC-21TSHK 525841</v>
      </c>
      <c r="S2306" s="86">
        <f>_xlfn.XLOOKUP(表格1[[#This Row],[Model]],表格3[Model-Input-Ref2],表格3[SRP PRICE])</f>
        <v>998</v>
      </c>
      <c r="T2306" s="43">
        <f>表格1[[#This Row],[Unit Price]]/表格1[[#This Row],[SRP]]</f>
        <v>0.79959919839679361</v>
      </c>
      <c r="U2306" s="86" t="str">
        <f>_xlfn.XLOOKUP(表格1[[#This Row],[Model]],表格3[Model-Input-Ref2],表格3[TOSHIBA/HIGHEST])</f>
        <v>web SRP</v>
      </c>
      <c r="W2306" s="86" t="str">
        <f>_xlfn.CONCAT(表格1[[#This Row],[欄4]],表格1[[#This Row],[inv no]])</f>
        <v>525841</v>
      </c>
    </row>
    <row r="2307" spans="1:23" hidden="1">
      <c r="A2307" s="81">
        <v>2305</v>
      </c>
      <c r="B2307" s="86" t="s">
        <v>1366</v>
      </c>
      <c r="C2307" s="86" t="s">
        <v>1853</v>
      </c>
      <c r="D2307" s="82" t="str">
        <f ca="1">OFFSET(Roster!$A$3,MATCH(表格1[[#This Row],[Location]]&amp;" "&amp;表格1[[#This Row],[Shop]]&amp;"*",Roster!$A$4:$A$72,0),DAY(表格1[[#This Row],[date]]),1,1)</f>
        <v>Maggie Yip</v>
      </c>
      <c r="E2307" s="86">
        <f>MONTH(表格1[[#This Row],[date]])</f>
        <v>3</v>
      </c>
      <c r="F2307" s="90">
        <v>46087</v>
      </c>
      <c r="G2307" s="86" t="str">
        <f>VLOOKUP("*"&amp;表格1[[#This Row],[Input]]&amp;"*",'Ref-List'!$B:$D,2,)</f>
        <v>ET-TD7080(PN)</v>
      </c>
      <c r="H2307" s="86" t="str">
        <f>_xlfn.XLOOKUP(表格1[[#This Row],[Model]],表格3[Model-Input-Ref2],表格3[Product Line])</f>
        <v>多士焗爐8L</v>
      </c>
      <c r="I2307" s="86" t="str">
        <f>_xlfn.XLOOKUP(表格1[[#This Row],[Model]],表格3[Model-Input-Ref2],表格3[大小電])</f>
        <v>細電</v>
      </c>
      <c r="J2307" s="86" t="str">
        <f>_xlfn.XLOOKUP(表格1[[#This Row],[Model]],表格3[Model-Input-Ref2],表格3[Code])</f>
        <v>SDA</v>
      </c>
      <c r="K2307" s="89">
        <v>7080</v>
      </c>
      <c r="L2307" s="86">
        <v>1</v>
      </c>
      <c r="M2307" s="87">
        <v>358</v>
      </c>
      <c r="N2307" s="85">
        <f>IFERROR(表格1[[#This Row],[QTY]]*表格1[[#This Row],[Unit Price]],"-")</f>
        <v>358</v>
      </c>
      <c r="O2307" s="86">
        <v>525937</v>
      </c>
      <c r="R2307" s="86" t="str">
        <f>_xlfn.CONCAT(表格1[[#This Row],[Model]]," ",表格1[[#This Row],[inv no]])</f>
        <v>ET-TD7080(PN) 525937</v>
      </c>
      <c r="S2307" s="86">
        <f>_xlfn.XLOOKUP(表格1[[#This Row],[Model]],表格3[Model-Input-Ref2],表格3[SRP PRICE])</f>
        <v>498</v>
      </c>
      <c r="T2307" s="43">
        <f>表格1[[#This Row],[Unit Price]]/表格1[[#This Row],[SRP]]</f>
        <v>0.71887550200803207</v>
      </c>
      <c r="U2307" s="86" t="str">
        <f>_xlfn.XLOOKUP(表格1[[#This Row],[Model]],表格3[Model-Input-Ref2],表格3[TOSHIBA/HIGHEST])</f>
        <v>Toshiba SRP</v>
      </c>
      <c r="W2307" s="86" t="str">
        <f>_xlfn.CONCAT(表格1[[#This Row],[欄4]],表格1[[#This Row],[inv no]])</f>
        <v>525937</v>
      </c>
    </row>
    <row r="2308" spans="1:23" hidden="1">
      <c r="A2308" s="81">
        <v>2306</v>
      </c>
      <c r="B2308" s="86" t="s">
        <v>1366</v>
      </c>
      <c r="C2308" s="86" t="s">
        <v>1853</v>
      </c>
      <c r="D2308" s="82" t="str">
        <f ca="1">OFFSET(Roster!$A$3,MATCH(表格1[[#This Row],[Location]]&amp;" "&amp;表格1[[#This Row],[Shop]]&amp;"*",Roster!$A$4:$A$72,0),DAY(表格1[[#This Row],[date]]),1,1)</f>
        <v>Maggie Yip</v>
      </c>
      <c r="E2308" s="86">
        <f>MONTH(表格1[[#This Row],[date]])</f>
        <v>3</v>
      </c>
      <c r="F2308" s="90">
        <v>46087</v>
      </c>
      <c r="G2308" s="86" t="str">
        <f>VLOOKUP("*"&amp;表格1[[#This Row],[Input]]&amp;"*",'Ref-List'!$B:$D,2,)</f>
        <v>RC-DS10K(N)</v>
      </c>
      <c r="H2308" s="86" t="str">
        <f>_xlfn.XLOOKUP(表格1[[#This Row],[Model]],表格3[Model-Input-Ref2],表格3[Product Line])</f>
        <v>IH磁應電飯煲</v>
      </c>
      <c r="I2308" s="86" t="str">
        <f>_xlfn.XLOOKUP(表格1[[#This Row],[Model]],表格3[Model-Input-Ref2],表格3[大小電])</f>
        <v>細電</v>
      </c>
      <c r="J2308" s="86" t="str">
        <f>_xlfn.XLOOKUP(表格1[[#This Row],[Model]],表格3[Model-Input-Ref2],表格3[Code])</f>
        <v>SDA</v>
      </c>
      <c r="K2308" s="89" t="s">
        <v>1633</v>
      </c>
      <c r="L2308" s="86">
        <v>1</v>
      </c>
      <c r="M2308" s="87">
        <v>3150</v>
      </c>
      <c r="N2308" s="85">
        <f>IFERROR(表格1[[#This Row],[QTY]]*表格1[[#This Row],[Unit Price]],"-")</f>
        <v>3150</v>
      </c>
      <c r="O2308" s="86">
        <v>525979</v>
      </c>
      <c r="R2308" s="86" t="str">
        <f>_xlfn.CONCAT(表格1[[#This Row],[Model]]," ",表格1[[#This Row],[inv no]])</f>
        <v>RC-DS10K(N) 525979</v>
      </c>
      <c r="S2308" s="86">
        <f>_xlfn.XLOOKUP(表格1[[#This Row],[Model]],表格3[Model-Input-Ref2],表格3[SRP PRICE])</f>
        <v>4588</v>
      </c>
      <c r="T2308" s="43">
        <f>表格1[[#This Row],[Unit Price]]/表格1[[#This Row],[SRP]]</f>
        <v>0.68657367044463824</v>
      </c>
      <c r="U2308" s="86" t="str">
        <f>_xlfn.XLOOKUP(表格1[[#This Row],[Model]],表格3[Model-Input-Ref2],表格3[TOSHIBA/HIGHEST])</f>
        <v>Toshiba SRP</v>
      </c>
      <c r="W2308" s="86" t="str">
        <f>_xlfn.CONCAT(表格1[[#This Row],[欄4]],表格1[[#This Row],[inv no]])</f>
        <v>525979</v>
      </c>
    </row>
    <row r="2309" spans="1:23" hidden="1">
      <c r="A2309" s="81">
        <v>2307</v>
      </c>
      <c r="B2309" s="86" t="s">
        <v>1366</v>
      </c>
      <c r="C2309" s="86" t="s">
        <v>1853</v>
      </c>
      <c r="D2309" s="82" t="str">
        <f ca="1">OFFSET(Roster!$A$3,MATCH(表格1[[#This Row],[Location]]&amp;" "&amp;表格1[[#This Row],[Shop]]&amp;"*",Roster!$A$4:$A$72,0),DAY(表格1[[#This Row],[date]]),1,1)</f>
        <v>Maggie Yip</v>
      </c>
      <c r="E2309" s="86">
        <f>MONTH(表格1[[#This Row],[date]])</f>
        <v>3</v>
      </c>
      <c r="F2309" s="90">
        <v>46087</v>
      </c>
      <c r="G2309" s="86" t="str">
        <f>VLOOKUP("*"&amp;表格1[[#This Row],[Input]]&amp;"*",'Ref-List'!$B:$D,2,)</f>
        <v>RC-5SLIH(W)</v>
      </c>
      <c r="H2309" s="86" t="str">
        <f>_xlfn.XLOOKUP(表格1[[#This Row],[Model]],表格3[Model-Input-Ref2],表格3[Product Line])</f>
        <v>微型電腦珍珠飯煲</v>
      </c>
      <c r="I2309" s="86" t="str">
        <f>_xlfn.XLOOKUP(表格1[[#This Row],[Model]],表格3[Model-Input-Ref2],表格3[大小電])</f>
        <v>細電</v>
      </c>
      <c r="J2309" s="86" t="str">
        <f>_xlfn.XLOOKUP(表格1[[#This Row],[Model]],表格3[Model-Input-Ref2],表格3[Code])</f>
        <v>SDA</v>
      </c>
      <c r="K2309" s="89" t="s">
        <v>1264</v>
      </c>
      <c r="L2309" s="86">
        <v>1</v>
      </c>
      <c r="M2309" s="87">
        <v>593</v>
      </c>
      <c r="N2309" s="85">
        <f>IFERROR(表格1[[#This Row],[QTY]]*表格1[[#This Row],[Unit Price]],"-")</f>
        <v>593</v>
      </c>
      <c r="O2309" s="86">
        <v>526026</v>
      </c>
      <c r="R2309" s="86" t="str">
        <f>_xlfn.CONCAT(表格1[[#This Row],[Model]]," ",表格1[[#This Row],[inv no]])</f>
        <v>RC-5SLIH(W) 526026</v>
      </c>
      <c r="S2309" s="86">
        <f>_xlfn.XLOOKUP(表格1[[#This Row],[Model]],表格3[Model-Input-Ref2],表格3[SRP PRICE])</f>
        <v>658</v>
      </c>
      <c r="T2309" s="43">
        <f>表格1[[#This Row],[Unit Price]]/表格1[[#This Row],[SRP]]</f>
        <v>0.90121580547112456</v>
      </c>
      <c r="U2309" s="86" t="str">
        <f>_xlfn.XLOOKUP(表格1[[#This Row],[Model]],表格3[Model-Input-Ref2],表格3[TOSHIBA/HIGHEST])</f>
        <v>Toshiba SRP</v>
      </c>
      <c r="W2309" s="86" t="str">
        <f>_xlfn.CONCAT(表格1[[#This Row],[欄4]],表格1[[#This Row],[inv no]])</f>
        <v>526026</v>
      </c>
    </row>
    <row r="2310" spans="1:23" hidden="1">
      <c r="A2310" s="81">
        <v>2308</v>
      </c>
      <c r="B2310" s="86" t="s">
        <v>1366</v>
      </c>
      <c r="C2310" s="86" t="s">
        <v>1853</v>
      </c>
      <c r="D2310" s="82" t="str">
        <f ca="1">OFFSET(Roster!$A$3,MATCH(表格1[[#This Row],[Location]]&amp;" "&amp;表格1[[#This Row],[Shop]]&amp;"*",Roster!$A$4:$A$72,0),DAY(表格1[[#This Row],[date]]),1,1)</f>
        <v>Maggie Yip</v>
      </c>
      <c r="E2310" s="86">
        <f>MONTH(表格1[[#This Row],[date]])</f>
        <v>3</v>
      </c>
      <c r="F2310" s="90">
        <v>46087</v>
      </c>
      <c r="G2310" s="86" t="str">
        <f>VLOOKUP("*"&amp;表格1[[#This Row],[Input]]&amp;"*",'Ref-List'!$B:$D,2,)</f>
        <v>KT-17DRTHK(H)</v>
      </c>
      <c r="H2310" s="86" t="str">
        <f>_xlfn.XLOOKUP(表格1[[#This Row],[Model]],表格3[Model-Input-Ref2],表格3[Product Line])</f>
        <v>無線雙層電熱水壺(1.7公升)</v>
      </c>
      <c r="I2310" s="86" t="str">
        <f>_xlfn.XLOOKUP(表格1[[#This Row],[Model]],表格3[Model-Input-Ref2],表格3[大小電])</f>
        <v>細電</v>
      </c>
      <c r="J2310" s="86" t="str">
        <f>_xlfn.XLOOKUP(表格1[[#This Row],[Model]],表格3[Model-Input-Ref2],表格3[Code])</f>
        <v>SDA</v>
      </c>
      <c r="K2310" s="89" t="s">
        <v>1271</v>
      </c>
      <c r="L2310" s="86">
        <v>1</v>
      </c>
      <c r="M2310" s="87">
        <v>388</v>
      </c>
      <c r="N2310" s="85">
        <f>IFERROR(表格1[[#This Row],[QTY]]*表格1[[#This Row],[Unit Price]],"-")</f>
        <v>388</v>
      </c>
      <c r="O2310" s="86">
        <v>526026</v>
      </c>
      <c r="R2310" s="86" t="str">
        <f>_xlfn.CONCAT(表格1[[#This Row],[Model]]," ",表格1[[#This Row],[inv no]])</f>
        <v>KT-17DRTHK(H) 526026</v>
      </c>
      <c r="S2310" s="86">
        <f>_xlfn.XLOOKUP(表格1[[#This Row],[Model]],表格3[Model-Input-Ref2],表格3[SRP PRICE])</f>
        <v>498</v>
      </c>
      <c r="T2310" s="43">
        <f>表格1[[#This Row],[Unit Price]]/表格1[[#This Row],[SRP]]</f>
        <v>0.77911646586345384</v>
      </c>
      <c r="U2310" s="86" t="str">
        <f>_xlfn.XLOOKUP(表格1[[#This Row],[Model]],表格3[Model-Input-Ref2],表格3[TOSHIBA/HIGHEST])</f>
        <v>Toshiba SRP</v>
      </c>
      <c r="W2310" s="86" t="str">
        <f>_xlfn.CONCAT(表格1[[#This Row],[欄4]],表格1[[#This Row],[inv no]])</f>
        <v>526026</v>
      </c>
    </row>
    <row r="2311" spans="1:23" hidden="1">
      <c r="A2311" s="81">
        <v>2309</v>
      </c>
      <c r="B2311" s="86" t="s">
        <v>1366</v>
      </c>
      <c r="C2311" s="86" t="s">
        <v>1853</v>
      </c>
      <c r="D2311" s="82" t="str">
        <f ca="1">OFFSET(Roster!$A$3,MATCH(表格1[[#This Row],[Location]]&amp;" "&amp;表格1[[#This Row],[Shop]]&amp;"*",Roster!$A$4:$A$72,0),DAY(表格1[[#This Row],[date]]),1,1)</f>
        <v>Maggie Yip</v>
      </c>
      <c r="E2311" s="86">
        <f>MONTH(表格1[[#This Row],[date]])</f>
        <v>3</v>
      </c>
      <c r="F2311" s="90">
        <v>46087</v>
      </c>
      <c r="G2311" s="86" t="str">
        <f>VLOOKUP("*"&amp;表格1[[#This Row],[Input]]&amp;"*",'Ref-List'!$B:$D,2,)</f>
        <v>RC-10IRPH</v>
      </c>
      <c r="H2311" s="86" t="str">
        <f>_xlfn.XLOOKUP(表格1[[#This Row],[Model]],表格3[Model-Input-Ref2],表格3[Product Line])</f>
        <v>低醣磁應電飯煲1L</v>
      </c>
      <c r="I2311" s="86" t="str">
        <f>_xlfn.XLOOKUP(表格1[[#This Row],[Model]],表格3[Model-Input-Ref2],表格3[大小電])</f>
        <v>細電</v>
      </c>
      <c r="J2311" s="86" t="str">
        <f>_xlfn.XLOOKUP(表格1[[#This Row],[Model]],表格3[Model-Input-Ref2],表格3[Code])</f>
        <v>SDA</v>
      </c>
      <c r="K2311" s="89" t="s">
        <v>1297</v>
      </c>
      <c r="L2311" s="86">
        <v>1</v>
      </c>
      <c r="M2311" s="87">
        <v>798</v>
      </c>
      <c r="N2311" s="85">
        <f>IFERROR(表格1[[#This Row],[QTY]]*表格1[[#This Row],[Unit Price]],"-")</f>
        <v>798</v>
      </c>
      <c r="O2311" s="86">
        <v>526191</v>
      </c>
      <c r="R2311" s="86" t="str">
        <f>_xlfn.CONCAT(表格1[[#This Row],[Model]]," ",表格1[[#This Row],[inv no]])</f>
        <v>RC-10IRPH 526191</v>
      </c>
      <c r="S2311" s="86">
        <f>_xlfn.XLOOKUP(表格1[[#This Row],[Model]],表格3[Model-Input-Ref2],表格3[SRP PRICE])</f>
        <v>1388</v>
      </c>
      <c r="T2311" s="43">
        <f>表格1[[#This Row],[Unit Price]]/表格1[[#This Row],[SRP]]</f>
        <v>0.5749279538904899</v>
      </c>
      <c r="U2311" s="86" t="str">
        <f>_xlfn.XLOOKUP(表格1[[#This Row],[Model]],表格3[Model-Input-Ref2],表格3[TOSHIBA/HIGHEST])</f>
        <v>Toshiba SRP</v>
      </c>
      <c r="W2311" s="86" t="str">
        <f>_xlfn.CONCAT(表格1[[#This Row],[欄4]],表格1[[#This Row],[inv no]])</f>
        <v>526191</v>
      </c>
    </row>
    <row r="2312" spans="1:23" hidden="1">
      <c r="A2312" s="81">
        <v>2310</v>
      </c>
      <c r="B2312" s="86" t="s">
        <v>1366</v>
      </c>
      <c r="C2312" s="86" t="s">
        <v>1853</v>
      </c>
      <c r="D2312" s="82" t="str">
        <f ca="1">OFFSET(Roster!$A$3,MATCH(表格1[[#This Row],[Location]]&amp;" "&amp;表格1[[#This Row],[Shop]]&amp;"*",Roster!$A$4:$A$72,0),DAY(表格1[[#This Row],[date]]),1,1)</f>
        <v>Maggie Yip</v>
      </c>
      <c r="E2312" s="86">
        <f>MONTH(表格1[[#This Row],[date]])</f>
        <v>3</v>
      </c>
      <c r="F2312" s="90">
        <v>46088</v>
      </c>
      <c r="G2312" s="86" t="str">
        <f>VLOOKUP("*"&amp;表格1[[#This Row],[Input]]&amp;"*",'Ref-List'!$B:$D,2,)</f>
        <v>KT-17SHNH</v>
      </c>
      <c r="H2312" s="86" t="str">
        <f>_xlfn.XLOOKUP(表格1[[#This Row],[Model]],表格3[Model-Input-Ref2],表格3[Product Line])</f>
        <v>1.7L無線雙層電熱水壺</v>
      </c>
      <c r="I2312" s="86" t="str">
        <f>_xlfn.XLOOKUP(表格1[[#This Row],[Model]],表格3[Model-Input-Ref2],表格3[大小電])</f>
        <v>細電</v>
      </c>
      <c r="J2312" s="86" t="str">
        <f>_xlfn.XLOOKUP(表格1[[#This Row],[Model]],表格3[Model-Input-Ref2],表格3[Code])</f>
        <v>SDA</v>
      </c>
      <c r="K2312" s="89" t="s">
        <v>1283</v>
      </c>
      <c r="L2312" s="86">
        <v>1</v>
      </c>
      <c r="M2312" s="87">
        <v>198</v>
      </c>
      <c r="N2312" s="85">
        <f>IFERROR(表格1[[#This Row],[QTY]]*表格1[[#This Row],[Unit Price]],"-")</f>
        <v>198</v>
      </c>
      <c r="O2312" s="86">
        <v>345474</v>
      </c>
      <c r="R2312" s="86" t="str">
        <f>_xlfn.CONCAT(表格1[[#This Row],[Model]]," ",表格1[[#This Row],[inv no]])</f>
        <v>KT-17SHNH 345474</v>
      </c>
      <c r="S2312" s="86">
        <f>_xlfn.XLOOKUP(表格1[[#This Row],[Model]],表格3[Model-Input-Ref2],表格3[SRP PRICE])</f>
        <v>299</v>
      </c>
      <c r="T2312" s="43">
        <f>表格1[[#This Row],[Unit Price]]/表格1[[#This Row],[SRP]]</f>
        <v>0.66220735785953178</v>
      </c>
      <c r="U2312" s="86" t="str">
        <f>_xlfn.XLOOKUP(表格1[[#This Row],[Model]],表格3[Model-Input-Ref2],表格3[TOSHIBA/HIGHEST])</f>
        <v>Shops Highest Price</v>
      </c>
      <c r="W2312" s="86" t="str">
        <f>_xlfn.CONCAT(表格1[[#This Row],[欄4]],表格1[[#This Row],[inv no]])</f>
        <v>345474</v>
      </c>
    </row>
    <row r="2313" spans="1:23" hidden="1">
      <c r="A2313" s="81">
        <v>2311</v>
      </c>
      <c r="B2313" s="86" t="s">
        <v>1366</v>
      </c>
      <c r="C2313" s="86" t="s">
        <v>1853</v>
      </c>
      <c r="D2313" s="82" t="str">
        <f ca="1">OFFSET(Roster!$A$3,MATCH(表格1[[#This Row],[Location]]&amp;" "&amp;表格1[[#This Row],[Shop]]&amp;"*",Roster!$A$4:$A$72,0),DAY(表格1[[#This Row],[date]]),1,1)</f>
        <v>Maggie Yip</v>
      </c>
      <c r="E2313" s="86">
        <f>MONTH(表格1[[#This Row],[date]])</f>
        <v>3</v>
      </c>
      <c r="F2313" s="90">
        <v>46088</v>
      </c>
      <c r="G2313" s="86" t="str">
        <f>VLOOKUP("*"&amp;表格1[[#This Row],[Input]]&amp;"*",'Ref-List'!$B:$D,2,)</f>
        <v>RAD-D200H</v>
      </c>
      <c r="H2313" s="86" t="str">
        <f>_xlfn.XLOOKUP(表格1[[#This Row],[Model]],表格3[Model-Input-Ref2],表格3[Product Line])</f>
        <v>壓縮式抽濕機 (22公升)</v>
      </c>
      <c r="I2313" s="86" t="str">
        <f>_xlfn.XLOOKUP(表格1[[#This Row],[Model]],表格3[Model-Input-Ref2],表格3[大小電])</f>
        <v>細電</v>
      </c>
      <c r="J2313" s="86" t="str">
        <f>_xlfn.XLOOKUP(表格1[[#This Row],[Model]],表格3[Model-Input-Ref2],表格3[Code])</f>
        <v>RAC</v>
      </c>
      <c r="K2313" s="89" t="s">
        <v>1250</v>
      </c>
      <c r="L2313" s="86">
        <v>1</v>
      </c>
      <c r="M2313" s="87">
        <v>1980</v>
      </c>
      <c r="N2313" s="85">
        <f>IFERROR(表格1[[#This Row],[QTY]]*表格1[[#This Row],[Unit Price]],"-")</f>
        <v>1980</v>
      </c>
      <c r="O2313" s="86">
        <v>526380</v>
      </c>
      <c r="R2313" s="86" t="str">
        <f>_xlfn.CONCAT(表格1[[#This Row],[Model]]," ",表格1[[#This Row],[inv no]])</f>
        <v>RAD-D200H 526380</v>
      </c>
      <c r="S2313" s="86">
        <f>_xlfn.XLOOKUP(表格1[[#This Row],[Model]],表格3[Model-Input-Ref2],表格3[SRP PRICE])</f>
        <v>2880</v>
      </c>
      <c r="T2313" s="43">
        <f>表格1[[#This Row],[Unit Price]]/表格1[[#This Row],[SRP]]</f>
        <v>0.6875</v>
      </c>
      <c r="U2313" s="86" t="str">
        <f>_xlfn.XLOOKUP(表格1[[#This Row],[Model]],表格3[Model-Input-Ref2],表格3[TOSHIBA/HIGHEST])</f>
        <v>Shops Highest Price</v>
      </c>
      <c r="W2313" s="86" t="str">
        <f>_xlfn.CONCAT(表格1[[#This Row],[欄4]],表格1[[#This Row],[inv no]])</f>
        <v>526380</v>
      </c>
    </row>
    <row r="2314" spans="1:23" hidden="1">
      <c r="A2314" s="81">
        <v>2312</v>
      </c>
      <c r="B2314" s="86" t="s">
        <v>1366</v>
      </c>
      <c r="C2314" s="86" t="s">
        <v>1853</v>
      </c>
      <c r="D2314" s="82" t="str">
        <f ca="1">OFFSET(Roster!$A$3,MATCH(表格1[[#This Row],[Location]]&amp;" "&amp;表格1[[#This Row],[Shop]]&amp;"*",Roster!$A$4:$A$72,0),DAY(表格1[[#This Row],[date]]),1,1)</f>
        <v>Maggie Yip</v>
      </c>
      <c r="E2314" s="86">
        <f>MONTH(表格1[[#This Row],[date]])</f>
        <v>3</v>
      </c>
      <c r="F2314" s="90">
        <v>46088</v>
      </c>
      <c r="G2314" s="86" t="str">
        <f>VLOOKUP("*"&amp;表格1[[#This Row],[Input]]&amp;"*",'Ref-List'!$B:$D,2,)</f>
        <v>RC-10IRPH</v>
      </c>
      <c r="H2314" s="86" t="str">
        <f>_xlfn.XLOOKUP(表格1[[#This Row],[Model]],表格3[Model-Input-Ref2],表格3[Product Line])</f>
        <v>低醣磁應電飯煲1L</v>
      </c>
      <c r="I2314" s="86" t="str">
        <f>_xlfn.XLOOKUP(表格1[[#This Row],[Model]],表格3[Model-Input-Ref2],表格3[大小電])</f>
        <v>細電</v>
      </c>
      <c r="J2314" s="86" t="str">
        <f>_xlfn.XLOOKUP(表格1[[#This Row],[Model]],表格3[Model-Input-Ref2],表格3[Code])</f>
        <v>SDA</v>
      </c>
      <c r="K2314" s="89" t="s">
        <v>1297</v>
      </c>
      <c r="L2314" s="86">
        <v>1</v>
      </c>
      <c r="M2314" s="87">
        <v>798</v>
      </c>
      <c r="N2314" s="85">
        <f>IFERROR(表格1[[#This Row],[QTY]]*表格1[[#This Row],[Unit Price]],"-")</f>
        <v>798</v>
      </c>
      <c r="O2314" s="86">
        <v>345583</v>
      </c>
      <c r="R2314" s="86" t="str">
        <f>_xlfn.CONCAT(表格1[[#This Row],[Model]]," ",表格1[[#This Row],[inv no]])</f>
        <v>RC-10IRPH 345583</v>
      </c>
      <c r="S2314" s="86">
        <f>_xlfn.XLOOKUP(表格1[[#This Row],[Model]],表格3[Model-Input-Ref2],表格3[SRP PRICE])</f>
        <v>1388</v>
      </c>
      <c r="T2314" s="43">
        <f>表格1[[#This Row],[Unit Price]]/表格1[[#This Row],[SRP]]</f>
        <v>0.5749279538904899</v>
      </c>
      <c r="U2314" s="86" t="str">
        <f>_xlfn.XLOOKUP(表格1[[#This Row],[Model]],表格3[Model-Input-Ref2],表格3[TOSHIBA/HIGHEST])</f>
        <v>Toshiba SRP</v>
      </c>
      <c r="W2314" s="86" t="str">
        <f>_xlfn.CONCAT(表格1[[#This Row],[欄4]],表格1[[#This Row],[inv no]])</f>
        <v>345583</v>
      </c>
    </row>
    <row r="2315" spans="1:23" hidden="1">
      <c r="A2315" s="81">
        <v>2313</v>
      </c>
      <c r="B2315" s="86" t="s">
        <v>1366</v>
      </c>
      <c r="C2315" s="86" t="s">
        <v>1853</v>
      </c>
      <c r="D2315" s="82" t="str">
        <f ca="1">OFFSET(Roster!$A$3,MATCH(表格1[[#This Row],[Location]]&amp;" "&amp;表格1[[#This Row],[Shop]]&amp;"*",Roster!$A$4:$A$72,0),DAY(表格1[[#This Row],[date]]),1,1)</f>
        <v>Maggie Yip</v>
      </c>
      <c r="E2315" s="86">
        <f>MONTH(表格1[[#This Row],[date]])</f>
        <v>3</v>
      </c>
      <c r="F2315" s="90">
        <v>46088</v>
      </c>
      <c r="G2315" s="86" t="str">
        <f>VLOOKUP("*"&amp;表格1[[#This Row],[Input]]&amp;"*",'Ref-List'!$B:$D,2,)</f>
        <v>RC-7HMH</v>
      </c>
      <c r="H2315" s="86" t="str">
        <f>_xlfn.XLOOKUP(表格1[[#This Row],[Model]],表格3[Model-Input-Ref2],表格3[Product Line])</f>
        <v>備長炭本厚釜電飯煲0.7L</v>
      </c>
      <c r="I2315" s="86" t="str">
        <f>_xlfn.XLOOKUP(表格1[[#This Row],[Model]],表格3[Model-Input-Ref2],表格3[大小電])</f>
        <v>細電</v>
      </c>
      <c r="J2315" s="86" t="str">
        <f>_xlfn.XLOOKUP(表格1[[#This Row],[Model]],表格3[Model-Input-Ref2],表格3[Code])</f>
        <v>SDA</v>
      </c>
      <c r="K2315" s="89" t="s">
        <v>1284</v>
      </c>
      <c r="L2315" s="86">
        <v>1</v>
      </c>
      <c r="M2315" s="87">
        <v>838</v>
      </c>
      <c r="N2315" s="85">
        <f>IFERROR(表格1[[#This Row],[QTY]]*表格1[[#This Row],[Unit Price]],"-")</f>
        <v>838</v>
      </c>
      <c r="O2315" s="86">
        <v>318328</v>
      </c>
      <c r="R2315" s="86" t="str">
        <f>_xlfn.CONCAT(表格1[[#This Row],[Model]]," ",表格1[[#This Row],[inv no]])</f>
        <v>RC-7HMH 318328</v>
      </c>
      <c r="S2315" s="86">
        <f>_xlfn.XLOOKUP(表格1[[#This Row],[Model]],表格3[Model-Input-Ref2],表格3[SRP PRICE])</f>
        <v>1288</v>
      </c>
      <c r="T2315" s="43">
        <f>表格1[[#This Row],[Unit Price]]/表格1[[#This Row],[SRP]]</f>
        <v>0.65062111801242239</v>
      </c>
      <c r="U2315" s="86" t="str">
        <f>_xlfn.XLOOKUP(表格1[[#This Row],[Model]],表格3[Model-Input-Ref2],表格3[TOSHIBA/HIGHEST])</f>
        <v>Toshiba SRP</v>
      </c>
      <c r="W2315" s="86" t="str">
        <f>_xlfn.CONCAT(表格1[[#This Row],[欄4]],表格1[[#This Row],[inv no]])</f>
        <v>318328</v>
      </c>
    </row>
    <row r="2316" spans="1:23" hidden="1">
      <c r="A2316" s="81">
        <v>2314</v>
      </c>
      <c r="B2316" s="86" t="s">
        <v>1366</v>
      </c>
      <c r="C2316" s="86" t="s">
        <v>1853</v>
      </c>
      <c r="D2316" s="82" t="str">
        <f ca="1">OFFSET(Roster!$A$3,MATCH(表格1[[#This Row],[Location]]&amp;" "&amp;表格1[[#This Row],[Shop]]&amp;"*",Roster!$A$4:$A$72,0),DAY(表格1[[#This Row],[date]]),1,1)</f>
        <v>Maggie Yip</v>
      </c>
      <c r="E2316" s="86">
        <f>MONTH(表格1[[#This Row],[date]])</f>
        <v>3</v>
      </c>
      <c r="F2316" s="90">
        <v>46088</v>
      </c>
      <c r="G2316" s="86" t="str">
        <f>VLOOKUP("*"&amp;表格1[[#This Row],[Input]]&amp;"*",'Ref-List'!$B:$D,2,)</f>
        <v>MM2-EG20PC(WH)</v>
      </c>
      <c r="H2316" s="86" t="str">
        <f>_xlfn.XLOOKUP(表格1[[#This Row],[Model]],表格3[Model-Input-Ref2],表格3[Product Line])</f>
        <v>輕觸式燒烤微波爐</v>
      </c>
      <c r="I2316" s="86" t="str">
        <f>_xlfn.XLOOKUP(表格1[[#This Row],[Model]],表格3[Model-Input-Ref2],表格3[大小電])</f>
        <v>細電</v>
      </c>
      <c r="J2316" s="86" t="str">
        <f>_xlfn.XLOOKUP(表格1[[#This Row],[Model]],表格3[Model-Input-Ref2],表格3[Code])</f>
        <v>MCA</v>
      </c>
      <c r="K2316" s="89" t="s">
        <v>1273</v>
      </c>
      <c r="L2316" s="86">
        <v>1</v>
      </c>
      <c r="M2316" s="87">
        <v>698</v>
      </c>
      <c r="N2316" s="85">
        <f>IFERROR(表格1[[#This Row],[QTY]]*表格1[[#This Row],[Unit Price]],"-")</f>
        <v>698</v>
      </c>
      <c r="O2316" s="86">
        <v>345623</v>
      </c>
      <c r="R2316" s="86" t="str">
        <f>_xlfn.CONCAT(表格1[[#This Row],[Model]]," ",表格1[[#This Row],[inv no]])</f>
        <v>MM2-EG20PC(WH) 345623</v>
      </c>
      <c r="S2316" s="86">
        <f>_xlfn.XLOOKUP(表格1[[#This Row],[Model]],表格3[Model-Input-Ref2],表格3[SRP PRICE])</f>
        <v>918</v>
      </c>
      <c r="T2316" s="43">
        <f>表格1[[#This Row],[Unit Price]]/表格1[[#This Row],[SRP]]</f>
        <v>0.76034858387799564</v>
      </c>
      <c r="U2316" s="86" t="str">
        <f>_xlfn.XLOOKUP(表格1[[#This Row],[Model]],表格3[Model-Input-Ref2],表格3[TOSHIBA/HIGHEST])</f>
        <v>Shops Highest Price</v>
      </c>
      <c r="W2316" s="86" t="str">
        <f>_xlfn.CONCAT(表格1[[#This Row],[欄4]],表格1[[#This Row],[inv no]])</f>
        <v>345623</v>
      </c>
    </row>
    <row r="2317" spans="1:23" hidden="1">
      <c r="A2317" s="81">
        <v>2315</v>
      </c>
      <c r="B2317" s="86" t="s">
        <v>1366</v>
      </c>
      <c r="C2317" s="86" t="s">
        <v>1853</v>
      </c>
      <c r="D2317" s="82" t="str">
        <f ca="1">OFFSET(Roster!$A$3,MATCH(表格1[[#This Row],[Location]]&amp;" "&amp;表格1[[#This Row],[Shop]]&amp;"*",Roster!$A$4:$A$72,0),DAY(表格1[[#This Row],[date]]),1,1)</f>
        <v>Maggie Yip</v>
      </c>
      <c r="E2317" s="86">
        <f>MONTH(表格1[[#This Row],[date]])</f>
        <v>3</v>
      </c>
      <c r="F2317" s="90">
        <v>46088</v>
      </c>
      <c r="G2317" s="86" t="str">
        <f>VLOOKUP("*"&amp;表格1[[#This Row],[Input]]&amp;"*",'Ref-List'!$B:$D,2,)</f>
        <v>KT-17SHNH</v>
      </c>
      <c r="H2317" s="86" t="str">
        <f>_xlfn.XLOOKUP(表格1[[#This Row],[Model]],表格3[Model-Input-Ref2],表格3[Product Line])</f>
        <v>1.7L無線雙層電熱水壺</v>
      </c>
      <c r="I2317" s="86" t="str">
        <f>_xlfn.XLOOKUP(表格1[[#This Row],[Model]],表格3[Model-Input-Ref2],表格3[大小電])</f>
        <v>細電</v>
      </c>
      <c r="J2317" s="86" t="str">
        <f>_xlfn.XLOOKUP(表格1[[#This Row],[Model]],表格3[Model-Input-Ref2],表格3[Code])</f>
        <v>SDA</v>
      </c>
      <c r="K2317" s="89" t="s">
        <v>1283</v>
      </c>
      <c r="L2317" s="86">
        <v>1</v>
      </c>
      <c r="M2317" s="87">
        <v>198</v>
      </c>
      <c r="N2317" s="85">
        <f>IFERROR(表格1[[#This Row],[QTY]]*表格1[[#This Row],[Unit Price]],"-")</f>
        <v>198</v>
      </c>
      <c r="O2317" s="86">
        <v>345650</v>
      </c>
      <c r="R2317" s="86" t="str">
        <f>_xlfn.CONCAT(表格1[[#This Row],[Model]]," ",表格1[[#This Row],[inv no]])</f>
        <v>KT-17SHNH 345650</v>
      </c>
      <c r="S2317" s="86">
        <f>_xlfn.XLOOKUP(表格1[[#This Row],[Model]],表格3[Model-Input-Ref2],表格3[SRP PRICE])</f>
        <v>299</v>
      </c>
      <c r="T2317" s="43">
        <f>表格1[[#This Row],[Unit Price]]/表格1[[#This Row],[SRP]]</f>
        <v>0.66220735785953178</v>
      </c>
      <c r="U2317" s="86" t="str">
        <f>_xlfn.XLOOKUP(表格1[[#This Row],[Model]],表格3[Model-Input-Ref2],表格3[TOSHIBA/HIGHEST])</f>
        <v>Shops Highest Price</v>
      </c>
      <c r="W2317" s="86" t="str">
        <f>_xlfn.CONCAT(表格1[[#This Row],[欄4]],表格1[[#This Row],[inv no]])</f>
        <v>345650</v>
      </c>
    </row>
    <row r="2318" spans="1:23" hidden="1">
      <c r="A2318" s="81">
        <v>2316</v>
      </c>
      <c r="B2318" s="86" t="s">
        <v>1366</v>
      </c>
      <c r="C2318" s="86" t="s">
        <v>1853</v>
      </c>
      <c r="D2318" s="82" t="str">
        <f ca="1">OFFSET(Roster!$A$3,MATCH(表格1[[#This Row],[Location]]&amp;" "&amp;表格1[[#This Row],[Shop]]&amp;"*",Roster!$A$4:$A$72,0),DAY(表格1[[#This Row],[date]]),1,1)</f>
        <v>Maggie Yip</v>
      </c>
      <c r="E2318" s="86">
        <f>MONTH(表格1[[#This Row],[date]])</f>
        <v>3</v>
      </c>
      <c r="F2318" s="90">
        <v>46088</v>
      </c>
      <c r="G2318" s="86" t="str">
        <f>VLOOKUP("*"&amp;表格1[[#This Row],[Input]]&amp;"*",'Ref-List'!$B:$D,2,)</f>
        <v>RC-18NMFIH(WT)</v>
      </c>
      <c r="H2318" s="86" t="str">
        <f>_xlfn.XLOOKUP(表格1[[#This Row],[Model]],表格3[Model-Input-Ref2],表格3[Product Line])</f>
        <v>4毫米厚釜電飯煲1.8L</v>
      </c>
      <c r="I2318" s="86" t="str">
        <f>_xlfn.XLOOKUP(表格1[[#This Row],[Model]],表格3[Model-Input-Ref2],表格3[大小電])</f>
        <v>細電</v>
      </c>
      <c r="J2318" s="86" t="str">
        <f>_xlfn.XLOOKUP(表格1[[#This Row],[Model]],表格3[Model-Input-Ref2],表格3[Code])</f>
        <v>SDA</v>
      </c>
      <c r="K2318" s="89" t="s">
        <v>1267</v>
      </c>
      <c r="L2318" s="86">
        <v>1</v>
      </c>
      <c r="M2318" s="87">
        <v>799</v>
      </c>
      <c r="N2318" s="85">
        <f>IFERROR(表格1[[#This Row],[QTY]]*表格1[[#This Row],[Unit Price]],"-")</f>
        <v>799</v>
      </c>
      <c r="O2318" s="86">
        <v>318436</v>
      </c>
      <c r="R2318" s="86" t="str">
        <f>_xlfn.CONCAT(表格1[[#This Row],[Model]]," ",表格1[[#This Row],[inv no]])</f>
        <v>RC-18NMFIH(WT) 318436</v>
      </c>
      <c r="S2318" s="86">
        <f>_xlfn.XLOOKUP(表格1[[#This Row],[Model]],表格3[Model-Input-Ref2],表格3[SRP PRICE])</f>
        <v>998</v>
      </c>
      <c r="T2318" s="43">
        <f>表格1[[#This Row],[Unit Price]]/表格1[[#This Row],[SRP]]</f>
        <v>0.80060120240480959</v>
      </c>
      <c r="U2318" s="86" t="str">
        <f>_xlfn.XLOOKUP(表格1[[#This Row],[Model]],表格3[Model-Input-Ref2],表格3[TOSHIBA/HIGHEST])</f>
        <v>Toshiba SRP</v>
      </c>
      <c r="W2318" s="86" t="str">
        <f>_xlfn.CONCAT(表格1[[#This Row],[欄4]],表格1[[#This Row],[inv no]])</f>
        <v>318436</v>
      </c>
    </row>
    <row r="2319" spans="1:23" hidden="1">
      <c r="A2319" s="81">
        <v>2317</v>
      </c>
      <c r="B2319" s="86" t="s">
        <v>1366</v>
      </c>
      <c r="C2319" s="86" t="s">
        <v>1852</v>
      </c>
      <c r="D2319" s="82" t="str">
        <f ca="1">OFFSET(Roster!$A$3,MATCH(表格1[[#This Row],[Location]]&amp;" "&amp;表格1[[#This Row],[Shop]]&amp;"*",Roster!$A$4:$A$72,0),DAY(表格1[[#This Row],[date]]),1,1)</f>
        <v>Maggie Yip</v>
      </c>
      <c r="E2319" s="86">
        <f>MONTH(表格1[[#This Row],[date]])</f>
        <v>3</v>
      </c>
      <c r="F2319" s="90">
        <v>46089</v>
      </c>
      <c r="G2319" s="86" t="str">
        <f>VLOOKUP("*"&amp;表格1[[#This Row],[Input]]&amp;"*",'Ref-List'!$B:$D,2,)</f>
        <v>RC-10NMFIH(WT)</v>
      </c>
      <c r="H2319" s="86" t="str">
        <f>_xlfn.XLOOKUP(表格1[[#This Row],[Model]],表格3[Model-Input-Ref2],表格3[Product Line])</f>
        <v>4毫米厚釜電飯煲1L</v>
      </c>
      <c r="I2319" s="86" t="str">
        <f>_xlfn.XLOOKUP(表格1[[#This Row],[Model]],表格3[Model-Input-Ref2],表格3[大小電])</f>
        <v>細電</v>
      </c>
      <c r="J2319" s="86" t="str">
        <f>_xlfn.XLOOKUP(表格1[[#This Row],[Model]],表格3[Model-Input-Ref2],表格3[Code])</f>
        <v>SDA</v>
      </c>
      <c r="K2319" s="89" t="s">
        <v>1244</v>
      </c>
      <c r="L2319" s="86">
        <v>1</v>
      </c>
      <c r="M2319" s="87">
        <v>719</v>
      </c>
      <c r="N2319" s="85">
        <f>IFERROR(表格1[[#This Row],[QTY]]*表格1[[#This Row],[Unit Price]],"-")</f>
        <v>719</v>
      </c>
      <c r="O2319" s="86">
        <v>345748</v>
      </c>
      <c r="R2319" s="86" t="str">
        <f>_xlfn.CONCAT(表格1[[#This Row],[Model]]," ",表格1[[#This Row],[inv no]])</f>
        <v>RC-10NMFIH(WT) 345748</v>
      </c>
      <c r="S2319" s="86">
        <f>_xlfn.XLOOKUP(表格1[[#This Row],[Model]],表格3[Model-Input-Ref2],表格3[SRP PRICE])</f>
        <v>898</v>
      </c>
      <c r="T2319" s="43">
        <f>表格1[[#This Row],[Unit Price]]/表格1[[#This Row],[SRP]]</f>
        <v>0.80066815144766146</v>
      </c>
      <c r="U2319" s="86" t="str">
        <f>_xlfn.XLOOKUP(表格1[[#This Row],[Model]],表格3[Model-Input-Ref2],表格3[TOSHIBA/HIGHEST])</f>
        <v>Toshiba SRP</v>
      </c>
      <c r="W2319" s="86" t="str">
        <f>_xlfn.CONCAT(表格1[[#This Row],[欄4]],表格1[[#This Row],[inv no]])</f>
        <v>345748</v>
      </c>
    </row>
    <row r="2320" spans="1:23" hidden="1">
      <c r="A2320" s="81">
        <v>2318</v>
      </c>
      <c r="B2320" s="86" t="s">
        <v>1366</v>
      </c>
      <c r="C2320" s="86" t="s">
        <v>1852</v>
      </c>
      <c r="D2320" s="82" t="str">
        <f ca="1">OFFSET(Roster!$A$3,MATCH(表格1[[#This Row],[Location]]&amp;" "&amp;表格1[[#This Row],[Shop]]&amp;"*",Roster!$A$4:$A$72,0),DAY(表格1[[#This Row],[date]]),1,1)</f>
        <v>Maggie Yip</v>
      </c>
      <c r="E2320" s="86">
        <f>MONTH(表格1[[#This Row],[date]])</f>
        <v>3</v>
      </c>
      <c r="F2320" s="90">
        <v>46089</v>
      </c>
      <c r="G2320" s="86" t="str">
        <f>VLOOKUP("*"&amp;表格1[[#This Row],[Input]]&amp;"*",'Ref-List'!$B:$D,2,)</f>
        <v>KT-15DRTHK(W)</v>
      </c>
      <c r="H2320" s="86" t="str">
        <f>_xlfn.XLOOKUP(表格1[[#This Row],[Model]],表格3[Model-Input-Ref2],表格3[Product Line])</f>
        <v>無線雙層電熱水壺-附可鎖壺蓋</v>
      </c>
      <c r="I2320" s="86" t="str">
        <f>_xlfn.XLOOKUP(表格1[[#This Row],[Model]],表格3[Model-Input-Ref2],表格3[大小電])</f>
        <v>細電</v>
      </c>
      <c r="J2320" s="86" t="str">
        <f>_xlfn.XLOOKUP(表格1[[#This Row],[Model]],表格3[Model-Input-Ref2],表格3[Code])</f>
        <v>SDA</v>
      </c>
      <c r="K2320" s="89" t="s">
        <v>1278</v>
      </c>
      <c r="L2320" s="86">
        <v>1</v>
      </c>
      <c r="M2320" s="87">
        <v>358</v>
      </c>
      <c r="N2320" s="85">
        <f>IFERROR(表格1[[#This Row],[QTY]]*表格1[[#This Row],[Unit Price]],"-")</f>
        <v>358</v>
      </c>
      <c r="O2320" s="86">
        <v>318657</v>
      </c>
      <c r="R2320" s="86" t="str">
        <f>_xlfn.CONCAT(表格1[[#This Row],[Model]]," ",表格1[[#This Row],[inv no]])</f>
        <v>KT-15DRTHK(W) 318657</v>
      </c>
      <c r="S2320" s="86">
        <f>_xlfn.XLOOKUP(表格1[[#This Row],[Model]],表格3[Model-Input-Ref2],表格3[SRP PRICE])</f>
        <v>598</v>
      </c>
      <c r="T2320" s="43">
        <f>表格1[[#This Row],[Unit Price]]/表格1[[#This Row],[SRP]]</f>
        <v>0.59866220735785958</v>
      </c>
      <c r="U2320" s="86" t="str">
        <f>_xlfn.XLOOKUP(表格1[[#This Row],[Model]],表格3[Model-Input-Ref2],表格3[TOSHIBA/HIGHEST])</f>
        <v>Toshiba SRP</v>
      </c>
      <c r="W2320" s="86" t="str">
        <f>_xlfn.CONCAT(表格1[[#This Row],[欄4]],表格1[[#This Row],[inv no]])</f>
        <v>318657</v>
      </c>
    </row>
    <row r="2321" spans="1:23" hidden="1">
      <c r="A2321" s="81">
        <v>2319</v>
      </c>
      <c r="B2321" s="86" t="s">
        <v>1366</v>
      </c>
      <c r="C2321" s="86" t="s">
        <v>1852</v>
      </c>
      <c r="D2321" s="82" t="str">
        <f ca="1">OFFSET(Roster!$A$3,MATCH(表格1[[#This Row],[Location]]&amp;" "&amp;表格1[[#This Row],[Shop]]&amp;"*",Roster!$A$4:$A$72,0),DAY(表格1[[#This Row],[date]]),1,1)</f>
        <v>Maggie Yip</v>
      </c>
      <c r="E2321" s="86">
        <f>MONTH(表格1[[#This Row],[date]])</f>
        <v>3</v>
      </c>
      <c r="F2321" s="90">
        <v>46089</v>
      </c>
      <c r="G2321" s="86" t="str">
        <f>VLOOKUP("*"&amp;表格1[[#This Row],[Input]]&amp;"*",'Ref-List'!$B:$D,2,)</f>
        <v>KT-17DRTHK(H)</v>
      </c>
      <c r="H2321" s="86" t="str">
        <f>_xlfn.XLOOKUP(表格1[[#This Row],[Model]],表格3[Model-Input-Ref2],表格3[Product Line])</f>
        <v>無線雙層電熱水壺(1.7公升)</v>
      </c>
      <c r="I2321" s="86" t="str">
        <f>_xlfn.XLOOKUP(表格1[[#This Row],[Model]],表格3[Model-Input-Ref2],表格3[大小電])</f>
        <v>細電</v>
      </c>
      <c r="J2321" s="86" t="str">
        <f>_xlfn.XLOOKUP(表格1[[#This Row],[Model]],表格3[Model-Input-Ref2],表格3[Code])</f>
        <v>SDA</v>
      </c>
      <c r="K2321" s="89" t="s">
        <v>1271</v>
      </c>
      <c r="L2321" s="86">
        <v>1</v>
      </c>
      <c r="M2321" s="87">
        <v>388</v>
      </c>
      <c r="N2321" s="85">
        <f>IFERROR(表格1[[#This Row],[QTY]]*表格1[[#This Row],[Unit Price]],"-")</f>
        <v>388</v>
      </c>
      <c r="O2321" s="86">
        <v>345933</v>
      </c>
      <c r="R2321" s="86" t="str">
        <f>_xlfn.CONCAT(表格1[[#This Row],[Model]]," ",表格1[[#This Row],[inv no]])</f>
        <v>KT-17DRTHK(H) 345933</v>
      </c>
      <c r="S2321" s="86">
        <f>_xlfn.XLOOKUP(表格1[[#This Row],[Model]],表格3[Model-Input-Ref2],表格3[SRP PRICE])</f>
        <v>498</v>
      </c>
      <c r="T2321" s="43">
        <f>表格1[[#This Row],[Unit Price]]/表格1[[#This Row],[SRP]]</f>
        <v>0.77911646586345384</v>
      </c>
      <c r="U2321" s="86" t="str">
        <f>_xlfn.XLOOKUP(表格1[[#This Row],[Model]],表格3[Model-Input-Ref2],表格3[TOSHIBA/HIGHEST])</f>
        <v>Toshiba SRP</v>
      </c>
      <c r="W2321" s="86" t="str">
        <f>_xlfn.CONCAT(表格1[[#This Row],[欄4]],表格1[[#This Row],[inv no]])</f>
        <v>345933</v>
      </c>
    </row>
    <row r="2322" spans="1:23" hidden="1">
      <c r="A2322" s="81">
        <v>2320</v>
      </c>
      <c r="B2322" s="86" t="s">
        <v>1366</v>
      </c>
      <c r="C2322" s="86" t="s">
        <v>1852</v>
      </c>
      <c r="D2322" s="82" t="str">
        <f ca="1">OFFSET(Roster!$A$3,MATCH(表格1[[#This Row],[Location]]&amp;" "&amp;表格1[[#This Row],[Shop]]&amp;"*",Roster!$A$4:$A$72,0),DAY(表格1[[#This Row],[date]]),1,1)</f>
        <v>Maggie Yip</v>
      </c>
      <c r="E2322" s="86">
        <f>MONTH(表格1[[#This Row],[date]])</f>
        <v>3</v>
      </c>
      <c r="F2322" s="90">
        <v>46089</v>
      </c>
      <c r="G2322" s="86" t="str">
        <f>VLOOKUP("*"&amp;表格1[[#This Row],[Input]]&amp;"*",'Ref-List'!$B:$D,2,)</f>
        <v>GR-RB360WE-PMA(06)</v>
      </c>
      <c r="H2322" s="86" t="str">
        <f>_xlfn.XLOOKUP(表格1[[#This Row],[Model]],表格3[Model-Input-Ref2],表格3[Product Line])</f>
        <v>變頻下置式雙門雪櫃系列270L</v>
      </c>
      <c r="I2322" s="86" t="str">
        <f>_xlfn.XLOOKUP(表格1[[#This Row],[Model]],表格3[Model-Input-Ref2],表格3[大小電])</f>
        <v>大電</v>
      </c>
      <c r="J2322" s="86" t="str">
        <f>_xlfn.XLOOKUP(表格1[[#This Row],[Model]],表格3[Model-Input-Ref2],表格3[Code])</f>
        <v>REF</v>
      </c>
      <c r="K2322" s="89" t="s">
        <v>1282</v>
      </c>
      <c r="L2322" s="86">
        <v>1</v>
      </c>
      <c r="M2322" s="87">
        <v>3980</v>
      </c>
      <c r="N2322" s="85">
        <f>IFERROR(表格1[[#This Row],[QTY]]*表格1[[#This Row],[Unit Price]],"-")</f>
        <v>3980</v>
      </c>
      <c r="O2322" s="86">
        <v>526974</v>
      </c>
      <c r="R2322" s="86" t="str">
        <f>_xlfn.CONCAT(表格1[[#This Row],[Model]]," ",表格1[[#This Row],[inv no]])</f>
        <v>GR-RB360WE-PMA(06) 526974</v>
      </c>
      <c r="S2322" s="86">
        <f>_xlfn.XLOOKUP(表格1[[#This Row],[Model]],表格3[Model-Input-Ref2],表格3[SRP PRICE])</f>
        <v>5080</v>
      </c>
      <c r="T2322" s="43">
        <f>表格1[[#This Row],[Unit Price]]/表格1[[#This Row],[SRP]]</f>
        <v>0.78346456692913391</v>
      </c>
      <c r="U2322" s="86" t="str">
        <f>_xlfn.XLOOKUP(表格1[[#This Row],[Model]],表格3[Model-Input-Ref2],表格3[TOSHIBA/HIGHEST])</f>
        <v>Toshiba SRP</v>
      </c>
      <c r="W2322" s="86" t="str">
        <f>_xlfn.CONCAT(表格1[[#This Row],[欄4]],表格1[[#This Row],[inv no]])</f>
        <v>526974</v>
      </c>
    </row>
    <row r="2323" spans="1:23" hidden="1">
      <c r="A2323" s="81">
        <v>2321</v>
      </c>
      <c r="B2323" s="86" t="s">
        <v>1366</v>
      </c>
      <c r="C2323" s="86" t="s">
        <v>1852</v>
      </c>
      <c r="D2323" s="82" t="str">
        <f ca="1">OFFSET(Roster!$A$3,MATCH(表格1[[#This Row],[Location]]&amp;" "&amp;表格1[[#This Row],[Shop]]&amp;"*",Roster!$A$4:$A$72,0),DAY(表格1[[#This Row],[date]]),1,1)</f>
        <v>Maggie Yip</v>
      </c>
      <c r="E2323" s="86">
        <f>MONTH(表格1[[#This Row],[date]])</f>
        <v>3</v>
      </c>
      <c r="F2323" s="90">
        <v>46089</v>
      </c>
      <c r="G2323" s="86" t="str">
        <f>VLOOKUP("*"&amp;表格1[[#This Row],[Input]]&amp;"*",'Ref-List'!$B:$D,2,)</f>
        <v>KT-17DRTHK(H)</v>
      </c>
      <c r="H2323" s="86" t="str">
        <f>_xlfn.XLOOKUP(表格1[[#This Row],[Model]],表格3[Model-Input-Ref2],表格3[Product Line])</f>
        <v>無線雙層電熱水壺(1.7公升)</v>
      </c>
      <c r="I2323" s="86" t="str">
        <f>_xlfn.XLOOKUP(表格1[[#This Row],[Model]],表格3[Model-Input-Ref2],表格3[大小電])</f>
        <v>細電</v>
      </c>
      <c r="J2323" s="86" t="str">
        <f>_xlfn.XLOOKUP(表格1[[#This Row],[Model]],表格3[Model-Input-Ref2],表格3[Code])</f>
        <v>SDA</v>
      </c>
      <c r="K2323" s="89" t="s">
        <v>1271</v>
      </c>
      <c r="L2323" s="86">
        <v>1</v>
      </c>
      <c r="M2323" s="87">
        <v>388</v>
      </c>
      <c r="N2323" s="85">
        <f>IFERROR(表格1[[#This Row],[QTY]]*表格1[[#This Row],[Unit Price]],"-")</f>
        <v>388</v>
      </c>
      <c r="O2323" s="86">
        <v>318673</v>
      </c>
      <c r="R2323" s="86" t="str">
        <f>_xlfn.CONCAT(表格1[[#This Row],[Model]]," ",表格1[[#This Row],[inv no]])</f>
        <v>KT-17DRTHK(H) 318673</v>
      </c>
      <c r="S2323" s="86">
        <f>_xlfn.XLOOKUP(表格1[[#This Row],[Model]],表格3[Model-Input-Ref2],表格3[SRP PRICE])</f>
        <v>498</v>
      </c>
      <c r="T2323" s="43">
        <f>表格1[[#This Row],[Unit Price]]/表格1[[#This Row],[SRP]]</f>
        <v>0.77911646586345384</v>
      </c>
      <c r="U2323" s="86" t="str">
        <f>_xlfn.XLOOKUP(表格1[[#This Row],[Model]],表格3[Model-Input-Ref2],表格3[TOSHIBA/HIGHEST])</f>
        <v>Toshiba SRP</v>
      </c>
      <c r="W2323" s="86" t="str">
        <f>_xlfn.CONCAT(表格1[[#This Row],[欄4]],表格1[[#This Row],[inv no]])</f>
        <v>318673</v>
      </c>
    </row>
    <row r="2324" spans="1:23" hidden="1">
      <c r="A2324" s="81">
        <v>2322</v>
      </c>
      <c r="B2324" s="86" t="s">
        <v>1366</v>
      </c>
      <c r="C2324" s="86" t="s">
        <v>1852</v>
      </c>
      <c r="D2324" s="82" t="str">
        <f ca="1">OFFSET(Roster!$A$3,MATCH(表格1[[#This Row],[Location]]&amp;" "&amp;表格1[[#This Row],[Shop]]&amp;"*",Roster!$A$4:$A$72,0),DAY(表格1[[#This Row],[date]]),1,1)</f>
        <v>Maggie Yip</v>
      </c>
      <c r="E2324" s="86">
        <f>MONTH(表格1[[#This Row],[date]])</f>
        <v>3</v>
      </c>
      <c r="F2324" s="90">
        <v>46089</v>
      </c>
      <c r="G2324" s="86" t="str">
        <f>VLOOKUP("*"&amp;表格1[[#This Row],[Input]]&amp;"*",'Ref-List'!$B:$D,2,)</f>
        <v>RC-10BHH(W)</v>
      </c>
      <c r="H2324" s="86" t="str">
        <f>_xlfn.XLOOKUP(表格1[[#This Row],[Model]],表格3[Model-Input-Ref2],表格3[Product Line])</f>
        <v>酵活炊磁應電飯煲</v>
      </c>
      <c r="I2324" s="86" t="str">
        <f>_xlfn.XLOOKUP(表格1[[#This Row],[Model]],表格3[Model-Input-Ref2],表格3[大小電])</f>
        <v>細電</v>
      </c>
      <c r="J2324" s="86" t="str">
        <f>_xlfn.XLOOKUP(表格1[[#This Row],[Model]],表格3[Model-Input-Ref2],表格3[Code])</f>
        <v>SDA</v>
      </c>
      <c r="K2324" s="89" t="s">
        <v>1269</v>
      </c>
      <c r="L2324" s="86">
        <v>1</v>
      </c>
      <c r="M2324" s="87">
        <v>1888</v>
      </c>
      <c r="N2324" s="85">
        <f>IFERROR(表格1[[#This Row],[QTY]]*表格1[[#This Row],[Unit Price]],"-")</f>
        <v>1888</v>
      </c>
      <c r="O2324" s="86">
        <v>346010</v>
      </c>
      <c r="R2324" s="86" t="str">
        <f>_xlfn.CONCAT(表格1[[#This Row],[Model]]," ",表格1[[#This Row],[inv no]])</f>
        <v>RC-10BHH(W) 346010</v>
      </c>
      <c r="S2324" s="86">
        <f>_xlfn.XLOOKUP(表格1[[#This Row],[Model]],表格3[Model-Input-Ref2],表格3[SRP PRICE])</f>
        <v>2088</v>
      </c>
      <c r="T2324" s="43">
        <f>表格1[[#This Row],[Unit Price]]/表格1[[#This Row],[SRP]]</f>
        <v>0.90421455938697315</v>
      </c>
      <c r="U2324" s="86" t="str">
        <f>_xlfn.XLOOKUP(表格1[[#This Row],[Model]],表格3[Model-Input-Ref2],表格3[TOSHIBA/HIGHEST])</f>
        <v>Shops Highest Price</v>
      </c>
      <c r="W2324" s="86" t="str">
        <f>_xlfn.CONCAT(表格1[[#This Row],[欄4]],表格1[[#This Row],[inv no]])</f>
        <v>346010</v>
      </c>
    </row>
    <row r="2325" spans="1:23" hidden="1">
      <c r="A2325" s="81">
        <v>2323</v>
      </c>
      <c r="B2325" s="86" t="s">
        <v>1366</v>
      </c>
      <c r="C2325" s="86" t="s">
        <v>1852</v>
      </c>
      <c r="D2325" s="82" t="str">
        <f ca="1">OFFSET(Roster!$A$3,MATCH(表格1[[#This Row],[Location]]&amp;" "&amp;表格1[[#This Row],[Shop]]&amp;"*",Roster!$A$4:$A$72,0),DAY(表格1[[#This Row],[date]]),1,1)</f>
        <v>Maggie Yip</v>
      </c>
      <c r="E2325" s="86">
        <f>MONTH(表格1[[#This Row],[date]])</f>
        <v>3</v>
      </c>
      <c r="F2325" s="90">
        <v>46090</v>
      </c>
      <c r="G2325" s="86" t="str">
        <f>VLOOKUP("*"&amp;表格1[[#This Row],[Input]]&amp;"*",'Ref-List'!$B:$D,2,)</f>
        <v>RC-DR10T(W)</v>
      </c>
      <c r="H2325" s="86" t="str">
        <f>_xlfn.XLOOKUP(表格1[[#This Row],[Model]],表格3[Model-Input-Ref2],表格3[Product Line])</f>
        <v>IH磁應電飯煲</v>
      </c>
      <c r="I2325" s="86" t="str">
        <f>_xlfn.XLOOKUP(表格1[[#This Row],[Model]],表格3[Model-Input-Ref2],表格3[大小電])</f>
        <v>細電</v>
      </c>
      <c r="J2325" s="86" t="str">
        <f>_xlfn.XLOOKUP(表格1[[#This Row],[Model]],表格3[Model-Input-Ref2],表格3[Code])</f>
        <v>SDA</v>
      </c>
      <c r="K2325" s="89" t="s">
        <v>1294</v>
      </c>
      <c r="L2325" s="86">
        <v>1</v>
      </c>
      <c r="M2325" s="87">
        <v>2380</v>
      </c>
      <c r="N2325" s="85">
        <f>IFERROR(表格1[[#This Row],[QTY]]*表格1[[#This Row],[Unit Price]],"-")</f>
        <v>2380</v>
      </c>
      <c r="O2325" s="86">
        <v>346190</v>
      </c>
      <c r="R2325" s="86" t="str">
        <f>_xlfn.CONCAT(表格1[[#This Row],[Model]]," ",表格1[[#This Row],[inv no]])</f>
        <v>RC-DR10T(W) 346190</v>
      </c>
      <c r="S2325" s="86">
        <f>_xlfn.XLOOKUP(表格1[[#This Row],[Model]],表格3[Model-Input-Ref2],表格3[SRP PRICE])</f>
        <v>3188</v>
      </c>
      <c r="T2325" s="43">
        <f>表格1[[#This Row],[Unit Price]]/表格1[[#This Row],[SRP]]</f>
        <v>0.74654956085319946</v>
      </c>
      <c r="U2325" s="86" t="str">
        <f>_xlfn.XLOOKUP(表格1[[#This Row],[Model]],表格3[Model-Input-Ref2],表格3[TOSHIBA/HIGHEST])</f>
        <v>Toshiba SRP</v>
      </c>
      <c r="W2325" s="86" t="str">
        <f>_xlfn.CONCAT(表格1[[#This Row],[欄4]],表格1[[#This Row],[inv no]])</f>
        <v>346190</v>
      </c>
    </row>
    <row r="2326" spans="1:23" hidden="1">
      <c r="A2326" s="81">
        <v>2324</v>
      </c>
      <c r="B2326" s="86" t="s">
        <v>1366</v>
      </c>
      <c r="C2326" s="86" t="s">
        <v>1852</v>
      </c>
      <c r="D2326" s="82" t="str">
        <f ca="1">OFFSET(Roster!$A$3,MATCH(表格1[[#This Row],[Location]]&amp;" "&amp;表格1[[#This Row],[Shop]]&amp;"*",Roster!$A$4:$A$72,0),DAY(表格1[[#This Row],[date]]),1,1)</f>
        <v>Maggie Yip</v>
      </c>
      <c r="E2326" s="86">
        <f>MONTH(表格1[[#This Row],[date]])</f>
        <v>3</v>
      </c>
      <c r="F2326" s="90">
        <v>46090</v>
      </c>
      <c r="G2326" s="86" t="str">
        <f>VLOOKUP("*"&amp;表格1[[#This Row],[Input]]&amp;"*",'Ref-List'!$B:$D,2,)</f>
        <v>RC-DX10T(W)</v>
      </c>
      <c r="H2326" s="86" t="str">
        <f>_xlfn.XLOOKUP(表格1[[#This Row],[Model]],表格3[Model-Input-Ref2],表格3[Product Line])</f>
        <v>真空壓力磁應電飯煲(1.0公升)</v>
      </c>
      <c r="I2326" s="86" t="str">
        <f>_xlfn.XLOOKUP(表格1[[#This Row],[Model]],表格3[Model-Input-Ref2],表格3[大小電])</f>
        <v>細電</v>
      </c>
      <c r="J2326" s="86" t="str">
        <f>_xlfn.XLOOKUP(表格1[[#This Row],[Model]],表格3[Model-Input-Ref2],表格3[Code])</f>
        <v>SDA</v>
      </c>
      <c r="K2326" s="89" t="s">
        <v>1579</v>
      </c>
      <c r="L2326" s="86">
        <v>1</v>
      </c>
      <c r="M2326" s="87">
        <v>4888</v>
      </c>
      <c r="N2326" s="85">
        <f>IFERROR(表格1[[#This Row],[QTY]]*表格1[[#This Row],[Unit Price]],"-")</f>
        <v>4888</v>
      </c>
      <c r="O2326" s="86">
        <v>527450</v>
      </c>
      <c r="R2326" s="86" t="str">
        <f>_xlfn.CONCAT(表格1[[#This Row],[Model]]," ",表格1[[#This Row],[inv no]])</f>
        <v>RC-DX10T(W) 527450</v>
      </c>
      <c r="S2326" s="86">
        <f>_xlfn.XLOOKUP(表格1[[#This Row],[Model]],表格3[Model-Input-Ref2],表格3[SRP PRICE])</f>
        <v>5988</v>
      </c>
      <c r="T2326" s="43">
        <f>表格1[[#This Row],[Unit Price]]/表格1[[#This Row],[SRP]]</f>
        <v>0.81629926519706075</v>
      </c>
      <c r="U2326" s="86" t="str">
        <f>_xlfn.XLOOKUP(表格1[[#This Row],[Model]],表格3[Model-Input-Ref2],表格3[TOSHIBA/HIGHEST])</f>
        <v>Toshiba SRP</v>
      </c>
      <c r="W2326" s="86" t="str">
        <f>_xlfn.CONCAT(表格1[[#This Row],[欄4]],表格1[[#This Row],[inv no]])</f>
        <v>527450</v>
      </c>
    </row>
    <row r="2327" spans="1:23" hidden="1">
      <c r="A2327" s="81">
        <v>2325</v>
      </c>
      <c r="B2327" s="86" t="s">
        <v>1366</v>
      </c>
      <c r="C2327" s="86" t="s">
        <v>1852</v>
      </c>
      <c r="D2327" s="82" t="str">
        <f ca="1">OFFSET(Roster!$A$3,MATCH(表格1[[#This Row],[Location]]&amp;" "&amp;表格1[[#This Row],[Shop]]&amp;"*",Roster!$A$4:$A$72,0),DAY(表格1[[#This Row],[date]]),1,1)</f>
        <v>Maggie Yip</v>
      </c>
      <c r="E2327" s="86">
        <f>MONTH(表格1[[#This Row],[date]])</f>
        <v>3</v>
      </c>
      <c r="F2327" s="90">
        <v>46090</v>
      </c>
      <c r="G2327" s="86" t="str">
        <f>VLOOKUP("*"&amp;表格1[[#This Row],[Input]]&amp;"*",'Ref-List'!$B:$D,2,)</f>
        <v>RC-5SLIH(W)</v>
      </c>
      <c r="H2327" s="86" t="str">
        <f>_xlfn.XLOOKUP(表格1[[#This Row],[Model]],表格3[Model-Input-Ref2],表格3[Product Line])</f>
        <v>微型電腦珍珠飯煲</v>
      </c>
      <c r="I2327" s="86" t="str">
        <f>_xlfn.XLOOKUP(表格1[[#This Row],[Model]],表格3[Model-Input-Ref2],表格3[大小電])</f>
        <v>細電</v>
      </c>
      <c r="J2327" s="86" t="str">
        <f>_xlfn.XLOOKUP(表格1[[#This Row],[Model]],表格3[Model-Input-Ref2],表格3[Code])</f>
        <v>SDA</v>
      </c>
      <c r="K2327" s="89" t="s">
        <v>1264</v>
      </c>
      <c r="L2327" s="86">
        <v>1</v>
      </c>
      <c r="M2327" s="87">
        <v>593</v>
      </c>
      <c r="N2327" s="85">
        <f>IFERROR(表格1[[#This Row],[QTY]]*表格1[[#This Row],[Unit Price]],"-")</f>
        <v>593</v>
      </c>
      <c r="O2327" s="86">
        <v>527498</v>
      </c>
      <c r="R2327" s="86" t="str">
        <f>_xlfn.CONCAT(表格1[[#This Row],[Model]]," ",表格1[[#This Row],[inv no]])</f>
        <v>RC-5SLIH(W) 527498</v>
      </c>
      <c r="S2327" s="86">
        <f>_xlfn.XLOOKUP(表格1[[#This Row],[Model]],表格3[Model-Input-Ref2],表格3[SRP PRICE])</f>
        <v>658</v>
      </c>
      <c r="T2327" s="43">
        <f>表格1[[#This Row],[Unit Price]]/表格1[[#This Row],[SRP]]</f>
        <v>0.90121580547112456</v>
      </c>
      <c r="U2327" s="86" t="str">
        <f>_xlfn.XLOOKUP(表格1[[#This Row],[Model]],表格3[Model-Input-Ref2],表格3[TOSHIBA/HIGHEST])</f>
        <v>Toshiba SRP</v>
      </c>
      <c r="W2327" s="86" t="str">
        <f>_xlfn.CONCAT(表格1[[#This Row],[欄4]],表格1[[#This Row],[inv no]])</f>
        <v>527498</v>
      </c>
    </row>
    <row r="2328" spans="1:23" hidden="1">
      <c r="A2328" s="81">
        <v>2326</v>
      </c>
      <c r="B2328" s="86" t="s">
        <v>1366</v>
      </c>
      <c r="C2328" s="86" t="s">
        <v>1852</v>
      </c>
      <c r="D2328" s="82" t="str">
        <f ca="1">OFFSET(Roster!$A$3,MATCH(表格1[[#This Row],[Location]]&amp;" "&amp;表格1[[#This Row],[Shop]]&amp;"*",Roster!$A$4:$A$72,0),DAY(表格1[[#This Row],[date]]),1,1)</f>
        <v>Maggie Yip</v>
      </c>
      <c r="E2328" s="86">
        <f>MONTH(表格1[[#This Row],[date]])</f>
        <v>3</v>
      </c>
      <c r="F2328" s="90">
        <v>46091</v>
      </c>
      <c r="G2328" s="86" t="str">
        <f>VLOOKUP("*"&amp;表格1[[#This Row],[Input]]&amp;"*",'Ref-List'!$B:$D,2,)</f>
        <v>MWP-MM20P(WH)</v>
      </c>
      <c r="H2328" s="86" t="str">
        <f>_xlfn.XLOOKUP(表格1[[#This Row],[Model]],表格3[Model-Input-Ref2],表格3[Product Line])</f>
        <v>旋鈕式燒烤微波爐20L</v>
      </c>
      <c r="I2328" s="86" t="str">
        <f>_xlfn.XLOOKUP(表格1[[#This Row],[Model]],表格3[Model-Input-Ref2],表格3[大小電])</f>
        <v>細電</v>
      </c>
      <c r="J2328" s="86" t="str">
        <f>_xlfn.XLOOKUP(表格1[[#This Row],[Model]],表格3[Model-Input-Ref2],表格3[Code])</f>
        <v>SDA</v>
      </c>
      <c r="K2328" s="89" t="s">
        <v>1270</v>
      </c>
      <c r="L2328" s="86">
        <v>1</v>
      </c>
      <c r="M2328" s="87">
        <v>488</v>
      </c>
      <c r="N2328" s="85">
        <f>IFERROR(表格1[[#This Row],[QTY]]*表格1[[#This Row],[Unit Price]],"-")</f>
        <v>488</v>
      </c>
      <c r="O2328" s="86">
        <v>346407</v>
      </c>
      <c r="R2328" s="86" t="str">
        <f>_xlfn.CONCAT(表格1[[#This Row],[Model]]," ",表格1[[#This Row],[inv no]])</f>
        <v>MWP-MM20P(WH) 346407</v>
      </c>
      <c r="S2328" s="86">
        <f>_xlfn.XLOOKUP(表格1[[#This Row],[Model]],表格3[Model-Input-Ref2],表格3[SRP PRICE])</f>
        <v>648</v>
      </c>
      <c r="T2328" s="43">
        <f>表格1[[#This Row],[Unit Price]]/表格1[[#This Row],[SRP]]</f>
        <v>0.75308641975308643</v>
      </c>
      <c r="U2328" s="86" t="str">
        <f>_xlfn.XLOOKUP(表格1[[#This Row],[Model]],表格3[Model-Input-Ref2],表格3[TOSHIBA/HIGHEST])</f>
        <v>Toshiba SRP</v>
      </c>
      <c r="W2328" s="86" t="str">
        <f>_xlfn.CONCAT(表格1[[#This Row],[欄4]],表格1[[#This Row],[inv no]])</f>
        <v>346407</v>
      </c>
    </row>
    <row r="2329" spans="1:23" hidden="1">
      <c r="A2329" s="81">
        <v>2327</v>
      </c>
      <c r="B2329" s="86" t="s">
        <v>1366</v>
      </c>
      <c r="C2329" s="86" t="s">
        <v>1852</v>
      </c>
      <c r="D2329" s="82" t="str">
        <f ca="1">OFFSET(Roster!$A$3,MATCH(表格1[[#This Row],[Location]]&amp;" "&amp;表格1[[#This Row],[Shop]]&amp;"*",Roster!$A$4:$A$72,0),DAY(表格1[[#This Row],[date]]),1,1)</f>
        <v>Maggie Yip</v>
      </c>
      <c r="E2329" s="86">
        <f>MONTH(表格1[[#This Row],[date]])</f>
        <v>3</v>
      </c>
      <c r="F2329" s="90">
        <v>46091</v>
      </c>
      <c r="G2329" s="86" t="str">
        <f>VLOOKUP("*"&amp;表格1[[#This Row],[Input]]&amp;"*",'Ref-List'!$B:$D,2,)</f>
        <v>RC-18NMFIH(WT)</v>
      </c>
      <c r="H2329" s="86" t="str">
        <f>_xlfn.XLOOKUP(表格1[[#This Row],[Model]],表格3[Model-Input-Ref2],表格3[Product Line])</f>
        <v>4毫米厚釜電飯煲1.8L</v>
      </c>
      <c r="I2329" s="86" t="str">
        <f>_xlfn.XLOOKUP(表格1[[#This Row],[Model]],表格3[Model-Input-Ref2],表格3[大小電])</f>
        <v>細電</v>
      </c>
      <c r="J2329" s="86" t="str">
        <f>_xlfn.XLOOKUP(表格1[[#This Row],[Model]],表格3[Model-Input-Ref2],表格3[Code])</f>
        <v>SDA</v>
      </c>
      <c r="K2329" s="89" t="s">
        <v>1267</v>
      </c>
      <c r="L2329" s="86">
        <v>1</v>
      </c>
      <c r="M2329" s="87">
        <v>799</v>
      </c>
      <c r="N2329" s="85">
        <f>IFERROR(表格1[[#This Row],[QTY]]*表格1[[#This Row],[Unit Price]],"-")</f>
        <v>799</v>
      </c>
      <c r="O2329" s="86">
        <v>346562</v>
      </c>
      <c r="R2329" s="86" t="str">
        <f>_xlfn.CONCAT(表格1[[#This Row],[Model]]," ",表格1[[#This Row],[inv no]])</f>
        <v>RC-18NMFIH(WT) 346562</v>
      </c>
      <c r="S2329" s="86">
        <f>_xlfn.XLOOKUP(表格1[[#This Row],[Model]],表格3[Model-Input-Ref2],表格3[SRP PRICE])</f>
        <v>998</v>
      </c>
      <c r="T2329" s="43">
        <f>表格1[[#This Row],[Unit Price]]/表格1[[#This Row],[SRP]]</f>
        <v>0.80060120240480959</v>
      </c>
      <c r="U2329" s="86" t="str">
        <f>_xlfn.XLOOKUP(表格1[[#This Row],[Model]],表格3[Model-Input-Ref2],表格3[TOSHIBA/HIGHEST])</f>
        <v>Toshiba SRP</v>
      </c>
      <c r="W2329" s="86" t="str">
        <f>_xlfn.CONCAT(表格1[[#This Row],[欄4]],表格1[[#This Row],[inv no]])</f>
        <v>346562</v>
      </c>
    </row>
    <row r="2330" spans="1:23" hidden="1">
      <c r="A2330" s="81">
        <v>2328</v>
      </c>
      <c r="B2330" s="86" t="s">
        <v>1366</v>
      </c>
      <c r="C2330" s="86" t="s">
        <v>1852</v>
      </c>
      <c r="D2330" s="82" t="str">
        <f ca="1">OFFSET(Roster!$A$3,MATCH(表格1[[#This Row],[Location]]&amp;" "&amp;表格1[[#This Row],[Shop]]&amp;"*",Roster!$A$4:$A$72,0),DAY(表格1[[#This Row],[date]]),1,1)</f>
        <v>Maggie Yip</v>
      </c>
      <c r="E2330" s="86">
        <f>MONTH(表格1[[#This Row],[date]])</f>
        <v>3</v>
      </c>
      <c r="F2330" s="90">
        <v>46091</v>
      </c>
      <c r="G2330" s="86" t="str">
        <f>VLOOKUP("*"&amp;表格1[[#This Row],[Input]]&amp;"*",'Ref-List'!$B:$D,2,)</f>
        <v>ET-TD7080(PN)</v>
      </c>
      <c r="H2330" s="86" t="str">
        <f>_xlfn.XLOOKUP(表格1[[#This Row],[Model]],表格3[Model-Input-Ref2],表格3[Product Line])</f>
        <v>多士焗爐8L</v>
      </c>
      <c r="I2330" s="86" t="str">
        <f>_xlfn.XLOOKUP(表格1[[#This Row],[Model]],表格3[Model-Input-Ref2],表格3[大小電])</f>
        <v>細電</v>
      </c>
      <c r="J2330" s="86" t="str">
        <f>_xlfn.XLOOKUP(表格1[[#This Row],[Model]],表格3[Model-Input-Ref2],表格3[Code])</f>
        <v>SDA</v>
      </c>
      <c r="K2330" s="89">
        <v>7080</v>
      </c>
      <c r="L2330" s="86">
        <v>1</v>
      </c>
      <c r="M2330" s="87">
        <v>358</v>
      </c>
      <c r="N2330" s="85">
        <f>IFERROR(表格1[[#This Row],[QTY]]*表格1[[#This Row],[Unit Price]],"-")</f>
        <v>358</v>
      </c>
      <c r="O2330" s="86">
        <v>346566</v>
      </c>
      <c r="R2330" s="86" t="str">
        <f>_xlfn.CONCAT(表格1[[#This Row],[Model]]," ",表格1[[#This Row],[inv no]])</f>
        <v>ET-TD7080(PN) 346566</v>
      </c>
      <c r="S2330" s="86">
        <f>_xlfn.XLOOKUP(表格1[[#This Row],[Model]],表格3[Model-Input-Ref2],表格3[SRP PRICE])</f>
        <v>498</v>
      </c>
      <c r="T2330" s="43">
        <f>表格1[[#This Row],[Unit Price]]/表格1[[#This Row],[SRP]]</f>
        <v>0.71887550200803207</v>
      </c>
      <c r="U2330" s="86" t="str">
        <f>_xlfn.XLOOKUP(表格1[[#This Row],[Model]],表格3[Model-Input-Ref2],表格3[TOSHIBA/HIGHEST])</f>
        <v>Toshiba SRP</v>
      </c>
      <c r="W2330" s="86" t="str">
        <f>_xlfn.CONCAT(表格1[[#This Row],[欄4]],表格1[[#This Row],[inv no]])</f>
        <v>346566</v>
      </c>
    </row>
    <row r="2331" spans="1:23" hidden="1">
      <c r="A2331" s="81">
        <v>2329</v>
      </c>
      <c r="B2331" s="86" t="s">
        <v>1366</v>
      </c>
      <c r="C2331" s="86" t="s">
        <v>1852</v>
      </c>
      <c r="D2331" s="82" t="str">
        <f ca="1">OFFSET(Roster!$A$3,MATCH(表格1[[#This Row],[Location]]&amp;" "&amp;表格1[[#This Row],[Shop]]&amp;"*",Roster!$A$4:$A$72,0),DAY(表格1[[#This Row],[date]]),1,1)</f>
        <v>Maggie Yip</v>
      </c>
      <c r="E2331" s="86">
        <f>MONTH(表格1[[#This Row],[date]])</f>
        <v>3</v>
      </c>
      <c r="F2331" s="90">
        <v>46091</v>
      </c>
      <c r="G2331" s="86" t="str">
        <f>VLOOKUP("*"&amp;表格1[[#This Row],[Input]]&amp;"*",'Ref-List'!$B:$D,2,)</f>
        <v>PLK-45SFIH(WT)</v>
      </c>
      <c r="H2331" s="86" t="str">
        <f>_xlfn.XLOOKUP(表格1[[#This Row],[Model]],表格3[Model-Input-Ref2],表格3[Product Line])</f>
        <v>電熱水瓶4.5L</v>
      </c>
      <c r="I2331" s="86" t="str">
        <f>_xlfn.XLOOKUP(表格1[[#This Row],[Model]],表格3[Model-Input-Ref2],表格3[大小電])</f>
        <v>細電</v>
      </c>
      <c r="J2331" s="86" t="str">
        <f>_xlfn.XLOOKUP(表格1[[#This Row],[Model]],表格3[Model-Input-Ref2],表格3[Code])</f>
        <v>SDA</v>
      </c>
      <c r="K2331" s="89" t="s">
        <v>1117</v>
      </c>
      <c r="L2331" s="86">
        <v>1</v>
      </c>
      <c r="M2331" s="87">
        <v>589</v>
      </c>
      <c r="N2331" s="85">
        <f>IFERROR(表格1[[#This Row],[QTY]]*表格1[[#This Row],[Unit Price]],"-")</f>
        <v>589</v>
      </c>
      <c r="O2331" s="86">
        <v>346578</v>
      </c>
      <c r="R2331" s="86" t="str">
        <f>_xlfn.CONCAT(表格1[[#This Row],[Model]]," ",表格1[[#This Row],[inv no]])</f>
        <v>PLK-45SFIH(WT) 346578</v>
      </c>
      <c r="S2331" s="86">
        <f>_xlfn.XLOOKUP(表格1[[#This Row],[Model]],表格3[Model-Input-Ref2],表格3[SRP PRICE])</f>
        <v>788</v>
      </c>
      <c r="T2331" s="43">
        <f>表格1[[#This Row],[Unit Price]]/表格1[[#This Row],[SRP]]</f>
        <v>0.7474619289340102</v>
      </c>
      <c r="U2331" s="86" t="str">
        <f>_xlfn.XLOOKUP(表格1[[#This Row],[Model]],表格3[Model-Input-Ref2],表格3[TOSHIBA/HIGHEST])</f>
        <v>Toshiba SRP</v>
      </c>
      <c r="W2331" s="86" t="str">
        <f>_xlfn.CONCAT(表格1[[#This Row],[欄4]],表格1[[#This Row],[inv no]])</f>
        <v>346578</v>
      </c>
    </row>
    <row r="2332" spans="1:23" hidden="1">
      <c r="A2332" s="81">
        <v>2330</v>
      </c>
      <c r="B2332" s="86" t="s">
        <v>1366</v>
      </c>
      <c r="C2332" s="86" t="s">
        <v>1852</v>
      </c>
      <c r="D2332" s="82" t="str">
        <f ca="1">OFFSET(Roster!$A$3,MATCH(表格1[[#This Row],[Location]]&amp;" "&amp;表格1[[#This Row],[Shop]]&amp;"*",Roster!$A$4:$A$72,0),DAY(表格1[[#This Row],[date]]),1,1)</f>
        <v>Maggie Yip</v>
      </c>
      <c r="E2332" s="86">
        <f>MONTH(表格1[[#This Row],[date]])</f>
        <v>3</v>
      </c>
      <c r="F2332" s="90">
        <v>46095</v>
      </c>
      <c r="G2332" s="86" t="str">
        <f>VLOOKUP("*"&amp;表格1[[#This Row],[Input]]&amp;"*",'Ref-List'!$B:$D,2,)</f>
        <v>MW3-SAC24SE(BK)</v>
      </c>
      <c r="H2332" s="86" t="str">
        <f>_xlfn.XLOOKUP(表格1[[#This Row],[Model]],表格3[Model-Input-Ref2],表格3[Product Line])</f>
        <v>智能氣炸烤焗爐(24公升)</v>
      </c>
      <c r="I2332" s="86" t="str">
        <f>_xlfn.XLOOKUP(表格1[[#This Row],[Model]],表格3[Model-Input-Ref2],表格3[大小電])</f>
        <v>細電</v>
      </c>
      <c r="J2332" s="86" t="str">
        <f>_xlfn.XLOOKUP(表格1[[#This Row],[Model]],表格3[Model-Input-Ref2],表格3[Code])</f>
        <v>MCA</v>
      </c>
      <c r="K2332" s="89" t="s">
        <v>1274</v>
      </c>
      <c r="L2332" s="86">
        <v>1</v>
      </c>
      <c r="M2332" s="87">
        <v>1320</v>
      </c>
      <c r="N2332" s="85">
        <f>IFERROR(表格1[[#This Row],[QTY]]*表格1[[#This Row],[Unit Price]],"-")</f>
        <v>1320</v>
      </c>
      <c r="O2332" s="86">
        <v>529426</v>
      </c>
      <c r="R2332" s="86" t="str">
        <f>_xlfn.CONCAT(表格1[[#This Row],[Model]]," ",表格1[[#This Row],[inv no]])</f>
        <v>MW3-SAC24SE(BK) 529426</v>
      </c>
      <c r="S2332" s="86">
        <f>_xlfn.XLOOKUP(表格1[[#This Row],[Model]],表格3[Model-Input-Ref2],表格3[SRP PRICE])</f>
        <v>1680</v>
      </c>
      <c r="T2332" s="43">
        <f>表格1[[#This Row],[Unit Price]]/表格1[[#This Row],[SRP]]</f>
        <v>0.7857142857142857</v>
      </c>
      <c r="U2332" s="86" t="str">
        <f>_xlfn.XLOOKUP(表格1[[#This Row],[Model]],表格3[Model-Input-Ref2],表格3[TOSHIBA/HIGHEST])</f>
        <v>Toshiba SRP</v>
      </c>
      <c r="W2332" s="86" t="str">
        <f>_xlfn.CONCAT(表格1[[#This Row],[欄4]],表格1[[#This Row],[inv no]])</f>
        <v>529426</v>
      </c>
    </row>
    <row r="2333" spans="1:23" hidden="1">
      <c r="A2333" s="81">
        <v>2331</v>
      </c>
      <c r="B2333" s="86" t="s">
        <v>1366</v>
      </c>
      <c r="C2333" s="86" t="s">
        <v>1852</v>
      </c>
      <c r="D2333" s="82" t="str">
        <f ca="1">OFFSET(Roster!$A$3,MATCH(表格1[[#This Row],[Location]]&amp;" "&amp;表格1[[#This Row],[Shop]]&amp;"*",Roster!$A$4:$A$72,0),DAY(表格1[[#This Row],[date]]),1,1)</f>
        <v>Maggie Yip</v>
      </c>
      <c r="E2333" s="86">
        <f>MONTH(表格1[[#This Row],[date]])</f>
        <v>3</v>
      </c>
      <c r="F2333" s="90">
        <v>46095</v>
      </c>
      <c r="G2333" s="86" t="str">
        <f>VLOOKUP("*"&amp;表格1[[#This Row],[Input]]&amp;"*",'Ref-List'!$B:$D,2,)</f>
        <v>RC-10ISSHK(W)</v>
      </c>
      <c r="H2333" s="86" t="str">
        <f>_xlfn.XLOOKUP(表格1[[#This Row],[Model]],表格3[Model-Input-Ref2],表格3[Product Line])</f>
        <v>磁應電飯煲(1公升)</v>
      </c>
      <c r="I2333" s="86" t="str">
        <f>_xlfn.XLOOKUP(表格1[[#This Row],[Model]],表格3[Model-Input-Ref2],表格3[大小電])</f>
        <v>細電</v>
      </c>
      <c r="J2333" s="86" t="str">
        <f>_xlfn.XLOOKUP(表格1[[#This Row],[Model]],表格3[Model-Input-Ref2],表格3[Code])</f>
        <v>SDA</v>
      </c>
      <c r="K2333" s="89" t="s">
        <v>1286</v>
      </c>
      <c r="L2333" s="86">
        <v>1</v>
      </c>
      <c r="M2333" s="87">
        <v>938</v>
      </c>
      <c r="N2333" s="85">
        <f>IFERROR(表格1[[#This Row],[QTY]]*表格1[[#This Row],[Unit Price]],"-")</f>
        <v>938</v>
      </c>
      <c r="O2333" s="86">
        <v>529350</v>
      </c>
      <c r="R2333" s="86" t="str">
        <f>_xlfn.CONCAT(表格1[[#This Row],[Model]]," ",表格1[[#This Row],[inv no]])</f>
        <v>RC-10ISSHK(W) 529350</v>
      </c>
      <c r="S2333" s="86">
        <f>_xlfn.XLOOKUP(表格1[[#This Row],[Model]],表格3[Model-Input-Ref2],表格3[SRP PRICE])</f>
        <v>1188</v>
      </c>
      <c r="T2333" s="43">
        <f>表格1[[#This Row],[Unit Price]]/表格1[[#This Row],[SRP]]</f>
        <v>0.78956228956228958</v>
      </c>
      <c r="U2333" s="86" t="str">
        <f>_xlfn.XLOOKUP(表格1[[#This Row],[Model]],表格3[Model-Input-Ref2],表格3[TOSHIBA/HIGHEST])</f>
        <v>Shops Highest Price</v>
      </c>
      <c r="W2333" s="86" t="str">
        <f>_xlfn.CONCAT(表格1[[#This Row],[欄4]],表格1[[#This Row],[inv no]])</f>
        <v>529350</v>
      </c>
    </row>
    <row r="2334" spans="1:23" hidden="1">
      <c r="A2334" s="81">
        <v>2332</v>
      </c>
      <c r="B2334" s="86" t="s">
        <v>1366</v>
      </c>
      <c r="C2334" s="86" t="s">
        <v>1852</v>
      </c>
      <c r="D2334" s="82" t="str">
        <f ca="1">OFFSET(Roster!$A$3,MATCH(表格1[[#This Row],[Location]]&amp;" "&amp;表格1[[#This Row],[Shop]]&amp;"*",Roster!$A$4:$A$72,0),DAY(表格1[[#This Row],[date]]),1,1)</f>
        <v>Maggie Yip</v>
      </c>
      <c r="E2334" s="86">
        <f>MONTH(表格1[[#This Row],[date]])</f>
        <v>3</v>
      </c>
      <c r="F2334" s="90">
        <v>46095</v>
      </c>
      <c r="G2334" s="86" t="str">
        <f>VLOOKUP("*"&amp;表格1[[#This Row],[Input]]&amp;"*",'Ref-List'!$B:$D,2,)</f>
        <v>RC-18JRUH(N)</v>
      </c>
      <c r="H2334" s="86" t="str">
        <f>_xlfn.XLOOKUP(表格1[[#This Row],[Model]],表格3[Model-Input-Ref2],表格3[Product Line])</f>
        <v>1.8公升電飯煲</v>
      </c>
      <c r="I2334" s="86" t="str">
        <f>_xlfn.XLOOKUP(表格1[[#This Row],[Model]],表格3[Model-Input-Ref2],表格3[大小電])</f>
        <v>細電</v>
      </c>
      <c r="J2334" s="86" t="str">
        <f>_xlfn.XLOOKUP(表格1[[#This Row],[Model]],表格3[Model-Input-Ref2],表格3[Code])</f>
        <v>SDA</v>
      </c>
      <c r="K2334" s="89" t="s">
        <v>1275</v>
      </c>
      <c r="L2334" s="86">
        <v>1</v>
      </c>
      <c r="M2334" s="87">
        <v>388</v>
      </c>
      <c r="N2334" s="85">
        <f>IFERROR(表格1[[#This Row],[QTY]]*表格1[[#This Row],[Unit Price]],"-")</f>
        <v>388</v>
      </c>
      <c r="O2334" s="86">
        <v>529434</v>
      </c>
      <c r="R2334" s="86" t="str">
        <f>_xlfn.CONCAT(表格1[[#This Row],[Model]]," ",表格1[[#This Row],[inv no]])</f>
        <v>RC-18JRUH(N) 529434</v>
      </c>
      <c r="S2334" s="86">
        <f>_xlfn.XLOOKUP(表格1[[#This Row],[Model]],表格3[Model-Input-Ref2],表格3[SRP PRICE])</f>
        <v>458</v>
      </c>
      <c r="T2334" s="43">
        <f>表格1[[#This Row],[Unit Price]]/表格1[[#This Row],[SRP]]</f>
        <v>0.84716157205240172</v>
      </c>
      <c r="U2334" s="86" t="str">
        <f>_xlfn.XLOOKUP(表格1[[#This Row],[Model]],表格3[Model-Input-Ref2],表格3[TOSHIBA/HIGHEST])</f>
        <v>Shops Highest Price</v>
      </c>
      <c r="W2334" s="86" t="str">
        <f>_xlfn.CONCAT(表格1[[#This Row],[欄4]],表格1[[#This Row],[inv no]])</f>
        <v>529434</v>
      </c>
    </row>
    <row r="2335" spans="1:23" hidden="1">
      <c r="A2335" s="81">
        <v>2333</v>
      </c>
      <c r="B2335" s="86" t="s">
        <v>1366</v>
      </c>
      <c r="C2335" s="86" t="s">
        <v>1852</v>
      </c>
      <c r="D2335" s="82" t="str">
        <f ca="1">OFFSET(Roster!$A$3,MATCH(表格1[[#This Row],[Location]]&amp;" "&amp;表格1[[#This Row],[Shop]]&amp;"*",Roster!$A$4:$A$72,0),DAY(表格1[[#This Row],[date]]),1,1)</f>
        <v>Maggie Yip</v>
      </c>
      <c r="E2335" s="86">
        <f>MONTH(表格1[[#This Row],[date]])</f>
        <v>3</v>
      </c>
      <c r="F2335" s="90">
        <v>46095</v>
      </c>
      <c r="G2335" s="86" t="str">
        <f>VLOOKUP("*"&amp;表格1[[#This Row],[Input]]&amp;"*",'Ref-List'!$B:$D,2,)</f>
        <v>ET-TD7080(PN)</v>
      </c>
      <c r="H2335" s="86" t="str">
        <f>_xlfn.XLOOKUP(表格1[[#This Row],[Model]],表格3[Model-Input-Ref2],表格3[Product Line])</f>
        <v>多士焗爐8L</v>
      </c>
      <c r="I2335" s="86" t="str">
        <f>_xlfn.XLOOKUP(表格1[[#This Row],[Model]],表格3[Model-Input-Ref2],表格3[大小電])</f>
        <v>細電</v>
      </c>
      <c r="J2335" s="86" t="str">
        <f>_xlfn.XLOOKUP(表格1[[#This Row],[Model]],表格3[Model-Input-Ref2],表格3[Code])</f>
        <v>SDA</v>
      </c>
      <c r="K2335" s="89">
        <v>7080</v>
      </c>
      <c r="L2335" s="86">
        <v>1</v>
      </c>
      <c r="M2335" s="87">
        <v>358</v>
      </c>
      <c r="N2335" s="85">
        <f>IFERROR(表格1[[#This Row],[QTY]]*表格1[[#This Row],[Unit Price]],"-")</f>
        <v>358</v>
      </c>
      <c r="O2335" s="142" t="s">
        <v>1855</v>
      </c>
      <c r="R2335" s="86" t="str">
        <f>_xlfn.CONCAT(表格1[[#This Row],[Model]]," ",表格1[[#This Row],[inv no]])</f>
        <v>ET-TD7080(PN) 014687</v>
      </c>
      <c r="S2335" s="86">
        <f>_xlfn.XLOOKUP(表格1[[#This Row],[Model]],表格3[Model-Input-Ref2],表格3[SRP PRICE])</f>
        <v>498</v>
      </c>
      <c r="T2335" s="43">
        <f>表格1[[#This Row],[Unit Price]]/表格1[[#This Row],[SRP]]</f>
        <v>0.71887550200803207</v>
      </c>
      <c r="U2335" s="86" t="str">
        <f>_xlfn.XLOOKUP(表格1[[#This Row],[Model]],表格3[Model-Input-Ref2],表格3[TOSHIBA/HIGHEST])</f>
        <v>Toshiba SRP</v>
      </c>
      <c r="W2335" s="86" t="str">
        <f>_xlfn.CONCAT(表格1[[#This Row],[欄4]],表格1[[#This Row],[inv no]])</f>
        <v>014687</v>
      </c>
    </row>
    <row r="2336" spans="1:23" hidden="1">
      <c r="A2336" s="81">
        <v>2334</v>
      </c>
      <c r="B2336" s="86" t="s">
        <v>1366</v>
      </c>
      <c r="C2336" s="86" t="s">
        <v>1852</v>
      </c>
      <c r="D2336" s="82" t="str">
        <f ca="1">OFFSET(Roster!$A$3,MATCH(表格1[[#This Row],[Location]]&amp;" "&amp;表格1[[#This Row],[Shop]]&amp;"*",Roster!$A$4:$A$72,0),DAY(表格1[[#This Row],[date]]),1,1)</f>
        <v>Maggie Yip</v>
      </c>
      <c r="E2336" s="86">
        <f>MONTH(表格1[[#This Row],[date]])</f>
        <v>3</v>
      </c>
      <c r="F2336" s="90">
        <v>46095</v>
      </c>
      <c r="G2336" s="86" t="str">
        <f>VLOOKUP("*"&amp;表格1[[#This Row],[Input]]&amp;"*",'Ref-List'!$B:$D,2,)</f>
        <v>PC-48DRSHK(K)</v>
      </c>
      <c r="H2336" s="86" t="str">
        <f>_xlfn.XLOOKUP(表格1[[#This Row],[Model]],表格3[Model-Input-Ref2],表格3[Product Line])</f>
        <v>電壓力鍋</v>
      </c>
      <c r="I2336" s="86" t="str">
        <f>_xlfn.XLOOKUP(表格1[[#This Row],[Model]],表格3[Model-Input-Ref2],表格3[大小電])</f>
        <v>細電</v>
      </c>
      <c r="J2336" s="86" t="str">
        <f>_xlfn.XLOOKUP(表格1[[#This Row],[Model]],表格3[Model-Input-Ref2],表格3[Code])</f>
        <v>SDA</v>
      </c>
      <c r="K2336" s="89" t="s">
        <v>1154</v>
      </c>
      <c r="L2336" s="86">
        <v>1</v>
      </c>
      <c r="M2336" s="87">
        <v>838</v>
      </c>
      <c r="N2336" s="85">
        <f>IFERROR(表格1[[#This Row],[QTY]]*表格1[[#This Row],[Unit Price]],"-")</f>
        <v>838</v>
      </c>
      <c r="O2336" s="86">
        <v>347584</v>
      </c>
      <c r="R2336" s="86" t="str">
        <f>_xlfn.CONCAT(表格1[[#This Row],[Model]]," ",表格1[[#This Row],[inv no]])</f>
        <v>PC-48DRSHK(K) 347584</v>
      </c>
      <c r="S2336" s="86">
        <f>_xlfn.XLOOKUP(表格1[[#This Row],[Model]],表格3[Model-Input-Ref2],表格3[SRP PRICE])</f>
        <v>1188</v>
      </c>
      <c r="T2336" s="43">
        <f>表格1[[#This Row],[Unit Price]]/表格1[[#This Row],[SRP]]</f>
        <v>0.70538720538720534</v>
      </c>
      <c r="U2336" s="86" t="str">
        <f>_xlfn.XLOOKUP(表格1[[#This Row],[Model]],表格3[Model-Input-Ref2],表格3[TOSHIBA/HIGHEST])</f>
        <v>Shops Highest Price</v>
      </c>
      <c r="W2336" s="86" t="str">
        <f>_xlfn.CONCAT(表格1[[#This Row],[欄4]],表格1[[#This Row],[inv no]])</f>
        <v>347584</v>
      </c>
    </row>
    <row r="2337" spans="1:23" hidden="1">
      <c r="A2337" s="81">
        <v>2335</v>
      </c>
      <c r="B2337" s="86" t="s">
        <v>1366</v>
      </c>
      <c r="C2337" s="86" t="s">
        <v>1852</v>
      </c>
      <c r="D2337" s="82" t="str">
        <f ca="1">OFFSET(Roster!$A$3,MATCH(表格1[[#This Row],[Location]]&amp;" "&amp;表格1[[#This Row],[Shop]]&amp;"*",Roster!$A$4:$A$72,0),DAY(表格1[[#This Row],[date]]),1,1)</f>
        <v>Maggie Yip</v>
      </c>
      <c r="E2337" s="86">
        <f>MONTH(表格1[[#This Row],[date]])</f>
        <v>3</v>
      </c>
      <c r="F2337" s="90">
        <v>46095</v>
      </c>
      <c r="G2337" s="86" t="str">
        <f>VLOOKUP("*"&amp;表格1[[#This Row],[Input]]&amp;"*",'Ref-List'!$B:$D,2,)</f>
        <v>RC-DR10T(W)</v>
      </c>
      <c r="H2337" s="86" t="str">
        <f>_xlfn.XLOOKUP(表格1[[#This Row],[Model]],表格3[Model-Input-Ref2],表格3[Product Line])</f>
        <v>IH磁應電飯煲</v>
      </c>
      <c r="I2337" s="86" t="str">
        <f>_xlfn.XLOOKUP(表格1[[#This Row],[Model]],表格3[Model-Input-Ref2],表格3[大小電])</f>
        <v>細電</v>
      </c>
      <c r="J2337" s="86" t="str">
        <f>_xlfn.XLOOKUP(表格1[[#This Row],[Model]],表格3[Model-Input-Ref2],表格3[Code])</f>
        <v>SDA</v>
      </c>
      <c r="K2337" s="89" t="s">
        <v>1294</v>
      </c>
      <c r="L2337" s="86">
        <v>1</v>
      </c>
      <c r="M2337" s="87">
        <v>2380</v>
      </c>
      <c r="N2337" s="85">
        <f>IFERROR(表格1[[#This Row],[QTY]]*表格1[[#This Row],[Unit Price]],"-")</f>
        <v>2380</v>
      </c>
      <c r="O2337" s="86">
        <v>319743</v>
      </c>
      <c r="R2337" s="86" t="str">
        <f>_xlfn.CONCAT(表格1[[#This Row],[Model]]," ",表格1[[#This Row],[inv no]])</f>
        <v>RC-DR10T(W) 319743</v>
      </c>
      <c r="S2337" s="86">
        <f>_xlfn.XLOOKUP(表格1[[#This Row],[Model]],表格3[Model-Input-Ref2],表格3[SRP PRICE])</f>
        <v>3188</v>
      </c>
      <c r="T2337" s="43">
        <f>表格1[[#This Row],[Unit Price]]/表格1[[#This Row],[SRP]]</f>
        <v>0.74654956085319946</v>
      </c>
      <c r="U2337" s="86" t="str">
        <f>_xlfn.XLOOKUP(表格1[[#This Row],[Model]],表格3[Model-Input-Ref2],表格3[TOSHIBA/HIGHEST])</f>
        <v>Toshiba SRP</v>
      </c>
      <c r="W2337" s="86" t="str">
        <f>_xlfn.CONCAT(表格1[[#This Row],[欄4]],表格1[[#This Row],[inv no]])</f>
        <v>319743</v>
      </c>
    </row>
    <row r="2338" spans="1:23" hidden="1">
      <c r="A2338" s="81">
        <v>2336</v>
      </c>
      <c r="B2338" s="86" t="s">
        <v>1366</v>
      </c>
      <c r="C2338" s="86" t="s">
        <v>1852</v>
      </c>
      <c r="D2338" s="82" t="str">
        <f ca="1">OFFSET(Roster!$A$3,MATCH(表格1[[#This Row],[Location]]&amp;" "&amp;表格1[[#This Row],[Shop]]&amp;"*",Roster!$A$4:$A$72,0),DAY(表格1[[#This Row],[date]]),1,1)</f>
        <v>Maggie Yip</v>
      </c>
      <c r="E2338" s="86">
        <f>MONTH(表格1[[#This Row],[date]])</f>
        <v>3</v>
      </c>
      <c r="F2338" s="90">
        <v>46095</v>
      </c>
      <c r="G2338" s="86" t="str">
        <f>VLOOKUP("*"&amp;表格1[[#This Row],[Input]]&amp;"*",'Ref-List'!$B:$D,2,)</f>
        <v>RC-10BHH(W)</v>
      </c>
      <c r="H2338" s="86" t="str">
        <f>_xlfn.XLOOKUP(表格1[[#This Row],[Model]],表格3[Model-Input-Ref2],表格3[Product Line])</f>
        <v>酵活炊磁應電飯煲</v>
      </c>
      <c r="I2338" s="86" t="str">
        <f>_xlfn.XLOOKUP(表格1[[#This Row],[Model]],表格3[Model-Input-Ref2],表格3[大小電])</f>
        <v>細電</v>
      </c>
      <c r="J2338" s="86" t="str">
        <f>_xlfn.XLOOKUP(表格1[[#This Row],[Model]],表格3[Model-Input-Ref2],表格3[Code])</f>
        <v>SDA</v>
      </c>
      <c r="K2338" s="89" t="s">
        <v>1269</v>
      </c>
      <c r="L2338" s="86">
        <v>1</v>
      </c>
      <c r="M2338" s="87">
        <v>1888</v>
      </c>
      <c r="N2338" s="85">
        <f>IFERROR(表格1[[#This Row],[QTY]]*表格1[[#This Row],[Unit Price]],"-")</f>
        <v>1888</v>
      </c>
      <c r="O2338" s="86">
        <v>529587</v>
      </c>
      <c r="R2338" s="86" t="str">
        <f>_xlfn.CONCAT(表格1[[#This Row],[Model]]," ",表格1[[#This Row],[inv no]])</f>
        <v>RC-10BHH(W) 529587</v>
      </c>
      <c r="S2338" s="86">
        <f>_xlfn.XLOOKUP(表格1[[#This Row],[Model]],表格3[Model-Input-Ref2],表格3[SRP PRICE])</f>
        <v>2088</v>
      </c>
      <c r="T2338" s="43">
        <f>表格1[[#This Row],[Unit Price]]/表格1[[#This Row],[SRP]]</f>
        <v>0.90421455938697315</v>
      </c>
      <c r="U2338" s="86" t="str">
        <f>_xlfn.XLOOKUP(表格1[[#This Row],[Model]],表格3[Model-Input-Ref2],表格3[TOSHIBA/HIGHEST])</f>
        <v>Shops Highest Price</v>
      </c>
      <c r="W2338" s="86" t="str">
        <f>_xlfn.CONCAT(表格1[[#This Row],[欄4]],表格1[[#This Row],[inv no]])</f>
        <v>529587</v>
      </c>
    </row>
    <row r="2339" spans="1:23" hidden="1">
      <c r="A2339" s="81">
        <v>2337</v>
      </c>
      <c r="B2339" s="86" t="s">
        <v>1366</v>
      </c>
      <c r="C2339" s="86" t="s">
        <v>1852</v>
      </c>
      <c r="D2339" s="82" t="str">
        <f ca="1">OFFSET(Roster!$A$3,MATCH(表格1[[#This Row],[Location]]&amp;" "&amp;表格1[[#This Row],[Shop]]&amp;"*",Roster!$A$4:$A$72,0),DAY(表格1[[#This Row],[date]]),1,1)</f>
        <v>Maggie Yip</v>
      </c>
      <c r="E2339" s="86">
        <f>MONTH(表格1[[#This Row],[date]])</f>
        <v>3</v>
      </c>
      <c r="F2339" s="90">
        <v>46095</v>
      </c>
      <c r="G2339" s="86" t="str">
        <f>VLOOKUP("*"&amp;表格1[[#This Row],[Input]]&amp;"*",'Ref-List'!$B:$D,2,)</f>
        <v>RC-5SLIH(W)</v>
      </c>
      <c r="H2339" s="86" t="str">
        <f>_xlfn.XLOOKUP(表格1[[#This Row],[Model]],表格3[Model-Input-Ref2],表格3[Product Line])</f>
        <v>微型電腦珍珠飯煲</v>
      </c>
      <c r="I2339" s="86" t="str">
        <f>_xlfn.XLOOKUP(表格1[[#This Row],[Model]],表格3[Model-Input-Ref2],表格3[大小電])</f>
        <v>細電</v>
      </c>
      <c r="J2339" s="86" t="str">
        <f>_xlfn.XLOOKUP(表格1[[#This Row],[Model]],表格3[Model-Input-Ref2],表格3[Code])</f>
        <v>SDA</v>
      </c>
      <c r="K2339" s="89" t="s">
        <v>1264</v>
      </c>
      <c r="L2339" s="86">
        <v>1</v>
      </c>
      <c r="M2339" s="87">
        <v>593</v>
      </c>
      <c r="N2339" s="85">
        <f>IFERROR(表格1[[#This Row],[QTY]]*表格1[[#This Row],[Unit Price]],"-")</f>
        <v>593</v>
      </c>
      <c r="O2339" s="86">
        <v>319789</v>
      </c>
      <c r="R2339" s="86" t="str">
        <f>_xlfn.CONCAT(表格1[[#This Row],[Model]]," ",表格1[[#This Row],[inv no]])</f>
        <v>RC-5SLIH(W) 319789</v>
      </c>
      <c r="S2339" s="86">
        <f>_xlfn.XLOOKUP(表格1[[#This Row],[Model]],表格3[Model-Input-Ref2],表格3[SRP PRICE])</f>
        <v>658</v>
      </c>
      <c r="T2339" s="43">
        <f>表格1[[#This Row],[Unit Price]]/表格1[[#This Row],[SRP]]</f>
        <v>0.90121580547112456</v>
      </c>
      <c r="U2339" s="86" t="str">
        <f>_xlfn.XLOOKUP(表格1[[#This Row],[Model]],表格3[Model-Input-Ref2],表格3[TOSHIBA/HIGHEST])</f>
        <v>Toshiba SRP</v>
      </c>
      <c r="W2339" s="86" t="str">
        <f>_xlfn.CONCAT(表格1[[#This Row],[欄4]],表格1[[#This Row],[inv no]])</f>
        <v>319789</v>
      </c>
    </row>
    <row r="2340" spans="1:23" hidden="1">
      <c r="A2340" s="81">
        <v>2338</v>
      </c>
      <c r="B2340" s="86" t="s">
        <v>1366</v>
      </c>
      <c r="C2340" s="86" t="s">
        <v>1852</v>
      </c>
      <c r="D2340" s="82" t="str">
        <f ca="1">OFFSET(Roster!$A$3,MATCH(表格1[[#This Row],[Location]]&amp;" "&amp;表格1[[#This Row],[Shop]]&amp;"*",Roster!$A$4:$A$72,0),DAY(表格1[[#This Row],[date]]),1,1)</f>
        <v>Maggie Yip</v>
      </c>
      <c r="E2340" s="86">
        <f>MONTH(表格1[[#This Row],[date]])</f>
        <v>3</v>
      </c>
      <c r="F2340" s="90">
        <v>46095</v>
      </c>
      <c r="G2340" s="86" t="str">
        <f>VLOOKUP("*"&amp;表格1[[#This Row],[Input]]&amp;"*",'Ref-List'!$B:$D,2,)</f>
        <v>KT-17SHNH</v>
      </c>
      <c r="H2340" s="86" t="str">
        <f>_xlfn.XLOOKUP(表格1[[#This Row],[Model]],表格3[Model-Input-Ref2],表格3[Product Line])</f>
        <v>1.7L無線雙層電熱水壺</v>
      </c>
      <c r="I2340" s="86" t="str">
        <f>_xlfn.XLOOKUP(表格1[[#This Row],[Model]],表格3[Model-Input-Ref2],表格3[大小電])</f>
        <v>細電</v>
      </c>
      <c r="J2340" s="86" t="str">
        <f>_xlfn.XLOOKUP(表格1[[#This Row],[Model]],表格3[Model-Input-Ref2],表格3[Code])</f>
        <v>SDA</v>
      </c>
      <c r="K2340" s="89" t="s">
        <v>1283</v>
      </c>
      <c r="L2340" s="86">
        <v>1</v>
      </c>
      <c r="M2340" s="87">
        <v>198</v>
      </c>
      <c r="N2340" s="85">
        <f>IFERROR(表格1[[#This Row],[QTY]]*表格1[[#This Row],[Unit Price]],"-")</f>
        <v>198</v>
      </c>
      <c r="O2340" s="86">
        <v>529626</v>
      </c>
      <c r="R2340" s="86" t="str">
        <f>_xlfn.CONCAT(表格1[[#This Row],[Model]]," ",表格1[[#This Row],[inv no]])</f>
        <v>KT-17SHNH 529626</v>
      </c>
      <c r="S2340" s="86">
        <f>_xlfn.XLOOKUP(表格1[[#This Row],[Model]],表格3[Model-Input-Ref2],表格3[SRP PRICE])</f>
        <v>299</v>
      </c>
      <c r="T2340" s="43">
        <f>表格1[[#This Row],[Unit Price]]/表格1[[#This Row],[SRP]]</f>
        <v>0.66220735785953178</v>
      </c>
      <c r="U2340" s="86" t="str">
        <f>_xlfn.XLOOKUP(表格1[[#This Row],[Model]],表格3[Model-Input-Ref2],表格3[TOSHIBA/HIGHEST])</f>
        <v>Shops Highest Price</v>
      </c>
      <c r="W2340" s="86" t="str">
        <f>_xlfn.CONCAT(表格1[[#This Row],[欄4]],表格1[[#This Row],[inv no]])</f>
        <v>529626</v>
      </c>
    </row>
    <row r="2341" spans="1:23" hidden="1">
      <c r="A2341" s="81">
        <v>2339</v>
      </c>
      <c r="B2341" s="86" t="s">
        <v>1366</v>
      </c>
      <c r="C2341" s="86" t="s">
        <v>1852</v>
      </c>
      <c r="D2341" s="82" t="str">
        <f ca="1">OFFSET(Roster!$A$3,MATCH(表格1[[#This Row],[Location]]&amp;" "&amp;表格1[[#This Row],[Shop]]&amp;"*",Roster!$A$4:$A$72,0),DAY(表格1[[#This Row],[date]]),1,1)</f>
        <v>Maggie Yip</v>
      </c>
      <c r="E2341" s="86">
        <f>MONTH(表格1[[#This Row],[date]])</f>
        <v>3</v>
      </c>
      <c r="F2341" s="90">
        <v>46096</v>
      </c>
      <c r="G2341" s="86" t="str">
        <f>VLOOKUP("*"&amp;表格1[[#This Row],[Input]]&amp;"*",'Ref-List'!$B:$D,2,)</f>
        <v>RC-5SLIH(W)</v>
      </c>
      <c r="H2341" s="86" t="str">
        <f>_xlfn.XLOOKUP(表格1[[#This Row],[Model]],表格3[Model-Input-Ref2],表格3[Product Line])</f>
        <v>微型電腦珍珠飯煲</v>
      </c>
      <c r="I2341" s="86" t="str">
        <f>_xlfn.XLOOKUP(表格1[[#This Row],[Model]],表格3[Model-Input-Ref2],表格3[大小電])</f>
        <v>細電</v>
      </c>
      <c r="J2341" s="86" t="str">
        <f>_xlfn.XLOOKUP(表格1[[#This Row],[Model]],表格3[Model-Input-Ref2],表格3[Code])</f>
        <v>SDA</v>
      </c>
      <c r="K2341" s="89" t="s">
        <v>1264</v>
      </c>
      <c r="L2341" s="86">
        <v>1</v>
      </c>
      <c r="M2341" s="87">
        <v>593</v>
      </c>
      <c r="N2341" s="85">
        <f>IFERROR(表格1[[#This Row],[QTY]]*表格1[[#This Row],[Unit Price]],"-")</f>
        <v>593</v>
      </c>
      <c r="O2341" s="86">
        <v>319881</v>
      </c>
      <c r="R2341" s="86" t="str">
        <f>_xlfn.CONCAT(表格1[[#This Row],[Model]]," ",表格1[[#This Row],[inv no]])</f>
        <v>RC-5SLIH(W) 319881</v>
      </c>
      <c r="S2341" s="86">
        <f>_xlfn.XLOOKUP(表格1[[#This Row],[Model]],表格3[Model-Input-Ref2],表格3[SRP PRICE])</f>
        <v>658</v>
      </c>
      <c r="T2341" s="43">
        <f>表格1[[#This Row],[Unit Price]]/表格1[[#This Row],[SRP]]</f>
        <v>0.90121580547112456</v>
      </c>
      <c r="U2341" s="86" t="str">
        <f>_xlfn.XLOOKUP(表格1[[#This Row],[Model]],表格3[Model-Input-Ref2],表格3[TOSHIBA/HIGHEST])</f>
        <v>Toshiba SRP</v>
      </c>
      <c r="W2341" s="86" t="str">
        <f>_xlfn.CONCAT(表格1[[#This Row],[欄4]],表格1[[#This Row],[inv no]])</f>
        <v>319881</v>
      </c>
    </row>
    <row r="2342" spans="1:23" hidden="1">
      <c r="A2342" s="81">
        <v>2340</v>
      </c>
      <c r="B2342" s="86" t="s">
        <v>1366</v>
      </c>
      <c r="C2342" s="86" t="s">
        <v>1852</v>
      </c>
      <c r="D2342" s="82" t="str">
        <f ca="1">OFFSET(Roster!$A$3,MATCH(表格1[[#This Row],[Location]]&amp;" "&amp;表格1[[#This Row],[Shop]]&amp;"*",Roster!$A$4:$A$72,0),DAY(表格1[[#This Row],[date]]),1,1)</f>
        <v>Maggie Yip</v>
      </c>
      <c r="E2342" s="86">
        <f>MONTH(表格1[[#This Row],[date]])</f>
        <v>3</v>
      </c>
      <c r="F2342" s="90">
        <v>46096</v>
      </c>
      <c r="G2342" s="86" t="str">
        <f>VLOOKUP("*"&amp;表格1[[#This Row],[Input]]&amp;"*",'Ref-List'!$B:$D,2,)</f>
        <v>RC-DZ4K(N)</v>
      </c>
      <c r="H2342" s="86" t="str">
        <f>_xlfn.XLOOKUP(表格1[[#This Row],[Model]],表格3[Model-Input-Ref2],表格3[Product Line])</f>
        <v>IH磁應電飯煲</v>
      </c>
      <c r="I2342" s="86" t="str">
        <f>_xlfn.XLOOKUP(表格1[[#This Row],[Model]],表格3[Model-Input-Ref2],表格3[大小電])</f>
        <v>細電</v>
      </c>
      <c r="J2342" s="86" t="str">
        <f>_xlfn.XLOOKUP(表格1[[#This Row],[Model]],表格3[Model-Input-Ref2],表格3[Code])</f>
        <v>SDA</v>
      </c>
      <c r="K2342" s="89" t="s">
        <v>1561</v>
      </c>
      <c r="L2342" s="86">
        <v>1</v>
      </c>
      <c r="M2342" s="87">
        <v>3280</v>
      </c>
      <c r="N2342" s="85">
        <f>IFERROR(表格1[[#This Row],[QTY]]*表格1[[#This Row],[Unit Price]],"-")</f>
        <v>3280</v>
      </c>
      <c r="O2342" s="86">
        <v>529843</v>
      </c>
      <c r="R2342" s="86" t="str">
        <f>_xlfn.CONCAT(表格1[[#This Row],[Model]]," ",表格1[[#This Row],[inv no]])</f>
        <v>RC-DZ4K(N) 529843</v>
      </c>
      <c r="S2342" s="86">
        <f>_xlfn.XLOOKUP(表格1[[#This Row],[Model]],表格3[Model-Input-Ref2],表格3[SRP PRICE])</f>
        <v>3888</v>
      </c>
      <c r="T2342" s="43">
        <f>表格1[[#This Row],[Unit Price]]/表格1[[#This Row],[SRP]]</f>
        <v>0.84362139917695478</v>
      </c>
      <c r="U2342" s="86" t="str">
        <f>_xlfn.XLOOKUP(表格1[[#This Row],[Model]],表格3[Model-Input-Ref2],表格3[TOSHIBA/HIGHEST])</f>
        <v>Shops Highest Price</v>
      </c>
      <c r="W2342" s="86" t="str">
        <f>_xlfn.CONCAT(表格1[[#This Row],[欄4]],表格1[[#This Row],[inv no]])</f>
        <v>529843</v>
      </c>
    </row>
    <row r="2343" spans="1:23" hidden="1">
      <c r="A2343" s="81">
        <v>2341</v>
      </c>
      <c r="B2343" s="86" t="s">
        <v>1366</v>
      </c>
      <c r="C2343" s="86" t="s">
        <v>1852</v>
      </c>
      <c r="D2343" s="82" t="str">
        <f ca="1">OFFSET(Roster!$A$3,MATCH(表格1[[#This Row],[Location]]&amp;" "&amp;表格1[[#This Row],[Shop]]&amp;"*",Roster!$A$4:$A$72,0),DAY(表格1[[#This Row],[date]]),1,1)</f>
        <v>Maggie Yip</v>
      </c>
      <c r="E2343" s="86">
        <f>MONTH(表格1[[#This Row],[date]])</f>
        <v>3</v>
      </c>
      <c r="F2343" s="90">
        <v>46096</v>
      </c>
      <c r="G2343" s="86" t="str">
        <f>VLOOKUP("*"&amp;表格1[[#This Row],[Input]]&amp;"*",'Ref-List'!$B:$D,2,)</f>
        <v>RC-10NMFIH(WT)</v>
      </c>
      <c r="H2343" s="86" t="str">
        <f>_xlfn.XLOOKUP(表格1[[#This Row],[Model]],表格3[Model-Input-Ref2],表格3[Product Line])</f>
        <v>4毫米厚釜電飯煲1L</v>
      </c>
      <c r="I2343" s="86" t="str">
        <f>_xlfn.XLOOKUP(表格1[[#This Row],[Model]],表格3[Model-Input-Ref2],表格3[大小電])</f>
        <v>細電</v>
      </c>
      <c r="J2343" s="86" t="str">
        <f>_xlfn.XLOOKUP(表格1[[#This Row],[Model]],表格3[Model-Input-Ref2],表格3[Code])</f>
        <v>SDA</v>
      </c>
      <c r="K2343" s="89" t="s">
        <v>1244</v>
      </c>
      <c r="L2343" s="86">
        <v>1</v>
      </c>
      <c r="M2343" s="87">
        <v>719</v>
      </c>
      <c r="N2343" s="85">
        <f>IFERROR(表格1[[#This Row],[QTY]]*表格1[[#This Row],[Unit Price]],"-")</f>
        <v>719</v>
      </c>
      <c r="O2343" s="86">
        <v>319920</v>
      </c>
      <c r="R2343" s="86" t="str">
        <f>_xlfn.CONCAT(表格1[[#This Row],[Model]]," ",表格1[[#This Row],[inv no]])</f>
        <v>RC-10NMFIH(WT) 319920</v>
      </c>
      <c r="S2343" s="86">
        <f>_xlfn.XLOOKUP(表格1[[#This Row],[Model]],表格3[Model-Input-Ref2],表格3[SRP PRICE])</f>
        <v>898</v>
      </c>
      <c r="T2343" s="43">
        <f>表格1[[#This Row],[Unit Price]]/表格1[[#This Row],[SRP]]</f>
        <v>0.80066815144766146</v>
      </c>
      <c r="U2343" s="86" t="str">
        <f>_xlfn.XLOOKUP(表格1[[#This Row],[Model]],表格3[Model-Input-Ref2],表格3[TOSHIBA/HIGHEST])</f>
        <v>Toshiba SRP</v>
      </c>
      <c r="W2343" s="86" t="str">
        <f>_xlfn.CONCAT(表格1[[#This Row],[欄4]],表格1[[#This Row],[inv no]])</f>
        <v>319920</v>
      </c>
    </row>
    <row r="2344" spans="1:23" hidden="1">
      <c r="A2344" s="81">
        <v>2342</v>
      </c>
      <c r="B2344" s="86" t="s">
        <v>1366</v>
      </c>
      <c r="C2344" s="86" t="s">
        <v>1852</v>
      </c>
      <c r="D2344" s="82" t="str">
        <f ca="1">OFFSET(Roster!$A$3,MATCH(表格1[[#This Row],[Location]]&amp;" "&amp;表格1[[#This Row],[Shop]]&amp;"*",Roster!$A$4:$A$72,0),DAY(表格1[[#This Row],[date]]),1,1)</f>
        <v>Maggie Yip</v>
      </c>
      <c r="E2344" s="86">
        <f>MONTH(表格1[[#This Row],[date]])</f>
        <v>3</v>
      </c>
      <c r="F2344" s="90">
        <v>46096</v>
      </c>
      <c r="G2344" s="86" t="str">
        <f>VLOOKUP("*"&amp;表格1[[#This Row],[Input]]&amp;"*",'Ref-List'!$B:$D,2,)</f>
        <v>RC-10AMXH(W)</v>
      </c>
      <c r="H2344" s="86" t="str">
        <f>_xlfn.XLOOKUP(表格1[[#This Row],[Model]],表格3[Model-Input-Ref2],表格3[Product Line])</f>
        <v>酵活炊電飯煲(1.0公升)</v>
      </c>
      <c r="I2344" s="86" t="str">
        <f>_xlfn.XLOOKUP(表格1[[#This Row],[Model]],表格3[Model-Input-Ref2],表格3[大小電])</f>
        <v>細電</v>
      </c>
      <c r="J2344" s="86" t="str">
        <f>_xlfn.XLOOKUP(表格1[[#This Row],[Model]],表格3[Model-Input-Ref2],表格3[Code])</f>
        <v>SDA</v>
      </c>
      <c r="K2344" s="89" t="s">
        <v>1279</v>
      </c>
      <c r="L2344" s="86">
        <v>1</v>
      </c>
      <c r="M2344" s="87">
        <v>990</v>
      </c>
      <c r="N2344" s="85">
        <f>IFERROR(表格1[[#This Row],[QTY]]*表格1[[#This Row],[Unit Price]],"-")</f>
        <v>990</v>
      </c>
      <c r="O2344" s="86">
        <v>319985</v>
      </c>
      <c r="R2344" s="86" t="str">
        <f>_xlfn.CONCAT(表格1[[#This Row],[Model]]," ",表格1[[#This Row],[inv no]])</f>
        <v>RC-10AMXH(W) 319985</v>
      </c>
      <c r="S2344" s="86">
        <f>_xlfn.XLOOKUP(表格1[[#This Row],[Model]],表格3[Model-Input-Ref2],表格3[SRP PRICE])</f>
        <v>1288</v>
      </c>
      <c r="T2344" s="43">
        <f>表格1[[#This Row],[Unit Price]]/表格1[[#This Row],[SRP]]</f>
        <v>0.76863354037267084</v>
      </c>
      <c r="U2344" s="86" t="str">
        <f>_xlfn.XLOOKUP(表格1[[#This Row],[Model]],表格3[Model-Input-Ref2],表格3[TOSHIBA/HIGHEST])</f>
        <v>Toshiba SRP</v>
      </c>
      <c r="W2344" s="86" t="str">
        <f>_xlfn.CONCAT(表格1[[#This Row],[欄4]],表格1[[#This Row],[inv no]])</f>
        <v>319985</v>
      </c>
    </row>
    <row r="2345" spans="1:23" hidden="1">
      <c r="A2345" s="81">
        <v>2343</v>
      </c>
      <c r="B2345" s="86" t="s">
        <v>1366</v>
      </c>
      <c r="C2345" s="86" t="s">
        <v>1852</v>
      </c>
      <c r="D2345" s="82" t="str">
        <f ca="1">OFFSET(Roster!$A$3,MATCH(表格1[[#This Row],[Location]]&amp;" "&amp;表格1[[#This Row],[Shop]]&amp;"*",Roster!$A$4:$A$72,0),DAY(表格1[[#This Row],[date]]),1,1)</f>
        <v>Maggie Yip</v>
      </c>
      <c r="E2345" s="86">
        <f>MONTH(表格1[[#This Row],[date]])</f>
        <v>3</v>
      </c>
      <c r="F2345" s="90">
        <v>46096</v>
      </c>
      <c r="G2345" s="86" t="str">
        <f>VLOOKUP("*"&amp;表格1[[#This Row],[Input]]&amp;"*",'Ref-List'!$B:$D,2,)</f>
        <v>RC-10NMFIH(WT)</v>
      </c>
      <c r="H2345" s="86" t="str">
        <f>_xlfn.XLOOKUP(表格1[[#This Row],[Model]],表格3[Model-Input-Ref2],表格3[Product Line])</f>
        <v>4毫米厚釜電飯煲1L</v>
      </c>
      <c r="I2345" s="86" t="str">
        <f>_xlfn.XLOOKUP(表格1[[#This Row],[Model]],表格3[Model-Input-Ref2],表格3[大小電])</f>
        <v>細電</v>
      </c>
      <c r="J2345" s="86" t="str">
        <f>_xlfn.XLOOKUP(表格1[[#This Row],[Model]],表格3[Model-Input-Ref2],表格3[Code])</f>
        <v>SDA</v>
      </c>
      <c r="K2345" s="89" t="s">
        <v>1244</v>
      </c>
      <c r="L2345" s="86">
        <v>1</v>
      </c>
      <c r="M2345" s="87">
        <v>719</v>
      </c>
      <c r="N2345" s="85">
        <f>IFERROR(表格1[[#This Row],[QTY]]*表格1[[#This Row],[Unit Price]],"-")</f>
        <v>719</v>
      </c>
      <c r="O2345" s="86">
        <v>320120</v>
      </c>
      <c r="R2345" s="86" t="str">
        <f>_xlfn.CONCAT(表格1[[#This Row],[Model]]," ",表格1[[#This Row],[inv no]])</f>
        <v>RC-10NMFIH(WT) 320120</v>
      </c>
      <c r="S2345" s="86">
        <f>_xlfn.XLOOKUP(表格1[[#This Row],[Model]],表格3[Model-Input-Ref2],表格3[SRP PRICE])</f>
        <v>898</v>
      </c>
      <c r="T2345" s="43">
        <f>表格1[[#This Row],[Unit Price]]/表格1[[#This Row],[SRP]]</f>
        <v>0.80066815144766146</v>
      </c>
      <c r="U2345" s="86" t="str">
        <f>_xlfn.XLOOKUP(表格1[[#This Row],[Model]],表格3[Model-Input-Ref2],表格3[TOSHIBA/HIGHEST])</f>
        <v>Toshiba SRP</v>
      </c>
      <c r="W2345" s="86" t="str">
        <f>_xlfn.CONCAT(表格1[[#This Row],[欄4]],表格1[[#This Row],[inv no]])</f>
        <v>320120</v>
      </c>
    </row>
    <row r="2346" spans="1:23" hidden="1">
      <c r="A2346" s="81">
        <v>2344</v>
      </c>
      <c r="B2346" s="86" t="s">
        <v>1366</v>
      </c>
      <c r="C2346" s="86" t="s">
        <v>1852</v>
      </c>
      <c r="D2346" s="82" t="str">
        <f ca="1">OFFSET(Roster!$A$3,MATCH(表格1[[#This Row],[Location]]&amp;" "&amp;表格1[[#This Row],[Shop]]&amp;"*",Roster!$A$4:$A$72,0),DAY(表格1[[#This Row],[date]]),1,1)</f>
        <v>Maggie Yip</v>
      </c>
      <c r="E2346" s="86">
        <f>MONTH(表格1[[#This Row],[date]])</f>
        <v>3</v>
      </c>
      <c r="F2346" s="90">
        <v>46096</v>
      </c>
      <c r="G2346" s="86" t="str">
        <f>VLOOKUP("*"&amp;表格1[[#This Row],[Input]]&amp;"*",'Ref-List'!$B:$D,2,)</f>
        <v>TP-50DRUHK(W)</v>
      </c>
      <c r="H2346" s="86" t="str">
        <f>_xlfn.XLOOKUP(表格1[[#This Row],[Model]],表格3[Model-Input-Ref2],表格3[Product Line])</f>
        <v>電熱水瓶 (5公升)</v>
      </c>
      <c r="I2346" s="86" t="str">
        <f>_xlfn.XLOOKUP(表格1[[#This Row],[Model]],表格3[Model-Input-Ref2],表格3[大小電])</f>
        <v>細電</v>
      </c>
      <c r="J2346" s="86" t="str">
        <f>_xlfn.XLOOKUP(表格1[[#This Row],[Model]],表格3[Model-Input-Ref2],表格3[Code])</f>
        <v>SDA</v>
      </c>
      <c r="K2346" s="89" t="s">
        <v>1277</v>
      </c>
      <c r="L2346" s="86">
        <v>1</v>
      </c>
      <c r="M2346" s="87">
        <v>598</v>
      </c>
      <c r="N2346" s="85">
        <f>IFERROR(表格1[[#This Row],[QTY]]*表格1[[#This Row],[Unit Price]],"-")</f>
        <v>598</v>
      </c>
      <c r="O2346" s="86">
        <v>320134</v>
      </c>
      <c r="R2346" s="86" t="str">
        <f>_xlfn.CONCAT(表格1[[#This Row],[Model]]," ",表格1[[#This Row],[inv no]])</f>
        <v>TP-50DRUHK(W) 320134</v>
      </c>
      <c r="S2346" s="86">
        <f>_xlfn.XLOOKUP(表格1[[#This Row],[Model]],表格3[Model-Input-Ref2],表格3[SRP PRICE])</f>
        <v>718</v>
      </c>
      <c r="T2346" s="43">
        <f>表格1[[#This Row],[Unit Price]]/表格1[[#This Row],[SRP]]</f>
        <v>0.83286908077994426</v>
      </c>
      <c r="U2346" s="86" t="str">
        <f>_xlfn.XLOOKUP(表格1[[#This Row],[Model]],表格3[Model-Input-Ref2],表格3[TOSHIBA/HIGHEST])</f>
        <v>Toshiba SRP</v>
      </c>
      <c r="W2346" s="86" t="str">
        <f>_xlfn.CONCAT(表格1[[#This Row],[欄4]],表格1[[#This Row],[inv no]])</f>
        <v>320134</v>
      </c>
    </row>
    <row r="2347" spans="1:23" hidden="1">
      <c r="A2347" s="81">
        <v>2345</v>
      </c>
      <c r="B2347" s="86" t="s">
        <v>1366</v>
      </c>
      <c r="C2347" s="86" t="s">
        <v>1852</v>
      </c>
      <c r="D2347" s="82" t="str">
        <f ca="1">OFFSET(Roster!$A$3,MATCH(表格1[[#This Row],[Location]]&amp;" "&amp;表格1[[#This Row],[Shop]]&amp;"*",Roster!$A$4:$A$72,0),DAY(表格1[[#This Row],[date]]),1,1)</f>
        <v>Maggie Yip</v>
      </c>
      <c r="E2347" s="86">
        <f>MONTH(表格1[[#This Row],[date]])</f>
        <v>3</v>
      </c>
      <c r="F2347" s="90">
        <v>46096</v>
      </c>
      <c r="G2347" s="86" t="str">
        <f>VLOOKUP("*"&amp;表格1[[#This Row],[Input]]&amp;"*",'Ref-List'!$B:$D,2,)</f>
        <v>TL-MC35Z</v>
      </c>
      <c r="H2347" s="86" t="str">
        <f>_xlfn.XLOOKUP(表格1[[#This Row],[Model]],表格3[Model-Input-Ref2],表格3[Product Line])</f>
        <v>35L多功能電焗爐</v>
      </c>
      <c r="I2347" s="86" t="str">
        <f>_xlfn.XLOOKUP(表格1[[#This Row],[Model]],表格3[Model-Input-Ref2],表格3[大小電])</f>
        <v>細電</v>
      </c>
      <c r="J2347" s="86" t="str">
        <f>_xlfn.XLOOKUP(表格1[[#This Row],[Model]],表格3[Model-Input-Ref2],表格3[Code])</f>
        <v>SDA</v>
      </c>
      <c r="K2347" s="89" t="s">
        <v>1295</v>
      </c>
      <c r="L2347" s="86">
        <v>1</v>
      </c>
      <c r="M2347" s="87">
        <v>888</v>
      </c>
      <c r="N2347" s="85">
        <f>IFERROR(表格1[[#This Row],[QTY]]*表格1[[#This Row],[Unit Price]],"-")</f>
        <v>888</v>
      </c>
      <c r="O2347" s="86">
        <v>320222</v>
      </c>
      <c r="R2347" s="86" t="str">
        <f>_xlfn.CONCAT(表格1[[#This Row],[Model]]," ",表格1[[#This Row],[inv no]])</f>
        <v>TL-MC35Z 320222</v>
      </c>
      <c r="S2347" s="86">
        <f>_xlfn.XLOOKUP(表格1[[#This Row],[Model]],表格3[Model-Input-Ref2],表格3[SRP PRICE])</f>
        <v>1098</v>
      </c>
      <c r="T2347" s="43">
        <f>表格1[[#This Row],[Unit Price]]/表格1[[#This Row],[SRP]]</f>
        <v>0.80874316939890711</v>
      </c>
      <c r="U2347" s="86" t="str">
        <f>_xlfn.XLOOKUP(表格1[[#This Row],[Model]],表格3[Model-Input-Ref2],表格3[TOSHIBA/HIGHEST])</f>
        <v>Toshiba SRP</v>
      </c>
      <c r="W2347" s="86" t="str">
        <f>_xlfn.CONCAT(表格1[[#This Row],[欄4]],表格1[[#This Row],[inv no]])</f>
        <v>320222</v>
      </c>
    </row>
    <row r="2348" spans="1:23" hidden="1">
      <c r="A2348" s="81">
        <v>2346</v>
      </c>
      <c r="B2348" s="86" t="s">
        <v>1366</v>
      </c>
      <c r="C2348" s="86" t="s">
        <v>1852</v>
      </c>
      <c r="D2348" s="82" t="str">
        <f ca="1">OFFSET(Roster!$A$3,MATCH(表格1[[#This Row],[Location]]&amp;" "&amp;表格1[[#This Row],[Shop]]&amp;"*",Roster!$A$4:$A$72,0),DAY(表格1[[#This Row],[date]]),1,1)</f>
        <v>Maggie Yip</v>
      </c>
      <c r="E2348" s="86">
        <f>MONTH(表格1[[#This Row],[date]])</f>
        <v>3</v>
      </c>
      <c r="F2348" s="90">
        <v>46096</v>
      </c>
      <c r="G2348" s="86" t="str">
        <f>VLOOKUP("*"&amp;表格1[[#This Row],[Input]]&amp;"*",'Ref-List'!$B:$D,2,)</f>
        <v>IC-20R1THK</v>
      </c>
      <c r="H2348" s="86" t="str">
        <f>_xlfn.XLOOKUP(表格1[[#This Row],[Model]],表格3[Model-Input-Ref2],表格3[Product Line])</f>
        <v>輕便式電磁爐</v>
      </c>
      <c r="I2348" s="86" t="str">
        <f>_xlfn.XLOOKUP(表格1[[#This Row],[Model]],表格3[Model-Input-Ref2],表格3[大小電])</f>
        <v>細電</v>
      </c>
      <c r="J2348" s="86" t="str">
        <f>_xlfn.XLOOKUP(表格1[[#This Row],[Model]],表格3[Model-Input-Ref2],表格3[Code])</f>
        <v>SDA</v>
      </c>
      <c r="K2348" s="89" t="s">
        <v>1243</v>
      </c>
      <c r="L2348" s="86">
        <v>1</v>
      </c>
      <c r="M2348" s="87">
        <v>338</v>
      </c>
      <c r="N2348" s="85">
        <f>IFERROR(表格1[[#This Row],[QTY]]*表格1[[#This Row],[Unit Price]],"-")</f>
        <v>338</v>
      </c>
      <c r="O2348" s="86">
        <v>530151</v>
      </c>
      <c r="R2348" s="86" t="str">
        <f>_xlfn.CONCAT(表格1[[#This Row],[Model]]," ",表格1[[#This Row],[inv no]])</f>
        <v>IC-20R1THK 530151</v>
      </c>
      <c r="S2348" s="86">
        <f>_xlfn.XLOOKUP(表格1[[#This Row],[Model]],表格3[Model-Input-Ref2],表格3[SRP PRICE])</f>
        <v>438</v>
      </c>
      <c r="T2348" s="43">
        <f>表格1[[#This Row],[Unit Price]]/表格1[[#This Row],[SRP]]</f>
        <v>0.77168949771689499</v>
      </c>
      <c r="U2348" s="86" t="str">
        <f>_xlfn.XLOOKUP(表格1[[#This Row],[Model]],表格3[Model-Input-Ref2],表格3[TOSHIBA/HIGHEST])</f>
        <v>Shops Highest Price</v>
      </c>
      <c r="W2348" s="86" t="str">
        <f>_xlfn.CONCAT(表格1[[#This Row],[欄4]],表格1[[#This Row],[inv no]])</f>
        <v>530151</v>
      </c>
    </row>
    <row r="2349" spans="1:23" hidden="1">
      <c r="A2349" s="81">
        <v>2347</v>
      </c>
      <c r="B2349" s="86" t="s">
        <v>1366</v>
      </c>
      <c r="C2349" s="86" t="s">
        <v>1852</v>
      </c>
      <c r="D2349" s="82" t="str">
        <f ca="1">OFFSET(Roster!$A$3,MATCH(表格1[[#This Row],[Location]]&amp;" "&amp;表格1[[#This Row],[Shop]]&amp;"*",Roster!$A$4:$A$72,0),DAY(表格1[[#This Row],[date]]),1,1)</f>
        <v>Maggie Yip</v>
      </c>
      <c r="E2349" s="86">
        <f>MONTH(表格1[[#This Row],[date]])</f>
        <v>3</v>
      </c>
      <c r="F2349" s="90">
        <v>46096</v>
      </c>
      <c r="G2349" s="86" t="str">
        <f>VLOOKUP("*"&amp;表格1[[#This Row],[Input]]&amp;"*",'Ref-List'!$B:$D,2,)</f>
        <v>RC-10BHH(W)</v>
      </c>
      <c r="H2349" s="86" t="str">
        <f>_xlfn.XLOOKUP(表格1[[#This Row],[Model]],表格3[Model-Input-Ref2],表格3[Product Line])</f>
        <v>酵活炊磁應電飯煲</v>
      </c>
      <c r="I2349" s="86" t="str">
        <f>_xlfn.XLOOKUP(表格1[[#This Row],[Model]],表格3[Model-Input-Ref2],表格3[大小電])</f>
        <v>細電</v>
      </c>
      <c r="J2349" s="86" t="str">
        <f>_xlfn.XLOOKUP(表格1[[#This Row],[Model]],表格3[Model-Input-Ref2],表格3[Code])</f>
        <v>SDA</v>
      </c>
      <c r="K2349" s="89" t="s">
        <v>1269</v>
      </c>
      <c r="L2349" s="86">
        <v>1</v>
      </c>
      <c r="M2349" s="87">
        <v>1888</v>
      </c>
      <c r="N2349" s="85">
        <f>IFERROR(表格1[[#This Row],[QTY]]*表格1[[#This Row],[Unit Price]],"-")</f>
        <v>1888</v>
      </c>
      <c r="O2349" s="86">
        <v>530158</v>
      </c>
      <c r="R2349" s="86" t="str">
        <f>_xlfn.CONCAT(表格1[[#This Row],[Model]]," ",表格1[[#This Row],[inv no]])</f>
        <v>RC-10BHH(W) 530158</v>
      </c>
      <c r="S2349" s="86">
        <f>_xlfn.XLOOKUP(表格1[[#This Row],[Model]],表格3[Model-Input-Ref2],表格3[SRP PRICE])</f>
        <v>2088</v>
      </c>
      <c r="T2349" s="43">
        <f>表格1[[#This Row],[Unit Price]]/表格1[[#This Row],[SRP]]</f>
        <v>0.90421455938697315</v>
      </c>
      <c r="U2349" s="86" t="str">
        <f>_xlfn.XLOOKUP(表格1[[#This Row],[Model]],表格3[Model-Input-Ref2],表格3[TOSHIBA/HIGHEST])</f>
        <v>Shops Highest Price</v>
      </c>
      <c r="W2349" s="86" t="str">
        <f>_xlfn.CONCAT(表格1[[#This Row],[欄4]],表格1[[#This Row],[inv no]])</f>
        <v>530158</v>
      </c>
    </row>
    <row r="2350" spans="1:23" hidden="1">
      <c r="A2350" s="81">
        <v>2348</v>
      </c>
      <c r="B2350" s="86" t="s">
        <v>1366</v>
      </c>
      <c r="C2350" s="86" t="s">
        <v>1852</v>
      </c>
      <c r="D2350" s="82" t="str">
        <f ca="1">OFFSET(Roster!$A$3,MATCH(表格1[[#This Row],[Location]]&amp;" "&amp;表格1[[#This Row],[Shop]]&amp;"*",Roster!$A$4:$A$72,0),DAY(表格1[[#This Row],[date]]),1,1)</f>
        <v>Maggie Yip</v>
      </c>
      <c r="E2350" s="86">
        <f>MONTH(表格1[[#This Row],[date]])</f>
        <v>3</v>
      </c>
      <c r="F2350" s="90">
        <v>46097</v>
      </c>
      <c r="G2350" s="86" t="str">
        <f>VLOOKUP("*"&amp;表格1[[#This Row],[Input]]&amp;"*",'Ref-List'!$B:$D,2,)</f>
        <v>MWP-MM20P(WH)</v>
      </c>
      <c r="H2350" s="86" t="str">
        <f>_xlfn.XLOOKUP(表格1[[#This Row],[Model]],表格3[Model-Input-Ref2],表格3[Product Line])</f>
        <v>旋鈕式燒烤微波爐20L</v>
      </c>
      <c r="I2350" s="86" t="str">
        <f>_xlfn.XLOOKUP(表格1[[#This Row],[Model]],表格3[Model-Input-Ref2],表格3[大小電])</f>
        <v>細電</v>
      </c>
      <c r="J2350" s="86" t="str">
        <f>_xlfn.XLOOKUP(表格1[[#This Row],[Model]],表格3[Model-Input-Ref2],表格3[Code])</f>
        <v>SDA</v>
      </c>
      <c r="K2350" s="89" t="s">
        <v>1270</v>
      </c>
      <c r="L2350" s="86">
        <v>1</v>
      </c>
      <c r="M2350" s="87">
        <v>488</v>
      </c>
      <c r="N2350" s="85">
        <f>IFERROR(表格1[[#This Row],[QTY]]*表格1[[#This Row],[Unit Price]],"-")</f>
        <v>488</v>
      </c>
      <c r="O2350" s="86">
        <v>530291</v>
      </c>
      <c r="R2350" s="86" t="str">
        <f>_xlfn.CONCAT(表格1[[#This Row],[Model]]," ",表格1[[#This Row],[inv no]])</f>
        <v>MWP-MM20P(WH) 530291</v>
      </c>
      <c r="S2350" s="86">
        <f>_xlfn.XLOOKUP(表格1[[#This Row],[Model]],表格3[Model-Input-Ref2],表格3[SRP PRICE])</f>
        <v>648</v>
      </c>
      <c r="T2350" s="43">
        <f>表格1[[#This Row],[Unit Price]]/表格1[[#This Row],[SRP]]</f>
        <v>0.75308641975308643</v>
      </c>
      <c r="U2350" s="86" t="str">
        <f>_xlfn.XLOOKUP(表格1[[#This Row],[Model]],表格3[Model-Input-Ref2],表格3[TOSHIBA/HIGHEST])</f>
        <v>Toshiba SRP</v>
      </c>
      <c r="W2350" s="86" t="str">
        <f>_xlfn.CONCAT(表格1[[#This Row],[欄4]],表格1[[#This Row],[inv no]])</f>
        <v>530291</v>
      </c>
    </row>
    <row r="2351" spans="1:23" hidden="1">
      <c r="A2351" s="81">
        <v>2349</v>
      </c>
      <c r="B2351" s="86" t="s">
        <v>1366</v>
      </c>
      <c r="C2351" s="86" t="s">
        <v>1852</v>
      </c>
      <c r="D2351" s="82" t="str">
        <f ca="1">OFFSET(Roster!$A$3,MATCH(表格1[[#This Row],[Location]]&amp;" "&amp;表格1[[#This Row],[Shop]]&amp;"*",Roster!$A$4:$A$72,0),DAY(表格1[[#This Row],[date]]),1,1)</f>
        <v>Maggie Yip</v>
      </c>
      <c r="E2351" s="86">
        <f>MONTH(表格1[[#This Row],[date]])</f>
        <v>3</v>
      </c>
      <c r="F2351" s="90">
        <v>46097</v>
      </c>
      <c r="G2351" s="86" t="str">
        <f>VLOOKUP("*"&amp;表格1[[#This Row],[Input]]&amp;"*",'Ref-List'!$B:$D,2,)</f>
        <v>MM2-EM20PC(WH)</v>
      </c>
      <c r="H2351" s="86" t="str">
        <f>_xlfn.XLOOKUP(表格1[[#This Row],[Model]],表格3[Model-Input-Ref2],表格3[Product Line])</f>
        <v>輕觸式微波爐 (20公升)</v>
      </c>
      <c r="I2351" s="86" t="str">
        <f>_xlfn.XLOOKUP(表格1[[#This Row],[Model]],表格3[Model-Input-Ref2],表格3[大小電])</f>
        <v>細電</v>
      </c>
      <c r="J2351" s="86" t="str">
        <f>_xlfn.XLOOKUP(表格1[[#This Row],[Model]],表格3[Model-Input-Ref2],表格3[Code])</f>
        <v>MCA</v>
      </c>
      <c r="K2351" s="89" t="s">
        <v>1276</v>
      </c>
      <c r="L2351" s="86">
        <v>1</v>
      </c>
      <c r="M2351" s="87">
        <v>598</v>
      </c>
      <c r="N2351" s="85">
        <f>IFERROR(表格1[[#This Row],[QTY]]*表格1[[#This Row],[Unit Price]],"-")</f>
        <v>598</v>
      </c>
      <c r="O2351" s="86">
        <v>530293</v>
      </c>
      <c r="R2351" s="86" t="str">
        <f>_xlfn.CONCAT(表格1[[#This Row],[Model]]," ",表格1[[#This Row],[inv no]])</f>
        <v>MM2-EM20PC(WH) 530293</v>
      </c>
      <c r="S2351" s="86">
        <f>_xlfn.XLOOKUP(表格1[[#This Row],[Model]],表格3[Model-Input-Ref2],表格3[SRP PRICE])</f>
        <v>788</v>
      </c>
      <c r="T2351" s="43">
        <f>表格1[[#This Row],[Unit Price]]/表格1[[#This Row],[SRP]]</f>
        <v>0.75888324873096447</v>
      </c>
      <c r="U2351" s="86" t="str">
        <f>_xlfn.XLOOKUP(表格1[[#This Row],[Model]],表格3[Model-Input-Ref2],表格3[TOSHIBA/HIGHEST])</f>
        <v>Toshiba SRP</v>
      </c>
      <c r="W2351" s="86" t="str">
        <f>_xlfn.CONCAT(表格1[[#This Row],[欄4]],表格1[[#This Row],[inv no]])</f>
        <v>530293</v>
      </c>
    </row>
    <row r="2352" spans="1:23" hidden="1">
      <c r="A2352" s="81">
        <v>2350</v>
      </c>
      <c r="B2352" s="86" t="s">
        <v>1366</v>
      </c>
      <c r="C2352" s="86" t="s">
        <v>1852</v>
      </c>
      <c r="D2352" s="82" t="str">
        <f ca="1">OFFSET(Roster!$A$3,MATCH(表格1[[#This Row],[Location]]&amp;" "&amp;表格1[[#This Row],[Shop]]&amp;"*",Roster!$A$4:$A$72,0),DAY(表格1[[#This Row],[date]]),1,1)</f>
        <v>Maggie Yip</v>
      </c>
      <c r="E2352" s="86">
        <f>MONTH(表格1[[#This Row],[date]])</f>
        <v>3</v>
      </c>
      <c r="F2352" s="90">
        <v>46097</v>
      </c>
      <c r="G2352" s="86" t="str">
        <f>VLOOKUP("*"&amp;表格1[[#This Row],[Input]]&amp;"*",'Ref-List'!$B:$D,2,)</f>
        <v>RC-10IRPH</v>
      </c>
      <c r="H2352" s="86" t="str">
        <f>_xlfn.XLOOKUP(表格1[[#This Row],[Model]],表格3[Model-Input-Ref2],表格3[Product Line])</f>
        <v>低醣磁應電飯煲1L</v>
      </c>
      <c r="I2352" s="86" t="str">
        <f>_xlfn.XLOOKUP(表格1[[#This Row],[Model]],表格3[Model-Input-Ref2],表格3[大小電])</f>
        <v>細電</v>
      </c>
      <c r="J2352" s="86" t="str">
        <f>_xlfn.XLOOKUP(表格1[[#This Row],[Model]],表格3[Model-Input-Ref2],表格3[Code])</f>
        <v>SDA</v>
      </c>
      <c r="K2352" s="89" t="s">
        <v>1297</v>
      </c>
      <c r="L2352" s="86">
        <v>1</v>
      </c>
      <c r="M2352" s="87">
        <v>798</v>
      </c>
      <c r="N2352" s="85">
        <f>IFERROR(表格1[[#This Row],[QTY]]*表格1[[#This Row],[Unit Price]],"-")</f>
        <v>798</v>
      </c>
      <c r="O2352" s="86">
        <v>530332</v>
      </c>
      <c r="R2352" s="86" t="str">
        <f>_xlfn.CONCAT(表格1[[#This Row],[Model]]," ",表格1[[#This Row],[inv no]])</f>
        <v>RC-10IRPH 530332</v>
      </c>
      <c r="S2352" s="86">
        <f>_xlfn.XLOOKUP(表格1[[#This Row],[Model]],表格3[Model-Input-Ref2],表格3[SRP PRICE])</f>
        <v>1388</v>
      </c>
      <c r="T2352" s="43">
        <f>表格1[[#This Row],[Unit Price]]/表格1[[#This Row],[SRP]]</f>
        <v>0.5749279538904899</v>
      </c>
      <c r="U2352" s="86" t="str">
        <f>_xlfn.XLOOKUP(表格1[[#This Row],[Model]],表格3[Model-Input-Ref2],表格3[TOSHIBA/HIGHEST])</f>
        <v>Toshiba SRP</v>
      </c>
      <c r="W2352" s="86" t="str">
        <f>_xlfn.CONCAT(表格1[[#This Row],[欄4]],表格1[[#This Row],[inv no]])</f>
        <v>530332</v>
      </c>
    </row>
    <row r="2353" spans="1:23" hidden="1">
      <c r="A2353" s="81">
        <v>2351</v>
      </c>
      <c r="B2353" s="86" t="s">
        <v>1366</v>
      </c>
      <c r="C2353" s="86" t="s">
        <v>1852</v>
      </c>
      <c r="D2353" s="82" t="str">
        <f ca="1">OFFSET(Roster!$A$3,MATCH(表格1[[#This Row],[Location]]&amp;" "&amp;表格1[[#This Row],[Shop]]&amp;"*",Roster!$A$4:$A$72,0),DAY(表格1[[#This Row],[date]]),1,1)</f>
        <v>Maggie Yip</v>
      </c>
      <c r="E2353" s="86">
        <f>MONTH(表格1[[#This Row],[date]])</f>
        <v>3</v>
      </c>
      <c r="F2353" s="90">
        <v>46097</v>
      </c>
      <c r="G2353" s="86" t="str">
        <f>VLOOKUP("*"&amp;表格1[[#This Row],[Input]]&amp;"*",'Ref-List'!$B:$D,2,)</f>
        <v>KT-15DRTHK(W)</v>
      </c>
      <c r="H2353" s="86" t="str">
        <f>_xlfn.XLOOKUP(表格1[[#This Row],[Model]],表格3[Model-Input-Ref2],表格3[Product Line])</f>
        <v>無線雙層電熱水壺-附可鎖壺蓋</v>
      </c>
      <c r="I2353" s="86" t="str">
        <f>_xlfn.XLOOKUP(表格1[[#This Row],[Model]],表格3[Model-Input-Ref2],表格3[大小電])</f>
        <v>細電</v>
      </c>
      <c r="J2353" s="86" t="str">
        <f>_xlfn.XLOOKUP(表格1[[#This Row],[Model]],表格3[Model-Input-Ref2],表格3[Code])</f>
        <v>SDA</v>
      </c>
      <c r="K2353" s="89" t="s">
        <v>1278</v>
      </c>
      <c r="L2353" s="86">
        <v>1</v>
      </c>
      <c r="M2353" s="87">
        <v>358</v>
      </c>
      <c r="N2353" s="85">
        <f>IFERROR(表格1[[#This Row],[QTY]]*表格1[[#This Row],[Unit Price]],"-")</f>
        <v>358</v>
      </c>
      <c r="O2353" s="86">
        <v>530397</v>
      </c>
      <c r="R2353" s="86" t="str">
        <f>_xlfn.CONCAT(表格1[[#This Row],[Model]]," ",表格1[[#This Row],[inv no]])</f>
        <v>KT-15DRTHK(W) 530397</v>
      </c>
      <c r="S2353" s="86">
        <f>_xlfn.XLOOKUP(表格1[[#This Row],[Model]],表格3[Model-Input-Ref2],表格3[SRP PRICE])</f>
        <v>598</v>
      </c>
      <c r="T2353" s="43">
        <f>表格1[[#This Row],[Unit Price]]/表格1[[#This Row],[SRP]]</f>
        <v>0.59866220735785958</v>
      </c>
      <c r="U2353" s="86" t="str">
        <f>_xlfn.XLOOKUP(表格1[[#This Row],[Model]],表格3[Model-Input-Ref2],表格3[TOSHIBA/HIGHEST])</f>
        <v>Toshiba SRP</v>
      </c>
      <c r="W2353" s="86" t="str">
        <f>_xlfn.CONCAT(表格1[[#This Row],[欄4]],表格1[[#This Row],[inv no]])</f>
        <v>530397</v>
      </c>
    </row>
    <row r="2354" spans="1:23" hidden="1">
      <c r="A2354" s="81">
        <v>2352</v>
      </c>
      <c r="B2354" s="86" t="s">
        <v>1366</v>
      </c>
      <c r="C2354" s="86" t="s">
        <v>1852</v>
      </c>
      <c r="D2354" s="82" t="str">
        <f ca="1">OFFSET(Roster!$A$3,MATCH(表格1[[#This Row],[Location]]&amp;" "&amp;表格1[[#This Row],[Shop]]&amp;"*",Roster!$A$4:$A$72,0),DAY(表格1[[#This Row],[date]]),1,1)</f>
        <v>Maggie Yip</v>
      </c>
      <c r="E2354" s="86">
        <f>MONTH(表格1[[#This Row],[date]])</f>
        <v>3</v>
      </c>
      <c r="F2354" s="90">
        <v>46098</v>
      </c>
      <c r="G2354" s="86" t="str">
        <f>VLOOKUP("*"&amp;表格1[[#This Row],[Input]]&amp;"*",'Ref-List'!$B:$D,2,)</f>
        <v>RC-DS10K(N)</v>
      </c>
      <c r="H2354" s="86" t="str">
        <f>_xlfn.XLOOKUP(表格1[[#This Row],[Model]],表格3[Model-Input-Ref2],表格3[Product Line])</f>
        <v>IH磁應電飯煲</v>
      </c>
      <c r="I2354" s="86" t="str">
        <f>_xlfn.XLOOKUP(表格1[[#This Row],[Model]],表格3[Model-Input-Ref2],表格3[大小電])</f>
        <v>細電</v>
      </c>
      <c r="J2354" s="86" t="str">
        <f>_xlfn.XLOOKUP(表格1[[#This Row],[Model]],表格3[Model-Input-Ref2],表格3[Code])</f>
        <v>SDA</v>
      </c>
      <c r="K2354" s="89" t="s">
        <v>1633</v>
      </c>
      <c r="L2354" s="86">
        <v>1</v>
      </c>
      <c r="M2354" s="87">
        <v>3150</v>
      </c>
      <c r="N2354" s="85">
        <f>IFERROR(表格1[[#This Row],[QTY]]*表格1[[#This Row],[Unit Price]],"-")</f>
        <v>3150</v>
      </c>
      <c r="O2354" s="86">
        <v>530655</v>
      </c>
      <c r="R2354" s="86" t="str">
        <f>_xlfn.CONCAT(表格1[[#This Row],[Model]]," ",表格1[[#This Row],[inv no]])</f>
        <v>RC-DS10K(N) 530655</v>
      </c>
      <c r="S2354" s="86">
        <f>_xlfn.XLOOKUP(表格1[[#This Row],[Model]],表格3[Model-Input-Ref2],表格3[SRP PRICE])</f>
        <v>4588</v>
      </c>
      <c r="T2354" s="43">
        <f>表格1[[#This Row],[Unit Price]]/表格1[[#This Row],[SRP]]</f>
        <v>0.68657367044463824</v>
      </c>
      <c r="U2354" s="86" t="str">
        <f>_xlfn.XLOOKUP(表格1[[#This Row],[Model]],表格3[Model-Input-Ref2],表格3[TOSHIBA/HIGHEST])</f>
        <v>Toshiba SRP</v>
      </c>
      <c r="W2354" s="86" t="str">
        <f>_xlfn.CONCAT(表格1[[#This Row],[欄4]],表格1[[#This Row],[inv no]])</f>
        <v>530655</v>
      </c>
    </row>
    <row r="2355" spans="1:23" hidden="1">
      <c r="A2355" s="81">
        <v>2353</v>
      </c>
      <c r="B2355" s="86" t="s">
        <v>1366</v>
      </c>
      <c r="C2355" s="86" t="s">
        <v>1852</v>
      </c>
      <c r="D2355" s="82" t="str">
        <f ca="1">OFFSET(Roster!$A$3,MATCH(表格1[[#This Row],[Location]]&amp;" "&amp;表格1[[#This Row],[Shop]]&amp;"*",Roster!$A$4:$A$72,0),DAY(表格1[[#This Row],[date]]),1,1)</f>
        <v>Maggie Yip</v>
      </c>
      <c r="E2355" s="86">
        <f>MONTH(表格1[[#This Row],[date]])</f>
        <v>3</v>
      </c>
      <c r="F2355" s="90">
        <v>46098</v>
      </c>
      <c r="G2355" s="86" t="str">
        <f>VLOOKUP("*"&amp;表格1[[#This Row],[Input]]&amp;"*",'Ref-List'!$B:$D,2,)</f>
        <v>GR-RB360WE-PMA(06)</v>
      </c>
      <c r="H2355" s="86" t="str">
        <f>_xlfn.XLOOKUP(表格1[[#This Row],[Model]],表格3[Model-Input-Ref2],表格3[Product Line])</f>
        <v>變頻下置式雙門雪櫃系列270L</v>
      </c>
      <c r="I2355" s="86" t="str">
        <f>_xlfn.XLOOKUP(表格1[[#This Row],[Model]],表格3[Model-Input-Ref2],表格3[大小電])</f>
        <v>大電</v>
      </c>
      <c r="J2355" s="86" t="str">
        <f>_xlfn.XLOOKUP(表格1[[#This Row],[Model]],表格3[Model-Input-Ref2],表格3[Code])</f>
        <v>REF</v>
      </c>
      <c r="K2355" s="89" t="s">
        <v>1282</v>
      </c>
      <c r="L2355" s="86">
        <v>1</v>
      </c>
      <c r="M2355" s="87">
        <v>3680</v>
      </c>
      <c r="N2355" s="85">
        <f>IFERROR(表格1[[#This Row],[QTY]]*表格1[[#This Row],[Unit Price]],"-")</f>
        <v>3680</v>
      </c>
      <c r="O2355" s="86">
        <v>530869</v>
      </c>
      <c r="R2355" s="86" t="str">
        <f>_xlfn.CONCAT(表格1[[#This Row],[Model]]," ",表格1[[#This Row],[inv no]])</f>
        <v>GR-RB360WE-PMA(06) 530869</v>
      </c>
      <c r="S2355" s="86">
        <f>_xlfn.XLOOKUP(表格1[[#This Row],[Model]],表格3[Model-Input-Ref2],表格3[SRP PRICE])</f>
        <v>5080</v>
      </c>
      <c r="T2355" s="43">
        <f>表格1[[#This Row],[Unit Price]]/表格1[[#This Row],[SRP]]</f>
        <v>0.72440944881889768</v>
      </c>
      <c r="U2355" s="86" t="str">
        <f>_xlfn.XLOOKUP(表格1[[#This Row],[Model]],表格3[Model-Input-Ref2],表格3[TOSHIBA/HIGHEST])</f>
        <v>Toshiba SRP</v>
      </c>
      <c r="W2355" s="86" t="str">
        <f>_xlfn.CONCAT(表格1[[#This Row],[欄4]],表格1[[#This Row],[inv no]])</f>
        <v>530869</v>
      </c>
    </row>
    <row r="2356" spans="1:23" hidden="1">
      <c r="A2356" s="81">
        <v>2354</v>
      </c>
      <c r="B2356" s="86" t="s">
        <v>1366</v>
      </c>
      <c r="C2356" s="86" t="s">
        <v>1852</v>
      </c>
      <c r="D2356" s="82" t="str">
        <f ca="1">OFFSET(Roster!$A$3,MATCH(表格1[[#This Row],[Location]]&amp;" "&amp;表格1[[#This Row],[Shop]]&amp;"*",Roster!$A$4:$A$72,0),DAY(表格1[[#This Row],[date]]),1,1)</f>
        <v>Maggie Yip</v>
      </c>
      <c r="E2356" s="86">
        <f>MONTH(表格1[[#This Row],[date]])</f>
        <v>3</v>
      </c>
      <c r="F2356" s="90">
        <v>46098</v>
      </c>
      <c r="G2356" s="86" t="str">
        <f>VLOOKUP("*"&amp;表格1[[#This Row],[Input]]&amp;"*",'Ref-List'!$B:$D,2,)</f>
        <v>RC-18DRNH</v>
      </c>
      <c r="H2356" s="86" t="str">
        <f>_xlfn.XLOOKUP(表格1[[#This Row],[Model]],表格3[Model-Input-Ref2],表格3[Product Line])</f>
        <v>多功能備長炭本厚釜電飯煲1.8L</v>
      </c>
      <c r="I2356" s="86" t="str">
        <f>_xlfn.XLOOKUP(表格1[[#This Row],[Model]],表格3[Model-Input-Ref2],表格3[大小電])</f>
        <v>細電</v>
      </c>
      <c r="J2356" s="86" t="str">
        <f>_xlfn.XLOOKUP(表格1[[#This Row],[Model]],表格3[Model-Input-Ref2],表格3[Code])</f>
        <v>SDA</v>
      </c>
      <c r="K2356" s="89" t="s">
        <v>1389</v>
      </c>
      <c r="L2356" s="86">
        <v>1</v>
      </c>
      <c r="M2356" s="87">
        <v>619</v>
      </c>
      <c r="N2356" s="85">
        <f>IFERROR(表格1[[#This Row],[QTY]]*表格1[[#This Row],[Unit Price]],"-")</f>
        <v>619</v>
      </c>
      <c r="O2356" s="86">
        <v>530869</v>
      </c>
      <c r="R2356" s="86" t="str">
        <f>_xlfn.CONCAT(表格1[[#This Row],[Model]]," ",表格1[[#This Row],[inv no]])</f>
        <v>RC-18DRNH 530869</v>
      </c>
      <c r="S2356" s="86">
        <f>_xlfn.XLOOKUP(表格1[[#This Row],[Model]],表格3[Model-Input-Ref2],表格3[SRP PRICE])</f>
        <v>898</v>
      </c>
      <c r="T2356" s="43">
        <f>表格1[[#This Row],[Unit Price]]/表格1[[#This Row],[SRP]]</f>
        <v>0.68930957683741645</v>
      </c>
      <c r="U2356" s="86" t="str">
        <f>_xlfn.XLOOKUP(表格1[[#This Row],[Model]],表格3[Model-Input-Ref2],表格3[TOSHIBA/HIGHEST])</f>
        <v>Toshiba SRP</v>
      </c>
      <c r="W2356" s="86" t="str">
        <f>_xlfn.CONCAT(表格1[[#This Row],[欄4]],表格1[[#This Row],[inv no]])</f>
        <v>530869</v>
      </c>
    </row>
    <row r="2357" spans="1:23" hidden="1">
      <c r="A2357" s="81">
        <v>2355</v>
      </c>
      <c r="B2357" s="86" t="s">
        <v>1366</v>
      </c>
      <c r="C2357" s="86" t="s">
        <v>1852</v>
      </c>
      <c r="D2357" s="82" t="str">
        <f ca="1">OFFSET(Roster!$A$3,MATCH(表格1[[#This Row],[Location]]&amp;" "&amp;表格1[[#This Row],[Shop]]&amp;"*",Roster!$A$4:$A$72,0),DAY(表格1[[#This Row],[date]]),1,1)</f>
        <v>Maggie Yip</v>
      </c>
      <c r="E2357" s="86">
        <f>MONTH(表格1[[#This Row],[date]])</f>
        <v>3</v>
      </c>
      <c r="F2357" s="90">
        <v>46098</v>
      </c>
      <c r="G2357" s="86" t="str">
        <f>VLOOKUP("*"&amp;表格1[[#This Row],[Input]]&amp;"*",'Ref-List'!$B:$D,2,)</f>
        <v>MW3-SAC24SE(BK)</v>
      </c>
      <c r="H2357" s="86" t="str">
        <f>_xlfn.XLOOKUP(表格1[[#This Row],[Model]],表格3[Model-Input-Ref2],表格3[Product Line])</f>
        <v>智能氣炸烤焗爐(24公升)</v>
      </c>
      <c r="I2357" s="86" t="str">
        <f>_xlfn.XLOOKUP(表格1[[#This Row],[Model]],表格3[Model-Input-Ref2],表格3[大小電])</f>
        <v>細電</v>
      </c>
      <c r="J2357" s="86" t="str">
        <f>_xlfn.XLOOKUP(表格1[[#This Row],[Model]],表格3[Model-Input-Ref2],表格3[Code])</f>
        <v>MCA</v>
      </c>
      <c r="K2357" s="89" t="s">
        <v>1274</v>
      </c>
      <c r="L2357" s="86">
        <v>1</v>
      </c>
      <c r="M2357" s="87">
        <v>1320</v>
      </c>
      <c r="N2357" s="85">
        <f>IFERROR(表格1[[#This Row],[QTY]]*表格1[[#This Row],[Unit Price]],"-")</f>
        <v>1320</v>
      </c>
      <c r="O2357" s="86">
        <v>530941</v>
      </c>
      <c r="R2357" s="86" t="str">
        <f>_xlfn.CONCAT(表格1[[#This Row],[Model]]," ",表格1[[#This Row],[inv no]])</f>
        <v>MW3-SAC24SE(BK) 530941</v>
      </c>
      <c r="S2357" s="86">
        <f>_xlfn.XLOOKUP(表格1[[#This Row],[Model]],表格3[Model-Input-Ref2],表格3[SRP PRICE])</f>
        <v>1680</v>
      </c>
      <c r="T2357" s="43">
        <f>表格1[[#This Row],[Unit Price]]/表格1[[#This Row],[SRP]]</f>
        <v>0.7857142857142857</v>
      </c>
      <c r="U2357" s="86" t="str">
        <f>_xlfn.XLOOKUP(表格1[[#This Row],[Model]],表格3[Model-Input-Ref2],表格3[TOSHIBA/HIGHEST])</f>
        <v>Toshiba SRP</v>
      </c>
      <c r="W2357" s="86" t="str">
        <f>_xlfn.CONCAT(表格1[[#This Row],[欄4]],表格1[[#This Row],[inv no]])</f>
        <v>530941</v>
      </c>
    </row>
    <row r="2358" spans="1:23" hidden="1">
      <c r="A2358" s="81">
        <v>2356</v>
      </c>
      <c r="B2358" s="86" t="s">
        <v>1366</v>
      </c>
      <c r="C2358" s="86" t="s">
        <v>1852</v>
      </c>
      <c r="D2358" s="82" t="str">
        <f ca="1">OFFSET(Roster!$A$3,MATCH(表格1[[#This Row],[Location]]&amp;" "&amp;表格1[[#This Row],[Shop]]&amp;"*",Roster!$A$4:$A$72,0),DAY(表格1[[#This Row],[date]]),1,1)</f>
        <v>Maggie Yip</v>
      </c>
      <c r="E2358" s="86">
        <f>MONTH(表格1[[#This Row],[date]])</f>
        <v>3</v>
      </c>
      <c r="F2358" s="90">
        <v>46101</v>
      </c>
      <c r="G2358" s="86" t="str">
        <f>VLOOKUP("*"&amp;表格1[[#This Row],[Input]]&amp;"*",'Ref-List'!$B:$D,2,)</f>
        <v>ET-TD7080(PN)</v>
      </c>
      <c r="H2358" s="86" t="str">
        <f>_xlfn.XLOOKUP(表格1[[#This Row],[Model]],表格3[Model-Input-Ref2],表格3[Product Line])</f>
        <v>多士焗爐8L</v>
      </c>
      <c r="I2358" s="86" t="str">
        <f>_xlfn.XLOOKUP(表格1[[#This Row],[Model]],表格3[Model-Input-Ref2],表格3[大小電])</f>
        <v>細電</v>
      </c>
      <c r="J2358" s="86" t="str">
        <f>_xlfn.XLOOKUP(表格1[[#This Row],[Model]],表格3[Model-Input-Ref2],表格3[Code])</f>
        <v>SDA</v>
      </c>
      <c r="K2358" s="89">
        <v>7080</v>
      </c>
      <c r="L2358" s="86">
        <v>1</v>
      </c>
      <c r="M2358" s="87">
        <v>358</v>
      </c>
      <c r="N2358" s="85">
        <f>IFERROR(表格1[[#This Row],[QTY]]*表格1[[#This Row],[Unit Price]],"-")</f>
        <v>358</v>
      </c>
      <c r="O2358" s="86">
        <v>349159</v>
      </c>
      <c r="R2358" s="86" t="str">
        <f>_xlfn.CONCAT(表格1[[#This Row],[Model]]," ",表格1[[#This Row],[inv no]])</f>
        <v>ET-TD7080(PN) 349159</v>
      </c>
      <c r="S2358" s="86">
        <f>_xlfn.XLOOKUP(表格1[[#This Row],[Model]],表格3[Model-Input-Ref2],表格3[SRP PRICE])</f>
        <v>498</v>
      </c>
      <c r="T2358" s="43">
        <f>表格1[[#This Row],[Unit Price]]/表格1[[#This Row],[SRP]]</f>
        <v>0.71887550200803207</v>
      </c>
      <c r="U2358" s="86" t="str">
        <f>_xlfn.XLOOKUP(表格1[[#This Row],[Model]],表格3[Model-Input-Ref2],表格3[TOSHIBA/HIGHEST])</f>
        <v>Toshiba SRP</v>
      </c>
      <c r="W2358" s="86" t="str">
        <f>_xlfn.CONCAT(表格1[[#This Row],[欄4]],表格1[[#This Row],[inv no]])</f>
        <v>349159</v>
      </c>
    </row>
    <row r="2359" spans="1:23" hidden="1">
      <c r="A2359" s="81">
        <v>2357</v>
      </c>
      <c r="B2359" s="86" t="s">
        <v>1366</v>
      </c>
      <c r="C2359" s="86" t="s">
        <v>1852</v>
      </c>
      <c r="D2359" s="82" t="str">
        <f ca="1">OFFSET(Roster!$A$3,MATCH(表格1[[#This Row],[Location]]&amp;" "&amp;表格1[[#This Row],[Shop]]&amp;"*",Roster!$A$4:$A$72,0),DAY(表格1[[#This Row],[date]]),1,1)</f>
        <v>Maggie Yip</v>
      </c>
      <c r="E2359" s="86">
        <f>MONTH(表格1[[#This Row],[date]])</f>
        <v>3</v>
      </c>
      <c r="F2359" s="90">
        <v>46101</v>
      </c>
      <c r="G2359" s="86" t="str">
        <f>VLOOKUP("*"&amp;表格1[[#This Row],[Input]]&amp;"*",'Ref-List'!$B:$D,2,)</f>
        <v>RC-10AMXH(W)</v>
      </c>
      <c r="H2359" s="86" t="str">
        <f>_xlfn.XLOOKUP(表格1[[#This Row],[Model]],表格3[Model-Input-Ref2],表格3[Product Line])</f>
        <v>酵活炊電飯煲(1.0公升)</v>
      </c>
      <c r="I2359" s="86" t="str">
        <f>_xlfn.XLOOKUP(表格1[[#This Row],[Model]],表格3[Model-Input-Ref2],表格3[大小電])</f>
        <v>細電</v>
      </c>
      <c r="J2359" s="86" t="str">
        <f>_xlfn.XLOOKUP(表格1[[#This Row],[Model]],表格3[Model-Input-Ref2],表格3[Code])</f>
        <v>SDA</v>
      </c>
      <c r="K2359" s="89" t="s">
        <v>1279</v>
      </c>
      <c r="L2359" s="86">
        <v>1</v>
      </c>
      <c r="M2359" s="87">
        <v>990</v>
      </c>
      <c r="N2359" s="85">
        <f>IFERROR(表格1[[#This Row],[QTY]]*表格1[[#This Row],[Unit Price]],"-")</f>
        <v>990</v>
      </c>
      <c r="O2359" s="86">
        <v>532117</v>
      </c>
      <c r="R2359" s="86" t="str">
        <f>_xlfn.CONCAT(表格1[[#This Row],[Model]]," ",表格1[[#This Row],[inv no]])</f>
        <v>RC-10AMXH(W) 532117</v>
      </c>
      <c r="S2359" s="86">
        <f>_xlfn.XLOOKUP(表格1[[#This Row],[Model]],表格3[Model-Input-Ref2],表格3[SRP PRICE])</f>
        <v>1288</v>
      </c>
      <c r="T2359" s="43">
        <f>表格1[[#This Row],[Unit Price]]/表格1[[#This Row],[SRP]]</f>
        <v>0.76863354037267084</v>
      </c>
      <c r="U2359" s="86" t="str">
        <f>_xlfn.XLOOKUP(表格1[[#This Row],[Model]],表格3[Model-Input-Ref2],表格3[TOSHIBA/HIGHEST])</f>
        <v>Toshiba SRP</v>
      </c>
      <c r="W2359" s="86" t="str">
        <f>_xlfn.CONCAT(表格1[[#This Row],[欄4]],表格1[[#This Row],[inv no]])</f>
        <v>532117</v>
      </c>
    </row>
    <row r="2360" spans="1:23" hidden="1">
      <c r="A2360" s="81">
        <v>2358</v>
      </c>
      <c r="B2360" s="86" t="s">
        <v>1366</v>
      </c>
      <c r="C2360" s="86" t="s">
        <v>1852</v>
      </c>
      <c r="D2360" s="82" t="str">
        <f ca="1">OFFSET(Roster!$A$3,MATCH(表格1[[#This Row],[Location]]&amp;" "&amp;表格1[[#This Row],[Shop]]&amp;"*",Roster!$A$4:$A$72,0),DAY(表格1[[#This Row],[date]]),1,1)</f>
        <v>Maggie Yip</v>
      </c>
      <c r="E2360" s="86">
        <f>MONTH(表格1[[#This Row],[date]])</f>
        <v>3</v>
      </c>
      <c r="F2360" s="90">
        <v>46101</v>
      </c>
      <c r="G2360" s="86" t="str">
        <f>VLOOKUP("*"&amp;表格1[[#This Row],[Input]]&amp;"*",'Ref-List'!$B:$D,2,)</f>
        <v>RC-18ISPH</v>
      </c>
      <c r="H2360" s="86" t="str">
        <f>_xlfn.XLOOKUP(表格1[[#This Row],[Model]],表格3[Model-Input-Ref2],表格3[Product Line])</f>
        <v>低醣磁應電飯煲1.8L</v>
      </c>
      <c r="I2360" s="86" t="str">
        <f>_xlfn.XLOOKUP(表格1[[#This Row],[Model]],表格3[Model-Input-Ref2],表格3[大小電])</f>
        <v>細電</v>
      </c>
      <c r="J2360" s="86" t="str">
        <f>_xlfn.XLOOKUP(表格1[[#This Row],[Model]],表格3[Model-Input-Ref2],表格3[Code])</f>
        <v>SDA</v>
      </c>
      <c r="K2360" s="89" t="s">
        <v>1281</v>
      </c>
      <c r="L2360" s="86">
        <v>1</v>
      </c>
      <c r="M2360" s="87">
        <v>898</v>
      </c>
      <c r="N2360" s="85">
        <f>IFERROR(表格1[[#This Row],[QTY]]*表格1[[#This Row],[Unit Price]],"-")</f>
        <v>898</v>
      </c>
      <c r="O2360" s="86">
        <v>532230</v>
      </c>
      <c r="R2360" s="86" t="str">
        <f>_xlfn.CONCAT(表格1[[#This Row],[Model]]," ",表格1[[#This Row],[inv no]])</f>
        <v>RC-18ISPH 532230</v>
      </c>
      <c r="S2360" s="86">
        <f>_xlfn.XLOOKUP(表格1[[#This Row],[Model]],表格3[Model-Input-Ref2],表格3[SRP PRICE])</f>
        <v>1436</v>
      </c>
      <c r="T2360" s="43">
        <f>表格1[[#This Row],[Unit Price]]/表格1[[#This Row],[SRP]]</f>
        <v>0.62534818941504178</v>
      </c>
      <c r="U2360" s="86" t="str">
        <f>_xlfn.XLOOKUP(表格1[[#This Row],[Model]],表格3[Model-Input-Ref2],表格3[TOSHIBA/HIGHEST])</f>
        <v>Shops Highest Price</v>
      </c>
      <c r="W2360" s="86" t="str">
        <f>_xlfn.CONCAT(表格1[[#This Row],[欄4]],表格1[[#This Row],[inv no]])</f>
        <v>532230</v>
      </c>
    </row>
    <row r="2361" spans="1:23" hidden="1">
      <c r="A2361" s="81">
        <v>2359</v>
      </c>
      <c r="B2361" s="86" t="s">
        <v>1366</v>
      </c>
      <c r="C2361" s="86" t="s">
        <v>1852</v>
      </c>
      <c r="D2361" s="82" t="str">
        <f ca="1">OFFSET(Roster!$A$3,MATCH(表格1[[#This Row],[Location]]&amp;" "&amp;表格1[[#This Row],[Shop]]&amp;"*",Roster!$A$4:$A$72,0),DAY(表格1[[#This Row],[date]]),1,1)</f>
        <v>Maggie Yip</v>
      </c>
      <c r="E2361" s="86">
        <f>MONTH(表格1[[#This Row],[date]])</f>
        <v>3</v>
      </c>
      <c r="F2361" s="90">
        <v>46102</v>
      </c>
      <c r="G2361" s="86" t="str">
        <f>VLOOKUP("*"&amp;表格1[[#This Row],[Input]]&amp;"*",'Ref-List'!$B:$D,2,)</f>
        <v>PLK-45SFIH(WT)</v>
      </c>
      <c r="H2361" s="86" t="str">
        <f>_xlfn.XLOOKUP(表格1[[#This Row],[Model]],表格3[Model-Input-Ref2],表格3[Product Line])</f>
        <v>電熱水瓶4.5L</v>
      </c>
      <c r="I2361" s="86" t="str">
        <f>_xlfn.XLOOKUP(表格1[[#This Row],[Model]],表格3[Model-Input-Ref2],表格3[大小電])</f>
        <v>細電</v>
      </c>
      <c r="J2361" s="86" t="str">
        <f>_xlfn.XLOOKUP(表格1[[#This Row],[Model]],表格3[Model-Input-Ref2],表格3[Code])</f>
        <v>SDA</v>
      </c>
      <c r="K2361" s="89" t="s">
        <v>1117</v>
      </c>
      <c r="L2361" s="86">
        <v>1</v>
      </c>
      <c r="M2361" s="87">
        <v>589</v>
      </c>
      <c r="N2361" s="85">
        <f>IFERROR(表格1[[#This Row],[QTY]]*表格1[[#This Row],[Unit Price]],"-")</f>
        <v>589</v>
      </c>
      <c r="O2361" s="86">
        <v>349385</v>
      </c>
      <c r="R2361" s="86" t="str">
        <f>_xlfn.CONCAT(表格1[[#This Row],[Model]]," ",表格1[[#This Row],[inv no]])</f>
        <v>PLK-45SFIH(WT) 349385</v>
      </c>
      <c r="S2361" s="86">
        <f>_xlfn.XLOOKUP(表格1[[#This Row],[Model]],表格3[Model-Input-Ref2],表格3[SRP PRICE])</f>
        <v>788</v>
      </c>
      <c r="T2361" s="43">
        <f>表格1[[#This Row],[Unit Price]]/表格1[[#This Row],[SRP]]</f>
        <v>0.7474619289340102</v>
      </c>
      <c r="U2361" s="86" t="str">
        <f>_xlfn.XLOOKUP(表格1[[#This Row],[Model]],表格3[Model-Input-Ref2],表格3[TOSHIBA/HIGHEST])</f>
        <v>Toshiba SRP</v>
      </c>
      <c r="W2361" s="86" t="str">
        <f>_xlfn.CONCAT(表格1[[#This Row],[欄4]],表格1[[#This Row],[inv no]])</f>
        <v>349385</v>
      </c>
    </row>
    <row r="2362" spans="1:23" hidden="1">
      <c r="A2362" s="81">
        <v>2360</v>
      </c>
      <c r="B2362" s="86" t="s">
        <v>1366</v>
      </c>
      <c r="C2362" s="86" t="s">
        <v>1852</v>
      </c>
      <c r="D2362" s="82" t="str">
        <f ca="1">OFFSET(Roster!$A$3,MATCH(表格1[[#This Row],[Location]]&amp;" "&amp;表格1[[#This Row],[Shop]]&amp;"*",Roster!$A$4:$A$72,0),DAY(表格1[[#This Row],[date]]),1,1)</f>
        <v>Maggie Yip</v>
      </c>
      <c r="E2362" s="86">
        <f>MONTH(表格1[[#This Row],[date]])</f>
        <v>3</v>
      </c>
      <c r="F2362" s="90">
        <v>46102</v>
      </c>
      <c r="G2362" s="86" t="str">
        <f>VLOOKUP("*"&amp;表格1[[#This Row],[Input]]&amp;"*",'Ref-List'!$B:$D,2,)</f>
        <v>KT-17DRTHK(H)</v>
      </c>
      <c r="H2362" s="86" t="str">
        <f>_xlfn.XLOOKUP(表格1[[#This Row],[Model]],表格3[Model-Input-Ref2],表格3[Product Line])</f>
        <v>無線雙層電熱水壺(1.7公升)</v>
      </c>
      <c r="I2362" s="86" t="str">
        <f>_xlfn.XLOOKUP(表格1[[#This Row],[Model]],表格3[Model-Input-Ref2],表格3[大小電])</f>
        <v>細電</v>
      </c>
      <c r="J2362" s="86" t="str">
        <f>_xlfn.XLOOKUP(表格1[[#This Row],[Model]],表格3[Model-Input-Ref2],表格3[Code])</f>
        <v>SDA</v>
      </c>
      <c r="K2362" s="89" t="s">
        <v>1271</v>
      </c>
      <c r="L2362" s="86">
        <v>1</v>
      </c>
      <c r="M2362" s="87">
        <v>388</v>
      </c>
      <c r="N2362" s="85">
        <f>IFERROR(表格1[[#This Row],[QTY]]*表格1[[#This Row],[Unit Price]],"-")</f>
        <v>388</v>
      </c>
      <c r="O2362" s="86">
        <v>349420</v>
      </c>
      <c r="R2362" s="86" t="str">
        <f>_xlfn.CONCAT(表格1[[#This Row],[Model]]," ",表格1[[#This Row],[inv no]])</f>
        <v>KT-17DRTHK(H) 349420</v>
      </c>
      <c r="S2362" s="86">
        <f>_xlfn.XLOOKUP(表格1[[#This Row],[Model]],表格3[Model-Input-Ref2],表格3[SRP PRICE])</f>
        <v>498</v>
      </c>
      <c r="T2362" s="43">
        <f>表格1[[#This Row],[Unit Price]]/表格1[[#This Row],[SRP]]</f>
        <v>0.77911646586345384</v>
      </c>
      <c r="U2362" s="86" t="str">
        <f>_xlfn.XLOOKUP(表格1[[#This Row],[Model]],表格3[Model-Input-Ref2],表格3[TOSHIBA/HIGHEST])</f>
        <v>Toshiba SRP</v>
      </c>
      <c r="W2362" s="86" t="str">
        <f>_xlfn.CONCAT(表格1[[#This Row],[欄4]],表格1[[#This Row],[inv no]])</f>
        <v>349420</v>
      </c>
    </row>
    <row r="2363" spans="1:23" hidden="1">
      <c r="A2363" s="81">
        <v>2361</v>
      </c>
      <c r="B2363" s="86" t="s">
        <v>1366</v>
      </c>
      <c r="C2363" s="86" t="s">
        <v>1852</v>
      </c>
      <c r="D2363" s="82" t="str">
        <f ca="1">OFFSET(Roster!$A$3,MATCH(表格1[[#This Row],[Location]]&amp;" "&amp;表格1[[#This Row],[Shop]]&amp;"*",Roster!$A$4:$A$72,0),DAY(表格1[[#This Row],[date]]),1,1)</f>
        <v>Maggie Yip</v>
      </c>
      <c r="E2363" s="86">
        <f>MONTH(表格1[[#This Row],[date]])</f>
        <v>3</v>
      </c>
      <c r="F2363" s="90">
        <v>46102</v>
      </c>
      <c r="G2363" s="86" t="str">
        <f>VLOOKUP("*"&amp;表格1[[#This Row],[Input]]&amp;"*",'Ref-List'!$B:$D,2,)</f>
        <v>ET-TD7080(PN)</v>
      </c>
      <c r="H2363" s="86" t="str">
        <f>_xlfn.XLOOKUP(表格1[[#This Row],[Model]],表格3[Model-Input-Ref2],表格3[Product Line])</f>
        <v>多士焗爐8L</v>
      </c>
      <c r="I2363" s="86" t="str">
        <f>_xlfn.XLOOKUP(表格1[[#This Row],[Model]],表格3[Model-Input-Ref2],表格3[大小電])</f>
        <v>細電</v>
      </c>
      <c r="J2363" s="86" t="str">
        <f>_xlfn.XLOOKUP(表格1[[#This Row],[Model]],表格3[Model-Input-Ref2],表格3[Code])</f>
        <v>SDA</v>
      </c>
      <c r="K2363" s="89">
        <v>7080</v>
      </c>
      <c r="L2363" s="86">
        <v>1</v>
      </c>
      <c r="M2363" s="87">
        <v>358</v>
      </c>
      <c r="N2363" s="85">
        <f>IFERROR(表格1[[#This Row],[QTY]]*表格1[[#This Row],[Unit Price]],"-")</f>
        <v>358</v>
      </c>
      <c r="O2363" s="86">
        <v>349524</v>
      </c>
      <c r="R2363" s="86" t="str">
        <f>_xlfn.CONCAT(表格1[[#This Row],[Model]]," ",表格1[[#This Row],[inv no]])</f>
        <v>ET-TD7080(PN) 349524</v>
      </c>
      <c r="S2363" s="86">
        <f>_xlfn.XLOOKUP(表格1[[#This Row],[Model]],表格3[Model-Input-Ref2],表格3[SRP PRICE])</f>
        <v>498</v>
      </c>
      <c r="T2363" s="43">
        <f>表格1[[#This Row],[Unit Price]]/表格1[[#This Row],[SRP]]</f>
        <v>0.71887550200803207</v>
      </c>
      <c r="U2363" s="86" t="str">
        <f>_xlfn.XLOOKUP(表格1[[#This Row],[Model]],表格3[Model-Input-Ref2],表格3[TOSHIBA/HIGHEST])</f>
        <v>Toshiba SRP</v>
      </c>
      <c r="W2363" s="86" t="str">
        <f>_xlfn.CONCAT(表格1[[#This Row],[欄4]],表格1[[#This Row],[inv no]])</f>
        <v>349524</v>
      </c>
    </row>
    <row r="2364" spans="1:23" hidden="1">
      <c r="A2364" s="81">
        <v>2362</v>
      </c>
      <c r="B2364" s="86" t="s">
        <v>1366</v>
      </c>
      <c r="C2364" s="86" t="s">
        <v>1852</v>
      </c>
      <c r="D2364" s="82" t="str">
        <f ca="1">OFFSET(Roster!$A$3,MATCH(表格1[[#This Row],[Location]]&amp;" "&amp;表格1[[#This Row],[Shop]]&amp;"*",Roster!$A$4:$A$72,0),DAY(表格1[[#This Row],[date]]),1,1)</f>
        <v>Maggie Yip</v>
      </c>
      <c r="E2364" s="86">
        <f>MONTH(表格1[[#This Row],[date]])</f>
        <v>3</v>
      </c>
      <c r="F2364" s="90">
        <v>46102</v>
      </c>
      <c r="G2364" s="86" t="str">
        <f>VLOOKUP("*"&amp;表格1[[#This Row],[Input]]&amp;"*",'Ref-List'!$B:$D,2,)</f>
        <v>KT-17SHNH</v>
      </c>
      <c r="H2364" s="86" t="str">
        <f>_xlfn.XLOOKUP(表格1[[#This Row],[Model]],表格3[Model-Input-Ref2],表格3[Product Line])</f>
        <v>1.7L無線雙層電熱水壺</v>
      </c>
      <c r="I2364" s="86" t="str">
        <f>_xlfn.XLOOKUP(表格1[[#This Row],[Model]],表格3[Model-Input-Ref2],表格3[大小電])</f>
        <v>細電</v>
      </c>
      <c r="J2364" s="86" t="str">
        <f>_xlfn.XLOOKUP(表格1[[#This Row],[Model]],表格3[Model-Input-Ref2],表格3[Code])</f>
        <v>SDA</v>
      </c>
      <c r="K2364" s="89" t="s">
        <v>1283</v>
      </c>
      <c r="L2364" s="86">
        <v>1</v>
      </c>
      <c r="M2364" s="87">
        <v>198</v>
      </c>
      <c r="N2364" s="85">
        <f>IFERROR(表格1[[#This Row],[QTY]]*表格1[[#This Row],[Unit Price]],"-")</f>
        <v>198</v>
      </c>
      <c r="O2364" s="86">
        <v>532713</v>
      </c>
      <c r="R2364" s="86" t="str">
        <f>_xlfn.CONCAT(表格1[[#This Row],[Model]]," ",表格1[[#This Row],[inv no]])</f>
        <v>KT-17SHNH 532713</v>
      </c>
      <c r="S2364" s="86">
        <f>_xlfn.XLOOKUP(表格1[[#This Row],[Model]],表格3[Model-Input-Ref2],表格3[SRP PRICE])</f>
        <v>299</v>
      </c>
      <c r="T2364" s="43">
        <f>表格1[[#This Row],[Unit Price]]/表格1[[#This Row],[SRP]]</f>
        <v>0.66220735785953178</v>
      </c>
      <c r="U2364" s="86" t="str">
        <f>_xlfn.XLOOKUP(表格1[[#This Row],[Model]],表格3[Model-Input-Ref2],表格3[TOSHIBA/HIGHEST])</f>
        <v>Shops Highest Price</v>
      </c>
      <c r="W2364" s="86" t="str">
        <f>_xlfn.CONCAT(表格1[[#This Row],[欄4]],表格1[[#This Row],[inv no]])</f>
        <v>532713</v>
      </c>
    </row>
    <row r="2365" spans="1:23" hidden="1">
      <c r="A2365" s="81">
        <v>2363</v>
      </c>
      <c r="B2365" s="86" t="s">
        <v>1366</v>
      </c>
      <c r="C2365" s="86" t="s">
        <v>1852</v>
      </c>
      <c r="D2365" s="82" t="str">
        <f ca="1">OFFSET(Roster!$A$3,MATCH(表格1[[#This Row],[Location]]&amp;" "&amp;表格1[[#This Row],[Shop]]&amp;"*",Roster!$A$4:$A$72,0),DAY(表格1[[#This Row],[date]]),1,1)</f>
        <v>Maggie Yip</v>
      </c>
      <c r="E2365" s="86">
        <f>MONTH(表格1[[#This Row],[date]])</f>
        <v>3</v>
      </c>
      <c r="F2365" s="90">
        <v>46103</v>
      </c>
      <c r="G2365" s="86" t="str">
        <f>VLOOKUP("*"&amp;表格1[[#This Row],[Input]]&amp;"*",'Ref-List'!$B:$D,2,)</f>
        <v>TP-50DRUHK(W)</v>
      </c>
      <c r="H2365" s="86" t="str">
        <f>_xlfn.XLOOKUP(表格1[[#This Row],[Model]],表格3[Model-Input-Ref2],表格3[Product Line])</f>
        <v>電熱水瓶 (5公升)</v>
      </c>
      <c r="I2365" s="86" t="str">
        <f>_xlfn.XLOOKUP(表格1[[#This Row],[Model]],表格3[Model-Input-Ref2],表格3[大小電])</f>
        <v>細電</v>
      </c>
      <c r="J2365" s="86" t="str">
        <f>_xlfn.XLOOKUP(表格1[[#This Row],[Model]],表格3[Model-Input-Ref2],表格3[Code])</f>
        <v>SDA</v>
      </c>
      <c r="K2365" s="89" t="s">
        <v>1277</v>
      </c>
      <c r="L2365" s="86">
        <v>1</v>
      </c>
      <c r="M2365" s="87">
        <v>598</v>
      </c>
      <c r="N2365" s="85">
        <f>IFERROR(表格1[[#This Row],[QTY]]*表格1[[#This Row],[Unit Price]],"-")</f>
        <v>598</v>
      </c>
      <c r="O2365" s="86">
        <v>532844</v>
      </c>
      <c r="R2365" s="86" t="str">
        <f>_xlfn.CONCAT(表格1[[#This Row],[Model]]," ",表格1[[#This Row],[inv no]])</f>
        <v>TP-50DRUHK(W) 532844</v>
      </c>
      <c r="S2365" s="86">
        <f>_xlfn.XLOOKUP(表格1[[#This Row],[Model]],表格3[Model-Input-Ref2],表格3[SRP PRICE])</f>
        <v>718</v>
      </c>
      <c r="T2365" s="43">
        <f>表格1[[#This Row],[Unit Price]]/表格1[[#This Row],[SRP]]</f>
        <v>0.83286908077994426</v>
      </c>
      <c r="U2365" s="86" t="str">
        <f>_xlfn.XLOOKUP(表格1[[#This Row],[Model]],表格3[Model-Input-Ref2],表格3[TOSHIBA/HIGHEST])</f>
        <v>Toshiba SRP</v>
      </c>
      <c r="W2365" s="86" t="str">
        <f>_xlfn.CONCAT(表格1[[#This Row],[欄4]],表格1[[#This Row],[inv no]])</f>
        <v>532844</v>
      </c>
    </row>
    <row r="2366" spans="1:23" hidden="1">
      <c r="A2366" s="81">
        <v>2364</v>
      </c>
      <c r="B2366" s="86" t="s">
        <v>1366</v>
      </c>
      <c r="C2366" s="86" t="s">
        <v>1852</v>
      </c>
      <c r="D2366" s="82" t="str">
        <f ca="1">OFFSET(Roster!$A$3,MATCH(表格1[[#This Row],[Location]]&amp;" "&amp;表格1[[#This Row],[Shop]]&amp;"*",Roster!$A$4:$A$72,0),DAY(表格1[[#This Row],[date]]),1,1)</f>
        <v>Maggie Yip</v>
      </c>
      <c r="E2366" s="86">
        <f>MONTH(表格1[[#This Row],[date]])</f>
        <v>3</v>
      </c>
      <c r="F2366" s="90">
        <v>46103</v>
      </c>
      <c r="G2366" s="86" t="str">
        <f>VLOOKUP("*"&amp;表格1[[#This Row],[Input]]&amp;"*",'Ref-List'!$B:$D,2,)</f>
        <v>RC-5MMIH(WT)</v>
      </c>
      <c r="H2366" s="86" t="str">
        <f>_xlfn.XLOOKUP(表格1[[#This Row],[Model]],表格3[Model-Input-Ref2],表格3[Product Line])</f>
        <v>4毫米厚釜電飯煲0.54L</v>
      </c>
      <c r="I2366" s="86" t="str">
        <f>_xlfn.XLOOKUP(表格1[[#This Row],[Model]],表格3[Model-Input-Ref2],表格3[大小電])</f>
        <v>細電</v>
      </c>
      <c r="J2366" s="86" t="str">
        <f>_xlfn.XLOOKUP(表格1[[#This Row],[Model]],表格3[Model-Input-Ref2],表格3[Code])</f>
        <v>SDA</v>
      </c>
      <c r="K2366" s="89" t="s">
        <v>1195</v>
      </c>
      <c r="L2366" s="86">
        <v>1</v>
      </c>
      <c r="M2366" s="87">
        <v>557</v>
      </c>
      <c r="N2366" s="85">
        <f>IFERROR(表格1[[#This Row],[QTY]]*表格1[[#This Row],[Unit Price]],"-")</f>
        <v>557</v>
      </c>
      <c r="O2366" s="86">
        <v>349789</v>
      </c>
      <c r="R2366" s="86" t="str">
        <f>_xlfn.CONCAT(表格1[[#This Row],[Model]]," ",表格1[[#This Row],[inv no]])</f>
        <v>RC-5MMIH(WT) 349789</v>
      </c>
      <c r="S2366" s="86">
        <f>_xlfn.XLOOKUP(表格1[[#This Row],[Model]],表格3[Model-Input-Ref2],表格3[SRP PRICE])</f>
        <v>618</v>
      </c>
      <c r="T2366" s="43">
        <f>表格1[[#This Row],[Unit Price]]/表格1[[#This Row],[SRP]]</f>
        <v>0.90129449838187703</v>
      </c>
      <c r="U2366" s="86" t="str">
        <f>_xlfn.XLOOKUP(表格1[[#This Row],[Model]],表格3[Model-Input-Ref2],表格3[TOSHIBA/HIGHEST])</f>
        <v>Toshiba SRP</v>
      </c>
      <c r="W2366" s="86" t="str">
        <f>_xlfn.CONCAT(表格1[[#This Row],[欄4]],表格1[[#This Row],[inv no]])</f>
        <v>349789</v>
      </c>
    </row>
    <row r="2367" spans="1:23" hidden="1">
      <c r="A2367" s="81">
        <v>2365</v>
      </c>
      <c r="B2367" s="86" t="s">
        <v>1366</v>
      </c>
      <c r="C2367" s="86" t="s">
        <v>1852</v>
      </c>
      <c r="D2367" s="82" t="str">
        <f ca="1">OFFSET(Roster!$A$3,MATCH(表格1[[#This Row],[Location]]&amp;" "&amp;表格1[[#This Row],[Shop]]&amp;"*",Roster!$A$4:$A$72,0),DAY(表格1[[#This Row],[date]]),1,1)</f>
        <v>Maggie Yip</v>
      </c>
      <c r="E2367" s="86">
        <f>MONTH(表格1[[#This Row],[date]])</f>
        <v>3</v>
      </c>
      <c r="F2367" s="90">
        <v>46103</v>
      </c>
      <c r="G2367" s="86" t="str">
        <f>VLOOKUP("*"&amp;表格1[[#This Row],[Input]]&amp;"*",'Ref-List'!$B:$D,2,)</f>
        <v>RC-DR10T(W)</v>
      </c>
      <c r="H2367" s="86" t="str">
        <f>_xlfn.XLOOKUP(表格1[[#This Row],[Model]],表格3[Model-Input-Ref2],表格3[Product Line])</f>
        <v>IH磁應電飯煲</v>
      </c>
      <c r="I2367" s="86" t="str">
        <f>_xlfn.XLOOKUP(表格1[[#This Row],[Model]],表格3[Model-Input-Ref2],表格3[大小電])</f>
        <v>細電</v>
      </c>
      <c r="J2367" s="86" t="str">
        <f>_xlfn.XLOOKUP(表格1[[#This Row],[Model]],表格3[Model-Input-Ref2],表格3[Code])</f>
        <v>SDA</v>
      </c>
      <c r="K2367" s="89" t="s">
        <v>1294</v>
      </c>
      <c r="L2367" s="86">
        <v>1</v>
      </c>
      <c r="M2367" s="87">
        <v>2380</v>
      </c>
      <c r="N2367" s="85">
        <f>IFERROR(表格1[[#This Row],[QTY]]*表格1[[#This Row],[Unit Price]],"-")</f>
        <v>2380</v>
      </c>
      <c r="O2367" s="86">
        <v>321488</v>
      </c>
      <c r="R2367" s="86" t="str">
        <f>_xlfn.CONCAT(表格1[[#This Row],[Model]]," ",表格1[[#This Row],[inv no]])</f>
        <v>RC-DR10T(W) 321488</v>
      </c>
      <c r="S2367" s="86">
        <f>_xlfn.XLOOKUP(表格1[[#This Row],[Model]],表格3[Model-Input-Ref2],表格3[SRP PRICE])</f>
        <v>3188</v>
      </c>
      <c r="T2367" s="43">
        <f>表格1[[#This Row],[Unit Price]]/表格1[[#This Row],[SRP]]</f>
        <v>0.74654956085319946</v>
      </c>
      <c r="U2367" s="86" t="str">
        <f>_xlfn.XLOOKUP(表格1[[#This Row],[Model]],表格3[Model-Input-Ref2],表格3[TOSHIBA/HIGHEST])</f>
        <v>Toshiba SRP</v>
      </c>
      <c r="W2367" s="86" t="str">
        <f>_xlfn.CONCAT(表格1[[#This Row],[欄4]],表格1[[#This Row],[inv no]])</f>
        <v>321488</v>
      </c>
    </row>
    <row r="2368" spans="1:23" hidden="1">
      <c r="A2368" s="81">
        <v>2366</v>
      </c>
      <c r="B2368" s="86" t="s">
        <v>1366</v>
      </c>
      <c r="C2368" s="86" t="s">
        <v>1852</v>
      </c>
      <c r="D2368" s="82" t="str">
        <f ca="1">OFFSET(Roster!$A$3,MATCH(表格1[[#This Row],[Location]]&amp;" "&amp;表格1[[#This Row],[Shop]]&amp;"*",Roster!$A$4:$A$72,0),DAY(表格1[[#This Row],[date]]),1,1)</f>
        <v>Maggie Yip</v>
      </c>
      <c r="E2368" s="86">
        <f>MONTH(表格1[[#This Row],[date]])</f>
        <v>3</v>
      </c>
      <c r="F2368" s="90">
        <v>46103</v>
      </c>
      <c r="G2368" s="86" t="str">
        <f>VLOOKUP("*"&amp;表格1[[#This Row],[Input]]&amp;"*",'Ref-List'!$B:$D,2,)</f>
        <v>RC-DZ4K(N)</v>
      </c>
      <c r="H2368" s="86" t="str">
        <f>_xlfn.XLOOKUP(表格1[[#This Row],[Model]],表格3[Model-Input-Ref2],表格3[Product Line])</f>
        <v>IH磁應電飯煲</v>
      </c>
      <c r="I2368" s="86" t="str">
        <f>_xlfn.XLOOKUP(表格1[[#This Row],[Model]],表格3[Model-Input-Ref2],表格3[大小電])</f>
        <v>細電</v>
      </c>
      <c r="J2368" s="86" t="str">
        <f>_xlfn.XLOOKUP(表格1[[#This Row],[Model]],表格3[Model-Input-Ref2],表格3[Code])</f>
        <v>SDA</v>
      </c>
      <c r="K2368" s="89" t="s">
        <v>1561</v>
      </c>
      <c r="L2368" s="86">
        <v>1</v>
      </c>
      <c r="M2368" s="87">
        <v>3280</v>
      </c>
      <c r="N2368" s="85">
        <f>IFERROR(表格1[[#This Row],[QTY]]*表格1[[#This Row],[Unit Price]],"-")</f>
        <v>3280</v>
      </c>
      <c r="O2368" s="86">
        <v>532988</v>
      </c>
      <c r="R2368" s="86" t="str">
        <f>_xlfn.CONCAT(表格1[[#This Row],[Model]]," ",表格1[[#This Row],[inv no]])</f>
        <v>RC-DZ4K(N) 532988</v>
      </c>
      <c r="S2368" s="86">
        <f>_xlfn.XLOOKUP(表格1[[#This Row],[Model]],表格3[Model-Input-Ref2],表格3[SRP PRICE])</f>
        <v>3888</v>
      </c>
      <c r="T2368" s="43">
        <f>表格1[[#This Row],[Unit Price]]/表格1[[#This Row],[SRP]]</f>
        <v>0.84362139917695478</v>
      </c>
      <c r="U2368" s="86" t="str">
        <f>_xlfn.XLOOKUP(表格1[[#This Row],[Model]],表格3[Model-Input-Ref2],表格3[TOSHIBA/HIGHEST])</f>
        <v>Shops Highest Price</v>
      </c>
      <c r="W2368" s="86" t="str">
        <f>_xlfn.CONCAT(表格1[[#This Row],[欄4]],表格1[[#This Row],[inv no]])</f>
        <v>532988</v>
      </c>
    </row>
    <row r="2369" spans="1:23" hidden="1">
      <c r="A2369" s="81">
        <v>2367</v>
      </c>
      <c r="B2369" s="86" t="s">
        <v>1366</v>
      </c>
      <c r="C2369" s="86" t="s">
        <v>1852</v>
      </c>
      <c r="D2369" s="82" t="str">
        <f ca="1">OFFSET(Roster!$A$3,MATCH(表格1[[#This Row],[Location]]&amp;" "&amp;表格1[[#This Row],[Shop]]&amp;"*",Roster!$A$4:$A$72,0),DAY(表格1[[#This Row],[date]]),1,1)</f>
        <v>Maggie Yip</v>
      </c>
      <c r="E2369" s="86">
        <f>MONTH(表格1[[#This Row],[date]])</f>
        <v>3</v>
      </c>
      <c r="F2369" s="90">
        <v>46103</v>
      </c>
      <c r="G2369" s="86" t="str">
        <f>VLOOKUP("*"&amp;表格1[[#This Row],[Input]]&amp;"*",'Ref-List'!$B:$D,2,)</f>
        <v>RC-10AMXH(W)</v>
      </c>
      <c r="H2369" s="86" t="str">
        <f>_xlfn.XLOOKUP(表格1[[#This Row],[Model]],表格3[Model-Input-Ref2],表格3[Product Line])</f>
        <v>酵活炊電飯煲(1.0公升)</v>
      </c>
      <c r="I2369" s="86" t="str">
        <f>_xlfn.XLOOKUP(表格1[[#This Row],[Model]],表格3[Model-Input-Ref2],表格3[大小電])</f>
        <v>細電</v>
      </c>
      <c r="J2369" s="86" t="str">
        <f>_xlfn.XLOOKUP(表格1[[#This Row],[Model]],表格3[Model-Input-Ref2],表格3[Code])</f>
        <v>SDA</v>
      </c>
      <c r="K2369" s="89" t="s">
        <v>1279</v>
      </c>
      <c r="L2369" s="86">
        <v>1</v>
      </c>
      <c r="M2369" s="87">
        <v>990</v>
      </c>
      <c r="N2369" s="85">
        <f>IFERROR(表格1[[#This Row],[QTY]]*表格1[[#This Row],[Unit Price]],"-")</f>
        <v>990</v>
      </c>
      <c r="O2369" s="86">
        <v>349878</v>
      </c>
      <c r="R2369" s="86" t="str">
        <f>_xlfn.CONCAT(表格1[[#This Row],[Model]]," ",表格1[[#This Row],[inv no]])</f>
        <v>RC-10AMXH(W) 349878</v>
      </c>
      <c r="S2369" s="86">
        <f>_xlfn.XLOOKUP(表格1[[#This Row],[Model]],表格3[Model-Input-Ref2],表格3[SRP PRICE])</f>
        <v>1288</v>
      </c>
      <c r="T2369" s="43">
        <f>表格1[[#This Row],[Unit Price]]/表格1[[#This Row],[SRP]]</f>
        <v>0.76863354037267084</v>
      </c>
      <c r="U2369" s="86" t="str">
        <f>_xlfn.XLOOKUP(表格1[[#This Row],[Model]],表格3[Model-Input-Ref2],表格3[TOSHIBA/HIGHEST])</f>
        <v>Toshiba SRP</v>
      </c>
      <c r="W2369" s="86" t="str">
        <f>_xlfn.CONCAT(表格1[[#This Row],[欄4]],表格1[[#This Row],[inv no]])</f>
        <v>349878</v>
      </c>
    </row>
    <row r="2370" spans="1:23" hidden="1">
      <c r="A2370" s="81">
        <v>2368</v>
      </c>
      <c r="B2370" s="86" t="s">
        <v>1366</v>
      </c>
      <c r="C2370" s="86" t="s">
        <v>1852</v>
      </c>
      <c r="D2370" s="82" t="str">
        <f ca="1">OFFSET(Roster!$A$3,MATCH(表格1[[#This Row],[Location]]&amp;" "&amp;表格1[[#This Row],[Shop]]&amp;"*",Roster!$A$4:$A$72,0),DAY(表格1[[#This Row],[date]]),1,1)</f>
        <v>Maggie Yip</v>
      </c>
      <c r="E2370" s="86">
        <f>MONTH(表格1[[#This Row],[date]])</f>
        <v>3</v>
      </c>
      <c r="F2370" s="90">
        <v>46103</v>
      </c>
      <c r="G2370" s="86" t="str">
        <f>VLOOKUP("*"&amp;表格1[[#This Row],[Input]]&amp;"*",'Ref-List'!$B:$D,2,)</f>
        <v>RC-DR10T(W)</v>
      </c>
      <c r="H2370" s="86" t="str">
        <f>_xlfn.XLOOKUP(表格1[[#This Row],[Model]],表格3[Model-Input-Ref2],表格3[Product Line])</f>
        <v>IH磁應電飯煲</v>
      </c>
      <c r="I2370" s="86" t="str">
        <f>_xlfn.XLOOKUP(表格1[[#This Row],[Model]],表格3[Model-Input-Ref2],表格3[大小電])</f>
        <v>細電</v>
      </c>
      <c r="J2370" s="86" t="str">
        <f>_xlfn.XLOOKUP(表格1[[#This Row],[Model]],表格3[Model-Input-Ref2],表格3[Code])</f>
        <v>SDA</v>
      </c>
      <c r="K2370" s="89" t="s">
        <v>1294</v>
      </c>
      <c r="L2370" s="86">
        <v>1</v>
      </c>
      <c r="M2370" s="87">
        <v>2380</v>
      </c>
      <c r="N2370" s="85">
        <f>IFERROR(表格1[[#This Row],[QTY]]*表格1[[#This Row],[Unit Price]],"-")</f>
        <v>2380</v>
      </c>
      <c r="O2370" s="86">
        <v>349891</v>
      </c>
      <c r="R2370" s="86" t="str">
        <f>_xlfn.CONCAT(表格1[[#This Row],[Model]]," ",表格1[[#This Row],[inv no]])</f>
        <v>RC-DR10T(W) 349891</v>
      </c>
      <c r="S2370" s="86">
        <f>_xlfn.XLOOKUP(表格1[[#This Row],[Model]],表格3[Model-Input-Ref2],表格3[SRP PRICE])</f>
        <v>3188</v>
      </c>
      <c r="T2370" s="43">
        <f>表格1[[#This Row],[Unit Price]]/表格1[[#This Row],[SRP]]</f>
        <v>0.74654956085319946</v>
      </c>
      <c r="U2370" s="86" t="str">
        <f>_xlfn.XLOOKUP(表格1[[#This Row],[Model]],表格3[Model-Input-Ref2],表格3[TOSHIBA/HIGHEST])</f>
        <v>Toshiba SRP</v>
      </c>
      <c r="W2370" s="86" t="str">
        <f>_xlfn.CONCAT(表格1[[#This Row],[欄4]],表格1[[#This Row],[inv no]])</f>
        <v>349891</v>
      </c>
    </row>
    <row r="2371" spans="1:23" hidden="1">
      <c r="A2371" s="81">
        <v>2369</v>
      </c>
      <c r="B2371" s="86" t="s">
        <v>1366</v>
      </c>
      <c r="C2371" s="86" t="s">
        <v>1852</v>
      </c>
      <c r="D2371" s="82" t="str">
        <f ca="1">OFFSET(Roster!$A$3,MATCH(表格1[[#This Row],[Location]]&amp;" "&amp;表格1[[#This Row],[Shop]]&amp;"*",Roster!$A$4:$A$72,0),DAY(表格1[[#This Row],[date]]),1,1)</f>
        <v>Maggie Yip</v>
      </c>
      <c r="E2371" s="86">
        <f>MONTH(表格1[[#This Row],[date]])</f>
        <v>3</v>
      </c>
      <c r="F2371" s="90">
        <v>46103</v>
      </c>
      <c r="G2371" s="86" t="str">
        <f>VLOOKUP("*"&amp;表格1[[#This Row],[Input]]&amp;"*",'Ref-List'!$B:$D,2,)</f>
        <v>KT-17SHNH</v>
      </c>
      <c r="H2371" s="86" t="str">
        <f>_xlfn.XLOOKUP(表格1[[#This Row],[Model]],表格3[Model-Input-Ref2],表格3[Product Line])</f>
        <v>1.7L無線雙層電熱水壺</v>
      </c>
      <c r="I2371" s="86" t="str">
        <f>_xlfn.XLOOKUP(表格1[[#This Row],[Model]],表格3[Model-Input-Ref2],表格3[大小電])</f>
        <v>細電</v>
      </c>
      <c r="J2371" s="86" t="str">
        <f>_xlfn.XLOOKUP(表格1[[#This Row],[Model]],表格3[Model-Input-Ref2],表格3[Code])</f>
        <v>SDA</v>
      </c>
      <c r="K2371" s="89" t="s">
        <v>1283</v>
      </c>
      <c r="L2371" s="86">
        <v>1</v>
      </c>
      <c r="M2371" s="87">
        <v>198</v>
      </c>
      <c r="N2371" s="85">
        <f>IFERROR(表格1[[#This Row],[QTY]]*表格1[[#This Row],[Unit Price]],"-")</f>
        <v>198</v>
      </c>
      <c r="O2371" s="86">
        <v>321593</v>
      </c>
      <c r="R2371" s="86" t="str">
        <f>_xlfn.CONCAT(表格1[[#This Row],[Model]]," ",表格1[[#This Row],[inv no]])</f>
        <v>KT-17SHNH 321593</v>
      </c>
      <c r="S2371" s="86">
        <f>_xlfn.XLOOKUP(表格1[[#This Row],[Model]],表格3[Model-Input-Ref2],表格3[SRP PRICE])</f>
        <v>299</v>
      </c>
      <c r="T2371" s="43">
        <f>表格1[[#This Row],[Unit Price]]/表格1[[#This Row],[SRP]]</f>
        <v>0.66220735785953178</v>
      </c>
      <c r="U2371" s="86" t="str">
        <f>_xlfn.XLOOKUP(表格1[[#This Row],[Model]],表格3[Model-Input-Ref2],表格3[TOSHIBA/HIGHEST])</f>
        <v>Shops Highest Price</v>
      </c>
      <c r="W2371" s="86" t="str">
        <f>_xlfn.CONCAT(表格1[[#This Row],[欄4]],表格1[[#This Row],[inv no]])</f>
        <v>321593</v>
      </c>
    </row>
    <row r="2372" spans="1:23" hidden="1">
      <c r="A2372" s="81">
        <v>2370</v>
      </c>
      <c r="B2372" s="86" t="s">
        <v>1366</v>
      </c>
      <c r="C2372" s="86" t="s">
        <v>1852</v>
      </c>
      <c r="D2372" s="82" t="str">
        <f ca="1">OFFSET(Roster!$A$3,MATCH(表格1[[#This Row],[Location]]&amp;" "&amp;表格1[[#This Row],[Shop]]&amp;"*",Roster!$A$4:$A$72,0),DAY(表格1[[#This Row],[date]]),1,1)</f>
        <v>Maggie Yip</v>
      </c>
      <c r="E2372" s="86">
        <f>MONTH(表格1[[#This Row],[date]])</f>
        <v>3</v>
      </c>
      <c r="F2372" s="90">
        <v>46103</v>
      </c>
      <c r="G2372" s="86" t="str">
        <f>VLOOKUP("*"&amp;表格1[[#This Row],[Input]]&amp;"*",'Ref-List'!$B:$D,2,)</f>
        <v>KT-08DH1VHK(W)</v>
      </c>
      <c r="H2372" s="86" t="str">
        <f>_xlfn.XLOOKUP(表格1[[#This Row],[Model]],表格3[Model-Input-Ref2],表格3[Product Line])</f>
        <v>無線雙層電熱水壺-附可鎖壺蓋(0.8公升)</v>
      </c>
      <c r="I2372" s="86" t="str">
        <f>_xlfn.XLOOKUP(表格1[[#This Row],[Model]],表格3[Model-Input-Ref2],表格3[大小電])</f>
        <v>細電</v>
      </c>
      <c r="J2372" s="86" t="str">
        <f>_xlfn.XLOOKUP(表格1[[#This Row],[Model]],表格3[Model-Input-Ref2],表格3[Code])</f>
        <v>SDA</v>
      </c>
      <c r="K2372" s="89" t="s">
        <v>1268</v>
      </c>
      <c r="L2372" s="86">
        <v>1</v>
      </c>
      <c r="M2372" s="87">
        <v>268</v>
      </c>
      <c r="N2372" s="85">
        <f>IFERROR(表格1[[#This Row],[QTY]]*表格1[[#This Row],[Unit Price]],"-")</f>
        <v>268</v>
      </c>
      <c r="O2372" s="86">
        <v>321606</v>
      </c>
      <c r="R2372" s="86" t="str">
        <f>_xlfn.CONCAT(表格1[[#This Row],[Model]]," ",表格1[[#This Row],[inv no]])</f>
        <v>KT-08DH1VHK(W) 321606</v>
      </c>
      <c r="S2372" s="86">
        <f>_xlfn.XLOOKUP(表格1[[#This Row],[Model]],表格3[Model-Input-Ref2],表格3[SRP PRICE])</f>
        <v>428</v>
      </c>
      <c r="T2372" s="43">
        <f>表格1[[#This Row],[Unit Price]]/表格1[[#This Row],[SRP]]</f>
        <v>0.62616822429906538</v>
      </c>
      <c r="U2372" s="86" t="str">
        <f>_xlfn.XLOOKUP(表格1[[#This Row],[Model]],表格3[Model-Input-Ref2],表格3[TOSHIBA/HIGHEST])</f>
        <v>Toshiba SRP</v>
      </c>
      <c r="W2372" s="86" t="str">
        <f>_xlfn.CONCAT(表格1[[#This Row],[欄4]],表格1[[#This Row],[inv no]])</f>
        <v>321606</v>
      </c>
    </row>
    <row r="2373" spans="1:23" hidden="1">
      <c r="A2373" s="81">
        <v>2371</v>
      </c>
      <c r="B2373" s="86" t="s">
        <v>1366</v>
      </c>
      <c r="C2373" s="86" t="s">
        <v>1852</v>
      </c>
      <c r="D2373" s="82" t="str">
        <f ca="1">OFFSET(Roster!$A$3,MATCH(表格1[[#This Row],[Location]]&amp;" "&amp;表格1[[#This Row],[Shop]]&amp;"*",Roster!$A$4:$A$72,0),DAY(表格1[[#This Row],[date]]),1,1)</f>
        <v>Maggie Yip</v>
      </c>
      <c r="E2373" s="86">
        <f>MONTH(表格1[[#This Row],[date]])</f>
        <v>3</v>
      </c>
      <c r="F2373" s="90">
        <v>46104</v>
      </c>
      <c r="G2373" s="86" t="str">
        <f>VLOOKUP("*"&amp;表格1[[#This Row],[Input]]&amp;"*",'Ref-List'!$B:$D,2,)</f>
        <v>KT-17SHNH</v>
      </c>
      <c r="H2373" s="86" t="str">
        <f>_xlfn.XLOOKUP(表格1[[#This Row],[Model]],表格3[Model-Input-Ref2],表格3[Product Line])</f>
        <v>1.7L無線雙層電熱水壺</v>
      </c>
      <c r="I2373" s="86" t="str">
        <f>_xlfn.XLOOKUP(表格1[[#This Row],[Model]],表格3[Model-Input-Ref2],表格3[大小電])</f>
        <v>細電</v>
      </c>
      <c r="J2373" s="86" t="str">
        <f>_xlfn.XLOOKUP(表格1[[#This Row],[Model]],表格3[Model-Input-Ref2],表格3[Code])</f>
        <v>SDA</v>
      </c>
      <c r="K2373" s="89" t="s">
        <v>1283</v>
      </c>
      <c r="L2373" s="86">
        <v>1</v>
      </c>
      <c r="M2373" s="87">
        <v>198</v>
      </c>
      <c r="N2373" s="85">
        <f>IFERROR(表格1[[#This Row],[QTY]]*表格1[[#This Row],[Unit Price]],"-")</f>
        <v>198</v>
      </c>
      <c r="O2373" s="86">
        <v>533392</v>
      </c>
      <c r="R2373" s="86" t="str">
        <f>_xlfn.CONCAT(表格1[[#This Row],[Model]]," ",表格1[[#This Row],[inv no]])</f>
        <v>KT-17SHNH 533392</v>
      </c>
      <c r="S2373" s="86">
        <f>_xlfn.XLOOKUP(表格1[[#This Row],[Model]],表格3[Model-Input-Ref2],表格3[SRP PRICE])</f>
        <v>299</v>
      </c>
      <c r="T2373" s="43">
        <f>表格1[[#This Row],[Unit Price]]/表格1[[#This Row],[SRP]]</f>
        <v>0.66220735785953178</v>
      </c>
      <c r="U2373" s="86" t="str">
        <f>_xlfn.XLOOKUP(表格1[[#This Row],[Model]],表格3[Model-Input-Ref2],表格3[TOSHIBA/HIGHEST])</f>
        <v>Shops Highest Price</v>
      </c>
      <c r="W2373" s="86" t="str">
        <f>_xlfn.CONCAT(表格1[[#This Row],[欄4]],表格1[[#This Row],[inv no]])</f>
        <v>533392</v>
      </c>
    </row>
    <row r="2374" spans="1:23" hidden="1">
      <c r="A2374" s="81">
        <v>2372</v>
      </c>
      <c r="B2374" s="86" t="s">
        <v>1366</v>
      </c>
      <c r="C2374" s="86" t="s">
        <v>1852</v>
      </c>
      <c r="D2374" s="82" t="str">
        <f ca="1">OFFSET(Roster!$A$3,MATCH(表格1[[#This Row],[Location]]&amp;" "&amp;表格1[[#This Row],[Shop]]&amp;"*",Roster!$A$4:$A$72,0),DAY(表格1[[#This Row],[date]]),1,1)</f>
        <v>Maggie Yip</v>
      </c>
      <c r="E2374" s="86">
        <f>MONTH(表格1[[#This Row],[date]])</f>
        <v>3</v>
      </c>
      <c r="F2374" s="90">
        <v>46104</v>
      </c>
      <c r="G2374" s="86" t="str">
        <f>VLOOKUP("*"&amp;表格1[[#This Row],[Input]]&amp;"*",'Ref-List'!$B:$D,2,)</f>
        <v>RC-5MMIH(WT)</v>
      </c>
      <c r="H2374" s="86" t="str">
        <f>_xlfn.XLOOKUP(表格1[[#This Row],[Model]],表格3[Model-Input-Ref2],表格3[Product Line])</f>
        <v>4毫米厚釜電飯煲0.54L</v>
      </c>
      <c r="I2374" s="86" t="str">
        <f>_xlfn.XLOOKUP(表格1[[#This Row],[Model]],表格3[Model-Input-Ref2],表格3[大小電])</f>
        <v>細電</v>
      </c>
      <c r="J2374" s="86" t="str">
        <f>_xlfn.XLOOKUP(表格1[[#This Row],[Model]],表格3[Model-Input-Ref2],表格3[Code])</f>
        <v>SDA</v>
      </c>
      <c r="K2374" s="89" t="s">
        <v>1195</v>
      </c>
      <c r="L2374" s="86">
        <v>1</v>
      </c>
      <c r="M2374" s="87">
        <v>557</v>
      </c>
      <c r="N2374" s="85">
        <f>IFERROR(表格1[[#This Row],[QTY]]*表格1[[#This Row],[Unit Price]],"-")</f>
        <v>557</v>
      </c>
      <c r="O2374" s="86">
        <v>533519</v>
      </c>
      <c r="R2374" s="86" t="str">
        <f>_xlfn.CONCAT(表格1[[#This Row],[Model]]," ",表格1[[#This Row],[inv no]])</f>
        <v>RC-5MMIH(WT) 533519</v>
      </c>
      <c r="S2374" s="86">
        <f>_xlfn.XLOOKUP(表格1[[#This Row],[Model]],表格3[Model-Input-Ref2],表格3[SRP PRICE])</f>
        <v>618</v>
      </c>
      <c r="T2374" s="43">
        <f>表格1[[#This Row],[Unit Price]]/表格1[[#This Row],[SRP]]</f>
        <v>0.90129449838187703</v>
      </c>
      <c r="U2374" s="86" t="str">
        <f>_xlfn.XLOOKUP(表格1[[#This Row],[Model]],表格3[Model-Input-Ref2],表格3[TOSHIBA/HIGHEST])</f>
        <v>Toshiba SRP</v>
      </c>
      <c r="W2374" s="86" t="str">
        <f>_xlfn.CONCAT(表格1[[#This Row],[欄4]],表格1[[#This Row],[inv no]])</f>
        <v>533519</v>
      </c>
    </row>
    <row r="2375" spans="1:23" hidden="1">
      <c r="A2375" s="81">
        <v>2373</v>
      </c>
      <c r="B2375" s="86" t="s">
        <v>1366</v>
      </c>
      <c r="C2375" s="86" t="s">
        <v>1852</v>
      </c>
      <c r="D2375" s="82" t="str">
        <f ca="1">OFFSET(Roster!$A$3,MATCH(表格1[[#This Row],[Location]]&amp;" "&amp;表格1[[#This Row],[Shop]]&amp;"*",Roster!$A$4:$A$72,0),DAY(表格1[[#This Row],[date]]),1,1)</f>
        <v>Maggie Yip</v>
      </c>
      <c r="E2375" s="86">
        <f>MONTH(表格1[[#This Row],[date]])</f>
        <v>3</v>
      </c>
      <c r="F2375" s="90">
        <v>46104</v>
      </c>
      <c r="G2375" s="86" t="str">
        <f>VLOOKUP("*"&amp;表格1[[#This Row],[Input]]&amp;"*",'Ref-List'!$B:$D,2,)</f>
        <v>RC-10JRUH(N)</v>
      </c>
      <c r="H2375" s="86" t="str">
        <f>_xlfn.XLOOKUP(表格1[[#This Row],[Model]],表格3[Model-Input-Ref2],表格3[Product Line])</f>
        <v>電飯煲</v>
      </c>
      <c r="I2375" s="86" t="str">
        <f>_xlfn.XLOOKUP(表格1[[#This Row],[Model]],表格3[Model-Input-Ref2],表格3[大小電])</f>
        <v>細電</v>
      </c>
      <c r="J2375" s="86" t="str">
        <f>_xlfn.XLOOKUP(表格1[[#This Row],[Model]],表格3[Model-Input-Ref2],表格3[Code])</f>
        <v>SDA</v>
      </c>
      <c r="K2375" s="89" t="s">
        <v>1263</v>
      </c>
      <c r="L2375" s="86">
        <v>1</v>
      </c>
      <c r="M2375" s="87">
        <v>328</v>
      </c>
      <c r="N2375" s="85">
        <f>IFERROR(表格1[[#This Row],[QTY]]*表格1[[#This Row],[Unit Price]],"-")</f>
        <v>328</v>
      </c>
      <c r="O2375" s="86">
        <v>533549</v>
      </c>
      <c r="R2375" s="86" t="str">
        <f>_xlfn.CONCAT(表格1[[#This Row],[Model]]," ",表格1[[#This Row],[inv no]])</f>
        <v>RC-10JRUH(N) 533549</v>
      </c>
      <c r="S2375" s="86">
        <f>_xlfn.XLOOKUP(表格1[[#This Row],[Model]],表格3[Model-Input-Ref2],表格3[SRP PRICE])</f>
        <v>398</v>
      </c>
      <c r="T2375" s="43">
        <f>表格1[[#This Row],[Unit Price]]/表格1[[#This Row],[SRP]]</f>
        <v>0.82412060301507539</v>
      </c>
      <c r="U2375" s="86" t="str">
        <f>_xlfn.XLOOKUP(表格1[[#This Row],[Model]],表格3[Model-Input-Ref2],表格3[TOSHIBA/HIGHEST])</f>
        <v>Shops Highest Price</v>
      </c>
      <c r="W2375" s="86" t="str">
        <f>_xlfn.CONCAT(表格1[[#This Row],[欄4]],表格1[[#This Row],[inv no]])</f>
        <v>533549</v>
      </c>
    </row>
    <row r="2376" spans="1:23" hidden="1">
      <c r="A2376" s="81">
        <v>2374</v>
      </c>
      <c r="B2376" s="86" t="s">
        <v>1366</v>
      </c>
      <c r="C2376" s="86" t="s">
        <v>1852</v>
      </c>
      <c r="D2376" s="82" t="str">
        <f ca="1">OFFSET(Roster!$A$3,MATCH(表格1[[#This Row],[Location]]&amp;" "&amp;表格1[[#This Row],[Shop]]&amp;"*",Roster!$A$4:$A$72,0),DAY(表格1[[#This Row],[date]]),1,1)</f>
        <v>Maggie Yip</v>
      </c>
      <c r="E2376" s="86">
        <f>MONTH(表格1[[#This Row],[date]])</f>
        <v>3</v>
      </c>
      <c r="F2376" s="90">
        <v>46104</v>
      </c>
      <c r="G2376" s="86" t="str">
        <f>VLOOKUP("*"&amp;表格1[[#This Row],[Input]]&amp;"*",'Ref-List'!$B:$D,2,)</f>
        <v>F-LYA20(W)HKG</v>
      </c>
      <c r="H2376" s="86" t="str">
        <f>_xlfn.XLOOKUP(表格1[[#This Row],[Model]],表格3[Model-Input-Ref2],表格3[Product Line])</f>
        <v>12吋2合1座地座檯電風扇連遙控</v>
      </c>
      <c r="I2376" s="86" t="str">
        <f>_xlfn.XLOOKUP(表格1[[#This Row],[Model]],表格3[Model-Input-Ref2],表格3[大小電])</f>
        <v>細電</v>
      </c>
      <c r="J2376" s="86" t="str">
        <f>_xlfn.XLOOKUP(表格1[[#This Row],[Model]],表格3[Model-Input-Ref2],表格3[Code])</f>
        <v>EAD</v>
      </c>
      <c r="K2376" s="89" t="s">
        <v>1391</v>
      </c>
      <c r="L2376" s="86">
        <v>1</v>
      </c>
      <c r="M2376" s="87">
        <v>398</v>
      </c>
      <c r="N2376" s="85">
        <f>IFERROR(表格1[[#This Row],[QTY]]*表格1[[#This Row],[Unit Price]],"-")</f>
        <v>398</v>
      </c>
      <c r="O2376" s="86">
        <v>533573</v>
      </c>
      <c r="R2376" s="86" t="str">
        <f>_xlfn.CONCAT(表格1[[#This Row],[Model]]," ",表格1[[#This Row],[inv no]])</f>
        <v>F-LYA20(W)HKG 533573</v>
      </c>
      <c r="S2376" s="86">
        <f>_xlfn.XLOOKUP(表格1[[#This Row],[Model]],表格3[Model-Input-Ref2],表格3[SRP PRICE])</f>
        <v>988</v>
      </c>
      <c r="T2376" s="43">
        <f>表格1[[#This Row],[Unit Price]]/表格1[[#This Row],[SRP]]</f>
        <v>0.40283400809716602</v>
      </c>
      <c r="U2376" s="86" t="str">
        <f>_xlfn.XLOOKUP(表格1[[#This Row],[Model]],表格3[Model-Input-Ref2],表格3[TOSHIBA/HIGHEST])</f>
        <v>Toshiba SRP</v>
      </c>
      <c r="W2376" s="86" t="str">
        <f>_xlfn.CONCAT(表格1[[#This Row],[欄4]],表格1[[#This Row],[inv no]])</f>
        <v>533573</v>
      </c>
    </row>
    <row r="2377" spans="1:23" hidden="1">
      <c r="A2377" s="81">
        <v>2375</v>
      </c>
      <c r="B2377" s="86" t="s">
        <v>1366</v>
      </c>
      <c r="C2377" s="86" t="s">
        <v>1852</v>
      </c>
      <c r="D2377" s="82" t="str">
        <f ca="1">OFFSET(Roster!$A$3,MATCH(表格1[[#This Row],[Location]]&amp;" "&amp;表格1[[#This Row],[Shop]]&amp;"*",Roster!$A$4:$A$72,0),DAY(表格1[[#This Row],[date]]),1,1)</f>
        <v>Maggie Yip</v>
      </c>
      <c r="E2377" s="86">
        <f>MONTH(表格1[[#This Row],[date]])</f>
        <v>3</v>
      </c>
      <c r="F2377" s="90">
        <v>46104</v>
      </c>
      <c r="G2377" s="86" t="str">
        <f>VLOOKUP("*"&amp;表格1[[#This Row],[Input]]&amp;"*",'Ref-List'!$B:$D,2,)</f>
        <v>RC-5SLIH(W)</v>
      </c>
      <c r="H2377" s="86" t="str">
        <f>_xlfn.XLOOKUP(表格1[[#This Row],[Model]],表格3[Model-Input-Ref2],表格3[Product Line])</f>
        <v>微型電腦珍珠飯煲</v>
      </c>
      <c r="I2377" s="86" t="str">
        <f>_xlfn.XLOOKUP(表格1[[#This Row],[Model]],表格3[Model-Input-Ref2],表格3[大小電])</f>
        <v>細電</v>
      </c>
      <c r="J2377" s="86" t="str">
        <f>_xlfn.XLOOKUP(表格1[[#This Row],[Model]],表格3[Model-Input-Ref2],表格3[Code])</f>
        <v>SDA</v>
      </c>
      <c r="K2377" s="89" t="s">
        <v>1264</v>
      </c>
      <c r="L2377" s="86">
        <v>1</v>
      </c>
      <c r="M2377" s="87">
        <v>593</v>
      </c>
      <c r="N2377" s="85">
        <f>IFERROR(表格1[[#This Row],[QTY]]*表格1[[#This Row],[Unit Price]],"-")</f>
        <v>593</v>
      </c>
      <c r="O2377" s="86">
        <v>533588</v>
      </c>
      <c r="R2377" s="86" t="str">
        <f>_xlfn.CONCAT(表格1[[#This Row],[Model]]," ",表格1[[#This Row],[inv no]])</f>
        <v>RC-5SLIH(W) 533588</v>
      </c>
      <c r="S2377" s="86">
        <f>_xlfn.XLOOKUP(表格1[[#This Row],[Model]],表格3[Model-Input-Ref2],表格3[SRP PRICE])</f>
        <v>658</v>
      </c>
      <c r="T2377" s="43">
        <f>表格1[[#This Row],[Unit Price]]/表格1[[#This Row],[SRP]]</f>
        <v>0.90121580547112456</v>
      </c>
      <c r="U2377" s="86" t="str">
        <f>_xlfn.XLOOKUP(表格1[[#This Row],[Model]],表格3[Model-Input-Ref2],表格3[TOSHIBA/HIGHEST])</f>
        <v>Toshiba SRP</v>
      </c>
      <c r="W2377" s="86" t="str">
        <f>_xlfn.CONCAT(表格1[[#This Row],[欄4]],表格1[[#This Row],[inv no]])</f>
        <v>533588</v>
      </c>
    </row>
    <row r="2378" spans="1:23" hidden="1">
      <c r="A2378" s="81">
        <v>2376</v>
      </c>
      <c r="B2378" s="86" t="s">
        <v>1366</v>
      </c>
      <c r="C2378" s="86" t="s">
        <v>1852</v>
      </c>
      <c r="D2378" s="82" t="str">
        <f ca="1">OFFSET(Roster!$A$3,MATCH(表格1[[#This Row],[Location]]&amp;" "&amp;表格1[[#This Row],[Shop]]&amp;"*",Roster!$A$4:$A$72,0),DAY(表格1[[#This Row],[date]]),1,1)</f>
        <v>Maggie Yip</v>
      </c>
      <c r="E2378" s="86">
        <f>MONTH(表格1[[#This Row],[date]])</f>
        <v>3</v>
      </c>
      <c r="F2378" s="90">
        <v>46105</v>
      </c>
      <c r="G2378" s="86" t="str">
        <f>VLOOKUP("*"&amp;表格1[[#This Row],[Input]]&amp;"*",'Ref-List'!$B:$D,2,)</f>
        <v>RC-18DRNH</v>
      </c>
      <c r="H2378" s="86" t="str">
        <f>_xlfn.XLOOKUP(表格1[[#This Row],[Model]],表格3[Model-Input-Ref2],表格3[Product Line])</f>
        <v>多功能備長炭本厚釜電飯煲1.8L</v>
      </c>
      <c r="I2378" s="86" t="str">
        <f>_xlfn.XLOOKUP(表格1[[#This Row],[Model]],表格3[Model-Input-Ref2],表格3[大小電])</f>
        <v>細電</v>
      </c>
      <c r="J2378" s="86" t="str">
        <f>_xlfn.XLOOKUP(表格1[[#This Row],[Model]],表格3[Model-Input-Ref2],表格3[Code])</f>
        <v>SDA</v>
      </c>
      <c r="K2378" s="89" t="s">
        <v>1389</v>
      </c>
      <c r="L2378" s="86">
        <v>1</v>
      </c>
      <c r="M2378" s="87">
        <v>619</v>
      </c>
      <c r="N2378" s="85">
        <f>IFERROR(表格1[[#This Row],[QTY]]*表格1[[#This Row],[Unit Price]],"-")</f>
        <v>619</v>
      </c>
      <c r="O2378" s="86">
        <v>533894</v>
      </c>
      <c r="R2378" s="86" t="str">
        <f>_xlfn.CONCAT(表格1[[#This Row],[Model]]," ",表格1[[#This Row],[inv no]])</f>
        <v>RC-18DRNH 533894</v>
      </c>
      <c r="S2378" s="86">
        <f>_xlfn.XLOOKUP(表格1[[#This Row],[Model]],表格3[Model-Input-Ref2],表格3[SRP PRICE])</f>
        <v>898</v>
      </c>
      <c r="T2378" s="43">
        <f>表格1[[#This Row],[Unit Price]]/表格1[[#This Row],[SRP]]</f>
        <v>0.68930957683741645</v>
      </c>
      <c r="U2378" s="86" t="str">
        <f>_xlfn.XLOOKUP(表格1[[#This Row],[Model]],表格3[Model-Input-Ref2],表格3[TOSHIBA/HIGHEST])</f>
        <v>Toshiba SRP</v>
      </c>
      <c r="W2378" s="86" t="str">
        <f>_xlfn.CONCAT(表格1[[#This Row],[欄4]],表格1[[#This Row],[inv no]])</f>
        <v>533894</v>
      </c>
    </row>
    <row r="2379" spans="1:23" hidden="1">
      <c r="A2379" s="81">
        <v>2377</v>
      </c>
      <c r="B2379" s="86" t="s">
        <v>1366</v>
      </c>
      <c r="C2379" s="86" t="s">
        <v>1852</v>
      </c>
      <c r="D2379" s="82" t="str">
        <f ca="1">OFFSET(Roster!$A$3,MATCH(表格1[[#This Row],[Location]]&amp;" "&amp;表格1[[#This Row],[Shop]]&amp;"*",Roster!$A$4:$A$72,0),DAY(表格1[[#This Row],[date]]),1,1)</f>
        <v>Maggie Yip</v>
      </c>
      <c r="E2379" s="86">
        <f>MONTH(表格1[[#This Row],[date]])</f>
        <v>3</v>
      </c>
      <c r="F2379" s="90">
        <v>46105</v>
      </c>
      <c r="G2379" s="86" t="str">
        <f>VLOOKUP("*"&amp;表格1[[#This Row],[Input]]&amp;"*",'Ref-List'!$B:$D,2,)</f>
        <v>RAD-D300H</v>
      </c>
      <c r="H2379" s="86" t="str">
        <f>_xlfn.XLOOKUP(表格1[[#This Row],[Model]],表格3[Model-Input-Ref2],表格3[Product Line])</f>
        <v>壓縮式抽濕機 (30公升)</v>
      </c>
      <c r="I2379" s="86" t="str">
        <f>_xlfn.XLOOKUP(表格1[[#This Row],[Model]],表格3[Model-Input-Ref2],表格3[大小電])</f>
        <v>細電</v>
      </c>
      <c r="J2379" s="86" t="str">
        <f>_xlfn.XLOOKUP(表格1[[#This Row],[Model]],表格3[Model-Input-Ref2],表格3[Code])</f>
        <v>RAC</v>
      </c>
      <c r="K2379" s="89" t="s">
        <v>1252</v>
      </c>
      <c r="L2379" s="86">
        <v>1</v>
      </c>
      <c r="M2379" s="87">
        <v>2280</v>
      </c>
      <c r="N2379" s="85">
        <f>IFERROR(表格1[[#This Row],[QTY]]*表格1[[#This Row],[Unit Price]],"-")</f>
        <v>2280</v>
      </c>
      <c r="O2379" s="86">
        <v>350437</v>
      </c>
      <c r="R2379" s="86" t="str">
        <f>_xlfn.CONCAT(表格1[[#This Row],[Model]]," ",表格1[[#This Row],[inv no]])</f>
        <v>RAD-D300H 350437</v>
      </c>
      <c r="S2379" s="86">
        <f>_xlfn.XLOOKUP(表格1[[#This Row],[Model]],表格3[Model-Input-Ref2],表格3[SRP PRICE])</f>
        <v>3380</v>
      </c>
      <c r="T2379" s="43">
        <f>表格1[[#This Row],[Unit Price]]/表格1[[#This Row],[SRP]]</f>
        <v>0.67455621301775148</v>
      </c>
      <c r="U2379" s="86" t="str">
        <f>_xlfn.XLOOKUP(表格1[[#This Row],[Model]],表格3[Model-Input-Ref2],表格3[TOSHIBA/HIGHEST])</f>
        <v>Shops Highest Price</v>
      </c>
      <c r="W2379" s="86" t="str">
        <f>_xlfn.CONCAT(表格1[[#This Row],[欄4]],表格1[[#This Row],[inv no]])</f>
        <v>350437</v>
      </c>
    </row>
    <row r="2380" spans="1:23" hidden="1">
      <c r="A2380" s="81">
        <v>2378</v>
      </c>
      <c r="B2380" s="86" t="s">
        <v>1366</v>
      </c>
      <c r="C2380" s="86" t="s">
        <v>1852</v>
      </c>
      <c r="D2380" s="82" t="str">
        <f ca="1">OFFSET(Roster!$A$3,MATCH(表格1[[#This Row],[Location]]&amp;" "&amp;表格1[[#This Row],[Shop]]&amp;"*",Roster!$A$4:$A$72,0),DAY(表格1[[#This Row],[date]]),1,1)</f>
        <v>Maggie Yip</v>
      </c>
      <c r="E2380" s="86">
        <f>MONTH(表格1[[#This Row],[date]])</f>
        <v>3</v>
      </c>
      <c r="F2380" s="90">
        <v>46105</v>
      </c>
      <c r="G2380" s="86" t="str">
        <f>VLOOKUP("*"&amp;表格1[[#This Row],[Input]]&amp;"*",'Ref-List'!$B:$D,2,)</f>
        <v>RC-DS10K(N)</v>
      </c>
      <c r="H2380" s="86" t="str">
        <f>_xlfn.XLOOKUP(表格1[[#This Row],[Model]],表格3[Model-Input-Ref2],表格3[Product Line])</f>
        <v>IH磁應電飯煲</v>
      </c>
      <c r="I2380" s="86" t="str">
        <f>_xlfn.XLOOKUP(表格1[[#This Row],[Model]],表格3[Model-Input-Ref2],表格3[大小電])</f>
        <v>細電</v>
      </c>
      <c r="J2380" s="86" t="str">
        <f>_xlfn.XLOOKUP(表格1[[#This Row],[Model]],表格3[Model-Input-Ref2],表格3[Code])</f>
        <v>SDA</v>
      </c>
      <c r="K2380" s="89" t="s">
        <v>1633</v>
      </c>
      <c r="L2380" s="86">
        <v>1</v>
      </c>
      <c r="M2380" s="87">
        <v>3150</v>
      </c>
      <c r="N2380" s="85">
        <f>IFERROR(表格1[[#This Row],[QTY]]*表格1[[#This Row],[Unit Price]],"-")</f>
        <v>3150</v>
      </c>
      <c r="O2380" s="86">
        <v>533978</v>
      </c>
      <c r="R2380" s="86" t="str">
        <f>_xlfn.CONCAT(表格1[[#This Row],[Model]]," ",表格1[[#This Row],[inv no]])</f>
        <v>RC-DS10K(N) 533978</v>
      </c>
      <c r="S2380" s="86">
        <f>_xlfn.XLOOKUP(表格1[[#This Row],[Model]],表格3[Model-Input-Ref2],表格3[SRP PRICE])</f>
        <v>4588</v>
      </c>
      <c r="T2380" s="43">
        <f>表格1[[#This Row],[Unit Price]]/表格1[[#This Row],[SRP]]</f>
        <v>0.68657367044463824</v>
      </c>
      <c r="U2380" s="86" t="str">
        <f>_xlfn.XLOOKUP(表格1[[#This Row],[Model]],表格3[Model-Input-Ref2],表格3[TOSHIBA/HIGHEST])</f>
        <v>Toshiba SRP</v>
      </c>
      <c r="W2380" s="86" t="str">
        <f>_xlfn.CONCAT(表格1[[#This Row],[欄4]],表格1[[#This Row],[inv no]])</f>
        <v>533978</v>
      </c>
    </row>
    <row r="2381" spans="1:23" hidden="1">
      <c r="A2381" s="81">
        <v>2379</v>
      </c>
      <c r="B2381" s="86" t="s">
        <v>1366</v>
      </c>
      <c r="C2381" s="86" t="s">
        <v>1852</v>
      </c>
      <c r="D2381" s="82" t="str">
        <f ca="1">OFFSET(Roster!$A$3,MATCH(表格1[[#This Row],[Location]]&amp;" "&amp;表格1[[#This Row],[Shop]]&amp;"*",Roster!$A$4:$A$72,0),DAY(表格1[[#This Row],[date]]),1,1)</f>
        <v>Maggie Yip</v>
      </c>
      <c r="E2381" s="86">
        <f>MONTH(表格1[[#This Row],[date]])</f>
        <v>3</v>
      </c>
      <c r="F2381" s="90">
        <v>46105</v>
      </c>
      <c r="G2381" s="86" t="str">
        <f>VLOOKUP("*"&amp;表格1[[#This Row],[Input]]&amp;"*",'Ref-List'!$B:$D,2,)</f>
        <v>MM2-EG20PC(WH)</v>
      </c>
      <c r="H2381" s="86" t="str">
        <f>_xlfn.XLOOKUP(表格1[[#This Row],[Model]],表格3[Model-Input-Ref2],表格3[Product Line])</f>
        <v>輕觸式燒烤微波爐</v>
      </c>
      <c r="I2381" s="86" t="str">
        <f>_xlfn.XLOOKUP(表格1[[#This Row],[Model]],表格3[Model-Input-Ref2],表格3[大小電])</f>
        <v>細電</v>
      </c>
      <c r="J2381" s="86" t="str">
        <f>_xlfn.XLOOKUP(表格1[[#This Row],[Model]],表格3[Model-Input-Ref2],表格3[Code])</f>
        <v>MCA</v>
      </c>
      <c r="K2381" s="89" t="s">
        <v>1273</v>
      </c>
      <c r="L2381" s="86">
        <v>1</v>
      </c>
      <c r="M2381" s="87">
        <v>698</v>
      </c>
      <c r="N2381" s="85">
        <f>IFERROR(表格1[[#This Row],[QTY]]*表格1[[#This Row],[Unit Price]],"-")</f>
        <v>698</v>
      </c>
      <c r="O2381" s="86">
        <v>533979</v>
      </c>
      <c r="R2381" s="86" t="str">
        <f>_xlfn.CONCAT(表格1[[#This Row],[Model]]," ",表格1[[#This Row],[inv no]])</f>
        <v>MM2-EG20PC(WH) 533979</v>
      </c>
      <c r="S2381" s="86">
        <f>_xlfn.XLOOKUP(表格1[[#This Row],[Model]],表格3[Model-Input-Ref2],表格3[SRP PRICE])</f>
        <v>918</v>
      </c>
      <c r="T2381" s="43">
        <f>表格1[[#This Row],[Unit Price]]/表格1[[#This Row],[SRP]]</f>
        <v>0.76034858387799564</v>
      </c>
      <c r="U2381" s="86" t="str">
        <f>_xlfn.XLOOKUP(表格1[[#This Row],[Model]],表格3[Model-Input-Ref2],表格3[TOSHIBA/HIGHEST])</f>
        <v>Shops Highest Price</v>
      </c>
      <c r="W2381" s="86" t="str">
        <f>_xlfn.CONCAT(表格1[[#This Row],[欄4]],表格1[[#This Row],[inv no]])</f>
        <v>533979</v>
      </c>
    </row>
    <row r="2382" spans="1:23" hidden="1">
      <c r="A2382" s="81">
        <v>2380</v>
      </c>
      <c r="B2382" s="86" t="s">
        <v>1366</v>
      </c>
      <c r="C2382" s="86" t="s">
        <v>1852</v>
      </c>
      <c r="D2382" s="82" t="str">
        <f ca="1">OFFSET(Roster!$A$3,MATCH(表格1[[#This Row],[Location]]&amp;" "&amp;表格1[[#This Row],[Shop]]&amp;"*",Roster!$A$4:$A$72,0),DAY(表格1[[#This Row],[date]]),1,1)</f>
        <v>Maggie Yip</v>
      </c>
      <c r="E2382" s="86">
        <f>MONTH(表格1[[#This Row],[date]])</f>
        <v>3</v>
      </c>
      <c r="F2382" s="90">
        <v>46105</v>
      </c>
      <c r="G2382" s="86" t="str">
        <f>VLOOKUP("*"&amp;表格1[[#This Row],[Input]]&amp;"*",'Ref-List'!$B:$D,2,)</f>
        <v>TL-MC35Z</v>
      </c>
      <c r="H2382" s="86" t="str">
        <f>_xlfn.XLOOKUP(表格1[[#This Row],[Model]],表格3[Model-Input-Ref2],表格3[Product Line])</f>
        <v>35L多功能電焗爐</v>
      </c>
      <c r="I2382" s="86" t="str">
        <f>_xlfn.XLOOKUP(表格1[[#This Row],[Model]],表格3[Model-Input-Ref2],表格3[大小電])</f>
        <v>細電</v>
      </c>
      <c r="J2382" s="86" t="str">
        <f>_xlfn.XLOOKUP(表格1[[#This Row],[Model]],表格3[Model-Input-Ref2],表格3[Code])</f>
        <v>SDA</v>
      </c>
      <c r="K2382" s="89" t="s">
        <v>1295</v>
      </c>
      <c r="L2382" s="86">
        <v>1</v>
      </c>
      <c r="M2382" s="87">
        <v>888</v>
      </c>
      <c r="N2382" s="85">
        <f>IFERROR(表格1[[#This Row],[QTY]]*表格1[[#This Row],[Unit Price]],"-")</f>
        <v>888</v>
      </c>
      <c r="O2382" s="86">
        <v>321997</v>
      </c>
      <c r="R2382" s="86" t="str">
        <f>_xlfn.CONCAT(表格1[[#This Row],[Model]]," ",表格1[[#This Row],[inv no]])</f>
        <v>TL-MC35Z 321997</v>
      </c>
      <c r="S2382" s="86">
        <f>_xlfn.XLOOKUP(表格1[[#This Row],[Model]],表格3[Model-Input-Ref2],表格3[SRP PRICE])</f>
        <v>1098</v>
      </c>
      <c r="T2382" s="43">
        <f>表格1[[#This Row],[Unit Price]]/表格1[[#This Row],[SRP]]</f>
        <v>0.80874316939890711</v>
      </c>
      <c r="U2382" s="86" t="str">
        <f>_xlfn.XLOOKUP(表格1[[#This Row],[Model]],表格3[Model-Input-Ref2],表格3[TOSHIBA/HIGHEST])</f>
        <v>Toshiba SRP</v>
      </c>
      <c r="W2382" s="86" t="str">
        <f>_xlfn.CONCAT(表格1[[#This Row],[欄4]],表格1[[#This Row],[inv no]])</f>
        <v>321997</v>
      </c>
    </row>
    <row r="2383" spans="1:23" hidden="1">
      <c r="A2383" s="81">
        <v>2381</v>
      </c>
      <c r="B2383" s="86" t="s">
        <v>1366</v>
      </c>
      <c r="C2383" s="86" t="s">
        <v>1852</v>
      </c>
      <c r="D2383" s="82" t="str">
        <f ca="1">OFFSET(Roster!$A$3,MATCH(表格1[[#This Row],[Location]]&amp;" "&amp;表格1[[#This Row],[Shop]]&amp;"*",Roster!$A$4:$A$72,0),DAY(表格1[[#This Row],[date]]),1,1)</f>
        <v>Maggie Yip</v>
      </c>
      <c r="E2383" s="86">
        <f>MONTH(表格1[[#This Row],[date]])</f>
        <v>3</v>
      </c>
      <c r="F2383" s="90">
        <v>46105</v>
      </c>
      <c r="G2383" s="86" t="str">
        <f>VLOOKUP("*"&amp;表格1[[#This Row],[Input]]&amp;"*",'Ref-List'!$B:$D,2,)</f>
        <v>CMO-MMP012NDPF(GN)</v>
      </c>
      <c r="H2383" s="86" t="str">
        <f>_xlfn.XLOOKUP(表格1[[#This Row],[Model]],表格3[Model-Input-Ref2],表格3[Product Line])</f>
        <v>20公升 微波爐</v>
      </c>
      <c r="I2383" s="86" t="str">
        <f>_xlfn.XLOOKUP(表格1[[#This Row],[Model]],表格3[Model-Input-Ref2],表格3[大小電])</f>
        <v>細電</v>
      </c>
      <c r="J2383" s="86" t="str">
        <f>_xlfn.XLOOKUP(表格1[[#This Row],[Model]],表格3[Model-Input-Ref2],表格3[Code])</f>
        <v>SDA</v>
      </c>
      <c r="K2383" s="89" t="s">
        <v>1384</v>
      </c>
      <c r="L2383" s="86">
        <v>1</v>
      </c>
      <c r="M2383" s="87">
        <v>428</v>
      </c>
      <c r="N2383" s="85">
        <f>IFERROR(表格1[[#This Row],[QTY]]*表格1[[#This Row],[Unit Price]],"-")</f>
        <v>428</v>
      </c>
      <c r="O2383" s="86">
        <v>350598</v>
      </c>
      <c r="R2383" s="86" t="str">
        <f>_xlfn.CONCAT(表格1[[#This Row],[Model]]," ",表格1[[#This Row],[inv no]])</f>
        <v>CMO-MMP012NDPF(GN) 350598</v>
      </c>
      <c r="S2383" s="86">
        <f>_xlfn.XLOOKUP(表格1[[#This Row],[Model]],表格3[Model-Input-Ref2],表格3[SRP PRICE])</f>
        <v>519</v>
      </c>
      <c r="T2383" s="43">
        <f>表格1[[#This Row],[Unit Price]]/表格1[[#This Row],[SRP]]</f>
        <v>0.82466281310211942</v>
      </c>
      <c r="U2383" s="86" t="str">
        <f>_xlfn.XLOOKUP(表格1[[#This Row],[Model]],表格3[Model-Input-Ref2],表格3[TOSHIBA/HIGHEST])</f>
        <v>Shops Highest Price</v>
      </c>
      <c r="W2383" s="86" t="str">
        <f>_xlfn.CONCAT(表格1[[#This Row],[欄4]],表格1[[#This Row],[inv no]])</f>
        <v>350598</v>
      </c>
    </row>
    <row r="2384" spans="1:23" hidden="1">
      <c r="A2384" s="81">
        <v>2382</v>
      </c>
      <c r="B2384" s="86" t="s">
        <v>1366</v>
      </c>
      <c r="C2384" s="86" t="s">
        <v>1852</v>
      </c>
      <c r="D2384" s="82" t="str">
        <f ca="1">OFFSET(Roster!$A$3,MATCH(表格1[[#This Row],[Location]]&amp;" "&amp;表格1[[#This Row],[Shop]]&amp;"*",Roster!$A$4:$A$72,0),DAY(表格1[[#This Row],[date]]),1,1)</f>
        <v>Maggie Yip</v>
      </c>
      <c r="E2384" s="86">
        <f>MONTH(表格1[[#This Row],[date]])</f>
        <v>3</v>
      </c>
      <c r="F2384" s="90">
        <v>46105</v>
      </c>
      <c r="G2384" s="86" t="str">
        <f>VLOOKUP("*"&amp;表格1[[#This Row],[Input]]&amp;"*",'Ref-List'!$B:$D,2,)</f>
        <v>KT-17SHNH</v>
      </c>
      <c r="H2384" s="86" t="str">
        <f>_xlfn.XLOOKUP(表格1[[#This Row],[Model]],表格3[Model-Input-Ref2],表格3[Product Line])</f>
        <v>1.7L無線雙層電熱水壺</v>
      </c>
      <c r="I2384" s="86" t="str">
        <f>_xlfn.XLOOKUP(表格1[[#This Row],[Model]],表格3[Model-Input-Ref2],表格3[大小電])</f>
        <v>細電</v>
      </c>
      <c r="J2384" s="86" t="str">
        <f>_xlfn.XLOOKUP(表格1[[#This Row],[Model]],表格3[Model-Input-Ref2],表格3[Code])</f>
        <v>SDA</v>
      </c>
      <c r="K2384" s="89" t="s">
        <v>1283</v>
      </c>
      <c r="L2384" s="86">
        <v>1</v>
      </c>
      <c r="M2384" s="87">
        <v>198</v>
      </c>
      <c r="N2384" s="85">
        <f>IFERROR(表格1[[#This Row],[QTY]]*表格1[[#This Row],[Unit Price]],"-")</f>
        <v>198</v>
      </c>
      <c r="O2384" s="86">
        <v>350643</v>
      </c>
      <c r="R2384" s="86" t="str">
        <f>_xlfn.CONCAT(表格1[[#This Row],[Model]]," ",表格1[[#This Row],[inv no]])</f>
        <v>KT-17SHNH 350643</v>
      </c>
      <c r="S2384" s="86">
        <f>_xlfn.XLOOKUP(表格1[[#This Row],[Model]],表格3[Model-Input-Ref2],表格3[SRP PRICE])</f>
        <v>299</v>
      </c>
      <c r="T2384" s="43">
        <f>表格1[[#This Row],[Unit Price]]/表格1[[#This Row],[SRP]]</f>
        <v>0.66220735785953178</v>
      </c>
      <c r="U2384" s="86" t="str">
        <f>_xlfn.XLOOKUP(表格1[[#This Row],[Model]],表格3[Model-Input-Ref2],表格3[TOSHIBA/HIGHEST])</f>
        <v>Shops Highest Price</v>
      </c>
      <c r="W2384" s="86" t="str">
        <f>_xlfn.CONCAT(表格1[[#This Row],[欄4]],表格1[[#This Row],[inv no]])</f>
        <v>350643</v>
      </c>
    </row>
    <row r="2385" spans="1:23" hidden="1">
      <c r="A2385" s="81">
        <v>2383</v>
      </c>
      <c r="B2385" s="86" t="s">
        <v>1366</v>
      </c>
      <c r="C2385" s="86" t="s">
        <v>1852</v>
      </c>
      <c r="D2385" s="82" t="str">
        <f ca="1">OFFSET(Roster!$A$3,MATCH(表格1[[#This Row],[Location]]&amp;" "&amp;表格1[[#This Row],[Shop]]&amp;"*",Roster!$A$4:$A$72,0),DAY(表格1[[#This Row],[date]]),1,1)</f>
        <v>Maggie Yip</v>
      </c>
      <c r="E2385" s="86">
        <f>MONTH(表格1[[#This Row],[date]])</f>
        <v>3</v>
      </c>
      <c r="F2385" s="90">
        <v>46108</v>
      </c>
      <c r="G2385" s="86" t="str">
        <f>VLOOKUP("*"&amp;表格1[[#This Row],[Input]]&amp;"*",'Ref-List'!$B:$D,2,)</f>
        <v>RC-5SLIH(W)</v>
      </c>
      <c r="H2385" s="86" t="str">
        <f>_xlfn.XLOOKUP(表格1[[#This Row],[Model]],表格3[Model-Input-Ref2],表格3[Product Line])</f>
        <v>微型電腦珍珠飯煲</v>
      </c>
      <c r="I2385" s="86" t="str">
        <f>_xlfn.XLOOKUP(表格1[[#This Row],[Model]],表格3[Model-Input-Ref2],表格3[大小電])</f>
        <v>細電</v>
      </c>
      <c r="J2385" s="86" t="str">
        <f>_xlfn.XLOOKUP(表格1[[#This Row],[Model]],表格3[Model-Input-Ref2],表格3[Code])</f>
        <v>SDA</v>
      </c>
      <c r="K2385" s="89" t="s">
        <v>1264</v>
      </c>
      <c r="L2385" s="86">
        <v>1</v>
      </c>
      <c r="M2385" s="87">
        <v>593</v>
      </c>
      <c r="N2385" s="85">
        <f>IFERROR(表格1[[#This Row],[QTY]]*表格1[[#This Row],[Unit Price]],"-")</f>
        <v>593</v>
      </c>
      <c r="O2385" s="86">
        <v>535173</v>
      </c>
      <c r="R2385" s="86" t="str">
        <f>_xlfn.CONCAT(表格1[[#This Row],[Model]]," ",表格1[[#This Row],[inv no]])</f>
        <v>RC-5SLIH(W) 535173</v>
      </c>
      <c r="S2385" s="86">
        <f>_xlfn.XLOOKUP(表格1[[#This Row],[Model]],表格3[Model-Input-Ref2],表格3[SRP PRICE])</f>
        <v>658</v>
      </c>
      <c r="T2385" s="43">
        <f>表格1[[#This Row],[Unit Price]]/表格1[[#This Row],[SRP]]</f>
        <v>0.90121580547112456</v>
      </c>
      <c r="U2385" s="86" t="str">
        <f>_xlfn.XLOOKUP(表格1[[#This Row],[Model]],表格3[Model-Input-Ref2],表格3[TOSHIBA/HIGHEST])</f>
        <v>Toshiba SRP</v>
      </c>
      <c r="W2385" s="86" t="str">
        <f>_xlfn.CONCAT(表格1[[#This Row],[欄4]],表格1[[#This Row],[inv no]])</f>
        <v>535173</v>
      </c>
    </row>
    <row r="2386" spans="1:23" hidden="1">
      <c r="A2386" s="81">
        <v>2384</v>
      </c>
      <c r="B2386" s="86" t="s">
        <v>1366</v>
      </c>
      <c r="C2386" s="86" t="s">
        <v>1852</v>
      </c>
      <c r="D2386" s="82" t="str">
        <f ca="1">OFFSET(Roster!$A$3,MATCH(表格1[[#This Row],[Location]]&amp;" "&amp;表格1[[#This Row],[Shop]]&amp;"*",Roster!$A$4:$A$72,0),DAY(表格1[[#This Row],[date]]),1,1)</f>
        <v>Maggie Yip</v>
      </c>
      <c r="E2386" s="86">
        <f>MONTH(表格1[[#This Row],[date]])</f>
        <v>3</v>
      </c>
      <c r="F2386" s="90">
        <v>46108</v>
      </c>
      <c r="G2386" s="86" t="str">
        <f>VLOOKUP("*"&amp;表格1[[#This Row],[Input]]&amp;"*",'Ref-List'!$B:$D,2,)</f>
        <v>RC-5SLIH(W)</v>
      </c>
      <c r="H2386" s="86" t="str">
        <f>_xlfn.XLOOKUP(表格1[[#This Row],[Model]],表格3[Model-Input-Ref2],表格3[Product Line])</f>
        <v>微型電腦珍珠飯煲</v>
      </c>
      <c r="I2386" s="86" t="str">
        <f>_xlfn.XLOOKUP(表格1[[#This Row],[Model]],表格3[Model-Input-Ref2],表格3[大小電])</f>
        <v>細電</v>
      </c>
      <c r="J2386" s="86" t="str">
        <f>_xlfn.XLOOKUP(表格1[[#This Row],[Model]],表格3[Model-Input-Ref2],表格3[Code])</f>
        <v>SDA</v>
      </c>
      <c r="K2386" s="89" t="s">
        <v>1264</v>
      </c>
      <c r="L2386" s="86">
        <v>1</v>
      </c>
      <c r="M2386" s="87">
        <v>593</v>
      </c>
      <c r="N2386" s="85">
        <f>IFERROR(表格1[[#This Row],[QTY]]*表格1[[#This Row],[Unit Price]],"-")</f>
        <v>593</v>
      </c>
      <c r="O2386" s="86">
        <v>535174</v>
      </c>
      <c r="R2386" s="86" t="str">
        <f>_xlfn.CONCAT(表格1[[#This Row],[Model]]," ",表格1[[#This Row],[inv no]])</f>
        <v>RC-5SLIH(W) 535174</v>
      </c>
      <c r="S2386" s="86">
        <f>_xlfn.XLOOKUP(表格1[[#This Row],[Model]],表格3[Model-Input-Ref2],表格3[SRP PRICE])</f>
        <v>658</v>
      </c>
      <c r="T2386" s="43">
        <f>表格1[[#This Row],[Unit Price]]/表格1[[#This Row],[SRP]]</f>
        <v>0.90121580547112456</v>
      </c>
      <c r="U2386" s="86" t="str">
        <f>_xlfn.XLOOKUP(表格1[[#This Row],[Model]],表格3[Model-Input-Ref2],表格3[TOSHIBA/HIGHEST])</f>
        <v>Toshiba SRP</v>
      </c>
      <c r="W2386" s="86" t="str">
        <f>_xlfn.CONCAT(表格1[[#This Row],[欄4]],表格1[[#This Row],[inv no]])</f>
        <v>535174</v>
      </c>
    </row>
    <row r="2387" spans="1:23" hidden="1">
      <c r="A2387" s="81">
        <v>2385</v>
      </c>
      <c r="B2387" s="86" t="s">
        <v>1366</v>
      </c>
      <c r="C2387" s="86" t="s">
        <v>1852</v>
      </c>
      <c r="D2387" s="82" t="str">
        <f ca="1">OFFSET(Roster!$A$3,MATCH(表格1[[#This Row],[Location]]&amp;" "&amp;表格1[[#This Row],[Shop]]&amp;"*",Roster!$A$4:$A$72,0),DAY(表格1[[#This Row],[date]]),1,1)</f>
        <v>Maggie Yip</v>
      </c>
      <c r="E2387" s="86">
        <f>MONTH(表格1[[#This Row],[date]])</f>
        <v>3</v>
      </c>
      <c r="F2387" s="90">
        <v>46108</v>
      </c>
      <c r="G2387" s="86" t="str">
        <f>VLOOKUP("*"&amp;表格1[[#This Row],[Input]]&amp;"*",'Ref-List'!$B:$D,2,)</f>
        <v>RC-18ISPH</v>
      </c>
      <c r="H2387" s="86" t="str">
        <f>_xlfn.XLOOKUP(表格1[[#This Row],[Model]],表格3[Model-Input-Ref2],表格3[Product Line])</f>
        <v>低醣磁應電飯煲1.8L</v>
      </c>
      <c r="I2387" s="86" t="str">
        <f>_xlfn.XLOOKUP(表格1[[#This Row],[Model]],表格3[Model-Input-Ref2],表格3[大小電])</f>
        <v>細電</v>
      </c>
      <c r="J2387" s="86" t="str">
        <f>_xlfn.XLOOKUP(表格1[[#This Row],[Model]],表格3[Model-Input-Ref2],表格3[Code])</f>
        <v>SDA</v>
      </c>
      <c r="K2387" s="89" t="s">
        <v>1281</v>
      </c>
      <c r="L2387" s="86">
        <v>1</v>
      </c>
      <c r="M2387" s="87">
        <v>898</v>
      </c>
      <c r="N2387" s="85">
        <f>IFERROR(表格1[[#This Row],[QTY]]*表格1[[#This Row],[Unit Price]],"-")</f>
        <v>898</v>
      </c>
      <c r="O2387" s="86">
        <v>535179</v>
      </c>
      <c r="R2387" s="86" t="str">
        <f>_xlfn.CONCAT(表格1[[#This Row],[Model]]," ",表格1[[#This Row],[inv no]])</f>
        <v>RC-18ISPH 535179</v>
      </c>
      <c r="S2387" s="86">
        <f>_xlfn.XLOOKUP(表格1[[#This Row],[Model]],表格3[Model-Input-Ref2],表格3[SRP PRICE])</f>
        <v>1436</v>
      </c>
      <c r="T2387" s="43">
        <f>表格1[[#This Row],[Unit Price]]/表格1[[#This Row],[SRP]]</f>
        <v>0.62534818941504178</v>
      </c>
      <c r="U2387" s="86" t="str">
        <f>_xlfn.XLOOKUP(表格1[[#This Row],[Model]],表格3[Model-Input-Ref2],表格3[TOSHIBA/HIGHEST])</f>
        <v>Shops Highest Price</v>
      </c>
      <c r="W2387" s="86" t="str">
        <f>_xlfn.CONCAT(表格1[[#This Row],[欄4]],表格1[[#This Row],[inv no]])</f>
        <v>535179</v>
      </c>
    </row>
    <row r="2388" spans="1:23" hidden="1">
      <c r="A2388" s="81">
        <v>2386</v>
      </c>
      <c r="B2388" s="86" t="s">
        <v>1366</v>
      </c>
      <c r="C2388" s="86" t="s">
        <v>1852</v>
      </c>
      <c r="D2388" s="82" t="str">
        <f ca="1">OFFSET(Roster!$A$3,MATCH(表格1[[#This Row],[Location]]&amp;" "&amp;表格1[[#This Row],[Shop]]&amp;"*",Roster!$A$4:$A$72,0),DAY(表格1[[#This Row],[date]]),1,1)</f>
        <v>Maggie Yip</v>
      </c>
      <c r="E2388" s="86">
        <f>MONTH(表格1[[#This Row],[date]])</f>
        <v>3</v>
      </c>
      <c r="F2388" s="90">
        <v>46108</v>
      </c>
      <c r="G2388" s="86" t="str">
        <f>VLOOKUP("*"&amp;表格1[[#This Row],[Input]]&amp;"*",'Ref-List'!$B:$D,2,)</f>
        <v>RC-5MMIH(WT)</v>
      </c>
      <c r="H2388" s="86" t="str">
        <f>_xlfn.XLOOKUP(表格1[[#This Row],[Model]],表格3[Model-Input-Ref2],表格3[Product Line])</f>
        <v>4毫米厚釜電飯煲0.54L</v>
      </c>
      <c r="I2388" s="86" t="str">
        <f>_xlfn.XLOOKUP(表格1[[#This Row],[Model]],表格3[Model-Input-Ref2],表格3[大小電])</f>
        <v>細電</v>
      </c>
      <c r="J2388" s="86" t="str">
        <f>_xlfn.XLOOKUP(表格1[[#This Row],[Model]],表格3[Model-Input-Ref2],表格3[Code])</f>
        <v>SDA</v>
      </c>
      <c r="K2388" s="89" t="s">
        <v>1195</v>
      </c>
      <c r="L2388" s="86">
        <v>1</v>
      </c>
      <c r="M2388" s="87">
        <v>557</v>
      </c>
      <c r="N2388" s="85">
        <f>IFERROR(表格1[[#This Row],[QTY]]*表格1[[#This Row],[Unit Price]],"-")</f>
        <v>557</v>
      </c>
      <c r="O2388" s="142" t="s">
        <v>1856</v>
      </c>
      <c r="R2388" s="86" t="str">
        <f>_xlfn.CONCAT(表格1[[#This Row],[Model]]," ",表格1[[#This Row],[inv no]])</f>
        <v>RC-5MMIH(WT) 031428</v>
      </c>
      <c r="S2388" s="86">
        <f>_xlfn.XLOOKUP(表格1[[#This Row],[Model]],表格3[Model-Input-Ref2],表格3[SRP PRICE])</f>
        <v>618</v>
      </c>
      <c r="T2388" s="43">
        <f>表格1[[#This Row],[Unit Price]]/表格1[[#This Row],[SRP]]</f>
        <v>0.90129449838187703</v>
      </c>
      <c r="U2388" s="86" t="str">
        <f>_xlfn.XLOOKUP(表格1[[#This Row],[Model]],表格3[Model-Input-Ref2],表格3[TOSHIBA/HIGHEST])</f>
        <v>Toshiba SRP</v>
      </c>
      <c r="W2388" s="86" t="str">
        <f>_xlfn.CONCAT(表格1[[#This Row],[欄4]],表格1[[#This Row],[inv no]])</f>
        <v>031428</v>
      </c>
    </row>
    <row r="2389" spans="1:23" hidden="1">
      <c r="A2389" s="81">
        <v>2387</v>
      </c>
      <c r="B2389" s="86" t="s">
        <v>1366</v>
      </c>
      <c r="C2389" s="86" t="s">
        <v>1852</v>
      </c>
      <c r="D2389" s="82" t="str">
        <f ca="1">OFFSET(Roster!$A$3,MATCH(表格1[[#This Row],[Location]]&amp;" "&amp;表格1[[#This Row],[Shop]]&amp;"*",Roster!$A$4:$A$72,0),DAY(表格1[[#This Row],[date]]),1,1)</f>
        <v>Maggie Yip</v>
      </c>
      <c r="E2389" s="86">
        <f>MONTH(表格1[[#This Row],[date]])</f>
        <v>3</v>
      </c>
      <c r="F2389" s="90">
        <v>46108</v>
      </c>
      <c r="G2389" s="86" t="str">
        <f>VLOOKUP("*"&amp;表格1[[#This Row],[Input]]&amp;"*",'Ref-List'!$B:$D,2,)</f>
        <v>RC-5SLIH(W)</v>
      </c>
      <c r="H2389" s="86" t="str">
        <f>_xlfn.XLOOKUP(表格1[[#This Row],[Model]],表格3[Model-Input-Ref2],表格3[Product Line])</f>
        <v>微型電腦珍珠飯煲</v>
      </c>
      <c r="I2389" s="86" t="str">
        <f>_xlfn.XLOOKUP(表格1[[#This Row],[Model]],表格3[Model-Input-Ref2],表格3[大小電])</f>
        <v>細電</v>
      </c>
      <c r="J2389" s="86" t="str">
        <f>_xlfn.XLOOKUP(表格1[[#This Row],[Model]],表格3[Model-Input-Ref2],表格3[Code])</f>
        <v>SDA</v>
      </c>
      <c r="K2389" s="89" t="s">
        <v>1264</v>
      </c>
      <c r="L2389" s="86">
        <v>1</v>
      </c>
      <c r="M2389" s="87">
        <v>593</v>
      </c>
      <c r="N2389" s="85">
        <f>IFERROR(表格1[[#This Row],[QTY]]*表格1[[#This Row],[Unit Price]],"-")</f>
        <v>593</v>
      </c>
      <c r="O2389" s="86">
        <v>535347</v>
      </c>
      <c r="R2389" s="86" t="str">
        <f>_xlfn.CONCAT(表格1[[#This Row],[Model]]," ",表格1[[#This Row],[inv no]])</f>
        <v>RC-5SLIH(W) 535347</v>
      </c>
      <c r="S2389" s="86">
        <f>_xlfn.XLOOKUP(表格1[[#This Row],[Model]],表格3[Model-Input-Ref2],表格3[SRP PRICE])</f>
        <v>658</v>
      </c>
      <c r="T2389" s="43">
        <f>表格1[[#This Row],[Unit Price]]/表格1[[#This Row],[SRP]]</f>
        <v>0.90121580547112456</v>
      </c>
      <c r="U2389" s="86" t="str">
        <f>_xlfn.XLOOKUP(表格1[[#This Row],[Model]],表格3[Model-Input-Ref2],表格3[TOSHIBA/HIGHEST])</f>
        <v>Toshiba SRP</v>
      </c>
      <c r="W2389" s="86" t="str">
        <f>_xlfn.CONCAT(表格1[[#This Row],[欄4]],表格1[[#This Row],[inv no]])</f>
        <v>535347</v>
      </c>
    </row>
    <row r="2390" spans="1:23" hidden="1">
      <c r="A2390" s="81">
        <v>2388</v>
      </c>
      <c r="B2390" s="86" t="s">
        <v>1366</v>
      </c>
      <c r="C2390" s="86" t="s">
        <v>1852</v>
      </c>
      <c r="D2390" s="82" t="str">
        <f ca="1">OFFSET(Roster!$A$3,MATCH(表格1[[#This Row],[Location]]&amp;" "&amp;表格1[[#This Row],[Shop]]&amp;"*",Roster!$A$4:$A$72,0),DAY(表格1[[#This Row],[date]]),1,1)</f>
        <v>Maggie Yip</v>
      </c>
      <c r="E2390" s="86">
        <f>MONTH(表格1[[#This Row],[date]])</f>
        <v>3</v>
      </c>
      <c r="F2390" s="90">
        <v>46108</v>
      </c>
      <c r="G2390" s="86" t="str">
        <f>VLOOKUP("*"&amp;表格1[[#This Row],[Input]]&amp;"*",'Ref-List'!$B:$D,2,)</f>
        <v>PLK-45SFIH(WT)</v>
      </c>
      <c r="H2390" s="86" t="str">
        <f>_xlfn.XLOOKUP(表格1[[#This Row],[Model]],表格3[Model-Input-Ref2],表格3[Product Line])</f>
        <v>電熱水瓶4.5L</v>
      </c>
      <c r="I2390" s="86" t="str">
        <f>_xlfn.XLOOKUP(表格1[[#This Row],[Model]],表格3[Model-Input-Ref2],表格3[大小電])</f>
        <v>細電</v>
      </c>
      <c r="J2390" s="86" t="str">
        <f>_xlfn.XLOOKUP(表格1[[#This Row],[Model]],表格3[Model-Input-Ref2],表格3[Code])</f>
        <v>SDA</v>
      </c>
      <c r="K2390" s="89" t="s">
        <v>1117</v>
      </c>
      <c r="L2390" s="86">
        <v>1</v>
      </c>
      <c r="M2390" s="87">
        <v>589</v>
      </c>
      <c r="N2390" s="85">
        <f>IFERROR(表格1[[#This Row],[QTY]]*表格1[[#This Row],[Unit Price]],"-")</f>
        <v>589</v>
      </c>
      <c r="O2390" s="86">
        <v>351398</v>
      </c>
      <c r="R2390" s="86" t="str">
        <f>_xlfn.CONCAT(表格1[[#This Row],[Model]]," ",表格1[[#This Row],[inv no]])</f>
        <v>PLK-45SFIH(WT) 351398</v>
      </c>
      <c r="S2390" s="86">
        <f>_xlfn.XLOOKUP(表格1[[#This Row],[Model]],表格3[Model-Input-Ref2],表格3[SRP PRICE])</f>
        <v>788</v>
      </c>
      <c r="T2390" s="43">
        <f>表格1[[#This Row],[Unit Price]]/表格1[[#This Row],[SRP]]</f>
        <v>0.7474619289340102</v>
      </c>
      <c r="U2390" s="86" t="str">
        <f>_xlfn.XLOOKUP(表格1[[#This Row],[Model]],表格3[Model-Input-Ref2],表格3[TOSHIBA/HIGHEST])</f>
        <v>Toshiba SRP</v>
      </c>
      <c r="W2390" s="86" t="str">
        <f>_xlfn.CONCAT(表格1[[#This Row],[欄4]],表格1[[#This Row],[inv no]])</f>
        <v>351398</v>
      </c>
    </row>
    <row r="2391" spans="1:23" hidden="1">
      <c r="A2391" s="81">
        <v>2389</v>
      </c>
      <c r="B2391" s="86" t="s">
        <v>1366</v>
      </c>
      <c r="C2391" s="86" t="s">
        <v>1852</v>
      </c>
      <c r="D2391" s="82" t="str">
        <f ca="1">OFFSET(Roster!$A$3,MATCH(表格1[[#This Row],[Location]]&amp;" "&amp;表格1[[#This Row],[Shop]]&amp;"*",Roster!$A$4:$A$72,0),DAY(表格1[[#This Row],[date]]),1,1)</f>
        <v>Maggie Yip</v>
      </c>
      <c r="E2391" s="86">
        <f>MONTH(表格1[[#This Row],[date]])</f>
        <v>3</v>
      </c>
      <c r="F2391" s="90">
        <v>46108</v>
      </c>
      <c r="G2391" s="86" t="str">
        <f>VLOOKUP("*"&amp;表格1[[#This Row],[Input]]&amp;"*",'Ref-List'!$B:$D,2,)</f>
        <v>PLK-45SFIH(WT)</v>
      </c>
      <c r="H2391" s="86" t="str">
        <f>_xlfn.XLOOKUP(表格1[[#This Row],[Model]],表格3[Model-Input-Ref2],表格3[Product Line])</f>
        <v>電熱水瓶4.5L</v>
      </c>
      <c r="I2391" s="86" t="str">
        <f>_xlfn.XLOOKUP(表格1[[#This Row],[Model]],表格3[Model-Input-Ref2],表格3[大小電])</f>
        <v>細電</v>
      </c>
      <c r="J2391" s="86" t="str">
        <f>_xlfn.XLOOKUP(表格1[[#This Row],[Model]],表格3[Model-Input-Ref2],表格3[Code])</f>
        <v>SDA</v>
      </c>
      <c r="K2391" s="89" t="s">
        <v>1117</v>
      </c>
      <c r="L2391" s="86">
        <v>1</v>
      </c>
      <c r="M2391" s="87">
        <v>589</v>
      </c>
      <c r="N2391" s="85">
        <f>IFERROR(表格1[[#This Row],[QTY]]*表格1[[#This Row],[Unit Price]],"-")</f>
        <v>589</v>
      </c>
      <c r="O2391" s="86">
        <v>535387</v>
      </c>
      <c r="R2391" s="86" t="str">
        <f>_xlfn.CONCAT(表格1[[#This Row],[Model]]," ",表格1[[#This Row],[inv no]])</f>
        <v>PLK-45SFIH(WT) 535387</v>
      </c>
      <c r="S2391" s="86">
        <f>_xlfn.XLOOKUP(表格1[[#This Row],[Model]],表格3[Model-Input-Ref2],表格3[SRP PRICE])</f>
        <v>788</v>
      </c>
      <c r="T2391" s="43">
        <f>表格1[[#This Row],[Unit Price]]/表格1[[#This Row],[SRP]]</f>
        <v>0.7474619289340102</v>
      </c>
      <c r="U2391" s="86" t="str">
        <f>_xlfn.XLOOKUP(表格1[[#This Row],[Model]],表格3[Model-Input-Ref2],表格3[TOSHIBA/HIGHEST])</f>
        <v>Toshiba SRP</v>
      </c>
      <c r="W2391" s="86" t="str">
        <f>_xlfn.CONCAT(表格1[[#This Row],[欄4]],表格1[[#This Row],[inv no]])</f>
        <v>535387</v>
      </c>
    </row>
    <row r="2392" spans="1:23" hidden="1">
      <c r="A2392" s="81">
        <v>2390</v>
      </c>
      <c r="B2392" s="86" t="s">
        <v>1366</v>
      </c>
      <c r="C2392" s="86" t="s">
        <v>1852</v>
      </c>
      <c r="D2392" s="82" t="str">
        <f ca="1">OFFSET(Roster!$A$3,MATCH(表格1[[#This Row],[Location]]&amp;" "&amp;表格1[[#This Row],[Shop]]&amp;"*",Roster!$A$4:$A$72,0),DAY(表格1[[#This Row],[date]]),1,1)</f>
        <v>Maggie Yip</v>
      </c>
      <c r="E2392" s="86">
        <f>MONTH(表格1[[#This Row],[date]])</f>
        <v>3</v>
      </c>
      <c r="F2392" s="90">
        <v>46108</v>
      </c>
      <c r="G2392" s="86" t="str">
        <f>VLOOKUP("*"&amp;表格1[[#This Row],[Input]]&amp;"*",'Ref-List'!$B:$D,2,)</f>
        <v>RC-10NMFIH(WT)</v>
      </c>
      <c r="H2392" s="86" t="str">
        <f>_xlfn.XLOOKUP(表格1[[#This Row],[Model]],表格3[Model-Input-Ref2],表格3[Product Line])</f>
        <v>4毫米厚釜電飯煲1L</v>
      </c>
      <c r="I2392" s="86" t="str">
        <f>_xlfn.XLOOKUP(表格1[[#This Row],[Model]],表格3[Model-Input-Ref2],表格3[大小電])</f>
        <v>細電</v>
      </c>
      <c r="J2392" s="86" t="str">
        <f>_xlfn.XLOOKUP(表格1[[#This Row],[Model]],表格3[Model-Input-Ref2],表格3[Code])</f>
        <v>SDA</v>
      </c>
      <c r="K2392" s="89" t="s">
        <v>1244</v>
      </c>
      <c r="L2392" s="86">
        <v>1</v>
      </c>
      <c r="M2392" s="87">
        <v>719</v>
      </c>
      <c r="N2392" s="85">
        <f>IFERROR(表格1[[#This Row],[QTY]]*表格1[[#This Row],[Unit Price]],"-")</f>
        <v>719</v>
      </c>
      <c r="O2392" s="86">
        <v>351427</v>
      </c>
      <c r="R2392" s="86" t="str">
        <f>_xlfn.CONCAT(表格1[[#This Row],[Model]]," ",表格1[[#This Row],[inv no]])</f>
        <v>RC-10NMFIH(WT) 351427</v>
      </c>
      <c r="S2392" s="86">
        <f>_xlfn.XLOOKUP(表格1[[#This Row],[Model]],表格3[Model-Input-Ref2],表格3[SRP PRICE])</f>
        <v>898</v>
      </c>
      <c r="T2392" s="43">
        <f>表格1[[#This Row],[Unit Price]]/表格1[[#This Row],[SRP]]</f>
        <v>0.80066815144766146</v>
      </c>
      <c r="U2392" s="86" t="str">
        <f>_xlfn.XLOOKUP(表格1[[#This Row],[Model]],表格3[Model-Input-Ref2],表格3[TOSHIBA/HIGHEST])</f>
        <v>Toshiba SRP</v>
      </c>
      <c r="W2392" s="86" t="str">
        <f>_xlfn.CONCAT(表格1[[#This Row],[欄4]],表格1[[#This Row],[inv no]])</f>
        <v>351427</v>
      </c>
    </row>
    <row r="2393" spans="1:23" hidden="1">
      <c r="A2393" s="81">
        <v>2391</v>
      </c>
      <c r="B2393" s="86" t="s">
        <v>1366</v>
      </c>
      <c r="C2393" s="86" t="s">
        <v>1852</v>
      </c>
      <c r="D2393" s="82" t="str">
        <f ca="1">OFFSET(Roster!$A$3,MATCH(表格1[[#This Row],[Location]]&amp;" "&amp;表格1[[#This Row],[Shop]]&amp;"*",Roster!$A$4:$A$72,0),DAY(表格1[[#This Row],[date]]),1,1)</f>
        <v>Maggie Yip</v>
      </c>
      <c r="E2393" s="86">
        <f>MONTH(表格1[[#This Row],[date]])</f>
        <v>3</v>
      </c>
      <c r="F2393" s="90">
        <v>46109</v>
      </c>
      <c r="G2393" s="86" t="str">
        <f>VLOOKUP("*"&amp;表格1[[#This Row],[Input]]&amp;"*",'Ref-List'!$B:$D,2,)</f>
        <v>KT-17DRTHK(H)</v>
      </c>
      <c r="H2393" s="86" t="str">
        <f>_xlfn.XLOOKUP(表格1[[#This Row],[Model]],表格3[Model-Input-Ref2],表格3[Product Line])</f>
        <v>無線雙層電熱水壺(1.7公升)</v>
      </c>
      <c r="I2393" s="86" t="str">
        <f>_xlfn.XLOOKUP(表格1[[#This Row],[Model]],表格3[Model-Input-Ref2],表格3[大小電])</f>
        <v>細電</v>
      </c>
      <c r="J2393" s="86" t="str">
        <f>_xlfn.XLOOKUP(表格1[[#This Row],[Model]],表格3[Model-Input-Ref2],表格3[Code])</f>
        <v>SDA</v>
      </c>
      <c r="K2393" s="89" t="s">
        <v>1271</v>
      </c>
      <c r="L2393" s="86">
        <v>1</v>
      </c>
      <c r="M2393" s="87">
        <v>388</v>
      </c>
      <c r="N2393" s="85">
        <f>IFERROR(表格1[[#This Row],[QTY]]*表格1[[#This Row],[Unit Price]],"-")</f>
        <v>388</v>
      </c>
      <c r="O2393" s="86">
        <v>535682</v>
      </c>
      <c r="R2393" s="86" t="str">
        <f>_xlfn.CONCAT(表格1[[#This Row],[Model]]," ",表格1[[#This Row],[inv no]])</f>
        <v>KT-17DRTHK(H) 535682</v>
      </c>
      <c r="S2393" s="86">
        <f>_xlfn.XLOOKUP(表格1[[#This Row],[Model]],表格3[Model-Input-Ref2],表格3[SRP PRICE])</f>
        <v>498</v>
      </c>
      <c r="T2393" s="43">
        <f>表格1[[#This Row],[Unit Price]]/表格1[[#This Row],[SRP]]</f>
        <v>0.77911646586345384</v>
      </c>
      <c r="U2393" s="86" t="str">
        <f>_xlfn.XLOOKUP(表格1[[#This Row],[Model]],表格3[Model-Input-Ref2],表格3[TOSHIBA/HIGHEST])</f>
        <v>Toshiba SRP</v>
      </c>
      <c r="W2393" s="86" t="str">
        <f>_xlfn.CONCAT(表格1[[#This Row],[欄4]],表格1[[#This Row],[inv no]])</f>
        <v>535682</v>
      </c>
    </row>
    <row r="2394" spans="1:23" hidden="1">
      <c r="A2394" s="81">
        <v>2392</v>
      </c>
      <c r="B2394" s="86" t="s">
        <v>1366</v>
      </c>
      <c r="C2394" s="86" t="s">
        <v>1852</v>
      </c>
      <c r="D2394" s="82" t="str">
        <f ca="1">OFFSET(Roster!$A$3,MATCH(表格1[[#This Row],[Location]]&amp;" "&amp;表格1[[#This Row],[Shop]]&amp;"*",Roster!$A$4:$A$72,0),DAY(表格1[[#This Row],[date]]),1,1)</f>
        <v>Maggie Yip</v>
      </c>
      <c r="E2394" s="86">
        <f>MONTH(表格1[[#This Row],[date]])</f>
        <v>3</v>
      </c>
      <c r="F2394" s="90">
        <v>46109</v>
      </c>
      <c r="G2394" s="86" t="str">
        <f>VLOOKUP("*"&amp;表格1[[#This Row],[Input]]&amp;"*",'Ref-List'!$B:$D,2,)</f>
        <v>RC-5SLIH(W)</v>
      </c>
      <c r="H2394" s="86" t="str">
        <f>_xlfn.XLOOKUP(表格1[[#This Row],[Model]],表格3[Model-Input-Ref2],表格3[Product Line])</f>
        <v>微型電腦珍珠飯煲</v>
      </c>
      <c r="I2394" s="86" t="str">
        <f>_xlfn.XLOOKUP(表格1[[#This Row],[Model]],表格3[Model-Input-Ref2],表格3[大小電])</f>
        <v>細電</v>
      </c>
      <c r="J2394" s="86" t="str">
        <f>_xlfn.XLOOKUP(表格1[[#This Row],[Model]],表格3[Model-Input-Ref2],表格3[Code])</f>
        <v>SDA</v>
      </c>
      <c r="K2394" s="89" t="s">
        <v>1264</v>
      </c>
      <c r="L2394" s="86">
        <v>1</v>
      </c>
      <c r="M2394" s="87">
        <v>593</v>
      </c>
      <c r="N2394" s="85">
        <f>IFERROR(表格1[[#This Row],[QTY]]*表格1[[#This Row],[Unit Price]],"-")</f>
        <v>593</v>
      </c>
      <c r="O2394" s="86">
        <v>351722</v>
      </c>
      <c r="R2394" s="86" t="str">
        <f>_xlfn.CONCAT(表格1[[#This Row],[Model]]," ",表格1[[#This Row],[inv no]])</f>
        <v>RC-5SLIH(W) 351722</v>
      </c>
      <c r="S2394" s="86">
        <f>_xlfn.XLOOKUP(表格1[[#This Row],[Model]],表格3[Model-Input-Ref2],表格3[SRP PRICE])</f>
        <v>658</v>
      </c>
      <c r="T2394" s="43">
        <f>表格1[[#This Row],[Unit Price]]/表格1[[#This Row],[SRP]]</f>
        <v>0.90121580547112456</v>
      </c>
      <c r="U2394" s="86" t="str">
        <f>_xlfn.XLOOKUP(表格1[[#This Row],[Model]],表格3[Model-Input-Ref2],表格3[TOSHIBA/HIGHEST])</f>
        <v>Toshiba SRP</v>
      </c>
      <c r="W2394" s="86" t="str">
        <f>_xlfn.CONCAT(表格1[[#This Row],[欄4]],表格1[[#This Row],[inv no]])</f>
        <v>351722</v>
      </c>
    </row>
    <row r="2395" spans="1:23" hidden="1">
      <c r="A2395" s="81">
        <v>2393</v>
      </c>
      <c r="B2395" s="86" t="s">
        <v>1366</v>
      </c>
      <c r="C2395" s="86" t="s">
        <v>1852</v>
      </c>
      <c r="D2395" s="82" t="str">
        <f ca="1">OFFSET(Roster!$A$3,MATCH(表格1[[#This Row],[Location]]&amp;" "&amp;表格1[[#This Row],[Shop]]&amp;"*",Roster!$A$4:$A$72,0),DAY(表格1[[#This Row],[date]]),1,1)</f>
        <v>Maggie Yip</v>
      </c>
      <c r="E2395" s="86">
        <f>MONTH(表格1[[#This Row],[date]])</f>
        <v>3</v>
      </c>
      <c r="F2395" s="90">
        <v>46109</v>
      </c>
      <c r="G2395" s="86" t="str">
        <f>VLOOKUP("*"&amp;表格1[[#This Row],[Input]]&amp;"*",'Ref-List'!$B:$D,2,)</f>
        <v>PC-48DRSHK(K)</v>
      </c>
      <c r="H2395" s="86" t="str">
        <f>_xlfn.XLOOKUP(表格1[[#This Row],[Model]],表格3[Model-Input-Ref2],表格3[Product Line])</f>
        <v>電壓力鍋</v>
      </c>
      <c r="I2395" s="86" t="str">
        <f>_xlfn.XLOOKUP(表格1[[#This Row],[Model]],表格3[Model-Input-Ref2],表格3[大小電])</f>
        <v>細電</v>
      </c>
      <c r="J2395" s="86" t="str">
        <f>_xlfn.XLOOKUP(表格1[[#This Row],[Model]],表格3[Model-Input-Ref2],表格3[Code])</f>
        <v>SDA</v>
      </c>
      <c r="K2395" s="89" t="s">
        <v>1154</v>
      </c>
      <c r="L2395" s="86">
        <v>1</v>
      </c>
      <c r="M2395" s="87">
        <v>838</v>
      </c>
      <c r="N2395" s="85">
        <f>IFERROR(表格1[[#This Row],[QTY]]*表格1[[#This Row],[Unit Price]],"-")</f>
        <v>838</v>
      </c>
      <c r="O2395" s="86">
        <v>322660</v>
      </c>
      <c r="R2395" s="86" t="str">
        <f>_xlfn.CONCAT(表格1[[#This Row],[Model]]," ",表格1[[#This Row],[inv no]])</f>
        <v>PC-48DRSHK(K) 322660</v>
      </c>
      <c r="S2395" s="86">
        <f>_xlfn.XLOOKUP(表格1[[#This Row],[Model]],表格3[Model-Input-Ref2],表格3[SRP PRICE])</f>
        <v>1188</v>
      </c>
      <c r="T2395" s="43">
        <f>表格1[[#This Row],[Unit Price]]/表格1[[#This Row],[SRP]]</f>
        <v>0.70538720538720534</v>
      </c>
      <c r="U2395" s="86" t="str">
        <f>_xlfn.XLOOKUP(表格1[[#This Row],[Model]],表格3[Model-Input-Ref2],表格3[TOSHIBA/HIGHEST])</f>
        <v>Shops Highest Price</v>
      </c>
      <c r="W2395" s="86" t="str">
        <f>_xlfn.CONCAT(表格1[[#This Row],[欄4]],表格1[[#This Row],[inv no]])</f>
        <v>322660</v>
      </c>
    </row>
    <row r="2396" spans="1:23" hidden="1">
      <c r="A2396" s="81">
        <v>2394</v>
      </c>
      <c r="B2396" s="86" t="s">
        <v>1366</v>
      </c>
      <c r="C2396" s="86" t="s">
        <v>1852</v>
      </c>
      <c r="D2396" s="82" t="str">
        <f ca="1">OFFSET(Roster!$A$3,MATCH(表格1[[#This Row],[Location]]&amp;" "&amp;表格1[[#This Row],[Shop]]&amp;"*",Roster!$A$4:$A$72,0),DAY(表格1[[#This Row],[date]]),1,1)</f>
        <v>Maggie Yip</v>
      </c>
      <c r="E2396" s="86">
        <f>MONTH(表格1[[#This Row],[date]])</f>
        <v>3</v>
      </c>
      <c r="F2396" s="90">
        <v>46109</v>
      </c>
      <c r="G2396" s="86" t="str">
        <f>VLOOKUP("*"&amp;表格1[[#This Row],[Input]]&amp;"*",'Ref-List'!$B:$D,2,)</f>
        <v>KT-17DRTHK(H)</v>
      </c>
      <c r="H2396" s="86" t="str">
        <f>_xlfn.XLOOKUP(表格1[[#This Row],[Model]],表格3[Model-Input-Ref2],表格3[Product Line])</f>
        <v>無線雙層電熱水壺(1.7公升)</v>
      </c>
      <c r="I2396" s="86" t="str">
        <f>_xlfn.XLOOKUP(表格1[[#This Row],[Model]],表格3[Model-Input-Ref2],表格3[大小電])</f>
        <v>細電</v>
      </c>
      <c r="J2396" s="86" t="str">
        <f>_xlfn.XLOOKUP(表格1[[#This Row],[Model]],表格3[Model-Input-Ref2],表格3[Code])</f>
        <v>SDA</v>
      </c>
      <c r="K2396" s="89" t="s">
        <v>1271</v>
      </c>
      <c r="L2396" s="86">
        <v>1</v>
      </c>
      <c r="M2396" s="87">
        <v>388</v>
      </c>
      <c r="N2396" s="85">
        <f>IFERROR(表格1[[#This Row],[QTY]]*表格1[[#This Row],[Unit Price]],"-")</f>
        <v>388</v>
      </c>
      <c r="O2396" s="86">
        <v>536073</v>
      </c>
      <c r="R2396" s="86" t="str">
        <f>_xlfn.CONCAT(表格1[[#This Row],[Model]]," ",表格1[[#This Row],[inv no]])</f>
        <v>KT-17DRTHK(H) 536073</v>
      </c>
      <c r="S2396" s="86">
        <f>_xlfn.XLOOKUP(表格1[[#This Row],[Model]],表格3[Model-Input-Ref2],表格3[SRP PRICE])</f>
        <v>498</v>
      </c>
      <c r="T2396" s="43">
        <f>表格1[[#This Row],[Unit Price]]/表格1[[#This Row],[SRP]]</f>
        <v>0.77911646586345384</v>
      </c>
      <c r="U2396" s="86" t="str">
        <f>_xlfn.XLOOKUP(表格1[[#This Row],[Model]],表格3[Model-Input-Ref2],表格3[TOSHIBA/HIGHEST])</f>
        <v>Toshiba SRP</v>
      </c>
      <c r="W2396" s="86" t="str">
        <f>_xlfn.CONCAT(表格1[[#This Row],[欄4]],表格1[[#This Row],[inv no]])</f>
        <v>536073</v>
      </c>
    </row>
    <row r="2397" spans="1:23" hidden="1">
      <c r="A2397" s="81">
        <v>2395</v>
      </c>
      <c r="B2397" s="86" t="s">
        <v>1366</v>
      </c>
      <c r="C2397" s="86" t="s">
        <v>1852</v>
      </c>
      <c r="D2397" s="82" t="str">
        <f ca="1">OFFSET(Roster!$A$3,MATCH(表格1[[#This Row],[Location]]&amp;" "&amp;表格1[[#This Row],[Shop]]&amp;"*",Roster!$A$4:$A$72,0),DAY(表格1[[#This Row],[date]]),1,1)</f>
        <v>Maggie Yip</v>
      </c>
      <c r="E2397" s="86">
        <f>MONTH(表格1[[#This Row],[date]])</f>
        <v>3</v>
      </c>
      <c r="F2397" s="90">
        <v>46109</v>
      </c>
      <c r="G2397" s="86" t="str">
        <f>VLOOKUP("*"&amp;表格1[[#This Row],[Input]]&amp;"*",'Ref-List'!$B:$D,2,)</f>
        <v>F-LYA20(W)HKG</v>
      </c>
      <c r="H2397" s="86" t="str">
        <f>_xlfn.XLOOKUP(表格1[[#This Row],[Model]],表格3[Model-Input-Ref2],表格3[Product Line])</f>
        <v>12吋2合1座地座檯電風扇連遙控</v>
      </c>
      <c r="I2397" s="86" t="str">
        <f>_xlfn.XLOOKUP(表格1[[#This Row],[Model]],表格3[Model-Input-Ref2],表格3[大小電])</f>
        <v>細電</v>
      </c>
      <c r="J2397" s="86" t="str">
        <f>_xlfn.XLOOKUP(表格1[[#This Row],[Model]],表格3[Model-Input-Ref2],表格3[Code])</f>
        <v>EAD</v>
      </c>
      <c r="K2397" s="89" t="s">
        <v>1391</v>
      </c>
      <c r="L2397" s="86">
        <v>1</v>
      </c>
      <c r="M2397" s="87">
        <v>398</v>
      </c>
      <c r="N2397" s="85">
        <f>IFERROR(表格1[[#This Row],[QTY]]*表格1[[#This Row],[Unit Price]],"-")</f>
        <v>398</v>
      </c>
      <c r="O2397" s="86">
        <v>536152</v>
      </c>
      <c r="R2397" s="86" t="str">
        <f>_xlfn.CONCAT(表格1[[#This Row],[Model]]," ",表格1[[#This Row],[inv no]])</f>
        <v>F-LYA20(W)HKG 536152</v>
      </c>
      <c r="S2397" s="86">
        <f>_xlfn.XLOOKUP(表格1[[#This Row],[Model]],表格3[Model-Input-Ref2],表格3[SRP PRICE])</f>
        <v>988</v>
      </c>
      <c r="T2397" s="43">
        <f>表格1[[#This Row],[Unit Price]]/表格1[[#This Row],[SRP]]</f>
        <v>0.40283400809716602</v>
      </c>
      <c r="U2397" s="86" t="str">
        <f>_xlfn.XLOOKUP(表格1[[#This Row],[Model]],表格3[Model-Input-Ref2],表格3[TOSHIBA/HIGHEST])</f>
        <v>Toshiba SRP</v>
      </c>
      <c r="W2397" s="86" t="str">
        <f>_xlfn.CONCAT(表格1[[#This Row],[欄4]],表格1[[#This Row],[inv no]])</f>
        <v>536152</v>
      </c>
    </row>
    <row r="2398" spans="1:23" hidden="1">
      <c r="A2398" s="81">
        <v>2396</v>
      </c>
      <c r="B2398" s="86" t="s">
        <v>1366</v>
      </c>
      <c r="C2398" s="86" t="s">
        <v>1852</v>
      </c>
      <c r="D2398" s="82" t="str">
        <f ca="1">OFFSET(Roster!$A$3,MATCH(表格1[[#This Row],[Location]]&amp;" "&amp;表格1[[#This Row],[Shop]]&amp;"*",Roster!$A$4:$A$72,0),DAY(表格1[[#This Row],[date]]),1,1)</f>
        <v>Maggie Yip</v>
      </c>
      <c r="E2398" s="86">
        <f>MONTH(表格1[[#This Row],[date]])</f>
        <v>3</v>
      </c>
      <c r="F2398" s="90">
        <v>46110</v>
      </c>
      <c r="G2398" s="86" t="str">
        <f>VLOOKUP("*"&amp;表格1[[#This Row],[Input]]&amp;"*",'Ref-List'!$B:$D,2,)</f>
        <v>KT-17DRTHK(H)</v>
      </c>
      <c r="H2398" s="86" t="str">
        <f>_xlfn.XLOOKUP(表格1[[#This Row],[Model]],表格3[Model-Input-Ref2],表格3[Product Line])</f>
        <v>無線雙層電熱水壺(1.7公升)</v>
      </c>
      <c r="I2398" s="86" t="str">
        <f>_xlfn.XLOOKUP(表格1[[#This Row],[Model]],表格3[Model-Input-Ref2],表格3[大小電])</f>
        <v>細電</v>
      </c>
      <c r="J2398" s="86" t="str">
        <f>_xlfn.XLOOKUP(表格1[[#This Row],[Model]],表格3[Model-Input-Ref2],表格3[Code])</f>
        <v>SDA</v>
      </c>
      <c r="K2398" s="89" t="s">
        <v>1271</v>
      </c>
      <c r="L2398" s="86">
        <v>1</v>
      </c>
      <c r="M2398" s="87">
        <v>388</v>
      </c>
      <c r="N2398" s="85">
        <f>IFERROR(表格1[[#This Row],[QTY]]*表格1[[#This Row],[Unit Price]],"-")</f>
        <v>388</v>
      </c>
      <c r="O2398" s="86">
        <v>322840</v>
      </c>
      <c r="R2398" s="86" t="str">
        <f>_xlfn.CONCAT(表格1[[#This Row],[Model]]," ",表格1[[#This Row],[inv no]])</f>
        <v>KT-17DRTHK(H) 322840</v>
      </c>
      <c r="S2398" s="86">
        <f>_xlfn.XLOOKUP(表格1[[#This Row],[Model]],表格3[Model-Input-Ref2],表格3[SRP PRICE])</f>
        <v>498</v>
      </c>
      <c r="T2398" s="43">
        <f>表格1[[#This Row],[Unit Price]]/表格1[[#This Row],[SRP]]</f>
        <v>0.77911646586345384</v>
      </c>
      <c r="U2398" s="86" t="str">
        <f>_xlfn.XLOOKUP(表格1[[#This Row],[Model]],表格3[Model-Input-Ref2],表格3[TOSHIBA/HIGHEST])</f>
        <v>Toshiba SRP</v>
      </c>
      <c r="W2398" s="86" t="str">
        <f>_xlfn.CONCAT(表格1[[#This Row],[欄4]],表格1[[#This Row],[inv no]])</f>
        <v>322840</v>
      </c>
    </row>
    <row r="2399" spans="1:23" hidden="1">
      <c r="A2399" s="81">
        <v>2397</v>
      </c>
      <c r="B2399" s="86" t="s">
        <v>1366</v>
      </c>
      <c r="C2399" s="86" t="s">
        <v>1852</v>
      </c>
      <c r="D2399" s="82" t="str">
        <f ca="1">OFFSET(Roster!$A$3,MATCH(表格1[[#This Row],[Location]]&amp;" "&amp;表格1[[#This Row],[Shop]]&amp;"*",Roster!$A$4:$A$72,0),DAY(表格1[[#This Row],[date]]),1,1)</f>
        <v>Maggie Yip</v>
      </c>
      <c r="E2399" s="86">
        <f>MONTH(表格1[[#This Row],[date]])</f>
        <v>3</v>
      </c>
      <c r="F2399" s="90">
        <v>46110</v>
      </c>
      <c r="G2399" s="86" t="str">
        <f>VLOOKUP("*"&amp;表格1[[#This Row],[Input]]&amp;"*",'Ref-List'!$B:$D,2,)</f>
        <v>F-LYA20(W)HKG</v>
      </c>
      <c r="H2399" s="86" t="str">
        <f>_xlfn.XLOOKUP(表格1[[#This Row],[Model]],表格3[Model-Input-Ref2],表格3[Product Line])</f>
        <v>12吋2合1座地座檯電風扇連遙控</v>
      </c>
      <c r="I2399" s="86" t="str">
        <f>_xlfn.XLOOKUP(表格1[[#This Row],[Model]],表格3[Model-Input-Ref2],表格3[大小電])</f>
        <v>細電</v>
      </c>
      <c r="J2399" s="86" t="str">
        <f>_xlfn.XLOOKUP(表格1[[#This Row],[Model]],表格3[Model-Input-Ref2],表格3[Code])</f>
        <v>EAD</v>
      </c>
      <c r="K2399" s="89" t="s">
        <v>1391</v>
      </c>
      <c r="L2399" s="86">
        <v>1</v>
      </c>
      <c r="M2399" s="87">
        <v>398</v>
      </c>
      <c r="N2399" s="85">
        <f>IFERROR(表格1[[#This Row],[QTY]]*表格1[[#This Row],[Unit Price]],"-")</f>
        <v>398</v>
      </c>
      <c r="O2399" s="86">
        <v>322863</v>
      </c>
      <c r="R2399" s="86" t="str">
        <f>_xlfn.CONCAT(表格1[[#This Row],[Model]]," ",表格1[[#This Row],[inv no]])</f>
        <v>F-LYA20(W)HKG 322863</v>
      </c>
      <c r="S2399" s="86">
        <f>_xlfn.XLOOKUP(表格1[[#This Row],[Model]],表格3[Model-Input-Ref2],表格3[SRP PRICE])</f>
        <v>988</v>
      </c>
      <c r="T2399" s="43">
        <f>表格1[[#This Row],[Unit Price]]/表格1[[#This Row],[SRP]]</f>
        <v>0.40283400809716602</v>
      </c>
      <c r="U2399" s="86" t="str">
        <f>_xlfn.XLOOKUP(表格1[[#This Row],[Model]],表格3[Model-Input-Ref2],表格3[TOSHIBA/HIGHEST])</f>
        <v>Toshiba SRP</v>
      </c>
      <c r="W2399" s="86" t="str">
        <f>_xlfn.CONCAT(表格1[[#This Row],[欄4]],表格1[[#This Row],[inv no]])</f>
        <v>322863</v>
      </c>
    </row>
    <row r="2400" spans="1:23" hidden="1">
      <c r="A2400" s="81">
        <v>2398</v>
      </c>
      <c r="B2400" s="86" t="s">
        <v>1366</v>
      </c>
      <c r="C2400" s="86" t="s">
        <v>1852</v>
      </c>
      <c r="D2400" s="82" t="str">
        <f ca="1">OFFSET(Roster!$A$3,MATCH(表格1[[#This Row],[Location]]&amp;" "&amp;表格1[[#This Row],[Shop]]&amp;"*",Roster!$A$4:$A$72,0),DAY(表格1[[#This Row],[date]]),1,1)</f>
        <v>Maggie Yip</v>
      </c>
      <c r="E2400" s="86">
        <f>MONTH(表格1[[#This Row],[date]])</f>
        <v>3</v>
      </c>
      <c r="F2400" s="90">
        <v>46110</v>
      </c>
      <c r="G2400" s="86" t="str">
        <f>VLOOKUP("*"&amp;表格1[[#This Row],[Input]]&amp;"*",'Ref-List'!$B:$D,2,)</f>
        <v>KT-17SHNH</v>
      </c>
      <c r="H2400" s="86" t="str">
        <f>_xlfn.XLOOKUP(表格1[[#This Row],[Model]],表格3[Model-Input-Ref2],表格3[Product Line])</f>
        <v>1.7L無線雙層電熱水壺</v>
      </c>
      <c r="I2400" s="86" t="str">
        <f>_xlfn.XLOOKUP(表格1[[#This Row],[Model]],表格3[Model-Input-Ref2],表格3[大小電])</f>
        <v>細電</v>
      </c>
      <c r="J2400" s="86" t="str">
        <f>_xlfn.XLOOKUP(表格1[[#This Row],[Model]],表格3[Model-Input-Ref2],表格3[Code])</f>
        <v>SDA</v>
      </c>
      <c r="K2400" s="89" t="s">
        <v>1283</v>
      </c>
      <c r="L2400" s="86">
        <v>1</v>
      </c>
      <c r="M2400" s="87">
        <v>198</v>
      </c>
      <c r="N2400" s="85">
        <f>IFERROR(表格1[[#This Row],[QTY]]*表格1[[#This Row],[Unit Price]],"-")</f>
        <v>198</v>
      </c>
      <c r="O2400" s="86">
        <v>536375</v>
      </c>
      <c r="R2400" s="86" t="str">
        <f>_xlfn.CONCAT(表格1[[#This Row],[Model]]," ",表格1[[#This Row],[inv no]])</f>
        <v>KT-17SHNH 536375</v>
      </c>
      <c r="S2400" s="86">
        <f>_xlfn.XLOOKUP(表格1[[#This Row],[Model]],表格3[Model-Input-Ref2],表格3[SRP PRICE])</f>
        <v>299</v>
      </c>
      <c r="T2400" s="43">
        <f>表格1[[#This Row],[Unit Price]]/表格1[[#This Row],[SRP]]</f>
        <v>0.66220735785953178</v>
      </c>
      <c r="U2400" s="86" t="str">
        <f>_xlfn.XLOOKUP(表格1[[#This Row],[Model]],表格3[Model-Input-Ref2],表格3[TOSHIBA/HIGHEST])</f>
        <v>Shops Highest Price</v>
      </c>
      <c r="W2400" s="86" t="str">
        <f>_xlfn.CONCAT(表格1[[#This Row],[欄4]],表格1[[#This Row],[inv no]])</f>
        <v>536375</v>
      </c>
    </row>
    <row r="2401" spans="1:23" hidden="1">
      <c r="A2401" s="81">
        <v>2399</v>
      </c>
      <c r="B2401" s="86" t="s">
        <v>1366</v>
      </c>
      <c r="C2401" s="86" t="s">
        <v>1852</v>
      </c>
      <c r="D2401" s="82" t="str">
        <f ca="1">OFFSET(Roster!$A$3,MATCH(表格1[[#This Row],[Location]]&amp;" "&amp;表格1[[#This Row],[Shop]]&amp;"*",Roster!$A$4:$A$72,0),DAY(表格1[[#This Row],[date]]),1,1)</f>
        <v>Maggie Yip</v>
      </c>
      <c r="E2401" s="86">
        <f>MONTH(表格1[[#This Row],[date]])</f>
        <v>3</v>
      </c>
      <c r="F2401" s="90">
        <v>46110</v>
      </c>
      <c r="G2401" s="86" t="str">
        <f>VLOOKUP("*"&amp;表格1[[#This Row],[Input]]&amp;"*",'Ref-List'!$B:$D,2,)</f>
        <v>KT-17SHNH</v>
      </c>
      <c r="H2401" s="86" t="str">
        <f>_xlfn.XLOOKUP(表格1[[#This Row],[Model]],表格3[Model-Input-Ref2],表格3[Product Line])</f>
        <v>1.7L無線雙層電熱水壺</v>
      </c>
      <c r="I2401" s="86" t="str">
        <f>_xlfn.XLOOKUP(表格1[[#This Row],[Model]],表格3[Model-Input-Ref2],表格3[大小電])</f>
        <v>細電</v>
      </c>
      <c r="J2401" s="86" t="str">
        <f>_xlfn.XLOOKUP(表格1[[#This Row],[Model]],表格3[Model-Input-Ref2],表格3[Code])</f>
        <v>SDA</v>
      </c>
      <c r="K2401" s="89" t="s">
        <v>1283</v>
      </c>
      <c r="L2401" s="86">
        <v>1</v>
      </c>
      <c r="M2401" s="87">
        <v>198</v>
      </c>
      <c r="N2401" s="85">
        <f>IFERROR(表格1[[#This Row],[QTY]]*表格1[[#This Row],[Unit Price]],"-")</f>
        <v>198</v>
      </c>
      <c r="O2401" s="86">
        <v>322907</v>
      </c>
      <c r="R2401" s="86" t="str">
        <f>_xlfn.CONCAT(表格1[[#This Row],[Model]]," ",表格1[[#This Row],[inv no]])</f>
        <v>KT-17SHNH 322907</v>
      </c>
      <c r="S2401" s="86">
        <f>_xlfn.XLOOKUP(表格1[[#This Row],[Model]],表格3[Model-Input-Ref2],表格3[SRP PRICE])</f>
        <v>299</v>
      </c>
      <c r="T2401" s="43">
        <f>表格1[[#This Row],[Unit Price]]/表格1[[#This Row],[SRP]]</f>
        <v>0.66220735785953178</v>
      </c>
      <c r="U2401" s="86" t="str">
        <f>_xlfn.XLOOKUP(表格1[[#This Row],[Model]],表格3[Model-Input-Ref2],表格3[TOSHIBA/HIGHEST])</f>
        <v>Shops Highest Price</v>
      </c>
      <c r="W2401" s="86" t="str">
        <f>_xlfn.CONCAT(表格1[[#This Row],[欄4]],表格1[[#This Row],[inv no]])</f>
        <v>322907</v>
      </c>
    </row>
    <row r="2402" spans="1:23" hidden="1">
      <c r="A2402" s="81">
        <v>2400</v>
      </c>
      <c r="B2402" s="86" t="s">
        <v>1366</v>
      </c>
      <c r="C2402" s="86" t="s">
        <v>1852</v>
      </c>
      <c r="D2402" s="82" t="str">
        <f ca="1">OFFSET(Roster!$A$3,MATCH(表格1[[#This Row],[Location]]&amp;" "&amp;表格1[[#This Row],[Shop]]&amp;"*",Roster!$A$4:$A$72,0),DAY(表格1[[#This Row],[date]]),1,1)</f>
        <v>Maggie Yip</v>
      </c>
      <c r="E2402" s="86">
        <f>MONTH(表格1[[#This Row],[date]])</f>
        <v>3</v>
      </c>
      <c r="F2402" s="90">
        <v>46110</v>
      </c>
      <c r="G2402" s="86" t="str">
        <f>VLOOKUP("*"&amp;表格1[[#This Row],[Input]]&amp;"*",'Ref-List'!$B:$D,2,)</f>
        <v>TP-25DR2UHK(W)</v>
      </c>
      <c r="H2402" s="86" t="str">
        <f>_xlfn.XLOOKUP(表格1[[#This Row],[Model]],表格3[Model-Input-Ref2],表格3[Product Line])</f>
        <v>電熱水瓶 (2.5公升)</v>
      </c>
      <c r="I2402" s="86" t="str">
        <f>_xlfn.XLOOKUP(表格1[[#This Row],[Model]],表格3[Model-Input-Ref2],表格3[大小電])</f>
        <v>細電</v>
      </c>
      <c r="J2402" s="86" t="str">
        <f>_xlfn.XLOOKUP(表格1[[#This Row],[Model]],表格3[Model-Input-Ref2],表格3[Code])</f>
        <v>SDA</v>
      </c>
      <c r="K2402" s="89" t="s">
        <v>1285</v>
      </c>
      <c r="L2402" s="86">
        <v>1</v>
      </c>
      <c r="M2402" s="87">
        <v>398</v>
      </c>
      <c r="N2402" s="85">
        <f>IFERROR(表格1[[#This Row],[QTY]]*表格1[[#This Row],[Unit Price]],"-")</f>
        <v>398</v>
      </c>
      <c r="O2402" s="86">
        <v>536493</v>
      </c>
      <c r="R2402" s="86" t="str">
        <f>_xlfn.CONCAT(表格1[[#This Row],[Model]]," ",表格1[[#This Row],[inv no]])</f>
        <v>TP-25DR2UHK(W) 536493</v>
      </c>
      <c r="S2402" s="86">
        <f>_xlfn.XLOOKUP(表格1[[#This Row],[Model]],表格3[Model-Input-Ref2],表格3[SRP PRICE])</f>
        <v>538</v>
      </c>
      <c r="T2402" s="43">
        <f>表格1[[#This Row],[Unit Price]]/表格1[[#This Row],[SRP]]</f>
        <v>0.7397769516728625</v>
      </c>
      <c r="U2402" s="86" t="str">
        <f>_xlfn.XLOOKUP(表格1[[#This Row],[Model]],表格3[Model-Input-Ref2],表格3[TOSHIBA/HIGHEST])</f>
        <v>Toshiba SRP</v>
      </c>
      <c r="W2402" s="86" t="str">
        <f>_xlfn.CONCAT(表格1[[#This Row],[欄4]],表格1[[#This Row],[inv no]])</f>
        <v>536493</v>
      </c>
    </row>
    <row r="2403" spans="1:23" hidden="1">
      <c r="A2403" s="81">
        <v>2401</v>
      </c>
      <c r="B2403" s="86" t="s">
        <v>1366</v>
      </c>
      <c r="C2403" s="86" t="s">
        <v>1852</v>
      </c>
      <c r="D2403" s="82" t="str">
        <f ca="1">OFFSET(Roster!$A$3,MATCH(表格1[[#This Row],[Location]]&amp;" "&amp;表格1[[#This Row],[Shop]]&amp;"*",Roster!$A$4:$A$72,0),DAY(表格1[[#This Row],[date]]),1,1)</f>
        <v>Maggie Yip</v>
      </c>
      <c r="E2403" s="86">
        <f>MONTH(表格1[[#This Row],[date]])</f>
        <v>3</v>
      </c>
      <c r="F2403" s="90">
        <v>46110</v>
      </c>
      <c r="G2403" s="86" t="str">
        <f>VLOOKUP("*"&amp;表格1[[#This Row],[Input]]&amp;"*",'Ref-List'!$B:$D,2,)</f>
        <v>KT-17SHNH</v>
      </c>
      <c r="H2403" s="86" t="str">
        <f>_xlfn.XLOOKUP(表格1[[#This Row],[Model]],表格3[Model-Input-Ref2],表格3[Product Line])</f>
        <v>1.7L無線雙層電熱水壺</v>
      </c>
      <c r="I2403" s="86" t="str">
        <f>_xlfn.XLOOKUP(表格1[[#This Row],[Model]],表格3[Model-Input-Ref2],表格3[大小電])</f>
        <v>細電</v>
      </c>
      <c r="J2403" s="86" t="str">
        <f>_xlfn.XLOOKUP(表格1[[#This Row],[Model]],表格3[Model-Input-Ref2],表格3[Code])</f>
        <v>SDA</v>
      </c>
      <c r="K2403" s="89" t="s">
        <v>1283</v>
      </c>
      <c r="L2403" s="86">
        <v>1</v>
      </c>
      <c r="M2403" s="87">
        <v>198</v>
      </c>
      <c r="N2403" s="85">
        <f>IFERROR(表格1[[#This Row],[QTY]]*表格1[[#This Row],[Unit Price]],"-")</f>
        <v>198</v>
      </c>
      <c r="O2403" s="86">
        <v>323109</v>
      </c>
      <c r="R2403" s="86" t="str">
        <f>_xlfn.CONCAT(表格1[[#This Row],[Model]]," ",表格1[[#This Row],[inv no]])</f>
        <v>KT-17SHNH 323109</v>
      </c>
      <c r="S2403" s="86">
        <f>_xlfn.XLOOKUP(表格1[[#This Row],[Model]],表格3[Model-Input-Ref2],表格3[SRP PRICE])</f>
        <v>299</v>
      </c>
      <c r="T2403" s="43">
        <f>表格1[[#This Row],[Unit Price]]/表格1[[#This Row],[SRP]]</f>
        <v>0.66220735785953178</v>
      </c>
      <c r="U2403" s="86" t="str">
        <f>_xlfn.XLOOKUP(表格1[[#This Row],[Model]],表格3[Model-Input-Ref2],表格3[TOSHIBA/HIGHEST])</f>
        <v>Shops Highest Price</v>
      </c>
      <c r="W2403" s="86" t="str">
        <f>_xlfn.CONCAT(表格1[[#This Row],[欄4]],表格1[[#This Row],[inv no]])</f>
        <v>323109</v>
      </c>
    </row>
    <row r="2404" spans="1:23" hidden="1">
      <c r="A2404" s="81">
        <v>2402</v>
      </c>
      <c r="B2404" s="86" t="s">
        <v>1366</v>
      </c>
      <c r="C2404" s="86" t="s">
        <v>1852</v>
      </c>
      <c r="D2404" s="82" t="str">
        <f ca="1">OFFSET(Roster!$A$3,MATCH(表格1[[#This Row],[Location]]&amp;" "&amp;表格1[[#This Row],[Shop]]&amp;"*",Roster!$A$4:$A$72,0),DAY(表格1[[#This Row],[date]]),1,1)</f>
        <v>Maggie Yip</v>
      </c>
      <c r="E2404" s="86">
        <f>MONTH(表格1[[#This Row],[date]])</f>
        <v>3</v>
      </c>
      <c r="F2404" s="90">
        <v>46111</v>
      </c>
      <c r="G2404" s="86" t="str">
        <f>VLOOKUP("*"&amp;表格1[[#This Row],[Input]]&amp;"*",'Ref-List'!$B:$D,2,)</f>
        <v>RC-DR10T(W)</v>
      </c>
      <c r="H2404" s="86" t="str">
        <f>_xlfn.XLOOKUP(表格1[[#This Row],[Model]],表格3[Model-Input-Ref2],表格3[Product Line])</f>
        <v>IH磁應電飯煲</v>
      </c>
      <c r="I2404" s="86" t="str">
        <f>_xlfn.XLOOKUP(表格1[[#This Row],[Model]],表格3[Model-Input-Ref2],表格3[大小電])</f>
        <v>細電</v>
      </c>
      <c r="J2404" s="86" t="str">
        <f>_xlfn.XLOOKUP(表格1[[#This Row],[Model]],表格3[Model-Input-Ref2],表格3[Code])</f>
        <v>SDA</v>
      </c>
      <c r="K2404" s="89" t="s">
        <v>1294</v>
      </c>
      <c r="L2404" s="86">
        <v>1</v>
      </c>
      <c r="M2404" s="87">
        <v>2380</v>
      </c>
      <c r="N2404" s="85">
        <f>IFERROR(表格1[[#This Row],[QTY]]*表格1[[#This Row],[Unit Price]],"-")</f>
        <v>2380</v>
      </c>
      <c r="O2404" s="86">
        <v>352401</v>
      </c>
      <c r="R2404" s="86" t="str">
        <f>_xlfn.CONCAT(表格1[[#This Row],[Model]]," ",表格1[[#This Row],[inv no]])</f>
        <v>RC-DR10T(W) 352401</v>
      </c>
      <c r="S2404" s="86">
        <f>_xlfn.XLOOKUP(表格1[[#This Row],[Model]],表格3[Model-Input-Ref2],表格3[SRP PRICE])</f>
        <v>3188</v>
      </c>
      <c r="T2404" s="43">
        <f>表格1[[#This Row],[Unit Price]]/表格1[[#This Row],[SRP]]</f>
        <v>0.74654956085319946</v>
      </c>
      <c r="U2404" s="86" t="str">
        <f>_xlfn.XLOOKUP(表格1[[#This Row],[Model]],表格3[Model-Input-Ref2],表格3[TOSHIBA/HIGHEST])</f>
        <v>Toshiba SRP</v>
      </c>
      <c r="W2404" s="86" t="str">
        <f>_xlfn.CONCAT(表格1[[#This Row],[欄4]],表格1[[#This Row],[inv no]])</f>
        <v>352401</v>
      </c>
    </row>
    <row r="2405" spans="1:23" hidden="1">
      <c r="A2405" s="81">
        <v>2403</v>
      </c>
      <c r="B2405" s="86" t="s">
        <v>1366</v>
      </c>
      <c r="C2405" s="86" t="s">
        <v>1852</v>
      </c>
      <c r="D2405" s="82" t="str">
        <f ca="1">OFFSET(Roster!$A$3,MATCH(表格1[[#This Row],[Location]]&amp;" "&amp;表格1[[#This Row],[Shop]]&amp;"*",Roster!$A$4:$A$72,0),DAY(表格1[[#This Row],[date]]),1,1)</f>
        <v>Maggie Yip</v>
      </c>
      <c r="E2405" s="86">
        <f>MONTH(表格1[[#This Row],[date]])</f>
        <v>3</v>
      </c>
      <c r="F2405" s="90">
        <v>46111</v>
      </c>
      <c r="G2405" s="86" t="str">
        <f>VLOOKUP("*"&amp;表格1[[#This Row],[Input]]&amp;"*",'Ref-List'!$B:$D,2,)</f>
        <v>RC-18NMFIH(WT)</v>
      </c>
      <c r="H2405" s="86" t="str">
        <f>_xlfn.XLOOKUP(表格1[[#This Row],[Model]],表格3[Model-Input-Ref2],表格3[Product Line])</f>
        <v>4毫米厚釜電飯煲1.8L</v>
      </c>
      <c r="I2405" s="86" t="str">
        <f>_xlfn.XLOOKUP(表格1[[#This Row],[Model]],表格3[Model-Input-Ref2],表格3[大小電])</f>
        <v>細電</v>
      </c>
      <c r="J2405" s="86" t="str">
        <f>_xlfn.XLOOKUP(表格1[[#This Row],[Model]],表格3[Model-Input-Ref2],表格3[Code])</f>
        <v>SDA</v>
      </c>
      <c r="K2405" s="89" t="s">
        <v>1267</v>
      </c>
      <c r="L2405" s="86">
        <v>1</v>
      </c>
      <c r="M2405" s="87">
        <v>799</v>
      </c>
      <c r="N2405" s="85">
        <f>IFERROR(表格1[[#This Row],[QTY]]*表格1[[#This Row],[Unit Price]],"-")</f>
        <v>799</v>
      </c>
      <c r="O2405" s="86">
        <v>536872</v>
      </c>
      <c r="R2405" s="86" t="str">
        <f>_xlfn.CONCAT(表格1[[#This Row],[Model]]," ",表格1[[#This Row],[inv no]])</f>
        <v>RC-18NMFIH(WT) 536872</v>
      </c>
      <c r="S2405" s="86">
        <f>_xlfn.XLOOKUP(表格1[[#This Row],[Model]],表格3[Model-Input-Ref2],表格3[SRP PRICE])</f>
        <v>998</v>
      </c>
      <c r="T2405" s="43">
        <f>表格1[[#This Row],[Unit Price]]/表格1[[#This Row],[SRP]]</f>
        <v>0.80060120240480959</v>
      </c>
      <c r="U2405" s="86" t="str">
        <f>_xlfn.XLOOKUP(表格1[[#This Row],[Model]],表格3[Model-Input-Ref2],表格3[TOSHIBA/HIGHEST])</f>
        <v>Toshiba SRP</v>
      </c>
      <c r="W2405" s="86" t="str">
        <f>_xlfn.CONCAT(表格1[[#This Row],[欄4]],表格1[[#This Row],[inv no]])</f>
        <v>536872</v>
      </c>
    </row>
    <row r="2406" spans="1:23" hidden="1">
      <c r="A2406" s="81">
        <v>2404</v>
      </c>
      <c r="B2406" s="86" t="s">
        <v>1366</v>
      </c>
      <c r="C2406" s="86" t="s">
        <v>1852</v>
      </c>
      <c r="D2406" s="82" t="str">
        <f ca="1">OFFSET(Roster!$A$3,MATCH(表格1[[#This Row],[Location]]&amp;" "&amp;表格1[[#This Row],[Shop]]&amp;"*",Roster!$A$4:$A$72,0),DAY(表格1[[#This Row],[date]]),1,1)</f>
        <v>Maggie Yip</v>
      </c>
      <c r="E2406" s="86">
        <f>MONTH(表格1[[#This Row],[date]])</f>
        <v>3</v>
      </c>
      <c r="F2406" s="90">
        <v>46111</v>
      </c>
      <c r="G2406" s="86" t="str">
        <f>VLOOKUP("*"&amp;表格1[[#This Row],[Input]]&amp;"*",'Ref-List'!$B:$D,2,)</f>
        <v>RC-10BHH(W)</v>
      </c>
      <c r="H2406" s="86" t="str">
        <f>_xlfn.XLOOKUP(表格1[[#This Row],[Model]],表格3[Model-Input-Ref2],表格3[Product Line])</f>
        <v>酵活炊磁應電飯煲</v>
      </c>
      <c r="I2406" s="86" t="str">
        <f>_xlfn.XLOOKUP(表格1[[#This Row],[Model]],表格3[Model-Input-Ref2],表格3[大小電])</f>
        <v>細電</v>
      </c>
      <c r="J2406" s="86" t="str">
        <f>_xlfn.XLOOKUP(表格1[[#This Row],[Model]],表格3[Model-Input-Ref2],表格3[Code])</f>
        <v>SDA</v>
      </c>
      <c r="K2406" s="89" t="s">
        <v>1269</v>
      </c>
      <c r="L2406" s="86">
        <v>1</v>
      </c>
      <c r="M2406" s="87">
        <v>1888</v>
      </c>
      <c r="N2406" s="85">
        <f>IFERROR(表格1[[#This Row],[QTY]]*表格1[[#This Row],[Unit Price]],"-")</f>
        <v>1888</v>
      </c>
      <c r="O2406" s="86">
        <v>536919</v>
      </c>
      <c r="R2406" s="86" t="str">
        <f>_xlfn.CONCAT(表格1[[#This Row],[Model]]," ",表格1[[#This Row],[inv no]])</f>
        <v>RC-10BHH(W) 536919</v>
      </c>
      <c r="S2406" s="86">
        <f>_xlfn.XLOOKUP(表格1[[#This Row],[Model]],表格3[Model-Input-Ref2],表格3[SRP PRICE])</f>
        <v>2088</v>
      </c>
      <c r="T2406" s="43">
        <f>表格1[[#This Row],[Unit Price]]/表格1[[#This Row],[SRP]]</f>
        <v>0.90421455938697315</v>
      </c>
      <c r="U2406" s="86" t="str">
        <f>_xlfn.XLOOKUP(表格1[[#This Row],[Model]],表格3[Model-Input-Ref2],表格3[TOSHIBA/HIGHEST])</f>
        <v>Shops Highest Price</v>
      </c>
      <c r="W2406" s="86" t="str">
        <f>_xlfn.CONCAT(表格1[[#This Row],[欄4]],表格1[[#This Row],[inv no]])</f>
        <v>536919</v>
      </c>
    </row>
    <row r="2407" spans="1:23" hidden="1">
      <c r="A2407" s="81">
        <v>2405</v>
      </c>
      <c r="B2407" s="86" t="s">
        <v>1366</v>
      </c>
      <c r="C2407" s="86" t="s">
        <v>1852</v>
      </c>
      <c r="D2407" s="82" t="str">
        <f ca="1">OFFSET(Roster!$A$3,MATCH(表格1[[#This Row],[Location]]&amp;" "&amp;表格1[[#This Row],[Shop]]&amp;"*",Roster!$A$4:$A$72,0),DAY(表格1[[#This Row],[date]]),1,1)</f>
        <v>Maggie Yip</v>
      </c>
      <c r="E2407" s="86">
        <f>MONTH(表格1[[#This Row],[date]])</f>
        <v>3</v>
      </c>
      <c r="F2407" s="90">
        <v>46111</v>
      </c>
      <c r="G2407" s="86" t="str">
        <f>VLOOKUP("*"&amp;表格1[[#This Row],[Input]]&amp;"*",'Ref-List'!$B:$D,2,)</f>
        <v>RC-18AMXH(W)</v>
      </c>
      <c r="H2407" s="86" t="str">
        <f>_xlfn.XLOOKUP(表格1[[#This Row],[Model]],表格3[Model-Input-Ref2],表格3[Product Line])</f>
        <v>酵活炊電飯煲(1.8公升)</v>
      </c>
      <c r="I2407" s="86" t="str">
        <f>_xlfn.XLOOKUP(表格1[[#This Row],[Model]],表格3[Model-Input-Ref2],表格3[大小電])</f>
        <v>細電</v>
      </c>
      <c r="J2407" s="86" t="str">
        <f>_xlfn.XLOOKUP(表格1[[#This Row],[Model]],表格3[Model-Input-Ref2],表格3[Code])</f>
        <v>SDA</v>
      </c>
      <c r="K2407" s="89" t="s">
        <v>1362</v>
      </c>
      <c r="L2407" s="86">
        <v>1</v>
      </c>
      <c r="M2407" s="87">
        <v>990</v>
      </c>
      <c r="N2407" s="85">
        <f>IFERROR(表格1[[#This Row],[QTY]]*表格1[[#This Row],[Unit Price]],"-")</f>
        <v>990</v>
      </c>
      <c r="O2407" s="86">
        <v>352522</v>
      </c>
      <c r="R2407" s="86" t="str">
        <f>_xlfn.CONCAT(表格1[[#This Row],[Model]]," ",表格1[[#This Row],[inv no]])</f>
        <v>RC-18AMXH(W) 352522</v>
      </c>
      <c r="S2407" s="86">
        <f>_xlfn.XLOOKUP(表格1[[#This Row],[Model]],表格3[Model-Input-Ref2],表格3[SRP PRICE])</f>
        <v>1588</v>
      </c>
      <c r="T2407" s="43">
        <f>表格1[[#This Row],[Unit Price]]/表格1[[#This Row],[SRP]]</f>
        <v>0.62342569269521408</v>
      </c>
      <c r="U2407" s="86" t="str">
        <f>_xlfn.XLOOKUP(表格1[[#This Row],[Model]],表格3[Model-Input-Ref2],表格3[TOSHIBA/HIGHEST])</f>
        <v>Toshiba SRP</v>
      </c>
      <c r="W2407" s="86" t="str">
        <f>_xlfn.CONCAT(表格1[[#This Row],[欄4]],表格1[[#This Row],[inv no]])</f>
        <v>352522</v>
      </c>
    </row>
    <row r="2408" spans="1:23" hidden="1">
      <c r="A2408" s="81">
        <v>2406</v>
      </c>
      <c r="B2408" s="86" t="s">
        <v>1366</v>
      </c>
      <c r="C2408" s="86" t="s">
        <v>1852</v>
      </c>
      <c r="D2408" s="82" t="str">
        <f ca="1">OFFSET(Roster!$A$3,MATCH(表格1[[#This Row],[Location]]&amp;" "&amp;表格1[[#This Row],[Shop]]&amp;"*",Roster!$A$4:$A$72,0),DAY(表格1[[#This Row],[date]]),1,1)</f>
        <v>Maggie Yip</v>
      </c>
      <c r="E2408" s="86">
        <f>MONTH(表格1[[#This Row],[date]])</f>
        <v>3</v>
      </c>
      <c r="F2408" s="90">
        <v>46112</v>
      </c>
      <c r="G2408" s="86" t="str">
        <f>VLOOKUP("*"&amp;表格1[[#This Row],[Input]]&amp;"*",'Ref-List'!$B:$D,2,)</f>
        <v>RC-10IRPH</v>
      </c>
      <c r="H2408" s="86" t="str">
        <f>_xlfn.XLOOKUP(表格1[[#This Row],[Model]],表格3[Model-Input-Ref2],表格3[Product Line])</f>
        <v>低醣磁應電飯煲1L</v>
      </c>
      <c r="I2408" s="86" t="str">
        <f>_xlfn.XLOOKUP(表格1[[#This Row],[Model]],表格3[Model-Input-Ref2],表格3[大小電])</f>
        <v>細電</v>
      </c>
      <c r="J2408" s="86" t="str">
        <f>_xlfn.XLOOKUP(表格1[[#This Row],[Model]],表格3[Model-Input-Ref2],表格3[Code])</f>
        <v>SDA</v>
      </c>
      <c r="K2408" s="89" t="s">
        <v>1297</v>
      </c>
      <c r="L2408" s="86">
        <v>1</v>
      </c>
      <c r="M2408" s="87">
        <v>798</v>
      </c>
      <c r="N2408" s="85">
        <f>IFERROR(表格1[[#This Row],[QTY]]*表格1[[#This Row],[Unit Price]],"-")</f>
        <v>798</v>
      </c>
      <c r="O2408" s="86">
        <v>537248</v>
      </c>
      <c r="R2408" s="86" t="str">
        <f>_xlfn.CONCAT(表格1[[#This Row],[Model]]," ",表格1[[#This Row],[inv no]])</f>
        <v>RC-10IRPH 537248</v>
      </c>
      <c r="S2408" s="86">
        <f>_xlfn.XLOOKUP(表格1[[#This Row],[Model]],表格3[Model-Input-Ref2],表格3[SRP PRICE])</f>
        <v>1388</v>
      </c>
      <c r="T2408" s="43">
        <f>表格1[[#This Row],[Unit Price]]/表格1[[#This Row],[SRP]]</f>
        <v>0.5749279538904899</v>
      </c>
      <c r="U2408" s="86" t="str">
        <f>_xlfn.XLOOKUP(表格1[[#This Row],[Model]],表格3[Model-Input-Ref2],表格3[TOSHIBA/HIGHEST])</f>
        <v>Toshiba SRP</v>
      </c>
      <c r="W2408" s="86" t="str">
        <f>_xlfn.CONCAT(表格1[[#This Row],[欄4]],表格1[[#This Row],[inv no]])</f>
        <v>537248</v>
      </c>
    </row>
    <row r="2409" spans="1:23" hidden="1">
      <c r="A2409" s="81">
        <v>2407</v>
      </c>
      <c r="B2409" s="86" t="s">
        <v>1366</v>
      </c>
      <c r="C2409" s="86" t="s">
        <v>1852</v>
      </c>
      <c r="D2409" s="82" t="str">
        <f ca="1">OFFSET(Roster!$A$3,MATCH(表格1[[#This Row],[Location]]&amp;" "&amp;表格1[[#This Row],[Shop]]&amp;"*",Roster!$A$4:$A$72,0),DAY(表格1[[#This Row],[date]]),1,1)</f>
        <v>Maggie Yip</v>
      </c>
      <c r="E2409" s="86">
        <f>MONTH(表格1[[#This Row],[date]])</f>
        <v>3</v>
      </c>
      <c r="F2409" s="90">
        <v>46112</v>
      </c>
      <c r="G2409" s="86" t="str">
        <f>VLOOKUP("*"&amp;表格1[[#This Row],[Input]]&amp;"*",'Ref-List'!$B:$D,2,)</f>
        <v>RC-18AMXH(W)</v>
      </c>
      <c r="H2409" s="86" t="str">
        <f>_xlfn.XLOOKUP(表格1[[#This Row],[Model]],表格3[Model-Input-Ref2],表格3[Product Line])</f>
        <v>酵活炊電飯煲(1.8公升)</v>
      </c>
      <c r="I2409" s="86" t="str">
        <f>_xlfn.XLOOKUP(表格1[[#This Row],[Model]],表格3[Model-Input-Ref2],表格3[大小電])</f>
        <v>細電</v>
      </c>
      <c r="J2409" s="86" t="str">
        <f>_xlfn.XLOOKUP(表格1[[#This Row],[Model]],表格3[Model-Input-Ref2],表格3[Code])</f>
        <v>SDA</v>
      </c>
      <c r="K2409" s="89" t="s">
        <v>1362</v>
      </c>
      <c r="L2409" s="86">
        <v>1</v>
      </c>
      <c r="M2409" s="87">
        <v>990</v>
      </c>
      <c r="N2409" s="85">
        <f>IFERROR(表格1[[#This Row],[QTY]]*表格1[[#This Row],[Unit Price]],"-")</f>
        <v>990</v>
      </c>
      <c r="O2409" s="86">
        <v>352618</v>
      </c>
      <c r="R2409" s="86" t="str">
        <f>_xlfn.CONCAT(表格1[[#This Row],[Model]]," ",表格1[[#This Row],[inv no]])</f>
        <v>RC-18AMXH(W) 352618</v>
      </c>
      <c r="S2409" s="86">
        <f>_xlfn.XLOOKUP(表格1[[#This Row],[Model]],表格3[Model-Input-Ref2],表格3[SRP PRICE])</f>
        <v>1588</v>
      </c>
      <c r="T2409" s="43">
        <f>表格1[[#This Row],[Unit Price]]/表格1[[#This Row],[SRP]]</f>
        <v>0.62342569269521408</v>
      </c>
      <c r="U2409" s="86" t="str">
        <f>_xlfn.XLOOKUP(表格1[[#This Row],[Model]],表格3[Model-Input-Ref2],表格3[TOSHIBA/HIGHEST])</f>
        <v>Toshiba SRP</v>
      </c>
      <c r="W2409" s="86" t="str">
        <f>_xlfn.CONCAT(表格1[[#This Row],[欄4]],表格1[[#This Row],[inv no]])</f>
        <v>352618</v>
      </c>
    </row>
    <row r="2410" spans="1:23" hidden="1">
      <c r="A2410" s="81">
        <v>2408</v>
      </c>
      <c r="B2410" s="86" t="s">
        <v>1366</v>
      </c>
      <c r="C2410" s="86" t="s">
        <v>1852</v>
      </c>
      <c r="D2410" s="82" t="str">
        <f ca="1">OFFSET(Roster!$A$3,MATCH(表格1[[#This Row],[Location]]&amp;" "&amp;表格1[[#This Row],[Shop]]&amp;"*",Roster!$A$4:$A$72,0),DAY(表格1[[#This Row],[date]]),1,1)</f>
        <v>Maggie Yip</v>
      </c>
      <c r="E2410" s="86">
        <f>MONTH(表格1[[#This Row],[date]])</f>
        <v>3</v>
      </c>
      <c r="F2410" s="90">
        <v>46112</v>
      </c>
      <c r="G2410" s="86" t="str">
        <f>VLOOKUP("*"&amp;表格1[[#This Row],[Input]]&amp;"*",'Ref-List'!$B:$D,2,)</f>
        <v>TP-25DR2UHK(W)</v>
      </c>
      <c r="H2410" s="86" t="str">
        <f>_xlfn.XLOOKUP(表格1[[#This Row],[Model]],表格3[Model-Input-Ref2],表格3[Product Line])</f>
        <v>電熱水瓶 (2.5公升)</v>
      </c>
      <c r="I2410" s="86" t="str">
        <f>_xlfn.XLOOKUP(表格1[[#This Row],[Model]],表格3[Model-Input-Ref2],表格3[大小電])</f>
        <v>細電</v>
      </c>
      <c r="J2410" s="86" t="str">
        <f>_xlfn.XLOOKUP(表格1[[#This Row],[Model]],表格3[Model-Input-Ref2],表格3[Code])</f>
        <v>SDA</v>
      </c>
      <c r="K2410" s="89" t="s">
        <v>1285</v>
      </c>
      <c r="L2410" s="86">
        <v>1</v>
      </c>
      <c r="M2410" s="87">
        <v>398</v>
      </c>
      <c r="N2410" s="85">
        <f>IFERROR(表格1[[#This Row],[QTY]]*表格1[[#This Row],[Unit Price]],"-")</f>
        <v>398</v>
      </c>
      <c r="O2410" s="86">
        <v>352618</v>
      </c>
      <c r="R2410" s="86" t="str">
        <f>_xlfn.CONCAT(表格1[[#This Row],[Model]]," ",表格1[[#This Row],[inv no]])</f>
        <v>TP-25DR2UHK(W) 352618</v>
      </c>
      <c r="S2410" s="86">
        <f>_xlfn.XLOOKUP(表格1[[#This Row],[Model]],表格3[Model-Input-Ref2],表格3[SRP PRICE])</f>
        <v>538</v>
      </c>
      <c r="T2410" s="43">
        <f>表格1[[#This Row],[Unit Price]]/表格1[[#This Row],[SRP]]</f>
        <v>0.7397769516728625</v>
      </c>
      <c r="U2410" s="86" t="str">
        <f>_xlfn.XLOOKUP(表格1[[#This Row],[Model]],表格3[Model-Input-Ref2],表格3[TOSHIBA/HIGHEST])</f>
        <v>Toshiba SRP</v>
      </c>
      <c r="W2410" s="86" t="str">
        <f>_xlfn.CONCAT(表格1[[#This Row],[欄4]],表格1[[#This Row],[inv no]])</f>
        <v>352618</v>
      </c>
    </row>
    <row r="2411" spans="1:23" hidden="1">
      <c r="A2411" s="81">
        <v>2409</v>
      </c>
      <c r="B2411" s="86" t="s">
        <v>1366</v>
      </c>
      <c r="C2411" s="86" t="s">
        <v>1852</v>
      </c>
      <c r="D2411" s="82" t="str">
        <f ca="1">OFFSET(Roster!$A$3,MATCH(表格1[[#This Row],[Location]]&amp;" "&amp;表格1[[#This Row],[Shop]]&amp;"*",Roster!$A$4:$A$72,0),DAY(表格1[[#This Row],[date]]),1,1)</f>
        <v>Maggie Yip</v>
      </c>
      <c r="E2411" s="86">
        <f>MONTH(表格1[[#This Row],[date]])</f>
        <v>3</v>
      </c>
      <c r="F2411" s="90">
        <v>46112</v>
      </c>
      <c r="G2411" s="86" t="str">
        <f>VLOOKUP("*"&amp;表格1[[#This Row],[Input]]&amp;"*",'Ref-List'!$B:$D,2,)</f>
        <v>RC-5SLIH(W)</v>
      </c>
      <c r="H2411" s="86" t="str">
        <f>_xlfn.XLOOKUP(表格1[[#This Row],[Model]],表格3[Model-Input-Ref2],表格3[Product Line])</f>
        <v>微型電腦珍珠飯煲</v>
      </c>
      <c r="I2411" s="86" t="str">
        <f>_xlfn.XLOOKUP(表格1[[#This Row],[Model]],表格3[Model-Input-Ref2],表格3[大小電])</f>
        <v>細電</v>
      </c>
      <c r="J2411" s="86" t="str">
        <f>_xlfn.XLOOKUP(表格1[[#This Row],[Model]],表格3[Model-Input-Ref2],表格3[Code])</f>
        <v>SDA</v>
      </c>
      <c r="K2411" s="89" t="s">
        <v>1264</v>
      </c>
      <c r="L2411" s="86">
        <v>1</v>
      </c>
      <c r="M2411" s="87">
        <v>593</v>
      </c>
      <c r="N2411" s="85">
        <f>IFERROR(表格1[[#This Row],[QTY]]*表格1[[#This Row],[Unit Price]],"-")</f>
        <v>593</v>
      </c>
      <c r="O2411" s="86">
        <v>352627</v>
      </c>
      <c r="R2411" s="86" t="str">
        <f>_xlfn.CONCAT(表格1[[#This Row],[Model]]," ",表格1[[#This Row],[inv no]])</f>
        <v>RC-5SLIH(W) 352627</v>
      </c>
      <c r="S2411" s="86">
        <f>_xlfn.XLOOKUP(表格1[[#This Row],[Model]],表格3[Model-Input-Ref2],表格3[SRP PRICE])</f>
        <v>658</v>
      </c>
      <c r="T2411" s="43">
        <f>表格1[[#This Row],[Unit Price]]/表格1[[#This Row],[SRP]]</f>
        <v>0.90121580547112456</v>
      </c>
      <c r="U2411" s="86" t="str">
        <f>_xlfn.XLOOKUP(表格1[[#This Row],[Model]],表格3[Model-Input-Ref2],表格3[TOSHIBA/HIGHEST])</f>
        <v>Toshiba SRP</v>
      </c>
      <c r="W2411" s="86" t="str">
        <f>_xlfn.CONCAT(表格1[[#This Row],[欄4]],表格1[[#This Row],[inv no]])</f>
        <v>352627</v>
      </c>
    </row>
    <row r="2412" spans="1:23" hidden="1">
      <c r="A2412" s="81">
        <v>2410</v>
      </c>
      <c r="B2412" s="86" t="s">
        <v>1366</v>
      </c>
      <c r="C2412" s="86" t="s">
        <v>1852</v>
      </c>
      <c r="D2412" s="82" t="str">
        <f ca="1">OFFSET(Roster!$A$3,MATCH(表格1[[#This Row],[Location]]&amp;" "&amp;表格1[[#This Row],[Shop]]&amp;"*",Roster!$A$4:$A$72,0),DAY(表格1[[#This Row],[date]]),1,1)</f>
        <v>Maggie Yip</v>
      </c>
      <c r="E2412" s="86">
        <f>MONTH(表格1[[#This Row],[date]])</f>
        <v>3</v>
      </c>
      <c r="F2412" s="90">
        <v>46112</v>
      </c>
      <c r="G2412" s="86" t="str">
        <f>VLOOKUP("*"&amp;表格1[[#This Row],[Input]]&amp;"*",'Ref-List'!$B:$D,2,)</f>
        <v>PLK-45SFIH(WT)</v>
      </c>
      <c r="H2412" s="86" t="str">
        <f>_xlfn.XLOOKUP(表格1[[#This Row],[Model]],表格3[Model-Input-Ref2],表格3[Product Line])</f>
        <v>電熱水瓶4.5L</v>
      </c>
      <c r="I2412" s="86" t="str">
        <f>_xlfn.XLOOKUP(表格1[[#This Row],[Model]],表格3[Model-Input-Ref2],表格3[大小電])</f>
        <v>細電</v>
      </c>
      <c r="J2412" s="86" t="str">
        <f>_xlfn.XLOOKUP(表格1[[#This Row],[Model]],表格3[Model-Input-Ref2],表格3[Code])</f>
        <v>SDA</v>
      </c>
      <c r="K2412" s="89" t="s">
        <v>1117</v>
      </c>
      <c r="L2412" s="86">
        <v>1</v>
      </c>
      <c r="M2412" s="87">
        <v>589</v>
      </c>
      <c r="N2412" s="85">
        <f>IFERROR(表格1[[#This Row],[QTY]]*表格1[[#This Row],[Unit Price]],"-")</f>
        <v>589</v>
      </c>
      <c r="O2412" s="86">
        <v>323395</v>
      </c>
      <c r="R2412" s="86" t="str">
        <f>_xlfn.CONCAT(表格1[[#This Row],[Model]]," ",表格1[[#This Row],[inv no]])</f>
        <v>PLK-45SFIH(WT) 323395</v>
      </c>
      <c r="S2412" s="86">
        <f>_xlfn.XLOOKUP(表格1[[#This Row],[Model]],表格3[Model-Input-Ref2],表格3[SRP PRICE])</f>
        <v>788</v>
      </c>
      <c r="T2412" s="43">
        <f>表格1[[#This Row],[Unit Price]]/表格1[[#This Row],[SRP]]</f>
        <v>0.7474619289340102</v>
      </c>
      <c r="U2412" s="86" t="str">
        <f>_xlfn.XLOOKUP(表格1[[#This Row],[Model]],表格3[Model-Input-Ref2],表格3[TOSHIBA/HIGHEST])</f>
        <v>Toshiba SRP</v>
      </c>
      <c r="W2412" s="86" t="str">
        <f>_xlfn.CONCAT(表格1[[#This Row],[欄4]],表格1[[#This Row],[inv no]])</f>
        <v>323395</v>
      </c>
    </row>
    <row r="2413" spans="1:23" hidden="1">
      <c r="A2413" s="81">
        <v>2411</v>
      </c>
      <c r="B2413" s="86" t="s">
        <v>1366</v>
      </c>
      <c r="C2413" s="86" t="s">
        <v>1852</v>
      </c>
      <c r="D2413" s="82" t="str">
        <f ca="1">OFFSET(Roster!$A$3,MATCH(表格1[[#This Row],[Location]]&amp;" "&amp;表格1[[#This Row],[Shop]]&amp;"*",Roster!$A$4:$A$72,0),DAY(表格1[[#This Row],[date]]),1,1)</f>
        <v>Maggie Yip</v>
      </c>
      <c r="E2413" s="86">
        <f>MONTH(表格1[[#This Row],[date]])</f>
        <v>3</v>
      </c>
      <c r="F2413" s="90">
        <v>46112</v>
      </c>
      <c r="G2413" s="86" t="str">
        <f>VLOOKUP("*"&amp;表格1[[#This Row],[Input]]&amp;"*",'Ref-List'!$B:$D,2,)</f>
        <v>RC-5MMIH(WT)</v>
      </c>
      <c r="H2413" s="86" t="str">
        <f>_xlfn.XLOOKUP(表格1[[#This Row],[Model]],表格3[Model-Input-Ref2],表格3[Product Line])</f>
        <v>4毫米厚釜電飯煲0.54L</v>
      </c>
      <c r="I2413" s="86" t="str">
        <f>_xlfn.XLOOKUP(表格1[[#This Row],[Model]],表格3[Model-Input-Ref2],表格3[大小電])</f>
        <v>細電</v>
      </c>
      <c r="J2413" s="86" t="str">
        <f>_xlfn.XLOOKUP(表格1[[#This Row],[Model]],表格3[Model-Input-Ref2],表格3[Code])</f>
        <v>SDA</v>
      </c>
      <c r="K2413" s="89" t="s">
        <v>1195</v>
      </c>
      <c r="L2413" s="86">
        <v>1</v>
      </c>
      <c r="M2413" s="87">
        <v>557</v>
      </c>
      <c r="N2413" s="85">
        <f>IFERROR(表格1[[#This Row],[QTY]]*表格1[[#This Row],[Unit Price]],"-")</f>
        <v>557</v>
      </c>
      <c r="O2413" s="86">
        <v>352699</v>
      </c>
      <c r="R2413" s="86" t="str">
        <f>_xlfn.CONCAT(表格1[[#This Row],[Model]]," ",表格1[[#This Row],[inv no]])</f>
        <v>RC-5MMIH(WT) 352699</v>
      </c>
      <c r="S2413" s="86">
        <f>_xlfn.XLOOKUP(表格1[[#This Row],[Model]],表格3[Model-Input-Ref2],表格3[SRP PRICE])</f>
        <v>618</v>
      </c>
      <c r="T2413" s="43">
        <f>表格1[[#This Row],[Unit Price]]/表格1[[#This Row],[SRP]]</f>
        <v>0.90129449838187703</v>
      </c>
      <c r="U2413" s="86" t="str">
        <f>_xlfn.XLOOKUP(表格1[[#This Row],[Model]],表格3[Model-Input-Ref2],表格3[TOSHIBA/HIGHEST])</f>
        <v>Toshiba SRP</v>
      </c>
      <c r="W2413" s="86" t="str">
        <f>_xlfn.CONCAT(表格1[[#This Row],[欄4]],表格1[[#This Row],[inv no]])</f>
        <v>352699</v>
      </c>
    </row>
    <row r="2414" spans="1:23" hidden="1">
      <c r="A2414" s="81">
        <v>2412</v>
      </c>
      <c r="B2414" s="86" t="s">
        <v>1366</v>
      </c>
      <c r="C2414" s="86" t="s">
        <v>1852</v>
      </c>
      <c r="D2414" s="82" t="str">
        <f ca="1">OFFSET(Roster!$A$3,MATCH(表格1[[#This Row],[Location]]&amp;" "&amp;表格1[[#This Row],[Shop]]&amp;"*",Roster!$A$4:$A$72,0),DAY(表格1[[#This Row],[date]]),1,1)</f>
        <v>Maggie Yip</v>
      </c>
      <c r="E2414" s="86">
        <f>MONTH(表格1[[#This Row],[date]])</f>
        <v>3</v>
      </c>
      <c r="F2414" s="90">
        <v>46112</v>
      </c>
      <c r="G2414" s="86" t="str">
        <f>VLOOKUP("*"&amp;表格1[[#This Row],[Input]]&amp;"*",'Ref-List'!$B:$D,2,)</f>
        <v>RC-5MMIH(WT)</v>
      </c>
      <c r="H2414" s="86" t="str">
        <f>_xlfn.XLOOKUP(表格1[[#This Row],[Model]],表格3[Model-Input-Ref2],表格3[Product Line])</f>
        <v>4毫米厚釜電飯煲0.54L</v>
      </c>
      <c r="I2414" s="86" t="str">
        <f>_xlfn.XLOOKUP(表格1[[#This Row],[Model]],表格3[Model-Input-Ref2],表格3[大小電])</f>
        <v>細電</v>
      </c>
      <c r="J2414" s="86" t="str">
        <f>_xlfn.XLOOKUP(表格1[[#This Row],[Model]],表格3[Model-Input-Ref2],表格3[Code])</f>
        <v>SDA</v>
      </c>
      <c r="K2414" s="89" t="s">
        <v>1195</v>
      </c>
      <c r="L2414" s="86">
        <v>1</v>
      </c>
      <c r="M2414" s="87">
        <v>557</v>
      </c>
      <c r="N2414" s="85">
        <f>IFERROR(表格1[[#This Row],[QTY]]*表格1[[#This Row],[Unit Price]],"-")</f>
        <v>557</v>
      </c>
      <c r="O2414" s="86">
        <v>352710</v>
      </c>
      <c r="R2414" s="86" t="str">
        <f>_xlfn.CONCAT(表格1[[#This Row],[Model]]," ",表格1[[#This Row],[inv no]])</f>
        <v>RC-5MMIH(WT) 352710</v>
      </c>
      <c r="S2414" s="86">
        <f>_xlfn.XLOOKUP(表格1[[#This Row],[Model]],表格3[Model-Input-Ref2],表格3[SRP PRICE])</f>
        <v>618</v>
      </c>
      <c r="T2414" s="43">
        <f>表格1[[#This Row],[Unit Price]]/表格1[[#This Row],[SRP]]</f>
        <v>0.90129449838187703</v>
      </c>
      <c r="U2414" s="86" t="str">
        <f>_xlfn.XLOOKUP(表格1[[#This Row],[Model]],表格3[Model-Input-Ref2],表格3[TOSHIBA/HIGHEST])</f>
        <v>Toshiba SRP</v>
      </c>
      <c r="W2414" s="86" t="str">
        <f>_xlfn.CONCAT(表格1[[#This Row],[欄4]],表格1[[#This Row],[inv no]])</f>
        <v>352710</v>
      </c>
    </row>
    <row r="2415" spans="1:23" hidden="1">
      <c r="A2415" s="81">
        <v>2413</v>
      </c>
      <c r="B2415" s="86" t="s">
        <v>1366</v>
      </c>
      <c r="C2415" s="86" t="s">
        <v>1852</v>
      </c>
      <c r="D2415" s="82" t="str">
        <f ca="1">OFFSET(Roster!$A$3,MATCH(表格1[[#This Row],[Location]]&amp;" "&amp;表格1[[#This Row],[Shop]]&amp;"*",Roster!$A$4:$A$72,0),DAY(表格1[[#This Row],[date]]),1,1)</f>
        <v>Maggie Yip</v>
      </c>
      <c r="E2415" s="86">
        <f>MONTH(表格1[[#This Row],[date]])</f>
        <v>3</v>
      </c>
      <c r="F2415" s="90">
        <v>46112</v>
      </c>
      <c r="G2415" s="86" t="str">
        <f>VLOOKUP("*"&amp;表格1[[#This Row],[Input]]&amp;"*",'Ref-List'!$B:$D,2,)</f>
        <v>DW-05T2-HK</v>
      </c>
      <c r="H2415" s="86" t="str">
        <f>_xlfn.XLOOKUP(表格1[[#This Row],[Model]],表格3[Model-Input-Ref2],表格3[Product Line])</f>
        <v>座檯式洗碗碟機</v>
      </c>
      <c r="I2415" s="86" t="str">
        <f>_xlfn.XLOOKUP(表格1[[#This Row],[Model]],表格3[Model-Input-Ref2],表格3[大小電])</f>
        <v>細電</v>
      </c>
      <c r="J2415" s="86" t="str">
        <f>_xlfn.XLOOKUP(表格1[[#This Row],[Model]],表格3[Model-Input-Ref2],表格3[Code])</f>
        <v>DW</v>
      </c>
      <c r="K2415" s="89" t="s">
        <v>1475</v>
      </c>
      <c r="L2415" s="86">
        <v>1</v>
      </c>
      <c r="M2415" s="87">
        <v>3980</v>
      </c>
      <c r="N2415" s="85">
        <f>IFERROR(表格1[[#This Row],[QTY]]*表格1[[#This Row],[Unit Price]],"-")</f>
        <v>3980</v>
      </c>
      <c r="O2415" s="86">
        <v>537321</v>
      </c>
      <c r="R2415" s="86" t="str">
        <f>_xlfn.CONCAT(表格1[[#This Row],[Model]]," ",表格1[[#This Row],[inv no]])</f>
        <v>DW-05T2-HK 537321</v>
      </c>
      <c r="S2415" s="86">
        <f>_xlfn.XLOOKUP(表格1[[#This Row],[Model]],表格3[Model-Input-Ref2],表格3[SRP PRICE])</f>
        <v>4580</v>
      </c>
      <c r="T2415" s="43">
        <f>表格1[[#This Row],[Unit Price]]/表格1[[#This Row],[SRP]]</f>
        <v>0.86899563318777295</v>
      </c>
      <c r="U2415" s="86" t="str">
        <f>_xlfn.XLOOKUP(表格1[[#This Row],[Model]],表格3[Model-Input-Ref2],表格3[TOSHIBA/HIGHEST])</f>
        <v>Toshiba SRP</v>
      </c>
      <c r="W2415" s="86" t="str">
        <f>_xlfn.CONCAT(表格1[[#This Row],[欄4]],表格1[[#This Row],[inv no]])</f>
        <v>537321</v>
      </c>
    </row>
    <row r="2416" spans="1:23" hidden="1">
      <c r="A2416" s="81">
        <v>2414</v>
      </c>
      <c r="B2416" s="86" t="s">
        <v>1366</v>
      </c>
      <c r="C2416" s="86" t="s">
        <v>1852</v>
      </c>
      <c r="D2416" s="82" t="str">
        <f ca="1">OFFSET(Roster!$A$3,MATCH(表格1[[#This Row],[Location]]&amp;" "&amp;表格1[[#This Row],[Shop]]&amp;"*",Roster!$A$4:$A$72,0),DAY(表格1[[#This Row],[date]]),1,1)</f>
        <v>Maggie Yip</v>
      </c>
      <c r="E2416" s="86">
        <f>MONTH(表格1[[#This Row],[date]])</f>
        <v>3</v>
      </c>
      <c r="F2416" s="90">
        <v>46112</v>
      </c>
      <c r="G2416" s="86" t="str">
        <f>VLOOKUP("*"&amp;表格1[[#This Row],[Input]]&amp;"*",'Ref-List'!$B:$D,2,)</f>
        <v>KT-17SHNH</v>
      </c>
      <c r="H2416" s="86" t="str">
        <f>_xlfn.XLOOKUP(表格1[[#This Row],[Model]],表格3[Model-Input-Ref2],表格3[Product Line])</f>
        <v>1.7L無線雙層電熱水壺</v>
      </c>
      <c r="I2416" s="86" t="str">
        <f>_xlfn.XLOOKUP(表格1[[#This Row],[Model]],表格3[Model-Input-Ref2],表格3[大小電])</f>
        <v>細電</v>
      </c>
      <c r="J2416" s="86" t="str">
        <f>_xlfn.XLOOKUP(表格1[[#This Row],[Model]],表格3[Model-Input-Ref2],表格3[Code])</f>
        <v>SDA</v>
      </c>
      <c r="K2416" s="89" t="s">
        <v>1283</v>
      </c>
      <c r="L2416" s="86">
        <v>1</v>
      </c>
      <c r="M2416" s="87">
        <v>198</v>
      </c>
      <c r="N2416" s="85">
        <f>IFERROR(表格1[[#This Row],[QTY]]*表格1[[#This Row],[Unit Price]],"-")</f>
        <v>198</v>
      </c>
      <c r="O2416" s="86">
        <v>323453</v>
      </c>
      <c r="R2416" s="86" t="str">
        <f>_xlfn.CONCAT(表格1[[#This Row],[Model]]," ",表格1[[#This Row],[inv no]])</f>
        <v>KT-17SHNH 323453</v>
      </c>
      <c r="S2416" s="86">
        <f>_xlfn.XLOOKUP(表格1[[#This Row],[Model]],表格3[Model-Input-Ref2],表格3[SRP PRICE])</f>
        <v>299</v>
      </c>
      <c r="T2416" s="43">
        <f>表格1[[#This Row],[Unit Price]]/表格1[[#This Row],[SRP]]</f>
        <v>0.66220735785953178</v>
      </c>
      <c r="U2416" s="86" t="str">
        <f>_xlfn.XLOOKUP(表格1[[#This Row],[Model]],表格3[Model-Input-Ref2],表格3[TOSHIBA/HIGHEST])</f>
        <v>Shops Highest Price</v>
      </c>
      <c r="W2416" s="86" t="str">
        <f>_xlfn.CONCAT(表格1[[#This Row],[欄4]],表格1[[#This Row],[inv no]])</f>
        <v>323453</v>
      </c>
    </row>
    <row r="2417" spans="1:23" hidden="1">
      <c r="A2417" s="81">
        <v>2415</v>
      </c>
      <c r="B2417" s="86" t="s">
        <v>1366</v>
      </c>
      <c r="C2417" s="86" t="s">
        <v>1852</v>
      </c>
      <c r="D2417" s="82" t="str">
        <f ca="1">OFFSET(Roster!$A$3,MATCH(表格1[[#This Row],[Location]]&amp;" "&amp;表格1[[#This Row],[Shop]]&amp;"*",Roster!$A$4:$A$72,0),DAY(表格1[[#This Row],[date]]),1,1)</f>
        <v>Maggie Yip</v>
      </c>
      <c r="E2417" s="86">
        <f>MONTH(表格1[[#This Row],[date]])</f>
        <v>3</v>
      </c>
      <c r="F2417" s="90">
        <v>46112</v>
      </c>
      <c r="G2417" s="86" t="str">
        <f>VLOOKUP("*"&amp;表格1[[#This Row],[Input]]&amp;"*",'Ref-List'!$B:$D,2,)</f>
        <v>RAD-D200H</v>
      </c>
      <c r="H2417" s="86" t="str">
        <f>_xlfn.XLOOKUP(表格1[[#This Row],[Model]],表格3[Model-Input-Ref2],表格3[Product Line])</f>
        <v>壓縮式抽濕機 (22公升)</v>
      </c>
      <c r="I2417" s="86" t="str">
        <f>_xlfn.XLOOKUP(表格1[[#This Row],[Model]],表格3[Model-Input-Ref2],表格3[大小電])</f>
        <v>細電</v>
      </c>
      <c r="J2417" s="86" t="str">
        <f>_xlfn.XLOOKUP(表格1[[#This Row],[Model]],表格3[Model-Input-Ref2],表格3[Code])</f>
        <v>RAC</v>
      </c>
      <c r="K2417" s="89" t="s">
        <v>1250</v>
      </c>
      <c r="L2417" s="86">
        <v>1</v>
      </c>
      <c r="M2417" s="87">
        <v>1980</v>
      </c>
      <c r="N2417" s="85">
        <f>IFERROR(表格1[[#This Row],[QTY]]*表格1[[#This Row],[Unit Price]],"-")</f>
        <v>1980</v>
      </c>
      <c r="O2417" s="86">
        <v>537421</v>
      </c>
      <c r="R2417" s="86" t="str">
        <f>_xlfn.CONCAT(表格1[[#This Row],[Model]]," ",表格1[[#This Row],[inv no]])</f>
        <v>RAD-D200H 537421</v>
      </c>
      <c r="S2417" s="86">
        <f>_xlfn.XLOOKUP(表格1[[#This Row],[Model]],表格3[Model-Input-Ref2],表格3[SRP PRICE])</f>
        <v>2880</v>
      </c>
      <c r="T2417" s="43">
        <f>表格1[[#This Row],[Unit Price]]/表格1[[#This Row],[SRP]]</f>
        <v>0.6875</v>
      </c>
      <c r="U2417" s="86" t="str">
        <f>_xlfn.XLOOKUP(表格1[[#This Row],[Model]],表格3[Model-Input-Ref2],表格3[TOSHIBA/HIGHEST])</f>
        <v>Shops Highest Price</v>
      </c>
      <c r="W2417" s="86" t="str">
        <f>_xlfn.CONCAT(表格1[[#This Row],[欄4]],表格1[[#This Row],[inv no]])</f>
        <v>537421</v>
      </c>
    </row>
    <row r="2418" spans="1:23" hidden="1">
      <c r="A2418" s="81">
        <v>2416</v>
      </c>
      <c r="B2418" s="86" t="s">
        <v>1366</v>
      </c>
      <c r="C2418" s="86" t="s">
        <v>1852</v>
      </c>
      <c r="D2418" s="82" t="str">
        <f ca="1">OFFSET(Roster!$A$3,MATCH(表格1[[#This Row],[Location]]&amp;" "&amp;表格1[[#This Row],[Shop]]&amp;"*",Roster!$A$4:$A$72,0),DAY(表格1[[#This Row],[date]]),1,1)</f>
        <v>Maggie Yip</v>
      </c>
      <c r="E2418" s="86">
        <f>MONTH(表格1[[#This Row],[date]])</f>
        <v>3</v>
      </c>
      <c r="F2418" s="90">
        <v>46112</v>
      </c>
      <c r="G2418" s="86" t="str">
        <f>VLOOKUP("*"&amp;表格1[[#This Row],[Input]]&amp;"*",'Ref-List'!$B:$D,2,)</f>
        <v>RC-10ISSHK(W)</v>
      </c>
      <c r="H2418" s="86" t="str">
        <f>_xlfn.XLOOKUP(表格1[[#This Row],[Model]],表格3[Model-Input-Ref2],表格3[Product Line])</f>
        <v>磁應電飯煲(1公升)</v>
      </c>
      <c r="I2418" s="86" t="str">
        <f>_xlfn.XLOOKUP(表格1[[#This Row],[Model]],表格3[Model-Input-Ref2],表格3[大小電])</f>
        <v>細電</v>
      </c>
      <c r="J2418" s="86" t="str">
        <f>_xlfn.XLOOKUP(表格1[[#This Row],[Model]],表格3[Model-Input-Ref2],表格3[Code])</f>
        <v>SDA</v>
      </c>
      <c r="K2418" s="89" t="s">
        <v>1286</v>
      </c>
      <c r="L2418" s="86">
        <v>1</v>
      </c>
      <c r="M2418" s="87">
        <v>938</v>
      </c>
      <c r="N2418" s="85">
        <f>IFERROR(表格1[[#This Row],[QTY]]*表格1[[#This Row],[Unit Price]],"-")</f>
        <v>938</v>
      </c>
      <c r="O2418" s="86">
        <v>537426</v>
      </c>
      <c r="R2418" s="86" t="str">
        <f>_xlfn.CONCAT(表格1[[#This Row],[Model]]," ",表格1[[#This Row],[inv no]])</f>
        <v>RC-10ISSHK(W) 537426</v>
      </c>
      <c r="S2418" s="86">
        <f>_xlfn.XLOOKUP(表格1[[#This Row],[Model]],表格3[Model-Input-Ref2],表格3[SRP PRICE])</f>
        <v>1188</v>
      </c>
      <c r="T2418" s="43">
        <f>表格1[[#This Row],[Unit Price]]/表格1[[#This Row],[SRP]]</f>
        <v>0.78956228956228958</v>
      </c>
      <c r="U2418" s="86" t="str">
        <f>_xlfn.XLOOKUP(表格1[[#This Row],[Model]],表格3[Model-Input-Ref2],表格3[TOSHIBA/HIGHEST])</f>
        <v>Shops Highest Price</v>
      </c>
      <c r="W2418" s="86" t="str">
        <f>_xlfn.CONCAT(表格1[[#This Row],[欄4]],表格1[[#This Row],[inv no]])</f>
        <v>537426</v>
      </c>
    </row>
    <row r="2419" spans="1:23" hidden="1">
      <c r="A2419" s="81">
        <v>2417</v>
      </c>
      <c r="B2419" s="86" t="s">
        <v>1366</v>
      </c>
      <c r="C2419" s="86" t="s">
        <v>1852</v>
      </c>
      <c r="D2419" s="82" t="str">
        <f ca="1">OFFSET(Roster!$A$3,MATCH(表格1[[#This Row],[Location]]&amp;" "&amp;表格1[[#This Row],[Shop]]&amp;"*",Roster!$A$4:$A$72,0),DAY(表格1[[#This Row],[date]]),1,1)</f>
        <v>Maggie Yip</v>
      </c>
      <c r="E2419" s="86">
        <f>MONTH(表格1[[#This Row],[date]])</f>
        <v>3</v>
      </c>
      <c r="F2419" s="90">
        <v>46112</v>
      </c>
      <c r="G2419" s="86" t="str">
        <f>VLOOKUP("*"&amp;表格1[[#This Row],[Input]]&amp;"*",'Ref-List'!$B:$D,2,)</f>
        <v>RC-10AMXH(W)</v>
      </c>
      <c r="H2419" s="86" t="str">
        <f>_xlfn.XLOOKUP(表格1[[#This Row],[Model]],表格3[Model-Input-Ref2],表格3[Product Line])</f>
        <v>酵活炊電飯煲(1.0公升)</v>
      </c>
      <c r="I2419" s="86" t="str">
        <f>_xlfn.XLOOKUP(表格1[[#This Row],[Model]],表格3[Model-Input-Ref2],表格3[大小電])</f>
        <v>細電</v>
      </c>
      <c r="J2419" s="86" t="str">
        <f>_xlfn.XLOOKUP(表格1[[#This Row],[Model]],表格3[Model-Input-Ref2],表格3[Code])</f>
        <v>SDA</v>
      </c>
      <c r="K2419" s="89" t="s">
        <v>1279</v>
      </c>
      <c r="L2419" s="86">
        <v>1</v>
      </c>
      <c r="M2419" s="87">
        <v>990</v>
      </c>
      <c r="N2419" s="85">
        <f>IFERROR(表格1[[#This Row],[QTY]]*表格1[[#This Row],[Unit Price]],"-")</f>
        <v>990</v>
      </c>
      <c r="O2419" s="86">
        <v>537437</v>
      </c>
      <c r="R2419" s="86" t="str">
        <f>_xlfn.CONCAT(表格1[[#This Row],[Model]]," ",表格1[[#This Row],[inv no]])</f>
        <v>RC-10AMXH(W) 537437</v>
      </c>
      <c r="S2419" s="86">
        <f>_xlfn.XLOOKUP(表格1[[#This Row],[Model]],表格3[Model-Input-Ref2],表格3[SRP PRICE])</f>
        <v>1288</v>
      </c>
      <c r="T2419" s="43">
        <f>表格1[[#This Row],[Unit Price]]/表格1[[#This Row],[SRP]]</f>
        <v>0.76863354037267084</v>
      </c>
      <c r="U2419" s="86" t="str">
        <f>_xlfn.XLOOKUP(表格1[[#This Row],[Model]],表格3[Model-Input-Ref2],表格3[TOSHIBA/HIGHEST])</f>
        <v>Toshiba SRP</v>
      </c>
      <c r="W2419" s="86" t="str">
        <f>_xlfn.CONCAT(表格1[[#This Row],[欄4]],表格1[[#This Row],[inv no]])</f>
        <v>537437</v>
      </c>
    </row>
    <row r="2420" spans="1:23" hidden="1">
      <c r="A2420" s="81">
        <v>2418</v>
      </c>
      <c r="B2420" s="86" t="s">
        <v>1366</v>
      </c>
      <c r="C2420" s="86" t="s">
        <v>1852</v>
      </c>
      <c r="D2420" s="82" t="str">
        <f ca="1">OFFSET(Roster!$A$3,MATCH(表格1[[#This Row],[Location]]&amp;" "&amp;表格1[[#This Row],[Shop]]&amp;"*",Roster!$A$4:$A$72,0),DAY(表格1[[#This Row],[date]]),1,1)</f>
        <v>Maggie Yip</v>
      </c>
      <c r="E2420" s="86">
        <f>MONTH(表格1[[#This Row],[date]])</f>
        <v>3</v>
      </c>
      <c r="F2420" s="90">
        <v>46112</v>
      </c>
      <c r="G2420" s="86" t="str">
        <f>VLOOKUP("*"&amp;表格1[[#This Row],[Input]]&amp;"*",'Ref-List'!$B:$D,2,)</f>
        <v>MX2-TT20SC(WH)</v>
      </c>
      <c r="H2420" s="86" t="str">
        <f>_xlfn.XLOOKUP(表格1[[#This Row],[Model]],表格3[Model-Input-Ref2],表格3[Product Line])</f>
        <v>3合1 微波蒸焗爐 (20公升)</v>
      </c>
      <c r="I2420" s="86" t="str">
        <f>_xlfn.XLOOKUP(表格1[[#This Row],[Model]],表格3[Model-Input-Ref2],表格3[大小電])</f>
        <v>細電</v>
      </c>
      <c r="J2420" s="86" t="str">
        <f>_xlfn.XLOOKUP(表格1[[#This Row],[Model]],表格3[Model-Input-Ref2],表格3[Code])</f>
        <v>MCA</v>
      </c>
      <c r="K2420" s="89" t="s">
        <v>1287</v>
      </c>
      <c r="L2420" s="86">
        <v>1</v>
      </c>
      <c r="M2420" s="87">
        <v>2580</v>
      </c>
      <c r="N2420" s="85">
        <f>IFERROR(表格1[[#This Row],[QTY]]*表格1[[#This Row],[Unit Price]],"-")</f>
        <v>2580</v>
      </c>
      <c r="O2420" s="86">
        <v>537564</v>
      </c>
      <c r="R2420" s="86" t="str">
        <f>_xlfn.CONCAT(表格1[[#This Row],[Model]]," ",表格1[[#This Row],[inv no]])</f>
        <v>MX2-TT20SC(WH) 537564</v>
      </c>
      <c r="S2420" s="86">
        <f>_xlfn.XLOOKUP(表格1[[#This Row],[Model]],表格3[Model-Input-Ref2],表格3[SRP PRICE])</f>
        <v>3580</v>
      </c>
      <c r="T2420" s="43">
        <f>表格1[[#This Row],[Unit Price]]/表格1[[#This Row],[SRP]]</f>
        <v>0.72067039106145248</v>
      </c>
      <c r="U2420" s="86" t="str">
        <f>_xlfn.XLOOKUP(表格1[[#This Row],[Model]],表格3[Model-Input-Ref2],表格3[TOSHIBA/HIGHEST])</f>
        <v>Toshiba SRP</v>
      </c>
      <c r="W2420" s="86" t="str">
        <f>_xlfn.CONCAT(表格1[[#This Row],[欄4]],表格1[[#This Row],[inv no]])</f>
        <v>537564</v>
      </c>
    </row>
    <row r="2421" spans="1:23" hidden="1">
      <c r="A2421" s="81">
        <v>2419</v>
      </c>
      <c r="B2421" s="86" t="s">
        <v>1477</v>
      </c>
      <c r="C2421" s="86" t="s">
        <v>1860</v>
      </c>
      <c r="D2421" s="82" t="str">
        <f ca="1">OFFSET(Roster!$A$3,MATCH(表格1[[#This Row],[Location]]&amp;" "&amp;表格1[[#This Row],[Shop]]&amp;"*",Roster!$A$4:$A$72,0),DAY(表格1[[#This Row],[date]]),1,1)</f>
        <v>Kiko</v>
      </c>
      <c r="E2421" s="86">
        <f>MONTH(表格1[[#This Row],[date]])</f>
        <v>3</v>
      </c>
      <c r="F2421" s="90">
        <v>46082</v>
      </c>
      <c r="G2421" s="86" t="str">
        <f>VLOOKUP("*"&amp;表格1[[#This Row],[Input]]&amp;"*",'Ref-List'!$B:$D,2,)</f>
        <v>RAD-D300H</v>
      </c>
      <c r="H2421" s="86" t="str">
        <f>_xlfn.XLOOKUP(表格1[[#This Row],[Model]],表格3[Model-Input-Ref2],表格3[Product Line])</f>
        <v>壓縮式抽濕機 (30公升)</v>
      </c>
      <c r="I2421" s="86" t="str">
        <f>_xlfn.XLOOKUP(表格1[[#This Row],[Model]],表格3[Model-Input-Ref2],表格3[大小電])</f>
        <v>細電</v>
      </c>
      <c r="J2421" s="86" t="str">
        <f>_xlfn.XLOOKUP(表格1[[#This Row],[Model]],表格3[Model-Input-Ref2],表格3[Code])</f>
        <v>RAC</v>
      </c>
      <c r="K2421" s="89" t="s">
        <v>1252</v>
      </c>
      <c r="L2421" s="86">
        <v>1</v>
      </c>
      <c r="M2421" s="87">
        <v>2280</v>
      </c>
      <c r="N2421" s="85">
        <f>IFERROR(表格1[[#This Row],[QTY]]*表格1[[#This Row],[Unit Price]],"-")</f>
        <v>2280</v>
      </c>
      <c r="O2421" s="86">
        <v>1718266</v>
      </c>
      <c r="R2421" s="86" t="str">
        <f>_xlfn.CONCAT(表格1[[#This Row],[Model]]," ",表格1[[#This Row],[inv no]])</f>
        <v>RAD-D300H 1718266</v>
      </c>
      <c r="S2421" s="86">
        <f>_xlfn.XLOOKUP(表格1[[#This Row],[Model]],表格3[Model-Input-Ref2],表格3[SRP PRICE])</f>
        <v>3380</v>
      </c>
      <c r="T2421" s="43">
        <f>表格1[[#This Row],[Unit Price]]/表格1[[#This Row],[SRP]]</f>
        <v>0.67455621301775148</v>
      </c>
      <c r="U2421" s="86" t="str">
        <f>_xlfn.XLOOKUP(表格1[[#This Row],[Model]],表格3[Model-Input-Ref2],表格3[TOSHIBA/HIGHEST])</f>
        <v>Shops Highest Price</v>
      </c>
      <c r="W2421" s="86" t="str">
        <f>_xlfn.CONCAT(表格1[[#This Row],[欄4]],表格1[[#This Row],[inv no]])</f>
        <v>1718266</v>
      </c>
    </row>
    <row r="2422" spans="1:23" hidden="1">
      <c r="A2422" s="81">
        <v>2420</v>
      </c>
      <c r="B2422" s="86" t="s">
        <v>1477</v>
      </c>
      <c r="C2422" s="86" t="s">
        <v>1860</v>
      </c>
      <c r="D2422" s="82" t="str">
        <f ca="1">OFFSET(Roster!$A$3,MATCH(表格1[[#This Row],[Location]]&amp;" "&amp;表格1[[#This Row],[Shop]]&amp;"*",Roster!$A$4:$A$72,0),DAY(表格1[[#This Row],[date]]),1,1)</f>
        <v>Kiko</v>
      </c>
      <c r="E2422" s="86">
        <f>MONTH(表格1[[#This Row],[date]])</f>
        <v>3</v>
      </c>
      <c r="F2422" s="90">
        <v>46082</v>
      </c>
      <c r="G2422" s="86" t="str">
        <f>VLOOKUP("*"&amp;表格1[[#This Row],[Input]]&amp;"*",'Ref-List'!$B:$D,2,)</f>
        <v>RAD-D300H</v>
      </c>
      <c r="H2422" s="86" t="str">
        <f>_xlfn.XLOOKUP(表格1[[#This Row],[Model]],表格3[Model-Input-Ref2],表格3[Product Line])</f>
        <v>壓縮式抽濕機 (30公升)</v>
      </c>
      <c r="I2422" s="86" t="str">
        <f>_xlfn.XLOOKUP(表格1[[#This Row],[Model]],表格3[Model-Input-Ref2],表格3[大小電])</f>
        <v>細電</v>
      </c>
      <c r="J2422" s="86" t="str">
        <f>_xlfn.XLOOKUP(表格1[[#This Row],[Model]],表格3[Model-Input-Ref2],表格3[Code])</f>
        <v>RAC</v>
      </c>
      <c r="K2422" s="89" t="s">
        <v>1252</v>
      </c>
      <c r="L2422" s="86">
        <v>2</v>
      </c>
      <c r="M2422" s="87">
        <v>2280</v>
      </c>
      <c r="N2422" s="85">
        <f>IFERROR(表格1[[#This Row],[QTY]]*表格1[[#This Row],[Unit Price]],"-")</f>
        <v>4560</v>
      </c>
      <c r="O2422" s="86">
        <v>1325710</v>
      </c>
      <c r="R2422" s="86" t="str">
        <f>_xlfn.CONCAT(表格1[[#This Row],[Model]]," ",表格1[[#This Row],[inv no]])</f>
        <v>RAD-D300H 1325710</v>
      </c>
      <c r="S2422" s="86">
        <f>_xlfn.XLOOKUP(表格1[[#This Row],[Model]],表格3[Model-Input-Ref2],表格3[SRP PRICE])</f>
        <v>3380</v>
      </c>
      <c r="T2422" s="43">
        <f>表格1[[#This Row],[Unit Price]]/表格1[[#This Row],[SRP]]</f>
        <v>0.67455621301775148</v>
      </c>
      <c r="U2422" s="86" t="str">
        <f>_xlfn.XLOOKUP(表格1[[#This Row],[Model]],表格3[Model-Input-Ref2],表格3[TOSHIBA/HIGHEST])</f>
        <v>Shops Highest Price</v>
      </c>
      <c r="W2422" s="86" t="str">
        <f>_xlfn.CONCAT(表格1[[#This Row],[欄4]],表格1[[#This Row],[inv no]])</f>
        <v>1325710</v>
      </c>
    </row>
    <row r="2423" spans="1:23" hidden="1">
      <c r="A2423" s="81">
        <v>2421</v>
      </c>
      <c r="B2423" s="86" t="s">
        <v>1477</v>
      </c>
      <c r="C2423" s="86" t="s">
        <v>1860</v>
      </c>
      <c r="D2423" s="82" t="str">
        <f ca="1">OFFSET(Roster!$A$3,MATCH(表格1[[#This Row],[Location]]&amp;" "&amp;表格1[[#This Row],[Shop]]&amp;"*",Roster!$A$4:$A$72,0),DAY(表格1[[#This Row],[date]]),1,1)</f>
        <v>Kiko</v>
      </c>
      <c r="E2423" s="86">
        <f>MONTH(表格1[[#This Row],[date]])</f>
        <v>3</v>
      </c>
      <c r="F2423" s="90">
        <v>46082</v>
      </c>
      <c r="G2423" s="86" t="str">
        <f>VLOOKUP("*"&amp;表格1[[#This Row],[Input]]&amp;"*",'Ref-List'!$B:$D,2,)</f>
        <v>RAD-D300H</v>
      </c>
      <c r="H2423" s="86" t="str">
        <f>_xlfn.XLOOKUP(表格1[[#This Row],[Model]],表格3[Model-Input-Ref2],表格3[Product Line])</f>
        <v>壓縮式抽濕機 (30公升)</v>
      </c>
      <c r="I2423" s="86" t="str">
        <f>_xlfn.XLOOKUP(表格1[[#This Row],[Model]],表格3[Model-Input-Ref2],表格3[大小電])</f>
        <v>細電</v>
      </c>
      <c r="J2423" s="86" t="str">
        <f>_xlfn.XLOOKUP(表格1[[#This Row],[Model]],表格3[Model-Input-Ref2],表格3[Code])</f>
        <v>RAC</v>
      </c>
      <c r="K2423" s="89" t="s">
        <v>1252</v>
      </c>
      <c r="L2423" s="86">
        <v>1</v>
      </c>
      <c r="M2423" s="87">
        <v>2280</v>
      </c>
      <c r="N2423" s="85">
        <f>IFERROR(表格1[[#This Row],[QTY]]*表格1[[#This Row],[Unit Price]],"-")</f>
        <v>2280</v>
      </c>
      <c r="O2423" s="86">
        <v>1325682</v>
      </c>
      <c r="R2423" s="86" t="str">
        <f>_xlfn.CONCAT(表格1[[#This Row],[Model]]," ",表格1[[#This Row],[inv no]])</f>
        <v>RAD-D300H 1325682</v>
      </c>
      <c r="S2423" s="86">
        <f>_xlfn.XLOOKUP(表格1[[#This Row],[Model]],表格3[Model-Input-Ref2],表格3[SRP PRICE])</f>
        <v>3380</v>
      </c>
      <c r="T2423" s="43">
        <f>表格1[[#This Row],[Unit Price]]/表格1[[#This Row],[SRP]]</f>
        <v>0.67455621301775148</v>
      </c>
      <c r="U2423" s="86" t="str">
        <f>_xlfn.XLOOKUP(表格1[[#This Row],[Model]],表格3[Model-Input-Ref2],表格3[TOSHIBA/HIGHEST])</f>
        <v>Shops Highest Price</v>
      </c>
      <c r="W2423" s="86" t="str">
        <f>_xlfn.CONCAT(表格1[[#This Row],[欄4]],表格1[[#This Row],[inv no]])</f>
        <v>1325682</v>
      </c>
    </row>
    <row r="2424" spans="1:23" hidden="1">
      <c r="A2424" s="81">
        <v>2422</v>
      </c>
      <c r="B2424" s="86" t="s">
        <v>1477</v>
      </c>
      <c r="C2424" s="86" t="s">
        <v>1860</v>
      </c>
      <c r="D2424" s="82" t="str">
        <f ca="1">OFFSET(Roster!$A$3,MATCH(表格1[[#This Row],[Location]]&amp;" "&amp;表格1[[#This Row],[Shop]]&amp;"*",Roster!$A$4:$A$72,0),DAY(表格1[[#This Row],[date]]),1,1)</f>
        <v>Kiko</v>
      </c>
      <c r="E2424" s="86">
        <f>MONTH(表格1[[#This Row],[date]])</f>
        <v>3</v>
      </c>
      <c r="F2424" s="90">
        <v>46082</v>
      </c>
      <c r="G2424" s="86" t="str">
        <f>VLOOKUP("*"&amp;表格1[[#This Row],[Input]]&amp;"*",'Ref-List'!$B:$D,2,)</f>
        <v>RAD-D300H</v>
      </c>
      <c r="H2424" s="86" t="str">
        <f>_xlfn.XLOOKUP(表格1[[#This Row],[Model]],表格3[Model-Input-Ref2],表格3[Product Line])</f>
        <v>壓縮式抽濕機 (30公升)</v>
      </c>
      <c r="I2424" s="86" t="str">
        <f>_xlfn.XLOOKUP(表格1[[#This Row],[Model]],表格3[Model-Input-Ref2],表格3[大小電])</f>
        <v>細電</v>
      </c>
      <c r="J2424" s="86" t="str">
        <f>_xlfn.XLOOKUP(表格1[[#This Row],[Model]],表格3[Model-Input-Ref2],表格3[Code])</f>
        <v>RAC</v>
      </c>
      <c r="K2424" s="89" t="s">
        <v>1252</v>
      </c>
      <c r="L2424" s="86">
        <v>1</v>
      </c>
      <c r="M2424" s="87">
        <v>2280</v>
      </c>
      <c r="N2424" s="85">
        <f>IFERROR(表格1[[#This Row],[QTY]]*表格1[[#This Row],[Unit Price]],"-")</f>
        <v>2280</v>
      </c>
      <c r="O2424" s="86">
        <v>1510755</v>
      </c>
      <c r="R2424" s="86" t="str">
        <f>_xlfn.CONCAT(表格1[[#This Row],[Model]]," ",表格1[[#This Row],[inv no]])</f>
        <v>RAD-D300H 1510755</v>
      </c>
      <c r="S2424" s="86">
        <f>_xlfn.XLOOKUP(表格1[[#This Row],[Model]],表格3[Model-Input-Ref2],表格3[SRP PRICE])</f>
        <v>3380</v>
      </c>
      <c r="T2424" s="43">
        <f>表格1[[#This Row],[Unit Price]]/表格1[[#This Row],[SRP]]</f>
        <v>0.67455621301775148</v>
      </c>
      <c r="U2424" s="86" t="str">
        <f>_xlfn.XLOOKUP(表格1[[#This Row],[Model]],表格3[Model-Input-Ref2],表格3[TOSHIBA/HIGHEST])</f>
        <v>Shops Highest Price</v>
      </c>
      <c r="W2424" s="86" t="str">
        <f>_xlfn.CONCAT(表格1[[#This Row],[欄4]],表格1[[#This Row],[inv no]])</f>
        <v>1510755</v>
      </c>
    </row>
    <row r="2425" spans="1:23" hidden="1">
      <c r="A2425" s="81">
        <v>2423</v>
      </c>
      <c r="B2425" s="86" t="s">
        <v>1477</v>
      </c>
      <c r="C2425" s="86" t="s">
        <v>1860</v>
      </c>
      <c r="D2425" s="82" t="str">
        <f ca="1">OFFSET(Roster!$A$3,MATCH(表格1[[#This Row],[Location]]&amp;" "&amp;表格1[[#This Row],[Shop]]&amp;"*",Roster!$A$4:$A$72,0),DAY(表格1[[#This Row],[date]]),1,1)</f>
        <v>Kiko</v>
      </c>
      <c r="E2425" s="86">
        <f>MONTH(表格1[[#This Row],[date]])</f>
        <v>3</v>
      </c>
      <c r="F2425" s="90">
        <v>46082</v>
      </c>
      <c r="G2425" s="86" t="str">
        <f>VLOOKUP("*"&amp;表格1[[#This Row],[Input]]&amp;"*",'Ref-List'!$B:$D,2,)</f>
        <v>RAD-D300H</v>
      </c>
      <c r="H2425" s="86" t="str">
        <f>_xlfn.XLOOKUP(表格1[[#This Row],[Model]],表格3[Model-Input-Ref2],表格3[Product Line])</f>
        <v>壓縮式抽濕機 (30公升)</v>
      </c>
      <c r="I2425" s="86" t="str">
        <f>_xlfn.XLOOKUP(表格1[[#This Row],[Model]],表格3[Model-Input-Ref2],表格3[大小電])</f>
        <v>細電</v>
      </c>
      <c r="J2425" s="86" t="str">
        <f>_xlfn.XLOOKUP(表格1[[#This Row],[Model]],表格3[Model-Input-Ref2],表格3[Code])</f>
        <v>RAC</v>
      </c>
      <c r="K2425" s="89" t="s">
        <v>1252</v>
      </c>
      <c r="L2425" s="86">
        <v>1</v>
      </c>
      <c r="M2425" s="87">
        <v>2280</v>
      </c>
      <c r="N2425" s="85">
        <f>IFERROR(表格1[[#This Row],[QTY]]*表格1[[#This Row],[Unit Price]],"-")</f>
        <v>2280</v>
      </c>
      <c r="O2425" s="86">
        <v>1718206</v>
      </c>
      <c r="R2425" s="86" t="str">
        <f>_xlfn.CONCAT(表格1[[#This Row],[Model]]," ",表格1[[#This Row],[inv no]])</f>
        <v>RAD-D300H 1718206</v>
      </c>
      <c r="S2425" s="86">
        <f>_xlfn.XLOOKUP(表格1[[#This Row],[Model]],表格3[Model-Input-Ref2],表格3[SRP PRICE])</f>
        <v>3380</v>
      </c>
      <c r="T2425" s="43">
        <f>表格1[[#This Row],[Unit Price]]/表格1[[#This Row],[SRP]]</f>
        <v>0.67455621301775148</v>
      </c>
      <c r="U2425" s="86" t="str">
        <f>_xlfn.XLOOKUP(表格1[[#This Row],[Model]],表格3[Model-Input-Ref2],表格3[TOSHIBA/HIGHEST])</f>
        <v>Shops Highest Price</v>
      </c>
      <c r="W2425" s="86" t="str">
        <f>_xlfn.CONCAT(表格1[[#This Row],[欄4]],表格1[[#This Row],[inv no]])</f>
        <v>1718206</v>
      </c>
    </row>
    <row r="2426" spans="1:23" hidden="1">
      <c r="A2426" s="81">
        <v>2424</v>
      </c>
      <c r="B2426" s="86" t="s">
        <v>1477</v>
      </c>
      <c r="C2426" s="86" t="s">
        <v>1860</v>
      </c>
      <c r="D2426" s="82" t="str">
        <f ca="1">OFFSET(Roster!$A$3,MATCH(表格1[[#This Row],[Location]]&amp;" "&amp;表格1[[#This Row],[Shop]]&amp;"*",Roster!$A$4:$A$72,0),DAY(表格1[[#This Row],[date]]),1,1)</f>
        <v>Kiko</v>
      </c>
      <c r="E2426" s="86">
        <f>MONTH(表格1[[#This Row],[date]])</f>
        <v>3</v>
      </c>
      <c r="F2426" s="90">
        <v>46082</v>
      </c>
      <c r="G2426" s="86" t="str">
        <f>VLOOKUP("*"&amp;表格1[[#This Row],[Input]]&amp;"*",'Ref-List'!$B:$D,2,)</f>
        <v>RC-10AMXH(W)</v>
      </c>
      <c r="H2426" s="86" t="str">
        <f>_xlfn.XLOOKUP(表格1[[#This Row],[Model]],表格3[Model-Input-Ref2],表格3[Product Line])</f>
        <v>酵活炊電飯煲(1.0公升)</v>
      </c>
      <c r="I2426" s="86" t="str">
        <f>_xlfn.XLOOKUP(表格1[[#This Row],[Model]],表格3[Model-Input-Ref2],表格3[大小電])</f>
        <v>細電</v>
      </c>
      <c r="J2426" s="86" t="str">
        <f>_xlfn.XLOOKUP(表格1[[#This Row],[Model]],表格3[Model-Input-Ref2],表格3[Code])</f>
        <v>SDA</v>
      </c>
      <c r="K2426" s="89" t="s">
        <v>1279</v>
      </c>
      <c r="L2426" s="86">
        <v>1</v>
      </c>
      <c r="M2426" s="87">
        <v>990</v>
      </c>
      <c r="N2426" s="85">
        <f>IFERROR(表格1[[#This Row],[QTY]]*表格1[[#This Row],[Unit Price]],"-")</f>
        <v>990</v>
      </c>
      <c r="O2426" s="86">
        <v>1718284</v>
      </c>
      <c r="R2426" s="86" t="str">
        <f>_xlfn.CONCAT(表格1[[#This Row],[Model]]," ",表格1[[#This Row],[inv no]])</f>
        <v>RC-10AMXH(W) 1718284</v>
      </c>
      <c r="S2426" s="86">
        <f>_xlfn.XLOOKUP(表格1[[#This Row],[Model]],表格3[Model-Input-Ref2],表格3[SRP PRICE])</f>
        <v>1288</v>
      </c>
      <c r="T2426" s="43">
        <f>表格1[[#This Row],[Unit Price]]/表格1[[#This Row],[SRP]]</f>
        <v>0.76863354037267084</v>
      </c>
      <c r="U2426" s="86" t="str">
        <f>_xlfn.XLOOKUP(表格1[[#This Row],[Model]],表格3[Model-Input-Ref2],表格3[TOSHIBA/HIGHEST])</f>
        <v>Toshiba SRP</v>
      </c>
      <c r="W2426" s="86" t="str">
        <f>_xlfn.CONCAT(表格1[[#This Row],[欄4]],表格1[[#This Row],[inv no]])</f>
        <v>1718284</v>
      </c>
    </row>
    <row r="2427" spans="1:23" hidden="1">
      <c r="A2427" s="81">
        <v>2425</v>
      </c>
      <c r="B2427" s="86" t="s">
        <v>1477</v>
      </c>
      <c r="C2427" s="86" t="s">
        <v>1860</v>
      </c>
      <c r="D2427" s="82" t="str">
        <f ca="1">OFFSET(Roster!$A$3,MATCH(表格1[[#This Row],[Location]]&amp;" "&amp;表格1[[#This Row],[Shop]]&amp;"*",Roster!$A$4:$A$72,0),DAY(表格1[[#This Row],[date]]),1,1)</f>
        <v>Kiko</v>
      </c>
      <c r="E2427" s="86">
        <f>MONTH(表格1[[#This Row],[date]])</f>
        <v>3</v>
      </c>
      <c r="F2427" s="90">
        <v>46082</v>
      </c>
      <c r="G2427" s="86" t="str">
        <f>VLOOKUP("*"&amp;表格1[[#This Row],[Input]]&amp;"*",'Ref-List'!$B:$D,2,)</f>
        <v>GR-RM598WE-PGA(B3)</v>
      </c>
      <c r="H2427" s="86" t="str">
        <f>_xlfn.XLOOKUP(表格1[[#This Row],[Model]],表格3[Model-Input-Ref2],表格3[Product Line])</f>
        <v>變頻六門雪櫃(451L)</v>
      </c>
      <c r="I2427" s="86" t="str">
        <f>_xlfn.XLOOKUP(表格1[[#This Row],[Model]],表格3[Model-Input-Ref2],表格3[大小電])</f>
        <v>大電</v>
      </c>
      <c r="J2427" s="86" t="str">
        <f>_xlfn.XLOOKUP(表格1[[#This Row],[Model]],表格3[Model-Input-Ref2],表格3[Code])</f>
        <v>REF</v>
      </c>
      <c r="K2427" s="89" t="s">
        <v>1491</v>
      </c>
      <c r="L2427" s="86">
        <v>1</v>
      </c>
      <c r="M2427" s="87">
        <v>10590</v>
      </c>
      <c r="N2427" s="85">
        <f>IFERROR(表格1[[#This Row],[QTY]]*表格1[[#This Row],[Unit Price]],"-")</f>
        <v>10590</v>
      </c>
      <c r="O2427" s="86">
        <v>1510765</v>
      </c>
      <c r="R2427" s="86" t="str">
        <f>_xlfn.CONCAT(表格1[[#This Row],[Model]]," ",表格1[[#This Row],[inv no]])</f>
        <v>GR-RM598WE-PGA(B3) 1510765</v>
      </c>
      <c r="S2427" s="86">
        <f>_xlfn.XLOOKUP(表格1[[#This Row],[Model]],表格3[Model-Input-Ref2],表格3[SRP PRICE])</f>
        <v>14980</v>
      </c>
      <c r="T2427" s="43">
        <f>表格1[[#This Row],[Unit Price]]/表格1[[#This Row],[SRP]]</f>
        <v>0.70694259012016025</v>
      </c>
      <c r="U2427" s="86" t="str">
        <f>_xlfn.XLOOKUP(表格1[[#This Row],[Model]],表格3[Model-Input-Ref2],表格3[TOSHIBA/HIGHEST])</f>
        <v>Toshiba SRP</v>
      </c>
      <c r="W2427" s="86" t="str">
        <f>_xlfn.CONCAT(表格1[[#This Row],[欄4]],表格1[[#This Row],[inv no]])</f>
        <v>1510765</v>
      </c>
    </row>
    <row r="2428" spans="1:23" hidden="1">
      <c r="A2428" s="81">
        <v>2426</v>
      </c>
      <c r="B2428" s="86" t="s">
        <v>1477</v>
      </c>
      <c r="C2428" s="86" t="s">
        <v>1860</v>
      </c>
      <c r="D2428" s="82" t="str">
        <f ca="1">OFFSET(Roster!$A$3,MATCH(表格1[[#This Row],[Location]]&amp;" "&amp;表格1[[#This Row],[Shop]]&amp;"*",Roster!$A$4:$A$72,0),DAY(表格1[[#This Row],[date]]),1,1)</f>
        <v>Kiko</v>
      </c>
      <c r="E2428" s="86">
        <f>MONTH(表格1[[#This Row],[date]])</f>
        <v>3</v>
      </c>
      <c r="F2428" s="90">
        <v>46082</v>
      </c>
      <c r="G2428" s="86" t="str">
        <f>VLOOKUP("*"&amp;表格1[[#This Row],[Input]]&amp;"*",'Ref-List'!$B:$D,2,)</f>
        <v>MX2-TT20SC(WH)</v>
      </c>
      <c r="H2428" s="86" t="str">
        <f>_xlfn.XLOOKUP(表格1[[#This Row],[Model]],表格3[Model-Input-Ref2],表格3[Product Line])</f>
        <v>3合1 微波蒸焗爐 (20公升)</v>
      </c>
      <c r="I2428" s="86" t="str">
        <f>_xlfn.XLOOKUP(表格1[[#This Row],[Model]],表格3[Model-Input-Ref2],表格3[大小電])</f>
        <v>細電</v>
      </c>
      <c r="J2428" s="86" t="str">
        <f>_xlfn.XLOOKUP(表格1[[#This Row],[Model]],表格3[Model-Input-Ref2],表格3[Code])</f>
        <v>MCA</v>
      </c>
      <c r="K2428" s="89" t="s">
        <v>1287</v>
      </c>
      <c r="L2428" s="86">
        <v>1</v>
      </c>
      <c r="M2428" s="87">
        <v>2580</v>
      </c>
      <c r="N2428" s="85">
        <f>IFERROR(表格1[[#This Row],[QTY]]*表格1[[#This Row],[Unit Price]],"-")</f>
        <v>2580</v>
      </c>
      <c r="O2428" s="86">
        <v>1325647</v>
      </c>
      <c r="R2428" s="86" t="str">
        <f>_xlfn.CONCAT(表格1[[#This Row],[Model]]," ",表格1[[#This Row],[inv no]])</f>
        <v>MX2-TT20SC(WH) 1325647</v>
      </c>
      <c r="S2428" s="86">
        <f>_xlfn.XLOOKUP(表格1[[#This Row],[Model]],表格3[Model-Input-Ref2],表格3[SRP PRICE])</f>
        <v>3580</v>
      </c>
      <c r="T2428" s="43">
        <f>表格1[[#This Row],[Unit Price]]/表格1[[#This Row],[SRP]]</f>
        <v>0.72067039106145248</v>
      </c>
      <c r="U2428" s="86" t="str">
        <f>_xlfn.XLOOKUP(表格1[[#This Row],[Model]],表格3[Model-Input-Ref2],表格3[TOSHIBA/HIGHEST])</f>
        <v>Toshiba SRP</v>
      </c>
      <c r="W2428" s="86" t="str">
        <f>_xlfn.CONCAT(表格1[[#This Row],[欄4]],表格1[[#This Row],[inv no]])</f>
        <v>1325647</v>
      </c>
    </row>
    <row r="2429" spans="1:23" hidden="1">
      <c r="A2429" s="81">
        <v>2427</v>
      </c>
      <c r="B2429" s="86" t="s">
        <v>1477</v>
      </c>
      <c r="C2429" s="86" t="s">
        <v>1860</v>
      </c>
      <c r="D2429" s="82" t="str">
        <f ca="1">OFFSET(Roster!$A$3,MATCH(表格1[[#This Row],[Location]]&amp;" "&amp;表格1[[#This Row],[Shop]]&amp;"*",Roster!$A$4:$A$72,0),DAY(表格1[[#This Row],[date]]),1,1)</f>
        <v>Kiko</v>
      </c>
      <c r="E2429" s="86">
        <f>MONTH(表格1[[#This Row],[date]])</f>
        <v>3</v>
      </c>
      <c r="F2429" s="90">
        <v>46082</v>
      </c>
      <c r="G2429" s="86" t="str">
        <f>VLOOKUP("*"&amp;表格1[[#This Row],[Input]]&amp;"*",'Ref-List'!$B:$D,2,)</f>
        <v>GR-RT300WE-PMA(57)</v>
      </c>
      <c r="H2429" s="86" t="str">
        <f>_xlfn.XLOOKUP(表格1[[#This Row],[Model]],表格3[Model-Input-Ref2],表格3[Product Line])</f>
        <v>變頻式環保雙門雪櫃(233L)</v>
      </c>
      <c r="I2429" s="86" t="str">
        <f>_xlfn.XLOOKUP(表格1[[#This Row],[Model]],表格3[Model-Input-Ref2],表格3[大小電])</f>
        <v>大電</v>
      </c>
      <c r="J2429" s="86" t="str">
        <f>_xlfn.XLOOKUP(表格1[[#This Row],[Model]],表格3[Model-Input-Ref2],表格3[Code])</f>
        <v>REF</v>
      </c>
      <c r="K2429" s="89" t="s">
        <v>1462</v>
      </c>
      <c r="L2429" s="86">
        <v>1</v>
      </c>
      <c r="M2429" s="87">
        <v>2780</v>
      </c>
      <c r="N2429" s="85">
        <f>IFERROR(表格1[[#This Row],[QTY]]*表格1[[#This Row],[Unit Price]],"-")</f>
        <v>2780</v>
      </c>
      <c r="O2429" s="86">
        <v>1718200</v>
      </c>
      <c r="R2429" s="86" t="str">
        <f>_xlfn.CONCAT(表格1[[#This Row],[Model]]," ",表格1[[#This Row],[inv no]])</f>
        <v>GR-RT300WE-PMA(57) 1718200</v>
      </c>
      <c r="S2429" s="86">
        <f>_xlfn.XLOOKUP(表格1[[#This Row],[Model]],表格3[Model-Input-Ref2],表格3[SRP PRICE])</f>
        <v>4280</v>
      </c>
      <c r="T2429" s="43">
        <f>表格1[[#This Row],[Unit Price]]/表格1[[#This Row],[SRP]]</f>
        <v>0.64953271028037385</v>
      </c>
      <c r="U2429" s="86" t="str">
        <f>_xlfn.XLOOKUP(表格1[[#This Row],[Model]],表格3[Model-Input-Ref2],表格3[TOSHIBA/HIGHEST])</f>
        <v>Toshiba SRP</v>
      </c>
      <c r="W2429" s="86" t="str">
        <f>_xlfn.CONCAT(表格1[[#This Row],[欄4]],表格1[[#This Row],[inv no]])</f>
        <v>1718200</v>
      </c>
    </row>
    <row r="2430" spans="1:23" hidden="1">
      <c r="A2430" s="81">
        <v>2428</v>
      </c>
      <c r="B2430" s="86" t="s">
        <v>1477</v>
      </c>
      <c r="C2430" s="86" t="s">
        <v>1860</v>
      </c>
      <c r="D2430" s="82" t="str">
        <f ca="1">OFFSET(Roster!$A$3,MATCH(表格1[[#This Row],[Location]]&amp;" "&amp;表格1[[#This Row],[Shop]]&amp;"*",Roster!$A$4:$A$72,0),DAY(表格1[[#This Row],[date]]),1,1)</f>
        <v>Kiko</v>
      </c>
      <c r="E2430" s="86">
        <f>MONTH(表格1[[#This Row],[date]])</f>
        <v>3</v>
      </c>
      <c r="F2430" s="90">
        <v>46082</v>
      </c>
      <c r="G2430" s="86" t="str">
        <f>VLOOKUP("*"&amp;表格1[[#This Row],[Input]]&amp;"*",'Ref-List'!$B:$D,2,)</f>
        <v>MM2-EG20PC(WH)</v>
      </c>
      <c r="H2430" s="86" t="str">
        <f>_xlfn.XLOOKUP(表格1[[#This Row],[Model]],表格3[Model-Input-Ref2],表格3[Product Line])</f>
        <v>輕觸式燒烤微波爐</v>
      </c>
      <c r="I2430" s="86" t="str">
        <f>_xlfn.XLOOKUP(表格1[[#This Row],[Model]],表格3[Model-Input-Ref2],表格3[大小電])</f>
        <v>細電</v>
      </c>
      <c r="J2430" s="86" t="str">
        <f>_xlfn.XLOOKUP(表格1[[#This Row],[Model]],表格3[Model-Input-Ref2],表格3[Code])</f>
        <v>MCA</v>
      </c>
      <c r="K2430" s="89" t="s">
        <v>1273</v>
      </c>
      <c r="L2430" s="86">
        <v>1</v>
      </c>
      <c r="M2430" s="87">
        <v>698</v>
      </c>
      <c r="N2430" s="85">
        <f>IFERROR(表格1[[#This Row],[QTY]]*表格1[[#This Row],[Unit Price]],"-")</f>
        <v>698</v>
      </c>
      <c r="O2430" s="86">
        <v>1510793</v>
      </c>
      <c r="R2430" s="86" t="str">
        <f>_xlfn.CONCAT(表格1[[#This Row],[Model]]," ",表格1[[#This Row],[inv no]])</f>
        <v>MM2-EG20PC(WH) 1510793</v>
      </c>
      <c r="S2430" s="86">
        <f>_xlfn.XLOOKUP(表格1[[#This Row],[Model]],表格3[Model-Input-Ref2],表格3[SRP PRICE])</f>
        <v>918</v>
      </c>
      <c r="T2430" s="43">
        <f>表格1[[#This Row],[Unit Price]]/表格1[[#This Row],[SRP]]</f>
        <v>0.76034858387799564</v>
      </c>
      <c r="U2430" s="86" t="str">
        <f>_xlfn.XLOOKUP(表格1[[#This Row],[Model]],表格3[Model-Input-Ref2],表格3[TOSHIBA/HIGHEST])</f>
        <v>Shops Highest Price</v>
      </c>
      <c r="W2430" s="86" t="str">
        <f>_xlfn.CONCAT(表格1[[#This Row],[欄4]],表格1[[#This Row],[inv no]])</f>
        <v>1510793</v>
      </c>
    </row>
    <row r="2431" spans="1:23" hidden="1">
      <c r="A2431" s="81">
        <v>2429</v>
      </c>
      <c r="B2431" s="86" t="s">
        <v>1477</v>
      </c>
      <c r="C2431" s="86" t="s">
        <v>1860</v>
      </c>
      <c r="D2431" s="82" t="str">
        <f ca="1">OFFSET(Roster!$A$3,MATCH(表格1[[#This Row],[Location]]&amp;" "&amp;表格1[[#This Row],[Shop]]&amp;"*",Roster!$A$4:$A$72,0),DAY(表格1[[#This Row],[date]]),1,1)</f>
        <v>Kiko</v>
      </c>
      <c r="E2431" s="86">
        <f>MONTH(表格1[[#This Row],[date]])</f>
        <v>3</v>
      </c>
      <c r="F2431" s="90">
        <v>46082</v>
      </c>
      <c r="G2431" s="86" t="str">
        <f>VLOOKUP("*"&amp;表格1[[#This Row],[Input]]&amp;"*",'Ref-List'!$B:$D,2,)</f>
        <v>RC-10NMFIH(WT)</v>
      </c>
      <c r="H2431" s="86" t="str">
        <f>_xlfn.XLOOKUP(表格1[[#This Row],[Model]],表格3[Model-Input-Ref2],表格3[Product Line])</f>
        <v>4毫米厚釜電飯煲1L</v>
      </c>
      <c r="I2431" s="86" t="str">
        <f>_xlfn.XLOOKUP(表格1[[#This Row],[Model]],表格3[Model-Input-Ref2],表格3[大小電])</f>
        <v>細電</v>
      </c>
      <c r="J2431" s="86" t="str">
        <f>_xlfn.XLOOKUP(表格1[[#This Row],[Model]],表格3[Model-Input-Ref2],表格3[Code])</f>
        <v>SDA</v>
      </c>
      <c r="K2431" s="89" t="s">
        <v>1244</v>
      </c>
      <c r="L2431" s="86">
        <v>1</v>
      </c>
      <c r="M2431" s="87">
        <v>719</v>
      </c>
      <c r="N2431" s="85">
        <f>IFERROR(表格1[[#This Row],[QTY]]*表格1[[#This Row],[Unit Price]],"-")</f>
        <v>719</v>
      </c>
      <c r="O2431" s="86">
        <v>1718269</v>
      </c>
      <c r="R2431" s="86" t="str">
        <f>_xlfn.CONCAT(表格1[[#This Row],[Model]]," ",表格1[[#This Row],[inv no]])</f>
        <v>RC-10NMFIH(WT) 1718269</v>
      </c>
      <c r="S2431" s="86">
        <f>_xlfn.XLOOKUP(表格1[[#This Row],[Model]],表格3[Model-Input-Ref2],表格3[SRP PRICE])</f>
        <v>898</v>
      </c>
      <c r="T2431" s="43">
        <f>表格1[[#This Row],[Unit Price]]/表格1[[#This Row],[SRP]]</f>
        <v>0.80066815144766146</v>
      </c>
      <c r="U2431" s="86" t="str">
        <f>_xlfn.XLOOKUP(表格1[[#This Row],[Model]],表格3[Model-Input-Ref2],表格3[TOSHIBA/HIGHEST])</f>
        <v>Toshiba SRP</v>
      </c>
      <c r="W2431" s="86" t="str">
        <f>_xlfn.CONCAT(表格1[[#This Row],[欄4]],表格1[[#This Row],[inv no]])</f>
        <v>1718269</v>
      </c>
    </row>
    <row r="2432" spans="1:23" hidden="1">
      <c r="A2432" s="81">
        <v>2430</v>
      </c>
      <c r="B2432" s="86" t="s">
        <v>1477</v>
      </c>
      <c r="C2432" s="86" t="s">
        <v>1860</v>
      </c>
      <c r="D2432" s="82" t="str">
        <f ca="1">OFFSET(Roster!$A$3,MATCH(表格1[[#This Row],[Location]]&amp;" "&amp;表格1[[#This Row],[Shop]]&amp;"*",Roster!$A$4:$A$72,0),DAY(表格1[[#This Row],[date]]),1,1)</f>
        <v>Kiko</v>
      </c>
      <c r="E2432" s="86">
        <f>MONTH(表格1[[#This Row],[date]])</f>
        <v>3</v>
      </c>
      <c r="F2432" s="90">
        <v>46082</v>
      </c>
      <c r="G2432" s="86" t="str">
        <f>VLOOKUP("*"&amp;表格1[[#This Row],[Input]]&amp;"*",'Ref-List'!$B:$D,2,)</f>
        <v>RC-10BHH(W)</v>
      </c>
      <c r="H2432" s="86" t="str">
        <f>_xlfn.XLOOKUP(表格1[[#This Row],[Model]],表格3[Model-Input-Ref2],表格3[Product Line])</f>
        <v>酵活炊磁應電飯煲</v>
      </c>
      <c r="I2432" s="86" t="str">
        <f>_xlfn.XLOOKUP(表格1[[#This Row],[Model]],表格3[Model-Input-Ref2],表格3[大小電])</f>
        <v>細電</v>
      </c>
      <c r="J2432" s="86" t="str">
        <f>_xlfn.XLOOKUP(表格1[[#This Row],[Model]],表格3[Model-Input-Ref2],表格3[Code])</f>
        <v>SDA</v>
      </c>
      <c r="K2432" s="89" t="s">
        <v>1269</v>
      </c>
      <c r="L2432" s="86">
        <v>1</v>
      </c>
      <c r="M2432" s="87">
        <v>1888</v>
      </c>
      <c r="N2432" s="85">
        <f>IFERROR(表格1[[#This Row],[QTY]]*表格1[[#This Row],[Unit Price]],"-")</f>
        <v>1888</v>
      </c>
      <c r="O2432" s="86">
        <v>1718206</v>
      </c>
      <c r="R2432" s="86" t="str">
        <f>_xlfn.CONCAT(表格1[[#This Row],[Model]]," ",表格1[[#This Row],[inv no]])</f>
        <v>RC-10BHH(W) 1718206</v>
      </c>
      <c r="S2432" s="86">
        <f>_xlfn.XLOOKUP(表格1[[#This Row],[Model]],表格3[Model-Input-Ref2],表格3[SRP PRICE])</f>
        <v>2088</v>
      </c>
      <c r="T2432" s="43">
        <f>表格1[[#This Row],[Unit Price]]/表格1[[#This Row],[SRP]]</f>
        <v>0.90421455938697315</v>
      </c>
      <c r="U2432" s="86" t="str">
        <f>_xlfn.XLOOKUP(表格1[[#This Row],[Model]],表格3[Model-Input-Ref2],表格3[TOSHIBA/HIGHEST])</f>
        <v>Shops Highest Price</v>
      </c>
      <c r="W2432" s="86" t="str">
        <f>_xlfn.CONCAT(表格1[[#This Row],[欄4]],表格1[[#This Row],[inv no]])</f>
        <v>1718206</v>
      </c>
    </row>
    <row r="2433" spans="1:23" hidden="1">
      <c r="A2433" s="81">
        <v>2431</v>
      </c>
      <c r="B2433" s="86" t="s">
        <v>1477</v>
      </c>
      <c r="C2433" s="86" t="s">
        <v>1860</v>
      </c>
      <c r="D2433" s="82" t="str">
        <f ca="1">OFFSET(Roster!$A$3,MATCH(表格1[[#This Row],[Location]]&amp;" "&amp;表格1[[#This Row],[Shop]]&amp;"*",Roster!$A$4:$A$72,0),DAY(表格1[[#This Row],[date]]),1,1)</f>
        <v>Kiko</v>
      </c>
      <c r="E2433" s="86">
        <f>MONTH(表格1[[#This Row],[date]])</f>
        <v>3</v>
      </c>
      <c r="F2433" s="90">
        <v>46083</v>
      </c>
      <c r="G2433" s="86" t="str">
        <f>VLOOKUP("*"&amp;表格1[[#This Row],[Input]]&amp;"*",'Ref-List'!$B:$D,2,)</f>
        <v>MX2-TT20SC(WH)</v>
      </c>
      <c r="H2433" s="86" t="str">
        <f>_xlfn.XLOOKUP(表格1[[#This Row],[Model]],表格3[Model-Input-Ref2],表格3[Product Line])</f>
        <v>3合1 微波蒸焗爐 (20公升)</v>
      </c>
      <c r="I2433" s="86" t="str">
        <f>_xlfn.XLOOKUP(表格1[[#This Row],[Model]],表格3[Model-Input-Ref2],表格3[大小電])</f>
        <v>細電</v>
      </c>
      <c r="J2433" s="86" t="str">
        <f>_xlfn.XLOOKUP(表格1[[#This Row],[Model]],表格3[Model-Input-Ref2],表格3[Code])</f>
        <v>MCA</v>
      </c>
      <c r="K2433" s="89" t="s">
        <v>1287</v>
      </c>
      <c r="L2433" s="86">
        <v>1</v>
      </c>
      <c r="M2433" s="87">
        <v>2580</v>
      </c>
      <c r="N2433" s="85">
        <f>IFERROR(表格1[[#This Row],[QTY]]*表格1[[#This Row],[Unit Price]],"-")</f>
        <v>2580</v>
      </c>
      <c r="O2433" s="86">
        <v>1718377</v>
      </c>
      <c r="R2433" s="86" t="str">
        <f>_xlfn.CONCAT(表格1[[#This Row],[Model]]," ",表格1[[#This Row],[inv no]])</f>
        <v>MX2-TT20SC(WH) 1718377</v>
      </c>
      <c r="S2433" s="86">
        <f>_xlfn.XLOOKUP(表格1[[#This Row],[Model]],表格3[Model-Input-Ref2],表格3[SRP PRICE])</f>
        <v>3580</v>
      </c>
      <c r="T2433" s="43">
        <f>表格1[[#This Row],[Unit Price]]/表格1[[#This Row],[SRP]]</f>
        <v>0.72067039106145248</v>
      </c>
      <c r="U2433" s="86" t="str">
        <f>_xlfn.XLOOKUP(表格1[[#This Row],[Model]],表格3[Model-Input-Ref2],表格3[TOSHIBA/HIGHEST])</f>
        <v>Toshiba SRP</v>
      </c>
      <c r="W2433" s="86" t="str">
        <f>_xlfn.CONCAT(表格1[[#This Row],[欄4]],表格1[[#This Row],[inv no]])</f>
        <v>1718377</v>
      </c>
    </row>
    <row r="2434" spans="1:23" hidden="1">
      <c r="A2434" s="81">
        <v>2432</v>
      </c>
      <c r="B2434" s="86" t="s">
        <v>1477</v>
      </c>
      <c r="C2434" s="86" t="s">
        <v>1860</v>
      </c>
      <c r="D2434" s="82" t="str">
        <f ca="1">OFFSET(Roster!$A$3,MATCH(表格1[[#This Row],[Location]]&amp;" "&amp;表格1[[#This Row],[Shop]]&amp;"*",Roster!$A$4:$A$72,0),DAY(表格1[[#This Row],[date]]),1,1)</f>
        <v>Kiko</v>
      </c>
      <c r="E2434" s="86">
        <f>MONTH(表格1[[#This Row],[date]])</f>
        <v>3</v>
      </c>
      <c r="F2434" s="90">
        <v>46083</v>
      </c>
      <c r="G2434" s="86" t="str">
        <f>VLOOKUP("*"&amp;表格1[[#This Row],[Input]]&amp;"*",'Ref-List'!$B:$D,2,)</f>
        <v>RAD-D300H</v>
      </c>
      <c r="H2434" s="86" t="str">
        <f>_xlfn.XLOOKUP(表格1[[#This Row],[Model]],表格3[Model-Input-Ref2],表格3[Product Line])</f>
        <v>壓縮式抽濕機 (30公升)</v>
      </c>
      <c r="I2434" s="86" t="str">
        <f>_xlfn.XLOOKUP(表格1[[#This Row],[Model]],表格3[Model-Input-Ref2],表格3[大小電])</f>
        <v>細電</v>
      </c>
      <c r="J2434" s="86" t="str">
        <f>_xlfn.XLOOKUP(表格1[[#This Row],[Model]],表格3[Model-Input-Ref2],表格3[Code])</f>
        <v>RAC</v>
      </c>
      <c r="K2434" s="89" t="s">
        <v>1252</v>
      </c>
      <c r="L2434" s="86">
        <v>1</v>
      </c>
      <c r="M2434" s="87">
        <v>2280</v>
      </c>
      <c r="N2434" s="85">
        <f>IFERROR(表格1[[#This Row],[QTY]]*表格1[[#This Row],[Unit Price]],"-")</f>
        <v>2280</v>
      </c>
      <c r="O2434" s="86">
        <v>1718408</v>
      </c>
      <c r="R2434" s="86" t="str">
        <f>_xlfn.CONCAT(表格1[[#This Row],[Model]]," ",表格1[[#This Row],[inv no]])</f>
        <v>RAD-D300H 1718408</v>
      </c>
      <c r="S2434" s="86">
        <f>_xlfn.XLOOKUP(表格1[[#This Row],[Model]],表格3[Model-Input-Ref2],表格3[SRP PRICE])</f>
        <v>3380</v>
      </c>
      <c r="T2434" s="43">
        <f>表格1[[#This Row],[Unit Price]]/表格1[[#This Row],[SRP]]</f>
        <v>0.67455621301775148</v>
      </c>
      <c r="U2434" s="86" t="str">
        <f>_xlfn.XLOOKUP(表格1[[#This Row],[Model]],表格3[Model-Input-Ref2],表格3[TOSHIBA/HIGHEST])</f>
        <v>Shops Highest Price</v>
      </c>
      <c r="W2434" s="86" t="str">
        <f>_xlfn.CONCAT(表格1[[#This Row],[欄4]],表格1[[#This Row],[inv no]])</f>
        <v>1718408</v>
      </c>
    </row>
    <row r="2435" spans="1:23" hidden="1">
      <c r="A2435" s="81">
        <v>2433</v>
      </c>
      <c r="B2435" s="86" t="s">
        <v>1477</v>
      </c>
      <c r="C2435" s="86" t="s">
        <v>1860</v>
      </c>
      <c r="D2435" s="82" t="str">
        <f ca="1">OFFSET(Roster!$A$3,MATCH(表格1[[#This Row],[Location]]&amp;" "&amp;表格1[[#This Row],[Shop]]&amp;"*",Roster!$A$4:$A$72,0),DAY(表格1[[#This Row],[date]]),1,1)</f>
        <v>Kiko</v>
      </c>
      <c r="E2435" s="86">
        <f>MONTH(表格1[[#This Row],[date]])</f>
        <v>3</v>
      </c>
      <c r="F2435" s="90">
        <v>46083</v>
      </c>
      <c r="G2435" s="86" t="str">
        <f>VLOOKUP("*"&amp;表格1[[#This Row],[Input]]&amp;"*",'Ref-List'!$B:$D,2,)</f>
        <v>RAD-D300H</v>
      </c>
      <c r="H2435" s="86" t="str">
        <f>_xlfn.XLOOKUP(表格1[[#This Row],[Model]],表格3[Model-Input-Ref2],表格3[Product Line])</f>
        <v>壓縮式抽濕機 (30公升)</v>
      </c>
      <c r="I2435" s="86" t="str">
        <f>_xlfn.XLOOKUP(表格1[[#This Row],[Model]],表格3[Model-Input-Ref2],表格3[大小電])</f>
        <v>細電</v>
      </c>
      <c r="J2435" s="86" t="str">
        <f>_xlfn.XLOOKUP(表格1[[#This Row],[Model]],表格3[Model-Input-Ref2],表格3[Code])</f>
        <v>RAC</v>
      </c>
      <c r="K2435" s="89" t="s">
        <v>1252</v>
      </c>
      <c r="L2435" s="86">
        <v>1</v>
      </c>
      <c r="M2435" s="87">
        <v>2280</v>
      </c>
      <c r="N2435" s="85">
        <f>IFERROR(表格1[[#This Row],[QTY]]*表格1[[#This Row],[Unit Price]],"-")</f>
        <v>2280</v>
      </c>
      <c r="O2435" s="86">
        <v>1325808</v>
      </c>
      <c r="R2435" s="86" t="str">
        <f>_xlfn.CONCAT(表格1[[#This Row],[Model]]," ",表格1[[#This Row],[inv no]])</f>
        <v>RAD-D300H 1325808</v>
      </c>
      <c r="S2435" s="86">
        <f>_xlfn.XLOOKUP(表格1[[#This Row],[Model]],表格3[Model-Input-Ref2],表格3[SRP PRICE])</f>
        <v>3380</v>
      </c>
      <c r="T2435" s="43">
        <f>表格1[[#This Row],[Unit Price]]/表格1[[#This Row],[SRP]]</f>
        <v>0.67455621301775148</v>
      </c>
      <c r="U2435" s="86" t="str">
        <f>_xlfn.XLOOKUP(表格1[[#This Row],[Model]],表格3[Model-Input-Ref2],表格3[TOSHIBA/HIGHEST])</f>
        <v>Shops Highest Price</v>
      </c>
      <c r="W2435" s="86" t="str">
        <f>_xlfn.CONCAT(表格1[[#This Row],[欄4]],表格1[[#This Row],[inv no]])</f>
        <v>1325808</v>
      </c>
    </row>
    <row r="2436" spans="1:23" hidden="1">
      <c r="A2436" s="81">
        <v>2434</v>
      </c>
      <c r="B2436" s="86" t="s">
        <v>1477</v>
      </c>
      <c r="C2436" s="86" t="s">
        <v>1860</v>
      </c>
      <c r="D2436" s="82" t="str">
        <f ca="1">OFFSET(Roster!$A$3,MATCH(表格1[[#This Row],[Location]]&amp;" "&amp;表格1[[#This Row],[Shop]]&amp;"*",Roster!$A$4:$A$72,0),DAY(表格1[[#This Row],[date]]),1,1)</f>
        <v>Kiko</v>
      </c>
      <c r="E2436" s="86">
        <f>MONTH(表格1[[#This Row],[date]])</f>
        <v>3</v>
      </c>
      <c r="F2436" s="90">
        <v>46083</v>
      </c>
      <c r="G2436" s="86" t="str">
        <f>VLOOKUP("*"&amp;表格1[[#This Row],[Input]]&amp;"*",'Ref-List'!$B:$D,2,)</f>
        <v>RAD-D300H</v>
      </c>
      <c r="H2436" s="86" t="str">
        <f>_xlfn.XLOOKUP(表格1[[#This Row],[Model]],表格3[Model-Input-Ref2],表格3[Product Line])</f>
        <v>壓縮式抽濕機 (30公升)</v>
      </c>
      <c r="I2436" s="86" t="str">
        <f>_xlfn.XLOOKUP(表格1[[#This Row],[Model]],表格3[Model-Input-Ref2],表格3[大小電])</f>
        <v>細電</v>
      </c>
      <c r="J2436" s="86" t="str">
        <f>_xlfn.XLOOKUP(表格1[[#This Row],[Model]],表格3[Model-Input-Ref2],表格3[Code])</f>
        <v>RAC</v>
      </c>
      <c r="K2436" s="89" t="s">
        <v>1761</v>
      </c>
      <c r="L2436" s="86">
        <v>1</v>
      </c>
      <c r="M2436" s="87">
        <v>2280</v>
      </c>
      <c r="N2436" s="85">
        <f>IFERROR(表格1[[#This Row],[QTY]]*表格1[[#This Row],[Unit Price]],"-")</f>
        <v>2280</v>
      </c>
      <c r="O2436" s="86">
        <v>1718449</v>
      </c>
      <c r="R2436" s="86" t="str">
        <f>_xlfn.CONCAT(表格1[[#This Row],[Model]]," ",表格1[[#This Row],[inv no]])</f>
        <v>RAD-D300H 1718449</v>
      </c>
      <c r="S2436" s="86">
        <f>_xlfn.XLOOKUP(表格1[[#This Row],[Model]],表格3[Model-Input-Ref2],表格3[SRP PRICE])</f>
        <v>3380</v>
      </c>
      <c r="T2436" s="43">
        <f>表格1[[#This Row],[Unit Price]]/表格1[[#This Row],[SRP]]</f>
        <v>0.67455621301775148</v>
      </c>
      <c r="U2436" s="86" t="str">
        <f>_xlfn.XLOOKUP(表格1[[#This Row],[Model]],表格3[Model-Input-Ref2],表格3[TOSHIBA/HIGHEST])</f>
        <v>Shops Highest Price</v>
      </c>
      <c r="W2436" s="86" t="str">
        <f>_xlfn.CONCAT(表格1[[#This Row],[欄4]],表格1[[#This Row],[inv no]])</f>
        <v>1718449</v>
      </c>
    </row>
    <row r="2437" spans="1:23" hidden="1">
      <c r="A2437" s="81">
        <v>2435</v>
      </c>
      <c r="B2437" s="86" t="s">
        <v>1477</v>
      </c>
      <c r="C2437" s="86" t="s">
        <v>1860</v>
      </c>
      <c r="D2437" s="82" t="str">
        <f ca="1">OFFSET(Roster!$A$3,MATCH(表格1[[#This Row],[Location]]&amp;" "&amp;表格1[[#This Row],[Shop]]&amp;"*",Roster!$A$4:$A$72,0),DAY(表格1[[#This Row],[date]]),1,1)</f>
        <v>Kiko</v>
      </c>
      <c r="E2437" s="86">
        <f>MONTH(表格1[[#This Row],[date]])</f>
        <v>3</v>
      </c>
      <c r="F2437" s="90">
        <v>46083</v>
      </c>
      <c r="G2437" s="86" t="str">
        <f>VLOOKUP("*"&amp;表格1[[#This Row],[Input]]&amp;"*",'Ref-List'!$B:$D,2,)</f>
        <v>RAD-D300H</v>
      </c>
      <c r="H2437" s="86" t="str">
        <f>_xlfn.XLOOKUP(表格1[[#This Row],[Model]],表格3[Model-Input-Ref2],表格3[Product Line])</f>
        <v>壓縮式抽濕機 (30公升)</v>
      </c>
      <c r="I2437" s="86" t="str">
        <f>_xlfn.XLOOKUP(表格1[[#This Row],[Model]],表格3[Model-Input-Ref2],表格3[大小電])</f>
        <v>細電</v>
      </c>
      <c r="J2437" s="86" t="str">
        <f>_xlfn.XLOOKUP(表格1[[#This Row],[Model]],表格3[Model-Input-Ref2],表格3[Code])</f>
        <v>RAC</v>
      </c>
      <c r="K2437" s="89" t="s">
        <v>1761</v>
      </c>
      <c r="L2437" s="86">
        <v>1</v>
      </c>
      <c r="M2437" s="87">
        <v>2280</v>
      </c>
      <c r="N2437" s="85">
        <f>IFERROR(表格1[[#This Row],[QTY]]*表格1[[#This Row],[Unit Price]],"-")</f>
        <v>2280</v>
      </c>
      <c r="O2437" s="86">
        <v>1718451</v>
      </c>
      <c r="R2437" s="86" t="str">
        <f>_xlfn.CONCAT(表格1[[#This Row],[Model]]," ",表格1[[#This Row],[inv no]])</f>
        <v>RAD-D300H 1718451</v>
      </c>
      <c r="S2437" s="86">
        <f>_xlfn.XLOOKUP(表格1[[#This Row],[Model]],表格3[Model-Input-Ref2],表格3[SRP PRICE])</f>
        <v>3380</v>
      </c>
      <c r="T2437" s="43">
        <f>表格1[[#This Row],[Unit Price]]/表格1[[#This Row],[SRP]]</f>
        <v>0.67455621301775148</v>
      </c>
      <c r="U2437" s="86" t="str">
        <f>_xlfn.XLOOKUP(表格1[[#This Row],[Model]],表格3[Model-Input-Ref2],表格3[TOSHIBA/HIGHEST])</f>
        <v>Shops Highest Price</v>
      </c>
      <c r="W2437" s="86" t="str">
        <f>_xlfn.CONCAT(表格1[[#This Row],[欄4]],表格1[[#This Row],[inv no]])</f>
        <v>1718451</v>
      </c>
    </row>
    <row r="2438" spans="1:23" hidden="1">
      <c r="A2438" s="81">
        <v>2436</v>
      </c>
      <c r="B2438" s="86" t="s">
        <v>1477</v>
      </c>
      <c r="C2438" s="86" t="s">
        <v>1860</v>
      </c>
      <c r="D2438" s="82" t="str">
        <f ca="1">OFFSET(Roster!$A$3,MATCH(表格1[[#This Row],[Location]]&amp;" "&amp;表格1[[#This Row],[Shop]]&amp;"*",Roster!$A$4:$A$72,0),DAY(表格1[[#This Row],[date]]),1,1)</f>
        <v>Kiko</v>
      </c>
      <c r="E2438" s="86">
        <f>MONTH(表格1[[#This Row],[date]])</f>
        <v>3</v>
      </c>
      <c r="F2438" s="90">
        <v>46083</v>
      </c>
      <c r="G2438" s="86" t="str">
        <f>VLOOKUP("*"&amp;表格1[[#This Row],[Input]]&amp;"*",'Ref-List'!$B:$D,2,)</f>
        <v>RAD-D300H</v>
      </c>
      <c r="H2438" s="86" t="str">
        <f>_xlfn.XLOOKUP(表格1[[#This Row],[Model]],表格3[Model-Input-Ref2],表格3[Product Line])</f>
        <v>壓縮式抽濕機 (30公升)</v>
      </c>
      <c r="I2438" s="86" t="str">
        <f>_xlfn.XLOOKUP(表格1[[#This Row],[Model]],表格3[Model-Input-Ref2],表格3[大小電])</f>
        <v>細電</v>
      </c>
      <c r="J2438" s="86" t="str">
        <f>_xlfn.XLOOKUP(表格1[[#This Row],[Model]],表格3[Model-Input-Ref2],表格3[Code])</f>
        <v>RAC</v>
      </c>
      <c r="K2438" s="89" t="s">
        <v>1761</v>
      </c>
      <c r="L2438" s="86">
        <v>1</v>
      </c>
      <c r="M2438" s="87">
        <v>2280</v>
      </c>
      <c r="N2438" s="85">
        <f>IFERROR(表格1[[#This Row],[QTY]]*表格1[[#This Row],[Unit Price]],"-")</f>
        <v>2280</v>
      </c>
      <c r="O2438" s="86">
        <v>1718492</v>
      </c>
      <c r="R2438" s="86" t="str">
        <f>_xlfn.CONCAT(表格1[[#This Row],[Model]]," ",表格1[[#This Row],[inv no]])</f>
        <v>RAD-D300H 1718492</v>
      </c>
      <c r="S2438" s="86">
        <f>_xlfn.XLOOKUP(表格1[[#This Row],[Model]],表格3[Model-Input-Ref2],表格3[SRP PRICE])</f>
        <v>3380</v>
      </c>
      <c r="T2438" s="43">
        <f>表格1[[#This Row],[Unit Price]]/表格1[[#This Row],[SRP]]</f>
        <v>0.67455621301775148</v>
      </c>
      <c r="U2438" s="86" t="str">
        <f>_xlfn.XLOOKUP(表格1[[#This Row],[Model]],表格3[Model-Input-Ref2],表格3[TOSHIBA/HIGHEST])</f>
        <v>Shops Highest Price</v>
      </c>
      <c r="W2438" s="86" t="str">
        <f>_xlfn.CONCAT(表格1[[#This Row],[欄4]],表格1[[#This Row],[inv no]])</f>
        <v>1718492</v>
      </c>
    </row>
    <row r="2439" spans="1:23" hidden="1">
      <c r="A2439" s="81">
        <v>2437</v>
      </c>
      <c r="B2439" s="86" t="s">
        <v>1477</v>
      </c>
      <c r="C2439" s="86" t="s">
        <v>1860</v>
      </c>
      <c r="D2439" s="82" t="str">
        <f ca="1">OFFSET(Roster!$A$3,MATCH(表格1[[#This Row],[Location]]&amp;" "&amp;表格1[[#This Row],[Shop]]&amp;"*",Roster!$A$4:$A$72,0),DAY(表格1[[#This Row],[date]]),1,1)</f>
        <v>Kiko</v>
      </c>
      <c r="E2439" s="86">
        <f>MONTH(表格1[[#This Row],[date]])</f>
        <v>3</v>
      </c>
      <c r="F2439" s="90">
        <v>46083</v>
      </c>
      <c r="G2439" s="86" t="str">
        <f>VLOOKUP("*"&amp;表格1[[#This Row],[Input]]&amp;"*",'Ref-List'!$B:$D,2,)</f>
        <v>RAD-D300H</v>
      </c>
      <c r="H2439" s="86" t="str">
        <f>_xlfn.XLOOKUP(表格1[[#This Row],[Model]],表格3[Model-Input-Ref2],表格3[Product Line])</f>
        <v>壓縮式抽濕機 (30公升)</v>
      </c>
      <c r="I2439" s="86" t="str">
        <f>_xlfn.XLOOKUP(表格1[[#This Row],[Model]],表格3[Model-Input-Ref2],表格3[大小電])</f>
        <v>細電</v>
      </c>
      <c r="J2439" s="86" t="str">
        <f>_xlfn.XLOOKUP(表格1[[#This Row],[Model]],表格3[Model-Input-Ref2],表格3[Code])</f>
        <v>RAC</v>
      </c>
      <c r="K2439" s="89" t="s">
        <v>1761</v>
      </c>
      <c r="L2439" s="86">
        <v>1</v>
      </c>
      <c r="M2439" s="87">
        <v>2280</v>
      </c>
      <c r="N2439" s="85">
        <f>IFERROR(表格1[[#This Row],[QTY]]*表格1[[#This Row],[Unit Price]],"-")</f>
        <v>2280</v>
      </c>
      <c r="O2439" s="86">
        <v>1718511</v>
      </c>
      <c r="R2439" s="86" t="str">
        <f>_xlfn.CONCAT(表格1[[#This Row],[Model]]," ",表格1[[#This Row],[inv no]])</f>
        <v>RAD-D300H 1718511</v>
      </c>
      <c r="S2439" s="86">
        <f>_xlfn.XLOOKUP(表格1[[#This Row],[Model]],表格3[Model-Input-Ref2],表格3[SRP PRICE])</f>
        <v>3380</v>
      </c>
      <c r="T2439" s="43">
        <f>表格1[[#This Row],[Unit Price]]/表格1[[#This Row],[SRP]]</f>
        <v>0.67455621301775148</v>
      </c>
      <c r="U2439" s="86" t="str">
        <f>_xlfn.XLOOKUP(表格1[[#This Row],[Model]],表格3[Model-Input-Ref2],表格3[TOSHIBA/HIGHEST])</f>
        <v>Shops Highest Price</v>
      </c>
      <c r="W2439" s="86" t="str">
        <f>_xlfn.CONCAT(表格1[[#This Row],[欄4]],表格1[[#This Row],[inv no]])</f>
        <v>1718511</v>
      </c>
    </row>
    <row r="2440" spans="1:23" hidden="1">
      <c r="A2440" s="81">
        <v>2438</v>
      </c>
      <c r="B2440" s="86" t="s">
        <v>1477</v>
      </c>
      <c r="C2440" s="86" t="s">
        <v>1860</v>
      </c>
      <c r="D2440" s="82" t="str">
        <f ca="1">OFFSET(Roster!$A$3,MATCH(表格1[[#This Row],[Location]]&amp;" "&amp;表格1[[#This Row],[Shop]]&amp;"*",Roster!$A$4:$A$72,0),DAY(表格1[[#This Row],[date]]),1,1)</f>
        <v>Kiko</v>
      </c>
      <c r="E2440" s="86">
        <f>MONTH(表格1[[#This Row],[date]])</f>
        <v>3</v>
      </c>
      <c r="F2440" s="90">
        <v>46083</v>
      </c>
      <c r="G2440" s="86" t="str">
        <f>VLOOKUP("*"&amp;表格1[[#This Row],[Input]]&amp;"*",'Ref-List'!$B:$D,2,)</f>
        <v>RAD-D300H</v>
      </c>
      <c r="H2440" s="86" t="str">
        <f>_xlfn.XLOOKUP(表格1[[#This Row],[Model]],表格3[Model-Input-Ref2],表格3[Product Line])</f>
        <v>壓縮式抽濕機 (30公升)</v>
      </c>
      <c r="I2440" s="86" t="str">
        <f>_xlfn.XLOOKUP(表格1[[#This Row],[Model]],表格3[Model-Input-Ref2],表格3[大小電])</f>
        <v>細電</v>
      </c>
      <c r="J2440" s="86" t="str">
        <f>_xlfn.XLOOKUP(表格1[[#This Row],[Model]],表格3[Model-Input-Ref2],表格3[Code])</f>
        <v>RAC</v>
      </c>
      <c r="K2440" s="89" t="s">
        <v>1761</v>
      </c>
      <c r="L2440" s="86">
        <v>1</v>
      </c>
      <c r="M2440" s="87">
        <v>2280</v>
      </c>
      <c r="N2440" s="85">
        <f>IFERROR(表格1[[#This Row],[QTY]]*表格1[[#This Row],[Unit Price]],"-")</f>
        <v>2280</v>
      </c>
      <c r="O2440" s="86">
        <v>1718551</v>
      </c>
      <c r="R2440" s="86" t="str">
        <f>_xlfn.CONCAT(表格1[[#This Row],[Model]]," ",表格1[[#This Row],[inv no]])</f>
        <v>RAD-D300H 1718551</v>
      </c>
      <c r="S2440" s="86">
        <f>_xlfn.XLOOKUP(表格1[[#This Row],[Model]],表格3[Model-Input-Ref2],表格3[SRP PRICE])</f>
        <v>3380</v>
      </c>
      <c r="T2440" s="43">
        <f>表格1[[#This Row],[Unit Price]]/表格1[[#This Row],[SRP]]</f>
        <v>0.67455621301775148</v>
      </c>
      <c r="U2440" s="86" t="str">
        <f>_xlfn.XLOOKUP(表格1[[#This Row],[Model]],表格3[Model-Input-Ref2],表格3[TOSHIBA/HIGHEST])</f>
        <v>Shops Highest Price</v>
      </c>
      <c r="W2440" s="86" t="str">
        <f>_xlfn.CONCAT(表格1[[#This Row],[欄4]],表格1[[#This Row],[inv no]])</f>
        <v>1718551</v>
      </c>
    </row>
    <row r="2441" spans="1:23" hidden="1">
      <c r="A2441" s="81">
        <v>2439</v>
      </c>
      <c r="B2441" s="86" t="s">
        <v>1477</v>
      </c>
      <c r="C2441" s="86" t="s">
        <v>1860</v>
      </c>
      <c r="D2441" s="82" t="str">
        <f ca="1">OFFSET(Roster!$A$3,MATCH(表格1[[#This Row],[Location]]&amp;" "&amp;表格1[[#This Row],[Shop]]&amp;"*",Roster!$A$4:$A$72,0),DAY(表格1[[#This Row],[date]]),1,1)</f>
        <v>Kiko</v>
      </c>
      <c r="E2441" s="86">
        <f>MONTH(表格1[[#This Row],[date]])</f>
        <v>3</v>
      </c>
      <c r="F2441" s="90">
        <v>46083</v>
      </c>
      <c r="G2441" s="86" t="str">
        <f>VLOOKUP("*"&amp;表格1[[#This Row],[Input]]&amp;"*",'Ref-List'!$B:$D,2,)</f>
        <v>RC-10AMXH(W)</v>
      </c>
      <c r="H2441" s="86" t="str">
        <f>_xlfn.XLOOKUP(表格1[[#This Row],[Model]],表格3[Model-Input-Ref2],表格3[Product Line])</f>
        <v>酵活炊電飯煲(1.0公升)</v>
      </c>
      <c r="I2441" s="86" t="str">
        <f>_xlfn.XLOOKUP(表格1[[#This Row],[Model]],表格3[Model-Input-Ref2],表格3[大小電])</f>
        <v>細電</v>
      </c>
      <c r="J2441" s="86" t="str">
        <f>_xlfn.XLOOKUP(表格1[[#This Row],[Model]],表格3[Model-Input-Ref2],表格3[Code])</f>
        <v>SDA</v>
      </c>
      <c r="K2441" s="89" t="s">
        <v>1279</v>
      </c>
      <c r="L2441" s="86">
        <v>1</v>
      </c>
      <c r="M2441" s="87">
        <v>990</v>
      </c>
      <c r="N2441" s="85">
        <f>IFERROR(表格1[[#This Row],[QTY]]*表格1[[#This Row],[Unit Price]],"-")</f>
        <v>990</v>
      </c>
      <c r="O2441" s="86">
        <v>1718429</v>
      </c>
      <c r="R2441" s="86" t="str">
        <f>_xlfn.CONCAT(表格1[[#This Row],[Model]]," ",表格1[[#This Row],[inv no]])</f>
        <v>RC-10AMXH(W) 1718429</v>
      </c>
      <c r="S2441" s="86">
        <f>_xlfn.XLOOKUP(表格1[[#This Row],[Model]],表格3[Model-Input-Ref2],表格3[SRP PRICE])</f>
        <v>1288</v>
      </c>
      <c r="T2441" s="43">
        <f>表格1[[#This Row],[Unit Price]]/表格1[[#This Row],[SRP]]</f>
        <v>0.76863354037267084</v>
      </c>
      <c r="U2441" s="86" t="str">
        <f>_xlfn.XLOOKUP(表格1[[#This Row],[Model]],表格3[Model-Input-Ref2],表格3[TOSHIBA/HIGHEST])</f>
        <v>Toshiba SRP</v>
      </c>
      <c r="W2441" s="86" t="str">
        <f>_xlfn.CONCAT(表格1[[#This Row],[欄4]],表格1[[#This Row],[inv no]])</f>
        <v>1718429</v>
      </c>
    </row>
    <row r="2442" spans="1:23" hidden="1">
      <c r="A2442" s="81">
        <v>2440</v>
      </c>
      <c r="B2442" s="86" t="s">
        <v>1477</v>
      </c>
      <c r="C2442" s="86" t="s">
        <v>1860</v>
      </c>
      <c r="D2442" s="82" t="str">
        <f ca="1">OFFSET(Roster!$A$3,MATCH(表格1[[#This Row],[Location]]&amp;" "&amp;表格1[[#This Row],[Shop]]&amp;"*",Roster!$A$4:$A$72,0),DAY(表格1[[#This Row],[date]]),1,1)</f>
        <v>Kiko</v>
      </c>
      <c r="E2442" s="86">
        <f>MONTH(表格1[[#This Row],[date]])</f>
        <v>3</v>
      </c>
      <c r="F2442" s="90">
        <v>46084</v>
      </c>
      <c r="G2442" s="86" t="str">
        <f>VLOOKUP("*"&amp;表格1[[#This Row],[Input]]&amp;"*",'Ref-List'!$B:$D,2,)</f>
        <v>RAD-D300H</v>
      </c>
      <c r="H2442" s="86" t="str">
        <f>_xlfn.XLOOKUP(表格1[[#This Row],[Model]],表格3[Model-Input-Ref2],表格3[Product Line])</f>
        <v>壓縮式抽濕機 (30公升)</v>
      </c>
      <c r="I2442" s="86" t="str">
        <f>_xlfn.XLOOKUP(表格1[[#This Row],[Model]],表格3[Model-Input-Ref2],表格3[大小電])</f>
        <v>細電</v>
      </c>
      <c r="J2442" s="86" t="str">
        <f>_xlfn.XLOOKUP(表格1[[#This Row],[Model]],表格3[Model-Input-Ref2],表格3[Code])</f>
        <v>RAC</v>
      </c>
      <c r="K2442" s="89" t="s">
        <v>1252</v>
      </c>
      <c r="L2442" s="86">
        <v>1</v>
      </c>
      <c r="M2442" s="87">
        <v>2280</v>
      </c>
      <c r="N2442" s="85">
        <f>IFERROR(表格1[[#This Row],[QTY]]*表格1[[#This Row],[Unit Price]],"-")</f>
        <v>2280</v>
      </c>
      <c r="O2442" s="86">
        <v>1718585</v>
      </c>
      <c r="R2442" s="86" t="str">
        <f>_xlfn.CONCAT(表格1[[#This Row],[Model]]," ",表格1[[#This Row],[inv no]])</f>
        <v>RAD-D300H 1718585</v>
      </c>
      <c r="S2442" s="86">
        <f>_xlfn.XLOOKUP(表格1[[#This Row],[Model]],表格3[Model-Input-Ref2],表格3[SRP PRICE])</f>
        <v>3380</v>
      </c>
      <c r="T2442" s="43">
        <f>表格1[[#This Row],[Unit Price]]/表格1[[#This Row],[SRP]]</f>
        <v>0.67455621301775148</v>
      </c>
      <c r="U2442" s="86" t="str">
        <f>_xlfn.XLOOKUP(表格1[[#This Row],[Model]],表格3[Model-Input-Ref2],表格3[TOSHIBA/HIGHEST])</f>
        <v>Shops Highest Price</v>
      </c>
      <c r="W2442" s="86" t="str">
        <f>_xlfn.CONCAT(表格1[[#This Row],[欄4]],表格1[[#This Row],[inv no]])</f>
        <v>1718585</v>
      </c>
    </row>
    <row r="2443" spans="1:23" hidden="1">
      <c r="A2443" s="81">
        <v>2441</v>
      </c>
      <c r="B2443" s="86" t="s">
        <v>1477</v>
      </c>
      <c r="C2443" s="86" t="s">
        <v>1860</v>
      </c>
      <c r="D2443" s="82" t="str">
        <f ca="1">OFFSET(Roster!$A$3,MATCH(表格1[[#This Row],[Location]]&amp;" "&amp;表格1[[#This Row],[Shop]]&amp;"*",Roster!$A$4:$A$72,0),DAY(表格1[[#This Row],[date]]),1,1)</f>
        <v>Kiko</v>
      </c>
      <c r="E2443" s="86">
        <f>MONTH(表格1[[#This Row],[date]])</f>
        <v>3</v>
      </c>
      <c r="F2443" s="90">
        <v>46084</v>
      </c>
      <c r="G2443" s="86" t="str">
        <f>VLOOKUP("*"&amp;表格1[[#This Row],[Input]]&amp;"*",'Ref-List'!$B:$D,2,)</f>
        <v>RAD-D300H</v>
      </c>
      <c r="H2443" s="86" t="str">
        <f>_xlfn.XLOOKUP(表格1[[#This Row],[Model]],表格3[Model-Input-Ref2],表格3[Product Line])</f>
        <v>壓縮式抽濕機 (30公升)</v>
      </c>
      <c r="I2443" s="86" t="str">
        <f>_xlfn.XLOOKUP(表格1[[#This Row],[Model]],表格3[Model-Input-Ref2],表格3[大小電])</f>
        <v>細電</v>
      </c>
      <c r="J2443" s="86" t="str">
        <f>_xlfn.XLOOKUP(表格1[[#This Row],[Model]],表格3[Model-Input-Ref2],表格3[Code])</f>
        <v>RAC</v>
      </c>
      <c r="K2443" s="89" t="s">
        <v>1252</v>
      </c>
      <c r="L2443" s="86">
        <v>1</v>
      </c>
      <c r="M2443" s="87">
        <v>2280</v>
      </c>
      <c r="N2443" s="85">
        <f>IFERROR(表格1[[#This Row],[QTY]]*表格1[[#This Row],[Unit Price]],"-")</f>
        <v>2280</v>
      </c>
      <c r="O2443" s="86">
        <v>1718604</v>
      </c>
      <c r="R2443" s="86" t="str">
        <f>_xlfn.CONCAT(表格1[[#This Row],[Model]]," ",表格1[[#This Row],[inv no]])</f>
        <v>RAD-D300H 1718604</v>
      </c>
      <c r="S2443" s="86">
        <f>_xlfn.XLOOKUP(表格1[[#This Row],[Model]],表格3[Model-Input-Ref2],表格3[SRP PRICE])</f>
        <v>3380</v>
      </c>
      <c r="T2443" s="43">
        <f>表格1[[#This Row],[Unit Price]]/表格1[[#This Row],[SRP]]</f>
        <v>0.67455621301775148</v>
      </c>
      <c r="U2443" s="86" t="str">
        <f>_xlfn.XLOOKUP(表格1[[#This Row],[Model]],表格3[Model-Input-Ref2],表格3[TOSHIBA/HIGHEST])</f>
        <v>Shops Highest Price</v>
      </c>
      <c r="W2443" s="86" t="str">
        <f>_xlfn.CONCAT(表格1[[#This Row],[欄4]],表格1[[#This Row],[inv no]])</f>
        <v>1718604</v>
      </c>
    </row>
    <row r="2444" spans="1:23" hidden="1">
      <c r="A2444" s="81">
        <v>2442</v>
      </c>
      <c r="B2444" s="86" t="s">
        <v>1477</v>
      </c>
      <c r="C2444" s="86" t="s">
        <v>1860</v>
      </c>
      <c r="D2444" s="82" t="str">
        <f ca="1">OFFSET(Roster!$A$3,MATCH(表格1[[#This Row],[Location]]&amp;" "&amp;表格1[[#This Row],[Shop]]&amp;"*",Roster!$A$4:$A$72,0),DAY(表格1[[#This Row],[date]]),1,1)</f>
        <v>Kiko</v>
      </c>
      <c r="E2444" s="86">
        <f>MONTH(表格1[[#This Row],[date]])</f>
        <v>3</v>
      </c>
      <c r="F2444" s="90">
        <v>46084</v>
      </c>
      <c r="G2444" s="86" t="str">
        <f>VLOOKUP("*"&amp;表格1[[#This Row],[Input]]&amp;"*",'Ref-List'!$B:$D,2,)</f>
        <v>RAD-D300H</v>
      </c>
      <c r="H2444" s="86" t="str">
        <f>_xlfn.XLOOKUP(表格1[[#This Row],[Model]],表格3[Model-Input-Ref2],表格3[Product Line])</f>
        <v>壓縮式抽濕機 (30公升)</v>
      </c>
      <c r="I2444" s="86" t="str">
        <f>_xlfn.XLOOKUP(表格1[[#This Row],[Model]],表格3[Model-Input-Ref2],表格3[大小電])</f>
        <v>細電</v>
      </c>
      <c r="J2444" s="86" t="str">
        <f>_xlfn.XLOOKUP(表格1[[#This Row],[Model]],表格3[Model-Input-Ref2],表格3[Code])</f>
        <v>RAC</v>
      </c>
      <c r="K2444" s="89" t="s">
        <v>1252</v>
      </c>
      <c r="L2444" s="86">
        <v>1</v>
      </c>
      <c r="M2444" s="87">
        <v>2280</v>
      </c>
      <c r="N2444" s="85">
        <f>IFERROR(表格1[[#This Row],[QTY]]*表格1[[#This Row],[Unit Price]],"-")</f>
        <v>2280</v>
      </c>
      <c r="O2444" s="86">
        <v>1718659</v>
      </c>
      <c r="R2444" s="86" t="str">
        <f>_xlfn.CONCAT(表格1[[#This Row],[Model]]," ",表格1[[#This Row],[inv no]])</f>
        <v>RAD-D300H 1718659</v>
      </c>
      <c r="S2444" s="86">
        <f>_xlfn.XLOOKUP(表格1[[#This Row],[Model]],表格3[Model-Input-Ref2],表格3[SRP PRICE])</f>
        <v>3380</v>
      </c>
      <c r="T2444" s="43">
        <f>表格1[[#This Row],[Unit Price]]/表格1[[#This Row],[SRP]]</f>
        <v>0.67455621301775148</v>
      </c>
      <c r="U2444" s="86" t="str">
        <f>_xlfn.XLOOKUP(表格1[[#This Row],[Model]],表格3[Model-Input-Ref2],表格3[TOSHIBA/HIGHEST])</f>
        <v>Shops Highest Price</v>
      </c>
      <c r="W2444" s="86" t="str">
        <f>_xlfn.CONCAT(表格1[[#This Row],[欄4]],表格1[[#This Row],[inv no]])</f>
        <v>1718659</v>
      </c>
    </row>
    <row r="2445" spans="1:23" hidden="1">
      <c r="A2445" s="81">
        <v>2443</v>
      </c>
      <c r="B2445" s="86" t="s">
        <v>1477</v>
      </c>
      <c r="C2445" s="86" t="s">
        <v>1860</v>
      </c>
      <c r="D2445" s="82" t="str">
        <f ca="1">OFFSET(Roster!$A$3,MATCH(表格1[[#This Row],[Location]]&amp;" "&amp;表格1[[#This Row],[Shop]]&amp;"*",Roster!$A$4:$A$72,0),DAY(表格1[[#This Row],[date]]),1,1)</f>
        <v>Kiko</v>
      </c>
      <c r="E2445" s="86">
        <f>MONTH(表格1[[#This Row],[date]])</f>
        <v>3</v>
      </c>
      <c r="F2445" s="90">
        <v>46084</v>
      </c>
      <c r="G2445" s="86" t="str">
        <f>VLOOKUP("*"&amp;表格1[[#This Row],[Input]]&amp;"*",'Ref-List'!$B:$D,2,)</f>
        <v>GR-RT300WE-PMA(57)</v>
      </c>
      <c r="H2445" s="86" t="str">
        <f>_xlfn.XLOOKUP(表格1[[#This Row],[Model]],表格3[Model-Input-Ref2],表格3[Product Line])</f>
        <v>變頻式環保雙門雪櫃(233L)</v>
      </c>
      <c r="I2445" s="86" t="str">
        <f>_xlfn.XLOOKUP(表格1[[#This Row],[Model]],表格3[Model-Input-Ref2],表格3[大小電])</f>
        <v>大電</v>
      </c>
      <c r="J2445" s="86" t="str">
        <f>_xlfn.XLOOKUP(表格1[[#This Row],[Model]],表格3[Model-Input-Ref2],表格3[Code])</f>
        <v>REF</v>
      </c>
      <c r="K2445" s="89" t="s">
        <v>1462</v>
      </c>
      <c r="L2445" s="86">
        <v>1</v>
      </c>
      <c r="M2445" s="87">
        <v>2780</v>
      </c>
      <c r="N2445" s="85">
        <f>IFERROR(表格1[[#This Row],[QTY]]*表格1[[#This Row],[Unit Price]],"-")</f>
        <v>2780</v>
      </c>
      <c r="O2445" s="86">
        <v>1325848</v>
      </c>
      <c r="R2445" s="86" t="str">
        <f>_xlfn.CONCAT(表格1[[#This Row],[Model]]," ",表格1[[#This Row],[inv no]])</f>
        <v>GR-RT300WE-PMA(57) 1325848</v>
      </c>
      <c r="S2445" s="86">
        <f>_xlfn.XLOOKUP(表格1[[#This Row],[Model]],表格3[Model-Input-Ref2],表格3[SRP PRICE])</f>
        <v>4280</v>
      </c>
      <c r="T2445" s="43">
        <f>表格1[[#This Row],[Unit Price]]/表格1[[#This Row],[SRP]]</f>
        <v>0.64953271028037385</v>
      </c>
      <c r="U2445" s="86" t="str">
        <f>_xlfn.XLOOKUP(表格1[[#This Row],[Model]],表格3[Model-Input-Ref2],表格3[TOSHIBA/HIGHEST])</f>
        <v>Toshiba SRP</v>
      </c>
      <c r="W2445" s="86" t="str">
        <f>_xlfn.CONCAT(表格1[[#This Row],[欄4]],表格1[[#This Row],[inv no]])</f>
        <v>1325848</v>
      </c>
    </row>
    <row r="2446" spans="1:23" hidden="1">
      <c r="A2446" s="81">
        <v>2444</v>
      </c>
      <c r="B2446" s="86" t="s">
        <v>1477</v>
      </c>
      <c r="C2446" s="86" t="s">
        <v>1860</v>
      </c>
      <c r="D2446" s="82" t="str">
        <f ca="1">OFFSET(Roster!$A$3,MATCH(表格1[[#This Row],[Location]]&amp;" "&amp;表格1[[#This Row],[Shop]]&amp;"*",Roster!$A$4:$A$72,0),DAY(表格1[[#This Row],[date]]),1,1)</f>
        <v>Kiko</v>
      </c>
      <c r="E2446" s="86">
        <f>MONTH(表格1[[#This Row],[date]])</f>
        <v>3</v>
      </c>
      <c r="F2446" s="90">
        <v>46084</v>
      </c>
      <c r="G2446" s="86" t="str">
        <f>VLOOKUP("*"&amp;表格1[[#This Row],[Input]]&amp;"*",'Ref-List'!$B:$D,2,)</f>
        <v>RAD-D300H</v>
      </c>
      <c r="H2446" s="86" t="str">
        <f>_xlfn.XLOOKUP(表格1[[#This Row],[Model]],表格3[Model-Input-Ref2],表格3[Product Line])</f>
        <v>壓縮式抽濕機 (30公升)</v>
      </c>
      <c r="I2446" s="86" t="str">
        <f>_xlfn.XLOOKUP(表格1[[#This Row],[Model]],表格3[Model-Input-Ref2],表格3[大小電])</f>
        <v>細電</v>
      </c>
      <c r="J2446" s="86" t="str">
        <f>_xlfn.XLOOKUP(表格1[[#This Row],[Model]],表格3[Model-Input-Ref2],表格3[Code])</f>
        <v>RAC</v>
      </c>
      <c r="K2446" s="89" t="s">
        <v>1252</v>
      </c>
      <c r="L2446" s="86">
        <v>1</v>
      </c>
      <c r="M2446" s="87">
        <v>2280</v>
      </c>
      <c r="N2446" s="85">
        <f>IFERROR(表格1[[#This Row],[QTY]]*表格1[[#This Row],[Unit Price]],"-")</f>
        <v>2280</v>
      </c>
      <c r="O2446" s="86">
        <v>1718859</v>
      </c>
      <c r="P2446" s="86" t="s">
        <v>1865</v>
      </c>
      <c r="R2446" s="86" t="str">
        <f>_xlfn.CONCAT(表格1[[#This Row],[Model]]," ",表格1[[#This Row],[inv no]])</f>
        <v>RAD-D300H 1718859</v>
      </c>
      <c r="S2446" s="86">
        <f>_xlfn.XLOOKUP(表格1[[#This Row],[Model]],表格3[Model-Input-Ref2],表格3[SRP PRICE])</f>
        <v>3380</v>
      </c>
      <c r="T2446" s="43">
        <f>表格1[[#This Row],[Unit Price]]/表格1[[#This Row],[SRP]]</f>
        <v>0.67455621301775148</v>
      </c>
      <c r="U2446" s="86" t="str">
        <f>_xlfn.XLOOKUP(表格1[[#This Row],[Model]],表格3[Model-Input-Ref2],表格3[TOSHIBA/HIGHEST])</f>
        <v>Shops Highest Price</v>
      </c>
      <c r="W2446" s="86" t="str">
        <f>_xlfn.CONCAT(表格1[[#This Row],[欄4]],表格1[[#This Row],[inv no]])</f>
        <v>1718859</v>
      </c>
    </row>
    <row r="2447" spans="1:23" hidden="1">
      <c r="A2447" s="81">
        <v>2445</v>
      </c>
      <c r="B2447" s="86" t="s">
        <v>1477</v>
      </c>
      <c r="C2447" s="86" t="s">
        <v>1860</v>
      </c>
      <c r="D2447" s="82" t="str">
        <f ca="1">OFFSET(Roster!$A$3,MATCH(表格1[[#This Row],[Location]]&amp;" "&amp;表格1[[#This Row],[Shop]]&amp;"*",Roster!$A$4:$A$72,0),DAY(表格1[[#This Row],[date]]),1,1)</f>
        <v>Kiko</v>
      </c>
      <c r="E2447" s="86">
        <f>MONTH(表格1[[#This Row],[date]])</f>
        <v>3</v>
      </c>
      <c r="F2447" s="90">
        <v>46084</v>
      </c>
      <c r="G2447" s="86" t="str">
        <f>VLOOKUP("*"&amp;表格1[[#This Row],[Input]]&amp;"*",'Ref-List'!$B:$D,2,)</f>
        <v>RAD-D300H</v>
      </c>
      <c r="H2447" s="86" t="str">
        <f>_xlfn.XLOOKUP(表格1[[#This Row],[Model]],表格3[Model-Input-Ref2],表格3[Product Line])</f>
        <v>壓縮式抽濕機 (30公升)</v>
      </c>
      <c r="I2447" s="86" t="str">
        <f>_xlfn.XLOOKUP(表格1[[#This Row],[Model]],表格3[Model-Input-Ref2],表格3[大小電])</f>
        <v>細電</v>
      </c>
      <c r="J2447" s="86" t="str">
        <f>_xlfn.XLOOKUP(表格1[[#This Row],[Model]],表格3[Model-Input-Ref2],表格3[Code])</f>
        <v>RAC</v>
      </c>
      <c r="K2447" s="89" t="s">
        <v>1252</v>
      </c>
      <c r="L2447" s="86">
        <v>1</v>
      </c>
      <c r="M2447" s="87">
        <v>2280</v>
      </c>
      <c r="N2447" s="85">
        <f>IFERROR(表格1[[#This Row],[QTY]]*表格1[[#This Row],[Unit Price]],"-")</f>
        <v>2280</v>
      </c>
      <c r="O2447" s="86">
        <v>1718744</v>
      </c>
      <c r="R2447" s="86" t="str">
        <f>_xlfn.CONCAT(表格1[[#This Row],[Model]]," ",表格1[[#This Row],[inv no]])</f>
        <v>RAD-D300H 1718744</v>
      </c>
      <c r="S2447" s="86">
        <f>_xlfn.XLOOKUP(表格1[[#This Row],[Model]],表格3[Model-Input-Ref2],表格3[SRP PRICE])</f>
        <v>3380</v>
      </c>
      <c r="T2447" s="43">
        <f>表格1[[#This Row],[Unit Price]]/表格1[[#This Row],[SRP]]</f>
        <v>0.67455621301775148</v>
      </c>
      <c r="U2447" s="86" t="str">
        <f>_xlfn.XLOOKUP(表格1[[#This Row],[Model]],表格3[Model-Input-Ref2],表格3[TOSHIBA/HIGHEST])</f>
        <v>Shops Highest Price</v>
      </c>
      <c r="W2447" s="86" t="str">
        <f>_xlfn.CONCAT(表格1[[#This Row],[欄4]],表格1[[#This Row],[inv no]])</f>
        <v>1718744</v>
      </c>
    </row>
    <row r="2448" spans="1:23" hidden="1">
      <c r="A2448" s="81">
        <v>2446</v>
      </c>
      <c r="B2448" s="86" t="s">
        <v>1477</v>
      </c>
      <c r="C2448" s="86" t="s">
        <v>1860</v>
      </c>
      <c r="D2448" s="82" t="str">
        <f ca="1">OFFSET(Roster!$A$3,MATCH(表格1[[#This Row],[Location]]&amp;" "&amp;表格1[[#This Row],[Shop]]&amp;"*",Roster!$A$4:$A$72,0),DAY(表格1[[#This Row],[date]]),1,1)</f>
        <v>Kiko</v>
      </c>
      <c r="E2448" s="86">
        <f>MONTH(表格1[[#This Row],[date]])</f>
        <v>3</v>
      </c>
      <c r="F2448" s="90">
        <v>46084</v>
      </c>
      <c r="G2448" s="86" t="str">
        <f>VLOOKUP("*"&amp;表格1[[#This Row],[Input]]&amp;"*",'Ref-List'!$B:$D,2,)</f>
        <v>RAD-D300H</v>
      </c>
      <c r="H2448" s="86" t="str">
        <f>_xlfn.XLOOKUP(表格1[[#This Row],[Model]],表格3[Model-Input-Ref2],表格3[Product Line])</f>
        <v>壓縮式抽濕機 (30公升)</v>
      </c>
      <c r="I2448" s="86" t="str">
        <f>_xlfn.XLOOKUP(表格1[[#This Row],[Model]],表格3[Model-Input-Ref2],表格3[大小電])</f>
        <v>細電</v>
      </c>
      <c r="J2448" s="86" t="str">
        <f>_xlfn.XLOOKUP(表格1[[#This Row],[Model]],表格3[Model-Input-Ref2],表格3[Code])</f>
        <v>RAC</v>
      </c>
      <c r="K2448" s="89" t="s">
        <v>1252</v>
      </c>
      <c r="L2448" s="86">
        <v>1</v>
      </c>
      <c r="M2448" s="87">
        <v>2280</v>
      </c>
      <c r="N2448" s="85">
        <f>IFERROR(表格1[[#This Row],[QTY]]*表格1[[#This Row],[Unit Price]],"-")</f>
        <v>2280</v>
      </c>
      <c r="O2448" s="86">
        <v>1325860</v>
      </c>
      <c r="R2448" s="86" t="str">
        <f>_xlfn.CONCAT(表格1[[#This Row],[Model]]," ",表格1[[#This Row],[inv no]])</f>
        <v>RAD-D300H 1325860</v>
      </c>
      <c r="S2448" s="86">
        <f>_xlfn.XLOOKUP(表格1[[#This Row],[Model]],表格3[Model-Input-Ref2],表格3[SRP PRICE])</f>
        <v>3380</v>
      </c>
      <c r="T2448" s="43">
        <f>表格1[[#This Row],[Unit Price]]/表格1[[#This Row],[SRP]]</f>
        <v>0.67455621301775148</v>
      </c>
      <c r="U2448" s="86" t="str">
        <f>_xlfn.XLOOKUP(表格1[[#This Row],[Model]],表格3[Model-Input-Ref2],表格3[TOSHIBA/HIGHEST])</f>
        <v>Shops Highest Price</v>
      </c>
      <c r="W2448" s="86" t="str">
        <f>_xlfn.CONCAT(表格1[[#This Row],[欄4]],表格1[[#This Row],[inv no]])</f>
        <v>1325860</v>
      </c>
    </row>
    <row r="2449" spans="1:23" hidden="1">
      <c r="A2449" s="81">
        <v>2447</v>
      </c>
      <c r="B2449" s="86" t="s">
        <v>1477</v>
      </c>
      <c r="C2449" s="86" t="s">
        <v>1860</v>
      </c>
      <c r="D2449" s="82" t="str">
        <f ca="1">OFFSET(Roster!$A$3,MATCH(表格1[[#This Row],[Location]]&amp;" "&amp;表格1[[#This Row],[Shop]]&amp;"*",Roster!$A$4:$A$72,0),DAY(表格1[[#This Row],[date]]),1,1)</f>
        <v>Kiko</v>
      </c>
      <c r="E2449" s="86">
        <f>MONTH(表格1[[#This Row],[date]])</f>
        <v>3</v>
      </c>
      <c r="F2449" s="90">
        <v>46084</v>
      </c>
      <c r="G2449" s="86" t="str">
        <f>VLOOKUP("*"&amp;表格1[[#This Row],[Input]]&amp;"*",'Ref-List'!$B:$D,2,)</f>
        <v>GR-RB410WE-PMA(06)</v>
      </c>
      <c r="H2449" s="86" t="str">
        <f>_xlfn.XLOOKUP(表格1[[#This Row],[Model]],表格3[Model-Input-Ref2],表格3[Product Line])</f>
        <v>雙門雪櫃</v>
      </c>
      <c r="I2449" s="86" t="str">
        <f>_xlfn.XLOOKUP(表格1[[#This Row],[Model]],表格3[Model-Input-Ref2],表格3[大小電])</f>
        <v>大電</v>
      </c>
      <c r="J2449" s="86" t="str">
        <f>_xlfn.XLOOKUP(表格1[[#This Row],[Model]],表格3[Model-Input-Ref2],表格3[Code])</f>
        <v>REF</v>
      </c>
      <c r="K2449" s="89" t="s">
        <v>1775</v>
      </c>
      <c r="L2449" s="86">
        <v>1</v>
      </c>
      <c r="M2449" s="87">
        <v>3890</v>
      </c>
      <c r="N2449" s="85">
        <f>IFERROR(表格1[[#This Row],[QTY]]*表格1[[#This Row],[Unit Price]],"-")</f>
        <v>3890</v>
      </c>
      <c r="O2449" s="86">
        <v>1718772</v>
      </c>
      <c r="R2449" s="86" t="str">
        <f>_xlfn.CONCAT(表格1[[#This Row],[Model]]," ",表格1[[#This Row],[inv no]])</f>
        <v>GR-RB410WE-PMA(06) 1718772</v>
      </c>
      <c r="S2449" s="86">
        <f>_xlfn.XLOOKUP(表格1[[#This Row],[Model]],表格3[Model-Input-Ref2],表格3[SRP PRICE])</f>
        <v>4000</v>
      </c>
      <c r="T2449" s="43">
        <f>表格1[[#This Row],[Unit Price]]/表格1[[#This Row],[SRP]]</f>
        <v>0.97250000000000003</v>
      </c>
      <c r="U2449" s="86" t="str">
        <f>_xlfn.XLOOKUP(表格1[[#This Row],[Model]],表格3[Model-Input-Ref2],表格3[TOSHIBA/HIGHEST])</f>
        <v>Shops Highest Price</v>
      </c>
      <c r="W2449" s="86" t="str">
        <f>_xlfn.CONCAT(表格1[[#This Row],[欄4]],表格1[[#This Row],[inv no]])</f>
        <v>1718772</v>
      </c>
    </row>
    <row r="2450" spans="1:23" hidden="1">
      <c r="A2450" s="81">
        <v>2448</v>
      </c>
      <c r="B2450" s="86" t="s">
        <v>1477</v>
      </c>
      <c r="C2450" s="86" t="s">
        <v>1860</v>
      </c>
      <c r="D2450" s="82" t="str">
        <f ca="1">OFFSET(Roster!$A$3,MATCH(表格1[[#This Row],[Location]]&amp;" "&amp;表格1[[#This Row],[Shop]]&amp;"*",Roster!$A$4:$A$72,0),DAY(表格1[[#This Row],[date]]),1,1)</f>
        <v>Kiko</v>
      </c>
      <c r="E2450" s="86">
        <f>MONTH(表格1[[#This Row],[date]])</f>
        <v>3</v>
      </c>
      <c r="F2450" s="90">
        <v>46084</v>
      </c>
      <c r="G2450" s="86" t="str">
        <f>VLOOKUP("*"&amp;表格1[[#This Row],[Input]]&amp;"*",'Ref-List'!$B:$D,2,)</f>
        <v>MV-AG21TF(BK)</v>
      </c>
      <c r="H2450" s="86" t="str">
        <f>_xlfn.XLOOKUP(表格1[[#This Row],[Model]],表格3[Model-Input-Ref2],表格3[Product Line])</f>
        <v>燒烤微波爐21L</v>
      </c>
      <c r="I2450" s="86" t="str">
        <f>_xlfn.XLOOKUP(表格1[[#This Row],[Model]],表格3[Model-Input-Ref2],表格3[大小電])</f>
        <v>細電</v>
      </c>
      <c r="J2450" s="86" t="str">
        <f>_xlfn.XLOOKUP(表格1[[#This Row],[Model]],表格3[Model-Input-Ref2],表格3[Code])</f>
        <v>SDA</v>
      </c>
      <c r="K2450" s="89" t="s">
        <v>1486</v>
      </c>
      <c r="L2450" s="86">
        <v>1</v>
      </c>
      <c r="M2450" s="87">
        <v>798</v>
      </c>
      <c r="N2450" s="85">
        <f>IFERROR(表格1[[#This Row],[QTY]]*表格1[[#This Row],[Unit Price]],"-")</f>
        <v>798</v>
      </c>
      <c r="O2450" s="86">
        <v>1718666</v>
      </c>
      <c r="R2450" s="86" t="str">
        <f>_xlfn.CONCAT(表格1[[#This Row],[Model]]," ",表格1[[#This Row],[inv no]])</f>
        <v>MV-AG21TF(BK) 1718666</v>
      </c>
      <c r="S2450" s="86">
        <f>_xlfn.XLOOKUP(表格1[[#This Row],[Model]],表格3[Model-Input-Ref2],表格3[SRP PRICE])</f>
        <v>1098</v>
      </c>
      <c r="T2450" s="43">
        <f>表格1[[#This Row],[Unit Price]]/表格1[[#This Row],[SRP]]</f>
        <v>0.72677595628415304</v>
      </c>
      <c r="U2450" s="86" t="str">
        <f>_xlfn.XLOOKUP(表格1[[#This Row],[Model]],表格3[Model-Input-Ref2],表格3[TOSHIBA/HIGHEST])</f>
        <v>Toshiba SRP</v>
      </c>
      <c r="W2450" s="86" t="str">
        <f>_xlfn.CONCAT(表格1[[#This Row],[欄4]],表格1[[#This Row],[inv no]])</f>
        <v>1718666</v>
      </c>
    </row>
    <row r="2451" spans="1:23" hidden="1">
      <c r="A2451" s="81">
        <v>2449</v>
      </c>
      <c r="B2451" s="86" t="s">
        <v>1477</v>
      </c>
      <c r="C2451" s="86" t="s">
        <v>1860</v>
      </c>
      <c r="D2451" s="82" t="str">
        <f ca="1">OFFSET(Roster!$A$3,MATCH(表格1[[#This Row],[Location]]&amp;" "&amp;表格1[[#This Row],[Shop]]&amp;"*",Roster!$A$4:$A$72,0),DAY(表格1[[#This Row],[date]]),1,1)</f>
        <v>Kiko</v>
      </c>
      <c r="E2451" s="86">
        <f>MONTH(表格1[[#This Row],[date]])</f>
        <v>3</v>
      </c>
      <c r="F2451" s="90">
        <v>46084</v>
      </c>
      <c r="G2451" s="86" t="str">
        <f>VLOOKUP("*"&amp;表格1[[#This Row],[Input]]&amp;"*",'Ref-List'!$B:$D,2,)</f>
        <v>RC-10DRNH</v>
      </c>
      <c r="H2451" s="86" t="str">
        <f>_xlfn.XLOOKUP(表格1[[#This Row],[Model]],表格3[Model-Input-Ref2],表格3[Product Line])</f>
        <v>多功能備長炭本厚釜電飯煲1L</v>
      </c>
      <c r="I2451" s="86" t="str">
        <f>_xlfn.XLOOKUP(表格1[[#This Row],[Model]],表格3[Model-Input-Ref2],表格3[大小電])</f>
        <v>細電</v>
      </c>
      <c r="J2451" s="86" t="str">
        <f>_xlfn.XLOOKUP(表格1[[#This Row],[Model]],表格3[Model-Input-Ref2],表格3[Code])</f>
        <v>SDA</v>
      </c>
      <c r="K2451" s="89" t="s">
        <v>1376</v>
      </c>
      <c r="L2451" s="86">
        <v>1</v>
      </c>
      <c r="M2451" s="87">
        <v>499</v>
      </c>
      <c r="N2451" s="85">
        <f>IFERROR(表格1[[#This Row],[QTY]]*表格1[[#This Row],[Unit Price]],"-")</f>
        <v>499</v>
      </c>
      <c r="O2451" s="86">
        <v>1718610</v>
      </c>
      <c r="R2451" s="86" t="str">
        <f>_xlfn.CONCAT(表格1[[#This Row],[Model]]," ",表格1[[#This Row],[inv no]])</f>
        <v>RC-10DRNH 1718610</v>
      </c>
      <c r="S2451" s="86">
        <f>_xlfn.XLOOKUP(表格1[[#This Row],[Model]],表格3[Model-Input-Ref2],表格3[SRP PRICE])</f>
        <v>798</v>
      </c>
      <c r="T2451" s="43">
        <f>表格1[[#This Row],[Unit Price]]/表格1[[#This Row],[SRP]]</f>
        <v>0.62531328320802004</v>
      </c>
      <c r="U2451" s="86" t="str">
        <f>_xlfn.XLOOKUP(表格1[[#This Row],[Model]],表格3[Model-Input-Ref2],表格3[TOSHIBA/HIGHEST])</f>
        <v>Toshiba SRP</v>
      </c>
      <c r="W2451" s="86" t="str">
        <f>_xlfn.CONCAT(表格1[[#This Row],[欄4]],表格1[[#This Row],[inv no]])</f>
        <v>1718610</v>
      </c>
    </row>
    <row r="2452" spans="1:23" hidden="1">
      <c r="A2452" s="81">
        <v>2450</v>
      </c>
      <c r="B2452" s="86" t="s">
        <v>1477</v>
      </c>
      <c r="C2452" s="86" t="s">
        <v>1860</v>
      </c>
      <c r="D2452" s="82" t="str">
        <f ca="1">OFFSET(Roster!$A$3,MATCH(表格1[[#This Row],[Location]]&amp;" "&amp;表格1[[#This Row],[Shop]]&amp;"*",Roster!$A$4:$A$72,0),DAY(表格1[[#This Row],[date]]),1,1)</f>
        <v>Kiko</v>
      </c>
      <c r="E2452" s="86">
        <f>MONTH(表格1[[#This Row],[date]])</f>
        <v>3</v>
      </c>
      <c r="F2452" s="90">
        <v>46084</v>
      </c>
      <c r="G2452" s="86" t="str">
        <f>VLOOKUP("*"&amp;表格1[[#This Row],[Input]]&amp;"*",'Ref-List'!$B:$D,2,)</f>
        <v>KT-15DRRH</v>
      </c>
      <c r="H2452" s="86" t="str">
        <f>_xlfn.XLOOKUP(表格1[[#This Row],[Model]],表格3[Model-Input-Ref2],表格3[Product Line])</f>
        <v>1.5L無線雙層電熱水壺</v>
      </c>
      <c r="I2452" s="86" t="str">
        <f>_xlfn.XLOOKUP(表格1[[#This Row],[Model]],表格3[Model-Input-Ref2],表格3[大小電])</f>
        <v>細電</v>
      </c>
      <c r="J2452" s="86" t="str">
        <f>_xlfn.XLOOKUP(表格1[[#This Row],[Model]],表格3[Model-Input-Ref2],表格3[Code])</f>
        <v>SDA</v>
      </c>
      <c r="K2452" s="89" t="s">
        <v>1488</v>
      </c>
      <c r="L2452" s="86">
        <v>1</v>
      </c>
      <c r="M2452" s="87">
        <v>268</v>
      </c>
      <c r="N2452" s="85">
        <f>IFERROR(表格1[[#This Row],[QTY]]*表格1[[#This Row],[Unit Price]],"-")</f>
        <v>268</v>
      </c>
      <c r="O2452" s="86">
        <v>1718572</v>
      </c>
      <c r="R2452" s="86" t="str">
        <f>_xlfn.CONCAT(表格1[[#This Row],[Model]]," ",表格1[[#This Row],[inv no]])</f>
        <v>KT-15DRRH 1718572</v>
      </c>
      <c r="S2452" s="86">
        <f>_xlfn.XLOOKUP(表格1[[#This Row],[Model]],表格3[Model-Input-Ref2],表格3[SRP PRICE])</f>
        <v>438</v>
      </c>
      <c r="T2452" s="43">
        <f>表格1[[#This Row],[Unit Price]]/表格1[[#This Row],[SRP]]</f>
        <v>0.61187214611872143</v>
      </c>
      <c r="U2452" s="86" t="str">
        <f>_xlfn.XLOOKUP(表格1[[#This Row],[Model]],表格3[Model-Input-Ref2],表格3[TOSHIBA/HIGHEST])</f>
        <v>Toshiba SRP</v>
      </c>
      <c r="W2452" s="86" t="str">
        <f>_xlfn.CONCAT(表格1[[#This Row],[欄4]],表格1[[#This Row],[inv no]])</f>
        <v>1718572</v>
      </c>
    </row>
    <row r="2453" spans="1:23" hidden="1">
      <c r="A2453" s="81">
        <v>2451</v>
      </c>
      <c r="B2453" s="86" t="s">
        <v>1477</v>
      </c>
      <c r="C2453" s="86" t="s">
        <v>1860</v>
      </c>
      <c r="D2453" s="82" t="str">
        <f ca="1">OFFSET(Roster!$A$3,MATCH(表格1[[#This Row],[Location]]&amp;" "&amp;表格1[[#This Row],[Shop]]&amp;"*",Roster!$A$4:$A$72,0),DAY(表格1[[#This Row],[date]]),1,1)</f>
        <v>Kiko</v>
      </c>
      <c r="E2453" s="86">
        <f>MONTH(表格1[[#This Row],[date]])</f>
        <v>3</v>
      </c>
      <c r="F2453" s="90">
        <v>46084</v>
      </c>
      <c r="G2453" s="86" t="str">
        <f>VLOOKUP("*"&amp;表格1[[#This Row],[Input]]&amp;"*",'Ref-List'!$B:$D,2,)</f>
        <v>TL-MC35Z</v>
      </c>
      <c r="H2453" s="86" t="str">
        <f>_xlfn.XLOOKUP(表格1[[#This Row],[Model]],表格3[Model-Input-Ref2],表格3[Product Line])</f>
        <v>35L多功能電焗爐</v>
      </c>
      <c r="I2453" s="86" t="str">
        <f>_xlfn.XLOOKUP(表格1[[#This Row],[Model]],表格3[Model-Input-Ref2],表格3[大小電])</f>
        <v>細電</v>
      </c>
      <c r="J2453" s="86" t="str">
        <f>_xlfn.XLOOKUP(表格1[[#This Row],[Model]],表格3[Model-Input-Ref2],表格3[Code])</f>
        <v>SDA</v>
      </c>
      <c r="K2453" s="89" t="s">
        <v>1295</v>
      </c>
      <c r="L2453" s="86">
        <v>1</v>
      </c>
      <c r="M2453" s="87">
        <v>888</v>
      </c>
      <c r="N2453" s="85">
        <f>IFERROR(表格1[[#This Row],[QTY]]*表格1[[#This Row],[Unit Price]],"-")</f>
        <v>888</v>
      </c>
      <c r="O2453" s="86">
        <v>1718587</v>
      </c>
      <c r="R2453" s="86" t="str">
        <f>_xlfn.CONCAT(表格1[[#This Row],[Model]]," ",表格1[[#This Row],[inv no]])</f>
        <v>TL-MC35Z 1718587</v>
      </c>
      <c r="S2453" s="86">
        <f>_xlfn.XLOOKUP(表格1[[#This Row],[Model]],表格3[Model-Input-Ref2],表格3[SRP PRICE])</f>
        <v>1098</v>
      </c>
      <c r="T2453" s="43">
        <f>表格1[[#This Row],[Unit Price]]/表格1[[#This Row],[SRP]]</f>
        <v>0.80874316939890711</v>
      </c>
      <c r="U2453" s="86" t="str">
        <f>_xlfn.XLOOKUP(表格1[[#This Row],[Model]],表格3[Model-Input-Ref2],表格3[TOSHIBA/HIGHEST])</f>
        <v>Toshiba SRP</v>
      </c>
      <c r="W2453" s="86" t="str">
        <f>_xlfn.CONCAT(表格1[[#This Row],[欄4]],表格1[[#This Row],[inv no]])</f>
        <v>1718587</v>
      </c>
    </row>
    <row r="2454" spans="1:23" hidden="1">
      <c r="A2454" s="81">
        <v>2452</v>
      </c>
      <c r="B2454" s="86" t="s">
        <v>1477</v>
      </c>
      <c r="C2454" s="86" t="s">
        <v>1860</v>
      </c>
      <c r="D2454" s="82" t="str">
        <f ca="1">OFFSET(Roster!$A$3,MATCH(表格1[[#This Row],[Location]]&amp;" "&amp;表格1[[#This Row],[Shop]]&amp;"*",Roster!$A$4:$A$72,0),DAY(表格1[[#This Row],[date]]),1,1)</f>
        <v>Kiko</v>
      </c>
      <c r="E2454" s="86">
        <f>MONTH(表格1[[#This Row],[date]])</f>
        <v>3</v>
      </c>
      <c r="F2454" s="90">
        <v>46084</v>
      </c>
      <c r="G2454" s="86" t="str">
        <f>VLOOKUP("*"&amp;表格1[[#This Row],[Input]]&amp;"*",'Ref-List'!$B:$D,2,)</f>
        <v>AW-Q800APH(WW)</v>
      </c>
      <c r="H2454" s="86" t="str">
        <f>_xlfn.XLOOKUP(表格1[[#This Row],[Model]],表格3[Model-Input-Ref2],表格3[Product Line])</f>
        <v>日式洗衣機 (7公斤 結合高低水位)</v>
      </c>
      <c r="I2454" s="86" t="str">
        <f>_xlfn.XLOOKUP(表格1[[#This Row],[Model]],表格3[Model-Input-Ref2],表格3[大小電])</f>
        <v>大電</v>
      </c>
      <c r="J2454" s="86" t="str">
        <f>_xlfn.XLOOKUP(表格1[[#This Row],[Model]],表格3[Model-Input-Ref2],表格3[Code])</f>
        <v>LAD</v>
      </c>
      <c r="K2454" s="89" t="s">
        <v>1479</v>
      </c>
      <c r="L2454" s="86">
        <v>1</v>
      </c>
      <c r="M2454" s="87">
        <v>2080</v>
      </c>
      <c r="N2454" s="85">
        <f>IFERROR(表格1[[#This Row],[QTY]]*表格1[[#This Row],[Unit Price]],"-")</f>
        <v>2080</v>
      </c>
      <c r="O2454" s="86">
        <v>1510885</v>
      </c>
      <c r="R2454" s="86" t="str">
        <f>_xlfn.CONCAT(表格1[[#This Row],[Model]]," ",表格1[[#This Row],[inv no]])</f>
        <v>AW-Q800APH(WW) 1510885</v>
      </c>
      <c r="S2454" s="86">
        <f>_xlfn.XLOOKUP(表格1[[#This Row],[Model]],表格3[Model-Input-Ref2],表格3[SRP PRICE])</f>
        <v>3580</v>
      </c>
      <c r="T2454" s="43">
        <f>表格1[[#This Row],[Unit Price]]/表格1[[#This Row],[SRP]]</f>
        <v>0.58100558659217882</v>
      </c>
      <c r="U2454" s="86" t="str">
        <f>_xlfn.XLOOKUP(表格1[[#This Row],[Model]],表格3[Model-Input-Ref2],表格3[TOSHIBA/HIGHEST])</f>
        <v>Toshiba SRP</v>
      </c>
      <c r="W2454" s="86" t="str">
        <f>_xlfn.CONCAT(表格1[[#This Row],[欄4]],表格1[[#This Row],[inv no]])</f>
        <v>1510885</v>
      </c>
    </row>
    <row r="2455" spans="1:23" hidden="1">
      <c r="A2455" s="81">
        <v>2453</v>
      </c>
      <c r="B2455" s="86" t="s">
        <v>1477</v>
      </c>
      <c r="C2455" s="86" t="s">
        <v>1860</v>
      </c>
      <c r="D2455" s="82" t="str">
        <f ca="1">OFFSET(Roster!$A$3,MATCH(表格1[[#This Row],[Location]]&amp;" "&amp;表格1[[#This Row],[Shop]]&amp;"*",Roster!$A$4:$A$72,0),DAY(表格1[[#This Row],[date]]),1,1)</f>
        <v>Kiko</v>
      </c>
      <c r="E2455" s="86">
        <f>MONTH(表格1[[#This Row],[date]])</f>
        <v>3</v>
      </c>
      <c r="F2455" s="90">
        <v>46084</v>
      </c>
      <c r="G2455" s="86" t="str">
        <f>VLOOKUP("*"&amp;表格1[[#This Row],[Input]]&amp;"*",'Ref-List'!$B:$D,2,)</f>
        <v>AW-Q800APH(WW)</v>
      </c>
      <c r="H2455" s="86" t="str">
        <f>_xlfn.XLOOKUP(表格1[[#This Row],[Model]],表格3[Model-Input-Ref2],表格3[Product Line])</f>
        <v>日式洗衣機 (7公斤 結合高低水位)</v>
      </c>
      <c r="I2455" s="86" t="str">
        <f>_xlfn.XLOOKUP(表格1[[#This Row],[Model]],表格3[Model-Input-Ref2],表格3[大小電])</f>
        <v>大電</v>
      </c>
      <c r="J2455" s="86" t="str">
        <f>_xlfn.XLOOKUP(表格1[[#This Row],[Model]],表格3[Model-Input-Ref2],表格3[Code])</f>
        <v>LAD</v>
      </c>
      <c r="K2455" s="89" t="s">
        <v>1479</v>
      </c>
      <c r="L2455" s="86">
        <v>1</v>
      </c>
      <c r="M2455" s="87">
        <v>2080</v>
      </c>
      <c r="N2455" s="85">
        <f>IFERROR(表格1[[#This Row],[QTY]]*表格1[[#This Row],[Unit Price]],"-")</f>
        <v>2080</v>
      </c>
      <c r="O2455" s="86">
        <v>1718911</v>
      </c>
      <c r="R2455" s="86" t="str">
        <f>_xlfn.CONCAT(表格1[[#This Row],[Model]]," ",表格1[[#This Row],[inv no]])</f>
        <v>AW-Q800APH(WW) 1718911</v>
      </c>
      <c r="S2455" s="86">
        <f>_xlfn.XLOOKUP(表格1[[#This Row],[Model]],表格3[Model-Input-Ref2],表格3[SRP PRICE])</f>
        <v>3580</v>
      </c>
      <c r="T2455" s="43">
        <f>表格1[[#This Row],[Unit Price]]/表格1[[#This Row],[SRP]]</f>
        <v>0.58100558659217882</v>
      </c>
      <c r="U2455" s="86" t="str">
        <f>_xlfn.XLOOKUP(表格1[[#This Row],[Model]],表格3[Model-Input-Ref2],表格3[TOSHIBA/HIGHEST])</f>
        <v>Toshiba SRP</v>
      </c>
      <c r="W2455" s="86" t="str">
        <f>_xlfn.CONCAT(表格1[[#This Row],[欄4]],表格1[[#This Row],[inv no]])</f>
        <v>1718911</v>
      </c>
    </row>
    <row r="2456" spans="1:23" hidden="1">
      <c r="A2456" s="81">
        <v>2454</v>
      </c>
      <c r="B2456" s="86" t="s">
        <v>1477</v>
      </c>
      <c r="C2456" s="86" t="s">
        <v>1860</v>
      </c>
      <c r="D2456" s="82" t="str">
        <f ca="1">OFFSET(Roster!$A$3,MATCH(表格1[[#This Row],[Location]]&amp;" "&amp;表格1[[#This Row],[Shop]]&amp;"*",Roster!$A$4:$A$72,0),DAY(表格1[[#This Row],[date]]),1,1)</f>
        <v>Kiko</v>
      </c>
      <c r="E2456" s="86">
        <f>MONTH(表格1[[#This Row],[date]])</f>
        <v>3</v>
      </c>
      <c r="F2456" s="90">
        <v>46084</v>
      </c>
      <c r="G2456" s="86" t="str">
        <f>VLOOKUP("*"&amp;表格1[[#This Row],[Input]]&amp;"*",'Ref-List'!$B:$D,2,)</f>
        <v>DW-05T2-HK</v>
      </c>
      <c r="H2456" s="86" t="str">
        <f>_xlfn.XLOOKUP(表格1[[#This Row],[Model]],表格3[Model-Input-Ref2],表格3[Product Line])</f>
        <v>座檯式洗碗碟機</v>
      </c>
      <c r="I2456" s="86" t="str">
        <f>_xlfn.XLOOKUP(表格1[[#This Row],[Model]],表格3[Model-Input-Ref2],表格3[大小電])</f>
        <v>細電</v>
      </c>
      <c r="J2456" s="86" t="str">
        <f>_xlfn.XLOOKUP(表格1[[#This Row],[Model]],表格3[Model-Input-Ref2],表格3[Code])</f>
        <v>DW</v>
      </c>
      <c r="K2456" s="89" t="s">
        <v>1475</v>
      </c>
      <c r="L2456" s="86">
        <v>1</v>
      </c>
      <c r="M2456" s="87">
        <v>3780</v>
      </c>
      <c r="N2456" s="85">
        <f>IFERROR(表格1[[#This Row],[QTY]]*表格1[[#This Row],[Unit Price]],"-")</f>
        <v>3780</v>
      </c>
      <c r="O2456" s="86">
        <v>1718930</v>
      </c>
      <c r="R2456" s="86" t="str">
        <f>_xlfn.CONCAT(表格1[[#This Row],[Model]]," ",表格1[[#This Row],[inv no]])</f>
        <v>DW-05T2-HK 1718930</v>
      </c>
      <c r="S2456" s="86">
        <f>_xlfn.XLOOKUP(表格1[[#This Row],[Model]],表格3[Model-Input-Ref2],表格3[SRP PRICE])</f>
        <v>4580</v>
      </c>
      <c r="T2456" s="43">
        <f>表格1[[#This Row],[Unit Price]]/表格1[[#This Row],[SRP]]</f>
        <v>0.8253275109170306</v>
      </c>
      <c r="U2456" s="86" t="str">
        <f>_xlfn.XLOOKUP(表格1[[#This Row],[Model]],表格3[Model-Input-Ref2],表格3[TOSHIBA/HIGHEST])</f>
        <v>Toshiba SRP</v>
      </c>
      <c r="W2456" s="86" t="str">
        <f>_xlfn.CONCAT(表格1[[#This Row],[欄4]],表格1[[#This Row],[inv no]])</f>
        <v>1718930</v>
      </c>
    </row>
    <row r="2457" spans="1:23" hidden="1">
      <c r="A2457" s="81">
        <v>2455</v>
      </c>
      <c r="B2457" s="86" t="s">
        <v>1477</v>
      </c>
      <c r="C2457" s="86" t="s">
        <v>1860</v>
      </c>
      <c r="D2457" s="82" t="str">
        <f ca="1">OFFSET(Roster!$A$3,MATCH(表格1[[#This Row],[Location]]&amp;" "&amp;表格1[[#This Row],[Shop]]&amp;"*",Roster!$A$4:$A$72,0),DAY(表格1[[#This Row],[date]]),1,1)</f>
        <v>Kiko</v>
      </c>
      <c r="E2457" s="86">
        <f>MONTH(表格1[[#This Row],[date]])</f>
        <v>3</v>
      </c>
      <c r="F2457" s="90">
        <v>46084</v>
      </c>
      <c r="G2457" s="86" t="str">
        <f>VLOOKUP("*"&amp;表格1[[#This Row],[Input]]&amp;"*",'Ref-List'!$B:$D,2,)</f>
        <v>RAD-DIA17HK</v>
      </c>
      <c r="H2457" s="86" t="str">
        <f>_xlfn.XLOOKUP(表格1[[#This Row],[Model]],表格3[Model-Input-Ref2],表格3[Product Line])</f>
        <v>變頻二合一空氣淨化抽濕機 (28公升)</v>
      </c>
      <c r="I2457" s="86" t="str">
        <f>_xlfn.XLOOKUP(表格1[[#This Row],[Model]],表格3[Model-Input-Ref2],表格3[大小電])</f>
        <v>大電</v>
      </c>
      <c r="J2457" s="86" t="str">
        <f>_xlfn.XLOOKUP(表格1[[#This Row],[Model]],表格3[Model-Input-Ref2],表格3[Code])</f>
        <v>RAC</v>
      </c>
      <c r="K2457" s="89" t="s">
        <v>1480</v>
      </c>
      <c r="L2457" s="86">
        <v>1</v>
      </c>
      <c r="M2457" s="87">
        <v>3580</v>
      </c>
      <c r="N2457" s="85">
        <f>IFERROR(表格1[[#This Row],[QTY]]*表格1[[#This Row],[Unit Price]],"-")</f>
        <v>3580</v>
      </c>
      <c r="O2457" s="86">
        <v>1718909</v>
      </c>
      <c r="R2457" s="86" t="str">
        <f>_xlfn.CONCAT(表格1[[#This Row],[Model]]," ",表格1[[#This Row],[inv no]])</f>
        <v>RAD-DIA17HK 1718909</v>
      </c>
      <c r="S2457" s="86">
        <f>_xlfn.XLOOKUP(表格1[[#This Row],[Model]],表格3[Model-Input-Ref2],表格3[SRP PRICE])</f>
        <v>4980</v>
      </c>
      <c r="T2457" s="43">
        <f>表格1[[#This Row],[Unit Price]]/表格1[[#This Row],[SRP]]</f>
        <v>0.71887550200803207</v>
      </c>
      <c r="U2457" s="86" t="str">
        <f>_xlfn.XLOOKUP(表格1[[#This Row],[Model]],表格3[Model-Input-Ref2],表格3[TOSHIBA/HIGHEST])</f>
        <v>Toshiba SRP</v>
      </c>
      <c r="W2457" s="86" t="str">
        <f>_xlfn.CONCAT(表格1[[#This Row],[欄4]],表格1[[#This Row],[inv no]])</f>
        <v>1718909</v>
      </c>
    </row>
    <row r="2458" spans="1:23" hidden="1">
      <c r="A2458" s="81">
        <v>2456</v>
      </c>
      <c r="B2458" s="86" t="s">
        <v>1477</v>
      </c>
      <c r="C2458" s="86" t="s">
        <v>1860</v>
      </c>
      <c r="D2458" s="82" t="str">
        <f ca="1">OFFSET(Roster!$A$3,MATCH(表格1[[#This Row],[Location]]&amp;" "&amp;表格1[[#This Row],[Shop]]&amp;"*",Roster!$A$4:$A$72,0),DAY(表格1[[#This Row],[date]]),1,1)</f>
        <v>Kiko</v>
      </c>
      <c r="E2458" s="86">
        <f>MONTH(表格1[[#This Row],[date]])</f>
        <v>3</v>
      </c>
      <c r="F2458" s="90">
        <v>46084</v>
      </c>
      <c r="G2458" s="86" t="str">
        <f>VLOOKUP("*"&amp;表格1[[#This Row],[Input]]&amp;"*",'Ref-List'!$B:$D,2,)</f>
        <v>MW2-MM24PC(BK)</v>
      </c>
      <c r="H2458" s="86" t="str">
        <f>_xlfn.XLOOKUP(表格1[[#This Row],[Model]],表格3[Model-Input-Ref2],表格3[Product Line])</f>
        <v>旋鈕式微波爐24L</v>
      </c>
      <c r="I2458" s="86" t="str">
        <f>_xlfn.XLOOKUP(表格1[[#This Row],[Model]],表格3[Model-Input-Ref2],表格3[大小電])</f>
        <v>細電</v>
      </c>
      <c r="J2458" s="86" t="str">
        <f>_xlfn.XLOOKUP(表格1[[#This Row],[Model]],表格3[Model-Input-Ref2],表格3[Code])</f>
        <v>SDA</v>
      </c>
      <c r="K2458" s="89" t="s">
        <v>1196</v>
      </c>
      <c r="L2458" s="86">
        <v>1</v>
      </c>
      <c r="M2458" s="87">
        <v>679</v>
      </c>
      <c r="N2458" s="85">
        <f>IFERROR(表格1[[#This Row],[QTY]]*表格1[[#This Row],[Unit Price]],"-")</f>
        <v>679</v>
      </c>
      <c r="O2458" s="86">
        <v>1718840</v>
      </c>
      <c r="R2458" s="86" t="str">
        <f>_xlfn.CONCAT(表格1[[#This Row],[Model]]," ",表格1[[#This Row],[inv no]])</f>
        <v>MW2-MM24PC(BK) 1718840</v>
      </c>
      <c r="S2458" s="86">
        <f>_xlfn.XLOOKUP(表格1[[#This Row],[Model]],表格3[Model-Input-Ref2],表格3[SRP PRICE])</f>
        <v>848</v>
      </c>
      <c r="T2458" s="43">
        <f>表格1[[#This Row],[Unit Price]]/表格1[[#This Row],[SRP]]</f>
        <v>0.8007075471698113</v>
      </c>
      <c r="U2458" s="86" t="str">
        <f>_xlfn.XLOOKUP(表格1[[#This Row],[Model]],表格3[Model-Input-Ref2],表格3[TOSHIBA/HIGHEST])</f>
        <v>Toshiba SRP</v>
      </c>
      <c r="W2458" s="86" t="str">
        <f>_xlfn.CONCAT(表格1[[#This Row],[欄4]],表格1[[#This Row],[inv no]])</f>
        <v>1718840</v>
      </c>
    </row>
    <row r="2459" spans="1:23" hidden="1">
      <c r="A2459" s="81">
        <v>2457</v>
      </c>
      <c r="B2459" s="86" t="s">
        <v>1477</v>
      </c>
      <c r="C2459" s="86" t="s">
        <v>1860</v>
      </c>
      <c r="D2459" s="82" t="str">
        <f ca="1">OFFSET(Roster!$A$3,MATCH(表格1[[#This Row],[Location]]&amp;" "&amp;表格1[[#This Row],[Shop]]&amp;"*",Roster!$A$4:$A$72,0),DAY(表格1[[#This Row],[date]]),1,1)</f>
        <v>Kiko</v>
      </c>
      <c r="E2459" s="86">
        <f>MONTH(表格1[[#This Row],[date]])</f>
        <v>3</v>
      </c>
      <c r="F2459" s="90">
        <v>46084</v>
      </c>
      <c r="G2459" s="86" t="str">
        <f>VLOOKUP("*"&amp;表格1[[#This Row],[Input]]&amp;"*",'Ref-List'!$B:$D,2,)</f>
        <v>MW3-SAC24SE(BK)</v>
      </c>
      <c r="H2459" s="86" t="str">
        <f>_xlfn.XLOOKUP(表格1[[#This Row],[Model]],表格3[Model-Input-Ref2],表格3[Product Line])</f>
        <v>智能氣炸烤焗爐(24公升)</v>
      </c>
      <c r="I2459" s="86" t="str">
        <f>_xlfn.XLOOKUP(表格1[[#This Row],[Model]],表格3[Model-Input-Ref2],表格3[大小電])</f>
        <v>細電</v>
      </c>
      <c r="J2459" s="86" t="str">
        <f>_xlfn.XLOOKUP(表格1[[#This Row],[Model]],表格3[Model-Input-Ref2],表格3[Code])</f>
        <v>MCA</v>
      </c>
      <c r="K2459" s="89" t="s">
        <v>1274</v>
      </c>
      <c r="L2459" s="86">
        <v>1</v>
      </c>
      <c r="M2459" s="87">
        <v>1320</v>
      </c>
      <c r="N2459" s="85">
        <f>IFERROR(表格1[[#This Row],[QTY]]*表格1[[#This Row],[Unit Price]],"-")</f>
        <v>1320</v>
      </c>
      <c r="O2459" s="86">
        <v>1718849</v>
      </c>
      <c r="R2459" s="86" t="str">
        <f>_xlfn.CONCAT(表格1[[#This Row],[Model]]," ",表格1[[#This Row],[inv no]])</f>
        <v>MW3-SAC24SE(BK) 1718849</v>
      </c>
      <c r="S2459" s="86">
        <f>_xlfn.XLOOKUP(表格1[[#This Row],[Model]],表格3[Model-Input-Ref2],表格3[SRP PRICE])</f>
        <v>1680</v>
      </c>
      <c r="T2459" s="43">
        <f>表格1[[#This Row],[Unit Price]]/表格1[[#This Row],[SRP]]</f>
        <v>0.7857142857142857</v>
      </c>
      <c r="U2459" s="86" t="str">
        <f>_xlfn.XLOOKUP(表格1[[#This Row],[Model]],表格3[Model-Input-Ref2],表格3[TOSHIBA/HIGHEST])</f>
        <v>Toshiba SRP</v>
      </c>
      <c r="W2459" s="86" t="str">
        <f>_xlfn.CONCAT(表格1[[#This Row],[欄4]],表格1[[#This Row],[inv no]])</f>
        <v>1718849</v>
      </c>
    </row>
    <row r="2460" spans="1:23" hidden="1">
      <c r="A2460" s="81">
        <v>2458</v>
      </c>
      <c r="B2460" s="86" t="s">
        <v>1477</v>
      </c>
      <c r="C2460" s="86" t="s">
        <v>1860</v>
      </c>
      <c r="D2460" s="82" t="str">
        <f ca="1">OFFSET(Roster!$A$3,MATCH(表格1[[#This Row],[Location]]&amp;" "&amp;表格1[[#This Row],[Shop]]&amp;"*",Roster!$A$4:$A$72,0),DAY(表格1[[#This Row],[date]]),1,1)</f>
        <v>Kiko</v>
      </c>
      <c r="E2460" s="86">
        <f>MONTH(表格1[[#This Row],[date]])</f>
        <v>3</v>
      </c>
      <c r="F2460" s="90">
        <v>46084</v>
      </c>
      <c r="G2460" s="86" t="str">
        <f>VLOOKUP("*"&amp;表格1[[#This Row],[Input]]&amp;"*",'Ref-List'!$B:$D,2,)</f>
        <v>MWP-MG20P(BK)</v>
      </c>
      <c r="H2460" s="86" t="str">
        <f>_xlfn.XLOOKUP(表格1[[#This Row],[Model]],表格3[Model-Input-Ref2],表格3[Product Line])</f>
        <v>旋鈕式燒烤微波爐20L黑色</v>
      </c>
      <c r="I2460" s="86" t="str">
        <f>_xlfn.XLOOKUP(表格1[[#This Row],[Model]],表格3[Model-Input-Ref2],表格3[大小電])</f>
        <v>細電</v>
      </c>
      <c r="J2460" s="86" t="str">
        <f>_xlfn.XLOOKUP(表格1[[#This Row],[Model]],表格3[Model-Input-Ref2],表格3[Code])</f>
        <v>SDA</v>
      </c>
      <c r="K2460" s="89" t="s">
        <v>1485</v>
      </c>
      <c r="L2460" s="86">
        <v>1</v>
      </c>
      <c r="M2460" s="87">
        <v>579</v>
      </c>
      <c r="N2460" s="85">
        <f>IFERROR(表格1[[#This Row],[QTY]]*表格1[[#This Row],[Unit Price]],"-")</f>
        <v>579</v>
      </c>
      <c r="O2460" s="86">
        <v>1718933</v>
      </c>
      <c r="R2460" s="86" t="str">
        <f>_xlfn.CONCAT(表格1[[#This Row],[Model]]," ",表格1[[#This Row],[inv no]])</f>
        <v>MWP-MG20P(BK) 1718933</v>
      </c>
      <c r="S2460" s="86">
        <f>_xlfn.XLOOKUP(表格1[[#This Row],[Model]],表格3[Model-Input-Ref2],表格3[SRP PRICE])</f>
        <v>918</v>
      </c>
      <c r="T2460" s="43">
        <f>表格1[[#This Row],[Unit Price]]/表格1[[#This Row],[SRP]]</f>
        <v>0.63071895424836599</v>
      </c>
      <c r="U2460" s="86" t="str">
        <f>_xlfn.XLOOKUP(表格1[[#This Row],[Model]],表格3[Model-Input-Ref2],表格3[TOSHIBA/HIGHEST])</f>
        <v>Toshiba SRP</v>
      </c>
      <c r="W2460" s="86" t="str">
        <f>_xlfn.CONCAT(表格1[[#This Row],[欄4]],表格1[[#This Row],[inv no]])</f>
        <v>1718933</v>
      </c>
    </row>
    <row r="2461" spans="1:23" hidden="1">
      <c r="A2461" s="81">
        <v>2459</v>
      </c>
      <c r="B2461" s="86" t="s">
        <v>1477</v>
      </c>
      <c r="C2461" s="86" t="s">
        <v>1860</v>
      </c>
      <c r="D2461" s="82" t="str">
        <f ca="1">OFFSET(Roster!$A$3,MATCH(表格1[[#This Row],[Location]]&amp;" "&amp;表格1[[#This Row],[Shop]]&amp;"*",Roster!$A$4:$A$72,0),DAY(表格1[[#This Row],[date]]),1,1)</f>
        <v>Kiko</v>
      </c>
      <c r="E2461" s="86">
        <f>MONTH(表格1[[#This Row],[date]])</f>
        <v>3</v>
      </c>
      <c r="F2461" s="90">
        <v>46084</v>
      </c>
      <c r="G2461" s="86" t="str">
        <f>VLOOKUP("*"&amp;表格1[[#This Row],[Input]]&amp;"*",'Ref-List'!$B:$D,2,)</f>
        <v>MM2-EG20PC(WH)</v>
      </c>
      <c r="H2461" s="86" t="str">
        <f>_xlfn.XLOOKUP(表格1[[#This Row],[Model]],表格3[Model-Input-Ref2],表格3[Product Line])</f>
        <v>輕觸式燒烤微波爐</v>
      </c>
      <c r="I2461" s="86" t="str">
        <f>_xlfn.XLOOKUP(表格1[[#This Row],[Model]],表格3[Model-Input-Ref2],表格3[大小電])</f>
        <v>細電</v>
      </c>
      <c r="J2461" s="86" t="str">
        <f>_xlfn.XLOOKUP(表格1[[#This Row],[Model]],表格3[Model-Input-Ref2],表格3[Code])</f>
        <v>MCA</v>
      </c>
      <c r="K2461" s="89" t="s">
        <v>1273</v>
      </c>
      <c r="L2461" s="86">
        <v>1</v>
      </c>
      <c r="M2461" s="87">
        <v>698</v>
      </c>
      <c r="N2461" s="85">
        <f>IFERROR(表格1[[#This Row],[QTY]]*表格1[[#This Row],[Unit Price]],"-")</f>
        <v>698</v>
      </c>
      <c r="O2461" s="86">
        <v>1718875</v>
      </c>
      <c r="R2461" s="86" t="str">
        <f>_xlfn.CONCAT(表格1[[#This Row],[Model]]," ",表格1[[#This Row],[inv no]])</f>
        <v>MM2-EG20PC(WH) 1718875</v>
      </c>
      <c r="S2461" s="86">
        <f>_xlfn.XLOOKUP(表格1[[#This Row],[Model]],表格3[Model-Input-Ref2],表格3[SRP PRICE])</f>
        <v>918</v>
      </c>
      <c r="T2461" s="43">
        <f>表格1[[#This Row],[Unit Price]]/表格1[[#This Row],[SRP]]</f>
        <v>0.76034858387799564</v>
      </c>
      <c r="U2461" s="86" t="str">
        <f>_xlfn.XLOOKUP(表格1[[#This Row],[Model]],表格3[Model-Input-Ref2],表格3[TOSHIBA/HIGHEST])</f>
        <v>Shops Highest Price</v>
      </c>
      <c r="W2461" s="86" t="str">
        <f>_xlfn.CONCAT(表格1[[#This Row],[欄4]],表格1[[#This Row],[inv no]])</f>
        <v>1718875</v>
      </c>
    </row>
    <row r="2462" spans="1:23" hidden="1">
      <c r="A2462" s="81">
        <v>2460</v>
      </c>
      <c r="B2462" s="86" t="s">
        <v>1477</v>
      </c>
      <c r="C2462" s="86" t="s">
        <v>1860</v>
      </c>
      <c r="D2462" s="82" t="str">
        <f ca="1">OFFSET(Roster!$A$3,MATCH(表格1[[#This Row],[Location]]&amp;" "&amp;表格1[[#This Row],[Shop]]&amp;"*",Roster!$A$4:$A$72,0),DAY(表格1[[#This Row],[date]]),1,1)</f>
        <v>Kiko</v>
      </c>
      <c r="E2462" s="86">
        <f>MONTH(表格1[[#This Row],[date]])</f>
        <v>3</v>
      </c>
      <c r="F2462" s="90">
        <v>46084</v>
      </c>
      <c r="G2462" s="86" t="str">
        <f>VLOOKUP("*"&amp;表格1[[#This Row],[Input]]&amp;"*",'Ref-List'!$B:$D,2,)</f>
        <v>MM2-EM20PC(WH)</v>
      </c>
      <c r="H2462" s="86" t="str">
        <f>_xlfn.XLOOKUP(表格1[[#This Row],[Model]],表格3[Model-Input-Ref2],表格3[Product Line])</f>
        <v>輕觸式微波爐 (20公升)</v>
      </c>
      <c r="I2462" s="86" t="str">
        <f>_xlfn.XLOOKUP(表格1[[#This Row],[Model]],表格3[Model-Input-Ref2],表格3[大小電])</f>
        <v>細電</v>
      </c>
      <c r="J2462" s="86" t="str">
        <f>_xlfn.XLOOKUP(表格1[[#This Row],[Model]],表格3[Model-Input-Ref2],表格3[Code])</f>
        <v>MCA</v>
      </c>
      <c r="K2462" s="89" t="s">
        <v>1276</v>
      </c>
      <c r="L2462" s="86">
        <v>1</v>
      </c>
      <c r="M2462" s="87">
        <v>638</v>
      </c>
      <c r="N2462" s="85">
        <f>IFERROR(表格1[[#This Row],[QTY]]*表格1[[#This Row],[Unit Price]],"-")</f>
        <v>638</v>
      </c>
      <c r="O2462" s="86">
        <v>1510904</v>
      </c>
      <c r="R2462" s="86" t="str">
        <f>_xlfn.CONCAT(表格1[[#This Row],[Model]]," ",表格1[[#This Row],[inv no]])</f>
        <v>MM2-EM20PC(WH) 1510904</v>
      </c>
      <c r="S2462" s="86">
        <f>_xlfn.XLOOKUP(表格1[[#This Row],[Model]],表格3[Model-Input-Ref2],表格3[SRP PRICE])</f>
        <v>788</v>
      </c>
      <c r="T2462" s="43">
        <f>表格1[[#This Row],[Unit Price]]/表格1[[#This Row],[SRP]]</f>
        <v>0.80964467005076146</v>
      </c>
      <c r="U2462" s="86" t="str">
        <f>_xlfn.XLOOKUP(表格1[[#This Row],[Model]],表格3[Model-Input-Ref2],表格3[TOSHIBA/HIGHEST])</f>
        <v>Toshiba SRP</v>
      </c>
      <c r="W2462" s="86" t="str">
        <f>_xlfn.CONCAT(表格1[[#This Row],[欄4]],表格1[[#This Row],[inv no]])</f>
        <v>1510904</v>
      </c>
    </row>
    <row r="2463" spans="1:23" hidden="1">
      <c r="A2463" s="81">
        <v>2461</v>
      </c>
      <c r="B2463" s="86" t="s">
        <v>1477</v>
      </c>
      <c r="C2463" s="86" t="s">
        <v>1860</v>
      </c>
      <c r="D2463" s="82" t="str">
        <f ca="1">OFFSET(Roster!$A$3,MATCH(表格1[[#This Row],[Location]]&amp;" "&amp;表格1[[#This Row],[Shop]]&amp;"*",Roster!$A$4:$A$72,0),DAY(表格1[[#This Row],[date]]),1,1)</f>
        <v>Kiko</v>
      </c>
      <c r="E2463" s="86">
        <f>MONTH(表格1[[#This Row],[date]])</f>
        <v>3</v>
      </c>
      <c r="F2463" s="90">
        <v>46088</v>
      </c>
      <c r="G2463" s="86" t="str">
        <f>VLOOKUP("*"&amp;表格1[[#This Row],[Input]]&amp;"*",'Ref-List'!$B:$D,2,)</f>
        <v>TP-50DRUHK(W)</v>
      </c>
      <c r="H2463" s="86" t="str">
        <f>_xlfn.XLOOKUP(表格1[[#This Row],[Model]],表格3[Model-Input-Ref2],表格3[Product Line])</f>
        <v>電熱水瓶 (5公升)</v>
      </c>
      <c r="I2463" s="86" t="str">
        <f>_xlfn.XLOOKUP(表格1[[#This Row],[Model]],表格3[Model-Input-Ref2],表格3[大小電])</f>
        <v>細電</v>
      </c>
      <c r="J2463" s="86" t="str">
        <f>_xlfn.XLOOKUP(表格1[[#This Row],[Model]],表格3[Model-Input-Ref2],表格3[Code])</f>
        <v>SDA</v>
      </c>
      <c r="K2463" s="89" t="s">
        <v>1277</v>
      </c>
      <c r="L2463" s="86">
        <v>1</v>
      </c>
      <c r="M2463" s="87">
        <v>598</v>
      </c>
      <c r="N2463" s="85">
        <f>IFERROR(表格1[[#This Row],[QTY]]*表格1[[#This Row],[Unit Price]],"-")</f>
        <v>598</v>
      </c>
      <c r="O2463" s="86">
        <v>1718865</v>
      </c>
      <c r="R2463" s="86" t="str">
        <f>_xlfn.CONCAT(表格1[[#This Row],[Model]]," ",表格1[[#This Row],[inv no]])</f>
        <v>TP-50DRUHK(W) 1718865</v>
      </c>
      <c r="S2463" s="86">
        <f>_xlfn.XLOOKUP(表格1[[#This Row],[Model]],表格3[Model-Input-Ref2],表格3[SRP PRICE])</f>
        <v>718</v>
      </c>
      <c r="T2463" s="43">
        <f>表格1[[#This Row],[Unit Price]]/表格1[[#This Row],[SRP]]</f>
        <v>0.83286908077994426</v>
      </c>
      <c r="U2463" s="86" t="str">
        <f>_xlfn.XLOOKUP(表格1[[#This Row],[Model]],表格3[Model-Input-Ref2],表格3[TOSHIBA/HIGHEST])</f>
        <v>Toshiba SRP</v>
      </c>
      <c r="W2463" s="86" t="str">
        <f>_xlfn.CONCAT(表格1[[#This Row],[欄4]],表格1[[#This Row],[inv no]])</f>
        <v>1718865</v>
      </c>
    </row>
    <row r="2464" spans="1:23" hidden="1">
      <c r="A2464" s="81">
        <v>2462</v>
      </c>
      <c r="B2464" s="86" t="s">
        <v>1477</v>
      </c>
      <c r="C2464" s="86" t="s">
        <v>1860</v>
      </c>
      <c r="D2464" s="82" t="str">
        <f ca="1">OFFSET(Roster!$A$3,MATCH(表格1[[#This Row],[Location]]&amp;" "&amp;表格1[[#This Row],[Shop]]&amp;"*",Roster!$A$4:$A$72,0),DAY(表格1[[#This Row],[date]]),1,1)</f>
        <v>Kiko</v>
      </c>
      <c r="E2464" s="86">
        <f>MONTH(表格1[[#This Row],[date]])</f>
        <v>3</v>
      </c>
      <c r="F2464" s="90">
        <v>46088</v>
      </c>
      <c r="G2464" s="86" t="str">
        <f>VLOOKUP("*"&amp;表格1[[#This Row],[Input]]&amp;"*",'Ref-List'!$B:$D,2,)</f>
        <v>PC-48DRSHK(K)</v>
      </c>
      <c r="H2464" s="86" t="str">
        <f>_xlfn.XLOOKUP(表格1[[#This Row],[Model]],表格3[Model-Input-Ref2],表格3[Product Line])</f>
        <v>電壓力鍋</v>
      </c>
      <c r="I2464" s="86" t="str">
        <f>_xlfn.XLOOKUP(表格1[[#This Row],[Model]],表格3[Model-Input-Ref2],表格3[大小電])</f>
        <v>細電</v>
      </c>
      <c r="J2464" s="86" t="str">
        <f>_xlfn.XLOOKUP(表格1[[#This Row],[Model]],表格3[Model-Input-Ref2],表格3[Code])</f>
        <v>SDA</v>
      </c>
      <c r="K2464" s="89" t="s">
        <v>1154</v>
      </c>
      <c r="L2464" s="86">
        <v>1</v>
      </c>
      <c r="M2464" s="87">
        <v>838</v>
      </c>
      <c r="N2464" s="85">
        <f>IFERROR(表格1[[#This Row],[QTY]]*表格1[[#This Row],[Unit Price]],"-")</f>
        <v>838</v>
      </c>
      <c r="O2464" s="86">
        <v>1325869</v>
      </c>
      <c r="R2464" s="86" t="str">
        <f>_xlfn.CONCAT(表格1[[#This Row],[Model]]," ",表格1[[#This Row],[inv no]])</f>
        <v>PC-48DRSHK(K) 1325869</v>
      </c>
      <c r="S2464" s="86">
        <f>_xlfn.XLOOKUP(表格1[[#This Row],[Model]],表格3[Model-Input-Ref2],表格3[SRP PRICE])</f>
        <v>1188</v>
      </c>
      <c r="T2464" s="43">
        <f>表格1[[#This Row],[Unit Price]]/表格1[[#This Row],[SRP]]</f>
        <v>0.70538720538720534</v>
      </c>
      <c r="U2464" s="86" t="str">
        <f>_xlfn.XLOOKUP(表格1[[#This Row],[Model]],表格3[Model-Input-Ref2],表格3[TOSHIBA/HIGHEST])</f>
        <v>Shops Highest Price</v>
      </c>
      <c r="W2464" s="86" t="str">
        <f>_xlfn.CONCAT(表格1[[#This Row],[欄4]],表格1[[#This Row],[inv no]])</f>
        <v>1325869</v>
      </c>
    </row>
    <row r="2465" spans="1:23" hidden="1">
      <c r="A2465" s="81">
        <v>2463</v>
      </c>
      <c r="B2465" s="86" t="s">
        <v>1477</v>
      </c>
      <c r="C2465" s="86" t="s">
        <v>1860</v>
      </c>
      <c r="D2465" s="82" t="str">
        <f ca="1">OFFSET(Roster!$A$3,MATCH(表格1[[#This Row],[Location]]&amp;" "&amp;表格1[[#This Row],[Shop]]&amp;"*",Roster!$A$4:$A$72,0),DAY(表格1[[#This Row],[date]]),1,1)</f>
        <v>Kiko</v>
      </c>
      <c r="E2465" s="86">
        <f>MONTH(表格1[[#This Row],[date]])</f>
        <v>3</v>
      </c>
      <c r="F2465" s="90">
        <v>46088</v>
      </c>
      <c r="G2465" s="86" t="str">
        <f>VLOOKUP("*"&amp;表格1[[#This Row],[Input]]&amp;"*",'Ref-List'!$B:$D,2,)</f>
        <v>RAD-D300H</v>
      </c>
      <c r="H2465" s="86" t="str">
        <f>_xlfn.XLOOKUP(表格1[[#This Row],[Model]],表格3[Model-Input-Ref2],表格3[Product Line])</f>
        <v>壓縮式抽濕機 (30公升)</v>
      </c>
      <c r="I2465" s="86" t="str">
        <f>_xlfn.XLOOKUP(表格1[[#This Row],[Model]],表格3[Model-Input-Ref2],表格3[大小電])</f>
        <v>細電</v>
      </c>
      <c r="J2465" s="86" t="str">
        <f>_xlfn.XLOOKUP(表格1[[#This Row],[Model]],表格3[Model-Input-Ref2],表格3[Code])</f>
        <v>RAC</v>
      </c>
      <c r="K2465" s="89" t="s">
        <v>1252</v>
      </c>
      <c r="L2465" s="86">
        <v>1</v>
      </c>
      <c r="M2465" s="87">
        <v>2280</v>
      </c>
      <c r="N2465" s="85">
        <f>IFERROR(表格1[[#This Row],[QTY]]*表格1[[#This Row],[Unit Price]],"-")</f>
        <v>2280</v>
      </c>
      <c r="O2465" s="86">
        <v>1719038</v>
      </c>
      <c r="R2465" s="86" t="str">
        <f>_xlfn.CONCAT(表格1[[#This Row],[Model]]," ",表格1[[#This Row],[inv no]])</f>
        <v>RAD-D300H 1719038</v>
      </c>
      <c r="S2465" s="86">
        <f>_xlfn.XLOOKUP(表格1[[#This Row],[Model]],表格3[Model-Input-Ref2],表格3[SRP PRICE])</f>
        <v>3380</v>
      </c>
      <c r="T2465" s="43">
        <f>表格1[[#This Row],[Unit Price]]/表格1[[#This Row],[SRP]]</f>
        <v>0.67455621301775148</v>
      </c>
      <c r="U2465" s="86" t="str">
        <f>_xlfn.XLOOKUP(表格1[[#This Row],[Model]],表格3[Model-Input-Ref2],表格3[TOSHIBA/HIGHEST])</f>
        <v>Shops Highest Price</v>
      </c>
      <c r="W2465" s="86" t="str">
        <f>_xlfn.CONCAT(表格1[[#This Row],[欄4]],表格1[[#This Row],[inv no]])</f>
        <v>1719038</v>
      </c>
    </row>
    <row r="2466" spans="1:23" hidden="1">
      <c r="A2466" s="81">
        <v>2464</v>
      </c>
      <c r="B2466" s="86" t="s">
        <v>1477</v>
      </c>
      <c r="C2466" s="86" t="s">
        <v>1860</v>
      </c>
      <c r="D2466" s="82" t="str">
        <f ca="1">OFFSET(Roster!$A$3,MATCH(表格1[[#This Row],[Location]]&amp;" "&amp;表格1[[#This Row],[Shop]]&amp;"*",Roster!$A$4:$A$72,0),DAY(表格1[[#This Row],[date]]),1,1)</f>
        <v>Kiko</v>
      </c>
      <c r="E2466" s="86">
        <f>MONTH(表格1[[#This Row],[date]])</f>
        <v>3</v>
      </c>
      <c r="F2466" s="90">
        <v>46088</v>
      </c>
      <c r="G2466" s="86" t="str">
        <f>VLOOKUP("*"&amp;表格1[[#This Row],[Input]]&amp;"*",'Ref-List'!$B:$D,2,)</f>
        <v>MM2-EM20PC(WH)</v>
      </c>
      <c r="H2466" s="86" t="str">
        <f>_xlfn.XLOOKUP(表格1[[#This Row],[Model]],表格3[Model-Input-Ref2],表格3[Product Line])</f>
        <v>輕觸式微波爐 (20公升)</v>
      </c>
      <c r="I2466" s="86" t="str">
        <f>_xlfn.XLOOKUP(表格1[[#This Row],[Model]],表格3[Model-Input-Ref2],表格3[大小電])</f>
        <v>細電</v>
      </c>
      <c r="J2466" s="86" t="str">
        <f>_xlfn.XLOOKUP(表格1[[#This Row],[Model]],表格3[Model-Input-Ref2],表格3[Code])</f>
        <v>MCA</v>
      </c>
      <c r="K2466" s="89" t="s">
        <v>1276</v>
      </c>
      <c r="L2466" s="86">
        <v>1</v>
      </c>
      <c r="M2466" s="87">
        <v>598</v>
      </c>
      <c r="N2466" s="85">
        <f>IFERROR(表格1[[#This Row],[QTY]]*表格1[[#This Row],[Unit Price]],"-")</f>
        <v>598</v>
      </c>
      <c r="O2466" s="86">
        <v>1719020</v>
      </c>
      <c r="R2466" s="86" t="str">
        <f>_xlfn.CONCAT(表格1[[#This Row],[Model]]," ",表格1[[#This Row],[inv no]])</f>
        <v>MM2-EM20PC(WH) 1719020</v>
      </c>
      <c r="S2466" s="86">
        <f>_xlfn.XLOOKUP(表格1[[#This Row],[Model]],表格3[Model-Input-Ref2],表格3[SRP PRICE])</f>
        <v>788</v>
      </c>
      <c r="T2466" s="43">
        <f>表格1[[#This Row],[Unit Price]]/表格1[[#This Row],[SRP]]</f>
        <v>0.75888324873096447</v>
      </c>
      <c r="U2466" s="86" t="str">
        <f>_xlfn.XLOOKUP(表格1[[#This Row],[Model]],表格3[Model-Input-Ref2],表格3[TOSHIBA/HIGHEST])</f>
        <v>Toshiba SRP</v>
      </c>
      <c r="W2466" s="86" t="str">
        <f>_xlfn.CONCAT(表格1[[#This Row],[欄4]],表格1[[#This Row],[inv no]])</f>
        <v>1719020</v>
      </c>
    </row>
    <row r="2467" spans="1:23" hidden="1">
      <c r="A2467" s="81">
        <v>2465</v>
      </c>
      <c r="B2467" s="86" t="s">
        <v>1477</v>
      </c>
      <c r="C2467" s="86" t="s">
        <v>1860</v>
      </c>
      <c r="D2467" s="82" t="str">
        <f ca="1">OFFSET(Roster!$A$3,MATCH(表格1[[#This Row],[Location]]&amp;" "&amp;表格1[[#This Row],[Shop]]&amp;"*",Roster!$A$4:$A$72,0),DAY(表格1[[#This Row],[date]]),1,1)</f>
        <v>Kiko</v>
      </c>
      <c r="E2467" s="86">
        <f>MONTH(表格1[[#This Row],[date]])</f>
        <v>3</v>
      </c>
      <c r="F2467" s="90">
        <v>46088</v>
      </c>
      <c r="G2467" s="86" t="str">
        <f>VLOOKUP("*"&amp;表格1[[#This Row],[Input]]&amp;"*",'Ref-List'!$B:$D,2,)</f>
        <v>MM2-EM20PC(WH)</v>
      </c>
      <c r="H2467" s="86" t="str">
        <f>_xlfn.XLOOKUP(表格1[[#This Row],[Model]],表格3[Model-Input-Ref2],表格3[Product Line])</f>
        <v>輕觸式微波爐 (20公升)</v>
      </c>
      <c r="I2467" s="86" t="str">
        <f>_xlfn.XLOOKUP(表格1[[#This Row],[Model]],表格3[Model-Input-Ref2],表格3[大小電])</f>
        <v>細電</v>
      </c>
      <c r="J2467" s="86" t="str">
        <f>_xlfn.XLOOKUP(表格1[[#This Row],[Model]],表格3[Model-Input-Ref2],表格3[Code])</f>
        <v>MCA</v>
      </c>
      <c r="K2467" s="89" t="s">
        <v>1276</v>
      </c>
      <c r="L2467" s="86">
        <v>1</v>
      </c>
      <c r="M2467" s="87">
        <v>598</v>
      </c>
      <c r="N2467" s="85">
        <f>IFERROR(表格1[[#This Row],[QTY]]*表格1[[#This Row],[Unit Price]],"-")</f>
        <v>598</v>
      </c>
      <c r="O2467" s="86">
        <v>1719034</v>
      </c>
      <c r="R2467" s="86" t="str">
        <f>_xlfn.CONCAT(表格1[[#This Row],[Model]]," ",表格1[[#This Row],[inv no]])</f>
        <v>MM2-EM20PC(WH) 1719034</v>
      </c>
      <c r="S2467" s="86">
        <f>_xlfn.XLOOKUP(表格1[[#This Row],[Model]],表格3[Model-Input-Ref2],表格3[SRP PRICE])</f>
        <v>788</v>
      </c>
      <c r="T2467" s="43">
        <f>表格1[[#This Row],[Unit Price]]/表格1[[#This Row],[SRP]]</f>
        <v>0.75888324873096447</v>
      </c>
      <c r="U2467" s="86" t="str">
        <f>_xlfn.XLOOKUP(表格1[[#This Row],[Model]],表格3[Model-Input-Ref2],表格3[TOSHIBA/HIGHEST])</f>
        <v>Toshiba SRP</v>
      </c>
      <c r="W2467" s="86" t="str">
        <f>_xlfn.CONCAT(表格1[[#This Row],[欄4]],表格1[[#This Row],[inv no]])</f>
        <v>1719034</v>
      </c>
    </row>
    <row r="2468" spans="1:23" hidden="1">
      <c r="A2468" s="81">
        <v>2466</v>
      </c>
      <c r="B2468" s="86" t="s">
        <v>1477</v>
      </c>
      <c r="C2468" s="86" t="s">
        <v>1860</v>
      </c>
      <c r="D2468" s="82" t="str">
        <f ca="1">OFFSET(Roster!$A$3,MATCH(表格1[[#This Row],[Location]]&amp;" "&amp;表格1[[#This Row],[Shop]]&amp;"*",Roster!$A$4:$A$72,0),DAY(表格1[[#This Row],[date]]),1,1)</f>
        <v>Kiko</v>
      </c>
      <c r="E2468" s="86">
        <f>MONTH(表格1[[#This Row],[date]])</f>
        <v>3</v>
      </c>
      <c r="F2468" s="90">
        <v>46088</v>
      </c>
      <c r="G2468" s="86" t="str">
        <f>VLOOKUP("*"&amp;表格1[[#This Row],[Input]]&amp;"*",'Ref-List'!$B:$D,2,)</f>
        <v>RC-18ISPH</v>
      </c>
      <c r="H2468" s="86" t="str">
        <f>_xlfn.XLOOKUP(表格1[[#This Row],[Model]],表格3[Model-Input-Ref2],表格3[Product Line])</f>
        <v>低醣磁應電飯煲1.8L</v>
      </c>
      <c r="I2468" s="86" t="str">
        <f>_xlfn.XLOOKUP(表格1[[#This Row],[Model]],表格3[Model-Input-Ref2],表格3[大小電])</f>
        <v>細電</v>
      </c>
      <c r="J2468" s="86" t="str">
        <f>_xlfn.XLOOKUP(表格1[[#This Row],[Model]],表格3[Model-Input-Ref2],表格3[Code])</f>
        <v>SDA</v>
      </c>
      <c r="K2468" s="89" t="s">
        <v>1281</v>
      </c>
      <c r="L2468" s="86">
        <v>1</v>
      </c>
      <c r="M2468" s="87">
        <v>898</v>
      </c>
      <c r="N2468" s="85">
        <f>IFERROR(表格1[[#This Row],[QTY]]*表格1[[#This Row],[Unit Price]],"-")</f>
        <v>898</v>
      </c>
      <c r="O2468" s="86">
        <v>1719046</v>
      </c>
      <c r="R2468" s="86" t="str">
        <f>_xlfn.CONCAT(表格1[[#This Row],[Model]]," ",表格1[[#This Row],[inv no]])</f>
        <v>RC-18ISPH 1719046</v>
      </c>
      <c r="S2468" s="86">
        <f>_xlfn.XLOOKUP(表格1[[#This Row],[Model]],表格3[Model-Input-Ref2],表格3[SRP PRICE])</f>
        <v>1436</v>
      </c>
      <c r="T2468" s="43">
        <f>表格1[[#This Row],[Unit Price]]/表格1[[#This Row],[SRP]]</f>
        <v>0.62534818941504178</v>
      </c>
      <c r="U2468" s="86" t="str">
        <f>_xlfn.XLOOKUP(表格1[[#This Row],[Model]],表格3[Model-Input-Ref2],表格3[TOSHIBA/HIGHEST])</f>
        <v>Shops Highest Price</v>
      </c>
      <c r="W2468" s="86" t="str">
        <f>_xlfn.CONCAT(表格1[[#This Row],[欄4]],表格1[[#This Row],[inv no]])</f>
        <v>1719046</v>
      </c>
    </row>
    <row r="2469" spans="1:23" hidden="1">
      <c r="A2469" s="81">
        <v>2467</v>
      </c>
      <c r="B2469" s="86" t="s">
        <v>1477</v>
      </c>
      <c r="C2469" s="86" t="s">
        <v>1860</v>
      </c>
      <c r="D2469" s="82" t="str">
        <f ca="1">OFFSET(Roster!$A$3,MATCH(表格1[[#This Row],[Location]]&amp;" "&amp;表格1[[#This Row],[Shop]]&amp;"*",Roster!$A$4:$A$72,0),DAY(表格1[[#This Row],[date]]),1,1)</f>
        <v>Kiko</v>
      </c>
      <c r="E2469" s="86">
        <f>MONTH(表格1[[#This Row],[date]])</f>
        <v>3</v>
      </c>
      <c r="F2469" s="90">
        <v>46088</v>
      </c>
      <c r="G2469" s="86" t="str">
        <f>VLOOKUP("*"&amp;表格1[[#This Row],[Input]]&amp;"*",'Ref-List'!$B:$D,2,)</f>
        <v>PLK-30FLIH(WT)</v>
      </c>
      <c r="H2469" s="86" t="str">
        <f>_xlfn.XLOOKUP(表格1[[#This Row],[Model]],表格3[Model-Input-Ref2],表格3[Product Line])</f>
        <v>電熱水瓶3L</v>
      </c>
      <c r="I2469" s="86" t="str">
        <f>_xlfn.XLOOKUP(表格1[[#This Row],[Model]],表格3[Model-Input-Ref2],表格3[大小電])</f>
        <v>細電</v>
      </c>
      <c r="J2469" s="86" t="str">
        <f>_xlfn.XLOOKUP(表格1[[#This Row],[Model]],表格3[Model-Input-Ref2],表格3[Code])</f>
        <v>SDA</v>
      </c>
      <c r="K2469" s="89" t="s">
        <v>1272</v>
      </c>
      <c r="L2469" s="86">
        <v>1</v>
      </c>
      <c r="M2469" s="87">
        <v>489</v>
      </c>
      <c r="N2469" s="85">
        <f>IFERROR(表格1[[#This Row],[QTY]]*表格1[[#This Row],[Unit Price]],"-")</f>
        <v>489</v>
      </c>
      <c r="O2469" s="86">
        <v>1719014</v>
      </c>
      <c r="R2469" s="86" t="str">
        <f>_xlfn.CONCAT(表格1[[#This Row],[Model]]," ",表格1[[#This Row],[inv no]])</f>
        <v>PLK-30FLIH(WT) 1719014</v>
      </c>
      <c r="S2469" s="86">
        <f>_xlfn.XLOOKUP(表格1[[#This Row],[Model]],表格3[Model-Input-Ref2],表格3[SRP PRICE])</f>
        <v>658</v>
      </c>
      <c r="T2469" s="43">
        <f>表格1[[#This Row],[Unit Price]]/表格1[[#This Row],[SRP]]</f>
        <v>0.74316109422492405</v>
      </c>
      <c r="U2469" s="86" t="str">
        <f>_xlfn.XLOOKUP(表格1[[#This Row],[Model]],表格3[Model-Input-Ref2],表格3[TOSHIBA/HIGHEST])</f>
        <v>Toshiba SRP</v>
      </c>
      <c r="W2469" s="86" t="str">
        <f>_xlfn.CONCAT(表格1[[#This Row],[欄4]],表格1[[#This Row],[inv no]])</f>
        <v>1719014</v>
      </c>
    </row>
    <row r="2470" spans="1:23" hidden="1">
      <c r="A2470" s="81">
        <v>2468</v>
      </c>
      <c r="B2470" s="86" t="s">
        <v>1477</v>
      </c>
      <c r="C2470" s="86" t="s">
        <v>1860</v>
      </c>
      <c r="D2470" s="82" t="str">
        <f ca="1">OFFSET(Roster!$A$3,MATCH(表格1[[#This Row],[Location]]&amp;" "&amp;表格1[[#This Row],[Shop]]&amp;"*",Roster!$A$4:$A$72,0),DAY(表格1[[#This Row],[date]]),1,1)</f>
        <v>Kiko</v>
      </c>
      <c r="E2470" s="86">
        <f>MONTH(表格1[[#This Row],[date]])</f>
        <v>3</v>
      </c>
      <c r="F2470" s="90">
        <v>46088</v>
      </c>
      <c r="G2470" s="86" t="str">
        <f>VLOOKUP("*"&amp;表格1[[#This Row],[Input]]&amp;"*",'Ref-List'!$B:$D,2,)</f>
        <v>KT-17SHNH</v>
      </c>
      <c r="H2470" s="86" t="str">
        <f>_xlfn.XLOOKUP(表格1[[#This Row],[Model]],表格3[Model-Input-Ref2],表格3[Product Line])</f>
        <v>1.7L無線雙層電熱水壺</v>
      </c>
      <c r="I2470" s="86" t="str">
        <f>_xlfn.XLOOKUP(表格1[[#This Row],[Model]],表格3[Model-Input-Ref2],表格3[大小電])</f>
        <v>細電</v>
      </c>
      <c r="J2470" s="86" t="str">
        <f>_xlfn.XLOOKUP(表格1[[#This Row],[Model]],表格3[Model-Input-Ref2],表格3[Code])</f>
        <v>SDA</v>
      </c>
      <c r="K2470" s="89" t="s">
        <v>1283</v>
      </c>
      <c r="L2470" s="86">
        <v>1</v>
      </c>
      <c r="M2470" s="87">
        <v>198</v>
      </c>
      <c r="N2470" s="85">
        <f>IFERROR(表格1[[#This Row],[QTY]]*表格1[[#This Row],[Unit Price]],"-")</f>
        <v>198</v>
      </c>
      <c r="O2470" s="86">
        <v>1718992</v>
      </c>
      <c r="R2470" s="86" t="str">
        <f>_xlfn.CONCAT(表格1[[#This Row],[Model]]," ",表格1[[#This Row],[inv no]])</f>
        <v>KT-17SHNH 1718992</v>
      </c>
      <c r="S2470" s="86">
        <f>_xlfn.XLOOKUP(表格1[[#This Row],[Model]],表格3[Model-Input-Ref2],表格3[SRP PRICE])</f>
        <v>299</v>
      </c>
      <c r="T2470" s="43">
        <f>表格1[[#This Row],[Unit Price]]/表格1[[#This Row],[SRP]]</f>
        <v>0.66220735785953178</v>
      </c>
      <c r="U2470" s="86" t="str">
        <f>_xlfn.XLOOKUP(表格1[[#This Row],[Model]],表格3[Model-Input-Ref2],表格3[TOSHIBA/HIGHEST])</f>
        <v>Shops Highest Price</v>
      </c>
      <c r="W2470" s="86" t="str">
        <f>_xlfn.CONCAT(表格1[[#This Row],[欄4]],表格1[[#This Row],[inv no]])</f>
        <v>1718992</v>
      </c>
    </row>
    <row r="2471" spans="1:23" hidden="1">
      <c r="A2471" s="81">
        <v>2469</v>
      </c>
      <c r="B2471" s="86" t="s">
        <v>1477</v>
      </c>
      <c r="C2471" s="86" t="s">
        <v>1860</v>
      </c>
      <c r="D2471" s="82" t="str">
        <f ca="1">OFFSET(Roster!$A$3,MATCH(表格1[[#This Row],[Location]]&amp;" "&amp;表格1[[#This Row],[Shop]]&amp;"*",Roster!$A$4:$A$72,0),DAY(表格1[[#This Row],[date]]),1,1)</f>
        <v>Kiko</v>
      </c>
      <c r="E2471" s="86">
        <f>MONTH(表格1[[#This Row],[date]])</f>
        <v>3</v>
      </c>
      <c r="F2471" s="90">
        <v>46088</v>
      </c>
      <c r="G2471" s="86" t="str">
        <f>VLOOKUP("*"&amp;表格1[[#This Row],[Input]]&amp;"*",'Ref-List'!$B:$D,2,)</f>
        <v>KT-17DRTHK(H)</v>
      </c>
      <c r="H2471" s="86" t="str">
        <f>_xlfn.XLOOKUP(表格1[[#This Row],[Model]],表格3[Model-Input-Ref2],表格3[Product Line])</f>
        <v>無線雙層電熱水壺(1.7公升)</v>
      </c>
      <c r="I2471" s="86" t="str">
        <f>_xlfn.XLOOKUP(表格1[[#This Row],[Model]],表格3[Model-Input-Ref2],表格3[大小電])</f>
        <v>細電</v>
      </c>
      <c r="J2471" s="86" t="str">
        <f>_xlfn.XLOOKUP(表格1[[#This Row],[Model]],表格3[Model-Input-Ref2],表格3[Code])</f>
        <v>SDA</v>
      </c>
      <c r="K2471" s="89" t="s">
        <v>1271</v>
      </c>
      <c r="L2471" s="86">
        <v>1</v>
      </c>
      <c r="M2471" s="87">
        <v>388</v>
      </c>
      <c r="N2471" s="85">
        <f>IFERROR(表格1[[#This Row],[QTY]]*表格1[[#This Row],[Unit Price]],"-")</f>
        <v>388</v>
      </c>
      <c r="O2471" s="86">
        <v>1719086</v>
      </c>
      <c r="R2471" s="86" t="str">
        <f>_xlfn.CONCAT(表格1[[#This Row],[Model]]," ",表格1[[#This Row],[inv no]])</f>
        <v>KT-17DRTHK(H) 1719086</v>
      </c>
      <c r="S2471" s="86">
        <f>_xlfn.XLOOKUP(表格1[[#This Row],[Model]],表格3[Model-Input-Ref2],表格3[SRP PRICE])</f>
        <v>498</v>
      </c>
      <c r="T2471" s="43">
        <f>表格1[[#This Row],[Unit Price]]/表格1[[#This Row],[SRP]]</f>
        <v>0.77911646586345384</v>
      </c>
      <c r="U2471" s="86" t="str">
        <f>_xlfn.XLOOKUP(表格1[[#This Row],[Model]],表格3[Model-Input-Ref2],表格3[TOSHIBA/HIGHEST])</f>
        <v>Toshiba SRP</v>
      </c>
      <c r="W2471" s="86" t="str">
        <f>_xlfn.CONCAT(表格1[[#This Row],[欄4]],表格1[[#This Row],[inv no]])</f>
        <v>1719086</v>
      </c>
    </row>
    <row r="2472" spans="1:23" hidden="1">
      <c r="A2472" s="81">
        <v>2470</v>
      </c>
      <c r="B2472" s="86" t="s">
        <v>1477</v>
      </c>
      <c r="C2472" s="86" t="s">
        <v>1860</v>
      </c>
      <c r="D2472" s="82" t="str">
        <f ca="1">OFFSET(Roster!$A$3,MATCH(表格1[[#This Row],[Location]]&amp;" "&amp;表格1[[#This Row],[Shop]]&amp;"*",Roster!$A$4:$A$72,0),DAY(表格1[[#This Row],[date]]),1,1)</f>
        <v>Kiko</v>
      </c>
      <c r="E2472" s="86">
        <f>MONTH(表格1[[#This Row],[date]])</f>
        <v>3</v>
      </c>
      <c r="F2472" s="90">
        <v>46088</v>
      </c>
      <c r="G2472" s="86" t="str">
        <f>VLOOKUP("*"&amp;表格1[[#This Row],[Input]]&amp;"*",'Ref-List'!$B:$D,2,)</f>
        <v>KT-15DRTHK(W)</v>
      </c>
      <c r="H2472" s="86" t="str">
        <f>_xlfn.XLOOKUP(表格1[[#This Row],[Model]],表格3[Model-Input-Ref2],表格3[Product Line])</f>
        <v>無線雙層電熱水壺-附可鎖壺蓋</v>
      </c>
      <c r="I2472" s="86" t="str">
        <f>_xlfn.XLOOKUP(表格1[[#This Row],[Model]],表格3[Model-Input-Ref2],表格3[大小電])</f>
        <v>細電</v>
      </c>
      <c r="J2472" s="86" t="str">
        <f>_xlfn.XLOOKUP(表格1[[#This Row],[Model]],表格3[Model-Input-Ref2],表格3[Code])</f>
        <v>SDA</v>
      </c>
      <c r="K2472" s="89" t="s">
        <v>1278</v>
      </c>
      <c r="L2472" s="86">
        <v>1</v>
      </c>
      <c r="M2472" s="87">
        <v>338</v>
      </c>
      <c r="N2472" s="85">
        <f>IFERROR(表格1[[#This Row],[QTY]]*表格1[[#This Row],[Unit Price]],"-")</f>
        <v>338</v>
      </c>
      <c r="O2472" s="86">
        <v>1719121</v>
      </c>
      <c r="R2472" s="86" t="str">
        <f>_xlfn.CONCAT(表格1[[#This Row],[Model]]," ",表格1[[#This Row],[inv no]])</f>
        <v>KT-15DRTHK(W) 1719121</v>
      </c>
      <c r="S2472" s="86">
        <f>_xlfn.XLOOKUP(表格1[[#This Row],[Model]],表格3[Model-Input-Ref2],表格3[SRP PRICE])</f>
        <v>598</v>
      </c>
      <c r="T2472" s="43">
        <f>表格1[[#This Row],[Unit Price]]/表格1[[#This Row],[SRP]]</f>
        <v>0.56521739130434778</v>
      </c>
      <c r="U2472" s="86" t="str">
        <f>_xlfn.XLOOKUP(表格1[[#This Row],[Model]],表格3[Model-Input-Ref2],表格3[TOSHIBA/HIGHEST])</f>
        <v>Toshiba SRP</v>
      </c>
      <c r="W2472" s="86" t="str">
        <f>_xlfn.CONCAT(表格1[[#This Row],[欄4]],表格1[[#This Row],[inv no]])</f>
        <v>1719121</v>
      </c>
    </row>
    <row r="2473" spans="1:23" hidden="1">
      <c r="A2473" s="81">
        <v>2471</v>
      </c>
      <c r="B2473" s="86" t="s">
        <v>1477</v>
      </c>
      <c r="C2473" s="86" t="s">
        <v>1860</v>
      </c>
      <c r="D2473" s="82" t="str">
        <f ca="1">OFFSET(Roster!$A$3,MATCH(表格1[[#This Row],[Location]]&amp;" "&amp;表格1[[#This Row],[Shop]]&amp;"*",Roster!$A$4:$A$72,0),DAY(表格1[[#This Row],[date]]),1,1)</f>
        <v>Kiko</v>
      </c>
      <c r="E2473" s="86">
        <f>MONTH(表格1[[#This Row],[date]])</f>
        <v>3</v>
      </c>
      <c r="F2473" s="90">
        <v>46088</v>
      </c>
      <c r="G2473" s="86" t="str">
        <f>VLOOKUP("*"&amp;表格1[[#This Row],[Input]]&amp;"*",'Ref-List'!$B:$D,2,)</f>
        <v>RC-10DRNH</v>
      </c>
      <c r="H2473" s="86" t="str">
        <f>_xlfn.XLOOKUP(表格1[[#This Row],[Model]],表格3[Model-Input-Ref2],表格3[Product Line])</f>
        <v>多功能備長炭本厚釜電飯煲1L</v>
      </c>
      <c r="I2473" s="86" t="str">
        <f>_xlfn.XLOOKUP(表格1[[#This Row],[Model]],表格3[Model-Input-Ref2],表格3[大小電])</f>
        <v>細電</v>
      </c>
      <c r="J2473" s="86" t="str">
        <f>_xlfn.XLOOKUP(表格1[[#This Row],[Model]],表格3[Model-Input-Ref2],表格3[Code])</f>
        <v>SDA</v>
      </c>
      <c r="K2473" s="89" t="s">
        <v>1376</v>
      </c>
      <c r="L2473" s="86">
        <v>1</v>
      </c>
      <c r="M2473" s="87">
        <v>499</v>
      </c>
      <c r="N2473" s="85">
        <f>IFERROR(表格1[[#This Row],[QTY]]*表格1[[#This Row],[Unit Price]],"-")</f>
        <v>499</v>
      </c>
      <c r="O2473" s="86">
        <v>1719073</v>
      </c>
      <c r="R2473" s="86" t="str">
        <f>_xlfn.CONCAT(表格1[[#This Row],[Model]]," ",表格1[[#This Row],[inv no]])</f>
        <v>RC-10DRNH 1719073</v>
      </c>
      <c r="S2473" s="86">
        <f>_xlfn.XLOOKUP(表格1[[#This Row],[Model]],表格3[Model-Input-Ref2],表格3[SRP PRICE])</f>
        <v>798</v>
      </c>
      <c r="T2473" s="43">
        <f>表格1[[#This Row],[Unit Price]]/表格1[[#This Row],[SRP]]</f>
        <v>0.62531328320802004</v>
      </c>
      <c r="U2473" s="86" t="str">
        <f>_xlfn.XLOOKUP(表格1[[#This Row],[Model]],表格3[Model-Input-Ref2],表格3[TOSHIBA/HIGHEST])</f>
        <v>Toshiba SRP</v>
      </c>
      <c r="W2473" s="86" t="str">
        <f>_xlfn.CONCAT(表格1[[#This Row],[欄4]],表格1[[#This Row],[inv no]])</f>
        <v>1719073</v>
      </c>
    </row>
    <row r="2474" spans="1:23" hidden="1">
      <c r="A2474" s="81">
        <v>2472</v>
      </c>
      <c r="B2474" s="86" t="s">
        <v>1477</v>
      </c>
      <c r="C2474" s="86" t="s">
        <v>1860</v>
      </c>
      <c r="D2474" s="82" t="str">
        <f ca="1">OFFSET(Roster!$A$3,MATCH(表格1[[#This Row],[Location]]&amp;" "&amp;表格1[[#This Row],[Shop]]&amp;"*",Roster!$A$4:$A$72,0),DAY(表格1[[#This Row],[date]]),1,1)</f>
        <v>Kiko</v>
      </c>
      <c r="E2474" s="86">
        <f>MONTH(表格1[[#This Row],[date]])</f>
        <v>3</v>
      </c>
      <c r="F2474" s="90">
        <v>46088</v>
      </c>
      <c r="G2474" s="86" t="str">
        <f>VLOOKUP("*"&amp;表格1[[#This Row],[Input]]&amp;"*",'Ref-List'!$B:$D,2,)</f>
        <v>TWD-T22BU95UWH(WK)-B</v>
      </c>
      <c r="H2474" s="86" t="str">
        <f>_xlfn.XLOOKUP(表格1[[#This Row],[Model]],表格3[Model-Input-Ref2],表格3[Product Line])</f>
        <v>470MM超薄身前置式變頻洗衣乾衣機 (洗8.5公斤/乾6公斤, 可飛頂)</v>
      </c>
      <c r="I2474" s="86" t="str">
        <f>_xlfn.XLOOKUP(表格1[[#This Row],[Model]],表格3[Model-Input-Ref2],表格3[大小電])</f>
        <v>大電</v>
      </c>
      <c r="J2474" s="86" t="str">
        <f>_xlfn.XLOOKUP(表格1[[#This Row],[Model]],表格3[Model-Input-Ref2],表格3[Code])</f>
        <v>LAD</v>
      </c>
      <c r="K2474" s="89" t="s">
        <v>1421</v>
      </c>
      <c r="L2474" s="86">
        <v>1</v>
      </c>
      <c r="M2474" s="87">
        <v>4780</v>
      </c>
      <c r="N2474" s="85">
        <f>IFERROR(表格1[[#This Row],[QTY]]*表格1[[#This Row],[Unit Price]],"-")</f>
        <v>4780</v>
      </c>
      <c r="O2474" s="86">
        <v>1719167</v>
      </c>
      <c r="R2474" s="86" t="str">
        <f>_xlfn.CONCAT(表格1[[#This Row],[Model]]," ",表格1[[#This Row],[inv no]])</f>
        <v>TWD-T22BU95UWH(WK)-B 1719167</v>
      </c>
      <c r="S2474" s="86">
        <f>_xlfn.XLOOKUP(表格1[[#This Row],[Model]],表格3[Model-Input-Ref2],表格3[SRP PRICE])</f>
        <v>7480</v>
      </c>
      <c r="T2474" s="43">
        <f>表格1[[#This Row],[Unit Price]]/表格1[[#This Row],[SRP]]</f>
        <v>0.63903743315508021</v>
      </c>
      <c r="U2474" s="86" t="str">
        <f>_xlfn.XLOOKUP(表格1[[#This Row],[Model]],表格3[Model-Input-Ref2],表格3[TOSHIBA/HIGHEST])</f>
        <v>Toshiba SRP</v>
      </c>
      <c r="W2474" s="86" t="str">
        <f>_xlfn.CONCAT(表格1[[#This Row],[欄4]],表格1[[#This Row],[inv no]])</f>
        <v>1719167</v>
      </c>
    </row>
    <row r="2475" spans="1:23" hidden="1">
      <c r="A2475" s="81">
        <v>2473</v>
      </c>
      <c r="B2475" s="86" t="s">
        <v>1477</v>
      </c>
      <c r="C2475" s="86" t="s">
        <v>1860</v>
      </c>
      <c r="D2475" s="82" t="str">
        <f ca="1">OFFSET(Roster!$A$3,MATCH(表格1[[#This Row],[Location]]&amp;" "&amp;表格1[[#This Row],[Shop]]&amp;"*",Roster!$A$4:$A$72,0),DAY(表格1[[#This Row],[date]]),1,1)</f>
        <v>Kiko</v>
      </c>
      <c r="E2475" s="86">
        <f>MONTH(表格1[[#This Row],[date]])</f>
        <v>3</v>
      </c>
      <c r="F2475" s="90">
        <v>46088</v>
      </c>
      <c r="G2475" s="86" t="str">
        <f>VLOOKUP("*"&amp;表格1[[#This Row],[Input]]&amp;"*",'Ref-List'!$B:$D,2,)</f>
        <v>RAD-D300H</v>
      </c>
      <c r="H2475" s="86" t="str">
        <f>_xlfn.XLOOKUP(表格1[[#This Row],[Model]],表格3[Model-Input-Ref2],表格3[Product Line])</f>
        <v>壓縮式抽濕機 (30公升)</v>
      </c>
      <c r="I2475" s="86" t="str">
        <f>_xlfn.XLOOKUP(表格1[[#This Row],[Model]],表格3[Model-Input-Ref2],表格3[大小電])</f>
        <v>細電</v>
      </c>
      <c r="J2475" s="86" t="str">
        <f>_xlfn.XLOOKUP(表格1[[#This Row],[Model]],表格3[Model-Input-Ref2],表格3[Code])</f>
        <v>RAC</v>
      </c>
      <c r="K2475" s="89" t="s">
        <v>1252</v>
      </c>
      <c r="L2475" s="86">
        <v>1</v>
      </c>
      <c r="M2475" s="87">
        <v>2280</v>
      </c>
      <c r="N2475" s="85">
        <f>IFERROR(表格1[[#This Row],[QTY]]*表格1[[#This Row],[Unit Price]],"-")</f>
        <v>2280</v>
      </c>
      <c r="O2475" s="86">
        <v>1719348</v>
      </c>
      <c r="R2475" s="86" t="str">
        <f>_xlfn.CONCAT(表格1[[#This Row],[Model]]," ",表格1[[#This Row],[inv no]])</f>
        <v>RAD-D300H 1719348</v>
      </c>
      <c r="S2475" s="86">
        <f>_xlfn.XLOOKUP(表格1[[#This Row],[Model]],表格3[Model-Input-Ref2],表格3[SRP PRICE])</f>
        <v>3380</v>
      </c>
      <c r="T2475" s="43">
        <f>表格1[[#This Row],[Unit Price]]/表格1[[#This Row],[SRP]]</f>
        <v>0.67455621301775148</v>
      </c>
      <c r="U2475" s="86" t="str">
        <f>_xlfn.XLOOKUP(表格1[[#This Row],[Model]],表格3[Model-Input-Ref2],表格3[TOSHIBA/HIGHEST])</f>
        <v>Shops Highest Price</v>
      </c>
      <c r="W2475" s="86" t="str">
        <f>_xlfn.CONCAT(表格1[[#This Row],[欄4]],表格1[[#This Row],[inv no]])</f>
        <v>1719348</v>
      </c>
    </row>
    <row r="2476" spans="1:23" hidden="1">
      <c r="A2476" s="81">
        <v>2474</v>
      </c>
      <c r="B2476" s="86" t="s">
        <v>1477</v>
      </c>
      <c r="C2476" s="86" t="s">
        <v>1860</v>
      </c>
      <c r="D2476" s="82" t="str">
        <f ca="1">OFFSET(Roster!$A$3,MATCH(表格1[[#This Row],[Location]]&amp;" "&amp;表格1[[#This Row],[Shop]]&amp;"*",Roster!$A$4:$A$72,0),DAY(表格1[[#This Row],[date]]),1,1)</f>
        <v>Kiko</v>
      </c>
      <c r="E2476" s="86">
        <f>MONTH(表格1[[#This Row],[date]])</f>
        <v>3</v>
      </c>
      <c r="F2476" s="90">
        <v>46088</v>
      </c>
      <c r="G2476" s="86" t="str">
        <f>VLOOKUP("*"&amp;表格1[[#This Row],[Input]]&amp;"*",'Ref-List'!$B:$D,2,)</f>
        <v>MW3-SAC24SE(BK)</v>
      </c>
      <c r="H2476" s="86" t="str">
        <f>_xlfn.XLOOKUP(表格1[[#This Row],[Model]],表格3[Model-Input-Ref2],表格3[Product Line])</f>
        <v>智能氣炸烤焗爐(24公升)</v>
      </c>
      <c r="I2476" s="86" t="str">
        <f>_xlfn.XLOOKUP(表格1[[#This Row],[Model]],表格3[Model-Input-Ref2],表格3[大小電])</f>
        <v>細電</v>
      </c>
      <c r="J2476" s="86" t="str">
        <f>_xlfn.XLOOKUP(表格1[[#This Row],[Model]],表格3[Model-Input-Ref2],表格3[Code])</f>
        <v>MCA</v>
      </c>
      <c r="K2476" s="89" t="s">
        <v>1274</v>
      </c>
      <c r="L2476" s="86">
        <v>1</v>
      </c>
      <c r="M2476" s="87">
        <v>1320</v>
      </c>
      <c r="N2476" s="85">
        <f>IFERROR(表格1[[#This Row],[QTY]]*表格1[[#This Row],[Unit Price]],"-")</f>
        <v>1320</v>
      </c>
      <c r="O2476" s="86">
        <v>1719281</v>
      </c>
      <c r="R2476" s="86" t="str">
        <f>_xlfn.CONCAT(表格1[[#This Row],[Model]]," ",表格1[[#This Row],[inv no]])</f>
        <v>MW3-SAC24SE(BK) 1719281</v>
      </c>
      <c r="S2476" s="86">
        <f>_xlfn.XLOOKUP(表格1[[#This Row],[Model]],表格3[Model-Input-Ref2],表格3[SRP PRICE])</f>
        <v>1680</v>
      </c>
      <c r="T2476" s="43">
        <f>表格1[[#This Row],[Unit Price]]/表格1[[#This Row],[SRP]]</f>
        <v>0.7857142857142857</v>
      </c>
      <c r="U2476" s="86" t="str">
        <f>_xlfn.XLOOKUP(表格1[[#This Row],[Model]],表格3[Model-Input-Ref2],表格3[TOSHIBA/HIGHEST])</f>
        <v>Toshiba SRP</v>
      </c>
      <c r="W2476" s="86" t="str">
        <f>_xlfn.CONCAT(表格1[[#This Row],[欄4]],表格1[[#This Row],[inv no]])</f>
        <v>1719281</v>
      </c>
    </row>
    <row r="2477" spans="1:23" hidden="1">
      <c r="A2477" s="81">
        <v>2475</v>
      </c>
      <c r="B2477" s="86" t="s">
        <v>1477</v>
      </c>
      <c r="C2477" s="86" t="s">
        <v>1860</v>
      </c>
      <c r="D2477" s="82" t="str">
        <f ca="1">OFFSET(Roster!$A$3,MATCH(表格1[[#This Row],[Location]]&amp;" "&amp;表格1[[#This Row],[Shop]]&amp;"*",Roster!$A$4:$A$72,0),DAY(表格1[[#This Row],[date]]),1,1)</f>
        <v>Kiko</v>
      </c>
      <c r="E2477" s="86">
        <f>MONTH(表格1[[#This Row],[date]])</f>
        <v>3</v>
      </c>
      <c r="F2477" s="90">
        <v>46088</v>
      </c>
      <c r="G2477" s="86" t="str">
        <f>VLOOKUP("*"&amp;表格1[[#This Row],[Input]]&amp;"*",'Ref-List'!$B:$D,2,)</f>
        <v>KT-17DRTHK(H)</v>
      </c>
      <c r="H2477" s="86" t="str">
        <f>_xlfn.XLOOKUP(表格1[[#This Row],[Model]],表格3[Model-Input-Ref2],表格3[Product Line])</f>
        <v>無線雙層電熱水壺(1.7公升)</v>
      </c>
      <c r="I2477" s="86" t="str">
        <f>_xlfn.XLOOKUP(表格1[[#This Row],[Model]],表格3[Model-Input-Ref2],表格3[大小電])</f>
        <v>細電</v>
      </c>
      <c r="J2477" s="86" t="str">
        <f>_xlfn.XLOOKUP(表格1[[#This Row],[Model]],表格3[Model-Input-Ref2],表格3[Code])</f>
        <v>SDA</v>
      </c>
      <c r="K2477" s="89" t="s">
        <v>1271</v>
      </c>
      <c r="L2477" s="86">
        <v>1</v>
      </c>
      <c r="M2477" s="87">
        <v>388</v>
      </c>
      <c r="N2477" s="85">
        <f>IFERROR(表格1[[#This Row],[QTY]]*表格1[[#This Row],[Unit Price]],"-")</f>
        <v>388</v>
      </c>
      <c r="O2477" s="86">
        <v>1719283</v>
      </c>
      <c r="R2477" s="86" t="str">
        <f>_xlfn.CONCAT(表格1[[#This Row],[Model]]," ",表格1[[#This Row],[inv no]])</f>
        <v>KT-17DRTHK(H) 1719283</v>
      </c>
      <c r="S2477" s="86">
        <f>_xlfn.XLOOKUP(表格1[[#This Row],[Model]],表格3[Model-Input-Ref2],表格3[SRP PRICE])</f>
        <v>498</v>
      </c>
      <c r="T2477" s="43">
        <f>表格1[[#This Row],[Unit Price]]/表格1[[#This Row],[SRP]]</f>
        <v>0.77911646586345384</v>
      </c>
      <c r="U2477" s="86" t="str">
        <f>_xlfn.XLOOKUP(表格1[[#This Row],[Model]],表格3[Model-Input-Ref2],表格3[TOSHIBA/HIGHEST])</f>
        <v>Toshiba SRP</v>
      </c>
      <c r="W2477" s="86" t="str">
        <f>_xlfn.CONCAT(表格1[[#This Row],[欄4]],表格1[[#This Row],[inv no]])</f>
        <v>1719283</v>
      </c>
    </row>
    <row r="2478" spans="1:23" hidden="1">
      <c r="A2478" s="81">
        <v>2476</v>
      </c>
      <c r="B2478" s="86" t="s">
        <v>1477</v>
      </c>
      <c r="C2478" s="86" t="s">
        <v>1860</v>
      </c>
      <c r="D2478" s="82" t="str">
        <f ca="1">OFFSET(Roster!$A$3,MATCH(表格1[[#This Row],[Location]]&amp;" "&amp;表格1[[#This Row],[Shop]]&amp;"*",Roster!$A$4:$A$72,0),DAY(表格1[[#This Row],[date]]),1,1)</f>
        <v>Kiko</v>
      </c>
      <c r="E2478" s="86">
        <f>MONTH(表格1[[#This Row],[date]])</f>
        <v>3</v>
      </c>
      <c r="F2478" s="90">
        <v>46088</v>
      </c>
      <c r="G2478" s="86" t="str">
        <f>VLOOKUP("*"&amp;表格1[[#This Row],[Input]]&amp;"*",'Ref-List'!$B:$D,2,)</f>
        <v>MWP-MG20P(BK)</v>
      </c>
      <c r="H2478" s="86" t="str">
        <f>_xlfn.XLOOKUP(表格1[[#This Row],[Model]],表格3[Model-Input-Ref2],表格3[Product Line])</f>
        <v>旋鈕式燒烤微波爐20L黑色</v>
      </c>
      <c r="I2478" s="86" t="str">
        <f>_xlfn.XLOOKUP(表格1[[#This Row],[Model]],表格3[Model-Input-Ref2],表格3[大小電])</f>
        <v>細電</v>
      </c>
      <c r="J2478" s="86" t="str">
        <f>_xlfn.XLOOKUP(表格1[[#This Row],[Model]],表格3[Model-Input-Ref2],表格3[Code])</f>
        <v>SDA</v>
      </c>
      <c r="K2478" s="89" t="s">
        <v>1485</v>
      </c>
      <c r="L2478" s="86">
        <v>1</v>
      </c>
      <c r="M2478" s="87">
        <v>579</v>
      </c>
      <c r="N2478" s="85">
        <f>IFERROR(表格1[[#This Row],[QTY]]*表格1[[#This Row],[Unit Price]],"-")</f>
        <v>579</v>
      </c>
      <c r="O2478" s="86">
        <v>1719436</v>
      </c>
      <c r="R2478" s="86" t="str">
        <f>_xlfn.CONCAT(表格1[[#This Row],[Model]]," ",表格1[[#This Row],[inv no]])</f>
        <v>MWP-MG20P(BK) 1719436</v>
      </c>
      <c r="S2478" s="86">
        <f>_xlfn.XLOOKUP(表格1[[#This Row],[Model]],表格3[Model-Input-Ref2],表格3[SRP PRICE])</f>
        <v>918</v>
      </c>
      <c r="T2478" s="43">
        <f>表格1[[#This Row],[Unit Price]]/表格1[[#This Row],[SRP]]</f>
        <v>0.63071895424836599</v>
      </c>
      <c r="U2478" s="86" t="str">
        <f>_xlfn.XLOOKUP(表格1[[#This Row],[Model]],表格3[Model-Input-Ref2],表格3[TOSHIBA/HIGHEST])</f>
        <v>Toshiba SRP</v>
      </c>
      <c r="W2478" s="86" t="str">
        <f>_xlfn.CONCAT(表格1[[#This Row],[欄4]],表格1[[#This Row],[inv no]])</f>
        <v>1719436</v>
      </c>
    </row>
    <row r="2479" spans="1:23" hidden="1">
      <c r="A2479" s="81">
        <v>2477</v>
      </c>
      <c r="B2479" s="86" t="s">
        <v>1477</v>
      </c>
      <c r="C2479" s="86" t="s">
        <v>1860</v>
      </c>
      <c r="D2479" s="82" t="str">
        <f ca="1">OFFSET(Roster!$A$3,MATCH(表格1[[#This Row],[Location]]&amp;" "&amp;表格1[[#This Row],[Shop]]&amp;"*",Roster!$A$4:$A$72,0),DAY(表格1[[#This Row],[date]]),1,1)</f>
        <v>Kiko</v>
      </c>
      <c r="E2479" s="86">
        <f>MONTH(表格1[[#This Row],[date]])</f>
        <v>3</v>
      </c>
      <c r="F2479" s="90">
        <v>46088</v>
      </c>
      <c r="G2479" s="86" t="str">
        <f>VLOOKUP("*"&amp;表格1[[#This Row],[Input]]&amp;"*",'Ref-List'!$B:$D,2,)</f>
        <v>MM2-EG20PC(WH)</v>
      </c>
      <c r="H2479" s="86" t="str">
        <f>_xlfn.XLOOKUP(表格1[[#This Row],[Model]],表格3[Model-Input-Ref2],表格3[Product Line])</f>
        <v>輕觸式燒烤微波爐</v>
      </c>
      <c r="I2479" s="86" t="str">
        <f>_xlfn.XLOOKUP(表格1[[#This Row],[Model]],表格3[Model-Input-Ref2],表格3[大小電])</f>
        <v>細電</v>
      </c>
      <c r="J2479" s="86" t="str">
        <f>_xlfn.XLOOKUP(表格1[[#This Row],[Model]],表格3[Model-Input-Ref2],表格3[Code])</f>
        <v>MCA</v>
      </c>
      <c r="K2479" s="89" t="s">
        <v>1273</v>
      </c>
      <c r="L2479" s="86">
        <v>1</v>
      </c>
      <c r="M2479" s="87">
        <v>698</v>
      </c>
      <c r="N2479" s="85">
        <f>IFERROR(表格1[[#This Row],[QTY]]*表格1[[#This Row],[Unit Price]],"-")</f>
        <v>698</v>
      </c>
      <c r="O2479" s="86">
        <v>1719483</v>
      </c>
      <c r="R2479" s="86" t="str">
        <f>_xlfn.CONCAT(表格1[[#This Row],[Model]]," ",表格1[[#This Row],[inv no]])</f>
        <v>MM2-EG20PC(WH) 1719483</v>
      </c>
      <c r="S2479" s="86">
        <f>_xlfn.XLOOKUP(表格1[[#This Row],[Model]],表格3[Model-Input-Ref2],表格3[SRP PRICE])</f>
        <v>918</v>
      </c>
      <c r="T2479" s="43">
        <f>表格1[[#This Row],[Unit Price]]/表格1[[#This Row],[SRP]]</f>
        <v>0.76034858387799564</v>
      </c>
      <c r="U2479" s="86" t="str">
        <f>_xlfn.XLOOKUP(表格1[[#This Row],[Model]],表格3[Model-Input-Ref2],表格3[TOSHIBA/HIGHEST])</f>
        <v>Shops Highest Price</v>
      </c>
      <c r="W2479" s="86" t="str">
        <f>_xlfn.CONCAT(表格1[[#This Row],[欄4]],表格1[[#This Row],[inv no]])</f>
        <v>1719483</v>
      </c>
    </row>
    <row r="2480" spans="1:23" hidden="1">
      <c r="A2480" s="81">
        <v>2478</v>
      </c>
      <c r="B2480" s="86" t="s">
        <v>1477</v>
      </c>
      <c r="C2480" s="86" t="s">
        <v>1860</v>
      </c>
      <c r="D2480" s="82" t="str">
        <f ca="1">OFFSET(Roster!$A$3,MATCH(表格1[[#This Row],[Location]]&amp;" "&amp;表格1[[#This Row],[Shop]]&amp;"*",Roster!$A$4:$A$72,0),DAY(表格1[[#This Row],[date]]),1,1)</f>
        <v>Kiko</v>
      </c>
      <c r="E2480" s="86">
        <f>MONTH(表格1[[#This Row],[date]])</f>
        <v>3</v>
      </c>
      <c r="F2480" s="90">
        <v>46088</v>
      </c>
      <c r="G2480" s="86" t="str">
        <f>VLOOKUP("*"&amp;表格1[[#This Row],[Input]]&amp;"*",'Ref-List'!$B:$D,2,)</f>
        <v>MM2-EM20PC(WH)</v>
      </c>
      <c r="H2480" s="86" t="str">
        <f>_xlfn.XLOOKUP(表格1[[#This Row],[Model]],表格3[Model-Input-Ref2],表格3[Product Line])</f>
        <v>輕觸式微波爐 (20公升)</v>
      </c>
      <c r="I2480" s="86" t="str">
        <f>_xlfn.XLOOKUP(表格1[[#This Row],[Model]],表格3[Model-Input-Ref2],表格3[大小電])</f>
        <v>細電</v>
      </c>
      <c r="J2480" s="86" t="str">
        <f>_xlfn.XLOOKUP(表格1[[#This Row],[Model]],表格3[Model-Input-Ref2],表格3[Code])</f>
        <v>MCA</v>
      </c>
      <c r="K2480" s="89" t="s">
        <v>1276</v>
      </c>
      <c r="L2480" s="86">
        <v>1</v>
      </c>
      <c r="M2480" s="87">
        <v>598</v>
      </c>
      <c r="N2480" s="85">
        <f>IFERROR(表格1[[#This Row],[QTY]]*表格1[[#This Row],[Unit Price]],"-")</f>
        <v>598</v>
      </c>
      <c r="O2480" s="86">
        <v>1719461</v>
      </c>
      <c r="R2480" s="86" t="str">
        <f>_xlfn.CONCAT(表格1[[#This Row],[Model]]," ",表格1[[#This Row],[inv no]])</f>
        <v>MM2-EM20PC(WH) 1719461</v>
      </c>
      <c r="S2480" s="86">
        <f>_xlfn.XLOOKUP(表格1[[#This Row],[Model]],表格3[Model-Input-Ref2],表格3[SRP PRICE])</f>
        <v>788</v>
      </c>
      <c r="T2480" s="43">
        <f>表格1[[#This Row],[Unit Price]]/表格1[[#This Row],[SRP]]</f>
        <v>0.75888324873096447</v>
      </c>
      <c r="U2480" s="86" t="str">
        <f>_xlfn.XLOOKUP(表格1[[#This Row],[Model]],表格3[Model-Input-Ref2],表格3[TOSHIBA/HIGHEST])</f>
        <v>Toshiba SRP</v>
      </c>
      <c r="W2480" s="86" t="str">
        <f>_xlfn.CONCAT(表格1[[#This Row],[欄4]],表格1[[#This Row],[inv no]])</f>
        <v>1719461</v>
      </c>
    </row>
    <row r="2481" spans="1:23" hidden="1">
      <c r="A2481" s="81">
        <v>2479</v>
      </c>
      <c r="B2481" s="86" t="s">
        <v>1477</v>
      </c>
      <c r="C2481" s="86" t="s">
        <v>1860</v>
      </c>
      <c r="D2481" s="82" t="str">
        <f ca="1">OFFSET(Roster!$A$3,MATCH(表格1[[#This Row],[Location]]&amp;" "&amp;表格1[[#This Row],[Shop]]&amp;"*",Roster!$A$4:$A$72,0),DAY(表格1[[#This Row],[date]]),1,1)</f>
        <v>Kiko</v>
      </c>
      <c r="E2481" s="86">
        <f>MONTH(表格1[[#This Row],[date]])</f>
        <v>3</v>
      </c>
      <c r="F2481" s="90">
        <v>46088</v>
      </c>
      <c r="G2481" s="86" t="str">
        <f>VLOOKUP("*"&amp;表格1[[#This Row],[Input]]&amp;"*",'Ref-List'!$B:$D,2,)</f>
        <v>RAD-D300H</v>
      </c>
      <c r="H2481" s="86" t="str">
        <f>_xlfn.XLOOKUP(表格1[[#This Row],[Model]],表格3[Model-Input-Ref2],表格3[Product Line])</f>
        <v>壓縮式抽濕機 (30公升)</v>
      </c>
      <c r="I2481" s="86" t="str">
        <f>_xlfn.XLOOKUP(表格1[[#This Row],[Model]],表格3[Model-Input-Ref2],表格3[大小電])</f>
        <v>細電</v>
      </c>
      <c r="J2481" s="86" t="str">
        <f>_xlfn.XLOOKUP(表格1[[#This Row],[Model]],表格3[Model-Input-Ref2],表格3[Code])</f>
        <v>RAC</v>
      </c>
      <c r="K2481" s="89" t="s">
        <v>1252</v>
      </c>
      <c r="L2481" s="86">
        <v>1</v>
      </c>
      <c r="M2481" s="87">
        <v>2280</v>
      </c>
      <c r="N2481" s="85">
        <f>IFERROR(表格1[[#This Row],[QTY]]*表格1[[#This Row],[Unit Price]],"-")</f>
        <v>2280</v>
      </c>
      <c r="O2481" s="86">
        <v>1719420</v>
      </c>
      <c r="R2481" s="86" t="str">
        <f>_xlfn.CONCAT(表格1[[#This Row],[Model]]," ",表格1[[#This Row],[inv no]])</f>
        <v>RAD-D300H 1719420</v>
      </c>
      <c r="S2481" s="86">
        <f>_xlfn.XLOOKUP(表格1[[#This Row],[Model]],表格3[Model-Input-Ref2],表格3[SRP PRICE])</f>
        <v>3380</v>
      </c>
      <c r="T2481" s="43">
        <f>表格1[[#This Row],[Unit Price]]/表格1[[#This Row],[SRP]]</f>
        <v>0.67455621301775148</v>
      </c>
      <c r="U2481" s="86" t="str">
        <f>_xlfn.XLOOKUP(表格1[[#This Row],[Model]],表格3[Model-Input-Ref2],表格3[TOSHIBA/HIGHEST])</f>
        <v>Shops Highest Price</v>
      </c>
      <c r="W2481" s="86" t="str">
        <f>_xlfn.CONCAT(表格1[[#This Row],[欄4]],表格1[[#This Row],[inv no]])</f>
        <v>1719420</v>
      </c>
    </row>
    <row r="2482" spans="1:23" hidden="1">
      <c r="A2482" s="81">
        <v>2480</v>
      </c>
      <c r="B2482" s="86" t="s">
        <v>1477</v>
      </c>
      <c r="C2482" s="86" t="s">
        <v>1860</v>
      </c>
      <c r="D2482" s="82" t="str">
        <f ca="1">OFFSET(Roster!$A$3,MATCH(表格1[[#This Row],[Location]]&amp;" "&amp;表格1[[#This Row],[Shop]]&amp;"*",Roster!$A$4:$A$72,0),DAY(表格1[[#This Row],[date]]),1,1)</f>
        <v>Kiko</v>
      </c>
      <c r="E2482" s="86">
        <f>MONTH(表格1[[#This Row],[date]])</f>
        <v>3</v>
      </c>
      <c r="F2482" s="90">
        <v>46088</v>
      </c>
      <c r="G2482" s="86" t="str">
        <f>VLOOKUP("*"&amp;表格1[[#This Row],[Input]]&amp;"*",'Ref-List'!$B:$D,2,)</f>
        <v>RAD-D300H</v>
      </c>
      <c r="H2482" s="86" t="str">
        <f>_xlfn.XLOOKUP(表格1[[#This Row],[Model]],表格3[Model-Input-Ref2],表格3[Product Line])</f>
        <v>壓縮式抽濕機 (30公升)</v>
      </c>
      <c r="I2482" s="86" t="str">
        <f>_xlfn.XLOOKUP(表格1[[#This Row],[Model]],表格3[Model-Input-Ref2],表格3[大小電])</f>
        <v>細電</v>
      </c>
      <c r="J2482" s="86" t="str">
        <f>_xlfn.XLOOKUP(表格1[[#This Row],[Model]],表格3[Model-Input-Ref2],表格3[Code])</f>
        <v>RAC</v>
      </c>
      <c r="K2482" s="89" t="s">
        <v>1252</v>
      </c>
      <c r="L2482" s="86">
        <v>1</v>
      </c>
      <c r="M2482" s="87">
        <v>2280</v>
      </c>
      <c r="N2482" s="85">
        <f>IFERROR(表格1[[#This Row],[QTY]]*表格1[[#This Row],[Unit Price]],"-")</f>
        <v>2280</v>
      </c>
      <c r="O2482" s="86">
        <v>1326050</v>
      </c>
      <c r="R2482" s="86" t="str">
        <f>_xlfn.CONCAT(表格1[[#This Row],[Model]]," ",表格1[[#This Row],[inv no]])</f>
        <v>RAD-D300H 1326050</v>
      </c>
      <c r="S2482" s="86">
        <f>_xlfn.XLOOKUP(表格1[[#This Row],[Model]],表格3[Model-Input-Ref2],表格3[SRP PRICE])</f>
        <v>3380</v>
      </c>
      <c r="T2482" s="43">
        <f>表格1[[#This Row],[Unit Price]]/表格1[[#This Row],[SRP]]</f>
        <v>0.67455621301775148</v>
      </c>
      <c r="U2482" s="86" t="str">
        <f>_xlfn.XLOOKUP(表格1[[#This Row],[Model]],表格3[Model-Input-Ref2],表格3[TOSHIBA/HIGHEST])</f>
        <v>Shops Highest Price</v>
      </c>
      <c r="W2482" s="86" t="str">
        <f>_xlfn.CONCAT(表格1[[#This Row],[欄4]],表格1[[#This Row],[inv no]])</f>
        <v>1326050</v>
      </c>
    </row>
    <row r="2483" spans="1:23" hidden="1">
      <c r="A2483" s="81">
        <v>2481</v>
      </c>
      <c r="B2483" s="86" t="s">
        <v>1477</v>
      </c>
      <c r="C2483" s="86" t="s">
        <v>1860</v>
      </c>
      <c r="D2483" s="82" t="str">
        <f ca="1">OFFSET(Roster!$A$3,MATCH(表格1[[#This Row],[Location]]&amp;" "&amp;表格1[[#This Row],[Shop]]&amp;"*",Roster!$A$4:$A$72,0),DAY(表格1[[#This Row],[date]]),1,1)</f>
        <v>Kiko</v>
      </c>
      <c r="E2483" s="86">
        <f>MONTH(表格1[[#This Row],[date]])</f>
        <v>3</v>
      </c>
      <c r="F2483" s="90">
        <v>46088</v>
      </c>
      <c r="G2483" s="86" t="str">
        <f>VLOOKUP("*"&amp;表格1[[#This Row],[Input]]&amp;"*",'Ref-List'!$B:$D,2,)</f>
        <v>KT-17SHNH</v>
      </c>
      <c r="H2483" s="86" t="str">
        <f>_xlfn.XLOOKUP(表格1[[#This Row],[Model]],表格3[Model-Input-Ref2],表格3[Product Line])</f>
        <v>1.7L無線雙層電熱水壺</v>
      </c>
      <c r="I2483" s="86" t="str">
        <f>_xlfn.XLOOKUP(表格1[[#This Row],[Model]],表格3[Model-Input-Ref2],表格3[大小電])</f>
        <v>細電</v>
      </c>
      <c r="J2483" s="86" t="str">
        <f>_xlfn.XLOOKUP(表格1[[#This Row],[Model]],表格3[Model-Input-Ref2],表格3[Code])</f>
        <v>SDA</v>
      </c>
      <c r="K2483" s="89" t="s">
        <v>1283</v>
      </c>
      <c r="L2483" s="86">
        <v>1</v>
      </c>
      <c r="M2483" s="87">
        <v>198</v>
      </c>
      <c r="N2483" s="85">
        <f>IFERROR(表格1[[#This Row],[QTY]]*表格1[[#This Row],[Unit Price]],"-")</f>
        <v>198</v>
      </c>
      <c r="O2483" s="86">
        <v>1719528</v>
      </c>
      <c r="R2483" s="86" t="str">
        <f>_xlfn.CONCAT(表格1[[#This Row],[Model]]," ",表格1[[#This Row],[inv no]])</f>
        <v>KT-17SHNH 1719528</v>
      </c>
      <c r="S2483" s="86">
        <f>_xlfn.XLOOKUP(表格1[[#This Row],[Model]],表格3[Model-Input-Ref2],表格3[SRP PRICE])</f>
        <v>299</v>
      </c>
      <c r="T2483" s="43">
        <f>表格1[[#This Row],[Unit Price]]/表格1[[#This Row],[SRP]]</f>
        <v>0.66220735785953178</v>
      </c>
      <c r="U2483" s="86" t="str">
        <f>_xlfn.XLOOKUP(表格1[[#This Row],[Model]],表格3[Model-Input-Ref2],表格3[TOSHIBA/HIGHEST])</f>
        <v>Shops Highest Price</v>
      </c>
      <c r="W2483" s="86" t="str">
        <f>_xlfn.CONCAT(表格1[[#This Row],[欄4]],表格1[[#This Row],[inv no]])</f>
        <v>1719528</v>
      </c>
    </row>
    <row r="2484" spans="1:23" hidden="1">
      <c r="A2484" s="81">
        <v>2482</v>
      </c>
      <c r="B2484" s="86" t="s">
        <v>1477</v>
      </c>
      <c r="C2484" s="86" t="s">
        <v>1860</v>
      </c>
      <c r="D2484" s="82" t="str">
        <f ca="1">OFFSET(Roster!$A$3,MATCH(表格1[[#This Row],[Location]]&amp;" "&amp;表格1[[#This Row],[Shop]]&amp;"*",Roster!$A$4:$A$72,0),DAY(表格1[[#This Row],[date]]),1,1)</f>
        <v>Kiko</v>
      </c>
      <c r="E2484" s="86">
        <f>MONTH(表格1[[#This Row],[date]])</f>
        <v>3</v>
      </c>
      <c r="F2484" s="90">
        <v>46088</v>
      </c>
      <c r="G2484" s="86" t="str">
        <f>VLOOKUP("*"&amp;表格1[[#This Row],[Input]]&amp;"*",'Ref-List'!$B:$D,2,)</f>
        <v>GR-RT300WE-PMA(57)</v>
      </c>
      <c r="H2484" s="86" t="str">
        <f>_xlfn.XLOOKUP(表格1[[#This Row],[Model]],表格3[Model-Input-Ref2],表格3[Product Line])</f>
        <v>變頻式環保雙門雪櫃(233L)</v>
      </c>
      <c r="I2484" s="86" t="str">
        <f>_xlfn.XLOOKUP(表格1[[#This Row],[Model]],表格3[Model-Input-Ref2],表格3[大小電])</f>
        <v>大電</v>
      </c>
      <c r="J2484" s="86" t="str">
        <f>_xlfn.XLOOKUP(表格1[[#This Row],[Model]],表格3[Model-Input-Ref2],表格3[Code])</f>
        <v>REF</v>
      </c>
      <c r="K2484" s="89" t="s">
        <v>1462</v>
      </c>
      <c r="L2484" s="86">
        <v>1</v>
      </c>
      <c r="M2484" s="87">
        <v>2780</v>
      </c>
      <c r="N2484" s="85">
        <f>IFERROR(表格1[[#This Row],[QTY]]*表格1[[#This Row],[Unit Price]],"-")</f>
        <v>2780</v>
      </c>
      <c r="O2484" s="86">
        <v>1326044</v>
      </c>
      <c r="R2484" s="86" t="str">
        <f>_xlfn.CONCAT(表格1[[#This Row],[Model]]," ",表格1[[#This Row],[inv no]])</f>
        <v>GR-RT300WE-PMA(57) 1326044</v>
      </c>
      <c r="S2484" s="86">
        <f>_xlfn.XLOOKUP(表格1[[#This Row],[Model]],表格3[Model-Input-Ref2],表格3[SRP PRICE])</f>
        <v>4280</v>
      </c>
      <c r="T2484" s="43">
        <f>表格1[[#This Row],[Unit Price]]/表格1[[#This Row],[SRP]]</f>
        <v>0.64953271028037385</v>
      </c>
      <c r="U2484" s="86" t="str">
        <f>_xlfn.XLOOKUP(表格1[[#This Row],[Model]],表格3[Model-Input-Ref2],表格3[TOSHIBA/HIGHEST])</f>
        <v>Toshiba SRP</v>
      </c>
      <c r="W2484" s="86" t="str">
        <f>_xlfn.CONCAT(表格1[[#This Row],[欄4]],表格1[[#This Row],[inv no]])</f>
        <v>1326044</v>
      </c>
    </row>
    <row r="2485" spans="1:23" hidden="1">
      <c r="A2485" s="81">
        <v>2483</v>
      </c>
      <c r="B2485" s="86" t="s">
        <v>1477</v>
      </c>
      <c r="C2485" s="86" t="s">
        <v>1860</v>
      </c>
      <c r="D2485" s="82" t="str">
        <f ca="1">OFFSET(Roster!$A$3,MATCH(表格1[[#This Row],[Location]]&amp;" "&amp;表格1[[#This Row],[Shop]]&amp;"*",Roster!$A$4:$A$72,0),DAY(表格1[[#This Row],[date]]),1,1)</f>
        <v>Kiko</v>
      </c>
      <c r="E2485" s="86">
        <f>MONTH(表格1[[#This Row],[date]])</f>
        <v>3</v>
      </c>
      <c r="F2485" s="90">
        <v>46089</v>
      </c>
      <c r="G2485" s="86" t="str">
        <f>VLOOKUP("*"&amp;表格1[[#This Row],[Input]]&amp;"*",'Ref-List'!$B:$D,2,)</f>
        <v>AW-Q901BPH(WW)</v>
      </c>
      <c r="H2485" s="86" t="str">
        <f>_xlfn.XLOOKUP(表格1[[#This Row],[Model]],表格3[Model-Input-Ref2],表格3[Product Line])</f>
        <v>日式洗衣機 (8公斤 結合高低水位)</v>
      </c>
      <c r="I2485" s="86" t="str">
        <f>_xlfn.XLOOKUP(表格1[[#This Row],[Model]],表格3[Model-Input-Ref2],表格3[大小電])</f>
        <v>大電</v>
      </c>
      <c r="J2485" s="86" t="str">
        <f>_xlfn.XLOOKUP(表格1[[#This Row],[Model]],表格3[Model-Input-Ref2],表格3[Code])</f>
        <v>LAD</v>
      </c>
      <c r="K2485" s="89" t="s">
        <v>1411</v>
      </c>
      <c r="L2485" s="86">
        <v>1</v>
      </c>
      <c r="M2485" s="87">
        <v>2280</v>
      </c>
      <c r="N2485" s="85">
        <f>IFERROR(表格1[[#This Row],[QTY]]*表格1[[#This Row],[Unit Price]],"-")</f>
        <v>2280</v>
      </c>
      <c r="O2485" s="86">
        <v>1719405</v>
      </c>
      <c r="P2485" s="86" t="s">
        <v>1864</v>
      </c>
      <c r="R2485" s="86" t="str">
        <f>_xlfn.CONCAT(表格1[[#This Row],[Model]]," ",表格1[[#This Row],[inv no]])</f>
        <v>AW-Q901BPH(WW) 1719405</v>
      </c>
      <c r="S2485" s="86">
        <f>_xlfn.XLOOKUP(表格1[[#This Row],[Model]],表格3[Model-Input-Ref2],表格3[SRP PRICE])</f>
        <v>3780</v>
      </c>
      <c r="T2485" s="43">
        <f>表格1[[#This Row],[Unit Price]]/表格1[[#This Row],[SRP]]</f>
        <v>0.60317460317460314</v>
      </c>
      <c r="U2485" s="86" t="str">
        <f>_xlfn.XLOOKUP(表格1[[#This Row],[Model]],表格3[Model-Input-Ref2],表格3[TOSHIBA/HIGHEST])</f>
        <v>Toshiba SRP</v>
      </c>
      <c r="W2485" s="86" t="str">
        <f>_xlfn.CONCAT(表格1[[#This Row],[欄4]],表格1[[#This Row],[inv no]])</f>
        <v>1719405</v>
      </c>
    </row>
    <row r="2486" spans="1:23" hidden="1">
      <c r="A2486" s="81">
        <v>2484</v>
      </c>
      <c r="B2486" s="86" t="s">
        <v>1477</v>
      </c>
      <c r="C2486" s="86" t="s">
        <v>1860</v>
      </c>
      <c r="D2486" s="82" t="str">
        <f ca="1">OFFSET(Roster!$A$3,MATCH(表格1[[#This Row],[Location]]&amp;" "&amp;表格1[[#This Row],[Shop]]&amp;"*",Roster!$A$4:$A$72,0),DAY(表格1[[#This Row],[date]]),1,1)</f>
        <v>Kiko</v>
      </c>
      <c r="E2486" s="86">
        <f>MONTH(表格1[[#This Row],[date]])</f>
        <v>3</v>
      </c>
      <c r="F2486" s="90">
        <v>46089</v>
      </c>
      <c r="G2486" s="86" t="str">
        <f>VLOOKUP("*"&amp;表格1[[#This Row],[Input]]&amp;"*",'Ref-List'!$B:$D,2,)</f>
        <v>ER-TD5000HK(XK)</v>
      </c>
      <c r="H2486" s="86" t="str">
        <f>_xlfn.XLOOKUP(表格1[[#This Row],[Model]],表格3[Model-Input-Ref2],表格3[Product Line])</f>
        <v>座檯式純蒸氣烤焗水波爐30L</v>
      </c>
      <c r="I2486" s="86" t="str">
        <f>_xlfn.XLOOKUP(表格1[[#This Row],[Model]],表格3[Model-Input-Ref2],表格3[大小電])</f>
        <v>細電</v>
      </c>
      <c r="J2486" s="86" t="str">
        <f>_xlfn.XLOOKUP(表格1[[#This Row],[Model]],表格3[Model-Input-Ref2],表格3[Code])</f>
        <v>SDA</v>
      </c>
      <c r="K2486" s="89" t="s">
        <v>1205</v>
      </c>
      <c r="L2486" s="86">
        <v>1</v>
      </c>
      <c r="M2486" s="87">
        <v>5880</v>
      </c>
      <c r="N2486" s="85">
        <f>IFERROR(表格1[[#This Row],[QTY]]*表格1[[#This Row],[Unit Price]],"-")</f>
        <v>5880</v>
      </c>
      <c r="O2486" s="86">
        <v>1326047</v>
      </c>
      <c r="R2486" s="86" t="str">
        <f>_xlfn.CONCAT(表格1[[#This Row],[Model]]," ",表格1[[#This Row],[inv no]])</f>
        <v>ER-TD5000HK(XK) 1326047</v>
      </c>
      <c r="S2486" s="86">
        <f>_xlfn.XLOOKUP(表格1[[#This Row],[Model]],表格3[Model-Input-Ref2],表格3[SRP PRICE])</f>
        <v>7998</v>
      </c>
      <c r="T2486" s="43">
        <f>表格1[[#This Row],[Unit Price]]/表格1[[#This Row],[SRP]]</f>
        <v>0.7351837959489872</v>
      </c>
      <c r="U2486" s="86" t="str">
        <f>_xlfn.XLOOKUP(表格1[[#This Row],[Model]],表格3[Model-Input-Ref2],表格3[TOSHIBA/HIGHEST])</f>
        <v>Toshiba SRP</v>
      </c>
      <c r="W2486" s="86" t="str">
        <f>_xlfn.CONCAT(表格1[[#This Row],[欄4]],表格1[[#This Row],[inv no]])</f>
        <v>1326047</v>
      </c>
    </row>
    <row r="2487" spans="1:23" hidden="1">
      <c r="A2487" s="81">
        <v>2485</v>
      </c>
      <c r="B2487" s="86" t="s">
        <v>1477</v>
      </c>
      <c r="C2487" s="86" t="s">
        <v>1860</v>
      </c>
      <c r="D2487" s="82" t="str">
        <f ca="1">OFFSET(Roster!$A$3,MATCH(表格1[[#This Row],[Location]]&amp;" "&amp;表格1[[#This Row],[Shop]]&amp;"*",Roster!$A$4:$A$72,0),DAY(表格1[[#This Row],[date]]),1,1)</f>
        <v>Kiko</v>
      </c>
      <c r="E2487" s="86">
        <f>MONTH(表格1[[#This Row],[date]])</f>
        <v>3</v>
      </c>
      <c r="F2487" s="90">
        <v>46089</v>
      </c>
      <c r="G2487" s="86" t="str">
        <f>VLOOKUP("*"&amp;表格1[[#This Row],[Input]]&amp;"*",'Ref-List'!$B:$D,2,)</f>
        <v>MW3-MM25PC(BK)</v>
      </c>
      <c r="H2487" s="86" t="str">
        <f>_xlfn.XLOOKUP(表格1[[#This Row],[Model]],表格3[Model-Input-Ref2],表格3[Product Line])</f>
        <v>旋鈕式微波爐 (25公升)</v>
      </c>
      <c r="I2487" s="86" t="str">
        <f>_xlfn.XLOOKUP(表格1[[#This Row],[Model]],表格3[Model-Input-Ref2],表格3[大小電])</f>
        <v>細電</v>
      </c>
      <c r="J2487" s="86" t="str">
        <f>_xlfn.XLOOKUP(表格1[[#This Row],[Model]],表格3[Model-Input-Ref2],表格3[Code])</f>
        <v>MOA</v>
      </c>
      <c r="K2487" s="89" t="s">
        <v>1482</v>
      </c>
      <c r="L2487" s="86">
        <v>1</v>
      </c>
      <c r="M2487" s="87">
        <v>719</v>
      </c>
      <c r="N2487" s="85">
        <f>IFERROR(表格1[[#This Row],[QTY]]*表格1[[#This Row],[Unit Price]],"-")</f>
        <v>719</v>
      </c>
      <c r="O2487" s="86">
        <v>1719425</v>
      </c>
      <c r="R2487" s="86" t="str">
        <f>_xlfn.CONCAT(表格1[[#This Row],[Model]]," ",表格1[[#This Row],[inv no]])</f>
        <v>MW3-MM25PC(BK) 1719425</v>
      </c>
      <c r="S2487" s="86">
        <f>_xlfn.XLOOKUP(表格1[[#This Row],[Model]],表格3[Model-Input-Ref2],表格3[SRP PRICE])</f>
        <v>998</v>
      </c>
      <c r="T2487" s="43">
        <f>表格1[[#This Row],[Unit Price]]/表格1[[#This Row],[SRP]]</f>
        <v>0.72044088176352705</v>
      </c>
      <c r="U2487" s="86" t="str">
        <f>_xlfn.XLOOKUP(表格1[[#This Row],[Model]],表格3[Model-Input-Ref2],表格3[TOSHIBA/HIGHEST])</f>
        <v>Toshiba SRP</v>
      </c>
      <c r="W2487" s="86" t="str">
        <f>_xlfn.CONCAT(表格1[[#This Row],[欄4]],表格1[[#This Row],[inv no]])</f>
        <v>1719425</v>
      </c>
    </row>
    <row r="2488" spans="1:23" hidden="1">
      <c r="A2488" s="81">
        <v>2486</v>
      </c>
      <c r="B2488" s="86" t="s">
        <v>1477</v>
      </c>
      <c r="C2488" s="86" t="s">
        <v>1860</v>
      </c>
      <c r="D2488" s="82" t="str">
        <f ca="1">OFFSET(Roster!$A$3,MATCH(表格1[[#This Row],[Location]]&amp;" "&amp;表格1[[#This Row],[Shop]]&amp;"*",Roster!$A$4:$A$72,0),DAY(表格1[[#This Row],[date]]),1,1)</f>
        <v>Kiko</v>
      </c>
      <c r="E2488" s="86">
        <f>MONTH(表格1[[#This Row],[date]])</f>
        <v>3</v>
      </c>
      <c r="F2488" s="90">
        <v>46089</v>
      </c>
      <c r="G2488" s="86" t="str">
        <f>VLOOKUP("*"&amp;表格1[[#This Row],[Input]]&amp;"*",'Ref-List'!$B:$D,2,)</f>
        <v>RC-5SLIH(W)</v>
      </c>
      <c r="H2488" s="86" t="str">
        <f>_xlfn.XLOOKUP(表格1[[#This Row],[Model]],表格3[Model-Input-Ref2],表格3[Product Line])</f>
        <v>微型電腦珍珠飯煲</v>
      </c>
      <c r="I2488" s="86" t="str">
        <f>_xlfn.XLOOKUP(表格1[[#This Row],[Model]],表格3[Model-Input-Ref2],表格3[大小電])</f>
        <v>細電</v>
      </c>
      <c r="J2488" s="86" t="str">
        <f>_xlfn.XLOOKUP(表格1[[#This Row],[Model]],表格3[Model-Input-Ref2],表格3[Code])</f>
        <v>SDA</v>
      </c>
      <c r="K2488" s="89" t="s">
        <v>1264</v>
      </c>
      <c r="L2488" s="86">
        <v>1</v>
      </c>
      <c r="M2488" s="87">
        <v>593</v>
      </c>
      <c r="N2488" s="85">
        <f>IFERROR(表格1[[#This Row],[QTY]]*表格1[[#This Row],[Unit Price]],"-")</f>
        <v>593</v>
      </c>
      <c r="O2488" s="86">
        <v>1326037</v>
      </c>
      <c r="R2488" s="86" t="str">
        <f>_xlfn.CONCAT(表格1[[#This Row],[Model]]," ",表格1[[#This Row],[inv no]])</f>
        <v>RC-5SLIH(W) 1326037</v>
      </c>
      <c r="S2488" s="86">
        <f>_xlfn.XLOOKUP(表格1[[#This Row],[Model]],表格3[Model-Input-Ref2],表格3[SRP PRICE])</f>
        <v>658</v>
      </c>
      <c r="T2488" s="43">
        <f>表格1[[#This Row],[Unit Price]]/表格1[[#This Row],[SRP]]</f>
        <v>0.90121580547112456</v>
      </c>
      <c r="U2488" s="86" t="str">
        <f>_xlfn.XLOOKUP(表格1[[#This Row],[Model]],表格3[Model-Input-Ref2],表格3[TOSHIBA/HIGHEST])</f>
        <v>Toshiba SRP</v>
      </c>
      <c r="W2488" s="86" t="str">
        <f>_xlfn.CONCAT(表格1[[#This Row],[欄4]],表格1[[#This Row],[inv no]])</f>
        <v>1326037</v>
      </c>
    </row>
    <row r="2489" spans="1:23" hidden="1">
      <c r="A2489" s="81">
        <v>2487</v>
      </c>
      <c r="B2489" s="86" t="s">
        <v>1477</v>
      </c>
      <c r="C2489" s="86" t="s">
        <v>1860</v>
      </c>
      <c r="D2489" s="82" t="str">
        <f ca="1">OFFSET(Roster!$A$3,MATCH(表格1[[#This Row],[Location]]&amp;" "&amp;表格1[[#This Row],[Shop]]&amp;"*",Roster!$A$4:$A$72,0),DAY(表格1[[#This Row],[date]]),1,1)</f>
        <v>Kiko</v>
      </c>
      <c r="E2489" s="86">
        <f>MONTH(表格1[[#This Row],[date]])</f>
        <v>3</v>
      </c>
      <c r="F2489" s="90">
        <v>46089</v>
      </c>
      <c r="G2489" s="86" t="str">
        <f>VLOOKUP("*"&amp;表格1[[#This Row],[Input]]&amp;"*",'Ref-List'!$B:$D,2,)</f>
        <v>IC-S19RH</v>
      </c>
      <c r="H2489" s="86" t="str">
        <f>_xlfn.XLOOKUP(表格1[[#This Row],[Model]],表格3[Model-Input-Ref2],表格3[Product Line])</f>
        <v>輕便式電磁爐7個功能</v>
      </c>
      <c r="I2489" s="86" t="str">
        <f>_xlfn.XLOOKUP(表格1[[#This Row],[Model]],表格3[Model-Input-Ref2],表格3[大小電])</f>
        <v>細電</v>
      </c>
      <c r="J2489" s="86" t="str">
        <f>_xlfn.XLOOKUP(表格1[[#This Row],[Model]],表格3[Model-Input-Ref2],表格3[Code])</f>
        <v>SDA</v>
      </c>
      <c r="K2489" s="89" t="s">
        <v>1289</v>
      </c>
      <c r="L2489" s="86">
        <v>1</v>
      </c>
      <c r="M2489" s="87">
        <v>418</v>
      </c>
      <c r="N2489" s="85">
        <f>IFERROR(表格1[[#This Row],[QTY]]*表格1[[#This Row],[Unit Price]],"-")</f>
        <v>418</v>
      </c>
      <c r="O2489" s="86">
        <v>1719439</v>
      </c>
      <c r="R2489" s="86" t="str">
        <f>_xlfn.CONCAT(表格1[[#This Row],[Model]]," ",表格1[[#This Row],[inv no]])</f>
        <v>IC-S19RH 1719439</v>
      </c>
      <c r="S2489" s="86">
        <f>_xlfn.XLOOKUP(表格1[[#This Row],[Model]],表格3[Model-Input-Ref2],表格3[SRP PRICE])</f>
        <v>638</v>
      </c>
      <c r="T2489" s="43">
        <f>表格1[[#This Row],[Unit Price]]/表格1[[#This Row],[SRP]]</f>
        <v>0.65517241379310343</v>
      </c>
      <c r="U2489" s="86" t="str">
        <f>_xlfn.XLOOKUP(表格1[[#This Row],[Model]],表格3[Model-Input-Ref2],表格3[TOSHIBA/HIGHEST])</f>
        <v>Toshiba SRP</v>
      </c>
      <c r="W2489" s="86" t="str">
        <f>_xlfn.CONCAT(表格1[[#This Row],[欄4]],表格1[[#This Row],[inv no]])</f>
        <v>1719439</v>
      </c>
    </row>
    <row r="2490" spans="1:23" hidden="1">
      <c r="A2490" s="81">
        <v>2488</v>
      </c>
      <c r="B2490" s="86" t="s">
        <v>1477</v>
      </c>
      <c r="C2490" s="86" t="s">
        <v>1860</v>
      </c>
      <c r="D2490" s="82" t="str">
        <f ca="1">OFFSET(Roster!$A$3,MATCH(表格1[[#This Row],[Location]]&amp;" "&amp;表格1[[#This Row],[Shop]]&amp;"*",Roster!$A$4:$A$72,0),DAY(表格1[[#This Row],[date]]),1,1)</f>
        <v>Kiko</v>
      </c>
      <c r="E2490" s="86">
        <f>MONTH(表格1[[#This Row],[date]])</f>
        <v>3</v>
      </c>
      <c r="F2490" s="90">
        <v>46089</v>
      </c>
      <c r="G2490" s="86" t="str">
        <f>VLOOKUP("*"&amp;表格1[[#This Row],[Input]]&amp;"*",'Ref-List'!$B:$D,2,)</f>
        <v>RAD-D300H</v>
      </c>
      <c r="H2490" s="86" t="str">
        <f>_xlfn.XLOOKUP(表格1[[#This Row],[Model]],表格3[Model-Input-Ref2],表格3[Product Line])</f>
        <v>壓縮式抽濕機 (30公升)</v>
      </c>
      <c r="I2490" s="86" t="str">
        <f>_xlfn.XLOOKUP(表格1[[#This Row],[Model]],表格3[Model-Input-Ref2],表格3[大小電])</f>
        <v>細電</v>
      </c>
      <c r="J2490" s="86" t="str">
        <f>_xlfn.XLOOKUP(表格1[[#This Row],[Model]],表格3[Model-Input-Ref2],表格3[Code])</f>
        <v>RAC</v>
      </c>
      <c r="K2490" s="89" t="s">
        <v>1252</v>
      </c>
      <c r="L2490" s="86">
        <v>1</v>
      </c>
      <c r="M2490" s="87">
        <v>2280</v>
      </c>
      <c r="N2490" s="85">
        <f>IFERROR(表格1[[#This Row],[QTY]]*表格1[[#This Row],[Unit Price]],"-")</f>
        <v>2280</v>
      </c>
      <c r="O2490" s="86">
        <v>1326143</v>
      </c>
      <c r="R2490" s="86" t="str">
        <f>_xlfn.CONCAT(表格1[[#This Row],[Model]]," ",表格1[[#This Row],[inv no]])</f>
        <v>RAD-D300H 1326143</v>
      </c>
      <c r="S2490" s="86">
        <f>_xlfn.XLOOKUP(表格1[[#This Row],[Model]],表格3[Model-Input-Ref2],表格3[SRP PRICE])</f>
        <v>3380</v>
      </c>
      <c r="T2490" s="43">
        <f>表格1[[#This Row],[Unit Price]]/表格1[[#This Row],[SRP]]</f>
        <v>0.67455621301775148</v>
      </c>
      <c r="U2490" s="86" t="str">
        <f>_xlfn.XLOOKUP(表格1[[#This Row],[Model]],表格3[Model-Input-Ref2],表格3[TOSHIBA/HIGHEST])</f>
        <v>Shops Highest Price</v>
      </c>
      <c r="W2490" s="86" t="str">
        <f>_xlfn.CONCAT(表格1[[#This Row],[欄4]],表格1[[#This Row],[inv no]])</f>
        <v>1326143</v>
      </c>
    </row>
    <row r="2491" spans="1:23" hidden="1">
      <c r="A2491" s="81">
        <v>2489</v>
      </c>
      <c r="B2491" s="86" t="s">
        <v>1477</v>
      </c>
      <c r="C2491" s="86" t="s">
        <v>1860</v>
      </c>
      <c r="D2491" s="82" t="str">
        <f ca="1">OFFSET(Roster!$A$3,MATCH(表格1[[#This Row],[Location]]&amp;" "&amp;表格1[[#This Row],[Shop]]&amp;"*",Roster!$A$4:$A$72,0),DAY(表格1[[#This Row],[date]]),1,1)</f>
        <v>Kiko</v>
      </c>
      <c r="E2491" s="86">
        <f>MONTH(表格1[[#This Row],[date]])</f>
        <v>3</v>
      </c>
      <c r="F2491" s="90">
        <v>46089</v>
      </c>
      <c r="G2491" s="86" t="str">
        <f>VLOOKUP("*"&amp;表格1[[#This Row],[Input]]&amp;"*",'Ref-List'!$B:$D,2,)</f>
        <v>GR-RT300WE-PMA(57)</v>
      </c>
      <c r="H2491" s="86" t="str">
        <f>_xlfn.XLOOKUP(表格1[[#This Row],[Model]],表格3[Model-Input-Ref2],表格3[Product Line])</f>
        <v>變頻式環保雙門雪櫃(233L)</v>
      </c>
      <c r="I2491" s="86" t="str">
        <f>_xlfn.XLOOKUP(表格1[[#This Row],[Model]],表格3[Model-Input-Ref2],表格3[大小電])</f>
        <v>大電</v>
      </c>
      <c r="J2491" s="86" t="str">
        <f>_xlfn.XLOOKUP(表格1[[#This Row],[Model]],表格3[Model-Input-Ref2],表格3[Code])</f>
        <v>REF</v>
      </c>
      <c r="K2491" s="89" t="s">
        <v>1462</v>
      </c>
      <c r="L2491" s="86">
        <v>1</v>
      </c>
      <c r="M2491" s="87">
        <v>2780</v>
      </c>
      <c r="N2491" s="85">
        <f>IFERROR(表格1[[#This Row],[QTY]]*表格1[[#This Row],[Unit Price]],"-")</f>
        <v>2780</v>
      </c>
      <c r="O2491" s="86">
        <v>1326130</v>
      </c>
      <c r="R2491" s="86" t="str">
        <f>_xlfn.CONCAT(表格1[[#This Row],[Model]]," ",表格1[[#This Row],[inv no]])</f>
        <v>GR-RT300WE-PMA(57) 1326130</v>
      </c>
      <c r="S2491" s="86">
        <f>_xlfn.XLOOKUP(表格1[[#This Row],[Model]],表格3[Model-Input-Ref2],表格3[SRP PRICE])</f>
        <v>4280</v>
      </c>
      <c r="T2491" s="43">
        <f>表格1[[#This Row],[Unit Price]]/表格1[[#This Row],[SRP]]</f>
        <v>0.64953271028037385</v>
      </c>
      <c r="U2491" s="86" t="str">
        <f>_xlfn.XLOOKUP(表格1[[#This Row],[Model]],表格3[Model-Input-Ref2],表格3[TOSHIBA/HIGHEST])</f>
        <v>Toshiba SRP</v>
      </c>
      <c r="W2491" s="86" t="str">
        <f>_xlfn.CONCAT(表格1[[#This Row],[欄4]],表格1[[#This Row],[inv no]])</f>
        <v>1326130</v>
      </c>
    </row>
    <row r="2492" spans="1:23" hidden="1">
      <c r="A2492" s="81">
        <v>2490</v>
      </c>
      <c r="B2492" s="86" t="s">
        <v>1477</v>
      </c>
      <c r="C2492" s="86" t="s">
        <v>1860</v>
      </c>
      <c r="D2492" s="82" t="str">
        <f ca="1">OFFSET(Roster!$A$3,MATCH(表格1[[#This Row],[Location]]&amp;" "&amp;表格1[[#This Row],[Shop]]&amp;"*",Roster!$A$4:$A$72,0),DAY(表格1[[#This Row],[date]]),1,1)</f>
        <v>Kiko</v>
      </c>
      <c r="E2492" s="86">
        <f>MONTH(表格1[[#This Row],[date]])</f>
        <v>3</v>
      </c>
      <c r="F2492" s="90">
        <v>46089</v>
      </c>
      <c r="G2492" s="86" t="str">
        <f>VLOOKUP("*"&amp;表格1[[#This Row],[Input]]&amp;"*",'Ref-List'!$B:$D,2,)</f>
        <v>MM2-EM20PC(WH)</v>
      </c>
      <c r="H2492" s="86" t="str">
        <f>_xlfn.XLOOKUP(表格1[[#This Row],[Model]],表格3[Model-Input-Ref2],表格3[Product Line])</f>
        <v>輕觸式微波爐 (20公升)</v>
      </c>
      <c r="I2492" s="86" t="str">
        <f>_xlfn.XLOOKUP(表格1[[#This Row],[Model]],表格3[Model-Input-Ref2],表格3[大小電])</f>
        <v>細電</v>
      </c>
      <c r="J2492" s="86" t="str">
        <f>_xlfn.XLOOKUP(表格1[[#This Row],[Model]],表格3[Model-Input-Ref2],表格3[Code])</f>
        <v>MCA</v>
      </c>
      <c r="K2492" s="89" t="s">
        <v>1276</v>
      </c>
      <c r="L2492" s="86">
        <v>1</v>
      </c>
      <c r="M2492" s="87">
        <v>598</v>
      </c>
      <c r="N2492" s="85">
        <f>IFERROR(表格1[[#This Row],[QTY]]*表格1[[#This Row],[Unit Price]],"-")</f>
        <v>598</v>
      </c>
      <c r="O2492" s="86">
        <v>1326102</v>
      </c>
      <c r="R2492" s="86" t="str">
        <f>_xlfn.CONCAT(表格1[[#This Row],[Model]]," ",表格1[[#This Row],[inv no]])</f>
        <v>MM2-EM20PC(WH) 1326102</v>
      </c>
      <c r="S2492" s="86">
        <f>_xlfn.XLOOKUP(表格1[[#This Row],[Model]],表格3[Model-Input-Ref2],表格3[SRP PRICE])</f>
        <v>788</v>
      </c>
      <c r="T2492" s="43">
        <f>表格1[[#This Row],[Unit Price]]/表格1[[#This Row],[SRP]]</f>
        <v>0.75888324873096447</v>
      </c>
      <c r="U2492" s="86" t="str">
        <f>_xlfn.XLOOKUP(表格1[[#This Row],[Model]],表格3[Model-Input-Ref2],表格3[TOSHIBA/HIGHEST])</f>
        <v>Toshiba SRP</v>
      </c>
      <c r="W2492" s="86" t="str">
        <f>_xlfn.CONCAT(表格1[[#This Row],[欄4]],表格1[[#This Row],[inv no]])</f>
        <v>1326102</v>
      </c>
    </row>
    <row r="2493" spans="1:23" hidden="1">
      <c r="A2493" s="81">
        <v>2491</v>
      </c>
      <c r="B2493" s="86" t="s">
        <v>1477</v>
      </c>
      <c r="C2493" s="86" t="s">
        <v>1860</v>
      </c>
      <c r="D2493" s="82" t="str">
        <f ca="1">OFFSET(Roster!$A$3,MATCH(表格1[[#This Row],[Location]]&amp;" "&amp;表格1[[#This Row],[Shop]]&amp;"*",Roster!$A$4:$A$72,0),DAY(表格1[[#This Row],[date]]),1,1)</f>
        <v>Kiko</v>
      </c>
      <c r="E2493" s="86">
        <f>MONTH(表格1[[#This Row],[date]])</f>
        <v>3</v>
      </c>
      <c r="F2493" s="90">
        <v>46089</v>
      </c>
      <c r="G2493" s="86" t="str">
        <f>VLOOKUP("*"&amp;表格1[[#This Row],[Input]]&amp;"*",'Ref-List'!$B:$D,2,)</f>
        <v>MM2-EG20PC(WH)</v>
      </c>
      <c r="H2493" s="86" t="str">
        <f>_xlfn.XLOOKUP(表格1[[#This Row],[Model]],表格3[Model-Input-Ref2],表格3[Product Line])</f>
        <v>輕觸式燒烤微波爐</v>
      </c>
      <c r="I2493" s="86" t="str">
        <f>_xlfn.XLOOKUP(表格1[[#This Row],[Model]],表格3[Model-Input-Ref2],表格3[大小電])</f>
        <v>細電</v>
      </c>
      <c r="J2493" s="86" t="str">
        <f>_xlfn.XLOOKUP(表格1[[#This Row],[Model]],表格3[Model-Input-Ref2],表格3[Code])</f>
        <v>MCA</v>
      </c>
      <c r="K2493" s="89" t="s">
        <v>1273</v>
      </c>
      <c r="L2493" s="86">
        <v>1</v>
      </c>
      <c r="M2493" s="87">
        <v>698</v>
      </c>
      <c r="N2493" s="85">
        <f>IFERROR(表格1[[#This Row],[QTY]]*表格1[[#This Row],[Unit Price]],"-")</f>
        <v>698</v>
      </c>
      <c r="O2493" s="86">
        <v>1326099</v>
      </c>
      <c r="R2493" s="86" t="str">
        <f>_xlfn.CONCAT(表格1[[#This Row],[Model]]," ",表格1[[#This Row],[inv no]])</f>
        <v>MM2-EG20PC(WH) 1326099</v>
      </c>
      <c r="S2493" s="86">
        <f>_xlfn.XLOOKUP(表格1[[#This Row],[Model]],表格3[Model-Input-Ref2],表格3[SRP PRICE])</f>
        <v>918</v>
      </c>
      <c r="T2493" s="43">
        <f>表格1[[#This Row],[Unit Price]]/表格1[[#This Row],[SRP]]</f>
        <v>0.76034858387799564</v>
      </c>
      <c r="U2493" s="86" t="str">
        <f>_xlfn.XLOOKUP(表格1[[#This Row],[Model]],表格3[Model-Input-Ref2],表格3[TOSHIBA/HIGHEST])</f>
        <v>Shops Highest Price</v>
      </c>
      <c r="W2493" s="86" t="str">
        <f>_xlfn.CONCAT(表格1[[#This Row],[欄4]],表格1[[#This Row],[inv no]])</f>
        <v>1326099</v>
      </c>
    </row>
    <row r="2494" spans="1:23" hidden="1">
      <c r="A2494" s="81">
        <v>2492</v>
      </c>
      <c r="B2494" s="86" t="s">
        <v>1477</v>
      </c>
      <c r="C2494" s="86" t="s">
        <v>1860</v>
      </c>
      <c r="D2494" s="82" t="str">
        <f ca="1">OFFSET(Roster!$A$3,MATCH(表格1[[#This Row],[Location]]&amp;" "&amp;表格1[[#This Row],[Shop]]&amp;"*",Roster!$A$4:$A$72,0),DAY(表格1[[#This Row],[date]]),1,1)</f>
        <v>Kiko</v>
      </c>
      <c r="E2494" s="86">
        <f>MONTH(表格1[[#This Row],[date]])</f>
        <v>3</v>
      </c>
      <c r="F2494" s="90">
        <v>46089</v>
      </c>
      <c r="G2494" s="86" t="str">
        <f>VLOOKUP("*"&amp;表格1[[#This Row],[Input]]&amp;"*",'Ref-List'!$B:$D,2,)</f>
        <v>MW3-SAC24SE(BK)</v>
      </c>
      <c r="H2494" s="86" t="str">
        <f>_xlfn.XLOOKUP(表格1[[#This Row],[Model]],表格3[Model-Input-Ref2],表格3[Product Line])</f>
        <v>智能氣炸烤焗爐(24公升)</v>
      </c>
      <c r="I2494" s="86" t="str">
        <f>_xlfn.XLOOKUP(表格1[[#This Row],[Model]],表格3[Model-Input-Ref2],表格3[大小電])</f>
        <v>細電</v>
      </c>
      <c r="J2494" s="86" t="str">
        <f>_xlfn.XLOOKUP(表格1[[#This Row],[Model]],表格3[Model-Input-Ref2],表格3[Code])</f>
        <v>MCA</v>
      </c>
      <c r="K2494" s="89" t="s">
        <v>1274</v>
      </c>
      <c r="L2494" s="86">
        <v>1</v>
      </c>
      <c r="M2494" s="87">
        <v>1320</v>
      </c>
      <c r="N2494" s="85">
        <f>IFERROR(表格1[[#This Row],[QTY]]*表格1[[#This Row],[Unit Price]],"-")</f>
        <v>1320</v>
      </c>
      <c r="O2494" s="86">
        <v>1326066</v>
      </c>
      <c r="R2494" s="86" t="str">
        <f>_xlfn.CONCAT(表格1[[#This Row],[Model]]," ",表格1[[#This Row],[inv no]])</f>
        <v>MW3-SAC24SE(BK) 1326066</v>
      </c>
      <c r="S2494" s="86">
        <f>_xlfn.XLOOKUP(表格1[[#This Row],[Model]],表格3[Model-Input-Ref2],表格3[SRP PRICE])</f>
        <v>1680</v>
      </c>
      <c r="T2494" s="43">
        <f>表格1[[#This Row],[Unit Price]]/表格1[[#This Row],[SRP]]</f>
        <v>0.7857142857142857</v>
      </c>
      <c r="U2494" s="86" t="str">
        <f>_xlfn.XLOOKUP(表格1[[#This Row],[Model]],表格3[Model-Input-Ref2],表格3[TOSHIBA/HIGHEST])</f>
        <v>Toshiba SRP</v>
      </c>
      <c r="W2494" s="86" t="str">
        <f>_xlfn.CONCAT(表格1[[#This Row],[欄4]],表格1[[#This Row],[inv no]])</f>
        <v>1326066</v>
      </c>
    </row>
    <row r="2495" spans="1:23" hidden="1">
      <c r="A2495" s="81">
        <v>2493</v>
      </c>
      <c r="B2495" s="86" t="s">
        <v>1477</v>
      </c>
      <c r="C2495" s="86" t="s">
        <v>1860</v>
      </c>
      <c r="D2495" s="82" t="str">
        <f ca="1">OFFSET(Roster!$A$3,MATCH(表格1[[#This Row],[Location]]&amp;" "&amp;表格1[[#This Row],[Shop]]&amp;"*",Roster!$A$4:$A$72,0),DAY(表格1[[#This Row],[date]]),1,1)</f>
        <v>Kiko</v>
      </c>
      <c r="E2495" s="86">
        <f>MONTH(表格1[[#This Row],[date]])</f>
        <v>3</v>
      </c>
      <c r="F2495" s="90">
        <v>46089</v>
      </c>
      <c r="G2495" s="86" t="str">
        <f>VLOOKUP("*"&amp;表格1[[#This Row],[Input]]&amp;"*",'Ref-List'!$B:$D,2,)</f>
        <v>KT-17DRTHK(H)</v>
      </c>
      <c r="H2495" s="86" t="str">
        <f>_xlfn.XLOOKUP(表格1[[#This Row],[Model]],表格3[Model-Input-Ref2],表格3[Product Line])</f>
        <v>無線雙層電熱水壺(1.7公升)</v>
      </c>
      <c r="I2495" s="86" t="str">
        <f>_xlfn.XLOOKUP(表格1[[#This Row],[Model]],表格3[Model-Input-Ref2],表格3[大小電])</f>
        <v>細電</v>
      </c>
      <c r="J2495" s="86" t="str">
        <f>_xlfn.XLOOKUP(表格1[[#This Row],[Model]],表格3[Model-Input-Ref2],表格3[Code])</f>
        <v>SDA</v>
      </c>
      <c r="K2495" s="89" t="s">
        <v>1271</v>
      </c>
      <c r="L2495" s="86">
        <v>1</v>
      </c>
      <c r="M2495" s="87">
        <v>388</v>
      </c>
      <c r="N2495" s="85">
        <f>IFERROR(表格1[[#This Row],[QTY]]*表格1[[#This Row],[Unit Price]],"-")</f>
        <v>388</v>
      </c>
      <c r="O2495" s="86">
        <v>1511030</v>
      </c>
      <c r="R2495" s="86" t="str">
        <f>_xlfn.CONCAT(表格1[[#This Row],[Model]]," ",表格1[[#This Row],[inv no]])</f>
        <v>KT-17DRTHK(H) 1511030</v>
      </c>
      <c r="S2495" s="86">
        <f>_xlfn.XLOOKUP(表格1[[#This Row],[Model]],表格3[Model-Input-Ref2],表格3[SRP PRICE])</f>
        <v>498</v>
      </c>
      <c r="T2495" s="43">
        <f>表格1[[#This Row],[Unit Price]]/表格1[[#This Row],[SRP]]</f>
        <v>0.77911646586345384</v>
      </c>
      <c r="U2495" s="86" t="str">
        <f>_xlfn.XLOOKUP(表格1[[#This Row],[Model]],表格3[Model-Input-Ref2],表格3[TOSHIBA/HIGHEST])</f>
        <v>Toshiba SRP</v>
      </c>
      <c r="W2495" s="86" t="str">
        <f>_xlfn.CONCAT(表格1[[#This Row],[欄4]],表格1[[#This Row],[inv no]])</f>
        <v>1511030</v>
      </c>
    </row>
    <row r="2496" spans="1:23" hidden="1">
      <c r="A2496" s="81">
        <v>2494</v>
      </c>
      <c r="B2496" s="86" t="s">
        <v>1477</v>
      </c>
      <c r="C2496" s="86" t="s">
        <v>1860</v>
      </c>
      <c r="D2496" s="82" t="str">
        <f ca="1">OFFSET(Roster!$A$3,MATCH(表格1[[#This Row],[Location]]&amp;" "&amp;表格1[[#This Row],[Shop]]&amp;"*",Roster!$A$4:$A$72,0),DAY(表格1[[#This Row],[date]]),1,1)</f>
        <v>Kiko</v>
      </c>
      <c r="E2496" s="86">
        <f>MONTH(表格1[[#This Row],[date]])</f>
        <v>3</v>
      </c>
      <c r="F2496" s="90">
        <v>46089</v>
      </c>
      <c r="G2496" s="86" t="str">
        <f>VLOOKUP("*"&amp;表格1[[#This Row],[Input]]&amp;"*",'Ref-List'!$B:$D,2,)</f>
        <v>RC-10NMFIH(WT)</v>
      </c>
      <c r="H2496" s="86" t="str">
        <f>_xlfn.XLOOKUP(表格1[[#This Row],[Model]],表格3[Model-Input-Ref2],表格3[Product Line])</f>
        <v>4毫米厚釜電飯煲1L</v>
      </c>
      <c r="I2496" s="86" t="str">
        <f>_xlfn.XLOOKUP(表格1[[#This Row],[Model]],表格3[Model-Input-Ref2],表格3[大小電])</f>
        <v>細電</v>
      </c>
      <c r="J2496" s="86" t="str">
        <f>_xlfn.XLOOKUP(表格1[[#This Row],[Model]],表格3[Model-Input-Ref2],表格3[Code])</f>
        <v>SDA</v>
      </c>
      <c r="K2496" s="89" t="s">
        <v>1244</v>
      </c>
      <c r="L2496" s="86">
        <v>1</v>
      </c>
      <c r="M2496" s="87">
        <v>719</v>
      </c>
      <c r="N2496" s="85">
        <f>IFERROR(表格1[[#This Row],[QTY]]*表格1[[#This Row],[Unit Price]],"-")</f>
        <v>719</v>
      </c>
      <c r="O2496" s="86">
        <v>1719685</v>
      </c>
      <c r="R2496" s="86" t="str">
        <f>_xlfn.CONCAT(表格1[[#This Row],[Model]]," ",表格1[[#This Row],[inv no]])</f>
        <v>RC-10NMFIH(WT) 1719685</v>
      </c>
      <c r="S2496" s="86">
        <f>_xlfn.XLOOKUP(表格1[[#This Row],[Model]],表格3[Model-Input-Ref2],表格3[SRP PRICE])</f>
        <v>898</v>
      </c>
      <c r="T2496" s="43">
        <f>表格1[[#This Row],[Unit Price]]/表格1[[#This Row],[SRP]]</f>
        <v>0.80066815144766146</v>
      </c>
      <c r="U2496" s="86" t="str">
        <f>_xlfn.XLOOKUP(表格1[[#This Row],[Model]],表格3[Model-Input-Ref2],表格3[TOSHIBA/HIGHEST])</f>
        <v>Toshiba SRP</v>
      </c>
      <c r="W2496" s="86" t="str">
        <f>_xlfn.CONCAT(表格1[[#This Row],[欄4]],表格1[[#This Row],[inv no]])</f>
        <v>1719685</v>
      </c>
    </row>
    <row r="2497" spans="1:23" hidden="1">
      <c r="A2497" s="81">
        <v>2495</v>
      </c>
      <c r="B2497" s="86" t="s">
        <v>1477</v>
      </c>
      <c r="C2497" s="86" t="s">
        <v>1860</v>
      </c>
      <c r="D2497" s="82" t="str">
        <f ca="1">OFFSET(Roster!$A$3,MATCH(表格1[[#This Row],[Location]]&amp;" "&amp;表格1[[#This Row],[Shop]]&amp;"*",Roster!$A$4:$A$72,0),DAY(表格1[[#This Row],[date]]),1,1)</f>
        <v>Kiko</v>
      </c>
      <c r="E2497" s="86">
        <f>MONTH(表格1[[#This Row],[date]])</f>
        <v>3</v>
      </c>
      <c r="F2497" s="90">
        <v>46089</v>
      </c>
      <c r="G2497" s="86" t="str">
        <f>VLOOKUP("*"&amp;表格1[[#This Row],[Input]]&amp;"*",'Ref-List'!$B:$D,2,)</f>
        <v>RC-DR10T(W)</v>
      </c>
      <c r="H2497" s="86" t="str">
        <f>_xlfn.XLOOKUP(表格1[[#This Row],[Model]],表格3[Model-Input-Ref2],表格3[Product Line])</f>
        <v>IH磁應電飯煲</v>
      </c>
      <c r="I2497" s="86" t="str">
        <f>_xlfn.XLOOKUP(表格1[[#This Row],[Model]],表格3[Model-Input-Ref2],表格3[大小電])</f>
        <v>細電</v>
      </c>
      <c r="J2497" s="86" t="str">
        <f>_xlfn.XLOOKUP(表格1[[#This Row],[Model]],表格3[Model-Input-Ref2],表格3[Code])</f>
        <v>SDA</v>
      </c>
      <c r="K2497" s="89" t="s">
        <v>1294</v>
      </c>
      <c r="L2497" s="86">
        <v>1</v>
      </c>
      <c r="M2497" s="87">
        <v>2380</v>
      </c>
      <c r="N2497" s="85">
        <f>IFERROR(表格1[[#This Row],[QTY]]*表格1[[#This Row],[Unit Price]],"-")</f>
        <v>2380</v>
      </c>
      <c r="O2497" s="86">
        <v>1326167</v>
      </c>
      <c r="R2497" s="86" t="str">
        <f>_xlfn.CONCAT(表格1[[#This Row],[Model]]," ",表格1[[#This Row],[inv no]])</f>
        <v>RC-DR10T(W) 1326167</v>
      </c>
      <c r="S2497" s="86">
        <f>_xlfn.XLOOKUP(表格1[[#This Row],[Model]],表格3[Model-Input-Ref2],表格3[SRP PRICE])</f>
        <v>3188</v>
      </c>
      <c r="T2497" s="43">
        <f>表格1[[#This Row],[Unit Price]]/表格1[[#This Row],[SRP]]</f>
        <v>0.74654956085319946</v>
      </c>
      <c r="U2497" s="86" t="str">
        <f>_xlfn.XLOOKUP(表格1[[#This Row],[Model]],表格3[Model-Input-Ref2],表格3[TOSHIBA/HIGHEST])</f>
        <v>Toshiba SRP</v>
      </c>
      <c r="W2497" s="86" t="str">
        <f>_xlfn.CONCAT(表格1[[#This Row],[欄4]],表格1[[#This Row],[inv no]])</f>
        <v>1326167</v>
      </c>
    </row>
    <row r="2498" spans="1:23" hidden="1">
      <c r="A2498" s="81">
        <v>2496</v>
      </c>
      <c r="B2498" s="86" t="s">
        <v>1477</v>
      </c>
      <c r="C2498" s="86" t="s">
        <v>1860</v>
      </c>
      <c r="D2498" s="82" t="str">
        <f ca="1">OFFSET(Roster!$A$3,MATCH(表格1[[#This Row],[Location]]&amp;" "&amp;表格1[[#This Row],[Shop]]&amp;"*",Roster!$A$4:$A$72,0),DAY(表格1[[#This Row],[date]]),1,1)</f>
        <v>Kiko</v>
      </c>
      <c r="E2498" s="86">
        <f>MONTH(表格1[[#This Row],[date]])</f>
        <v>3</v>
      </c>
      <c r="F2498" s="90">
        <v>46089</v>
      </c>
      <c r="G2498" s="86" t="str">
        <f>VLOOKUP("*"&amp;表格1[[#This Row],[Input]]&amp;"*",'Ref-List'!$B:$D,2,)</f>
        <v>TP-50DRUHK(W)</v>
      </c>
      <c r="H2498" s="86" t="str">
        <f>_xlfn.XLOOKUP(表格1[[#This Row],[Model]],表格3[Model-Input-Ref2],表格3[Product Line])</f>
        <v>電熱水瓶 (5公升)</v>
      </c>
      <c r="I2498" s="86" t="str">
        <f>_xlfn.XLOOKUP(表格1[[#This Row],[Model]],表格3[Model-Input-Ref2],表格3[大小電])</f>
        <v>細電</v>
      </c>
      <c r="J2498" s="86" t="str">
        <f>_xlfn.XLOOKUP(表格1[[#This Row],[Model]],表格3[Model-Input-Ref2],表格3[Code])</f>
        <v>SDA</v>
      </c>
      <c r="K2498" s="89" t="s">
        <v>1277</v>
      </c>
      <c r="L2498" s="86">
        <v>1</v>
      </c>
      <c r="M2498" s="87">
        <v>598</v>
      </c>
      <c r="N2498" s="85">
        <f>IFERROR(表格1[[#This Row],[QTY]]*表格1[[#This Row],[Unit Price]],"-")</f>
        <v>598</v>
      </c>
      <c r="O2498" s="86">
        <v>1326188</v>
      </c>
      <c r="R2498" s="86" t="str">
        <f>_xlfn.CONCAT(表格1[[#This Row],[Model]]," ",表格1[[#This Row],[inv no]])</f>
        <v>TP-50DRUHK(W) 1326188</v>
      </c>
      <c r="S2498" s="86">
        <f>_xlfn.XLOOKUP(表格1[[#This Row],[Model]],表格3[Model-Input-Ref2],表格3[SRP PRICE])</f>
        <v>718</v>
      </c>
      <c r="T2498" s="43">
        <f>表格1[[#This Row],[Unit Price]]/表格1[[#This Row],[SRP]]</f>
        <v>0.83286908077994426</v>
      </c>
      <c r="U2498" s="86" t="str">
        <f>_xlfn.XLOOKUP(表格1[[#This Row],[Model]],表格3[Model-Input-Ref2],表格3[TOSHIBA/HIGHEST])</f>
        <v>Toshiba SRP</v>
      </c>
      <c r="W2498" s="86" t="str">
        <f>_xlfn.CONCAT(表格1[[#This Row],[欄4]],表格1[[#This Row],[inv no]])</f>
        <v>1326188</v>
      </c>
    </row>
    <row r="2499" spans="1:23" hidden="1">
      <c r="A2499" s="81">
        <v>2497</v>
      </c>
      <c r="B2499" s="86" t="s">
        <v>1477</v>
      </c>
      <c r="C2499" s="86" t="s">
        <v>1860</v>
      </c>
      <c r="D2499" s="82" t="str">
        <f ca="1">OFFSET(Roster!$A$3,MATCH(表格1[[#This Row],[Location]]&amp;" "&amp;表格1[[#This Row],[Shop]]&amp;"*",Roster!$A$4:$A$72,0),DAY(表格1[[#This Row],[date]]),1,1)</f>
        <v>Kiko</v>
      </c>
      <c r="E2499" s="86">
        <f>MONTH(表格1[[#This Row],[date]])</f>
        <v>3</v>
      </c>
      <c r="F2499" s="90">
        <v>46089</v>
      </c>
      <c r="G2499" s="86" t="str">
        <f>VLOOKUP("*"&amp;表格1[[#This Row],[Input]]&amp;"*",'Ref-List'!$B:$D,2,)</f>
        <v>MS5-STR30SC(BK)</v>
      </c>
      <c r="H2499" s="86" t="str">
        <f>_xlfn.XLOOKUP(表格1[[#This Row],[Model]],表格3[Model-Input-Ref2],表格3[Product Line])</f>
        <v>30公升蒸氣焗爐</v>
      </c>
      <c r="I2499" s="86" t="str">
        <f>_xlfn.XLOOKUP(表格1[[#This Row],[Model]],表格3[Model-Input-Ref2],表格3[大小電])</f>
        <v>細電</v>
      </c>
      <c r="J2499" s="86" t="str">
        <f>_xlfn.XLOOKUP(表格1[[#This Row],[Model]],表格3[Model-Input-Ref2],表格3[Code])</f>
        <v>MCA</v>
      </c>
      <c r="K2499" s="89" t="s">
        <v>1379</v>
      </c>
      <c r="L2499" s="86">
        <v>1</v>
      </c>
      <c r="M2499" s="87">
        <v>3980</v>
      </c>
      <c r="N2499" s="85">
        <f>IFERROR(表格1[[#This Row],[QTY]]*表格1[[#This Row],[Unit Price]],"-")</f>
        <v>3980</v>
      </c>
      <c r="O2499" s="86">
        <v>1719658</v>
      </c>
      <c r="R2499" s="86" t="str">
        <f>_xlfn.CONCAT(表格1[[#This Row],[Model]]," ",表格1[[#This Row],[inv no]])</f>
        <v>MS5-STR30SC(BK) 1719658</v>
      </c>
      <c r="S2499" s="86">
        <f>_xlfn.XLOOKUP(表格1[[#This Row],[Model]],表格3[Model-Input-Ref2],表格3[SRP PRICE])</f>
        <v>5998</v>
      </c>
      <c r="T2499" s="43">
        <f>表格1[[#This Row],[Unit Price]]/表格1[[#This Row],[SRP]]</f>
        <v>0.66355451817272426</v>
      </c>
      <c r="U2499" s="86" t="str">
        <f>_xlfn.XLOOKUP(表格1[[#This Row],[Model]],表格3[Model-Input-Ref2],表格3[TOSHIBA/HIGHEST])</f>
        <v>Shops Highest Price</v>
      </c>
      <c r="W2499" s="86" t="str">
        <f>_xlfn.CONCAT(表格1[[#This Row],[欄4]],表格1[[#This Row],[inv no]])</f>
        <v>1719658</v>
      </c>
    </row>
    <row r="2500" spans="1:23" hidden="1">
      <c r="A2500" s="81">
        <v>2498</v>
      </c>
      <c r="B2500" s="86" t="s">
        <v>1477</v>
      </c>
      <c r="C2500" s="86" t="s">
        <v>1860</v>
      </c>
      <c r="D2500" s="82" t="str">
        <f ca="1">OFFSET(Roster!$A$3,MATCH(表格1[[#This Row],[Location]]&amp;" "&amp;表格1[[#This Row],[Shop]]&amp;"*",Roster!$A$4:$A$72,0),DAY(表格1[[#This Row],[date]]),1,1)</f>
        <v>Kiko</v>
      </c>
      <c r="E2500" s="86">
        <f>MONTH(表格1[[#This Row],[date]])</f>
        <v>3</v>
      </c>
      <c r="F2500" s="90">
        <v>46090</v>
      </c>
      <c r="G2500" s="86" t="str">
        <f>VLOOKUP("*"&amp;表格1[[#This Row],[Input]]&amp;"*",'Ref-List'!$B:$D,2,)</f>
        <v>MS5-STR30SC(BK)</v>
      </c>
      <c r="H2500" s="86" t="str">
        <f>_xlfn.XLOOKUP(表格1[[#This Row],[Model]],表格3[Model-Input-Ref2],表格3[Product Line])</f>
        <v>30公升蒸氣焗爐</v>
      </c>
      <c r="I2500" s="86" t="str">
        <f>_xlfn.XLOOKUP(表格1[[#This Row],[Model]],表格3[Model-Input-Ref2],表格3[大小電])</f>
        <v>細電</v>
      </c>
      <c r="J2500" s="86" t="str">
        <f>_xlfn.XLOOKUP(表格1[[#This Row],[Model]],表格3[Model-Input-Ref2],表格3[Code])</f>
        <v>MCA</v>
      </c>
      <c r="K2500" s="89" t="s">
        <v>1379</v>
      </c>
      <c r="L2500" s="86">
        <v>1</v>
      </c>
      <c r="M2500" s="87">
        <v>3980</v>
      </c>
      <c r="N2500" s="85">
        <f>IFERROR(表格1[[#This Row],[QTY]]*表格1[[#This Row],[Unit Price]],"-")</f>
        <v>3980</v>
      </c>
      <c r="O2500" s="86">
        <v>1719759</v>
      </c>
      <c r="R2500" s="86" t="str">
        <f>_xlfn.CONCAT(表格1[[#This Row],[Model]]," ",表格1[[#This Row],[inv no]])</f>
        <v>MS5-STR30SC(BK) 1719759</v>
      </c>
      <c r="S2500" s="86">
        <f>_xlfn.XLOOKUP(表格1[[#This Row],[Model]],表格3[Model-Input-Ref2],表格3[SRP PRICE])</f>
        <v>5998</v>
      </c>
      <c r="T2500" s="43">
        <f>表格1[[#This Row],[Unit Price]]/表格1[[#This Row],[SRP]]</f>
        <v>0.66355451817272426</v>
      </c>
      <c r="U2500" s="86" t="str">
        <f>_xlfn.XLOOKUP(表格1[[#This Row],[Model]],表格3[Model-Input-Ref2],表格3[TOSHIBA/HIGHEST])</f>
        <v>Shops Highest Price</v>
      </c>
      <c r="W2500" s="86" t="str">
        <f>_xlfn.CONCAT(表格1[[#This Row],[欄4]],表格1[[#This Row],[inv no]])</f>
        <v>1719759</v>
      </c>
    </row>
    <row r="2501" spans="1:23" hidden="1">
      <c r="A2501" s="81">
        <v>2499</v>
      </c>
      <c r="B2501" s="86" t="s">
        <v>1477</v>
      </c>
      <c r="C2501" s="86" t="s">
        <v>1860</v>
      </c>
      <c r="D2501" s="82" t="str">
        <f ca="1">OFFSET(Roster!$A$3,MATCH(表格1[[#This Row],[Location]]&amp;" "&amp;表格1[[#This Row],[Shop]]&amp;"*",Roster!$A$4:$A$72,0),DAY(表格1[[#This Row],[date]]),1,1)</f>
        <v>Kiko</v>
      </c>
      <c r="E2501" s="86">
        <f>MONTH(表格1[[#This Row],[date]])</f>
        <v>3</v>
      </c>
      <c r="F2501" s="90">
        <v>46090</v>
      </c>
      <c r="G2501" s="86" t="str">
        <f>VLOOKUP("*"&amp;表格1[[#This Row],[Input]]&amp;"*",'Ref-List'!$B:$D,2,)</f>
        <v>RAD-D300H</v>
      </c>
      <c r="H2501" s="86" t="str">
        <f>_xlfn.XLOOKUP(表格1[[#This Row],[Model]],表格3[Model-Input-Ref2],表格3[Product Line])</f>
        <v>壓縮式抽濕機 (30公升)</v>
      </c>
      <c r="I2501" s="86" t="str">
        <f>_xlfn.XLOOKUP(表格1[[#This Row],[Model]],表格3[Model-Input-Ref2],表格3[大小電])</f>
        <v>細電</v>
      </c>
      <c r="J2501" s="86" t="str">
        <f>_xlfn.XLOOKUP(表格1[[#This Row],[Model]],表格3[Model-Input-Ref2],表格3[Code])</f>
        <v>RAC</v>
      </c>
      <c r="K2501" s="89" t="s">
        <v>1252</v>
      </c>
      <c r="L2501" s="86">
        <v>1</v>
      </c>
      <c r="M2501" s="87">
        <v>2280</v>
      </c>
      <c r="N2501" s="85">
        <f>IFERROR(表格1[[#This Row],[QTY]]*表格1[[#This Row],[Unit Price]],"-")</f>
        <v>2280</v>
      </c>
      <c r="O2501" s="86">
        <v>1326154</v>
      </c>
      <c r="R2501" s="86" t="str">
        <f>_xlfn.CONCAT(表格1[[#This Row],[Model]]," ",表格1[[#This Row],[inv no]])</f>
        <v>RAD-D300H 1326154</v>
      </c>
      <c r="S2501" s="86">
        <f>_xlfn.XLOOKUP(表格1[[#This Row],[Model]],表格3[Model-Input-Ref2],表格3[SRP PRICE])</f>
        <v>3380</v>
      </c>
      <c r="T2501" s="43">
        <f>表格1[[#This Row],[Unit Price]]/表格1[[#This Row],[SRP]]</f>
        <v>0.67455621301775148</v>
      </c>
      <c r="U2501" s="86" t="str">
        <f>_xlfn.XLOOKUP(表格1[[#This Row],[Model]],表格3[Model-Input-Ref2],表格3[TOSHIBA/HIGHEST])</f>
        <v>Shops Highest Price</v>
      </c>
      <c r="W2501" s="86" t="str">
        <f>_xlfn.CONCAT(表格1[[#This Row],[欄4]],表格1[[#This Row],[inv no]])</f>
        <v>1326154</v>
      </c>
    </row>
    <row r="2502" spans="1:23" hidden="1">
      <c r="A2502" s="81">
        <v>2500</v>
      </c>
      <c r="B2502" s="86" t="s">
        <v>1477</v>
      </c>
      <c r="C2502" s="86" t="s">
        <v>1860</v>
      </c>
      <c r="D2502" s="82" t="str">
        <f ca="1">OFFSET(Roster!$A$3,MATCH(表格1[[#This Row],[Location]]&amp;" "&amp;表格1[[#This Row],[Shop]]&amp;"*",Roster!$A$4:$A$72,0),DAY(表格1[[#This Row],[date]]),1,1)</f>
        <v>Kiko</v>
      </c>
      <c r="E2502" s="86">
        <f>MONTH(表格1[[#This Row],[date]])</f>
        <v>3</v>
      </c>
      <c r="F2502" s="90">
        <v>46090</v>
      </c>
      <c r="G2502" s="86" t="str">
        <f>VLOOKUP("*"&amp;表格1[[#This Row],[Input]]&amp;"*",'Ref-List'!$B:$D,2,)</f>
        <v>TWP-W2265THK(W)</v>
      </c>
      <c r="H2502" s="86" t="str">
        <f>_xlfn.XLOOKUP(表格1[[#This Row],[Model]],表格3[Model-Input-Ref2],表格3[Product Line])</f>
        <v>RO座檯式冷熱飲水機</v>
      </c>
      <c r="I2502" s="86" t="str">
        <f>_xlfn.XLOOKUP(表格1[[#This Row],[Model]],表格3[Model-Input-Ref2],表格3[大小電])</f>
        <v>細電</v>
      </c>
      <c r="J2502" s="86" t="str">
        <f>_xlfn.XLOOKUP(表格1[[#This Row],[Model]],表格3[Model-Input-Ref2],表格3[Code])</f>
        <v>KWH</v>
      </c>
      <c r="K2502" s="89" t="s">
        <v>1694</v>
      </c>
      <c r="L2502" s="86">
        <v>1</v>
      </c>
      <c r="M2502" s="87">
        <v>3050</v>
      </c>
      <c r="N2502" s="85">
        <f>IFERROR(表格1[[#This Row],[QTY]]*表格1[[#This Row],[Unit Price]],"-")</f>
        <v>3050</v>
      </c>
      <c r="O2502" s="86">
        <v>1719745</v>
      </c>
      <c r="R2502" s="86" t="str">
        <f>_xlfn.CONCAT(表格1[[#This Row],[Model]]," ",表格1[[#This Row],[inv no]])</f>
        <v>TWP-W2265THK(W) 1719745</v>
      </c>
      <c r="S2502" s="86">
        <f>_xlfn.XLOOKUP(表格1[[#This Row],[Model]],表格3[Model-Input-Ref2],表格3[SRP PRICE])</f>
        <v>3480</v>
      </c>
      <c r="T2502" s="43">
        <f>表格1[[#This Row],[Unit Price]]/表格1[[#This Row],[SRP]]</f>
        <v>0.87643678160919536</v>
      </c>
      <c r="U2502" s="86" t="str">
        <f>_xlfn.XLOOKUP(表格1[[#This Row],[Model]],表格3[Model-Input-Ref2],表格3[TOSHIBA/HIGHEST])</f>
        <v>Shops Highest Price</v>
      </c>
      <c r="W2502" s="86" t="str">
        <f>_xlfn.CONCAT(表格1[[#This Row],[欄4]],表格1[[#This Row],[inv no]])</f>
        <v>1719745</v>
      </c>
    </row>
    <row r="2503" spans="1:23" hidden="1">
      <c r="A2503" s="81">
        <v>2501</v>
      </c>
      <c r="B2503" s="86" t="s">
        <v>1477</v>
      </c>
      <c r="C2503" s="86" t="s">
        <v>1860</v>
      </c>
      <c r="D2503" s="82" t="str">
        <f ca="1">OFFSET(Roster!$A$3,MATCH(表格1[[#This Row],[Location]]&amp;" "&amp;表格1[[#This Row],[Shop]]&amp;"*",Roster!$A$4:$A$72,0),DAY(表格1[[#This Row],[date]]),1,1)</f>
        <v>Kiko</v>
      </c>
      <c r="E2503" s="86">
        <f>MONTH(表格1[[#This Row],[date]])</f>
        <v>3</v>
      </c>
      <c r="F2503" s="90">
        <v>46090</v>
      </c>
      <c r="G2503" s="86" t="str">
        <f>VLOOKUP("*"&amp;表格1[[#This Row],[Input]]&amp;"*",'Ref-List'!$B:$D,2,)</f>
        <v>MS3-STQ20SC(WH)</v>
      </c>
      <c r="H2503" s="86" t="str">
        <f>_xlfn.XLOOKUP(表格1[[#This Row],[Model]],表格3[Model-Input-Ref2],表格3[Product Line])</f>
        <v>20L 智能蒸氣焗爐</v>
      </c>
      <c r="I2503" s="86" t="str">
        <f>_xlfn.XLOOKUP(表格1[[#This Row],[Model]],表格3[Model-Input-Ref2],表格3[大小電])</f>
        <v>細電</v>
      </c>
      <c r="J2503" s="86" t="str">
        <f>_xlfn.XLOOKUP(表格1[[#This Row],[Model]],表格3[Model-Input-Ref2],表格3[Code])</f>
        <v>MCA</v>
      </c>
      <c r="K2503" s="89" t="s">
        <v>1383</v>
      </c>
      <c r="L2503" s="86">
        <v>1</v>
      </c>
      <c r="M2503" s="87">
        <v>2100</v>
      </c>
      <c r="N2503" s="85">
        <f>IFERROR(表格1[[#This Row],[QTY]]*表格1[[#This Row],[Unit Price]],"-")</f>
        <v>2100</v>
      </c>
      <c r="O2503" s="86">
        <v>1719777</v>
      </c>
      <c r="R2503" s="86" t="str">
        <f>_xlfn.CONCAT(表格1[[#This Row],[Model]]," ",表格1[[#This Row],[inv no]])</f>
        <v>MS3-STQ20SC(WH) 1719777</v>
      </c>
      <c r="S2503" s="86">
        <f>_xlfn.XLOOKUP(表格1[[#This Row],[Model]],表格3[Model-Input-Ref2],表格3[SRP PRICE])</f>
        <v>2880</v>
      </c>
      <c r="T2503" s="43">
        <f>表格1[[#This Row],[Unit Price]]/表格1[[#This Row],[SRP]]</f>
        <v>0.72916666666666663</v>
      </c>
      <c r="U2503" s="86" t="str">
        <f>_xlfn.XLOOKUP(表格1[[#This Row],[Model]],表格3[Model-Input-Ref2],表格3[TOSHIBA/HIGHEST])</f>
        <v>Toshiba SRP</v>
      </c>
      <c r="W2503" s="86" t="str">
        <f>_xlfn.CONCAT(表格1[[#This Row],[欄4]],表格1[[#This Row],[inv no]])</f>
        <v>1719777</v>
      </c>
    </row>
    <row r="2504" spans="1:23" hidden="1">
      <c r="A2504" s="81">
        <v>2502</v>
      </c>
      <c r="B2504" s="86" t="s">
        <v>1477</v>
      </c>
      <c r="C2504" s="86" t="s">
        <v>1860</v>
      </c>
      <c r="D2504" s="82" t="str">
        <f ca="1">OFFSET(Roster!$A$3,MATCH(表格1[[#This Row],[Location]]&amp;" "&amp;表格1[[#This Row],[Shop]]&amp;"*",Roster!$A$4:$A$72,0),DAY(表格1[[#This Row],[date]]),1,1)</f>
        <v>Kiko</v>
      </c>
      <c r="E2504" s="86">
        <f>MONTH(表格1[[#This Row],[date]])</f>
        <v>3</v>
      </c>
      <c r="F2504" s="90">
        <v>46090</v>
      </c>
      <c r="G2504" s="86" t="str">
        <f>VLOOKUP("*"&amp;表格1[[#This Row],[Input]]&amp;"*",'Ref-List'!$B:$D,2,)</f>
        <v>KT-17DRTHK(H)</v>
      </c>
      <c r="H2504" s="86" t="str">
        <f>_xlfn.XLOOKUP(表格1[[#This Row],[Model]],表格3[Model-Input-Ref2],表格3[Product Line])</f>
        <v>無線雙層電熱水壺(1.7公升)</v>
      </c>
      <c r="I2504" s="86" t="str">
        <f>_xlfn.XLOOKUP(表格1[[#This Row],[Model]],表格3[Model-Input-Ref2],表格3[大小電])</f>
        <v>細電</v>
      </c>
      <c r="J2504" s="86" t="str">
        <f>_xlfn.XLOOKUP(表格1[[#This Row],[Model]],表格3[Model-Input-Ref2],表格3[Code])</f>
        <v>SDA</v>
      </c>
      <c r="K2504" s="89" t="s">
        <v>1271</v>
      </c>
      <c r="L2504" s="86">
        <v>1</v>
      </c>
      <c r="M2504" s="87">
        <v>388</v>
      </c>
      <c r="N2504" s="85">
        <f>IFERROR(表格1[[#This Row],[QTY]]*表格1[[#This Row],[Unit Price]],"-")</f>
        <v>388</v>
      </c>
      <c r="O2504" s="86">
        <v>1719824</v>
      </c>
      <c r="R2504" s="86" t="str">
        <f>_xlfn.CONCAT(表格1[[#This Row],[Model]]," ",表格1[[#This Row],[inv no]])</f>
        <v>KT-17DRTHK(H) 1719824</v>
      </c>
      <c r="S2504" s="86">
        <f>_xlfn.XLOOKUP(表格1[[#This Row],[Model]],表格3[Model-Input-Ref2],表格3[SRP PRICE])</f>
        <v>498</v>
      </c>
      <c r="T2504" s="43">
        <f>表格1[[#This Row],[Unit Price]]/表格1[[#This Row],[SRP]]</f>
        <v>0.77911646586345384</v>
      </c>
      <c r="U2504" s="86" t="str">
        <f>_xlfn.XLOOKUP(表格1[[#This Row],[Model]],表格3[Model-Input-Ref2],表格3[TOSHIBA/HIGHEST])</f>
        <v>Toshiba SRP</v>
      </c>
      <c r="W2504" s="86" t="str">
        <f>_xlfn.CONCAT(表格1[[#This Row],[欄4]],表格1[[#This Row],[inv no]])</f>
        <v>1719824</v>
      </c>
    </row>
    <row r="2505" spans="1:23" hidden="1">
      <c r="A2505" s="81">
        <v>2503</v>
      </c>
      <c r="B2505" s="86" t="s">
        <v>1477</v>
      </c>
      <c r="C2505" s="86" t="s">
        <v>1860</v>
      </c>
      <c r="D2505" s="82" t="str">
        <f ca="1">OFFSET(Roster!$A$3,MATCH(表格1[[#This Row],[Location]]&amp;" "&amp;表格1[[#This Row],[Shop]]&amp;"*",Roster!$A$4:$A$72,0),DAY(表格1[[#This Row],[date]]),1,1)</f>
        <v>Kiko</v>
      </c>
      <c r="E2505" s="86">
        <f>MONTH(表格1[[#This Row],[date]])</f>
        <v>3</v>
      </c>
      <c r="F2505" s="90">
        <v>46090</v>
      </c>
      <c r="G2505" s="86" t="str">
        <f>VLOOKUP("*"&amp;表格1[[#This Row],[Input]]&amp;"*",'Ref-List'!$B:$D,2,)</f>
        <v>TWD-T22BU95UWH(WK)-B</v>
      </c>
      <c r="H2505" s="86" t="str">
        <f>_xlfn.XLOOKUP(表格1[[#This Row],[Model]],表格3[Model-Input-Ref2],表格3[Product Line])</f>
        <v>470MM超薄身前置式變頻洗衣乾衣機 (洗8.5公斤/乾6公斤, 可飛頂)</v>
      </c>
      <c r="I2505" s="86" t="str">
        <f>_xlfn.XLOOKUP(表格1[[#This Row],[Model]],表格3[Model-Input-Ref2],表格3[大小電])</f>
        <v>大電</v>
      </c>
      <c r="J2505" s="86" t="str">
        <f>_xlfn.XLOOKUP(表格1[[#This Row],[Model]],表格3[Model-Input-Ref2],表格3[Code])</f>
        <v>LAD</v>
      </c>
      <c r="K2505" s="89" t="s">
        <v>1421</v>
      </c>
      <c r="L2505" s="86">
        <v>1</v>
      </c>
      <c r="M2505" s="87">
        <v>4780</v>
      </c>
      <c r="N2505" s="85">
        <f>IFERROR(表格1[[#This Row],[QTY]]*表格1[[#This Row],[Unit Price]],"-")</f>
        <v>4780</v>
      </c>
      <c r="O2505" s="86">
        <v>1719865</v>
      </c>
      <c r="R2505" s="86" t="str">
        <f>_xlfn.CONCAT(表格1[[#This Row],[Model]]," ",表格1[[#This Row],[inv no]])</f>
        <v>TWD-T22BU95UWH(WK)-B 1719865</v>
      </c>
      <c r="S2505" s="86">
        <f>_xlfn.XLOOKUP(表格1[[#This Row],[Model]],表格3[Model-Input-Ref2],表格3[SRP PRICE])</f>
        <v>7480</v>
      </c>
      <c r="T2505" s="43">
        <f>表格1[[#This Row],[Unit Price]]/表格1[[#This Row],[SRP]]</f>
        <v>0.63903743315508021</v>
      </c>
      <c r="U2505" s="86" t="str">
        <f>_xlfn.XLOOKUP(表格1[[#This Row],[Model]],表格3[Model-Input-Ref2],表格3[TOSHIBA/HIGHEST])</f>
        <v>Toshiba SRP</v>
      </c>
      <c r="W2505" s="86" t="str">
        <f>_xlfn.CONCAT(表格1[[#This Row],[欄4]],表格1[[#This Row],[inv no]])</f>
        <v>1719865</v>
      </c>
    </row>
    <row r="2506" spans="1:23" hidden="1">
      <c r="A2506" s="81">
        <v>2504</v>
      </c>
      <c r="B2506" s="86" t="s">
        <v>1477</v>
      </c>
      <c r="C2506" s="86" t="s">
        <v>1860</v>
      </c>
      <c r="D2506" s="82" t="str">
        <f ca="1">OFFSET(Roster!$A$3,MATCH(表格1[[#This Row],[Location]]&amp;" "&amp;表格1[[#This Row],[Shop]]&amp;"*",Roster!$A$4:$A$72,0),DAY(表格1[[#This Row],[date]]),1,1)</f>
        <v>Kiko</v>
      </c>
      <c r="E2506" s="86">
        <f>MONTH(表格1[[#This Row],[date]])</f>
        <v>3</v>
      </c>
      <c r="F2506" s="90">
        <v>46091</v>
      </c>
      <c r="G2506" s="86" t="str">
        <f>VLOOKUP("*"&amp;表格1[[#This Row],[Input]]&amp;"*",'Ref-List'!$B:$D,2,)</f>
        <v>ER-VD7000HK(XK)</v>
      </c>
      <c r="H2506" s="86" t="str">
        <f>_xlfn.XLOOKUP(表格1[[#This Row],[Model]],表格3[Model-Input-Ref2],表格3[Product Line])</f>
        <v>水波爐</v>
      </c>
      <c r="I2506" s="86" t="str">
        <f>_xlfn.XLOOKUP(表格1[[#This Row],[Model]],表格3[Model-Input-Ref2],表格3[大小電])</f>
        <v>細電</v>
      </c>
      <c r="J2506" s="86" t="str">
        <f>_xlfn.XLOOKUP(表格1[[#This Row],[Model]],表格3[Model-Input-Ref2],表格3[Code])</f>
        <v>MCA</v>
      </c>
      <c r="K2506" s="89" t="s">
        <v>1469</v>
      </c>
      <c r="L2506" s="86">
        <v>1</v>
      </c>
      <c r="M2506" s="87">
        <v>6798</v>
      </c>
      <c r="N2506" s="85">
        <f>IFERROR(表格1[[#This Row],[QTY]]*表格1[[#This Row],[Unit Price]],"-")</f>
        <v>6798</v>
      </c>
      <c r="O2506" s="86">
        <v>1719938</v>
      </c>
      <c r="R2506" s="86" t="str">
        <f>_xlfn.CONCAT(表格1[[#This Row],[Model]]," ",表格1[[#This Row],[inv no]])</f>
        <v>ER-VD7000HK(XK) 1719938</v>
      </c>
      <c r="S2506" s="86">
        <f>_xlfn.XLOOKUP(表格1[[#This Row],[Model]],表格3[Model-Input-Ref2],表格3[SRP PRICE])</f>
        <v>8998</v>
      </c>
      <c r="T2506" s="43">
        <f>表格1[[#This Row],[Unit Price]]/表格1[[#This Row],[SRP]]</f>
        <v>0.75550122249388751</v>
      </c>
      <c r="U2506" s="86" t="str">
        <f>_xlfn.XLOOKUP(表格1[[#This Row],[Model]],表格3[Model-Input-Ref2],表格3[TOSHIBA/HIGHEST])</f>
        <v>Toshiba SRP</v>
      </c>
      <c r="W2506" s="86" t="str">
        <f>_xlfn.CONCAT(表格1[[#This Row],[欄4]],表格1[[#This Row],[inv no]])</f>
        <v>1719938</v>
      </c>
    </row>
    <row r="2507" spans="1:23" hidden="1">
      <c r="A2507" s="81">
        <v>2505</v>
      </c>
      <c r="B2507" s="86" t="s">
        <v>1477</v>
      </c>
      <c r="C2507" s="86" t="s">
        <v>1860</v>
      </c>
      <c r="D2507" s="82" t="str">
        <f ca="1">OFFSET(Roster!$A$3,MATCH(表格1[[#This Row],[Location]]&amp;" "&amp;表格1[[#This Row],[Shop]]&amp;"*",Roster!$A$4:$A$72,0),DAY(表格1[[#This Row],[date]]),1,1)</f>
        <v>Kiko</v>
      </c>
      <c r="E2507" s="86">
        <f>MONTH(表格1[[#This Row],[date]])</f>
        <v>3</v>
      </c>
      <c r="F2507" s="90">
        <v>46091</v>
      </c>
      <c r="G2507" s="86" t="str">
        <f>VLOOKUP("*"&amp;表格1[[#This Row],[Input]]&amp;"*",'Ref-List'!$B:$D,2,)</f>
        <v>TWP-W2265THK(W)</v>
      </c>
      <c r="H2507" s="86" t="str">
        <f>_xlfn.XLOOKUP(表格1[[#This Row],[Model]],表格3[Model-Input-Ref2],表格3[Product Line])</f>
        <v>RO座檯式冷熱飲水機</v>
      </c>
      <c r="I2507" s="86" t="str">
        <f>_xlfn.XLOOKUP(表格1[[#This Row],[Model]],表格3[Model-Input-Ref2],表格3[大小電])</f>
        <v>細電</v>
      </c>
      <c r="J2507" s="86" t="str">
        <f>_xlfn.XLOOKUP(表格1[[#This Row],[Model]],表格3[Model-Input-Ref2],表格3[Code])</f>
        <v>KWH</v>
      </c>
      <c r="K2507" s="89" t="s">
        <v>1694</v>
      </c>
      <c r="L2507" s="86">
        <v>1</v>
      </c>
      <c r="M2507" s="87">
        <v>3480</v>
      </c>
      <c r="N2507" s="85">
        <f>IFERROR(表格1[[#This Row],[QTY]]*表格1[[#This Row],[Unit Price]],"-")</f>
        <v>3480</v>
      </c>
      <c r="O2507" s="86">
        <v>1719937</v>
      </c>
      <c r="R2507" s="86" t="str">
        <f>_xlfn.CONCAT(表格1[[#This Row],[Model]]," ",表格1[[#This Row],[inv no]])</f>
        <v>TWP-W2265THK(W) 1719937</v>
      </c>
      <c r="S2507" s="86">
        <f>_xlfn.XLOOKUP(表格1[[#This Row],[Model]],表格3[Model-Input-Ref2],表格3[SRP PRICE])</f>
        <v>3480</v>
      </c>
      <c r="T2507" s="43">
        <f>表格1[[#This Row],[Unit Price]]/表格1[[#This Row],[SRP]]</f>
        <v>1</v>
      </c>
      <c r="U2507" s="86" t="str">
        <f>_xlfn.XLOOKUP(表格1[[#This Row],[Model]],表格3[Model-Input-Ref2],表格3[TOSHIBA/HIGHEST])</f>
        <v>Shops Highest Price</v>
      </c>
      <c r="W2507" s="86" t="str">
        <f>_xlfn.CONCAT(表格1[[#This Row],[欄4]],表格1[[#This Row],[inv no]])</f>
        <v>1719937</v>
      </c>
    </row>
    <row r="2508" spans="1:23" hidden="1">
      <c r="A2508" s="81">
        <v>2506</v>
      </c>
      <c r="B2508" s="86" t="s">
        <v>1477</v>
      </c>
      <c r="C2508" s="86" t="s">
        <v>1860</v>
      </c>
      <c r="D2508" s="82" t="str">
        <f ca="1">OFFSET(Roster!$A$3,MATCH(表格1[[#This Row],[Location]]&amp;" "&amp;表格1[[#This Row],[Shop]]&amp;"*",Roster!$A$4:$A$72,0),DAY(表格1[[#This Row],[date]]),1,1)</f>
        <v>Kiko</v>
      </c>
      <c r="E2508" s="86">
        <f>MONTH(表格1[[#This Row],[date]])</f>
        <v>3</v>
      </c>
      <c r="F2508" s="90">
        <v>46091</v>
      </c>
      <c r="G2508" s="86" t="str">
        <f>VLOOKUP("*"&amp;表格1[[#This Row],[Input]]&amp;"*",'Ref-List'!$B:$D,2,)</f>
        <v>KT-17DRTHK(H)</v>
      </c>
      <c r="H2508" s="86" t="str">
        <f>_xlfn.XLOOKUP(表格1[[#This Row],[Model]],表格3[Model-Input-Ref2],表格3[Product Line])</f>
        <v>無線雙層電熱水壺(1.7公升)</v>
      </c>
      <c r="I2508" s="86" t="str">
        <f>_xlfn.XLOOKUP(表格1[[#This Row],[Model]],表格3[Model-Input-Ref2],表格3[大小電])</f>
        <v>細電</v>
      </c>
      <c r="J2508" s="86" t="str">
        <f>_xlfn.XLOOKUP(表格1[[#This Row],[Model]],表格3[Model-Input-Ref2],表格3[Code])</f>
        <v>SDA</v>
      </c>
      <c r="K2508" s="89" t="s">
        <v>1271</v>
      </c>
      <c r="L2508" s="86">
        <v>1</v>
      </c>
      <c r="M2508" s="87">
        <v>388</v>
      </c>
      <c r="N2508" s="85">
        <f>IFERROR(表格1[[#This Row],[QTY]]*表格1[[#This Row],[Unit Price]],"-")</f>
        <v>388</v>
      </c>
      <c r="O2508" s="86">
        <v>1719980</v>
      </c>
      <c r="R2508" s="86" t="str">
        <f>_xlfn.CONCAT(表格1[[#This Row],[Model]]," ",表格1[[#This Row],[inv no]])</f>
        <v>KT-17DRTHK(H) 1719980</v>
      </c>
      <c r="S2508" s="86">
        <f>_xlfn.XLOOKUP(表格1[[#This Row],[Model]],表格3[Model-Input-Ref2],表格3[SRP PRICE])</f>
        <v>498</v>
      </c>
      <c r="T2508" s="43">
        <f>表格1[[#This Row],[Unit Price]]/表格1[[#This Row],[SRP]]</f>
        <v>0.77911646586345384</v>
      </c>
      <c r="U2508" s="86" t="str">
        <f>_xlfn.XLOOKUP(表格1[[#This Row],[Model]],表格3[Model-Input-Ref2],表格3[TOSHIBA/HIGHEST])</f>
        <v>Toshiba SRP</v>
      </c>
      <c r="W2508" s="86" t="str">
        <f>_xlfn.CONCAT(表格1[[#This Row],[欄4]],表格1[[#This Row],[inv no]])</f>
        <v>1719980</v>
      </c>
    </row>
    <row r="2509" spans="1:23" hidden="1">
      <c r="A2509" s="81">
        <v>2507</v>
      </c>
      <c r="B2509" s="86" t="s">
        <v>1477</v>
      </c>
      <c r="C2509" s="86" t="s">
        <v>1860</v>
      </c>
      <c r="D2509" s="82" t="str">
        <f ca="1">OFFSET(Roster!$A$3,MATCH(表格1[[#This Row],[Location]]&amp;" "&amp;表格1[[#This Row],[Shop]]&amp;"*",Roster!$A$4:$A$72,0),DAY(表格1[[#This Row],[date]]),1,1)</f>
        <v>Kiko</v>
      </c>
      <c r="E2509" s="86">
        <f>MONTH(表格1[[#This Row],[date]])</f>
        <v>3</v>
      </c>
      <c r="F2509" s="90">
        <v>46091</v>
      </c>
      <c r="G2509" s="86" t="str">
        <f>VLOOKUP("*"&amp;表格1[[#This Row],[Input]]&amp;"*",'Ref-List'!$B:$D,2,)</f>
        <v>RAD-D300H</v>
      </c>
      <c r="H2509" s="86" t="str">
        <f>_xlfn.XLOOKUP(表格1[[#This Row],[Model]],表格3[Model-Input-Ref2],表格3[Product Line])</f>
        <v>壓縮式抽濕機 (30公升)</v>
      </c>
      <c r="I2509" s="86" t="str">
        <f>_xlfn.XLOOKUP(表格1[[#This Row],[Model]],表格3[Model-Input-Ref2],表格3[大小電])</f>
        <v>細電</v>
      </c>
      <c r="J2509" s="86" t="str">
        <f>_xlfn.XLOOKUP(表格1[[#This Row],[Model]],表格3[Model-Input-Ref2],表格3[Code])</f>
        <v>RAC</v>
      </c>
      <c r="K2509" s="89" t="s">
        <v>1252</v>
      </c>
      <c r="L2509" s="86">
        <v>1</v>
      </c>
      <c r="M2509" s="87">
        <v>2580</v>
      </c>
      <c r="N2509" s="85">
        <f>IFERROR(表格1[[#This Row],[QTY]]*表格1[[#This Row],[Unit Price]],"-")</f>
        <v>2580</v>
      </c>
      <c r="O2509" s="86">
        <v>1719953</v>
      </c>
      <c r="R2509" s="86" t="str">
        <f>_xlfn.CONCAT(表格1[[#This Row],[Model]]," ",表格1[[#This Row],[inv no]])</f>
        <v>RAD-D300H 1719953</v>
      </c>
      <c r="S2509" s="86">
        <f>_xlfn.XLOOKUP(表格1[[#This Row],[Model]],表格3[Model-Input-Ref2],表格3[SRP PRICE])</f>
        <v>3380</v>
      </c>
      <c r="T2509" s="43">
        <f>表格1[[#This Row],[Unit Price]]/表格1[[#This Row],[SRP]]</f>
        <v>0.76331360946745563</v>
      </c>
      <c r="U2509" s="86" t="str">
        <f>_xlfn.XLOOKUP(表格1[[#This Row],[Model]],表格3[Model-Input-Ref2],表格3[TOSHIBA/HIGHEST])</f>
        <v>Shops Highest Price</v>
      </c>
      <c r="W2509" s="86" t="str">
        <f>_xlfn.CONCAT(表格1[[#This Row],[欄4]],表格1[[#This Row],[inv no]])</f>
        <v>1719953</v>
      </c>
    </row>
    <row r="2510" spans="1:23" hidden="1">
      <c r="A2510" s="81">
        <v>2508</v>
      </c>
      <c r="B2510" s="86" t="s">
        <v>1477</v>
      </c>
      <c r="C2510" s="86" t="s">
        <v>1860</v>
      </c>
      <c r="D2510" s="82" t="str">
        <f ca="1">OFFSET(Roster!$A$3,MATCH(表格1[[#This Row],[Location]]&amp;" "&amp;表格1[[#This Row],[Shop]]&amp;"*",Roster!$A$4:$A$72,0),DAY(表格1[[#This Row],[date]]),1,1)</f>
        <v>Kiko</v>
      </c>
      <c r="E2510" s="86">
        <f>MONTH(表格1[[#This Row],[date]])</f>
        <v>3</v>
      </c>
      <c r="F2510" s="90">
        <v>46091</v>
      </c>
      <c r="G2510" s="86" t="str">
        <f>VLOOKUP("*"&amp;表格1[[#This Row],[Input]]&amp;"*",'Ref-List'!$B:$D,2,)</f>
        <v>IC-21TSHK</v>
      </c>
      <c r="H2510" s="86" t="str">
        <f>_xlfn.XLOOKUP(表格1[[#This Row],[Model]],表格3[Model-Input-Ref2],表格3[Product Line])</f>
        <v>Induction Cooker</v>
      </c>
      <c r="I2510" s="86" t="str">
        <f>_xlfn.XLOOKUP(表格1[[#This Row],[Model]],表格3[Model-Input-Ref2],表格3[大小電])</f>
        <v>細電</v>
      </c>
      <c r="J2510" s="86" t="str">
        <f>_xlfn.XLOOKUP(表格1[[#This Row],[Model]],表格3[Model-Input-Ref2],表格3[Code])</f>
        <v>SDA</v>
      </c>
      <c r="K2510" s="89" t="s">
        <v>1242</v>
      </c>
      <c r="L2510" s="86">
        <v>1</v>
      </c>
      <c r="M2510" s="87">
        <v>798</v>
      </c>
      <c r="N2510" s="85">
        <f>IFERROR(表格1[[#This Row],[QTY]]*表格1[[#This Row],[Unit Price]],"-")</f>
        <v>798</v>
      </c>
      <c r="O2510" s="86">
        <v>1719979</v>
      </c>
      <c r="R2510" s="86" t="str">
        <f>_xlfn.CONCAT(表格1[[#This Row],[Model]]," ",表格1[[#This Row],[inv no]])</f>
        <v>IC-21TSHK 1719979</v>
      </c>
      <c r="S2510" s="86">
        <f>_xlfn.XLOOKUP(表格1[[#This Row],[Model]],表格3[Model-Input-Ref2],表格3[SRP PRICE])</f>
        <v>998</v>
      </c>
      <c r="T2510" s="43">
        <f>表格1[[#This Row],[Unit Price]]/表格1[[#This Row],[SRP]]</f>
        <v>0.79959919839679361</v>
      </c>
      <c r="U2510" s="86" t="str">
        <f>_xlfn.XLOOKUP(表格1[[#This Row],[Model]],表格3[Model-Input-Ref2],表格3[TOSHIBA/HIGHEST])</f>
        <v>web SRP</v>
      </c>
      <c r="W2510" s="86" t="str">
        <f>_xlfn.CONCAT(表格1[[#This Row],[欄4]],表格1[[#This Row],[inv no]])</f>
        <v>1719979</v>
      </c>
    </row>
    <row r="2511" spans="1:23" hidden="1">
      <c r="A2511" s="81">
        <v>2509</v>
      </c>
      <c r="B2511" s="86" t="s">
        <v>1477</v>
      </c>
      <c r="C2511" s="86" t="s">
        <v>1860</v>
      </c>
      <c r="D2511" s="82" t="str">
        <f ca="1">OFFSET(Roster!$A$3,MATCH(表格1[[#This Row],[Location]]&amp;" "&amp;表格1[[#This Row],[Shop]]&amp;"*",Roster!$A$4:$A$72,0),DAY(表格1[[#This Row],[date]]),1,1)</f>
        <v>Kiko</v>
      </c>
      <c r="E2511" s="86">
        <f>MONTH(表格1[[#This Row],[date]])</f>
        <v>3</v>
      </c>
      <c r="F2511" s="90">
        <v>46091</v>
      </c>
      <c r="G2511" s="86" t="str">
        <f>VLOOKUP("*"&amp;表格1[[#This Row],[Input]]&amp;"*",'Ref-List'!$B:$D,2,)</f>
        <v>AW-Q901BPH(WW)</v>
      </c>
      <c r="H2511" s="86" t="str">
        <f>_xlfn.XLOOKUP(表格1[[#This Row],[Model]],表格3[Model-Input-Ref2],表格3[Product Line])</f>
        <v>日式洗衣機 (8公斤 結合高低水位)</v>
      </c>
      <c r="I2511" s="86" t="str">
        <f>_xlfn.XLOOKUP(表格1[[#This Row],[Model]],表格3[Model-Input-Ref2],表格3[大小電])</f>
        <v>大電</v>
      </c>
      <c r="J2511" s="86" t="str">
        <f>_xlfn.XLOOKUP(表格1[[#This Row],[Model]],表格3[Model-Input-Ref2],表格3[Code])</f>
        <v>LAD</v>
      </c>
      <c r="K2511" s="89" t="s">
        <v>1411</v>
      </c>
      <c r="L2511" s="86">
        <v>1</v>
      </c>
      <c r="M2511" s="87">
        <v>2280</v>
      </c>
      <c r="N2511" s="85">
        <f>IFERROR(表格1[[#This Row],[QTY]]*表格1[[#This Row],[Unit Price]],"-")</f>
        <v>2280</v>
      </c>
      <c r="O2511" s="86">
        <v>1719905</v>
      </c>
      <c r="R2511" s="86" t="str">
        <f>_xlfn.CONCAT(表格1[[#This Row],[Model]]," ",表格1[[#This Row],[inv no]])</f>
        <v>AW-Q901BPH(WW) 1719905</v>
      </c>
      <c r="S2511" s="86">
        <f>_xlfn.XLOOKUP(表格1[[#This Row],[Model]],表格3[Model-Input-Ref2],表格3[SRP PRICE])</f>
        <v>3780</v>
      </c>
      <c r="T2511" s="43">
        <f>表格1[[#This Row],[Unit Price]]/表格1[[#This Row],[SRP]]</f>
        <v>0.60317460317460314</v>
      </c>
      <c r="U2511" s="86" t="str">
        <f>_xlfn.XLOOKUP(表格1[[#This Row],[Model]],表格3[Model-Input-Ref2],表格3[TOSHIBA/HIGHEST])</f>
        <v>Toshiba SRP</v>
      </c>
      <c r="W2511" s="86" t="str">
        <f>_xlfn.CONCAT(表格1[[#This Row],[欄4]],表格1[[#This Row],[inv no]])</f>
        <v>1719905</v>
      </c>
    </row>
    <row r="2512" spans="1:23" hidden="1">
      <c r="A2512" s="81">
        <v>2510</v>
      </c>
      <c r="B2512" s="86" t="s">
        <v>1477</v>
      </c>
      <c r="C2512" s="86" t="s">
        <v>1860</v>
      </c>
      <c r="D2512" s="82" t="str">
        <f ca="1">OFFSET(Roster!$A$3,MATCH(表格1[[#This Row],[Location]]&amp;" "&amp;表格1[[#This Row],[Shop]]&amp;"*",Roster!$A$4:$A$72,0),DAY(表格1[[#This Row],[date]]),1,1)</f>
        <v>Kiko</v>
      </c>
      <c r="E2512" s="86">
        <f>MONTH(表格1[[#This Row],[date]])</f>
        <v>3</v>
      </c>
      <c r="F2512" s="90">
        <v>46091</v>
      </c>
      <c r="G2512" s="86" t="str">
        <f>VLOOKUP("*"&amp;表格1[[#This Row],[Input]]&amp;"*",'Ref-List'!$B:$D,2,)</f>
        <v>GR-RB221WE-PMA(57)</v>
      </c>
      <c r="H2512" s="86" t="str">
        <f>_xlfn.XLOOKUP(表格1[[#This Row],[Model]],表格3[Model-Input-Ref2],表格3[Product Line])</f>
        <v>變頻下置式雙門雪櫃（163L）</v>
      </c>
      <c r="I2512" s="86" t="str">
        <f>_xlfn.XLOOKUP(表格1[[#This Row],[Model]],表格3[Model-Input-Ref2],表格3[大小電])</f>
        <v>大電</v>
      </c>
      <c r="J2512" s="86" t="str">
        <f>_xlfn.XLOOKUP(表格1[[#This Row],[Model]],表格3[Model-Input-Ref2],表格3[Code])</f>
        <v>REF</v>
      </c>
      <c r="K2512" s="89" t="s">
        <v>1386</v>
      </c>
      <c r="L2512" s="86">
        <v>1</v>
      </c>
      <c r="M2512" s="87">
        <v>2190</v>
      </c>
      <c r="N2512" s="85">
        <f>IFERROR(表格1[[#This Row],[QTY]]*表格1[[#This Row],[Unit Price]],"-")</f>
        <v>2190</v>
      </c>
      <c r="O2512" s="86">
        <v>1720063</v>
      </c>
      <c r="R2512" s="86" t="str">
        <f>_xlfn.CONCAT(表格1[[#This Row],[Model]]," ",表格1[[#This Row],[inv no]])</f>
        <v>GR-RB221WE-PMA(57) 1720063</v>
      </c>
      <c r="S2512" s="86">
        <f>_xlfn.XLOOKUP(表格1[[#This Row],[Model]],表格3[Model-Input-Ref2],表格3[SRP PRICE])</f>
        <v>3480</v>
      </c>
      <c r="T2512" s="43">
        <f>表格1[[#This Row],[Unit Price]]/表格1[[#This Row],[SRP]]</f>
        <v>0.62931034482758619</v>
      </c>
      <c r="U2512" s="86" t="str">
        <f>_xlfn.XLOOKUP(表格1[[#This Row],[Model]],表格3[Model-Input-Ref2],表格3[TOSHIBA/HIGHEST])</f>
        <v>Toshiba SRP</v>
      </c>
      <c r="W2512" s="86" t="str">
        <f>_xlfn.CONCAT(表格1[[#This Row],[欄4]],表格1[[#This Row],[inv no]])</f>
        <v>1720063</v>
      </c>
    </row>
    <row r="2513" spans="1:23" hidden="1">
      <c r="A2513" s="81">
        <v>2511</v>
      </c>
      <c r="B2513" s="86" t="s">
        <v>1477</v>
      </c>
      <c r="C2513" s="86" t="s">
        <v>1860</v>
      </c>
      <c r="D2513" s="82" t="str">
        <f ca="1">OFFSET(Roster!$A$3,MATCH(表格1[[#This Row],[Location]]&amp;" "&amp;表格1[[#This Row],[Shop]]&amp;"*",Roster!$A$4:$A$72,0),DAY(表格1[[#This Row],[date]]),1,1)</f>
        <v>Kiko</v>
      </c>
      <c r="E2513" s="86">
        <f>MONTH(表格1[[#This Row],[date]])</f>
        <v>3</v>
      </c>
      <c r="F2513" s="90">
        <v>46091</v>
      </c>
      <c r="G2513" s="86" t="str">
        <f>VLOOKUP("*"&amp;表格1[[#This Row],[Input]]&amp;"*",'Ref-List'!$B:$D,2,)</f>
        <v>RC-10NMFIH(WT)</v>
      </c>
      <c r="H2513" s="86" t="str">
        <f>_xlfn.XLOOKUP(表格1[[#This Row],[Model]],表格3[Model-Input-Ref2],表格3[Product Line])</f>
        <v>4毫米厚釜電飯煲1L</v>
      </c>
      <c r="I2513" s="86" t="str">
        <f>_xlfn.XLOOKUP(表格1[[#This Row],[Model]],表格3[Model-Input-Ref2],表格3[大小電])</f>
        <v>細電</v>
      </c>
      <c r="J2513" s="86" t="str">
        <f>_xlfn.XLOOKUP(表格1[[#This Row],[Model]],表格3[Model-Input-Ref2],表格3[Code])</f>
        <v>SDA</v>
      </c>
      <c r="K2513" s="89" t="s">
        <v>1244</v>
      </c>
      <c r="L2513" s="86">
        <v>1</v>
      </c>
      <c r="M2513" s="87">
        <v>719</v>
      </c>
      <c r="N2513" s="85">
        <f>IFERROR(表格1[[#This Row],[QTY]]*表格1[[#This Row],[Unit Price]],"-")</f>
        <v>719</v>
      </c>
      <c r="O2513" s="86">
        <v>1719914</v>
      </c>
      <c r="R2513" s="86" t="str">
        <f>_xlfn.CONCAT(表格1[[#This Row],[Model]]," ",表格1[[#This Row],[inv no]])</f>
        <v>RC-10NMFIH(WT) 1719914</v>
      </c>
      <c r="S2513" s="86">
        <f>_xlfn.XLOOKUP(表格1[[#This Row],[Model]],表格3[Model-Input-Ref2],表格3[SRP PRICE])</f>
        <v>898</v>
      </c>
      <c r="T2513" s="43">
        <f>表格1[[#This Row],[Unit Price]]/表格1[[#This Row],[SRP]]</f>
        <v>0.80066815144766146</v>
      </c>
      <c r="U2513" s="86" t="str">
        <f>_xlfn.XLOOKUP(表格1[[#This Row],[Model]],表格3[Model-Input-Ref2],表格3[TOSHIBA/HIGHEST])</f>
        <v>Toshiba SRP</v>
      </c>
      <c r="W2513" s="86" t="str">
        <f>_xlfn.CONCAT(表格1[[#This Row],[欄4]],表格1[[#This Row],[inv no]])</f>
        <v>1719914</v>
      </c>
    </row>
    <row r="2514" spans="1:23" hidden="1">
      <c r="A2514" s="81">
        <v>2512</v>
      </c>
      <c r="B2514" s="86" t="s">
        <v>1477</v>
      </c>
      <c r="C2514" s="86" t="s">
        <v>1860</v>
      </c>
      <c r="D2514" s="82" t="str">
        <f ca="1">OFFSET(Roster!$A$3,MATCH(表格1[[#This Row],[Location]]&amp;" "&amp;表格1[[#This Row],[Shop]]&amp;"*",Roster!$A$4:$A$72,0),DAY(表格1[[#This Row],[date]]),1,1)</f>
        <v>Kiko</v>
      </c>
      <c r="E2514" s="86">
        <f>MONTH(表格1[[#This Row],[date]])</f>
        <v>3</v>
      </c>
      <c r="F2514" s="90">
        <v>46091</v>
      </c>
      <c r="G2514" s="86" t="str">
        <f>VLOOKUP("*"&amp;表格1[[#This Row],[Input]]&amp;"*",'Ref-List'!$B:$D,2,)</f>
        <v>PLK-30FLIH(WT)</v>
      </c>
      <c r="H2514" s="86" t="str">
        <f>_xlfn.XLOOKUP(表格1[[#This Row],[Model]],表格3[Model-Input-Ref2],表格3[Product Line])</f>
        <v>電熱水瓶3L</v>
      </c>
      <c r="I2514" s="86" t="str">
        <f>_xlfn.XLOOKUP(表格1[[#This Row],[Model]],表格3[Model-Input-Ref2],表格3[大小電])</f>
        <v>細電</v>
      </c>
      <c r="J2514" s="86" t="str">
        <f>_xlfn.XLOOKUP(表格1[[#This Row],[Model]],表格3[Model-Input-Ref2],表格3[Code])</f>
        <v>SDA</v>
      </c>
      <c r="K2514" s="89" t="s">
        <v>1272</v>
      </c>
      <c r="L2514" s="86">
        <v>1</v>
      </c>
      <c r="M2514" s="87">
        <v>489</v>
      </c>
      <c r="N2514" s="85">
        <f>IFERROR(表格1[[#This Row],[QTY]]*表格1[[#This Row],[Unit Price]],"-")</f>
        <v>489</v>
      </c>
      <c r="O2514" s="86">
        <v>1326226</v>
      </c>
      <c r="R2514" s="86" t="str">
        <f>_xlfn.CONCAT(表格1[[#This Row],[Model]]," ",表格1[[#This Row],[inv no]])</f>
        <v>PLK-30FLIH(WT) 1326226</v>
      </c>
      <c r="S2514" s="86">
        <f>_xlfn.XLOOKUP(表格1[[#This Row],[Model]],表格3[Model-Input-Ref2],表格3[SRP PRICE])</f>
        <v>658</v>
      </c>
      <c r="T2514" s="43">
        <f>表格1[[#This Row],[Unit Price]]/表格1[[#This Row],[SRP]]</f>
        <v>0.74316109422492405</v>
      </c>
      <c r="U2514" s="86" t="str">
        <f>_xlfn.XLOOKUP(表格1[[#This Row],[Model]],表格3[Model-Input-Ref2],表格3[TOSHIBA/HIGHEST])</f>
        <v>Toshiba SRP</v>
      </c>
      <c r="W2514" s="86" t="str">
        <f>_xlfn.CONCAT(表格1[[#This Row],[欄4]],表格1[[#This Row],[inv no]])</f>
        <v>1326226</v>
      </c>
    </row>
    <row r="2515" spans="1:23" hidden="1">
      <c r="A2515" s="81">
        <v>2513</v>
      </c>
      <c r="B2515" s="86" t="s">
        <v>1477</v>
      </c>
      <c r="C2515" s="86" t="s">
        <v>1860</v>
      </c>
      <c r="D2515" s="82" t="str">
        <f ca="1">OFFSET(Roster!$A$3,MATCH(表格1[[#This Row],[Location]]&amp;" "&amp;表格1[[#This Row],[Shop]]&amp;"*",Roster!$A$4:$A$72,0),DAY(表格1[[#This Row],[date]]),1,1)</f>
        <v>Kiko</v>
      </c>
      <c r="E2515" s="86">
        <f>MONTH(表格1[[#This Row],[date]])</f>
        <v>3</v>
      </c>
      <c r="F2515" s="90">
        <v>46092</v>
      </c>
      <c r="G2515" s="86" t="str">
        <f>VLOOKUP("*"&amp;表格1[[#This Row],[Input]]&amp;"*",'Ref-List'!$B:$D,2,)</f>
        <v>GR-RM598WE-PGA(B3)</v>
      </c>
      <c r="H2515" s="86" t="str">
        <f>_xlfn.XLOOKUP(表格1[[#This Row],[Model]],表格3[Model-Input-Ref2],表格3[Product Line])</f>
        <v>變頻六門雪櫃(451L)</v>
      </c>
      <c r="I2515" s="86" t="str">
        <f>_xlfn.XLOOKUP(表格1[[#This Row],[Model]],表格3[Model-Input-Ref2],表格3[大小電])</f>
        <v>大電</v>
      </c>
      <c r="J2515" s="86" t="str">
        <f>_xlfn.XLOOKUP(表格1[[#This Row],[Model]],表格3[Model-Input-Ref2],表格3[Code])</f>
        <v>REF</v>
      </c>
      <c r="K2515" s="89" t="s">
        <v>1491</v>
      </c>
      <c r="L2515" s="86">
        <v>1</v>
      </c>
      <c r="M2515" s="87">
        <v>10590</v>
      </c>
      <c r="N2515" s="85">
        <f>IFERROR(表格1[[#This Row],[QTY]]*表格1[[#This Row],[Unit Price]],"-")</f>
        <v>10590</v>
      </c>
      <c r="O2515" s="86">
        <v>1720169</v>
      </c>
      <c r="R2515" s="86" t="str">
        <f>_xlfn.CONCAT(表格1[[#This Row],[Model]]," ",表格1[[#This Row],[inv no]])</f>
        <v>GR-RM598WE-PGA(B3) 1720169</v>
      </c>
      <c r="S2515" s="86">
        <f>_xlfn.XLOOKUP(表格1[[#This Row],[Model]],表格3[Model-Input-Ref2],表格3[SRP PRICE])</f>
        <v>14980</v>
      </c>
      <c r="T2515" s="43">
        <f>表格1[[#This Row],[Unit Price]]/表格1[[#This Row],[SRP]]</f>
        <v>0.70694259012016025</v>
      </c>
      <c r="U2515" s="86" t="str">
        <f>_xlfn.XLOOKUP(表格1[[#This Row],[Model]],表格3[Model-Input-Ref2],表格3[TOSHIBA/HIGHEST])</f>
        <v>Toshiba SRP</v>
      </c>
      <c r="W2515" s="86" t="str">
        <f>_xlfn.CONCAT(表格1[[#This Row],[欄4]],表格1[[#This Row],[inv no]])</f>
        <v>1720169</v>
      </c>
    </row>
    <row r="2516" spans="1:23" hidden="1">
      <c r="A2516" s="81">
        <v>2514</v>
      </c>
      <c r="B2516" s="86" t="s">
        <v>1477</v>
      </c>
      <c r="C2516" s="86" t="s">
        <v>1860</v>
      </c>
      <c r="D2516" s="82" t="str">
        <f ca="1">OFFSET(Roster!$A$3,MATCH(表格1[[#This Row],[Location]]&amp;" "&amp;表格1[[#This Row],[Shop]]&amp;"*",Roster!$A$4:$A$72,0),DAY(表格1[[#This Row],[date]]),1,1)</f>
        <v>Kiko</v>
      </c>
      <c r="E2516" s="86">
        <f>MONTH(表格1[[#This Row],[date]])</f>
        <v>3</v>
      </c>
      <c r="F2516" s="90">
        <v>46092</v>
      </c>
      <c r="G2516" s="86" t="str">
        <f>VLOOKUP("*"&amp;表格1[[#This Row],[Input]]&amp;"*",'Ref-List'!$B:$D,2,)</f>
        <v>GR-RT300WE-PMA(57)</v>
      </c>
      <c r="H2516" s="86" t="str">
        <f>_xlfn.XLOOKUP(表格1[[#This Row],[Model]],表格3[Model-Input-Ref2],表格3[Product Line])</f>
        <v>變頻式環保雙門雪櫃(233L)</v>
      </c>
      <c r="I2516" s="86" t="str">
        <f>_xlfn.XLOOKUP(表格1[[#This Row],[Model]],表格3[Model-Input-Ref2],表格3[大小電])</f>
        <v>大電</v>
      </c>
      <c r="J2516" s="86" t="str">
        <f>_xlfn.XLOOKUP(表格1[[#This Row],[Model]],表格3[Model-Input-Ref2],表格3[Code])</f>
        <v>REF</v>
      </c>
      <c r="K2516" s="89" t="s">
        <v>1462</v>
      </c>
      <c r="L2516" s="86">
        <v>1</v>
      </c>
      <c r="M2516" s="87">
        <v>2780</v>
      </c>
      <c r="N2516" s="85">
        <f>IFERROR(表格1[[#This Row],[QTY]]*表格1[[#This Row],[Unit Price]],"-")</f>
        <v>2780</v>
      </c>
      <c r="O2516" s="86">
        <v>1326253</v>
      </c>
      <c r="R2516" s="86" t="str">
        <f>_xlfn.CONCAT(表格1[[#This Row],[Model]]," ",表格1[[#This Row],[inv no]])</f>
        <v>GR-RT300WE-PMA(57) 1326253</v>
      </c>
      <c r="S2516" s="86">
        <f>_xlfn.XLOOKUP(表格1[[#This Row],[Model]],表格3[Model-Input-Ref2],表格3[SRP PRICE])</f>
        <v>4280</v>
      </c>
      <c r="T2516" s="43">
        <f>表格1[[#This Row],[Unit Price]]/表格1[[#This Row],[SRP]]</f>
        <v>0.64953271028037385</v>
      </c>
      <c r="U2516" s="86" t="str">
        <f>_xlfn.XLOOKUP(表格1[[#This Row],[Model]],表格3[Model-Input-Ref2],表格3[TOSHIBA/HIGHEST])</f>
        <v>Toshiba SRP</v>
      </c>
      <c r="W2516" s="86" t="str">
        <f>_xlfn.CONCAT(表格1[[#This Row],[欄4]],表格1[[#This Row],[inv no]])</f>
        <v>1326253</v>
      </c>
    </row>
    <row r="2517" spans="1:23" hidden="1">
      <c r="A2517" s="81">
        <v>2515</v>
      </c>
      <c r="B2517" s="86" t="s">
        <v>1477</v>
      </c>
      <c r="C2517" s="86" t="s">
        <v>1860</v>
      </c>
      <c r="D2517" s="82" t="str">
        <f ca="1">OFFSET(Roster!$A$3,MATCH(表格1[[#This Row],[Location]]&amp;" "&amp;表格1[[#This Row],[Shop]]&amp;"*",Roster!$A$4:$A$72,0),DAY(表格1[[#This Row],[date]]),1,1)</f>
        <v>Kiko</v>
      </c>
      <c r="E2517" s="86">
        <f>MONTH(表格1[[#This Row],[date]])</f>
        <v>3</v>
      </c>
      <c r="F2517" s="90">
        <v>46092</v>
      </c>
      <c r="G2517" s="86" t="str">
        <f>VLOOKUP("*"&amp;表格1[[#This Row],[Input]]&amp;"*",'Ref-List'!$B:$D,2,)</f>
        <v>GR-RT300WE-PMA(57)</v>
      </c>
      <c r="H2517" s="86" t="str">
        <f>_xlfn.XLOOKUP(表格1[[#This Row],[Model]],表格3[Model-Input-Ref2],表格3[Product Line])</f>
        <v>變頻式環保雙門雪櫃(233L)</v>
      </c>
      <c r="I2517" s="86" t="str">
        <f>_xlfn.XLOOKUP(表格1[[#This Row],[Model]],表格3[Model-Input-Ref2],表格3[大小電])</f>
        <v>大電</v>
      </c>
      <c r="J2517" s="86" t="str">
        <f>_xlfn.XLOOKUP(表格1[[#This Row],[Model]],表格3[Model-Input-Ref2],表格3[Code])</f>
        <v>REF</v>
      </c>
      <c r="K2517" s="89" t="s">
        <v>1462</v>
      </c>
      <c r="L2517" s="86">
        <v>1</v>
      </c>
      <c r="M2517" s="87">
        <v>2780</v>
      </c>
      <c r="N2517" s="85">
        <f>IFERROR(表格1[[#This Row],[QTY]]*表格1[[#This Row],[Unit Price]],"-")</f>
        <v>2780</v>
      </c>
      <c r="O2517" s="86">
        <v>1720141</v>
      </c>
      <c r="R2517" s="86" t="str">
        <f>_xlfn.CONCAT(表格1[[#This Row],[Model]]," ",表格1[[#This Row],[inv no]])</f>
        <v>GR-RT300WE-PMA(57) 1720141</v>
      </c>
      <c r="S2517" s="86">
        <f>_xlfn.XLOOKUP(表格1[[#This Row],[Model]],表格3[Model-Input-Ref2],表格3[SRP PRICE])</f>
        <v>4280</v>
      </c>
      <c r="T2517" s="43">
        <f>表格1[[#This Row],[Unit Price]]/表格1[[#This Row],[SRP]]</f>
        <v>0.64953271028037385</v>
      </c>
      <c r="U2517" s="86" t="str">
        <f>_xlfn.XLOOKUP(表格1[[#This Row],[Model]],表格3[Model-Input-Ref2],表格3[TOSHIBA/HIGHEST])</f>
        <v>Toshiba SRP</v>
      </c>
      <c r="W2517" s="86" t="str">
        <f>_xlfn.CONCAT(表格1[[#This Row],[欄4]],表格1[[#This Row],[inv no]])</f>
        <v>1720141</v>
      </c>
    </row>
    <row r="2518" spans="1:23" hidden="1">
      <c r="A2518" s="81">
        <v>2516</v>
      </c>
      <c r="B2518" s="86" t="s">
        <v>1477</v>
      </c>
      <c r="C2518" s="86" t="s">
        <v>1860</v>
      </c>
      <c r="D2518" s="82" t="str">
        <f ca="1">OFFSET(Roster!$A$3,MATCH(表格1[[#This Row],[Location]]&amp;" "&amp;表格1[[#This Row],[Shop]]&amp;"*",Roster!$A$4:$A$72,0),DAY(表格1[[#This Row],[date]]),1,1)</f>
        <v>Kiko</v>
      </c>
      <c r="E2518" s="86">
        <f>MONTH(表格1[[#This Row],[date]])</f>
        <v>3</v>
      </c>
      <c r="F2518" s="90">
        <v>46092</v>
      </c>
      <c r="G2518" s="86" t="str">
        <f>VLOOKUP("*"&amp;表格1[[#This Row],[Input]]&amp;"*",'Ref-List'!$B:$D,2,)</f>
        <v>GR-RB221WE-PMA(57)</v>
      </c>
      <c r="H2518" s="86" t="str">
        <f>_xlfn.XLOOKUP(表格1[[#This Row],[Model]],表格3[Model-Input-Ref2],表格3[Product Line])</f>
        <v>變頻下置式雙門雪櫃（163L）</v>
      </c>
      <c r="I2518" s="86" t="str">
        <f>_xlfn.XLOOKUP(表格1[[#This Row],[Model]],表格3[Model-Input-Ref2],表格3[大小電])</f>
        <v>大電</v>
      </c>
      <c r="J2518" s="86" t="str">
        <f>_xlfn.XLOOKUP(表格1[[#This Row],[Model]],表格3[Model-Input-Ref2],表格3[Code])</f>
        <v>REF</v>
      </c>
      <c r="K2518" s="89" t="s">
        <v>1386</v>
      </c>
      <c r="L2518" s="86">
        <v>1</v>
      </c>
      <c r="M2518" s="87">
        <v>2190</v>
      </c>
      <c r="N2518" s="85">
        <f>IFERROR(表格1[[#This Row],[QTY]]*表格1[[#This Row],[Unit Price]],"-")</f>
        <v>2190</v>
      </c>
      <c r="O2518" s="86">
        <v>1720268</v>
      </c>
      <c r="R2518" s="86" t="str">
        <f>_xlfn.CONCAT(表格1[[#This Row],[Model]]," ",表格1[[#This Row],[inv no]])</f>
        <v>GR-RB221WE-PMA(57) 1720268</v>
      </c>
      <c r="S2518" s="86">
        <f>_xlfn.XLOOKUP(表格1[[#This Row],[Model]],表格3[Model-Input-Ref2],表格3[SRP PRICE])</f>
        <v>3480</v>
      </c>
      <c r="T2518" s="43">
        <f>表格1[[#This Row],[Unit Price]]/表格1[[#This Row],[SRP]]</f>
        <v>0.62931034482758619</v>
      </c>
      <c r="U2518" s="86" t="str">
        <f>_xlfn.XLOOKUP(表格1[[#This Row],[Model]],表格3[Model-Input-Ref2],表格3[TOSHIBA/HIGHEST])</f>
        <v>Toshiba SRP</v>
      </c>
      <c r="W2518" s="86" t="str">
        <f>_xlfn.CONCAT(表格1[[#This Row],[欄4]],表格1[[#This Row],[inv no]])</f>
        <v>1720268</v>
      </c>
    </row>
    <row r="2519" spans="1:23" hidden="1">
      <c r="A2519" s="81">
        <v>2517</v>
      </c>
      <c r="B2519" s="86" t="s">
        <v>1477</v>
      </c>
      <c r="C2519" s="86" t="s">
        <v>1860</v>
      </c>
      <c r="D2519" s="82" t="str">
        <f ca="1">OFFSET(Roster!$A$3,MATCH(表格1[[#This Row],[Location]]&amp;" "&amp;表格1[[#This Row],[Shop]]&amp;"*",Roster!$A$4:$A$72,0),DAY(表格1[[#This Row],[date]]),1,1)</f>
        <v>Kiko</v>
      </c>
      <c r="E2519" s="86">
        <f>MONTH(表格1[[#This Row],[date]])</f>
        <v>3</v>
      </c>
      <c r="F2519" s="90">
        <v>46092</v>
      </c>
      <c r="G2519" s="86" t="str">
        <f>VLOOKUP("*"&amp;表格1[[#This Row],[Input]]&amp;"*",'Ref-List'!$B:$D,2,)</f>
        <v>MM2-EM20PC(WH)</v>
      </c>
      <c r="H2519" s="86" t="str">
        <f>_xlfn.XLOOKUP(表格1[[#This Row],[Model]],表格3[Model-Input-Ref2],表格3[Product Line])</f>
        <v>輕觸式微波爐 (20公升)</v>
      </c>
      <c r="I2519" s="86" t="str">
        <f>_xlfn.XLOOKUP(表格1[[#This Row],[Model]],表格3[Model-Input-Ref2],表格3[大小電])</f>
        <v>細電</v>
      </c>
      <c r="J2519" s="86" t="str">
        <f>_xlfn.XLOOKUP(表格1[[#This Row],[Model]],表格3[Model-Input-Ref2],表格3[Code])</f>
        <v>MCA</v>
      </c>
      <c r="K2519" s="89" t="s">
        <v>1276</v>
      </c>
      <c r="L2519" s="86">
        <v>1</v>
      </c>
      <c r="M2519" s="87">
        <v>598</v>
      </c>
      <c r="N2519" s="85">
        <f>IFERROR(表格1[[#This Row],[QTY]]*表格1[[#This Row],[Unit Price]],"-")</f>
        <v>598</v>
      </c>
      <c r="O2519" s="86">
        <v>1720086</v>
      </c>
      <c r="R2519" s="86" t="str">
        <f>_xlfn.CONCAT(表格1[[#This Row],[Model]]," ",表格1[[#This Row],[inv no]])</f>
        <v>MM2-EM20PC(WH) 1720086</v>
      </c>
      <c r="S2519" s="86">
        <f>_xlfn.XLOOKUP(表格1[[#This Row],[Model]],表格3[Model-Input-Ref2],表格3[SRP PRICE])</f>
        <v>788</v>
      </c>
      <c r="T2519" s="43">
        <f>表格1[[#This Row],[Unit Price]]/表格1[[#This Row],[SRP]]</f>
        <v>0.75888324873096447</v>
      </c>
      <c r="U2519" s="86" t="str">
        <f>_xlfn.XLOOKUP(表格1[[#This Row],[Model]],表格3[Model-Input-Ref2],表格3[TOSHIBA/HIGHEST])</f>
        <v>Toshiba SRP</v>
      </c>
      <c r="W2519" s="86" t="str">
        <f>_xlfn.CONCAT(表格1[[#This Row],[欄4]],表格1[[#This Row],[inv no]])</f>
        <v>1720086</v>
      </c>
    </row>
    <row r="2520" spans="1:23" hidden="1">
      <c r="A2520" s="81">
        <v>2518</v>
      </c>
      <c r="B2520" s="86" t="s">
        <v>1477</v>
      </c>
      <c r="C2520" s="86" t="s">
        <v>1860</v>
      </c>
      <c r="D2520" s="82" t="str">
        <f ca="1">OFFSET(Roster!$A$3,MATCH(表格1[[#This Row],[Location]]&amp;" "&amp;表格1[[#This Row],[Shop]]&amp;"*",Roster!$A$4:$A$72,0),DAY(表格1[[#This Row],[date]]),1,1)</f>
        <v>Kiko</v>
      </c>
      <c r="E2520" s="86">
        <f>MONTH(表格1[[#This Row],[date]])</f>
        <v>3</v>
      </c>
      <c r="F2520" s="90">
        <v>46092</v>
      </c>
      <c r="G2520" s="86" t="str">
        <f>VLOOKUP("*"&amp;表格1[[#This Row],[Input]]&amp;"*",'Ref-List'!$B:$D,2,)</f>
        <v>MM2-EM20PC(WH)</v>
      </c>
      <c r="H2520" s="86" t="str">
        <f>_xlfn.XLOOKUP(表格1[[#This Row],[Model]],表格3[Model-Input-Ref2],表格3[Product Line])</f>
        <v>輕觸式微波爐 (20公升)</v>
      </c>
      <c r="I2520" s="86" t="str">
        <f>_xlfn.XLOOKUP(表格1[[#This Row],[Model]],表格3[Model-Input-Ref2],表格3[大小電])</f>
        <v>細電</v>
      </c>
      <c r="J2520" s="86" t="str">
        <f>_xlfn.XLOOKUP(表格1[[#This Row],[Model]],表格3[Model-Input-Ref2],表格3[Code])</f>
        <v>MCA</v>
      </c>
      <c r="K2520" s="89" t="s">
        <v>1276</v>
      </c>
      <c r="L2520" s="86">
        <v>1</v>
      </c>
      <c r="M2520" s="87">
        <v>598</v>
      </c>
      <c r="N2520" s="85">
        <f>IFERROR(表格1[[#This Row],[QTY]]*表格1[[#This Row],[Unit Price]],"-")</f>
        <v>598</v>
      </c>
      <c r="O2520" s="86">
        <v>1720091</v>
      </c>
      <c r="R2520" s="86" t="str">
        <f>_xlfn.CONCAT(表格1[[#This Row],[Model]]," ",表格1[[#This Row],[inv no]])</f>
        <v>MM2-EM20PC(WH) 1720091</v>
      </c>
      <c r="S2520" s="86">
        <f>_xlfn.XLOOKUP(表格1[[#This Row],[Model]],表格3[Model-Input-Ref2],表格3[SRP PRICE])</f>
        <v>788</v>
      </c>
      <c r="T2520" s="43">
        <f>表格1[[#This Row],[Unit Price]]/表格1[[#This Row],[SRP]]</f>
        <v>0.75888324873096447</v>
      </c>
      <c r="U2520" s="86" t="str">
        <f>_xlfn.XLOOKUP(表格1[[#This Row],[Model]],表格3[Model-Input-Ref2],表格3[TOSHIBA/HIGHEST])</f>
        <v>Toshiba SRP</v>
      </c>
      <c r="W2520" s="86" t="str">
        <f>_xlfn.CONCAT(表格1[[#This Row],[欄4]],表格1[[#This Row],[inv no]])</f>
        <v>1720091</v>
      </c>
    </row>
    <row r="2521" spans="1:23" hidden="1">
      <c r="A2521" s="81">
        <v>2519</v>
      </c>
      <c r="B2521" s="86" t="s">
        <v>1477</v>
      </c>
      <c r="C2521" s="86" t="s">
        <v>1860</v>
      </c>
      <c r="D2521" s="82" t="str">
        <f ca="1">OFFSET(Roster!$A$3,MATCH(表格1[[#This Row],[Location]]&amp;" "&amp;表格1[[#This Row],[Shop]]&amp;"*",Roster!$A$4:$A$72,0),DAY(表格1[[#This Row],[date]]),1,1)</f>
        <v>Kiko</v>
      </c>
      <c r="E2521" s="86">
        <f>MONTH(表格1[[#This Row],[date]])</f>
        <v>3</v>
      </c>
      <c r="F2521" s="90">
        <v>46092</v>
      </c>
      <c r="G2521" s="86" t="str">
        <f>VLOOKUP("*"&amp;表格1[[#This Row],[Input]]&amp;"*",'Ref-List'!$B:$D,2,)</f>
        <v>MM2-EM20PC(WH)</v>
      </c>
      <c r="H2521" s="86" t="str">
        <f>_xlfn.XLOOKUP(表格1[[#This Row],[Model]],表格3[Model-Input-Ref2],表格3[Product Line])</f>
        <v>輕觸式微波爐 (20公升)</v>
      </c>
      <c r="I2521" s="86" t="str">
        <f>_xlfn.XLOOKUP(表格1[[#This Row],[Model]],表格3[Model-Input-Ref2],表格3[大小電])</f>
        <v>細電</v>
      </c>
      <c r="J2521" s="86" t="str">
        <f>_xlfn.XLOOKUP(表格1[[#This Row],[Model]],表格3[Model-Input-Ref2],表格3[Code])</f>
        <v>MCA</v>
      </c>
      <c r="K2521" s="89" t="s">
        <v>1276</v>
      </c>
      <c r="L2521" s="86">
        <v>1</v>
      </c>
      <c r="M2521" s="87">
        <v>598</v>
      </c>
      <c r="N2521" s="85">
        <f>IFERROR(表格1[[#This Row],[QTY]]*表格1[[#This Row],[Unit Price]],"-")</f>
        <v>598</v>
      </c>
      <c r="O2521" s="86">
        <v>1720158</v>
      </c>
      <c r="R2521" s="86" t="str">
        <f>_xlfn.CONCAT(表格1[[#This Row],[Model]]," ",表格1[[#This Row],[inv no]])</f>
        <v>MM2-EM20PC(WH) 1720158</v>
      </c>
      <c r="S2521" s="86">
        <f>_xlfn.XLOOKUP(表格1[[#This Row],[Model]],表格3[Model-Input-Ref2],表格3[SRP PRICE])</f>
        <v>788</v>
      </c>
      <c r="T2521" s="43">
        <f>表格1[[#This Row],[Unit Price]]/表格1[[#This Row],[SRP]]</f>
        <v>0.75888324873096447</v>
      </c>
      <c r="U2521" s="86" t="str">
        <f>_xlfn.XLOOKUP(表格1[[#This Row],[Model]],表格3[Model-Input-Ref2],表格3[TOSHIBA/HIGHEST])</f>
        <v>Toshiba SRP</v>
      </c>
      <c r="W2521" s="86" t="str">
        <f>_xlfn.CONCAT(表格1[[#This Row],[欄4]],表格1[[#This Row],[inv no]])</f>
        <v>1720158</v>
      </c>
    </row>
    <row r="2522" spans="1:23" hidden="1">
      <c r="A2522" s="81">
        <v>2520</v>
      </c>
      <c r="B2522" s="86" t="s">
        <v>1477</v>
      </c>
      <c r="C2522" s="86" t="s">
        <v>1860</v>
      </c>
      <c r="D2522" s="82" t="str">
        <f ca="1">OFFSET(Roster!$A$3,MATCH(表格1[[#This Row],[Location]]&amp;" "&amp;表格1[[#This Row],[Shop]]&amp;"*",Roster!$A$4:$A$72,0),DAY(表格1[[#This Row],[date]]),1,1)</f>
        <v>Kiko</v>
      </c>
      <c r="E2522" s="86">
        <f>MONTH(表格1[[#This Row],[date]])</f>
        <v>3</v>
      </c>
      <c r="F2522" s="90">
        <v>46092</v>
      </c>
      <c r="G2522" s="86" t="str">
        <f>VLOOKUP("*"&amp;表格1[[#This Row],[Input]]&amp;"*",'Ref-List'!$B:$D,2,)</f>
        <v>RC-10DRNH</v>
      </c>
      <c r="H2522" s="86" t="str">
        <f>_xlfn.XLOOKUP(表格1[[#This Row],[Model]],表格3[Model-Input-Ref2],表格3[Product Line])</f>
        <v>多功能備長炭本厚釜電飯煲1L</v>
      </c>
      <c r="I2522" s="86" t="str">
        <f>_xlfn.XLOOKUP(表格1[[#This Row],[Model]],表格3[Model-Input-Ref2],表格3[大小電])</f>
        <v>細電</v>
      </c>
      <c r="J2522" s="86" t="str">
        <f>_xlfn.XLOOKUP(表格1[[#This Row],[Model]],表格3[Model-Input-Ref2],表格3[Code])</f>
        <v>SDA</v>
      </c>
      <c r="K2522" s="89" t="s">
        <v>1376</v>
      </c>
      <c r="L2522" s="86">
        <v>1</v>
      </c>
      <c r="M2522" s="87">
        <v>499</v>
      </c>
      <c r="N2522" s="85">
        <f>IFERROR(表格1[[#This Row],[QTY]]*表格1[[#This Row],[Unit Price]],"-")</f>
        <v>499</v>
      </c>
      <c r="O2522" s="86">
        <v>1720205</v>
      </c>
      <c r="R2522" s="86" t="str">
        <f>_xlfn.CONCAT(表格1[[#This Row],[Model]]," ",表格1[[#This Row],[inv no]])</f>
        <v>RC-10DRNH 1720205</v>
      </c>
      <c r="S2522" s="86">
        <f>_xlfn.XLOOKUP(表格1[[#This Row],[Model]],表格3[Model-Input-Ref2],表格3[SRP PRICE])</f>
        <v>798</v>
      </c>
      <c r="T2522" s="43">
        <f>表格1[[#This Row],[Unit Price]]/表格1[[#This Row],[SRP]]</f>
        <v>0.62531328320802004</v>
      </c>
      <c r="U2522" s="86" t="str">
        <f>_xlfn.XLOOKUP(表格1[[#This Row],[Model]],表格3[Model-Input-Ref2],表格3[TOSHIBA/HIGHEST])</f>
        <v>Toshiba SRP</v>
      </c>
      <c r="W2522" s="86" t="str">
        <f>_xlfn.CONCAT(表格1[[#This Row],[欄4]],表格1[[#This Row],[inv no]])</f>
        <v>1720205</v>
      </c>
    </row>
    <row r="2523" spans="1:23" hidden="1">
      <c r="A2523" s="81">
        <v>2521</v>
      </c>
      <c r="B2523" s="86" t="s">
        <v>1477</v>
      </c>
      <c r="C2523" s="86" t="s">
        <v>1860</v>
      </c>
      <c r="D2523" s="82" t="str">
        <f ca="1">OFFSET(Roster!$A$3,MATCH(表格1[[#This Row],[Location]]&amp;" "&amp;表格1[[#This Row],[Shop]]&amp;"*",Roster!$A$4:$A$72,0),DAY(表格1[[#This Row],[date]]),1,1)</f>
        <v>Kiko</v>
      </c>
      <c r="E2523" s="86">
        <f>MONTH(表格1[[#This Row],[date]])</f>
        <v>3</v>
      </c>
      <c r="F2523" s="90">
        <v>46092</v>
      </c>
      <c r="G2523" s="86" t="str">
        <f>VLOOKUP("*"&amp;表格1[[#This Row],[Input]]&amp;"*",'Ref-List'!$B:$D,2,)</f>
        <v>PLK-45SFIH(WT)</v>
      </c>
      <c r="H2523" s="86" t="str">
        <f>_xlfn.XLOOKUP(表格1[[#This Row],[Model]],表格3[Model-Input-Ref2],表格3[Product Line])</f>
        <v>電熱水瓶4.5L</v>
      </c>
      <c r="I2523" s="86" t="str">
        <f>_xlfn.XLOOKUP(表格1[[#This Row],[Model]],表格3[Model-Input-Ref2],表格3[大小電])</f>
        <v>細電</v>
      </c>
      <c r="J2523" s="86" t="str">
        <f>_xlfn.XLOOKUP(表格1[[#This Row],[Model]],表格3[Model-Input-Ref2],表格3[Code])</f>
        <v>SDA</v>
      </c>
      <c r="K2523" s="89" t="s">
        <v>1117</v>
      </c>
      <c r="L2523" s="86">
        <v>1</v>
      </c>
      <c r="M2523" s="87">
        <v>589</v>
      </c>
      <c r="N2523" s="85">
        <f>IFERROR(表格1[[#This Row],[QTY]]*表格1[[#This Row],[Unit Price]],"-")</f>
        <v>589</v>
      </c>
      <c r="O2523" s="86">
        <v>1720116</v>
      </c>
      <c r="R2523" s="86" t="str">
        <f>_xlfn.CONCAT(表格1[[#This Row],[Model]]," ",表格1[[#This Row],[inv no]])</f>
        <v>PLK-45SFIH(WT) 1720116</v>
      </c>
      <c r="S2523" s="86">
        <f>_xlfn.XLOOKUP(表格1[[#This Row],[Model]],表格3[Model-Input-Ref2],表格3[SRP PRICE])</f>
        <v>788</v>
      </c>
      <c r="T2523" s="43">
        <f>表格1[[#This Row],[Unit Price]]/表格1[[#This Row],[SRP]]</f>
        <v>0.7474619289340102</v>
      </c>
      <c r="U2523" s="86" t="str">
        <f>_xlfn.XLOOKUP(表格1[[#This Row],[Model]],表格3[Model-Input-Ref2],表格3[TOSHIBA/HIGHEST])</f>
        <v>Toshiba SRP</v>
      </c>
      <c r="W2523" s="86" t="str">
        <f>_xlfn.CONCAT(表格1[[#This Row],[欄4]],表格1[[#This Row],[inv no]])</f>
        <v>1720116</v>
      </c>
    </row>
    <row r="2524" spans="1:23" hidden="1">
      <c r="A2524" s="81">
        <v>2522</v>
      </c>
      <c r="B2524" s="86" t="s">
        <v>1477</v>
      </c>
      <c r="C2524" s="86" t="s">
        <v>1860</v>
      </c>
      <c r="D2524" s="82" t="str">
        <f ca="1">OFFSET(Roster!$A$3,MATCH(表格1[[#This Row],[Location]]&amp;" "&amp;表格1[[#This Row],[Shop]]&amp;"*",Roster!$A$4:$A$72,0),DAY(表格1[[#This Row],[date]]),1,1)</f>
        <v>Kiko</v>
      </c>
      <c r="E2524" s="86">
        <f>MONTH(表格1[[#This Row],[date]])</f>
        <v>3</v>
      </c>
      <c r="F2524" s="90">
        <v>46092</v>
      </c>
      <c r="G2524" s="86" t="str">
        <f>VLOOKUP("*"&amp;表格1[[#This Row],[Input]]&amp;"*",'Ref-List'!$B:$D,2,)</f>
        <v>KT-17SHNH</v>
      </c>
      <c r="H2524" s="86" t="str">
        <f>_xlfn.XLOOKUP(表格1[[#This Row],[Model]],表格3[Model-Input-Ref2],表格3[Product Line])</f>
        <v>1.7L無線雙層電熱水壺</v>
      </c>
      <c r="I2524" s="86" t="str">
        <f>_xlfn.XLOOKUP(表格1[[#This Row],[Model]],表格3[Model-Input-Ref2],表格3[大小電])</f>
        <v>細電</v>
      </c>
      <c r="J2524" s="86" t="str">
        <f>_xlfn.XLOOKUP(表格1[[#This Row],[Model]],表格3[Model-Input-Ref2],表格3[Code])</f>
        <v>SDA</v>
      </c>
      <c r="K2524" s="89" t="s">
        <v>1283</v>
      </c>
      <c r="L2524" s="86">
        <v>1</v>
      </c>
      <c r="M2524" s="87">
        <v>198</v>
      </c>
      <c r="N2524" s="85">
        <f>IFERROR(表格1[[#This Row],[QTY]]*表格1[[#This Row],[Unit Price]],"-")</f>
        <v>198</v>
      </c>
      <c r="O2524" s="86">
        <v>1720158</v>
      </c>
      <c r="R2524" s="86" t="str">
        <f>_xlfn.CONCAT(表格1[[#This Row],[Model]]," ",表格1[[#This Row],[inv no]])</f>
        <v>KT-17SHNH 1720158</v>
      </c>
      <c r="S2524" s="86">
        <f>_xlfn.XLOOKUP(表格1[[#This Row],[Model]],表格3[Model-Input-Ref2],表格3[SRP PRICE])</f>
        <v>299</v>
      </c>
      <c r="T2524" s="43">
        <f>表格1[[#This Row],[Unit Price]]/表格1[[#This Row],[SRP]]</f>
        <v>0.66220735785953178</v>
      </c>
      <c r="U2524" s="86" t="str">
        <f>_xlfn.XLOOKUP(表格1[[#This Row],[Model]],表格3[Model-Input-Ref2],表格3[TOSHIBA/HIGHEST])</f>
        <v>Shops Highest Price</v>
      </c>
      <c r="W2524" s="86" t="str">
        <f>_xlfn.CONCAT(表格1[[#This Row],[欄4]],表格1[[#This Row],[inv no]])</f>
        <v>1720158</v>
      </c>
    </row>
    <row r="2525" spans="1:23" hidden="1">
      <c r="A2525" s="81">
        <v>2523</v>
      </c>
      <c r="B2525" s="86" t="s">
        <v>1477</v>
      </c>
      <c r="C2525" s="86" t="s">
        <v>1860</v>
      </c>
      <c r="D2525" s="82" t="str">
        <f ca="1">OFFSET(Roster!$A$3,MATCH(表格1[[#This Row],[Location]]&amp;" "&amp;表格1[[#This Row],[Shop]]&amp;"*",Roster!$A$4:$A$72,0),DAY(表格1[[#This Row],[date]]),1,1)</f>
        <v>Kiko</v>
      </c>
      <c r="E2525" s="86">
        <f>MONTH(表格1[[#This Row],[date]])</f>
        <v>3</v>
      </c>
      <c r="F2525" s="90">
        <v>46092</v>
      </c>
      <c r="G2525" s="86" t="str">
        <f>VLOOKUP("*"&amp;表格1[[#This Row],[Input]]&amp;"*",'Ref-List'!$B:$D,2,)</f>
        <v>MX2-STR25SC(WH)</v>
      </c>
      <c r="H2525" s="86" t="str">
        <f>_xlfn.XLOOKUP(表格1[[#This Row],[Model]],表格3[Model-Input-Ref2],表格3[Product Line])</f>
        <v>4合1氣炸微波蒸焗爐(25公升)</v>
      </c>
      <c r="I2525" s="86" t="str">
        <f>_xlfn.XLOOKUP(表格1[[#This Row],[Model]],表格3[Model-Input-Ref2],表格3[大小電])</f>
        <v>細電</v>
      </c>
      <c r="J2525" s="86" t="str">
        <f>_xlfn.XLOOKUP(表格1[[#This Row],[Model]],表格3[Model-Input-Ref2],表格3[Code])</f>
        <v>MCA</v>
      </c>
      <c r="K2525" s="89" t="s">
        <v>1410</v>
      </c>
      <c r="L2525" s="86">
        <v>1</v>
      </c>
      <c r="M2525" s="87">
        <v>3580</v>
      </c>
      <c r="N2525" s="85">
        <f>IFERROR(表格1[[#This Row],[QTY]]*表格1[[#This Row],[Unit Price]],"-")</f>
        <v>3580</v>
      </c>
      <c r="O2525" s="86">
        <v>1720232</v>
      </c>
      <c r="R2525" s="86" t="str">
        <f>_xlfn.CONCAT(表格1[[#This Row],[Model]]," ",表格1[[#This Row],[inv no]])</f>
        <v>MX2-STR25SC(WH) 1720232</v>
      </c>
      <c r="S2525" s="86">
        <f>_xlfn.XLOOKUP(表格1[[#This Row],[Model]],表格3[Model-Input-Ref2],表格3[SRP PRICE])</f>
        <v>4998</v>
      </c>
      <c r="T2525" s="43">
        <f>表格1[[#This Row],[Unit Price]]/表格1[[#This Row],[SRP]]</f>
        <v>0.71628651460584236</v>
      </c>
      <c r="U2525" s="86" t="str">
        <f>_xlfn.XLOOKUP(表格1[[#This Row],[Model]],表格3[Model-Input-Ref2],表格3[TOSHIBA/HIGHEST])</f>
        <v>Toshiba SRP</v>
      </c>
      <c r="W2525" s="86" t="str">
        <f>_xlfn.CONCAT(表格1[[#This Row],[欄4]],表格1[[#This Row],[inv no]])</f>
        <v>1720232</v>
      </c>
    </row>
    <row r="2526" spans="1:23" hidden="1">
      <c r="A2526" s="81">
        <v>2524</v>
      </c>
      <c r="B2526" s="86" t="s">
        <v>1477</v>
      </c>
      <c r="C2526" s="86" t="s">
        <v>1860</v>
      </c>
      <c r="D2526" s="82" t="str">
        <f ca="1">OFFSET(Roster!$A$3,MATCH(表格1[[#This Row],[Location]]&amp;" "&amp;表格1[[#This Row],[Shop]]&amp;"*",Roster!$A$4:$A$72,0),DAY(表格1[[#This Row],[date]]),1,1)</f>
        <v>Kiko</v>
      </c>
      <c r="E2526" s="86">
        <f>MONTH(表格1[[#This Row],[date]])</f>
        <v>3</v>
      </c>
      <c r="F2526" s="90">
        <v>46092</v>
      </c>
      <c r="G2526" s="86" t="str">
        <f>VLOOKUP("*"&amp;表格1[[#This Row],[Input]]&amp;"*",'Ref-List'!$B:$D,2,)</f>
        <v>MX2-TT20SC(WH)</v>
      </c>
      <c r="H2526" s="86" t="str">
        <f>_xlfn.XLOOKUP(表格1[[#This Row],[Model]],表格3[Model-Input-Ref2],表格3[Product Line])</f>
        <v>3合1 微波蒸焗爐 (20公升)</v>
      </c>
      <c r="I2526" s="86" t="str">
        <f>_xlfn.XLOOKUP(表格1[[#This Row],[Model]],表格3[Model-Input-Ref2],表格3[大小電])</f>
        <v>細電</v>
      </c>
      <c r="J2526" s="86" t="str">
        <f>_xlfn.XLOOKUP(表格1[[#This Row],[Model]],表格3[Model-Input-Ref2],表格3[Code])</f>
        <v>MCA</v>
      </c>
      <c r="K2526" s="89" t="s">
        <v>1287</v>
      </c>
      <c r="L2526" s="86">
        <v>1</v>
      </c>
      <c r="M2526" s="87">
        <v>2580</v>
      </c>
      <c r="N2526" s="85">
        <f>IFERROR(表格1[[#This Row],[QTY]]*表格1[[#This Row],[Unit Price]],"-")</f>
        <v>2580</v>
      </c>
      <c r="O2526" s="86">
        <v>1720092</v>
      </c>
      <c r="R2526" s="86" t="str">
        <f>_xlfn.CONCAT(表格1[[#This Row],[Model]]," ",表格1[[#This Row],[inv no]])</f>
        <v>MX2-TT20SC(WH) 1720092</v>
      </c>
      <c r="S2526" s="86">
        <f>_xlfn.XLOOKUP(表格1[[#This Row],[Model]],表格3[Model-Input-Ref2],表格3[SRP PRICE])</f>
        <v>3580</v>
      </c>
      <c r="T2526" s="43">
        <f>表格1[[#This Row],[Unit Price]]/表格1[[#This Row],[SRP]]</f>
        <v>0.72067039106145248</v>
      </c>
      <c r="U2526" s="86" t="str">
        <f>_xlfn.XLOOKUP(表格1[[#This Row],[Model]],表格3[Model-Input-Ref2],表格3[TOSHIBA/HIGHEST])</f>
        <v>Toshiba SRP</v>
      </c>
      <c r="W2526" s="86" t="str">
        <f>_xlfn.CONCAT(表格1[[#This Row],[欄4]],表格1[[#This Row],[inv no]])</f>
        <v>1720092</v>
      </c>
    </row>
    <row r="2527" spans="1:23" hidden="1">
      <c r="A2527" s="81">
        <v>2525</v>
      </c>
      <c r="B2527" s="86" t="s">
        <v>1477</v>
      </c>
      <c r="C2527" s="86" t="s">
        <v>1860</v>
      </c>
      <c r="D2527" s="82" t="str">
        <f ca="1">OFFSET(Roster!$A$3,MATCH(表格1[[#This Row],[Location]]&amp;" "&amp;表格1[[#This Row],[Shop]]&amp;"*",Roster!$A$4:$A$72,0),DAY(表格1[[#This Row],[date]]),1,1)</f>
        <v>Kiko</v>
      </c>
      <c r="E2527" s="86">
        <f>MONTH(表格1[[#This Row],[date]])</f>
        <v>3</v>
      </c>
      <c r="F2527" s="90">
        <v>46095</v>
      </c>
      <c r="G2527" s="86" t="str">
        <f>VLOOKUP("*"&amp;表格1[[#This Row],[Input]]&amp;"*",'Ref-List'!$B:$D,2,)</f>
        <v>GR-RT234WE-PMA(57)</v>
      </c>
      <c r="H2527" s="86" t="str">
        <f>_xlfn.XLOOKUP(表格1[[#This Row],[Model]],表格3[Model-Input-Ref2],表格3[Product Line])</f>
        <v>變頻式環保雙門雪櫃（179L）</v>
      </c>
      <c r="I2527" s="86" t="str">
        <f>_xlfn.XLOOKUP(表格1[[#This Row],[Model]],表格3[Model-Input-Ref2],表格3[大小電])</f>
        <v>大電</v>
      </c>
      <c r="J2527" s="86" t="str">
        <f>_xlfn.XLOOKUP(表格1[[#This Row],[Model]],表格3[Model-Input-Ref2],表格3[Code])</f>
        <v>REF</v>
      </c>
      <c r="K2527" s="89" t="s">
        <v>1423</v>
      </c>
      <c r="L2527" s="86">
        <v>1</v>
      </c>
      <c r="M2527" s="87">
        <v>1980</v>
      </c>
      <c r="N2527" s="85">
        <f>IFERROR(表格1[[#This Row],[QTY]]*表格1[[#This Row],[Unit Price]],"-")</f>
        <v>1980</v>
      </c>
      <c r="O2527" s="86">
        <v>1720443</v>
      </c>
      <c r="R2527" s="86" t="str">
        <f>_xlfn.CONCAT(表格1[[#This Row],[Model]]," ",表格1[[#This Row],[inv no]])</f>
        <v>GR-RT234WE-PMA(57) 1720443</v>
      </c>
      <c r="S2527" s="86">
        <f>_xlfn.XLOOKUP(表格1[[#This Row],[Model]],表格3[Model-Input-Ref2],表格3[SRP PRICE])</f>
        <v>3680</v>
      </c>
      <c r="T2527" s="43">
        <f>表格1[[#This Row],[Unit Price]]/表格1[[#This Row],[SRP]]</f>
        <v>0.53804347826086951</v>
      </c>
      <c r="U2527" s="86" t="str">
        <f>_xlfn.XLOOKUP(表格1[[#This Row],[Model]],表格3[Model-Input-Ref2],表格3[TOSHIBA/HIGHEST])</f>
        <v>Toshiba SRP</v>
      </c>
      <c r="W2527" s="86" t="str">
        <f>_xlfn.CONCAT(表格1[[#This Row],[欄4]],表格1[[#This Row],[inv no]])</f>
        <v>1720443</v>
      </c>
    </row>
    <row r="2528" spans="1:23" hidden="1">
      <c r="A2528" s="81">
        <v>2526</v>
      </c>
      <c r="B2528" s="86" t="s">
        <v>1477</v>
      </c>
      <c r="C2528" s="86" t="s">
        <v>1860</v>
      </c>
      <c r="D2528" s="82" t="str">
        <f ca="1">OFFSET(Roster!$A$3,MATCH(表格1[[#This Row],[Location]]&amp;" "&amp;表格1[[#This Row],[Shop]]&amp;"*",Roster!$A$4:$A$72,0),DAY(表格1[[#This Row],[date]]),1,1)</f>
        <v>Kiko</v>
      </c>
      <c r="E2528" s="86">
        <f>MONTH(表格1[[#This Row],[date]])</f>
        <v>3</v>
      </c>
      <c r="F2528" s="90">
        <v>46095</v>
      </c>
      <c r="G2528" s="86" t="str">
        <f>VLOOKUP("*"&amp;表格1[[#This Row],[Input]]&amp;"*",'Ref-List'!$B:$D,2,)</f>
        <v>GR-RB221WE-PMA(57)</v>
      </c>
      <c r="H2528" s="86" t="str">
        <f>_xlfn.XLOOKUP(表格1[[#This Row],[Model]],表格3[Model-Input-Ref2],表格3[Product Line])</f>
        <v>變頻下置式雙門雪櫃（163L）</v>
      </c>
      <c r="I2528" s="86" t="str">
        <f>_xlfn.XLOOKUP(表格1[[#This Row],[Model]],表格3[Model-Input-Ref2],表格3[大小電])</f>
        <v>大電</v>
      </c>
      <c r="J2528" s="86" t="str">
        <f>_xlfn.XLOOKUP(表格1[[#This Row],[Model]],表格3[Model-Input-Ref2],表格3[Code])</f>
        <v>REF</v>
      </c>
      <c r="K2528" s="89" t="s">
        <v>1386</v>
      </c>
      <c r="L2528" s="86">
        <v>1</v>
      </c>
      <c r="M2528" s="87">
        <v>2180</v>
      </c>
      <c r="N2528" s="85">
        <f>IFERROR(表格1[[#This Row],[QTY]]*表格1[[#This Row],[Unit Price]],"-")</f>
        <v>2180</v>
      </c>
      <c r="O2528" s="86">
        <v>1720357</v>
      </c>
      <c r="R2528" s="86" t="str">
        <f>_xlfn.CONCAT(表格1[[#This Row],[Model]]," ",表格1[[#This Row],[inv no]])</f>
        <v>GR-RB221WE-PMA(57) 1720357</v>
      </c>
      <c r="S2528" s="86">
        <f>_xlfn.XLOOKUP(表格1[[#This Row],[Model]],表格3[Model-Input-Ref2],表格3[SRP PRICE])</f>
        <v>3480</v>
      </c>
      <c r="T2528" s="43">
        <f>表格1[[#This Row],[Unit Price]]/表格1[[#This Row],[SRP]]</f>
        <v>0.62643678160919536</v>
      </c>
      <c r="U2528" s="86" t="str">
        <f>_xlfn.XLOOKUP(表格1[[#This Row],[Model]],表格3[Model-Input-Ref2],表格3[TOSHIBA/HIGHEST])</f>
        <v>Toshiba SRP</v>
      </c>
      <c r="W2528" s="86" t="str">
        <f>_xlfn.CONCAT(表格1[[#This Row],[欄4]],表格1[[#This Row],[inv no]])</f>
        <v>1720357</v>
      </c>
    </row>
    <row r="2529" spans="1:23" hidden="1">
      <c r="A2529" s="81">
        <v>2527</v>
      </c>
      <c r="B2529" s="86" t="s">
        <v>1477</v>
      </c>
      <c r="C2529" s="86" t="s">
        <v>1860</v>
      </c>
      <c r="D2529" s="82" t="str">
        <f ca="1">OFFSET(Roster!$A$3,MATCH(表格1[[#This Row],[Location]]&amp;" "&amp;表格1[[#This Row],[Shop]]&amp;"*",Roster!$A$4:$A$72,0),DAY(表格1[[#This Row],[date]]),1,1)</f>
        <v>Kiko</v>
      </c>
      <c r="E2529" s="86">
        <f>MONTH(表格1[[#This Row],[date]])</f>
        <v>3</v>
      </c>
      <c r="F2529" s="90">
        <v>46095</v>
      </c>
      <c r="G2529" s="86" t="str">
        <f>VLOOKUP("*"&amp;表格1[[#This Row],[Input]]&amp;"*",'Ref-List'!$B:$D,2,)</f>
        <v>AW-Q800APH(WW)</v>
      </c>
      <c r="H2529" s="86" t="str">
        <f>_xlfn.XLOOKUP(表格1[[#This Row],[Model]],表格3[Model-Input-Ref2],表格3[Product Line])</f>
        <v>日式洗衣機 (7公斤 結合高低水位)</v>
      </c>
      <c r="I2529" s="86" t="str">
        <f>_xlfn.XLOOKUP(表格1[[#This Row],[Model]],表格3[Model-Input-Ref2],表格3[大小電])</f>
        <v>大電</v>
      </c>
      <c r="J2529" s="86" t="str">
        <f>_xlfn.XLOOKUP(表格1[[#This Row],[Model]],表格3[Model-Input-Ref2],表格3[Code])</f>
        <v>LAD</v>
      </c>
      <c r="K2529" s="89" t="s">
        <v>1479</v>
      </c>
      <c r="L2529" s="86">
        <v>1</v>
      </c>
      <c r="M2529" s="87">
        <v>2080</v>
      </c>
      <c r="N2529" s="85">
        <f>IFERROR(表格1[[#This Row],[QTY]]*表格1[[#This Row],[Unit Price]],"-")</f>
        <v>2080</v>
      </c>
      <c r="O2529" s="86">
        <v>1720677</v>
      </c>
      <c r="R2529" s="86" t="str">
        <f>_xlfn.CONCAT(表格1[[#This Row],[Model]]," ",表格1[[#This Row],[inv no]])</f>
        <v>AW-Q800APH(WW) 1720677</v>
      </c>
      <c r="S2529" s="86">
        <f>_xlfn.XLOOKUP(表格1[[#This Row],[Model]],表格3[Model-Input-Ref2],表格3[SRP PRICE])</f>
        <v>3580</v>
      </c>
      <c r="T2529" s="43">
        <f>表格1[[#This Row],[Unit Price]]/表格1[[#This Row],[SRP]]</f>
        <v>0.58100558659217882</v>
      </c>
      <c r="U2529" s="86" t="str">
        <f>_xlfn.XLOOKUP(表格1[[#This Row],[Model]],表格3[Model-Input-Ref2],表格3[TOSHIBA/HIGHEST])</f>
        <v>Toshiba SRP</v>
      </c>
      <c r="W2529" s="86" t="str">
        <f>_xlfn.CONCAT(表格1[[#This Row],[欄4]],表格1[[#This Row],[inv no]])</f>
        <v>1720677</v>
      </c>
    </row>
    <row r="2530" spans="1:23" hidden="1">
      <c r="A2530" s="81">
        <v>2528</v>
      </c>
      <c r="B2530" s="86" t="s">
        <v>1477</v>
      </c>
      <c r="C2530" s="86" t="s">
        <v>1860</v>
      </c>
      <c r="D2530" s="82" t="str">
        <f ca="1">OFFSET(Roster!$A$3,MATCH(表格1[[#This Row],[Location]]&amp;" "&amp;表格1[[#This Row],[Shop]]&amp;"*",Roster!$A$4:$A$72,0),DAY(表格1[[#This Row],[date]]),1,1)</f>
        <v>Kiko</v>
      </c>
      <c r="E2530" s="86">
        <f>MONTH(表格1[[#This Row],[date]])</f>
        <v>3</v>
      </c>
      <c r="F2530" s="90">
        <v>46095</v>
      </c>
      <c r="G2530" s="86" t="str">
        <f>VLOOKUP("*"&amp;表格1[[#This Row],[Input]]&amp;"*",'Ref-List'!$B:$D,2,)</f>
        <v>IC-S19RH</v>
      </c>
      <c r="H2530" s="86" t="str">
        <f>_xlfn.XLOOKUP(表格1[[#This Row],[Model]],表格3[Model-Input-Ref2],表格3[Product Line])</f>
        <v>輕便式電磁爐7個功能</v>
      </c>
      <c r="I2530" s="86" t="str">
        <f>_xlfn.XLOOKUP(表格1[[#This Row],[Model]],表格3[Model-Input-Ref2],表格3[大小電])</f>
        <v>細電</v>
      </c>
      <c r="J2530" s="86" t="str">
        <f>_xlfn.XLOOKUP(表格1[[#This Row],[Model]],表格3[Model-Input-Ref2],表格3[Code])</f>
        <v>SDA</v>
      </c>
      <c r="K2530" s="89" t="s">
        <v>1289</v>
      </c>
      <c r="L2530" s="86">
        <v>1</v>
      </c>
      <c r="M2530" s="87">
        <v>418</v>
      </c>
      <c r="N2530" s="85">
        <f>IFERROR(表格1[[#This Row],[QTY]]*表格1[[#This Row],[Unit Price]],"-")</f>
        <v>418</v>
      </c>
      <c r="O2530" s="86">
        <v>1720295</v>
      </c>
      <c r="R2530" s="86" t="str">
        <f>_xlfn.CONCAT(表格1[[#This Row],[Model]]," ",表格1[[#This Row],[inv no]])</f>
        <v>IC-S19RH 1720295</v>
      </c>
      <c r="S2530" s="86">
        <f>_xlfn.XLOOKUP(表格1[[#This Row],[Model]],表格3[Model-Input-Ref2],表格3[SRP PRICE])</f>
        <v>638</v>
      </c>
      <c r="T2530" s="43">
        <f>表格1[[#This Row],[Unit Price]]/表格1[[#This Row],[SRP]]</f>
        <v>0.65517241379310343</v>
      </c>
      <c r="U2530" s="86" t="str">
        <f>_xlfn.XLOOKUP(表格1[[#This Row],[Model]],表格3[Model-Input-Ref2],表格3[TOSHIBA/HIGHEST])</f>
        <v>Toshiba SRP</v>
      </c>
      <c r="W2530" s="86" t="str">
        <f>_xlfn.CONCAT(表格1[[#This Row],[欄4]],表格1[[#This Row],[inv no]])</f>
        <v>1720295</v>
      </c>
    </row>
    <row r="2531" spans="1:23" hidden="1">
      <c r="A2531" s="81">
        <v>2529</v>
      </c>
      <c r="B2531" s="86" t="s">
        <v>1477</v>
      </c>
      <c r="C2531" s="86" t="s">
        <v>1860</v>
      </c>
      <c r="D2531" s="82" t="str">
        <f ca="1">OFFSET(Roster!$A$3,MATCH(表格1[[#This Row],[Location]]&amp;" "&amp;表格1[[#This Row],[Shop]]&amp;"*",Roster!$A$4:$A$72,0),DAY(表格1[[#This Row],[date]]),1,1)</f>
        <v>Kiko</v>
      </c>
      <c r="E2531" s="86">
        <f>MONTH(表格1[[#This Row],[date]])</f>
        <v>3</v>
      </c>
      <c r="F2531" s="90">
        <v>46095</v>
      </c>
      <c r="G2531" s="86" t="str">
        <f>VLOOKUP("*"&amp;表格1[[#This Row],[Input]]&amp;"*",'Ref-List'!$B:$D,2,)</f>
        <v>MX2-STR25SC(WH)</v>
      </c>
      <c r="H2531" s="86" t="str">
        <f>_xlfn.XLOOKUP(表格1[[#This Row],[Model]],表格3[Model-Input-Ref2],表格3[Product Line])</f>
        <v>4合1氣炸微波蒸焗爐(25公升)</v>
      </c>
      <c r="I2531" s="86" t="str">
        <f>_xlfn.XLOOKUP(表格1[[#This Row],[Model]],表格3[Model-Input-Ref2],表格3[大小電])</f>
        <v>細電</v>
      </c>
      <c r="J2531" s="86" t="str">
        <f>_xlfn.XLOOKUP(表格1[[#This Row],[Model]],表格3[Model-Input-Ref2],表格3[Code])</f>
        <v>MCA</v>
      </c>
      <c r="K2531" s="89" t="s">
        <v>1410</v>
      </c>
      <c r="L2531" s="86">
        <v>1</v>
      </c>
      <c r="M2531" s="87">
        <v>3580</v>
      </c>
      <c r="N2531" s="85">
        <f>IFERROR(表格1[[#This Row],[QTY]]*表格1[[#This Row],[Unit Price]],"-")</f>
        <v>3580</v>
      </c>
      <c r="O2531" s="86">
        <v>1720378</v>
      </c>
      <c r="R2531" s="86" t="str">
        <f>_xlfn.CONCAT(表格1[[#This Row],[Model]]," ",表格1[[#This Row],[inv no]])</f>
        <v>MX2-STR25SC(WH) 1720378</v>
      </c>
      <c r="S2531" s="86">
        <f>_xlfn.XLOOKUP(表格1[[#This Row],[Model]],表格3[Model-Input-Ref2],表格3[SRP PRICE])</f>
        <v>4998</v>
      </c>
      <c r="T2531" s="43">
        <f>表格1[[#This Row],[Unit Price]]/表格1[[#This Row],[SRP]]</f>
        <v>0.71628651460584236</v>
      </c>
      <c r="U2531" s="86" t="str">
        <f>_xlfn.XLOOKUP(表格1[[#This Row],[Model]],表格3[Model-Input-Ref2],表格3[TOSHIBA/HIGHEST])</f>
        <v>Toshiba SRP</v>
      </c>
      <c r="W2531" s="86" t="str">
        <f>_xlfn.CONCAT(表格1[[#This Row],[欄4]],表格1[[#This Row],[inv no]])</f>
        <v>1720378</v>
      </c>
    </row>
    <row r="2532" spans="1:23" hidden="1">
      <c r="A2532" s="81">
        <v>2530</v>
      </c>
      <c r="B2532" s="86" t="s">
        <v>1477</v>
      </c>
      <c r="C2532" s="86" t="s">
        <v>1860</v>
      </c>
      <c r="D2532" s="82" t="str">
        <f ca="1">OFFSET(Roster!$A$3,MATCH(表格1[[#This Row],[Location]]&amp;" "&amp;表格1[[#This Row],[Shop]]&amp;"*",Roster!$A$4:$A$72,0),DAY(表格1[[#This Row],[date]]),1,1)</f>
        <v>Kiko</v>
      </c>
      <c r="E2532" s="86">
        <f>MONTH(表格1[[#This Row],[date]])</f>
        <v>3</v>
      </c>
      <c r="F2532" s="90">
        <v>46095</v>
      </c>
      <c r="G2532" s="86" t="str">
        <f>VLOOKUP("*"&amp;表格1[[#This Row],[Input]]&amp;"*",'Ref-List'!$B:$D,2,)</f>
        <v>CFK01W80</v>
      </c>
      <c r="H2532" s="86" t="str">
        <f>_xlfn.XLOOKUP(表格1[[#This Row],[Model]],表格3[Model-Input-Ref2],表格3[Product Line])</f>
        <v>變頻頂揭式洗衣機 (8公斤)</v>
      </c>
      <c r="I2532" s="86" t="str">
        <f>_xlfn.XLOOKUP(表格1[[#This Row],[Model]],表格3[Model-Input-Ref2],表格3[大小電])</f>
        <v>大電</v>
      </c>
      <c r="J2532" s="86" t="str">
        <f>_xlfn.XLOOKUP(表格1[[#This Row],[Model]],表格3[Model-Input-Ref2],表格3[Code])</f>
        <v>LAD</v>
      </c>
      <c r="K2532" s="89" t="s">
        <v>1483</v>
      </c>
      <c r="L2532" s="86">
        <v>1</v>
      </c>
      <c r="M2532" s="87">
        <v>3690</v>
      </c>
      <c r="N2532" s="85">
        <f>IFERROR(表格1[[#This Row],[QTY]]*表格1[[#This Row],[Unit Price]],"-")</f>
        <v>3690</v>
      </c>
      <c r="O2532" s="86">
        <v>1720593</v>
      </c>
      <c r="R2532" s="86" t="str">
        <f>_xlfn.CONCAT(表格1[[#This Row],[Model]]," ",表格1[[#This Row],[inv no]])</f>
        <v>CFK01W80 1720593</v>
      </c>
      <c r="S2532" s="86">
        <f>_xlfn.XLOOKUP(表格1[[#This Row],[Model]],表格3[Model-Input-Ref2],表格3[SRP PRICE])</f>
        <v>3690</v>
      </c>
      <c r="T2532" s="43">
        <f>表格1[[#This Row],[Unit Price]]/表格1[[#This Row],[SRP]]</f>
        <v>1</v>
      </c>
      <c r="U2532" s="86" t="str">
        <f>_xlfn.XLOOKUP(表格1[[#This Row],[Model]],表格3[Model-Input-Ref2],表格3[TOSHIBA/HIGHEST])</f>
        <v>Shops Highest Price</v>
      </c>
      <c r="W2532" s="86" t="str">
        <f>_xlfn.CONCAT(表格1[[#This Row],[欄4]],表格1[[#This Row],[inv no]])</f>
        <v>1720593</v>
      </c>
    </row>
    <row r="2533" spans="1:23" hidden="1">
      <c r="A2533" s="81">
        <v>2531</v>
      </c>
      <c r="B2533" s="86" t="s">
        <v>1477</v>
      </c>
      <c r="C2533" s="86" t="s">
        <v>1860</v>
      </c>
      <c r="D2533" s="82" t="str">
        <f ca="1">OFFSET(Roster!$A$3,MATCH(表格1[[#This Row],[Location]]&amp;" "&amp;表格1[[#This Row],[Shop]]&amp;"*",Roster!$A$4:$A$72,0),DAY(表格1[[#This Row],[date]]),1,1)</f>
        <v>Kiko</v>
      </c>
      <c r="E2533" s="86">
        <f>MONTH(表格1[[#This Row],[date]])</f>
        <v>3</v>
      </c>
      <c r="F2533" s="90">
        <v>46095</v>
      </c>
      <c r="G2533" s="86" t="str">
        <f>VLOOKUP("*"&amp;表格1[[#This Row],[Input]]&amp;"*",'Ref-List'!$B:$D,2,)</f>
        <v>TP-50DRUHK(W)</v>
      </c>
      <c r="H2533" s="86" t="str">
        <f>_xlfn.XLOOKUP(表格1[[#This Row],[Model]],表格3[Model-Input-Ref2],表格3[Product Line])</f>
        <v>電熱水瓶 (5公升)</v>
      </c>
      <c r="I2533" s="86" t="str">
        <f>_xlfn.XLOOKUP(表格1[[#This Row],[Model]],表格3[Model-Input-Ref2],表格3[大小電])</f>
        <v>細電</v>
      </c>
      <c r="J2533" s="86" t="str">
        <f>_xlfn.XLOOKUP(表格1[[#This Row],[Model]],表格3[Model-Input-Ref2],表格3[Code])</f>
        <v>SDA</v>
      </c>
      <c r="K2533" s="89" t="s">
        <v>1277</v>
      </c>
      <c r="L2533" s="86">
        <v>1</v>
      </c>
      <c r="M2533" s="87">
        <v>598</v>
      </c>
      <c r="N2533" s="85">
        <f>IFERROR(表格1[[#This Row],[QTY]]*表格1[[#This Row],[Unit Price]],"-")</f>
        <v>598</v>
      </c>
      <c r="O2533" s="86">
        <v>1326305</v>
      </c>
      <c r="R2533" s="86" t="str">
        <f>_xlfn.CONCAT(表格1[[#This Row],[Model]]," ",表格1[[#This Row],[inv no]])</f>
        <v>TP-50DRUHK(W) 1326305</v>
      </c>
      <c r="S2533" s="86">
        <f>_xlfn.XLOOKUP(表格1[[#This Row],[Model]],表格3[Model-Input-Ref2],表格3[SRP PRICE])</f>
        <v>718</v>
      </c>
      <c r="T2533" s="43">
        <f>表格1[[#This Row],[Unit Price]]/表格1[[#This Row],[SRP]]</f>
        <v>0.83286908077994426</v>
      </c>
      <c r="U2533" s="86" t="str">
        <f>_xlfn.XLOOKUP(表格1[[#This Row],[Model]],表格3[Model-Input-Ref2],表格3[TOSHIBA/HIGHEST])</f>
        <v>Toshiba SRP</v>
      </c>
      <c r="W2533" s="86" t="str">
        <f>_xlfn.CONCAT(表格1[[#This Row],[欄4]],表格1[[#This Row],[inv no]])</f>
        <v>1326305</v>
      </c>
    </row>
    <row r="2534" spans="1:23" hidden="1">
      <c r="A2534" s="81">
        <v>2532</v>
      </c>
      <c r="B2534" s="86" t="s">
        <v>1477</v>
      </c>
      <c r="C2534" s="86" t="s">
        <v>1860</v>
      </c>
      <c r="D2534" s="82" t="str">
        <f ca="1">OFFSET(Roster!$A$3,MATCH(表格1[[#This Row],[Location]]&amp;" "&amp;表格1[[#This Row],[Shop]]&amp;"*",Roster!$A$4:$A$72,0),DAY(表格1[[#This Row],[date]]),1,1)</f>
        <v>Kiko</v>
      </c>
      <c r="E2534" s="86">
        <f>MONTH(表格1[[#This Row],[date]])</f>
        <v>3</v>
      </c>
      <c r="F2534" s="90">
        <v>46095</v>
      </c>
      <c r="G2534" s="86" t="str">
        <f>VLOOKUP("*"&amp;表格1[[#This Row],[Input]]&amp;"*",'Ref-List'!$B:$D,2,)</f>
        <v>RC-10DRNH</v>
      </c>
      <c r="H2534" s="86" t="str">
        <f>_xlfn.XLOOKUP(表格1[[#This Row],[Model]],表格3[Model-Input-Ref2],表格3[Product Line])</f>
        <v>多功能備長炭本厚釜電飯煲1L</v>
      </c>
      <c r="I2534" s="86" t="str">
        <f>_xlfn.XLOOKUP(表格1[[#This Row],[Model]],表格3[Model-Input-Ref2],表格3[大小電])</f>
        <v>細電</v>
      </c>
      <c r="J2534" s="86" t="str">
        <f>_xlfn.XLOOKUP(表格1[[#This Row],[Model]],表格3[Model-Input-Ref2],表格3[Code])</f>
        <v>SDA</v>
      </c>
      <c r="K2534" s="89" t="s">
        <v>1376</v>
      </c>
      <c r="L2534" s="86">
        <v>1</v>
      </c>
      <c r="M2534" s="87">
        <v>499</v>
      </c>
      <c r="N2534" s="85">
        <f>IFERROR(表格1[[#This Row],[QTY]]*表格1[[#This Row],[Unit Price]],"-")</f>
        <v>499</v>
      </c>
      <c r="O2534" s="86">
        <v>1720718</v>
      </c>
      <c r="R2534" s="86" t="str">
        <f>_xlfn.CONCAT(表格1[[#This Row],[Model]]," ",表格1[[#This Row],[inv no]])</f>
        <v>RC-10DRNH 1720718</v>
      </c>
      <c r="S2534" s="86">
        <f>_xlfn.XLOOKUP(表格1[[#This Row],[Model]],表格3[Model-Input-Ref2],表格3[SRP PRICE])</f>
        <v>798</v>
      </c>
      <c r="T2534" s="43">
        <f>表格1[[#This Row],[Unit Price]]/表格1[[#This Row],[SRP]]</f>
        <v>0.62531328320802004</v>
      </c>
      <c r="U2534" s="86" t="str">
        <f>_xlfn.XLOOKUP(表格1[[#This Row],[Model]],表格3[Model-Input-Ref2],表格3[TOSHIBA/HIGHEST])</f>
        <v>Toshiba SRP</v>
      </c>
      <c r="W2534" s="86" t="str">
        <f>_xlfn.CONCAT(表格1[[#This Row],[欄4]],表格1[[#This Row],[inv no]])</f>
        <v>1720718</v>
      </c>
    </row>
    <row r="2535" spans="1:23" hidden="1">
      <c r="A2535" s="81">
        <v>2533</v>
      </c>
      <c r="B2535" s="86" t="s">
        <v>1477</v>
      </c>
      <c r="C2535" s="86" t="s">
        <v>1860</v>
      </c>
      <c r="D2535" s="82" t="str">
        <f ca="1">OFFSET(Roster!$A$3,MATCH(表格1[[#This Row],[Location]]&amp;" "&amp;表格1[[#This Row],[Shop]]&amp;"*",Roster!$A$4:$A$72,0),DAY(表格1[[#This Row],[date]]),1,1)</f>
        <v>Kiko</v>
      </c>
      <c r="E2535" s="86">
        <f>MONTH(表格1[[#This Row],[date]])</f>
        <v>3</v>
      </c>
      <c r="F2535" s="90">
        <v>46095</v>
      </c>
      <c r="G2535" s="86" t="str">
        <f>VLOOKUP("*"&amp;表格1[[#This Row],[Input]]&amp;"*",'Ref-List'!$B:$D,2,)</f>
        <v>MX2-TT20SC(WH)</v>
      </c>
      <c r="H2535" s="86" t="str">
        <f>_xlfn.XLOOKUP(表格1[[#This Row],[Model]],表格3[Model-Input-Ref2],表格3[Product Line])</f>
        <v>3合1 微波蒸焗爐 (20公升)</v>
      </c>
      <c r="I2535" s="86" t="str">
        <f>_xlfn.XLOOKUP(表格1[[#This Row],[Model]],表格3[Model-Input-Ref2],表格3[大小電])</f>
        <v>細電</v>
      </c>
      <c r="J2535" s="86" t="str">
        <f>_xlfn.XLOOKUP(表格1[[#This Row],[Model]],表格3[Model-Input-Ref2],表格3[Code])</f>
        <v>MCA</v>
      </c>
      <c r="K2535" s="89" t="s">
        <v>1287</v>
      </c>
      <c r="L2535" s="86">
        <v>1</v>
      </c>
      <c r="M2535" s="87">
        <v>2580</v>
      </c>
      <c r="N2535" s="85">
        <f>IFERROR(表格1[[#This Row],[QTY]]*表格1[[#This Row],[Unit Price]],"-")</f>
        <v>2580</v>
      </c>
      <c r="O2535" s="86">
        <v>1720664</v>
      </c>
      <c r="R2535" s="86" t="str">
        <f>_xlfn.CONCAT(表格1[[#This Row],[Model]]," ",表格1[[#This Row],[inv no]])</f>
        <v>MX2-TT20SC(WH) 1720664</v>
      </c>
      <c r="S2535" s="86">
        <f>_xlfn.XLOOKUP(表格1[[#This Row],[Model]],表格3[Model-Input-Ref2],表格3[SRP PRICE])</f>
        <v>3580</v>
      </c>
      <c r="T2535" s="43">
        <f>表格1[[#This Row],[Unit Price]]/表格1[[#This Row],[SRP]]</f>
        <v>0.72067039106145248</v>
      </c>
      <c r="U2535" s="86" t="str">
        <f>_xlfn.XLOOKUP(表格1[[#This Row],[Model]],表格3[Model-Input-Ref2],表格3[TOSHIBA/HIGHEST])</f>
        <v>Toshiba SRP</v>
      </c>
      <c r="W2535" s="86" t="str">
        <f>_xlfn.CONCAT(表格1[[#This Row],[欄4]],表格1[[#This Row],[inv no]])</f>
        <v>1720664</v>
      </c>
    </row>
    <row r="2536" spans="1:23" hidden="1">
      <c r="A2536" s="81">
        <v>2534</v>
      </c>
      <c r="B2536" s="86" t="s">
        <v>1477</v>
      </c>
      <c r="C2536" s="86" t="s">
        <v>1860</v>
      </c>
      <c r="D2536" s="82" t="str">
        <f ca="1">OFFSET(Roster!$A$3,MATCH(表格1[[#This Row],[Location]]&amp;" "&amp;表格1[[#This Row],[Shop]]&amp;"*",Roster!$A$4:$A$72,0),DAY(表格1[[#This Row],[date]]),1,1)</f>
        <v>Kiko</v>
      </c>
      <c r="E2536" s="86">
        <f>MONTH(表格1[[#This Row],[date]])</f>
        <v>3</v>
      </c>
      <c r="F2536" s="90">
        <v>46095</v>
      </c>
      <c r="G2536" s="86" t="str">
        <f>VLOOKUP("*"&amp;表格1[[#This Row],[Input]]&amp;"*",'Ref-List'!$B:$D,2,)</f>
        <v>MX2-TT20SC(WH)</v>
      </c>
      <c r="H2536" s="86" t="str">
        <f>_xlfn.XLOOKUP(表格1[[#This Row],[Model]],表格3[Model-Input-Ref2],表格3[Product Line])</f>
        <v>3合1 微波蒸焗爐 (20公升)</v>
      </c>
      <c r="I2536" s="86" t="str">
        <f>_xlfn.XLOOKUP(表格1[[#This Row],[Model]],表格3[Model-Input-Ref2],表格3[大小電])</f>
        <v>細電</v>
      </c>
      <c r="J2536" s="86" t="str">
        <f>_xlfn.XLOOKUP(表格1[[#This Row],[Model]],表格3[Model-Input-Ref2],表格3[Code])</f>
        <v>MCA</v>
      </c>
      <c r="K2536" s="89" t="s">
        <v>1287</v>
      </c>
      <c r="L2536" s="86">
        <v>1</v>
      </c>
      <c r="M2536" s="87">
        <v>2580</v>
      </c>
      <c r="N2536" s="85">
        <f>IFERROR(表格1[[#This Row],[QTY]]*表格1[[#This Row],[Unit Price]],"-")</f>
        <v>2580</v>
      </c>
      <c r="O2536" s="86">
        <v>1720675</v>
      </c>
      <c r="R2536" s="86" t="str">
        <f>_xlfn.CONCAT(表格1[[#This Row],[Model]]," ",表格1[[#This Row],[inv no]])</f>
        <v>MX2-TT20SC(WH) 1720675</v>
      </c>
      <c r="S2536" s="86">
        <f>_xlfn.XLOOKUP(表格1[[#This Row],[Model]],表格3[Model-Input-Ref2],表格3[SRP PRICE])</f>
        <v>3580</v>
      </c>
      <c r="T2536" s="43">
        <f>表格1[[#This Row],[Unit Price]]/表格1[[#This Row],[SRP]]</f>
        <v>0.72067039106145248</v>
      </c>
      <c r="U2536" s="86" t="str">
        <f>_xlfn.XLOOKUP(表格1[[#This Row],[Model]],表格3[Model-Input-Ref2],表格3[TOSHIBA/HIGHEST])</f>
        <v>Toshiba SRP</v>
      </c>
      <c r="W2536" s="86" t="str">
        <f>_xlfn.CONCAT(表格1[[#This Row],[欄4]],表格1[[#This Row],[inv no]])</f>
        <v>1720675</v>
      </c>
    </row>
    <row r="2537" spans="1:23" hidden="1">
      <c r="A2537" s="81">
        <v>2535</v>
      </c>
      <c r="B2537" s="86" t="s">
        <v>1477</v>
      </c>
      <c r="C2537" s="86" t="s">
        <v>1860</v>
      </c>
      <c r="D2537" s="82" t="str">
        <f ca="1">OFFSET(Roster!$A$3,MATCH(表格1[[#This Row],[Location]]&amp;" "&amp;表格1[[#This Row],[Shop]]&amp;"*",Roster!$A$4:$A$72,0),DAY(表格1[[#This Row],[date]]),1,1)</f>
        <v>Kiko</v>
      </c>
      <c r="E2537" s="86">
        <f>MONTH(表格1[[#This Row],[date]])</f>
        <v>3</v>
      </c>
      <c r="F2537" s="90">
        <v>46095</v>
      </c>
      <c r="G2537" s="86" t="str">
        <f>VLOOKUP("*"&amp;表格1[[#This Row],[Input]]&amp;"*",'Ref-List'!$B:$D,2,)</f>
        <v>MX2-STR25SC(WH)</v>
      </c>
      <c r="H2537" s="86" t="str">
        <f>_xlfn.XLOOKUP(表格1[[#This Row],[Model]],表格3[Model-Input-Ref2],表格3[Product Line])</f>
        <v>4合1氣炸微波蒸焗爐(25公升)</v>
      </c>
      <c r="I2537" s="86" t="str">
        <f>_xlfn.XLOOKUP(表格1[[#This Row],[Model]],表格3[Model-Input-Ref2],表格3[大小電])</f>
        <v>細電</v>
      </c>
      <c r="J2537" s="86" t="str">
        <f>_xlfn.XLOOKUP(表格1[[#This Row],[Model]],表格3[Model-Input-Ref2],表格3[Code])</f>
        <v>MCA</v>
      </c>
      <c r="K2537" s="89" t="s">
        <v>1410</v>
      </c>
      <c r="L2537" s="86">
        <v>1</v>
      </c>
      <c r="M2537" s="87">
        <v>3580</v>
      </c>
      <c r="N2537" s="85">
        <f>IFERROR(表格1[[#This Row],[QTY]]*表格1[[#This Row],[Unit Price]],"-")</f>
        <v>3580</v>
      </c>
      <c r="O2537" s="86">
        <v>1720710</v>
      </c>
      <c r="R2537" s="86" t="str">
        <f>_xlfn.CONCAT(表格1[[#This Row],[Model]]," ",表格1[[#This Row],[inv no]])</f>
        <v>MX2-STR25SC(WH) 1720710</v>
      </c>
      <c r="S2537" s="86">
        <f>_xlfn.XLOOKUP(表格1[[#This Row],[Model]],表格3[Model-Input-Ref2],表格3[SRP PRICE])</f>
        <v>4998</v>
      </c>
      <c r="T2537" s="43">
        <f>表格1[[#This Row],[Unit Price]]/表格1[[#This Row],[SRP]]</f>
        <v>0.71628651460584236</v>
      </c>
      <c r="U2537" s="86" t="str">
        <f>_xlfn.XLOOKUP(表格1[[#This Row],[Model]],表格3[Model-Input-Ref2],表格3[TOSHIBA/HIGHEST])</f>
        <v>Toshiba SRP</v>
      </c>
      <c r="W2537" s="86" t="str">
        <f>_xlfn.CONCAT(表格1[[#This Row],[欄4]],表格1[[#This Row],[inv no]])</f>
        <v>1720710</v>
      </c>
    </row>
    <row r="2538" spans="1:23" hidden="1">
      <c r="A2538" s="81">
        <v>2536</v>
      </c>
      <c r="B2538" s="86" t="s">
        <v>1477</v>
      </c>
      <c r="C2538" s="86" t="s">
        <v>1860</v>
      </c>
      <c r="D2538" s="82" t="str">
        <f ca="1">OFFSET(Roster!$A$3,MATCH(表格1[[#This Row],[Location]]&amp;" "&amp;表格1[[#This Row],[Shop]]&amp;"*",Roster!$A$4:$A$72,0),DAY(表格1[[#This Row],[date]]),1,1)</f>
        <v>Kiko</v>
      </c>
      <c r="E2538" s="86">
        <f>MONTH(表格1[[#This Row],[date]])</f>
        <v>3</v>
      </c>
      <c r="F2538" s="90">
        <v>46095</v>
      </c>
      <c r="G2538" s="86" t="str">
        <f>VLOOKUP("*"&amp;表格1[[#This Row],[Input]]&amp;"*",'Ref-List'!$B:$D,2,)</f>
        <v>MX2-STR25SC(WH)</v>
      </c>
      <c r="H2538" s="86" t="str">
        <f>_xlfn.XLOOKUP(表格1[[#This Row],[Model]],表格3[Model-Input-Ref2],表格3[Product Line])</f>
        <v>4合1氣炸微波蒸焗爐(25公升)</v>
      </c>
      <c r="I2538" s="86" t="str">
        <f>_xlfn.XLOOKUP(表格1[[#This Row],[Model]],表格3[Model-Input-Ref2],表格3[大小電])</f>
        <v>細電</v>
      </c>
      <c r="J2538" s="86" t="str">
        <f>_xlfn.XLOOKUP(表格1[[#This Row],[Model]],表格3[Model-Input-Ref2],表格3[Code])</f>
        <v>MCA</v>
      </c>
      <c r="K2538" s="89" t="s">
        <v>1410</v>
      </c>
      <c r="L2538" s="86">
        <v>1</v>
      </c>
      <c r="M2538" s="87">
        <v>3580</v>
      </c>
      <c r="N2538" s="85">
        <f>IFERROR(表格1[[#This Row],[QTY]]*表格1[[#This Row],[Unit Price]],"-")</f>
        <v>3580</v>
      </c>
      <c r="O2538" s="86">
        <v>1326322</v>
      </c>
      <c r="R2538" s="86" t="str">
        <f>_xlfn.CONCAT(表格1[[#This Row],[Model]]," ",表格1[[#This Row],[inv no]])</f>
        <v>MX2-STR25SC(WH) 1326322</v>
      </c>
      <c r="S2538" s="86">
        <f>_xlfn.XLOOKUP(表格1[[#This Row],[Model]],表格3[Model-Input-Ref2],表格3[SRP PRICE])</f>
        <v>4998</v>
      </c>
      <c r="T2538" s="43">
        <f>表格1[[#This Row],[Unit Price]]/表格1[[#This Row],[SRP]]</f>
        <v>0.71628651460584236</v>
      </c>
      <c r="U2538" s="86" t="str">
        <f>_xlfn.XLOOKUP(表格1[[#This Row],[Model]],表格3[Model-Input-Ref2],表格3[TOSHIBA/HIGHEST])</f>
        <v>Toshiba SRP</v>
      </c>
      <c r="W2538" s="86" t="str">
        <f>_xlfn.CONCAT(表格1[[#This Row],[欄4]],表格1[[#This Row],[inv no]])</f>
        <v>1326322</v>
      </c>
    </row>
    <row r="2539" spans="1:23" hidden="1">
      <c r="A2539" s="81">
        <v>2537</v>
      </c>
      <c r="B2539" s="86" t="s">
        <v>1477</v>
      </c>
      <c r="C2539" s="86" t="s">
        <v>1860</v>
      </c>
      <c r="D2539" s="82" t="str">
        <f ca="1">OFFSET(Roster!$A$3,MATCH(表格1[[#This Row],[Location]]&amp;" "&amp;表格1[[#This Row],[Shop]]&amp;"*",Roster!$A$4:$A$72,0),DAY(表格1[[#This Row],[date]]),1,1)</f>
        <v>Kiko</v>
      </c>
      <c r="E2539" s="86">
        <f>MONTH(表格1[[#This Row],[date]])</f>
        <v>3</v>
      </c>
      <c r="F2539" s="90">
        <v>46095</v>
      </c>
      <c r="G2539" s="86" t="str">
        <f>VLOOKUP("*"&amp;表格1[[#This Row],[Input]]&amp;"*",'Ref-List'!$B:$D,2,)</f>
        <v>TP-50DRUHK(W)</v>
      </c>
      <c r="H2539" s="86" t="str">
        <f>_xlfn.XLOOKUP(表格1[[#This Row],[Model]],表格3[Model-Input-Ref2],表格3[Product Line])</f>
        <v>電熱水瓶 (5公升)</v>
      </c>
      <c r="I2539" s="86" t="str">
        <f>_xlfn.XLOOKUP(表格1[[#This Row],[Model]],表格3[Model-Input-Ref2],表格3[大小電])</f>
        <v>細電</v>
      </c>
      <c r="J2539" s="86" t="str">
        <f>_xlfn.XLOOKUP(表格1[[#This Row],[Model]],表格3[Model-Input-Ref2],表格3[Code])</f>
        <v>SDA</v>
      </c>
      <c r="K2539" s="89" t="s">
        <v>1277</v>
      </c>
      <c r="L2539" s="86">
        <v>1</v>
      </c>
      <c r="M2539" s="87">
        <v>598</v>
      </c>
      <c r="N2539" s="85">
        <f>IFERROR(表格1[[#This Row],[QTY]]*表格1[[#This Row],[Unit Price]],"-")</f>
        <v>598</v>
      </c>
      <c r="O2539" s="86">
        <v>1720677</v>
      </c>
      <c r="R2539" s="86" t="str">
        <f>_xlfn.CONCAT(表格1[[#This Row],[Model]]," ",表格1[[#This Row],[inv no]])</f>
        <v>TP-50DRUHK(W) 1720677</v>
      </c>
      <c r="S2539" s="86">
        <f>_xlfn.XLOOKUP(表格1[[#This Row],[Model]],表格3[Model-Input-Ref2],表格3[SRP PRICE])</f>
        <v>718</v>
      </c>
      <c r="T2539" s="43">
        <f>表格1[[#This Row],[Unit Price]]/表格1[[#This Row],[SRP]]</f>
        <v>0.83286908077994426</v>
      </c>
      <c r="U2539" s="86" t="str">
        <f>_xlfn.XLOOKUP(表格1[[#This Row],[Model]],表格3[Model-Input-Ref2],表格3[TOSHIBA/HIGHEST])</f>
        <v>Toshiba SRP</v>
      </c>
      <c r="W2539" s="86" t="str">
        <f>_xlfn.CONCAT(表格1[[#This Row],[欄4]],表格1[[#This Row],[inv no]])</f>
        <v>1720677</v>
      </c>
    </row>
    <row r="2540" spans="1:23" hidden="1">
      <c r="A2540" s="81">
        <v>2538</v>
      </c>
      <c r="B2540" s="86" t="s">
        <v>1477</v>
      </c>
      <c r="C2540" s="86" t="s">
        <v>1860</v>
      </c>
      <c r="D2540" s="82" t="str">
        <f ca="1">OFFSET(Roster!$A$3,MATCH(表格1[[#This Row],[Location]]&amp;" "&amp;表格1[[#This Row],[Shop]]&amp;"*",Roster!$A$4:$A$72,0),DAY(表格1[[#This Row],[date]]),1,1)</f>
        <v>Kiko</v>
      </c>
      <c r="E2540" s="86">
        <f>MONTH(表格1[[#This Row],[date]])</f>
        <v>3</v>
      </c>
      <c r="F2540" s="90">
        <v>46095</v>
      </c>
      <c r="G2540" s="86" t="str">
        <f>VLOOKUP("*"&amp;表格1[[#This Row],[Input]]&amp;"*",'Ref-List'!$B:$D,2,)</f>
        <v>KT-17DRTHK(H)</v>
      </c>
      <c r="H2540" s="86" t="str">
        <f>_xlfn.XLOOKUP(表格1[[#This Row],[Model]],表格3[Model-Input-Ref2],表格3[Product Line])</f>
        <v>無線雙層電熱水壺(1.7公升)</v>
      </c>
      <c r="I2540" s="86" t="str">
        <f>_xlfn.XLOOKUP(表格1[[#This Row],[Model]],表格3[Model-Input-Ref2],表格3[大小電])</f>
        <v>細電</v>
      </c>
      <c r="J2540" s="86" t="str">
        <f>_xlfn.XLOOKUP(表格1[[#This Row],[Model]],表格3[Model-Input-Ref2],表格3[Code])</f>
        <v>SDA</v>
      </c>
      <c r="K2540" s="89" t="s">
        <v>1271</v>
      </c>
      <c r="L2540" s="86">
        <v>1</v>
      </c>
      <c r="M2540" s="87">
        <v>388</v>
      </c>
      <c r="N2540" s="85">
        <f>IFERROR(表格1[[#This Row],[QTY]]*表格1[[#This Row],[Unit Price]],"-")</f>
        <v>388</v>
      </c>
      <c r="O2540" s="86">
        <v>1720688</v>
      </c>
      <c r="R2540" s="86" t="str">
        <f>_xlfn.CONCAT(表格1[[#This Row],[Model]]," ",表格1[[#This Row],[inv no]])</f>
        <v>KT-17DRTHK(H) 1720688</v>
      </c>
      <c r="S2540" s="86">
        <f>_xlfn.XLOOKUP(表格1[[#This Row],[Model]],表格3[Model-Input-Ref2],表格3[SRP PRICE])</f>
        <v>498</v>
      </c>
      <c r="T2540" s="43">
        <f>表格1[[#This Row],[Unit Price]]/表格1[[#This Row],[SRP]]</f>
        <v>0.77911646586345384</v>
      </c>
      <c r="U2540" s="86" t="str">
        <f>_xlfn.XLOOKUP(表格1[[#This Row],[Model]],表格3[Model-Input-Ref2],表格3[TOSHIBA/HIGHEST])</f>
        <v>Toshiba SRP</v>
      </c>
      <c r="W2540" s="86" t="str">
        <f>_xlfn.CONCAT(表格1[[#This Row],[欄4]],表格1[[#This Row],[inv no]])</f>
        <v>1720688</v>
      </c>
    </row>
    <row r="2541" spans="1:23" hidden="1">
      <c r="A2541" s="81">
        <v>2539</v>
      </c>
      <c r="B2541" s="86" t="s">
        <v>1477</v>
      </c>
      <c r="C2541" s="86" t="s">
        <v>1860</v>
      </c>
      <c r="D2541" s="82" t="str">
        <f ca="1">OFFSET(Roster!$A$3,MATCH(表格1[[#This Row],[Location]]&amp;" "&amp;表格1[[#This Row],[Shop]]&amp;"*",Roster!$A$4:$A$72,0),DAY(表格1[[#This Row],[date]]),1,1)</f>
        <v>Kiko</v>
      </c>
      <c r="E2541" s="86">
        <f>MONTH(表格1[[#This Row],[date]])</f>
        <v>3</v>
      </c>
      <c r="F2541" s="90">
        <v>46095</v>
      </c>
      <c r="G2541" s="86" t="str">
        <f>VLOOKUP("*"&amp;表格1[[#This Row],[Input]]&amp;"*",'Ref-List'!$B:$D,2,)</f>
        <v>RC-10AMXH(W)</v>
      </c>
      <c r="H2541" s="86" t="str">
        <f>_xlfn.XLOOKUP(表格1[[#This Row],[Model]],表格3[Model-Input-Ref2],表格3[Product Line])</f>
        <v>酵活炊電飯煲(1.0公升)</v>
      </c>
      <c r="I2541" s="86" t="str">
        <f>_xlfn.XLOOKUP(表格1[[#This Row],[Model]],表格3[Model-Input-Ref2],表格3[大小電])</f>
        <v>細電</v>
      </c>
      <c r="J2541" s="86" t="str">
        <f>_xlfn.XLOOKUP(表格1[[#This Row],[Model]],表格3[Model-Input-Ref2],表格3[Code])</f>
        <v>SDA</v>
      </c>
      <c r="K2541" s="89" t="s">
        <v>1279</v>
      </c>
      <c r="L2541" s="86">
        <v>1</v>
      </c>
      <c r="M2541" s="87">
        <v>990</v>
      </c>
      <c r="N2541" s="85">
        <f>IFERROR(表格1[[#This Row],[QTY]]*表格1[[#This Row],[Unit Price]],"-")</f>
        <v>990</v>
      </c>
      <c r="O2541" s="86">
        <v>1720688</v>
      </c>
      <c r="R2541" s="86" t="str">
        <f>_xlfn.CONCAT(表格1[[#This Row],[Model]]," ",表格1[[#This Row],[inv no]])</f>
        <v>RC-10AMXH(W) 1720688</v>
      </c>
      <c r="S2541" s="86">
        <f>_xlfn.XLOOKUP(表格1[[#This Row],[Model]],表格3[Model-Input-Ref2],表格3[SRP PRICE])</f>
        <v>1288</v>
      </c>
      <c r="T2541" s="43">
        <f>表格1[[#This Row],[Unit Price]]/表格1[[#This Row],[SRP]]</f>
        <v>0.76863354037267084</v>
      </c>
      <c r="U2541" s="86" t="str">
        <f>_xlfn.XLOOKUP(表格1[[#This Row],[Model]],表格3[Model-Input-Ref2],表格3[TOSHIBA/HIGHEST])</f>
        <v>Toshiba SRP</v>
      </c>
      <c r="W2541" s="86" t="str">
        <f>_xlfn.CONCAT(表格1[[#This Row],[欄4]],表格1[[#This Row],[inv no]])</f>
        <v>1720688</v>
      </c>
    </row>
    <row r="2542" spans="1:23" hidden="1">
      <c r="A2542" s="81">
        <v>2540</v>
      </c>
      <c r="B2542" s="86" t="s">
        <v>1477</v>
      </c>
      <c r="C2542" s="86" t="s">
        <v>1860</v>
      </c>
      <c r="D2542" s="82" t="str">
        <f ca="1">OFFSET(Roster!$A$3,MATCH(表格1[[#This Row],[Location]]&amp;" "&amp;表格1[[#This Row],[Shop]]&amp;"*",Roster!$A$4:$A$72,0),DAY(表格1[[#This Row],[date]]),1,1)</f>
        <v>Kiko</v>
      </c>
      <c r="E2542" s="86">
        <f>MONTH(表格1[[#This Row],[date]])</f>
        <v>3</v>
      </c>
      <c r="F2542" s="90">
        <v>46095</v>
      </c>
      <c r="G2542" s="86" t="str">
        <f>VLOOKUP("*"&amp;表格1[[#This Row],[Input]]&amp;"*",'Ref-List'!$B:$D,2,)</f>
        <v>AW-Q800APH(WW)</v>
      </c>
      <c r="H2542" s="86" t="str">
        <f>_xlfn.XLOOKUP(表格1[[#This Row],[Model]],表格3[Model-Input-Ref2],表格3[Product Line])</f>
        <v>日式洗衣機 (7公斤 結合高低水位)</v>
      </c>
      <c r="I2542" s="86" t="str">
        <f>_xlfn.XLOOKUP(表格1[[#This Row],[Model]],表格3[Model-Input-Ref2],表格3[大小電])</f>
        <v>大電</v>
      </c>
      <c r="J2542" s="86" t="str">
        <f>_xlfn.XLOOKUP(表格1[[#This Row],[Model]],表格3[Model-Input-Ref2],表格3[Code])</f>
        <v>LAD</v>
      </c>
      <c r="K2542" s="89" t="s">
        <v>1479</v>
      </c>
      <c r="L2542" s="86">
        <v>1</v>
      </c>
      <c r="M2542" s="87">
        <v>2080</v>
      </c>
      <c r="N2542" s="85">
        <f>IFERROR(表格1[[#This Row],[QTY]]*表格1[[#This Row],[Unit Price]],"-")</f>
        <v>2080</v>
      </c>
      <c r="O2542" s="86">
        <v>1720375</v>
      </c>
      <c r="R2542" s="86" t="str">
        <f>_xlfn.CONCAT(表格1[[#This Row],[Model]]," ",表格1[[#This Row],[inv no]])</f>
        <v>AW-Q800APH(WW) 1720375</v>
      </c>
      <c r="S2542" s="86">
        <f>_xlfn.XLOOKUP(表格1[[#This Row],[Model]],表格3[Model-Input-Ref2],表格3[SRP PRICE])</f>
        <v>3580</v>
      </c>
      <c r="T2542" s="43">
        <f>表格1[[#This Row],[Unit Price]]/表格1[[#This Row],[SRP]]</f>
        <v>0.58100558659217882</v>
      </c>
      <c r="U2542" s="86" t="str">
        <f>_xlfn.XLOOKUP(表格1[[#This Row],[Model]],表格3[Model-Input-Ref2],表格3[TOSHIBA/HIGHEST])</f>
        <v>Toshiba SRP</v>
      </c>
      <c r="W2542" s="86" t="str">
        <f>_xlfn.CONCAT(表格1[[#This Row],[欄4]],表格1[[#This Row],[inv no]])</f>
        <v>1720375</v>
      </c>
    </row>
    <row r="2543" spans="1:23" hidden="1">
      <c r="A2543" s="81">
        <v>2541</v>
      </c>
      <c r="B2543" s="86" t="s">
        <v>1477</v>
      </c>
      <c r="C2543" s="86" t="s">
        <v>1860</v>
      </c>
      <c r="D2543" s="82" t="str">
        <f ca="1">OFFSET(Roster!$A$3,MATCH(表格1[[#This Row],[Location]]&amp;" "&amp;表格1[[#This Row],[Shop]]&amp;"*",Roster!$A$4:$A$72,0),DAY(表格1[[#This Row],[date]]),1,1)</f>
        <v>Kiko</v>
      </c>
      <c r="E2543" s="86">
        <f>MONTH(表格1[[#This Row],[date]])</f>
        <v>3</v>
      </c>
      <c r="F2543" s="90">
        <v>46095</v>
      </c>
      <c r="G2543" s="86" t="str">
        <f>VLOOKUP("*"&amp;表格1[[#This Row],[Input]]&amp;"*",'Ref-List'!$B:$D,2,)</f>
        <v>RC-18NMFIH(WT)</v>
      </c>
      <c r="H2543" s="86" t="str">
        <f>_xlfn.XLOOKUP(表格1[[#This Row],[Model]],表格3[Model-Input-Ref2],表格3[Product Line])</f>
        <v>4毫米厚釜電飯煲1.8L</v>
      </c>
      <c r="I2543" s="86" t="str">
        <f>_xlfn.XLOOKUP(表格1[[#This Row],[Model]],表格3[Model-Input-Ref2],表格3[大小電])</f>
        <v>細電</v>
      </c>
      <c r="J2543" s="86" t="str">
        <f>_xlfn.XLOOKUP(表格1[[#This Row],[Model]],表格3[Model-Input-Ref2],表格3[Code])</f>
        <v>SDA</v>
      </c>
      <c r="K2543" s="89" t="s">
        <v>1267</v>
      </c>
      <c r="L2543" s="86">
        <v>1</v>
      </c>
      <c r="M2543" s="87">
        <v>799</v>
      </c>
      <c r="N2543" s="85">
        <f>IFERROR(表格1[[#This Row],[QTY]]*表格1[[#This Row],[Unit Price]],"-")</f>
        <v>799</v>
      </c>
      <c r="O2543" s="86">
        <v>1720772</v>
      </c>
      <c r="R2543" s="86" t="str">
        <f>_xlfn.CONCAT(表格1[[#This Row],[Model]]," ",表格1[[#This Row],[inv no]])</f>
        <v>RC-18NMFIH(WT) 1720772</v>
      </c>
      <c r="S2543" s="86">
        <f>_xlfn.XLOOKUP(表格1[[#This Row],[Model]],表格3[Model-Input-Ref2],表格3[SRP PRICE])</f>
        <v>998</v>
      </c>
      <c r="T2543" s="43">
        <f>表格1[[#This Row],[Unit Price]]/表格1[[#This Row],[SRP]]</f>
        <v>0.80060120240480959</v>
      </c>
      <c r="U2543" s="86" t="str">
        <f>_xlfn.XLOOKUP(表格1[[#This Row],[Model]],表格3[Model-Input-Ref2],表格3[TOSHIBA/HIGHEST])</f>
        <v>Toshiba SRP</v>
      </c>
      <c r="W2543" s="86" t="str">
        <f>_xlfn.CONCAT(表格1[[#This Row],[欄4]],表格1[[#This Row],[inv no]])</f>
        <v>1720772</v>
      </c>
    </row>
    <row r="2544" spans="1:23" hidden="1">
      <c r="A2544" s="81">
        <v>2542</v>
      </c>
      <c r="B2544" s="86" t="s">
        <v>1477</v>
      </c>
      <c r="C2544" s="86" t="s">
        <v>1860</v>
      </c>
      <c r="D2544" s="82" t="str">
        <f ca="1">OFFSET(Roster!$A$3,MATCH(表格1[[#This Row],[Location]]&amp;" "&amp;表格1[[#This Row],[Shop]]&amp;"*",Roster!$A$4:$A$72,0),DAY(表格1[[#This Row],[date]]),1,1)</f>
        <v>Kiko</v>
      </c>
      <c r="E2544" s="86">
        <f>MONTH(表格1[[#This Row],[date]])</f>
        <v>3</v>
      </c>
      <c r="F2544" s="90">
        <v>46095</v>
      </c>
      <c r="G2544" s="86" t="str">
        <f>VLOOKUP("*"&amp;表格1[[#This Row],[Input]]&amp;"*",'Ref-List'!$B:$D,2,)</f>
        <v>RC-DR10T(R)</v>
      </c>
      <c r="H2544" s="86" t="str">
        <f>_xlfn.XLOOKUP(表格1[[#This Row],[Model]],表格3[Model-Input-Ref2],表格3[Product Line])</f>
        <v>IH磁應電飯煲</v>
      </c>
      <c r="I2544" s="86" t="str">
        <f>_xlfn.XLOOKUP(表格1[[#This Row],[Model]],表格3[Model-Input-Ref2],表格3[大小電])</f>
        <v>細電</v>
      </c>
      <c r="J2544" s="86" t="str">
        <f>_xlfn.XLOOKUP(表格1[[#This Row],[Model]],表格3[Model-Input-Ref2],表格3[Code])</f>
        <v>SDA</v>
      </c>
      <c r="K2544" s="89" t="s">
        <v>1296</v>
      </c>
      <c r="L2544" s="86">
        <v>1</v>
      </c>
      <c r="M2544" s="87">
        <v>2380</v>
      </c>
      <c r="N2544" s="85">
        <f>IFERROR(表格1[[#This Row],[QTY]]*表格1[[#This Row],[Unit Price]],"-")</f>
        <v>2380</v>
      </c>
      <c r="O2544" s="86">
        <v>1720782</v>
      </c>
      <c r="R2544" s="86" t="str">
        <f>_xlfn.CONCAT(表格1[[#This Row],[Model]]," ",表格1[[#This Row],[inv no]])</f>
        <v>RC-DR10T(R) 1720782</v>
      </c>
      <c r="S2544" s="86">
        <f>_xlfn.XLOOKUP(表格1[[#This Row],[Model]],表格3[Model-Input-Ref2],表格3[SRP PRICE])</f>
        <v>3188</v>
      </c>
      <c r="T2544" s="43">
        <f>表格1[[#This Row],[Unit Price]]/表格1[[#This Row],[SRP]]</f>
        <v>0.74654956085319946</v>
      </c>
      <c r="U2544" s="86" t="str">
        <f>_xlfn.XLOOKUP(表格1[[#This Row],[Model]],表格3[Model-Input-Ref2],表格3[TOSHIBA/HIGHEST])</f>
        <v>Toshiba SRP</v>
      </c>
      <c r="W2544" s="86" t="str">
        <f>_xlfn.CONCAT(表格1[[#This Row],[欄4]],表格1[[#This Row],[inv no]])</f>
        <v>1720782</v>
      </c>
    </row>
    <row r="2545" spans="1:23" hidden="1">
      <c r="A2545" s="81">
        <v>2543</v>
      </c>
      <c r="B2545" s="86" t="s">
        <v>1477</v>
      </c>
      <c r="C2545" s="86" t="s">
        <v>1860</v>
      </c>
      <c r="D2545" s="82" t="str">
        <f ca="1">OFFSET(Roster!$A$3,MATCH(表格1[[#This Row],[Location]]&amp;" "&amp;表格1[[#This Row],[Shop]]&amp;"*",Roster!$A$4:$A$72,0),DAY(表格1[[#This Row],[date]]),1,1)</f>
        <v>Kiko</v>
      </c>
      <c r="E2545" s="86">
        <f>MONTH(表格1[[#This Row],[date]])</f>
        <v>3</v>
      </c>
      <c r="F2545" s="90">
        <v>46095</v>
      </c>
      <c r="G2545" s="86" t="str">
        <f>VLOOKUP("*"&amp;表格1[[#This Row],[Input]]&amp;"*",'Ref-List'!$B:$D,2,)</f>
        <v>RC-DR10T(W)</v>
      </c>
      <c r="H2545" s="86" t="str">
        <f>_xlfn.XLOOKUP(表格1[[#This Row],[Model]],表格3[Model-Input-Ref2],表格3[Product Line])</f>
        <v>IH磁應電飯煲</v>
      </c>
      <c r="I2545" s="86" t="str">
        <f>_xlfn.XLOOKUP(表格1[[#This Row],[Model]],表格3[Model-Input-Ref2],表格3[大小電])</f>
        <v>細電</v>
      </c>
      <c r="J2545" s="86" t="str">
        <f>_xlfn.XLOOKUP(表格1[[#This Row],[Model]],表格3[Model-Input-Ref2],表格3[Code])</f>
        <v>SDA</v>
      </c>
      <c r="K2545" s="89" t="s">
        <v>1294</v>
      </c>
      <c r="L2545" s="86">
        <v>1</v>
      </c>
      <c r="M2545" s="87">
        <v>2380</v>
      </c>
      <c r="N2545" s="85">
        <f>IFERROR(表格1[[#This Row],[QTY]]*表格1[[#This Row],[Unit Price]],"-")</f>
        <v>2380</v>
      </c>
      <c r="O2545" s="86">
        <v>1720703</v>
      </c>
      <c r="R2545" s="86" t="str">
        <f>_xlfn.CONCAT(表格1[[#This Row],[Model]]," ",表格1[[#This Row],[inv no]])</f>
        <v>RC-DR10T(W) 1720703</v>
      </c>
      <c r="S2545" s="86">
        <f>_xlfn.XLOOKUP(表格1[[#This Row],[Model]],表格3[Model-Input-Ref2],表格3[SRP PRICE])</f>
        <v>3188</v>
      </c>
      <c r="T2545" s="43">
        <f>表格1[[#This Row],[Unit Price]]/表格1[[#This Row],[SRP]]</f>
        <v>0.74654956085319946</v>
      </c>
      <c r="U2545" s="86" t="str">
        <f>_xlfn.XLOOKUP(表格1[[#This Row],[Model]],表格3[Model-Input-Ref2],表格3[TOSHIBA/HIGHEST])</f>
        <v>Toshiba SRP</v>
      </c>
      <c r="W2545" s="86" t="str">
        <f>_xlfn.CONCAT(表格1[[#This Row],[欄4]],表格1[[#This Row],[inv no]])</f>
        <v>1720703</v>
      </c>
    </row>
    <row r="2546" spans="1:23" hidden="1">
      <c r="A2546" s="81">
        <v>2544</v>
      </c>
      <c r="B2546" s="86" t="s">
        <v>1477</v>
      </c>
      <c r="C2546" s="86" t="s">
        <v>1860</v>
      </c>
      <c r="D2546" s="82" t="str">
        <f ca="1">OFFSET(Roster!$A$3,MATCH(表格1[[#This Row],[Location]]&amp;" "&amp;表格1[[#This Row],[Shop]]&amp;"*",Roster!$A$4:$A$72,0),DAY(表格1[[#This Row],[date]]),1,1)</f>
        <v>Kiko</v>
      </c>
      <c r="E2546" s="86">
        <f>MONTH(表格1[[#This Row],[date]])</f>
        <v>3</v>
      </c>
      <c r="F2546" s="90">
        <v>46095</v>
      </c>
      <c r="G2546" s="86" t="str">
        <f>VLOOKUP("*"&amp;表格1[[#This Row],[Input]]&amp;"*",'Ref-List'!$B:$D,2,)</f>
        <v>KT-17DRTHK(H)</v>
      </c>
      <c r="H2546" s="86" t="str">
        <f>_xlfn.XLOOKUP(表格1[[#This Row],[Model]],表格3[Model-Input-Ref2],表格3[Product Line])</f>
        <v>無線雙層電熱水壺(1.7公升)</v>
      </c>
      <c r="I2546" s="86" t="str">
        <f>_xlfn.XLOOKUP(表格1[[#This Row],[Model]],表格3[Model-Input-Ref2],表格3[大小電])</f>
        <v>細電</v>
      </c>
      <c r="J2546" s="86" t="str">
        <f>_xlfn.XLOOKUP(表格1[[#This Row],[Model]],表格3[Model-Input-Ref2],表格3[Code])</f>
        <v>SDA</v>
      </c>
      <c r="K2546" s="89" t="s">
        <v>1271</v>
      </c>
      <c r="L2546" s="86">
        <v>1</v>
      </c>
      <c r="M2546" s="87">
        <v>388</v>
      </c>
      <c r="N2546" s="85">
        <f>IFERROR(表格1[[#This Row],[QTY]]*表格1[[#This Row],[Unit Price]],"-")</f>
        <v>388</v>
      </c>
      <c r="O2546" s="86">
        <v>1720764</v>
      </c>
      <c r="R2546" s="86" t="str">
        <f>_xlfn.CONCAT(表格1[[#This Row],[Model]]," ",表格1[[#This Row],[inv no]])</f>
        <v>KT-17DRTHK(H) 1720764</v>
      </c>
      <c r="S2546" s="86">
        <f>_xlfn.XLOOKUP(表格1[[#This Row],[Model]],表格3[Model-Input-Ref2],表格3[SRP PRICE])</f>
        <v>498</v>
      </c>
      <c r="T2546" s="43">
        <f>表格1[[#This Row],[Unit Price]]/表格1[[#This Row],[SRP]]</f>
        <v>0.77911646586345384</v>
      </c>
      <c r="U2546" s="86" t="str">
        <f>_xlfn.XLOOKUP(表格1[[#This Row],[Model]],表格3[Model-Input-Ref2],表格3[TOSHIBA/HIGHEST])</f>
        <v>Toshiba SRP</v>
      </c>
      <c r="W2546" s="86" t="str">
        <f>_xlfn.CONCAT(表格1[[#This Row],[欄4]],表格1[[#This Row],[inv no]])</f>
        <v>1720764</v>
      </c>
    </row>
    <row r="2547" spans="1:23" hidden="1">
      <c r="A2547" s="81">
        <v>2545</v>
      </c>
      <c r="B2547" s="86" t="s">
        <v>1477</v>
      </c>
      <c r="C2547" s="86" t="s">
        <v>1860</v>
      </c>
      <c r="D2547" s="82" t="str">
        <f ca="1">OFFSET(Roster!$A$3,MATCH(表格1[[#This Row],[Location]]&amp;" "&amp;表格1[[#This Row],[Shop]]&amp;"*",Roster!$A$4:$A$72,0),DAY(表格1[[#This Row],[date]]),1,1)</f>
        <v>Kiko</v>
      </c>
      <c r="E2547" s="86">
        <f>MONTH(表格1[[#This Row],[date]])</f>
        <v>3</v>
      </c>
      <c r="F2547" s="90">
        <v>46095</v>
      </c>
      <c r="G2547" s="86" t="str">
        <f>VLOOKUP("*"&amp;表格1[[#This Row],[Input]]&amp;"*",'Ref-List'!$B:$D,2,)</f>
        <v>TL-MC35Z</v>
      </c>
      <c r="H2547" s="86" t="str">
        <f>_xlfn.XLOOKUP(表格1[[#This Row],[Model]],表格3[Model-Input-Ref2],表格3[Product Line])</f>
        <v>35L多功能電焗爐</v>
      </c>
      <c r="I2547" s="86" t="str">
        <f>_xlfn.XLOOKUP(表格1[[#This Row],[Model]],表格3[Model-Input-Ref2],表格3[大小電])</f>
        <v>細電</v>
      </c>
      <c r="J2547" s="86" t="str">
        <f>_xlfn.XLOOKUP(表格1[[#This Row],[Model]],表格3[Model-Input-Ref2],表格3[Code])</f>
        <v>SDA</v>
      </c>
      <c r="K2547" s="89" t="s">
        <v>1295</v>
      </c>
      <c r="L2547" s="86">
        <v>1</v>
      </c>
      <c r="M2547" s="87">
        <v>888</v>
      </c>
      <c r="N2547" s="85">
        <f>IFERROR(表格1[[#This Row],[QTY]]*表格1[[#This Row],[Unit Price]],"-")</f>
        <v>888</v>
      </c>
      <c r="O2547" s="86">
        <v>1720711</v>
      </c>
      <c r="R2547" s="86" t="str">
        <f>_xlfn.CONCAT(表格1[[#This Row],[Model]]," ",表格1[[#This Row],[inv no]])</f>
        <v>TL-MC35Z 1720711</v>
      </c>
      <c r="S2547" s="86">
        <f>_xlfn.XLOOKUP(表格1[[#This Row],[Model]],表格3[Model-Input-Ref2],表格3[SRP PRICE])</f>
        <v>1098</v>
      </c>
      <c r="T2547" s="43">
        <f>表格1[[#This Row],[Unit Price]]/表格1[[#This Row],[SRP]]</f>
        <v>0.80874316939890711</v>
      </c>
      <c r="U2547" s="86" t="str">
        <f>_xlfn.XLOOKUP(表格1[[#This Row],[Model]],表格3[Model-Input-Ref2],表格3[TOSHIBA/HIGHEST])</f>
        <v>Toshiba SRP</v>
      </c>
      <c r="W2547" s="86" t="str">
        <f>_xlfn.CONCAT(表格1[[#This Row],[欄4]],表格1[[#This Row],[inv no]])</f>
        <v>1720711</v>
      </c>
    </row>
    <row r="2548" spans="1:23" hidden="1">
      <c r="A2548" s="81">
        <v>2546</v>
      </c>
      <c r="B2548" s="86" t="s">
        <v>1477</v>
      </c>
      <c r="C2548" s="86" t="s">
        <v>1860</v>
      </c>
      <c r="D2548" s="82" t="str">
        <f ca="1">OFFSET(Roster!$A$3,MATCH(表格1[[#This Row],[Location]]&amp;" "&amp;表格1[[#This Row],[Shop]]&amp;"*",Roster!$A$4:$A$72,0),DAY(表格1[[#This Row],[date]]),1,1)</f>
        <v>Kiko</v>
      </c>
      <c r="E2548" s="86">
        <f>MONTH(表格1[[#This Row],[date]])</f>
        <v>3</v>
      </c>
      <c r="F2548" s="90">
        <v>46096</v>
      </c>
      <c r="G2548" s="86" t="str">
        <f>VLOOKUP("*"&amp;表格1[[#This Row],[Input]]&amp;"*",'Ref-List'!$B:$D,2,)</f>
        <v>TL-MC35Z</v>
      </c>
      <c r="H2548" s="86" t="str">
        <f>_xlfn.XLOOKUP(表格1[[#This Row],[Model]],表格3[Model-Input-Ref2],表格3[Product Line])</f>
        <v>35L多功能電焗爐</v>
      </c>
      <c r="I2548" s="86" t="str">
        <f>_xlfn.XLOOKUP(表格1[[#This Row],[Model]],表格3[Model-Input-Ref2],表格3[大小電])</f>
        <v>細電</v>
      </c>
      <c r="J2548" s="86" t="str">
        <f>_xlfn.XLOOKUP(表格1[[#This Row],[Model]],表格3[Model-Input-Ref2],表格3[Code])</f>
        <v>SDA</v>
      </c>
      <c r="K2548" s="89" t="s">
        <v>1295</v>
      </c>
      <c r="L2548" s="86">
        <v>1</v>
      </c>
      <c r="M2548" s="87">
        <v>888</v>
      </c>
      <c r="N2548" s="85">
        <f>IFERROR(表格1[[#This Row],[QTY]]*表格1[[#This Row],[Unit Price]],"-")</f>
        <v>888</v>
      </c>
      <c r="O2548" s="86">
        <v>1326385</v>
      </c>
      <c r="R2548" s="86" t="str">
        <f>_xlfn.CONCAT(表格1[[#This Row],[Model]]," ",表格1[[#This Row],[inv no]])</f>
        <v>TL-MC35Z 1326385</v>
      </c>
      <c r="S2548" s="86">
        <f>_xlfn.XLOOKUP(表格1[[#This Row],[Model]],表格3[Model-Input-Ref2],表格3[SRP PRICE])</f>
        <v>1098</v>
      </c>
      <c r="T2548" s="43">
        <f>表格1[[#This Row],[Unit Price]]/表格1[[#This Row],[SRP]]</f>
        <v>0.80874316939890711</v>
      </c>
      <c r="U2548" s="86" t="str">
        <f>_xlfn.XLOOKUP(表格1[[#This Row],[Model]],表格3[Model-Input-Ref2],表格3[TOSHIBA/HIGHEST])</f>
        <v>Toshiba SRP</v>
      </c>
      <c r="W2548" s="86" t="str">
        <f>_xlfn.CONCAT(表格1[[#This Row],[欄4]],表格1[[#This Row],[inv no]])</f>
        <v>1326385</v>
      </c>
    </row>
    <row r="2549" spans="1:23" hidden="1">
      <c r="A2549" s="81">
        <v>2547</v>
      </c>
      <c r="B2549" s="86" t="s">
        <v>1477</v>
      </c>
      <c r="C2549" s="86" t="s">
        <v>1860</v>
      </c>
      <c r="D2549" s="82" t="str">
        <f ca="1">OFFSET(Roster!$A$3,MATCH(表格1[[#This Row],[Location]]&amp;" "&amp;表格1[[#This Row],[Shop]]&amp;"*",Roster!$A$4:$A$72,0),DAY(表格1[[#This Row],[date]]),1,1)</f>
        <v>Kiko</v>
      </c>
      <c r="E2549" s="86">
        <f>MONTH(表格1[[#This Row],[date]])</f>
        <v>3</v>
      </c>
      <c r="F2549" s="90">
        <v>46096</v>
      </c>
      <c r="G2549" s="86" t="str">
        <f>VLOOKUP("*"&amp;表格1[[#This Row],[Input]]&amp;"*",'Ref-List'!$B:$D,2,)</f>
        <v>ET-TD7080(PN)</v>
      </c>
      <c r="H2549" s="86" t="str">
        <f>_xlfn.XLOOKUP(表格1[[#This Row],[Model]],表格3[Model-Input-Ref2],表格3[Product Line])</f>
        <v>多士焗爐8L</v>
      </c>
      <c r="I2549" s="86" t="str">
        <f>_xlfn.XLOOKUP(表格1[[#This Row],[Model]],表格3[Model-Input-Ref2],表格3[大小電])</f>
        <v>細電</v>
      </c>
      <c r="J2549" s="86" t="str">
        <f>_xlfn.XLOOKUP(表格1[[#This Row],[Model]],表格3[Model-Input-Ref2],表格3[Code])</f>
        <v>SDA</v>
      </c>
      <c r="K2549" s="89">
        <v>7080</v>
      </c>
      <c r="L2549" s="86">
        <v>1</v>
      </c>
      <c r="M2549" s="87">
        <v>358</v>
      </c>
      <c r="N2549" s="85">
        <f>IFERROR(表格1[[#This Row],[QTY]]*表格1[[#This Row],[Unit Price]],"-")</f>
        <v>358</v>
      </c>
      <c r="O2549" s="86">
        <v>1326440</v>
      </c>
      <c r="R2549" s="86" t="str">
        <f>_xlfn.CONCAT(表格1[[#This Row],[Model]]," ",表格1[[#This Row],[inv no]])</f>
        <v>ET-TD7080(PN) 1326440</v>
      </c>
      <c r="S2549" s="86">
        <f>_xlfn.XLOOKUP(表格1[[#This Row],[Model]],表格3[Model-Input-Ref2],表格3[SRP PRICE])</f>
        <v>498</v>
      </c>
      <c r="T2549" s="43">
        <f>表格1[[#This Row],[Unit Price]]/表格1[[#This Row],[SRP]]</f>
        <v>0.71887550200803207</v>
      </c>
      <c r="U2549" s="86" t="str">
        <f>_xlfn.XLOOKUP(表格1[[#This Row],[Model]],表格3[Model-Input-Ref2],表格3[TOSHIBA/HIGHEST])</f>
        <v>Toshiba SRP</v>
      </c>
      <c r="W2549" s="86" t="str">
        <f>_xlfn.CONCAT(表格1[[#This Row],[欄4]],表格1[[#This Row],[inv no]])</f>
        <v>1326440</v>
      </c>
    </row>
    <row r="2550" spans="1:23" ht="16.5" hidden="1">
      <c r="A2550" s="81">
        <v>2548</v>
      </c>
      <c r="B2550" s="86" t="s">
        <v>1477</v>
      </c>
      <c r="C2550" s="86" t="s">
        <v>1860</v>
      </c>
      <c r="D2550" s="82" t="str">
        <f ca="1">OFFSET(Roster!$A$3,MATCH(表格1[[#This Row],[Location]]&amp;" "&amp;表格1[[#This Row],[Shop]]&amp;"*",Roster!$A$4:$A$72,0),DAY(表格1[[#This Row],[date]]),1,1)</f>
        <v>Kiko</v>
      </c>
      <c r="E2550" s="86">
        <f>MONTH(表格1[[#This Row],[date]])</f>
        <v>3</v>
      </c>
      <c r="F2550" s="90">
        <v>46096</v>
      </c>
      <c r="G2550" s="86" t="str">
        <f>VLOOKUP("*"&amp;表格1[[#This Row],[Input]]&amp;"*",'Ref-List'!$B:$D,2,)</f>
        <v>MWP-MG20P(BK)</v>
      </c>
      <c r="H2550" s="86" t="str">
        <f>_xlfn.XLOOKUP(表格1[[#This Row],[Model]],表格3[Model-Input-Ref2],表格3[Product Line])</f>
        <v>旋鈕式燒烤微波爐20L黑色</v>
      </c>
      <c r="I2550" s="86" t="str">
        <f>_xlfn.XLOOKUP(表格1[[#This Row],[Model]],表格3[Model-Input-Ref2],表格3[大小電])</f>
        <v>細電</v>
      </c>
      <c r="J2550" s="86" t="str">
        <f>_xlfn.XLOOKUP(表格1[[#This Row],[Model]],表格3[Model-Input-Ref2],表格3[Code])</f>
        <v>SDA</v>
      </c>
      <c r="K2550" s="89" t="s">
        <v>1485</v>
      </c>
      <c r="L2550" s="86">
        <v>1</v>
      </c>
      <c r="M2550" s="87">
        <v>698</v>
      </c>
      <c r="N2550" s="85">
        <f>IFERROR(表格1[[#This Row],[QTY]]*表格1[[#This Row],[Unit Price]],"-")</f>
        <v>698</v>
      </c>
      <c r="O2550" s="86">
        <v>1326452</v>
      </c>
      <c r="P2550" s="141"/>
      <c r="R2550" s="86" t="str">
        <f>_xlfn.CONCAT(表格1[[#This Row],[Model]]," ",表格1[[#This Row],[inv no]])</f>
        <v>MWP-MG20P(BK) 1326452</v>
      </c>
      <c r="S2550" s="86">
        <f>_xlfn.XLOOKUP(表格1[[#This Row],[Model]],表格3[Model-Input-Ref2],表格3[SRP PRICE])</f>
        <v>918</v>
      </c>
      <c r="T2550" s="43">
        <f>表格1[[#This Row],[Unit Price]]/表格1[[#This Row],[SRP]]</f>
        <v>0.76034858387799564</v>
      </c>
      <c r="U2550" s="86" t="str">
        <f>_xlfn.XLOOKUP(表格1[[#This Row],[Model]],表格3[Model-Input-Ref2],表格3[TOSHIBA/HIGHEST])</f>
        <v>Toshiba SRP</v>
      </c>
      <c r="W2550" s="86" t="str">
        <f>_xlfn.CONCAT(表格1[[#This Row],[欄4]],表格1[[#This Row],[inv no]])</f>
        <v>1326452</v>
      </c>
    </row>
    <row r="2551" spans="1:23" hidden="1">
      <c r="A2551" s="81">
        <v>2549</v>
      </c>
      <c r="B2551" s="86" t="s">
        <v>1477</v>
      </c>
      <c r="C2551" s="86" t="s">
        <v>1860</v>
      </c>
      <c r="D2551" s="82" t="str">
        <f ca="1">OFFSET(Roster!$A$3,MATCH(表格1[[#This Row],[Location]]&amp;" "&amp;表格1[[#This Row],[Shop]]&amp;"*",Roster!$A$4:$A$72,0),DAY(表格1[[#This Row],[date]]),1,1)</f>
        <v>Kiko</v>
      </c>
      <c r="E2551" s="86">
        <f>MONTH(表格1[[#This Row],[date]])</f>
        <v>3</v>
      </c>
      <c r="F2551" s="90">
        <v>46096</v>
      </c>
      <c r="G2551" s="86" t="str">
        <f>VLOOKUP("*"&amp;表格1[[#This Row],[Input]]&amp;"*",'Ref-List'!$B:$D,2,)</f>
        <v>MW3-SAC24SE(BK)</v>
      </c>
      <c r="H2551" s="86" t="str">
        <f>_xlfn.XLOOKUP(表格1[[#This Row],[Model]],表格3[Model-Input-Ref2],表格3[Product Line])</f>
        <v>智能氣炸烤焗爐(24公升)</v>
      </c>
      <c r="I2551" s="86" t="str">
        <f>_xlfn.XLOOKUP(表格1[[#This Row],[Model]],表格3[Model-Input-Ref2],表格3[大小電])</f>
        <v>細電</v>
      </c>
      <c r="J2551" s="86" t="str">
        <f>_xlfn.XLOOKUP(表格1[[#This Row],[Model]],表格3[Model-Input-Ref2],表格3[Code])</f>
        <v>MCA</v>
      </c>
      <c r="K2551" s="89" t="s">
        <v>1274</v>
      </c>
      <c r="L2551" s="86">
        <v>1</v>
      </c>
      <c r="M2551" s="87">
        <v>1320</v>
      </c>
      <c r="N2551" s="85">
        <f>IFERROR(表格1[[#This Row],[QTY]]*表格1[[#This Row],[Unit Price]],"-")</f>
        <v>1320</v>
      </c>
      <c r="O2551" s="86">
        <v>1720874</v>
      </c>
      <c r="R2551" s="86" t="str">
        <f>_xlfn.CONCAT(表格1[[#This Row],[Model]]," ",表格1[[#This Row],[inv no]])</f>
        <v>MW3-SAC24SE(BK) 1720874</v>
      </c>
      <c r="S2551" s="86">
        <f>_xlfn.XLOOKUP(表格1[[#This Row],[Model]],表格3[Model-Input-Ref2],表格3[SRP PRICE])</f>
        <v>1680</v>
      </c>
      <c r="T2551" s="43">
        <f>表格1[[#This Row],[Unit Price]]/表格1[[#This Row],[SRP]]</f>
        <v>0.7857142857142857</v>
      </c>
      <c r="U2551" s="86" t="str">
        <f>_xlfn.XLOOKUP(表格1[[#This Row],[Model]],表格3[Model-Input-Ref2],表格3[TOSHIBA/HIGHEST])</f>
        <v>Toshiba SRP</v>
      </c>
      <c r="W2551" s="86" t="str">
        <f>_xlfn.CONCAT(表格1[[#This Row],[欄4]],表格1[[#This Row],[inv no]])</f>
        <v>1720874</v>
      </c>
    </row>
    <row r="2552" spans="1:23" hidden="1">
      <c r="A2552" s="81">
        <v>2550</v>
      </c>
      <c r="B2552" s="86" t="s">
        <v>1477</v>
      </c>
      <c r="C2552" s="86" t="s">
        <v>1860</v>
      </c>
      <c r="D2552" s="82" t="str">
        <f ca="1">OFFSET(Roster!$A$3,MATCH(表格1[[#This Row],[Location]]&amp;" "&amp;表格1[[#This Row],[Shop]]&amp;"*",Roster!$A$4:$A$72,0),DAY(表格1[[#This Row],[date]]),1,1)</f>
        <v>Kiko</v>
      </c>
      <c r="E2552" s="86">
        <f>MONTH(表格1[[#This Row],[date]])</f>
        <v>3</v>
      </c>
      <c r="F2552" s="90">
        <v>46096</v>
      </c>
      <c r="G2552" s="86" t="str">
        <f>VLOOKUP("*"&amp;表格1[[#This Row],[Input]]&amp;"*",'Ref-List'!$B:$D,2,)</f>
        <v>RC-5SLIH(W)</v>
      </c>
      <c r="H2552" s="86" t="str">
        <f>_xlfn.XLOOKUP(表格1[[#This Row],[Model]],表格3[Model-Input-Ref2],表格3[Product Line])</f>
        <v>微型電腦珍珠飯煲</v>
      </c>
      <c r="I2552" s="86" t="str">
        <f>_xlfn.XLOOKUP(表格1[[#This Row],[Model]],表格3[Model-Input-Ref2],表格3[大小電])</f>
        <v>細電</v>
      </c>
      <c r="J2552" s="86" t="str">
        <f>_xlfn.XLOOKUP(表格1[[#This Row],[Model]],表格3[Model-Input-Ref2],表格3[Code])</f>
        <v>SDA</v>
      </c>
      <c r="K2552" s="89" t="s">
        <v>1264</v>
      </c>
      <c r="L2552" s="86">
        <v>1</v>
      </c>
      <c r="M2552" s="87">
        <v>593</v>
      </c>
      <c r="N2552" s="85">
        <f>IFERROR(表格1[[#This Row],[QTY]]*表格1[[#This Row],[Unit Price]],"-")</f>
        <v>593</v>
      </c>
      <c r="O2552" s="86">
        <v>1720948</v>
      </c>
      <c r="R2552" s="86" t="str">
        <f>_xlfn.CONCAT(表格1[[#This Row],[Model]]," ",表格1[[#This Row],[inv no]])</f>
        <v>RC-5SLIH(W) 1720948</v>
      </c>
      <c r="S2552" s="86">
        <f>_xlfn.XLOOKUP(表格1[[#This Row],[Model]],表格3[Model-Input-Ref2],表格3[SRP PRICE])</f>
        <v>658</v>
      </c>
      <c r="T2552" s="43">
        <f>表格1[[#This Row],[Unit Price]]/表格1[[#This Row],[SRP]]</f>
        <v>0.90121580547112456</v>
      </c>
      <c r="U2552" s="86" t="str">
        <f>_xlfn.XLOOKUP(表格1[[#This Row],[Model]],表格3[Model-Input-Ref2],表格3[TOSHIBA/HIGHEST])</f>
        <v>Toshiba SRP</v>
      </c>
      <c r="W2552" s="86" t="str">
        <f>_xlfn.CONCAT(表格1[[#This Row],[欄4]],表格1[[#This Row],[inv no]])</f>
        <v>1720948</v>
      </c>
    </row>
    <row r="2553" spans="1:23" hidden="1">
      <c r="A2553" s="81">
        <v>2551</v>
      </c>
      <c r="B2553" s="86" t="s">
        <v>1477</v>
      </c>
      <c r="C2553" s="86" t="s">
        <v>1860</v>
      </c>
      <c r="D2553" s="82" t="str">
        <f ca="1">OFFSET(Roster!$A$3,MATCH(表格1[[#This Row],[Location]]&amp;" "&amp;表格1[[#This Row],[Shop]]&amp;"*",Roster!$A$4:$A$72,0),DAY(表格1[[#This Row],[date]]),1,1)</f>
        <v>Kiko</v>
      </c>
      <c r="E2553" s="86">
        <f>MONTH(表格1[[#This Row],[date]])</f>
        <v>3</v>
      </c>
      <c r="F2553" s="90">
        <v>46096</v>
      </c>
      <c r="G2553" s="86" t="str">
        <f>VLOOKUP("*"&amp;表格1[[#This Row],[Input]]&amp;"*",'Ref-List'!$B:$D,2,)</f>
        <v>RC-10NMFIH(WT)</v>
      </c>
      <c r="H2553" s="86" t="str">
        <f>_xlfn.XLOOKUP(表格1[[#This Row],[Model]],表格3[Model-Input-Ref2],表格3[Product Line])</f>
        <v>4毫米厚釜電飯煲1L</v>
      </c>
      <c r="I2553" s="86" t="str">
        <f>_xlfn.XLOOKUP(表格1[[#This Row],[Model]],表格3[Model-Input-Ref2],表格3[大小電])</f>
        <v>細電</v>
      </c>
      <c r="J2553" s="86" t="str">
        <f>_xlfn.XLOOKUP(表格1[[#This Row],[Model]],表格3[Model-Input-Ref2],表格3[Code])</f>
        <v>SDA</v>
      </c>
      <c r="K2553" s="89" t="s">
        <v>1244</v>
      </c>
      <c r="L2553" s="86">
        <v>1</v>
      </c>
      <c r="M2553" s="87">
        <v>719</v>
      </c>
      <c r="N2553" s="85">
        <f>IFERROR(表格1[[#This Row],[QTY]]*表格1[[#This Row],[Unit Price]],"-")</f>
        <v>719</v>
      </c>
      <c r="O2553" s="86">
        <v>1720871</v>
      </c>
      <c r="R2553" s="86" t="str">
        <f>_xlfn.CONCAT(表格1[[#This Row],[Model]]," ",表格1[[#This Row],[inv no]])</f>
        <v>RC-10NMFIH(WT) 1720871</v>
      </c>
      <c r="S2553" s="86">
        <f>_xlfn.XLOOKUP(表格1[[#This Row],[Model]],表格3[Model-Input-Ref2],表格3[SRP PRICE])</f>
        <v>898</v>
      </c>
      <c r="T2553" s="43">
        <f>表格1[[#This Row],[Unit Price]]/表格1[[#This Row],[SRP]]</f>
        <v>0.80066815144766146</v>
      </c>
      <c r="U2553" s="86" t="str">
        <f>_xlfn.XLOOKUP(表格1[[#This Row],[Model]],表格3[Model-Input-Ref2],表格3[TOSHIBA/HIGHEST])</f>
        <v>Toshiba SRP</v>
      </c>
      <c r="W2553" s="86" t="str">
        <f>_xlfn.CONCAT(表格1[[#This Row],[欄4]],表格1[[#This Row],[inv no]])</f>
        <v>1720871</v>
      </c>
    </row>
    <row r="2554" spans="1:23" hidden="1">
      <c r="A2554" s="81">
        <v>2552</v>
      </c>
      <c r="B2554" s="86" t="s">
        <v>1477</v>
      </c>
      <c r="C2554" s="86" t="s">
        <v>1860</v>
      </c>
      <c r="D2554" s="82" t="str">
        <f ca="1">OFFSET(Roster!$A$3,MATCH(表格1[[#This Row],[Location]]&amp;" "&amp;表格1[[#This Row],[Shop]]&amp;"*",Roster!$A$4:$A$72,0),DAY(表格1[[#This Row],[date]]),1,1)</f>
        <v>Kiko</v>
      </c>
      <c r="E2554" s="86">
        <f>MONTH(表格1[[#This Row],[date]])</f>
        <v>3</v>
      </c>
      <c r="F2554" s="90">
        <v>46096</v>
      </c>
      <c r="G2554" s="86" t="str">
        <f>VLOOKUP("*"&amp;表格1[[#This Row],[Input]]&amp;"*",'Ref-List'!$B:$D,2,)</f>
        <v>RC-10DRNH</v>
      </c>
      <c r="H2554" s="86" t="str">
        <f>_xlfn.XLOOKUP(表格1[[#This Row],[Model]],表格3[Model-Input-Ref2],表格3[Product Line])</f>
        <v>多功能備長炭本厚釜電飯煲1L</v>
      </c>
      <c r="I2554" s="86" t="str">
        <f>_xlfn.XLOOKUP(表格1[[#This Row],[Model]],表格3[Model-Input-Ref2],表格3[大小電])</f>
        <v>細電</v>
      </c>
      <c r="J2554" s="86" t="str">
        <f>_xlfn.XLOOKUP(表格1[[#This Row],[Model]],表格3[Model-Input-Ref2],表格3[Code])</f>
        <v>SDA</v>
      </c>
      <c r="K2554" s="89" t="s">
        <v>1376</v>
      </c>
      <c r="L2554" s="86">
        <v>1</v>
      </c>
      <c r="M2554" s="87">
        <v>549</v>
      </c>
      <c r="N2554" s="85">
        <f>IFERROR(表格1[[#This Row],[QTY]]*表格1[[#This Row],[Unit Price]],"-")</f>
        <v>549</v>
      </c>
      <c r="O2554" s="86">
        <v>1720909</v>
      </c>
      <c r="R2554" s="86" t="str">
        <f>_xlfn.CONCAT(表格1[[#This Row],[Model]]," ",表格1[[#This Row],[inv no]])</f>
        <v>RC-10DRNH 1720909</v>
      </c>
      <c r="S2554" s="86">
        <f>_xlfn.XLOOKUP(表格1[[#This Row],[Model]],表格3[Model-Input-Ref2],表格3[SRP PRICE])</f>
        <v>798</v>
      </c>
      <c r="T2554" s="43">
        <f>表格1[[#This Row],[Unit Price]]/表格1[[#This Row],[SRP]]</f>
        <v>0.68796992481203012</v>
      </c>
      <c r="U2554" s="86" t="str">
        <f>_xlfn.XLOOKUP(表格1[[#This Row],[Model]],表格3[Model-Input-Ref2],表格3[TOSHIBA/HIGHEST])</f>
        <v>Toshiba SRP</v>
      </c>
      <c r="W2554" s="86" t="str">
        <f>_xlfn.CONCAT(表格1[[#This Row],[欄4]],表格1[[#This Row],[inv no]])</f>
        <v>1720909</v>
      </c>
    </row>
    <row r="2555" spans="1:23" hidden="1">
      <c r="A2555" s="81">
        <v>2553</v>
      </c>
      <c r="B2555" s="86" t="s">
        <v>1477</v>
      </c>
      <c r="C2555" s="86" t="s">
        <v>1860</v>
      </c>
      <c r="D2555" s="82" t="str">
        <f ca="1">OFFSET(Roster!$A$3,MATCH(表格1[[#This Row],[Location]]&amp;" "&amp;表格1[[#This Row],[Shop]]&amp;"*",Roster!$A$4:$A$72,0),DAY(表格1[[#This Row],[date]]),1,1)</f>
        <v>Kiko</v>
      </c>
      <c r="E2555" s="86">
        <f>MONTH(表格1[[#This Row],[date]])</f>
        <v>3</v>
      </c>
      <c r="F2555" s="90">
        <v>46096</v>
      </c>
      <c r="G2555" s="86" t="str">
        <f>VLOOKUP("*"&amp;表格1[[#This Row],[Input]]&amp;"*",'Ref-List'!$B:$D,2,)</f>
        <v>RC-DX18T(W)</v>
      </c>
      <c r="H2555" s="86" t="str">
        <f>_xlfn.XLOOKUP(表格1[[#This Row],[Model]],表格3[Model-Input-Ref2],表格3[Product Line])</f>
        <v>真空壓力磁應電飯煲(1.8公升)</v>
      </c>
      <c r="I2555" s="86" t="str">
        <f>_xlfn.XLOOKUP(表格1[[#This Row],[Model]],表格3[Model-Input-Ref2],表格3[大小電])</f>
        <v>細電</v>
      </c>
      <c r="J2555" s="86" t="str">
        <f>_xlfn.XLOOKUP(表格1[[#This Row],[Model]],表格3[Model-Input-Ref2],表格3[Code])</f>
        <v>SDA</v>
      </c>
      <c r="K2555" s="89" t="s">
        <v>1368</v>
      </c>
      <c r="L2555" s="86">
        <v>1</v>
      </c>
      <c r="M2555" s="87">
        <v>4948</v>
      </c>
      <c r="N2555" s="85">
        <f>IFERROR(表格1[[#This Row],[QTY]]*表格1[[#This Row],[Unit Price]],"-")</f>
        <v>4948</v>
      </c>
      <c r="O2555" s="86">
        <v>1720960</v>
      </c>
      <c r="R2555" s="86" t="str">
        <f>_xlfn.CONCAT(表格1[[#This Row],[Model]]," ",表格1[[#This Row],[inv no]])</f>
        <v>RC-DX18T(W) 1720960</v>
      </c>
      <c r="S2555" s="86">
        <f>_xlfn.XLOOKUP(表格1[[#This Row],[Model]],表格3[Model-Input-Ref2],表格3[SRP PRICE])</f>
        <v>6388</v>
      </c>
      <c r="T2555" s="43">
        <f>表格1[[#This Row],[Unit Price]]/表格1[[#This Row],[SRP]]</f>
        <v>0.77457733249843452</v>
      </c>
      <c r="U2555" s="86" t="str">
        <f>_xlfn.XLOOKUP(表格1[[#This Row],[Model]],表格3[Model-Input-Ref2],表格3[TOSHIBA/HIGHEST])</f>
        <v>Toshiba SRP</v>
      </c>
      <c r="W2555" s="86" t="str">
        <f>_xlfn.CONCAT(表格1[[#This Row],[欄4]],表格1[[#This Row],[inv no]])</f>
        <v>1720960</v>
      </c>
    </row>
    <row r="2556" spans="1:23" hidden="1">
      <c r="A2556" s="81">
        <v>2554</v>
      </c>
      <c r="B2556" s="86" t="s">
        <v>1477</v>
      </c>
      <c r="C2556" s="86" t="s">
        <v>1860</v>
      </c>
      <c r="D2556" s="82" t="str">
        <f ca="1">OFFSET(Roster!$A$3,MATCH(表格1[[#This Row],[Location]]&amp;" "&amp;表格1[[#This Row],[Shop]]&amp;"*",Roster!$A$4:$A$72,0),DAY(表格1[[#This Row],[date]]),1,1)</f>
        <v>Kiko</v>
      </c>
      <c r="E2556" s="86">
        <f>MONTH(表格1[[#This Row],[date]])</f>
        <v>3</v>
      </c>
      <c r="F2556" s="90">
        <v>46096</v>
      </c>
      <c r="G2556" s="86" t="str">
        <f>VLOOKUP("*"&amp;表格1[[#This Row],[Input]]&amp;"*",'Ref-List'!$B:$D,2,)</f>
        <v>MX2-TT20SC(WH)</v>
      </c>
      <c r="H2556" s="86" t="str">
        <f>_xlfn.XLOOKUP(表格1[[#This Row],[Model]],表格3[Model-Input-Ref2],表格3[Product Line])</f>
        <v>3合1 微波蒸焗爐 (20公升)</v>
      </c>
      <c r="I2556" s="86" t="str">
        <f>_xlfn.XLOOKUP(表格1[[#This Row],[Model]],表格3[Model-Input-Ref2],表格3[大小電])</f>
        <v>細電</v>
      </c>
      <c r="J2556" s="86" t="str">
        <f>_xlfn.XLOOKUP(表格1[[#This Row],[Model]],表格3[Model-Input-Ref2],表格3[Code])</f>
        <v>MCA</v>
      </c>
      <c r="K2556" s="89" t="s">
        <v>1287</v>
      </c>
      <c r="L2556" s="86">
        <v>1</v>
      </c>
      <c r="M2556" s="87">
        <v>2580</v>
      </c>
      <c r="N2556" s="85">
        <f>IFERROR(表格1[[#This Row],[QTY]]*表格1[[#This Row],[Unit Price]],"-")</f>
        <v>2580</v>
      </c>
      <c r="O2556" s="86">
        <v>1326428</v>
      </c>
      <c r="R2556" s="86" t="str">
        <f>_xlfn.CONCAT(表格1[[#This Row],[Model]]," ",表格1[[#This Row],[inv no]])</f>
        <v>MX2-TT20SC(WH) 1326428</v>
      </c>
      <c r="S2556" s="86">
        <f>_xlfn.XLOOKUP(表格1[[#This Row],[Model]],表格3[Model-Input-Ref2],表格3[SRP PRICE])</f>
        <v>3580</v>
      </c>
      <c r="T2556" s="43">
        <f>表格1[[#This Row],[Unit Price]]/表格1[[#This Row],[SRP]]</f>
        <v>0.72067039106145248</v>
      </c>
      <c r="U2556" s="86" t="str">
        <f>_xlfn.XLOOKUP(表格1[[#This Row],[Model]],表格3[Model-Input-Ref2],表格3[TOSHIBA/HIGHEST])</f>
        <v>Toshiba SRP</v>
      </c>
      <c r="W2556" s="86" t="str">
        <f>_xlfn.CONCAT(表格1[[#This Row],[欄4]],表格1[[#This Row],[inv no]])</f>
        <v>1326428</v>
      </c>
    </row>
    <row r="2557" spans="1:23" hidden="1">
      <c r="A2557" s="81">
        <v>2555</v>
      </c>
      <c r="B2557" s="86" t="s">
        <v>1477</v>
      </c>
      <c r="C2557" s="86" t="s">
        <v>1860</v>
      </c>
      <c r="D2557" s="82" t="str">
        <f ca="1">OFFSET(Roster!$A$3,MATCH(表格1[[#This Row],[Location]]&amp;" "&amp;表格1[[#This Row],[Shop]]&amp;"*",Roster!$A$4:$A$72,0),DAY(表格1[[#This Row],[date]]),1,1)</f>
        <v>Kiko</v>
      </c>
      <c r="E2557" s="86">
        <f>MONTH(表格1[[#This Row],[date]])</f>
        <v>3</v>
      </c>
      <c r="F2557" s="90">
        <v>46097</v>
      </c>
      <c r="G2557" s="86" t="str">
        <f>VLOOKUP("*"&amp;表格1[[#This Row],[Input]]&amp;"*",'Ref-List'!$B:$D,2,)</f>
        <v>MV2-EG26PEI(BK)</v>
      </c>
      <c r="H2557" s="86" t="str">
        <f>_xlfn.XLOOKUP(表格1[[#This Row],[Model]],表格3[Model-Input-Ref2],表格3[Product Line])</f>
        <v>輕觸式平板燒烤微波爐 (26公升)</v>
      </c>
      <c r="I2557" s="86" t="str">
        <f>_xlfn.XLOOKUP(表格1[[#This Row],[Model]],表格3[Model-Input-Ref2],表格3[大小電])</f>
        <v>細電</v>
      </c>
      <c r="J2557" s="86" t="str">
        <f>_xlfn.XLOOKUP(表格1[[#This Row],[Model]],表格3[Model-Input-Ref2],表格3[Code])</f>
        <v>MCA</v>
      </c>
      <c r="K2557" s="89" t="s">
        <v>1394</v>
      </c>
      <c r="L2557" s="86">
        <v>1</v>
      </c>
      <c r="M2557" s="87">
        <v>998</v>
      </c>
      <c r="N2557" s="85">
        <f>IFERROR(表格1[[#This Row],[QTY]]*表格1[[#This Row],[Unit Price]],"-")</f>
        <v>998</v>
      </c>
      <c r="O2557" s="86">
        <v>1721077</v>
      </c>
      <c r="R2557" s="86" t="str">
        <f>_xlfn.CONCAT(表格1[[#This Row],[Model]]," ",表格1[[#This Row],[inv no]])</f>
        <v>MV2-EG26PEI(BK) 1721077</v>
      </c>
      <c r="S2557" s="86">
        <f>_xlfn.XLOOKUP(表格1[[#This Row],[Model]],表格3[Model-Input-Ref2],表格3[SRP PRICE])</f>
        <v>1180</v>
      </c>
      <c r="T2557" s="43">
        <f>表格1[[#This Row],[Unit Price]]/表格1[[#This Row],[SRP]]</f>
        <v>0.84576271186440677</v>
      </c>
      <c r="U2557" s="86" t="str">
        <f>_xlfn.XLOOKUP(表格1[[#This Row],[Model]],表格3[Model-Input-Ref2],表格3[TOSHIBA/HIGHEST])</f>
        <v>Toshiba SRP</v>
      </c>
      <c r="W2557" s="86" t="str">
        <f>_xlfn.CONCAT(表格1[[#This Row],[欄4]],表格1[[#This Row],[inv no]])</f>
        <v>1721077</v>
      </c>
    </row>
    <row r="2558" spans="1:23" hidden="1">
      <c r="A2558" s="81">
        <v>2556</v>
      </c>
      <c r="B2558" s="86" t="s">
        <v>1477</v>
      </c>
      <c r="C2558" s="86" t="s">
        <v>1860</v>
      </c>
      <c r="D2558" s="82" t="str">
        <f ca="1">OFFSET(Roster!$A$3,MATCH(表格1[[#This Row],[Location]]&amp;" "&amp;表格1[[#This Row],[Shop]]&amp;"*",Roster!$A$4:$A$72,0),DAY(表格1[[#This Row],[date]]),1,1)</f>
        <v>Kiko</v>
      </c>
      <c r="E2558" s="86">
        <f>MONTH(表格1[[#This Row],[date]])</f>
        <v>3</v>
      </c>
      <c r="F2558" s="90">
        <v>46097</v>
      </c>
      <c r="G2558" s="86" t="str">
        <f>VLOOKUP("*"&amp;表格1[[#This Row],[Input]]&amp;"*",'Ref-List'!$B:$D,2,)</f>
        <v>RC-10AMXH(W)</v>
      </c>
      <c r="H2558" s="86" t="str">
        <f>_xlfn.XLOOKUP(表格1[[#This Row],[Model]],表格3[Model-Input-Ref2],表格3[Product Line])</f>
        <v>酵活炊電飯煲(1.0公升)</v>
      </c>
      <c r="I2558" s="86" t="str">
        <f>_xlfn.XLOOKUP(表格1[[#This Row],[Model]],表格3[Model-Input-Ref2],表格3[大小電])</f>
        <v>細電</v>
      </c>
      <c r="J2558" s="86" t="str">
        <f>_xlfn.XLOOKUP(表格1[[#This Row],[Model]],表格3[Model-Input-Ref2],表格3[Code])</f>
        <v>SDA</v>
      </c>
      <c r="K2558" s="89" t="s">
        <v>1279</v>
      </c>
      <c r="L2558" s="86">
        <v>1</v>
      </c>
      <c r="M2558" s="87">
        <v>990</v>
      </c>
      <c r="N2558" s="85">
        <f>IFERROR(表格1[[#This Row],[QTY]]*表格1[[#This Row],[Unit Price]],"-")</f>
        <v>990</v>
      </c>
      <c r="O2558" s="86">
        <v>1721056</v>
      </c>
      <c r="R2558" s="86" t="str">
        <f>_xlfn.CONCAT(表格1[[#This Row],[Model]]," ",表格1[[#This Row],[inv no]])</f>
        <v>RC-10AMXH(W) 1721056</v>
      </c>
      <c r="S2558" s="86">
        <f>_xlfn.XLOOKUP(表格1[[#This Row],[Model]],表格3[Model-Input-Ref2],表格3[SRP PRICE])</f>
        <v>1288</v>
      </c>
      <c r="T2558" s="43">
        <f>表格1[[#This Row],[Unit Price]]/表格1[[#This Row],[SRP]]</f>
        <v>0.76863354037267084</v>
      </c>
      <c r="U2558" s="86" t="str">
        <f>_xlfn.XLOOKUP(表格1[[#This Row],[Model]],表格3[Model-Input-Ref2],表格3[TOSHIBA/HIGHEST])</f>
        <v>Toshiba SRP</v>
      </c>
      <c r="W2558" s="86" t="str">
        <f>_xlfn.CONCAT(表格1[[#This Row],[欄4]],表格1[[#This Row],[inv no]])</f>
        <v>1721056</v>
      </c>
    </row>
    <row r="2559" spans="1:23" hidden="1">
      <c r="A2559" s="81">
        <v>2557</v>
      </c>
      <c r="B2559" s="86" t="s">
        <v>1477</v>
      </c>
      <c r="C2559" s="86" t="s">
        <v>1860</v>
      </c>
      <c r="D2559" s="82" t="str">
        <f ca="1">OFFSET(Roster!$A$3,MATCH(表格1[[#This Row],[Location]]&amp;" "&amp;表格1[[#This Row],[Shop]]&amp;"*",Roster!$A$4:$A$72,0),DAY(表格1[[#This Row],[date]]),1,1)</f>
        <v>Kiko</v>
      </c>
      <c r="E2559" s="86">
        <f>MONTH(表格1[[#This Row],[date]])</f>
        <v>3</v>
      </c>
      <c r="F2559" s="90">
        <v>46097</v>
      </c>
      <c r="G2559" s="86" t="str">
        <f>VLOOKUP("*"&amp;表格1[[#This Row],[Input]]&amp;"*",'Ref-List'!$B:$D,2,)</f>
        <v>PLK-30FLIH(WT)</v>
      </c>
      <c r="H2559" s="86" t="str">
        <f>_xlfn.XLOOKUP(表格1[[#This Row],[Model]],表格3[Model-Input-Ref2],表格3[Product Line])</f>
        <v>電熱水瓶3L</v>
      </c>
      <c r="I2559" s="86" t="str">
        <f>_xlfn.XLOOKUP(表格1[[#This Row],[Model]],表格3[Model-Input-Ref2],表格3[大小電])</f>
        <v>細電</v>
      </c>
      <c r="J2559" s="86" t="str">
        <f>_xlfn.XLOOKUP(表格1[[#This Row],[Model]],表格3[Model-Input-Ref2],表格3[Code])</f>
        <v>SDA</v>
      </c>
      <c r="K2559" s="89" t="s">
        <v>1272</v>
      </c>
      <c r="L2559" s="86">
        <v>1</v>
      </c>
      <c r="M2559" s="87">
        <v>489</v>
      </c>
      <c r="N2559" s="85">
        <f>IFERROR(表格1[[#This Row],[QTY]]*表格1[[#This Row],[Unit Price]],"-")</f>
        <v>489</v>
      </c>
      <c r="O2559" s="86">
        <v>1721057</v>
      </c>
      <c r="R2559" s="86" t="str">
        <f>_xlfn.CONCAT(表格1[[#This Row],[Model]]," ",表格1[[#This Row],[inv no]])</f>
        <v>PLK-30FLIH(WT) 1721057</v>
      </c>
      <c r="S2559" s="86">
        <f>_xlfn.XLOOKUP(表格1[[#This Row],[Model]],表格3[Model-Input-Ref2],表格3[SRP PRICE])</f>
        <v>658</v>
      </c>
      <c r="T2559" s="43">
        <f>表格1[[#This Row],[Unit Price]]/表格1[[#This Row],[SRP]]</f>
        <v>0.74316109422492405</v>
      </c>
      <c r="U2559" s="86" t="str">
        <f>_xlfn.XLOOKUP(表格1[[#This Row],[Model]],表格3[Model-Input-Ref2],表格3[TOSHIBA/HIGHEST])</f>
        <v>Toshiba SRP</v>
      </c>
      <c r="W2559" s="86" t="str">
        <f>_xlfn.CONCAT(表格1[[#This Row],[欄4]],表格1[[#This Row],[inv no]])</f>
        <v>1721057</v>
      </c>
    </row>
    <row r="2560" spans="1:23" hidden="1">
      <c r="A2560" s="81">
        <v>2558</v>
      </c>
      <c r="B2560" s="86" t="s">
        <v>1477</v>
      </c>
      <c r="C2560" s="86" t="s">
        <v>1860</v>
      </c>
      <c r="D2560" s="82" t="str">
        <f ca="1">OFFSET(Roster!$A$3,MATCH(表格1[[#This Row],[Location]]&amp;" "&amp;表格1[[#This Row],[Shop]]&amp;"*",Roster!$A$4:$A$72,0),DAY(表格1[[#This Row],[date]]),1,1)</f>
        <v>Kiko</v>
      </c>
      <c r="E2560" s="86">
        <f>MONTH(表格1[[#This Row],[date]])</f>
        <v>3</v>
      </c>
      <c r="F2560" s="90">
        <v>46097</v>
      </c>
      <c r="G2560" s="86" t="str">
        <f>VLOOKUP("*"&amp;表格1[[#This Row],[Input]]&amp;"*",'Ref-List'!$B:$D,2,)</f>
        <v>RC-18NMFIH(WT)</v>
      </c>
      <c r="H2560" s="86" t="str">
        <f>_xlfn.XLOOKUP(表格1[[#This Row],[Model]],表格3[Model-Input-Ref2],表格3[Product Line])</f>
        <v>4毫米厚釜電飯煲1.8L</v>
      </c>
      <c r="I2560" s="86" t="str">
        <f>_xlfn.XLOOKUP(表格1[[#This Row],[Model]],表格3[Model-Input-Ref2],表格3[大小電])</f>
        <v>細電</v>
      </c>
      <c r="J2560" s="86" t="str">
        <f>_xlfn.XLOOKUP(表格1[[#This Row],[Model]],表格3[Model-Input-Ref2],表格3[Code])</f>
        <v>SDA</v>
      </c>
      <c r="K2560" s="89" t="s">
        <v>1267</v>
      </c>
      <c r="L2560" s="86">
        <v>1</v>
      </c>
      <c r="M2560" s="87">
        <v>799</v>
      </c>
      <c r="N2560" s="85">
        <f>IFERROR(表格1[[#This Row],[QTY]]*表格1[[#This Row],[Unit Price]],"-")</f>
        <v>799</v>
      </c>
      <c r="O2560" s="86">
        <v>1721157</v>
      </c>
      <c r="R2560" s="86" t="str">
        <f>_xlfn.CONCAT(表格1[[#This Row],[Model]]," ",表格1[[#This Row],[inv no]])</f>
        <v>RC-18NMFIH(WT) 1721157</v>
      </c>
      <c r="S2560" s="86">
        <f>_xlfn.XLOOKUP(表格1[[#This Row],[Model]],表格3[Model-Input-Ref2],表格3[SRP PRICE])</f>
        <v>998</v>
      </c>
      <c r="T2560" s="43">
        <f>表格1[[#This Row],[Unit Price]]/表格1[[#This Row],[SRP]]</f>
        <v>0.80060120240480959</v>
      </c>
      <c r="U2560" s="86" t="str">
        <f>_xlfn.XLOOKUP(表格1[[#This Row],[Model]],表格3[Model-Input-Ref2],表格3[TOSHIBA/HIGHEST])</f>
        <v>Toshiba SRP</v>
      </c>
      <c r="W2560" s="86" t="str">
        <f>_xlfn.CONCAT(表格1[[#This Row],[欄4]],表格1[[#This Row],[inv no]])</f>
        <v>1721157</v>
      </c>
    </row>
    <row r="2561" spans="1:23" hidden="1">
      <c r="A2561" s="81">
        <v>2559</v>
      </c>
      <c r="B2561" s="86" t="s">
        <v>1477</v>
      </c>
      <c r="C2561" s="86" t="s">
        <v>1860</v>
      </c>
      <c r="D2561" s="82" t="str">
        <f ca="1">OFFSET(Roster!$A$3,MATCH(表格1[[#This Row],[Location]]&amp;" "&amp;表格1[[#This Row],[Shop]]&amp;"*",Roster!$A$4:$A$72,0),DAY(表格1[[#This Row],[date]]),1,1)</f>
        <v>Kiko</v>
      </c>
      <c r="E2561" s="86">
        <f>MONTH(表格1[[#This Row],[date]])</f>
        <v>3</v>
      </c>
      <c r="F2561" s="90">
        <v>46097</v>
      </c>
      <c r="G2561" s="86" t="str">
        <f>VLOOKUP("*"&amp;表格1[[#This Row],[Input]]&amp;"*",'Ref-List'!$B:$D,2,)</f>
        <v>GR-RB221WE-PMA(57)</v>
      </c>
      <c r="H2561" s="86" t="str">
        <f>_xlfn.XLOOKUP(表格1[[#This Row],[Model]],表格3[Model-Input-Ref2],表格3[Product Line])</f>
        <v>變頻下置式雙門雪櫃（163L）</v>
      </c>
      <c r="I2561" s="86" t="str">
        <f>_xlfn.XLOOKUP(表格1[[#This Row],[Model]],表格3[Model-Input-Ref2],表格3[大小電])</f>
        <v>大電</v>
      </c>
      <c r="J2561" s="86" t="str">
        <f>_xlfn.XLOOKUP(表格1[[#This Row],[Model]],表格3[Model-Input-Ref2],表格3[Code])</f>
        <v>REF</v>
      </c>
      <c r="K2561" s="89" t="s">
        <v>1386</v>
      </c>
      <c r="L2561" s="86">
        <v>1</v>
      </c>
      <c r="M2561" s="87">
        <v>1880</v>
      </c>
      <c r="N2561" s="85">
        <f>IFERROR(表格1[[#This Row],[QTY]]*表格1[[#This Row],[Unit Price]],"-")</f>
        <v>1880</v>
      </c>
      <c r="O2561" s="86">
        <v>1721043</v>
      </c>
      <c r="R2561" s="86" t="str">
        <f>_xlfn.CONCAT(表格1[[#This Row],[Model]]," ",表格1[[#This Row],[inv no]])</f>
        <v>GR-RB221WE-PMA(57) 1721043</v>
      </c>
      <c r="S2561" s="86">
        <f>_xlfn.XLOOKUP(表格1[[#This Row],[Model]],表格3[Model-Input-Ref2],表格3[SRP PRICE])</f>
        <v>3480</v>
      </c>
      <c r="T2561" s="43">
        <f>表格1[[#This Row],[Unit Price]]/表格1[[#This Row],[SRP]]</f>
        <v>0.54022988505747127</v>
      </c>
      <c r="U2561" s="86" t="str">
        <f>_xlfn.XLOOKUP(表格1[[#This Row],[Model]],表格3[Model-Input-Ref2],表格3[TOSHIBA/HIGHEST])</f>
        <v>Toshiba SRP</v>
      </c>
      <c r="W2561" s="86" t="str">
        <f>_xlfn.CONCAT(表格1[[#This Row],[欄4]],表格1[[#This Row],[inv no]])</f>
        <v>1721043</v>
      </c>
    </row>
    <row r="2562" spans="1:23" hidden="1">
      <c r="A2562" s="81">
        <v>2560</v>
      </c>
      <c r="B2562" s="86" t="s">
        <v>1477</v>
      </c>
      <c r="C2562" s="86" t="s">
        <v>1860</v>
      </c>
      <c r="D2562" s="82" t="str">
        <f ca="1">OFFSET(Roster!$A$3,MATCH(表格1[[#This Row],[Location]]&amp;" "&amp;表格1[[#This Row],[Shop]]&amp;"*",Roster!$A$4:$A$72,0),DAY(表格1[[#This Row],[date]]),1,1)</f>
        <v>Kiko</v>
      </c>
      <c r="E2562" s="86">
        <f>MONTH(表格1[[#This Row],[date]])</f>
        <v>3</v>
      </c>
      <c r="F2562" s="90">
        <v>46097</v>
      </c>
      <c r="G2562" s="86" t="str">
        <f>VLOOKUP("*"&amp;表格1[[#This Row],[Input]]&amp;"*",'Ref-List'!$B:$D,2,)</f>
        <v>GR-RB221WE-PMA(57)</v>
      </c>
      <c r="H2562" s="86" t="str">
        <f>_xlfn.XLOOKUP(表格1[[#This Row],[Model]],表格3[Model-Input-Ref2],表格3[Product Line])</f>
        <v>變頻下置式雙門雪櫃（163L）</v>
      </c>
      <c r="I2562" s="86" t="str">
        <f>_xlfn.XLOOKUP(表格1[[#This Row],[Model]],表格3[Model-Input-Ref2],表格3[大小電])</f>
        <v>大電</v>
      </c>
      <c r="J2562" s="86" t="str">
        <f>_xlfn.XLOOKUP(表格1[[#This Row],[Model]],表格3[Model-Input-Ref2],表格3[Code])</f>
        <v>REF</v>
      </c>
      <c r="K2562" s="89" t="s">
        <v>1386</v>
      </c>
      <c r="L2562" s="86">
        <v>1</v>
      </c>
      <c r="M2562" s="87">
        <v>1880</v>
      </c>
      <c r="N2562" s="85">
        <f>IFERROR(表格1[[#This Row],[QTY]]*表格1[[#This Row],[Unit Price]],"-")</f>
        <v>1880</v>
      </c>
      <c r="O2562" s="86">
        <v>1721158</v>
      </c>
      <c r="R2562" s="86" t="str">
        <f>_xlfn.CONCAT(表格1[[#This Row],[Model]]," ",表格1[[#This Row],[inv no]])</f>
        <v>GR-RB221WE-PMA(57) 1721158</v>
      </c>
      <c r="S2562" s="86">
        <f>_xlfn.XLOOKUP(表格1[[#This Row],[Model]],表格3[Model-Input-Ref2],表格3[SRP PRICE])</f>
        <v>3480</v>
      </c>
      <c r="T2562" s="43">
        <f>表格1[[#This Row],[Unit Price]]/表格1[[#This Row],[SRP]]</f>
        <v>0.54022988505747127</v>
      </c>
      <c r="U2562" s="86" t="str">
        <f>_xlfn.XLOOKUP(表格1[[#This Row],[Model]],表格3[Model-Input-Ref2],表格3[TOSHIBA/HIGHEST])</f>
        <v>Toshiba SRP</v>
      </c>
      <c r="W2562" s="86" t="str">
        <f>_xlfn.CONCAT(表格1[[#This Row],[欄4]],表格1[[#This Row],[inv no]])</f>
        <v>1721158</v>
      </c>
    </row>
    <row r="2563" spans="1:23" hidden="1">
      <c r="A2563" s="81">
        <v>2561</v>
      </c>
      <c r="B2563" s="86" t="s">
        <v>1477</v>
      </c>
      <c r="C2563" s="86" t="s">
        <v>1860</v>
      </c>
      <c r="D2563" s="82" t="str">
        <f ca="1">OFFSET(Roster!$A$3,MATCH(表格1[[#This Row],[Location]]&amp;" "&amp;表格1[[#This Row],[Shop]]&amp;"*",Roster!$A$4:$A$72,0),DAY(表格1[[#This Row],[date]]),1,1)</f>
        <v>Kiko</v>
      </c>
      <c r="E2563" s="86">
        <f>MONTH(表格1[[#This Row],[date]])</f>
        <v>3</v>
      </c>
      <c r="F2563" s="90">
        <v>46097</v>
      </c>
      <c r="G2563" s="86" t="str">
        <f>VLOOKUP("*"&amp;表格1[[#This Row],[Input]]&amp;"*",'Ref-List'!$B:$D,2,)</f>
        <v>RAD-D300H</v>
      </c>
      <c r="H2563" s="86" t="str">
        <f>_xlfn.XLOOKUP(表格1[[#This Row],[Model]],表格3[Model-Input-Ref2],表格3[Product Line])</f>
        <v>壓縮式抽濕機 (30公升)</v>
      </c>
      <c r="I2563" s="86" t="str">
        <f>_xlfn.XLOOKUP(表格1[[#This Row],[Model]],表格3[Model-Input-Ref2],表格3[大小電])</f>
        <v>細電</v>
      </c>
      <c r="J2563" s="86" t="str">
        <f>_xlfn.XLOOKUP(表格1[[#This Row],[Model]],表格3[Model-Input-Ref2],表格3[Code])</f>
        <v>RAC</v>
      </c>
      <c r="K2563" s="89" t="s">
        <v>1252</v>
      </c>
      <c r="L2563" s="86">
        <v>1</v>
      </c>
      <c r="M2563" s="87">
        <v>2280</v>
      </c>
      <c r="N2563" s="85">
        <f>IFERROR(表格1[[#This Row],[QTY]]*表格1[[#This Row],[Unit Price]],"-")</f>
        <v>2280</v>
      </c>
      <c r="O2563" s="86">
        <v>1511279</v>
      </c>
      <c r="R2563" s="86" t="str">
        <f>_xlfn.CONCAT(表格1[[#This Row],[Model]]," ",表格1[[#This Row],[inv no]])</f>
        <v>RAD-D300H 1511279</v>
      </c>
      <c r="S2563" s="86">
        <f>_xlfn.XLOOKUP(表格1[[#This Row],[Model]],表格3[Model-Input-Ref2],表格3[SRP PRICE])</f>
        <v>3380</v>
      </c>
      <c r="T2563" s="43">
        <f>表格1[[#This Row],[Unit Price]]/表格1[[#This Row],[SRP]]</f>
        <v>0.67455621301775148</v>
      </c>
      <c r="U2563" s="86" t="str">
        <f>_xlfn.XLOOKUP(表格1[[#This Row],[Model]],表格3[Model-Input-Ref2],表格3[TOSHIBA/HIGHEST])</f>
        <v>Shops Highest Price</v>
      </c>
      <c r="W2563" s="86" t="str">
        <f>_xlfn.CONCAT(表格1[[#This Row],[欄4]],表格1[[#This Row],[inv no]])</f>
        <v>1511279</v>
      </c>
    </row>
    <row r="2564" spans="1:23" hidden="1">
      <c r="A2564" s="81">
        <v>2562</v>
      </c>
      <c r="B2564" s="86" t="s">
        <v>1477</v>
      </c>
      <c r="C2564" s="86" t="s">
        <v>1860</v>
      </c>
      <c r="D2564" s="82" t="str">
        <f ca="1">OFFSET(Roster!$A$3,MATCH(表格1[[#This Row],[Location]]&amp;" "&amp;表格1[[#This Row],[Shop]]&amp;"*",Roster!$A$4:$A$72,0),DAY(表格1[[#This Row],[date]]),1,1)</f>
        <v>Kiko</v>
      </c>
      <c r="E2564" s="86">
        <f>MONTH(表格1[[#This Row],[date]])</f>
        <v>3</v>
      </c>
      <c r="F2564" s="90">
        <v>46097</v>
      </c>
      <c r="G2564" s="86" t="str">
        <f>VLOOKUP("*"&amp;表格1[[#This Row],[Input]]&amp;"*",'Ref-List'!$B:$D,2,)</f>
        <v>IC-S19RH</v>
      </c>
      <c r="H2564" s="86" t="str">
        <f>_xlfn.XLOOKUP(表格1[[#This Row],[Model]],表格3[Model-Input-Ref2],表格3[Product Line])</f>
        <v>輕便式電磁爐7個功能</v>
      </c>
      <c r="I2564" s="86" t="str">
        <f>_xlfn.XLOOKUP(表格1[[#This Row],[Model]],表格3[Model-Input-Ref2],表格3[大小電])</f>
        <v>細電</v>
      </c>
      <c r="J2564" s="86" t="str">
        <f>_xlfn.XLOOKUP(表格1[[#This Row],[Model]],表格3[Model-Input-Ref2],表格3[Code])</f>
        <v>SDA</v>
      </c>
      <c r="K2564" s="89" t="s">
        <v>1289</v>
      </c>
      <c r="L2564" s="86">
        <v>1</v>
      </c>
      <c r="M2564" s="87">
        <v>418</v>
      </c>
      <c r="N2564" s="85">
        <f>IFERROR(表格1[[#This Row],[QTY]]*表格1[[#This Row],[Unit Price]],"-")</f>
        <v>418</v>
      </c>
      <c r="O2564" s="86">
        <v>1721146</v>
      </c>
      <c r="R2564" s="86" t="str">
        <f>_xlfn.CONCAT(表格1[[#This Row],[Model]]," ",表格1[[#This Row],[inv no]])</f>
        <v>IC-S19RH 1721146</v>
      </c>
      <c r="S2564" s="86">
        <f>_xlfn.XLOOKUP(表格1[[#This Row],[Model]],表格3[Model-Input-Ref2],表格3[SRP PRICE])</f>
        <v>638</v>
      </c>
      <c r="T2564" s="43">
        <f>表格1[[#This Row],[Unit Price]]/表格1[[#This Row],[SRP]]</f>
        <v>0.65517241379310343</v>
      </c>
      <c r="U2564" s="86" t="str">
        <f>_xlfn.XLOOKUP(表格1[[#This Row],[Model]],表格3[Model-Input-Ref2],表格3[TOSHIBA/HIGHEST])</f>
        <v>Toshiba SRP</v>
      </c>
      <c r="W2564" s="86" t="str">
        <f>_xlfn.CONCAT(表格1[[#This Row],[欄4]],表格1[[#This Row],[inv no]])</f>
        <v>1721146</v>
      </c>
    </row>
    <row r="2565" spans="1:23" hidden="1">
      <c r="A2565" s="81">
        <v>2563</v>
      </c>
      <c r="B2565" s="86" t="s">
        <v>1477</v>
      </c>
      <c r="C2565" s="86" t="s">
        <v>1860</v>
      </c>
      <c r="D2565" s="82" t="str">
        <f ca="1">OFFSET(Roster!$A$3,MATCH(表格1[[#This Row],[Location]]&amp;" "&amp;表格1[[#This Row],[Shop]]&amp;"*",Roster!$A$4:$A$72,0),DAY(表格1[[#This Row],[date]]),1,1)</f>
        <v>Kiko</v>
      </c>
      <c r="E2565" s="86">
        <f>MONTH(表格1[[#This Row],[date]])</f>
        <v>3</v>
      </c>
      <c r="F2565" s="90">
        <v>46098</v>
      </c>
      <c r="G2565" s="86" t="str">
        <f>VLOOKUP("*"&amp;表格1[[#This Row],[Input]]&amp;"*",'Ref-List'!$B:$D,2,)</f>
        <v>GR-H713(WH)</v>
      </c>
      <c r="H2565" s="86" t="str">
        <f>_xlfn.XLOOKUP(表格1[[#This Row],[Model]],表格3[Model-Input-Ref2],表格3[Product Line])</f>
        <v>單門直冷式環保雪櫃44L</v>
      </c>
      <c r="I2565" s="86" t="str">
        <f>_xlfn.XLOOKUP(表格1[[#This Row],[Model]],表格3[Model-Input-Ref2],表格3[大小電])</f>
        <v>大電</v>
      </c>
      <c r="J2565" s="86" t="str">
        <f>_xlfn.XLOOKUP(表格1[[#This Row],[Model]],表格3[Model-Input-Ref2],表格3[Code])</f>
        <v>REF</v>
      </c>
      <c r="K2565" s="89" t="s">
        <v>1861</v>
      </c>
      <c r="L2565" s="86">
        <v>1</v>
      </c>
      <c r="M2565" s="87">
        <v>1420</v>
      </c>
      <c r="N2565" s="85">
        <f>IFERROR(表格1[[#This Row],[QTY]]*表格1[[#This Row],[Unit Price]],"-")</f>
        <v>1420</v>
      </c>
      <c r="O2565" s="86">
        <v>1326504</v>
      </c>
      <c r="R2565" s="86" t="str">
        <f>_xlfn.CONCAT(表格1[[#This Row],[Model]]," ",表格1[[#This Row],[inv no]])</f>
        <v>GR-H713(WH) 1326504</v>
      </c>
      <c r="S2565" s="86">
        <f>_xlfn.XLOOKUP(表格1[[#This Row],[Model]],表格3[Model-Input-Ref2],表格3[SRP PRICE])</f>
        <v>1780</v>
      </c>
      <c r="T2565" s="43">
        <f>表格1[[#This Row],[Unit Price]]/表格1[[#This Row],[SRP]]</f>
        <v>0.797752808988764</v>
      </c>
      <c r="U2565" s="86" t="str">
        <f>_xlfn.XLOOKUP(表格1[[#This Row],[Model]],表格3[Model-Input-Ref2],表格3[TOSHIBA/HIGHEST])</f>
        <v>Toshiba SRP</v>
      </c>
      <c r="W2565" s="86" t="str">
        <f>_xlfn.CONCAT(表格1[[#This Row],[欄4]],表格1[[#This Row],[inv no]])</f>
        <v>1326504</v>
      </c>
    </row>
    <row r="2566" spans="1:23" hidden="1">
      <c r="A2566" s="81">
        <v>2564</v>
      </c>
      <c r="B2566" s="86" t="s">
        <v>1477</v>
      </c>
      <c r="C2566" s="86" t="s">
        <v>1860</v>
      </c>
      <c r="D2566" s="82" t="str">
        <f ca="1">OFFSET(Roster!$A$3,MATCH(表格1[[#This Row],[Location]]&amp;" "&amp;表格1[[#This Row],[Shop]]&amp;"*",Roster!$A$4:$A$72,0),DAY(表格1[[#This Row],[date]]),1,1)</f>
        <v>Kiko</v>
      </c>
      <c r="E2566" s="86">
        <f>MONTH(表格1[[#This Row],[date]])</f>
        <v>3</v>
      </c>
      <c r="F2566" s="90">
        <v>46098</v>
      </c>
      <c r="G2566" s="86" t="str">
        <f>VLOOKUP("*"&amp;表格1[[#This Row],[Input]]&amp;"*",'Ref-List'!$B:$D,2,)</f>
        <v>ET-TD7080(PN)</v>
      </c>
      <c r="H2566" s="86" t="str">
        <f>_xlfn.XLOOKUP(表格1[[#This Row],[Model]],表格3[Model-Input-Ref2],表格3[Product Line])</f>
        <v>多士焗爐8L</v>
      </c>
      <c r="I2566" s="86" t="str">
        <f>_xlfn.XLOOKUP(表格1[[#This Row],[Model]],表格3[Model-Input-Ref2],表格3[大小電])</f>
        <v>細電</v>
      </c>
      <c r="J2566" s="86" t="str">
        <f>_xlfn.XLOOKUP(表格1[[#This Row],[Model]],表格3[Model-Input-Ref2],表格3[Code])</f>
        <v>SDA</v>
      </c>
      <c r="K2566" s="89">
        <v>7080</v>
      </c>
      <c r="L2566" s="86">
        <v>1</v>
      </c>
      <c r="M2566" s="87">
        <v>338</v>
      </c>
      <c r="N2566" s="85">
        <f>IFERROR(表格1[[#This Row],[QTY]]*表格1[[#This Row],[Unit Price]],"-")</f>
        <v>338</v>
      </c>
      <c r="O2566" s="86">
        <v>1326635</v>
      </c>
      <c r="R2566" s="86" t="str">
        <f>_xlfn.CONCAT(表格1[[#This Row],[Model]]," ",表格1[[#This Row],[inv no]])</f>
        <v>ET-TD7080(PN) 1326635</v>
      </c>
      <c r="S2566" s="86">
        <f>_xlfn.XLOOKUP(表格1[[#This Row],[Model]],表格3[Model-Input-Ref2],表格3[SRP PRICE])</f>
        <v>498</v>
      </c>
      <c r="T2566" s="43">
        <f>表格1[[#This Row],[Unit Price]]/表格1[[#This Row],[SRP]]</f>
        <v>0.67871485943775101</v>
      </c>
      <c r="U2566" s="86" t="str">
        <f>_xlfn.XLOOKUP(表格1[[#This Row],[Model]],表格3[Model-Input-Ref2],表格3[TOSHIBA/HIGHEST])</f>
        <v>Toshiba SRP</v>
      </c>
      <c r="W2566" s="86" t="str">
        <f>_xlfn.CONCAT(表格1[[#This Row],[欄4]],表格1[[#This Row],[inv no]])</f>
        <v>1326635</v>
      </c>
    </row>
    <row r="2567" spans="1:23" hidden="1">
      <c r="A2567" s="81">
        <v>2565</v>
      </c>
      <c r="B2567" s="86" t="s">
        <v>1477</v>
      </c>
      <c r="C2567" s="86" t="s">
        <v>1860</v>
      </c>
      <c r="D2567" s="82" t="str">
        <f ca="1">OFFSET(Roster!$A$3,MATCH(表格1[[#This Row],[Location]]&amp;" "&amp;表格1[[#This Row],[Shop]]&amp;"*",Roster!$A$4:$A$72,0),DAY(表格1[[#This Row],[date]]),1,1)</f>
        <v>Kiko</v>
      </c>
      <c r="E2567" s="86">
        <f>MONTH(表格1[[#This Row],[date]])</f>
        <v>3</v>
      </c>
      <c r="F2567" s="90">
        <v>46098</v>
      </c>
      <c r="G2567" s="86" t="str">
        <f>VLOOKUP("*"&amp;表格1[[#This Row],[Input]]&amp;"*",'Ref-List'!$B:$D,2,)</f>
        <v>CFK01W80</v>
      </c>
      <c r="H2567" s="86" t="str">
        <f>_xlfn.XLOOKUP(表格1[[#This Row],[Model]],表格3[Model-Input-Ref2],表格3[Product Line])</f>
        <v>變頻頂揭式洗衣機 (8公斤)</v>
      </c>
      <c r="I2567" s="86" t="str">
        <f>_xlfn.XLOOKUP(表格1[[#This Row],[Model]],表格3[Model-Input-Ref2],表格3[大小電])</f>
        <v>大電</v>
      </c>
      <c r="J2567" s="86" t="str">
        <f>_xlfn.XLOOKUP(表格1[[#This Row],[Model]],表格3[Model-Input-Ref2],表格3[Code])</f>
        <v>LAD</v>
      </c>
      <c r="K2567" s="89" t="s">
        <v>1483</v>
      </c>
      <c r="L2567" s="86">
        <v>1</v>
      </c>
      <c r="M2567" s="87">
        <v>3690</v>
      </c>
      <c r="N2567" s="85">
        <f>IFERROR(表格1[[#This Row],[QTY]]*表格1[[#This Row],[Unit Price]],"-")</f>
        <v>3690</v>
      </c>
      <c r="O2567" s="86">
        <v>1326538</v>
      </c>
      <c r="R2567" s="86" t="str">
        <f>_xlfn.CONCAT(表格1[[#This Row],[Model]]," ",表格1[[#This Row],[inv no]])</f>
        <v>CFK01W80 1326538</v>
      </c>
      <c r="S2567" s="86">
        <f>_xlfn.XLOOKUP(表格1[[#This Row],[Model]],表格3[Model-Input-Ref2],表格3[SRP PRICE])</f>
        <v>3690</v>
      </c>
      <c r="T2567" s="43">
        <f>表格1[[#This Row],[Unit Price]]/表格1[[#This Row],[SRP]]</f>
        <v>1</v>
      </c>
      <c r="U2567" s="86" t="str">
        <f>_xlfn.XLOOKUP(表格1[[#This Row],[Model]],表格3[Model-Input-Ref2],表格3[TOSHIBA/HIGHEST])</f>
        <v>Shops Highest Price</v>
      </c>
      <c r="W2567" s="86" t="str">
        <f>_xlfn.CONCAT(表格1[[#This Row],[欄4]],表格1[[#This Row],[inv no]])</f>
        <v>1326538</v>
      </c>
    </row>
    <row r="2568" spans="1:23" hidden="1">
      <c r="A2568" s="81">
        <v>2566</v>
      </c>
      <c r="B2568" s="86" t="s">
        <v>1477</v>
      </c>
      <c r="C2568" s="86" t="s">
        <v>1860</v>
      </c>
      <c r="D2568" s="82" t="str">
        <f ca="1">OFFSET(Roster!$A$3,MATCH(表格1[[#This Row],[Location]]&amp;" "&amp;表格1[[#This Row],[Shop]]&amp;"*",Roster!$A$4:$A$72,0),DAY(表格1[[#This Row],[date]]),1,1)</f>
        <v>Kiko</v>
      </c>
      <c r="E2568" s="86">
        <f>MONTH(表格1[[#This Row],[date]])</f>
        <v>3</v>
      </c>
      <c r="F2568" s="90">
        <v>46098</v>
      </c>
      <c r="G2568" s="86" t="str">
        <f>VLOOKUP("*"&amp;表格1[[#This Row],[Input]]&amp;"*",'Ref-List'!$B:$D,2,)</f>
        <v>RC-5MMIH(WT)</v>
      </c>
      <c r="H2568" s="86" t="str">
        <f>_xlfn.XLOOKUP(表格1[[#This Row],[Model]],表格3[Model-Input-Ref2],表格3[Product Line])</f>
        <v>4毫米厚釜電飯煲0.54L</v>
      </c>
      <c r="I2568" s="86" t="str">
        <f>_xlfn.XLOOKUP(表格1[[#This Row],[Model]],表格3[Model-Input-Ref2],表格3[大小電])</f>
        <v>細電</v>
      </c>
      <c r="J2568" s="86" t="str">
        <f>_xlfn.XLOOKUP(表格1[[#This Row],[Model]],表格3[Model-Input-Ref2],表格3[Code])</f>
        <v>SDA</v>
      </c>
      <c r="K2568" s="89" t="s">
        <v>1195</v>
      </c>
      <c r="L2568" s="86">
        <v>1</v>
      </c>
      <c r="M2568" s="87">
        <v>557</v>
      </c>
      <c r="N2568" s="85">
        <f>IFERROR(表格1[[#This Row],[QTY]]*表格1[[#This Row],[Unit Price]],"-")</f>
        <v>557</v>
      </c>
      <c r="O2568" s="86">
        <v>1721297</v>
      </c>
      <c r="R2568" s="86" t="str">
        <f>_xlfn.CONCAT(表格1[[#This Row],[Model]]," ",表格1[[#This Row],[inv no]])</f>
        <v>RC-5MMIH(WT) 1721297</v>
      </c>
      <c r="S2568" s="86">
        <f>_xlfn.XLOOKUP(表格1[[#This Row],[Model]],表格3[Model-Input-Ref2],表格3[SRP PRICE])</f>
        <v>618</v>
      </c>
      <c r="T2568" s="43">
        <f>表格1[[#This Row],[Unit Price]]/表格1[[#This Row],[SRP]]</f>
        <v>0.90129449838187703</v>
      </c>
      <c r="U2568" s="86" t="str">
        <f>_xlfn.XLOOKUP(表格1[[#This Row],[Model]],表格3[Model-Input-Ref2],表格3[TOSHIBA/HIGHEST])</f>
        <v>Toshiba SRP</v>
      </c>
      <c r="W2568" s="86" t="str">
        <f>_xlfn.CONCAT(表格1[[#This Row],[欄4]],表格1[[#This Row],[inv no]])</f>
        <v>1721297</v>
      </c>
    </row>
    <row r="2569" spans="1:23" hidden="1">
      <c r="A2569" s="81">
        <v>2567</v>
      </c>
      <c r="B2569" s="86" t="s">
        <v>1477</v>
      </c>
      <c r="C2569" s="86" t="s">
        <v>1860</v>
      </c>
      <c r="D2569" s="82" t="str">
        <f ca="1">OFFSET(Roster!$A$3,MATCH(表格1[[#This Row],[Location]]&amp;" "&amp;表格1[[#This Row],[Shop]]&amp;"*",Roster!$A$4:$A$72,0),DAY(表格1[[#This Row],[date]]),1,1)</f>
        <v>Kiko</v>
      </c>
      <c r="E2569" s="86">
        <f>MONTH(表格1[[#This Row],[date]])</f>
        <v>3</v>
      </c>
      <c r="F2569" s="90">
        <v>46099</v>
      </c>
      <c r="G2569" s="86" t="str">
        <f>VLOOKUP("*"&amp;表格1[[#This Row],[Input]]&amp;"*",'Ref-List'!$B:$D,2,)</f>
        <v>DW-05T2-HK</v>
      </c>
      <c r="H2569" s="86" t="str">
        <f>_xlfn.XLOOKUP(表格1[[#This Row],[Model]],表格3[Model-Input-Ref2],表格3[Product Line])</f>
        <v>座檯式洗碗碟機</v>
      </c>
      <c r="I2569" s="86" t="str">
        <f>_xlfn.XLOOKUP(表格1[[#This Row],[Model]],表格3[Model-Input-Ref2],表格3[大小電])</f>
        <v>細電</v>
      </c>
      <c r="J2569" s="86" t="str">
        <f>_xlfn.XLOOKUP(表格1[[#This Row],[Model]],表格3[Model-Input-Ref2],表格3[Code])</f>
        <v>DW</v>
      </c>
      <c r="K2569" s="89" t="s">
        <v>1475</v>
      </c>
      <c r="L2569" s="86">
        <v>1</v>
      </c>
      <c r="M2569" s="87">
        <v>3780</v>
      </c>
      <c r="N2569" s="85">
        <f>IFERROR(表格1[[#This Row],[QTY]]*表格1[[#This Row],[Unit Price]],"-")</f>
        <v>3780</v>
      </c>
      <c r="O2569" s="86">
        <v>1326591</v>
      </c>
      <c r="R2569" s="86" t="str">
        <f>_xlfn.CONCAT(表格1[[#This Row],[Model]]," ",表格1[[#This Row],[inv no]])</f>
        <v>DW-05T2-HK 1326591</v>
      </c>
      <c r="S2569" s="86">
        <f>_xlfn.XLOOKUP(表格1[[#This Row],[Model]],表格3[Model-Input-Ref2],表格3[SRP PRICE])</f>
        <v>4580</v>
      </c>
      <c r="T2569" s="43">
        <f>表格1[[#This Row],[Unit Price]]/表格1[[#This Row],[SRP]]</f>
        <v>0.8253275109170306</v>
      </c>
      <c r="U2569" s="86" t="str">
        <f>_xlfn.XLOOKUP(表格1[[#This Row],[Model]],表格3[Model-Input-Ref2],表格3[TOSHIBA/HIGHEST])</f>
        <v>Toshiba SRP</v>
      </c>
      <c r="W2569" s="86" t="str">
        <f>_xlfn.CONCAT(表格1[[#This Row],[欄4]],表格1[[#This Row],[inv no]])</f>
        <v>1326591</v>
      </c>
    </row>
    <row r="2570" spans="1:23" hidden="1">
      <c r="A2570" s="81">
        <v>2568</v>
      </c>
      <c r="B2570" s="86" t="s">
        <v>1477</v>
      </c>
      <c r="C2570" s="86" t="s">
        <v>1860</v>
      </c>
      <c r="D2570" s="82" t="str">
        <f ca="1">OFFSET(Roster!$A$3,MATCH(表格1[[#This Row],[Location]]&amp;" "&amp;表格1[[#This Row],[Shop]]&amp;"*",Roster!$A$4:$A$72,0),DAY(表格1[[#This Row],[date]]),1,1)</f>
        <v>Kiko</v>
      </c>
      <c r="E2570" s="86">
        <f>MONTH(表格1[[#This Row],[date]])</f>
        <v>3</v>
      </c>
      <c r="F2570" s="90">
        <v>46099</v>
      </c>
      <c r="G2570" s="86" t="str">
        <f>VLOOKUP("*"&amp;表格1[[#This Row],[Input]]&amp;"*",'Ref-List'!$B:$D,2,)</f>
        <v>PLK-30FLIH(WT)</v>
      </c>
      <c r="H2570" s="86" t="str">
        <f>_xlfn.XLOOKUP(表格1[[#This Row],[Model]],表格3[Model-Input-Ref2],表格3[Product Line])</f>
        <v>電熱水瓶3L</v>
      </c>
      <c r="I2570" s="86" t="str">
        <f>_xlfn.XLOOKUP(表格1[[#This Row],[Model]],表格3[Model-Input-Ref2],表格3[大小電])</f>
        <v>細電</v>
      </c>
      <c r="J2570" s="86" t="str">
        <f>_xlfn.XLOOKUP(表格1[[#This Row],[Model]],表格3[Model-Input-Ref2],表格3[Code])</f>
        <v>SDA</v>
      </c>
      <c r="K2570" s="89" t="s">
        <v>1272</v>
      </c>
      <c r="L2570" s="86">
        <v>1</v>
      </c>
      <c r="M2570" s="87">
        <v>489</v>
      </c>
      <c r="N2570" s="85">
        <f>IFERROR(表格1[[#This Row],[QTY]]*表格1[[#This Row],[Unit Price]],"-")</f>
        <v>489</v>
      </c>
      <c r="O2570" s="86">
        <v>1721467</v>
      </c>
      <c r="R2570" s="86" t="str">
        <f>_xlfn.CONCAT(表格1[[#This Row],[Model]]," ",表格1[[#This Row],[inv no]])</f>
        <v>PLK-30FLIH(WT) 1721467</v>
      </c>
      <c r="S2570" s="86">
        <f>_xlfn.XLOOKUP(表格1[[#This Row],[Model]],表格3[Model-Input-Ref2],表格3[SRP PRICE])</f>
        <v>658</v>
      </c>
      <c r="T2570" s="43">
        <f>表格1[[#This Row],[Unit Price]]/表格1[[#This Row],[SRP]]</f>
        <v>0.74316109422492405</v>
      </c>
      <c r="U2570" s="86" t="str">
        <f>_xlfn.XLOOKUP(表格1[[#This Row],[Model]],表格3[Model-Input-Ref2],表格3[TOSHIBA/HIGHEST])</f>
        <v>Toshiba SRP</v>
      </c>
      <c r="W2570" s="86" t="str">
        <f>_xlfn.CONCAT(表格1[[#This Row],[欄4]],表格1[[#This Row],[inv no]])</f>
        <v>1721467</v>
      </c>
    </row>
    <row r="2571" spans="1:23" hidden="1">
      <c r="A2571" s="81">
        <v>2569</v>
      </c>
      <c r="B2571" s="86" t="s">
        <v>1477</v>
      </c>
      <c r="C2571" s="86" t="s">
        <v>1860</v>
      </c>
      <c r="D2571" s="82" t="str">
        <f ca="1">OFFSET(Roster!$A$3,MATCH(表格1[[#This Row],[Location]]&amp;" "&amp;表格1[[#This Row],[Shop]]&amp;"*",Roster!$A$4:$A$72,0),DAY(表格1[[#This Row],[date]]),1,1)</f>
        <v>Kiko</v>
      </c>
      <c r="E2571" s="86">
        <f>MONTH(表格1[[#This Row],[date]])</f>
        <v>3</v>
      </c>
      <c r="F2571" s="90">
        <v>46099</v>
      </c>
      <c r="G2571" s="86" t="str">
        <f>VLOOKUP("*"&amp;表格1[[#This Row],[Input]]&amp;"*",'Ref-List'!$B:$D,2,)</f>
        <v>KT-15DRTHK(W)</v>
      </c>
      <c r="H2571" s="86" t="str">
        <f>_xlfn.XLOOKUP(表格1[[#This Row],[Model]],表格3[Model-Input-Ref2],表格3[Product Line])</f>
        <v>無線雙層電熱水壺-附可鎖壺蓋</v>
      </c>
      <c r="I2571" s="86" t="str">
        <f>_xlfn.XLOOKUP(表格1[[#This Row],[Model]],表格3[Model-Input-Ref2],表格3[大小電])</f>
        <v>細電</v>
      </c>
      <c r="J2571" s="86" t="str">
        <f>_xlfn.XLOOKUP(表格1[[#This Row],[Model]],表格3[Model-Input-Ref2],表格3[Code])</f>
        <v>SDA</v>
      </c>
      <c r="K2571" s="89" t="s">
        <v>1278</v>
      </c>
      <c r="L2571" s="86">
        <v>1</v>
      </c>
      <c r="M2571" s="87">
        <v>358</v>
      </c>
      <c r="N2571" s="85">
        <f>IFERROR(表格1[[#This Row],[QTY]]*表格1[[#This Row],[Unit Price]],"-")</f>
        <v>358</v>
      </c>
      <c r="O2571" s="86">
        <v>1326657</v>
      </c>
      <c r="R2571" s="86" t="str">
        <f>_xlfn.CONCAT(表格1[[#This Row],[Model]]," ",表格1[[#This Row],[inv no]])</f>
        <v>KT-15DRTHK(W) 1326657</v>
      </c>
      <c r="S2571" s="86">
        <f>_xlfn.XLOOKUP(表格1[[#This Row],[Model]],表格3[Model-Input-Ref2],表格3[SRP PRICE])</f>
        <v>598</v>
      </c>
      <c r="T2571" s="43">
        <f>表格1[[#This Row],[Unit Price]]/表格1[[#This Row],[SRP]]</f>
        <v>0.59866220735785958</v>
      </c>
      <c r="U2571" s="86" t="str">
        <f>_xlfn.XLOOKUP(表格1[[#This Row],[Model]],表格3[Model-Input-Ref2],表格3[TOSHIBA/HIGHEST])</f>
        <v>Toshiba SRP</v>
      </c>
      <c r="W2571" s="86" t="str">
        <f>_xlfn.CONCAT(表格1[[#This Row],[欄4]],表格1[[#This Row],[inv no]])</f>
        <v>1326657</v>
      </c>
    </row>
    <row r="2572" spans="1:23" hidden="1">
      <c r="A2572" s="81">
        <v>2570</v>
      </c>
      <c r="B2572" s="86" t="s">
        <v>1477</v>
      </c>
      <c r="C2572" s="86" t="s">
        <v>1860</v>
      </c>
      <c r="D2572" s="82" t="str">
        <f ca="1">OFFSET(Roster!$A$3,MATCH(表格1[[#This Row],[Location]]&amp;" "&amp;表格1[[#This Row],[Shop]]&amp;"*",Roster!$A$4:$A$72,0),DAY(表格1[[#This Row],[date]]),1,1)</f>
        <v>Kiko</v>
      </c>
      <c r="E2572" s="86">
        <f>MONTH(表格1[[#This Row],[date]])</f>
        <v>3</v>
      </c>
      <c r="F2572" s="90">
        <v>46099</v>
      </c>
      <c r="G2572" s="86" t="str">
        <f>VLOOKUP("*"&amp;表格1[[#This Row],[Input]]&amp;"*",'Ref-List'!$B:$D,2,)</f>
        <v>KT-17DRTHK(H)</v>
      </c>
      <c r="H2572" s="86" t="str">
        <f>_xlfn.XLOOKUP(表格1[[#This Row],[Model]],表格3[Model-Input-Ref2],表格3[Product Line])</f>
        <v>無線雙層電熱水壺(1.7公升)</v>
      </c>
      <c r="I2572" s="86" t="str">
        <f>_xlfn.XLOOKUP(表格1[[#This Row],[Model]],表格3[Model-Input-Ref2],表格3[大小電])</f>
        <v>細電</v>
      </c>
      <c r="J2572" s="86" t="str">
        <f>_xlfn.XLOOKUP(表格1[[#This Row],[Model]],表格3[Model-Input-Ref2],表格3[Code])</f>
        <v>SDA</v>
      </c>
      <c r="K2572" s="89" t="s">
        <v>1271</v>
      </c>
      <c r="L2572" s="86">
        <v>1</v>
      </c>
      <c r="M2572" s="87">
        <v>388</v>
      </c>
      <c r="N2572" s="85">
        <f>IFERROR(表格1[[#This Row],[QTY]]*表格1[[#This Row],[Unit Price]],"-")</f>
        <v>388</v>
      </c>
      <c r="O2572" s="86">
        <v>1721468</v>
      </c>
      <c r="R2572" s="86" t="str">
        <f>_xlfn.CONCAT(表格1[[#This Row],[Model]]," ",表格1[[#This Row],[inv no]])</f>
        <v>KT-17DRTHK(H) 1721468</v>
      </c>
      <c r="S2572" s="86">
        <f>_xlfn.XLOOKUP(表格1[[#This Row],[Model]],表格3[Model-Input-Ref2],表格3[SRP PRICE])</f>
        <v>498</v>
      </c>
      <c r="T2572" s="43">
        <f>表格1[[#This Row],[Unit Price]]/表格1[[#This Row],[SRP]]</f>
        <v>0.77911646586345384</v>
      </c>
      <c r="U2572" s="86" t="str">
        <f>_xlfn.XLOOKUP(表格1[[#This Row],[Model]],表格3[Model-Input-Ref2],表格3[TOSHIBA/HIGHEST])</f>
        <v>Toshiba SRP</v>
      </c>
      <c r="W2572" s="86" t="str">
        <f>_xlfn.CONCAT(表格1[[#This Row],[欄4]],表格1[[#This Row],[inv no]])</f>
        <v>1721468</v>
      </c>
    </row>
    <row r="2573" spans="1:23" hidden="1">
      <c r="A2573" s="81">
        <v>2571</v>
      </c>
      <c r="B2573" s="86" t="s">
        <v>1477</v>
      </c>
      <c r="C2573" s="86" t="s">
        <v>1860</v>
      </c>
      <c r="D2573" s="82" t="str">
        <f ca="1">OFFSET(Roster!$A$3,MATCH(表格1[[#This Row],[Location]]&amp;" "&amp;表格1[[#This Row],[Shop]]&amp;"*",Roster!$A$4:$A$72,0),DAY(表格1[[#This Row],[date]]),1,1)</f>
        <v>Kiko</v>
      </c>
      <c r="E2573" s="86">
        <f>MONTH(表格1[[#This Row],[date]])</f>
        <v>3</v>
      </c>
      <c r="F2573" s="90">
        <v>46099</v>
      </c>
      <c r="G2573" s="86" t="str">
        <f>VLOOKUP("*"&amp;表格1[[#This Row],[Input]]&amp;"*",'Ref-List'!$B:$D,2,)</f>
        <v>TW-T21BU80UWH(MG)</v>
      </c>
      <c r="H2573" s="86" t="str">
        <f>_xlfn.XLOOKUP(表格1[[#This Row],[Model]],表格3[Model-Input-Ref2],表格3[Product Line])</f>
        <v>400MM超薄身前置式變頻洗衣機(7公斤)</v>
      </c>
      <c r="I2573" s="86" t="str">
        <f>_xlfn.XLOOKUP(表格1[[#This Row],[Model]],表格3[Model-Input-Ref2],表格3[大小電])</f>
        <v>大電</v>
      </c>
      <c r="J2573" s="86" t="str">
        <f>_xlfn.XLOOKUP(表格1[[#This Row],[Model]],表格3[Model-Input-Ref2],表格3[Code])</f>
        <v>LAD</v>
      </c>
      <c r="K2573" s="89" t="s">
        <v>1280</v>
      </c>
      <c r="L2573" s="86">
        <v>1</v>
      </c>
      <c r="M2573" s="87">
        <v>2983</v>
      </c>
      <c r="N2573" s="85">
        <f>IFERROR(表格1[[#This Row],[QTY]]*表格1[[#This Row],[Unit Price]],"-")</f>
        <v>2983</v>
      </c>
      <c r="O2573" s="86">
        <v>1721707</v>
      </c>
      <c r="R2573" s="86" t="str">
        <f>_xlfn.CONCAT(表格1[[#This Row],[Model]]," ",表格1[[#This Row],[inv no]])</f>
        <v>TW-T21BU80UWH(MG) 1721707</v>
      </c>
      <c r="S2573" s="86">
        <f>_xlfn.XLOOKUP(表格1[[#This Row],[Model]],表格3[Model-Input-Ref2],表格3[SRP PRICE])</f>
        <v>5180</v>
      </c>
      <c r="T2573" s="43">
        <f>表格1[[#This Row],[Unit Price]]/表格1[[#This Row],[SRP]]</f>
        <v>0.57586872586872584</v>
      </c>
      <c r="U2573" s="86" t="str">
        <f>_xlfn.XLOOKUP(表格1[[#This Row],[Model]],表格3[Model-Input-Ref2],表格3[TOSHIBA/HIGHEST])</f>
        <v>Toshiba SRP</v>
      </c>
      <c r="W2573" s="86" t="str">
        <f>_xlfn.CONCAT(表格1[[#This Row],[欄4]],表格1[[#This Row],[inv no]])</f>
        <v>1721707</v>
      </c>
    </row>
    <row r="2574" spans="1:23" hidden="1">
      <c r="A2574" s="81">
        <v>2572</v>
      </c>
      <c r="B2574" s="86" t="s">
        <v>1477</v>
      </c>
      <c r="C2574" s="86" t="s">
        <v>1860</v>
      </c>
      <c r="D2574" s="82" t="str">
        <f ca="1">OFFSET(Roster!$A$3,MATCH(表格1[[#This Row],[Location]]&amp;" "&amp;表格1[[#This Row],[Shop]]&amp;"*",Roster!$A$4:$A$72,0),DAY(表格1[[#This Row],[date]]),1,1)</f>
        <v>Kiko</v>
      </c>
      <c r="E2574" s="86">
        <f>MONTH(表格1[[#This Row],[date]])</f>
        <v>3</v>
      </c>
      <c r="F2574" s="90">
        <v>46099</v>
      </c>
      <c r="G2574" s="86" t="str">
        <f>VLOOKUP("*"&amp;表格1[[#This Row],[Input]]&amp;"*",'Ref-List'!$B:$D,2,)</f>
        <v>RAC-07G3CVRG-HK</v>
      </c>
      <c r="H2574" s="86" t="str">
        <f>_xlfn.XLOOKUP(表格1[[#This Row],[Model]],表格3[Model-Input-Ref2],表格3[Product Line])</f>
        <v>3/4 匹 窗口式冷氣機(remote/fortress)</v>
      </c>
      <c r="I2574" s="86" t="str">
        <f>_xlfn.XLOOKUP(表格1[[#This Row],[Model]],表格3[Model-Input-Ref2],表格3[大小電])</f>
        <v>大電</v>
      </c>
      <c r="J2574" s="86" t="str">
        <f>_xlfn.XLOOKUP(表格1[[#This Row],[Model]],表格3[Model-Input-Ref2],表格3[Code])</f>
        <v>AC</v>
      </c>
      <c r="K2574" s="89" t="s">
        <v>664</v>
      </c>
      <c r="L2574" s="86">
        <v>1</v>
      </c>
      <c r="M2574" s="87">
        <v>3880</v>
      </c>
      <c r="N2574" s="85">
        <f>IFERROR(表格1[[#This Row],[QTY]]*表格1[[#This Row],[Unit Price]],"-")</f>
        <v>3880</v>
      </c>
      <c r="O2574" s="86">
        <v>1721589</v>
      </c>
      <c r="R2574" s="86" t="str">
        <f>_xlfn.CONCAT(表格1[[#This Row],[Model]]," ",表格1[[#This Row],[inv no]])</f>
        <v>RAC-07G3CVRG-HK 1721589</v>
      </c>
      <c r="S2574" s="86">
        <f>_xlfn.XLOOKUP(表格1[[#This Row],[Model]],表格3[Model-Input-Ref2],表格3[SRP PRICE])</f>
        <v>5580</v>
      </c>
      <c r="T2574" s="43">
        <f>表格1[[#This Row],[Unit Price]]/表格1[[#This Row],[SRP]]</f>
        <v>0.69534050179211471</v>
      </c>
      <c r="U2574" s="86" t="str">
        <f>_xlfn.XLOOKUP(表格1[[#This Row],[Model]],表格3[Model-Input-Ref2],表格3[TOSHIBA/HIGHEST])</f>
        <v>Toshiba SRP</v>
      </c>
      <c r="W2574" s="86" t="str">
        <f>_xlfn.CONCAT(表格1[[#This Row],[欄4]],表格1[[#This Row],[inv no]])</f>
        <v>1721589</v>
      </c>
    </row>
    <row r="2575" spans="1:23" hidden="1">
      <c r="A2575" s="81">
        <v>2573</v>
      </c>
      <c r="B2575" s="86" t="s">
        <v>1477</v>
      </c>
      <c r="C2575" s="86" t="s">
        <v>1860</v>
      </c>
      <c r="D2575" s="82" t="str">
        <f ca="1">OFFSET(Roster!$A$3,MATCH(表格1[[#This Row],[Location]]&amp;" "&amp;表格1[[#This Row],[Shop]]&amp;"*",Roster!$A$4:$A$72,0),DAY(表格1[[#This Row],[date]]),1,1)</f>
        <v>Kiko</v>
      </c>
      <c r="E2575" s="86">
        <f>MONTH(表格1[[#This Row],[date]])</f>
        <v>3</v>
      </c>
      <c r="F2575" s="90">
        <v>46099</v>
      </c>
      <c r="G2575" s="86" t="str">
        <f>VLOOKUP("*"&amp;表格1[[#This Row],[Input]]&amp;"*",'Ref-List'!$B:$D,2,)</f>
        <v>RAD-D300H</v>
      </c>
      <c r="H2575" s="86" t="str">
        <f>_xlfn.XLOOKUP(表格1[[#This Row],[Model]],表格3[Model-Input-Ref2],表格3[Product Line])</f>
        <v>壓縮式抽濕機 (30公升)</v>
      </c>
      <c r="I2575" s="86" t="str">
        <f>_xlfn.XLOOKUP(表格1[[#This Row],[Model]],表格3[Model-Input-Ref2],表格3[大小電])</f>
        <v>細電</v>
      </c>
      <c r="J2575" s="86" t="str">
        <f>_xlfn.XLOOKUP(表格1[[#This Row],[Model]],表格3[Model-Input-Ref2],表格3[Code])</f>
        <v>RAC</v>
      </c>
      <c r="K2575" s="89" t="s">
        <v>1252</v>
      </c>
      <c r="L2575" s="86">
        <v>1</v>
      </c>
      <c r="M2575" s="87">
        <v>1989</v>
      </c>
      <c r="N2575" s="85">
        <f>IFERROR(表格1[[#This Row],[QTY]]*表格1[[#This Row],[Unit Price]],"-")</f>
        <v>1989</v>
      </c>
      <c r="O2575" s="86">
        <v>1721738</v>
      </c>
      <c r="R2575" s="86" t="str">
        <f>_xlfn.CONCAT(表格1[[#This Row],[Model]]," ",表格1[[#This Row],[inv no]])</f>
        <v>RAD-D300H 1721738</v>
      </c>
      <c r="S2575" s="86">
        <f>_xlfn.XLOOKUP(表格1[[#This Row],[Model]],表格3[Model-Input-Ref2],表格3[SRP PRICE])</f>
        <v>3380</v>
      </c>
      <c r="T2575" s="43">
        <f>表格1[[#This Row],[Unit Price]]/表格1[[#This Row],[SRP]]</f>
        <v>0.58846153846153848</v>
      </c>
      <c r="U2575" s="86" t="str">
        <f>_xlfn.XLOOKUP(表格1[[#This Row],[Model]],表格3[Model-Input-Ref2],表格3[TOSHIBA/HIGHEST])</f>
        <v>Shops Highest Price</v>
      </c>
      <c r="W2575" s="86" t="str">
        <f>_xlfn.CONCAT(表格1[[#This Row],[欄4]],表格1[[#This Row],[inv no]])</f>
        <v>1721738</v>
      </c>
    </row>
    <row r="2576" spans="1:23" hidden="1">
      <c r="A2576" s="81">
        <v>2574</v>
      </c>
      <c r="B2576" s="86" t="s">
        <v>1477</v>
      </c>
      <c r="C2576" s="86" t="s">
        <v>1860</v>
      </c>
      <c r="D2576" s="82" t="str">
        <f ca="1">OFFSET(Roster!$A$3,MATCH(表格1[[#This Row],[Location]]&amp;" "&amp;表格1[[#This Row],[Shop]]&amp;"*",Roster!$A$4:$A$72,0),DAY(表格1[[#This Row],[date]]),1,1)</f>
        <v>Kiko</v>
      </c>
      <c r="E2576" s="86">
        <f>MONTH(表格1[[#This Row],[date]])</f>
        <v>3</v>
      </c>
      <c r="F2576" s="90">
        <v>46099</v>
      </c>
      <c r="G2576" s="86" t="str">
        <f>VLOOKUP("*"&amp;表格1[[#This Row],[Input]]&amp;"*",'Ref-List'!$B:$D,2,)</f>
        <v>MM2-EM20PC(WH)</v>
      </c>
      <c r="H2576" s="86" t="str">
        <f>_xlfn.XLOOKUP(表格1[[#This Row],[Model]],表格3[Model-Input-Ref2],表格3[Product Line])</f>
        <v>輕觸式微波爐 (20公升)</v>
      </c>
      <c r="I2576" s="86" t="str">
        <f>_xlfn.XLOOKUP(表格1[[#This Row],[Model]],表格3[Model-Input-Ref2],表格3[大小電])</f>
        <v>細電</v>
      </c>
      <c r="J2576" s="86" t="str">
        <f>_xlfn.XLOOKUP(表格1[[#This Row],[Model]],表格3[Model-Input-Ref2],表格3[Code])</f>
        <v>MCA</v>
      </c>
      <c r="K2576" s="89" t="s">
        <v>1276</v>
      </c>
      <c r="L2576" s="86">
        <v>1</v>
      </c>
      <c r="M2576" s="87">
        <v>598</v>
      </c>
      <c r="N2576" s="85">
        <f>IFERROR(表格1[[#This Row],[QTY]]*表格1[[#This Row],[Unit Price]],"-")</f>
        <v>598</v>
      </c>
      <c r="O2576" s="86">
        <v>1326716</v>
      </c>
      <c r="R2576" s="86" t="str">
        <f>_xlfn.CONCAT(表格1[[#This Row],[Model]]," ",表格1[[#This Row],[inv no]])</f>
        <v>MM2-EM20PC(WH) 1326716</v>
      </c>
      <c r="S2576" s="86">
        <f>_xlfn.XLOOKUP(表格1[[#This Row],[Model]],表格3[Model-Input-Ref2],表格3[SRP PRICE])</f>
        <v>788</v>
      </c>
      <c r="T2576" s="43">
        <f>表格1[[#This Row],[Unit Price]]/表格1[[#This Row],[SRP]]</f>
        <v>0.75888324873096447</v>
      </c>
      <c r="U2576" s="86" t="str">
        <f>_xlfn.XLOOKUP(表格1[[#This Row],[Model]],表格3[Model-Input-Ref2],表格3[TOSHIBA/HIGHEST])</f>
        <v>Toshiba SRP</v>
      </c>
      <c r="W2576" s="86" t="str">
        <f>_xlfn.CONCAT(表格1[[#This Row],[欄4]],表格1[[#This Row],[inv no]])</f>
        <v>1326716</v>
      </c>
    </row>
    <row r="2577" spans="1:23" hidden="1">
      <c r="A2577" s="81">
        <v>2575</v>
      </c>
      <c r="B2577" s="86" t="s">
        <v>1477</v>
      </c>
      <c r="C2577" s="86" t="s">
        <v>1860</v>
      </c>
      <c r="D2577" s="82" t="str">
        <f ca="1">OFFSET(Roster!$A$3,MATCH(表格1[[#This Row],[Location]]&amp;" "&amp;表格1[[#This Row],[Shop]]&amp;"*",Roster!$A$4:$A$72,0),DAY(表格1[[#This Row],[date]]),1,1)</f>
        <v>Kiko</v>
      </c>
      <c r="E2577" s="86">
        <f>MONTH(表格1[[#This Row],[date]])</f>
        <v>3</v>
      </c>
      <c r="F2577" s="90">
        <v>46099</v>
      </c>
      <c r="G2577" s="86" t="str">
        <f>VLOOKUP("*"&amp;表格1[[#This Row],[Input]]&amp;"*",'Ref-List'!$B:$D,2,)</f>
        <v>RC-10AMXH(W)</v>
      </c>
      <c r="H2577" s="86" t="str">
        <f>_xlfn.XLOOKUP(表格1[[#This Row],[Model]],表格3[Model-Input-Ref2],表格3[Product Line])</f>
        <v>酵活炊電飯煲(1.0公升)</v>
      </c>
      <c r="I2577" s="86" t="str">
        <f>_xlfn.XLOOKUP(表格1[[#This Row],[Model]],表格3[Model-Input-Ref2],表格3[大小電])</f>
        <v>細電</v>
      </c>
      <c r="J2577" s="86" t="str">
        <f>_xlfn.XLOOKUP(表格1[[#This Row],[Model]],表格3[Model-Input-Ref2],表格3[Code])</f>
        <v>SDA</v>
      </c>
      <c r="K2577" s="89" t="s">
        <v>1279</v>
      </c>
      <c r="L2577" s="86">
        <v>1</v>
      </c>
      <c r="M2577" s="87">
        <v>990</v>
      </c>
      <c r="N2577" s="85">
        <f>IFERROR(表格1[[#This Row],[QTY]]*表格1[[#This Row],[Unit Price]],"-")</f>
        <v>990</v>
      </c>
      <c r="O2577" s="86">
        <v>1721612</v>
      </c>
      <c r="R2577" s="86" t="str">
        <f>_xlfn.CONCAT(表格1[[#This Row],[Model]]," ",表格1[[#This Row],[inv no]])</f>
        <v>RC-10AMXH(W) 1721612</v>
      </c>
      <c r="S2577" s="86">
        <f>_xlfn.XLOOKUP(表格1[[#This Row],[Model]],表格3[Model-Input-Ref2],表格3[SRP PRICE])</f>
        <v>1288</v>
      </c>
      <c r="T2577" s="43">
        <f>表格1[[#This Row],[Unit Price]]/表格1[[#This Row],[SRP]]</f>
        <v>0.76863354037267084</v>
      </c>
      <c r="U2577" s="86" t="str">
        <f>_xlfn.XLOOKUP(表格1[[#This Row],[Model]],表格3[Model-Input-Ref2],表格3[TOSHIBA/HIGHEST])</f>
        <v>Toshiba SRP</v>
      </c>
      <c r="W2577" s="86" t="str">
        <f>_xlfn.CONCAT(表格1[[#This Row],[欄4]],表格1[[#This Row],[inv no]])</f>
        <v>1721612</v>
      </c>
    </row>
    <row r="2578" spans="1:23" hidden="1">
      <c r="A2578" s="81">
        <v>2576</v>
      </c>
      <c r="B2578" s="86" t="s">
        <v>1477</v>
      </c>
      <c r="C2578" s="86" t="s">
        <v>1860</v>
      </c>
      <c r="D2578" s="82" t="str">
        <f ca="1">OFFSET(Roster!$A$3,MATCH(表格1[[#This Row],[Location]]&amp;" "&amp;表格1[[#This Row],[Shop]]&amp;"*",Roster!$A$4:$A$72,0),DAY(表格1[[#This Row],[date]]),1,1)</f>
        <v>Kiko</v>
      </c>
      <c r="E2578" s="86">
        <f>MONTH(表格1[[#This Row],[date]])</f>
        <v>3</v>
      </c>
      <c r="F2578" s="90">
        <v>46099</v>
      </c>
      <c r="G2578" s="86" t="str">
        <f>VLOOKUP("*"&amp;表格1[[#This Row],[Input]]&amp;"*",'Ref-List'!$B:$D,2,)</f>
        <v>TP-50DRUHK(W)</v>
      </c>
      <c r="H2578" s="86" t="str">
        <f>_xlfn.XLOOKUP(表格1[[#This Row],[Model]],表格3[Model-Input-Ref2],表格3[Product Line])</f>
        <v>電熱水瓶 (5公升)</v>
      </c>
      <c r="I2578" s="86" t="str">
        <f>_xlfn.XLOOKUP(表格1[[#This Row],[Model]],表格3[Model-Input-Ref2],表格3[大小電])</f>
        <v>細電</v>
      </c>
      <c r="J2578" s="86" t="str">
        <f>_xlfn.XLOOKUP(表格1[[#This Row],[Model]],表格3[Model-Input-Ref2],表格3[Code])</f>
        <v>SDA</v>
      </c>
      <c r="K2578" s="89" t="s">
        <v>1277</v>
      </c>
      <c r="L2578" s="86">
        <v>1</v>
      </c>
      <c r="M2578" s="87">
        <v>598</v>
      </c>
      <c r="N2578" s="85">
        <f>IFERROR(表格1[[#This Row],[QTY]]*表格1[[#This Row],[Unit Price]],"-")</f>
        <v>598</v>
      </c>
      <c r="O2578" s="86">
        <v>1326713</v>
      </c>
      <c r="R2578" s="86" t="str">
        <f>_xlfn.CONCAT(表格1[[#This Row],[Model]]," ",表格1[[#This Row],[inv no]])</f>
        <v>TP-50DRUHK(W) 1326713</v>
      </c>
      <c r="S2578" s="86">
        <f>_xlfn.XLOOKUP(表格1[[#This Row],[Model]],表格3[Model-Input-Ref2],表格3[SRP PRICE])</f>
        <v>718</v>
      </c>
      <c r="T2578" s="43">
        <f>表格1[[#This Row],[Unit Price]]/表格1[[#This Row],[SRP]]</f>
        <v>0.83286908077994426</v>
      </c>
      <c r="U2578" s="86" t="str">
        <f>_xlfn.XLOOKUP(表格1[[#This Row],[Model]],表格3[Model-Input-Ref2],表格3[TOSHIBA/HIGHEST])</f>
        <v>Toshiba SRP</v>
      </c>
      <c r="W2578" s="86" t="str">
        <f>_xlfn.CONCAT(表格1[[#This Row],[欄4]],表格1[[#This Row],[inv no]])</f>
        <v>1326713</v>
      </c>
    </row>
    <row r="2579" spans="1:23" hidden="1">
      <c r="A2579" s="81">
        <v>2577</v>
      </c>
      <c r="B2579" s="86" t="s">
        <v>1477</v>
      </c>
      <c r="C2579" s="86" t="s">
        <v>1860</v>
      </c>
      <c r="D2579" s="82" t="str">
        <f ca="1">OFFSET(Roster!$A$3,MATCH(表格1[[#This Row],[Location]]&amp;" "&amp;表格1[[#This Row],[Shop]]&amp;"*",Roster!$A$4:$A$72,0),DAY(表格1[[#This Row],[date]]),1,1)</f>
        <v>Kiko</v>
      </c>
      <c r="E2579" s="86">
        <f>MONTH(表格1[[#This Row],[date]])</f>
        <v>3</v>
      </c>
      <c r="F2579" s="90">
        <v>46099</v>
      </c>
      <c r="G2579" s="86" t="str">
        <f>VLOOKUP("*"&amp;表格1[[#This Row],[Input]]&amp;"*",'Ref-List'!$B:$D,2,)</f>
        <v>MS3-STQ20SC(WH)</v>
      </c>
      <c r="H2579" s="86" t="str">
        <f>_xlfn.XLOOKUP(表格1[[#This Row],[Model]],表格3[Model-Input-Ref2],表格3[Product Line])</f>
        <v>20L 智能蒸氣焗爐</v>
      </c>
      <c r="I2579" s="86" t="str">
        <f>_xlfn.XLOOKUP(表格1[[#This Row],[Model]],表格3[Model-Input-Ref2],表格3[大小電])</f>
        <v>細電</v>
      </c>
      <c r="J2579" s="86" t="str">
        <f>_xlfn.XLOOKUP(表格1[[#This Row],[Model]],表格3[Model-Input-Ref2],表格3[Code])</f>
        <v>MCA</v>
      </c>
      <c r="K2579" s="89" t="s">
        <v>1383</v>
      </c>
      <c r="L2579" s="86">
        <v>1</v>
      </c>
      <c r="M2579" s="87">
        <v>2100</v>
      </c>
      <c r="N2579" s="85">
        <f>IFERROR(表格1[[#This Row],[QTY]]*表格1[[#This Row],[Unit Price]],"-")</f>
        <v>2100</v>
      </c>
      <c r="O2579" s="86">
        <v>1326728</v>
      </c>
      <c r="R2579" s="86" t="str">
        <f>_xlfn.CONCAT(表格1[[#This Row],[Model]]," ",表格1[[#This Row],[inv no]])</f>
        <v>MS3-STQ20SC(WH) 1326728</v>
      </c>
      <c r="S2579" s="86">
        <f>_xlfn.XLOOKUP(表格1[[#This Row],[Model]],表格3[Model-Input-Ref2],表格3[SRP PRICE])</f>
        <v>2880</v>
      </c>
      <c r="T2579" s="43">
        <f>表格1[[#This Row],[Unit Price]]/表格1[[#This Row],[SRP]]</f>
        <v>0.72916666666666663</v>
      </c>
      <c r="U2579" s="86" t="str">
        <f>_xlfn.XLOOKUP(表格1[[#This Row],[Model]],表格3[Model-Input-Ref2],表格3[TOSHIBA/HIGHEST])</f>
        <v>Toshiba SRP</v>
      </c>
      <c r="W2579" s="86" t="str">
        <f>_xlfn.CONCAT(表格1[[#This Row],[欄4]],表格1[[#This Row],[inv no]])</f>
        <v>1326728</v>
      </c>
    </row>
    <row r="2580" spans="1:23" hidden="1">
      <c r="A2580" s="81">
        <v>2578</v>
      </c>
      <c r="B2580" s="86" t="s">
        <v>1477</v>
      </c>
      <c r="C2580" s="86" t="s">
        <v>1860</v>
      </c>
      <c r="D2580" s="82" t="str">
        <f ca="1">OFFSET(Roster!$A$3,MATCH(表格1[[#This Row],[Location]]&amp;" "&amp;表格1[[#This Row],[Shop]]&amp;"*",Roster!$A$4:$A$72,0),DAY(表格1[[#This Row],[date]]),1,1)</f>
        <v>Kiko</v>
      </c>
      <c r="E2580" s="86">
        <f>MONTH(表格1[[#This Row],[date]])</f>
        <v>3</v>
      </c>
      <c r="F2580" s="90">
        <v>46099</v>
      </c>
      <c r="G2580" s="86" t="str">
        <f>VLOOKUP("*"&amp;表格1[[#This Row],[Input]]&amp;"*",'Ref-List'!$B:$D,2,)</f>
        <v>MX2-STR25SC(WH)</v>
      </c>
      <c r="H2580" s="86" t="str">
        <f>_xlfn.XLOOKUP(表格1[[#This Row],[Model]],表格3[Model-Input-Ref2],表格3[Product Line])</f>
        <v>4合1氣炸微波蒸焗爐(25公升)</v>
      </c>
      <c r="I2580" s="86" t="str">
        <f>_xlfn.XLOOKUP(表格1[[#This Row],[Model]],表格3[Model-Input-Ref2],表格3[大小電])</f>
        <v>細電</v>
      </c>
      <c r="J2580" s="86" t="str">
        <f>_xlfn.XLOOKUP(表格1[[#This Row],[Model]],表格3[Model-Input-Ref2],表格3[Code])</f>
        <v>MCA</v>
      </c>
      <c r="K2580" s="89" t="s">
        <v>1410</v>
      </c>
      <c r="L2580" s="86">
        <v>1</v>
      </c>
      <c r="M2580" s="87">
        <v>3401</v>
      </c>
      <c r="N2580" s="85">
        <f>IFERROR(表格1[[#This Row],[QTY]]*表格1[[#This Row],[Unit Price]],"-")</f>
        <v>3401</v>
      </c>
      <c r="O2580" s="86">
        <v>1721457</v>
      </c>
      <c r="R2580" s="86" t="str">
        <f>_xlfn.CONCAT(表格1[[#This Row],[Model]]," ",表格1[[#This Row],[inv no]])</f>
        <v>MX2-STR25SC(WH) 1721457</v>
      </c>
      <c r="S2580" s="86">
        <f>_xlfn.XLOOKUP(表格1[[#This Row],[Model]],表格3[Model-Input-Ref2],表格3[SRP PRICE])</f>
        <v>4998</v>
      </c>
      <c r="T2580" s="43">
        <f>表格1[[#This Row],[Unit Price]]/表格1[[#This Row],[SRP]]</f>
        <v>0.68047218887555017</v>
      </c>
      <c r="U2580" s="86" t="str">
        <f>_xlfn.XLOOKUP(表格1[[#This Row],[Model]],表格3[Model-Input-Ref2],表格3[TOSHIBA/HIGHEST])</f>
        <v>Toshiba SRP</v>
      </c>
      <c r="W2580" s="86" t="str">
        <f>_xlfn.CONCAT(表格1[[#This Row],[欄4]],表格1[[#This Row],[inv no]])</f>
        <v>1721457</v>
      </c>
    </row>
    <row r="2581" spans="1:23" hidden="1">
      <c r="A2581" s="81">
        <v>2579</v>
      </c>
      <c r="B2581" s="86" t="s">
        <v>1477</v>
      </c>
      <c r="C2581" s="86" t="s">
        <v>1860</v>
      </c>
      <c r="D2581" s="82" t="str">
        <f ca="1">OFFSET(Roster!$A$3,MATCH(表格1[[#This Row],[Location]]&amp;" "&amp;表格1[[#This Row],[Shop]]&amp;"*",Roster!$A$4:$A$72,0),DAY(表格1[[#This Row],[date]]),1,1)</f>
        <v>Kiko</v>
      </c>
      <c r="E2581" s="86">
        <f>MONTH(表格1[[#This Row],[date]])</f>
        <v>3</v>
      </c>
      <c r="F2581" s="90">
        <v>46102</v>
      </c>
      <c r="G2581" s="86" t="str">
        <f>VLOOKUP("*"&amp;表格1[[#This Row],[Input]]&amp;"*",'Ref-List'!$B:$D,2,)</f>
        <v>RAD-D300H</v>
      </c>
      <c r="H2581" s="86" t="str">
        <f>_xlfn.XLOOKUP(表格1[[#This Row],[Model]],表格3[Model-Input-Ref2],表格3[Product Line])</f>
        <v>壓縮式抽濕機 (30公升)</v>
      </c>
      <c r="I2581" s="86" t="str">
        <f>_xlfn.XLOOKUP(表格1[[#This Row],[Model]],表格3[Model-Input-Ref2],表格3[大小電])</f>
        <v>細電</v>
      </c>
      <c r="J2581" s="86" t="str">
        <f>_xlfn.XLOOKUP(表格1[[#This Row],[Model]],表格3[Model-Input-Ref2],表格3[Code])</f>
        <v>RAC</v>
      </c>
      <c r="K2581" s="89" t="s">
        <v>1252</v>
      </c>
      <c r="L2581" s="86">
        <v>1</v>
      </c>
      <c r="M2581" s="87">
        <v>2280</v>
      </c>
      <c r="N2581" s="85">
        <f>IFERROR(表格1[[#This Row],[QTY]]*表格1[[#This Row],[Unit Price]],"-")</f>
        <v>2280</v>
      </c>
      <c r="O2581" s="86">
        <v>1326778</v>
      </c>
      <c r="R2581" s="86" t="str">
        <f>_xlfn.CONCAT(表格1[[#This Row],[Model]]," ",表格1[[#This Row],[inv no]])</f>
        <v>RAD-D300H 1326778</v>
      </c>
      <c r="S2581" s="86">
        <f>_xlfn.XLOOKUP(表格1[[#This Row],[Model]],表格3[Model-Input-Ref2],表格3[SRP PRICE])</f>
        <v>3380</v>
      </c>
      <c r="T2581" s="43">
        <f>表格1[[#This Row],[Unit Price]]/表格1[[#This Row],[SRP]]</f>
        <v>0.67455621301775148</v>
      </c>
      <c r="U2581" s="86" t="str">
        <f>_xlfn.XLOOKUP(表格1[[#This Row],[Model]],表格3[Model-Input-Ref2],表格3[TOSHIBA/HIGHEST])</f>
        <v>Shops Highest Price</v>
      </c>
      <c r="W2581" s="86" t="str">
        <f>_xlfn.CONCAT(表格1[[#This Row],[欄4]],表格1[[#This Row],[inv no]])</f>
        <v>1326778</v>
      </c>
    </row>
    <row r="2582" spans="1:23" hidden="1">
      <c r="A2582" s="81">
        <v>2580</v>
      </c>
      <c r="B2582" s="86" t="s">
        <v>1477</v>
      </c>
      <c r="C2582" s="86" t="s">
        <v>1860</v>
      </c>
      <c r="D2582" s="82" t="str">
        <f ca="1">OFFSET(Roster!$A$3,MATCH(表格1[[#This Row],[Location]]&amp;" "&amp;表格1[[#This Row],[Shop]]&amp;"*",Roster!$A$4:$A$72,0),DAY(表格1[[#This Row],[date]]),1,1)</f>
        <v>Kiko</v>
      </c>
      <c r="E2582" s="86">
        <f>MONTH(表格1[[#This Row],[date]])</f>
        <v>3</v>
      </c>
      <c r="F2582" s="90">
        <v>46102</v>
      </c>
      <c r="G2582" s="86" t="str">
        <f>VLOOKUP("*"&amp;表格1[[#This Row],[Input]]&amp;"*",'Ref-List'!$B:$D,2,)</f>
        <v>MM2-EG20PC(WH)</v>
      </c>
      <c r="H2582" s="86" t="str">
        <f>_xlfn.XLOOKUP(表格1[[#This Row],[Model]],表格3[Model-Input-Ref2],表格3[Product Line])</f>
        <v>輕觸式燒烤微波爐</v>
      </c>
      <c r="I2582" s="86" t="str">
        <f>_xlfn.XLOOKUP(表格1[[#This Row],[Model]],表格3[Model-Input-Ref2],表格3[大小電])</f>
        <v>細電</v>
      </c>
      <c r="J2582" s="86" t="str">
        <f>_xlfn.XLOOKUP(表格1[[#This Row],[Model]],表格3[Model-Input-Ref2],表格3[Code])</f>
        <v>MCA</v>
      </c>
      <c r="K2582" s="89" t="s">
        <v>1273</v>
      </c>
      <c r="L2582" s="86">
        <v>1</v>
      </c>
      <c r="M2582" s="87">
        <v>698</v>
      </c>
      <c r="N2582" s="85">
        <f>IFERROR(表格1[[#This Row],[QTY]]*表格1[[#This Row],[Unit Price]],"-")</f>
        <v>698</v>
      </c>
      <c r="O2582" s="86">
        <v>1721884</v>
      </c>
      <c r="R2582" s="86" t="str">
        <f>_xlfn.CONCAT(表格1[[#This Row],[Model]]," ",表格1[[#This Row],[inv no]])</f>
        <v>MM2-EG20PC(WH) 1721884</v>
      </c>
      <c r="S2582" s="86">
        <f>_xlfn.XLOOKUP(表格1[[#This Row],[Model]],表格3[Model-Input-Ref2],表格3[SRP PRICE])</f>
        <v>918</v>
      </c>
      <c r="T2582" s="43">
        <f>表格1[[#This Row],[Unit Price]]/表格1[[#This Row],[SRP]]</f>
        <v>0.76034858387799564</v>
      </c>
      <c r="U2582" s="86" t="str">
        <f>_xlfn.XLOOKUP(表格1[[#This Row],[Model]],表格3[Model-Input-Ref2],表格3[TOSHIBA/HIGHEST])</f>
        <v>Shops Highest Price</v>
      </c>
      <c r="W2582" s="86" t="str">
        <f>_xlfn.CONCAT(表格1[[#This Row],[欄4]],表格1[[#This Row],[inv no]])</f>
        <v>1721884</v>
      </c>
    </row>
    <row r="2583" spans="1:23" hidden="1">
      <c r="A2583" s="81">
        <v>2581</v>
      </c>
      <c r="B2583" s="86" t="s">
        <v>1477</v>
      </c>
      <c r="C2583" s="86" t="s">
        <v>1860</v>
      </c>
      <c r="D2583" s="82" t="str">
        <f ca="1">OFFSET(Roster!$A$3,MATCH(表格1[[#This Row],[Location]]&amp;" "&amp;表格1[[#This Row],[Shop]]&amp;"*",Roster!$A$4:$A$72,0),DAY(表格1[[#This Row],[date]]),1,1)</f>
        <v>Kiko</v>
      </c>
      <c r="E2583" s="86">
        <f>MONTH(表格1[[#This Row],[date]])</f>
        <v>3</v>
      </c>
      <c r="F2583" s="90">
        <v>46102</v>
      </c>
      <c r="G2583" s="86" t="str">
        <f>VLOOKUP("*"&amp;表格1[[#This Row],[Input]]&amp;"*",'Ref-List'!$B:$D,2,)</f>
        <v>MW3-SAC24SE(BK)</v>
      </c>
      <c r="H2583" s="86" t="str">
        <f>_xlfn.XLOOKUP(表格1[[#This Row],[Model]],表格3[Model-Input-Ref2],表格3[Product Line])</f>
        <v>智能氣炸烤焗爐(24公升)</v>
      </c>
      <c r="I2583" s="86" t="str">
        <f>_xlfn.XLOOKUP(表格1[[#This Row],[Model]],表格3[Model-Input-Ref2],表格3[大小電])</f>
        <v>細電</v>
      </c>
      <c r="J2583" s="86" t="str">
        <f>_xlfn.XLOOKUP(表格1[[#This Row],[Model]],表格3[Model-Input-Ref2],表格3[Code])</f>
        <v>MCA</v>
      </c>
      <c r="K2583" s="89" t="s">
        <v>1274</v>
      </c>
      <c r="L2583" s="86">
        <v>1</v>
      </c>
      <c r="M2583" s="87">
        <v>1320</v>
      </c>
      <c r="N2583" s="87">
        <f>IFERROR(表格1[[#This Row],[QTY]]*表格1[[#This Row],[Unit Price]],"-")</f>
        <v>1320</v>
      </c>
      <c r="O2583" s="86">
        <v>1326771</v>
      </c>
      <c r="R2583" s="86" t="str">
        <f>_xlfn.CONCAT(表格1[[#This Row],[Model]]," ",表格1[[#This Row],[inv no]])</f>
        <v>MW3-SAC24SE(BK) 1326771</v>
      </c>
      <c r="S2583" s="86">
        <f>_xlfn.XLOOKUP(表格1[[#This Row],[Model]],表格3[Model-Input-Ref2],表格3[SRP PRICE])</f>
        <v>1680</v>
      </c>
      <c r="T2583" s="43">
        <f>表格1[[#This Row],[Unit Price]]/表格1[[#This Row],[SRP]]</f>
        <v>0.7857142857142857</v>
      </c>
      <c r="U2583" s="86" t="str">
        <f>_xlfn.XLOOKUP(表格1[[#This Row],[Model]],表格3[Model-Input-Ref2],表格3[TOSHIBA/HIGHEST])</f>
        <v>Toshiba SRP</v>
      </c>
      <c r="W2583" s="86" t="str">
        <f>_xlfn.CONCAT(表格1[[#This Row],[欄4]],表格1[[#This Row],[inv no]])</f>
        <v>1326771</v>
      </c>
    </row>
    <row r="2584" spans="1:23" hidden="1">
      <c r="A2584" s="81">
        <v>2582</v>
      </c>
      <c r="B2584" s="86" t="s">
        <v>1477</v>
      </c>
      <c r="C2584" s="86" t="s">
        <v>1860</v>
      </c>
      <c r="D2584" s="82" t="str">
        <f ca="1">OFFSET(Roster!$A$3,MATCH(表格1[[#This Row],[Location]]&amp;" "&amp;表格1[[#This Row],[Shop]]&amp;"*",Roster!$A$4:$A$72,0),DAY(表格1[[#This Row],[date]]),1,1)</f>
        <v>Kiko</v>
      </c>
      <c r="E2584" s="86">
        <f>MONTH(表格1[[#This Row],[date]])</f>
        <v>3</v>
      </c>
      <c r="F2584" s="90">
        <v>46102</v>
      </c>
      <c r="G2584" s="86" t="str">
        <f>VLOOKUP("*"&amp;表格1[[#This Row],[Input]]&amp;"*",'Ref-List'!$B:$D,2,)</f>
        <v>RC-10IRPH</v>
      </c>
      <c r="H2584" s="86" t="str">
        <f>_xlfn.XLOOKUP(表格1[[#This Row],[Model]],表格3[Model-Input-Ref2],表格3[Product Line])</f>
        <v>低醣磁應電飯煲1L</v>
      </c>
      <c r="I2584" s="86" t="str">
        <f>_xlfn.XLOOKUP(表格1[[#This Row],[Model]],表格3[Model-Input-Ref2],表格3[大小電])</f>
        <v>細電</v>
      </c>
      <c r="J2584" s="86" t="str">
        <f>_xlfn.XLOOKUP(表格1[[#This Row],[Model]],表格3[Model-Input-Ref2],表格3[Code])</f>
        <v>SDA</v>
      </c>
      <c r="K2584" s="89" t="s">
        <v>1297</v>
      </c>
      <c r="L2584" s="86">
        <v>1</v>
      </c>
      <c r="M2584" s="87">
        <v>798</v>
      </c>
      <c r="N2584" s="87">
        <f>IFERROR(表格1[[#This Row],[QTY]]*表格1[[#This Row],[Unit Price]],"-")</f>
        <v>798</v>
      </c>
      <c r="O2584" s="86">
        <v>1721783</v>
      </c>
      <c r="R2584" s="86" t="str">
        <f>_xlfn.CONCAT(表格1[[#This Row],[Model]]," ",表格1[[#This Row],[inv no]])</f>
        <v>RC-10IRPH 1721783</v>
      </c>
      <c r="S2584" s="86">
        <f>_xlfn.XLOOKUP(表格1[[#This Row],[Model]],表格3[Model-Input-Ref2],表格3[SRP PRICE])</f>
        <v>1388</v>
      </c>
      <c r="T2584" s="43">
        <f>表格1[[#This Row],[Unit Price]]/表格1[[#This Row],[SRP]]</f>
        <v>0.5749279538904899</v>
      </c>
      <c r="U2584" s="86" t="str">
        <f>_xlfn.XLOOKUP(表格1[[#This Row],[Model]],表格3[Model-Input-Ref2],表格3[TOSHIBA/HIGHEST])</f>
        <v>Toshiba SRP</v>
      </c>
      <c r="W2584" s="86" t="str">
        <f>_xlfn.CONCAT(表格1[[#This Row],[欄4]],表格1[[#This Row],[inv no]])</f>
        <v>1721783</v>
      </c>
    </row>
    <row r="2585" spans="1:23" hidden="1">
      <c r="A2585" s="81">
        <v>2583</v>
      </c>
      <c r="B2585" s="86" t="s">
        <v>1477</v>
      </c>
      <c r="C2585" s="86" t="s">
        <v>1860</v>
      </c>
      <c r="D2585" s="82" t="str">
        <f ca="1">OFFSET(Roster!$A$3,MATCH(表格1[[#This Row],[Location]]&amp;" "&amp;表格1[[#This Row],[Shop]]&amp;"*",Roster!$A$4:$A$72,0),DAY(表格1[[#This Row],[date]]),1,1)</f>
        <v>Kiko</v>
      </c>
      <c r="E2585" s="86">
        <f>MONTH(表格1[[#This Row],[date]])</f>
        <v>3</v>
      </c>
      <c r="F2585" s="90">
        <v>46102</v>
      </c>
      <c r="G2585" s="86" t="str">
        <f>VLOOKUP("*"&amp;表格1[[#This Row],[Input]]&amp;"*",'Ref-List'!$B:$D,2,)</f>
        <v>KT-17DRTHK(H)</v>
      </c>
      <c r="H2585" s="86" t="str">
        <f>_xlfn.XLOOKUP(表格1[[#This Row],[Model]],表格3[Model-Input-Ref2],表格3[Product Line])</f>
        <v>無線雙層電熱水壺(1.7公升)</v>
      </c>
      <c r="I2585" s="86" t="str">
        <f>_xlfn.XLOOKUP(表格1[[#This Row],[Model]],表格3[Model-Input-Ref2],表格3[大小電])</f>
        <v>細電</v>
      </c>
      <c r="J2585" s="86" t="str">
        <f>_xlfn.XLOOKUP(表格1[[#This Row],[Model]],表格3[Model-Input-Ref2],表格3[Code])</f>
        <v>SDA</v>
      </c>
      <c r="K2585" s="89" t="s">
        <v>1271</v>
      </c>
      <c r="L2585" s="86">
        <v>1</v>
      </c>
      <c r="M2585" s="87">
        <v>388</v>
      </c>
      <c r="N2585" s="87">
        <f>IFERROR(表格1[[#This Row],[QTY]]*表格1[[#This Row],[Unit Price]],"-")</f>
        <v>388</v>
      </c>
      <c r="O2585" s="86">
        <v>1721951</v>
      </c>
      <c r="R2585" s="86" t="str">
        <f>_xlfn.CONCAT(表格1[[#This Row],[Model]]," ",表格1[[#This Row],[inv no]])</f>
        <v>KT-17DRTHK(H) 1721951</v>
      </c>
      <c r="S2585" s="86">
        <f>_xlfn.XLOOKUP(表格1[[#This Row],[Model]],表格3[Model-Input-Ref2],表格3[SRP PRICE])</f>
        <v>498</v>
      </c>
      <c r="T2585" s="43">
        <f>表格1[[#This Row],[Unit Price]]/表格1[[#This Row],[SRP]]</f>
        <v>0.77911646586345384</v>
      </c>
      <c r="U2585" s="86" t="str">
        <f>_xlfn.XLOOKUP(表格1[[#This Row],[Model]],表格3[Model-Input-Ref2],表格3[TOSHIBA/HIGHEST])</f>
        <v>Toshiba SRP</v>
      </c>
      <c r="W2585" s="86" t="str">
        <f>_xlfn.CONCAT(表格1[[#This Row],[欄4]],表格1[[#This Row],[inv no]])</f>
        <v>1721951</v>
      </c>
    </row>
    <row r="2586" spans="1:23" hidden="1">
      <c r="A2586" s="81">
        <v>2584</v>
      </c>
      <c r="B2586" s="86" t="s">
        <v>1477</v>
      </c>
      <c r="C2586" s="86" t="s">
        <v>1860</v>
      </c>
      <c r="D2586" s="82" t="str">
        <f ca="1">OFFSET(Roster!$A$3,MATCH(表格1[[#This Row],[Location]]&amp;" "&amp;表格1[[#This Row],[Shop]]&amp;"*",Roster!$A$4:$A$72,0),DAY(表格1[[#This Row],[date]]),1,1)</f>
        <v>Kiko</v>
      </c>
      <c r="E2586" s="86">
        <f>MONTH(表格1[[#This Row],[date]])</f>
        <v>3</v>
      </c>
      <c r="F2586" s="90">
        <v>46103</v>
      </c>
      <c r="G2586" s="86" t="str">
        <f>VLOOKUP("*"&amp;表格1[[#This Row],[Input]]&amp;"*",'Ref-List'!$B:$D,2,)</f>
        <v>FIST(PRO)</v>
      </c>
      <c r="H2586" s="86" t="str">
        <f>_xlfn.XLOOKUP(表格1[[#This Row],[Model]],表格3[Model-Input-Ref2],表格3[Product Line])</f>
        <v>濾芯</v>
      </c>
      <c r="I2586" s="86" t="str">
        <f>_xlfn.XLOOKUP(表格1[[#This Row],[Model]],表格3[Model-Input-Ref2],表格3[大小電])</f>
        <v>細電</v>
      </c>
      <c r="J2586" s="86" t="str">
        <f>_xlfn.XLOOKUP(表格1[[#This Row],[Model]],表格3[Model-Input-Ref2],表格3[Code])</f>
        <v>KWH</v>
      </c>
      <c r="K2586" s="89" t="s">
        <v>1489</v>
      </c>
      <c r="L2586" s="86">
        <v>1</v>
      </c>
      <c r="M2586" s="87">
        <v>798</v>
      </c>
      <c r="N2586" s="87">
        <f>IFERROR(表格1[[#This Row],[QTY]]*表格1[[#This Row],[Unit Price]],"-")</f>
        <v>798</v>
      </c>
      <c r="O2586" s="86">
        <v>1326907</v>
      </c>
      <c r="R2586" s="86" t="str">
        <f>_xlfn.CONCAT(表格1[[#This Row],[Model]]," ",表格1[[#This Row],[inv no]])</f>
        <v>FIST(PRO) 1326907</v>
      </c>
      <c r="S2586" s="86">
        <f>_xlfn.XLOOKUP(表格1[[#This Row],[Model]],表格3[Model-Input-Ref2],表格3[SRP PRICE])</f>
        <v>798</v>
      </c>
      <c r="T2586" s="43">
        <f>表格1[[#This Row],[Unit Price]]/表格1[[#This Row],[SRP]]</f>
        <v>1</v>
      </c>
      <c r="U2586" s="86" t="str">
        <f>_xlfn.XLOOKUP(表格1[[#This Row],[Model]],表格3[Model-Input-Ref2],表格3[TOSHIBA/HIGHEST])</f>
        <v>Shops Highest Price</v>
      </c>
      <c r="W2586" s="86" t="str">
        <f>_xlfn.CONCAT(表格1[[#This Row],[欄4]],表格1[[#This Row],[inv no]])</f>
        <v>1326907</v>
      </c>
    </row>
    <row r="2587" spans="1:23" hidden="1">
      <c r="A2587" s="81">
        <v>2585</v>
      </c>
      <c r="B2587" s="86" t="s">
        <v>1477</v>
      </c>
      <c r="C2587" s="86" t="s">
        <v>1860</v>
      </c>
      <c r="D2587" s="82" t="str">
        <f ca="1">OFFSET(Roster!$A$3,MATCH(表格1[[#This Row],[Location]]&amp;" "&amp;表格1[[#This Row],[Shop]]&amp;"*",Roster!$A$4:$A$72,0),DAY(表格1[[#This Row],[date]]),1,1)</f>
        <v>Kiko</v>
      </c>
      <c r="E2587" s="86">
        <f>MONTH(表格1[[#This Row],[date]])</f>
        <v>3</v>
      </c>
      <c r="F2587" s="90">
        <v>46103</v>
      </c>
      <c r="G2587" s="86" t="str">
        <f>VLOOKUP("*"&amp;表格1[[#This Row],[Input]]&amp;"*",'Ref-List'!$B:$D,2,)</f>
        <v>TWD-T21BU95UWH(WW)</v>
      </c>
      <c r="H2587" s="86" t="str">
        <f>_xlfn.XLOOKUP(表格1[[#This Row],[Model]],表格3[Model-Input-Ref2],表格3[Product Line])</f>
        <v>470MM超薄身前置式變頻洗衣乾衣機 (洗8.5公斤 乾6公斤)</v>
      </c>
      <c r="I2587" s="86" t="str">
        <f>_xlfn.XLOOKUP(表格1[[#This Row],[Model]],表格3[Model-Input-Ref2],表格3[大小電])</f>
        <v>大電</v>
      </c>
      <c r="J2587" s="86" t="str">
        <f>_xlfn.XLOOKUP(表格1[[#This Row],[Model]],表格3[Model-Input-Ref2],表格3[Code])</f>
        <v>LAD</v>
      </c>
      <c r="K2587" s="89" t="s">
        <v>1461</v>
      </c>
      <c r="L2587" s="86">
        <v>1</v>
      </c>
      <c r="M2587" s="87">
        <v>3999</v>
      </c>
      <c r="N2587" s="87">
        <f>IFERROR(表格1[[#This Row],[QTY]]*表格1[[#This Row],[Unit Price]],"-")</f>
        <v>3999</v>
      </c>
      <c r="O2587" s="86">
        <v>1326899</v>
      </c>
      <c r="R2587" s="86" t="str">
        <f>_xlfn.CONCAT(表格1[[#This Row],[Model]]," ",表格1[[#This Row],[inv no]])</f>
        <v>TWD-T21BU95UWH(WW) 1326899</v>
      </c>
      <c r="S2587" s="86">
        <f>_xlfn.XLOOKUP(表格1[[#This Row],[Model]],表格3[Model-Input-Ref2],表格3[SRP PRICE])</f>
        <v>7280</v>
      </c>
      <c r="T2587" s="43">
        <f>表格1[[#This Row],[Unit Price]]/表格1[[#This Row],[SRP]]</f>
        <v>0.54931318681318686</v>
      </c>
      <c r="U2587" s="86" t="str">
        <f>_xlfn.XLOOKUP(表格1[[#This Row],[Model]],表格3[Model-Input-Ref2],表格3[TOSHIBA/HIGHEST])</f>
        <v>Toshiba SRP</v>
      </c>
      <c r="W2587" s="86" t="str">
        <f>_xlfn.CONCAT(表格1[[#This Row],[欄4]],表格1[[#This Row],[inv no]])</f>
        <v>1326899</v>
      </c>
    </row>
    <row r="2588" spans="1:23" hidden="1">
      <c r="A2588" s="81">
        <v>2586</v>
      </c>
      <c r="B2588" s="86" t="s">
        <v>1477</v>
      </c>
      <c r="C2588" s="86" t="s">
        <v>1860</v>
      </c>
      <c r="D2588" s="82" t="str">
        <f ca="1">OFFSET(Roster!$A$3,MATCH(表格1[[#This Row],[Location]]&amp;" "&amp;表格1[[#This Row],[Shop]]&amp;"*",Roster!$A$4:$A$72,0),DAY(表格1[[#This Row],[date]]),1,1)</f>
        <v>Kiko</v>
      </c>
      <c r="E2588" s="86">
        <f>MONTH(表格1[[#This Row],[date]])</f>
        <v>3</v>
      </c>
      <c r="F2588" s="90">
        <v>46103</v>
      </c>
      <c r="G2588" s="86" t="str">
        <f>VLOOKUP("*"&amp;表格1[[#This Row],[Input]]&amp;"*",'Ref-List'!$B:$D,2,)</f>
        <v>TWD-T21BU95UWH(WW)</v>
      </c>
      <c r="H2588" s="86" t="str">
        <f>_xlfn.XLOOKUP(表格1[[#This Row],[Model]],表格3[Model-Input-Ref2],表格3[Product Line])</f>
        <v>470MM超薄身前置式變頻洗衣乾衣機 (洗8.5公斤 乾6公斤)</v>
      </c>
      <c r="I2588" s="86" t="str">
        <f>_xlfn.XLOOKUP(表格1[[#This Row],[Model]],表格3[Model-Input-Ref2],表格3[大小電])</f>
        <v>大電</v>
      </c>
      <c r="J2588" s="86" t="str">
        <f>_xlfn.XLOOKUP(表格1[[#This Row],[Model]],表格3[Model-Input-Ref2],表格3[Code])</f>
        <v>LAD</v>
      </c>
      <c r="K2588" s="89" t="s">
        <v>1461</v>
      </c>
      <c r="L2588" s="86">
        <v>1</v>
      </c>
      <c r="M2588" s="87">
        <v>3999</v>
      </c>
      <c r="N2588" s="87">
        <f>IFERROR(表格1[[#This Row],[QTY]]*表格1[[#This Row],[Unit Price]],"-")</f>
        <v>3999</v>
      </c>
      <c r="O2588" s="86">
        <v>1326906</v>
      </c>
      <c r="R2588" s="86" t="str">
        <f>_xlfn.CONCAT(表格1[[#This Row],[Model]]," ",表格1[[#This Row],[inv no]])</f>
        <v>TWD-T21BU95UWH(WW) 1326906</v>
      </c>
      <c r="S2588" s="86">
        <f>_xlfn.XLOOKUP(表格1[[#This Row],[Model]],表格3[Model-Input-Ref2],表格3[SRP PRICE])</f>
        <v>7280</v>
      </c>
      <c r="T2588" s="43">
        <f>表格1[[#This Row],[Unit Price]]/表格1[[#This Row],[SRP]]</f>
        <v>0.54931318681318686</v>
      </c>
      <c r="U2588" s="86" t="str">
        <f>_xlfn.XLOOKUP(表格1[[#This Row],[Model]],表格3[Model-Input-Ref2],表格3[TOSHIBA/HIGHEST])</f>
        <v>Toshiba SRP</v>
      </c>
      <c r="W2588" s="86" t="str">
        <f>_xlfn.CONCAT(表格1[[#This Row],[欄4]],表格1[[#This Row],[inv no]])</f>
        <v>1326906</v>
      </c>
    </row>
    <row r="2589" spans="1:23" hidden="1">
      <c r="A2589" s="81">
        <v>2587</v>
      </c>
      <c r="B2589" s="86" t="s">
        <v>1477</v>
      </c>
      <c r="C2589" s="86" t="s">
        <v>1860</v>
      </c>
      <c r="D2589" s="82" t="str">
        <f ca="1">OFFSET(Roster!$A$3,MATCH(表格1[[#This Row],[Location]]&amp;" "&amp;表格1[[#This Row],[Shop]]&amp;"*",Roster!$A$4:$A$72,0),DAY(表格1[[#This Row],[date]]),1,1)</f>
        <v>Kiko</v>
      </c>
      <c r="E2589" s="86">
        <f>MONTH(表格1[[#This Row],[date]])</f>
        <v>3</v>
      </c>
      <c r="F2589" s="90">
        <v>46103</v>
      </c>
      <c r="G2589" s="86" t="str">
        <f>VLOOKUP("*"&amp;表格1[[#This Row],[Input]]&amp;"*",'Ref-List'!$B:$D,2,)</f>
        <v>RAC-12G3CVRGR-HK</v>
      </c>
      <c r="H2589" s="86" t="str">
        <f>_xlfn.XLOOKUP(表格1[[#This Row],[Model]],表格3[Model-Input-Ref2],表格3[Product Line])</f>
        <v>R32變頻窗口式冷氣機 (獨立抽濕遙控</v>
      </c>
      <c r="I2589" s="86" t="str">
        <f>_xlfn.XLOOKUP(表格1[[#This Row],[Model]],表格3[Model-Input-Ref2],表格3[大小電])</f>
        <v>大電</v>
      </c>
      <c r="J2589" s="86" t="str">
        <f>_xlfn.XLOOKUP(表格1[[#This Row],[Model]],表格3[Model-Input-Ref2],表格3[Code])</f>
        <v>AC</v>
      </c>
      <c r="K2589" s="89" t="s">
        <v>1454</v>
      </c>
      <c r="L2589" s="86">
        <v>1</v>
      </c>
      <c r="M2589" s="87">
        <v>5980</v>
      </c>
      <c r="N2589" s="87">
        <f>IFERROR(表格1[[#This Row],[QTY]]*表格1[[#This Row],[Unit Price]],"-")</f>
        <v>5980</v>
      </c>
      <c r="O2589" s="86">
        <v>1722074</v>
      </c>
      <c r="R2589" s="86" t="str">
        <f>_xlfn.CONCAT(表格1[[#This Row],[Model]]," ",表格1[[#This Row],[inv no]])</f>
        <v>RAC-12G3CVRGR-HK 1722074</v>
      </c>
      <c r="S2589" s="86">
        <f>_xlfn.XLOOKUP(表格1[[#This Row],[Model]],表格3[Model-Input-Ref2],表格3[SRP PRICE])</f>
        <v>8680</v>
      </c>
      <c r="T2589" s="43">
        <f>表格1[[#This Row],[Unit Price]]/表格1[[#This Row],[SRP]]</f>
        <v>0.68894009216589858</v>
      </c>
      <c r="U2589" s="86" t="str">
        <f>_xlfn.XLOOKUP(表格1[[#This Row],[Model]],表格3[Model-Input-Ref2],表格3[TOSHIBA/HIGHEST])</f>
        <v>Toshiba SRP</v>
      </c>
      <c r="W2589" s="86" t="str">
        <f>_xlfn.CONCAT(表格1[[#This Row],[欄4]],表格1[[#This Row],[inv no]])</f>
        <v>1722074</v>
      </c>
    </row>
    <row r="2590" spans="1:23" hidden="1">
      <c r="A2590" s="81">
        <v>2588</v>
      </c>
      <c r="B2590" s="86" t="s">
        <v>1477</v>
      </c>
      <c r="C2590" s="86" t="s">
        <v>1860</v>
      </c>
      <c r="D2590" s="82" t="str">
        <f ca="1">OFFSET(Roster!$A$3,MATCH(表格1[[#This Row],[Location]]&amp;" "&amp;表格1[[#This Row],[Shop]]&amp;"*",Roster!$A$4:$A$72,0),DAY(表格1[[#This Row],[date]]),1,1)</f>
        <v>Kiko</v>
      </c>
      <c r="E2590" s="86">
        <f>MONTH(表格1[[#This Row],[date]])</f>
        <v>3</v>
      </c>
      <c r="F2590" s="90">
        <v>46103</v>
      </c>
      <c r="G2590" s="86" t="str">
        <f>VLOOKUP("*"&amp;表格1[[#This Row],[Input]]&amp;"*",'Ref-List'!$B:$D,2,)</f>
        <v>RAD-D300H</v>
      </c>
      <c r="H2590" s="86" t="str">
        <f>_xlfn.XLOOKUP(表格1[[#This Row],[Model]],表格3[Model-Input-Ref2],表格3[Product Line])</f>
        <v>壓縮式抽濕機 (30公升)</v>
      </c>
      <c r="I2590" s="86" t="str">
        <f>_xlfn.XLOOKUP(表格1[[#This Row],[Model]],表格3[Model-Input-Ref2],表格3[大小電])</f>
        <v>細電</v>
      </c>
      <c r="J2590" s="86" t="str">
        <f>_xlfn.XLOOKUP(表格1[[#This Row],[Model]],表格3[Model-Input-Ref2],表格3[Code])</f>
        <v>RAC</v>
      </c>
      <c r="K2590" s="89" t="s">
        <v>1252</v>
      </c>
      <c r="L2590" s="86">
        <v>1</v>
      </c>
      <c r="M2590" s="87">
        <v>2280</v>
      </c>
      <c r="N2590" s="87">
        <f>IFERROR(表格1[[#This Row],[QTY]]*表格1[[#This Row],[Unit Price]],"-")</f>
        <v>2280</v>
      </c>
      <c r="O2590" s="86">
        <v>1722030</v>
      </c>
      <c r="R2590" s="86" t="str">
        <f>_xlfn.CONCAT(表格1[[#This Row],[Model]]," ",表格1[[#This Row],[inv no]])</f>
        <v>RAD-D300H 1722030</v>
      </c>
      <c r="S2590" s="86">
        <f>_xlfn.XLOOKUP(表格1[[#This Row],[Model]],表格3[Model-Input-Ref2],表格3[SRP PRICE])</f>
        <v>3380</v>
      </c>
      <c r="T2590" s="43">
        <f>表格1[[#This Row],[Unit Price]]/表格1[[#This Row],[SRP]]</f>
        <v>0.67455621301775148</v>
      </c>
      <c r="U2590" s="86" t="str">
        <f>_xlfn.XLOOKUP(表格1[[#This Row],[Model]],表格3[Model-Input-Ref2],表格3[TOSHIBA/HIGHEST])</f>
        <v>Shops Highest Price</v>
      </c>
      <c r="W2590" s="86" t="str">
        <f>_xlfn.CONCAT(表格1[[#This Row],[欄4]],表格1[[#This Row],[inv no]])</f>
        <v>1722030</v>
      </c>
    </row>
    <row r="2591" spans="1:23" hidden="1">
      <c r="A2591" s="81">
        <v>2589</v>
      </c>
      <c r="B2591" s="86" t="s">
        <v>1477</v>
      </c>
      <c r="C2591" s="86" t="s">
        <v>1860</v>
      </c>
      <c r="D2591" s="82" t="str">
        <f ca="1">OFFSET(Roster!$A$3,MATCH(表格1[[#This Row],[Location]]&amp;" "&amp;表格1[[#This Row],[Shop]]&amp;"*",Roster!$A$4:$A$72,0),DAY(表格1[[#This Row],[date]]),1,1)</f>
        <v>Kiko</v>
      </c>
      <c r="E2591" s="86">
        <f>MONTH(表格1[[#This Row],[date]])</f>
        <v>3</v>
      </c>
      <c r="F2591" s="90">
        <v>46103</v>
      </c>
      <c r="G2591" s="86" t="str">
        <f>VLOOKUP("*"&amp;表格1[[#This Row],[Input]]&amp;"*",'Ref-List'!$B:$D,2,)</f>
        <v>RC-18NMFIH(WT)</v>
      </c>
      <c r="H2591" s="86" t="str">
        <f>_xlfn.XLOOKUP(表格1[[#This Row],[Model]],表格3[Model-Input-Ref2],表格3[Product Line])</f>
        <v>4毫米厚釜電飯煲1.8L</v>
      </c>
      <c r="I2591" s="86" t="str">
        <f>_xlfn.XLOOKUP(表格1[[#This Row],[Model]],表格3[Model-Input-Ref2],表格3[大小電])</f>
        <v>細電</v>
      </c>
      <c r="J2591" s="86" t="str">
        <f>_xlfn.XLOOKUP(表格1[[#This Row],[Model]],表格3[Model-Input-Ref2],表格3[Code])</f>
        <v>SDA</v>
      </c>
      <c r="K2591" s="89" t="s">
        <v>1267</v>
      </c>
      <c r="L2591" s="86">
        <v>1</v>
      </c>
      <c r="M2591" s="87">
        <v>799</v>
      </c>
      <c r="N2591" s="87">
        <f>IFERROR(表格1[[#This Row],[QTY]]*表格1[[#This Row],[Unit Price]],"-")</f>
        <v>799</v>
      </c>
      <c r="O2591" s="86">
        <v>1721954</v>
      </c>
      <c r="R2591" s="86" t="str">
        <f>_xlfn.CONCAT(表格1[[#This Row],[Model]]," ",表格1[[#This Row],[inv no]])</f>
        <v>RC-18NMFIH(WT) 1721954</v>
      </c>
      <c r="S2591" s="86">
        <f>_xlfn.XLOOKUP(表格1[[#This Row],[Model]],表格3[Model-Input-Ref2],表格3[SRP PRICE])</f>
        <v>998</v>
      </c>
      <c r="T2591" s="43">
        <f>表格1[[#This Row],[Unit Price]]/表格1[[#This Row],[SRP]]</f>
        <v>0.80060120240480959</v>
      </c>
      <c r="U2591" s="86" t="str">
        <f>_xlfn.XLOOKUP(表格1[[#This Row],[Model]],表格3[Model-Input-Ref2],表格3[TOSHIBA/HIGHEST])</f>
        <v>Toshiba SRP</v>
      </c>
      <c r="W2591" s="86" t="str">
        <f>_xlfn.CONCAT(表格1[[#This Row],[欄4]],表格1[[#This Row],[inv no]])</f>
        <v>1721954</v>
      </c>
    </row>
    <row r="2592" spans="1:23" hidden="1">
      <c r="A2592" s="81">
        <v>2590</v>
      </c>
      <c r="B2592" s="86" t="s">
        <v>1477</v>
      </c>
      <c r="C2592" s="86" t="s">
        <v>1860</v>
      </c>
      <c r="D2592" s="82" t="str">
        <f ca="1">OFFSET(Roster!$A$3,MATCH(表格1[[#This Row],[Location]]&amp;" "&amp;表格1[[#This Row],[Shop]]&amp;"*",Roster!$A$4:$A$72,0),DAY(表格1[[#This Row],[date]]),1,1)</f>
        <v>Kiko</v>
      </c>
      <c r="E2592" s="86">
        <f>MONTH(表格1[[#This Row],[date]])</f>
        <v>3</v>
      </c>
      <c r="F2592" s="90">
        <v>46103</v>
      </c>
      <c r="G2592" s="86" t="str">
        <f>VLOOKUP("*"&amp;表格1[[#This Row],[Input]]&amp;"*",'Ref-List'!$B:$D,2,)</f>
        <v>RC-7HMH</v>
      </c>
      <c r="H2592" s="86" t="str">
        <f>_xlfn.XLOOKUP(表格1[[#This Row],[Model]],表格3[Model-Input-Ref2],表格3[Product Line])</f>
        <v>備長炭本厚釜電飯煲0.7L</v>
      </c>
      <c r="I2592" s="86" t="str">
        <f>_xlfn.XLOOKUP(表格1[[#This Row],[Model]],表格3[Model-Input-Ref2],表格3[大小電])</f>
        <v>細電</v>
      </c>
      <c r="J2592" s="86" t="str">
        <f>_xlfn.XLOOKUP(表格1[[#This Row],[Model]],表格3[Model-Input-Ref2],表格3[Code])</f>
        <v>SDA</v>
      </c>
      <c r="K2592" s="89" t="s">
        <v>1284</v>
      </c>
      <c r="L2592" s="86">
        <v>1</v>
      </c>
      <c r="M2592" s="87">
        <v>838</v>
      </c>
      <c r="N2592" s="87">
        <f>IFERROR(表格1[[#This Row],[QTY]]*表格1[[#This Row],[Unit Price]],"-")</f>
        <v>838</v>
      </c>
      <c r="O2592" s="86">
        <v>1326881</v>
      </c>
      <c r="R2592" s="86" t="str">
        <f>_xlfn.CONCAT(表格1[[#This Row],[Model]]," ",表格1[[#This Row],[inv no]])</f>
        <v>RC-7HMH 1326881</v>
      </c>
      <c r="S2592" s="86">
        <f>_xlfn.XLOOKUP(表格1[[#This Row],[Model]],表格3[Model-Input-Ref2],表格3[SRP PRICE])</f>
        <v>1288</v>
      </c>
      <c r="T2592" s="43">
        <f>表格1[[#This Row],[Unit Price]]/表格1[[#This Row],[SRP]]</f>
        <v>0.65062111801242239</v>
      </c>
      <c r="U2592" s="86" t="str">
        <f>_xlfn.XLOOKUP(表格1[[#This Row],[Model]],表格3[Model-Input-Ref2],表格3[TOSHIBA/HIGHEST])</f>
        <v>Toshiba SRP</v>
      </c>
      <c r="W2592" s="86" t="str">
        <f>_xlfn.CONCAT(表格1[[#This Row],[欄4]],表格1[[#This Row],[inv no]])</f>
        <v>1326881</v>
      </c>
    </row>
    <row r="2593" spans="1:23" hidden="1">
      <c r="A2593" s="81">
        <v>2591</v>
      </c>
      <c r="B2593" s="86" t="s">
        <v>1477</v>
      </c>
      <c r="C2593" s="86" t="s">
        <v>1860</v>
      </c>
      <c r="D2593" s="82" t="str">
        <f ca="1">OFFSET(Roster!$A$3,MATCH(表格1[[#This Row],[Location]]&amp;" "&amp;表格1[[#This Row],[Shop]]&amp;"*",Roster!$A$4:$A$72,0),DAY(表格1[[#This Row],[date]]),1,1)</f>
        <v>Kiko</v>
      </c>
      <c r="E2593" s="86">
        <f>MONTH(表格1[[#This Row],[date]])</f>
        <v>3</v>
      </c>
      <c r="F2593" s="90">
        <v>46103</v>
      </c>
      <c r="G2593" s="86" t="str">
        <f>VLOOKUP("*"&amp;表格1[[#This Row],[Input]]&amp;"*",'Ref-List'!$B:$D,2,)</f>
        <v>TP-50DRUHK(W)</v>
      </c>
      <c r="H2593" s="86" t="str">
        <f>_xlfn.XLOOKUP(表格1[[#This Row],[Model]],表格3[Model-Input-Ref2],表格3[Product Line])</f>
        <v>電熱水瓶 (5公升)</v>
      </c>
      <c r="I2593" s="86" t="str">
        <f>_xlfn.XLOOKUP(表格1[[#This Row],[Model]],表格3[Model-Input-Ref2],表格3[大小電])</f>
        <v>細電</v>
      </c>
      <c r="J2593" s="86" t="str">
        <f>_xlfn.XLOOKUP(表格1[[#This Row],[Model]],表格3[Model-Input-Ref2],表格3[Code])</f>
        <v>SDA</v>
      </c>
      <c r="K2593" s="89" t="s">
        <v>1277</v>
      </c>
      <c r="L2593" s="86">
        <v>1</v>
      </c>
      <c r="M2593" s="87">
        <v>598</v>
      </c>
      <c r="N2593" s="87">
        <f>IFERROR(表格1[[#This Row],[QTY]]*表格1[[#This Row],[Unit Price]],"-")</f>
        <v>598</v>
      </c>
      <c r="O2593" s="86">
        <v>1326938</v>
      </c>
      <c r="R2593" s="86" t="str">
        <f>_xlfn.CONCAT(表格1[[#This Row],[Model]]," ",表格1[[#This Row],[inv no]])</f>
        <v>TP-50DRUHK(W) 1326938</v>
      </c>
      <c r="S2593" s="86">
        <f>_xlfn.XLOOKUP(表格1[[#This Row],[Model]],表格3[Model-Input-Ref2],表格3[SRP PRICE])</f>
        <v>718</v>
      </c>
      <c r="T2593" s="43">
        <f>表格1[[#This Row],[Unit Price]]/表格1[[#This Row],[SRP]]</f>
        <v>0.83286908077994426</v>
      </c>
      <c r="U2593" s="86" t="str">
        <f>_xlfn.XLOOKUP(表格1[[#This Row],[Model]],表格3[Model-Input-Ref2],表格3[TOSHIBA/HIGHEST])</f>
        <v>Toshiba SRP</v>
      </c>
      <c r="W2593" s="86" t="str">
        <f>_xlfn.CONCAT(表格1[[#This Row],[欄4]],表格1[[#This Row],[inv no]])</f>
        <v>1326938</v>
      </c>
    </row>
    <row r="2594" spans="1:23" hidden="1">
      <c r="A2594" s="81">
        <v>2592</v>
      </c>
      <c r="B2594" s="86" t="s">
        <v>1477</v>
      </c>
      <c r="C2594" s="86" t="s">
        <v>1860</v>
      </c>
      <c r="D2594" s="82" t="str">
        <f ca="1">OFFSET(Roster!$A$3,MATCH(表格1[[#This Row],[Location]]&amp;" "&amp;表格1[[#This Row],[Shop]]&amp;"*",Roster!$A$4:$A$72,0),DAY(表格1[[#This Row],[date]]),1,1)</f>
        <v>Kiko</v>
      </c>
      <c r="E2594" s="86">
        <f>MONTH(表格1[[#This Row],[date]])</f>
        <v>3</v>
      </c>
      <c r="F2594" s="90">
        <v>46103</v>
      </c>
      <c r="G2594" s="86" t="str">
        <f>VLOOKUP("*"&amp;表格1[[#This Row],[Input]]&amp;"*",'Ref-List'!$B:$D,2,)</f>
        <v>KT-17SHNH</v>
      </c>
      <c r="H2594" s="86" t="str">
        <f>_xlfn.XLOOKUP(表格1[[#This Row],[Model]],表格3[Model-Input-Ref2],表格3[Product Line])</f>
        <v>1.7L無線雙層電熱水壺</v>
      </c>
      <c r="I2594" s="86" t="str">
        <f>_xlfn.XLOOKUP(表格1[[#This Row],[Model]],表格3[Model-Input-Ref2],表格3[大小電])</f>
        <v>細電</v>
      </c>
      <c r="J2594" s="86" t="str">
        <f>_xlfn.XLOOKUP(表格1[[#This Row],[Model]],表格3[Model-Input-Ref2],表格3[Code])</f>
        <v>SDA</v>
      </c>
      <c r="K2594" s="89" t="s">
        <v>1283</v>
      </c>
      <c r="L2594" s="86">
        <v>1</v>
      </c>
      <c r="M2594" s="87">
        <v>198</v>
      </c>
      <c r="N2594" s="87">
        <f>IFERROR(表格1[[#This Row],[QTY]]*表格1[[#This Row],[Unit Price]],"-")</f>
        <v>198</v>
      </c>
      <c r="O2594" s="86">
        <v>1721975</v>
      </c>
      <c r="R2594" s="86" t="str">
        <f>_xlfn.CONCAT(表格1[[#This Row],[Model]]," ",表格1[[#This Row],[inv no]])</f>
        <v>KT-17SHNH 1721975</v>
      </c>
      <c r="S2594" s="86">
        <f>_xlfn.XLOOKUP(表格1[[#This Row],[Model]],表格3[Model-Input-Ref2],表格3[SRP PRICE])</f>
        <v>299</v>
      </c>
      <c r="T2594" s="43">
        <f>表格1[[#This Row],[Unit Price]]/表格1[[#This Row],[SRP]]</f>
        <v>0.66220735785953178</v>
      </c>
      <c r="U2594" s="86" t="str">
        <f>_xlfn.XLOOKUP(表格1[[#This Row],[Model]],表格3[Model-Input-Ref2],表格3[TOSHIBA/HIGHEST])</f>
        <v>Shops Highest Price</v>
      </c>
      <c r="W2594" s="86" t="str">
        <f>_xlfn.CONCAT(表格1[[#This Row],[欄4]],表格1[[#This Row],[inv no]])</f>
        <v>1721975</v>
      </c>
    </row>
    <row r="2595" spans="1:23" hidden="1">
      <c r="A2595" s="81">
        <v>2593</v>
      </c>
      <c r="B2595" s="86" t="s">
        <v>1477</v>
      </c>
      <c r="C2595" s="86" t="s">
        <v>1860</v>
      </c>
      <c r="D2595" s="82" t="str">
        <f ca="1">OFFSET(Roster!$A$3,MATCH(表格1[[#This Row],[Location]]&amp;" "&amp;表格1[[#This Row],[Shop]]&amp;"*",Roster!$A$4:$A$72,0),DAY(表格1[[#This Row],[date]]),1,1)</f>
        <v>Kiko</v>
      </c>
      <c r="E2595" s="86">
        <f>MONTH(表格1[[#This Row],[date]])</f>
        <v>3</v>
      </c>
      <c r="F2595" s="90">
        <v>46103</v>
      </c>
      <c r="G2595" s="86" t="str">
        <f>VLOOKUP("*"&amp;表格1[[#This Row],[Input]]&amp;"*",'Ref-List'!$B:$D,2,)</f>
        <v>KT-17SHNH</v>
      </c>
      <c r="H2595" s="86" t="str">
        <f>_xlfn.XLOOKUP(表格1[[#This Row],[Model]],表格3[Model-Input-Ref2],表格3[Product Line])</f>
        <v>1.7L無線雙層電熱水壺</v>
      </c>
      <c r="I2595" s="86" t="str">
        <f>_xlfn.XLOOKUP(表格1[[#This Row],[Model]],表格3[Model-Input-Ref2],表格3[大小電])</f>
        <v>細電</v>
      </c>
      <c r="J2595" s="86" t="str">
        <f>_xlfn.XLOOKUP(表格1[[#This Row],[Model]],表格3[Model-Input-Ref2],表格3[Code])</f>
        <v>SDA</v>
      </c>
      <c r="K2595" s="89" t="s">
        <v>1283</v>
      </c>
      <c r="L2595" s="86">
        <v>1</v>
      </c>
      <c r="M2595" s="87">
        <v>198</v>
      </c>
      <c r="N2595" s="87">
        <f>IFERROR(表格1[[#This Row],[QTY]]*表格1[[#This Row],[Unit Price]],"-")</f>
        <v>198</v>
      </c>
      <c r="O2595" s="86">
        <v>1722104</v>
      </c>
      <c r="R2595" s="86" t="str">
        <f>_xlfn.CONCAT(表格1[[#This Row],[Model]]," ",表格1[[#This Row],[inv no]])</f>
        <v>KT-17SHNH 1722104</v>
      </c>
      <c r="S2595" s="86">
        <f>_xlfn.XLOOKUP(表格1[[#This Row],[Model]],表格3[Model-Input-Ref2],表格3[SRP PRICE])</f>
        <v>299</v>
      </c>
      <c r="T2595" s="43">
        <f>表格1[[#This Row],[Unit Price]]/表格1[[#This Row],[SRP]]</f>
        <v>0.66220735785953178</v>
      </c>
      <c r="U2595" s="86" t="str">
        <f>_xlfn.XLOOKUP(表格1[[#This Row],[Model]],表格3[Model-Input-Ref2],表格3[TOSHIBA/HIGHEST])</f>
        <v>Shops Highest Price</v>
      </c>
      <c r="W2595" s="86" t="str">
        <f>_xlfn.CONCAT(表格1[[#This Row],[欄4]],表格1[[#This Row],[inv no]])</f>
        <v>1722104</v>
      </c>
    </row>
    <row r="2596" spans="1:23" hidden="1">
      <c r="A2596" s="81">
        <v>2594</v>
      </c>
      <c r="B2596" s="86" t="s">
        <v>1477</v>
      </c>
      <c r="C2596" s="86" t="s">
        <v>1860</v>
      </c>
      <c r="D2596" s="82" t="str">
        <f ca="1">OFFSET(Roster!$A$3,MATCH(表格1[[#This Row],[Location]]&amp;" "&amp;表格1[[#This Row],[Shop]]&amp;"*",Roster!$A$4:$A$72,0),DAY(表格1[[#This Row],[date]]),1,1)</f>
        <v>Kiko</v>
      </c>
      <c r="E2596" s="86">
        <f>MONTH(表格1[[#This Row],[date]])</f>
        <v>3</v>
      </c>
      <c r="F2596" s="90">
        <v>46103</v>
      </c>
      <c r="G2596" s="86" t="str">
        <f>VLOOKUP("*"&amp;表格1[[#This Row],[Input]]&amp;"*",'Ref-List'!$B:$D,2,)</f>
        <v>IC-S19RH</v>
      </c>
      <c r="H2596" s="86" t="str">
        <f>_xlfn.XLOOKUP(表格1[[#This Row],[Model]],表格3[Model-Input-Ref2],表格3[Product Line])</f>
        <v>輕便式電磁爐7個功能</v>
      </c>
      <c r="I2596" s="86" t="str">
        <f>_xlfn.XLOOKUP(表格1[[#This Row],[Model]],表格3[Model-Input-Ref2],表格3[大小電])</f>
        <v>細電</v>
      </c>
      <c r="J2596" s="86" t="str">
        <f>_xlfn.XLOOKUP(表格1[[#This Row],[Model]],表格3[Model-Input-Ref2],表格3[Code])</f>
        <v>SDA</v>
      </c>
      <c r="K2596" s="89" t="s">
        <v>1289</v>
      </c>
      <c r="L2596" s="86">
        <v>1</v>
      </c>
      <c r="M2596" s="87">
        <v>418</v>
      </c>
      <c r="N2596" s="87">
        <f>IFERROR(表格1[[#This Row],[QTY]]*表格1[[#This Row],[Unit Price]],"-")</f>
        <v>418</v>
      </c>
      <c r="O2596" s="86">
        <v>1722053</v>
      </c>
      <c r="R2596" s="86" t="str">
        <f>_xlfn.CONCAT(表格1[[#This Row],[Model]]," ",表格1[[#This Row],[inv no]])</f>
        <v>IC-S19RH 1722053</v>
      </c>
      <c r="S2596" s="86">
        <f>_xlfn.XLOOKUP(表格1[[#This Row],[Model]],表格3[Model-Input-Ref2],表格3[SRP PRICE])</f>
        <v>638</v>
      </c>
      <c r="T2596" s="43">
        <f>表格1[[#This Row],[Unit Price]]/表格1[[#This Row],[SRP]]</f>
        <v>0.65517241379310343</v>
      </c>
      <c r="U2596" s="86" t="str">
        <f>_xlfn.XLOOKUP(表格1[[#This Row],[Model]],表格3[Model-Input-Ref2],表格3[TOSHIBA/HIGHEST])</f>
        <v>Toshiba SRP</v>
      </c>
      <c r="W2596" s="86" t="str">
        <f>_xlfn.CONCAT(表格1[[#This Row],[欄4]],表格1[[#This Row],[inv no]])</f>
        <v>1722053</v>
      </c>
    </row>
    <row r="2597" spans="1:23" hidden="1">
      <c r="A2597" s="81">
        <v>2595</v>
      </c>
      <c r="B2597" s="86" t="s">
        <v>1477</v>
      </c>
      <c r="C2597" s="86" t="s">
        <v>1860</v>
      </c>
      <c r="D2597" s="82" t="str">
        <f ca="1">OFFSET(Roster!$A$3,MATCH(表格1[[#This Row],[Location]]&amp;" "&amp;表格1[[#This Row],[Shop]]&amp;"*",Roster!$A$4:$A$72,0),DAY(表格1[[#This Row],[date]]),1,1)</f>
        <v>Kiko</v>
      </c>
      <c r="E2597" s="86">
        <f>MONTH(表格1[[#This Row],[date]])</f>
        <v>3</v>
      </c>
      <c r="F2597" s="90">
        <v>46103</v>
      </c>
      <c r="G2597" s="86" t="str">
        <f>VLOOKUP("*"&amp;表格1[[#This Row],[Input]]&amp;"*",'Ref-List'!$B:$D,2,)</f>
        <v>IC-21TSHK</v>
      </c>
      <c r="H2597" s="86" t="str">
        <f>_xlfn.XLOOKUP(表格1[[#This Row],[Model]],表格3[Model-Input-Ref2],表格3[Product Line])</f>
        <v>Induction Cooker</v>
      </c>
      <c r="I2597" s="86" t="str">
        <f>_xlfn.XLOOKUP(表格1[[#This Row],[Model]],表格3[Model-Input-Ref2],表格3[大小電])</f>
        <v>細電</v>
      </c>
      <c r="J2597" s="86" t="str">
        <f>_xlfn.XLOOKUP(表格1[[#This Row],[Model]],表格3[Model-Input-Ref2],表格3[Code])</f>
        <v>SDA</v>
      </c>
      <c r="K2597" s="89" t="s">
        <v>1242</v>
      </c>
      <c r="L2597" s="86">
        <v>1</v>
      </c>
      <c r="M2597" s="87">
        <v>798</v>
      </c>
      <c r="N2597" s="87">
        <f>IFERROR(表格1[[#This Row],[QTY]]*表格1[[#This Row],[Unit Price]],"-")</f>
        <v>798</v>
      </c>
      <c r="O2597" s="86">
        <v>1326874</v>
      </c>
      <c r="R2597" s="86" t="str">
        <f>_xlfn.CONCAT(表格1[[#This Row],[Model]]," ",表格1[[#This Row],[inv no]])</f>
        <v>IC-21TSHK 1326874</v>
      </c>
      <c r="S2597" s="86">
        <f>_xlfn.XLOOKUP(表格1[[#This Row],[Model]],表格3[Model-Input-Ref2],表格3[SRP PRICE])</f>
        <v>998</v>
      </c>
      <c r="T2597" s="43">
        <f>表格1[[#This Row],[Unit Price]]/表格1[[#This Row],[SRP]]</f>
        <v>0.79959919839679361</v>
      </c>
      <c r="U2597" s="86" t="str">
        <f>_xlfn.XLOOKUP(表格1[[#This Row],[Model]],表格3[Model-Input-Ref2],表格3[TOSHIBA/HIGHEST])</f>
        <v>web SRP</v>
      </c>
      <c r="W2597" s="86" t="str">
        <f>_xlfn.CONCAT(表格1[[#This Row],[欄4]],表格1[[#This Row],[inv no]])</f>
        <v>1326874</v>
      </c>
    </row>
    <row r="2598" spans="1:23" hidden="1">
      <c r="A2598" s="81">
        <v>2596</v>
      </c>
      <c r="B2598" s="86" t="s">
        <v>1477</v>
      </c>
      <c r="C2598" s="86" t="s">
        <v>1860</v>
      </c>
      <c r="D2598" s="82" t="str">
        <f ca="1">OFFSET(Roster!$A$3,MATCH(表格1[[#This Row],[Location]]&amp;" "&amp;表格1[[#This Row],[Shop]]&amp;"*",Roster!$A$4:$A$72,0),DAY(表格1[[#This Row],[date]]),1,1)</f>
        <v>Kiko</v>
      </c>
      <c r="E2598" s="86">
        <f>MONTH(表格1[[#This Row],[date]])</f>
        <v>3</v>
      </c>
      <c r="F2598" s="90">
        <v>46103</v>
      </c>
      <c r="G2598" s="86" t="str">
        <f>VLOOKUP("*"&amp;表格1[[#This Row],[Input]]&amp;"*",'Ref-List'!$B:$D,2,)</f>
        <v>MX2-TT20SC(WH)</v>
      </c>
      <c r="H2598" s="86" t="str">
        <f>_xlfn.XLOOKUP(表格1[[#This Row],[Model]],表格3[Model-Input-Ref2],表格3[Product Line])</f>
        <v>3合1 微波蒸焗爐 (20公升)</v>
      </c>
      <c r="I2598" s="86" t="str">
        <f>_xlfn.XLOOKUP(表格1[[#This Row],[Model]],表格3[Model-Input-Ref2],表格3[大小電])</f>
        <v>細電</v>
      </c>
      <c r="J2598" s="86" t="str">
        <f>_xlfn.XLOOKUP(表格1[[#This Row],[Model]],表格3[Model-Input-Ref2],表格3[Code])</f>
        <v>MCA</v>
      </c>
      <c r="K2598" s="89" t="s">
        <v>1287</v>
      </c>
      <c r="L2598" s="86">
        <v>1</v>
      </c>
      <c r="M2598" s="87">
        <v>2580</v>
      </c>
      <c r="N2598" s="87">
        <f>IFERROR(表格1[[#This Row],[QTY]]*表格1[[#This Row],[Unit Price]],"-")</f>
        <v>2580</v>
      </c>
      <c r="O2598" s="86">
        <v>1326892</v>
      </c>
      <c r="R2598" s="86" t="str">
        <f>_xlfn.CONCAT(表格1[[#This Row],[Model]]," ",表格1[[#This Row],[inv no]])</f>
        <v>MX2-TT20SC(WH) 1326892</v>
      </c>
      <c r="S2598" s="86">
        <f>_xlfn.XLOOKUP(表格1[[#This Row],[Model]],表格3[Model-Input-Ref2],表格3[SRP PRICE])</f>
        <v>3580</v>
      </c>
      <c r="T2598" s="43">
        <f>表格1[[#This Row],[Unit Price]]/表格1[[#This Row],[SRP]]</f>
        <v>0.72067039106145248</v>
      </c>
      <c r="U2598" s="86" t="str">
        <f>_xlfn.XLOOKUP(表格1[[#This Row],[Model]],表格3[Model-Input-Ref2],表格3[TOSHIBA/HIGHEST])</f>
        <v>Toshiba SRP</v>
      </c>
      <c r="W2598" s="86" t="str">
        <f>_xlfn.CONCAT(表格1[[#This Row],[欄4]],表格1[[#This Row],[inv no]])</f>
        <v>1326892</v>
      </c>
    </row>
    <row r="2599" spans="1:23" hidden="1">
      <c r="A2599" s="81">
        <v>2597</v>
      </c>
      <c r="B2599" s="86" t="s">
        <v>1477</v>
      </c>
      <c r="C2599" s="86" t="s">
        <v>1860</v>
      </c>
      <c r="D2599" s="82" t="str">
        <f ca="1">OFFSET(Roster!$A$3,MATCH(表格1[[#This Row],[Location]]&amp;" "&amp;表格1[[#This Row],[Shop]]&amp;"*",Roster!$A$4:$A$72,0),DAY(表格1[[#This Row],[date]]),1,1)</f>
        <v>Kiko</v>
      </c>
      <c r="E2599" s="86">
        <f>MONTH(表格1[[#This Row],[date]])</f>
        <v>3</v>
      </c>
      <c r="F2599" s="90">
        <v>46103</v>
      </c>
      <c r="G2599" s="86" t="str">
        <f>VLOOKUP("*"&amp;表格1[[#This Row],[Input]]&amp;"*",'Ref-List'!$B:$D,2,)</f>
        <v>MX2-TT20SC(WH)</v>
      </c>
      <c r="H2599" s="86" t="str">
        <f>_xlfn.XLOOKUP(表格1[[#This Row],[Model]],表格3[Model-Input-Ref2],表格3[Product Line])</f>
        <v>3合1 微波蒸焗爐 (20公升)</v>
      </c>
      <c r="I2599" s="86" t="str">
        <f>_xlfn.XLOOKUP(表格1[[#This Row],[Model]],表格3[Model-Input-Ref2],表格3[大小電])</f>
        <v>細電</v>
      </c>
      <c r="J2599" s="86" t="str">
        <f>_xlfn.XLOOKUP(表格1[[#This Row],[Model]],表格3[Model-Input-Ref2],表格3[Code])</f>
        <v>MCA</v>
      </c>
      <c r="K2599" s="89" t="s">
        <v>1287</v>
      </c>
      <c r="L2599" s="86">
        <v>1</v>
      </c>
      <c r="M2599" s="87">
        <v>2580</v>
      </c>
      <c r="N2599" s="87">
        <f>IFERROR(表格1[[#This Row],[QTY]]*表格1[[#This Row],[Unit Price]],"-")</f>
        <v>2580</v>
      </c>
      <c r="O2599" s="86">
        <v>1722062</v>
      </c>
      <c r="R2599" s="86" t="str">
        <f>_xlfn.CONCAT(表格1[[#This Row],[Model]]," ",表格1[[#This Row],[inv no]])</f>
        <v>MX2-TT20SC(WH) 1722062</v>
      </c>
      <c r="S2599" s="86">
        <f>_xlfn.XLOOKUP(表格1[[#This Row],[Model]],表格3[Model-Input-Ref2],表格3[SRP PRICE])</f>
        <v>3580</v>
      </c>
      <c r="T2599" s="43">
        <f>表格1[[#This Row],[Unit Price]]/表格1[[#This Row],[SRP]]</f>
        <v>0.72067039106145248</v>
      </c>
      <c r="U2599" s="86" t="str">
        <f>_xlfn.XLOOKUP(表格1[[#This Row],[Model]],表格3[Model-Input-Ref2],表格3[TOSHIBA/HIGHEST])</f>
        <v>Toshiba SRP</v>
      </c>
      <c r="W2599" s="86" t="str">
        <f>_xlfn.CONCAT(表格1[[#This Row],[欄4]],表格1[[#This Row],[inv no]])</f>
        <v>1722062</v>
      </c>
    </row>
    <row r="2600" spans="1:23" hidden="1">
      <c r="A2600" s="81">
        <v>2598</v>
      </c>
      <c r="B2600" s="86" t="s">
        <v>1477</v>
      </c>
      <c r="C2600" s="86" t="s">
        <v>1860</v>
      </c>
      <c r="D2600" s="82" t="str">
        <f ca="1">OFFSET(Roster!$A$3,MATCH(表格1[[#This Row],[Location]]&amp;" "&amp;表格1[[#This Row],[Shop]]&amp;"*",Roster!$A$4:$A$72,0),DAY(表格1[[#This Row],[date]]),1,1)</f>
        <v>Kiko</v>
      </c>
      <c r="E2600" s="86">
        <f>MONTH(表格1[[#This Row],[date]])</f>
        <v>3</v>
      </c>
      <c r="F2600" s="90">
        <v>46103</v>
      </c>
      <c r="G2600" s="86" t="str">
        <f>VLOOKUP("*"&amp;表格1[[#This Row],[Input]]&amp;"*",'Ref-List'!$B:$D,2,)</f>
        <v>KT-17DRTHK(H)</v>
      </c>
      <c r="H2600" s="86" t="str">
        <f>_xlfn.XLOOKUP(表格1[[#This Row],[Model]],表格3[Model-Input-Ref2],表格3[Product Line])</f>
        <v>無線雙層電熱水壺(1.7公升)</v>
      </c>
      <c r="I2600" s="86" t="str">
        <f>_xlfn.XLOOKUP(表格1[[#This Row],[Model]],表格3[Model-Input-Ref2],表格3[大小電])</f>
        <v>細電</v>
      </c>
      <c r="J2600" s="86" t="str">
        <f>_xlfn.XLOOKUP(表格1[[#This Row],[Model]],表格3[Model-Input-Ref2],表格3[Code])</f>
        <v>SDA</v>
      </c>
      <c r="K2600" s="89" t="s">
        <v>1271</v>
      </c>
      <c r="L2600" s="86">
        <v>1</v>
      </c>
      <c r="M2600" s="87">
        <v>388</v>
      </c>
      <c r="N2600" s="87">
        <f>IFERROR(表格1[[#This Row],[QTY]]*表格1[[#This Row],[Unit Price]],"-")</f>
        <v>388</v>
      </c>
      <c r="O2600" s="86">
        <v>1722278</v>
      </c>
      <c r="P2600" s="86" t="s">
        <v>1863</v>
      </c>
      <c r="R2600" s="86" t="str">
        <f>_xlfn.CONCAT(表格1[[#This Row],[Model]]," ",表格1[[#This Row],[inv no]])</f>
        <v>KT-17DRTHK(H) 1722278</v>
      </c>
      <c r="S2600" s="86">
        <f>_xlfn.XLOOKUP(表格1[[#This Row],[Model]],表格3[Model-Input-Ref2],表格3[SRP PRICE])</f>
        <v>498</v>
      </c>
      <c r="T2600" s="43">
        <f>表格1[[#This Row],[Unit Price]]/表格1[[#This Row],[SRP]]</f>
        <v>0.77911646586345384</v>
      </c>
      <c r="U2600" s="86" t="str">
        <f>_xlfn.XLOOKUP(表格1[[#This Row],[Model]],表格3[Model-Input-Ref2],表格3[TOSHIBA/HIGHEST])</f>
        <v>Toshiba SRP</v>
      </c>
      <c r="W2600" s="86" t="str">
        <f>_xlfn.CONCAT(表格1[[#This Row],[欄4]],表格1[[#This Row],[inv no]])</f>
        <v>1722278</v>
      </c>
    </row>
    <row r="2601" spans="1:23" hidden="1">
      <c r="A2601" s="81">
        <v>2599</v>
      </c>
      <c r="B2601" s="86" t="s">
        <v>1477</v>
      </c>
      <c r="C2601" s="86" t="s">
        <v>1860</v>
      </c>
      <c r="D2601" s="82" t="str">
        <f ca="1">OFFSET(Roster!$A$3,MATCH(表格1[[#This Row],[Location]]&amp;" "&amp;表格1[[#This Row],[Shop]]&amp;"*",Roster!$A$4:$A$72,0),DAY(表格1[[#This Row],[date]]),1,1)</f>
        <v>Kiko</v>
      </c>
      <c r="E2601" s="86">
        <f>MONTH(表格1[[#This Row],[date]])</f>
        <v>3</v>
      </c>
      <c r="F2601" s="90">
        <v>46103</v>
      </c>
      <c r="G2601" s="86" t="str">
        <f>VLOOKUP("*"&amp;表格1[[#This Row],[Input]]&amp;"*",'Ref-List'!$B:$D,2,)</f>
        <v>FIST(PRO)</v>
      </c>
      <c r="H2601" s="86" t="str">
        <f>_xlfn.XLOOKUP(表格1[[#This Row],[Model]],表格3[Model-Input-Ref2],表格3[Product Line])</f>
        <v>濾芯</v>
      </c>
      <c r="I2601" s="86" t="str">
        <f>_xlfn.XLOOKUP(表格1[[#This Row],[Model]],表格3[Model-Input-Ref2],表格3[大小電])</f>
        <v>細電</v>
      </c>
      <c r="J2601" s="86" t="str">
        <f>_xlfn.XLOOKUP(表格1[[#This Row],[Model]],表格3[Model-Input-Ref2],表格3[Code])</f>
        <v>KWH</v>
      </c>
      <c r="K2601" s="89" t="s">
        <v>1489</v>
      </c>
      <c r="L2601" s="86">
        <v>1</v>
      </c>
      <c r="M2601" s="87">
        <v>798</v>
      </c>
      <c r="N2601" s="87">
        <f>IFERROR(表格1[[#This Row],[QTY]]*表格1[[#This Row],[Unit Price]],"-")</f>
        <v>798</v>
      </c>
      <c r="O2601" s="86">
        <v>1721037</v>
      </c>
      <c r="R2601" s="86" t="str">
        <f>_xlfn.CONCAT(表格1[[#This Row],[Model]]," ",表格1[[#This Row],[inv no]])</f>
        <v>FIST(PRO) 1721037</v>
      </c>
      <c r="S2601" s="86">
        <f>_xlfn.XLOOKUP(表格1[[#This Row],[Model]],表格3[Model-Input-Ref2],表格3[SRP PRICE])</f>
        <v>798</v>
      </c>
      <c r="T2601" s="43">
        <f>表格1[[#This Row],[Unit Price]]/表格1[[#This Row],[SRP]]</f>
        <v>1</v>
      </c>
      <c r="U2601" s="86" t="str">
        <f>_xlfn.XLOOKUP(表格1[[#This Row],[Model]],表格3[Model-Input-Ref2],表格3[TOSHIBA/HIGHEST])</f>
        <v>Shops Highest Price</v>
      </c>
      <c r="W2601" s="86" t="str">
        <f>_xlfn.CONCAT(表格1[[#This Row],[欄4]],表格1[[#This Row],[inv no]])</f>
        <v>1721037</v>
      </c>
    </row>
    <row r="2602" spans="1:23" hidden="1">
      <c r="A2602" s="81">
        <v>2600</v>
      </c>
      <c r="B2602" s="86" t="s">
        <v>1477</v>
      </c>
      <c r="C2602" s="86" t="s">
        <v>1860</v>
      </c>
      <c r="D2602" s="82" t="str">
        <f ca="1">OFFSET(Roster!$A$3,MATCH(表格1[[#This Row],[Location]]&amp;" "&amp;表格1[[#This Row],[Shop]]&amp;"*",Roster!$A$4:$A$72,0),DAY(表格1[[#This Row],[date]]),1,1)</f>
        <v>Kiko</v>
      </c>
      <c r="E2602" s="86">
        <f>MONTH(表格1[[#This Row],[date]])</f>
        <v>3</v>
      </c>
      <c r="F2602" s="90">
        <v>46104</v>
      </c>
      <c r="G2602" s="86" t="str">
        <f>VLOOKUP("*"&amp;表格1[[#This Row],[Input]]&amp;"*",'Ref-List'!$B:$D,2,)</f>
        <v>KT-17SHNH</v>
      </c>
      <c r="H2602" s="86" t="str">
        <f>_xlfn.XLOOKUP(表格1[[#This Row],[Model]],表格3[Model-Input-Ref2],表格3[Product Line])</f>
        <v>1.7L無線雙層電熱水壺</v>
      </c>
      <c r="I2602" s="86" t="str">
        <f>_xlfn.XLOOKUP(表格1[[#This Row],[Model]],表格3[Model-Input-Ref2],表格3[大小電])</f>
        <v>細電</v>
      </c>
      <c r="J2602" s="86" t="str">
        <f>_xlfn.XLOOKUP(表格1[[#This Row],[Model]],表格3[Model-Input-Ref2],表格3[Code])</f>
        <v>SDA</v>
      </c>
      <c r="K2602" s="89" t="s">
        <v>1283</v>
      </c>
      <c r="L2602" s="86">
        <v>1</v>
      </c>
      <c r="M2602" s="87">
        <v>198</v>
      </c>
      <c r="N2602" s="87">
        <f>IFERROR(表格1[[#This Row],[QTY]]*表格1[[#This Row],[Unit Price]],"-")</f>
        <v>198</v>
      </c>
      <c r="O2602" s="86">
        <v>1722243</v>
      </c>
      <c r="R2602" s="86" t="str">
        <f>_xlfn.CONCAT(表格1[[#This Row],[Model]]," ",表格1[[#This Row],[inv no]])</f>
        <v>KT-17SHNH 1722243</v>
      </c>
      <c r="S2602" s="86">
        <f>_xlfn.XLOOKUP(表格1[[#This Row],[Model]],表格3[Model-Input-Ref2],表格3[SRP PRICE])</f>
        <v>299</v>
      </c>
      <c r="T2602" s="43">
        <f>表格1[[#This Row],[Unit Price]]/表格1[[#This Row],[SRP]]</f>
        <v>0.66220735785953178</v>
      </c>
      <c r="U2602" s="86" t="str">
        <f>_xlfn.XLOOKUP(表格1[[#This Row],[Model]],表格3[Model-Input-Ref2],表格3[TOSHIBA/HIGHEST])</f>
        <v>Shops Highest Price</v>
      </c>
      <c r="W2602" s="86" t="str">
        <f>_xlfn.CONCAT(表格1[[#This Row],[欄4]],表格1[[#This Row],[inv no]])</f>
        <v>1722243</v>
      </c>
    </row>
    <row r="2603" spans="1:23" hidden="1">
      <c r="A2603" s="81">
        <v>2601</v>
      </c>
      <c r="B2603" s="86" t="s">
        <v>1477</v>
      </c>
      <c r="C2603" s="86" t="s">
        <v>1860</v>
      </c>
      <c r="D2603" s="82" t="str">
        <f ca="1">OFFSET(Roster!$A$3,MATCH(表格1[[#This Row],[Location]]&amp;" "&amp;表格1[[#This Row],[Shop]]&amp;"*",Roster!$A$4:$A$72,0),DAY(表格1[[#This Row],[date]]),1,1)</f>
        <v>Kiko</v>
      </c>
      <c r="E2603" s="86">
        <f>MONTH(表格1[[#This Row],[date]])</f>
        <v>3</v>
      </c>
      <c r="F2603" s="90">
        <v>46104</v>
      </c>
      <c r="G2603" s="86" t="str">
        <f>VLOOKUP("*"&amp;表格1[[#This Row],[Input]]&amp;"*",'Ref-List'!$B:$D,2,)</f>
        <v>MX2-TT20SC(WH)</v>
      </c>
      <c r="H2603" s="86" t="str">
        <f>_xlfn.XLOOKUP(表格1[[#This Row],[Model]],表格3[Model-Input-Ref2],表格3[Product Line])</f>
        <v>3合1 微波蒸焗爐 (20公升)</v>
      </c>
      <c r="I2603" s="86" t="str">
        <f>_xlfn.XLOOKUP(表格1[[#This Row],[Model]],表格3[Model-Input-Ref2],表格3[大小電])</f>
        <v>細電</v>
      </c>
      <c r="J2603" s="86" t="str">
        <f>_xlfn.XLOOKUP(表格1[[#This Row],[Model]],表格3[Model-Input-Ref2],表格3[Code])</f>
        <v>MCA</v>
      </c>
      <c r="K2603" s="89" t="s">
        <v>1287</v>
      </c>
      <c r="L2603" s="86">
        <v>1</v>
      </c>
      <c r="M2603" s="87">
        <v>2580</v>
      </c>
      <c r="N2603" s="87">
        <f>IFERROR(表格1[[#This Row],[QTY]]*表格1[[#This Row],[Unit Price]],"-")</f>
        <v>2580</v>
      </c>
      <c r="O2603" s="86">
        <v>1722274</v>
      </c>
      <c r="R2603" s="86" t="str">
        <f>_xlfn.CONCAT(表格1[[#This Row],[Model]]," ",表格1[[#This Row],[inv no]])</f>
        <v>MX2-TT20SC(WH) 1722274</v>
      </c>
      <c r="S2603" s="86">
        <f>_xlfn.XLOOKUP(表格1[[#This Row],[Model]],表格3[Model-Input-Ref2],表格3[SRP PRICE])</f>
        <v>3580</v>
      </c>
      <c r="T2603" s="43">
        <f>表格1[[#This Row],[Unit Price]]/表格1[[#This Row],[SRP]]</f>
        <v>0.72067039106145248</v>
      </c>
      <c r="U2603" s="86" t="str">
        <f>_xlfn.XLOOKUP(表格1[[#This Row],[Model]],表格3[Model-Input-Ref2],表格3[TOSHIBA/HIGHEST])</f>
        <v>Toshiba SRP</v>
      </c>
      <c r="W2603" s="86" t="str">
        <f>_xlfn.CONCAT(表格1[[#This Row],[欄4]],表格1[[#This Row],[inv no]])</f>
        <v>1722274</v>
      </c>
    </row>
    <row r="2604" spans="1:23" hidden="1">
      <c r="A2604" s="81">
        <v>2602</v>
      </c>
      <c r="B2604" s="86" t="s">
        <v>1477</v>
      </c>
      <c r="C2604" s="86" t="s">
        <v>1860</v>
      </c>
      <c r="D2604" s="82" t="str">
        <f ca="1">OFFSET(Roster!$A$3,MATCH(表格1[[#This Row],[Location]]&amp;" "&amp;表格1[[#This Row],[Shop]]&amp;"*",Roster!$A$4:$A$72,0),DAY(表格1[[#This Row],[date]]),1,1)</f>
        <v>Kiko</v>
      </c>
      <c r="E2604" s="86">
        <f>MONTH(表格1[[#This Row],[date]])</f>
        <v>3</v>
      </c>
      <c r="F2604" s="90">
        <v>46104</v>
      </c>
      <c r="G2604" s="86" t="str">
        <f>VLOOKUP("*"&amp;表格1[[#This Row],[Input]]&amp;"*",'Ref-List'!$B:$D,2,)</f>
        <v>ET-TD7080(PN)</v>
      </c>
      <c r="H2604" s="86" t="str">
        <f>_xlfn.XLOOKUP(表格1[[#This Row],[Model]],表格3[Model-Input-Ref2],表格3[Product Line])</f>
        <v>多士焗爐8L</v>
      </c>
      <c r="I2604" s="86" t="str">
        <f>_xlfn.XLOOKUP(表格1[[#This Row],[Model]],表格3[Model-Input-Ref2],表格3[大小電])</f>
        <v>細電</v>
      </c>
      <c r="J2604" s="86" t="str">
        <f>_xlfn.XLOOKUP(表格1[[#This Row],[Model]],表格3[Model-Input-Ref2],表格3[Code])</f>
        <v>SDA</v>
      </c>
      <c r="K2604" s="89">
        <v>7080</v>
      </c>
      <c r="L2604" s="86">
        <v>1</v>
      </c>
      <c r="M2604" s="87">
        <v>338</v>
      </c>
      <c r="N2604" s="87">
        <f>IFERROR(表格1[[#This Row],[QTY]]*表格1[[#This Row],[Unit Price]],"-")</f>
        <v>338</v>
      </c>
      <c r="O2604" s="86">
        <v>1721803</v>
      </c>
      <c r="R2604" s="86" t="str">
        <f>_xlfn.CONCAT(表格1[[#This Row],[Model]]," ",表格1[[#This Row],[inv no]])</f>
        <v>ET-TD7080(PN) 1721803</v>
      </c>
      <c r="S2604" s="86">
        <f>_xlfn.XLOOKUP(表格1[[#This Row],[Model]],表格3[Model-Input-Ref2],表格3[SRP PRICE])</f>
        <v>498</v>
      </c>
      <c r="T2604" s="43">
        <f>表格1[[#This Row],[Unit Price]]/表格1[[#This Row],[SRP]]</f>
        <v>0.67871485943775101</v>
      </c>
      <c r="U2604" s="86" t="str">
        <f>_xlfn.XLOOKUP(表格1[[#This Row],[Model]],表格3[Model-Input-Ref2],表格3[TOSHIBA/HIGHEST])</f>
        <v>Toshiba SRP</v>
      </c>
      <c r="W2604" s="86" t="str">
        <f>_xlfn.CONCAT(表格1[[#This Row],[欄4]],表格1[[#This Row],[inv no]])</f>
        <v>1721803</v>
      </c>
    </row>
    <row r="2605" spans="1:23" hidden="1">
      <c r="A2605" s="81">
        <v>2603</v>
      </c>
      <c r="B2605" s="86" t="s">
        <v>1477</v>
      </c>
      <c r="C2605" s="86" t="s">
        <v>1860</v>
      </c>
      <c r="D2605" s="82" t="str">
        <f ca="1">OFFSET(Roster!$A$3,MATCH(表格1[[#This Row],[Location]]&amp;" "&amp;表格1[[#This Row],[Shop]]&amp;"*",Roster!$A$4:$A$72,0),DAY(表格1[[#This Row],[date]]),1,1)</f>
        <v>Kiko</v>
      </c>
      <c r="E2605" s="86">
        <f>MONTH(表格1[[#This Row],[date]])</f>
        <v>3</v>
      </c>
      <c r="F2605" s="90">
        <v>46104</v>
      </c>
      <c r="G2605" s="86" t="str">
        <f>VLOOKUP("*"&amp;表格1[[#This Row],[Input]]&amp;"*",'Ref-List'!$B:$D,2,)</f>
        <v>TWD-T21BU95UWH(WW)</v>
      </c>
      <c r="H2605" s="86" t="str">
        <f>_xlfn.XLOOKUP(表格1[[#This Row],[Model]],表格3[Model-Input-Ref2],表格3[Product Line])</f>
        <v>470MM超薄身前置式變頻洗衣乾衣機 (洗8.5公斤 乾6公斤)</v>
      </c>
      <c r="I2605" s="86" t="str">
        <f>_xlfn.XLOOKUP(表格1[[#This Row],[Model]],表格3[Model-Input-Ref2],表格3[大小電])</f>
        <v>大電</v>
      </c>
      <c r="J2605" s="86" t="str">
        <f>_xlfn.XLOOKUP(表格1[[#This Row],[Model]],表格3[Model-Input-Ref2],表格3[Code])</f>
        <v>LAD</v>
      </c>
      <c r="K2605" s="89" t="s">
        <v>1461</v>
      </c>
      <c r="L2605" s="86">
        <v>1</v>
      </c>
      <c r="M2605" s="87">
        <v>3999</v>
      </c>
      <c r="N2605" s="87">
        <f>IFERROR(表格1[[#This Row],[QTY]]*表格1[[#This Row],[Unit Price]],"-")</f>
        <v>3999</v>
      </c>
      <c r="O2605" s="86">
        <v>1722273</v>
      </c>
      <c r="R2605" s="86" t="str">
        <f>_xlfn.CONCAT(表格1[[#This Row],[Model]]," ",表格1[[#This Row],[inv no]])</f>
        <v>TWD-T21BU95UWH(WW) 1722273</v>
      </c>
      <c r="S2605" s="86">
        <f>_xlfn.XLOOKUP(表格1[[#This Row],[Model]],表格3[Model-Input-Ref2],表格3[SRP PRICE])</f>
        <v>7280</v>
      </c>
      <c r="T2605" s="43">
        <f>表格1[[#This Row],[Unit Price]]/表格1[[#This Row],[SRP]]</f>
        <v>0.54931318681318686</v>
      </c>
      <c r="U2605" s="86" t="str">
        <f>_xlfn.XLOOKUP(表格1[[#This Row],[Model]],表格3[Model-Input-Ref2],表格3[TOSHIBA/HIGHEST])</f>
        <v>Toshiba SRP</v>
      </c>
      <c r="W2605" s="86" t="str">
        <f>_xlfn.CONCAT(表格1[[#This Row],[欄4]],表格1[[#This Row],[inv no]])</f>
        <v>1722273</v>
      </c>
    </row>
    <row r="2606" spans="1:23" hidden="1">
      <c r="A2606" s="81">
        <v>2604</v>
      </c>
      <c r="B2606" s="86" t="s">
        <v>1477</v>
      </c>
      <c r="C2606" s="86" t="s">
        <v>1860</v>
      </c>
      <c r="D2606" s="82" t="str">
        <f ca="1">OFFSET(Roster!$A$3,MATCH(表格1[[#This Row],[Location]]&amp;" "&amp;表格1[[#This Row],[Shop]]&amp;"*",Roster!$A$4:$A$72,0),DAY(表格1[[#This Row],[date]]),1,1)</f>
        <v>Kiko</v>
      </c>
      <c r="E2606" s="86">
        <f>MONTH(表格1[[#This Row],[date]])</f>
        <v>3</v>
      </c>
      <c r="F2606" s="90">
        <v>46104</v>
      </c>
      <c r="G2606" s="86" t="str">
        <f>VLOOKUP("*"&amp;表格1[[#This Row],[Input]]&amp;"*",'Ref-List'!$B:$D,2,)</f>
        <v>MS5-STR30SC(BK)</v>
      </c>
      <c r="H2606" s="86" t="str">
        <f>_xlfn.XLOOKUP(表格1[[#This Row],[Model]],表格3[Model-Input-Ref2],表格3[Product Line])</f>
        <v>30公升蒸氣焗爐</v>
      </c>
      <c r="I2606" s="86" t="str">
        <f>_xlfn.XLOOKUP(表格1[[#This Row],[Model]],表格3[Model-Input-Ref2],表格3[大小電])</f>
        <v>細電</v>
      </c>
      <c r="J2606" s="86" t="str">
        <f>_xlfn.XLOOKUP(表格1[[#This Row],[Model]],表格3[Model-Input-Ref2],表格3[Code])</f>
        <v>MCA</v>
      </c>
      <c r="K2606" s="89" t="s">
        <v>1379</v>
      </c>
      <c r="L2606" s="86">
        <v>1</v>
      </c>
      <c r="M2606" s="87">
        <v>3980</v>
      </c>
      <c r="N2606" s="87">
        <f>IFERROR(表格1[[#This Row],[QTY]]*表格1[[#This Row],[Unit Price]],"-")</f>
        <v>3980</v>
      </c>
      <c r="O2606" s="86">
        <v>1722262</v>
      </c>
      <c r="R2606" s="86" t="str">
        <f>_xlfn.CONCAT(表格1[[#This Row],[Model]]," ",表格1[[#This Row],[inv no]])</f>
        <v>MS5-STR30SC(BK) 1722262</v>
      </c>
      <c r="S2606" s="86">
        <f>_xlfn.XLOOKUP(表格1[[#This Row],[Model]],表格3[Model-Input-Ref2],表格3[SRP PRICE])</f>
        <v>5998</v>
      </c>
      <c r="T2606" s="43">
        <f>表格1[[#This Row],[Unit Price]]/表格1[[#This Row],[SRP]]</f>
        <v>0.66355451817272426</v>
      </c>
      <c r="U2606" s="86" t="str">
        <f>_xlfn.XLOOKUP(表格1[[#This Row],[Model]],表格3[Model-Input-Ref2],表格3[TOSHIBA/HIGHEST])</f>
        <v>Shops Highest Price</v>
      </c>
      <c r="W2606" s="86" t="str">
        <f>_xlfn.CONCAT(表格1[[#This Row],[欄4]],表格1[[#This Row],[inv no]])</f>
        <v>1722262</v>
      </c>
    </row>
    <row r="2607" spans="1:23" hidden="1">
      <c r="A2607" s="81">
        <v>2605</v>
      </c>
      <c r="B2607" s="86" t="s">
        <v>1477</v>
      </c>
      <c r="C2607" s="86" t="s">
        <v>1860</v>
      </c>
      <c r="D2607" s="82" t="str">
        <f ca="1">OFFSET(Roster!$A$3,MATCH(表格1[[#This Row],[Location]]&amp;" "&amp;表格1[[#This Row],[Shop]]&amp;"*",Roster!$A$4:$A$72,0),DAY(表格1[[#This Row],[date]]),1,1)</f>
        <v>Kiko</v>
      </c>
      <c r="E2607" s="86">
        <f>MONTH(表格1[[#This Row],[date]])</f>
        <v>3</v>
      </c>
      <c r="F2607" s="90">
        <v>46104</v>
      </c>
      <c r="G2607" s="86" t="str">
        <f>VLOOKUP("*"&amp;表格1[[#This Row],[Input]]&amp;"*",'Ref-List'!$B:$D,2,)</f>
        <v>GR-RT416WE-PMA(06)</v>
      </c>
      <c r="H2607" s="86" t="str">
        <f>_xlfn.XLOOKUP(表格1[[#This Row],[Model]],表格3[Model-Input-Ref2],表格3[Product Line])</f>
        <v xml:space="preserve">變頻上置式雙門雪櫃313L </v>
      </c>
      <c r="I2607" s="86" t="str">
        <f>_xlfn.XLOOKUP(表格1[[#This Row],[Model]],表格3[Model-Input-Ref2],表格3[大小電])</f>
        <v>大電</v>
      </c>
      <c r="J2607" s="86" t="str">
        <f>_xlfn.XLOOKUP(表格1[[#This Row],[Model]],表格3[Model-Input-Ref2],表格3[Code])</f>
        <v>REF</v>
      </c>
      <c r="K2607" s="89" t="s">
        <v>1208</v>
      </c>
      <c r="L2607" s="86">
        <v>1</v>
      </c>
      <c r="M2607" s="87">
        <v>3980</v>
      </c>
      <c r="N2607" s="87">
        <f>IFERROR(表格1[[#This Row],[QTY]]*表格1[[#This Row],[Unit Price]],"-")</f>
        <v>3980</v>
      </c>
      <c r="O2607" s="86">
        <v>1722193</v>
      </c>
      <c r="R2607" s="86" t="str">
        <f>_xlfn.CONCAT(表格1[[#This Row],[Model]]," ",表格1[[#This Row],[inv no]])</f>
        <v>GR-RT416WE-PMA(06) 1722193</v>
      </c>
      <c r="S2607" s="86">
        <f>_xlfn.XLOOKUP(表格1[[#This Row],[Model]],表格3[Model-Input-Ref2],表格3[SRP PRICE])</f>
        <v>5380</v>
      </c>
      <c r="T2607" s="43">
        <f>表格1[[#This Row],[Unit Price]]/表格1[[#This Row],[SRP]]</f>
        <v>0.7397769516728625</v>
      </c>
      <c r="U2607" s="86" t="str">
        <f>_xlfn.XLOOKUP(表格1[[#This Row],[Model]],表格3[Model-Input-Ref2],表格3[TOSHIBA/HIGHEST])</f>
        <v>Toshiba SRP</v>
      </c>
      <c r="W2607" s="86" t="str">
        <f>_xlfn.CONCAT(表格1[[#This Row],[欄4]],表格1[[#This Row],[inv no]])</f>
        <v>1722193</v>
      </c>
    </row>
    <row r="2608" spans="1:23" hidden="1">
      <c r="A2608" s="81">
        <v>2606</v>
      </c>
      <c r="B2608" s="86" t="s">
        <v>1477</v>
      </c>
      <c r="C2608" s="86" t="s">
        <v>1860</v>
      </c>
      <c r="D2608" s="82" t="str">
        <f ca="1">OFFSET(Roster!$A$3,MATCH(表格1[[#This Row],[Location]]&amp;" "&amp;表格1[[#This Row],[Shop]]&amp;"*",Roster!$A$4:$A$72,0),DAY(表格1[[#This Row],[date]]),1,1)</f>
        <v>Kiko</v>
      </c>
      <c r="E2608" s="86">
        <f>MONTH(表格1[[#This Row],[date]])</f>
        <v>3</v>
      </c>
      <c r="F2608" s="90">
        <v>46104</v>
      </c>
      <c r="G2608" s="86" t="str">
        <f>VLOOKUP("*"&amp;表格1[[#This Row],[Input]]&amp;"*",'Ref-List'!$B:$D,2,)</f>
        <v>RC-5SLIH(W)</v>
      </c>
      <c r="H2608" s="86" t="str">
        <f>_xlfn.XLOOKUP(表格1[[#This Row],[Model]],表格3[Model-Input-Ref2],表格3[Product Line])</f>
        <v>微型電腦珍珠飯煲</v>
      </c>
      <c r="I2608" s="86" t="str">
        <f>_xlfn.XLOOKUP(表格1[[#This Row],[Model]],表格3[Model-Input-Ref2],表格3[大小電])</f>
        <v>細電</v>
      </c>
      <c r="J2608" s="86" t="str">
        <f>_xlfn.XLOOKUP(表格1[[#This Row],[Model]],表格3[Model-Input-Ref2],表格3[Code])</f>
        <v>SDA</v>
      </c>
      <c r="K2608" s="89" t="s">
        <v>1264</v>
      </c>
      <c r="L2608" s="86">
        <v>1</v>
      </c>
      <c r="M2608" s="87">
        <v>593</v>
      </c>
      <c r="N2608" s="87">
        <f>IFERROR(表格1[[#This Row],[QTY]]*表格1[[#This Row],[Unit Price]],"-")</f>
        <v>593</v>
      </c>
      <c r="O2608" s="86">
        <v>1722290</v>
      </c>
      <c r="R2608" s="86" t="str">
        <f>_xlfn.CONCAT(表格1[[#This Row],[Model]]," ",表格1[[#This Row],[inv no]])</f>
        <v>RC-5SLIH(W) 1722290</v>
      </c>
      <c r="S2608" s="86">
        <f>_xlfn.XLOOKUP(表格1[[#This Row],[Model]],表格3[Model-Input-Ref2],表格3[SRP PRICE])</f>
        <v>658</v>
      </c>
      <c r="T2608" s="43">
        <f>表格1[[#This Row],[Unit Price]]/表格1[[#This Row],[SRP]]</f>
        <v>0.90121580547112456</v>
      </c>
      <c r="U2608" s="86" t="str">
        <f>_xlfn.XLOOKUP(表格1[[#This Row],[Model]],表格3[Model-Input-Ref2],表格3[TOSHIBA/HIGHEST])</f>
        <v>Toshiba SRP</v>
      </c>
      <c r="W2608" s="86" t="str">
        <f>_xlfn.CONCAT(表格1[[#This Row],[欄4]],表格1[[#This Row],[inv no]])</f>
        <v>1722290</v>
      </c>
    </row>
    <row r="2609" spans="1:23" hidden="1">
      <c r="A2609" s="81">
        <v>2607</v>
      </c>
      <c r="B2609" s="86" t="s">
        <v>1477</v>
      </c>
      <c r="C2609" s="86" t="s">
        <v>1860</v>
      </c>
      <c r="D2609" s="82" t="str">
        <f ca="1">OFFSET(Roster!$A$3,MATCH(表格1[[#This Row],[Location]]&amp;" "&amp;表格1[[#This Row],[Shop]]&amp;"*",Roster!$A$4:$A$72,0),DAY(表格1[[#This Row],[date]]),1,1)</f>
        <v>Kiko</v>
      </c>
      <c r="E2609" s="86">
        <f>MONTH(表格1[[#This Row],[date]])</f>
        <v>3</v>
      </c>
      <c r="F2609" s="90">
        <v>46104</v>
      </c>
      <c r="G2609" s="86" t="str">
        <f>VLOOKUP("*"&amp;表格1[[#This Row],[Input]]&amp;"*",'Ref-List'!$B:$D,2,)</f>
        <v>KT-17DRTHK(H)</v>
      </c>
      <c r="H2609" s="86" t="str">
        <f>_xlfn.XLOOKUP(表格1[[#This Row],[Model]],表格3[Model-Input-Ref2],表格3[Product Line])</f>
        <v>無線雙層電熱水壺(1.7公升)</v>
      </c>
      <c r="I2609" s="86" t="str">
        <f>_xlfn.XLOOKUP(表格1[[#This Row],[Model]],表格3[Model-Input-Ref2],表格3[大小電])</f>
        <v>細電</v>
      </c>
      <c r="J2609" s="86" t="str">
        <f>_xlfn.XLOOKUP(表格1[[#This Row],[Model]],表格3[Model-Input-Ref2],表格3[Code])</f>
        <v>SDA</v>
      </c>
      <c r="K2609" s="89" t="s">
        <v>1271</v>
      </c>
      <c r="L2609" s="86">
        <v>1</v>
      </c>
      <c r="M2609" s="87">
        <v>388</v>
      </c>
      <c r="N2609" s="87">
        <f>IFERROR(表格1[[#This Row],[QTY]]*表格1[[#This Row],[Unit Price]],"-")</f>
        <v>388</v>
      </c>
      <c r="O2609" s="86">
        <v>1722279</v>
      </c>
      <c r="R2609" s="86" t="str">
        <f>_xlfn.CONCAT(表格1[[#This Row],[Model]]," ",表格1[[#This Row],[inv no]])</f>
        <v>KT-17DRTHK(H) 1722279</v>
      </c>
      <c r="S2609" s="86">
        <f>_xlfn.XLOOKUP(表格1[[#This Row],[Model]],表格3[Model-Input-Ref2],表格3[SRP PRICE])</f>
        <v>498</v>
      </c>
      <c r="T2609" s="43">
        <f>表格1[[#This Row],[Unit Price]]/表格1[[#This Row],[SRP]]</f>
        <v>0.77911646586345384</v>
      </c>
      <c r="U2609" s="86" t="str">
        <f>_xlfn.XLOOKUP(表格1[[#This Row],[Model]],表格3[Model-Input-Ref2],表格3[TOSHIBA/HIGHEST])</f>
        <v>Toshiba SRP</v>
      </c>
      <c r="W2609" s="86" t="str">
        <f>_xlfn.CONCAT(表格1[[#This Row],[欄4]],表格1[[#This Row],[inv no]])</f>
        <v>1722279</v>
      </c>
    </row>
    <row r="2610" spans="1:23" hidden="1">
      <c r="A2610" s="81">
        <v>2608</v>
      </c>
      <c r="B2610" s="86" t="s">
        <v>1477</v>
      </c>
      <c r="C2610" s="86" t="s">
        <v>1860</v>
      </c>
      <c r="D2610" s="82" t="str">
        <f ca="1">OFFSET(Roster!$A$3,MATCH(表格1[[#This Row],[Location]]&amp;" "&amp;表格1[[#This Row],[Shop]]&amp;"*",Roster!$A$4:$A$72,0),DAY(表格1[[#This Row],[date]]),1,1)</f>
        <v>Kiko</v>
      </c>
      <c r="E2610" s="86">
        <f>MONTH(表格1[[#This Row],[date]])</f>
        <v>3</v>
      </c>
      <c r="F2610" s="90">
        <v>46105</v>
      </c>
      <c r="G2610" s="86" t="str">
        <f>VLOOKUP("*"&amp;表格1[[#This Row],[Input]]&amp;"*",'Ref-List'!$B:$D,2,)</f>
        <v>GR-H913(MG)</v>
      </c>
      <c r="H2610" s="86" t="str">
        <f>_xlfn.XLOOKUP(表格1[[#This Row],[Model]],表格3[Model-Input-Ref2],表格3[Product Line])</f>
        <v>單門直冷式環保雪櫃81L</v>
      </c>
      <c r="I2610" s="86" t="str">
        <f>_xlfn.XLOOKUP(表格1[[#This Row],[Model]],表格3[Model-Input-Ref2],表格3[大小電])</f>
        <v>大電</v>
      </c>
      <c r="J2610" s="86" t="str">
        <f>_xlfn.XLOOKUP(表格1[[#This Row],[Model]],表格3[Model-Input-Ref2],表格3[Code])</f>
        <v>REF</v>
      </c>
      <c r="K2610" s="89" t="s">
        <v>1776</v>
      </c>
      <c r="L2610" s="86">
        <v>1</v>
      </c>
      <c r="M2610" s="87">
        <v>1480</v>
      </c>
      <c r="N2610" s="87">
        <f>IFERROR(表格1[[#This Row],[QTY]]*表格1[[#This Row],[Unit Price]],"-")</f>
        <v>1480</v>
      </c>
      <c r="O2610" s="86">
        <v>1722481</v>
      </c>
      <c r="R2610" s="86" t="str">
        <f>_xlfn.CONCAT(表格1[[#This Row],[Model]]," ",表格1[[#This Row],[inv no]])</f>
        <v>GR-H913(MG) 1722481</v>
      </c>
      <c r="S2610" s="86">
        <f>_xlfn.XLOOKUP(表格1[[#This Row],[Model]],表格3[Model-Input-Ref2],表格3[SRP PRICE])</f>
        <v>1980</v>
      </c>
      <c r="T2610" s="43">
        <f>表格1[[#This Row],[Unit Price]]/表格1[[#This Row],[SRP]]</f>
        <v>0.74747474747474751</v>
      </c>
      <c r="U2610" s="86" t="str">
        <f>_xlfn.XLOOKUP(表格1[[#This Row],[Model]],表格3[Model-Input-Ref2],表格3[TOSHIBA/HIGHEST])</f>
        <v>Toshiba SRP</v>
      </c>
      <c r="W2610" s="86" t="str">
        <f>_xlfn.CONCAT(表格1[[#This Row],[欄4]],表格1[[#This Row],[inv no]])</f>
        <v>1722481</v>
      </c>
    </row>
    <row r="2611" spans="1:23" hidden="1">
      <c r="A2611" s="81">
        <v>2609</v>
      </c>
      <c r="B2611" s="86" t="s">
        <v>1477</v>
      </c>
      <c r="C2611" s="86" t="s">
        <v>1860</v>
      </c>
      <c r="D2611" s="82" t="str">
        <f ca="1">OFFSET(Roster!$A$3,MATCH(表格1[[#This Row],[Location]]&amp;" "&amp;表格1[[#This Row],[Shop]]&amp;"*",Roster!$A$4:$A$72,0),DAY(表格1[[#This Row],[date]]),1,1)</f>
        <v>Kiko</v>
      </c>
      <c r="E2611" s="86">
        <f>MONTH(表格1[[#This Row],[date]])</f>
        <v>3</v>
      </c>
      <c r="F2611" s="90">
        <v>46105</v>
      </c>
      <c r="G2611" s="86" t="str">
        <f>VLOOKUP("*"&amp;表格1[[#This Row],[Input]]&amp;"*",'Ref-List'!$B:$D,2,)</f>
        <v>MV-AG21TF(BK)</v>
      </c>
      <c r="H2611" s="86" t="str">
        <f>_xlfn.XLOOKUP(表格1[[#This Row],[Model]],表格3[Model-Input-Ref2],表格3[Product Line])</f>
        <v>燒烤微波爐21L</v>
      </c>
      <c r="I2611" s="86" t="str">
        <f>_xlfn.XLOOKUP(表格1[[#This Row],[Model]],表格3[Model-Input-Ref2],表格3[大小電])</f>
        <v>細電</v>
      </c>
      <c r="J2611" s="86" t="str">
        <f>_xlfn.XLOOKUP(表格1[[#This Row],[Model]],表格3[Model-Input-Ref2],表格3[Code])</f>
        <v>SDA</v>
      </c>
      <c r="K2611" s="89" t="s">
        <v>1486</v>
      </c>
      <c r="L2611" s="86">
        <v>1</v>
      </c>
      <c r="M2611" s="87">
        <v>798</v>
      </c>
      <c r="N2611" s="87">
        <f>IFERROR(表格1[[#This Row],[QTY]]*表格1[[#This Row],[Unit Price]],"-")</f>
        <v>798</v>
      </c>
      <c r="O2611" s="86">
        <v>1722483</v>
      </c>
      <c r="R2611" s="86" t="str">
        <f>_xlfn.CONCAT(表格1[[#This Row],[Model]]," ",表格1[[#This Row],[inv no]])</f>
        <v>MV-AG21TF(BK) 1722483</v>
      </c>
      <c r="S2611" s="86">
        <f>_xlfn.XLOOKUP(表格1[[#This Row],[Model]],表格3[Model-Input-Ref2],表格3[SRP PRICE])</f>
        <v>1098</v>
      </c>
      <c r="T2611" s="43">
        <f>表格1[[#This Row],[Unit Price]]/表格1[[#This Row],[SRP]]</f>
        <v>0.72677595628415304</v>
      </c>
      <c r="U2611" s="86" t="str">
        <f>_xlfn.XLOOKUP(表格1[[#This Row],[Model]],表格3[Model-Input-Ref2],表格3[TOSHIBA/HIGHEST])</f>
        <v>Toshiba SRP</v>
      </c>
      <c r="W2611" s="86" t="str">
        <f>_xlfn.CONCAT(表格1[[#This Row],[欄4]],表格1[[#This Row],[inv no]])</f>
        <v>1722483</v>
      </c>
    </row>
    <row r="2612" spans="1:23" hidden="1">
      <c r="A2612" s="81">
        <v>2610</v>
      </c>
      <c r="B2612" s="86" t="s">
        <v>1477</v>
      </c>
      <c r="C2612" s="86" t="s">
        <v>1860</v>
      </c>
      <c r="D2612" s="82" t="str">
        <f ca="1">OFFSET(Roster!$A$3,MATCH(表格1[[#This Row],[Location]]&amp;" "&amp;表格1[[#This Row],[Shop]]&amp;"*",Roster!$A$4:$A$72,0),DAY(表格1[[#This Row],[date]]),1,1)</f>
        <v>Kiko</v>
      </c>
      <c r="E2612" s="86">
        <f>MONTH(表格1[[#This Row],[date]])</f>
        <v>3</v>
      </c>
      <c r="F2612" s="90">
        <v>46105</v>
      </c>
      <c r="G2612" s="86" t="str">
        <f>VLOOKUP("*"&amp;表格1[[#This Row],[Input]]&amp;"*",'Ref-List'!$B:$D,2,)</f>
        <v>MM2-EM20PC(WH)</v>
      </c>
      <c r="H2612" s="86" t="str">
        <f>_xlfn.XLOOKUP(表格1[[#This Row],[Model]],表格3[Model-Input-Ref2],表格3[Product Line])</f>
        <v>輕觸式微波爐 (20公升)</v>
      </c>
      <c r="I2612" s="86" t="str">
        <f>_xlfn.XLOOKUP(表格1[[#This Row],[Model]],表格3[Model-Input-Ref2],表格3[大小電])</f>
        <v>細電</v>
      </c>
      <c r="J2612" s="86" t="str">
        <f>_xlfn.XLOOKUP(表格1[[#This Row],[Model]],表格3[Model-Input-Ref2],表格3[Code])</f>
        <v>MCA</v>
      </c>
      <c r="K2612" s="89" t="s">
        <v>1276</v>
      </c>
      <c r="L2612" s="86">
        <v>1</v>
      </c>
      <c r="M2612" s="87">
        <v>598</v>
      </c>
      <c r="N2612" s="87">
        <f>IFERROR(表格1[[#This Row],[QTY]]*表格1[[#This Row],[Unit Price]],"-")</f>
        <v>598</v>
      </c>
      <c r="O2612" s="86">
        <v>1722422</v>
      </c>
      <c r="R2612" s="86" t="str">
        <f>_xlfn.CONCAT(表格1[[#This Row],[Model]]," ",表格1[[#This Row],[inv no]])</f>
        <v>MM2-EM20PC(WH) 1722422</v>
      </c>
      <c r="S2612" s="86">
        <f>_xlfn.XLOOKUP(表格1[[#This Row],[Model]],表格3[Model-Input-Ref2],表格3[SRP PRICE])</f>
        <v>788</v>
      </c>
      <c r="T2612" s="43">
        <f>表格1[[#This Row],[Unit Price]]/表格1[[#This Row],[SRP]]</f>
        <v>0.75888324873096447</v>
      </c>
      <c r="U2612" s="86" t="str">
        <f>_xlfn.XLOOKUP(表格1[[#This Row],[Model]],表格3[Model-Input-Ref2],表格3[TOSHIBA/HIGHEST])</f>
        <v>Toshiba SRP</v>
      </c>
      <c r="W2612" s="86" t="str">
        <f>_xlfn.CONCAT(表格1[[#This Row],[欄4]],表格1[[#This Row],[inv no]])</f>
        <v>1722422</v>
      </c>
    </row>
    <row r="2613" spans="1:23" hidden="1">
      <c r="A2613" s="81">
        <v>2611</v>
      </c>
      <c r="B2613" s="86" t="s">
        <v>1477</v>
      </c>
      <c r="C2613" s="86" t="s">
        <v>1860</v>
      </c>
      <c r="D2613" s="82" t="str">
        <f ca="1">OFFSET(Roster!$A$3,MATCH(表格1[[#This Row],[Location]]&amp;" "&amp;表格1[[#This Row],[Shop]]&amp;"*",Roster!$A$4:$A$72,0),DAY(表格1[[#This Row],[date]]),1,1)</f>
        <v>Kiko</v>
      </c>
      <c r="E2613" s="86">
        <f>MONTH(表格1[[#This Row],[date]])</f>
        <v>3</v>
      </c>
      <c r="F2613" s="90">
        <v>46105</v>
      </c>
      <c r="G2613" s="86" t="str">
        <f>VLOOKUP("*"&amp;表格1[[#This Row],[Input]]&amp;"*",'Ref-List'!$B:$D,2,)</f>
        <v>KT-17SHNH</v>
      </c>
      <c r="H2613" s="86" t="str">
        <f>_xlfn.XLOOKUP(表格1[[#This Row],[Model]],表格3[Model-Input-Ref2],表格3[Product Line])</f>
        <v>1.7L無線雙層電熱水壺</v>
      </c>
      <c r="I2613" s="86" t="str">
        <f>_xlfn.XLOOKUP(表格1[[#This Row],[Model]],表格3[Model-Input-Ref2],表格3[大小電])</f>
        <v>細電</v>
      </c>
      <c r="J2613" s="86" t="str">
        <f>_xlfn.XLOOKUP(表格1[[#This Row],[Model]],表格3[Model-Input-Ref2],表格3[Code])</f>
        <v>SDA</v>
      </c>
      <c r="K2613" s="89" t="s">
        <v>1283</v>
      </c>
      <c r="L2613" s="86">
        <v>1</v>
      </c>
      <c r="M2613" s="87">
        <v>198</v>
      </c>
      <c r="N2613" s="87">
        <f>IFERROR(表格1[[#This Row],[QTY]]*表格1[[#This Row],[Unit Price]],"-")</f>
        <v>198</v>
      </c>
      <c r="O2613" s="86">
        <v>1722436</v>
      </c>
      <c r="R2613" s="86" t="str">
        <f>_xlfn.CONCAT(表格1[[#This Row],[Model]]," ",表格1[[#This Row],[inv no]])</f>
        <v>KT-17SHNH 1722436</v>
      </c>
      <c r="S2613" s="86">
        <f>_xlfn.XLOOKUP(表格1[[#This Row],[Model]],表格3[Model-Input-Ref2],表格3[SRP PRICE])</f>
        <v>299</v>
      </c>
      <c r="T2613" s="43">
        <f>表格1[[#This Row],[Unit Price]]/表格1[[#This Row],[SRP]]</f>
        <v>0.66220735785953178</v>
      </c>
      <c r="U2613" s="86" t="str">
        <f>_xlfn.XLOOKUP(表格1[[#This Row],[Model]],表格3[Model-Input-Ref2],表格3[TOSHIBA/HIGHEST])</f>
        <v>Shops Highest Price</v>
      </c>
      <c r="W2613" s="86" t="str">
        <f>_xlfn.CONCAT(表格1[[#This Row],[欄4]],表格1[[#This Row],[inv no]])</f>
        <v>1722436</v>
      </c>
    </row>
    <row r="2614" spans="1:23" hidden="1">
      <c r="A2614" s="81">
        <v>2612</v>
      </c>
      <c r="B2614" s="86" t="s">
        <v>1477</v>
      </c>
      <c r="C2614" s="86" t="s">
        <v>1860</v>
      </c>
      <c r="D2614" s="82" t="str">
        <f ca="1">OFFSET(Roster!$A$3,MATCH(表格1[[#This Row],[Location]]&amp;" "&amp;表格1[[#This Row],[Shop]]&amp;"*",Roster!$A$4:$A$72,0),DAY(表格1[[#This Row],[date]]),1,1)</f>
        <v>Kiko</v>
      </c>
      <c r="E2614" s="86">
        <f>MONTH(表格1[[#This Row],[date]])</f>
        <v>3</v>
      </c>
      <c r="F2614" s="90">
        <v>46106</v>
      </c>
      <c r="G2614" s="86" t="str">
        <f>VLOOKUP("*"&amp;表格1[[#This Row],[Input]]&amp;"*",'Ref-List'!$B:$D,2,)</f>
        <v>GR-RB221WE-PMA(57)</v>
      </c>
      <c r="H2614" s="86" t="str">
        <f>_xlfn.XLOOKUP(表格1[[#This Row],[Model]],表格3[Model-Input-Ref2],表格3[Product Line])</f>
        <v>變頻下置式雙門雪櫃（163L）</v>
      </c>
      <c r="I2614" s="86" t="str">
        <f>_xlfn.XLOOKUP(表格1[[#This Row],[Model]],表格3[Model-Input-Ref2],表格3[大小電])</f>
        <v>大電</v>
      </c>
      <c r="J2614" s="86" t="str">
        <f>_xlfn.XLOOKUP(表格1[[#This Row],[Model]],表格3[Model-Input-Ref2],表格3[Code])</f>
        <v>REF</v>
      </c>
      <c r="K2614" s="89" t="s">
        <v>1386</v>
      </c>
      <c r="L2614" s="86">
        <v>1</v>
      </c>
      <c r="M2614" s="87">
        <v>1880</v>
      </c>
      <c r="N2614" s="87">
        <f>IFERROR(表格1[[#This Row],[QTY]]*表格1[[#This Row],[Unit Price]],"-")</f>
        <v>1880</v>
      </c>
      <c r="O2614" s="86">
        <v>1722551</v>
      </c>
      <c r="R2614" s="86" t="str">
        <f>_xlfn.CONCAT(表格1[[#This Row],[Model]]," ",表格1[[#This Row],[inv no]])</f>
        <v>GR-RB221WE-PMA(57) 1722551</v>
      </c>
      <c r="S2614" s="86">
        <f>_xlfn.XLOOKUP(表格1[[#This Row],[Model]],表格3[Model-Input-Ref2],表格3[SRP PRICE])</f>
        <v>3480</v>
      </c>
      <c r="T2614" s="43">
        <f>表格1[[#This Row],[Unit Price]]/表格1[[#This Row],[SRP]]</f>
        <v>0.54022988505747127</v>
      </c>
      <c r="U2614" s="86" t="str">
        <f>_xlfn.XLOOKUP(表格1[[#This Row],[Model]],表格3[Model-Input-Ref2],表格3[TOSHIBA/HIGHEST])</f>
        <v>Toshiba SRP</v>
      </c>
      <c r="W2614" s="86" t="str">
        <f>_xlfn.CONCAT(表格1[[#This Row],[欄4]],表格1[[#This Row],[inv no]])</f>
        <v>1722551</v>
      </c>
    </row>
    <row r="2615" spans="1:23" hidden="1">
      <c r="A2615" s="81">
        <v>2613</v>
      </c>
      <c r="B2615" s="86" t="s">
        <v>1477</v>
      </c>
      <c r="C2615" s="86" t="s">
        <v>1860</v>
      </c>
      <c r="D2615" s="82" t="str">
        <f ca="1">OFFSET(Roster!$A$3,MATCH(表格1[[#This Row],[Location]]&amp;" "&amp;表格1[[#This Row],[Shop]]&amp;"*",Roster!$A$4:$A$72,0),DAY(表格1[[#This Row],[date]]),1,1)</f>
        <v>Kiko</v>
      </c>
      <c r="E2615" s="86">
        <f>MONTH(表格1[[#This Row],[date]])</f>
        <v>3</v>
      </c>
      <c r="F2615" s="90">
        <v>46106</v>
      </c>
      <c r="G2615" s="86" t="str">
        <f>VLOOKUP("*"&amp;表格1[[#This Row],[Input]]&amp;"*",'Ref-List'!$B:$D,2,)</f>
        <v>RAC-09G3CVRGR-HK</v>
      </c>
      <c r="H2615" s="86" t="str">
        <f>_xlfn.XLOOKUP(表格1[[#This Row],[Model]],表格3[Model-Input-Ref2],表格3[Product Line])</f>
        <v>1 匹 R32變頻窗口式冷氣機 (獨立抽濕遙控</v>
      </c>
      <c r="I2615" s="86" t="str">
        <f>_xlfn.XLOOKUP(表格1[[#This Row],[Model]],表格3[Model-Input-Ref2],表格3[大小電])</f>
        <v>大電</v>
      </c>
      <c r="J2615" s="86" t="str">
        <f>_xlfn.XLOOKUP(表格1[[#This Row],[Model]],表格3[Model-Input-Ref2],表格3[Code])</f>
        <v>AC</v>
      </c>
      <c r="K2615" s="89" t="s">
        <v>1474</v>
      </c>
      <c r="L2615" s="86">
        <v>1</v>
      </c>
      <c r="M2615" s="87">
        <v>4980</v>
      </c>
      <c r="N2615" s="87">
        <f>IFERROR(表格1[[#This Row],[QTY]]*表格1[[#This Row],[Unit Price]],"-")</f>
        <v>4980</v>
      </c>
      <c r="O2615" s="86">
        <v>1722496</v>
      </c>
      <c r="R2615" s="86" t="str">
        <f>_xlfn.CONCAT(表格1[[#This Row],[Model]]," ",表格1[[#This Row],[inv no]])</f>
        <v>RAC-09G3CVRGR-HK 1722496</v>
      </c>
      <c r="S2615" s="86">
        <f>_xlfn.XLOOKUP(表格1[[#This Row],[Model]],表格3[Model-Input-Ref2],表格3[SRP PRICE])</f>
        <v>6980</v>
      </c>
      <c r="T2615" s="43">
        <f>表格1[[#This Row],[Unit Price]]/表格1[[#This Row],[SRP]]</f>
        <v>0.71346704871060174</v>
      </c>
      <c r="U2615" s="86" t="str">
        <f>_xlfn.XLOOKUP(表格1[[#This Row],[Model]],表格3[Model-Input-Ref2],表格3[TOSHIBA/HIGHEST])</f>
        <v>Toshiba SRP</v>
      </c>
      <c r="W2615" s="86" t="str">
        <f>_xlfn.CONCAT(表格1[[#This Row],[欄4]],表格1[[#This Row],[inv no]])</f>
        <v>1722496</v>
      </c>
    </row>
    <row r="2616" spans="1:23" hidden="1">
      <c r="A2616" s="81">
        <v>2614</v>
      </c>
      <c r="B2616" s="86" t="s">
        <v>1477</v>
      </c>
      <c r="C2616" s="86" t="s">
        <v>1860</v>
      </c>
      <c r="D2616" s="82" t="str">
        <f ca="1">OFFSET(Roster!$A$3,MATCH(表格1[[#This Row],[Location]]&amp;" "&amp;表格1[[#This Row],[Shop]]&amp;"*",Roster!$A$4:$A$72,0),DAY(表格1[[#This Row],[date]]),1,1)</f>
        <v>Kiko</v>
      </c>
      <c r="E2616" s="86">
        <f>MONTH(表格1[[#This Row],[date]])</f>
        <v>3</v>
      </c>
      <c r="F2616" s="90">
        <v>46106</v>
      </c>
      <c r="G2616" s="86" t="str">
        <f>VLOOKUP("*"&amp;表格1[[#This Row],[Input]]&amp;"*",'Ref-List'!$B:$D,2,)</f>
        <v>GR-H913(MG)</v>
      </c>
      <c r="H2616" s="86" t="str">
        <f>_xlfn.XLOOKUP(表格1[[#This Row],[Model]],表格3[Model-Input-Ref2],表格3[Product Line])</f>
        <v>單門直冷式環保雪櫃81L</v>
      </c>
      <c r="I2616" s="86" t="str">
        <f>_xlfn.XLOOKUP(表格1[[#This Row],[Model]],表格3[Model-Input-Ref2],表格3[大小電])</f>
        <v>大電</v>
      </c>
      <c r="J2616" s="86" t="str">
        <f>_xlfn.XLOOKUP(表格1[[#This Row],[Model]],表格3[Model-Input-Ref2],表格3[Code])</f>
        <v>REF</v>
      </c>
      <c r="K2616" s="89" t="s">
        <v>1776</v>
      </c>
      <c r="L2616" s="86">
        <v>1</v>
      </c>
      <c r="M2616" s="87">
        <v>1480</v>
      </c>
      <c r="N2616" s="87">
        <f>IFERROR(表格1[[#This Row],[QTY]]*表格1[[#This Row],[Unit Price]],"-")</f>
        <v>1480</v>
      </c>
      <c r="O2616" s="86">
        <v>1722598</v>
      </c>
      <c r="R2616" s="86" t="str">
        <f>_xlfn.CONCAT(表格1[[#This Row],[Model]]," ",表格1[[#This Row],[inv no]])</f>
        <v>GR-H913(MG) 1722598</v>
      </c>
      <c r="S2616" s="86">
        <f>_xlfn.XLOOKUP(表格1[[#This Row],[Model]],表格3[Model-Input-Ref2],表格3[SRP PRICE])</f>
        <v>1980</v>
      </c>
      <c r="T2616" s="43">
        <f>表格1[[#This Row],[Unit Price]]/表格1[[#This Row],[SRP]]</f>
        <v>0.74747474747474751</v>
      </c>
      <c r="U2616" s="86" t="str">
        <f>_xlfn.XLOOKUP(表格1[[#This Row],[Model]],表格3[Model-Input-Ref2],表格3[TOSHIBA/HIGHEST])</f>
        <v>Toshiba SRP</v>
      </c>
      <c r="W2616" s="86" t="str">
        <f>_xlfn.CONCAT(表格1[[#This Row],[欄4]],表格1[[#This Row],[inv no]])</f>
        <v>1722598</v>
      </c>
    </row>
    <row r="2617" spans="1:23" hidden="1">
      <c r="A2617" s="81">
        <v>2615</v>
      </c>
      <c r="B2617" s="86" t="s">
        <v>1477</v>
      </c>
      <c r="C2617" s="86" t="s">
        <v>1860</v>
      </c>
      <c r="D2617" s="82" t="str">
        <f ca="1">OFFSET(Roster!$A$3,MATCH(表格1[[#This Row],[Location]]&amp;" "&amp;表格1[[#This Row],[Shop]]&amp;"*",Roster!$A$4:$A$72,0),DAY(表格1[[#This Row],[date]]),1,1)</f>
        <v>Kiko</v>
      </c>
      <c r="E2617" s="86">
        <f>MONTH(表格1[[#This Row],[date]])</f>
        <v>3</v>
      </c>
      <c r="F2617" s="90">
        <v>46106</v>
      </c>
      <c r="G2617" s="86" t="str">
        <f>VLOOKUP("*"&amp;表格1[[#This Row],[Input]]&amp;"*",'Ref-List'!$B:$D,2,)</f>
        <v>AW-DQ110JPH(WW)</v>
      </c>
      <c r="H2617" s="86" t="str">
        <f>_xlfn.XLOOKUP(表格1[[#This Row],[Model]],表格3[Model-Input-Ref2],表格3[Product Line])</f>
        <v>變頻日式洗衣機 (10公斤 結合高低水位)</v>
      </c>
      <c r="I2617" s="86" t="str">
        <f>_xlfn.XLOOKUP(表格1[[#This Row],[Model]],表格3[Model-Input-Ref2],表格3[大小電])</f>
        <v>大電</v>
      </c>
      <c r="J2617" s="86" t="str">
        <f>_xlfn.XLOOKUP(表格1[[#This Row],[Model]],表格3[Model-Input-Ref2],表格3[Code])</f>
        <v>LAD</v>
      </c>
      <c r="K2617" s="89" t="s">
        <v>1831</v>
      </c>
      <c r="L2617" s="86">
        <v>1</v>
      </c>
      <c r="M2617" s="87">
        <v>2780</v>
      </c>
      <c r="N2617" s="87">
        <f>IFERROR(表格1[[#This Row],[QTY]]*表格1[[#This Row],[Unit Price]],"-")</f>
        <v>2780</v>
      </c>
      <c r="O2617" s="86">
        <v>1722729</v>
      </c>
      <c r="R2617" s="86" t="str">
        <f>_xlfn.CONCAT(表格1[[#This Row],[Model]]," ",表格1[[#This Row],[inv no]])</f>
        <v>AW-DQ110JPH(WW) 1722729</v>
      </c>
      <c r="S2617" s="86">
        <f>_xlfn.XLOOKUP(表格1[[#This Row],[Model]],表格3[Model-Input-Ref2],表格3[SRP PRICE])</f>
        <v>4680</v>
      </c>
      <c r="T2617" s="43">
        <f>表格1[[#This Row],[Unit Price]]/表格1[[#This Row],[SRP]]</f>
        <v>0.59401709401709402</v>
      </c>
      <c r="U2617" s="86" t="str">
        <f>_xlfn.XLOOKUP(表格1[[#This Row],[Model]],表格3[Model-Input-Ref2],表格3[TOSHIBA/HIGHEST])</f>
        <v>Toshiba SRP</v>
      </c>
      <c r="W2617" s="86" t="str">
        <f>_xlfn.CONCAT(表格1[[#This Row],[欄4]],表格1[[#This Row],[inv no]])</f>
        <v>1722729</v>
      </c>
    </row>
    <row r="2618" spans="1:23" hidden="1">
      <c r="A2618" s="81">
        <v>2616</v>
      </c>
      <c r="B2618" s="86" t="s">
        <v>1477</v>
      </c>
      <c r="C2618" s="86" t="s">
        <v>1860</v>
      </c>
      <c r="D2618" s="82" t="str">
        <f ca="1">OFFSET(Roster!$A$3,MATCH(表格1[[#This Row],[Location]]&amp;" "&amp;表格1[[#This Row],[Shop]]&amp;"*",Roster!$A$4:$A$72,0),DAY(表格1[[#This Row],[date]]),1,1)</f>
        <v>Kiko</v>
      </c>
      <c r="E2618" s="86">
        <f>MONTH(表格1[[#This Row],[date]])</f>
        <v>3</v>
      </c>
      <c r="F2618" s="90">
        <v>46106</v>
      </c>
      <c r="G2618" s="86" t="str">
        <f>VLOOKUP("*"&amp;表格1[[#This Row],[Input]]&amp;"*",'Ref-List'!$B:$D,2,)</f>
        <v>MW2-MM24PC(BK)</v>
      </c>
      <c r="H2618" s="86" t="str">
        <f>_xlfn.XLOOKUP(表格1[[#This Row],[Model]],表格3[Model-Input-Ref2],表格3[Product Line])</f>
        <v>旋鈕式微波爐24L</v>
      </c>
      <c r="I2618" s="86" t="str">
        <f>_xlfn.XLOOKUP(表格1[[#This Row],[Model]],表格3[Model-Input-Ref2],表格3[大小電])</f>
        <v>細電</v>
      </c>
      <c r="J2618" s="86" t="str">
        <f>_xlfn.XLOOKUP(表格1[[#This Row],[Model]],表格3[Model-Input-Ref2],表格3[Code])</f>
        <v>SDA</v>
      </c>
      <c r="K2618" s="89" t="s">
        <v>1196</v>
      </c>
      <c r="L2618" s="86">
        <v>1</v>
      </c>
      <c r="M2618" s="87">
        <v>679</v>
      </c>
      <c r="N2618" s="87">
        <f>IFERROR(表格1[[#This Row],[QTY]]*表格1[[#This Row],[Unit Price]],"-")</f>
        <v>679</v>
      </c>
      <c r="O2618" s="86">
        <v>1722597</v>
      </c>
      <c r="R2618" s="86" t="str">
        <f>_xlfn.CONCAT(表格1[[#This Row],[Model]]," ",表格1[[#This Row],[inv no]])</f>
        <v>MW2-MM24PC(BK) 1722597</v>
      </c>
      <c r="S2618" s="86">
        <f>_xlfn.XLOOKUP(表格1[[#This Row],[Model]],表格3[Model-Input-Ref2],表格3[SRP PRICE])</f>
        <v>848</v>
      </c>
      <c r="T2618" s="43">
        <f>表格1[[#This Row],[Unit Price]]/表格1[[#This Row],[SRP]]</f>
        <v>0.8007075471698113</v>
      </c>
      <c r="U2618" s="86" t="str">
        <f>_xlfn.XLOOKUP(表格1[[#This Row],[Model]],表格3[Model-Input-Ref2],表格3[TOSHIBA/HIGHEST])</f>
        <v>Toshiba SRP</v>
      </c>
      <c r="W2618" s="86" t="str">
        <f>_xlfn.CONCAT(表格1[[#This Row],[欄4]],表格1[[#This Row],[inv no]])</f>
        <v>1722597</v>
      </c>
    </row>
    <row r="2619" spans="1:23" hidden="1">
      <c r="A2619" s="81">
        <v>2617</v>
      </c>
      <c r="B2619" s="86" t="s">
        <v>1477</v>
      </c>
      <c r="C2619" s="86" t="s">
        <v>1860</v>
      </c>
      <c r="D2619" s="82" t="str">
        <f ca="1">OFFSET(Roster!$A$3,MATCH(表格1[[#This Row],[Location]]&amp;" "&amp;表格1[[#This Row],[Shop]]&amp;"*",Roster!$A$4:$A$72,0),DAY(表格1[[#This Row],[date]]),1,1)</f>
        <v>Kiko</v>
      </c>
      <c r="E2619" s="86">
        <f>MONTH(表格1[[#This Row],[date]])</f>
        <v>3</v>
      </c>
      <c r="F2619" s="90">
        <v>46106</v>
      </c>
      <c r="G2619" s="86" t="str">
        <f>VLOOKUP("*"&amp;表格1[[#This Row],[Input]]&amp;"*",'Ref-List'!$B:$D,2,)</f>
        <v>MM2-EM20PC(WH)</v>
      </c>
      <c r="H2619" s="86" t="str">
        <f>_xlfn.XLOOKUP(表格1[[#This Row],[Model]],表格3[Model-Input-Ref2],表格3[Product Line])</f>
        <v>輕觸式微波爐 (20公升)</v>
      </c>
      <c r="I2619" s="86" t="str">
        <f>_xlfn.XLOOKUP(表格1[[#This Row],[Model]],表格3[Model-Input-Ref2],表格3[大小電])</f>
        <v>細電</v>
      </c>
      <c r="J2619" s="86" t="str">
        <f>_xlfn.XLOOKUP(表格1[[#This Row],[Model]],表格3[Model-Input-Ref2],表格3[Code])</f>
        <v>MCA</v>
      </c>
      <c r="K2619" s="89" t="s">
        <v>1276</v>
      </c>
      <c r="L2619" s="86">
        <v>1</v>
      </c>
      <c r="M2619" s="87">
        <v>598</v>
      </c>
      <c r="N2619" s="87">
        <f>IFERROR(表格1[[#This Row],[QTY]]*表格1[[#This Row],[Unit Price]],"-")</f>
        <v>598</v>
      </c>
      <c r="O2619" s="86">
        <v>1722644</v>
      </c>
      <c r="R2619" s="86" t="str">
        <f>_xlfn.CONCAT(表格1[[#This Row],[Model]]," ",表格1[[#This Row],[inv no]])</f>
        <v>MM2-EM20PC(WH) 1722644</v>
      </c>
      <c r="S2619" s="86">
        <f>_xlfn.XLOOKUP(表格1[[#This Row],[Model]],表格3[Model-Input-Ref2],表格3[SRP PRICE])</f>
        <v>788</v>
      </c>
      <c r="T2619" s="43">
        <f>表格1[[#This Row],[Unit Price]]/表格1[[#This Row],[SRP]]</f>
        <v>0.75888324873096447</v>
      </c>
      <c r="U2619" s="86" t="str">
        <f>_xlfn.XLOOKUP(表格1[[#This Row],[Model]],表格3[Model-Input-Ref2],表格3[TOSHIBA/HIGHEST])</f>
        <v>Toshiba SRP</v>
      </c>
      <c r="W2619" s="86" t="str">
        <f>_xlfn.CONCAT(表格1[[#This Row],[欄4]],表格1[[#This Row],[inv no]])</f>
        <v>1722644</v>
      </c>
    </row>
    <row r="2620" spans="1:23" hidden="1">
      <c r="A2620" s="81">
        <v>2618</v>
      </c>
      <c r="B2620" s="86" t="s">
        <v>1477</v>
      </c>
      <c r="C2620" s="86" t="s">
        <v>1860</v>
      </c>
      <c r="D2620" s="82" t="str">
        <f ca="1">OFFSET(Roster!$A$3,MATCH(表格1[[#This Row],[Location]]&amp;" "&amp;表格1[[#This Row],[Shop]]&amp;"*",Roster!$A$4:$A$72,0),DAY(表格1[[#This Row],[date]]),1,1)</f>
        <v>Kiko</v>
      </c>
      <c r="E2620" s="86">
        <f>MONTH(表格1[[#This Row],[date]])</f>
        <v>3</v>
      </c>
      <c r="F2620" s="90">
        <v>46106</v>
      </c>
      <c r="G2620" s="86" t="str">
        <f>VLOOKUP("*"&amp;表格1[[#This Row],[Input]]&amp;"*",'Ref-List'!$B:$D,2,)</f>
        <v>RC-10AMXH(W)</v>
      </c>
      <c r="H2620" s="86" t="str">
        <f>_xlfn.XLOOKUP(表格1[[#This Row],[Model]],表格3[Model-Input-Ref2],表格3[Product Line])</f>
        <v>酵活炊電飯煲(1.0公升)</v>
      </c>
      <c r="I2620" s="86" t="str">
        <f>_xlfn.XLOOKUP(表格1[[#This Row],[Model]],表格3[Model-Input-Ref2],表格3[大小電])</f>
        <v>細電</v>
      </c>
      <c r="J2620" s="86" t="str">
        <f>_xlfn.XLOOKUP(表格1[[#This Row],[Model]],表格3[Model-Input-Ref2],表格3[Code])</f>
        <v>SDA</v>
      </c>
      <c r="K2620" s="89" t="s">
        <v>1279</v>
      </c>
      <c r="L2620" s="86">
        <v>1</v>
      </c>
      <c r="M2620" s="87">
        <v>990</v>
      </c>
      <c r="N2620" s="87">
        <f>IFERROR(表格1[[#This Row],[QTY]]*表格1[[#This Row],[Unit Price]],"-")</f>
        <v>990</v>
      </c>
      <c r="O2620" s="86">
        <v>1722702</v>
      </c>
      <c r="R2620" s="86" t="str">
        <f>_xlfn.CONCAT(表格1[[#This Row],[Model]]," ",表格1[[#This Row],[inv no]])</f>
        <v>RC-10AMXH(W) 1722702</v>
      </c>
      <c r="S2620" s="86">
        <f>_xlfn.XLOOKUP(表格1[[#This Row],[Model]],表格3[Model-Input-Ref2],表格3[SRP PRICE])</f>
        <v>1288</v>
      </c>
      <c r="T2620" s="43">
        <f>表格1[[#This Row],[Unit Price]]/表格1[[#This Row],[SRP]]</f>
        <v>0.76863354037267084</v>
      </c>
      <c r="U2620" s="86" t="str">
        <f>_xlfn.XLOOKUP(表格1[[#This Row],[Model]],表格3[Model-Input-Ref2],表格3[TOSHIBA/HIGHEST])</f>
        <v>Toshiba SRP</v>
      </c>
      <c r="W2620" s="86" t="str">
        <f>_xlfn.CONCAT(表格1[[#This Row],[欄4]],表格1[[#This Row],[inv no]])</f>
        <v>1722702</v>
      </c>
    </row>
    <row r="2621" spans="1:23" hidden="1">
      <c r="A2621" s="81">
        <v>2619</v>
      </c>
      <c r="B2621" s="86" t="s">
        <v>1477</v>
      </c>
      <c r="C2621" s="86" t="s">
        <v>1860</v>
      </c>
      <c r="D2621" s="82" t="str">
        <f ca="1">OFFSET(Roster!$A$3,MATCH(表格1[[#This Row],[Location]]&amp;" "&amp;表格1[[#This Row],[Shop]]&amp;"*",Roster!$A$4:$A$72,0),DAY(表格1[[#This Row],[date]]),1,1)</f>
        <v>Kiko</v>
      </c>
      <c r="E2621" s="86">
        <f>MONTH(表格1[[#This Row],[date]])</f>
        <v>3</v>
      </c>
      <c r="F2621" s="90">
        <v>46106</v>
      </c>
      <c r="G2621" s="86" t="str">
        <f>VLOOKUP("*"&amp;表格1[[#This Row],[Input]]&amp;"*",'Ref-List'!$B:$D,2,)</f>
        <v>F-ALB60HK(B)</v>
      </c>
      <c r="H2621" s="86" t="str">
        <f>_xlfn.XLOOKUP(表格1[[#This Row],[Model]],表格3[Model-Input-Ref2],表格3[Product Line])</f>
        <v>12吋座地座檯電風扇</v>
      </c>
      <c r="I2621" s="86" t="str">
        <f>_xlfn.XLOOKUP(表格1[[#This Row],[Model]],表格3[Model-Input-Ref2],表格3[大小電])</f>
        <v>細電</v>
      </c>
      <c r="J2621" s="86" t="str">
        <f>_xlfn.XLOOKUP(表格1[[#This Row],[Model]],表格3[Model-Input-Ref2],表格3[Code])</f>
        <v>SDA</v>
      </c>
      <c r="K2621" s="89" t="s">
        <v>1490</v>
      </c>
      <c r="L2621" s="86">
        <v>1</v>
      </c>
      <c r="M2621" s="87">
        <v>499</v>
      </c>
      <c r="N2621" s="87">
        <f>IFERROR(表格1[[#This Row],[QTY]]*表格1[[#This Row],[Unit Price]],"-")</f>
        <v>499</v>
      </c>
      <c r="O2621" s="86">
        <v>1722651</v>
      </c>
      <c r="R2621" s="86" t="str">
        <f>_xlfn.CONCAT(表格1[[#This Row],[Model]]," ",表格1[[#This Row],[inv no]])</f>
        <v>F-ALB60HK(B) 1722651</v>
      </c>
      <c r="S2621" s="86">
        <f>_xlfn.XLOOKUP(表格1[[#This Row],[Model]],表格3[Model-Input-Ref2],表格3[SRP PRICE])</f>
        <v>839</v>
      </c>
      <c r="T2621" s="43">
        <f>表格1[[#This Row],[Unit Price]]/表格1[[#This Row],[SRP]]</f>
        <v>0.59475566150178782</v>
      </c>
      <c r="U2621" s="86" t="str">
        <f>_xlfn.XLOOKUP(表格1[[#This Row],[Model]],表格3[Model-Input-Ref2],表格3[TOSHIBA/HIGHEST])</f>
        <v>Shops Highest Price</v>
      </c>
      <c r="W2621" s="86" t="str">
        <f>_xlfn.CONCAT(表格1[[#This Row],[欄4]],表格1[[#This Row],[inv no]])</f>
        <v>1722651</v>
      </c>
    </row>
    <row r="2622" spans="1:23" hidden="1">
      <c r="A2622" s="81">
        <v>2620</v>
      </c>
      <c r="B2622" s="86" t="s">
        <v>1477</v>
      </c>
      <c r="C2622" s="86" t="s">
        <v>1860</v>
      </c>
      <c r="D2622" s="82" t="str">
        <f ca="1">OFFSET(Roster!$A$3,MATCH(表格1[[#This Row],[Location]]&amp;" "&amp;表格1[[#This Row],[Shop]]&amp;"*",Roster!$A$4:$A$72,0),DAY(表格1[[#This Row],[date]]),1,1)</f>
        <v>Kiko</v>
      </c>
      <c r="E2622" s="86">
        <f>MONTH(表格1[[#This Row],[date]])</f>
        <v>3</v>
      </c>
      <c r="F2622" s="90">
        <v>46106</v>
      </c>
      <c r="G2622" s="86" t="str">
        <f>VLOOKUP("*"&amp;表格1[[#This Row],[Input]]&amp;"*",'Ref-List'!$B:$D,2,)</f>
        <v>RC-5MMIH(WT)</v>
      </c>
      <c r="H2622" s="86" t="str">
        <f>_xlfn.XLOOKUP(表格1[[#This Row],[Model]],表格3[Model-Input-Ref2],表格3[Product Line])</f>
        <v>4毫米厚釜電飯煲0.54L</v>
      </c>
      <c r="I2622" s="86" t="str">
        <f>_xlfn.XLOOKUP(表格1[[#This Row],[Model]],表格3[Model-Input-Ref2],表格3[大小電])</f>
        <v>細電</v>
      </c>
      <c r="J2622" s="86" t="str">
        <f>_xlfn.XLOOKUP(表格1[[#This Row],[Model]],表格3[Model-Input-Ref2],表格3[Code])</f>
        <v>SDA</v>
      </c>
      <c r="K2622" s="89" t="s">
        <v>1195</v>
      </c>
      <c r="L2622" s="86">
        <v>1</v>
      </c>
      <c r="M2622" s="87">
        <v>557</v>
      </c>
      <c r="N2622" s="87">
        <f>IFERROR(表格1[[#This Row],[QTY]]*表格1[[#This Row],[Unit Price]],"-")</f>
        <v>557</v>
      </c>
      <c r="O2622" s="86">
        <v>1327167</v>
      </c>
      <c r="R2622" s="86" t="str">
        <f>_xlfn.CONCAT(表格1[[#This Row],[Model]]," ",表格1[[#This Row],[inv no]])</f>
        <v>RC-5MMIH(WT) 1327167</v>
      </c>
      <c r="S2622" s="86">
        <f>_xlfn.XLOOKUP(表格1[[#This Row],[Model]],表格3[Model-Input-Ref2],表格3[SRP PRICE])</f>
        <v>618</v>
      </c>
      <c r="T2622" s="43">
        <f>表格1[[#This Row],[Unit Price]]/表格1[[#This Row],[SRP]]</f>
        <v>0.90129449838187703</v>
      </c>
      <c r="U2622" s="86" t="str">
        <f>_xlfn.XLOOKUP(表格1[[#This Row],[Model]],表格3[Model-Input-Ref2],表格3[TOSHIBA/HIGHEST])</f>
        <v>Toshiba SRP</v>
      </c>
      <c r="W2622" s="86" t="str">
        <f>_xlfn.CONCAT(表格1[[#This Row],[欄4]],表格1[[#This Row],[inv no]])</f>
        <v>1327167</v>
      </c>
    </row>
    <row r="2623" spans="1:23" hidden="1">
      <c r="A2623" s="81">
        <v>2621</v>
      </c>
      <c r="B2623" s="86" t="s">
        <v>1477</v>
      </c>
      <c r="C2623" s="86" t="s">
        <v>1860</v>
      </c>
      <c r="D2623" s="82" t="str">
        <f ca="1">OFFSET(Roster!$A$3,MATCH(表格1[[#This Row],[Location]]&amp;" "&amp;表格1[[#This Row],[Shop]]&amp;"*",Roster!$A$4:$A$72,0),DAY(表格1[[#This Row],[date]]),1,1)</f>
        <v>Kiko</v>
      </c>
      <c r="E2623" s="86">
        <f>MONTH(表格1[[#This Row],[date]])</f>
        <v>3</v>
      </c>
      <c r="F2623" s="90">
        <v>46106</v>
      </c>
      <c r="G2623" s="86" t="str">
        <f>VLOOKUP("*"&amp;表格1[[#This Row],[Input]]&amp;"*",'Ref-List'!$B:$D,2,)</f>
        <v>KT-17SHNH</v>
      </c>
      <c r="H2623" s="86" t="str">
        <f>_xlfn.XLOOKUP(表格1[[#This Row],[Model]],表格3[Model-Input-Ref2],表格3[Product Line])</f>
        <v>1.7L無線雙層電熱水壺</v>
      </c>
      <c r="I2623" s="86" t="str">
        <f>_xlfn.XLOOKUP(表格1[[#This Row],[Model]],表格3[Model-Input-Ref2],表格3[大小電])</f>
        <v>細電</v>
      </c>
      <c r="J2623" s="86" t="str">
        <f>_xlfn.XLOOKUP(表格1[[#This Row],[Model]],表格3[Model-Input-Ref2],表格3[Code])</f>
        <v>SDA</v>
      </c>
      <c r="K2623" s="89" t="s">
        <v>1283</v>
      </c>
      <c r="L2623" s="86">
        <v>1</v>
      </c>
      <c r="M2623" s="87">
        <v>198</v>
      </c>
      <c r="N2623" s="87">
        <f>IFERROR(表格1[[#This Row],[QTY]]*表格1[[#This Row],[Unit Price]],"-")</f>
        <v>198</v>
      </c>
      <c r="O2623" s="86">
        <v>1722627</v>
      </c>
      <c r="R2623" s="86" t="str">
        <f>_xlfn.CONCAT(表格1[[#This Row],[Model]]," ",表格1[[#This Row],[inv no]])</f>
        <v>KT-17SHNH 1722627</v>
      </c>
      <c r="S2623" s="86">
        <f>_xlfn.XLOOKUP(表格1[[#This Row],[Model]],表格3[Model-Input-Ref2],表格3[SRP PRICE])</f>
        <v>299</v>
      </c>
      <c r="T2623" s="43">
        <f>表格1[[#This Row],[Unit Price]]/表格1[[#This Row],[SRP]]</f>
        <v>0.66220735785953178</v>
      </c>
      <c r="U2623" s="86" t="str">
        <f>_xlfn.XLOOKUP(表格1[[#This Row],[Model]],表格3[Model-Input-Ref2],表格3[TOSHIBA/HIGHEST])</f>
        <v>Shops Highest Price</v>
      </c>
      <c r="W2623" s="86" t="str">
        <f>_xlfn.CONCAT(表格1[[#This Row],[欄4]],表格1[[#This Row],[inv no]])</f>
        <v>1722627</v>
      </c>
    </row>
    <row r="2624" spans="1:23" hidden="1">
      <c r="A2624" s="81">
        <v>2622</v>
      </c>
      <c r="B2624" s="86" t="s">
        <v>1477</v>
      </c>
      <c r="C2624" s="86" t="s">
        <v>1860</v>
      </c>
      <c r="D2624" s="82" t="str">
        <f ca="1">OFFSET(Roster!$A$3,MATCH(表格1[[#This Row],[Location]]&amp;" "&amp;表格1[[#This Row],[Shop]]&amp;"*",Roster!$A$4:$A$72,0),DAY(表格1[[#This Row],[date]]),1,1)</f>
        <v>Kiko</v>
      </c>
      <c r="E2624" s="86">
        <f>MONTH(表格1[[#This Row],[date]])</f>
        <v>3</v>
      </c>
      <c r="F2624" s="90">
        <v>46106</v>
      </c>
      <c r="G2624" s="86" t="str">
        <f>VLOOKUP("*"&amp;表格1[[#This Row],[Input]]&amp;"*",'Ref-List'!$B:$D,2,)</f>
        <v>ET-TD7080(PN)</v>
      </c>
      <c r="H2624" s="86" t="str">
        <f>_xlfn.XLOOKUP(表格1[[#This Row],[Model]],表格3[Model-Input-Ref2],表格3[Product Line])</f>
        <v>多士焗爐8L</v>
      </c>
      <c r="I2624" s="86" t="str">
        <f>_xlfn.XLOOKUP(表格1[[#This Row],[Model]],表格3[Model-Input-Ref2],表格3[大小電])</f>
        <v>細電</v>
      </c>
      <c r="J2624" s="86" t="str">
        <f>_xlfn.XLOOKUP(表格1[[#This Row],[Model]],表格3[Model-Input-Ref2],表格3[Code])</f>
        <v>SDA</v>
      </c>
      <c r="K2624" s="89">
        <v>7080</v>
      </c>
      <c r="L2624" s="86">
        <v>1</v>
      </c>
      <c r="M2624" s="87">
        <v>338</v>
      </c>
      <c r="N2624" s="87">
        <f>IFERROR(表格1[[#This Row],[QTY]]*表格1[[#This Row],[Unit Price]],"-")</f>
        <v>338</v>
      </c>
      <c r="O2624" s="86">
        <v>1722319</v>
      </c>
      <c r="R2624" s="86" t="str">
        <f>_xlfn.CONCAT(表格1[[#This Row],[Model]]," ",表格1[[#This Row],[inv no]])</f>
        <v>ET-TD7080(PN) 1722319</v>
      </c>
      <c r="S2624" s="86">
        <f>_xlfn.XLOOKUP(表格1[[#This Row],[Model]],表格3[Model-Input-Ref2],表格3[SRP PRICE])</f>
        <v>498</v>
      </c>
      <c r="T2624" s="43">
        <f>表格1[[#This Row],[Unit Price]]/表格1[[#This Row],[SRP]]</f>
        <v>0.67871485943775101</v>
      </c>
      <c r="U2624" s="86" t="str">
        <f>_xlfn.XLOOKUP(表格1[[#This Row],[Model]],表格3[Model-Input-Ref2],表格3[TOSHIBA/HIGHEST])</f>
        <v>Toshiba SRP</v>
      </c>
      <c r="W2624" s="86" t="str">
        <f>_xlfn.CONCAT(表格1[[#This Row],[欄4]],表格1[[#This Row],[inv no]])</f>
        <v>1722319</v>
      </c>
    </row>
    <row r="2625" spans="1:23" hidden="1">
      <c r="A2625" s="81">
        <v>2623</v>
      </c>
      <c r="B2625" s="86" t="s">
        <v>1477</v>
      </c>
      <c r="C2625" s="86" t="s">
        <v>1860</v>
      </c>
      <c r="D2625" s="82" t="str">
        <f ca="1">OFFSET(Roster!$A$3,MATCH(表格1[[#This Row],[Location]]&amp;" "&amp;表格1[[#This Row],[Shop]]&amp;"*",Roster!$A$4:$A$72,0),DAY(表格1[[#This Row],[date]]),1,1)</f>
        <v>Kiko</v>
      </c>
      <c r="E2625" s="86">
        <f>MONTH(表格1[[#This Row],[date]])</f>
        <v>3</v>
      </c>
      <c r="F2625" s="90">
        <v>46106</v>
      </c>
      <c r="G2625" s="86" t="str">
        <f>VLOOKUP("*"&amp;表格1[[#This Row],[Input]]&amp;"*",'Ref-List'!$B:$D,2,)</f>
        <v>KT-15DRTHK(W)</v>
      </c>
      <c r="H2625" s="86" t="str">
        <f>_xlfn.XLOOKUP(表格1[[#This Row],[Model]],表格3[Model-Input-Ref2],表格3[Product Line])</f>
        <v>無線雙層電熱水壺-附可鎖壺蓋</v>
      </c>
      <c r="I2625" s="86" t="str">
        <f>_xlfn.XLOOKUP(表格1[[#This Row],[Model]],表格3[Model-Input-Ref2],表格3[大小電])</f>
        <v>細電</v>
      </c>
      <c r="J2625" s="86" t="str">
        <f>_xlfn.XLOOKUP(表格1[[#This Row],[Model]],表格3[Model-Input-Ref2],表格3[Code])</f>
        <v>SDA</v>
      </c>
      <c r="K2625" s="89" t="s">
        <v>1278</v>
      </c>
      <c r="L2625" s="86">
        <v>1</v>
      </c>
      <c r="M2625" s="87">
        <v>358</v>
      </c>
      <c r="N2625" s="87">
        <f>IFERROR(表格1[[#This Row],[QTY]]*表格1[[#This Row],[Unit Price]],"-")</f>
        <v>358</v>
      </c>
      <c r="O2625" s="86">
        <v>1722673</v>
      </c>
      <c r="R2625" s="86" t="str">
        <f>_xlfn.CONCAT(表格1[[#This Row],[Model]]," ",表格1[[#This Row],[inv no]])</f>
        <v>KT-15DRTHK(W) 1722673</v>
      </c>
      <c r="S2625" s="86">
        <f>_xlfn.XLOOKUP(表格1[[#This Row],[Model]],表格3[Model-Input-Ref2],表格3[SRP PRICE])</f>
        <v>598</v>
      </c>
      <c r="T2625" s="43">
        <f>表格1[[#This Row],[Unit Price]]/表格1[[#This Row],[SRP]]</f>
        <v>0.59866220735785958</v>
      </c>
      <c r="U2625" s="86" t="str">
        <f>_xlfn.XLOOKUP(表格1[[#This Row],[Model]],表格3[Model-Input-Ref2],表格3[TOSHIBA/HIGHEST])</f>
        <v>Toshiba SRP</v>
      </c>
      <c r="W2625" s="86" t="str">
        <f>_xlfn.CONCAT(表格1[[#This Row],[欄4]],表格1[[#This Row],[inv no]])</f>
        <v>1722673</v>
      </c>
    </row>
    <row r="2626" spans="1:23" hidden="1">
      <c r="A2626" s="81">
        <v>2624</v>
      </c>
      <c r="B2626" s="86" t="s">
        <v>1477</v>
      </c>
      <c r="C2626" s="86" t="s">
        <v>1860</v>
      </c>
      <c r="D2626" s="82" t="str">
        <f ca="1">OFFSET(Roster!$A$3,MATCH(表格1[[#This Row],[Location]]&amp;" "&amp;表格1[[#This Row],[Shop]]&amp;"*",Roster!$A$4:$A$72,0),DAY(表格1[[#This Row],[date]]),1,1)</f>
        <v>Kiko</v>
      </c>
      <c r="E2626" s="86">
        <f>MONTH(表格1[[#This Row],[date]])</f>
        <v>3</v>
      </c>
      <c r="F2626" s="90">
        <v>46109</v>
      </c>
      <c r="G2626" s="86" t="str">
        <f>VLOOKUP("*"&amp;表格1[[#This Row],[Input]]&amp;"*",'Ref-List'!$B:$D,2,)</f>
        <v>RAD-D300H</v>
      </c>
      <c r="H2626" s="86" t="str">
        <f>_xlfn.XLOOKUP(表格1[[#This Row],[Model]],表格3[Model-Input-Ref2],表格3[Product Line])</f>
        <v>壓縮式抽濕機 (30公升)</v>
      </c>
      <c r="I2626" s="86" t="str">
        <f>_xlfn.XLOOKUP(表格1[[#This Row],[Model]],表格3[Model-Input-Ref2],表格3[大小電])</f>
        <v>細電</v>
      </c>
      <c r="J2626" s="86" t="str">
        <f>_xlfn.XLOOKUP(表格1[[#This Row],[Model]],表格3[Model-Input-Ref2],表格3[Code])</f>
        <v>RAC</v>
      </c>
      <c r="K2626" s="89" t="s">
        <v>1252</v>
      </c>
      <c r="L2626" s="86">
        <v>1</v>
      </c>
      <c r="M2626" s="87">
        <v>2280</v>
      </c>
      <c r="N2626" s="87">
        <f>IFERROR(表格1[[#This Row],[QTY]]*表格1[[#This Row],[Unit Price]],"-")</f>
        <v>2280</v>
      </c>
      <c r="O2626" s="86">
        <v>1722968</v>
      </c>
      <c r="R2626" s="86" t="str">
        <f>_xlfn.CONCAT(表格1[[#This Row],[Model]]," ",表格1[[#This Row],[inv no]])</f>
        <v>RAD-D300H 1722968</v>
      </c>
      <c r="S2626" s="86">
        <f>_xlfn.XLOOKUP(表格1[[#This Row],[Model]],表格3[Model-Input-Ref2],表格3[SRP PRICE])</f>
        <v>3380</v>
      </c>
      <c r="T2626" s="43">
        <f>表格1[[#This Row],[Unit Price]]/表格1[[#This Row],[SRP]]</f>
        <v>0.67455621301775148</v>
      </c>
      <c r="U2626" s="86" t="str">
        <f>_xlfn.XLOOKUP(表格1[[#This Row],[Model]],表格3[Model-Input-Ref2],表格3[TOSHIBA/HIGHEST])</f>
        <v>Shops Highest Price</v>
      </c>
      <c r="W2626" s="86" t="str">
        <f>_xlfn.CONCAT(表格1[[#This Row],[欄4]],表格1[[#This Row],[inv no]])</f>
        <v>1722968</v>
      </c>
    </row>
    <row r="2627" spans="1:23" hidden="1">
      <c r="A2627" s="81">
        <v>2625</v>
      </c>
      <c r="B2627" s="86" t="s">
        <v>1477</v>
      </c>
      <c r="C2627" s="86" t="s">
        <v>1860</v>
      </c>
      <c r="D2627" s="82" t="str">
        <f ca="1">OFFSET(Roster!$A$3,MATCH(表格1[[#This Row],[Location]]&amp;" "&amp;表格1[[#This Row],[Shop]]&amp;"*",Roster!$A$4:$A$72,0),DAY(表格1[[#This Row],[date]]),1,1)</f>
        <v>Kiko</v>
      </c>
      <c r="E2627" s="86">
        <f>MONTH(表格1[[#This Row],[date]])</f>
        <v>3</v>
      </c>
      <c r="F2627" s="90">
        <v>46109</v>
      </c>
      <c r="G2627" s="86" t="str">
        <f>VLOOKUP("*"&amp;表格1[[#This Row],[Input]]&amp;"*",'Ref-List'!$B:$D,2,)</f>
        <v>AW-Q800APH(WW)</v>
      </c>
      <c r="H2627" s="86" t="str">
        <f>_xlfn.XLOOKUP(表格1[[#This Row],[Model]],表格3[Model-Input-Ref2],表格3[Product Line])</f>
        <v>日式洗衣機 (7公斤 結合高低水位)</v>
      </c>
      <c r="I2627" s="86" t="str">
        <f>_xlfn.XLOOKUP(表格1[[#This Row],[Model]],表格3[Model-Input-Ref2],表格3[大小電])</f>
        <v>大電</v>
      </c>
      <c r="J2627" s="86" t="str">
        <f>_xlfn.XLOOKUP(表格1[[#This Row],[Model]],表格3[Model-Input-Ref2],表格3[Code])</f>
        <v>LAD</v>
      </c>
      <c r="K2627" s="89" t="s">
        <v>1479</v>
      </c>
      <c r="L2627" s="86">
        <v>1</v>
      </c>
      <c r="M2627" s="87">
        <v>1980</v>
      </c>
      <c r="N2627" s="87">
        <f>IFERROR(表格1[[#This Row],[QTY]]*表格1[[#This Row],[Unit Price]],"-")</f>
        <v>1980</v>
      </c>
      <c r="O2627" s="86">
        <v>1722759</v>
      </c>
      <c r="R2627" s="86" t="str">
        <f>_xlfn.CONCAT(表格1[[#This Row],[Model]]," ",表格1[[#This Row],[inv no]])</f>
        <v>AW-Q800APH(WW) 1722759</v>
      </c>
      <c r="S2627" s="86">
        <f>_xlfn.XLOOKUP(表格1[[#This Row],[Model]],表格3[Model-Input-Ref2],表格3[SRP PRICE])</f>
        <v>3580</v>
      </c>
      <c r="T2627" s="43">
        <f>表格1[[#This Row],[Unit Price]]/表格1[[#This Row],[SRP]]</f>
        <v>0.55307262569832405</v>
      </c>
      <c r="U2627" s="86" t="str">
        <f>_xlfn.XLOOKUP(表格1[[#This Row],[Model]],表格3[Model-Input-Ref2],表格3[TOSHIBA/HIGHEST])</f>
        <v>Toshiba SRP</v>
      </c>
      <c r="W2627" s="86" t="str">
        <f>_xlfn.CONCAT(表格1[[#This Row],[欄4]],表格1[[#This Row],[inv no]])</f>
        <v>1722759</v>
      </c>
    </row>
    <row r="2628" spans="1:23" hidden="1">
      <c r="A2628" s="81">
        <v>2626</v>
      </c>
      <c r="B2628" s="86" t="s">
        <v>1477</v>
      </c>
      <c r="C2628" s="86" t="s">
        <v>1860</v>
      </c>
      <c r="D2628" s="82" t="str">
        <f ca="1">OFFSET(Roster!$A$3,MATCH(表格1[[#This Row],[Location]]&amp;" "&amp;表格1[[#This Row],[Shop]]&amp;"*",Roster!$A$4:$A$72,0),DAY(表格1[[#This Row],[date]]),1,1)</f>
        <v>Kiko</v>
      </c>
      <c r="E2628" s="86">
        <f>MONTH(表格1[[#This Row],[date]])</f>
        <v>3</v>
      </c>
      <c r="F2628" s="90">
        <v>46109</v>
      </c>
      <c r="G2628" s="86" t="str">
        <f>VLOOKUP("*"&amp;表格1[[#This Row],[Input]]&amp;"*",'Ref-List'!$B:$D,2,)</f>
        <v>MX2-TT20SC(WH)</v>
      </c>
      <c r="H2628" s="86" t="str">
        <f>_xlfn.XLOOKUP(表格1[[#This Row],[Model]],表格3[Model-Input-Ref2],表格3[Product Line])</f>
        <v>3合1 微波蒸焗爐 (20公升)</v>
      </c>
      <c r="I2628" s="86" t="str">
        <f>_xlfn.XLOOKUP(表格1[[#This Row],[Model]],表格3[Model-Input-Ref2],表格3[大小電])</f>
        <v>細電</v>
      </c>
      <c r="J2628" s="86" t="str">
        <f>_xlfn.XLOOKUP(表格1[[#This Row],[Model]],表格3[Model-Input-Ref2],表格3[Code])</f>
        <v>MCA</v>
      </c>
      <c r="K2628" s="89" t="s">
        <v>1287</v>
      </c>
      <c r="L2628" s="86">
        <v>1</v>
      </c>
      <c r="M2628" s="87">
        <v>2580</v>
      </c>
      <c r="N2628" s="87">
        <f>IFERROR(表格1[[#This Row],[QTY]]*表格1[[#This Row],[Unit Price]],"-")</f>
        <v>2580</v>
      </c>
      <c r="O2628" s="86">
        <v>1722860</v>
      </c>
      <c r="R2628" s="86" t="str">
        <f>_xlfn.CONCAT(表格1[[#This Row],[Model]]," ",表格1[[#This Row],[inv no]])</f>
        <v>MX2-TT20SC(WH) 1722860</v>
      </c>
      <c r="S2628" s="86">
        <f>_xlfn.XLOOKUP(表格1[[#This Row],[Model]],表格3[Model-Input-Ref2],表格3[SRP PRICE])</f>
        <v>3580</v>
      </c>
      <c r="T2628" s="43">
        <f>表格1[[#This Row],[Unit Price]]/表格1[[#This Row],[SRP]]</f>
        <v>0.72067039106145248</v>
      </c>
      <c r="U2628" s="86" t="str">
        <f>_xlfn.XLOOKUP(表格1[[#This Row],[Model]],表格3[Model-Input-Ref2],表格3[TOSHIBA/HIGHEST])</f>
        <v>Toshiba SRP</v>
      </c>
      <c r="W2628" s="86" t="str">
        <f>_xlfn.CONCAT(表格1[[#This Row],[欄4]],表格1[[#This Row],[inv no]])</f>
        <v>1722860</v>
      </c>
    </row>
    <row r="2629" spans="1:23" hidden="1">
      <c r="A2629" s="81">
        <v>2627</v>
      </c>
      <c r="B2629" s="86" t="s">
        <v>1477</v>
      </c>
      <c r="C2629" s="86" t="s">
        <v>1860</v>
      </c>
      <c r="D2629" s="82" t="str">
        <f ca="1">OFFSET(Roster!$A$3,MATCH(表格1[[#This Row],[Location]]&amp;" "&amp;表格1[[#This Row],[Shop]]&amp;"*",Roster!$A$4:$A$72,0),DAY(表格1[[#This Row],[date]]),1,1)</f>
        <v>Kiko</v>
      </c>
      <c r="E2629" s="86">
        <f>MONTH(表格1[[#This Row],[date]])</f>
        <v>3</v>
      </c>
      <c r="F2629" s="90">
        <v>46109</v>
      </c>
      <c r="G2629" s="86" t="str">
        <f>VLOOKUP("*"&amp;表格1[[#This Row],[Input]]&amp;"*",'Ref-List'!$B:$D,2,)</f>
        <v>MX2-TT20SC(WH)</v>
      </c>
      <c r="H2629" s="86" t="str">
        <f>_xlfn.XLOOKUP(表格1[[#This Row],[Model]],表格3[Model-Input-Ref2],表格3[Product Line])</f>
        <v>3合1 微波蒸焗爐 (20公升)</v>
      </c>
      <c r="I2629" s="86" t="str">
        <f>_xlfn.XLOOKUP(表格1[[#This Row],[Model]],表格3[Model-Input-Ref2],表格3[大小電])</f>
        <v>細電</v>
      </c>
      <c r="J2629" s="86" t="str">
        <f>_xlfn.XLOOKUP(表格1[[#This Row],[Model]],表格3[Model-Input-Ref2],表格3[Code])</f>
        <v>MCA</v>
      </c>
      <c r="K2629" s="89" t="s">
        <v>1287</v>
      </c>
      <c r="L2629" s="86">
        <v>1</v>
      </c>
      <c r="M2629" s="87">
        <v>2580</v>
      </c>
      <c r="N2629" s="87">
        <f>IFERROR(表格1[[#This Row],[QTY]]*表格1[[#This Row],[Unit Price]],"-")</f>
        <v>2580</v>
      </c>
      <c r="O2629" s="86">
        <v>1722897</v>
      </c>
      <c r="R2629" s="86" t="str">
        <f>_xlfn.CONCAT(表格1[[#This Row],[Model]]," ",表格1[[#This Row],[inv no]])</f>
        <v>MX2-TT20SC(WH) 1722897</v>
      </c>
      <c r="S2629" s="86">
        <f>_xlfn.XLOOKUP(表格1[[#This Row],[Model]],表格3[Model-Input-Ref2],表格3[SRP PRICE])</f>
        <v>3580</v>
      </c>
      <c r="T2629" s="43">
        <f>表格1[[#This Row],[Unit Price]]/表格1[[#This Row],[SRP]]</f>
        <v>0.72067039106145248</v>
      </c>
      <c r="U2629" s="86" t="str">
        <f>_xlfn.XLOOKUP(表格1[[#This Row],[Model]],表格3[Model-Input-Ref2],表格3[TOSHIBA/HIGHEST])</f>
        <v>Toshiba SRP</v>
      </c>
      <c r="W2629" s="86" t="str">
        <f>_xlfn.CONCAT(表格1[[#This Row],[欄4]],表格1[[#This Row],[inv no]])</f>
        <v>1722897</v>
      </c>
    </row>
    <row r="2630" spans="1:23" hidden="1">
      <c r="A2630" s="81">
        <v>2628</v>
      </c>
      <c r="B2630" s="86" t="s">
        <v>1477</v>
      </c>
      <c r="C2630" s="86" t="s">
        <v>1860</v>
      </c>
      <c r="D2630" s="82" t="str">
        <f ca="1">OFFSET(Roster!$A$3,MATCH(表格1[[#This Row],[Location]]&amp;" "&amp;表格1[[#This Row],[Shop]]&amp;"*",Roster!$A$4:$A$72,0),DAY(表格1[[#This Row],[date]]),1,1)</f>
        <v>Kiko</v>
      </c>
      <c r="E2630" s="86">
        <f>MONTH(表格1[[#This Row],[date]])</f>
        <v>3</v>
      </c>
      <c r="F2630" s="90">
        <v>46109</v>
      </c>
      <c r="G2630" s="86" t="str">
        <f>VLOOKUP("*"&amp;表格1[[#This Row],[Input]]&amp;"*",'Ref-List'!$B:$D,2,)</f>
        <v>MX1-TH23SC(WH)</v>
      </c>
      <c r="H2630" s="86" t="str">
        <f>_xlfn.XLOOKUP(表格1[[#This Row],[Model]],表格3[Model-Input-Ref2],表格3[Product Line])</f>
        <v>微波蒸焗爐23L</v>
      </c>
      <c r="I2630" s="86" t="str">
        <f>_xlfn.XLOOKUP(表格1[[#This Row],[Model]],表格3[Model-Input-Ref2],表格3[大小電])</f>
        <v>細電</v>
      </c>
      <c r="J2630" s="86" t="str">
        <f>_xlfn.XLOOKUP(表格1[[#This Row],[Model]],表格3[Model-Input-Ref2],表格3[Code])</f>
        <v>SDA</v>
      </c>
      <c r="K2630" s="89" t="s">
        <v>1496</v>
      </c>
      <c r="L2630" s="86">
        <v>6</v>
      </c>
      <c r="M2630" s="87">
        <v>2580</v>
      </c>
      <c r="N2630" s="87">
        <f>IFERROR(表格1[[#This Row],[QTY]]*表格1[[#This Row],[Unit Price]],"-")</f>
        <v>15480</v>
      </c>
      <c r="O2630" s="86">
        <v>1722804</v>
      </c>
      <c r="R2630" s="86" t="str">
        <f>_xlfn.CONCAT(表格1[[#This Row],[Model]]," ",表格1[[#This Row],[inv no]])</f>
        <v>MX1-TH23SC(WH) 1722804</v>
      </c>
      <c r="S2630" s="86">
        <f>_xlfn.XLOOKUP(表格1[[#This Row],[Model]],表格3[Model-Input-Ref2],表格3[SRP PRICE])</f>
        <v>3380</v>
      </c>
      <c r="T2630" s="43">
        <f>表格1[[#This Row],[Unit Price]]/表格1[[#This Row],[SRP]]</f>
        <v>0.76331360946745563</v>
      </c>
      <c r="U2630" s="86" t="str">
        <f>_xlfn.XLOOKUP(表格1[[#This Row],[Model]],表格3[Model-Input-Ref2],表格3[TOSHIBA/HIGHEST])</f>
        <v>Toshiba SRP</v>
      </c>
      <c r="W2630" s="86" t="str">
        <f>_xlfn.CONCAT(表格1[[#This Row],[欄4]],表格1[[#This Row],[inv no]])</f>
        <v>1722804</v>
      </c>
    </row>
    <row r="2631" spans="1:23" hidden="1">
      <c r="A2631" s="81">
        <v>2629</v>
      </c>
      <c r="B2631" s="86" t="s">
        <v>1477</v>
      </c>
      <c r="C2631" s="86" t="s">
        <v>1860</v>
      </c>
      <c r="D2631" s="82" t="str">
        <f ca="1">OFFSET(Roster!$A$3,MATCH(表格1[[#This Row],[Location]]&amp;" "&amp;表格1[[#This Row],[Shop]]&amp;"*",Roster!$A$4:$A$72,0),DAY(表格1[[#This Row],[date]]),1,1)</f>
        <v>Kiko</v>
      </c>
      <c r="E2631" s="86">
        <f>MONTH(表格1[[#This Row],[date]])</f>
        <v>3</v>
      </c>
      <c r="F2631" s="90">
        <v>46109</v>
      </c>
      <c r="G2631" s="86" t="str">
        <f>VLOOKUP("*"&amp;表格1[[#This Row],[Input]]&amp;"*",'Ref-List'!$B:$D,2,)</f>
        <v>MX2-TT20SC(WH)</v>
      </c>
      <c r="H2631" s="86" t="str">
        <f>_xlfn.XLOOKUP(表格1[[#This Row],[Model]],表格3[Model-Input-Ref2],表格3[Product Line])</f>
        <v>3合1 微波蒸焗爐 (20公升)</v>
      </c>
      <c r="I2631" s="86" t="str">
        <f>_xlfn.XLOOKUP(表格1[[#This Row],[Model]],表格3[Model-Input-Ref2],表格3[大小電])</f>
        <v>細電</v>
      </c>
      <c r="J2631" s="86" t="str">
        <f>_xlfn.XLOOKUP(表格1[[#This Row],[Model]],表格3[Model-Input-Ref2],表格3[Code])</f>
        <v>MCA</v>
      </c>
      <c r="K2631" s="89" t="s">
        <v>1287</v>
      </c>
      <c r="L2631" s="86">
        <v>1</v>
      </c>
      <c r="M2631" s="87">
        <v>2580</v>
      </c>
      <c r="N2631" s="87">
        <f>IFERROR(表格1[[#This Row],[QTY]]*表格1[[#This Row],[Unit Price]],"-")</f>
        <v>2580</v>
      </c>
      <c r="O2631" s="86">
        <v>1723055</v>
      </c>
      <c r="R2631" s="86" t="str">
        <f>_xlfn.CONCAT(表格1[[#This Row],[Model]]," ",表格1[[#This Row],[inv no]])</f>
        <v>MX2-TT20SC(WH) 1723055</v>
      </c>
      <c r="S2631" s="86">
        <f>_xlfn.XLOOKUP(表格1[[#This Row],[Model]],表格3[Model-Input-Ref2],表格3[SRP PRICE])</f>
        <v>3580</v>
      </c>
      <c r="T2631" s="43">
        <f>表格1[[#This Row],[Unit Price]]/表格1[[#This Row],[SRP]]</f>
        <v>0.72067039106145248</v>
      </c>
      <c r="U2631" s="86" t="str">
        <f>_xlfn.XLOOKUP(表格1[[#This Row],[Model]],表格3[Model-Input-Ref2],表格3[TOSHIBA/HIGHEST])</f>
        <v>Toshiba SRP</v>
      </c>
      <c r="W2631" s="86" t="str">
        <f>_xlfn.CONCAT(表格1[[#This Row],[欄4]],表格1[[#This Row],[inv no]])</f>
        <v>1723055</v>
      </c>
    </row>
    <row r="2632" spans="1:23" hidden="1">
      <c r="A2632" s="81">
        <v>2630</v>
      </c>
      <c r="B2632" s="86" t="s">
        <v>1477</v>
      </c>
      <c r="C2632" s="86" t="s">
        <v>1860</v>
      </c>
      <c r="D2632" s="82" t="str">
        <f ca="1">OFFSET(Roster!$A$3,MATCH(表格1[[#This Row],[Location]]&amp;" "&amp;表格1[[#This Row],[Shop]]&amp;"*",Roster!$A$4:$A$72,0),DAY(表格1[[#This Row],[date]]),1,1)</f>
        <v>Kiko</v>
      </c>
      <c r="E2632" s="86">
        <f>MONTH(表格1[[#This Row],[date]])</f>
        <v>3</v>
      </c>
      <c r="F2632" s="90">
        <v>46109</v>
      </c>
      <c r="G2632" s="86" t="str">
        <f>VLOOKUP("*"&amp;表格1[[#This Row],[Input]]&amp;"*",'Ref-List'!$B:$D,2,)</f>
        <v>RAC-07G3CVRG-HK</v>
      </c>
      <c r="H2632" s="86" t="str">
        <f>_xlfn.XLOOKUP(表格1[[#This Row],[Model]],表格3[Model-Input-Ref2],表格3[Product Line])</f>
        <v>3/4 匹 窗口式冷氣機(remote/fortress)</v>
      </c>
      <c r="I2632" s="86" t="str">
        <f>_xlfn.XLOOKUP(表格1[[#This Row],[Model]],表格3[Model-Input-Ref2],表格3[大小電])</f>
        <v>大電</v>
      </c>
      <c r="J2632" s="86" t="str">
        <f>_xlfn.XLOOKUP(表格1[[#This Row],[Model]],表格3[Model-Input-Ref2],表格3[Code])</f>
        <v>AC</v>
      </c>
      <c r="K2632" s="89" t="s">
        <v>664</v>
      </c>
      <c r="L2632" s="86">
        <v>1</v>
      </c>
      <c r="M2632" s="87">
        <v>3880</v>
      </c>
      <c r="N2632" s="87">
        <f>IFERROR(表格1[[#This Row],[QTY]]*表格1[[#This Row],[Unit Price]],"-")</f>
        <v>3880</v>
      </c>
      <c r="O2632" s="86">
        <v>1511622</v>
      </c>
      <c r="R2632" s="86" t="str">
        <f>_xlfn.CONCAT(表格1[[#This Row],[Model]]," ",表格1[[#This Row],[inv no]])</f>
        <v>RAC-07G3CVRG-HK 1511622</v>
      </c>
      <c r="S2632" s="86">
        <f>_xlfn.XLOOKUP(表格1[[#This Row],[Model]],表格3[Model-Input-Ref2],表格3[SRP PRICE])</f>
        <v>5580</v>
      </c>
      <c r="T2632" s="43">
        <f>表格1[[#This Row],[Unit Price]]/表格1[[#This Row],[SRP]]</f>
        <v>0.69534050179211471</v>
      </c>
      <c r="U2632" s="86" t="str">
        <f>_xlfn.XLOOKUP(表格1[[#This Row],[Model]],表格3[Model-Input-Ref2],表格3[TOSHIBA/HIGHEST])</f>
        <v>Toshiba SRP</v>
      </c>
      <c r="W2632" s="86" t="str">
        <f>_xlfn.CONCAT(表格1[[#This Row],[欄4]],表格1[[#This Row],[inv no]])</f>
        <v>1511622</v>
      </c>
    </row>
    <row r="2633" spans="1:23" hidden="1">
      <c r="A2633" s="81">
        <v>2631</v>
      </c>
      <c r="B2633" s="86" t="s">
        <v>1477</v>
      </c>
      <c r="C2633" s="86" t="s">
        <v>1860</v>
      </c>
      <c r="D2633" s="82" t="str">
        <f ca="1">OFFSET(Roster!$A$3,MATCH(表格1[[#This Row],[Location]]&amp;" "&amp;表格1[[#This Row],[Shop]]&amp;"*",Roster!$A$4:$A$72,0),DAY(表格1[[#This Row],[date]]),1,1)</f>
        <v>Kiko</v>
      </c>
      <c r="E2633" s="86">
        <f>MONTH(表格1[[#This Row],[date]])</f>
        <v>3</v>
      </c>
      <c r="F2633" s="90">
        <v>46109</v>
      </c>
      <c r="G2633" s="86" t="str">
        <f>VLOOKUP("*"&amp;表格1[[#This Row],[Input]]&amp;"*",'Ref-List'!$B:$D,2,)</f>
        <v>RAC-07G3CVRG-HK</v>
      </c>
      <c r="H2633" s="86" t="str">
        <f>_xlfn.XLOOKUP(表格1[[#This Row],[Model]],表格3[Model-Input-Ref2],表格3[Product Line])</f>
        <v>3/4 匹 窗口式冷氣機(remote/fortress)</v>
      </c>
      <c r="I2633" s="86" t="str">
        <f>_xlfn.XLOOKUP(表格1[[#This Row],[Model]],表格3[Model-Input-Ref2],表格3[大小電])</f>
        <v>大電</v>
      </c>
      <c r="J2633" s="86" t="str">
        <f>_xlfn.XLOOKUP(表格1[[#This Row],[Model]],表格3[Model-Input-Ref2],表格3[Code])</f>
        <v>AC</v>
      </c>
      <c r="K2633" s="89" t="s">
        <v>664</v>
      </c>
      <c r="L2633" s="86">
        <v>1</v>
      </c>
      <c r="M2633" s="87">
        <v>3880</v>
      </c>
      <c r="N2633" s="87">
        <f>IFERROR(表格1[[#This Row],[QTY]]*表格1[[#This Row],[Unit Price]],"-")</f>
        <v>3880</v>
      </c>
      <c r="O2633" s="86">
        <v>1723040</v>
      </c>
      <c r="R2633" s="86" t="str">
        <f>_xlfn.CONCAT(表格1[[#This Row],[Model]]," ",表格1[[#This Row],[inv no]])</f>
        <v>RAC-07G3CVRG-HK 1723040</v>
      </c>
      <c r="S2633" s="86">
        <f>_xlfn.XLOOKUP(表格1[[#This Row],[Model]],表格3[Model-Input-Ref2],表格3[SRP PRICE])</f>
        <v>5580</v>
      </c>
      <c r="T2633" s="43">
        <f>表格1[[#This Row],[Unit Price]]/表格1[[#This Row],[SRP]]</f>
        <v>0.69534050179211471</v>
      </c>
      <c r="U2633" s="86" t="str">
        <f>_xlfn.XLOOKUP(表格1[[#This Row],[Model]],表格3[Model-Input-Ref2],表格3[TOSHIBA/HIGHEST])</f>
        <v>Toshiba SRP</v>
      </c>
      <c r="W2633" s="86" t="str">
        <f>_xlfn.CONCAT(表格1[[#This Row],[欄4]],表格1[[#This Row],[inv no]])</f>
        <v>1723040</v>
      </c>
    </row>
    <row r="2634" spans="1:23" hidden="1">
      <c r="A2634" s="81">
        <v>2632</v>
      </c>
      <c r="B2634" s="86" t="s">
        <v>1477</v>
      </c>
      <c r="C2634" s="86" t="s">
        <v>1860</v>
      </c>
      <c r="D2634" s="82" t="str">
        <f ca="1">OFFSET(Roster!$A$3,MATCH(表格1[[#This Row],[Location]]&amp;" "&amp;表格1[[#This Row],[Shop]]&amp;"*",Roster!$A$4:$A$72,0),DAY(表格1[[#This Row],[date]]),1,1)</f>
        <v>Kiko</v>
      </c>
      <c r="E2634" s="86">
        <f>MONTH(表格1[[#This Row],[date]])</f>
        <v>3</v>
      </c>
      <c r="F2634" s="90">
        <v>46109</v>
      </c>
      <c r="G2634" s="86" t="str">
        <f>VLOOKUP("*"&amp;表格1[[#This Row],[Input]]&amp;"*",'Ref-List'!$B:$D,2,)</f>
        <v>RAC-07G3CVRG-HK</v>
      </c>
      <c r="H2634" s="86" t="str">
        <f>_xlfn.XLOOKUP(表格1[[#This Row],[Model]],表格3[Model-Input-Ref2],表格3[Product Line])</f>
        <v>3/4 匹 窗口式冷氣機(remote/fortress)</v>
      </c>
      <c r="I2634" s="86" t="str">
        <f>_xlfn.XLOOKUP(表格1[[#This Row],[Model]],表格3[Model-Input-Ref2],表格3[大小電])</f>
        <v>大電</v>
      </c>
      <c r="J2634" s="86" t="str">
        <f>_xlfn.XLOOKUP(表格1[[#This Row],[Model]],表格3[Model-Input-Ref2],表格3[Code])</f>
        <v>AC</v>
      </c>
      <c r="K2634" s="89" t="s">
        <v>664</v>
      </c>
      <c r="L2634" s="86">
        <v>1</v>
      </c>
      <c r="M2634" s="87">
        <v>3880</v>
      </c>
      <c r="N2634" s="87">
        <f>IFERROR(表格1[[#This Row],[QTY]]*表格1[[#This Row],[Unit Price]],"-")</f>
        <v>3880</v>
      </c>
      <c r="O2634" s="86">
        <v>1723048</v>
      </c>
      <c r="R2634" s="86" t="str">
        <f>_xlfn.CONCAT(表格1[[#This Row],[Model]]," ",表格1[[#This Row],[inv no]])</f>
        <v>RAC-07G3CVRG-HK 1723048</v>
      </c>
      <c r="S2634" s="86">
        <f>_xlfn.XLOOKUP(表格1[[#This Row],[Model]],表格3[Model-Input-Ref2],表格3[SRP PRICE])</f>
        <v>5580</v>
      </c>
      <c r="T2634" s="43">
        <f>表格1[[#This Row],[Unit Price]]/表格1[[#This Row],[SRP]]</f>
        <v>0.69534050179211471</v>
      </c>
      <c r="U2634" s="86" t="str">
        <f>_xlfn.XLOOKUP(表格1[[#This Row],[Model]],表格3[Model-Input-Ref2],表格3[TOSHIBA/HIGHEST])</f>
        <v>Toshiba SRP</v>
      </c>
      <c r="W2634" s="86" t="str">
        <f>_xlfn.CONCAT(表格1[[#This Row],[欄4]],表格1[[#This Row],[inv no]])</f>
        <v>1723048</v>
      </c>
    </row>
    <row r="2635" spans="1:23" hidden="1">
      <c r="A2635" s="81">
        <v>2633</v>
      </c>
      <c r="B2635" s="86" t="s">
        <v>1477</v>
      </c>
      <c r="C2635" s="86" t="s">
        <v>1860</v>
      </c>
      <c r="D2635" s="82" t="str">
        <f ca="1">OFFSET(Roster!$A$3,MATCH(表格1[[#This Row],[Location]]&amp;" "&amp;表格1[[#This Row],[Shop]]&amp;"*",Roster!$A$4:$A$72,0),DAY(表格1[[#This Row],[date]]),1,1)</f>
        <v>Kiko</v>
      </c>
      <c r="E2635" s="86">
        <f>MONTH(表格1[[#This Row],[date]])</f>
        <v>3</v>
      </c>
      <c r="F2635" s="90">
        <v>46109</v>
      </c>
      <c r="G2635" s="86" t="str">
        <f>VLOOKUP("*"&amp;表格1[[#This Row],[Input]]&amp;"*",'Ref-List'!$B:$D,2,)</f>
        <v>GR-RB221WE-PMA(57)</v>
      </c>
      <c r="H2635" s="86" t="str">
        <f>_xlfn.XLOOKUP(表格1[[#This Row],[Model]],表格3[Model-Input-Ref2],表格3[Product Line])</f>
        <v>變頻下置式雙門雪櫃（163L）</v>
      </c>
      <c r="I2635" s="86" t="str">
        <f>_xlfn.XLOOKUP(表格1[[#This Row],[Model]],表格3[Model-Input-Ref2],表格3[大小電])</f>
        <v>大電</v>
      </c>
      <c r="J2635" s="86" t="str">
        <f>_xlfn.XLOOKUP(表格1[[#This Row],[Model]],表格3[Model-Input-Ref2],表格3[Code])</f>
        <v>REF</v>
      </c>
      <c r="K2635" s="89" t="s">
        <v>1386</v>
      </c>
      <c r="L2635" s="86">
        <v>1</v>
      </c>
      <c r="M2635" s="87">
        <v>1880</v>
      </c>
      <c r="N2635" s="87">
        <f>IFERROR(表格1[[#This Row],[QTY]]*表格1[[#This Row],[Unit Price]],"-")</f>
        <v>1880</v>
      </c>
      <c r="O2635" s="86">
        <v>1327288</v>
      </c>
      <c r="R2635" s="86" t="str">
        <f>_xlfn.CONCAT(表格1[[#This Row],[Model]]," ",表格1[[#This Row],[inv no]])</f>
        <v>GR-RB221WE-PMA(57) 1327288</v>
      </c>
      <c r="S2635" s="86">
        <f>_xlfn.XLOOKUP(表格1[[#This Row],[Model]],表格3[Model-Input-Ref2],表格3[SRP PRICE])</f>
        <v>3480</v>
      </c>
      <c r="T2635" s="43">
        <f>表格1[[#This Row],[Unit Price]]/表格1[[#This Row],[SRP]]</f>
        <v>0.54022988505747127</v>
      </c>
      <c r="U2635" s="86" t="str">
        <f>_xlfn.XLOOKUP(表格1[[#This Row],[Model]],表格3[Model-Input-Ref2],表格3[TOSHIBA/HIGHEST])</f>
        <v>Toshiba SRP</v>
      </c>
      <c r="W2635" s="86" t="str">
        <f>_xlfn.CONCAT(表格1[[#This Row],[欄4]],表格1[[#This Row],[inv no]])</f>
        <v>1327288</v>
      </c>
    </row>
    <row r="2636" spans="1:23" hidden="1">
      <c r="A2636" s="81">
        <v>2634</v>
      </c>
      <c r="B2636" s="86" t="s">
        <v>1477</v>
      </c>
      <c r="C2636" s="86" t="s">
        <v>1860</v>
      </c>
      <c r="D2636" s="82" t="str">
        <f ca="1">OFFSET(Roster!$A$3,MATCH(表格1[[#This Row],[Location]]&amp;" "&amp;表格1[[#This Row],[Shop]]&amp;"*",Roster!$A$4:$A$72,0),DAY(表格1[[#This Row],[date]]),1,1)</f>
        <v>Kiko</v>
      </c>
      <c r="E2636" s="86">
        <f>MONTH(表格1[[#This Row],[date]])</f>
        <v>3</v>
      </c>
      <c r="F2636" s="90">
        <v>46109</v>
      </c>
      <c r="G2636" s="86" t="str">
        <f>VLOOKUP("*"&amp;表格1[[#This Row],[Input]]&amp;"*",'Ref-List'!$B:$D,2,)</f>
        <v>ET-TD7080(PN)</v>
      </c>
      <c r="H2636" s="86" t="str">
        <f>_xlfn.XLOOKUP(表格1[[#This Row],[Model]],表格3[Model-Input-Ref2],表格3[Product Line])</f>
        <v>多士焗爐8L</v>
      </c>
      <c r="I2636" s="86" t="str">
        <f>_xlfn.XLOOKUP(表格1[[#This Row],[Model]],表格3[Model-Input-Ref2],表格3[大小電])</f>
        <v>細電</v>
      </c>
      <c r="J2636" s="86" t="str">
        <f>_xlfn.XLOOKUP(表格1[[#This Row],[Model]],表格3[Model-Input-Ref2],表格3[Code])</f>
        <v>SDA</v>
      </c>
      <c r="K2636" s="89">
        <v>7080</v>
      </c>
      <c r="L2636" s="86">
        <v>1</v>
      </c>
      <c r="M2636" s="87">
        <v>338</v>
      </c>
      <c r="N2636" s="87">
        <f>IFERROR(表格1[[#This Row],[QTY]]*表格1[[#This Row],[Unit Price]],"-")</f>
        <v>338</v>
      </c>
      <c r="O2636" s="86">
        <v>1723399</v>
      </c>
      <c r="R2636" s="86" t="str">
        <f>_xlfn.CONCAT(表格1[[#This Row],[Model]]," ",表格1[[#This Row],[inv no]])</f>
        <v>ET-TD7080(PN) 1723399</v>
      </c>
      <c r="S2636" s="86">
        <f>_xlfn.XLOOKUP(表格1[[#This Row],[Model]],表格3[Model-Input-Ref2],表格3[SRP PRICE])</f>
        <v>498</v>
      </c>
      <c r="T2636" s="43">
        <f>表格1[[#This Row],[Unit Price]]/表格1[[#This Row],[SRP]]</f>
        <v>0.67871485943775101</v>
      </c>
      <c r="U2636" s="86" t="str">
        <f>_xlfn.XLOOKUP(表格1[[#This Row],[Model]],表格3[Model-Input-Ref2],表格3[TOSHIBA/HIGHEST])</f>
        <v>Toshiba SRP</v>
      </c>
      <c r="W2636" s="86" t="str">
        <f>_xlfn.CONCAT(表格1[[#This Row],[欄4]],表格1[[#This Row],[inv no]])</f>
        <v>1723399</v>
      </c>
    </row>
    <row r="2637" spans="1:23" hidden="1">
      <c r="A2637" s="81">
        <v>2635</v>
      </c>
      <c r="B2637" s="86" t="s">
        <v>1477</v>
      </c>
      <c r="C2637" s="86" t="s">
        <v>1860</v>
      </c>
      <c r="D2637" s="82" t="str">
        <f ca="1">OFFSET(Roster!$A$3,MATCH(表格1[[#This Row],[Location]]&amp;" "&amp;表格1[[#This Row],[Shop]]&amp;"*",Roster!$A$4:$A$72,0),DAY(表格1[[#This Row],[date]]),1,1)</f>
        <v>Kiko</v>
      </c>
      <c r="E2637" s="86">
        <f>MONTH(表格1[[#This Row],[date]])</f>
        <v>3</v>
      </c>
      <c r="F2637" s="90">
        <v>46109</v>
      </c>
      <c r="G2637" s="86" t="str">
        <f>VLOOKUP("*"&amp;表格1[[#This Row],[Input]]&amp;"*",'Ref-List'!$B:$D,2,)</f>
        <v>RAD-D300H</v>
      </c>
      <c r="H2637" s="86" t="str">
        <f>_xlfn.XLOOKUP(表格1[[#This Row],[Model]],表格3[Model-Input-Ref2],表格3[Product Line])</f>
        <v>壓縮式抽濕機 (30公升)</v>
      </c>
      <c r="I2637" s="86" t="str">
        <f>_xlfn.XLOOKUP(表格1[[#This Row],[Model]],表格3[Model-Input-Ref2],表格3[大小電])</f>
        <v>細電</v>
      </c>
      <c r="J2637" s="86" t="str">
        <f>_xlfn.XLOOKUP(表格1[[#This Row],[Model]],表格3[Model-Input-Ref2],表格3[Code])</f>
        <v>RAC</v>
      </c>
      <c r="K2637" s="89" t="s">
        <v>1252</v>
      </c>
      <c r="L2637" s="86">
        <v>1</v>
      </c>
      <c r="M2637" s="87">
        <v>2280</v>
      </c>
      <c r="N2637" s="87">
        <f>IFERROR(表格1[[#This Row],[QTY]]*表格1[[#This Row],[Unit Price]],"-")</f>
        <v>2280</v>
      </c>
      <c r="O2637" s="86">
        <v>1327286</v>
      </c>
      <c r="R2637" s="86" t="str">
        <f>_xlfn.CONCAT(表格1[[#This Row],[Model]]," ",表格1[[#This Row],[inv no]])</f>
        <v>RAD-D300H 1327286</v>
      </c>
      <c r="S2637" s="86">
        <f>_xlfn.XLOOKUP(表格1[[#This Row],[Model]],表格3[Model-Input-Ref2],表格3[SRP PRICE])</f>
        <v>3380</v>
      </c>
      <c r="T2637" s="43">
        <f>表格1[[#This Row],[Unit Price]]/表格1[[#This Row],[SRP]]</f>
        <v>0.67455621301775148</v>
      </c>
      <c r="U2637" s="86" t="str">
        <f>_xlfn.XLOOKUP(表格1[[#This Row],[Model]],表格3[Model-Input-Ref2],表格3[TOSHIBA/HIGHEST])</f>
        <v>Shops Highest Price</v>
      </c>
      <c r="W2637" s="86" t="str">
        <f>_xlfn.CONCAT(表格1[[#This Row],[欄4]],表格1[[#This Row],[inv no]])</f>
        <v>1327286</v>
      </c>
    </row>
    <row r="2638" spans="1:23" hidden="1">
      <c r="A2638" s="81">
        <v>2636</v>
      </c>
      <c r="B2638" s="86" t="s">
        <v>1477</v>
      </c>
      <c r="C2638" s="86" t="s">
        <v>1860</v>
      </c>
      <c r="D2638" s="82" t="str">
        <f ca="1">OFFSET(Roster!$A$3,MATCH(表格1[[#This Row],[Location]]&amp;" "&amp;表格1[[#This Row],[Shop]]&amp;"*",Roster!$A$4:$A$72,0),DAY(表格1[[#This Row],[date]]),1,1)</f>
        <v>Kiko</v>
      </c>
      <c r="E2638" s="86">
        <f>MONTH(表格1[[#This Row],[date]])</f>
        <v>3</v>
      </c>
      <c r="F2638" s="90">
        <v>46109</v>
      </c>
      <c r="G2638" s="86" t="str">
        <f>VLOOKUP("*"&amp;表格1[[#This Row],[Input]]&amp;"*",'Ref-List'!$B:$D,2,)</f>
        <v>RAD-D300H</v>
      </c>
      <c r="H2638" s="86" t="str">
        <f>_xlfn.XLOOKUP(表格1[[#This Row],[Model]],表格3[Model-Input-Ref2],表格3[Product Line])</f>
        <v>壓縮式抽濕機 (30公升)</v>
      </c>
      <c r="I2638" s="86" t="str">
        <f>_xlfn.XLOOKUP(表格1[[#This Row],[Model]],表格3[Model-Input-Ref2],表格3[大小電])</f>
        <v>細電</v>
      </c>
      <c r="J2638" s="86" t="str">
        <f>_xlfn.XLOOKUP(表格1[[#This Row],[Model]],表格3[Model-Input-Ref2],表格3[Code])</f>
        <v>RAC</v>
      </c>
      <c r="K2638" s="89" t="s">
        <v>1252</v>
      </c>
      <c r="L2638" s="86">
        <v>1</v>
      </c>
      <c r="M2638" s="87">
        <v>2280</v>
      </c>
      <c r="N2638" s="87">
        <f>IFERROR(表格1[[#This Row],[QTY]]*表格1[[#This Row],[Unit Price]],"-")</f>
        <v>2280</v>
      </c>
      <c r="O2638" s="86">
        <v>1327343</v>
      </c>
      <c r="R2638" s="86" t="str">
        <f>_xlfn.CONCAT(表格1[[#This Row],[Model]]," ",表格1[[#This Row],[inv no]])</f>
        <v>RAD-D300H 1327343</v>
      </c>
      <c r="S2638" s="86">
        <f>_xlfn.XLOOKUP(表格1[[#This Row],[Model]],表格3[Model-Input-Ref2],表格3[SRP PRICE])</f>
        <v>3380</v>
      </c>
      <c r="T2638" s="43">
        <f>表格1[[#This Row],[Unit Price]]/表格1[[#This Row],[SRP]]</f>
        <v>0.67455621301775148</v>
      </c>
      <c r="U2638" s="86" t="str">
        <f>_xlfn.XLOOKUP(表格1[[#This Row],[Model]],表格3[Model-Input-Ref2],表格3[TOSHIBA/HIGHEST])</f>
        <v>Shops Highest Price</v>
      </c>
      <c r="W2638" s="86" t="str">
        <f>_xlfn.CONCAT(表格1[[#This Row],[欄4]],表格1[[#This Row],[inv no]])</f>
        <v>1327343</v>
      </c>
    </row>
    <row r="2639" spans="1:23" hidden="1">
      <c r="A2639" s="81">
        <v>2637</v>
      </c>
      <c r="B2639" s="86" t="s">
        <v>1477</v>
      </c>
      <c r="C2639" s="86" t="s">
        <v>1860</v>
      </c>
      <c r="D2639" s="82" t="str">
        <f ca="1">OFFSET(Roster!$A$3,MATCH(表格1[[#This Row],[Location]]&amp;" "&amp;表格1[[#This Row],[Shop]]&amp;"*",Roster!$A$4:$A$72,0),DAY(表格1[[#This Row],[date]]),1,1)</f>
        <v>Kiko</v>
      </c>
      <c r="E2639" s="86">
        <f>MONTH(表格1[[#This Row],[date]])</f>
        <v>3</v>
      </c>
      <c r="F2639" s="90">
        <v>46109</v>
      </c>
      <c r="G2639" s="86" t="str">
        <f>VLOOKUP("*"&amp;表格1[[#This Row],[Input]]&amp;"*",'Ref-List'!$B:$D,2,)</f>
        <v>RAD-D300H</v>
      </c>
      <c r="H2639" s="86" t="str">
        <f>_xlfn.XLOOKUP(表格1[[#This Row],[Model]],表格3[Model-Input-Ref2],表格3[Product Line])</f>
        <v>壓縮式抽濕機 (30公升)</v>
      </c>
      <c r="I2639" s="86" t="str">
        <f>_xlfn.XLOOKUP(表格1[[#This Row],[Model]],表格3[Model-Input-Ref2],表格3[大小電])</f>
        <v>細電</v>
      </c>
      <c r="J2639" s="86" t="str">
        <f>_xlfn.XLOOKUP(表格1[[#This Row],[Model]],表格3[Model-Input-Ref2],表格3[Code])</f>
        <v>RAC</v>
      </c>
      <c r="K2639" s="89" t="s">
        <v>1252</v>
      </c>
      <c r="L2639" s="86">
        <v>1</v>
      </c>
      <c r="M2639" s="87">
        <v>2280</v>
      </c>
      <c r="N2639" s="87">
        <f>IFERROR(表格1[[#This Row],[QTY]]*表格1[[#This Row],[Unit Price]],"-")</f>
        <v>2280</v>
      </c>
      <c r="O2639" s="86">
        <v>1723110</v>
      </c>
      <c r="R2639" s="86" t="str">
        <f>_xlfn.CONCAT(表格1[[#This Row],[Model]]," ",表格1[[#This Row],[inv no]])</f>
        <v>RAD-D300H 1723110</v>
      </c>
      <c r="S2639" s="86">
        <f>_xlfn.XLOOKUP(表格1[[#This Row],[Model]],表格3[Model-Input-Ref2],表格3[SRP PRICE])</f>
        <v>3380</v>
      </c>
      <c r="T2639" s="43">
        <f>表格1[[#This Row],[Unit Price]]/表格1[[#This Row],[SRP]]</f>
        <v>0.67455621301775148</v>
      </c>
      <c r="U2639" s="86" t="str">
        <f>_xlfn.XLOOKUP(表格1[[#This Row],[Model]],表格3[Model-Input-Ref2],表格3[TOSHIBA/HIGHEST])</f>
        <v>Shops Highest Price</v>
      </c>
      <c r="W2639" s="86" t="str">
        <f>_xlfn.CONCAT(表格1[[#This Row],[欄4]],表格1[[#This Row],[inv no]])</f>
        <v>1723110</v>
      </c>
    </row>
    <row r="2640" spans="1:23" hidden="1">
      <c r="A2640" s="81">
        <v>2638</v>
      </c>
      <c r="B2640" s="86" t="s">
        <v>1477</v>
      </c>
      <c r="C2640" s="86" t="s">
        <v>1860</v>
      </c>
      <c r="D2640" s="82" t="str">
        <f ca="1">OFFSET(Roster!$A$3,MATCH(表格1[[#This Row],[Location]]&amp;" "&amp;表格1[[#This Row],[Shop]]&amp;"*",Roster!$A$4:$A$72,0),DAY(表格1[[#This Row],[date]]),1,1)</f>
        <v>Kiko</v>
      </c>
      <c r="E2640" s="86">
        <f>MONTH(表格1[[#This Row],[date]])</f>
        <v>3</v>
      </c>
      <c r="F2640" s="90">
        <v>46109</v>
      </c>
      <c r="G2640" s="86" t="str">
        <f>VLOOKUP("*"&amp;表格1[[#This Row],[Input]]&amp;"*",'Ref-List'!$B:$D,2,)</f>
        <v>MWP-MG20P(BK)</v>
      </c>
      <c r="H2640" s="86" t="str">
        <f>_xlfn.XLOOKUP(表格1[[#This Row],[Model]],表格3[Model-Input-Ref2],表格3[Product Line])</f>
        <v>旋鈕式燒烤微波爐20L黑色</v>
      </c>
      <c r="I2640" s="86" t="str">
        <f>_xlfn.XLOOKUP(表格1[[#This Row],[Model]],表格3[Model-Input-Ref2],表格3[大小電])</f>
        <v>細電</v>
      </c>
      <c r="J2640" s="86" t="str">
        <f>_xlfn.XLOOKUP(表格1[[#This Row],[Model]],表格3[Model-Input-Ref2],表格3[Code])</f>
        <v>SDA</v>
      </c>
      <c r="K2640" s="89" t="s">
        <v>1485</v>
      </c>
      <c r="L2640" s="86">
        <v>1</v>
      </c>
      <c r="M2640" s="87">
        <v>698</v>
      </c>
      <c r="N2640" s="87">
        <f>IFERROR(表格1[[#This Row],[QTY]]*表格1[[#This Row],[Unit Price]],"-")</f>
        <v>698</v>
      </c>
      <c r="O2640" s="86">
        <v>1327241</v>
      </c>
      <c r="R2640" s="86" t="str">
        <f>_xlfn.CONCAT(表格1[[#This Row],[Model]]," ",表格1[[#This Row],[inv no]])</f>
        <v>MWP-MG20P(BK) 1327241</v>
      </c>
      <c r="S2640" s="86">
        <f>_xlfn.XLOOKUP(表格1[[#This Row],[Model]],表格3[Model-Input-Ref2],表格3[SRP PRICE])</f>
        <v>918</v>
      </c>
      <c r="T2640" s="43">
        <f>表格1[[#This Row],[Unit Price]]/表格1[[#This Row],[SRP]]</f>
        <v>0.76034858387799564</v>
      </c>
      <c r="U2640" s="86" t="str">
        <f>_xlfn.XLOOKUP(表格1[[#This Row],[Model]],表格3[Model-Input-Ref2],表格3[TOSHIBA/HIGHEST])</f>
        <v>Toshiba SRP</v>
      </c>
      <c r="W2640" s="86" t="str">
        <f>_xlfn.CONCAT(表格1[[#This Row],[欄4]],表格1[[#This Row],[inv no]])</f>
        <v>1327241</v>
      </c>
    </row>
    <row r="2641" spans="1:23" hidden="1">
      <c r="A2641" s="81">
        <v>2639</v>
      </c>
      <c r="B2641" s="86" t="s">
        <v>1477</v>
      </c>
      <c r="C2641" s="86" t="s">
        <v>1860</v>
      </c>
      <c r="D2641" s="82" t="str">
        <f ca="1">OFFSET(Roster!$A$3,MATCH(表格1[[#This Row],[Location]]&amp;" "&amp;表格1[[#This Row],[Shop]]&amp;"*",Roster!$A$4:$A$72,0),DAY(表格1[[#This Row],[date]]),1,1)</f>
        <v>Kiko</v>
      </c>
      <c r="E2641" s="86">
        <f>MONTH(表格1[[#This Row],[date]])</f>
        <v>3</v>
      </c>
      <c r="F2641" s="90">
        <v>46109</v>
      </c>
      <c r="G2641" s="86" t="str">
        <f>VLOOKUP("*"&amp;表格1[[#This Row],[Input]]&amp;"*",'Ref-List'!$B:$D,2,)</f>
        <v>RC-10DRNH</v>
      </c>
      <c r="H2641" s="86" t="str">
        <f>_xlfn.XLOOKUP(表格1[[#This Row],[Model]],表格3[Model-Input-Ref2],表格3[Product Line])</f>
        <v>多功能備長炭本厚釜電飯煲1L</v>
      </c>
      <c r="I2641" s="86" t="str">
        <f>_xlfn.XLOOKUP(表格1[[#This Row],[Model]],表格3[Model-Input-Ref2],表格3[大小電])</f>
        <v>細電</v>
      </c>
      <c r="J2641" s="86" t="str">
        <f>_xlfn.XLOOKUP(表格1[[#This Row],[Model]],表格3[Model-Input-Ref2],表格3[Code])</f>
        <v>SDA</v>
      </c>
      <c r="K2641" s="89" t="s">
        <v>1376</v>
      </c>
      <c r="L2641" s="86">
        <v>1</v>
      </c>
      <c r="M2641" s="87">
        <v>549</v>
      </c>
      <c r="N2641" s="87">
        <f>IFERROR(表格1[[#This Row],[QTY]]*表格1[[#This Row],[Unit Price]],"-")</f>
        <v>549</v>
      </c>
      <c r="O2641" s="86">
        <v>1723117</v>
      </c>
      <c r="R2641" s="86" t="str">
        <f>_xlfn.CONCAT(表格1[[#This Row],[Model]]," ",表格1[[#This Row],[inv no]])</f>
        <v>RC-10DRNH 1723117</v>
      </c>
      <c r="S2641" s="86">
        <f>_xlfn.XLOOKUP(表格1[[#This Row],[Model]],表格3[Model-Input-Ref2],表格3[SRP PRICE])</f>
        <v>798</v>
      </c>
      <c r="T2641" s="43">
        <f>表格1[[#This Row],[Unit Price]]/表格1[[#This Row],[SRP]]</f>
        <v>0.68796992481203012</v>
      </c>
      <c r="U2641" s="86" t="str">
        <f>_xlfn.XLOOKUP(表格1[[#This Row],[Model]],表格3[Model-Input-Ref2],表格3[TOSHIBA/HIGHEST])</f>
        <v>Toshiba SRP</v>
      </c>
      <c r="W2641" s="86" t="str">
        <f>_xlfn.CONCAT(表格1[[#This Row],[欄4]],表格1[[#This Row],[inv no]])</f>
        <v>1723117</v>
      </c>
    </row>
    <row r="2642" spans="1:23" hidden="1">
      <c r="A2642" s="81">
        <v>2640</v>
      </c>
      <c r="B2642" s="86" t="s">
        <v>1477</v>
      </c>
      <c r="C2642" s="86" t="s">
        <v>1860</v>
      </c>
      <c r="D2642" s="82" t="str">
        <f ca="1">OFFSET(Roster!$A$3,MATCH(表格1[[#This Row],[Location]]&amp;" "&amp;表格1[[#This Row],[Shop]]&amp;"*",Roster!$A$4:$A$72,0),DAY(表格1[[#This Row],[date]]),1,1)</f>
        <v>Kiko</v>
      </c>
      <c r="E2642" s="86">
        <f>MONTH(表格1[[#This Row],[date]])</f>
        <v>3</v>
      </c>
      <c r="F2642" s="90">
        <v>46110</v>
      </c>
      <c r="G2642" s="86" t="str">
        <f>VLOOKUP("*"&amp;表格1[[#This Row],[Input]]&amp;"*",'Ref-List'!$B:$D,2,)</f>
        <v>RAD-D300H</v>
      </c>
      <c r="H2642" s="86" t="str">
        <f>_xlfn.XLOOKUP(表格1[[#This Row],[Model]],表格3[Model-Input-Ref2],表格3[Product Line])</f>
        <v>壓縮式抽濕機 (30公升)</v>
      </c>
      <c r="I2642" s="86" t="str">
        <f>_xlfn.XLOOKUP(表格1[[#This Row],[Model]],表格3[Model-Input-Ref2],表格3[大小電])</f>
        <v>細電</v>
      </c>
      <c r="J2642" s="86" t="str">
        <f>_xlfn.XLOOKUP(表格1[[#This Row],[Model]],表格3[Model-Input-Ref2],表格3[Code])</f>
        <v>RAC</v>
      </c>
      <c r="K2642" s="89" t="s">
        <v>1252</v>
      </c>
      <c r="L2642" s="86">
        <v>1</v>
      </c>
      <c r="M2642" s="87">
        <v>2280</v>
      </c>
      <c r="N2642" s="87">
        <f>IFERROR(表格1[[#This Row],[QTY]]*表格1[[#This Row],[Unit Price]],"-")</f>
        <v>2280</v>
      </c>
      <c r="O2642" s="86">
        <v>1327363</v>
      </c>
      <c r="R2642" s="86" t="str">
        <f>_xlfn.CONCAT(表格1[[#This Row],[Model]]," ",表格1[[#This Row],[inv no]])</f>
        <v>RAD-D300H 1327363</v>
      </c>
      <c r="S2642" s="86">
        <f>_xlfn.XLOOKUP(表格1[[#This Row],[Model]],表格3[Model-Input-Ref2],表格3[SRP PRICE])</f>
        <v>3380</v>
      </c>
      <c r="T2642" s="43">
        <f>表格1[[#This Row],[Unit Price]]/表格1[[#This Row],[SRP]]</f>
        <v>0.67455621301775148</v>
      </c>
      <c r="U2642" s="86" t="str">
        <f>_xlfn.XLOOKUP(表格1[[#This Row],[Model]],表格3[Model-Input-Ref2],表格3[TOSHIBA/HIGHEST])</f>
        <v>Shops Highest Price</v>
      </c>
      <c r="W2642" s="86" t="str">
        <f>_xlfn.CONCAT(表格1[[#This Row],[欄4]],表格1[[#This Row],[inv no]])</f>
        <v>1327363</v>
      </c>
    </row>
    <row r="2643" spans="1:23" hidden="1">
      <c r="A2643" s="81">
        <v>2641</v>
      </c>
      <c r="B2643" s="86" t="s">
        <v>1477</v>
      </c>
      <c r="C2643" s="86" t="s">
        <v>1860</v>
      </c>
      <c r="D2643" s="82" t="str">
        <f ca="1">OFFSET(Roster!$A$3,MATCH(表格1[[#This Row],[Location]]&amp;" "&amp;表格1[[#This Row],[Shop]]&amp;"*",Roster!$A$4:$A$72,0),DAY(表格1[[#This Row],[date]]),1,1)</f>
        <v>Kiko</v>
      </c>
      <c r="E2643" s="86">
        <f>MONTH(表格1[[#This Row],[date]])</f>
        <v>3</v>
      </c>
      <c r="F2643" s="90">
        <v>46110</v>
      </c>
      <c r="G2643" s="86" t="str">
        <f>VLOOKUP("*"&amp;表格1[[#This Row],[Input]]&amp;"*",'Ref-List'!$B:$D,2,)</f>
        <v>KT-17DRTHK(H)</v>
      </c>
      <c r="H2643" s="86" t="str">
        <f>_xlfn.XLOOKUP(表格1[[#This Row],[Model]],表格3[Model-Input-Ref2],表格3[Product Line])</f>
        <v>無線雙層電熱水壺(1.7公升)</v>
      </c>
      <c r="I2643" s="86" t="str">
        <f>_xlfn.XLOOKUP(表格1[[#This Row],[Model]],表格3[Model-Input-Ref2],表格3[大小電])</f>
        <v>細電</v>
      </c>
      <c r="J2643" s="86" t="str">
        <f>_xlfn.XLOOKUP(表格1[[#This Row],[Model]],表格3[Model-Input-Ref2],表格3[Code])</f>
        <v>SDA</v>
      </c>
      <c r="K2643" s="89" t="s">
        <v>1271</v>
      </c>
      <c r="L2643" s="86">
        <v>1</v>
      </c>
      <c r="M2643" s="87">
        <v>388</v>
      </c>
      <c r="N2643" s="87">
        <f>IFERROR(表格1[[#This Row],[QTY]]*表格1[[#This Row],[Unit Price]],"-")</f>
        <v>388</v>
      </c>
      <c r="O2643" s="86">
        <v>1327399</v>
      </c>
      <c r="R2643" s="86" t="str">
        <f>_xlfn.CONCAT(表格1[[#This Row],[Model]]," ",表格1[[#This Row],[inv no]])</f>
        <v>KT-17DRTHK(H) 1327399</v>
      </c>
      <c r="S2643" s="86">
        <f>_xlfn.XLOOKUP(表格1[[#This Row],[Model]],表格3[Model-Input-Ref2],表格3[SRP PRICE])</f>
        <v>498</v>
      </c>
      <c r="T2643" s="43">
        <f>表格1[[#This Row],[Unit Price]]/表格1[[#This Row],[SRP]]</f>
        <v>0.77911646586345384</v>
      </c>
      <c r="U2643" s="86" t="str">
        <f>_xlfn.XLOOKUP(表格1[[#This Row],[Model]],表格3[Model-Input-Ref2],表格3[TOSHIBA/HIGHEST])</f>
        <v>Toshiba SRP</v>
      </c>
      <c r="W2643" s="86" t="str">
        <f>_xlfn.CONCAT(表格1[[#This Row],[欄4]],表格1[[#This Row],[inv no]])</f>
        <v>1327399</v>
      </c>
    </row>
    <row r="2644" spans="1:23" hidden="1">
      <c r="A2644" s="81">
        <v>2642</v>
      </c>
      <c r="B2644" s="86" t="s">
        <v>1477</v>
      </c>
      <c r="C2644" s="86" t="s">
        <v>1860</v>
      </c>
      <c r="D2644" s="82" t="str">
        <f ca="1">OFFSET(Roster!$A$3,MATCH(表格1[[#This Row],[Location]]&amp;" "&amp;表格1[[#This Row],[Shop]]&amp;"*",Roster!$A$4:$A$72,0),DAY(表格1[[#This Row],[date]]),1,1)</f>
        <v>Kiko</v>
      </c>
      <c r="E2644" s="86">
        <f>MONTH(表格1[[#This Row],[date]])</f>
        <v>3</v>
      </c>
      <c r="F2644" s="90">
        <v>46110</v>
      </c>
      <c r="G2644" s="86" t="str">
        <f>VLOOKUP("*"&amp;表格1[[#This Row],[Input]]&amp;"*",'Ref-List'!$B:$D,2,)</f>
        <v>TWD-T21BU95UWH(WW)</v>
      </c>
      <c r="H2644" s="86" t="str">
        <f>_xlfn.XLOOKUP(表格1[[#This Row],[Model]],表格3[Model-Input-Ref2],表格3[Product Line])</f>
        <v>470MM超薄身前置式變頻洗衣乾衣機 (洗8.5公斤 乾6公斤)</v>
      </c>
      <c r="I2644" s="86" t="str">
        <f>_xlfn.XLOOKUP(表格1[[#This Row],[Model]],表格3[Model-Input-Ref2],表格3[大小電])</f>
        <v>大電</v>
      </c>
      <c r="J2644" s="86" t="str">
        <f>_xlfn.XLOOKUP(表格1[[#This Row],[Model]],表格3[Model-Input-Ref2],表格3[Code])</f>
        <v>LAD</v>
      </c>
      <c r="K2644" s="89" t="s">
        <v>1461</v>
      </c>
      <c r="L2644" s="86">
        <v>1</v>
      </c>
      <c r="M2644" s="87">
        <v>3850</v>
      </c>
      <c r="N2644" s="87">
        <f>IFERROR(表格1[[#This Row],[QTY]]*表格1[[#This Row],[Unit Price]],"-")</f>
        <v>3850</v>
      </c>
      <c r="O2644" s="86">
        <v>1723301</v>
      </c>
      <c r="R2644" s="86" t="str">
        <f>_xlfn.CONCAT(表格1[[#This Row],[Model]]," ",表格1[[#This Row],[inv no]])</f>
        <v>TWD-T21BU95UWH(WW) 1723301</v>
      </c>
      <c r="S2644" s="86">
        <f>_xlfn.XLOOKUP(表格1[[#This Row],[Model]],表格3[Model-Input-Ref2],表格3[SRP PRICE])</f>
        <v>7280</v>
      </c>
      <c r="T2644" s="43">
        <f>表格1[[#This Row],[Unit Price]]/表格1[[#This Row],[SRP]]</f>
        <v>0.52884615384615385</v>
      </c>
      <c r="U2644" s="86" t="str">
        <f>_xlfn.XLOOKUP(表格1[[#This Row],[Model]],表格3[Model-Input-Ref2],表格3[TOSHIBA/HIGHEST])</f>
        <v>Toshiba SRP</v>
      </c>
      <c r="W2644" s="86" t="str">
        <f>_xlfn.CONCAT(表格1[[#This Row],[欄4]],表格1[[#This Row],[inv no]])</f>
        <v>1723301</v>
      </c>
    </row>
    <row r="2645" spans="1:23" hidden="1">
      <c r="A2645" s="81">
        <v>2643</v>
      </c>
      <c r="B2645" s="86" t="s">
        <v>1477</v>
      </c>
      <c r="C2645" s="86" t="s">
        <v>1860</v>
      </c>
      <c r="D2645" s="82" t="str">
        <f ca="1">OFFSET(Roster!$A$3,MATCH(表格1[[#This Row],[Location]]&amp;" "&amp;表格1[[#This Row],[Shop]]&amp;"*",Roster!$A$4:$A$72,0),DAY(表格1[[#This Row],[date]]),1,1)</f>
        <v>Kiko</v>
      </c>
      <c r="E2645" s="86">
        <f>MONTH(表格1[[#This Row],[date]])</f>
        <v>3</v>
      </c>
      <c r="F2645" s="90">
        <v>46110</v>
      </c>
      <c r="G2645" s="86" t="str">
        <f>VLOOKUP("*"&amp;表格1[[#This Row],[Input]]&amp;"*",'Ref-List'!$B:$D,2,)</f>
        <v>RAC-18G3CVRGR-HK</v>
      </c>
      <c r="H2645" s="86" t="str">
        <f>_xlfn.XLOOKUP(表格1[[#This Row],[Model]],表格3[Model-Input-Ref2],表格3[Product Line])</f>
        <v>2 匹 R32變頻窗口式冷氣機 (remote)</v>
      </c>
      <c r="I2645" s="86" t="str">
        <f>_xlfn.XLOOKUP(表格1[[#This Row],[Model]],表格3[Model-Input-Ref2],表格3[大小電])</f>
        <v>大電</v>
      </c>
      <c r="J2645" s="86" t="str">
        <f>_xlfn.XLOOKUP(表格1[[#This Row],[Model]],表格3[Model-Input-Ref2],表格3[Code])</f>
        <v>AC</v>
      </c>
      <c r="K2645" s="89" t="s">
        <v>1471</v>
      </c>
      <c r="L2645" s="86">
        <v>1</v>
      </c>
      <c r="M2645" s="87">
        <v>6980</v>
      </c>
      <c r="N2645" s="87">
        <f>IFERROR(表格1[[#This Row],[QTY]]*表格1[[#This Row],[Unit Price]],"-")</f>
        <v>6980</v>
      </c>
      <c r="O2645" s="86">
        <v>1723292</v>
      </c>
      <c r="R2645" s="86" t="str">
        <f>_xlfn.CONCAT(表格1[[#This Row],[Model]]," ",表格1[[#This Row],[inv no]])</f>
        <v>RAC-18G3CVRGR-HK 1723292</v>
      </c>
      <c r="S2645" s="86">
        <f>_xlfn.XLOOKUP(表格1[[#This Row],[Model]],表格3[Model-Input-Ref2],表格3[SRP PRICE])</f>
        <v>10380</v>
      </c>
      <c r="T2645" s="43">
        <f>表格1[[#This Row],[Unit Price]]/表格1[[#This Row],[SRP]]</f>
        <v>0.67244701348747593</v>
      </c>
      <c r="U2645" s="86" t="str">
        <f>_xlfn.XLOOKUP(表格1[[#This Row],[Model]],表格3[Model-Input-Ref2],表格3[TOSHIBA/HIGHEST])</f>
        <v>Toshiba SRP</v>
      </c>
      <c r="W2645" s="86" t="str">
        <f>_xlfn.CONCAT(表格1[[#This Row],[欄4]],表格1[[#This Row],[inv no]])</f>
        <v>1723292</v>
      </c>
    </row>
    <row r="2646" spans="1:23" hidden="1">
      <c r="A2646" s="81">
        <v>2644</v>
      </c>
      <c r="B2646" s="86" t="s">
        <v>1477</v>
      </c>
      <c r="C2646" s="86" t="s">
        <v>1860</v>
      </c>
      <c r="D2646" s="82" t="str">
        <f ca="1">OFFSET(Roster!$A$3,MATCH(表格1[[#This Row],[Location]]&amp;" "&amp;表格1[[#This Row],[Shop]]&amp;"*",Roster!$A$4:$A$72,0),DAY(表格1[[#This Row],[date]]),1,1)</f>
        <v>Kiko</v>
      </c>
      <c r="E2646" s="86">
        <f>MONTH(表格1[[#This Row],[date]])</f>
        <v>3</v>
      </c>
      <c r="F2646" s="90">
        <v>46110</v>
      </c>
      <c r="G2646" s="86" t="str">
        <f>VLOOKUP("*"&amp;表格1[[#This Row],[Input]]&amp;"*",'Ref-List'!$B:$D,2,)</f>
        <v>RAD-D300H</v>
      </c>
      <c r="H2646" s="86" t="str">
        <f>_xlfn.XLOOKUP(表格1[[#This Row],[Model]],表格3[Model-Input-Ref2],表格3[Product Line])</f>
        <v>壓縮式抽濕機 (30公升)</v>
      </c>
      <c r="I2646" s="86" t="str">
        <f>_xlfn.XLOOKUP(表格1[[#This Row],[Model]],表格3[Model-Input-Ref2],表格3[大小電])</f>
        <v>細電</v>
      </c>
      <c r="J2646" s="86" t="str">
        <f>_xlfn.XLOOKUP(表格1[[#This Row],[Model]],表格3[Model-Input-Ref2],表格3[Code])</f>
        <v>RAC</v>
      </c>
      <c r="K2646" s="89" t="s">
        <v>1252</v>
      </c>
      <c r="L2646" s="86">
        <v>1</v>
      </c>
      <c r="M2646" s="87">
        <v>2280</v>
      </c>
      <c r="N2646" s="87">
        <f>IFERROR(表格1[[#This Row],[QTY]]*表格1[[#This Row],[Unit Price]],"-")</f>
        <v>2280</v>
      </c>
      <c r="O2646" s="86">
        <v>1723285</v>
      </c>
      <c r="R2646" s="86" t="str">
        <f>_xlfn.CONCAT(表格1[[#This Row],[Model]]," ",表格1[[#This Row],[inv no]])</f>
        <v>RAD-D300H 1723285</v>
      </c>
      <c r="S2646" s="86">
        <f>_xlfn.XLOOKUP(表格1[[#This Row],[Model]],表格3[Model-Input-Ref2],表格3[SRP PRICE])</f>
        <v>3380</v>
      </c>
      <c r="T2646" s="43">
        <f>表格1[[#This Row],[Unit Price]]/表格1[[#This Row],[SRP]]</f>
        <v>0.67455621301775148</v>
      </c>
      <c r="U2646" s="86" t="str">
        <f>_xlfn.XLOOKUP(表格1[[#This Row],[Model]],表格3[Model-Input-Ref2],表格3[TOSHIBA/HIGHEST])</f>
        <v>Shops Highest Price</v>
      </c>
      <c r="W2646" s="86" t="str">
        <f>_xlfn.CONCAT(表格1[[#This Row],[欄4]],表格1[[#This Row],[inv no]])</f>
        <v>1723285</v>
      </c>
    </row>
    <row r="2647" spans="1:23" hidden="1">
      <c r="A2647" s="81">
        <v>2645</v>
      </c>
      <c r="B2647" s="86" t="s">
        <v>1477</v>
      </c>
      <c r="C2647" s="86" t="s">
        <v>1860</v>
      </c>
      <c r="D2647" s="82" t="str">
        <f ca="1">OFFSET(Roster!$A$3,MATCH(表格1[[#This Row],[Location]]&amp;" "&amp;表格1[[#This Row],[Shop]]&amp;"*",Roster!$A$4:$A$72,0),DAY(表格1[[#This Row],[date]]),1,1)</f>
        <v>Kiko</v>
      </c>
      <c r="E2647" s="86">
        <f>MONTH(表格1[[#This Row],[date]])</f>
        <v>3</v>
      </c>
      <c r="F2647" s="90">
        <v>46110</v>
      </c>
      <c r="G2647" s="86" t="str">
        <f>VLOOKUP("*"&amp;表格1[[#This Row],[Input]]&amp;"*",'Ref-List'!$B:$D,2,)</f>
        <v>RAD-D300H</v>
      </c>
      <c r="H2647" s="86" t="str">
        <f>_xlfn.XLOOKUP(表格1[[#This Row],[Model]],表格3[Model-Input-Ref2],表格3[Product Line])</f>
        <v>壓縮式抽濕機 (30公升)</v>
      </c>
      <c r="I2647" s="86" t="str">
        <f>_xlfn.XLOOKUP(表格1[[#This Row],[Model]],表格3[Model-Input-Ref2],表格3[大小電])</f>
        <v>細電</v>
      </c>
      <c r="J2647" s="86" t="str">
        <f>_xlfn.XLOOKUP(表格1[[#This Row],[Model]],表格3[Model-Input-Ref2],表格3[Code])</f>
        <v>RAC</v>
      </c>
      <c r="K2647" s="89" t="s">
        <v>1252</v>
      </c>
      <c r="L2647" s="86">
        <v>1</v>
      </c>
      <c r="M2647" s="87">
        <v>2280</v>
      </c>
      <c r="N2647" s="87">
        <f>IFERROR(表格1[[#This Row],[QTY]]*表格1[[#This Row],[Unit Price]],"-")</f>
        <v>2280</v>
      </c>
      <c r="O2647" s="86">
        <v>1327475</v>
      </c>
      <c r="R2647" s="86" t="str">
        <f>_xlfn.CONCAT(表格1[[#This Row],[Model]]," ",表格1[[#This Row],[inv no]])</f>
        <v>RAD-D300H 1327475</v>
      </c>
      <c r="S2647" s="86">
        <f>_xlfn.XLOOKUP(表格1[[#This Row],[Model]],表格3[Model-Input-Ref2],表格3[SRP PRICE])</f>
        <v>3380</v>
      </c>
      <c r="T2647" s="43">
        <f>表格1[[#This Row],[Unit Price]]/表格1[[#This Row],[SRP]]</f>
        <v>0.67455621301775148</v>
      </c>
      <c r="U2647" s="86" t="str">
        <f>_xlfn.XLOOKUP(表格1[[#This Row],[Model]],表格3[Model-Input-Ref2],表格3[TOSHIBA/HIGHEST])</f>
        <v>Shops Highest Price</v>
      </c>
      <c r="W2647" s="86" t="str">
        <f>_xlfn.CONCAT(表格1[[#This Row],[欄4]],表格1[[#This Row],[inv no]])</f>
        <v>1327475</v>
      </c>
    </row>
    <row r="2648" spans="1:23" hidden="1">
      <c r="A2648" s="81">
        <v>2646</v>
      </c>
      <c r="B2648" s="86" t="s">
        <v>1477</v>
      </c>
      <c r="C2648" s="86" t="s">
        <v>1860</v>
      </c>
      <c r="D2648" s="82" t="str">
        <f ca="1">OFFSET(Roster!$A$3,MATCH(表格1[[#This Row],[Location]]&amp;" "&amp;表格1[[#This Row],[Shop]]&amp;"*",Roster!$A$4:$A$72,0),DAY(表格1[[#This Row],[date]]),1,1)</f>
        <v>Kiko</v>
      </c>
      <c r="E2648" s="86">
        <f>MONTH(表格1[[#This Row],[date]])</f>
        <v>3</v>
      </c>
      <c r="F2648" s="90">
        <v>46110</v>
      </c>
      <c r="G2648" s="86" t="str">
        <f>VLOOKUP("*"&amp;表格1[[#This Row],[Input]]&amp;"*",'Ref-List'!$B:$D,2,)</f>
        <v>RAD-D300H</v>
      </c>
      <c r="H2648" s="86" t="str">
        <f>_xlfn.XLOOKUP(表格1[[#This Row],[Model]],表格3[Model-Input-Ref2],表格3[Product Line])</f>
        <v>壓縮式抽濕機 (30公升)</v>
      </c>
      <c r="I2648" s="86" t="str">
        <f>_xlfn.XLOOKUP(表格1[[#This Row],[Model]],表格3[Model-Input-Ref2],表格3[大小電])</f>
        <v>細電</v>
      </c>
      <c r="J2648" s="86" t="str">
        <f>_xlfn.XLOOKUP(表格1[[#This Row],[Model]],表格3[Model-Input-Ref2],表格3[Code])</f>
        <v>RAC</v>
      </c>
      <c r="K2648" s="89" t="s">
        <v>1252</v>
      </c>
      <c r="L2648" s="86">
        <v>1</v>
      </c>
      <c r="M2648" s="87">
        <v>2280</v>
      </c>
      <c r="N2648" s="87">
        <f>IFERROR(表格1[[#This Row],[QTY]]*表格1[[#This Row],[Unit Price]],"-")</f>
        <v>2280</v>
      </c>
      <c r="O2648" s="86">
        <v>1327487</v>
      </c>
      <c r="R2648" s="86" t="str">
        <f>_xlfn.CONCAT(表格1[[#This Row],[Model]]," ",表格1[[#This Row],[inv no]])</f>
        <v>RAD-D300H 1327487</v>
      </c>
      <c r="S2648" s="86">
        <f>_xlfn.XLOOKUP(表格1[[#This Row],[Model]],表格3[Model-Input-Ref2],表格3[SRP PRICE])</f>
        <v>3380</v>
      </c>
      <c r="T2648" s="43">
        <f>表格1[[#This Row],[Unit Price]]/表格1[[#This Row],[SRP]]</f>
        <v>0.67455621301775148</v>
      </c>
      <c r="U2648" s="86" t="str">
        <f>_xlfn.XLOOKUP(表格1[[#This Row],[Model]],表格3[Model-Input-Ref2],表格3[TOSHIBA/HIGHEST])</f>
        <v>Shops Highest Price</v>
      </c>
      <c r="W2648" s="86" t="str">
        <f>_xlfn.CONCAT(表格1[[#This Row],[欄4]],表格1[[#This Row],[inv no]])</f>
        <v>1327487</v>
      </c>
    </row>
    <row r="2649" spans="1:23" hidden="1">
      <c r="A2649" s="81">
        <v>2647</v>
      </c>
      <c r="B2649" s="86" t="s">
        <v>1477</v>
      </c>
      <c r="C2649" s="86" t="s">
        <v>1860</v>
      </c>
      <c r="D2649" s="82" t="str">
        <f ca="1">OFFSET(Roster!$A$3,MATCH(表格1[[#This Row],[Location]]&amp;" "&amp;表格1[[#This Row],[Shop]]&amp;"*",Roster!$A$4:$A$72,0),DAY(表格1[[#This Row],[date]]),1,1)</f>
        <v>Kiko</v>
      </c>
      <c r="E2649" s="86">
        <f>MONTH(表格1[[#This Row],[date]])</f>
        <v>3</v>
      </c>
      <c r="F2649" s="90">
        <v>46110</v>
      </c>
      <c r="G2649" s="86" t="str">
        <f>VLOOKUP("*"&amp;表格1[[#This Row],[Input]]&amp;"*",'Ref-List'!$B:$D,2,)</f>
        <v>RC-10AMXH(W)</v>
      </c>
      <c r="H2649" s="86" t="str">
        <f>_xlfn.XLOOKUP(表格1[[#This Row],[Model]],表格3[Model-Input-Ref2],表格3[Product Line])</f>
        <v>酵活炊電飯煲(1.0公升)</v>
      </c>
      <c r="I2649" s="86" t="str">
        <f>_xlfn.XLOOKUP(表格1[[#This Row],[Model]],表格3[Model-Input-Ref2],表格3[大小電])</f>
        <v>細電</v>
      </c>
      <c r="J2649" s="86" t="str">
        <f>_xlfn.XLOOKUP(表格1[[#This Row],[Model]],表格3[Model-Input-Ref2],表格3[Code])</f>
        <v>SDA</v>
      </c>
      <c r="K2649" s="89" t="s">
        <v>1279</v>
      </c>
      <c r="L2649" s="86">
        <v>1</v>
      </c>
      <c r="M2649" s="87">
        <v>990</v>
      </c>
      <c r="N2649" s="87">
        <f>IFERROR(表格1[[#This Row],[QTY]]*表格1[[#This Row],[Unit Price]],"-")</f>
        <v>990</v>
      </c>
      <c r="O2649" s="86">
        <v>1723283</v>
      </c>
      <c r="R2649" s="86" t="str">
        <f>_xlfn.CONCAT(表格1[[#This Row],[Model]]," ",表格1[[#This Row],[inv no]])</f>
        <v>RC-10AMXH(W) 1723283</v>
      </c>
      <c r="S2649" s="86">
        <f>_xlfn.XLOOKUP(表格1[[#This Row],[Model]],表格3[Model-Input-Ref2],表格3[SRP PRICE])</f>
        <v>1288</v>
      </c>
      <c r="T2649" s="43">
        <f>表格1[[#This Row],[Unit Price]]/表格1[[#This Row],[SRP]]</f>
        <v>0.76863354037267084</v>
      </c>
      <c r="U2649" s="86" t="str">
        <f>_xlfn.XLOOKUP(表格1[[#This Row],[Model]],表格3[Model-Input-Ref2],表格3[TOSHIBA/HIGHEST])</f>
        <v>Toshiba SRP</v>
      </c>
      <c r="W2649" s="86" t="str">
        <f>_xlfn.CONCAT(表格1[[#This Row],[欄4]],表格1[[#This Row],[inv no]])</f>
        <v>1723283</v>
      </c>
    </row>
    <row r="2650" spans="1:23" hidden="1">
      <c r="A2650" s="81">
        <v>2648</v>
      </c>
      <c r="B2650" s="86" t="s">
        <v>1477</v>
      </c>
      <c r="C2650" s="86" t="s">
        <v>1860</v>
      </c>
      <c r="D2650" s="82" t="str">
        <f ca="1">OFFSET(Roster!$A$3,MATCH(表格1[[#This Row],[Location]]&amp;" "&amp;表格1[[#This Row],[Shop]]&amp;"*",Roster!$A$4:$A$72,0),DAY(表格1[[#This Row],[date]]),1,1)</f>
        <v>Kiko</v>
      </c>
      <c r="E2650" s="86">
        <f>MONTH(表格1[[#This Row],[date]])</f>
        <v>3</v>
      </c>
      <c r="F2650" s="90">
        <v>46110</v>
      </c>
      <c r="G2650" s="86" t="str">
        <f>VLOOKUP("*"&amp;表格1[[#This Row],[Input]]&amp;"*",'Ref-List'!$B:$D,2,)</f>
        <v>RC-18AMXH(W)</v>
      </c>
      <c r="H2650" s="86" t="str">
        <f>_xlfn.XLOOKUP(表格1[[#This Row],[Model]],表格3[Model-Input-Ref2],表格3[Product Line])</f>
        <v>酵活炊電飯煲(1.8公升)</v>
      </c>
      <c r="I2650" s="86" t="str">
        <f>_xlfn.XLOOKUP(表格1[[#This Row],[Model]],表格3[Model-Input-Ref2],表格3[大小電])</f>
        <v>細電</v>
      </c>
      <c r="J2650" s="86" t="str">
        <f>_xlfn.XLOOKUP(表格1[[#This Row],[Model]],表格3[Model-Input-Ref2],表格3[Code])</f>
        <v>SDA</v>
      </c>
      <c r="K2650" s="89" t="s">
        <v>1362</v>
      </c>
      <c r="L2650" s="86">
        <v>1</v>
      </c>
      <c r="M2650" s="87">
        <v>990</v>
      </c>
      <c r="N2650" s="87">
        <f>IFERROR(表格1[[#This Row],[QTY]]*表格1[[#This Row],[Unit Price]],"-")</f>
        <v>990</v>
      </c>
      <c r="O2650" s="86">
        <v>1723265</v>
      </c>
      <c r="R2650" s="86" t="str">
        <f>_xlfn.CONCAT(表格1[[#This Row],[Model]]," ",表格1[[#This Row],[inv no]])</f>
        <v>RC-18AMXH(W) 1723265</v>
      </c>
      <c r="S2650" s="86">
        <f>_xlfn.XLOOKUP(表格1[[#This Row],[Model]],表格3[Model-Input-Ref2],表格3[SRP PRICE])</f>
        <v>1588</v>
      </c>
      <c r="T2650" s="43">
        <f>表格1[[#This Row],[Unit Price]]/表格1[[#This Row],[SRP]]</f>
        <v>0.62342569269521408</v>
      </c>
      <c r="U2650" s="86" t="str">
        <f>_xlfn.XLOOKUP(表格1[[#This Row],[Model]],表格3[Model-Input-Ref2],表格3[TOSHIBA/HIGHEST])</f>
        <v>Toshiba SRP</v>
      </c>
      <c r="W2650" s="86" t="str">
        <f>_xlfn.CONCAT(表格1[[#This Row],[欄4]],表格1[[#This Row],[inv no]])</f>
        <v>1723265</v>
      </c>
    </row>
    <row r="2651" spans="1:23" hidden="1">
      <c r="A2651" s="81">
        <v>2649</v>
      </c>
      <c r="B2651" s="86" t="s">
        <v>1477</v>
      </c>
      <c r="C2651" s="86" t="s">
        <v>1860</v>
      </c>
      <c r="D2651" s="82" t="str">
        <f ca="1">OFFSET(Roster!$A$3,MATCH(表格1[[#This Row],[Location]]&amp;" "&amp;表格1[[#This Row],[Shop]]&amp;"*",Roster!$A$4:$A$72,0),DAY(表格1[[#This Row],[date]]),1,1)</f>
        <v>Kiko</v>
      </c>
      <c r="E2651" s="86">
        <f>MONTH(表格1[[#This Row],[date]])</f>
        <v>3</v>
      </c>
      <c r="F2651" s="90">
        <v>46110</v>
      </c>
      <c r="G2651" s="86" t="str">
        <f>VLOOKUP("*"&amp;表格1[[#This Row],[Input]]&amp;"*",'Ref-List'!$B:$D,2,)</f>
        <v>GR-RM598WE-PGA(B3)</v>
      </c>
      <c r="H2651" s="86" t="str">
        <f>_xlfn.XLOOKUP(表格1[[#This Row],[Model]],表格3[Model-Input-Ref2],表格3[Product Line])</f>
        <v>變頻六門雪櫃(451L)</v>
      </c>
      <c r="I2651" s="86" t="str">
        <f>_xlfn.XLOOKUP(表格1[[#This Row],[Model]],表格3[Model-Input-Ref2],表格3[大小電])</f>
        <v>大電</v>
      </c>
      <c r="J2651" s="86" t="str">
        <f>_xlfn.XLOOKUP(表格1[[#This Row],[Model]],表格3[Model-Input-Ref2],表格3[Code])</f>
        <v>REF</v>
      </c>
      <c r="K2651" s="89" t="s">
        <v>1491</v>
      </c>
      <c r="L2651" s="86">
        <v>1</v>
      </c>
      <c r="M2651" s="87">
        <v>10990</v>
      </c>
      <c r="N2651" s="87">
        <f>IFERROR(表格1[[#This Row],[QTY]]*表格1[[#This Row],[Unit Price]],"-")</f>
        <v>10990</v>
      </c>
      <c r="O2651" s="86">
        <v>1327525</v>
      </c>
      <c r="R2651" s="86" t="str">
        <f>_xlfn.CONCAT(表格1[[#This Row],[Model]]," ",表格1[[#This Row],[inv no]])</f>
        <v>GR-RM598WE-PGA(B3) 1327525</v>
      </c>
      <c r="S2651" s="86">
        <f>_xlfn.XLOOKUP(表格1[[#This Row],[Model]],表格3[Model-Input-Ref2],表格3[SRP PRICE])</f>
        <v>14980</v>
      </c>
      <c r="T2651" s="43">
        <f>表格1[[#This Row],[Unit Price]]/表格1[[#This Row],[SRP]]</f>
        <v>0.73364485981308414</v>
      </c>
      <c r="U2651" s="86" t="str">
        <f>_xlfn.XLOOKUP(表格1[[#This Row],[Model]],表格3[Model-Input-Ref2],表格3[TOSHIBA/HIGHEST])</f>
        <v>Toshiba SRP</v>
      </c>
      <c r="W2651" s="86" t="str">
        <f>_xlfn.CONCAT(表格1[[#This Row],[欄4]],表格1[[#This Row],[inv no]])</f>
        <v>1327525</v>
      </c>
    </row>
    <row r="2652" spans="1:23" hidden="1">
      <c r="A2652" s="81">
        <v>2650</v>
      </c>
      <c r="B2652" s="86" t="s">
        <v>1477</v>
      </c>
      <c r="C2652" s="86" t="s">
        <v>1860</v>
      </c>
      <c r="D2652" s="82" t="str">
        <f ca="1">OFFSET(Roster!$A$3,MATCH(表格1[[#This Row],[Location]]&amp;" "&amp;表格1[[#This Row],[Shop]]&amp;"*",Roster!$A$4:$A$72,0),DAY(表格1[[#This Row],[date]]),1,1)</f>
        <v>Kiko</v>
      </c>
      <c r="E2652" s="86">
        <f>MONTH(表格1[[#This Row],[date]])</f>
        <v>3</v>
      </c>
      <c r="F2652" s="90">
        <v>46110</v>
      </c>
      <c r="G2652" s="86" t="str">
        <f>VLOOKUP("*"&amp;表格1[[#This Row],[Input]]&amp;"*",'Ref-List'!$B:$D,2,)</f>
        <v>DW-05T2-HK</v>
      </c>
      <c r="H2652" s="86" t="str">
        <f>_xlfn.XLOOKUP(表格1[[#This Row],[Model]],表格3[Model-Input-Ref2],表格3[Product Line])</f>
        <v>座檯式洗碗碟機</v>
      </c>
      <c r="I2652" s="86" t="str">
        <f>_xlfn.XLOOKUP(表格1[[#This Row],[Model]],表格3[Model-Input-Ref2],表格3[大小電])</f>
        <v>細電</v>
      </c>
      <c r="J2652" s="86" t="str">
        <f>_xlfn.XLOOKUP(表格1[[#This Row],[Model]],表格3[Model-Input-Ref2],表格3[Code])</f>
        <v>DW</v>
      </c>
      <c r="K2652" s="89" t="s">
        <v>1475</v>
      </c>
      <c r="L2652" s="86">
        <v>1</v>
      </c>
      <c r="M2652" s="87">
        <v>3780</v>
      </c>
      <c r="N2652" s="87">
        <f>IFERROR(表格1[[#This Row],[QTY]]*表格1[[#This Row],[Unit Price]],"-")</f>
        <v>3780</v>
      </c>
      <c r="O2652" s="86">
        <v>1327500</v>
      </c>
      <c r="R2652" s="86" t="str">
        <f>_xlfn.CONCAT(表格1[[#This Row],[Model]]," ",表格1[[#This Row],[inv no]])</f>
        <v>DW-05T2-HK 1327500</v>
      </c>
      <c r="S2652" s="86">
        <f>_xlfn.XLOOKUP(表格1[[#This Row],[Model]],表格3[Model-Input-Ref2],表格3[SRP PRICE])</f>
        <v>4580</v>
      </c>
      <c r="T2652" s="43">
        <f>表格1[[#This Row],[Unit Price]]/表格1[[#This Row],[SRP]]</f>
        <v>0.8253275109170306</v>
      </c>
      <c r="U2652" s="86" t="str">
        <f>_xlfn.XLOOKUP(表格1[[#This Row],[Model]],表格3[Model-Input-Ref2],表格3[TOSHIBA/HIGHEST])</f>
        <v>Toshiba SRP</v>
      </c>
      <c r="W2652" s="86" t="str">
        <f>_xlfn.CONCAT(表格1[[#This Row],[欄4]],表格1[[#This Row],[inv no]])</f>
        <v>1327500</v>
      </c>
    </row>
    <row r="2653" spans="1:23" hidden="1">
      <c r="A2653" s="81">
        <v>2651</v>
      </c>
      <c r="B2653" s="86" t="s">
        <v>1477</v>
      </c>
      <c r="C2653" s="86" t="s">
        <v>1860</v>
      </c>
      <c r="D2653" s="82" t="str">
        <f ca="1">OFFSET(Roster!$A$3,MATCH(表格1[[#This Row],[Location]]&amp;" "&amp;表格1[[#This Row],[Shop]]&amp;"*",Roster!$A$4:$A$72,0),DAY(表格1[[#This Row],[date]]),1,1)</f>
        <v>Kiko</v>
      </c>
      <c r="E2653" s="86">
        <f>MONTH(表格1[[#This Row],[date]])</f>
        <v>3</v>
      </c>
      <c r="F2653" s="90">
        <v>46110</v>
      </c>
      <c r="G2653" s="86" t="str">
        <f>VLOOKUP("*"&amp;表格1[[#This Row],[Input]]&amp;"*",'Ref-List'!$B:$D,2,)</f>
        <v>MM2-EM20PC(WH)</v>
      </c>
      <c r="H2653" s="86" t="str">
        <f>_xlfn.XLOOKUP(表格1[[#This Row],[Model]],表格3[Model-Input-Ref2],表格3[Product Line])</f>
        <v>輕觸式微波爐 (20公升)</v>
      </c>
      <c r="I2653" s="86" t="str">
        <f>_xlfn.XLOOKUP(表格1[[#This Row],[Model]],表格3[Model-Input-Ref2],表格3[大小電])</f>
        <v>細電</v>
      </c>
      <c r="J2653" s="86" t="str">
        <f>_xlfn.XLOOKUP(表格1[[#This Row],[Model]],表格3[Model-Input-Ref2],表格3[Code])</f>
        <v>MCA</v>
      </c>
      <c r="K2653" s="89" t="s">
        <v>1276</v>
      </c>
      <c r="L2653" s="86">
        <v>1</v>
      </c>
      <c r="M2653" s="87">
        <v>598</v>
      </c>
      <c r="N2653" s="87">
        <f>IFERROR(表格1[[#This Row],[QTY]]*表格1[[#This Row],[Unit Price]],"-")</f>
        <v>598</v>
      </c>
      <c r="O2653" s="86">
        <v>1327457</v>
      </c>
      <c r="R2653" s="86" t="str">
        <f>_xlfn.CONCAT(表格1[[#This Row],[Model]]," ",表格1[[#This Row],[inv no]])</f>
        <v>MM2-EM20PC(WH) 1327457</v>
      </c>
      <c r="S2653" s="86">
        <f>_xlfn.XLOOKUP(表格1[[#This Row],[Model]],表格3[Model-Input-Ref2],表格3[SRP PRICE])</f>
        <v>788</v>
      </c>
      <c r="T2653" s="43">
        <f>表格1[[#This Row],[Unit Price]]/表格1[[#This Row],[SRP]]</f>
        <v>0.75888324873096447</v>
      </c>
      <c r="U2653" s="86" t="str">
        <f>_xlfn.XLOOKUP(表格1[[#This Row],[Model]],表格3[Model-Input-Ref2],表格3[TOSHIBA/HIGHEST])</f>
        <v>Toshiba SRP</v>
      </c>
      <c r="W2653" s="86" t="str">
        <f>_xlfn.CONCAT(表格1[[#This Row],[欄4]],表格1[[#This Row],[inv no]])</f>
        <v>1327457</v>
      </c>
    </row>
    <row r="2654" spans="1:23" hidden="1">
      <c r="A2654" s="81">
        <v>2652</v>
      </c>
      <c r="B2654" s="86" t="s">
        <v>1477</v>
      </c>
      <c r="C2654" s="86" t="s">
        <v>1860</v>
      </c>
      <c r="D2654" s="82" t="str">
        <f ca="1">OFFSET(Roster!$A$3,MATCH(表格1[[#This Row],[Location]]&amp;" "&amp;表格1[[#This Row],[Shop]]&amp;"*",Roster!$A$4:$A$72,0),DAY(表格1[[#This Row],[date]]),1,1)</f>
        <v>Kiko</v>
      </c>
      <c r="E2654" s="86">
        <f>MONTH(表格1[[#This Row],[date]])</f>
        <v>3</v>
      </c>
      <c r="F2654" s="90">
        <v>46110</v>
      </c>
      <c r="G2654" s="86" t="str">
        <f>VLOOKUP("*"&amp;表格1[[#This Row],[Input]]&amp;"*",'Ref-List'!$B:$D,2,)</f>
        <v>RC-5SLIH(W)</v>
      </c>
      <c r="H2654" s="86" t="str">
        <f>_xlfn.XLOOKUP(表格1[[#This Row],[Model]],表格3[Model-Input-Ref2],表格3[Product Line])</f>
        <v>微型電腦珍珠飯煲</v>
      </c>
      <c r="I2654" s="86" t="str">
        <f>_xlfn.XLOOKUP(表格1[[#This Row],[Model]],表格3[Model-Input-Ref2],表格3[大小電])</f>
        <v>細電</v>
      </c>
      <c r="J2654" s="86" t="str">
        <f>_xlfn.XLOOKUP(表格1[[#This Row],[Model]],表格3[Model-Input-Ref2],表格3[Code])</f>
        <v>SDA</v>
      </c>
      <c r="K2654" s="89" t="s">
        <v>1264</v>
      </c>
      <c r="L2654" s="86">
        <v>1</v>
      </c>
      <c r="M2654" s="87">
        <v>593</v>
      </c>
      <c r="N2654" s="87">
        <f>IFERROR(表格1[[#This Row],[QTY]]*表格1[[#This Row],[Unit Price]],"-")</f>
        <v>593</v>
      </c>
      <c r="O2654" s="86">
        <v>1327425</v>
      </c>
      <c r="R2654" s="86" t="str">
        <f>_xlfn.CONCAT(表格1[[#This Row],[Model]]," ",表格1[[#This Row],[inv no]])</f>
        <v>RC-5SLIH(W) 1327425</v>
      </c>
      <c r="S2654" s="86">
        <f>_xlfn.XLOOKUP(表格1[[#This Row],[Model]],表格3[Model-Input-Ref2],表格3[SRP PRICE])</f>
        <v>658</v>
      </c>
      <c r="T2654" s="43">
        <f>表格1[[#This Row],[Unit Price]]/表格1[[#This Row],[SRP]]</f>
        <v>0.90121580547112456</v>
      </c>
      <c r="U2654" s="86" t="str">
        <f>_xlfn.XLOOKUP(表格1[[#This Row],[Model]],表格3[Model-Input-Ref2],表格3[TOSHIBA/HIGHEST])</f>
        <v>Toshiba SRP</v>
      </c>
      <c r="W2654" s="86" t="str">
        <f>_xlfn.CONCAT(表格1[[#This Row],[欄4]],表格1[[#This Row],[inv no]])</f>
        <v>1327425</v>
      </c>
    </row>
    <row r="2655" spans="1:23" hidden="1">
      <c r="A2655" s="81">
        <v>2653</v>
      </c>
      <c r="B2655" s="86" t="s">
        <v>1477</v>
      </c>
      <c r="C2655" s="86" t="s">
        <v>1860</v>
      </c>
      <c r="D2655" s="82" t="str">
        <f ca="1">OFFSET(Roster!$A$3,MATCH(表格1[[#This Row],[Location]]&amp;" "&amp;表格1[[#This Row],[Shop]]&amp;"*",Roster!$A$4:$A$72,0),DAY(表格1[[#This Row],[date]]),1,1)</f>
        <v>Kiko</v>
      </c>
      <c r="E2655" s="86">
        <f>MONTH(表格1[[#This Row],[date]])</f>
        <v>3</v>
      </c>
      <c r="F2655" s="90">
        <v>46110</v>
      </c>
      <c r="G2655" s="86" t="str">
        <f>VLOOKUP("*"&amp;表格1[[#This Row],[Input]]&amp;"*",'Ref-List'!$B:$D,2,)</f>
        <v>TP-50DRUHK(W)</v>
      </c>
      <c r="H2655" s="86" t="str">
        <f>_xlfn.XLOOKUP(表格1[[#This Row],[Model]],表格3[Model-Input-Ref2],表格3[Product Line])</f>
        <v>電熱水瓶 (5公升)</v>
      </c>
      <c r="I2655" s="86" t="str">
        <f>_xlfn.XLOOKUP(表格1[[#This Row],[Model]],表格3[Model-Input-Ref2],表格3[大小電])</f>
        <v>細電</v>
      </c>
      <c r="J2655" s="86" t="str">
        <f>_xlfn.XLOOKUP(表格1[[#This Row],[Model]],表格3[Model-Input-Ref2],表格3[Code])</f>
        <v>SDA</v>
      </c>
      <c r="K2655" s="89" t="s">
        <v>1277</v>
      </c>
      <c r="L2655" s="86">
        <v>1</v>
      </c>
      <c r="M2655" s="87">
        <v>598</v>
      </c>
      <c r="N2655" s="87">
        <f>IFERROR(表格1[[#This Row],[QTY]]*表格1[[#This Row],[Unit Price]],"-")</f>
        <v>598</v>
      </c>
      <c r="O2655" s="86">
        <v>1327443</v>
      </c>
      <c r="R2655" s="86" t="str">
        <f>_xlfn.CONCAT(表格1[[#This Row],[Model]]," ",表格1[[#This Row],[inv no]])</f>
        <v>TP-50DRUHK(W) 1327443</v>
      </c>
      <c r="S2655" s="86">
        <f>_xlfn.XLOOKUP(表格1[[#This Row],[Model]],表格3[Model-Input-Ref2],表格3[SRP PRICE])</f>
        <v>718</v>
      </c>
      <c r="T2655" s="43">
        <f>表格1[[#This Row],[Unit Price]]/表格1[[#This Row],[SRP]]</f>
        <v>0.83286908077994426</v>
      </c>
      <c r="U2655" s="86" t="str">
        <f>_xlfn.XLOOKUP(表格1[[#This Row],[Model]],表格3[Model-Input-Ref2],表格3[TOSHIBA/HIGHEST])</f>
        <v>Toshiba SRP</v>
      </c>
      <c r="W2655" s="86" t="str">
        <f>_xlfn.CONCAT(表格1[[#This Row],[欄4]],表格1[[#This Row],[inv no]])</f>
        <v>1327443</v>
      </c>
    </row>
    <row r="2656" spans="1:23" hidden="1">
      <c r="A2656" s="81">
        <v>2654</v>
      </c>
      <c r="B2656" s="86" t="s">
        <v>1477</v>
      </c>
      <c r="C2656" s="86" t="s">
        <v>1860</v>
      </c>
      <c r="D2656" s="82" t="str">
        <f ca="1">OFFSET(Roster!$A$3,MATCH(表格1[[#This Row],[Location]]&amp;" "&amp;表格1[[#This Row],[Shop]]&amp;"*",Roster!$A$4:$A$72,0),DAY(表格1[[#This Row],[date]]),1,1)</f>
        <v>Kiko</v>
      </c>
      <c r="E2656" s="86">
        <f>MONTH(表格1[[#This Row],[date]])</f>
        <v>3</v>
      </c>
      <c r="F2656" s="90">
        <v>46110</v>
      </c>
      <c r="G2656" s="86" t="str">
        <f>VLOOKUP("*"&amp;表格1[[#This Row],[Input]]&amp;"*",'Ref-List'!$B:$D,2,)</f>
        <v>KT-15DRRH</v>
      </c>
      <c r="H2656" s="86" t="str">
        <f>_xlfn.XLOOKUP(表格1[[#This Row],[Model]],表格3[Model-Input-Ref2],表格3[Product Line])</f>
        <v>1.5L無線雙層電熱水壺</v>
      </c>
      <c r="I2656" s="86" t="str">
        <f>_xlfn.XLOOKUP(表格1[[#This Row],[Model]],表格3[Model-Input-Ref2],表格3[大小電])</f>
        <v>細電</v>
      </c>
      <c r="J2656" s="86" t="str">
        <f>_xlfn.XLOOKUP(表格1[[#This Row],[Model]],表格3[Model-Input-Ref2],表格3[Code])</f>
        <v>SDA</v>
      </c>
      <c r="K2656" s="89" t="s">
        <v>1488</v>
      </c>
      <c r="L2656" s="86">
        <v>1</v>
      </c>
      <c r="M2656" s="87">
        <v>298</v>
      </c>
      <c r="N2656" s="87">
        <f>IFERROR(表格1[[#This Row],[QTY]]*表格1[[#This Row],[Unit Price]],"-")</f>
        <v>298</v>
      </c>
      <c r="O2656" s="86">
        <v>1723266</v>
      </c>
      <c r="R2656" s="86" t="str">
        <f>_xlfn.CONCAT(表格1[[#This Row],[Model]]," ",表格1[[#This Row],[inv no]])</f>
        <v>KT-15DRRH 1723266</v>
      </c>
      <c r="S2656" s="86">
        <f>_xlfn.XLOOKUP(表格1[[#This Row],[Model]],表格3[Model-Input-Ref2],表格3[SRP PRICE])</f>
        <v>438</v>
      </c>
      <c r="T2656" s="43">
        <f>表格1[[#This Row],[Unit Price]]/表格1[[#This Row],[SRP]]</f>
        <v>0.68036529680365299</v>
      </c>
      <c r="U2656" s="86" t="str">
        <f>_xlfn.XLOOKUP(表格1[[#This Row],[Model]],表格3[Model-Input-Ref2],表格3[TOSHIBA/HIGHEST])</f>
        <v>Toshiba SRP</v>
      </c>
      <c r="W2656" s="86" t="str">
        <f>_xlfn.CONCAT(表格1[[#This Row],[欄4]],表格1[[#This Row],[inv no]])</f>
        <v>1723266</v>
      </c>
    </row>
    <row r="2657" spans="1:23" hidden="1">
      <c r="A2657" s="81">
        <v>2655</v>
      </c>
      <c r="B2657" s="86" t="s">
        <v>1477</v>
      </c>
      <c r="C2657" s="86" t="s">
        <v>1860</v>
      </c>
      <c r="D2657" s="82" t="str">
        <f ca="1">OFFSET(Roster!$A$3,MATCH(表格1[[#This Row],[Location]]&amp;" "&amp;表格1[[#This Row],[Shop]]&amp;"*",Roster!$A$4:$A$72,0),DAY(表格1[[#This Row],[date]]),1,1)</f>
        <v>Kiko</v>
      </c>
      <c r="E2657" s="86">
        <f>MONTH(表格1[[#This Row],[date]])</f>
        <v>3</v>
      </c>
      <c r="F2657" s="90">
        <v>46110</v>
      </c>
      <c r="G2657" s="86" t="str">
        <f>VLOOKUP("*"&amp;表格1[[#This Row],[Input]]&amp;"*",'Ref-List'!$B:$D,2,)</f>
        <v>KT-17SHNH</v>
      </c>
      <c r="H2657" s="86" t="str">
        <f>_xlfn.XLOOKUP(表格1[[#This Row],[Model]],表格3[Model-Input-Ref2],表格3[Product Line])</f>
        <v>1.7L無線雙層電熱水壺</v>
      </c>
      <c r="I2657" s="86" t="str">
        <f>_xlfn.XLOOKUP(表格1[[#This Row],[Model]],表格3[Model-Input-Ref2],表格3[大小電])</f>
        <v>細電</v>
      </c>
      <c r="J2657" s="86" t="str">
        <f>_xlfn.XLOOKUP(表格1[[#This Row],[Model]],表格3[Model-Input-Ref2],表格3[Code])</f>
        <v>SDA</v>
      </c>
      <c r="K2657" s="89" t="s">
        <v>1283</v>
      </c>
      <c r="L2657" s="86">
        <v>1</v>
      </c>
      <c r="M2657" s="87">
        <v>198</v>
      </c>
      <c r="N2657" s="87">
        <f>IFERROR(表格1[[#This Row],[QTY]]*表格1[[#This Row],[Unit Price]],"-")</f>
        <v>198</v>
      </c>
      <c r="O2657" s="86">
        <v>1723314</v>
      </c>
      <c r="R2657" s="86" t="str">
        <f>_xlfn.CONCAT(表格1[[#This Row],[Model]]," ",表格1[[#This Row],[inv no]])</f>
        <v>KT-17SHNH 1723314</v>
      </c>
      <c r="S2657" s="86">
        <f>_xlfn.XLOOKUP(表格1[[#This Row],[Model]],表格3[Model-Input-Ref2],表格3[SRP PRICE])</f>
        <v>299</v>
      </c>
      <c r="T2657" s="43">
        <f>表格1[[#This Row],[Unit Price]]/表格1[[#This Row],[SRP]]</f>
        <v>0.66220735785953178</v>
      </c>
      <c r="U2657" s="86" t="str">
        <f>_xlfn.XLOOKUP(表格1[[#This Row],[Model]],表格3[Model-Input-Ref2],表格3[TOSHIBA/HIGHEST])</f>
        <v>Shops Highest Price</v>
      </c>
      <c r="W2657" s="86" t="str">
        <f>_xlfn.CONCAT(表格1[[#This Row],[欄4]],表格1[[#This Row],[inv no]])</f>
        <v>1723314</v>
      </c>
    </row>
    <row r="2658" spans="1:23" hidden="1">
      <c r="A2658" s="81">
        <v>2656</v>
      </c>
      <c r="B2658" s="86" t="s">
        <v>1477</v>
      </c>
      <c r="C2658" s="86" t="s">
        <v>1860</v>
      </c>
      <c r="D2658" s="82" t="str">
        <f ca="1">OFFSET(Roster!$A$3,MATCH(表格1[[#This Row],[Location]]&amp;" "&amp;表格1[[#This Row],[Shop]]&amp;"*",Roster!$A$4:$A$72,0),DAY(表格1[[#This Row],[date]]),1,1)</f>
        <v>Kiko</v>
      </c>
      <c r="E2658" s="86">
        <f>MONTH(表格1[[#This Row],[date]])</f>
        <v>3</v>
      </c>
      <c r="F2658" s="90">
        <v>46110</v>
      </c>
      <c r="G2658" s="86" t="str">
        <f>VLOOKUP("*"&amp;表格1[[#This Row],[Input]]&amp;"*",'Ref-List'!$B:$D,2,)</f>
        <v>IC-S19RH</v>
      </c>
      <c r="H2658" s="86" t="str">
        <f>_xlfn.XLOOKUP(表格1[[#This Row],[Model]],表格3[Model-Input-Ref2],表格3[Product Line])</f>
        <v>輕便式電磁爐7個功能</v>
      </c>
      <c r="I2658" s="86" t="str">
        <f>_xlfn.XLOOKUP(表格1[[#This Row],[Model]],表格3[Model-Input-Ref2],表格3[大小電])</f>
        <v>細電</v>
      </c>
      <c r="J2658" s="86" t="str">
        <f>_xlfn.XLOOKUP(表格1[[#This Row],[Model]],表格3[Model-Input-Ref2],表格3[Code])</f>
        <v>SDA</v>
      </c>
      <c r="K2658" s="89" t="s">
        <v>1289</v>
      </c>
      <c r="L2658" s="86">
        <v>1</v>
      </c>
      <c r="M2658" s="87">
        <v>418</v>
      </c>
      <c r="N2658" s="87">
        <f>IFERROR(表格1[[#This Row],[QTY]]*表格1[[#This Row],[Unit Price]],"-")</f>
        <v>418</v>
      </c>
      <c r="O2658" s="86">
        <v>1723310</v>
      </c>
      <c r="R2658" s="86" t="str">
        <f>_xlfn.CONCAT(表格1[[#This Row],[Model]]," ",表格1[[#This Row],[inv no]])</f>
        <v>IC-S19RH 1723310</v>
      </c>
      <c r="S2658" s="86">
        <f>_xlfn.XLOOKUP(表格1[[#This Row],[Model]],表格3[Model-Input-Ref2],表格3[SRP PRICE])</f>
        <v>638</v>
      </c>
      <c r="T2658" s="43">
        <f>表格1[[#This Row],[Unit Price]]/表格1[[#This Row],[SRP]]</f>
        <v>0.65517241379310343</v>
      </c>
      <c r="U2658" s="86" t="str">
        <f>_xlfn.XLOOKUP(表格1[[#This Row],[Model]],表格3[Model-Input-Ref2],表格3[TOSHIBA/HIGHEST])</f>
        <v>Toshiba SRP</v>
      </c>
      <c r="W2658" s="86" t="str">
        <f>_xlfn.CONCAT(表格1[[#This Row],[欄4]],表格1[[#This Row],[inv no]])</f>
        <v>1723310</v>
      </c>
    </row>
    <row r="2659" spans="1:23" hidden="1">
      <c r="A2659" s="81">
        <v>2657</v>
      </c>
      <c r="B2659" s="86" t="s">
        <v>1477</v>
      </c>
      <c r="C2659" s="86" t="s">
        <v>1860</v>
      </c>
      <c r="D2659" s="82" t="str">
        <f ca="1">OFFSET(Roster!$A$3,MATCH(表格1[[#This Row],[Location]]&amp;" "&amp;表格1[[#This Row],[Shop]]&amp;"*",Roster!$A$4:$A$72,0),DAY(表格1[[#This Row],[date]]),1,1)</f>
        <v>Kiko</v>
      </c>
      <c r="E2659" s="86">
        <f>MONTH(表格1[[#This Row],[date]])</f>
        <v>3</v>
      </c>
      <c r="F2659" s="90">
        <v>46110</v>
      </c>
      <c r="G2659" s="86" t="str">
        <f>VLOOKUP("*"&amp;表格1[[#This Row],[Input]]&amp;"*",'Ref-List'!$B:$D,2,)</f>
        <v>TL-MC35Z</v>
      </c>
      <c r="H2659" s="86" t="str">
        <f>_xlfn.XLOOKUP(表格1[[#This Row],[Model]],表格3[Model-Input-Ref2],表格3[Product Line])</f>
        <v>35L多功能電焗爐</v>
      </c>
      <c r="I2659" s="86" t="str">
        <f>_xlfn.XLOOKUP(表格1[[#This Row],[Model]],表格3[Model-Input-Ref2],表格3[大小電])</f>
        <v>細電</v>
      </c>
      <c r="J2659" s="86" t="str">
        <f>_xlfn.XLOOKUP(表格1[[#This Row],[Model]],表格3[Model-Input-Ref2],表格3[Code])</f>
        <v>SDA</v>
      </c>
      <c r="K2659" s="89" t="s">
        <v>1295</v>
      </c>
      <c r="L2659" s="86">
        <v>1</v>
      </c>
      <c r="M2659" s="87">
        <v>888</v>
      </c>
      <c r="N2659" s="87">
        <f>IFERROR(表格1[[#This Row],[QTY]]*表格1[[#This Row],[Unit Price]],"-")</f>
        <v>888</v>
      </c>
      <c r="O2659" s="86">
        <v>1327369</v>
      </c>
      <c r="R2659" s="86" t="str">
        <f>_xlfn.CONCAT(表格1[[#This Row],[Model]]," ",表格1[[#This Row],[inv no]])</f>
        <v>TL-MC35Z 1327369</v>
      </c>
      <c r="S2659" s="86">
        <f>_xlfn.XLOOKUP(表格1[[#This Row],[Model]],表格3[Model-Input-Ref2],表格3[SRP PRICE])</f>
        <v>1098</v>
      </c>
      <c r="T2659" s="43">
        <f>表格1[[#This Row],[Unit Price]]/表格1[[#This Row],[SRP]]</f>
        <v>0.80874316939890711</v>
      </c>
      <c r="U2659" s="86" t="str">
        <f>_xlfn.XLOOKUP(表格1[[#This Row],[Model]],表格3[Model-Input-Ref2],表格3[TOSHIBA/HIGHEST])</f>
        <v>Toshiba SRP</v>
      </c>
      <c r="W2659" s="86" t="str">
        <f>_xlfn.CONCAT(表格1[[#This Row],[欄4]],表格1[[#This Row],[inv no]])</f>
        <v>1327369</v>
      </c>
    </row>
    <row r="2660" spans="1:23" hidden="1">
      <c r="A2660" s="81">
        <v>2658</v>
      </c>
      <c r="B2660" s="86" t="s">
        <v>1477</v>
      </c>
      <c r="C2660" s="86" t="s">
        <v>1860</v>
      </c>
      <c r="D2660" s="82" t="str">
        <f ca="1">OFFSET(Roster!$A$3,MATCH(表格1[[#This Row],[Location]]&amp;" "&amp;表格1[[#This Row],[Shop]]&amp;"*",Roster!$A$4:$A$72,0),DAY(表格1[[#This Row],[date]]),1,1)</f>
        <v>Kiko</v>
      </c>
      <c r="E2660" s="86">
        <f>MONTH(表格1[[#This Row],[date]])</f>
        <v>3</v>
      </c>
      <c r="F2660" s="90">
        <v>46111</v>
      </c>
      <c r="G2660" s="86" t="str">
        <f>VLOOKUP("*"&amp;表格1[[#This Row],[Input]]&amp;"*",'Ref-List'!$B:$D,2,)</f>
        <v>MM2-EM20PC(WH)</v>
      </c>
      <c r="H2660" s="86" t="str">
        <f>_xlfn.XLOOKUP(表格1[[#This Row],[Model]],表格3[Model-Input-Ref2],表格3[Product Line])</f>
        <v>輕觸式微波爐 (20公升)</v>
      </c>
      <c r="I2660" s="86" t="str">
        <f>_xlfn.XLOOKUP(表格1[[#This Row],[Model]],表格3[Model-Input-Ref2],表格3[大小電])</f>
        <v>細電</v>
      </c>
      <c r="J2660" s="86" t="str">
        <f>_xlfn.XLOOKUP(表格1[[#This Row],[Model]],表格3[Model-Input-Ref2],表格3[Code])</f>
        <v>MCA</v>
      </c>
      <c r="K2660" s="89" t="s">
        <v>1276</v>
      </c>
      <c r="L2660" s="86">
        <v>1</v>
      </c>
      <c r="M2660" s="87">
        <v>598</v>
      </c>
      <c r="N2660" s="87">
        <f>IFERROR(表格1[[#This Row],[QTY]]*表格1[[#This Row],[Unit Price]],"-")</f>
        <v>598</v>
      </c>
      <c r="O2660" s="86">
        <v>1723407</v>
      </c>
      <c r="R2660" s="86" t="str">
        <f>_xlfn.CONCAT(表格1[[#This Row],[Model]]," ",表格1[[#This Row],[inv no]])</f>
        <v>MM2-EM20PC(WH) 1723407</v>
      </c>
      <c r="S2660" s="86">
        <f>_xlfn.XLOOKUP(表格1[[#This Row],[Model]],表格3[Model-Input-Ref2],表格3[SRP PRICE])</f>
        <v>788</v>
      </c>
      <c r="T2660" s="43">
        <f>表格1[[#This Row],[Unit Price]]/表格1[[#This Row],[SRP]]</f>
        <v>0.75888324873096447</v>
      </c>
      <c r="U2660" s="86" t="str">
        <f>_xlfn.XLOOKUP(表格1[[#This Row],[Model]],表格3[Model-Input-Ref2],表格3[TOSHIBA/HIGHEST])</f>
        <v>Toshiba SRP</v>
      </c>
      <c r="W2660" s="86" t="str">
        <f>_xlfn.CONCAT(表格1[[#This Row],[欄4]],表格1[[#This Row],[inv no]])</f>
        <v>1723407</v>
      </c>
    </row>
    <row r="2661" spans="1:23" hidden="1">
      <c r="A2661" s="81">
        <v>2659</v>
      </c>
      <c r="B2661" s="86" t="s">
        <v>1477</v>
      </c>
      <c r="C2661" s="86" t="s">
        <v>1860</v>
      </c>
      <c r="D2661" s="82" t="str">
        <f ca="1">OFFSET(Roster!$A$3,MATCH(表格1[[#This Row],[Location]]&amp;" "&amp;表格1[[#This Row],[Shop]]&amp;"*",Roster!$A$4:$A$72,0),DAY(表格1[[#This Row],[date]]),1,1)</f>
        <v>Kiko</v>
      </c>
      <c r="E2661" s="86">
        <f>MONTH(表格1[[#This Row],[date]])</f>
        <v>3</v>
      </c>
      <c r="F2661" s="90">
        <v>46111</v>
      </c>
      <c r="G2661" s="86" t="str">
        <f>VLOOKUP("*"&amp;表格1[[#This Row],[Input]]&amp;"*",'Ref-List'!$B:$D,2,)</f>
        <v>RAD-D300H</v>
      </c>
      <c r="H2661" s="86" t="str">
        <f>_xlfn.XLOOKUP(表格1[[#This Row],[Model]],表格3[Model-Input-Ref2],表格3[Product Line])</f>
        <v>壓縮式抽濕機 (30公升)</v>
      </c>
      <c r="I2661" s="86" t="str">
        <f>_xlfn.XLOOKUP(表格1[[#This Row],[Model]],表格3[Model-Input-Ref2],表格3[大小電])</f>
        <v>細電</v>
      </c>
      <c r="J2661" s="86" t="str">
        <f>_xlfn.XLOOKUP(表格1[[#This Row],[Model]],表格3[Model-Input-Ref2],表格3[Code])</f>
        <v>RAC</v>
      </c>
      <c r="K2661" s="89" t="s">
        <v>1252</v>
      </c>
      <c r="L2661" s="86">
        <v>1</v>
      </c>
      <c r="M2661" s="87">
        <v>2280</v>
      </c>
      <c r="N2661" s="87">
        <f>IFERROR(表格1[[#This Row],[QTY]]*表格1[[#This Row],[Unit Price]],"-")</f>
        <v>2280</v>
      </c>
      <c r="O2661" s="86">
        <v>1723490</v>
      </c>
      <c r="R2661" s="86" t="str">
        <f>_xlfn.CONCAT(表格1[[#This Row],[Model]]," ",表格1[[#This Row],[inv no]])</f>
        <v>RAD-D300H 1723490</v>
      </c>
      <c r="S2661" s="86">
        <f>_xlfn.XLOOKUP(表格1[[#This Row],[Model]],表格3[Model-Input-Ref2],表格3[SRP PRICE])</f>
        <v>3380</v>
      </c>
      <c r="T2661" s="43">
        <f>表格1[[#This Row],[Unit Price]]/表格1[[#This Row],[SRP]]</f>
        <v>0.67455621301775148</v>
      </c>
      <c r="U2661" s="86" t="str">
        <f>_xlfn.XLOOKUP(表格1[[#This Row],[Model]],表格3[Model-Input-Ref2],表格3[TOSHIBA/HIGHEST])</f>
        <v>Shops Highest Price</v>
      </c>
      <c r="W2661" s="86" t="str">
        <f>_xlfn.CONCAT(表格1[[#This Row],[欄4]],表格1[[#This Row],[inv no]])</f>
        <v>1723490</v>
      </c>
    </row>
    <row r="2662" spans="1:23" hidden="1">
      <c r="A2662" s="81">
        <v>2660</v>
      </c>
      <c r="B2662" s="86" t="s">
        <v>1477</v>
      </c>
      <c r="C2662" s="86" t="s">
        <v>1860</v>
      </c>
      <c r="D2662" s="82" t="str">
        <f ca="1">OFFSET(Roster!$A$3,MATCH(表格1[[#This Row],[Location]]&amp;" "&amp;表格1[[#This Row],[Shop]]&amp;"*",Roster!$A$4:$A$72,0),DAY(表格1[[#This Row],[date]]),1,1)</f>
        <v>Kiko</v>
      </c>
      <c r="E2662" s="86">
        <f>MONTH(表格1[[#This Row],[date]])</f>
        <v>3</v>
      </c>
      <c r="F2662" s="90">
        <v>46111</v>
      </c>
      <c r="G2662" s="86" t="str">
        <f>VLOOKUP("*"&amp;表格1[[#This Row],[Input]]&amp;"*",'Ref-List'!$B:$D,2,)</f>
        <v>RC-6PXTHK(W)</v>
      </c>
      <c r="H2662" s="86" t="str">
        <f>_xlfn.XLOOKUP(表格1[[#This Row],[Model]],表格3[Model-Input-Ref2],表格3[Product Line])</f>
        <v>迷你壓力磁應電飯煲(0.63公升)</v>
      </c>
      <c r="I2662" s="86" t="str">
        <f>_xlfn.XLOOKUP(表格1[[#This Row],[Model]],表格3[Model-Input-Ref2],表格3[大小電])</f>
        <v>細電</v>
      </c>
      <c r="J2662" s="86" t="str">
        <f>_xlfn.XLOOKUP(表格1[[#This Row],[Model]],表格3[Model-Input-Ref2],表格3[Code])</f>
        <v>SDA</v>
      </c>
      <c r="K2662" s="89" t="s">
        <v>1494</v>
      </c>
      <c r="L2662" s="86">
        <v>1</v>
      </c>
      <c r="M2662" s="87">
        <v>938</v>
      </c>
      <c r="N2662" s="87">
        <f>IFERROR(表格1[[#This Row],[QTY]]*表格1[[#This Row],[Unit Price]],"-")</f>
        <v>938</v>
      </c>
      <c r="O2662" s="86">
        <v>1327544</v>
      </c>
      <c r="R2662" s="86" t="str">
        <f>_xlfn.CONCAT(表格1[[#This Row],[Model]]," ",表格1[[#This Row],[inv no]])</f>
        <v>RC-6PXTHK(W) 1327544</v>
      </c>
      <c r="S2662" s="86">
        <f>_xlfn.XLOOKUP(表格1[[#This Row],[Model]],表格3[Model-Input-Ref2],表格3[SRP PRICE])</f>
        <v>1398</v>
      </c>
      <c r="T2662" s="43">
        <f>表格1[[#This Row],[Unit Price]]/表格1[[#This Row],[SRP]]</f>
        <v>0.67095851216022895</v>
      </c>
      <c r="U2662" s="86" t="str">
        <f>_xlfn.XLOOKUP(表格1[[#This Row],[Model]],表格3[Model-Input-Ref2],表格3[TOSHIBA/HIGHEST])</f>
        <v>Toshiba SRP</v>
      </c>
      <c r="W2662" s="86" t="str">
        <f>_xlfn.CONCAT(表格1[[#This Row],[欄4]],表格1[[#This Row],[inv no]])</f>
        <v>1327544</v>
      </c>
    </row>
    <row r="2663" spans="1:23" hidden="1">
      <c r="A2663" s="81">
        <v>2661</v>
      </c>
      <c r="B2663" s="86" t="s">
        <v>1477</v>
      </c>
      <c r="C2663" s="86" t="s">
        <v>1860</v>
      </c>
      <c r="D2663" s="82" t="str">
        <f ca="1">OFFSET(Roster!$A$3,MATCH(表格1[[#This Row],[Location]]&amp;" "&amp;表格1[[#This Row],[Shop]]&amp;"*",Roster!$A$4:$A$72,0),DAY(表格1[[#This Row],[date]]),1,1)</f>
        <v>Kiko</v>
      </c>
      <c r="E2663" s="86">
        <f>MONTH(表格1[[#This Row],[date]])</f>
        <v>3</v>
      </c>
      <c r="F2663" s="90">
        <v>46111</v>
      </c>
      <c r="G2663" s="86" t="str">
        <f>VLOOKUP("*"&amp;表格1[[#This Row],[Input]]&amp;"*",'Ref-List'!$B:$D,2,)</f>
        <v>RC-18NMFIH(WT)</v>
      </c>
      <c r="H2663" s="86" t="str">
        <f>_xlfn.XLOOKUP(表格1[[#This Row],[Model]],表格3[Model-Input-Ref2],表格3[Product Line])</f>
        <v>4毫米厚釜電飯煲1.8L</v>
      </c>
      <c r="I2663" s="86" t="str">
        <f>_xlfn.XLOOKUP(表格1[[#This Row],[Model]],表格3[Model-Input-Ref2],表格3[大小電])</f>
        <v>細電</v>
      </c>
      <c r="J2663" s="86" t="str">
        <f>_xlfn.XLOOKUP(表格1[[#This Row],[Model]],表格3[Model-Input-Ref2],表格3[Code])</f>
        <v>SDA</v>
      </c>
      <c r="K2663" s="89" t="s">
        <v>1267</v>
      </c>
      <c r="L2663" s="86">
        <v>1</v>
      </c>
      <c r="M2663" s="87">
        <v>799</v>
      </c>
      <c r="N2663" s="87">
        <f>IFERROR(表格1[[#This Row],[QTY]]*表格1[[#This Row],[Unit Price]],"-")</f>
        <v>799</v>
      </c>
      <c r="O2663" s="86">
        <v>1723423</v>
      </c>
      <c r="R2663" s="86" t="str">
        <f>_xlfn.CONCAT(表格1[[#This Row],[Model]]," ",表格1[[#This Row],[inv no]])</f>
        <v>RC-18NMFIH(WT) 1723423</v>
      </c>
      <c r="S2663" s="86">
        <f>_xlfn.XLOOKUP(表格1[[#This Row],[Model]],表格3[Model-Input-Ref2],表格3[SRP PRICE])</f>
        <v>998</v>
      </c>
      <c r="T2663" s="43">
        <f>表格1[[#This Row],[Unit Price]]/表格1[[#This Row],[SRP]]</f>
        <v>0.80060120240480959</v>
      </c>
      <c r="U2663" s="86" t="str">
        <f>_xlfn.XLOOKUP(表格1[[#This Row],[Model]],表格3[Model-Input-Ref2],表格3[TOSHIBA/HIGHEST])</f>
        <v>Toshiba SRP</v>
      </c>
      <c r="W2663" s="86" t="str">
        <f>_xlfn.CONCAT(表格1[[#This Row],[欄4]],表格1[[#This Row],[inv no]])</f>
        <v>1723423</v>
      </c>
    </row>
    <row r="2664" spans="1:23" hidden="1">
      <c r="A2664" s="81">
        <v>2662</v>
      </c>
      <c r="B2664" s="86" t="s">
        <v>1477</v>
      </c>
      <c r="C2664" s="86" t="s">
        <v>1860</v>
      </c>
      <c r="D2664" s="82" t="str">
        <f ca="1">OFFSET(Roster!$A$3,MATCH(表格1[[#This Row],[Location]]&amp;" "&amp;表格1[[#This Row],[Shop]]&amp;"*",Roster!$A$4:$A$72,0),DAY(表格1[[#This Row],[date]]),1,1)</f>
        <v>Kiko</v>
      </c>
      <c r="E2664" s="86">
        <f>MONTH(表格1[[#This Row],[date]])</f>
        <v>3</v>
      </c>
      <c r="F2664" s="90">
        <v>46111</v>
      </c>
      <c r="G2664" s="86" t="str">
        <f>VLOOKUP("*"&amp;表格1[[#This Row],[Input]]&amp;"*",'Ref-List'!$B:$D,2,)</f>
        <v>RAS-18J2KV(HK)</v>
      </c>
      <c r="H2664" s="86" t="str">
        <f>_xlfn.XLOOKUP(表格1[[#This Row],[Model]],表格3[Model-Input-Ref2],表格3[Product Line])</f>
        <v>2匹變頻冷暖分體式冷氣機</v>
      </c>
      <c r="I2664" s="86" t="str">
        <f>_xlfn.XLOOKUP(表格1[[#This Row],[Model]],表格3[Model-Input-Ref2],表格3[大小電])</f>
        <v>大電</v>
      </c>
      <c r="J2664" s="86" t="str">
        <f>_xlfn.XLOOKUP(表格1[[#This Row],[Model]],表格3[Model-Input-Ref2],表格3[Code])</f>
        <v>AC</v>
      </c>
      <c r="K2664" s="89" t="s">
        <v>1862</v>
      </c>
      <c r="L2664" s="86">
        <v>1</v>
      </c>
      <c r="M2664" s="87">
        <v>7358</v>
      </c>
      <c r="N2664" s="87">
        <f>IFERROR(表格1[[#This Row],[QTY]]*表格1[[#This Row],[Unit Price]],"-")</f>
        <v>7358</v>
      </c>
      <c r="O2664" s="86">
        <v>1723455</v>
      </c>
      <c r="R2664" s="86" t="str">
        <f>_xlfn.CONCAT(表格1[[#This Row],[Model]]," ",表格1[[#This Row],[inv no]])</f>
        <v>RAS-18J2KV(HK) 1723455</v>
      </c>
      <c r="S2664" s="86">
        <f>_xlfn.XLOOKUP(表格1[[#This Row],[Model]],表格3[Model-Input-Ref2],表格3[SRP PRICE])</f>
        <v>11590</v>
      </c>
      <c r="T2664" s="43">
        <f>表格1[[#This Row],[Unit Price]]/表格1[[#This Row],[SRP]]</f>
        <v>0.63485763589301125</v>
      </c>
      <c r="U2664" s="86" t="str">
        <f>_xlfn.XLOOKUP(表格1[[#This Row],[Model]],表格3[Model-Input-Ref2],表格3[TOSHIBA/HIGHEST])</f>
        <v>Toshiba SRP</v>
      </c>
      <c r="W2664" s="86" t="str">
        <f>_xlfn.CONCAT(表格1[[#This Row],[欄4]],表格1[[#This Row],[inv no]])</f>
        <v>1723455</v>
      </c>
    </row>
    <row r="2665" spans="1:23" hidden="1">
      <c r="A2665" s="81">
        <v>2663</v>
      </c>
      <c r="B2665" s="86" t="s">
        <v>1477</v>
      </c>
      <c r="C2665" s="86" t="s">
        <v>1860</v>
      </c>
      <c r="D2665" s="82" t="str">
        <f ca="1">OFFSET(Roster!$A$3,MATCH(表格1[[#This Row],[Location]]&amp;" "&amp;表格1[[#This Row],[Shop]]&amp;"*",Roster!$A$4:$A$72,0),DAY(表格1[[#This Row],[date]]),1,1)</f>
        <v>Kiko</v>
      </c>
      <c r="E2665" s="86">
        <f>MONTH(表格1[[#This Row],[date]])</f>
        <v>3</v>
      </c>
      <c r="F2665" s="90">
        <v>46111</v>
      </c>
      <c r="G2665" s="86" t="str">
        <f>VLOOKUP("*"&amp;表格1[[#This Row],[Input]]&amp;"*",'Ref-List'!$B:$D,2,)</f>
        <v>RAD-D300H</v>
      </c>
      <c r="H2665" s="86" t="str">
        <f>_xlfn.XLOOKUP(表格1[[#This Row],[Model]],表格3[Model-Input-Ref2],表格3[Product Line])</f>
        <v>壓縮式抽濕機 (30公升)</v>
      </c>
      <c r="I2665" s="86" t="str">
        <f>_xlfn.XLOOKUP(表格1[[#This Row],[Model]],表格3[Model-Input-Ref2],表格3[大小電])</f>
        <v>細電</v>
      </c>
      <c r="J2665" s="86" t="str">
        <f>_xlfn.XLOOKUP(表格1[[#This Row],[Model]],表格3[Model-Input-Ref2],表格3[Code])</f>
        <v>RAC</v>
      </c>
      <c r="K2665" s="89" t="s">
        <v>1252</v>
      </c>
      <c r="L2665" s="86">
        <v>1</v>
      </c>
      <c r="M2665" s="87">
        <v>2280</v>
      </c>
      <c r="N2665" s="87">
        <f>IFERROR(表格1[[#This Row],[QTY]]*表格1[[#This Row],[Unit Price]],"-")</f>
        <v>2280</v>
      </c>
      <c r="O2665" s="86">
        <v>1723407</v>
      </c>
      <c r="R2665" s="86" t="str">
        <f>_xlfn.CONCAT(表格1[[#This Row],[Model]]," ",表格1[[#This Row],[inv no]])</f>
        <v>RAD-D300H 1723407</v>
      </c>
      <c r="S2665" s="86">
        <f>_xlfn.XLOOKUP(表格1[[#This Row],[Model]],表格3[Model-Input-Ref2],表格3[SRP PRICE])</f>
        <v>3380</v>
      </c>
      <c r="T2665" s="43">
        <f>表格1[[#This Row],[Unit Price]]/表格1[[#This Row],[SRP]]</f>
        <v>0.67455621301775148</v>
      </c>
      <c r="U2665" s="86" t="str">
        <f>_xlfn.XLOOKUP(表格1[[#This Row],[Model]],表格3[Model-Input-Ref2],表格3[TOSHIBA/HIGHEST])</f>
        <v>Shops Highest Price</v>
      </c>
      <c r="W2665" s="86" t="str">
        <f>_xlfn.CONCAT(表格1[[#This Row],[欄4]],表格1[[#This Row],[inv no]])</f>
        <v>1723407</v>
      </c>
    </row>
    <row r="2666" spans="1:23" hidden="1">
      <c r="A2666" s="81">
        <v>2664</v>
      </c>
      <c r="B2666" s="86" t="s">
        <v>1477</v>
      </c>
      <c r="C2666" s="86" t="s">
        <v>1860</v>
      </c>
      <c r="D2666" s="82" t="str">
        <f ca="1">OFFSET(Roster!$A$3,MATCH(表格1[[#This Row],[Location]]&amp;" "&amp;表格1[[#This Row],[Shop]]&amp;"*",Roster!$A$4:$A$72,0),DAY(表格1[[#This Row],[date]]),1,1)</f>
        <v>Kiko</v>
      </c>
      <c r="E2666" s="86">
        <f>MONTH(表格1[[#This Row],[date]])</f>
        <v>3</v>
      </c>
      <c r="F2666" s="90">
        <v>46111</v>
      </c>
      <c r="G2666" s="86" t="str">
        <f>VLOOKUP("*"&amp;表格1[[#This Row],[Input]]&amp;"*",'Ref-List'!$B:$D,2,)</f>
        <v>RAD-D300H</v>
      </c>
      <c r="H2666" s="86" t="str">
        <f>_xlfn.XLOOKUP(表格1[[#This Row],[Model]],表格3[Model-Input-Ref2],表格3[Product Line])</f>
        <v>壓縮式抽濕機 (30公升)</v>
      </c>
      <c r="I2666" s="86" t="str">
        <f>_xlfn.XLOOKUP(表格1[[#This Row],[Model]],表格3[Model-Input-Ref2],表格3[大小電])</f>
        <v>細電</v>
      </c>
      <c r="J2666" s="86" t="str">
        <f>_xlfn.XLOOKUP(表格1[[#This Row],[Model]],表格3[Model-Input-Ref2],表格3[Code])</f>
        <v>RAC</v>
      </c>
      <c r="K2666" s="89" t="s">
        <v>1252</v>
      </c>
      <c r="L2666" s="86">
        <v>1</v>
      </c>
      <c r="M2666" s="87">
        <v>2280</v>
      </c>
      <c r="N2666" s="87">
        <f>IFERROR(表格1[[#This Row],[QTY]]*表格1[[#This Row],[Unit Price]],"-")</f>
        <v>2280</v>
      </c>
      <c r="O2666" s="86">
        <v>1327544</v>
      </c>
      <c r="R2666" s="86" t="str">
        <f>_xlfn.CONCAT(表格1[[#This Row],[Model]]," ",表格1[[#This Row],[inv no]])</f>
        <v>RAD-D300H 1327544</v>
      </c>
      <c r="S2666" s="86">
        <f>_xlfn.XLOOKUP(表格1[[#This Row],[Model]],表格3[Model-Input-Ref2],表格3[SRP PRICE])</f>
        <v>3380</v>
      </c>
      <c r="T2666" s="43">
        <f>表格1[[#This Row],[Unit Price]]/表格1[[#This Row],[SRP]]</f>
        <v>0.67455621301775148</v>
      </c>
      <c r="U2666" s="86" t="str">
        <f>_xlfn.XLOOKUP(表格1[[#This Row],[Model]],表格3[Model-Input-Ref2],表格3[TOSHIBA/HIGHEST])</f>
        <v>Shops Highest Price</v>
      </c>
      <c r="W2666" s="86" t="str">
        <f>_xlfn.CONCAT(表格1[[#This Row],[欄4]],表格1[[#This Row],[inv no]])</f>
        <v>1327544</v>
      </c>
    </row>
    <row r="2667" spans="1:23" hidden="1">
      <c r="A2667" s="81">
        <v>2665</v>
      </c>
      <c r="B2667" s="86" t="s">
        <v>1477</v>
      </c>
      <c r="C2667" s="86" t="s">
        <v>1860</v>
      </c>
      <c r="D2667" s="82" t="str">
        <f ca="1">OFFSET(Roster!$A$3,MATCH(表格1[[#This Row],[Location]]&amp;" "&amp;表格1[[#This Row],[Shop]]&amp;"*",Roster!$A$4:$A$72,0),DAY(表格1[[#This Row],[date]]),1,1)</f>
        <v>Kiko</v>
      </c>
      <c r="E2667" s="86">
        <f>MONTH(表格1[[#This Row],[date]])</f>
        <v>3</v>
      </c>
      <c r="F2667" s="90">
        <v>46111</v>
      </c>
      <c r="G2667" s="86" t="str">
        <f>VLOOKUP("*"&amp;表格1[[#This Row],[Input]]&amp;"*",'Ref-List'!$B:$D,2,)</f>
        <v>RC-10NMFIH(WT)</v>
      </c>
      <c r="H2667" s="86" t="str">
        <f>_xlfn.XLOOKUP(表格1[[#This Row],[Model]],表格3[Model-Input-Ref2],表格3[Product Line])</f>
        <v>4毫米厚釜電飯煲1L</v>
      </c>
      <c r="I2667" s="86" t="str">
        <f>_xlfn.XLOOKUP(表格1[[#This Row],[Model]],表格3[Model-Input-Ref2],表格3[大小電])</f>
        <v>細電</v>
      </c>
      <c r="J2667" s="86" t="str">
        <f>_xlfn.XLOOKUP(表格1[[#This Row],[Model]],表格3[Model-Input-Ref2],表格3[Code])</f>
        <v>SDA</v>
      </c>
      <c r="K2667" s="89" t="s">
        <v>1244</v>
      </c>
      <c r="L2667" s="86">
        <v>1</v>
      </c>
      <c r="M2667" s="87">
        <v>719</v>
      </c>
      <c r="N2667" s="87">
        <f>IFERROR(表格1[[#This Row],[QTY]]*表格1[[#This Row],[Unit Price]],"-")</f>
        <v>719</v>
      </c>
      <c r="O2667" s="86">
        <v>1723410</v>
      </c>
      <c r="R2667" s="86" t="str">
        <f>_xlfn.CONCAT(表格1[[#This Row],[Model]]," ",表格1[[#This Row],[inv no]])</f>
        <v>RC-10NMFIH(WT) 1723410</v>
      </c>
      <c r="S2667" s="86">
        <f>_xlfn.XLOOKUP(表格1[[#This Row],[Model]],表格3[Model-Input-Ref2],表格3[SRP PRICE])</f>
        <v>898</v>
      </c>
      <c r="T2667" s="43">
        <f>表格1[[#This Row],[Unit Price]]/表格1[[#This Row],[SRP]]</f>
        <v>0.80066815144766146</v>
      </c>
      <c r="U2667" s="86" t="str">
        <f>_xlfn.XLOOKUP(表格1[[#This Row],[Model]],表格3[Model-Input-Ref2],表格3[TOSHIBA/HIGHEST])</f>
        <v>Toshiba SRP</v>
      </c>
      <c r="W2667" s="86" t="str">
        <f>_xlfn.CONCAT(表格1[[#This Row],[欄4]],表格1[[#This Row],[inv no]])</f>
        <v>1723410</v>
      </c>
    </row>
    <row r="2668" spans="1:23" hidden="1">
      <c r="A2668" s="81">
        <v>2666</v>
      </c>
      <c r="B2668" s="86" t="s">
        <v>1477</v>
      </c>
      <c r="C2668" s="86" t="s">
        <v>1860</v>
      </c>
      <c r="D2668" s="82" t="str">
        <f ca="1">OFFSET(Roster!$A$3,MATCH(表格1[[#This Row],[Location]]&amp;" "&amp;表格1[[#This Row],[Shop]]&amp;"*",Roster!$A$4:$A$72,0),DAY(表格1[[#This Row],[date]]),1,1)</f>
        <v>Kiko</v>
      </c>
      <c r="E2668" s="86">
        <f>MONTH(表格1[[#This Row],[date]])</f>
        <v>3</v>
      </c>
      <c r="F2668" s="90">
        <v>46111</v>
      </c>
      <c r="G2668" s="86" t="str">
        <f>VLOOKUP("*"&amp;表格1[[#This Row],[Input]]&amp;"*",'Ref-List'!$B:$D,2,)</f>
        <v>RC-10IRPH</v>
      </c>
      <c r="H2668" s="86" t="str">
        <f>_xlfn.XLOOKUP(表格1[[#This Row],[Model]],表格3[Model-Input-Ref2],表格3[Product Line])</f>
        <v>低醣磁應電飯煲1L</v>
      </c>
      <c r="I2668" s="86" t="str">
        <f>_xlfn.XLOOKUP(表格1[[#This Row],[Model]],表格3[Model-Input-Ref2],表格3[大小電])</f>
        <v>細電</v>
      </c>
      <c r="J2668" s="86" t="str">
        <f>_xlfn.XLOOKUP(表格1[[#This Row],[Model]],表格3[Model-Input-Ref2],表格3[Code])</f>
        <v>SDA</v>
      </c>
      <c r="K2668" s="89" t="s">
        <v>1297</v>
      </c>
      <c r="L2668" s="86">
        <v>1</v>
      </c>
      <c r="M2668" s="87">
        <v>798</v>
      </c>
      <c r="N2668" s="87">
        <f>IFERROR(表格1[[#This Row],[QTY]]*表格1[[#This Row],[Unit Price]],"-")</f>
        <v>798</v>
      </c>
      <c r="O2668" s="86">
        <v>1723485</v>
      </c>
      <c r="R2668" s="86" t="str">
        <f>_xlfn.CONCAT(表格1[[#This Row],[Model]]," ",表格1[[#This Row],[inv no]])</f>
        <v>RC-10IRPH 1723485</v>
      </c>
      <c r="S2668" s="86">
        <f>_xlfn.XLOOKUP(表格1[[#This Row],[Model]],表格3[Model-Input-Ref2],表格3[SRP PRICE])</f>
        <v>1388</v>
      </c>
      <c r="T2668" s="43">
        <f>表格1[[#This Row],[Unit Price]]/表格1[[#This Row],[SRP]]</f>
        <v>0.5749279538904899</v>
      </c>
      <c r="U2668" s="86" t="str">
        <f>_xlfn.XLOOKUP(表格1[[#This Row],[Model]],表格3[Model-Input-Ref2],表格3[TOSHIBA/HIGHEST])</f>
        <v>Toshiba SRP</v>
      </c>
      <c r="W2668" s="86" t="str">
        <f>_xlfn.CONCAT(表格1[[#This Row],[欄4]],表格1[[#This Row],[inv no]])</f>
        <v>1723485</v>
      </c>
    </row>
    <row r="2669" spans="1:23" hidden="1">
      <c r="A2669" s="81">
        <v>2667</v>
      </c>
      <c r="B2669" s="86" t="s">
        <v>1477</v>
      </c>
      <c r="C2669" s="86" t="s">
        <v>1860</v>
      </c>
      <c r="D2669" s="82" t="str">
        <f ca="1">OFFSET(Roster!$A$3,MATCH(表格1[[#This Row],[Location]]&amp;" "&amp;表格1[[#This Row],[Shop]]&amp;"*",Roster!$A$4:$A$72,0),DAY(表格1[[#This Row],[date]]),1,1)</f>
        <v>Kiko</v>
      </c>
      <c r="E2669" s="86">
        <f>MONTH(表格1[[#This Row],[date]])</f>
        <v>3</v>
      </c>
      <c r="F2669" s="90">
        <v>46111</v>
      </c>
      <c r="G2669" s="86" t="str">
        <f>VLOOKUP("*"&amp;表格1[[#This Row],[Input]]&amp;"*",'Ref-List'!$B:$D,2,)</f>
        <v>RC-DS10K(N)</v>
      </c>
      <c r="H2669" s="86" t="str">
        <f>_xlfn.XLOOKUP(表格1[[#This Row],[Model]],表格3[Model-Input-Ref2],表格3[Product Line])</f>
        <v>IH磁應電飯煲</v>
      </c>
      <c r="I2669" s="86" t="str">
        <f>_xlfn.XLOOKUP(表格1[[#This Row],[Model]],表格3[Model-Input-Ref2],表格3[大小電])</f>
        <v>細電</v>
      </c>
      <c r="J2669" s="86" t="str">
        <f>_xlfn.XLOOKUP(表格1[[#This Row],[Model]],表格3[Model-Input-Ref2],表格3[Code])</f>
        <v>SDA</v>
      </c>
      <c r="K2669" s="89" t="s">
        <v>1633</v>
      </c>
      <c r="L2669" s="86">
        <v>1</v>
      </c>
      <c r="M2669" s="87">
        <v>3150</v>
      </c>
      <c r="N2669" s="87">
        <f>IFERROR(表格1[[#This Row],[QTY]]*表格1[[#This Row],[Unit Price]],"-")</f>
        <v>3150</v>
      </c>
      <c r="O2669" s="86">
        <v>1723526</v>
      </c>
      <c r="R2669" s="86" t="str">
        <f>_xlfn.CONCAT(表格1[[#This Row],[Model]]," ",表格1[[#This Row],[inv no]])</f>
        <v>RC-DS10K(N) 1723526</v>
      </c>
      <c r="S2669" s="86">
        <f>_xlfn.XLOOKUP(表格1[[#This Row],[Model]],表格3[Model-Input-Ref2],表格3[SRP PRICE])</f>
        <v>4588</v>
      </c>
      <c r="T2669" s="43">
        <f>表格1[[#This Row],[Unit Price]]/表格1[[#This Row],[SRP]]</f>
        <v>0.68657367044463824</v>
      </c>
      <c r="U2669" s="86" t="str">
        <f>_xlfn.XLOOKUP(表格1[[#This Row],[Model]],表格3[Model-Input-Ref2],表格3[TOSHIBA/HIGHEST])</f>
        <v>Toshiba SRP</v>
      </c>
      <c r="W2669" s="86" t="str">
        <f>_xlfn.CONCAT(表格1[[#This Row],[欄4]],表格1[[#This Row],[inv no]])</f>
        <v>1723526</v>
      </c>
    </row>
    <row r="2670" spans="1:23" hidden="1">
      <c r="A2670" s="81">
        <v>2668</v>
      </c>
      <c r="B2670" s="86" t="s">
        <v>1477</v>
      </c>
      <c r="C2670" s="86" t="s">
        <v>1860</v>
      </c>
      <c r="D2670" s="82" t="str">
        <f ca="1">OFFSET(Roster!$A$3,MATCH(表格1[[#This Row],[Location]]&amp;" "&amp;表格1[[#This Row],[Shop]]&amp;"*",Roster!$A$4:$A$72,0),DAY(表格1[[#This Row],[date]]),1,1)</f>
        <v>Kiko</v>
      </c>
      <c r="E2670" s="86">
        <f>MONTH(表格1[[#This Row],[date]])</f>
        <v>3</v>
      </c>
      <c r="F2670" s="90">
        <v>46111</v>
      </c>
      <c r="G2670" s="86" t="str">
        <f>VLOOKUP("*"&amp;表格1[[#This Row],[Input]]&amp;"*",'Ref-List'!$B:$D,2,)</f>
        <v>PLK-30FLIH(WT)</v>
      </c>
      <c r="H2670" s="86" t="str">
        <f>_xlfn.XLOOKUP(表格1[[#This Row],[Model]],表格3[Model-Input-Ref2],表格3[Product Line])</f>
        <v>電熱水瓶3L</v>
      </c>
      <c r="I2670" s="86" t="str">
        <f>_xlfn.XLOOKUP(表格1[[#This Row],[Model]],表格3[Model-Input-Ref2],表格3[大小電])</f>
        <v>細電</v>
      </c>
      <c r="J2670" s="86" t="str">
        <f>_xlfn.XLOOKUP(表格1[[#This Row],[Model]],表格3[Model-Input-Ref2],表格3[Code])</f>
        <v>SDA</v>
      </c>
      <c r="K2670" s="89" t="s">
        <v>1272</v>
      </c>
      <c r="L2670" s="86">
        <v>1</v>
      </c>
      <c r="M2670" s="87">
        <v>489</v>
      </c>
      <c r="N2670" s="87">
        <f>IFERROR(表格1[[#This Row],[QTY]]*表格1[[#This Row],[Unit Price]],"-")</f>
        <v>489</v>
      </c>
      <c r="O2670" s="86">
        <v>1723407</v>
      </c>
      <c r="R2670" s="86" t="str">
        <f>_xlfn.CONCAT(表格1[[#This Row],[Model]]," ",表格1[[#This Row],[inv no]])</f>
        <v>PLK-30FLIH(WT) 1723407</v>
      </c>
      <c r="S2670" s="86">
        <f>_xlfn.XLOOKUP(表格1[[#This Row],[Model]],表格3[Model-Input-Ref2],表格3[SRP PRICE])</f>
        <v>658</v>
      </c>
      <c r="T2670" s="43">
        <f>表格1[[#This Row],[Unit Price]]/表格1[[#This Row],[SRP]]</f>
        <v>0.74316109422492405</v>
      </c>
      <c r="U2670" s="86" t="str">
        <f>_xlfn.XLOOKUP(表格1[[#This Row],[Model]],表格3[Model-Input-Ref2],表格3[TOSHIBA/HIGHEST])</f>
        <v>Toshiba SRP</v>
      </c>
      <c r="W2670" s="86" t="str">
        <f>_xlfn.CONCAT(表格1[[#This Row],[欄4]],表格1[[#This Row],[inv no]])</f>
        <v>1723407</v>
      </c>
    </row>
    <row r="2671" spans="1:23" hidden="1">
      <c r="A2671" s="81">
        <v>2669</v>
      </c>
      <c r="B2671" s="86" t="s">
        <v>1477</v>
      </c>
      <c r="C2671" s="86" t="s">
        <v>1860</v>
      </c>
      <c r="D2671" s="82" t="str">
        <f ca="1">OFFSET(Roster!$A$3,MATCH(表格1[[#This Row],[Location]]&amp;" "&amp;表格1[[#This Row],[Shop]]&amp;"*",Roster!$A$4:$A$72,0),DAY(表格1[[#This Row],[date]]),1,1)</f>
        <v>Kiko</v>
      </c>
      <c r="E2671" s="86">
        <f>MONTH(表格1[[#This Row],[date]])</f>
        <v>3</v>
      </c>
      <c r="F2671" s="90">
        <v>46111</v>
      </c>
      <c r="G2671" s="86" t="str">
        <f>VLOOKUP("*"&amp;表格1[[#This Row],[Input]]&amp;"*",'Ref-List'!$B:$D,2,)</f>
        <v>RC-10NMFIH(WT)</v>
      </c>
      <c r="H2671" s="86" t="str">
        <f>_xlfn.XLOOKUP(表格1[[#This Row],[Model]],表格3[Model-Input-Ref2],表格3[Product Line])</f>
        <v>4毫米厚釜電飯煲1L</v>
      </c>
      <c r="I2671" s="86" t="str">
        <f>_xlfn.XLOOKUP(表格1[[#This Row],[Model]],表格3[Model-Input-Ref2],表格3[大小電])</f>
        <v>細電</v>
      </c>
      <c r="J2671" s="86" t="str">
        <f>_xlfn.XLOOKUP(表格1[[#This Row],[Model]],表格3[Model-Input-Ref2],表格3[Code])</f>
        <v>SDA</v>
      </c>
      <c r="K2671" s="89" t="s">
        <v>1244</v>
      </c>
      <c r="L2671" s="86">
        <v>1</v>
      </c>
      <c r="M2671" s="87">
        <v>719</v>
      </c>
      <c r="N2671" s="87">
        <f>IFERROR(表格1[[#This Row],[QTY]]*表格1[[#This Row],[Unit Price]],"-")</f>
        <v>719</v>
      </c>
      <c r="O2671" s="86">
        <v>1723407</v>
      </c>
      <c r="R2671" s="86" t="str">
        <f>_xlfn.CONCAT(表格1[[#This Row],[Model]]," ",表格1[[#This Row],[inv no]])</f>
        <v>RC-10NMFIH(WT) 1723407</v>
      </c>
      <c r="S2671" s="86">
        <f>_xlfn.XLOOKUP(表格1[[#This Row],[Model]],表格3[Model-Input-Ref2],表格3[SRP PRICE])</f>
        <v>898</v>
      </c>
      <c r="T2671" s="43">
        <f>表格1[[#This Row],[Unit Price]]/表格1[[#This Row],[SRP]]</f>
        <v>0.80066815144766146</v>
      </c>
      <c r="U2671" s="86" t="str">
        <f>_xlfn.XLOOKUP(表格1[[#This Row],[Model]],表格3[Model-Input-Ref2],表格3[TOSHIBA/HIGHEST])</f>
        <v>Toshiba SRP</v>
      </c>
      <c r="W2671" s="86" t="str">
        <f>_xlfn.CONCAT(表格1[[#This Row],[欄4]],表格1[[#This Row],[inv no]])</f>
        <v>1723407</v>
      </c>
    </row>
    <row r="2672" spans="1:23" hidden="1">
      <c r="A2672" s="81">
        <v>2670</v>
      </c>
      <c r="B2672" s="86" t="s">
        <v>1477</v>
      </c>
      <c r="C2672" s="86" t="s">
        <v>1860</v>
      </c>
      <c r="D2672" s="82" t="str">
        <f ca="1">OFFSET(Roster!$A$3,MATCH(表格1[[#This Row],[Location]]&amp;" "&amp;表格1[[#This Row],[Shop]]&amp;"*",Roster!$A$4:$A$72,0),DAY(表格1[[#This Row],[date]]),1,1)</f>
        <v>Kiko</v>
      </c>
      <c r="E2672" s="86">
        <f>MONTH(表格1[[#This Row],[date]])</f>
        <v>3</v>
      </c>
      <c r="F2672" s="90">
        <v>46111</v>
      </c>
      <c r="G2672" s="86" t="str">
        <f>VLOOKUP("*"&amp;表格1[[#This Row],[Input]]&amp;"*",'Ref-List'!$B:$D,2,)</f>
        <v>RC-18NMFIH(WT)</v>
      </c>
      <c r="H2672" s="86" t="str">
        <f>_xlfn.XLOOKUP(表格1[[#This Row],[Model]],表格3[Model-Input-Ref2],表格3[Product Line])</f>
        <v>4毫米厚釜電飯煲1.8L</v>
      </c>
      <c r="I2672" s="86" t="str">
        <f>_xlfn.XLOOKUP(表格1[[#This Row],[Model]],表格3[Model-Input-Ref2],表格3[大小電])</f>
        <v>細電</v>
      </c>
      <c r="J2672" s="86" t="str">
        <f>_xlfn.XLOOKUP(表格1[[#This Row],[Model]],表格3[Model-Input-Ref2],表格3[Code])</f>
        <v>SDA</v>
      </c>
      <c r="K2672" s="89" t="s">
        <v>1267</v>
      </c>
      <c r="L2672" s="86">
        <v>1</v>
      </c>
      <c r="M2672" s="87">
        <v>799</v>
      </c>
      <c r="N2672" s="87">
        <f>IFERROR(表格1[[#This Row],[QTY]]*表格1[[#This Row],[Unit Price]],"-")</f>
        <v>799</v>
      </c>
      <c r="O2672" s="86">
        <v>1327551</v>
      </c>
      <c r="R2672" s="86" t="str">
        <f>_xlfn.CONCAT(表格1[[#This Row],[Model]]," ",表格1[[#This Row],[inv no]])</f>
        <v>RC-18NMFIH(WT) 1327551</v>
      </c>
      <c r="S2672" s="86">
        <f>_xlfn.XLOOKUP(表格1[[#This Row],[Model]],表格3[Model-Input-Ref2],表格3[SRP PRICE])</f>
        <v>998</v>
      </c>
      <c r="T2672" s="43">
        <f>表格1[[#This Row],[Unit Price]]/表格1[[#This Row],[SRP]]</f>
        <v>0.80060120240480959</v>
      </c>
      <c r="U2672" s="86" t="str">
        <f>_xlfn.XLOOKUP(表格1[[#This Row],[Model]],表格3[Model-Input-Ref2],表格3[TOSHIBA/HIGHEST])</f>
        <v>Toshiba SRP</v>
      </c>
      <c r="W2672" s="86" t="str">
        <f>_xlfn.CONCAT(表格1[[#This Row],[欄4]],表格1[[#This Row],[inv no]])</f>
        <v>1327551</v>
      </c>
    </row>
    <row r="2673" spans="1:23" hidden="1">
      <c r="A2673" s="81">
        <v>2671</v>
      </c>
      <c r="B2673" s="86" t="s">
        <v>1477</v>
      </c>
      <c r="C2673" s="86" t="s">
        <v>1860</v>
      </c>
      <c r="D2673" s="82" t="str">
        <f ca="1">OFFSET(Roster!$A$3,MATCH(表格1[[#This Row],[Location]]&amp;" "&amp;表格1[[#This Row],[Shop]]&amp;"*",Roster!$A$4:$A$72,0),DAY(表格1[[#This Row],[date]]),1,1)</f>
        <v>Kiko</v>
      </c>
      <c r="E2673" s="86">
        <f>MONTH(表格1[[#This Row],[date]])</f>
        <v>3</v>
      </c>
      <c r="F2673" s="90">
        <v>46111</v>
      </c>
      <c r="G2673" s="86" t="str">
        <f>VLOOKUP("*"&amp;表格1[[#This Row],[Input]]&amp;"*",'Ref-List'!$B:$D,2,)</f>
        <v>PLK-30FLIH(WT)</v>
      </c>
      <c r="H2673" s="86" t="str">
        <f>_xlfn.XLOOKUP(表格1[[#This Row],[Model]],表格3[Model-Input-Ref2],表格3[Product Line])</f>
        <v>電熱水瓶3L</v>
      </c>
      <c r="I2673" s="86" t="str">
        <f>_xlfn.XLOOKUP(表格1[[#This Row],[Model]],表格3[Model-Input-Ref2],表格3[大小電])</f>
        <v>細電</v>
      </c>
      <c r="J2673" s="86" t="str">
        <f>_xlfn.XLOOKUP(表格1[[#This Row],[Model]],表格3[Model-Input-Ref2],表格3[Code])</f>
        <v>SDA</v>
      </c>
      <c r="K2673" s="89" t="s">
        <v>1272</v>
      </c>
      <c r="L2673" s="86">
        <v>1</v>
      </c>
      <c r="M2673" s="87">
        <v>489</v>
      </c>
      <c r="N2673" s="87">
        <f>IFERROR(表格1[[#This Row],[QTY]]*表格1[[#This Row],[Unit Price]],"-")</f>
        <v>489</v>
      </c>
      <c r="O2673" s="86">
        <v>1723410</v>
      </c>
      <c r="R2673" s="86" t="str">
        <f>_xlfn.CONCAT(表格1[[#This Row],[Model]]," ",表格1[[#This Row],[inv no]])</f>
        <v>PLK-30FLIH(WT) 1723410</v>
      </c>
      <c r="S2673" s="86">
        <f>_xlfn.XLOOKUP(表格1[[#This Row],[Model]],表格3[Model-Input-Ref2],表格3[SRP PRICE])</f>
        <v>658</v>
      </c>
      <c r="T2673" s="43">
        <f>表格1[[#This Row],[Unit Price]]/表格1[[#This Row],[SRP]]</f>
        <v>0.74316109422492405</v>
      </c>
      <c r="U2673" s="86" t="str">
        <f>_xlfn.XLOOKUP(表格1[[#This Row],[Model]],表格3[Model-Input-Ref2],表格3[TOSHIBA/HIGHEST])</f>
        <v>Toshiba SRP</v>
      </c>
      <c r="W2673" s="86" t="str">
        <f>_xlfn.CONCAT(表格1[[#This Row],[欄4]],表格1[[#This Row],[inv no]])</f>
        <v>1723410</v>
      </c>
    </row>
    <row r="2674" spans="1:23" hidden="1">
      <c r="A2674" s="81">
        <v>2672</v>
      </c>
      <c r="B2674" s="86" t="s">
        <v>1477</v>
      </c>
      <c r="C2674" s="86" t="s">
        <v>1860</v>
      </c>
      <c r="D2674" s="82" t="str">
        <f ca="1">OFFSET(Roster!$A$3,MATCH(表格1[[#This Row],[Location]]&amp;" "&amp;表格1[[#This Row],[Shop]]&amp;"*",Roster!$A$4:$A$72,0),DAY(表格1[[#This Row],[date]]),1,1)</f>
        <v>Kiko</v>
      </c>
      <c r="E2674" s="86">
        <f>MONTH(表格1[[#This Row],[date]])</f>
        <v>3</v>
      </c>
      <c r="F2674" s="90">
        <v>46112</v>
      </c>
      <c r="G2674" s="86" t="str">
        <f>VLOOKUP("*"&amp;表格1[[#This Row],[Input]]&amp;"*",'Ref-List'!$B:$D,2,)</f>
        <v>RAD-D300H</v>
      </c>
      <c r="H2674" s="86" t="str">
        <f>_xlfn.XLOOKUP(表格1[[#This Row],[Model]],表格3[Model-Input-Ref2],表格3[Product Line])</f>
        <v>壓縮式抽濕機 (30公升)</v>
      </c>
      <c r="I2674" s="86" t="str">
        <f>_xlfn.XLOOKUP(表格1[[#This Row],[Model]],表格3[Model-Input-Ref2],表格3[大小電])</f>
        <v>細電</v>
      </c>
      <c r="J2674" s="86" t="str">
        <f>_xlfn.XLOOKUP(表格1[[#This Row],[Model]],表格3[Model-Input-Ref2],表格3[Code])</f>
        <v>RAC</v>
      </c>
      <c r="K2674" s="89" t="s">
        <v>1252</v>
      </c>
      <c r="L2674" s="86">
        <v>1</v>
      </c>
      <c r="M2674" s="87">
        <v>2280</v>
      </c>
      <c r="N2674" s="87">
        <f>IFERROR(表格1[[#This Row],[QTY]]*表格1[[#This Row],[Unit Price]],"-")</f>
        <v>2280</v>
      </c>
      <c r="O2674" s="86">
        <v>1723532</v>
      </c>
      <c r="R2674" s="86" t="str">
        <f>_xlfn.CONCAT(表格1[[#This Row],[Model]]," ",表格1[[#This Row],[inv no]])</f>
        <v>RAD-D300H 1723532</v>
      </c>
      <c r="S2674" s="86">
        <f>_xlfn.XLOOKUP(表格1[[#This Row],[Model]],表格3[Model-Input-Ref2],表格3[SRP PRICE])</f>
        <v>3380</v>
      </c>
      <c r="T2674" s="43">
        <f>表格1[[#This Row],[Unit Price]]/表格1[[#This Row],[SRP]]</f>
        <v>0.67455621301775148</v>
      </c>
      <c r="U2674" s="86" t="str">
        <f>_xlfn.XLOOKUP(表格1[[#This Row],[Model]],表格3[Model-Input-Ref2],表格3[TOSHIBA/HIGHEST])</f>
        <v>Shops Highest Price</v>
      </c>
      <c r="W2674" s="86" t="str">
        <f>_xlfn.CONCAT(表格1[[#This Row],[欄4]],表格1[[#This Row],[inv no]])</f>
        <v>1723532</v>
      </c>
    </row>
    <row r="2675" spans="1:23" hidden="1">
      <c r="A2675" s="81">
        <v>2673</v>
      </c>
      <c r="B2675" s="86" t="s">
        <v>1477</v>
      </c>
      <c r="C2675" s="86" t="s">
        <v>1860</v>
      </c>
      <c r="D2675" s="82" t="str">
        <f ca="1">OFFSET(Roster!$A$3,MATCH(表格1[[#This Row],[Location]]&amp;" "&amp;表格1[[#This Row],[Shop]]&amp;"*",Roster!$A$4:$A$72,0),DAY(表格1[[#This Row],[date]]),1,1)</f>
        <v>Kiko</v>
      </c>
      <c r="E2675" s="86">
        <f>MONTH(表格1[[#This Row],[date]])</f>
        <v>3</v>
      </c>
      <c r="F2675" s="90">
        <v>46112</v>
      </c>
      <c r="G2675" s="86" t="str">
        <f>VLOOKUP("*"&amp;表格1[[#This Row],[Input]]&amp;"*",'Ref-List'!$B:$D,2,)</f>
        <v>MM2-EM20PC(WH)</v>
      </c>
      <c r="H2675" s="86" t="str">
        <f>_xlfn.XLOOKUP(表格1[[#This Row],[Model]],表格3[Model-Input-Ref2],表格3[Product Line])</f>
        <v>輕觸式微波爐 (20公升)</v>
      </c>
      <c r="I2675" s="86" t="str">
        <f>_xlfn.XLOOKUP(表格1[[#This Row],[Model]],表格3[Model-Input-Ref2],表格3[大小電])</f>
        <v>細電</v>
      </c>
      <c r="J2675" s="86" t="str">
        <f>_xlfn.XLOOKUP(表格1[[#This Row],[Model]],表格3[Model-Input-Ref2],表格3[Code])</f>
        <v>MCA</v>
      </c>
      <c r="K2675" s="89" t="s">
        <v>1276</v>
      </c>
      <c r="L2675" s="86">
        <v>1</v>
      </c>
      <c r="M2675" s="87">
        <v>598</v>
      </c>
      <c r="N2675" s="87">
        <f>IFERROR(表格1[[#This Row],[QTY]]*表格1[[#This Row],[Unit Price]],"-")</f>
        <v>598</v>
      </c>
      <c r="O2675" s="86">
        <v>1723529</v>
      </c>
      <c r="R2675" s="86" t="str">
        <f>_xlfn.CONCAT(表格1[[#This Row],[Model]]," ",表格1[[#This Row],[inv no]])</f>
        <v>MM2-EM20PC(WH) 1723529</v>
      </c>
      <c r="S2675" s="86">
        <f>_xlfn.XLOOKUP(表格1[[#This Row],[Model]],表格3[Model-Input-Ref2],表格3[SRP PRICE])</f>
        <v>788</v>
      </c>
      <c r="T2675" s="43">
        <f>表格1[[#This Row],[Unit Price]]/表格1[[#This Row],[SRP]]</f>
        <v>0.75888324873096447</v>
      </c>
      <c r="U2675" s="86" t="str">
        <f>_xlfn.XLOOKUP(表格1[[#This Row],[Model]],表格3[Model-Input-Ref2],表格3[TOSHIBA/HIGHEST])</f>
        <v>Toshiba SRP</v>
      </c>
      <c r="W2675" s="86" t="str">
        <f>_xlfn.CONCAT(表格1[[#This Row],[欄4]],表格1[[#This Row],[inv no]])</f>
        <v>1723529</v>
      </c>
    </row>
    <row r="2676" spans="1:23" hidden="1">
      <c r="A2676" s="81">
        <v>2674</v>
      </c>
      <c r="B2676" s="86" t="s">
        <v>1477</v>
      </c>
      <c r="C2676" s="86" t="s">
        <v>1860</v>
      </c>
      <c r="D2676" s="82" t="str">
        <f ca="1">OFFSET(Roster!$A$3,MATCH(表格1[[#This Row],[Location]]&amp;" "&amp;表格1[[#This Row],[Shop]]&amp;"*",Roster!$A$4:$A$72,0),DAY(表格1[[#This Row],[date]]),1,1)</f>
        <v>Kiko</v>
      </c>
      <c r="E2676" s="86">
        <f>MONTH(表格1[[#This Row],[date]])</f>
        <v>3</v>
      </c>
      <c r="F2676" s="90">
        <v>46112</v>
      </c>
      <c r="G2676" s="86" t="str">
        <f>VLOOKUP("*"&amp;表格1[[#This Row],[Input]]&amp;"*",'Ref-List'!$B:$D,2,)</f>
        <v>MS3-STQ20SC(WH)</v>
      </c>
      <c r="H2676" s="86" t="str">
        <f>_xlfn.XLOOKUP(表格1[[#This Row],[Model]],表格3[Model-Input-Ref2],表格3[Product Line])</f>
        <v>20L 智能蒸氣焗爐</v>
      </c>
      <c r="I2676" s="86" t="str">
        <f>_xlfn.XLOOKUP(表格1[[#This Row],[Model]],表格3[Model-Input-Ref2],表格3[大小電])</f>
        <v>細電</v>
      </c>
      <c r="J2676" s="86" t="str">
        <f>_xlfn.XLOOKUP(表格1[[#This Row],[Model]],表格3[Model-Input-Ref2],表格3[Code])</f>
        <v>MCA</v>
      </c>
      <c r="K2676" s="89" t="s">
        <v>1383</v>
      </c>
      <c r="L2676" s="86">
        <v>1</v>
      </c>
      <c r="M2676" s="87">
        <v>2100</v>
      </c>
      <c r="N2676" s="87">
        <f>IFERROR(表格1[[#This Row],[QTY]]*表格1[[#This Row],[Unit Price]],"-")</f>
        <v>2100</v>
      </c>
      <c r="O2676" s="86">
        <v>1723540</v>
      </c>
      <c r="R2676" s="86" t="str">
        <f>_xlfn.CONCAT(表格1[[#This Row],[Model]]," ",表格1[[#This Row],[inv no]])</f>
        <v>MS3-STQ20SC(WH) 1723540</v>
      </c>
      <c r="S2676" s="86">
        <f>_xlfn.XLOOKUP(表格1[[#This Row],[Model]],表格3[Model-Input-Ref2],表格3[SRP PRICE])</f>
        <v>2880</v>
      </c>
      <c r="T2676" s="43">
        <f>表格1[[#This Row],[Unit Price]]/表格1[[#This Row],[SRP]]</f>
        <v>0.72916666666666663</v>
      </c>
      <c r="U2676" s="86" t="str">
        <f>_xlfn.XLOOKUP(表格1[[#This Row],[Model]],表格3[Model-Input-Ref2],表格3[TOSHIBA/HIGHEST])</f>
        <v>Toshiba SRP</v>
      </c>
      <c r="W2676" s="86" t="str">
        <f>_xlfn.CONCAT(表格1[[#This Row],[欄4]],表格1[[#This Row],[inv no]])</f>
        <v>1723540</v>
      </c>
    </row>
    <row r="2677" spans="1:23" hidden="1">
      <c r="A2677" s="81">
        <v>2675</v>
      </c>
      <c r="B2677" s="86" t="s">
        <v>1477</v>
      </c>
      <c r="C2677" s="86" t="s">
        <v>1860</v>
      </c>
      <c r="D2677" s="82" t="str">
        <f ca="1">OFFSET(Roster!$A$3,MATCH(表格1[[#This Row],[Location]]&amp;" "&amp;表格1[[#This Row],[Shop]]&amp;"*",Roster!$A$4:$A$72,0),DAY(表格1[[#This Row],[date]]),1,1)</f>
        <v>Kiko</v>
      </c>
      <c r="E2677" s="86">
        <f>MONTH(表格1[[#This Row],[date]])</f>
        <v>3</v>
      </c>
      <c r="F2677" s="90">
        <v>46112</v>
      </c>
      <c r="G2677" s="86" t="str">
        <f>VLOOKUP("*"&amp;表格1[[#This Row],[Input]]&amp;"*",'Ref-List'!$B:$D,2,)</f>
        <v>ET-TD7080(PN)</v>
      </c>
      <c r="H2677" s="86" t="str">
        <f>_xlfn.XLOOKUP(表格1[[#This Row],[Model]],表格3[Model-Input-Ref2],表格3[Product Line])</f>
        <v>多士焗爐8L</v>
      </c>
      <c r="I2677" s="86" t="str">
        <f>_xlfn.XLOOKUP(表格1[[#This Row],[Model]],表格3[Model-Input-Ref2],表格3[大小電])</f>
        <v>細電</v>
      </c>
      <c r="J2677" s="86" t="str">
        <f>_xlfn.XLOOKUP(表格1[[#This Row],[Model]],表格3[Model-Input-Ref2],表格3[Code])</f>
        <v>SDA</v>
      </c>
      <c r="K2677" s="89">
        <v>7080</v>
      </c>
      <c r="L2677" s="86">
        <v>1</v>
      </c>
      <c r="M2677" s="87">
        <v>338</v>
      </c>
      <c r="N2677" s="87">
        <f>IFERROR(表格1[[#This Row],[QTY]]*表格1[[#This Row],[Unit Price]],"-")</f>
        <v>338</v>
      </c>
      <c r="O2677" s="86">
        <v>1723450</v>
      </c>
      <c r="R2677" s="86" t="str">
        <f>_xlfn.CONCAT(表格1[[#This Row],[Model]]," ",表格1[[#This Row],[inv no]])</f>
        <v>ET-TD7080(PN) 1723450</v>
      </c>
      <c r="S2677" s="86">
        <f>_xlfn.XLOOKUP(表格1[[#This Row],[Model]],表格3[Model-Input-Ref2],表格3[SRP PRICE])</f>
        <v>498</v>
      </c>
      <c r="T2677" s="43">
        <f>表格1[[#This Row],[Unit Price]]/表格1[[#This Row],[SRP]]</f>
        <v>0.67871485943775101</v>
      </c>
      <c r="U2677" s="86" t="str">
        <f>_xlfn.XLOOKUP(表格1[[#This Row],[Model]],表格3[Model-Input-Ref2],表格3[TOSHIBA/HIGHEST])</f>
        <v>Toshiba SRP</v>
      </c>
      <c r="W2677" s="86" t="str">
        <f>_xlfn.CONCAT(表格1[[#This Row],[欄4]],表格1[[#This Row],[inv no]])</f>
        <v>1723450</v>
      </c>
    </row>
    <row r="2678" spans="1:23" hidden="1">
      <c r="A2678" s="81">
        <v>2676</v>
      </c>
      <c r="B2678" s="86" t="s">
        <v>1477</v>
      </c>
      <c r="C2678" s="86" t="s">
        <v>1860</v>
      </c>
      <c r="D2678" s="82" t="str">
        <f ca="1">OFFSET(Roster!$A$3,MATCH(表格1[[#This Row],[Location]]&amp;" "&amp;表格1[[#This Row],[Shop]]&amp;"*",Roster!$A$4:$A$72,0),DAY(表格1[[#This Row],[date]]),1,1)</f>
        <v>Kiko</v>
      </c>
      <c r="E2678" s="86">
        <f>MONTH(表格1[[#This Row],[date]])</f>
        <v>3</v>
      </c>
      <c r="F2678" s="90">
        <v>46112</v>
      </c>
      <c r="G2678" s="86" t="str">
        <f>VLOOKUP("*"&amp;表格1[[#This Row],[Input]]&amp;"*",'Ref-List'!$B:$D,2,)</f>
        <v>MW3-SAC24SE(BK)</v>
      </c>
      <c r="H2678" s="86" t="str">
        <f>_xlfn.XLOOKUP(表格1[[#This Row],[Model]],表格3[Model-Input-Ref2],表格3[Product Line])</f>
        <v>智能氣炸烤焗爐(24公升)</v>
      </c>
      <c r="I2678" s="86" t="str">
        <f>_xlfn.XLOOKUP(表格1[[#This Row],[Model]],表格3[Model-Input-Ref2],表格3[大小電])</f>
        <v>細電</v>
      </c>
      <c r="J2678" s="86" t="str">
        <f>_xlfn.XLOOKUP(表格1[[#This Row],[Model]],表格3[Model-Input-Ref2],表格3[Code])</f>
        <v>MCA</v>
      </c>
      <c r="K2678" s="89" t="s">
        <v>1274</v>
      </c>
      <c r="L2678" s="86">
        <v>1</v>
      </c>
      <c r="M2678" s="87">
        <v>1320</v>
      </c>
      <c r="N2678" s="87">
        <f>IFERROR(表格1[[#This Row],[QTY]]*表格1[[#This Row],[Unit Price]],"-")</f>
        <v>1320</v>
      </c>
      <c r="O2678" s="86">
        <v>1327626</v>
      </c>
      <c r="R2678" s="86" t="str">
        <f>_xlfn.CONCAT(表格1[[#This Row],[Model]]," ",表格1[[#This Row],[inv no]])</f>
        <v>MW3-SAC24SE(BK) 1327626</v>
      </c>
      <c r="S2678" s="86">
        <f>_xlfn.XLOOKUP(表格1[[#This Row],[Model]],表格3[Model-Input-Ref2],表格3[SRP PRICE])</f>
        <v>1680</v>
      </c>
      <c r="T2678" s="43">
        <f>表格1[[#This Row],[Unit Price]]/表格1[[#This Row],[SRP]]</f>
        <v>0.7857142857142857</v>
      </c>
      <c r="U2678" s="86" t="str">
        <f>_xlfn.XLOOKUP(表格1[[#This Row],[Model]],表格3[Model-Input-Ref2],表格3[TOSHIBA/HIGHEST])</f>
        <v>Toshiba SRP</v>
      </c>
      <c r="W2678" s="86" t="str">
        <f>_xlfn.CONCAT(表格1[[#This Row],[欄4]],表格1[[#This Row],[inv no]])</f>
        <v>1327626</v>
      </c>
    </row>
    <row r="2679" spans="1:23" hidden="1">
      <c r="A2679" s="81">
        <v>2677</v>
      </c>
      <c r="B2679" s="86" t="s">
        <v>1477</v>
      </c>
      <c r="C2679" s="86" t="s">
        <v>1860</v>
      </c>
      <c r="D2679" s="82" t="str">
        <f ca="1">OFFSET(Roster!$A$3,MATCH(表格1[[#This Row],[Location]]&amp;" "&amp;表格1[[#This Row],[Shop]]&amp;"*",Roster!$A$4:$A$72,0),DAY(表格1[[#This Row],[date]]),1,1)</f>
        <v>Kiko</v>
      </c>
      <c r="E2679" s="86">
        <f>MONTH(表格1[[#This Row],[date]])</f>
        <v>3</v>
      </c>
      <c r="F2679" s="90">
        <v>46112</v>
      </c>
      <c r="G2679" s="86" t="str">
        <f>VLOOKUP("*"&amp;表格1[[#This Row],[Input]]&amp;"*",'Ref-List'!$B:$D,2,)</f>
        <v>RAD-D300H</v>
      </c>
      <c r="H2679" s="86" t="str">
        <f>_xlfn.XLOOKUP(表格1[[#This Row],[Model]],表格3[Model-Input-Ref2],表格3[Product Line])</f>
        <v>壓縮式抽濕機 (30公升)</v>
      </c>
      <c r="I2679" s="86" t="str">
        <f>_xlfn.XLOOKUP(表格1[[#This Row],[Model]],表格3[Model-Input-Ref2],表格3[大小電])</f>
        <v>細電</v>
      </c>
      <c r="J2679" s="86" t="str">
        <f>_xlfn.XLOOKUP(表格1[[#This Row],[Model]],表格3[Model-Input-Ref2],表格3[Code])</f>
        <v>RAC</v>
      </c>
      <c r="K2679" s="89" t="s">
        <v>1252</v>
      </c>
      <c r="L2679" s="86">
        <v>1</v>
      </c>
      <c r="M2679" s="87">
        <v>2280</v>
      </c>
      <c r="N2679" s="87">
        <f>IFERROR(表格1[[#This Row],[QTY]]*表格1[[#This Row],[Unit Price]],"-")</f>
        <v>2280</v>
      </c>
      <c r="O2679" s="86">
        <v>1327657</v>
      </c>
      <c r="R2679" s="86" t="str">
        <f>_xlfn.CONCAT(表格1[[#This Row],[Model]]," ",表格1[[#This Row],[inv no]])</f>
        <v>RAD-D300H 1327657</v>
      </c>
      <c r="S2679" s="86">
        <f>_xlfn.XLOOKUP(表格1[[#This Row],[Model]],表格3[Model-Input-Ref2],表格3[SRP PRICE])</f>
        <v>3380</v>
      </c>
      <c r="T2679" s="43">
        <f>表格1[[#This Row],[Unit Price]]/表格1[[#This Row],[SRP]]</f>
        <v>0.67455621301775148</v>
      </c>
      <c r="U2679" s="86" t="str">
        <f>_xlfn.XLOOKUP(表格1[[#This Row],[Model]],表格3[Model-Input-Ref2],表格3[TOSHIBA/HIGHEST])</f>
        <v>Shops Highest Price</v>
      </c>
      <c r="W2679" s="86" t="str">
        <f>_xlfn.CONCAT(表格1[[#This Row],[欄4]],表格1[[#This Row],[inv no]])</f>
        <v>1327657</v>
      </c>
    </row>
    <row r="2680" spans="1:23" hidden="1">
      <c r="A2680" s="81">
        <v>2678</v>
      </c>
      <c r="B2680" s="86" t="s">
        <v>1477</v>
      </c>
      <c r="C2680" s="86" t="s">
        <v>1860</v>
      </c>
      <c r="D2680" s="82" t="str">
        <f ca="1">OFFSET(Roster!$A$3,MATCH(表格1[[#This Row],[Location]]&amp;" "&amp;表格1[[#This Row],[Shop]]&amp;"*",Roster!$A$4:$A$72,0),DAY(表格1[[#This Row],[date]]),1,1)</f>
        <v>Kiko</v>
      </c>
      <c r="E2680" s="86">
        <f>MONTH(表格1[[#This Row],[date]])</f>
        <v>3</v>
      </c>
      <c r="F2680" s="90">
        <v>46112</v>
      </c>
      <c r="G2680" s="86" t="str">
        <f>VLOOKUP("*"&amp;表格1[[#This Row],[Input]]&amp;"*",'Ref-List'!$B:$D,2,)</f>
        <v>MWP-MG20P(BK)</v>
      </c>
      <c r="H2680" s="86" t="str">
        <f>_xlfn.XLOOKUP(表格1[[#This Row],[Model]],表格3[Model-Input-Ref2],表格3[Product Line])</f>
        <v>旋鈕式燒烤微波爐20L黑色</v>
      </c>
      <c r="I2680" s="86" t="str">
        <f>_xlfn.XLOOKUP(表格1[[#This Row],[Model]],表格3[Model-Input-Ref2],表格3[大小電])</f>
        <v>細電</v>
      </c>
      <c r="J2680" s="86" t="str">
        <f>_xlfn.XLOOKUP(表格1[[#This Row],[Model]],表格3[Model-Input-Ref2],表格3[Code])</f>
        <v>SDA</v>
      </c>
      <c r="K2680" s="89" t="s">
        <v>1485</v>
      </c>
      <c r="L2680" s="86">
        <v>1</v>
      </c>
      <c r="M2680" s="87">
        <v>698</v>
      </c>
      <c r="N2680" s="87">
        <f>IFERROR(表格1[[#This Row],[QTY]]*表格1[[#This Row],[Unit Price]],"-")</f>
        <v>698</v>
      </c>
      <c r="O2680" s="86">
        <v>1327622</v>
      </c>
      <c r="R2680" s="86" t="str">
        <f>_xlfn.CONCAT(表格1[[#This Row],[Model]]," ",表格1[[#This Row],[inv no]])</f>
        <v>MWP-MG20P(BK) 1327622</v>
      </c>
      <c r="S2680" s="86">
        <f>_xlfn.XLOOKUP(表格1[[#This Row],[Model]],表格3[Model-Input-Ref2],表格3[SRP PRICE])</f>
        <v>918</v>
      </c>
      <c r="T2680" s="43">
        <f>表格1[[#This Row],[Unit Price]]/表格1[[#This Row],[SRP]]</f>
        <v>0.76034858387799564</v>
      </c>
      <c r="U2680" s="86" t="str">
        <f>_xlfn.XLOOKUP(表格1[[#This Row],[Model]],表格3[Model-Input-Ref2],表格3[TOSHIBA/HIGHEST])</f>
        <v>Toshiba SRP</v>
      </c>
      <c r="W2680" s="86" t="str">
        <f>_xlfn.CONCAT(表格1[[#This Row],[欄4]],表格1[[#This Row],[inv no]])</f>
        <v>1327622</v>
      </c>
    </row>
    <row r="2681" spans="1:23" hidden="1">
      <c r="A2681" s="81">
        <v>2679</v>
      </c>
      <c r="B2681" s="86" t="s">
        <v>1477</v>
      </c>
      <c r="C2681" s="86" t="s">
        <v>1860</v>
      </c>
      <c r="D2681" s="82" t="str">
        <f ca="1">OFFSET(Roster!$A$3,MATCH(表格1[[#This Row],[Location]]&amp;" "&amp;表格1[[#This Row],[Shop]]&amp;"*",Roster!$A$4:$A$72,0),DAY(表格1[[#This Row],[date]]),1,1)</f>
        <v>Kiko</v>
      </c>
      <c r="E2681" s="86">
        <f>MONTH(表格1[[#This Row],[date]])</f>
        <v>3</v>
      </c>
      <c r="F2681" s="90">
        <v>46112</v>
      </c>
      <c r="G2681" s="86" t="str">
        <f>VLOOKUP("*"&amp;表格1[[#This Row],[Input]]&amp;"*",'Ref-List'!$B:$D,2,)</f>
        <v>MM2-EG20PC(WH)</v>
      </c>
      <c r="H2681" s="86" t="str">
        <f>_xlfn.XLOOKUP(表格1[[#This Row],[Model]],表格3[Model-Input-Ref2],表格3[Product Line])</f>
        <v>輕觸式燒烤微波爐</v>
      </c>
      <c r="I2681" s="86" t="str">
        <f>_xlfn.XLOOKUP(表格1[[#This Row],[Model]],表格3[Model-Input-Ref2],表格3[大小電])</f>
        <v>細電</v>
      </c>
      <c r="J2681" s="86" t="str">
        <f>_xlfn.XLOOKUP(表格1[[#This Row],[Model]],表格3[Model-Input-Ref2],表格3[Code])</f>
        <v>MCA</v>
      </c>
      <c r="K2681" s="89" t="s">
        <v>1273</v>
      </c>
      <c r="L2681" s="86">
        <v>1</v>
      </c>
      <c r="M2681" s="87">
        <v>698</v>
      </c>
      <c r="N2681" s="87">
        <f>IFERROR(表格1[[#This Row],[QTY]]*表格1[[#This Row],[Unit Price]],"-")</f>
        <v>698</v>
      </c>
      <c r="O2681" s="86">
        <v>1327665</v>
      </c>
      <c r="R2681" s="86" t="str">
        <f>_xlfn.CONCAT(表格1[[#This Row],[Model]]," ",表格1[[#This Row],[inv no]])</f>
        <v>MM2-EG20PC(WH) 1327665</v>
      </c>
      <c r="S2681" s="86">
        <f>_xlfn.XLOOKUP(表格1[[#This Row],[Model]],表格3[Model-Input-Ref2],表格3[SRP PRICE])</f>
        <v>918</v>
      </c>
      <c r="T2681" s="43">
        <f>表格1[[#This Row],[Unit Price]]/表格1[[#This Row],[SRP]]</f>
        <v>0.76034858387799564</v>
      </c>
      <c r="U2681" s="86" t="str">
        <f>_xlfn.XLOOKUP(表格1[[#This Row],[Model]],表格3[Model-Input-Ref2],表格3[TOSHIBA/HIGHEST])</f>
        <v>Shops Highest Price</v>
      </c>
      <c r="W2681" s="86" t="str">
        <f>_xlfn.CONCAT(表格1[[#This Row],[欄4]],表格1[[#This Row],[inv no]])</f>
        <v>1327665</v>
      </c>
    </row>
    <row r="2682" spans="1:23" hidden="1">
      <c r="A2682" s="81">
        <v>2680</v>
      </c>
      <c r="B2682" s="86" t="s">
        <v>1477</v>
      </c>
      <c r="C2682" s="86" t="s">
        <v>1860</v>
      </c>
      <c r="D2682" s="82" t="str">
        <f ca="1">OFFSET(Roster!$A$3,MATCH(表格1[[#This Row],[Location]]&amp;" "&amp;表格1[[#This Row],[Shop]]&amp;"*",Roster!$A$4:$A$72,0),DAY(表格1[[#This Row],[date]]),1,1)</f>
        <v>Kiko</v>
      </c>
      <c r="E2682" s="86">
        <f>MONTH(表格1[[#This Row],[date]])</f>
        <v>3</v>
      </c>
      <c r="F2682" s="90">
        <v>46112</v>
      </c>
      <c r="G2682" s="86" t="str">
        <f>VLOOKUP("*"&amp;表格1[[#This Row],[Input]]&amp;"*",'Ref-List'!$B:$D,2,)</f>
        <v>RC-10AMXH(W)</v>
      </c>
      <c r="H2682" s="86" t="str">
        <f>_xlfn.XLOOKUP(表格1[[#This Row],[Model]],表格3[Model-Input-Ref2],表格3[Product Line])</f>
        <v>酵活炊電飯煲(1.0公升)</v>
      </c>
      <c r="I2682" s="86" t="str">
        <f>_xlfn.XLOOKUP(表格1[[#This Row],[Model]],表格3[Model-Input-Ref2],表格3[大小電])</f>
        <v>細電</v>
      </c>
      <c r="J2682" s="86" t="str">
        <f>_xlfn.XLOOKUP(表格1[[#This Row],[Model]],表格3[Model-Input-Ref2],表格3[Code])</f>
        <v>SDA</v>
      </c>
      <c r="K2682" s="89" t="s">
        <v>1279</v>
      </c>
      <c r="L2682" s="86">
        <v>1</v>
      </c>
      <c r="M2682" s="87">
        <v>990</v>
      </c>
      <c r="N2682" s="87">
        <f>IFERROR(表格1[[#This Row],[QTY]]*表格1[[#This Row],[Unit Price]],"-")</f>
        <v>990</v>
      </c>
      <c r="O2682" s="86">
        <v>1723670</v>
      </c>
      <c r="R2682" s="86" t="str">
        <f>_xlfn.CONCAT(表格1[[#This Row],[Model]]," ",表格1[[#This Row],[inv no]])</f>
        <v>RC-10AMXH(W) 1723670</v>
      </c>
      <c r="S2682" s="86">
        <f>_xlfn.XLOOKUP(表格1[[#This Row],[Model]],表格3[Model-Input-Ref2],表格3[SRP PRICE])</f>
        <v>1288</v>
      </c>
      <c r="T2682" s="43">
        <f>表格1[[#This Row],[Unit Price]]/表格1[[#This Row],[SRP]]</f>
        <v>0.76863354037267084</v>
      </c>
      <c r="U2682" s="86" t="str">
        <f>_xlfn.XLOOKUP(表格1[[#This Row],[Model]],表格3[Model-Input-Ref2],表格3[TOSHIBA/HIGHEST])</f>
        <v>Toshiba SRP</v>
      </c>
      <c r="W2682" s="86" t="str">
        <f>_xlfn.CONCAT(表格1[[#This Row],[欄4]],表格1[[#This Row],[inv no]])</f>
        <v>1723670</v>
      </c>
    </row>
    <row r="2683" spans="1:23" hidden="1">
      <c r="A2683" s="81">
        <v>2681</v>
      </c>
      <c r="B2683" s="86" t="s">
        <v>1867</v>
      </c>
      <c r="C2683" s="86" t="s">
        <v>1868</v>
      </c>
      <c r="D2683" s="82" t="str">
        <f ca="1">OFFSET(Roster!$A$3,MATCH(表格1[[#This Row],[Location]]&amp;" "&amp;表格1[[#This Row],[Shop]]&amp;"*",Roster!$A$4:$A$72,0),DAY(表格1[[#This Row],[date]]),1,1)</f>
        <v>Amy Or_2</v>
      </c>
      <c r="E2683" s="86">
        <f>MONTH(表格1[[#This Row],[date]])</f>
        <v>3</v>
      </c>
      <c r="F2683" s="90">
        <v>46095</v>
      </c>
      <c r="G2683" s="86" t="str">
        <f>VLOOKUP("*"&amp;表格1[[#This Row],[Input]]&amp;"*",'Ref-List'!$B:$D,2,)</f>
        <v>MX2-STR25SC(WH)</v>
      </c>
      <c r="H2683" s="86" t="str">
        <f>_xlfn.XLOOKUP(表格1[[#This Row],[Model]],表格3[Model-Input-Ref2],表格3[Product Line])</f>
        <v>4合1氣炸微波蒸焗爐(25公升)</v>
      </c>
      <c r="I2683" s="86" t="str">
        <f>_xlfn.XLOOKUP(表格1[[#This Row],[Model]],表格3[Model-Input-Ref2],表格3[大小電])</f>
        <v>細電</v>
      </c>
      <c r="J2683" s="86" t="str">
        <f>_xlfn.XLOOKUP(表格1[[#This Row],[Model]],表格3[Model-Input-Ref2],表格3[Code])</f>
        <v>MCA</v>
      </c>
      <c r="K2683" s="89" t="s">
        <v>1410</v>
      </c>
      <c r="L2683" s="86">
        <v>1</v>
      </c>
      <c r="M2683" s="87">
        <v>3327</v>
      </c>
      <c r="N2683" s="87">
        <f>IFERROR(表格1[[#This Row],[QTY]]*表格1[[#This Row],[Unit Price]],"-")</f>
        <v>3327</v>
      </c>
      <c r="O2683" s="86">
        <v>2630558</v>
      </c>
      <c r="R2683" s="86" t="str">
        <f>_xlfn.CONCAT(表格1[[#This Row],[Model]]," ",表格1[[#This Row],[inv no]])</f>
        <v>MX2-STR25SC(WH) 2630558</v>
      </c>
      <c r="S2683" s="86">
        <f>_xlfn.XLOOKUP(表格1[[#This Row],[Model]],表格3[Model-Input-Ref2],表格3[SRP PRICE])</f>
        <v>4998</v>
      </c>
      <c r="T2683" s="43">
        <f>表格1[[#This Row],[Unit Price]]/表格1[[#This Row],[SRP]]</f>
        <v>0.66566626650660266</v>
      </c>
      <c r="U2683" s="86" t="str">
        <f>_xlfn.XLOOKUP(表格1[[#This Row],[Model]],表格3[Model-Input-Ref2],表格3[TOSHIBA/HIGHEST])</f>
        <v>Toshiba SRP</v>
      </c>
      <c r="W2683" s="86" t="str">
        <f>_xlfn.CONCAT(表格1[[#This Row],[欄4]],表格1[[#This Row],[inv no]])</f>
        <v>2630558</v>
      </c>
    </row>
    <row r="2684" spans="1:23" hidden="1">
      <c r="A2684" s="81">
        <v>2682</v>
      </c>
      <c r="B2684" s="86" t="s">
        <v>1867</v>
      </c>
      <c r="C2684" s="86" t="s">
        <v>1868</v>
      </c>
      <c r="D2684" s="82" t="str">
        <f ca="1">OFFSET(Roster!$A$3,MATCH(表格1[[#This Row],[Location]]&amp;" "&amp;表格1[[#This Row],[Shop]]&amp;"*",Roster!$A$4:$A$72,0),DAY(表格1[[#This Row],[date]]),1,1)</f>
        <v>Amy Or_2</v>
      </c>
      <c r="E2684" s="86">
        <f>MONTH(表格1[[#This Row],[date]])</f>
        <v>3</v>
      </c>
      <c r="F2684" s="90">
        <v>46095</v>
      </c>
      <c r="G2684" s="86" t="str">
        <f>VLOOKUP("*"&amp;表格1[[#This Row],[Input]]&amp;"*",'Ref-List'!$B:$D,2,)</f>
        <v>EB-T500APW</v>
      </c>
      <c r="H2684" s="86" t="str">
        <f>_xlfn.XLOOKUP(表格1[[#This Row],[Model]],表格3[Model-Input-Ref2],表格3[Product Line])</f>
        <v>JAPANDi 嵌入式微波氣炸蒸焗爐 (45厘米)</v>
      </c>
      <c r="I2684" s="86" t="str">
        <f>_xlfn.XLOOKUP(表格1[[#This Row],[Model]],表格3[Model-Input-Ref2],表格3[大小電])</f>
        <v>大電</v>
      </c>
      <c r="J2684" s="86" t="str">
        <f>_xlfn.XLOOKUP(表格1[[#This Row],[Model]],表格3[Model-Input-Ref2],表格3[Code])</f>
        <v>MCA</v>
      </c>
      <c r="K2684" s="89" t="s">
        <v>1528</v>
      </c>
      <c r="L2684" s="86">
        <v>1</v>
      </c>
      <c r="M2684" s="87">
        <v>13386</v>
      </c>
      <c r="N2684" s="87">
        <f>IFERROR(表格1[[#This Row],[QTY]]*表格1[[#This Row],[Unit Price]],"-")</f>
        <v>13386</v>
      </c>
      <c r="O2684" s="86">
        <v>2630561</v>
      </c>
      <c r="R2684" s="86" t="str">
        <f>_xlfn.CONCAT(表格1[[#This Row],[Model]]," ",表格1[[#This Row],[inv no]])</f>
        <v>EB-T500APW 2630561</v>
      </c>
      <c r="S2684" s="86">
        <f>_xlfn.XLOOKUP(表格1[[#This Row],[Model]],表格3[Model-Input-Ref2],表格3[SRP PRICE])</f>
        <v>28800</v>
      </c>
      <c r="T2684" s="43">
        <f>表格1[[#This Row],[Unit Price]]/表格1[[#This Row],[SRP]]</f>
        <v>0.46479166666666666</v>
      </c>
      <c r="U2684" s="86" t="str">
        <f>_xlfn.XLOOKUP(表格1[[#This Row],[Model]],表格3[Model-Input-Ref2],表格3[TOSHIBA/HIGHEST])</f>
        <v>Toshiba SRP</v>
      </c>
      <c r="W2684" s="86" t="str">
        <f>_xlfn.CONCAT(表格1[[#This Row],[欄4]],表格1[[#This Row],[inv no]])</f>
        <v>2630561</v>
      </c>
    </row>
    <row r="2685" spans="1:23" hidden="1">
      <c r="A2685" s="81">
        <v>2683</v>
      </c>
      <c r="B2685" s="86" t="s">
        <v>1867</v>
      </c>
      <c r="C2685" s="86" t="s">
        <v>1868</v>
      </c>
      <c r="D2685" s="82" t="str">
        <f ca="1">OFFSET(Roster!$A$3,MATCH(表格1[[#This Row],[Location]]&amp;" "&amp;表格1[[#This Row],[Shop]]&amp;"*",Roster!$A$4:$A$72,0),DAY(表格1[[#This Row],[date]]),1,1)</f>
        <v>Amy Or_2</v>
      </c>
      <c r="E2685" s="86">
        <f>MONTH(表格1[[#This Row],[date]])</f>
        <v>3</v>
      </c>
      <c r="F2685" s="90">
        <v>46095</v>
      </c>
      <c r="G2685" s="86" t="str">
        <f>VLOOKUP("*"&amp;表格1[[#This Row],[Input]]&amp;"*",'Ref-List'!$B:$D,2,)</f>
        <v>RAD-D200H</v>
      </c>
      <c r="H2685" s="86" t="str">
        <f>_xlfn.XLOOKUP(表格1[[#This Row],[Model]],表格3[Model-Input-Ref2],表格3[Product Line])</f>
        <v>壓縮式抽濕機 (22公升)</v>
      </c>
      <c r="I2685" s="86" t="str">
        <f>_xlfn.XLOOKUP(表格1[[#This Row],[Model]],表格3[Model-Input-Ref2],表格3[大小電])</f>
        <v>細電</v>
      </c>
      <c r="J2685" s="86" t="str">
        <f>_xlfn.XLOOKUP(表格1[[#This Row],[Model]],表格3[Model-Input-Ref2],表格3[Code])</f>
        <v>RAC</v>
      </c>
      <c r="K2685" s="89" t="s">
        <v>1250</v>
      </c>
      <c r="L2685" s="86">
        <v>1</v>
      </c>
      <c r="M2685" s="87">
        <v>1921</v>
      </c>
      <c r="N2685" s="87">
        <f>IFERROR(表格1[[#This Row],[QTY]]*表格1[[#This Row],[Unit Price]],"-")</f>
        <v>1921</v>
      </c>
      <c r="O2685" s="86">
        <v>2630562</v>
      </c>
      <c r="R2685" s="86" t="str">
        <f>_xlfn.CONCAT(表格1[[#This Row],[Model]]," ",表格1[[#This Row],[inv no]])</f>
        <v>RAD-D200H 2630562</v>
      </c>
      <c r="S2685" s="86">
        <f>_xlfn.XLOOKUP(表格1[[#This Row],[Model]],表格3[Model-Input-Ref2],表格3[SRP PRICE])</f>
        <v>2880</v>
      </c>
      <c r="T2685" s="43">
        <f>表格1[[#This Row],[Unit Price]]/表格1[[#This Row],[SRP]]</f>
        <v>0.66701388888888891</v>
      </c>
      <c r="U2685" s="86" t="str">
        <f>_xlfn.XLOOKUP(表格1[[#This Row],[Model]],表格3[Model-Input-Ref2],表格3[TOSHIBA/HIGHEST])</f>
        <v>Shops Highest Price</v>
      </c>
      <c r="W2685" s="86" t="str">
        <f>_xlfn.CONCAT(表格1[[#This Row],[欄4]],表格1[[#This Row],[inv no]])</f>
        <v>2630562</v>
      </c>
    </row>
    <row r="2686" spans="1:23" hidden="1">
      <c r="A2686" s="81">
        <v>2684</v>
      </c>
      <c r="B2686" s="86" t="s">
        <v>1867</v>
      </c>
      <c r="C2686" s="86" t="s">
        <v>1868</v>
      </c>
      <c r="D2686" s="82" t="str">
        <f ca="1">OFFSET(Roster!$A$3,MATCH(表格1[[#This Row],[Location]]&amp;" "&amp;表格1[[#This Row],[Shop]]&amp;"*",Roster!$A$4:$A$72,0),DAY(表格1[[#This Row],[date]]),1,1)</f>
        <v>Amy Or_2</v>
      </c>
      <c r="E2686" s="86">
        <f>MONTH(表格1[[#This Row],[date]])</f>
        <v>3</v>
      </c>
      <c r="F2686" s="90">
        <v>46096</v>
      </c>
      <c r="G2686" s="86" t="str">
        <f>VLOOKUP("*"&amp;表格1[[#This Row],[Input]]&amp;"*",'Ref-List'!$B:$D,2,)</f>
        <v>GR-RT300WE-PMA(57)</v>
      </c>
      <c r="H2686" s="86" t="str">
        <f>_xlfn.XLOOKUP(表格1[[#This Row],[Model]],表格3[Model-Input-Ref2],表格3[Product Line])</f>
        <v>變頻式環保雙門雪櫃(233L)</v>
      </c>
      <c r="I2686" s="86" t="str">
        <f>_xlfn.XLOOKUP(表格1[[#This Row],[Model]],表格3[Model-Input-Ref2],表格3[大小電])</f>
        <v>大電</v>
      </c>
      <c r="J2686" s="86" t="str">
        <f>_xlfn.XLOOKUP(表格1[[#This Row],[Model]],表格3[Model-Input-Ref2],表格3[Code])</f>
        <v>REF</v>
      </c>
      <c r="K2686" s="89" t="s">
        <v>1462</v>
      </c>
      <c r="L2686" s="86">
        <v>1</v>
      </c>
      <c r="M2686" s="87">
        <v>2697</v>
      </c>
      <c r="N2686" s="87">
        <f>IFERROR(表格1[[#This Row],[QTY]]*表格1[[#This Row],[Unit Price]],"-")</f>
        <v>2697</v>
      </c>
      <c r="O2686" s="86">
        <v>2630624</v>
      </c>
      <c r="R2686" s="86" t="str">
        <f>_xlfn.CONCAT(表格1[[#This Row],[Model]]," ",表格1[[#This Row],[inv no]])</f>
        <v>GR-RT300WE-PMA(57) 2630624</v>
      </c>
      <c r="S2686" s="86">
        <f>_xlfn.XLOOKUP(表格1[[#This Row],[Model]],表格3[Model-Input-Ref2],表格3[SRP PRICE])</f>
        <v>4280</v>
      </c>
      <c r="T2686" s="43">
        <f>表格1[[#This Row],[Unit Price]]/表格1[[#This Row],[SRP]]</f>
        <v>0.6301401869158878</v>
      </c>
      <c r="U2686" s="86" t="str">
        <f>_xlfn.XLOOKUP(表格1[[#This Row],[Model]],表格3[Model-Input-Ref2],表格3[TOSHIBA/HIGHEST])</f>
        <v>Toshiba SRP</v>
      </c>
      <c r="W2686" s="86" t="str">
        <f>_xlfn.CONCAT(表格1[[#This Row],[欄4]],表格1[[#This Row],[inv no]])</f>
        <v>2630624</v>
      </c>
    </row>
    <row r="2687" spans="1:23" hidden="1">
      <c r="A2687" s="81">
        <v>2685</v>
      </c>
      <c r="B2687" s="86" t="s">
        <v>1867</v>
      </c>
      <c r="C2687" s="86" t="s">
        <v>1868</v>
      </c>
      <c r="D2687" s="82" t="str">
        <f ca="1">OFFSET(Roster!$A$3,MATCH(表格1[[#This Row],[Location]]&amp;" "&amp;表格1[[#This Row],[Shop]]&amp;"*",Roster!$A$4:$A$72,0),DAY(表格1[[#This Row],[date]]),1,1)</f>
        <v>Amy Or_2</v>
      </c>
      <c r="E2687" s="86">
        <f>MONTH(表格1[[#This Row],[date]])</f>
        <v>3</v>
      </c>
      <c r="F2687" s="90">
        <v>46100</v>
      </c>
      <c r="G2687" s="86" t="str">
        <f>VLOOKUP("*"&amp;表格1[[#This Row],[Input]]&amp;"*",'Ref-List'!$B:$D,2,)</f>
        <v>ER-TD5000HK(XK)</v>
      </c>
      <c r="H2687" s="86" t="str">
        <f>_xlfn.XLOOKUP(表格1[[#This Row],[Model]],表格3[Model-Input-Ref2],表格3[Product Line])</f>
        <v>座檯式純蒸氣烤焗水波爐30L</v>
      </c>
      <c r="I2687" s="86" t="str">
        <f>_xlfn.XLOOKUP(表格1[[#This Row],[Model]],表格3[Model-Input-Ref2],表格3[大小電])</f>
        <v>細電</v>
      </c>
      <c r="J2687" s="86" t="str">
        <f>_xlfn.XLOOKUP(表格1[[#This Row],[Model]],表格3[Model-Input-Ref2],表格3[Code])</f>
        <v>SDA</v>
      </c>
      <c r="K2687" s="89" t="s">
        <v>1205</v>
      </c>
      <c r="L2687" s="86">
        <v>1</v>
      </c>
      <c r="M2687" s="87">
        <v>4848</v>
      </c>
      <c r="N2687" s="87">
        <f>IFERROR(表格1[[#This Row],[QTY]]*表格1[[#This Row],[Unit Price]],"-")</f>
        <v>4848</v>
      </c>
      <c r="O2687" s="86">
        <v>2630753</v>
      </c>
      <c r="R2687" s="86" t="str">
        <f>_xlfn.CONCAT(表格1[[#This Row],[Model]]," ",表格1[[#This Row],[inv no]])</f>
        <v>ER-TD5000HK(XK) 2630753</v>
      </c>
      <c r="S2687" s="86">
        <f>_xlfn.XLOOKUP(表格1[[#This Row],[Model]],表格3[Model-Input-Ref2],表格3[SRP PRICE])</f>
        <v>7998</v>
      </c>
      <c r="T2687" s="43">
        <f>表格1[[#This Row],[Unit Price]]/表格1[[#This Row],[SRP]]</f>
        <v>0.60615153788447107</v>
      </c>
      <c r="U2687" s="86" t="str">
        <f>_xlfn.XLOOKUP(表格1[[#This Row],[Model]],表格3[Model-Input-Ref2],表格3[TOSHIBA/HIGHEST])</f>
        <v>Toshiba SRP</v>
      </c>
      <c r="W2687" s="86" t="str">
        <f>_xlfn.CONCAT(表格1[[#This Row],[欄4]],表格1[[#This Row],[inv no]])</f>
        <v>2630753</v>
      </c>
    </row>
    <row r="2688" spans="1:23" hidden="1">
      <c r="A2688" s="81">
        <v>2686</v>
      </c>
      <c r="B2688" s="86" t="s">
        <v>1867</v>
      </c>
      <c r="C2688" s="86" t="s">
        <v>1868</v>
      </c>
      <c r="D2688" s="82" t="str">
        <f ca="1">OFFSET(Roster!$A$3,MATCH(表格1[[#This Row],[Location]]&amp;" "&amp;表格1[[#This Row],[Shop]]&amp;"*",Roster!$A$4:$A$72,0),DAY(表格1[[#This Row],[date]]),1,1)</f>
        <v>Amy Or_2</v>
      </c>
      <c r="E2688" s="86">
        <f>MONTH(表格1[[#This Row],[date]])</f>
        <v>3</v>
      </c>
      <c r="F2688" s="90">
        <v>46100</v>
      </c>
      <c r="G2688" s="86" t="str">
        <f>VLOOKUP("*"&amp;表格1[[#This Row],[Input]]&amp;"*",'Ref-List'!$B:$D,2,)</f>
        <v>ER-VD7000HK(XK)</v>
      </c>
      <c r="H2688" s="86" t="str">
        <f>_xlfn.XLOOKUP(表格1[[#This Row],[Model]],表格3[Model-Input-Ref2],表格3[Product Line])</f>
        <v>水波爐</v>
      </c>
      <c r="I2688" s="86" t="str">
        <f>_xlfn.XLOOKUP(表格1[[#This Row],[Model]],表格3[Model-Input-Ref2],表格3[大小電])</f>
        <v>細電</v>
      </c>
      <c r="J2688" s="86" t="str">
        <f>_xlfn.XLOOKUP(表格1[[#This Row],[Model]],表格3[Model-Input-Ref2],表格3[Code])</f>
        <v>MCA</v>
      </c>
      <c r="K2688" s="89" t="s">
        <v>1469</v>
      </c>
      <c r="L2688" s="86">
        <v>1</v>
      </c>
      <c r="M2688" s="87">
        <v>5887</v>
      </c>
      <c r="N2688" s="87">
        <f>IFERROR(表格1[[#This Row],[QTY]]*表格1[[#This Row],[Unit Price]],"-")</f>
        <v>5887</v>
      </c>
      <c r="O2688" s="86">
        <v>2630797</v>
      </c>
      <c r="R2688" s="86" t="str">
        <f>_xlfn.CONCAT(表格1[[#This Row],[Model]]," ",表格1[[#This Row],[inv no]])</f>
        <v>ER-VD7000HK(XK) 2630797</v>
      </c>
      <c r="S2688" s="86">
        <f>_xlfn.XLOOKUP(表格1[[#This Row],[Model]],表格3[Model-Input-Ref2],表格3[SRP PRICE])</f>
        <v>8998</v>
      </c>
      <c r="T2688" s="43">
        <f>表格1[[#This Row],[Unit Price]]/表格1[[#This Row],[SRP]]</f>
        <v>0.65425650144476555</v>
      </c>
      <c r="U2688" s="86" t="str">
        <f>_xlfn.XLOOKUP(表格1[[#This Row],[Model]],表格3[Model-Input-Ref2],表格3[TOSHIBA/HIGHEST])</f>
        <v>Toshiba SRP</v>
      </c>
      <c r="W2688" s="86" t="str">
        <f>_xlfn.CONCAT(表格1[[#This Row],[欄4]],表格1[[#This Row],[inv no]])</f>
        <v>2630797</v>
      </c>
    </row>
    <row r="2689" spans="1:23" hidden="1">
      <c r="A2689" s="81">
        <v>2687</v>
      </c>
      <c r="B2689" s="86" t="s">
        <v>1867</v>
      </c>
      <c r="C2689" s="86" t="s">
        <v>1868</v>
      </c>
      <c r="D2689" s="82" t="str">
        <f ca="1">OFFSET(Roster!$A$3,MATCH(表格1[[#This Row],[Location]]&amp;" "&amp;表格1[[#This Row],[Shop]]&amp;"*",Roster!$A$4:$A$72,0),DAY(表格1[[#This Row],[date]]),1,1)</f>
        <v>Amy Or_2</v>
      </c>
      <c r="E2689" s="86">
        <f>MONTH(表格1[[#This Row],[date]])</f>
        <v>3</v>
      </c>
      <c r="F2689" s="90">
        <v>46101</v>
      </c>
      <c r="G2689" s="86" t="str">
        <f>VLOOKUP("*"&amp;表格1[[#This Row],[Input]]&amp;"*",'Ref-List'!$B:$D,2,)</f>
        <v>TL-MC35Z</v>
      </c>
      <c r="H2689" s="86" t="str">
        <f>_xlfn.XLOOKUP(表格1[[#This Row],[Model]],表格3[Model-Input-Ref2],表格3[Product Line])</f>
        <v>35L多功能電焗爐</v>
      </c>
      <c r="I2689" s="86" t="str">
        <f>_xlfn.XLOOKUP(表格1[[#This Row],[Model]],表格3[Model-Input-Ref2],表格3[大小電])</f>
        <v>細電</v>
      </c>
      <c r="J2689" s="86" t="str">
        <f>_xlfn.XLOOKUP(表格1[[#This Row],[Model]],表格3[Model-Input-Ref2],表格3[Code])</f>
        <v>SDA</v>
      </c>
      <c r="K2689" s="89" t="s">
        <v>1295</v>
      </c>
      <c r="L2689" s="86">
        <v>1</v>
      </c>
      <c r="M2689" s="87">
        <v>861</v>
      </c>
      <c r="N2689" s="87">
        <f>IFERROR(表格1[[#This Row],[QTY]]*表格1[[#This Row],[Unit Price]],"-")</f>
        <v>861</v>
      </c>
      <c r="O2689" s="86">
        <v>2630836</v>
      </c>
      <c r="R2689" s="86" t="str">
        <f>_xlfn.CONCAT(表格1[[#This Row],[Model]]," ",表格1[[#This Row],[inv no]])</f>
        <v>TL-MC35Z 2630836</v>
      </c>
      <c r="S2689" s="86">
        <f>_xlfn.XLOOKUP(表格1[[#This Row],[Model]],表格3[Model-Input-Ref2],表格3[SRP PRICE])</f>
        <v>1098</v>
      </c>
      <c r="T2689" s="43">
        <f>表格1[[#This Row],[Unit Price]]/表格1[[#This Row],[SRP]]</f>
        <v>0.78415300546448086</v>
      </c>
      <c r="U2689" s="86" t="str">
        <f>_xlfn.XLOOKUP(表格1[[#This Row],[Model]],表格3[Model-Input-Ref2],表格3[TOSHIBA/HIGHEST])</f>
        <v>Toshiba SRP</v>
      </c>
      <c r="W2689" s="86" t="str">
        <f>_xlfn.CONCAT(表格1[[#This Row],[欄4]],表格1[[#This Row],[inv no]])</f>
        <v>2630836</v>
      </c>
    </row>
    <row r="2690" spans="1:23" hidden="1">
      <c r="A2690" s="81">
        <v>2688</v>
      </c>
      <c r="B2690" s="86" t="s">
        <v>1867</v>
      </c>
      <c r="C2690" s="86" t="s">
        <v>1868</v>
      </c>
      <c r="D2690" s="82" t="str">
        <f ca="1">OFFSET(Roster!$A$3,MATCH(表格1[[#This Row],[Location]]&amp;" "&amp;表格1[[#This Row],[Shop]]&amp;"*",Roster!$A$4:$A$72,0),DAY(表格1[[#This Row],[date]]),1,1)</f>
        <v>Amy Or_2</v>
      </c>
      <c r="E2690" s="86">
        <f>MONTH(表格1[[#This Row],[date]])</f>
        <v>3</v>
      </c>
      <c r="F2690" s="90">
        <v>46101</v>
      </c>
      <c r="G2690" s="86" t="str">
        <f>VLOOKUP("*"&amp;表格1[[#This Row],[Input]]&amp;"*",'Ref-List'!$B:$D,2,)</f>
        <v>DW-05T2-HK</v>
      </c>
      <c r="H2690" s="86" t="str">
        <f>_xlfn.XLOOKUP(表格1[[#This Row],[Model]],表格3[Model-Input-Ref2],表格3[Product Line])</f>
        <v>座檯式洗碗碟機</v>
      </c>
      <c r="I2690" s="86" t="str">
        <f>_xlfn.XLOOKUP(表格1[[#This Row],[Model]],表格3[Model-Input-Ref2],表格3[大小電])</f>
        <v>細電</v>
      </c>
      <c r="J2690" s="86" t="str">
        <f>_xlfn.XLOOKUP(表格1[[#This Row],[Model]],表格3[Model-Input-Ref2],表格3[Code])</f>
        <v>DW</v>
      </c>
      <c r="K2690" s="89" t="s">
        <v>1475</v>
      </c>
      <c r="L2690" s="86">
        <v>1</v>
      </c>
      <c r="M2690" s="87">
        <v>3549</v>
      </c>
      <c r="N2690" s="87">
        <f>IFERROR(表格1[[#This Row],[QTY]]*表格1[[#This Row],[Unit Price]],"-")</f>
        <v>3549</v>
      </c>
      <c r="O2690" s="86">
        <v>2630844</v>
      </c>
      <c r="R2690" s="86" t="str">
        <f>_xlfn.CONCAT(表格1[[#This Row],[Model]]," ",表格1[[#This Row],[inv no]])</f>
        <v>DW-05T2-HK 2630844</v>
      </c>
      <c r="S2690" s="86">
        <f>_xlfn.XLOOKUP(表格1[[#This Row],[Model]],表格3[Model-Input-Ref2],表格3[SRP PRICE])</f>
        <v>4580</v>
      </c>
      <c r="T2690" s="43">
        <f>表格1[[#This Row],[Unit Price]]/表格1[[#This Row],[SRP]]</f>
        <v>0.7748908296943231</v>
      </c>
      <c r="U2690" s="86" t="str">
        <f>_xlfn.XLOOKUP(表格1[[#This Row],[Model]],表格3[Model-Input-Ref2],表格3[TOSHIBA/HIGHEST])</f>
        <v>Toshiba SRP</v>
      </c>
      <c r="W2690" s="86" t="str">
        <f>_xlfn.CONCAT(表格1[[#This Row],[欄4]],表格1[[#This Row],[inv no]])</f>
        <v>2630844</v>
      </c>
    </row>
    <row r="2691" spans="1:23" hidden="1">
      <c r="A2691" s="81">
        <v>2689</v>
      </c>
      <c r="B2691" s="86" t="s">
        <v>1867</v>
      </c>
      <c r="C2691" s="86" t="s">
        <v>1868</v>
      </c>
      <c r="D2691" s="82" t="str">
        <f ca="1">OFFSET(Roster!$A$3,MATCH(表格1[[#This Row],[Location]]&amp;" "&amp;表格1[[#This Row],[Shop]]&amp;"*",Roster!$A$4:$A$72,0),DAY(表格1[[#This Row],[date]]),1,1)</f>
        <v>Amy Or_2</v>
      </c>
      <c r="E2691" s="86">
        <f>MONTH(表格1[[#This Row],[date]])</f>
        <v>3</v>
      </c>
      <c r="F2691" s="90">
        <v>46102</v>
      </c>
      <c r="G2691" s="86" t="str">
        <f>VLOOKUP("*"&amp;表格1[[#This Row],[Input]]&amp;"*",'Ref-List'!$B:$D,2,)</f>
        <v>MS3-STQ20SC(WH)</v>
      </c>
      <c r="H2691" s="86" t="str">
        <f>_xlfn.XLOOKUP(表格1[[#This Row],[Model]],表格3[Model-Input-Ref2],表格3[Product Line])</f>
        <v>20L 智能蒸氣焗爐</v>
      </c>
      <c r="I2691" s="86" t="str">
        <f>_xlfn.XLOOKUP(表格1[[#This Row],[Model]],表格3[Model-Input-Ref2],表格3[大小電])</f>
        <v>細電</v>
      </c>
      <c r="J2691" s="86" t="str">
        <f>_xlfn.XLOOKUP(表格1[[#This Row],[Model]],表格3[Model-Input-Ref2],表格3[Code])</f>
        <v>MCA</v>
      </c>
      <c r="K2691" s="89" t="s">
        <v>1383</v>
      </c>
      <c r="L2691" s="86">
        <v>1</v>
      </c>
      <c r="M2691" s="87">
        <v>1697</v>
      </c>
      <c r="N2691" s="87">
        <f>IFERROR(表格1[[#This Row],[QTY]]*表格1[[#This Row],[Unit Price]],"-")</f>
        <v>1697</v>
      </c>
      <c r="O2691" s="86">
        <v>2630881</v>
      </c>
      <c r="R2691" s="86" t="str">
        <f>_xlfn.CONCAT(表格1[[#This Row],[Model]]," ",表格1[[#This Row],[inv no]])</f>
        <v>MS3-STQ20SC(WH) 2630881</v>
      </c>
      <c r="S2691" s="86">
        <f>_xlfn.XLOOKUP(表格1[[#This Row],[Model]],表格3[Model-Input-Ref2],表格3[SRP PRICE])</f>
        <v>2880</v>
      </c>
      <c r="T2691" s="43">
        <f>表格1[[#This Row],[Unit Price]]/表格1[[#This Row],[SRP]]</f>
        <v>0.58923611111111107</v>
      </c>
      <c r="U2691" s="86" t="str">
        <f>_xlfn.XLOOKUP(表格1[[#This Row],[Model]],表格3[Model-Input-Ref2],表格3[TOSHIBA/HIGHEST])</f>
        <v>Toshiba SRP</v>
      </c>
      <c r="W2691" s="86" t="str">
        <f>_xlfn.CONCAT(表格1[[#This Row],[欄4]],表格1[[#This Row],[inv no]])</f>
        <v>2630881</v>
      </c>
    </row>
    <row r="2692" spans="1:23" hidden="1">
      <c r="A2692" s="81">
        <v>2690</v>
      </c>
      <c r="B2692" s="86" t="s">
        <v>1867</v>
      </c>
      <c r="C2692" s="86" t="s">
        <v>1868</v>
      </c>
      <c r="D2692" s="82" t="str">
        <f ca="1">OFFSET(Roster!$A$3,MATCH(表格1[[#This Row],[Location]]&amp;" "&amp;表格1[[#This Row],[Shop]]&amp;"*",Roster!$A$4:$A$72,0),DAY(表格1[[#This Row],[date]]),1,1)</f>
        <v>Amy Or_2</v>
      </c>
      <c r="E2692" s="86">
        <f>MONTH(表格1[[#This Row],[date]])</f>
        <v>3</v>
      </c>
      <c r="F2692" s="90">
        <v>46102</v>
      </c>
      <c r="G2692" s="86" t="str">
        <f>VLOOKUP("*"&amp;表格1[[#This Row],[Input]]&amp;"*",'Ref-List'!$B:$D,2,)</f>
        <v>EB-T500APW</v>
      </c>
      <c r="H2692" s="86" t="str">
        <f>_xlfn.XLOOKUP(表格1[[#This Row],[Model]],表格3[Model-Input-Ref2],表格3[Product Line])</f>
        <v>JAPANDi 嵌入式微波氣炸蒸焗爐 (45厘米)</v>
      </c>
      <c r="I2692" s="86" t="str">
        <f>_xlfn.XLOOKUP(表格1[[#This Row],[Model]],表格3[Model-Input-Ref2],表格3[大小電])</f>
        <v>大電</v>
      </c>
      <c r="J2692" s="86" t="str">
        <f>_xlfn.XLOOKUP(表格1[[#This Row],[Model]],表格3[Model-Input-Ref2],表格3[Code])</f>
        <v>MCA</v>
      </c>
      <c r="K2692" s="89" t="s">
        <v>1528</v>
      </c>
      <c r="L2692" s="86">
        <v>1</v>
      </c>
      <c r="M2692" s="87">
        <v>13386</v>
      </c>
      <c r="N2692" s="87">
        <f>IFERROR(表格1[[#This Row],[QTY]]*表格1[[#This Row],[Unit Price]],"-")</f>
        <v>13386</v>
      </c>
      <c r="O2692" s="86">
        <v>2630910</v>
      </c>
      <c r="R2692" s="86" t="str">
        <f>_xlfn.CONCAT(表格1[[#This Row],[Model]]," ",表格1[[#This Row],[inv no]])</f>
        <v>EB-T500APW 2630910</v>
      </c>
      <c r="S2692" s="86">
        <f>_xlfn.XLOOKUP(表格1[[#This Row],[Model]],表格3[Model-Input-Ref2],表格3[SRP PRICE])</f>
        <v>28800</v>
      </c>
      <c r="T2692" s="43">
        <f>表格1[[#This Row],[Unit Price]]/表格1[[#This Row],[SRP]]</f>
        <v>0.46479166666666666</v>
      </c>
      <c r="U2692" s="86" t="str">
        <f>_xlfn.XLOOKUP(表格1[[#This Row],[Model]],表格3[Model-Input-Ref2],表格3[TOSHIBA/HIGHEST])</f>
        <v>Toshiba SRP</v>
      </c>
      <c r="W2692" s="86" t="str">
        <f>_xlfn.CONCAT(表格1[[#This Row],[欄4]],表格1[[#This Row],[inv no]])</f>
        <v>2630910</v>
      </c>
    </row>
    <row r="2693" spans="1:23" hidden="1">
      <c r="A2693" s="81">
        <v>2691</v>
      </c>
      <c r="B2693" s="86" t="s">
        <v>1867</v>
      </c>
      <c r="C2693" s="86" t="s">
        <v>1868</v>
      </c>
      <c r="D2693" s="82" t="str">
        <f ca="1">OFFSET(Roster!$A$3,MATCH(表格1[[#This Row],[Location]]&amp;" "&amp;表格1[[#This Row],[Shop]]&amp;"*",Roster!$A$4:$A$72,0),DAY(表格1[[#This Row],[date]]),1,1)</f>
        <v>Amy Or_2</v>
      </c>
      <c r="E2693" s="86">
        <f>MONTH(表格1[[#This Row],[date]])</f>
        <v>3</v>
      </c>
      <c r="F2693" s="90">
        <v>46102</v>
      </c>
      <c r="G2693" s="86" t="str">
        <f>VLOOKUP("*"&amp;表格1[[#This Row],[Input]]&amp;"*",'Ref-List'!$B:$D,2,)</f>
        <v>EB-T500APW</v>
      </c>
      <c r="H2693" s="86" t="str">
        <f>_xlfn.XLOOKUP(表格1[[#This Row],[Model]],表格3[Model-Input-Ref2],表格3[Product Line])</f>
        <v>JAPANDi 嵌入式微波氣炸蒸焗爐 (45厘米)</v>
      </c>
      <c r="I2693" s="86" t="str">
        <f>_xlfn.XLOOKUP(表格1[[#This Row],[Model]],表格3[Model-Input-Ref2],表格3[大小電])</f>
        <v>大電</v>
      </c>
      <c r="J2693" s="86" t="str">
        <f>_xlfn.XLOOKUP(表格1[[#This Row],[Model]],表格3[Model-Input-Ref2],表格3[Code])</f>
        <v>MCA</v>
      </c>
      <c r="K2693" s="89" t="s">
        <v>1528</v>
      </c>
      <c r="L2693" s="86">
        <v>1</v>
      </c>
      <c r="M2693" s="87">
        <v>13386</v>
      </c>
      <c r="N2693" s="87">
        <f>IFERROR(表格1[[#This Row],[QTY]]*表格1[[#This Row],[Unit Price]],"-")</f>
        <v>13386</v>
      </c>
      <c r="O2693" s="86">
        <v>2630917</v>
      </c>
      <c r="R2693" s="86" t="str">
        <f>_xlfn.CONCAT(表格1[[#This Row],[Model]]," ",表格1[[#This Row],[inv no]])</f>
        <v>EB-T500APW 2630917</v>
      </c>
      <c r="S2693" s="86">
        <f>_xlfn.XLOOKUP(表格1[[#This Row],[Model]],表格3[Model-Input-Ref2],表格3[SRP PRICE])</f>
        <v>28800</v>
      </c>
      <c r="T2693" s="43">
        <f>表格1[[#This Row],[Unit Price]]/表格1[[#This Row],[SRP]]</f>
        <v>0.46479166666666666</v>
      </c>
      <c r="U2693" s="86" t="str">
        <f>_xlfn.XLOOKUP(表格1[[#This Row],[Model]],表格3[Model-Input-Ref2],表格3[TOSHIBA/HIGHEST])</f>
        <v>Toshiba SRP</v>
      </c>
      <c r="W2693" s="86" t="str">
        <f>_xlfn.CONCAT(表格1[[#This Row],[欄4]],表格1[[#This Row],[inv no]])</f>
        <v>2630917</v>
      </c>
    </row>
    <row r="2694" spans="1:23" hidden="1">
      <c r="A2694" s="81">
        <v>2692</v>
      </c>
      <c r="B2694" s="86" t="s">
        <v>1867</v>
      </c>
      <c r="C2694" s="86" t="s">
        <v>1868</v>
      </c>
      <c r="D2694" s="82" t="str">
        <f ca="1">OFFSET(Roster!$A$3,MATCH(表格1[[#This Row],[Location]]&amp;" "&amp;表格1[[#This Row],[Shop]]&amp;"*",Roster!$A$4:$A$72,0),DAY(表格1[[#This Row],[date]]),1,1)</f>
        <v>Amy Or_2</v>
      </c>
      <c r="E2694" s="86">
        <f>MONTH(表格1[[#This Row],[date]])</f>
        <v>3</v>
      </c>
      <c r="F2694" s="90">
        <v>46102</v>
      </c>
      <c r="G2694" s="86" t="str">
        <f>VLOOKUP("*"&amp;表格1[[#This Row],[Input]]&amp;"*",'Ref-List'!$B:$D,2,)</f>
        <v>TW-T22BU95UWH(WK)-B</v>
      </c>
      <c r="H2694" s="86" t="str">
        <f>_xlfn.XLOOKUP(表格1[[#This Row],[Model]],表格3[Model-Input-Ref2],表格3[Product Line])</f>
        <v>470MM超薄身前置式變頻洗衣機(8.5公斤, 可飛頂)</v>
      </c>
      <c r="I2694" s="86" t="str">
        <f>_xlfn.XLOOKUP(表格1[[#This Row],[Model]],表格3[Model-Input-Ref2],表格3[大小電])</f>
        <v>大電</v>
      </c>
      <c r="J2694" s="86" t="str">
        <f>_xlfn.XLOOKUP(表格1[[#This Row],[Model]],表格3[Model-Input-Ref2],表格3[Code])</f>
        <v>LAD</v>
      </c>
      <c r="K2694" s="89" t="s">
        <v>969</v>
      </c>
      <c r="L2694" s="86">
        <v>1</v>
      </c>
      <c r="M2694" s="87">
        <v>3384</v>
      </c>
      <c r="N2694" s="87">
        <f>IFERROR(表格1[[#This Row],[QTY]]*表格1[[#This Row],[Unit Price]],"-")</f>
        <v>3384</v>
      </c>
      <c r="O2694" s="86">
        <v>2630917</v>
      </c>
      <c r="R2694" s="86" t="str">
        <f>_xlfn.CONCAT(表格1[[#This Row],[Model]]," ",表格1[[#This Row],[inv no]])</f>
        <v>TW-T22BU95UWH(WK)-B 2630917</v>
      </c>
      <c r="S2694" s="86">
        <f>_xlfn.XLOOKUP(表格1[[#This Row],[Model]],表格3[Model-Input-Ref2],表格3[SRP PRICE])</f>
        <v>5880</v>
      </c>
      <c r="T2694" s="43">
        <f>表格1[[#This Row],[Unit Price]]/表格1[[#This Row],[SRP]]</f>
        <v>0.57551020408163267</v>
      </c>
      <c r="U2694" s="86" t="str">
        <f>_xlfn.XLOOKUP(表格1[[#This Row],[Model]],表格3[Model-Input-Ref2],表格3[TOSHIBA/HIGHEST])</f>
        <v>Toshiba SRP</v>
      </c>
      <c r="W2694" s="86" t="str">
        <f>_xlfn.CONCAT(表格1[[#This Row],[欄4]],表格1[[#This Row],[inv no]])</f>
        <v>2630917</v>
      </c>
    </row>
    <row r="2695" spans="1:23" hidden="1">
      <c r="A2695" s="81">
        <v>2693</v>
      </c>
      <c r="B2695" s="86" t="s">
        <v>1867</v>
      </c>
      <c r="C2695" s="86" t="s">
        <v>1868</v>
      </c>
      <c r="D2695" s="82" t="str">
        <f ca="1">OFFSET(Roster!$A$3,MATCH(表格1[[#This Row],[Location]]&amp;" "&amp;表格1[[#This Row],[Shop]]&amp;"*",Roster!$A$4:$A$72,0),DAY(表格1[[#This Row],[date]]),1,1)</f>
        <v>Amy Or_2</v>
      </c>
      <c r="E2695" s="86">
        <f>MONTH(表格1[[#This Row],[date]])</f>
        <v>3</v>
      </c>
      <c r="F2695" s="90">
        <v>46102</v>
      </c>
      <c r="G2695" s="86" t="str">
        <f>VLOOKUP("*"&amp;表格1[[#This Row],[Input]]&amp;"*",'Ref-List'!$B:$D,2,)</f>
        <v>GR-RM598WE-PGA(B3)</v>
      </c>
      <c r="H2695" s="86" t="str">
        <f>_xlfn.XLOOKUP(表格1[[#This Row],[Model]],表格3[Model-Input-Ref2],表格3[Product Line])</f>
        <v>變頻六門雪櫃(451L)</v>
      </c>
      <c r="I2695" s="86" t="str">
        <f>_xlfn.XLOOKUP(表格1[[#This Row],[Model]],表格3[Model-Input-Ref2],表格3[大小電])</f>
        <v>大電</v>
      </c>
      <c r="J2695" s="86" t="str">
        <f>_xlfn.XLOOKUP(表格1[[#This Row],[Model]],表格3[Model-Input-Ref2],表格3[Code])</f>
        <v>REF</v>
      </c>
      <c r="K2695" s="89" t="s">
        <v>1491</v>
      </c>
      <c r="L2695" s="86">
        <v>1</v>
      </c>
      <c r="M2695" s="87">
        <v>10562</v>
      </c>
      <c r="N2695" s="87">
        <f>IFERROR(表格1[[#This Row],[QTY]]*表格1[[#This Row],[Unit Price]],"-")</f>
        <v>10562</v>
      </c>
      <c r="O2695" s="86">
        <v>2630917</v>
      </c>
      <c r="R2695" s="86" t="str">
        <f>_xlfn.CONCAT(表格1[[#This Row],[Model]]," ",表格1[[#This Row],[inv no]])</f>
        <v>GR-RM598WE-PGA(B3) 2630917</v>
      </c>
      <c r="S2695" s="86">
        <f>_xlfn.XLOOKUP(表格1[[#This Row],[Model]],表格3[Model-Input-Ref2],表格3[SRP PRICE])</f>
        <v>14980</v>
      </c>
      <c r="T2695" s="43">
        <f>表格1[[#This Row],[Unit Price]]/表格1[[#This Row],[SRP]]</f>
        <v>0.70507343124165556</v>
      </c>
      <c r="U2695" s="86" t="str">
        <f>_xlfn.XLOOKUP(表格1[[#This Row],[Model]],表格3[Model-Input-Ref2],表格3[TOSHIBA/HIGHEST])</f>
        <v>Toshiba SRP</v>
      </c>
      <c r="W2695" s="86" t="str">
        <f>_xlfn.CONCAT(表格1[[#This Row],[欄4]],表格1[[#This Row],[inv no]])</f>
        <v>2630917</v>
      </c>
    </row>
    <row r="2696" spans="1:23" hidden="1">
      <c r="A2696" s="81">
        <v>2694</v>
      </c>
      <c r="B2696" s="86" t="s">
        <v>1867</v>
      </c>
      <c r="C2696" s="86" t="s">
        <v>1868</v>
      </c>
      <c r="D2696" s="82" t="str">
        <f ca="1">OFFSET(Roster!$A$3,MATCH(表格1[[#This Row],[Location]]&amp;" "&amp;表格1[[#This Row],[Shop]]&amp;"*",Roster!$A$4:$A$72,0),DAY(表格1[[#This Row],[date]]),1,1)</f>
        <v>Amy Or_2</v>
      </c>
      <c r="E2696" s="86">
        <f>MONTH(表格1[[#This Row],[date]])</f>
        <v>3</v>
      </c>
      <c r="F2696" s="90">
        <v>46103</v>
      </c>
      <c r="G2696" s="86" t="str">
        <f>VLOOKUP("*"&amp;表格1[[#This Row],[Input]]&amp;"*",'Ref-List'!$B:$D,2,)</f>
        <v>MX2-STR25SC(WH)</v>
      </c>
      <c r="H2696" s="86" t="str">
        <f>_xlfn.XLOOKUP(表格1[[#This Row],[Model]],表格3[Model-Input-Ref2],表格3[Product Line])</f>
        <v>4合1氣炸微波蒸焗爐(25公升)</v>
      </c>
      <c r="I2696" s="86" t="str">
        <f>_xlfn.XLOOKUP(表格1[[#This Row],[Model]],表格3[Model-Input-Ref2],表格3[大小電])</f>
        <v>細電</v>
      </c>
      <c r="J2696" s="86" t="str">
        <f>_xlfn.XLOOKUP(表格1[[#This Row],[Model]],表格3[Model-Input-Ref2],表格3[Code])</f>
        <v>MCA</v>
      </c>
      <c r="K2696" s="89" t="s">
        <v>1410</v>
      </c>
      <c r="L2696" s="86">
        <v>1</v>
      </c>
      <c r="M2696" s="87">
        <v>3327</v>
      </c>
      <c r="N2696" s="87">
        <f>IFERROR(表格1[[#This Row],[QTY]]*表格1[[#This Row],[Unit Price]],"-")</f>
        <v>3327</v>
      </c>
      <c r="O2696" s="86">
        <v>2630933</v>
      </c>
      <c r="R2696" s="86" t="str">
        <f>_xlfn.CONCAT(表格1[[#This Row],[Model]]," ",表格1[[#This Row],[inv no]])</f>
        <v>MX2-STR25SC(WH) 2630933</v>
      </c>
      <c r="S2696" s="86">
        <f>_xlfn.XLOOKUP(表格1[[#This Row],[Model]],表格3[Model-Input-Ref2],表格3[SRP PRICE])</f>
        <v>4998</v>
      </c>
      <c r="T2696" s="43">
        <f>表格1[[#This Row],[Unit Price]]/表格1[[#This Row],[SRP]]</f>
        <v>0.66566626650660266</v>
      </c>
      <c r="U2696" s="86" t="str">
        <f>_xlfn.XLOOKUP(表格1[[#This Row],[Model]],表格3[Model-Input-Ref2],表格3[TOSHIBA/HIGHEST])</f>
        <v>Toshiba SRP</v>
      </c>
      <c r="W2696" s="86" t="str">
        <f>_xlfn.CONCAT(表格1[[#This Row],[欄4]],表格1[[#This Row],[inv no]])</f>
        <v>2630933</v>
      </c>
    </row>
    <row r="2697" spans="1:23" hidden="1">
      <c r="A2697" s="81">
        <v>2695</v>
      </c>
      <c r="B2697" s="86" t="s">
        <v>1867</v>
      </c>
      <c r="C2697" s="86" t="s">
        <v>1868</v>
      </c>
      <c r="D2697" s="82" t="str">
        <f ca="1">OFFSET(Roster!$A$3,MATCH(表格1[[#This Row],[Location]]&amp;" "&amp;表格1[[#This Row],[Shop]]&amp;"*",Roster!$A$4:$A$72,0),DAY(表格1[[#This Row],[date]]),1,1)</f>
        <v>Amy Or_2</v>
      </c>
      <c r="E2697" s="86">
        <f>MONTH(表格1[[#This Row],[date]])</f>
        <v>3</v>
      </c>
      <c r="F2697" s="90">
        <v>46103</v>
      </c>
      <c r="G2697" s="86" t="str">
        <f>VLOOKUP("*"&amp;表格1[[#This Row],[Input]]&amp;"*",'Ref-List'!$B:$D,2,)</f>
        <v>EB-T500APW</v>
      </c>
      <c r="H2697" s="86" t="str">
        <f>_xlfn.XLOOKUP(表格1[[#This Row],[Model]],表格3[Model-Input-Ref2],表格3[Product Line])</f>
        <v>JAPANDi 嵌入式微波氣炸蒸焗爐 (45厘米)</v>
      </c>
      <c r="I2697" s="86" t="str">
        <f>_xlfn.XLOOKUP(表格1[[#This Row],[Model]],表格3[Model-Input-Ref2],表格3[大小電])</f>
        <v>大電</v>
      </c>
      <c r="J2697" s="86" t="str">
        <f>_xlfn.XLOOKUP(表格1[[#This Row],[Model]],表格3[Model-Input-Ref2],表格3[Code])</f>
        <v>MCA</v>
      </c>
      <c r="K2697" s="89" t="s">
        <v>1528</v>
      </c>
      <c r="L2697" s="86">
        <v>1</v>
      </c>
      <c r="M2697" s="87">
        <v>13386</v>
      </c>
      <c r="N2697" s="87">
        <f>IFERROR(表格1[[#This Row],[QTY]]*表格1[[#This Row],[Unit Price]],"-")</f>
        <v>13386</v>
      </c>
      <c r="O2697" s="86">
        <v>2630965</v>
      </c>
      <c r="R2697" s="86" t="str">
        <f>_xlfn.CONCAT(表格1[[#This Row],[Model]]," ",表格1[[#This Row],[inv no]])</f>
        <v>EB-T500APW 2630965</v>
      </c>
      <c r="S2697" s="86">
        <f>_xlfn.XLOOKUP(表格1[[#This Row],[Model]],表格3[Model-Input-Ref2],表格3[SRP PRICE])</f>
        <v>28800</v>
      </c>
      <c r="T2697" s="43">
        <f>表格1[[#This Row],[Unit Price]]/表格1[[#This Row],[SRP]]</f>
        <v>0.46479166666666666</v>
      </c>
      <c r="U2697" s="86" t="str">
        <f>_xlfn.XLOOKUP(表格1[[#This Row],[Model]],表格3[Model-Input-Ref2],表格3[TOSHIBA/HIGHEST])</f>
        <v>Toshiba SRP</v>
      </c>
      <c r="W2697" s="86" t="str">
        <f>_xlfn.CONCAT(表格1[[#This Row],[欄4]],表格1[[#This Row],[inv no]])</f>
        <v>2630965</v>
      </c>
    </row>
    <row r="2698" spans="1:23" hidden="1">
      <c r="A2698" s="81">
        <v>2696</v>
      </c>
      <c r="B2698" s="86" t="s">
        <v>1403</v>
      </c>
      <c r="C2698" s="86" t="s">
        <v>1869</v>
      </c>
      <c r="D2698" s="82" t="str">
        <f ca="1">OFFSET(Roster!$A$3,MATCH(表格1[[#This Row],[Location]]&amp;" "&amp;表格1[[#This Row],[Shop]]&amp;"*",Roster!$A$4:$A$72,0),DAY(表格1[[#This Row],[date]]),1,1)</f>
        <v>Amy Or_1</v>
      </c>
      <c r="E2698" s="86">
        <f>MONTH(表格1[[#This Row],[date]])</f>
        <v>3</v>
      </c>
      <c r="F2698" s="90">
        <v>46082</v>
      </c>
      <c r="G2698" s="86" t="str">
        <f>VLOOKUP("*"&amp;表格1[[#This Row],[Input]]&amp;"*",'Ref-List'!$B:$D,2,)</f>
        <v>RAD-D250H</v>
      </c>
      <c r="H2698" s="86" t="str">
        <f>_xlfn.XLOOKUP(表格1[[#This Row],[Model]],表格3[Model-Input-Ref2],表格3[Product Line])</f>
        <v>壓縮式抽濕機 (25公升)</v>
      </c>
      <c r="I2698" s="86" t="str">
        <f>_xlfn.XLOOKUP(表格1[[#This Row],[Model]],表格3[Model-Input-Ref2],表格3[大小電])</f>
        <v>細電</v>
      </c>
      <c r="J2698" s="86" t="str">
        <f>_xlfn.XLOOKUP(表格1[[#This Row],[Model]],表格3[Model-Input-Ref2],表格3[Code])</f>
        <v>RAC</v>
      </c>
      <c r="K2698" s="89" t="s">
        <v>1407</v>
      </c>
      <c r="L2698" s="86">
        <v>1</v>
      </c>
      <c r="M2698" s="87">
        <v>2180</v>
      </c>
      <c r="N2698" s="87">
        <f>IFERROR(表格1[[#This Row],[QTY]]*表格1[[#This Row],[Unit Price]],"-")</f>
        <v>2180</v>
      </c>
      <c r="O2698" s="86">
        <v>324696</v>
      </c>
      <c r="R2698" s="86" t="str">
        <f>_xlfn.CONCAT(表格1[[#This Row],[Model]]," ",表格1[[#This Row],[inv no]])</f>
        <v>RAD-D250H 324696</v>
      </c>
      <c r="S2698" s="86">
        <f>_xlfn.XLOOKUP(表格1[[#This Row],[Model]],表格3[Model-Input-Ref2],表格3[SRP PRICE])</f>
        <v>3380</v>
      </c>
      <c r="T2698" s="43">
        <f>表格1[[#This Row],[Unit Price]]/表格1[[#This Row],[SRP]]</f>
        <v>0.6449704142011834</v>
      </c>
      <c r="U2698" s="86" t="str">
        <f>_xlfn.XLOOKUP(表格1[[#This Row],[Model]],表格3[Model-Input-Ref2],表格3[TOSHIBA/HIGHEST])</f>
        <v>Shops Highest Price</v>
      </c>
      <c r="W2698" s="86" t="str">
        <f>_xlfn.CONCAT(表格1[[#This Row],[欄4]],表格1[[#This Row],[inv no]])</f>
        <v>324696</v>
      </c>
    </row>
    <row r="2699" spans="1:23" hidden="1">
      <c r="A2699" s="81">
        <v>2697</v>
      </c>
      <c r="B2699" s="86" t="s">
        <v>1403</v>
      </c>
      <c r="C2699" s="86" t="s">
        <v>1869</v>
      </c>
      <c r="D2699" s="82" t="str">
        <f ca="1">OFFSET(Roster!$A$3,MATCH(表格1[[#This Row],[Location]]&amp;" "&amp;表格1[[#This Row],[Shop]]&amp;"*",Roster!$A$4:$A$72,0),DAY(表格1[[#This Row],[date]]),1,1)</f>
        <v>Amy Or_1</v>
      </c>
      <c r="E2699" s="86">
        <f>MONTH(表格1[[#This Row],[date]])</f>
        <v>3</v>
      </c>
      <c r="F2699" s="90">
        <v>46082</v>
      </c>
      <c r="G2699" s="86" t="str">
        <f>VLOOKUP("*"&amp;表格1[[#This Row],[Input]]&amp;"*",'Ref-List'!$B:$D,2,)</f>
        <v>RAD-D250H</v>
      </c>
      <c r="H2699" s="86" t="str">
        <f>_xlfn.XLOOKUP(表格1[[#This Row],[Model]],表格3[Model-Input-Ref2],表格3[Product Line])</f>
        <v>壓縮式抽濕機 (25公升)</v>
      </c>
      <c r="I2699" s="86" t="str">
        <f>_xlfn.XLOOKUP(表格1[[#This Row],[Model]],表格3[Model-Input-Ref2],表格3[大小電])</f>
        <v>細電</v>
      </c>
      <c r="J2699" s="86" t="str">
        <f>_xlfn.XLOOKUP(表格1[[#This Row],[Model]],表格3[Model-Input-Ref2],表格3[Code])</f>
        <v>RAC</v>
      </c>
      <c r="K2699" s="89" t="s">
        <v>1407</v>
      </c>
      <c r="L2699" s="86">
        <v>1</v>
      </c>
      <c r="M2699" s="87">
        <v>2180</v>
      </c>
      <c r="N2699" s="87">
        <f>IFERROR(表格1[[#This Row],[QTY]]*表格1[[#This Row],[Unit Price]],"-")</f>
        <v>2180</v>
      </c>
      <c r="O2699" s="86">
        <v>324694</v>
      </c>
      <c r="R2699" s="86" t="str">
        <f>_xlfn.CONCAT(表格1[[#This Row],[Model]]," ",表格1[[#This Row],[inv no]])</f>
        <v>RAD-D250H 324694</v>
      </c>
      <c r="S2699" s="86">
        <f>_xlfn.XLOOKUP(表格1[[#This Row],[Model]],表格3[Model-Input-Ref2],表格3[SRP PRICE])</f>
        <v>3380</v>
      </c>
      <c r="T2699" s="43">
        <f>表格1[[#This Row],[Unit Price]]/表格1[[#This Row],[SRP]]</f>
        <v>0.6449704142011834</v>
      </c>
      <c r="U2699" s="86" t="str">
        <f>_xlfn.XLOOKUP(表格1[[#This Row],[Model]],表格3[Model-Input-Ref2],表格3[TOSHIBA/HIGHEST])</f>
        <v>Shops Highest Price</v>
      </c>
      <c r="W2699" s="86" t="str">
        <f>_xlfn.CONCAT(表格1[[#This Row],[欄4]],表格1[[#This Row],[inv no]])</f>
        <v>324694</v>
      </c>
    </row>
    <row r="2700" spans="1:23" hidden="1">
      <c r="A2700" s="81">
        <v>2698</v>
      </c>
      <c r="B2700" s="86" t="s">
        <v>1403</v>
      </c>
      <c r="C2700" s="86" t="s">
        <v>1869</v>
      </c>
      <c r="D2700" s="82" t="str">
        <f ca="1">OFFSET(Roster!$A$3,MATCH(表格1[[#This Row],[Location]]&amp;" "&amp;表格1[[#This Row],[Shop]]&amp;"*",Roster!$A$4:$A$72,0),DAY(表格1[[#This Row],[date]]),1,1)</f>
        <v>Amy Or_1</v>
      </c>
      <c r="E2700" s="86">
        <f>MONTH(表格1[[#This Row],[date]])</f>
        <v>3</v>
      </c>
      <c r="F2700" s="90">
        <v>46082</v>
      </c>
      <c r="G2700" s="86" t="str">
        <f>VLOOKUP("*"&amp;表格1[[#This Row],[Input]]&amp;"*",'Ref-List'!$B:$D,2,)</f>
        <v>MM2-EG20PC(WH)</v>
      </c>
      <c r="H2700" s="86" t="str">
        <f>_xlfn.XLOOKUP(表格1[[#This Row],[Model]],表格3[Model-Input-Ref2],表格3[Product Line])</f>
        <v>輕觸式燒烤微波爐</v>
      </c>
      <c r="I2700" s="86" t="str">
        <f>_xlfn.XLOOKUP(表格1[[#This Row],[Model]],表格3[Model-Input-Ref2],表格3[大小電])</f>
        <v>細電</v>
      </c>
      <c r="J2700" s="86" t="str">
        <f>_xlfn.XLOOKUP(表格1[[#This Row],[Model]],表格3[Model-Input-Ref2],表格3[Code])</f>
        <v>MCA</v>
      </c>
      <c r="K2700" s="89" t="s">
        <v>1273</v>
      </c>
      <c r="L2700" s="86">
        <v>1</v>
      </c>
      <c r="M2700" s="87">
        <v>698</v>
      </c>
      <c r="N2700" s="87">
        <f>IFERROR(表格1[[#This Row],[QTY]]*表格1[[#This Row],[Unit Price]],"-")</f>
        <v>698</v>
      </c>
      <c r="O2700" s="86">
        <v>324697</v>
      </c>
      <c r="R2700" s="86" t="str">
        <f>_xlfn.CONCAT(表格1[[#This Row],[Model]]," ",表格1[[#This Row],[inv no]])</f>
        <v>MM2-EG20PC(WH) 324697</v>
      </c>
      <c r="S2700" s="86">
        <f>_xlfn.XLOOKUP(表格1[[#This Row],[Model]],表格3[Model-Input-Ref2],表格3[SRP PRICE])</f>
        <v>918</v>
      </c>
      <c r="T2700" s="43">
        <f>表格1[[#This Row],[Unit Price]]/表格1[[#This Row],[SRP]]</f>
        <v>0.76034858387799564</v>
      </c>
      <c r="U2700" s="86" t="str">
        <f>_xlfn.XLOOKUP(表格1[[#This Row],[Model]],表格3[Model-Input-Ref2],表格3[TOSHIBA/HIGHEST])</f>
        <v>Shops Highest Price</v>
      </c>
      <c r="W2700" s="86" t="str">
        <f>_xlfn.CONCAT(表格1[[#This Row],[欄4]],表格1[[#This Row],[inv no]])</f>
        <v>324697</v>
      </c>
    </row>
    <row r="2701" spans="1:23" hidden="1">
      <c r="A2701" s="81">
        <v>2699</v>
      </c>
      <c r="B2701" s="86" t="s">
        <v>1403</v>
      </c>
      <c r="C2701" s="86" t="s">
        <v>1869</v>
      </c>
      <c r="D2701" s="82" t="str">
        <f ca="1">OFFSET(Roster!$A$3,MATCH(表格1[[#This Row],[Location]]&amp;" "&amp;表格1[[#This Row],[Shop]]&amp;"*",Roster!$A$4:$A$72,0),DAY(表格1[[#This Row],[date]]),1,1)</f>
        <v>Amy Or_1</v>
      </c>
      <c r="E2701" s="86">
        <f>MONTH(表格1[[#This Row],[date]])</f>
        <v>3</v>
      </c>
      <c r="F2701" s="90">
        <v>46082</v>
      </c>
      <c r="G2701" s="86" t="str">
        <f>VLOOKUP("*"&amp;表格1[[#This Row],[Input]]&amp;"*",'Ref-List'!$B:$D,2,)</f>
        <v>RAD-D250H</v>
      </c>
      <c r="H2701" s="86" t="str">
        <f>_xlfn.XLOOKUP(表格1[[#This Row],[Model]],表格3[Model-Input-Ref2],表格3[Product Line])</f>
        <v>壓縮式抽濕機 (25公升)</v>
      </c>
      <c r="I2701" s="86" t="str">
        <f>_xlfn.XLOOKUP(表格1[[#This Row],[Model]],表格3[Model-Input-Ref2],表格3[大小電])</f>
        <v>細電</v>
      </c>
      <c r="J2701" s="86" t="str">
        <f>_xlfn.XLOOKUP(表格1[[#This Row],[Model]],表格3[Model-Input-Ref2],表格3[Code])</f>
        <v>RAC</v>
      </c>
      <c r="K2701" s="89" t="s">
        <v>1407</v>
      </c>
      <c r="L2701" s="86">
        <v>1</v>
      </c>
      <c r="M2701" s="87">
        <v>2180</v>
      </c>
      <c r="N2701" s="87">
        <f>IFERROR(表格1[[#This Row],[QTY]]*表格1[[#This Row],[Unit Price]],"-")</f>
        <v>2180</v>
      </c>
      <c r="O2701" s="86">
        <v>324719</v>
      </c>
      <c r="R2701" s="86" t="str">
        <f>_xlfn.CONCAT(表格1[[#This Row],[Model]]," ",表格1[[#This Row],[inv no]])</f>
        <v>RAD-D250H 324719</v>
      </c>
      <c r="S2701" s="86">
        <f>_xlfn.XLOOKUP(表格1[[#This Row],[Model]],表格3[Model-Input-Ref2],表格3[SRP PRICE])</f>
        <v>3380</v>
      </c>
      <c r="T2701" s="43">
        <f>表格1[[#This Row],[Unit Price]]/表格1[[#This Row],[SRP]]</f>
        <v>0.6449704142011834</v>
      </c>
      <c r="U2701" s="86" t="str">
        <f>_xlfn.XLOOKUP(表格1[[#This Row],[Model]],表格3[Model-Input-Ref2],表格3[TOSHIBA/HIGHEST])</f>
        <v>Shops Highest Price</v>
      </c>
      <c r="W2701" s="86" t="str">
        <f>_xlfn.CONCAT(表格1[[#This Row],[欄4]],表格1[[#This Row],[inv no]])</f>
        <v>324719</v>
      </c>
    </row>
    <row r="2702" spans="1:23" hidden="1">
      <c r="A2702" s="81">
        <v>2700</v>
      </c>
      <c r="B2702" s="86" t="s">
        <v>1403</v>
      </c>
      <c r="C2702" s="86" t="s">
        <v>1869</v>
      </c>
      <c r="D2702" s="82" t="str">
        <f ca="1">OFFSET(Roster!$A$3,MATCH(表格1[[#This Row],[Location]]&amp;" "&amp;表格1[[#This Row],[Shop]]&amp;"*",Roster!$A$4:$A$72,0),DAY(表格1[[#This Row],[date]]),1,1)</f>
        <v>Amy Or_1</v>
      </c>
      <c r="E2702" s="86">
        <f>MONTH(表格1[[#This Row],[date]])</f>
        <v>3</v>
      </c>
      <c r="F2702" s="90">
        <v>46082</v>
      </c>
      <c r="G2702" s="86" t="str">
        <f>VLOOKUP("*"&amp;表格1[[#This Row],[Input]]&amp;"*",'Ref-List'!$B:$D,2,)</f>
        <v>RAD-D250H</v>
      </c>
      <c r="H2702" s="86" t="str">
        <f>_xlfn.XLOOKUP(表格1[[#This Row],[Model]],表格3[Model-Input-Ref2],表格3[Product Line])</f>
        <v>壓縮式抽濕機 (25公升)</v>
      </c>
      <c r="I2702" s="86" t="str">
        <f>_xlfn.XLOOKUP(表格1[[#This Row],[Model]],表格3[Model-Input-Ref2],表格3[大小電])</f>
        <v>細電</v>
      </c>
      <c r="J2702" s="86" t="str">
        <f>_xlfn.XLOOKUP(表格1[[#This Row],[Model]],表格3[Model-Input-Ref2],表格3[Code])</f>
        <v>RAC</v>
      </c>
      <c r="K2702" s="89" t="s">
        <v>1407</v>
      </c>
      <c r="L2702" s="86">
        <v>1</v>
      </c>
      <c r="M2702" s="87">
        <v>2080</v>
      </c>
      <c r="N2702" s="87">
        <f>IFERROR(表格1[[#This Row],[QTY]]*表格1[[#This Row],[Unit Price]],"-")</f>
        <v>2080</v>
      </c>
      <c r="O2702" s="86">
        <v>324726</v>
      </c>
      <c r="R2702" s="86" t="str">
        <f>_xlfn.CONCAT(表格1[[#This Row],[Model]]," ",表格1[[#This Row],[inv no]])</f>
        <v>RAD-D250H 324726</v>
      </c>
      <c r="S2702" s="86">
        <f>_xlfn.XLOOKUP(表格1[[#This Row],[Model]],表格3[Model-Input-Ref2],表格3[SRP PRICE])</f>
        <v>3380</v>
      </c>
      <c r="T2702" s="43">
        <f>表格1[[#This Row],[Unit Price]]/表格1[[#This Row],[SRP]]</f>
        <v>0.61538461538461542</v>
      </c>
      <c r="U2702" s="86" t="str">
        <f>_xlfn.XLOOKUP(表格1[[#This Row],[Model]],表格3[Model-Input-Ref2],表格3[TOSHIBA/HIGHEST])</f>
        <v>Shops Highest Price</v>
      </c>
      <c r="W2702" s="86" t="str">
        <f>_xlfn.CONCAT(表格1[[#This Row],[欄4]],表格1[[#This Row],[inv no]])</f>
        <v>324726</v>
      </c>
    </row>
    <row r="2703" spans="1:23" hidden="1">
      <c r="A2703" s="81">
        <v>2701</v>
      </c>
      <c r="B2703" s="86" t="s">
        <v>1403</v>
      </c>
      <c r="C2703" s="86" t="s">
        <v>1869</v>
      </c>
      <c r="D2703" s="82" t="str">
        <f ca="1">OFFSET(Roster!$A$3,MATCH(表格1[[#This Row],[Location]]&amp;" "&amp;表格1[[#This Row],[Shop]]&amp;"*",Roster!$A$4:$A$72,0),DAY(表格1[[#This Row],[date]]),1,1)</f>
        <v>Amy Or_1</v>
      </c>
      <c r="E2703" s="86">
        <f>MONTH(表格1[[#This Row],[date]])</f>
        <v>3</v>
      </c>
      <c r="F2703" s="90">
        <v>46082</v>
      </c>
      <c r="G2703" s="86" t="str">
        <f>VLOOKUP("*"&amp;表格1[[#This Row],[Input]]&amp;"*",'Ref-List'!$B:$D,2,)</f>
        <v>RAD-D250H</v>
      </c>
      <c r="H2703" s="86" t="str">
        <f>_xlfn.XLOOKUP(表格1[[#This Row],[Model]],表格3[Model-Input-Ref2],表格3[Product Line])</f>
        <v>壓縮式抽濕機 (25公升)</v>
      </c>
      <c r="I2703" s="86" t="str">
        <f>_xlfn.XLOOKUP(表格1[[#This Row],[Model]],表格3[Model-Input-Ref2],表格3[大小電])</f>
        <v>細電</v>
      </c>
      <c r="J2703" s="86" t="str">
        <f>_xlfn.XLOOKUP(表格1[[#This Row],[Model]],表格3[Model-Input-Ref2],表格3[Code])</f>
        <v>RAC</v>
      </c>
      <c r="K2703" s="89" t="s">
        <v>1407</v>
      </c>
      <c r="L2703" s="86">
        <v>1</v>
      </c>
      <c r="M2703" s="87">
        <v>2080</v>
      </c>
      <c r="N2703" s="87">
        <f>IFERROR(表格1[[#This Row],[QTY]]*表格1[[#This Row],[Unit Price]],"-")</f>
        <v>2080</v>
      </c>
      <c r="O2703" s="86">
        <v>324732</v>
      </c>
      <c r="R2703" s="86" t="str">
        <f>_xlfn.CONCAT(表格1[[#This Row],[Model]]," ",表格1[[#This Row],[inv no]])</f>
        <v>RAD-D250H 324732</v>
      </c>
      <c r="S2703" s="86">
        <f>_xlfn.XLOOKUP(表格1[[#This Row],[Model]],表格3[Model-Input-Ref2],表格3[SRP PRICE])</f>
        <v>3380</v>
      </c>
      <c r="T2703" s="43">
        <f>表格1[[#This Row],[Unit Price]]/表格1[[#This Row],[SRP]]</f>
        <v>0.61538461538461542</v>
      </c>
      <c r="U2703" s="86" t="str">
        <f>_xlfn.XLOOKUP(表格1[[#This Row],[Model]],表格3[Model-Input-Ref2],表格3[TOSHIBA/HIGHEST])</f>
        <v>Shops Highest Price</v>
      </c>
      <c r="W2703" s="86" t="str">
        <f>_xlfn.CONCAT(表格1[[#This Row],[欄4]],表格1[[#This Row],[inv no]])</f>
        <v>324732</v>
      </c>
    </row>
    <row r="2704" spans="1:23" hidden="1">
      <c r="A2704" s="81">
        <v>2702</v>
      </c>
      <c r="B2704" s="86" t="s">
        <v>1403</v>
      </c>
      <c r="C2704" s="86" t="s">
        <v>1869</v>
      </c>
      <c r="D2704" s="82" t="str">
        <f ca="1">OFFSET(Roster!$A$3,MATCH(表格1[[#This Row],[Location]]&amp;" "&amp;表格1[[#This Row],[Shop]]&amp;"*",Roster!$A$4:$A$72,0),DAY(表格1[[#This Row],[date]]),1,1)</f>
        <v>Amy Or_1</v>
      </c>
      <c r="E2704" s="86">
        <f>MONTH(表格1[[#This Row],[date]])</f>
        <v>3</v>
      </c>
      <c r="F2704" s="90">
        <v>46082</v>
      </c>
      <c r="G2704" s="86" t="str">
        <f>VLOOKUP("*"&amp;表格1[[#This Row],[Input]]&amp;"*",'Ref-List'!$B:$D,2,)</f>
        <v>RAD-D250H</v>
      </c>
      <c r="H2704" s="86" t="str">
        <f>_xlfn.XLOOKUP(表格1[[#This Row],[Model]],表格3[Model-Input-Ref2],表格3[Product Line])</f>
        <v>壓縮式抽濕機 (25公升)</v>
      </c>
      <c r="I2704" s="86" t="str">
        <f>_xlfn.XLOOKUP(表格1[[#This Row],[Model]],表格3[Model-Input-Ref2],表格3[大小電])</f>
        <v>細電</v>
      </c>
      <c r="J2704" s="86" t="str">
        <f>_xlfn.XLOOKUP(表格1[[#This Row],[Model]],表格3[Model-Input-Ref2],表格3[Code])</f>
        <v>RAC</v>
      </c>
      <c r="K2704" s="89" t="s">
        <v>1407</v>
      </c>
      <c r="L2704" s="86">
        <v>2</v>
      </c>
      <c r="M2704" s="87">
        <v>2180</v>
      </c>
      <c r="N2704" s="87">
        <f>IFERROR(表格1[[#This Row],[QTY]]*表格1[[#This Row],[Unit Price]],"-")</f>
        <v>4360</v>
      </c>
      <c r="O2704" s="86">
        <v>324736</v>
      </c>
      <c r="R2704" s="86" t="str">
        <f>_xlfn.CONCAT(表格1[[#This Row],[Model]]," ",表格1[[#This Row],[inv no]])</f>
        <v>RAD-D250H 324736</v>
      </c>
      <c r="S2704" s="86">
        <f>_xlfn.XLOOKUP(表格1[[#This Row],[Model]],表格3[Model-Input-Ref2],表格3[SRP PRICE])</f>
        <v>3380</v>
      </c>
      <c r="T2704" s="43">
        <f>表格1[[#This Row],[Unit Price]]/表格1[[#This Row],[SRP]]</f>
        <v>0.6449704142011834</v>
      </c>
      <c r="U2704" s="86" t="str">
        <f>_xlfn.XLOOKUP(表格1[[#This Row],[Model]],表格3[Model-Input-Ref2],表格3[TOSHIBA/HIGHEST])</f>
        <v>Shops Highest Price</v>
      </c>
      <c r="W2704" s="86" t="str">
        <f>_xlfn.CONCAT(表格1[[#This Row],[欄4]],表格1[[#This Row],[inv no]])</f>
        <v>324736</v>
      </c>
    </row>
    <row r="2705" spans="1:23" hidden="1">
      <c r="A2705" s="81">
        <v>2703</v>
      </c>
      <c r="B2705" s="86" t="s">
        <v>1403</v>
      </c>
      <c r="C2705" s="86" t="s">
        <v>1869</v>
      </c>
      <c r="D2705" s="82" t="str">
        <f ca="1">OFFSET(Roster!$A$3,MATCH(表格1[[#This Row],[Location]]&amp;" "&amp;表格1[[#This Row],[Shop]]&amp;"*",Roster!$A$4:$A$72,0),DAY(表格1[[#This Row],[date]]),1,1)</f>
        <v>Amy Or_1</v>
      </c>
      <c r="E2705" s="86">
        <f>MONTH(表格1[[#This Row],[date]])</f>
        <v>3</v>
      </c>
      <c r="F2705" s="90">
        <v>46082</v>
      </c>
      <c r="G2705" s="86" t="str">
        <f>VLOOKUP("*"&amp;表格1[[#This Row],[Input]]&amp;"*",'Ref-List'!$B:$D,2,)</f>
        <v>RC-7HMH</v>
      </c>
      <c r="H2705" s="86" t="str">
        <f>_xlfn.XLOOKUP(表格1[[#This Row],[Model]],表格3[Model-Input-Ref2],表格3[Product Line])</f>
        <v>備長炭本厚釜電飯煲0.7L</v>
      </c>
      <c r="I2705" s="86" t="str">
        <f>_xlfn.XLOOKUP(表格1[[#This Row],[Model]],表格3[Model-Input-Ref2],表格3[大小電])</f>
        <v>細電</v>
      </c>
      <c r="J2705" s="86" t="str">
        <f>_xlfn.XLOOKUP(表格1[[#This Row],[Model]],表格3[Model-Input-Ref2],表格3[Code])</f>
        <v>SDA</v>
      </c>
      <c r="K2705" s="89" t="s">
        <v>1284</v>
      </c>
      <c r="L2705" s="86">
        <v>1</v>
      </c>
      <c r="M2705" s="87">
        <v>788</v>
      </c>
      <c r="N2705" s="87">
        <f>IFERROR(表格1[[#This Row],[QTY]]*表格1[[#This Row],[Unit Price]],"-")</f>
        <v>788</v>
      </c>
      <c r="O2705" s="86">
        <v>1491</v>
      </c>
      <c r="R2705" s="86" t="str">
        <f>_xlfn.CONCAT(表格1[[#This Row],[Model]]," ",表格1[[#This Row],[inv no]])</f>
        <v>RC-7HMH 1491</v>
      </c>
      <c r="S2705" s="86">
        <f>_xlfn.XLOOKUP(表格1[[#This Row],[Model]],表格3[Model-Input-Ref2],表格3[SRP PRICE])</f>
        <v>1288</v>
      </c>
      <c r="T2705" s="43">
        <f>表格1[[#This Row],[Unit Price]]/表格1[[#This Row],[SRP]]</f>
        <v>0.61180124223602483</v>
      </c>
      <c r="U2705" s="86" t="str">
        <f>_xlfn.XLOOKUP(表格1[[#This Row],[Model]],表格3[Model-Input-Ref2],表格3[TOSHIBA/HIGHEST])</f>
        <v>Toshiba SRP</v>
      </c>
      <c r="W2705" s="86" t="str">
        <f>_xlfn.CONCAT(表格1[[#This Row],[欄4]],表格1[[#This Row],[inv no]])</f>
        <v>1491</v>
      </c>
    </row>
    <row r="2706" spans="1:23" hidden="1">
      <c r="A2706" s="81">
        <v>2704</v>
      </c>
      <c r="B2706" s="86" t="s">
        <v>1403</v>
      </c>
      <c r="C2706" s="86" t="s">
        <v>1869</v>
      </c>
      <c r="D2706" s="82" t="str">
        <f ca="1">OFFSET(Roster!$A$3,MATCH(表格1[[#This Row],[Location]]&amp;" "&amp;表格1[[#This Row],[Shop]]&amp;"*",Roster!$A$4:$A$72,0),DAY(表格1[[#This Row],[date]]),1,1)</f>
        <v>Amy Or_1</v>
      </c>
      <c r="E2706" s="86">
        <f>MONTH(表格1[[#This Row],[date]])</f>
        <v>3</v>
      </c>
      <c r="F2706" s="90">
        <v>46082</v>
      </c>
      <c r="G2706" s="86" t="str">
        <f>VLOOKUP("*"&amp;表格1[[#This Row],[Input]]&amp;"*",'Ref-List'!$B:$D,2,)</f>
        <v>RAD-D250H</v>
      </c>
      <c r="H2706" s="86" t="str">
        <f>_xlfn.XLOOKUP(表格1[[#This Row],[Model]],表格3[Model-Input-Ref2],表格3[Product Line])</f>
        <v>壓縮式抽濕機 (25公升)</v>
      </c>
      <c r="I2706" s="86" t="str">
        <f>_xlfn.XLOOKUP(表格1[[#This Row],[Model]],表格3[Model-Input-Ref2],表格3[大小電])</f>
        <v>細電</v>
      </c>
      <c r="J2706" s="86" t="str">
        <f>_xlfn.XLOOKUP(表格1[[#This Row],[Model]],表格3[Model-Input-Ref2],表格3[Code])</f>
        <v>RAC</v>
      </c>
      <c r="K2706" s="89" t="s">
        <v>1407</v>
      </c>
      <c r="L2706" s="86">
        <v>1</v>
      </c>
      <c r="M2706" s="87">
        <v>2180</v>
      </c>
      <c r="N2706" s="87">
        <f>IFERROR(表格1[[#This Row],[QTY]]*表格1[[#This Row],[Unit Price]],"-")</f>
        <v>2180</v>
      </c>
      <c r="O2706" s="86">
        <v>324745</v>
      </c>
      <c r="R2706" s="86" t="str">
        <f>_xlfn.CONCAT(表格1[[#This Row],[Model]]," ",表格1[[#This Row],[inv no]])</f>
        <v>RAD-D250H 324745</v>
      </c>
      <c r="S2706" s="86">
        <f>_xlfn.XLOOKUP(表格1[[#This Row],[Model]],表格3[Model-Input-Ref2],表格3[SRP PRICE])</f>
        <v>3380</v>
      </c>
      <c r="T2706" s="43">
        <f>表格1[[#This Row],[Unit Price]]/表格1[[#This Row],[SRP]]</f>
        <v>0.6449704142011834</v>
      </c>
      <c r="U2706" s="86" t="str">
        <f>_xlfn.XLOOKUP(表格1[[#This Row],[Model]],表格3[Model-Input-Ref2],表格3[TOSHIBA/HIGHEST])</f>
        <v>Shops Highest Price</v>
      </c>
      <c r="W2706" s="86" t="str">
        <f>_xlfn.CONCAT(表格1[[#This Row],[欄4]],表格1[[#This Row],[inv no]])</f>
        <v>324745</v>
      </c>
    </row>
    <row r="2707" spans="1:23" hidden="1">
      <c r="A2707" s="81">
        <v>2705</v>
      </c>
      <c r="B2707" s="86" t="s">
        <v>1403</v>
      </c>
      <c r="C2707" s="86" t="s">
        <v>1869</v>
      </c>
      <c r="D2707" s="82" t="str">
        <f ca="1">OFFSET(Roster!$A$3,MATCH(表格1[[#This Row],[Location]]&amp;" "&amp;表格1[[#This Row],[Shop]]&amp;"*",Roster!$A$4:$A$72,0),DAY(表格1[[#This Row],[date]]),1,1)</f>
        <v>Amy Or_1</v>
      </c>
      <c r="E2707" s="86">
        <f>MONTH(表格1[[#This Row],[date]])</f>
        <v>3</v>
      </c>
      <c r="F2707" s="90">
        <v>46082</v>
      </c>
      <c r="G2707" s="86" t="str">
        <f>VLOOKUP("*"&amp;表格1[[#This Row],[Input]]&amp;"*",'Ref-List'!$B:$D,2,)</f>
        <v>RAD-D250H</v>
      </c>
      <c r="H2707" s="86" t="str">
        <f>_xlfn.XLOOKUP(表格1[[#This Row],[Model]],表格3[Model-Input-Ref2],表格3[Product Line])</f>
        <v>壓縮式抽濕機 (25公升)</v>
      </c>
      <c r="I2707" s="86" t="str">
        <f>_xlfn.XLOOKUP(表格1[[#This Row],[Model]],表格3[Model-Input-Ref2],表格3[大小電])</f>
        <v>細電</v>
      </c>
      <c r="J2707" s="86" t="str">
        <f>_xlfn.XLOOKUP(表格1[[#This Row],[Model]],表格3[Model-Input-Ref2],表格3[Code])</f>
        <v>RAC</v>
      </c>
      <c r="K2707" s="89" t="s">
        <v>1407</v>
      </c>
      <c r="L2707" s="86">
        <v>1</v>
      </c>
      <c r="M2707" s="87">
        <v>2080</v>
      </c>
      <c r="N2707" s="87">
        <f>IFERROR(表格1[[#This Row],[QTY]]*表格1[[#This Row],[Unit Price]],"-")</f>
        <v>2080</v>
      </c>
      <c r="O2707" s="86">
        <v>324749</v>
      </c>
      <c r="R2707" s="86" t="str">
        <f>_xlfn.CONCAT(表格1[[#This Row],[Model]]," ",表格1[[#This Row],[inv no]])</f>
        <v>RAD-D250H 324749</v>
      </c>
      <c r="S2707" s="86">
        <f>_xlfn.XLOOKUP(表格1[[#This Row],[Model]],表格3[Model-Input-Ref2],表格3[SRP PRICE])</f>
        <v>3380</v>
      </c>
      <c r="T2707" s="43">
        <f>表格1[[#This Row],[Unit Price]]/表格1[[#This Row],[SRP]]</f>
        <v>0.61538461538461542</v>
      </c>
      <c r="U2707" s="86" t="str">
        <f>_xlfn.XLOOKUP(表格1[[#This Row],[Model]],表格3[Model-Input-Ref2],表格3[TOSHIBA/HIGHEST])</f>
        <v>Shops Highest Price</v>
      </c>
      <c r="W2707" s="86" t="str">
        <f>_xlfn.CONCAT(表格1[[#This Row],[欄4]],表格1[[#This Row],[inv no]])</f>
        <v>324749</v>
      </c>
    </row>
    <row r="2708" spans="1:23" hidden="1">
      <c r="A2708" s="81">
        <v>2706</v>
      </c>
      <c r="B2708" s="86" t="s">
        <v>1403</v>
      </c>
      <c r="C2708" s="86" t="s">
        <v>1869</v>
      </c>
      <c r="D2708" s="82" t="str">
        <f ca="1">OFFSET(Roster!$A$3,MATCH(表格1[[#This Row],[Location]]&amp;" "&amp;表格1[[#This Row],[Shop]]&amp;"*",Roster!$A$4:$A$72,0),DAY(表格1[[#This Row],[date]]),1,1)</f>
        <v>Amy Or_1</v>
      </c>
      <c r="E2708" s="86">
        <f>MONTH(表格1[[#This Row],[date]])</f>
        <v>3</v>
      </c>
      <c r="F2708" s="90">
        <v>46082</v>
      </c>
      <c r="G2708" s="86" t="str">
        <f>VLOOKUP("*"&amp;表格1[[#This Row],[Input]]&amp;"*",'Ref-List'!$B:$D,2,)</f>
        <v>RAD-D250H</v>
      </c>
      <c r="H2708" s="86" t="str">
        <f>_xlfn.XLOOKUP(表格1[[#This Row],[Model]],表格3[Model-Input-Ref2],表格3[Product Line])</f>
        <v>壓縮式抽濕機 (25公升)</v>
      </c>
      <c r="I2708" s="86" t="str">
        <f>_xlfn.XLOOKUP(表格1[[#This Row],[Model]],表格3[Model-Input-Ref2],表格3[大小電])</f>
        <v>細電</v>
      </c>
      <c r="J2708" s="86" t="str">
        <f>_xlfn.XLOOKUP(表格1[[#This Row],[Model]],表格3[Model-Input-Ref2],表格3[Code])</f>
        <v>RAC</v>
      </c>
      <c r="K2708" s="89" t="s">
        <v>1407</v>
      </c>
      <c r="L2708" s="86">
        <v>1</v>
      </c>
      <c r="M2708" s="87">
        <v>2080</v>
      </c>
      <c r="N2708" s="87">
        <f>IFERROR(表格1[[#This Row],[QTY]]*表格1[[#This Row],[Unit Price]],"-")</f>
        <v>2080</v>
      </c>
      <c r="O2708" s="86">
        <v>4384</v>
      </c>
      <c r="R2708" s="86" t="str">
        <f>_xlfn.CONCAT(表格1[[#This Row],[Model]]," ",表格1[[#This Row],[inv no]])</f>
        <v>RAD-D250H 4384</v>
      </c>
      <c r="S2708" s="86">
        <f>_xlfn.XLOOKUP(表格1[[#This Row],[Model]],表格3[Model-Input-Ref2],表格3[SRP PRICE])</f>
        <v>3380</v>
      </c>
      <c r="T2708" s="43">
        <f>表格1[[#This Row],[Unit Price]]/表格1[[#This Row],[SRP]]</f>
        <v>0.61538461538461542</v>
      </c>
      <c r="U2708" s="86" t="str">
        <f>_xlfn.XLOOKUP(表格1[[#This Row],[Model]],表格3[Model-Input-Ref2],表格3[TOSHIBA/HIGHEST])</f>
        <v>Shops Highest Price</v>
      </c>
      <c r="W2708" s="86" t="str">
        <f>_xlfn.CONCAT(表格1[[#This Row],[欄4]],表格1[[#This Row],[inv no]])</f>
        <v>4384</v>
      </c>
    </row>
    <row r="2709" spans="1:23" hidden="1">
      <c r="A2709" s="81">
        <v>2707</v>
      </c>
      <c r="B2709" s="86" t="s">
        <v>1403</v>
      </c>
      <c r="C2709" s="86" t="s">
        <v>1869</v>
      </c>
      <c r="D2709" s="82" t="str">
        <f ca="1">OFFSET(Roster!$A$3,MATCH(表格1[[#This Row],[Location]]&amp;" "&amp;表格1[[#This Row],[Shop]]&amp;"*",Roster!$A$4:$A$72,0),DAY(表格1[[#This Row],[date]]),1,1)</f>
        <v>Amy Or_1</v>
      </c>
      <c r="E2709" s="86">
        <f>MONTH(表格1[[#This Row],[date]])</f>
        <v>3</v>
      </c>
      <c r="F2709" s="90">
        <v>46082</v>
      </c>
      <c r="G2709" s="86" t="str">
        <f>VLOOKUP("*"&amp;表格1[[#This Row],[Input]]&amp;"*",'Ref-List'!$B:$D,2,)</f>
        <v>RAD-D250H</v>
      </c>
      <c r="H2709" s="86" t="str">
        <f>_xlfn.XLOOKUP(表格1[[#This Row],[Model]],表格3[Model-Input-Ref2],表格3[Product Line])</f>
        <v>壓縮式抽濕機 (25公升)</v>
      </c>
      <c r="I2709" s="86" t="str">
        <f>_xlfn.XLOOKUP(表格1[[#This Row],[Model]],表格3[Model-Input-Ref2],表格3[大小電])</f>
        <v>細電</v>
      </c>
      <c r="J2709" s="86" t="str">
        <f>_xlfn.XLOOKUP(表格1[[#This Row],[Model]],表格3[Model-Input-Ref2],表格3[Code])</f>
        <v>RAC</v>
      </c>
      <c r="K2709" s="89" t="s">
        <v>1407</v>
      </c>
      <c r="L2709" s="86">
        <v>1</v>
      </c>
      <c r="M2709" s="87">
        <v>2080</v>
      </c>
      <c r="N2709" s="87">
        <f>IFERROR(表格1[[#This Row],[QTY]]*表格1[[#This Row],[Unit Price]],"-")</f>
        <v>2080</v>
      </c>
      <c r="O2709" s="86">
        <v>4385</v>
      </c>
      <c r="R2709" s="86" t="str">
        <f>_xlfn.CONCAT(表格1[[#This Row],[Model]]," ",表格1[[#This Row],[inv no]])</f>
        <v>RAD-D250H 4385</v>
      </c>
      <c r="S2709" s="86">
        <f>_xlfn.XLOOKUP(表格1[[#This Row],[Model]],表格3[Model-Input-Ref2],表格3[SRP PRICE])</f>
        <v>3380</v>
      </c>
      <c r="T2709" s="43">
        <f>表格1[[#This Row],[Unit Price]]/表格1[[#This Row],[SRP]]</f>
        <v>0.61538461538461542</v>
      </c>
      <c r="U2709" s="86" t="str">
        <f>_xlfn.XLOOKUP(表格1[[#This Row],[Model]],表格3[Model-Input-Ref2],表格3[TOSHIBA/HIGHEST])</f>
        <v>Shops Highest Price</v>
      </c>
      <c r="W2709" s="86" t="str">
        <f>_xlfn.CONCAT(表格1[[#This Row],[欄4]],表格1[[#This Row],[inv no]])</f>
        <v>4385</v>
      </c>
    </row>
    <row r="2710" spans="1:23" hidden="1">
      <c r="A2710" s="81">
        <v>2708</v>
      </c>
      <c r="B2710" s="86" t="s">
        <v>1403</v>
      </c>
      <c r="C2710" s="86" t="s">
        <v>1869</v>
      </c>
      <c r="D2710" s="82" t="str">
        <f ca="1">OFFSET(Roster!$A$3,MATCH(表格1[[#This Row],[Location]]&amp;" "&amp;表格1[[#This Row],[Shop]]&amp;"*",Roster!$A$4:$A$72,0),DAY(表格1[[#This Row],[date]]),1,1)</f>
        <v>Amy Or_1</v>
      </c>
      <c r="E2710" s="86">
        <f>MONTH(表格1[[#This Row],[date]])</f>
        <v>3</v>
      </c>
      <c r="F2710" s="90">
        <v>46088</v>
      </c>
      <c r="G2710" s="86" t="str">
        <f>VLOOKUP("*"&amp;表格1[[#This Row],[Input]]&amp;"*",'Ref-List'!$B:$D,2,)</f>
        <v>TWP-W2265THK(W)</v>
      </c>
      <c r="H2710" s="86" t="str">
        <f>_xlfn.XLOOKUP(表格1[[#This Row],[Model]],表格3[Model-Input-Ref2],表格3[Product Line])</f>
        <v>RO座檯式冷熱飲水機</v>
      </c>
      <c r="I2710" s="86" t="str">
        <f>_xlfn.XLOOKUP(表格1[[#This Row],[Model]],表格3[Model-Input-Ref2],表格3[大小電])</f>
        <v>細電</v>
      </c>
      <c r="J2710" s="86" t="str">
        <f>_xlfn.XLOOKUP(表格1[[#This Row],[Model]],表格3[Model-Input-Ref2],表格3[Code])</f>
        <v>KWH</v>
      </c>
      <c r="K2710" s="89" t="s">
        <v>1694</v>
      </c>
      <c r="L2710" s="86">
        <v>1</v>
      </c>
      <c r="M2710" s="87">
        <v>2880</v>
      </c>
      <c r="N2710" s="87">
        <f>IFERROR(表格1[[#This Row],[QTY]]*表格1[[#This Row],[Unit Price]],"-")</f>
        <v>2880</v>
      </c>
      <c r="O2710" s="86">
        <v>200</v>
      </c>
      <c r="R2710" s="86" t="str">
        <f>_xlfn.CONCAT(表格1[[#This Row],[Model]]," ",表格1[[#This Row],[inv no]])</f>
        <v>TWP-W2265THK(W) 200</v>
      </c>
      <c r="S2710" s="86">
        <f>_xlfn.XLOOKUP(表格1[[#This Row],[Model]],表格3[Model-Input-Ref2],表格3[SRP PRICE])</f>
        <v>3480</v>
      </c>
      <c r="T2710" s="43">
        <f>表格1[[#This Row],[Unit Price]]/表格1[[#This Row],[SRP]]</f>
        <v>0.82758620689655171</v>
      </c>
      <c r="U2710" s="86" t="str">
        <f>_xlfn.XLOOKUP(表格1[[#This Row],[Model]],表格3[Model-Input-Ref2],表格3[TOSHIBA/HIGHEST])</f>
        <v>Shops Highest Price</v>
      </c>
      <c r="W2710" s="86" t="str">
        <f>_xlfn.CONCAT(表格1[[#This Row],[欄4]],表格1[[#This Row],[inv no]])</f>
        <v>200</v>
      </c>
    </row>
    <row r="2711" spans="1:23" hidden="1">
      <c r="A2711" s="81">
        <v>2709</v>
      </c>
      <c r="B2711" s="86" t="s">
        <v>1403</v>
      </c>
      <c r="C2711" s="86" t="s">
        <v>1869</v>
      </c>
      <c r="D2711" s="82" t="str">
        <f ca="1">OFFSET(Roster!$A$3,MATCH(表格1[[#This Row],[Location]]&amp;" "&amp;表格1[[#This Row],[Shop]]&amp;"*",Roster!$A$4:$A$72,0),DAY(表格1[[#This Row],[date]]),1,1)</f>
        <v>Amy Or_1</v>
      </c>
      <c r="E2711" s="86">
        <f>MONTH(表格1[[#This Row],[date]])</f>
        <v>3</v>
      </c>
      <c r="F2711" s="90">
        <v>46088</v>
      </c>
      <c r="G2711" s="86" t="str">
        <f>VLOOKUP("*"&amp;表格1[[#This Row],[Input]]&amp;"*",'Ref-List'!$B:$D,2,)</f>
        <v>RAD-D250H</v>
      </c>
      <c r="H2711" s="86" t="str">
        <f>_xlfn.XLOOKUP(表格1[[#This Row],[Model]],表格3[Model-Input-Ref2],表格3[Product Line])</f>
        <v>壓縮式抽濕機 (25公升)</v>
      </c>
      <c r="I2711" s="86" t="str">
        <f>_xlfn.XLOOKUP(表格1[[#This Row],[Model]],表格3[Model-Input-Ref2],表格3[大小電])</f>
        <v>細電</v>
      </c>
      <c r="J2711" s="86" t="str">
        <f>_xlfn.XLOOKUP(表格1[[#This Row],[Model]],表格3[Model-Input-Ref2],表格3[Code])</f>
        <v>RAC</v>
      </c>
      <c r="K2711" s="89" t="s">
        <v>1407</v>
      </c>
      <c r="L2711" s="86">
        <v>1</v>
      </c>
      <c r="M2711" s="87">
        <v>2080</v>
      </c>
      <c r="N2711" s="87">
        <f>IFERROR(表格1[[#This Row],[QTY]]*表格1[[#This Row],[Unit Price]],"-")</f>
        <v>2080</v>
      </c>
      <c r="O2711" s="86">
        <v>324962</v>
      </c>
      <c r="R2711" s="86" t="str">
        <f>_xlfn.CONCAT(表格1[[#This Row],[Model]]," ",表格1[[#This Row],[inv no]])</f>
        <v>RAD-D250H 324962</v>
      </c>
      <c r="S2711" s="86">
        <f>_xlfn.XLOOKUP(表格1[[#This Row],[Model]],表格3[Model-Input-Ref2],表格3[SRP PRICE])</f>
        <v>3380</v>
      </c>
      <c r="T2711" s="43">
        <f>表格1[[#This Row],[Unit Price]]/表格1[[#This Row],[SRP]]</f>
        <v>0.61538461538461542</v>
      </c>
      <c r="U2711" s="86" t="str">
        <f>_xlfn.XLOOKUP(表格1[[#This Row],[Model]],表格3[Model-Input-Ref2],表格3[TOSHIBA/HIGHEST])</f>
        <v>Shops Highest Price</v>
      </c>
      <c r="W2711" s="86" t="str">
        <f>_xlfn.CONCAT(表格1[[#This Row],[欄4]],表格1[[#This Row],[inv no]])</f>
        <v>324962</v>
      </c>
    </row>
    <row r="2712" spans="1:23" hidden="1">
      <c r="A2712" s="81">
        <v>2710</v>
      </c>
      <c r="B2712" s="86" t="s">
        <v>1403</v>
      </c>
      <c r="C2712" s="86" t="s">
        <v>1869</v>
      </c>
      <c r="D2712" s="82" t="str">
        <f ca="1">OFFSET(Roster!$A$3,MATCH(表格1[[#This Row],[Location]]&amp;" "&amp;表格1[[#This Row],[Shop]]&amp;"*",Roster!$A$4:$A$72,0),DAY(表格1[[#This Row],[date]]),1,1)</f>
        <v>Amy Or_1</v>
      </c>
      <c r="E2712" s="86">
        <f>MONTH(表格1[[#This Row],[date]])</f>
        <v>3</v>
      </c>
      <c r="F2712" s="90">
        <v>46088</v>
      </c>
      <c r="G2712" s="86" t="str">
        <f>VLOOKUP("*"&amp;表格1[[#This Row],[Input]]&amp;"*",'Ref-List'!$B:$D,2,)</f>
        <v>MS5-STR30SC(BK)</v>
      </c>
      <c r="H2712" s="86" t="str">
        <f>_xlfn.XLOOKUP(表格1[[#This Row],[Model]],表格3[Model-Input-Ref2],表格3[Product Line])</f>
        <v>30公升蒸氣焗爐</v>
      </c>
      <c r="I2712" s="86" t="str">
        <f>_xlfn.XLOOKUP(表格1[[#This Row],[Model]],表格3[Model-Input-Ref2],表格3[大小電])</f>
        <v>細電</v>
      </c>
      <c r="J2712" s="86" t="str">
        <f>_xlfn.XLOOKUP(表格1[[#This Row],[Model]],表格3[Model-Input-Ref2],表格3[Code])</f>
        <v>MCA</v>
      </c>
      <c r="K2712" s="89" t="s">
        <v>1379</v>
      </c>
      <c r="L2712" s="86">
        <v>1</v>
      </c>
      <c r="M2712" s="87">
        <v>3690</v>
      </c>
      <c r="N2712" s="87">
        <f>IFERROR(表格1[[#This Row],[QTY]]*表格1[[#This Row],[Unit Price]],"-")</f>
        <v>3690</v>
      </c>
      <c r="O2712" s="86">
        <v>324962</v>
      </c>
      <c r="R2712" s="86" t="str">
        <f>_xlfn.CONCAT(表格1[[#This Row],[Model]]," ",表格1[[#This Row],[inv no]])</f>
        <v>MS5-STR30SC(BK) 324962</v>
      </c>
      <c r="S2712" s="86">
        <f>_xlfn.XLOOKUP(表格1[[#This Row],[Model]],表格3[Model-Input-Ref2],表格3[SRP PRICE])</f>
        <v>5998</v>
      </c>
      <c r="T2712" s="43">
        <f>表格1[[#This Row],[Unit Price]]/表格1[[#This Row],[SRP]]</f>
        <v>0.61520506835611866</v>
      </c>
      <c r="U2712" s="86" t="str">
        <f>_xlfn.XLOOKUP(表格1[[#This Row],[Model]],表格3[Model-Input-Ref2],表格3[TOSHIBA/HIGHEST])</f>
        <v>Shops Highest Price</v>
      </c>
      <c r="W2712" s="86" t="str">
        <f>_xlfn.CONCAT(表格1[[#This Row],[欄4]],表格1[[#This Row],[inv no]])</f>
        <v>324962</v>
      </c>
    </row>
    <row r="2713" spans="1:23" hidden="1">
      <c r="A2713" s="81">
        <v>2711</v>
      </c>
      <c r="B2713" s="86" t="s">
        <v>1403</v>
      </c>
      <c r="C2713" s="86" t="s">
        <v>1869</v>
      </c>
      <c r="D2713" s="82" t="str">
        <f ca="1">OFFSET(Roster!$A$3,MATCH(表格1[[#This Row],[Location]]&amp;" "&amp;表格1[[#This Row],[Shop]]&amp;"*",Roster!$A$4:$A$72,0),DAY(表格1[[#This Row],[date]]),1,1)</f>
        <v>Amy Or_1</v>
      </c>
      <c r="E2713" s="86">
        <f>MONTH(表格1[[#This Row],[date]])</f>
        <v>3</v>
      </c>
      <c r="F2713" s="90">
        <v>46088</v>
      </c>
      <c r="G2713" s="86" t="str">
        <f>VLOOKUP("*"&amp;表格1[[#This Row],[Input]]&amp;"*",'Ref-List'!$B:$D,2,)</f>
        <v>RAD-D250H</v>
      </c>
      <c r="H2713" s="86" t="str">
        <f>_xlfn.XLOOKUP(表格1[[#This Row],[Model]],表格3[Model-Input-Ref2],表格3[Product Line])</f>
        <v>壓縮式抽濕機 (25公升)</v>
      </c>
      <c r="I2713" s="86" t="str">
        <f>_xlfn.XLOOKUP(表格1[[#This Row],[Model]],表格3[Model-Input-Ref2],表格3[大小電])</f>
        <v>細電</v>
      </c>
      <c r="J2713" s="86" t="str">
        <f>_xlfn.XLOOKUP(表格1[[#This Row],[Model]],表格3[Model-Input-Ref2],表格3[Code])</f>
        <v>RAC</v>
      </c>
      <c r="K2713" s="89" t="s">
        <v>1407</v>
      </c>
      <c r="L2713" s="86">
        <v>1</v>
      </c>
      <c r="M2713" s="87">
        <v>2080</v>
      </c>
      <c r="N2713" s="87">
        <f>IFERROR(表格1[[#This Row],[QTY]]*表格1[[#This Row],[Unit Price]],"-")</f>
        <v>2080</v>
      </c>
      <c r="O2713" s="86">
        <v>324986</v>
      </c>
      <c r="R2713" s="86" t="str">
        <f>_xlfn.CONCAT(表格1[[#This Row],[Model]]," ",表格1[[#This Row],[inv no]])</f>
        <v>RAD-D250H 324986</v>
      </c>
      <c r="S2713" s="86">
        <f>_xlfn.XLOOKUP(表格1[[#This Row],[Model]],表格3[Model-Input-Ref2],表格3[SRP PRICE])</f>
        <v>3380</v>
      </c>
      <c r="T2713" s="43">
        <f>表格1[[#This Row],[Unit Price]]/表格1[[#This Row],[SRP]]</f>
        <v>0.61538461538461542</v>
      </c>
      <c r="U2713" s="86" t="str">
        <f>_xlfn.XLOOKUP(表格1[[#This Row],[Model]],表格3[Model-Input-Ref2],表格3[TOSHIBA/HIGHEST])</f>
        <v>Shops Highest Price</v>
      </c>
      <c r="W2713" s="86" t="str">
        <f>_xlfn.CONCAT(表格1[[#This Row],[欄4]],表格1[[#This Row],[inv no]])</f>
        <v>324986</v>
      </c>
    </row>
    <row r="2714" spans="1:23" hidden="1">
      <c r="A2714" s="81">
        <v>2712</v>
      </c>
      <c r="B2714" s="86" t="s">
        <v>1403</v>
      </c>
      <c r="C2714" s="86" t="s">
        <v>1869</v>
      </c>
      <c r="D2714" s="82" t="str">
        <f ca="1">OFFSET(Roster!$A$3,MATCH(表格1[[#This Row],[Location]]&amp;" "&amp;表格1[[#This Row],[Shop]]&amp;"*",Roster!$A$4:$A$72,0),DAY(表格1[[#This Row],[date]]),1,1)</f>
        <v>Amy Or_1</v>
      </c>
      <c r="E2714" s="86">
        <f>MONTH(表格1[[#This Row],[date]])</f>
        <v>3</v>
      </c>
      <c r="F2714" s="90">
        <v>46088</v>
      </c>
      <c r="G2714" s="86" t="str">
        <f>VLOOKUP("*"&amp;表格1[[#This Row],[Input]]&amp;"*",'Ref-List'!$B:$D,2,)</f>
        <v>RAD-D250H</v>
      </c>
      <c r="H2714" s="86" t="str">
        <f>_xlfn.XLOOKUP(表格1[[#This Row],[Model]],表格3[Model-Input-Ref2],表格3[Product Line])</f>
        <v>壓縮式抽濕機 (25公升)</v>
      </c>
      <c r="I2714" s="86" t="str">
        <f>_xlfn.XLOOKUP(表格1[[#This Row],[Model]],表格3[Model-Input-Ref2],表格3[大小電])</f>
        <v>細電</v>
      </c>
      <c r="J2714" s="86" t="str">
        <f>_xlfn.XLOOKUP(表格1[[#This Row],[Model]],表格3[Model-Input-Ref2],表格3[Code])</f>
        <v>RAC</v>
      </c>
      <c r="K2714" s="89" t="s">
        <v>1407</v>
      </c>
      <c r="L2714" s="86">
        <v>1</v>
      </c>
      <c r="M2714" s="87">
        <v>2080</v>
      </c>
      <c r="N2714" s="87">
        <f>IFERROR(表格1[[#This Row],[QTY]]*表格1[[#This Row],[Unit Price]],"-")</f>
        <v>2080</v>
      </c>
      <c r="O2714" s="86">
        <v>325017</v>
      </c>
      <c r="R2714" s="86" t="str">
        <f>_xlfn.CONCAT(表格1[[#This Row],[Model]]," ",表格1[[#This Row],[inv no]])</f>
        <v>RAD-D250H 325017</v>
      </c>
      <c r="S2714" s="86">
        <f>_xlfn.XLOOKUP(表格1[[#This Row],[Model]],表格3[Model-Input-Ref2],表格3[SRP PRICE])</f>
        <v>3380</v>
      </c>
      <c r="T2714" s="43">
        <f>表格1[[#This Row],[Unit Price]]/表格1[[#This Row],[SRP]]</f>
        <v>0.61538461538461542</v>
      </c>
      <c r="U2714" s="86" t="str">
        <f>_xlfn.XLOOKUP(表格1[[#This Row],[Model]],表格3[Model-Input-Ref2],表格3[TOSHIBA/HIGHEST])</f>
        <v>Shops Highest Price</v>
      </c>
      <c r="W2714" s="86" t="str">
        <f>_xlfn.CONCAT(表格1[[#This Row],[欄4]],表格1[[#This Row],[inv no]])</f>
        <v>325017</v>
      </c>
    </row>
    <row r="2715" spans="1:23" hidden="1">
      <c r="A2715" s="81">
        <v>2713</v>
      </c>
      <c r="B2715" s="86" t="s">
        <v>1403</v>
      </c>
      <c r="C2715" s="86" t="s">
        <v>1869</v>
      </c>
      <c r="D2715" s="82" t="str">
        <f ca="1">OFFSET(Roster!$A$3,MATCH(表格1[[#This Row],[Location]]&amp;" "&amp;表格1[[#This Row],[Shop]]&amp;"*",Roster!$A$4:$A$72,0),DAY(表格1[[#This Row],[date]]),1,1)</f>
        <v>Amy Or_1</v>
      </c>
      <c r="E2715" s="86">
        <f>MONTH(表格1[[#This Row],[date]])</f>
        <v>3</v>
      </c>
      <c r="F2715" s="90">
        <v>46088</v>
      </c>
      <c r="G2715" s="86" t="str">
        <f>VLOOKUP("*"&amp;表格1[[#This Row],[Input]]&amp;"*",'Ref-List'!$B:$D,2,)</f>
        <v>RAD-D250H</v>
      </c>
      <c r="H2715" s="86" t="str">
        <f>_xlfn.XLOOKUP(表格1[[#This Row],[Model]],表格3[Model-Input-Ref2],表格3[Product Line])</f>
        <v>壓縮式抽濕機 (25公升)</v>
      </c>
      <c r="I2715" s="86" t="str">
        <f>_xlfn.XLOOKUP(表格1[[#This Row],[Model]],表格3[Model-Input-Ref2],表格3[大小電])</f>
        <v>細電</v>
      </c>
      <c r="J2715" s="86" t="str">
        <f>_xlfn.XLOOKUP(表格1[[#This Row],[Model]],表格3[Model-Input-Ref2],表格3[Code])</f>
        <v>RAC</v>
      </c>
      <c r="K2715" s="89" t="s">
        <v>1407</v>
      </c>
      <c r="L2715" s="86">
        <v>1</v>
      </c>
      <c r="M2715" s="87">
        <v>2080</v>
      </c>
      <c r="N2715" s="87">
        <f>IFERROR(表格1[[#This Row],[QTY]]*表格1[[#This Row],[Unit Price]],"-")</f>
        <v>2080</v>
      </c>
      <c r="O2715" s="86">
        <v>4394</v>
      </c>
      <c r="R2715" s="86" t="str">
        <f>_xlfn.CONCAT(表格1[[#This Row],[Model]]," ",表格1[[#This Row],[inv no]])</f>
        <v>RAD-D250H 4394</v>
      </c>
      <c r="S2715" s="86">
        <f>_xlfn.XLOOKUP(表格1[[#This Row],[Model]],表格3[Model-Input-Ref2],表格3[SRP PRICE])</f>
        <v>3380</v>
      </c>
      <c r="T2715" s="43">
        <f>表格1[[#This Row],[Unit Price]]/表格1[[#This Row],[SRP]]</f>
        <v>0.61538461538461542</v>
      </c>
      <c r="U2715" s="86" t="str">
        <f>_xlfn.XLOOKUP(表格1[[#This Row],[Model]],表格3[Model-Input-Ref2],表格3[TOSHIBA/HIGHEST])</f>
        <v>Shops Highest Price</v>
      </c>
      <c r="W2715" s="86" t="str">
        <f>_xlfn.CONCAT(表格1[[#This Row],[欄4]],表格1[[#This Row],[inv no]])</f>
        <v>4394</v>
      </c>
    </row>
    <row r="2716" spans="1:23" hidden="1">
      <c r="A2716" s="81">
        <v>2714</v>
      </c>
      <c r="B2716" s="86" t="s">
        <v>1403</v>
      </c>
      <c r="C2716" s="86" t="s">
        <v>1869</v>
      </c>
      <c r="D2716" s="82" t="str">
        <f ca="1">OFFSET(Roster!$A$3,MATCH(表格1[[#This Row],[Location]]&amp;" "&amp;表格1[[#This Row],[Shop]]&amp;"*",Roster!$A$4:$A$72,0),DAY(表格1[[#This Row],[date]]),1,1)</f>
        <v>Amy Or_1</v>
      </c>
      <c r="E2716" s="86">
        <f>MONTH(表格1[[#This Row],[date]])</f>
        <v>3</v>
      </c>
      <c r="F2716" s="90">
        <v>46088</v>
      </c>
      <c r="G2716" s="86" t="str">
        <f>VLOOKUP("*"&amp;表格1[[#This Row],[Input]]&amp;"*",'Ref-List'!$B:$D,2,)</f>
        <v>RAD-D250H</v>
      </c>
      <c r="H2716" s="86" t="str">
        <f>_xlfn.XLOOKUP(表格1[[#This Row],[Model]],表格3[Model-Input-Ref2],表格3[Product Line])</f>
        <v>壓縮式抽濕機 (25公升)</v>
      </c>
      <c r="I2716" s="86" t="str">
        <f>_xlfn.XLOOKUP(表格1[[#This Row],[Model]],表格3[Model-Input-Ref2],表格3[大小電])</f>
        <v>細電</v>
      </c>
      <c r="J2716" s="86" t="str">
        <f>_xlfn.XLOOKUP(表格1[[#This Row],[Model]],表格3[Model-Input-Ref2],表格3[Code])</f>
        <v>RAC</v>
      </c>
      <c r="K2716" s="89" t="s">
        <v>1407</v>
      </c>
      <c r="L2716" s="86">
        <v>1</v>
      </c>
      <c r="M2716" s="87">
        <v>2080</v>
      </c>
      <c r="N2716" s="87">
        <f>IFERROR(表格1[[#This Row],[QTY]]*表格1[[#This Row],[Unit Price]],"-")</f>
        <v>2080</v>
      </c>
      <c r="O2716" s="86">
        <v>620</v>
      </c>
      <c r="R2716" s="86" t="str">
        <f>_xlfn.CONCAT(表格1[[#This Row],[Model]]," ",表格1[[#This Row],[inv no]])</f>
        <v>RAD-D250H 620</v>
      </c>
      <c r="S2716" s="86">
        <f>_xlfn.XLOOKUP(表格1[[#This Row],[Model]],表格3[Model-Input-Ref2],表格3[SRP PRICE])</f>
        <v>3380</v>
      </c>
      <c r="T2716" s="43">
        <f>表格1[[#This Row],[Unit Price]]/表格1[[#This Row],[SRP]]</f>
        <v>0.61538461538461542</v>
      </c>
      <c r="U2716" s="86" t="str">
        <f>_xlfn.XLOOKUP(表格1[[#This Row],[Model]],表格3[Model-Input-Ref2],表格3[TOSHIBA/HIGHEST])</f>
        <v>Shops Highest Price</v>
      </c>
      <c r="W2716" s="86" t="str">
        <f>_xlfn.CONCAT(表格1[[#This Row],[欄4]],表格1[[#This Row],[inv no]])</f>
        <v>620</v>
      </c>
    </row>
    <row r="2717" spans="1:23" hidden="1">
      <c r="A2717" s="81">
        <v>2715</v>
      </c>
      <c r="B2717" s="86" t="s">
        <v>1403</v>
      </c>
      <c r="C2717" s="86" t="s">
        <v>1869</v>
      </c>
      <c r="D2717" s="82" t="str">
        <f ca="1">OFFSET(Roster!$A$3,MATCH(表格1[[#This Row],[Location]]&amp;" "&amp;表格1[[#This Row],[Shop]]&amp;"*",Roster!$A$4:$A$72,0),DAY(表格1[[#This Row],[date]]),1,1)</f>
        <v>Amy Or_1</v>
      </c>
      <c r="E2717" s="86">
        <f>MONTH(表格1[[#This Row],[date]])</f>
        <v>3</v>
      </c>
      <c r="F2717" s="90">
        <v>46088</v>
      </c>
      <c r="G2717" s="86" t="str">
        <f>VLOOKUP("*"&amp;表格1[[#This Row],[Input]]&amp;"*",'Ref-List'!$B:$D,2,)</f>
        <v>RAD-D250H</v>
      </c>
      <c r="H2717" s="86" t="str">
        <f>_xlfn.XLOOKUP(表格1[[#This Row],[Model]],表格3[Model-Input-Ref2],表格3[Product Line])</f>
        <v>壓縮式抽濕機 (25公升)</v>
      </c>
      <c r="I2717" s="86" t="str">
        <f>_xlfn.XLOOKUP(表格1[[#This Row],[Model]],表格3[Model-Input-Ref2],表格3[大小電])</f>
        <v>細電</v>
      </c>
      <c r="J2717" s="86" t="str">
        <f>_xlfn.XLOOKUP(表格1[[#This Row],[Model]],表格3[Model-Input-Ref2],表格3[Code])</f>
        <v>RAC</v>
      </c>
      <c r="K2717" s="89" t="s">
        <v>1407</v>
      </c>
      <c r="L2717" s="86">
        <v>1</v>
      </c>
      <c r="M2717" s="87">
        <v>2080</v>
      </c>
      <c r="N2717" s="87">
        <f>IFERROR(表格1[[#This Row],[QTY]]*表格1[[#This Row],[Unit Price]],"-")</f>
        <v>2080</v>
      </c>
      <c r="O2717" s="86">
        <v>4402</v>
      </c>
      <c r="R2717" s="86" t="str">
        <f>_xlfn.CONCAT(表格1[[#This Row],[Model]]," ",表格1[[#This Row],[inv no]])</f>
        <v>RAD-D250H 4402</v>
      </c>
      <c r="S2717" s="86">
        <f>_xlfn.XLOOKUP(表格1[[#This Row],[Model]],表格3[Model-Input-Ref2],表格3[SRP PRICE])</f>
        <v>3380</v>
      </c>
      <c r="T2717" s="43">
        <f>表格1[[#This Row],[Unit Price]]/表格1[[#This Row],[SRP]]</f>
        <v>0.61538461538461542</v>
      </c>
      <c r="U2717" s="86" t="str">
        <f>_xlfn.XLOOKUP(表格1[[#This Row],[Model]],表格3[Model-Input-Ref2],表格3[TOSHIBA/HIGHEST])</f>
        <v>Shops Highest Price</v>
      </c>
      <c r="W2717" s="86" t="str">
        <f>_xlfn.CONCAT(表格1[[#This Row],[欄4]],表格1[[#This Row],[inv no]])</f>
        <v>4402</v>
      </c>
    </row>
    <row r="2718" spans="1:23" hidden="1">
      <c r="A2718" s="81">
        <v>2716</v>
      </c>
      <c r="B2718" s="86" t="s">
        <v>1403</v>
      </c>
      <c r="C2718" s="86" t="s">
        <v>1869</v>
      </c>
      <c r="D2718" s="82" t="str">
        <f ca="1">OFFSET(Roster!$A$3,MATCH(表格1[[#This Row],[Location]]&amp;" "&amp;表格1[[#This Row],[Shop]]&amp;"*",Roster!$A$4:$A$72,0),DAY(表格1[[#This Row],[date]]),1,1)</f>
        <v>Amy Or_1</v>
      </c>
      <c r="E2718" s="86">
        <f>MONTH(表格1[[#This Row],[date]])</f>
        <v>3</v>
      </c>
      <c r="F2718" s="90">
        <v>46088</v>
      </c>
      <c r="G2718" s="86" t="str">
        <f>VLOOKUP("*"&amp;表格1[[#This Row],[Input]]&amp;"*",'Ref-List'!$B:$D,2,)</f>
        <v>RAD-D250H</v>
      </c>
      <c r="H2718" s="86" t="str">
        <f>_xlfn.XLOOKUP(表格1[[#This Row],[Model]],表格3[Model-Input-Ref2],表格3[Product Line])</f>
        <v>壓縮式抽濕機 (25公升)</v>
      </c>
      <c r="I2718" s="86" t="str">
        <f>_xlfn.XLOOKUP(表格1[[#This Row],[Model]],表格3[Model-Input-Ref2],表格3[大小電])</f>
        <v>細電</v>
      </c>
      <c r="J2718" s="86" t="str">
        <f>_xlfn.XLOOKUP(表格1[[#This Row],[Model]],表格3[Model-Input-Ref2],表格3[Code])</f>
        <v>RAC</v>
      </c>
      <c r="K2718" s="89" t="s">
        <v>1407</v>
      </c>
      <c r="L2718" s="86">
        <v>1</v>
      </c>
      <c r="M2718" s="87">
        <v>2080</v>
      </c>
      <c r="N2718" s="87">
        <f>IFERROR(表格1[[#This Row],[QTY]]*表格1[[#This Row],[Unit Price]],"-")</f>
        <v>2080</v>
      </c>
      <c r="O2718" s="86">
        <v>640</v>
      </c>
      <c r="R2718" s="86" t="str">
        <f>_xlfn.CONCAT(表格1[[#This Row],[Model]]," ",表格1[[#This Row],[inv no]])</f>
        <v>RAD-D250H 640</v>
      </c>
      <c r="S2718" s="86">
        <f>_xlfn.XLOOKUP(表格1[[#This Row],[Model]],表格3[Model-Input-Ref2],表格3[SRP PRICE])</f>
        <v>3380</v>
      </c>
      <c r="T2718" s="43">
        <f>表格1[[#This Row],[Unit Price]]/表格1[[#This Row],[SRP]]</f>
        <v>0.61538461538461542</v>
      </c>
      <c r="U2718" s="86" t="str">
        <f>_xlfn.XLOOKUP(表格1[[#This Row],[Model]],表格3[Model-Input-Ref2],表格3[TOSHIBA/HIGHEST])</f>
        <v>Shops Highest Price</v>
      </c>
      <c r="W2718" s="86" t="str">
        <f>_xlfn.CONCAT(表格1[[#This Row],[欄4]],表格1[[#This Row],[inv no]])</f>
        <v>640</v>
      </c>
    </row>
    <row r="2719" spans="1:23" hidden="1">
      <c r="A2719" s="81">
        <v>2717</v>
      </c>
      <c r="B2719" s="86" t="s">
        <v>1403</v>
      </c>
      <c r="C2719" s="86" t="s">
        <v>1869</v>
      </c>
      <c r="D2719" s="82" t="str">
        <f ca="1">OFFSET(Roster!$A$3,MATCH(表格1[[#This Row],[Location]]&amp;" "&amp;表格1[[#This Row],[Shop]]&amp;"*",Roster!$A$4:$A$72,0),DAY(表格1[[#This Row],[date]]),1,1)</f>
        <v>Amy Or_1</v>
      </c>
      <c r="E2719" s="86">
        <f>MONTH(表格1[[#This Row],[date]])</f>
        <v>3</v>
      </c>
      <c r="F2719" s="90">
        <v>46088</v>
      </c>
      <c r="G2719" s="86" t="str">
        <f>VLOOKUP("*"&amp;表格1[[#This Row],[Input]]&amp;"*",'Ref-List'!$B:$D,2,)</f>
        <v>RAD-D250H</v>
      </c>
      <c r="H2719" s="86" t="str">
        <f>_xlfn.XLOOKUP(表格1[[#This Row],[Model]],表格3[Model-Input-Ref2],表格3[Product Line])</f>
        <v>壓縮式抽濕機 (25公升)</v>
      </c>
      <c r="I2719" s="86" t="str">
        <f>_xlfn.XLOOKUP(表格1[[#This Row],[Model]],表格3[Model-Input-Ref2],表格3[大小電])</f>
        <v>細電</v>
      </c>
      <c r="J2719" s="86" t="str">
        <f>_xlfn.XLOOKUP(表格1[[#This Row],[Model]],表格3[Model-Input-Ref2],表格3[Code])</f>
        <v>RAC</v>
      </c>
      <c r="K2719" s="89" t="s">
        <v>1407</v>
      </c>
      <c r="L2719" s="86">
        <v>1</v>
      </c>
      <c r="M2719" s="87">
        <v>2080</v>
      </c>
      <c r="N2719" s="87">
        <f>IFERROR(表格1[[#This Row],[QTY]]*表格1[[#This Row],[Unit Price]],"-")</f>
        <v>2080</v>
      </c>
      <c r="O2719" s="86">
        <v>1363</v>
      </c>
      <c r="R2719" s="86" t="str">
        <f>_xlfn.CONCAT(表格1[[#This Row],[Model]]," ",表格1[[#This Row],[inv no]])</f>
        <v>RAD-D250H 1363</v>
      </c>
      <c r="S2719" s="86">
        <f>_xlfn.XLOOKUP(表格1[[#This Row],[Model]],表格3[Model-Input-Ref2],表格3[SRP PRICE])</f>
        <v>3380</v>
      </c>
      <c r="T2719" s="43">
        <f>表格1[[#This Row],[Unit Price]]/表格1[[#This Row],[SRP]]</f>
        <v>0.61538461538461542</v>
      </c>
      <c r="U2719" s="86" t="str">
        <f>_xlfn.XLOOKUP(表格1[[#This Row],[Model]],表格3[Model-Input-Ref2],表格3[TOSHIBA/HIGHEST])</f>
        <v>Shops Highest Price</v>
      </c>
      <c r="W2719" s="86" t="str">
        <f>_xlfn.CONCAT(表格1[[#This Row],[欄4]],表格1[[#This Row],[inv no]])</f>
        <v>1363</v>
      </c>
    </row>
    <row r="2720" spans="1:23" hidden="1">
      <c r="A2720" s="81">
        <v>2718</v>
      </c>
      <c r="B2720" s="86" t="s">
        <v>1403</v>
      </c>
      <c r="C2720" s="86" t="s">
        <v>1869</v>
      </c>
      <c r="D2720" s="82" t="str">
        <f ca="1">OFFSET(Roster!$A$3,MATCH(表格1[[#This Row],[Location]]&amp;" "&amp;表格1[[#This Row],[Shop]]&amp;"*",Roster!$A$4:$A$72,0),DAY(表格1[[#This Row],[date]]),1,1)</f>
        <v>Amy Or_1</v>
      </c>
      <c r="E2720" s="86">
        <f>MONTH(表格1[[#This Row],[date]])</f>
        <v>3</v>
      </c>
      <c r="F2720" s="90">
        <v>46109</v>
      </c>
      <c r="G2720" s="86" t="str">
        <f>VLOOKUP("*"&amp;表格1[[#This Row],[Input]]&amp;"*",'Ref-List'!$B:$D,2,)</f>
        <v>TWP-W2265THK(W)</v>
      </c>
      <c r="H2720" s="86" t="str">
        <f>_xlfn.XLOOKUP(表格1[[#This Row],[Model]],表格3[Model-Input-Ref2],表格3[Product Line])</f>
        <v>RO座檯式冷熱飲水機</v>
      </c>
      <c r="I2720" s="86" t="str">
        <f>_xlfn.XLOOKUP(表格1[[#This Row],[Model]],表格3[Model-Input-Ref2],表格3[大小電])</f>
        <v>細電</v>
      </c>
      <c r="J2720" s="86" t="str">
        <f>_xlfn.XLOOKUP(表格1[[#This Row],[Model]],表格3[Model-Input-Ref2],表格3[Code])</f>
        <v>KWH</v>
      </c>
      <c r="K2720" s="89" t="s">
        <v>1694</v>
      </c>
      <c r="L2720" s="86">
        <v>1</v>
      </c>
      <c r="M2720" s="87">
        <v>2880</v>
      </c>
      <c r="N2720" s="87">
        <f>IFERROR(表格1[[#This Row],[QTY]]*表格1[[#This Row],[Unit Price]],"-")</f>
        <v>2880</v>
      </c>
      <c r="O2720" s="86">
        <v>669</v>
      </c>
      <c r="R2720" s="86" t="str">
        <f>_xlfn.CONCAT(表格1[[#This Row],[Model]]," ",表格1[[#This Row],[inv no]])</f>
        <v>TWP-W2265THK(W) 669</v>
      </c>
      <c r="S2720" s="86">
        <f>_xlfn.XLOOKUP(表格1[[#This Row],[Model]],表格3[Model-Input-Ref2],表格3[SRP PRICE])</f>
        <v>3480</v>
      </c>
      <c r="T2720" s="43">
        <f>表格1[[#This Row],[Unit Price]]/表格1[[#This Row],[SRP]]</f>
        <v>0.82758620689655171</v>
      </c>
      <c r="U2720" s="86" t="str">
        <f>_xlfn.XLOOKUP(表格1[[#This Row],[Model]],表格3[Model-Input-Ref2],表格3[TOSHIBA/HIGHEST])</f>
        <v>Shops Highest Price</v>
      </c>
      <c r="W2720" s="86" t="str">
        <f>_xlfn.CONCAT(表格1[[#This Row],[欄4]],表格1[[#This Row],[inv no]])</f>
        <v>669</v>
      </c>
    </row>
    <row r="2721" spans="1:23" hidden="1">
      <c r="A2721" s="81">
        <v>2719</v>
      </c>
      <c r="B2721" s="86" t="s">
        <v>1403</v>
      </c>
      <c r="C2721" s="86" t="s">
        <v>1869</v>
      </c>
      <c r="D2721" s="82" t="str">
        <f ca="1">OFFSET(Roster!$A$3,MATCH(表格1[[#This Row],[Location]]&amp;" "&amp;表格1[[#This Row],[Shop]]&amp;"*",Roster!$A$4:$A$72,0),DAY(表格1[[#This Row],[date]]),1,1)</f>
        <v>Amy Or_1</v>
      </c>
      <c r="E2721" s="86">
        <f>MONTH(表格1[[#This Row],[date]])</f>
        <v>3</v>
      </c>
      <c r="F2721" s="90">
        <v>46109</v>
      </c>
      <c r="G2721" s="86" t="str">
        <f>VLOOKUP("*"&amp;表格1[[#This Row],[Input]]&amp;"*",'Ref-List'!$B:$D,2,)</f>
        <v>RC-10AMXH(W)</v>
      </c>
      <c r="H2721" s="86" t="str">
        <f>_xlfn.XLOOKUP(表格1[[#This Row],[Model]],表格3[Model-Input-Ref2],表格3[Product Line])</f>
        <v>酵活炊電飯煲(1.0公升)</v>
      </c>
      <c r="I2721" s="86" t="str">
        <f>_xlfn.XLOOKUP(表格1[[#This Row],[Model]],表格3[Model-Input-Ref2],表格3[大小電])</f>
        <v>細電</v>
      </c>
      <c r="J2721" s="86" t="str">
        <f>_xlfn.XLOOKUP(表格1[[#This Row],[Model]],表格3[Model-Input-Ref2],表格3[Code])</f>
        <v>SDA</v>
      </c>
      <c r="K2721" s="89" t="s">
        <v>1279</v>
      </c>
      <c r="L2721" s="86">
        <v>1</v>
      </c>
      <c r="M2721" s="87">
        <v>990</v>
      </c>
      <c r="N2721" s="87">
        <f>IFERROR(表格1[[#This Row],[QTY]]*表格1[[#This Row],[Unit Price]],"-")</f>
        <v>990</v>
      </c>
      <c r="O2721" s="86">
        <v>232</v>
      </c>
      <c r="R2721" s="86" t="str">
        <f>_xlfn.CONCAT(表格1[[#This Row],[Model]]," ",表格1[[#This Row],[inv no]])</f>
        <v>RC-10AMXH(W) 232</v>
      </c>
      <c r="S2721" s="86">
        <f>_xlfn.XLOOKUP(表格1[[#This Row],[Model]],表格3[Model-Input-Ref2],表格3[SRP PRICE])</f>
        <v>1288</v>
      </c>
      <c r="T2721" s="43">
        <f>表格1[[#This Row],[Unit Price]]/表格1[[#This Row],[SRP]]</f>
        <v>0.76863354037267084</v>
      </c>
      <c r="U2721" s="86" t="str">
        <f>_xlfn.XLOOKUP(表格1[[#This Row],[Model]],表格3[Model-Input-Ref2],表格3[TOSHIBA/HIGHEST])</f>
        <v>Toshiba SRP</v>
      </c>
      <c r="W2721" s="86" t="str">
        <f>_xlfn.CONCAT(表格1[[#This Row],[欄4]],表格1[[#This Row],[inv no]])</f>
        <v>232</v>
      </c>
    </row>
    <row r="2722" spans="1:23" hidden="1">
      <c r="A2722" s="81">
        <v>2720</v>
      </c>
      <c r="B2722" s="86" t="s">
        <v>1403</v>
      </c>
      <c r="C2722" s="86" t="s">
        <v>1869</v>
      </c>
      <c r="D2722" s="82" t="str">
        <f ca="1">OFFSET(Roster!$A$3,MATCH(表格1[[#This Row],[Location]]&amp;" "&amp;表格1[[#This Row],[Shop]]&amp;"*",Roster!$A$4:$A$72,0),DAY(表格1[[#This Row],[date]]),1,1)</f>
        <v>Amy Or_1</v>
      </c>
      <c r="E2722" s="86">
        <f>MONTH(表格1[[#This Row],[date]])</f>
        <v>3</v>
      </c>
      <c r="F2722" s="90">
        <v>46109</v>
      </c>
      <c r="G2722" s="86" t="str">
        <f>VLOOKUP("*"&amp;表格1[[#This Row],[Input]]&amp;"*",'Ref-List'!$B:$D,2,)</f>
        <v>RAD-D250H</v>
      </c>
      <c r="H2722" s="86" t="str">
        <f>_xlfn.XLOOKUP(表格1[[#This Row],[Model]],表格3[Model-Input-Ref2],表格3[Product Line])</f>
        <v>壓縮式抽濕機 (25公升)</v>
      </c>
      <c r="I2722" s="86" t="str">
        <f>_xlfn.XLOOKUP(表格1[[#This Row],[Model]],表格3[Model-Input-Ref2],表格3[大小電])</f>
        <v>細電</v>
      </c>
      <c r="J2722" s="86" t="str">
        <f>_xlfn.XLOOKUP(表格1[[#This Row],[Model]],表格3[Model-Input-Ref2],表格3[Code])</f>
        <v>RAC</v>
      </c>
      <c r="K2722" s="89" t="s">
        <v>1407</v>
      </c>
      <c r="L2722" s="86">
        <v>1</v>
      </c>
      <c r="M2722" s="87">
        <v>2080</v>
      </c>
      <c r="N2722" s="87">
        <f>IFERROR(表格1[[#This Row],[QTY]]*表格1[[#This Row],[Unit Price]],"-")</f>
        <v>2080</v>
      </c>
      <c r="O2722" s="86">
        <v>4429</v>
      </c>
      <c r="R2722" s="86" t="str">
        <f>_xlfn.CONCAT(表格1[[#This Row],[Model]]," ",表格1[[#This Row],[inv no]])</f>
        <v>RAD-D250H 4429</v>
      </c>
      <c r="S2722" s="86">
        <f>_xlfn.XLOOKUP(表格1[[#This Row],[Model]],表格3[Model-Input-Ref2],表格3[SRP PRICE])</f>
        <v>3380</v>
      </c>
      <c r="T2722" s="43">
        <f>表格1[[#This Row],[Unit Price]]/表格1[[#This Row],[SRP]]</f>
        <v>0.61538461538461542</v>
      </c>
      <c r="U2722" s="86" t="str">
        <f>_xlfn.XLOOKUP(表格1[[#This Row],[Model]],表格3[Model-Input-Ref2],表格3[TOSHIBA/HIGHEST])</f>
        <v>Shops Highest Price</v>
      </c>
      <c r="W2722" s="86" t="str">
        <f>_xlfn.CONCAT(表格1[[#This Row],[欄4]],表格1[[#This Row],[inv no]])</f>
        <v>4429</v>
      </c>
    </row>
    <row r="2723" spans="1:23" hidden="1">
      <c r="A2723" s="81">
        <v>2721</v>
      </c>
      <c r="B2723" s="86" t="s">
        <v>1403</v>
      </c>
      <c r="C2723" s="86" t="s">
        <v>1869</v>
      </c>
      <c r="D2723" s="82" t="str">
        <f ca="1">OFFSET(Roster!$A$3,MATCH(表格1[[#This Row],[Location]]&amp;" "&amp;表格1[[#This Row],[Shop]]&amp;"*",Roster!$A$4:$A$72,0),DAY(表格1[[#This Row],[date]]),1,1)</f>
        <v>Amy Or_1</v>
      </c>
      <c r="E2723" s="86">
        <f>MONTH(表格1[[#This Row],[date]])</f>
        <v>3</v>
      </c>
      <c r="F2723" s="90">
        <v>46109</v>
      </c>
      <c r="G2723" s="86" t="str">
        <f>VLOOKUP("*"&amp;表格1[[#This Row],[Input]]&amp;"*",'Ref-List'!$B:$D,2,)</f>
        <v>ER-VD7000HK(XK)</v>
      </c>
      <c r="H2723" s="86" t="str">
        <f>_xlfn.XLOOKUP(表格1[[#This Row],[Model]],表格3[Model-Input-Ref2],表格3[Product Line])</f>
        <v>水波爐</v>
      </c>
      <c r="I2723" s="86" t="str">
        <f>_xlfn.XLOOKUP(表格1[[#This Row],[Model]],表格3[Model-Input-Ref2],表格3[大小電])</f>
        <v>細電</v>
      </c>
      <c r="J2723" s="86" t="str">
        <f>_xlfn.XLOOKUP(表格1[[#This Row],[Model]],表格3[Model-Input-Ref2],表格3[Code])</f>
        <v>MCA</v>
      </c>
      <c r="K2723" s="89" t="s">
        <v>1469</v>
      </c>
      <c r="L2723" s="86">
        <v>1</v>
      </c>
      <c r="M2723" s="87">
        <v>6060</v>
      </c>
      <c r="N2723" s="87">
        <f>IFERROR(表格1[[#This Row],[QTY]]*表格1[[#This Row],[Unit Price]],"-")</f>
        <v>6060</v>
      </c>
      <c r="O2723" s="86">
        <v>325324</v>
      </c>
      <c r="R2723" s="86" t="str">
        <f>_xlfn.CONCAT(表格1[[#This Row],[Model]]," ",表格1[[#This Row],[inv no]])</f>
        <v>ER-VD7000HK(XK) 325324</v>
      </c>
      <c r="S2723" s="86">
        <f>_xlfn.XLOOKUP(表格1[[#This Row],[Model]],表格3[Model-Input-Ref2],表格3[SRP PRICE])</f>
        <v>8998</v>
      </c>
      <c r="T2723" s="43">
        <f>表格1[[#This Row],[Unit Price]]/表格1[[#This Row],[SRP]]</f>
        <v>0.67348299622138252</v>
      </c>
      <c r="U2723" s="86" t="str">
        <f>_xlfn.XLOOKUP(表格1[[#This Row],[Model]],表格3[Model-Input-Ref2],表格3[TOSHIBA/HIGHEST])</f>
        <v>Toshiba SRP</v>
      </c>
      <c r="W2723" s="86" t="str">
        <f>_xlfn.CONCAT(表格1[[#This Row],[欄4]],表格1[[#This Row],[inv no]])</f>
        <v>325324</v>
      </c>
    </row>
    <row r="2724" spans="1:23" hidden="1">
      <c r="A2724" s="81">
        <v>2722</v>
      </c>
      <c r="B2724" s="86" t="s">
        <v>1403</v>
      </c>
      <c r="C2724" s="86" t="s">
        <v>1869</v>
      </c>
      <c r="D2724" s="82" t="str">
        <f ca="1">OFFSET(Roster!$A$3,MATCH(表格1[[#This Row],[Location]]&amp;" "&amp;表格1[[#This Row],[Shop]]&amp;"*",Roster!$A$4:$A$72,0),DAY(表格1[[#This Row],[date]]),1,1)</f>
        <v>Amy Or_1</v>
      </c>
      <c r="E2724" s="86">
        <f>MONTH(表格1[[#This Row],[date]])</f>
        <v>3</v>
      </c>
      <c r="F2724" s="90">
        <v>46109</v>
      </c>
      <c r="G2724" s="86" t="str">
        <f>VLOOKUP("*"&amp;表格1[[#This Row],[Input]]&amp;"*",'Ref-List'!$B:$D,2,)</f>
        <v>MX2-TT20SC(WH)</v>
      </c>
      <c r="H2724" s="86" t="str">
        <f>_xlfn.XLOOKUP(表格1[[#This Row],[Model]],表格3[Model-Input-Ref2],表格3[Product Line])</f>
        <v>3合1 微波蒸焗爐 (20公升)</v>
      </c>
      <c r="I2724" s="86" t="str">
        <f>_xlfn.XLOOKUP(表格1[[#This Row],[Model]],表格3[Model-Input-Ref2],表格3[大小電])</f>
        <v>細電</v>
      </c>
      <c r="J2724" s="86" t="str">
        <f>_xlfn.XLOOKUP(表格1[[#This Row],[Model]],表格3[Model-Input-Ref2],表格3[Code])</f>
        <v>MCA</v>
      </c>
      <c r="K2724" s="89" t="s">
        <v>1287</v>
      </c>
      <c r="L2724" s="86">
        <v>1</v>
      </c>
      <c r="M2724" s="87">
        <v>2480</v>
      </c>
      <c r="N2724" s="87">
        <f>IFERROR(表格1[[#This Row],[QTY]]*表格1[[#This Row],[Unit Price]],"-")</f>
        <v>2480</v>
      </c>
      <c r="O2724" s="86">
        <v>325325</v>
      </c>
      <c r="R2724" s="86" t="str">
        <f>_xlfn.CONCAT(表格1[[#This Row],[Model]]," ",表格1[[#This Row],[inv no]])</f>
        <v>MX2-TT20SC(WH) 325325</v>
      </c>
      <c r="S2724" s="86">
        <f>_xlfn.XLOOKUP(表格1[[#This Row],[Model]],表格3[Model-Input-Ref2],表格3[SRP PRICE])</f>
        <v>3580</v>
      </c>
      <c r="T2724" s="43">
        <f>表格1[[#This Row],[Unit Price]]/表格1[[#This Row],[SRP]]</f>
        <v>0.69273743016759781</v>
      </c>
      <c r="U2724" s="86" t="str">
        <f>_xlfn.XLOOKUP(表格1[[#This Row],[Model]],表格3[Model-Input-Ref2],表格3[TOSHIBA/HIGHEST])</f>
        <v>Toshiba SRP</v>
      </c>
      <c r="W2724" s="86" t="str">
        <f>_xlfn.CONCAT(表格1[[#This Row],[欄4]],表格1[[#This Row],[inv no]])</f>
        <v>325325</v>
      </c>
    </row>
    <row r="2725" spans="1:23" hidden="1">
      <c r="A2725" s="81">
        <v>2723</v>
      </c>
      <c r="B2725" s="86" t="s">
        <v>1403</v>
      </c>
      <c r="C2725" s="86" t="s">
        <v>1869</v>
      </c>
      <c r="D2725" s="82" t="str">
        <f ca="1">OFFSET(Roster!$A$3,MATCH(表格1[[#This Row],[Location]]&amp;" "&amp;表格1[[#This Row],[Shop]]&amp;"*",Roster!$A$4:$A$72,0),DAY(表格1[[#This Row],[date]]),1,1)</f>
        <v>Amy Or_1</v>
      </c>
      <c r="E2725" s="86">
        <f>MONTH(表格1[[#This Row],[date]])</f>
        <v>3</v>
      </c>
      <c r="F2725" s="90">
        <v>46109</v>
      </c>
      <c r="G2725" s="86" t="str">
        <f>VLOOKUP("*"&amp;表格1[[#This Row],[Input]]&amp;"*",'Ref-List'!$B:$D,2,)</f>
        <v>MX2-STR25SC(WH)</v>
      </c>
      <c r="H2725" s="86" t="str">
        <f>_xlfn.XLOOKUP(表格1[[#This Row],[Model]],表格3[Model-Input-Ref2],表格3[Product Line])</f>
        <v>4合1氣炸微波蒸焗爐(25公升)</v>
      </c>
      <c r="I2725" s="86" t="str">
        <f>_xlfn.XLOOKUP(表格1[[#This Row],[Model]],表格3[Model-Input-Ref2],表格3[大小電])</f>
        <v>細電</v>
      </c>
      <c r="J2725" s="86" t="str">
        <f>_xlfn.XLOOKUP(表格1[[#This Row],[Model]],表格3[Model-Input-Ref2],表格3[Code])</f>
        <v>MCA</v>
      </c>
      <c r="K2725" s="89" t="s">
        <v>1410</v>
      </c>
      <c r="L2725" s="86">
        <v>1</v>
      </c>
      <c r="M2725" s="87">
        <v>3180</v>
      </c>
      <c r="N2725" s="87">
        <f>IFERROR(表格1[[#This Row],[QTY]]*表格1[[#This Row],[Unit Price]],"-")</f>
        <v>3180</v>
      </c>
      <c r="O2725" s="86">
        <v>325435</v>
      </c>
      <c r="R2725" s="86" t="str">
        <f>_xlfn.CONCAT(表格1[[#This Row],[Model]]," ",表格1[[#This Row],[inv no]])</f>
        <v>MX2-STR25SC(WH) 325435</v>
      </c>
      <c r="S2725" s="86">
        <f>_xlfn.XLOOKUP(表格1[[#This Row],[Model]],表格3[Model-Input-Ref2],表格3[SRP PRICE])</f>
        <v>4998</v>
      </c>
      <c r="T2725" s="43">
        <f>表格1[[#This Row],[Unit Price]]/表格1[[#This Row],[SRP]]</f>
        <v>0.6362545018007203</v>
      </c>
      <c r="U2725" s="86" t="str">
        <f>_xlfn.XLOOKUP(表格1[[#This Row],[Model]],表格3[Model-Input-Ref2],表格3[TOSHIBA/HIGHEST])</f>
        <v>Toshiba SRP</v>
      </c>
      <c r="W2725" s="86" t="str">
        <f>_xlfn.CONCAT(表格1[[#This Row],[欄4]],表格1[[#This Row],[inv no]])</f>
        <v>325435</v>
      </c>
    </row>
    <row r="2726" spans="1:23" hidden="1">
      <c r="A2726" s="81">
        <v>2724</v>
      </c>
      <c r="B2726" s="86" t="s">
        <v>1403</v>
      </c>
      <c r="C2726" s="86" t="s">
        <v>1869</v>
      </c>
      <c r="D2726" s="82" t="str">
        <f ca="1">OFFSET(Roster!$A$3,MATCH(表格1[[#This Row],[Location]]&amp;" "&amp;表格1[[#This Row],[Shop]]&amp;"*",Roster!$A$4:$A$72,0),DAY(表格1[[#This Row],[date]]),1,1)</f>
        <v>Amy Or_1</v>
      </c>
      <c r="E2726" s="86">
        <f>MONTH(表格1[[#This Row],[date]])</f>
        <v>3</v>
      </c>
      <c r="F2726" s="90">
        <v>46110</v>
      </c>
      <c r="G2726" s="86" t="str">
        <f>VLOOKUP("*"&amp;表格1[[#This Row],[Input]]&amp;"*",'Ref-List'!$B:$D,2,)</f>
        <v>MX2-STR25SC(WH)</v>
      </c>
      <c r="H2726" s="86" t="str">
        <f>_xlfn.XLOOKUP(表格1[[#This Row],[Model]],表格3[Model-Input-Ref2],表格3[Product Line])</f>
        <v>4合1氣炸微波蒸焗爐(25公升)</v>
      </c>
      <c r="I2726" s="86" t="str">
        <f>_xlfn.XLOOKUP(表格1[[#This Row],[Model]],表格3[Model-Input-Ref2],表格3[大小電])</f>
        <v>細電</v>
      </c>
      <c r="J2726" s="86" t="str">
        <f>_xlfn.XLOOKUP(表格1[[#This Row],[Model]],表格3[Model-Input-Ref2],表格3[Code])</f>
        <v>MCA</v>
      </c>
      <c r="K2726" s="89" t="s">
        <v>1410</v>
      </c>
      <c r="L2726" s="86">
        <v>1</v>
      </c>
      <c r="M2726" s="87">
        <v>3180</v>
      </c>
      <c r="N2726" s="87">
        <f>IFERROR(表格1[[#This Row],[QTY]]*表格1[[#This Row],[Unit Price]],"-")</f>
        <v>3180</v>
      </c>
      <c r="O2726" s="86">
        <v>325517</v>
      </c>
      <c r="R2726" s="86" t="str">
        <f>_xlfn.CONCAT(表格1[[#This Row],[Model]]," ",表格1[[#This Row],[inv no]])</f>
        <v>MX2-STR25SC(WH) 325517</v>
      </c>
      <c r="S2726" s="86">
        <f>_xlfn.XLOOKUP(表格1[[#This Row],[Model]],表格3[Model-Input-Ref2],表格3[SRP PRICE])</f>
        <v>4998</v>
      </c>
      <c r="T2726" s="43">
        <f>表格1[[#This Row],[Unit Price]]/表格1[[#This Row],[SRP]]</f>
        <v>0.6362545018007203</v>
      </c>
      <c r="U2726" s="86" t="str">
        <f>_xlfn.XLOOKUP(表格1[[#This Row],[Model]],表格3[Model-Input-Ref2],表格3[TOSHIBA/HIGHEST])</f>
        <v>Toshiba SRP</v>
      </c>
      <c r="W2726" s="86" t="str">
        <f>_xlfn.CONCAT(表格1[[#This Row],[欄4]],表格1[[#This Row],[inv no]])</f>
        <v>325517</v>
      </c>
    </row>
    <row r="2727" spans="1:23" hidden="1">
      <c r="A2727" s="81">
        <v>2725</v>
      </c>
      <c r="B2727" s="86" t="s">
        <v>1403</v>
      </c>
      <c r="C2727" s="86" t="s">
        <v>1869</v>
      </c>
      <c r="D2727" s="82" t="str">
        <f ca="1">OFFSET(Roster!$A$3,MATCH(表格1[[#This Row],[Location]]&amp;" "&amp;表格1[[#This Row],[Shop]]&amp;"*",Roster!$A$4:$A$72,0),DAY(表格1[[#This Row],[date]]),1,1)</f>
        <v>Amy Or_1</v>
      </c>
      <c r="E2727" s="86">
        <f>MONTH(表格1[[#This Row],[date]])</f>
        <v>3</v>
      </c>
      <c r="F2727" s="90">
        <v>46110</v>
      </c>
      <c r="G2727" s="86" t="str">
        <f>VLOOKUP("*"&amp;表格1[[#This Row],[Input]]&amp;"*",'Ref-List'!$B:$D,2,)</f>
        <v>RAD-D250H</v>
      </c>
      <c r="H2727" s="86" t="str">
        <f>_xlfn.XLOOKUP(表格1[[#This Row],[Model]],表格3[Model-Input-Ref2],表格3[Product Line])</f>
        <v>壓縮式抽濕機 (25公升)</v>
      </c>
      <c r="I2727" s="86" t="str">
        <f>_xlfn.XLOOKUP(表格1[[#This Row],[Model]],表格3[Model-Input-Ref2],表格3[大小電])</f>
        <v>細電</v>
      </c>
      <c r="J2727" s="86" t="str">
        <f>_xlfn.XLOOKUP(表格1[[#This Row],[Model]],表格3[Model-Input-Ref2],表格3[Code])</f>
        <v>RAC</v>
      </c>
      <c r="K2727" s="89" t="s">
        <v>1407</v>
      </c>
      <c r="L2727" s="86">
        <v>1</v>
      </c>
      <c r="M2727" s="87">
        <v>2080</v>
      </c>
      <c r="N2727" s="87">
        <f>IFERROR(表格1[[#This Row],[QTY]]*表格1[[#This Row],[Unit Price]],"-")</f>
        <v>2080</v>
      </c>
      <c r="O2727" s="86">
        <v>325536</v>
      </c>
      <c r="R2727" s="86" t="str">
        <f>_xlfn.CONCAT(表格1[[#This Row],[Model]]," ",表格1[[#This Row],[inv no]])</f>
        <v>RAD-D250H 325536</v>
      </c>
      <c r="S2727" s="86">
        <f>_xlfn.XLOOKUP(表格1[[#This Row],[Model]],表格3[Model-Input-Ref2],表格3[SRP PRICE])</f>
        <v>3380</v>
      </c>
      <c r="T2727" s="43">
        <f>表格1[[#This Row],[Unit Price]]/表格1[[#This Row],[SRP]]</f>
        <v>0.61538461538461542</v>
      </c>
      <c r="U2727" s="86" t="str">
        <f>_xlfn.XLOOKUP(表格1[[#This Row],[Model]],表格3[Model-Input-Ref2],表格3[TOSHIBA/HIGHEST])</f>
        <v>Shops Highest Price</v>
      </c>
      <c r="W2727" s="86" t="str">
        <f>_xlfn.CONCAT(表格1[[#This Row],[欄4]],表格1[[#This Row],[inv no]])</f>
        <v>325536</v>
      </c>
    </row>
    <row r="2728" spans="1:23" hidden="1">
      <c r="A2728" s="81">
        <v>2726</v>
      </c>
      <c r="B2728" s="86" t="s">
        <v>1403</v>
      </c>
      <c r="C2728" s="86" t="s">
        <v>1869</v>
      </c>
      <c r="D2728" s="82" t="str">
        <f ca="1">OFFSET(Roster!$A$3,MATCH(表格1[[#This Row],[Location]]&amp;" "&amp;表格1[[#This Row],[Shop]]&amp;"*",Roster!$A$4:$A$72,0),DAY(表格1[[#This Row],[date]]),1,1)</f>
        <v>Amy Or_1</v>
      </c>
      <c r="E2728" s="86">
        <f>MONTH(表格1[[#This Row],[date]])</f>
        <v>3</v>
      </c>
      <c r="F2728" s="90">
        <v>46110</v>
      </c>
      <c r="G2728" s="86" t="str">
        <f>VLOOKUP("*"&amp;表格1[[#This Row],[Input]]&amp;"*",'Ref-List'!$B:$D,2,)</f>
        <v>RAD-D250H</v>
      </c>
      <c r="H2728" s="86" t="str">
        <f>_xlfn.XLOOKUP(表格1[[#This Row],[Model]],表格3[Model-Input-Ref2],表格3[Product Line])</f>
        <v>壓縮式抽濕機 (25公升)</v>
      </c>
      <c r="I2728" s="86" t="str">
        <f>_xlfn.XLOOKUP(表格1[[#This Row],[Model]],表格3[Model-Input-Ref2],表格3[大小電])</f>
        <v>細電</v>
      </c>
      <c r="J2728" s="86" t="str">
        <f>_xlfn.XLOOKUP(表格1[[#This Row],[Model]],表格3[Model-Input-Ref2],表格3[Code])</f>
        <v>RAC</v>
      </c>
      <c r="K2728" s="89" t="s">
        <v>1407</v>
      </c>
      <c r="L2728" s="86">
        <v>1</v>
      </c>
      <c r="M2728" s="87">
        <v>2080</v>
      </c>
      <c r="N2728" s="87">
        <f>IFERROR(表格1[[#This Row],[QTY]]*表格1[[#This Row],[Unit Price]],"-")</f>
        <v>2080</v>
      </c>
      <c r="O2728" s="86">
        <v>325553</v>
      </c>
      <c r="R2728" s="86" t="str">
        <f>_xlfn.CONCAT(表格1[[#This Row],[Model]]," ",表格1[[#This Row],[inv no]])</f>
        <v>RAD-D250H 325553</v>
      </c>
      <c r="S2728" s="86">
        <f>_xlfn.XLOOKUP(表格1[[#This Row],[Model]],表格3[Model-Input-Ref2],表格3[SRP PRICE])</f>
        <v>3380</v>
      </c>
      <c r="T2728" s="43">
        <f>表格1[[#This Row],[Unit Price]]/表格1[[#This Row],[SRP]]</f>
        <v>0.61538461538461542</v>
      </c>
      <c r="U2728" s="86" t="str">
        <f>_xlfn.XLOOKUP(表格1[[#This Row],[Model]],表格3[Model-Input-Ref2],表格3[TOSHIBA/HIGHEST])</f>
        <v>Shops Highest Price</v>
      </c>
      <c r="W2728" s="86" t="str">
        <f>_xlfn.CONCAT(表格1[[#This Row],[欄4]],表格1[[#This Row],[inv no]])</f>
        <v>325553</v>
      </c>
    </row>
    <row r="2729" spans="1:23" hidden="1">
      <c r="A2729" s="81">
        <v>2727</v>
      </c>
      <c r="B2729" s="86" t="s">
        <v>1403</v>
      </c>
      <c r="C2729" s="86" t="s">
        <v>1869</v>
      </c>
      <c r="D2729" s="82" t="str">
        <f ca="1">OFFSET(Roster!$A$3,MATCH(表格1[[#This Row],[Location]]&amp;" "&amp;表格1[[#This Row],[Shop]]&amp;"*",Roster!$A$4:$A$72,0),DAY(表格1[[#This Row],[date]]),1,1)</f>
        <v>Amy Or_1</v>
      </c>
      <c r="E2729" s="86">
        <f>MONTH(表格1[[#This Row],[date]])</f>
        <v>3</v>
      </c>
      <c r="F2729" s="90">
        <v>46110</v>
      </c>
      <c r="G2729" s="86" t="str">
        <f>VLOOKUP("*"&amp;表格1[[#This Row],[Input]]&amp;"*",'Ref-List'!$B:$D,2,)</f>
        <v>RAD-D250H</v>
      </c>
      <c r="H2729" s="86" t="str">
        <f>_xlfn.XLOOKUP(表格1[[#This Row],[Model]],表格3[Model-Input-Ref2],表格3[Product Line])</f>
        <v>壓縮式抽濕機 (25公升)</v>
      </c>
      <c r="I2729" s="86" t="str">
        <f>_xlfn.XLOOKUP(表格1[[#This Row],[Model]],表格3[Model-Input-Ref2],表格3[大小電])</f>
        <v>細電</v>
      </c>
      <c r="J2729" s="86" t="str">
        <f>_xlfn.XLOOKUP(表格1[[#This Row],[Model]],表格3[Model-Input-Ref2],表格3[Code])</f>
        <v>RAC</v>
      </c>
      <c r="K2729" s="89" t="s">
        <v>1407</v>
      </c>
      <c r="L2729" s="86">
        <v>1</v>
      </c>
      <c r="M2729" s="87">
        <v>2080</v>
      </c>
      <c r="N2729" s="87">
        <f>IFERROR(表格1[[#This Row],[QTY]]*表格1[[#This Row],[Unit Price]],"-")</f>
        <v>2080</v>
      </c>
      <c r="O2729" s="86">
        <v>325561</v>
      </c>
      <c r="R2729" s="86" t="str">
        <f>_xlfn.CONCAT(表格1[[#This Row],[Model]]," ",表格1[[#This Row],[inv no]])</f>
        <v>RAD-D250H 325561</v>
      </c>
      <c r="S2729" s="86">
        <f>_xlfn.XLOOKUP(表格1[[#This Row],[Model]],表格3[Model-Input-Ref2],表格3[SRP PRICE])</f>
        <v>3380</v>
      </c>
      <c r="T2729" s="43">
        <f>表格1[[#This Row],[Unit Price]]/表格1[[#This Row],[SRP]]</f>
        <v>0.61538461538461542</v>
      </c>
      <c r="U2729" s="86" t="str">
        <f>_xlfn.XLOOKUP(表格1[[#This Row],[Model]],表格3[Model-Input-Ref2],表格3[TOSHIBA/HIGHEST])</f>
        <v>Shops Highest Price</v>
      </c>
      <c r="W2729" s="86" t="str">
        <f>_xlfn.CONCAT(表格1[[#This Row],[欄4]],表格1[[#This Row],[inv no]])</f>
        <v>325561</v>
      </c>
    </row>
    <row r="2730" spans="1:23" hidden="1">
      <c r="A2730" s="81">
        <v>2728</v>
      </c>
      <c r="B2730" s="86" t="s">
        <v>1403</v>
      </c>
      <c r="C2730" s="86" t="s">
        <v>1869</v>
      </c>
      <c r="D2730" s="82" t="str">
        <f ca="1">OFFSET(Roster!$A$3,MATCH(表格1[[#This Row],[Location]]&amp;" "&amp;表格1[[#This Row],[Shop]]&amp;"*",Roster!$A$4:$A$72,0),DAY(表格1[[#This Row],[date]]),1,1)</f>
        <v>Amy Or_1</v>
      </c>
      <c r="E2730" s="86">
        <f>MONTH(表格1[[#This Row],[date]])</f>
        <v>3</v>
      </c>
      <c r="F2730" s="90">
        <v>46110</v>
      </c>
      <c r="G2730" s="86" t="str">
        <f>VLOOKUP("*"&amp;表格1[[#This Row],[Input]]&amp;"*",'Ref-List'!$B:$D,2,)</f>
        <v>RC-10AMXH(W)</v>
      </c>
      <c r="H2730" s="86" t="str">
        <f>_xlfn.XLOOKUP(表格1[[#This Row],[Model]],表格3[Model-Input-Ref2],表格3[Product Line])</f>
        <v>酵活炊電飯煲(1.0公升)</v>
      </c>
      <c r="I2730" s="86" t="str">
        <f>_xlfn.XLOOKUP(表格1[[#This Row],[Model]],表格3[Model-Input-Ref2],表格3[大小電])</f>
        <v>細電</v>
      </c>
      <c r="J2730" s="86" t="str">
        <f>_xlfn.XLOOKUP(表格1[[#This Row],[Model]],表格3[Model-Input-Ref2],表格3[Code])</f>
        <v>SDA</v>
      </c>
      <c r="K2730" s="89" t="s">
        <v>1279</v>
      </c>
      <c r="L2730" s="86">
        <v>1</v>
      </c>
      <c r="M2730" s="87">
        <v>930</v>
      </c>
      <c r="N2730" s="87">
        <f>IFERROR(表格1[[#This Row],[QTY]]*表格1[[#This Row],[Unit Price]],"-")</f>
        <v>930</v>
      </c>
      <c r="O2730" s="86">
        <v>1566</v>
      </c>
      <c r="R2730" s="86" t="str">
        <f>_xlfn.CONCAT(表格1[[#This Row],[Model]]," ",表格1[[#This Row],[inv no]])</f>
        <v>RC-10AMXH(W) 1566</v>
      </c>
      <c r="S2730" s="86">
        <f>_xlfn.XLOOKUP(表格1[[#This Row],[Model]],表格3[Model-Input-Ref2],表格3[SRP PRICE])</f>
        <v>1288</v>
      </c>
      <c r="T2730" s="43">
        <f>表格1[[#This Row],[Unit Price]]/表格1[[#This Row],[SRP]]</f>
        <v>0.72204968944099379</v>
      </c>
      <c r="U2730" s="86" t="str">
        <f>_xlfn.XLOOKUP(表格1[[#This Row],[Model]],表格3[Model-Input-Ref2],表格3[TOSHIBA/HIGHEST])</f>
        <v>Toshiba SRP</v>
      </c>
      <c r="W2730" s="86" t="str">
        <f>_xlfn.CONCAT(表格1[[#This Row],[欄4]],表格1[[#This Row],[inv no]])</f>
        <v>1566</v>
      </c>
    </row>
    <row r="2731" spans="1:23" hidden="1">
      <c r="A2731" s="81">
        <v>2729</v>
      </c>
      <c r="B2731" s="86" t="s">
        <v>1403</v>
      </c>
      <c r="C2731" s="86" t="s">
        <v>1869</v>
      </c>
      <c r="D2731" s="82" t="str">
        <f ca="1">OFFSET(Roster!$A$3,MATCH(表格1[[#This Row],[Location]]&amp;" "&amp;表格1[[#This Row],[Shop]]&amp;"*",Roster!$A$4:$A$72,0),DAY(表格1[[#This Row],[date]]),1,1)</f>
        <v>Amy Or_1</v>
      </c>
      <c r="E2731" s="86">
        <f>MONTH(表格1[[#This Row],[date]])</f>
        <v>3</v>
      </c>
      <c r="F2731" s="90">
        <v>46110</v>
      </c>
      <c r="G2731" s="86" t="str">
        <f>VLOOKUP("*"&amp;表格1[[#This Row],[Input]]&amp;"*",'Ref-List'!$B:$D,2,)</f>
        <v>RAD-D250H</v>
      </c>
      <c r="H2731" s="86" t="str">
        <f>_xlfn.XLOOKUP(表格1[[#This Row],[Model]],表格3[Model-Input-Ref2],表格3[Product Line])</f>
        <v>壓縮式抽濕機 (25公升)</v>
      </c>
      <c r="I2731" s="86" t="str">
        <f>_xlfn.XLOOKUP(表格1[[#This Row],[Model]],表格3[Model-Input-Ref2],表格3[大小電])</f>
        <v>細電</v>
      </c>
      <c r="J2731" s="86" t="str">
        <f>_xlfn.XLOOKUP(表格1[[#This Row],[Model]],表格3[Model-Input-Ref2],表格3[Code])</f>
        <v>RAC</v>
      </c>
      <c r="K2731" s="89" t="s">
        <v>1407</v>
      </c>
      <c r="L2731" s="86">
        <v>1</v>
      </c>
      <c r="M2731" s="87">
        <v>2080</v>
      </c>
      <c r="N2731" s="87">
        <f>IFERROR(表格1[[#This Row],[QTY]]*表格1[[#This Row],[Unit Price]],"-")</f>
        <v>2080</v>
      </c>
      <c r="O2731" s="86">
        <v>325618</v>
      </c>
      <c r="R2731" s="86" t="str">
        <f>_xlfn.CONCAT(表格1[[#This Row],[Model]]," ",表格1[[#This Row],[inv no]])</f>
        <v>RAD-D250H 325618</v>
      </c>
      <c r="S2731" s="86">
        <f>_xlfn.XLOOKUP(表格1[[#This Row],[Model]],表格3[Model-Input-Ref2],表格3[SRP PRICE])</f>
        <v>3380</v>
      </c>
      <c r="T2731" s="43">
        <f>表格1[[#This Row],[Unit Price]]/表格1[[#This Row],[SRP]]</f>
        <v>0.61538461538461542</v>
      </c>
      <c r="U2731" s="86" t="str">
        <f>_xlfn.XLOOKUP(表格1[[#This Row],[Model]],表格3[Model-Input-Ref2],表格3[TOSHIBA/HIGHEST])</f>
        <v>Shops Highest Price</v>
      </c>
      <c r="W2731" s="86" t="str">
        <f>_xlfn.CONCAT(表格1[[#This Row],[欄4]],表格1[[#This Row],[inv no]])</f>
        <v>325618</v>
      </c>
    </row>
    <row r="2732" spans="1:23" hidden="1">
      <c r="A2732" s="81">
        <v>2730</v>
      </c>
      <c r="B2732" s="86" t="s">
        <v>1403</v>
      </c>
      <c r="C2732" s="86" t="s">
        <v>1869</v>
      </c>
      <c r="D2732" s="82" t="str">
        <f ca="1">OFFSET(Roster!$A$3,MATCH(表格1[[#This Row],[Location]]&amp;" "&amp;表格1[[#This Row],[Shop]]&amp;"*",Roster!$A$4:$A$72,0),DAY(表格1[[#This Row],[date]]),1,1)</f>
        <v>Amy Or_1</v>
      </c>
      <c r="E2732" s="86">
        <f>MONTH(表格1[[#This Row],[date]])</f>
        <v>3</v>
      </c>
      <c r="F2732" s="90">
        <v>46110</v>
      </c>
      <c r="G2732" s="86" t="str">
        <f>VLOOKUP("*"&amp;表格1[[#This Row],[Input]]&amp;"*",'Ref-List'!$B:$D,2,)</f>
        <v>MM2-EG20PC(WH)</v>
      </c>
      <c r="H2732" s="86" t="str">
        <f>_xlfn.XLOOKUP(表格1[[#This Row],[Model]],表格3[Model-Input-Ref2],表格3[Product Line])</f>
        <v>輕觸式燒烤微波爐</v>
      </c>
      <c r="I2732" s="86" t="str">
        <f>_xlfn.XLOOKUP(表格1[[#This Row],[Model]],表格3[Model-Input-Ref2],表格3[大小電])</f>
        <v>細電</v>
      </c>
      <c r="J2732" s="86" t="str">
        <f>_xlfn.XLOOKUP(表格1[[#This Row],[Model]],表格3[Model-Input-Ref2],表格3[Code])</f>
        <v>MCA</v>
      </c>
      <c r="K2732" s="89" t="s">
        <v>1273</v>
      </c>
      <c r="L2732" s="86">
        <v>1</v>
      </c>
      <c r="M2732" s="87">
        <v>698</v>
      </c>
      <c r="N2732" s="87">
        <f>IFERROR(表格1[[#This Row],[QTY]]*表格1[[#This Row],[Unit Price]],"-")</f>
        <v>698</v>
      </c>
      <c r="O2732" s="86">
        <v>325629</v>
      </c>
      <c r="R2732" s="86" t="str">
        <f>_xlfn.CONCAT(表格1[[#This Row],[Model]]," ",表格1[[#This Row],[inv no]])</f>
        <v>MM2-EG20PC(WH) 325629</v>
      </c>
      <c r="S2732" s="86">
        <f>_xlfn.XLOOKUP(表格1[[#This Row],[Model]],表格3[Model-Input-Ref2],表格3[SRP PRICE])</f>
        <v>918</v>
      </c>
      <c r="T2732" s="43">
        <f>表格1[[#This Row],[Unit Price]]/表格1[[#This Row],[SRP]]</f>
        <v>0.76034858387799564</v>
      </c>
      <c r="U2732" s="86" t="str">
        <f>_xlfn.XLOOKUP(表格1[[#This Row],[Model]],表格3[Model-Input-Ref2],表格3[TOSHIBA/HIGHEST])</f>
        <v>Shops Highest Price</v>
      </c>
      <c r="W2732" s="86" t="str">
        <f>_xlfn.CONCAT(表格1[[#This Row],[欄4]],表格1[[#This Row],[inv no]])</f>
        <v>325629</v>
      </c>
    </row>
    <row r="2733" spans="1:23" hidden="1">
      <c r="A2733" s="81">
        <v>2731</v>
      </c>
      <c r="B2733" s="86" t="s">
        <v>1403</v>
      </c>
      <c r="C2733" s="86" t="s">
        <v>1869</v>
      </c>
      <c r="D2733" s="82" t="str">
        <f ca="1">OFFSET(Roster!$A$3,MATCH(表格1[[#This Row],[Location]]&amp;" "&amp;表格1[[#This Row],[Shop]]&amp;"*",Roster!$A$4:$A$72,0),DAY(表格1[[#This Row],[date]]),1,1)</f>
        <v>Amy Or_1</v>
      </c>
      <c r="E2733" s="86">
        <f>MONTH(表格1[[#This Row],[date]])</f>
        <v>3</v>
      </c>
      <c r="F2733" s="90">
        <v>46110</v>
      </c>
      <c r="G2733" s="86" t="str">
        <f>VLOOKUP("*"&amp;表格1[[#This Row],[Input]]&amp;"*",'Ref-List'!$B:$D,2,)</f>
        <v>MX2-STR25SC(WH)</v>
      </c>
      <c r="H2733" s="86" t="str">
        <f>_xlfn.XLOOKUP(表格1[[#This Row],[Model]],表格3[Model-Input-Ref2],表格3[Product Line])</f>
        <v>4合1氣炸微波蒸焗爐(25公升)</v>
      </c>
      <c r="I2733" s="86" t="str">
        <f>_xlfn.XLOOKUP(表格1[[#This Row],[Model]],表格3[Model-Input-Ref2],表格3[大小電])</f>
        <v>細電</v>
      </c>
      <c r="J2733" s="86" t="str">
        <f>_xlfn.XLOOKUP(表格1[[#This Row],[Model]],表格3[Model-Input-Ref2],表格3[Code])</f>
        <v>MCA</v>
      </c>
      <c r="K2733" s="89" t="s">
        <v>1410</v>
      </c>
      <c r="L2733" s="86">
        <v>1</v>
      </c>
      <c r="M2733" s="87">
        <v>3180</v>
      </c>
      <c r="N2733" s="87">
        <f>IFERROR(表格1[[#This Row],[QTY]]*表格1[[#This Row],[Unit Price]],"-")</f>
        <v>3180</v>
      </c>
      <c r="O2733" s="86">
        <v>325662</v>
      </c>
      <c r="R2733" s="86" t="str">
        <f>_xlfn.CONCAT(表格1[[#This Row],[Model]]," ",表格1[[#This Row],[inv no]])</f>
        <v>MX2-STR25SC(WH) 325662</v>
      </c>
      <c r="S2733" s="86">
        <f>_xlfn.XLOOKUP(表格1[[#This Row],[Model]],表格3[Model-Input-Ref2],表格3[SRP PRICE])</f>
        <v>4998</v>
      </c>
      <c r="T2733" s="43">
        <f>表格1[[#This Row],[Unit Price]]/表格1[[#This Row],[SRP]]</f>
        <v>0.6362545018007203</v>
      </c>
      <c r="U2733" s="86" t="str">
        <f>_xlfn.XLOOKUP(表格1[[#This Row],[Model]],表格3[Model-Input-Ref2],表格3[TOSHIBA/HIGHEST])</f>
        <v>Toshiba SRP</v>
      </c>
      <c r="W2733" s="86" t="str">
        <f>_xlfn.CONCAT(表格1[[#This Row],[欄4]],表格1[[#This Row],[inv no]])</f>
        <v>325662</v>
      </c>
    </row>
    <row r="2734" spans="1:23" hidden="1">
      <c r="A2734" s="81">
        <v>2732</v>
      </c>
      <c r="B2734" s="86" t="s">
        <v>1366</v>
      </c>
      <c r="C2734" s="86" t="s">
        <v>1871</v>
      </c>
      <c r="D2734" s="82" t="str">
        <f ca="1">OFFSET(Roster!$A$3,MATCH(表格1[[#This Row],[Location]]&amp;" "&amp;表格1[[#This Row],[Shop]]&amp;"*",Roster!$A$4:$A$72,0),DAY(表格1[[#This Row],[date]]),1,1)</f>
        <v>Gloria</v>
      </c>
      <c r="E2734" s="86">
        <f>MONTH(表格1[[#This Row],[date]])</f>
        <v>3</v>
      </c>
      <c r="F2734" s="90">
        <v>46082</v>
      </c>
      <c r="G2734" s="86" t="str">
        <f>VLOOKUP("*"&amp;表格1[[#This Row],[Input]]&amp;"*",'Ref-List'!$B:$D,2,)</f>
        <v>RC-18NMFIH(WT)</v>
      </c>
      <c r="H2734" s="86" t="str">
        <f>_xlfn.XLOOKUP(表格1[[#This Row],[Model]],表格3[Model-Input-Ref2],表格3[Product Line])</f>
        <v>4毫米厚釜電飯煲1.8L</v>
      </c>
      <c r="I2734" s="86" t="str">
        <f>_xlfn.XLOOKUP(表格1[[#This Row],[Model]],表格3[Model-Input-Ref2],表格3[大小電])</f>
        <v>細電</v>
      </c>
      <c r="J2734" s="86" t="str">
        <f>_xlfn.XLOOKUP(表格1[[#This Row],[Model]],表格3[Model-Input-Ref2],表格3[Code])</f>
        <v>SDA</v>
      </c>
      <c r="K2734" s="89" t="s">
        <v>1267</v>
      </c>
      <c r="L2734" s="86">
        <v>2</v>
      </c>
      <c r="M2734" s="87">
        <v>799</v>
      </c>
      <c r="N2734" s="87">
        <f>IFERROR(表格1[[#This Row],[QTY]]*表格1[[#This Row],[Unit Price]],"-")</f>
        <v>1598</v>
      </c>
      <c r="O2734" s="86">
        <v>321162</v>
      </c>
      <c r="R2734" s="86" t="str">
        <f>_xlfn.CONCAT(表格1[[#This Row],[Model]]," ",表格1[[#This Row],[inv no]])</f>
        <v>RC-18NMFIH(WT) 321162</v>
      </c>
      <c r="S2734" s="86">
        <f>_xlfn.XLOOKUP(表格1[[#This Row],[Model]],表格3[Model-Input-Ref2],表格3[SRP PRICE])</f>
        <v>998</v>
      </c>
      <c r="T2734" s="43">
        <f>表格1[[#This Row],[Unit Price]]/表格1[[#This Row],[SRP]]</f>
        <v>0.80060120240480959</v>
      </c>
      <c r="U2734" s="86" t="str">
        <f>_xlfn.XLOOKUP(表格1[[#This Row],[Model]],表格3[Model-Input-Ref2],表格3[TOSHIBA/HIGHEST])</f>
        <v>Toshiba SRP</v>
      </c>
      <c r="W2734" s="86" t="str">
        <f>_xlfn.CONCAT(表格1[[#This Row],[欄4]],表格1[[#This Row],[inv no]])</f>
        <v>321162</v>
      </c>
    </row>
    <row r="2735" spans="1:23" hidden="1">
      <c r="A2735" s="81">
        <v>2733</v>
      </c>
      <c r="B2735" s="86" t="s">
        <v>1366</v>
      </c>
      <c r="C2735" s="86" t="s">
        <v>1871</v>
      </c>
      <c r="D2735" s="82" t="str">
        <f ca="1">OFFSET(Roster!$A$3,MATCH(表格1[[#This Row],[Location]]&amp;" "&amp;表格1[[#This Row],[Shop]]&amp;"*",Roster!$A$4:$A$72,0),DAY(表格1[[#This Row],[date]]),1,1)</f>
        <v>Gloria</v>
      </c>
      <c r="E2735" s="86">
        <f>MONTH(表格1[[#This Row],[date]])</f>
        <v>3</v>
      </c>
      <c r="F2735" s="90">
        <v>46082</v>
      </c>
      <c r="G2735" s="86" t="str">
        <f>VLOOKUP("*"&amp;表格1[[#This Row],[Input]]&amp;"*",'Ref-List'!$B:$D,2,)</f>
        <v>RC-5SLIH(W)</v>
      </c>
      <c r="H2735" s="86" t="str">
        <f>_xlfn.XLOOKUP(表格1[[#This Row],[Model]],表格3[Model-Input-Ref2],表格3[Product Line])</f>
        <v>微型電腦珍珠飯煲</v>
      </c>
      <c r="I2735" s="86" t="str">
        <f>_xlfn.XLOOKUP(表格1[[#This Row],[Model]],表格3[Model-Input-Ref2],表格3[大小電])</f>
        <v>細電</v>
      </c>
      <c r="J2735" s="86" t="str">
        <f>_xlfn.XLOOKUP(表格1[[#This Row],[Model]],表格3[Model-Input-Ref2],表格3[Code])</f>
        <v>SDA</v>
      </c>
      <c r="K2735" s="89" t="s">
        <v>1264</v>
      </c>
      <c r="L2735" s="86">
        <v>1</v>
      </c>
      <c r="M2735" s="87">
        <v>593</v>
      </c>
      <c r="N2735" s="87">
        <f>IFERROR(表格1[[#This Row],[QTY]]*表格1[[#This Row],[Unit Price]],"-")</f>
        <v>593</v>
      </c>
      <c r="O2735" s="86">
        <v>403891</v>
      </c>
      <c r="R2735" s="86" t="str">
        <f>_xlfn.CONCAT(表格1[[#This Row],[Model]]," ",表格1[[#This Row],[inv no]])</f>
        <v>RC-5SLIH(W) 403891</v>
      </c>
      <c r="S2735" s="86">
        <f>_xlfn.XLOOKUP(表格1[[#This Row],[Model]],表格3[Model-Input-Ref2],表格3[SRP PRICE])</f>
        <v>658</v>
      </c>
      <c r="T2735" s="43">
        <f>表格1[[#This Row],[Unit Price]]/表格1[[#This Row],[SRP]]</f>
        <v>0.90121580547112456</v>
      </c>
      <c r="U2735" s="86" t="str">
        <f>_xlfn.XLOOKUP(表格1[[#This Row],[Model]],表格3[Model-Input-Ref2],表格3[TOSHIBA/HIGHEST])</f>
        <v>Toshiba SRP</v>
      </c>
      <c r="W2735" s="86" t="str">
        <f>_xlfn.CONCAT(表格1[[#This Row],[欄4]],表格1[[#This Row],[inv no]])</f>
        <v>403891</v>
      </c>
    </row>
    <row r="2736" spans="1:23" hidden="1">
      <c r="A2736" s="81">
        <v>2734</v>
      </c>
      <c r="B2736" s="86" t="s">
        <v>1366</v>
      </c>
      <c r="C2736" s="86" t="s">
        <v>1871</v>
      </c>
      <c r="D2736" s="82" t="str">
        <f ca="1">OFFSET(Roster!$A$3,MATCH(表格1[[#This Row],[Location]]&amp;" "&amp;表格1[[#This Row],[Shop]]&amp;"*",Roster!$A$4:$A$72,0),DAY(表格1[[#This Row],[date]]),1,1)</f>
        <v>Gloria</v>
      </c>
      <c r="E2736" s="86">
        <f>MONTH(表格1[[#This Row],[date]])</f>
        <v>3</v>
      </c>
      <c r="F2736" s="90">
        <v>46082</v>
      </c>
      <c r="G2736" s="86" t="str">
        <f>VLOOKUP("*"&amp;表格1[[#This Row],[Input]]&amp;"*",'Ref-List'!$B:$D,2,)</f>
        <v>RC-10NMFIH(WT)</v>
      </c>
      <c r="H2736" s="86" t="str">
        <f>_xlfn.XLOOKUP(表格1[[#This Row],[Model]],表格3[Model-Input-Ref2],表格3[Product Line])</f>
        <v>4毫米厚釜電飯煲1L</v>
      </c>
      <c r="I2736" s="86" t="str">
        <f>_xlfn.XLOOKUP(表格1[[#This Row],[Model]],表格3[Model-Input-Ref2],表格3[大小電])</f>
        <v>細電</v>
      </c>
      <c r="J2736" s="86" t="str">
        <f>_xlfn.XLOOKUP(表格1[[#This Row],[Model]],表格3[Model-Input-Ref2],表格3[Code])</f>
        <v>SDA</v>
      </c>
      <c r="K2736" s="89" t="s">
        <v>1244</v>
      </c>
      <c r="L2736" s="86">
        <v>1</v>
      </c>
      <c r="M2736" s="87">
        <v>719</v>
      </c>
      <c r="N2736" s="87">
        <f>IFERROR(表格1[[#This Row],[QTY]]*表格1[[#This Row],[Unit Price]],"-")</f>
        <v>719</v>
      </c>
      <c r="O2736" s="142" t="s">
        <v>1872</v>
      </c>
      <c r="R2736" s="86" t="str">
        <f>_xlfn.CONCAT(表格1[[#This Row],[Model]]," ",表格1[[#This Row],[inv no]])</f>
        <v>RC-10NMFIH(WT) 089150</v>
      </c>
      <c r="S2736" s="86">
        <f>_xlfn.XLOOKUP(表格1[[#This Row],[Model]],表格3[Model-Input-Ref2],表格3[SRP PRICE])</f>
        <v>898</v>
      </c>
      <c r="T2736" s="43">
        <f>表格1[[#This Row],[Unit Price]]/表格1[[#This Row],[SRP]]</f>
        <v>0.80066815144766146</v>
      </c>
      <c r="U2736" s="86" t="str">
        <f>_xlfn.XLOOKUP(表格1[[#This Row],[Model]],表格3[Model-Input-Ref2],表格3[TOSHIBA/HIGHEST])</f>
        <v>Toshiba SRP</v>
      </c>
      <c r="W2736" s="86" t="str">
        <f>_xlfn.CONCAT(表格1[[#This Row],[欄4]],表格1[[#This Row],[inv no]])</f>
        <v>089150</v>
      </c>
    </row>
    <row r="2737" spans="1:23" hidden="1">
      <c r="A2737" s="81">
        <v>2735</v>
      </c>
      <c r="B2737" s="86" t="s">
        <v>1366</v>
      </c>
      <c r="C2737" s="86" t="s">
        <v>1871</v>
      </c>
      <c r="D2737" s="82" t="str">
        <f ca="1">OFFSET(Roster!$A$3,MATCH(表格1[[#This Row],[Location]]&amp;" "&amp;表格1[[#This Row],[Shop]]&amp;"*",Roster!$A$4:$A$72,0),DAY(表格1[[#This Row],[date]]),1,1)</f>
        <v>Gloria</v>
      </c>
      <c r="E2737" s="86">
        <f>MONTH(表格1[[#This Row],[date]])</f>
        <v>3</v>
      </c>
      <c r="F2737" s="90">
        <v>46082</v>
      </c>
      <c r="G2737" s="86" t="str">
        <f>VLOOKUP("*"&amp;表格1[[#This Row],[Input]]&amp;"*",'Ref-List'!$B:$D,2,)</f>
        <v>RC-10NMFIH(WT)</v>
      </c>
      <c r="H2737" s="86" t="str">
        <f>_xlfn.XLOOKUP(表格1[[#This Row],[Model]],表格3[Model-Input-Ref2],表格3[Product Line])</f>
        <v>4毫米厚釜電飯煲1L</v>
      </c>
      <c r="I2737" s="86" t="str">
        <f>_xlfn.XLOOKUP(表格1[[#This Row],[Model]],表格3[Model-Input-Ref2],表格3[大小電])</f>
        <v>細電</v>
      </c>
      <c r="J2737" s="86" t="str">
        <f>_xlfn.XLOOKUP(表格1[[#This Row],[Model]],表格3[Model-Input-Ref2],表格3[Code])</f>
        <v>SDA</v>
      </c>
      <c r="K2737" s="89" t="s">
        <v>1244</v>
      </c>
      <c r="L2737" s="86">
        <v>1</v>
      </c>
      <c r="M2737" s="87">
        <v>719</v>
      </c>
      <c r="N2737" s="87">
        <f>IFERROR(表格1[[#This Row],[QTY]]*表格1[[#This Row],[Unit Price]],"-")</f>
        <v>719</v>
      </c>
      <c r="O2737" s="142" t="s">
        <v>1873</v>
      </c>
      <c r="R2737" s="86" t="str">
        <f>_xlfn.CONCAT(表格1[[#This Row],[Model]]," ",表格1[[#This Row],[inv no]])</f>
        <v>RC-10NMFIH(WT) 089241</v>
      </c>
      <c r="S2737" s="86">
        <f>_xlfn.XLOOKUP(表格1[[#This Row],[Model]],表格3[Model-Input-Ref2],表格3[SRP PRICE])</f>
        <v>898</v>
      </c>
      <c r="T2737" s="43">
        <f>表格1[[#This Row],[Unit Price]]/表格1[[#This Row],[SRP]]</f>
        <v>0.80066815144766146</v>
      </c>
      <c r="U2737" s="86" t="str">
        <f>_xlfn.XLOOKUP(表格1[[#This Row],[Model]],表格3[Model-Input-Ref2],表格3[TOSHIBA/HIGHEST])</f>
        <v>Toshiba SRP</v>
      </c>
      <c r="W2737" s="86" t="str">
        <f>_xlfn.CONCAT(表格1[[#This Row],[欄4]],表格1[[#This Row],[inv no]])</f>
        <v>089241</v>
      </c>
    </row>
    <row r="2738" spans="1:23" hidden="1">
      <c r="A2738" s="81">
        <v>2736</v>
      </c>
      <c r="B2738" s="86" t="s">
        <v>1366</v>
      </c>
      <c r="C2738" s="86" t="s">
        <v>1871</v>
      </c>
      <c r="D2738" s="82" t="str">
        <f ca="1">OFFSET(Roster!$A$3,MATCH(表格1[[#This Row],[Location]]&amp;" "&amp;表格1[[#This Row],[Shop]]&amp;"*",Roster!$A$4:$A$72,0),DAY(表格1[[#This Row],[date]]),1,1)</f>
        <v>Gloria</v>
      </c>
      <c r="E2738" s="86">
        <f>MONTH(表格1[[#This Row],[date]])</f>
        <v>3</v>
      </c>
      <c r="F2738" s="90">
        <v>46082</v>
      </c>
      <c r="G2738" s="86" t="str">
        <f>VLOOKUP("*"&amp;表格1[[#This Row],[Input]]&amp;"*",'Ref-List'!$B:$D,2,)</f>
        <v>RC-10IRPH</v>
      </c>
      <c r="H2738" s="86" t="str">
        <f>_xlfn.XLOOKUP(表格1[[#This Row],[Model]],表格3[Model-Input-Ref2],表格3[Product Line])</f>
        <v>低醣磁應電飯煲1L</v>
      </c>
      <c r="I2738" s="86" t="str">
        <f>_xlfn.XLOOKUP(表格1[[#This Row],[Model]],表格3[Model-Input-Ref2],表格3[大小電])</f>
        <v>細電</v>
      </c>
      <c r="J2738" s="86" t="str">
        <f>_xlfn.XLOOKUP(表格1[[#This Row],[Model]],表格3[Model-Input-Ref2],表格3[Code])</f>
        <v>SDA</v>
      </c>
      <c r="K2738" s="89" t="s">
        <v>1297</v>
      </c>
      <c r="L2738" s="86">
        <v>1</v>
      </c>
      <c r="M2738" s="87">
        <v>798</v>
      </c>
      <c r="N2738" s="87">
        <f>IFERROR(表格1[[#This Row],[QTY]]*表格1[[#This Row],[Unit Price]],"-")</f>
        <v>798</v>
      </c>
      <c r="O2738" s="142" t="s">
        <v>1874</v>
      </c>
      <c r="R2738" s="86" t="str">
        <f>_xlfn.CONCAT(表格1[[#This Row],[Model]]," ",表格1[[#This Row],[inv no]])</f>
        <v>RC-10IRPH 089153</v>
      </c>
      <c r="S2738" s="86">
        <f>_xlfn.XLOOKUP(表格1[[#This Row],[Model]],表格3[Model-Input-Ref2],表格3[SRP PRICE])</f>
        <v>1388</v>
      </c>
      <c r="T2738" s="43">
        <f>表格1[[#This Row],[Unit Price]]/表格1[[#This Row],[SRP]]</f>
        <v>0.5749279538904899</v>
      </c>
      <c r="U2738" s="86" t="str">
        <f>_xlfn.XLOOKUP(表格1[[#This Row],[Model]],表格3[Model-Input-Ref2],表格3[TOSHIBA/HIGHEST])</f>
        <v>Toshiba SRP</v>
      </c>
      <c r="W2738" s="86" t="str">
        <f>_xlfn.CONCAT(表格1[[#This Row],[欄4]],表格1[[#This Row],[inv no]])</f>
        <v>089153</v>
      </c>
    </row>
    <row r="2739" spans="1:23" hidden="1">
      <c r="A2739" s="81">
        <v>2737</v>
      </c>
      <c r="B2739" s="86" t="s">
        <v>1366</v>
      </c>
      <c r="C2739" s="86" t="s">
        <v>1871</v>
      </c>
      <c r="D2739" s="82" t="str">
        <f ca="1">OFFSET(Roster!$A$3,MATCH(表格1[[#This Row],[Location]]&amp;" "&amp;表格1[[#This Row],[Shop]]&amp;"*",Roster!$A$4:$A$72,0),DAY(表格1[[#This Row],[date]]),1,1)</f>
        <v>Gloria</v>
      </c>
      <c r="E2739" s="86">
        <f>MONTH(表格1[[#This Row],[date]])</f>
        <v>3</v>
      </c>
      <c r="F2739" s="90">
        <v>46085</v>
      </c>
      <c r="G2739" s="86" t="str">
        <f>VLOOKUP("*"&amp;表格1[[#This Row],[Input]]&amp;"*",'Ref-List'!$B:$D,2,)</f>
        <v>RC-DR10T(W)</v>
      </c>
      <c r="H2739" s="86" t="str">
        <f>_xlfn.XLOOKUP(表格1[[#This Row],[Model]],表格3[Model-Input-Ref2],表格3[Product Line])</f>
        <v>IH磁應電飯煲</v>
      </c>
      <c r="I2739" s="86" t="str">
        <f>_xlfn.XLOOKUP(表格1[[#This Row],[Model]],表格3[Model-Input-Ref2],表格3[大小電])</f>
        <v>細電</v>
      </c>
      <c r="J2739" s="86" t="str">
        <f>_xlfn.XLOOKUP(表格1[[#This Row],[Model]],表格3[Model-Input-Ref2],表格3[Code])</f>
        <v>SDA</v>
      </c>
      <c r="K2739" s="89" t="s">
        <v>1294</v>
      </c>
      <c r="L2739" s="86">
        <v>1</v>
      </c>
      <c r="M2739" s="87">
        <v>2380</v>
      </c>
      <c r="N2739" s="87">
        <f>IFERROR(表格1[[#This Row],[QTY]]*表格1[[#This Row],[Unit Price]],"-")</f>
        <v>2380</v>
      </c>
      <c r="O2739" s="142" t="s">
        <v>1875</v>
      </c>
      <c r="R2739" s="86" t="str">
        <f>_xlfn.CONCAT(表格1[[#This Row],[Model]]," ",表格1[[#This Row],[inv no]])</f>
        <v>RC-DR10T(W) 089555</v>
      </c>
      <c r="S2739" s="86">
        <f>_xlfn.XLOOKUP(表格1[[#This Row],[Model]],表格3[Model-Input-Ref2],表格3[SRP PRICE])</f>
        <v>3188</v>
      </c>
      <c r="T2739" s="43">
        <f>表格1[[#This Row],[Unit Price]]/表格1[[#This Row],[SRP]]</f>
        <v>0.74654956085319946</v>
      </c>
      <c r="U2739" s="86" t="str">
        <f>_xlfn.XLOOKUP(表格1[[#This Row],[Model]],表格3[Model-Input-Ref2],表格3[TOSHIBA/HIGHEST])</f>
        <v>Toshiba SRP</v>
      </c>
      <c r="W2739" s="86" t="str">
        <f>_xlfn.CONCAT(表格1[[#This Row],[欄4]],表格1[[#This Row],[inv no]])</f>
        <v>089555</v>
      </c>
    </row>
    <row r="2740" spans="1:23" hidden="1">
      <c r="A2740" s="81">
        <v>2738</v>
      </c>
      <c r="B2740" s="86" t="s">
        <v>1366</v>
      </c>
      <c r="C2740" s="86" t="s">
        <v>1871</v>
      </c>
      <c r="D2740" s="82" t="str">
        <f ca="1">OFFSET(Roster!$A$3,MATCH(表格1[[#This Row],[Location]]&amp;" "&amp;表格1[[#This Row],[Shop]]&amp;"*",Roster!$A$4:$A$72,0),DAY(表格1[[#This Row],[date]]),1,1)</f>
        <v>Gloria</v>
      </c>
      <c r="E2740" s="86">
        <f>MONTH(表格1[[#This Row],[date]])</f>
        <v>3</v>
      </c>
      <c r="F2740" s="90">
        <v>46085</v>
      </c>
      <c r="G2740" s="86" t="str">
        <f>VLOOKUP("*"&amp;表格1[[#This Row],[Input]]&amp;"*",'Ref-List'!$B:$D,2,)</f>
        <v>RC-5SLIH(W)</v>
      </c>
      <c r="H2740" s="86" t="str">
        <f>_xlfn.XLOOKUP(表格1[[#This Row],[Model]],表格3[Model-Input-Ref2],表格3[Product Line])</f>
        <v>微型電腦珍珠飯煲</v>
      </c>
      <c r="I2740" s="86" t="str">
        <f>_xlfn.XLOOKUP(表格1[[#This Row],[Model]],表格3[Model-Input-Ref2],表格3[大小電])</f>
        <v>細電</v>
      </c>
      <c r="J2740" s="86" t="str">
        <f>_xlfn.XLOOKUP(表格1[[#This Row],[Model]],表格3[Model-Input-Ref2],表格3[Code])</f>
        <v>SDA</v>
      </c>
      <c r="K2740" s="89" t="s">
        <v>1264</v>
      </c>
      <c r="L2740" s="86">
        <v>1</v>
      </c>
      <c r="M2740" s="87">
        <v>593</v>
      </c>
      <c r="N2740" s="87">
        <f>IFERROR(表格1[[#This Row],[QTY]]*表格1[[#This Row],[Unit Price]],"-")</f>
        <v>593</v>
      </c>
      <c r="O2740" s="86">
        <v>404066</v>
      </c>
      <c r="R2740" s="86" t="str">
        <f>_xlfn.CONCAT(表格1[[#This Row],[Model]]," ",表格1[[#This Row],[inv no]])</f>
        <v>RC-5SLIH(W) 404066</v>
      </c>
      <c r="S2740" s="86">
        <f>_xlfn.XLOOKUP(表格1[[#This Row],[Model]],表格3[Model-Input-Ref2],表格3[SRP PRICE])</f>
        <v>658</v>
      </c>
      <c r="T2740" s="43">
        <f>表格1[[#This Row],[Unit Price]]/表格1[[#This Row],[SRP]]</f>
        <v>0.90121580547112456</v>
      </c>
      <c r="U2740" s="86" t="str">
        <f>_xlfn.XLOOKUP(表格1[[#This Row],[Model]],表格3[Model-Input-Ref2],表格3[TOSHIBA/HIGHEST])</f>
        <v>Toshiba SRP</v>
      </c>
      <c r="W2740" s="86" t="str">
        <f>_xlfn.CONCAT(表格1[[#This Row],[欄4]],表格1[[#This Row],[inv no]])</f>
        <v>404066</v>
      </c>
    </row>
    <row r="2741" spans="1:23" hidden="1">
      <c r="A2741" s="81">
        <v>2739</v>
      </c>
      <c r="B2741" s="86" t="s">
        <v>1366</v>
      </c>
      <c r="C2741" s="86" t="s">
        <v>1871</v>
      </c>
      <c r="D2741" s="82" t="str">
        <f ca="1">OFFSET(Roster!$A$3,MATCH(表格1[[#This Row],[Location]]&amp;" "&amp;表格1[[#This Row],[Shop]]&amp;"*",Roster!$A$4:$A$72,0),DAY(表格1[[#This Row],[date]]),1,1)</f>
        <v>Gloria</v>
      </c>
      <c r="E2741" s="86">
        <f>MONTH(表格1[[#This Row],[date]])</f>
        <v>3</v>
      </c>
      <c r="F2741" s="90">
        <v>46085</v>
      </c>
      <c r="G2741" s="86" t="str">
        <f>VLOOKUP("*"&amp;表格1[[#This Row],[Input]]&amp;"*",'Ref-List'!$B:$D,2,)</f>
        <v>RC-5SLIH(W)</v>
      </c>
      <c r="H2741" s="86" t="str">
        <f>_xlfn.XLOOKUP(表格1[[#This Row],[Model]],表格3[Model-Input-Ref2],表格3[Product Line])</f>
        <v>微型電腦珍珠飯煲</v>
      </c>
      <c r="I2741" s="86" t="str">
        <f>_xlfn.XLOOKUP(表格1[[#This Row],[Model]],表格3[Model-Input-Ref2],表格3[大小電])</f>
        <v>細電</v>
      </c>
      <c r="J2741" s="86" t="str">
        <f>_xlfn.XLOOKUP(表格1[[#This Row],[Model]],表格3[Model-Input-Ref2],表格3[Code])</f>
        <v>SDA</v>
      </c>
      <c r="K2741" s="89" t="s">
        <v>1264</v>
      </c>
      <c r="L2741" s="86">
        <v>1</v>
      </c>
      <c r="M2741" s="87">
        <v>593</v>
      </c>
      <c r="N2741" s="87">
        <f>IFERROR(表格1[[#This Row],[QTY]]*表格1[[#This Row],[Unit Price]],"-")</f>
        <v>593</v>
      </c>
      <c r="O2741" s="86">
        <v>7993</v>
      </c>
      <c r="R2741" s="86" t="str">
        <f>_xlfn.CONCAT(表格1[[#This Row],[Model]]," ",表格1[[#This Row],[inv no]])</f>
        <v>RC-5SLIH(W) 7993</v>
      </c>
      <c r="S2741" s="86">
        <f>_xlfn.XLOOKUP(表格1[[#This Row],[Model]],表格3[Model-Input-Ref2],表格3[SRP PRICE])</f>
        <v>658</v>
      </c>
      <c r="T2741" s="43">
        <f>表格1[[#This Row],[Unit Price]]/表格1[[#This Row],[SRP]]</f>
        <v>0.90121580547112456</v>
      </c>
      <c r="U2741" s="86" t="str">
        <f>_xlfn.XLOOKUP(表格1[[#This Row],[Model]],表格3[Model-Input-Ref2],表格3[TOSHIBA/HIGHEST])</f>
        <v>Toshiba SRP</v>
      </c>
      <c r="W2741" s="86" t="str">
        <f>_xlfn.CONCAT(表格1[[#This Row],[欄4]],表格1[[#This Row],[inv no]])</f>
        <v>7993</v>
      </c>
    </row>
    <row r="2742" spans="1:23" hidden="1">
      <c r="A2742" s="81">
        <v>2740</v>
      </c>
      <c r="B2742" s="86" t="s">
        <v>1366</v>
      </c>
      <c r="C2742" s="86" t="s">
        <v>1871</v>
      </c>
      <c r="D2742" s="82" t="str">
        <f ca="1">OFFSET(Roster!$A$3,MATCH(表格1[[#This Row],[Location]]&amp;" "&amp;表格1[[#This Row],[Shop]]&amp;"*",Roster!$A$4:$A$72,0),DAY(表格1[[#This Row],[date]]),1,1)</f>
        <v>Gloria</v>
      </c>
      <c r="E2742" s="86">
        <f>MONTH(表格1[[#This Row],[date]])</f>
        <v>3</v>
      </c>
      <c r="F2742" s="90">
        <v>46085</v>
      </c>
      <c r="G2742" s="86" t="str">
        <f>VLOOKUP("*"&amp;表格1[[#This Row],[Input]]&amp;"*",'Ref-List'!$B:$D,2,)</f>
        <v>KT-15DRTHK(W)</v>
      </c>
      <c r="H2742" s="86" t="str">
        <f>_xlfn.XLOOKUP(表格1[[#This Row],[Model]],表格3[Model-Input-Ref2],表格3[Product Line])</f>
        <v>無線雙層電熱水壺-附可鎖壺蓋</v>
      </c>
      <c r="I2742" s="86" t="str">
        <f>_xlfn.XLOOKUP(表格1[[#This Row],[Model]],表格3[Model-Input-Ref2],表格3[大小電])</f>
        <v>細電</v>
      </c>
      <c r="J2742" s="86" t="str">
        <f>_xlfn.XLOOKUP(表格1[[#This Row],[Model]],表格3[Model-Input-Ref2],表格3[Code])</f>
        <v>SDA</v>
      </c>
      <c r="K2742" s="89" t="s">
        <v>1278</v>
      </c>
      <c r="L2742" s="86">
        <v>1</v>
      </c>
      <c r="M2742" s="87">
        <v>358</v>
      </c>
      <c r="N2742" s="87">
        <f>IFERROR(表格1[[#This Row],[QTY]]*表格1[[#This Row],[Unit Price]],"-")</f>
        <v>358</v>
      </c>
      <c r="O2742" s="86">
        <v>321653</v>
      </c>
      <c r="R2742" s="86" t="str">
        <f>_xlfn.CONCAT(表格1[[#This Row],[Model]]," ",表格1[[#This Row],[inv no]])</f>
        <v>KT-15DRTHK(W) 321653</v>
      </c>
      <c r="S2742" s="86">
        <f>_xlfn.XLOOKUP(表格1[[#This Row],[Model]],表格3[Model-Input-Ref2],表格3[SRP PRICE])</f>
        <v>598</v>
      </c>
      <c r="T2742" s="43">
        <f>表格1[[#This Row],[Unit Price]]/表格1[[#This Row],[SRP]]</f>
        <v>0.59866220735785958</v>
      </c>
      <c r="U2742" s="86" t="str">
        <f>_xlfn.XLOOKUP(表格1[[#This Row],[Model]],表格3[Model-Input-Ref2],表格3[TOSHIBA/HIGHEST])</f>
        <v>Toshiba SRP</v>
      </c>
      <c r="W2742" s="86" t="str">
        <f>_xlfn.CONCAT(表格1[[#This Row],[欄4]],表格1[[#This Row],[inv no]])</f>
        <v>321653</v>
      </c>
    </row>
    <row r="2743" spans="1:23" hidden="1">
      <c r="A2743" s="81">
        <v>2741</v>
      </c>
      <c r="B2743" s="86" t="s">
        <v>1366</v>
      </c>
      <c r="C2743" s="86" t="s">
        <v>1871</v>
      </c>
      <c r="D2743" s="82" t="str">
        <f ca="1">OFFSET(Roster!$A$3,MATCH(表格1[[#This Row],[Location]]&amp;" "&amp;表格1[[#This Row],[Shop]]&amp;"*",Roster!$A$4:$A$72,0),DAY(表格1[[#This Row],[date]]),1,1)</f>
        <v>Gloria</v>
      </c>
      <c r="E2743" s="86">
        <f>MONTH(表格1[[#This Row],[date]])</f>
        <v>3</v>
      </c>
      <c r="F2743" s="90">
        <v>46085</v>
      </c>
      <c r="G2743" s="86" t="str">
        <f>VLOOKUP("*"&amp;表格1[[#This Row],[Input]]&amp;"*",'Ref-List'!$B:$D,2,)</f>
        <v>KT-17SHNH</v>
      </c>
      <c r="H2743" s="86" t="str">
        <f>_xlfn.XLOOKUP(表格1[[#This Row],[Model]],表格3[Model-Input-Ref2],表格3[Product Line])</f>
        <v>1.7L無線雙層電熱水壺</v>
      </c>
      <c r="I2743" s="86" t="str">
        <f>_xlfn.XLOOKUP(表格1[[#This Row],[Model]],表格3[Model-Input-Ref2],表格3[大小電])</f>
        <v>細電</v>
      </c>
      <c r="J2743" s="86" t="str">
        <f>_xlfn.XLOOKUP(表格1[[#This Row],[Model]],表格3[Model-Input-Ref2],表格3[Code])</f>
        <v>SDA</v>
      </c>
      <c r="K2743" s="89" t="s">
        <v>1283</v>
      </c>
      <c r="L2743" s="86">
        <v>1</v>
      </c>
      <c r="M2743" s="87">
        <v>198</v>
      </c>
      <c r="N2743" s="87">
        <f>IFERROR(表格1[[#This Row],[QTY]]*表格1[[#This Row],[Unit Price]],"-")</f>
        <v>198</v>
      </c>
      <c r="O2743" s="86">
        <v>321538</v>
      </c>
      <c r="R2743" s="86" t="str">
        <f>_xlfn.CONCAT(表格1[[#This Row],[Model]]," ",表格1[[#This Row],[inv no]])</f>
        <v>KT-17SHNH 321538</v>
      </c>
      <c r="S2743" s="86">
        <f>_xlfn.XLOOKUP(表格1[[#This Row],[Model]],表格3[Model-Input-Ref2],表格3[SRP PRICE])</f>
        <v>299</v>
      </c>
      <c r="T2743" s="43">
        <f>表格1[[#This Row],[Unit Price]]/表格1[[#This Row],[SRP]]</f>
        <v>0.66220735785953178</v>
      </c>
      <c r="U2743" s="86" t="str">
        <f>_xlfn.XLOOKUP(表格1[[#This Row],[Model]],表格3[Model-Input-Ref2],表格3[TOSHIBA/HIGHEST])</f>
        <v>Shops Highest Price</v>
      </c>
      <c r="W2743" s="86" t="str">
        <f>_xlfn.CONCAT(表格1[[#This Row],[欄4]],表格1[[#This Row],[inv no]])</f>
        <v>321538</v>
      </c>
    </row>
    <row r="2744" spans="1:23" hidden="1">
      <c r="A2744" s="81">
        <v>2742</v>
      </c>
      <c r="B2744" s="86" t="s">
        <v>1366</v>
      </c>
      <c r="C2744" s="86" t="s">
        <v>1871</v>
      </c>
      <c r="D2744" s="82" t="str">
        <f ca="1">OFFSET(Roster!$A$3,MATCH(表格1[[#This Row],[Location]]&amp;" "&amp;表格1[[#This Row],[Shop]]&amp;"*",Roster!$A$4:$A$72,0),DAY(表格1[[#This Row],[date]]),1,1)</f>
        <v>Gloria</v>
      </c>
      <c r="E2744" s="86">
        <f>MONTH(表格1[[#This Row],[date]])</f>
        <v>3</v>
      </c>
      <c r="F2744" s="90">
        <v>46085</v>
      </c>
      <c r="G2744" s="86" t="str">
        <f>VLOOKUP("*"&amp;表格1[[#This Row],[Input]]&amp;"*",'Ref-List'!$B:$D,2,)</f>
        <v>IC-20R1THK</v>
      </c>
      <c r="H2744" s="86" t="str">
        <f>_xlfn.XLOOKUP(表格1[[#This Row],[Model]],表格3[Model-Input-Ref2],表格3[Product Line])</f>
        <v>輕便式電磁爐</v>
      </c>
      <c r="I2744" s="86" t="str">
        <f>_xlfn.XLOOKUP(表格1[[#This Row],[Model]],表格3[Model-Input-Ref2],表格3[大小電])</f>
        <v>細電</v>
      </c>
      <c r="J2744" s="86" t="str">
        <f>_xlfn.XLOOKUP(表格1[[#This Row],[Model]],表格3[Model-Input-Ref2],表格3[Code])</f>
        <v>SDA</v>
      </c>
      <c r="K2744" s="89" t="s">
        <v>1243</v>
      </c>
      <c r="L2744" s="86">
        <v>1</v>
      </c>
      <c r="M2744" s="87">
        <v>338</v>
      </c>
      <c r="N2744" s="87">
        <f>IFERROR(表格1[[#This Row],[QTY]]*表格1[[#This Row],[Unit Price]],"-")</f>
        <v>338</v>
      </c>
      <c r="O2744" s="86">
        <v>321611</v>
      </c>
      <c r="R2744" s="86" t="str">
        <f>_xlfn.CONCAT(表格1[[#This Row],[Model]]," ",表格1[[#This Row],[inv no]])</f>
        <v>IC-20R1THK 321611</v>
      </c>
      <c r="S2744" s="86">
        <f>_xlfn.XLOOKUP(表格1[[#This Row],[Model]],表格3[Model-Input-Ref2],表格3[SRP PRICE])</f>
        <v>438</v>
      </c>
      <c r="T2744" s="43">
        <f>表格1[[#This Row],[Unit Price]]/表格1[[#This Row],[SRP]]</f>
        <v>0.77168949771689499</v>
      </c>
      <c r="U2744" s="86" t="str">
        <f>_xlfn.XLOOKUP(表格1[[#This Row],[Model]],表格3[Model-Input-Ref2],表格3[TOSHIBA/HIGHEST])</f>
        <v>Shops Highest Price</v>
      </c>
      <c r="W2744" s="86" t="str">
        <f>_xlfn.CONCAT(表格1[[#This Row],[欄4]],表格1[[#This Row],[inv no]])</f>
        <v>321611</v>
      </c>
    </row>
    <row r="2745" spans="1:23" hidden="1">
      <c r="A2745" s="81">
        <v>2743</v>
      </c>
      <c r="B2745" s="86" t="s">
        <v>1366</v>
      </c>
      <c r="C2745" s="86" t="s">
        <v>1871</v>
      </c>
      <c r="D2745" s="82" t="str">
        <f ca="1">OFFSET(Roster!$A$3,MATCH(表格1[[#This Row],[Location]]&amp;" "&amp;表格1[[#This Row],[Shop]]&amp;"*",Roster!$A$4:$A$72,0),DAY(表格1[[#This Row],[date]]),1,1)</f>
        <v>Gloria</v>
      </c>
      <c r="E2745" s="86">
        <f>MONTH(表格1[[#This Row],[date]])</f>
        <v>3</v>
      </c>
      <c r="F2745" s="90">
        <v>46085</v>
      </c>
      <c r="G2745" s="86" t="str">
        <f>VLOOKUP("*"&amp;表格1[[#This Row],[Input]]&amp;"*",'Ref-List'!$B:$D,2,)</f>
        <v>MX2-TT20SC(WH)</v>
      </c>
      <c r="H2745" s="86" t="str">
        <f>_xlfn.XLOOKUP(表格1[[#This Row],[Model]],表格3[Model-Input-Ref2],表格3[Product Line])</f>
        <v>3合1 微波蒸焗爐 (20公升)</v>
      </c>
      <c r="I2745" s="86" t="str">
        <f>_xlfn.XLOOKUP(表格1[[#This Row],[Model]],表格3[Model-Input-Ref2],表格3[大小電])</f>
        <v>細電</v>
      </c>
      <c r="J2745" s="86" t="str">
        <f>_xlfn.XLOOKUP(表格1[[#This Row],[Model]],表格3[Model-Input-Ref2],表格3[Code])</f>
        <v>MCA</v>
      </c>
      <c r="K2745" s="89" t="s">
        <v>1287</v>
      </c>
      <c r="L2745" s="86">
        <v>1</v>
      </c>
      <c r="M2745" s="87">
        <v>2580</v>
      </c>
      <c r="N2745" s="87">
        <f>IFERROR(表格1[[#This Row],[QTY]]*表格1[[#This Row],[Unit Price]],"-")</f>
        <v>2580</v>
      </c>
      <c r="O2745" s="86">
        <v>417173</v>
      </c>
      <c r="R2745" s="86" t="str">
        <f>_xlfn.CONCAT(表格1[[#This Row],[Model]]," ",表格1[[#This Row],[inv no]])</f>
        <v>MX2-TT20SC(WH) 417173</v>
      </c>
      <c r="S2745" s="86">
        <f>_xlfn.XLOOKUP(表格1[[#This Row],[Model]],表格3[Model-Input-Ref2],表格3[SRP PRICE])</f>
        <v>3580</v>
      </c>
      <c r="T2745" s="43">
        <f>表格1[[#This Row],[Unit Price]]/表格1[[#This Row],[SRP]]</f>
        <v>0.72067039106145248</v>
      </c>
      <c r="U2745" s="86" t="str">
        <f>_xlfn.XLOOKUP(表格1[[#This Row],[Model]],表格3[Model-Input-Ref2],表格3[TOSHIBA/HIGHEST])</f>
        <v>Toshiba SRP</v>
      </c>
      <c r="W2745" s="86" t="str">
        <f>_xlfn.CONCAT(表格1[[#This Row],[欄4]],表格1[[#This Row],[inv no]])</f>
        <v>417173</v>
      </c>
    </row>
    <row r="2746" spans="1:23" hidden="1">
      <c r="A2746" s="81">
        <v>2744</v>
      </c>
      <c r="B2746" s="86" t="s">
        <v>1366</v>
      </c>
      <c r="C2746" s="86" t="s">
        <v>1871</v>
      </c>
      <c r="D2746" s="82" t="str">
        <f ca="1">OFFSET(Roster!$A$3,MATCH(表格1[[#This Row],[Location]]&amp;" "&amp;表格1[[#This Row],[Shop]]&amp;"*",Roster!$A$4:$A$72,0),DAY(表格1[[#This Row],[date]]),1,1)</f>
        <v>Gloria</v>
      </c>
      <c r="E2746" s="86">
        <f>MONTH(表格1[[#This Row],[date]])</f>
        <v>3</v>
      </c>
      <c r="F2746" s="90">
        <v>46086</v>
      </c>
      <c r="G2746" s="86" t="str">
        <f>VLOOKUP("*"&amp;表格1[[#This Row],[Input]]&amp;"*",'Ref-List'!$B:$D,2,)</f>
        <v>RC-10IRPH</v>
      </c>
      <c r="H2746" s="86" t="str">
        <f>_xlfn.XLOOKUP(表格1[[#This Row],[Model]],表格3[Model-Input-Ref2],表格3[Product Line])</f>
        <v>低醣磁應電飯煲1L</v>
      </c>
      <c r="I2746" s="86" t="str">
        <f>_xlfn.XLOOKUP(表格1[[#This Row],[Model]],表格3[Model-Input-Ref2],表格3[大小電])</f>
        <v>細電</v>
      </c>
      <c r="J2746" s="86" t="str">
        <f>_xlfn.XLOOKUP(表格1[[#This Row],[Model]],表格3[Model-Input-Ref2],表格3[Code])</f>
        <v>SDA</v>
      </c>
      <c r="K2746" s="89" t="s">
        <v>1297</v>
      </c>
      <c r="L2746" s="86">
        <v>1</v>
      </c>
      <c r="M2746" s="87">
        <v>798</v>
      </c>
      <c r="N2746" s="87">
        <f>IFERROR(表格1[[#This Row],[QTY]]*表格1[[#This Row],[Unit Price]],"-")</f>
        <v>798</v>
      </c>
      <c r="O2746" s="86">
        <v>321791</v>
      </c>
      <c r="R2746" s="86" t="str">
        <f>_xlfn.CONCAT(表格1[[#This Row],[Model]]," ",表格1[[#This Row],[inv no]])</f>
        <v>RC-10IRPH 321791</v>
      </c>
      <c r="S2746" s="86">
        <f>_xlfn.XLOOKUP(表格1[[#This Row],[Model]],表格3[Model-Input-Ref2],表格3[SRP PRICE])</f>
        <v>1388</v>
      </c>
      <c r="T2746" s="43">
        <f>表格1[[#This Row],[Unit Price]]/表格1[[#This Row],[SRP]]</f>
        <v>0.5749279538904899</v>
      </c>
      <c r="U2746" s="86" t="str">
        <f>_xlfn.XLOOKUP(表格1[[#This Row],[Model]],表格3[Model-Input-Ref2],表格3[TOSHIBA/HIGHEST])</f>
        <v>Toshiba SRP</v>
      </c>
      <c r="W2746" s="86" t="str">
        <f>_xlfn.CONCAT(表格1[[#This Row],[欄4]],表格1[[#This Row],[inv no]])</f>
        <v>321791</v>
      </c>
    </row>
    <row r="2747" spans="1:23" hidden="1">
      <c r="A2747" s="81">
        <v>2745</v>
      </c>
      <c r="B2747" s="86" t="s">
        <v>1366</v>
      </c>
      <c r="C2747" s="86" t="s">
        <v>1871</v>
      </c>
      <c r="D2747" s="82" t="str">
        <f ca="1">OFFSET(Roster!$A$3,MATCH(表格1[[#This Row],[Location]]&amp;" "&amp;表格1[[#This Row],[Shop]]&amp;"*",Roster!$A$4:$A$72,0),DAY(表格1[[#This Row],[date]]),1,1)</f>
        <v>Gloria</v>
      </c>
      <c r="E2747" s="86">
        <f>MONTH(表格1[[#This Row],[date]])</f>
        <v>3</v>
      </c>
      <c r="F2747" s="90">
        <v>46086</v>
      </c>
      <c r="G2747" s="86" t="str">
        <f>VLOOKUP("*"&amp;表格1[[#This Row],[Input]]&amp;"*",'Ref-List'!$B:$D,2,)</f>
        <v>RC-18AMXH(W)</v>
      </c>
      <c r="H2747" s="86" t="str">
        <f>_xlfn.XLOOKUP(表格1[[#This Row],[Model]],表格3[Model-Input-Ref2],表格3[Product Line])</f>
        <v>酵活炊電飯煲(1.8公升)</v>
      </c>
      <c r="I2747" s="86" t="str">
        <f>_xlfn.XLOOKUP(表格1[[#This Row],[Model]],表格3[Model-Input-Ref2],表格3[大小電])</f>
        <v>細電</v>
      </c>
      <c r="J2747" s="86" t="str">
        <f>_xlfn.XLOOKUP(表格1[[#This Row],[Model]],表格3[Model-Input-Ref2],表格3[Code])</f>
        <v>SDA</v>
      </c>
      <c r="K2747" s="89" t="s">
        <v>1362</v>
      </c>
      <c r="L2747" s="86">
        <v>1</v>
      </c>
      <c r="M2747" s="87">
        <v>990</v>
      </c>
      <c r="N2747" s="87">
        <f>IFERROR(表格1[[#This Row],[QTY]]*表格1[[#This Row],[Unit Price]],"-")</f>
        <v>990</v>
      </c>
      <c r="O2747" s="86">
        <v>417390</v>
      </c>
      <c r="R2747" s="86" t="str">
        <f>_xlfn.CONCAT(表格1[[#This Row],[Model]]," ",表格1[[#This Row],[inv no]])</f>
        <v>RC-18AMXH(W) 417390</v>
      </c>
      <c r="S2747" s="86">
        <f>_xlfn.XLOOKUP(表格1[[#This Row],[Model]],表格3[Model-Input-Ref2],表格3[SRP PRICE])</f>
        <v>1588</v>
      </c>
      <c r="T2747" s="43">
        <f>表格1[[#This Row],[Unit Price]]/表格1[[#This Row],[SRP]]</f>
        <v>0.62342569269521408</v>
      </c>
      <c r="U2747" s="86" t="str">
        <f>_xlfn.XLOOKUP(表格1[[#This Row],[Model]],表格3[Model-Input-Ref2],表格3[TOSHIBA/HIGHEST])</f>
        <v>Toshiba SRP</v>
      </c>
      <c r="W2747" s="86" t="str">
        <f>_xlfn.CONCAT(表格1[[#This Row],[欄4]],表格1[[#This Row],[inv no]])</f>
        <v>417390</v>
      </c>
    </row>
    <row r="2748" spans="1:23" hidden="1">
      <c r="A2748" s="81">
        <v>2746</v>
      </c>
      <c r="B2748" s="86" t="s">
        <v>1366</v>
      </c>
      <c r="C2748" s="86" t="s">
        <v>1871</v>
      </c>
      <c r="D2748" s="82" t="str">
        <f ca="1">OFFSET(Roster!$A$3,MATCH(表格1[[#This Row],[Location]]&amp;" "&amp;表格1[[#This Row],[Shop]]&amp;"*",Roster!$A$4:$A$72,0),DAY(表格1[[#This Row],[date]]),1,1)</f>
        <v>Gloria</v>
      </c>
      <c r="E2748" s="86">
        <f>MONTH(表格1[[#This Row],[date]])</f>
        <v>3</v>
      </c>
      <c r="F2748" s="90">
        <v>46087</v>
      </c>
      <c r="G2748" s="86" t="str">
        <f>VLOOKUP("*"&amp;表格1[[#This Row],[Input]]&amp;"*",'Ref-List'!$B:$D,2,)</f>
        <v>PLK-45SFIH(WT)</v>
      </c>
      <c r="H2748" s="86" t="str">
        <f>_xlfn.XLOOKUP(表格1[[#This Row],[Model]],表格3[Model-Input-Ref2],表格3[Product Line])</f>
        <v>電熱水瓶4.5L</v>
      </c>
      <c r="I2748" s="86" t="str">
        <f>_xlfn.XLOOKUP(表格1[[#This Row],[Model]],表格3[Model-Input-Ref2],表格3[大小電])</f>
        <v>細電</v>
      </c>
      <c r="J2748" s="86" t="str">
        <f>_xlfn.XLOOKUP(表格1[[#This Row],[Model]],表格3[Model-Input-Ref2],表格3[Code])</f>
        <v>SDA</v>
      </c>
      <c r="K2748" s="89" t="s">
        <v>1117</v>
      </c>
      <c r="L2748" s="86">
        <v>1</v>
      </c>
      <c r="M2748" s="87">
        <v>589</v>
      </c>
      <c r="N2748" s="87">
        <f>IFERROR(表格1[[#This Row],[QTY]]*表格1[[#This Row],[Unit Price]],"-")</f>
        <v>589</v>
      </c>
      <c r="O2748" s="142" t="s">
        <v>1876</v>
      </c>
      <c r="R2748" s="86" t="str">
        <f>_xlfn.CONCAT(表格1[[#This Row],[Model]]," ",表格1[[#This Row],[inv no]])</f>
        <v>PLK-45SFIH(WT) 089731</v>
      </c>
      <c r="S2748" s="86">
        <f>_xlfn.XLOOKUP(表格1[[#This Row],[Model]],表格3[Model-Input-Ref2],表格3[SRP PRICE])</f>
        <v>788</v>
      </c>
      <c r="T2748" s="43">
        <f>表格1[[#This Row],[Unit Price]]/表格1[[#This Row],[SRP]]</f>
        <v>0.7474619289340102</v>
      </c>
      <c r="U2748" s="86" t="str">
        <f>_xlfn.XLOOKUP(表格1[[#This Row],[Model]],表格3[Model-Input-Ref2],表格3[TOSHIBA/HIGHEST])</f>
        <v>Toshiba SRP</v>
      </c>
      <c r="W2748" s="86" t="str">
        <f>_xlfn.CONCAT(表格1[[#This Row],[欄4]],表格1[[#This Row],[inv no]])</f>
        <v>089731</v>
      </c>
    </row>
    <row r="2749" spans="1:23" hidden="1">
      <c r="A2749" s="81">
        <v>2747</v>
      </c>
      <c r="B2749" s="86" t="s">
        <v>1366</v>
      </c>
      <c r="C2749" s="86" t="s">
        <v>1871</v>
      </c>
      <c r="D2749" s="82" t="str">
        <f ca="1">OFFSET(Roster!$A$3,MATCH(表格1[[#This Row],[Location]]&amp;" "&amp;表格1[[#This Row],[Shop]]&amp;"*",Roster!$A$4:$A$72,0),DAY(表格1[[#This Row],[date]]),1,1)</f>
        <v>Gloria</v>
      </c>
      <c r="E2749" s="86">
        <f>MONTH(表格1[[#This Row],[date]])</f>
        <v>3</v>
      </c>
      <c r="F2749" s="90">
        <v>46087</v>
      </c>
      <c r="G2749" s="86" t="str">
        <f>VLOOKUP("*"&amp;表格1[[#This Row],[Input]]&amp;"*",'Ref-List'!$B:$D,2,)</f>
        <v>KT-17SHNH</v>
      </c>
      <c r="H2749" s="86" t="str">
        <f>_xlfn.XLOOKUP(表格1[[#This Row],[Model]],表格3[Model-Input-Ref2],表格3[Product Line])</f>
        <v>1.7L無線雙層電熱水壺</v>
      </c>
      <c r="I2749" s="86" t="str">
        <f>_xlfn.XLOOKUP(表格1[[#This Row],[Model]],表格3[Model-Input-Ref2],表格3[大小電])</f>
        <v>細電</v>
      </c>
      <c r="J2749" s="86" t="str">
        <f>_xlfn.XLOOKUP(表格1[[#This Row],[Model]],表格3[Model-Input-Ref2],表格3[Code])</f>
        <v>SDA</v>
      </c>
      <c r="K2749" s="89" t="s">
        <v>1283</v>
      </c>
      <c r="L2749" s="86">
        <v>1</v>
      </c>
      <c r="M2749" s="87">
        <v>198</v>
      </c>
      <c r="N2749" s="87">
        <f>IFERROR(表格1[[#This Row],[QTY]]*表格1[[#This Row],[Unit Price]],"-")</f>
        <v>198</v>
      </c>
      <c r="O2749" s="86">
        <v>321978</v>
      </c>
      <c r="R2749" s="86" t="str">
        <f>_xlfn.CONCAT(表格1[[#This Row],[Model]]," ",表格1[[#This Row],[inv no]])</f>
        <v>KT-17SHNH 321978</v>
      </c>
      <c r="S2749" s="86">
        <f>_xlfn.XLOOKUP(表格1[[#This Row],[Model]],表格3[Model-Input-Ref2],表格3[SRP PRICE])</f>
        <v>299</v>
      </c>
      <c r="T2749" s="43">
        <f>表格1[[#This Row],[Unit Price]]/表格1[[#This Row],[SRP]]</f>
        <v>0.66220735785953178</v>
      </c>
      <c r="U2749" s="86" t="str">
        <f>_xlfn.XLOOKUP(表格1[[#This Row],[Model]],表格3[Model-Input-Ref2],表格3[TOSHIBA/HIGHEST])</f>
        <v>Shops Highest Price</v>
      </c>
      <c r="W2749" s="86" t="str">
        <f>_xlfn.CONCAT(表格1[[#This Row],[欄4]],表格1[[#This Row],[inv no]])</f>
        <v>321978</v>
      </c>
    </row>
    <row r="2750" spans="1:23" hidden="1">
      <c r="A2750" s="81">
        <v>2748</v>
      </c>
      <c r="B2750" s="86" t="s">
        <v>1366</v>
      </c>
      <c r="C2750" s="86" t="s">
        <v>1871</v>
      </c>
      <c r="D2750" s="82" t="str">
        <f ca="1">OFFSET(Roster!$A$3,MATCH(表格1[[#This Row],[Location]]&amp;" "&amp;表格1[[#This Row],[Shop]]&amp;"*",Roster!$A$4:$A$72,0),DAY(表格1[[#This Row],[date]]),1,1)</f>
        <v>Gloria</v>
      </c>
      <c r="E2750" s="86">
        <f>MONTH(表格1[[#This Row],[date]])</f>
        <v>3</v>
      </c>
      <c r="F2750" s="90">
        <v>46087</v>
      </c>
      <c r="G2750" s="86" t="str">
        <f>VLOOKUP("*"&amp;表格1[[#This Row],[Input]]&amp;"*",'Ref-List'!$B:$D,2,)</f>
        <v>KT-17DRTHK(H)</v>
      </c>
      <c r="H2750" s="86" t="str">
        <f>_xlfn.XLOOKUP(表格1[[#This Row],[Model]],表格3[Model-Input-Ref2],表格3[Product Line])</f>
        <v>無線雙層電熱水壺(1.7公升)</v>
      </c>
      <c r="I2750" s="86" t="str">
        <f>_xlfn.XLOOKUP(表格1[[#This Row],[Model]],表格3[Model-Input-Ref2],表格3[大小電])</f>
        <v>細電</v>
      </c>
      <c r="J2750" s="86" t="str">
        <f>_xlfn.XLOOKUP(表格1[[#This Row],[Model]],表格3[Model-Input-Ref2],表格3[Code])</f>
        <v>SDA</v>
      </c>
      <c r="K2750" s="89" t="s">
        <v>1271</v>
      </c>
      <c r="L2750" s="86">
        <v>1</v>
      </c>
      <c r="M2750" s="87">
        <v>388</v>
      </c>
      <c r="N2750" s="87">
        <f>IFERROR(表格1[[#This Row],[QTY]]*表格1[[#This Row],[Unit Price]],"-")</f>
        <v>388</v>
      </c>
      <c r="O2750" s="142">
        <v>14439</v>
      </c>
      <c r="R2750" s="86" t="str">
        <f>_xlfn.CONCAT(表格1[[#This Row],[Model]]," ",表格1[[#This Row],[inv no]])</f>
        <v>KT-17DRTHK(H) 14439</v>
      </c>
      <c r="S2750" s="86">
        <f>_xlfn.XLOOKUP(表格1[[#This Row],[Model]],表格3[Model-Input-Ref2],表格3[SRP PRICE])</f>
        <v>498</v>
      </c>
      <c r="T2750" s="43">
        <f>表格1[[#This Row],[Unit Price]]/表格1[[#This Row],[SRP]]</f>
        <v>0.77911646586345384</v>
      </c>
      <c r="U2750" s="86" t="str">
        <f>_xlfn.XLOOKUP(表格1[[#This Row],[Model]],表格3[Model-Input-Ref2],表格3[TOSHIBA/HIGHEST])</f>
        <v>Toshiba SRP</v>
      </c>
      <c r="W2750" s="86" t="str">
        <f>_xlfn.CONCAT(表格1[[#This Row],[欄4]],表格1[[#This Row],[inv no]])</f>
        <v>14439</v>
      </c>
    </row>
    <row r="2751" spans="1:23" hidden="1">
      <c r="A2751" s="81">
        <v>2749</v>
      </c>
      <c r="B2751" s="86" t="s">
        <v>1366</v>
      </c>
      <c r="C2751" s="86" t="s">
        <v>1871</v>
      </c>
      <c r="D2751" s="82" t="str">
        <f ca="1">OFFSET(Roster!$A$3,MATCH(表格1[[#This Row],[Location]]&amp;" "&amp;表格1[[#This Row],[Shop]]&amp;"*",Roster!$A$4:$A$72,0),DAY(表格1[[#This Row],[date]]),1,1)</f>
        <v>Gloria</v>
      </c>
      <c r="E2751" s="86">
        <f>MONTH(表格1[[#This Row],[date]])</f>
        <v>3</v>
      </c>
      <c r="F2751" s="90">
        <v>46087</v>
      </c>
      <c r="G2751" s="86" t="str">
        <f>VLOOKUP("*"&amp;表格1[[#This Row],[Input]]&amp;"*",'Ref-List'!$B:$D,2,)</f>
        <v>RC-10JRUH(N)</v>
      </c>
      <c r="H2751" s="86" t="str">
        <f>_xlfn.XLOOKUP(表格1[[#This Row],[Model]],表格3[Model-Input-Ref2],表格3[Product Line])</f>
        <v>電飯煲</v>
      </c>
      <c r="I2751" s="86" t="str">
        <f>_xlfn.XLOOKUP(表格1[[#This Row],[Model]],表格3[Model-Input-Ref2],表格3[大小電])</f>
        <v>細電</v>
      </c>
      <c r="J2751" s="86" t="str">
        <f>_xlfn.XLOOKUP(表格1[[#This Row],[Model]],表格3[Model-Input-Ref2],表格3[Code])</f>
        <v>SDA</v>
      </c>
      <c r="K2751" s="89" t="s">
        <v>1263</v>
      </c>
      <c r="L2751" s="86">
        <v>1</v>
      </c>
      <c r="M2751" s="87">
        <v>328</v>
      </c>
      <c r="N2751" s="87">
        <f>IFERROR(表格1[[#This Row],[QTY]]*表格1[[#This Row],[Unit Price]],"-")</f>
        <v>328</v>
      </c>
      <c r="O2751" s="86">
        <v>417500</v>
      </c>
      <c r="R2751" s="86" t="str">
        <f>_xlfn.CONCAT(表格1[[#This Row],[Model]]," ",表格1[[#This Row],[inv no]])</f>
        <v>RC-10JRUH(N) 417500</v>
      </c>
      <c r="S2751" s="86">
        <f>_xlfn.XLOOKUP(表格1[[#This Row],[Model]],表格3[Model-Input-Ref2],表格3[SRP PRICE])</f>
        <v>398</v>
      </c>
      <c r="T2751" s="43">
        <f>表格1[[#This Row],[Unit Price]]/表格1[[#This Row],[SRP]]</f>
        <v>0.82412060301507539</v>
      </c>
      <c r="U2751" s="86" t="str">
        <f>_xlfn.XLOOKUP(表格1[[#This Row],[Model]],表格3[Model-Input-Ref2],表格3[TOSHIBA/HIGHEST])</f>
        <v>Shops Highest Price</v>
      </c>
      <c r="W2751" s="86" t="str">
        <f>_xlfn.CONCAT(表格1[[#This Row],[欄4]],表格1[[#This Row],[inv no]])</f>
        <v>417500</v>
      </c>
    </row>
    <row r="2752" spans="1:23" hidden="1">
      <c r="A2752" s="81">
        <v>2750</v>
      </c>
      <c r="B2752" s="86" t="s">
        <v>1366</v>
      </c>
      <c r="C2752" s="86" t="s">
        <v>1871</v>
      </c>
      <c r="D2752" s="82" t="str">
        <f ca="1">OFFSET(Roster!$A$3,MATCH(表格1[[#This Row],[Location]]&amp;" "&amp;表格1[[#This Row],[Shop]]&amp;"*",Roster!$A$4:$A$72,0),DAY(表格1[[#This Row],[date]]),1,1)</f>
        <v>Gloria</v>
      </c>
      <c r="E2752" s="86">
        <f>MONTH(表格1[[#This Row],[date]])</f>
        <v>3</v>
      </c>
      <c r="F2752" s="90">
        <v>46087</v>
      </c>
      <c r="G2752" s="86" t="str">
        <f>VLOOKUP("*"&amp;表格1[[#This Row],[Input]]&amp;"*",'Ref-List'!$B:$D,2,)</f>
        <v>RC-7HMH</v>
      </c>
      <c r="H2752" s="86" t="str">
        <f>_xlfn.XLOOKUP(表格1[[#This Row],[Model]],表格3[Model-Input-Ref2],表格3[Product Line])</f>
        <v>備長炭本厚釜電飯煲0.7L</v>
      </c>
      <c r="I2752" s="86" t="str">
        <f>_xlfn.XLOOKUP(表格1[[#This Row],[Model]],表格3[Model-Input-Ref2],表格3[大小電])</f>
        <v>細電</v>
      </c>
      <c r="J2752" s="86" t="str">
        <f>_xlfn.XLOOKUP(表格1[[#This Row],[Model]],表格3[Model-Input-Ref2],表格3[Code])</f>
        <v>SDA</v>
      </c>
      <c r="K2752" s="89" t="s">
        <v>1284</v>
      </c>
      <c r="L2752" s="86">
        <v>1</v>
      </c>
      <c r="M2752" s="87">
        <v>838</v>
      </c>
      <c r="N2752" s="87">
        <f>IFERROR(表格1[[#This Row],[QTY]]*表格1[[#This Row],[Unit Price]],"-")</f>
        <v>838</v>
      </c>
      <c r="O2752" s="142" t="s">
        <v>1877</v>
      </c>
      <c r="R2752" s="86" t="str">
        <f>_xlfn.CONCAT(表格1[[#This Row],[Model]]," ",表格1[[#This Row],[inv no]])</f>
        <v>RC-7HMH 089719</v>
      </c>
      <c r="S2752" s="86">
        <f>_xlfn.XLOOKUP(表格1[[#This Row],[Model]],表格3[Model-Input-Ref2],表格3[SRP PRICE])</f>
        <v>1288</v>
      </c>
      <c r="T2752" s="43">
        <f>表格1[[#This Row],[Unit Price]]/表格1[[#This Row],[SRP]]</f>
        <v>0.65062111801242239</v>
      </c>
      <c r="U2752" s="86" t="str">
        <f>_xlfn.XLOOKUP(表格1[[#This Row],[Model]],表格3[Model-Input-Ref2],表格3[TOSHIBA/HIGHEST])</f>
        <v>Toshiba SRP</v>
      </c>
      <c r="W2752" s="86" t="str">
        <f>_xlfn.CONCAT(表格1[[#This Row],[欄4]],表格1[[#This Row],[inv no]])</f>
        <v>089719</v>
      </c>
    </row>
    <row r="2753" spans="1:23" hidden="1">
      <c r="A2753" s="81">
        <v>2751</v>
      </c>
      <c r="B2753" s="86" t="s">
        <v>1366</v>
      </c>
      <c r="C2753" s="86" t="s">
        <v>1871</v>
      </c>
      <c r="D2753" s="82" t="str">
        <f ca="1">OFFSET(Roster!$A$3,MATCH(表格1[[#This Row],[Location]]&amp;" "&amp;表格1[[#This Row],[Shop]]&amp;"*",Roster!$A$4:$A$72,0),DAY(表格1[[#This Row],[date]]),1,1)</f>
        <v>Gloria</v>
      </c>
      <c r="E2753" s="86">
        <f>MONTH(表格1[[#This Row],[date]])</f>
        <v>3</v>
      </c>
      <c r="F2753" s="90">
        <v>46087</v>
      </c>
      <c r="G2753" s="86" t="str">
        <f>VLOOKUP("*"&amp;表格1[[#This Row],[Input]]&amp;"*",'Ref-List'!$B:$D,2,)</f>
        <v>TW-BL85A2H(WW)</v>
      </c>
      <c r="H2753" s="86" t="str">
        <f>_xlfn.XLOOKUP(表格1[[#This Row],[Model]],表格3[Model-Input-Ref2],表格3[Product Line])</f>
        <v>7.5KG超薄身前置式變頻洗衣機</v>
      </c>
      <c r="I2753" s="86" t="str">
        <f>_xlfn.XLOOKUP(表格1[[#This Row],[Model]],表格3[Model-Input-Ref2],表格3[大小電])</f>
        <v>大電</v>
      </c>
      <c r="J2753" s="86" t="str">
        <f>_xlfn.XLOOKUP(表格1[[#This Row],[Model]],表格3[Model-Input-Ref2],表格3[Code])</f>
        <v>WM</v>
      </c>
      <c r="K2753" s="89" t="s">
        <v>1206</v>
      </c>
      <c r="L2753" s="86">
        <v>1</v>
      </c>
      <c r="M2753" s="87">
        <v>3180</v>
      </c>
      <c r="N2753" s="87">
        <f>IFERROR(表格1[[#This Row],[QTY]]*表格1[[#This Row],[Unit Price]],"-")</f>
        <v>3180</v>
      </c>
      <c r="O2753" s="142" t="s">
        <v>1878</v>
      </c>
      <c r="R2753" s="86" t="str">
        <f>_xlfn.CONCAT(表格1[[#This Row],[Model]]," ",表格1[[#This Row],[inv no]])</f>
        <v>TW-BL85A2H(WW) 089716</v>
      </c>
      <c r="S2753" s="86">
        <f>_xlfn.XLOOKUP(表格1[[#This Row],[Model]],表格3[Model-Input-Ref2],表格3[SRP PRICE])</f>
        <v>5080</v>
      </c>
      <c r="T2753" s="43">
        <f>表格1[[#This Row],[Unit Price]]/表格1[[#This Row],[SRP]]</f>
        <v>0.62598425196850394</v>
      </c>
      <c r="U2753" s="86" t="str">
        <f>_xlfn.XLOOKUP(表格1[[#This Row],[Model]],表格3[Model-Input-Ref2],表格3[TOSHIBA/HIGHEST])</f>
        <v>Toshiba SRP</v>
      </c>
      <c r="W2753" s="86" t="str">
        <f>_xlfn.CONCAT(表格1[[#This Row],[欄4]],表格1[[#This Row],[inv no]])</f>
        <v>089716</v>
      </c>
    </row>
    <row r="2754" spans="1:23" hidden="1">
      <c r="A2754" s="81">
        <v>2752</v>
      </c>
      <c r="B2754" s="86" t="s">
        <v>1366</v>
      </c>
      <c r="C2754" s="86" t="s">
        <v>1871</v>
      </c>
      <c r="D2754" s="82" t="str">
        <f ca="1">OFFSET(Roster!$A$3,MATCH(表格1[[#This Row],[Location]]&amp;" "&amp;表格1[[#This Row],[Shop]]&amp;"*",Roster!$A$4:$A$72,0),DAY(表格1[[#This Row],[date]]),1,1)</f>
        <v>Gloria</v>
      </c>
      <c r="E2754" s="86">
        <f>MONTH(表格1[[#This Row],[date]])</f>
        <v>3</v>
      </c>
      <c r="F2754" s="90">
        <v>46087</v>
      </c>
      <c r="G2754" s="86" t="str">
        <f>VLOOKUP("*"&amp;表格1[[#This Row],[Input]]&amp;"*",'Ref-List'!$B:$D,2,)</f>
        <v>RC-10IRPH</v>
      </c>
      <c r="H2754" s="86" t="str">
        <f>_xlfn.XLOOKUP(表格1[[#This Row],[Model]],表格3[Model-Input-Ref2],表格3[Product Line])</f>
        <v>低醣磁應電飯煲1L</v>
      </c>
      <c r="I2754" s="86" t="str">
        <f>_xlfn.XLOOKUP(表格1[[#This Row],[Model]],表格3[Model-Input-Ref2],表格3[大小電])</f>
        <v>細電</v>
      </c>
      <c r="J2754" s="86" t="str">
        <f>_xlfn.XLOOKUP(表格1[[#This Row],[Model]],表格3[Model-Input-Ref2],表格3[Code])</f>
        <v>SDA</v>
      </c>
      <c r="K2754" s="89" t="s">
        <v>1297</v>
      </c>
      <c r="L2754" s="86">
        <v>1</v>
      </c>
      <c r="M2754" s="87">
        <v>798</v>
      </c>
      <c r="N2754" s="87">
        <f>IFERROR(表格1[[#This Row],[QTY]]*表格1[[#This Row],[Unit Price]],"-")</f>
        <v>798</v>
      </c>
      <c r="O2754" s="86">
        <v>322049</v>
      </c>
      <c r="R2754" s="86" t="str">
        <f>_xlfn.CONCAT(表格1[[#This Row],[Model]]," ",表格1[[#This Row],[inv no]])</f>
        <v>RC-10IRPH 322049</v>
      </c>
      <c r="S2754" s="86">
        <f>_xlfn.XLOOKUP(表格1[[#This Row],[Model]],表格3[Model-Input-Ref2],表格3[SRP PRICE])</f>
        <v>1388</v>
      </c>
      <c r="T2754" s="43">
        <f>表格1[[#This Row],[Unit Price]]/表格1[[#This Row],[SRP]]</f>
        <v>0.5749279538904899</v>
      </c>
      <c r="U2754" s="86" t="str">
        <f>_xlfn.XLOOKUP(表格1[[#This Row],[Model]],表格3[Model-Input-Ref2],表格3[TOSHIBA/HIGHEST])</f>
        <v>Toshiba SRP</v>
      </c>
      <c r="W2754" s="86" t="str">
        <f>_xlfn.CONCAT(表格1[[#This Row],[欄4]],表格1[[#This Row],[inv no]])</f>
        <v>322049</v>
      </c>
    </row>
    <row r="2755" spans="1:23" hidden="1">
      <c r="A2755" s="81">
        <v>2753</v>
      </c>
      <c r="B2755" s="86" t="s">
        <v>1366</v>
      </c>
      <c r="C2755" s="86" t="s">
        <v>1871</v>
      </c>
      <c r="D2755" s="82" t="str">
        <f ca="1">OFFSET(Roster!$A$3,MATCH(表格1[[#This Row],[Location]]&amp;" "&amp;表格1[[#This Row],[Shop]]&amp;"*",Roster!$A$4:$A$72,0),DAY(表格1[[#This Row],[date]]),1,1)</f>
        <v>Gloria</v>
      </c>
      <c r="E2755" s="86">
        <f>MONTH(表格1[[#This Row],[date]])</f>
        <v>3</v>
      </c>
      <c r="F2755" s="90">
        <v>46088</v>
      </c>
      <c r="G2755" s="86" t="str">
        <f>VLOOKUP("*"&amp;表格1[[#This Row],[Input]]&amp;"*",'Ref-List'!$B:$D,2,)</f>
        <v>MM2-EG20PC(WH)</v>
      </c>
      <c r="H2755" s="86" t="str">
        <f>_xlfn.XLOOKUP(表格1[[#This Row],[Model]],表格3[Model-Input-Ref2],表格3[Product Line])</f>
        <v>輕觸式燒烤微波爐</v>
      </c>
      <c r="I2755" s="86" t="str">
        <f>_xlfn.XLOOKUP(表格1[[#This Row],[Model]],表格3[Model-Input-Ref2],表格3[大小電])</f>
        <v>細電</v>
      </c>
      <c r="J2755" s="86" t="str">
        <f>_xlfn.XLOOKUP(表格1[[#This Row],[Model]],表格3[Model-Input-Ref2],表格3[Code])</f>
        <v>MCA</v>
      </c>
      <c r="K2755" s="89" t="s">
        <v>1273</v>
      </c>
      <c r="L2755" s="86">
        <v>1</v>
      </c>
      <c r="M2755" s="87">
        <v>698</v>
      </c>
      <c r="N2755" s="87">
        <f>IFERROR(表格1[[#This Row],[QTY]]*表格1[[#This Row],[Unit Price]],"-")</f>
        <v>698</v>
      </c>
      <c r="O2755" s="86">
        <v>322368</v>
      </c>
      <c r="R2755" s="86" t="str">
        <f>_xlfn.CONCAT(表格1[[#This Row],[Model]]," ",表格1[[#This Row],[inv no]])</f>
        <v>MM2-EG20PC(WH) 322368</v>
      </c>
      <c r="S2755" s="86">
        <f>_xlfn.XLOOKUP(表格1[[#This Row],[Model]],表格3[Model-Input-Ref2],表格3[SRP PRICE])</f>
        <v>918</v>
      </c>
      <c r="T2755" s="43">
        <f>表格1[[#This Row],[Unit Price]]/表格1[[#This Row],[SRP]]</f>
        <v>0.76034858387799564</v>
      </c>
      <c r="U2755" s="86" t="str">
        <f>_xlfn.XLOOKUP(表格1[[#This Row],[Model]],表格3[Model-Input-Ref2],表格3[TOSHIBA/HIGHEST])</f>
        <v>Shops Highest Price</v>
      </c>
      <c r="W2755" s="86" t="str">
        <f>_xlfn.CONCAT(表格1[[#This Row],[欄4]],表格1[[#This Row],[inv no]])</f>
        <v>322368</v>
      </c>
    </row>
    <row r="2756" spans="1:23" hidden="1">
      <c r="A2756" s="81">
        <v>2754</v>
      </c>
      <c r="B2756" s="86" t="s">
        <v>1366</v>
      </c>
      <c r="C2756" s="86" t="s">
        <v>1871</v>
      </c>
      <c r="D2756" s="82" t="str">
        <f ca="1">OFFSET(Roster!$A$3,MATCH(表格1[[#This Row],[Location]]&amp;" "&amp;表格1[[#This Row],[Shop]]&amp;"*",Roster!$A$4:$A$72,0),DAY(表格1[[#This Row],[date]]),1,1)</f>
        <v>Gloria</v>
      </c>
      <c r="E2756" s="86">
        <f>MONTH(表格1[[#This Row],[date]])</f>
        <v>3</v>
      </c>
      <c r="F2756" s="90">
        <v>46088</v>
      </c>
      <c r="G2756" s="86" t="str">
        <f>VLOOKUP("*"&amp;表格1[[#This Row],[Input]]&amp;"*",'Ref-List'!$B:$D,2,)</f>
        <v>KT-17SHNH</v>
      </c>
      <c r="H2756" s="86" t="str">
        <f>_xlfn.XLOOKUP(表格1[[#This Row],[Model]],表格3[Model-Input-Ref2],表格3[Product Line])</f>
        <v>1.7L無線雙層電熱水壺</v>
      </c>
      <c r="I2756" s="86" t="str">
        <f>_xlfn.XLOOKUP(表格1[[#This Row],[Model]],表格3[Model-Input-Ref2],表格3[大小電])</f>
        <v>細電</v>
      </c>
      <c r="J2756" s="86" t="str">
        <f>_xlfn.XLOOKUP(表格1[[#This Row],[Model]],表格3[Model-Input-Ref2],表格3[Code])</f>
        <v>SDA</v>
      </c>
      <c r="K2756" s="89" t="s">
        <v>1283</v>
      </c>
      <c r="L2756" s="86">
        <v>1</v>
      </c>
      <c r="M2756" s="87">
        <v>198</v>
      </c>
      <c r="N2756" s="87">
        <f>IFERROR(表格1[[#This Row],[QTY]]*表格1[[#This Row],[Unit Price]],"-")</f>
        <v>198</v>
      </c>
      <c r="O2756" s="142" t="s">
        <v>1879</v>
      </c>
      <c r="R2756" s="86" t="str">
        <f>_xlfn.CONCAT(表格1[[#This Row],[Model]]," ",表格1[[#This Row],[inv no]])</f>
        <v>KT-17SHNH 089875</v>
      </c>
      <c r="S2756" s="86">
        <f>_xlfn.XLOOKUP(表格1[[#This Row],[Model]],表格3[Model-Input-Ref2],表格3[SRP PRICE])</f>
        <v>299</v>
      </c>
      <c r="T2756" s="43">
        <f>表格1[[#This Row],[Unit Price]]/表格1[[#This Row],[SRP]]</f>
        <v>0.66220735785953178</v>
      </c>
      <c r="U2756" s="86" t="str">
        <f>_xlfn.XLOOKUP(表格1[[#This Row],[Model]],表格3[Model-Input-Ref2],表格3[TOSHIBA/HIGHEST])</f>
        <v>Shops Highest Price</v>
      </c>
      <c r="W2756" s="86" t="str">
        <f>_xlfn.CONCAT(表格1[[#This Row],[欄4]],表格1[[#This Row],[inv no]])</f>
        <v>089875</v>
      </c>
    </row>
    <row r="2757" spans="1:23" hidden="1">
      <c r="A2757" s="81">
        <v>2755</v>
      </c>
      <c r="B2757" s="86" t="s">
        <v>1366</v>
      </c>
      <c r="C2757" s="86" t="s">
        <v>1871</v>
      </c>
      <c r="D2757" s="82" t="str">
        <f ca="1">OFFSET(Roster!$A$3,MATCH(表格1[[#This Row],[Location]]&amp;" "&amp;表格1[[#This Row],[Shop]]&amp;"*",Roster!$A$4:$A$72,0),DAY(表格1[[#This Row],[date]]),1,1)</f>
        <v>Gloria</v>
      </c>
      <c r="E2757" s="86">
        <f>MONTH(表格1[[#This Row],[date]])</f>
        <v>3</v>
      </c>
      <c r="F2757" s="90">
        <v>46088</v>
      </c>
      <c r="G2757" s="86" t="str">
        <f>VLOOKUP("*"&amp;表格1[[#This Row],[Input]]&amp;"*",'Ref-List'!$B:$D,2,)</f>
        <v>KT-17SHNH</v>
      </c>
      <c r="H2757" s="86" t="str">
        <f>_xlfn.XLOOKUP(表格1[[#This Row],[Model]],表格3[Model-Input-Ref2],表格3[Product Line])</f>
        <v>1.7L無線雙層電熱水壺</v>
      </c>
      <c r="I2757" s="86" t="str">
        <f>_xlfn.XLOOKUP(表格1[[#This Row],[Model]],表格3[Model-Input-Ref2],表格3[大小電])</f>
        <v>細電</v>
      </c>
      <c r="J2757" s="86" t="str">
        <f>_xlfn.XLOOKUP(表格1[[#This Row],[Model]],表格3[Model-Input-Ref2],表格3[Code])</f>
        <v>SDA</v>
      </c>
      <c r="K2757" s="89" t="s">
        <v>1283</v>
      </c>
      <c r="L2757" s="86">
        <v>1</v>
      </c>
      <c r="M2757" s="87">
        <v>198</v>
      </c>
      <c r="N2757" s="87">
        <f>IFERROR(表格1[[#This Row],[QTY]]*表格1[[#This Row],[Unit Price]],"-")</f>
        <v>198</v>
      </c>
      <c r="O2757" s="142" t="s">
        <v>1880</v>
      </c>
      <c r="R2757" s="86" t="str">
        <f>_xlfn.CONCAT(表格1[[#This Row],[Model]]," ",表格1[[#This Row],[inv no]])</f>
        <v>KT-17SHNH 089770</v>
      </c>
      <c r="S2757" s="86">
        <f>_xlfn.XLOOKUP(表格1[[#This Row],[Model]],表格3[Model-Input-Ref2],表格3[SRP PRICE])</f>
        <v>299</v>
      </c>
      <c r="T2757" s="43">
        <f>表格1[[#This Row],[Unit Price]]/表格1[[#This Row],[SRP]]</f>
        <v>0.66220735785953178</v>
      </c>
      <c r="U2757" s="86" t="str">
        <f>_xlfn.XLOOKUP(表格1[[#This Row],[Model]],表格3[Model-Input-Ref2],表格3[TOSHIBA/HIGHEST])</f>
        <v>Shops Highest Price</v>
      </c>
      <c r="W2757" s="86" t="str">
        <f>_xlfn.CONCAT(表格1[[#This Row],[欄4]],表格1[[#This Row],[inv no]])</f>
        <v>089770</v>
      </c>
    </row>
    <row r="2758" spans="1:23" hidden="1">
      <c r="A2758" s="81">
        <v>2756</v>
      </c>
      <c r="B2758" s="86" t="s">
        <v>1366</v>
      </c>
      <c r="C2758" s="86" t="s">
        <v>1871</v>
      </c>
      <c r="D2758" s="82" t="str">
        <f ca="1">OFFSET(Roster!$A$3,MATCH(表格1[[#This Row],[Location]]&amp;" "&amp;表格1[[#This Row],[Shop]]&amp;"*",Roster!$A$4:$A$72,0),DAY(表格1[[#This Row],[date]]),1,1)</f>
        <v>Gloria</v>
      </c>
      <c r="E2758" s="86">
        <f>MONTH(表格1[[#This Row],[date]])</f>
        <v>3</v>
      </c>
      <c r="F2758" s="90">
        <v>46088</v>
      </c>
      <c r="G2758" s="86" t="str">
        <f>VLOOKUP("*"&amp;表格1[[#This Row],[Input]]&amp;"*",'Ref-List'!$B:$D,2,)</f>
        <v>RC-10JRUH(N)</v>
      </c>
      <c r="H2758" s="86" t="str">
        <f>_xlfn.XLOOKUP(表格1[[#This Row],[Model]],表格3[Model-Input-Ref2],表格3[Product Line])</f>
        <v>電飯煲</v>
      </c>
      <c r="I2758" s="86" t="str">
        <f>_xlfn.XLOOKUP(表格1[[#This Row],[Model]],表格3[Model-Input-Ref2],表格3[大小電])</f>
        <v>細電</v>
      </c>
      <c r="J2758" s="86" t="str">
        <f>_xlfn.XLOOKUP(表格1[[#This Row],[Model]],表格3[Model-Input-Ref2],表格3[Code])</f>
        <v>SDA</v>
      </c>
      <c r="K2758" s="89" t="s">
        <v>1263</v>
      </c>
      <c r="L2758" s="86">
        <v>1</v>
      </c>
      <c r="M2758" s="87">
        <v>328</v>
      </c>
      <c r="N2758" s="87">
        <f>IFERROR(表格1[[#This Row],[QTY]]*表格1[[#This Row],[Unit Price]],"-")</f>
        <v>328</v>
      </c>
      <c r="O2758" s="142" t="s">
        <v>1881</v>
      </c>
      <c r="R2758" s="86" t="str">
        <f>_xlfn.CONCAT(表格1[[#This Row],[Model]]," ",表格1[[#This Row],[inv no]])</f>
        <v>RC-10JRUH(N) 089776</v>
      </c>
      <c r="S2758" s="86">
        <f>_xlfn.XLOOKUP(表格1[[#This Row],[Model]],表格3[Model-Input-Ref2],表格3[SRP PRICE])</f>
        <v>398</v>
      </c>
      <c r="T2758" s="43">
        <f>表格1[[#This Row],[Unit Price]]/表格1[[#This Row],[SRP]]</f>
        <v>0.82412060301507539</v>
      </c>
      <c r="U2758" s="86" t="str">
        <f>_xlfn.XLOOKUP(表格1[[#This Row],[Model]],表格3[Model-Input-Ref2],表格3[TOSHIBA/HIGHEST])</f>
        <v>Shops Highest Price</v>
      </c>
      <c r="W2758" s="86" t="str">
        <f>_xlfn.CONCAT(表格1[[#This Row],[欄4]],表格1[[#This Row],[inv no]])</f>
        <v>089776</v>
      </c>
    </row>
    <row r="2759" spans="1:23" hidden="1">
      <c r="A2759" s="81">
        <v>2757</v>
      </c>
      <c r="B2759" s="86" t="s">
        <v>1366</v>
      </c>
      <c r="C2759" s="86" t="s">
        <v>1871</v>
      </c>
      <c r="D2759" s="82" t="str">
        <f ca="1">OFFSET(Roster!$A$3,MATCH(表格1[[#This Row],[Location]]&amp;" "&amp;表格1[[#This Row],[Shop]]&amp;"*",Roster!$A$4:$A$72,0),DAY(表格1[[#This Row],[date]]),1,1)</f>
        <v>Gloria</v>
      </c>
      <c r="E2759" s="86">
        <f>MONTH(表格1[[#This Row],[date]])</f>
        <v>3</v>
      </c>
      <c r="F2759" s="90">
        <v>46088</v>
      </c>
      <c r="G2759" s="86" t="str">
        <f>VLOOKUP("*"&amp;表格1[[#This Row],[Input]]&amp;"*",'Ref-List'!$B:$D,2,)</f>
        <v>RC-10JRUH(N)</v>
      </c>
      <c r="H2759" s="86" t="str">
        <f>_xlfn.XLOOKUP(表格1[[#This Row],[Model]],表格3[Model-Input-Ref2],表格3[Product Line])</f>
        <v>電飯煲</v>
      </c>
      <c r="I2759" s="86" t="str">
        <f>_xlfn.XLOOKUP(表格1[[#This Row],[Model]],表格3[Model-Input-Ref2],表格3[大小電])</f>
        <v>細電</v>
      </c>
      <c r="J2759" s="86" t="str">
        <f>_xlfn.XLOOKUP(表格1[[#This Row],[Model]],表格3[Model-Input-Ref2],表格3[Code])</f>
        <v>SDA</v>
      </c>
      <c r="K2759" s="89" t="s">
        <v>1263</v>
      </c>
      <c r="L2759" s="86">
        <v>1</v>
      </c>
      <c r="M2759" s="87">
        <v>328</v>
      </c>
      <c r="N2759" s="87">
        <f>IFERROR(表格1[[#This Row],[QTY]]*表格1[[#This Row],[Unit Price]],"-")</f>
        <v>328</v>
      </c>
      <c r="O2759" s="142" t="s">
        <v>1882</v>
      </c>
      <c r="R2759" s="86" t="str">
        <f>_xlfn.CONCAT(表格1[[#This Row],[Model]]," ",表格1[[#This Row],[inv no]])</f>
        <v>RC-10JRUH(N) 089841</v>
      </c>
      <c r="S2759" s="86">
        <f>_xlfn.XLOOKUP(表格1[[#This Row],[Model]],表格3[Model-Input-Ref2],表格3[SRP PRICE])</f>
        <v>398</v>
      </c>
      <c r="T2759" s="43">
        <f>表格1[[#This Row],[Unit Price]]/表格1[[#This Row],[SRP]]</f>
        <v>0.82412060301507539</v>
      </c>
      <c r="U2759" s="86" t="str">
        <f>_xlfn.XLOOKUP(表格1[[#This Row],[Model]],表格3[Model-Input-Ref2],表格3[TOSHIBA/HIGHEST])</f>
        <v>Shops Highest Price</v>
      </c>
      <c r="W2759" s="86" t="str">
        <f>_xlfn.CONCAT(表格1[[#This Row],[欄4]],表格1[[#This Row],[inv no]])</f>
        <v>089841</v>
      </c>
    </row>
    <row r="2760" spans="1:23" hidden="1">
      <c r="A2760" s="81">
        <v>2758</v>
      </c>
      <c r="B2760" s="86" t="s">
        <v>1366</v>
      </c>
      <c r="C2760" s="86" t="s">
        <v>1871</v>
      </c>
      <c r="D2760" s="82" t="str">
        <f ca="1">OFFSET(Roster!$A$3,MATCH(表格1[[#This Row],[Location]]&amp;" "&amp;表格1[[#This Row],[Shop]]&amp;"*",Roster!$A$4:$A$72,0),DAY(表格1[[#This Row],[date]]),1,1)</f>
        <v>Gloria</v>
      </c>
      <c r="E2760" s="86">
        <f>MONTH(表格1[[#This Row],[date]])</f>
        <v>3</v>
      </c>
      <c r="F2760" s="90">
        <v>46088</v>
      </c>
      <c r="G2760" s="86" t="str">
        <f>VLOOKUP("*"&amp;表格1[[#This Row],[Input]]&amp;"*",'Ref-List'!$B:$D,2,)</f>
        <v>RC-10JRUH(N)</v>
      </c>
      <c r="H2760" s="86" t="str">
        <f>_xlfn.XLOOKUP(表格1[[#This Row],[Model]],表格3[Model-Input-Ref2],表格3[Product Line])</f>
        <v>電飯煲</v>
      </c>
      <c r="I2760" s="86" t="str">
        <f>_xlfn.XLOOKUP(表格1[[#This Row],[Model]],表格3[Model-Input-Ref2],表格3[大小電])</f>
        <v>細電</v>
      </c>
      <c r="J2760" s="86" t="str">
        <f>_xlfn.XLOOKUP(表格1[[#This Row],[Model]],表格3[Model-Input-Ref2],表格3[Code])</f>
        <v>SDA</v>
      </c>
      <c r="K2760" s="89" t="s">
        <v>1263</v>
      </c>
      <c r="L2760" s="86">
        <v>1</v>
      </c>
      <c r="M2760" s="87">
        <v>328</v>
      </c>
      <c r="N2760" s="87">
        <f>IFERROR(表格1[[#This Row],[QTY]]*表格1[[#This Row],[Unit Price]],"-")</f>
        <v>328</v>
      </c>
      <c r="O2760" s="142" t="s">
        <v>1883</v>
      </c>
      <c r="R2760" s="86" t="str">
        <f>_xlfn.CONCAT(表格1[[#This Row],[Model]]," ",表格1[[#This Row],[inv no]])</f>
        <v>RC-10JRUH(N) 089840</v>
      </c>
      <c r="S2760" s="86">
        <f>_xlfn.XLOOKUP(表格1[[#This Row],[Model]],表格3[Model-Input-Ref2],表格3[SRP PRICE])</f>
        <v>398</v>
      </c>
      <c r="T2760" s="43">
        <f>表格1[[#This Row],[Unit Price]]/表格1[[#This Row],[SRP]]</f>
        <v>0.82412060301507539</v>
      </c>
      <c r="U2760" s="86" t="str">
        <f>_xlfn.XLOOKUP(表格1[[#This Row],[Model]],表格3[Model-Input-Ref2],表格3[TOSHIBA/HIGHEST])</f>
        <v>Shops Highest Price</v>
      </c>
      <c r="W2760" s="86" t="str">
        <f>_xlfn.CONCAT(表格1[[#This Row],[欄4]],表格1[[#This Row],[inv no]])</f>
        <v>089840</v>
      </c>
    </row>
    <row r="2761" spans="1:23" hidden="1">
      <c r="A2761" s="81">
        <v>2759</v>
      </c>
      <c r="B2761" s="86" t="s">
        <v>1366</v>
      </c>
      <c r="C2761" s="86" t="s">
        <v>1871</v>
      </c>
      <c r="D2761" s="82" t="str">
        <f ca="1">OFFSET(Roster!$A$3,MATCH(表格1[[#This Row],[Location]]&amp;" "&amp;表格1[[#This Row],[Shop]]&amp;"*",Roster!$A$4:$A$72,0),DAY(表格1[[#This Row],[date]]),1,1)</f>
        <v>Gloria</v>
      </c>
      <c r="E2761" s="86">
        <f>MONTH(表格1[[#This Row],[date]])</f>
        <v>3</v>
      </c>
      <c r="F2761" s="90">
        <v>46088</v>
      </c>
      <c r="G2761" s="86" t="str">
        <f>VLOOKUP("*"&amp;表格1[[#This Row],[Input]]&amp;"*",'Ref-List'!$B:$D,2,)</f>
        <v>RC-10IRPH</v>
      </c>
      <c r="H2761" s="86" t="str">
        <f>_xlfn.XLOOKUP(表格1[[#This Row],[Model]],表格3[Model-Input-Ref2],表格3[Product Line])</f>
        <v>低醣磁應電飯煲1L</v>
      </c>
      <c r="I2761" s="86" t="str">
        <f>_xlfn.XLOOKUP(表格1[[#This Row],[Model]],表格3[Model-Input-Ref2],表格3[大小電])</f>
        <v>細電</v>
      </c>
      <c r="J2761" s="86" t="str">
        <f>_xlfn.XLOOKUP(表格1[[#This Row],[Model]],表格3[Model-Input-Ref2],表格3[Code])</f>
        <v>SDA</v>
      </c>
      <c r="K2761" s="89" t="s">
        <v>1297</v>
      </c>
      <c r="L2761" s="86">
        <v>1</v>
      </c>
      <c r="M2761" s="87">
        <v>798</v>
      </c>
      <c r="N2761" s="87">
        <f>IFERROR(表格1[[#This Row],[QTY]]*表格1[[#This Row],[Unit Price]],"-")</f>
        <v>798</v>
      </c>
      <c r="O2761" s="142" t="s">
        <v>1884</v>
      </c>
      <c r="R2761" s="86" t="str">
        <f>_xlfn.CONCAT(表格1[[#This Row],[Model]]," ",表格1[[#This Row],[inv no]])</f>
        <v>RC-10IRPH 089791</v>
      </c>
      <c r="S2761" s="86">
        <f>_xlfn.XLOOKUP(表格1[[#This Row],[Model]],表格3[Model-Input-Ref2],表格3[SRP PRICE])</f>
        <v>1388</v>
      </c>
      <c r="T2761" s="43">
        <f>表格1[[#This Row],[Unit Price]]/表格1[[#This Row],[SRP]]</f>
        <v>0.5749279538904899</v>
      </c>
      <c r="U2761" s="86" t="str">
        <f>_xlfn.XLOOKUP(表格1[[#This Row],[Model]],表格3[Model-Input-Ref2],表格3[TOSHIBA/HIGHEST])</f>
        <v>Toshiba SRP</v>
      </c>
      <c r="W2761" s="86" t="str">
        <f>_xlfn.CONCAT(表格1[[#This Row],[欄4]],表格1[[#This Row],[inv no]])</f>
        <v>089791</v>
      </c>
    </row>
    <row r="2762" spans="1:23" hidden="1">
      <c r="A2762" s="81">
        <v>2760</v>
      </c>
      <c r="B2762" s="86" t="s">
        <v>1366</v>
      </c>
      <c r="C2762" s="86" t="s">
        <v>1871</v>
      </c>
      <c r="D2762" s="82" t="str">
        <f ca="1">OFFSET(Roster!$A$3,MATCH(表格1[[#This Row],[Location]]&amp;" "&amp;表格1[[#This Row],[Shop]]&amp;"*",Roster!$A$4:$A$72,0),DAY(表格1[[#This Row],[date]]),1,1)</f>
        <v>Gloria</v>
      </c>
      <c r="E2762" s="86">
        <f>MONTH(表格1[[#This Row],[date]])</f>
        <v>3</v>
      </c>
      <c r="F2762" s="90">
        <v>46088</v>
      </c>
      <c r="G2762" s="86" t="str">
        <f>VLOOKUP("*"&amp;表格1[[#This Row],[Input]]&amp;"*",'Ref-List'!$B:$D,2,)</f>
        <v>RC-DX10T(W)</v>
      </c>
      <c r="H2762" s="86" t="str">
        <f>_xlfn.XLOOKUP(表格1[[#This Row],[Model]],表格3[Model-Input-Ref2],表格3[Product Line])</f>
        <v>真空壓力磁應電飯煲(1.0公升)</v>
      </c>
      <c r="I2762" s="86" t="str">
        <f>_xlfn.XLOOKUP(表格1[[#This Row],[Model]],表格3[Model-Input-Ref2],表格3[大小電])</f>
        <v>細電</v>
      </c>
      <c r="J2762" s="86" t="str">
        <f>_xlfn.XLOOKUP(表格1[[#This Row],[Model]],表格3[Model-Input-Ref2],表格3[Code])</f>
        <v>SDA</v>
      </c>
      <c r="K2762" s="89" t="s">
        <v>1579</v>
      </c>
      <c r="L2762" s="86">
        <v>1</v>
      </c>
      <c r="M2762" s="87">
        <v>4888</v>
      </c>
      <c r="N2762" s="87">
        <f>IFERROR(表格1[[#This Row],[QTY]]*表格1[[#This Row],[Unit Price]],"-")</f>
        <v>4888</v>
      </c>
      <c r="O2762" s="142" t="s">
        <v>1885</v>
      </c>
      <c r="R2762" s="86" t="str">
        <f>_xlfn.CONCAT(表格1[[#This Row],[Model]]," ",表格1[[#This Row],[inv no]])</f>
        <v>RC-DX10T(W) 089866</v>
      </c>
      <c r="S2762" s="86">
        <f>_xlfn.XLOOKUP(表格1[[#This Row],[Model]],表格3[Model-Input-Ref2],表格3[SRP PRICE])</f>
        <v>5988</v>
      </c>
      <c r="T2762" s="43">
        <f>表格1[[#This Row],[Unit Price]]/表格1[[#This Row],[SRP]]</f>
        <v>0.81629926519706075</v>
      </c>
      <c r="U2762" s="86" t="str">
        <f>_xlfn.XLOOKUP(表格1[[#This Row],[Model]],表格3[Model-Input-Ref2],表格3[TOSHIBA/HIGHEST])</f>
        <v>Toshiba SRP</v>
      </c>
      <c r="W2762" s="86" t="str">
        <f>_xlfn.CONCAT(表格1[[#This Row],[欄4]],表格1[[#This Row],[inv no]])</f>
        <v>089866</v>
      </c>
    </row>
    <row r="2763" spans="1:23" hidden="1">
      <c r="A2763" s="81">
        <v>2761</v>
      </c>
      <c r="B2763" s="86" t="s">
        <v>1366</v>
      </c>
      <c r="C2763" s="86" t="s">
        <v>1871</v>
      </c>
      <c r="D2763" s="82" t="str">
        <f ca="1">OFFSET(Roster!$A$3,MATCH(表格1[[#This Row],[Location]]&amp;" "&amp;表格1[[#This Row],[Shop]]&amp;"*",Roster!$A$4:$A$72,0),DAY(表格1[[#This Row],[date]]),1,1)</f>
        <v>Gloria</v>
      </c>
      <c r="E2763" s="86">
        <f>MONTH(表格1[[#This Row],[date]])</f>
        <v>3</v>
      </c>
      <c r="F2763" s="90">
        <v>46088</v>
      </c>
      <c r="G2763" s="86" t="str">
        <f>VLOOKUP("*"&amp;表格1[[#This Row],[Input]]&amp;"*",'Ref-List'!$B:$D,2,)</f>
        <v>RAD-D300H</v>
      </c>
      <c r="H2763" s="86" t="str">
        <f>_xlfn.XLOOKUP(表格1[[#This Row],[Model]],表格3[Model-Input-Ref2],表格3[Product Line])</f>
        <v>壓縮式抽濕機 (30公升)</v>
      </c>
      <c r="I2763" s="86" t="str">
        <f>_xlfn.XLOOKUP(表格1[[#This Row],[Model]],表格3[Model-Input-Ref2],表格3[大小電])</f>
        <v>細電</v>
      </c>
      <c r="J2763" s="86" t="str">
        <f>_xlfn.XLOOKUP(表格1[[#This Row],[Model]],表格3[Model-Input-Ref2],表格3[Code])</f>
        <v>RAC</v>
      </c>
      <c r="K2763" s="89" t="s">
        <v>1252</v>
      </c>
      <c r="L2763" s="86">
        <v>1</v>
      </c>
      <c r="M2763" s="87">
        <v>2280</v>
      </c>
      <c r="N2763" s="87">
        <f>IFERROR(表格1[[#This Row],[QTY]]*表格1[[#This Row],[Unit Price]],"-")</f>
        <v>2280</v>
      </c>
      <c r="O2763" s="86">
        <v>417810</v>
      </c>
      <c r="R2763" s="86" t="str">
        <f>_xlfn.CONCAT(表格1[[#This Row],[Model]]," ",表格1[[#This Row],[inv no]])</f>
        <v>RAD-D300H 417810</v>
      </c>
      <c r="S2763" s="86">
        <f>_xlfn.XLOOKUP(表格1[[#This Row],[Model]],表格3[Model-Input-Ref2],表格3[SRP PRICE])</f>
        <v>3380</v>
      </c>
      <c r="T2763" s="43">
        <f>表格1[[#This Row],[Unit Price]]/表格1[[#This Row],[SRP]]</f>
        <v>0.67455621301775148</v>
      </c>
      <c r="U2763" s="86" t="str">
        <f>_xlfn.XLOOKUP(表格1[[#This Row],[Model]],表格3[Model-Input-Ref2],表格3[TOSHIBA/HIGHEST])</f>
        <v>Shops Highest Price</v>
      </c>
      <c r="W2763" s="86" t="str">
        <f>_xlfn.CONCAT(表格1[[#This Row],[欄4]],表格1[[#This Row],[inv no]])</f>
        <v>417810</v>
      </c>
    </row>
    <row r="2764" spans="1:23" hidden="1">
      <c r="A2764" s="81">
        <v>2762</v>
      </c>
      <c r="B2764" s="86" t="s">
        <v>1366</v>
      </c>
      <c r="C2764" s="86" t="s">
        <v>1870</v>
      </c>
      <c r="D2764" s="82" t="str">
        <f ca="1">OFFSET(Roster!$A$3,MATCH(表格1[[#This Row],[Location]]&amp;" "&amp;表格1[[#This Row],[Shop]]&amp;"*",Roster!$A$4:$A$72,0),DAY(表格1[[#This Row],[date]]),1,1)</f>
        <v>Gloria</v>
      </c>
      <c r="E2764" s="86">
        <f>MONTH(表格1[[#This Row],[date]])</f>
        <v>3</v>
      </c>
      <c r="F2764" s="90">
        <v>46088</v>
      </c>
      <c r="G2764" s="86" t="str">
        <f>VLOOKUP("*"&amp;表格1[[#This Row],[Input]]&amp;"*",'Ref-List'!$B:$D,2,)</f>
        <v>MX2-TT20SC(WH)</v>
      </c>
      <c r="H2764" s="86" t="str">
        <f>_xlfn.XLOOKUP(表格1[[#This Row],[Model]],表格3[Model-Input-Ref2],表格3[Product Line])</f>
        <v>3合1 微波蒸焗爐 (20公升)</v>
      </c>
      <c r="I2764" s="86" t="str">
        <f>_xlfn.XLOOKUP(表格1[[#This Row],[Model]],表格3[Model-Input-Ref2],表格3[大小電])</f>
        <v>細電</v>
      </c>
      <c r="J2764" s="86" t="str">
        <f>_xlfn.XLOOKUP(表格1[[#This Row],[Model]],表格3[Model-Input-Ref2],表格3[Code])</f>
        <v>MCA</v>
      </c>
      <c r="K2764" s="89" t="s">
        <v>1886</v>
      </c>
      <c r="L2764" s="86">
        <v>1</v>
      </c>
      <c r="M2764" s="87">
        <v>2280</v>
      </c>
      <c r="N2764" s="87">
        <f>IFERROR(表格1[[#This Row],[QTY]]*表格1[[#This Row],[Unit Price]],"-")</f>
        <v>2280</v>
      </c>
      <c r="O2764" s="86">
        <v>404195</v>
      </c>
      <c r="R2764" s="86" t="str">
        <f>_xlfn.CONCAT(表格1[[#This Row],[Model]]," ",表格1[[#This Row],[inv no]])</f>
        <v>MX2-TT20SC(WH) 404195</v>
      </c>
      <c r="S2764" s="86">
        <f>_xlfn.XLOOKUP(表格1[[#This Row],[Model]],表格3[Model-Input-Ref2],表格3[SRP PRICE])</f>
        <v>3580</v>
      </c>
      <c r="T2764" s="43">
        <f>表格1[[#This Row],[Unit Price]]/表格1[[#This Row],[SRP]]</f>
        <v>0.63687150837988826</v>
      </c>
      <c r="U2764" s="86" t="str">
        <f>_xlfn.XLOOKUP(表格1[[#This Row],[Model]],表格3[Model-Input-Ref2],表格3[TOSHIBA/HIGHEST])</f>
        <v>Toshiba SRP</v>
      </c>
      <c r="W2764" s="86" t="str">
        <f>_xlfn.CONCAT(表格1[[#This Row],[欄4]],表格1[[#This Row],[inv no]])</f>
        <v>404195</v>
      </c>
    </row>
    <row r="2765" spans="1:23" hidden="1">
      <c r="A2765" s="81">
        <v>2763</v>
      </c>
      <c r="B2765" s="86" t="s">
        <v>1366</v>
      </c>
      <c r="C2765" s="86" t="s">
        <v>1870</v>
      </c>
      <c r="D2765" s="82" t="str">
        <f ca="1">OFFSET(Roster!$A$3,MATCH(表格1[[#This Row],[Location]]&amp;" "&amp;表格1[[#This Row],[Shop]]&amp;"*",Roster!$A$4:$A$72,0),DAY(表格1[[#This Row],[date]]),1,1)</f>
        <v>Gloria</v>
      </c>
      <c r="E2765" s="86">
        <f>MONTH(表格1[[#This Row],[date]])</f>
        <v>3</v>
      </c>
      <c r="F2765" s="90">
        <v>46089</v>
      </c>
      <c r="G2765" s="86" t="str">
        <f>VLOOKUP("*"&amp;表格1[[#This Row],[Input]]&amp;"*",'Ref-List'!$B:$D,2,)</f>
        <v>RC-10JRUH(N)</v>
      </c>
      <c r="H2765" s="86" t="str">
        <f>_xlfn.XLOOKUP(表格1[[#This Row],[Model]],表格3[Model-Input-Ref2],表格3[Product Line])</f>
        <v>電飯煲</v>
      </c>
      <c r="I2765" s="86" t="str">
        <f>_xlfn.XLOOKUP(表格1[[#This Row],[Model]],表格3[Model-Input-Ref2],表格3[大小電])</f>
        <v>細電</v>
      </c>
      <c r="J2765" s="86" t="str">
        <f>_xlfn.XLOOKUP(表格1[[#This Row],[Model]],表格3[Model-Input-Ref2],表格3[Code])</f>
        <v>SDA</v>
      </c>
      <c r="K2765" s="89" t="s">
        <v>1263</v>
      </c>
      <c r="L2765" s="86">
        <v>1</v>
      </c>
      <c r="M2765" s="87">
        <v>328</v>
      </c>
      <c r="N2765" s="87">
        <f>IFERROR(表格1[[#This Row],[QTY]]*表格1[[#This Row],[Unit Price]],"-")</f>
        <v>328</v>
      </c>
      <c r="O2765" s="86">
        <v>417970</v>
      </c>
      <c r="R2765" s="86" t="str">
        <f>_xlfn.CONCAT(表格1[[#This Row],[Model]]," ",表格1[[#This Row],[inv no]])</f>
        <v>RC-10JRUH(N) 417970</v>
      </c>
      <c r="S2765" s="86">
        <f>_xlfn.XLOOKUP(表格1[[#This Row],[Model]],表格3[Model-Input-Ref2],表格3[SRP PRICE])</f>
        <v>398</v>
      </c>
      <c r="T2765" s="43">
        <f>表格1[[#This Row],[Unit Price]]/表格1[[#This Row],[SRP]]</f>
        <v>0.82412060301507539</v>
      </c>
      <c r="U2765" s="86" t="str">
        <f>_xlfn.XLOOKUP(表格1[[#This Row],[Model]],表格3[Model-Input-Ref2],表格3[TOSHIBA/HIGHEST])</f>
        <v>Shops Highest Price</v>
      </c>
      <c r="W2765" s="86" t="str">
        <f>_xlfn.CONCAT(表格1[[#This Row],[欄4]],表格1[[#This Row],[inv no]])</f>
        <v>417970</v>
      </c>
    </row>
    <row r="2766" spans="1:23" hidden="1">
      <c r="A2766" s="81">
        <v>2764</v>
      </c>
      <c r="B2766" s="86" t="s">
        <v>1366</v>
      </c>
      <c r="C2766" s="86" t="s">
        <v>1870</v>
      </c>
      <c r="D2766" s="82" t="str">
        <f ca="1">OFFSET(Roster!$A$3,MATCH(表格1[[#This Row],[Location]]&amp;" "&amp;表格1[[#This Row],[Shop]]&amp;"*",Roster!$A$4:$A$72,0),DAY(表格1[[#This Row],[date]]),1,1)</f>
        <v>Gloria</v>
      </c>
      <c r="E2766" s="86">
        <f>MONTH(表格1[[#This Row],[date]])</f>
        <v>3</v>
      </c>
      <c r="F2766" s="90">
        <v>46089</v>
      </c>
      <c r="G2766" s="86" t="str">
        <f>VLOOKUP("*"&amp;表格1[[#This Row],[Input]]&amp;"*",'Ref-List'!$B:$D,2,)</f>
        <v>RC-5MMIH(WT)</v>
      </c>
      <c r="H2766" s="86" t="str">
        <f>_xlfn.XLOOKUP(表格1[[#This Row],[Model]],表格3[Model-Input-Ref2],表格3[Product Line])</f>
        <v>4毫米厚釜電飯煲0.54L</v>
      </c>
      <c r="I2766" s="86" t="str">
        <f>_xlfn.XLOOKUP(表格1[[#This Row],[Model]],表格3[Model-Input-Ref2],表格3[大小電])</f>
        <v>細電</v>
      </c>
      <c r="J2766" s="86" t="str">
        <f>_xlfn.XLOOKUP(表格1[[#This Row],[Model]],表格3[Model-Input-Ref2],表格3[Code])</f>
        <v>SDA</v>
      </c>
      <c r="K2766" s="89" t="s">
        <v>1195</v>
      </c>
      <c r="L2766" s="86">
        <v>1</v>
      </c>
      <c r="M2766" s="87">
        <v>557</v>
      </c>
      <c r="N2766" s="87">
        <f>IFERROR(表格1[[#This Row],[QTY]]*表格1[[#This Row],[Unit Price]],"-")</f>
        <v>557</v>
      </c>
      <c r="O2766" s="86">
        <v>404265</v>
      </c>
      <c r="R2766" s="86" t="str">
        <f>_xlfn.CONCAT(表格1[[#This Row],[Model]]," ",表格1[[#This Row],[inv no]])</f>
        <v>RC-5MMIH(WT) 404265</v>
      </c>
      <c r="S2766" s="86">
        <f>_xlfn.XLOOKUP(表格1[[#This Row],[Model]],表格3[Model-Input-Ref2],表格3[SRP PRICE])</f>
        <v>618</v>
      </c>
      <c r="T2766" s="43">
        <f>表格1[[#This Row],[Unit Price]]/表格1[[#This Row],[SRP]]</f>
        <v>0.90129449838187703</v>
      </c>
      <c r="U2766" s="86" t="str">
        <f>_xlfn.XLOOKUP(表格1[[#This Row],[Model]],表格3[Model-Input-Ref2],表格3[TOSHIBA/HIGHEST])</f>
        <v>Toshiba SRP</v>
      </c>
      <c r="W2766" s="86" t="str">
        <f>_xlfn.CONCAT(表格1[[#This Row],[欄4]],表格1[[#This Row],[inv no]])</f>
        <v>404265</v>
      </c>
    </row>
    <row r="2767" spans="1:23" hidden="1">
      <c r="A2767" s="81">
        <v>2765</v>
      </c>
      <c r="B2767" s="86" t="s">
        <v>1366</v>
      </c>
      <c r="C2767" s="86" t="s">
        <v>1870</v>
      </c>
      <c r="D2767" s="82" t="str">
        <f ca="1">OFFSET(Roster!$A$3,MATCH(表格1[[#This Row],[Location]]&amp;" "&amp;表格1[[#This Row],[Shop]]&amp;"*",Roster!$A$4:$A$72,0),DAY(表格1[[#This Row],[date]]),1,1)</f>
        <v>Gloria</v>
      </c>
      <c r="E2767" s="86">
        <f>MONTH(表格1[[#This Row],[date]])</f>
        <v>3</v>
      </c>
      <c r="F2767" s="90">
        <v>46089</v>
      </c>
      <c r="G2767" s="86" t="str">
        <f>VLOOKUP("*"&amp;表格1[[#This Row],[Input]]&amp;"*",'Ref-List'!$B:$D,2,)</f>
        <v>CMO-MMP012NDPF(GN)</v>
      </c>
      <c r="H2767" s="86" t="str">
        <f>_xlfn.XLOOKUP(表格1[[#This Row],[Model]],表格3[Model-Input-Ref2],表格3[Product Line])</f>
        <v>20公升 微波爐</v>
      </c>
      <c r="I2767" s="86" t="str">
        <f>_xlfn.XLOOKUP(表格1[[#This Row],[Model]],表格3[Model-Input-Ref2],表格3[大小電])</f>
        <v>細電</v>
      </c>
      <c r="J2767" s="86" t="str">
        <f>_xlfn.XLOOKUP(表格1[[#This Row],[Model]],表格3[Model-Input-Ref2],表格3[Code])</f>
        <v>SDA</v>
      </c>
      <c r="K2767" s="89" t="s">
        <v>1384</v>
      </c>
      <c r="L2767" s="86">
        <v>1</v>
      </c>
      <c r="M2767" s="87">
        <v>428</v>
      </c>
      <c r="N2767" s="87">
        <f>IFERROR(表格1[[#This Row],[QTY]]*表格1[[#This Row],[Unit Price]],"-")</f>
        <v>428</v>
      </c>
      <c r="O2767" s="142" t="s">
        <v>1887</v>
      </c>
      <c r="R2767" s="86" t="str">
        <f>_xlfn.CONCAT(表格1[[#This Row],[Model]]," ",表格1[[#This Row],[inv no]])</f>
        <v>CMO-MMP012NDPF(GN) 089911</v>
      </c>
      <c r="S2767" s="86">
        <f>_xlfn.XLOOKUP(表格1[[#This Row],[Model]],表格3[Model-Input-Ref2],表格3[SRP PRICE])</f>
        <v>519</v>
      </c>
      <c r="T2767" s="43">
        <f>表格1[[#This Row],[Unit Price]]/表格1[[#This Row],[SRP]]</f>
        <v>0.82466281310211942</v>
      </c>
      <c r="U2767" s="86" t="str">
        <f>_xlfn.XLOOKUP(表格1[[#This Row],[Model]],表格3[Model-Input-Ref2],表格3[TOSHIBA/HIGHEST])</f>
        <v>Shops Highest Price</v>
      </c>
      <c r="W2767" s="86" t="str">
        <f>_xlfn.CONCAT(表格1[[#This Row],[欄4]],表格1[[#This Row],[inv no]])</f>
        <v>089911</v>
      </c>
    </row>
    <row r="2768" spans="1:23" hidden="1">
      <c r="A2768" s="81">
        <v>2766</v>
      </c>
      <c r="B2768" s="86" t="s">
        <v>1366</v>
      </c>
      <c r="C2768" s="86" t="s">
        <v>1870</v>
      </c>
      <c r="D2768" s="82" t="str">
        <f ca="1">OFFSET(Roster!$A$3,MATCH(表格1[[#This Row],[Location]]&amp;" "&amp;表格1[[#This Row],[Shop]]&amp;"*",Roster!$A$4:$A$72,0),DAY(表格1[[#This Row],[date]]),1,1)</f>
        <v>Gloria</v>
      </c>
      <c r="E2768" s="86">
        <f>MONTH(表格1[[#This Row],[date]])</f>
        <v>3</v>
      </c>
      <c r="F2768" s="90">
        <v>46089</v>
      </c>
      <c r="G2768" s="86" t="str">
        <f>VLOOKUP("*"&amp;表格1[[#This Row],[Input]]&amp;"*",'Ref-List'!$B:$D,2,)</f>
        <v>MM2-EG20PC(WH)</v>
      </c>
      <c r="H2768" s="86" t="str">
        <f>_xlfn.XLOOKUP(表格1[[#This Row],[Model]],表格3[Model-Input-Ref2],表格3[Product Line])</f>
        <v>輕觸式燒烤微波爐</v>
      </c>
      <c r="I2768" s="86" t="str">
        <f>_xlfn.XLOOKUP(表格1[[#This Row],[Model]],表格3[Model-Input-Ref2],表格3[大小電])</f>
        <v>細電</v>
      </c>
      <c r="J2768" s="86" t="str">
        <f>_xlfn.XLOOKUP(表格1[[#This Row],[Model]],表格3[Model-Input-Ref2],表格3[Code])</f>
        <v>MCA</v>
      </c>
      <c r="K2768" s="89" t="s">
        <v>1273</v>
      </c>
      <c r="L2768" s="86">
        <v>1</v>
      </c>
      <c r="M2768" s="87">
        <v>698</v>
      </c>
      <c r="N2768" s="87">
        <f>IFERROR(表格1[[#This Row],[QTY]]*表格1[[#This Row],[Unit Price]],"-")</f>
        <v>698</v>
      </c>
      <c r="O2768" s="142" t="s">
        <v>1888</v>
      </c>
      <c r="R2768" s="86" t="str">
        <f>_xlfn.CONCAT(表格1[[#This Row],[Model]]," ",表格1[[#This Row],[inv no]])</f>
        <v>MM2-EG20PC(WH) 090000</v>
      </c>
      <c r="S2768" s="86">
        <f>_xlfn.XLOOKUP(表格1[[#This Row],[Model]],表格3[Model-Input-Ref2],表格3[SRP PRICE])</f>
        <v>918</v>
      </c>
      <c r="T2768" s="43">
        <f>表格1[[#This Row],[Unit Price]]/表格1[[#This Row],[SRP]]</f>
        <v>0.76034858387799564</v>
      </c>
      <c r="U2768" s="86" t="str">
        <f>_xlfn.XLOOKUP(表格1[[#This Row],[Model]],表格3[Model-Input-Ref2],表格3[TOSHIBA/HIGHEST])</f>
        <v>Shops Highest Price</v>
      </c>
      <c r="W2768" s="86" t="str">
        <f>_xlfn.CONCAT(表格1[[#This Row],[欄4]],表格1[[#This Row],[inv no]])</f>
        <v>090000</v>
      </c>
    </row>
    <row r="2769" spans="1:23" hidden="1">
      <c r="A2769" s="81">
        <v>2767</v>
      </c>
      <c r="B2769" s="86" t="s">
        <v>1366</v>
      </c>
      <c r="C2769" s="86" t="s">
        <v>1870</v>
      </c>
      <c r="D2769" s="82" t="str">
        <f ca="1">OFFSET(Roster!$A$3,MATCH(表格1[[#This Row],[Location]]&amp;" "&amp;表格1[[#This Row],[Shop]]&amp;"*",Roster!$A$4:$A$72,0),DAY(表格1[[#This Row],[date]]),1,1)</f>
        <v>Gloria</v>
      </c>
      <c r="E2769" s="86">
        <f>MONTH(表格1[[#This Row],[date]])</f>
        <v>3</v>
      </c>
      <c r="F2769" s="90">
        <v>46089</v>
      </c>
      <c r="G2769" s="86" t="str">
        <f>VLOOKUP("*"&amp;表格1[[#This Row],[Input]]&amp;"*",'Ref-List'!$B:$D,2,)</f>
        <v>MX2-TT20SC(WH)</v>
      </c>
      <c r="H2769" s="86" t="str">
        <f>_xlfn.XLOOKUP(表格1[[#This Row],[Model]],表格3[Model-Input-Ref2],表格3[Product Line])</f>
        <v>3合1 微波蒸焗爐 (20公升)</v>
      </c>
      <c r="I2769" s="86" t="str">
        <f>_xlfn.XLOOKUP(表格1[[#This Row],[Model]],表格3[Model-Input-Ref2],表格3[大小電])</f>
        <v>細電</v>
      </c>
      <c r="J2769" s="86" t="str">
        <f>_xlfn.XLOOKUP(表格1[[#This Row],[Model]],表格3[Model-Input-Ref2],表格3[Code])</f>
        <v>MCA</v>
      </c>
      <c r="K2769" s="89" t="s">
        <v>1287</v>
      </c>
      <c r="L2769" s="86">
        <v>1</v>
      </c>
      <c r="M2769" s="87">
        <v>2580</v>
      </c>
      <c r="N2769" s="87">
        <f>IFERROR(表格1[[#This Row],[QTY]]*表格1[[#This Row],[Unit Price]],"-")</f>
        <v>2580</v>
      </c>
      <c r="O2769" s="142" t="s">
        <v>1889</v>
      </c>
      <c r="R2769" s="86" t="str">
        <f>_xlfn.CONCAT(表格1[[#This Row],[Model]]," ",表格1[[#This Row],[inv no]])</f>
        <v>MX2-TT20SC(WH) 089943</v>
      </c>
      <c r="S2769" s="86">
        <f>_xlfn.XLOOKUP(表格1[[#This Row],[Model]],表格3[Model-Input-Ref2],表格3[SRP PRICE])</f>
        <v>3580</v>
      </c>
      <c r="T2769" s="43">
        <f>表格1[[#This Row],[Unit Price]]/表格1[[#This Row],[SRP]]</f>
        <v>0.72067039106145248</v>
      </c>
      <c r="U2769" s="86" t="str">
        <f>_xlfn.XLOOKUP(表格1[[#This Row],[Model]],表格3[Model-Input-Ref2],表格3[TOSHIBA/HIGHEST])</f>
        <v>Toshiba SRP</v>
      </c>
      <c r="W2769" s="86" t="str">
        <f>_xlfn.CONCAT(表格1[[#This Row],[欄4]],表格1[[#This Row],[inv no]])</f>
        <v>089943</v>
      </c>
    </row>
    <row r="2770" spans="1:23" hidden="1">
      <c r="A2770" s="81">
        <v>2768</v>
      </c>
      <c r="B2770" s="86" t="s">
        <v>1366</v>
      </c>
      <c r="C2770" s="86" t="s">
        <v>1870</v>
      </c>
      <c r="D2770" s="82" t="str">
        <f ca="1">OFFSET(Roster!$A$3,MATCH(表格1[[#This Row],[Location]]&amp;" "&amp;表格1[[#This Row],[Shop]]&amp;"*",Roster!$A$4:$A$72,0),DAY(表格1[[#This Row],[date]]),1,1)</f>
        <v>Gloria</v>
      </c>
      <c r="E2770" s="86">
        <f>MONTH(表格1[[#This Row],[date]])</f>
        <v>3</v>
      </c>
      <c r="F2770" s="90">
        <v>46089</v>
      </c>
      <c r="G2770" s="86" t="str">
        <f>VLOOKUP("*"&amp;表格1[[#This Row],[Input]]&amp;"*",'Ref-List'!$B:$D,2,)</f>
        <v>MX2-STR25SC(WH)</v>
      </c>
      <c r="H2770" s="86" t="str">
        <f>_xlfn.XLOOKUP(表格1[[#This Row],[Model]],表格3[Model-Input-Ref2],表格3[Product Line])</f>
        <v>4合1氣炸微波蒸焗爐(25公升)</v>
      </c>
      <c r="I2770" s="86" t="str">
        <f>_xlfn.XLOOKUP(表格1[[#This Row],[Model]],表格3[Model-Input-Ref2],表格3[大小電])</f>
        <v>細電</v>
      </c>
      <c r="J2770" s="86" t="str">
        <f>_xlfn.XLOOKUP(表格1[[#This Row],[Model]],表格3[Model-Input-Ref2],表格3[Code])</f>
        <v>MCA</v>
      </c>
      <c r="K2770" s="89" t="s">
        <v>1410</v>
      </c>
      <c r="L2770" s="86">
        <v>1</v>
      </c>
      <c r="M2770" s="87">
        <v>3580</v>
      </c>
      <c r="N2770" s="87">
        <f>IFERROR(表格1[[#This Row],[QTY]]*表格1[[#This Row],[Unit Price]],"-")</f>
        <v>3580</v>
      </c>
      <c r="O2770" s="142" t="s">
        <v>1890</v>
      </c>
      <c r="R2770" s="86" t="str">
        <f>_xlfn.CONCAT(表格1[[#This Row],[Model]]," ",表格1[[#This Row],[inv no]])</f>
        <v>MX2-STR25SC(WH) 089988</v>
      </c>
      <c r="S2770" s="86">
        <f>_xlfn.XLOOKUP(表格1[[#This Row],[Model]],表格3[Model-Input-Ref2],表格3[SRP PRICE])</f>
        <v>4998</v>
      </c>
      <c r="T2770" s="43">
        <f>表格1[[#This Row],[Unit Price]]/表格1[[#This Row],[SRP]]</f>
        <v>0.71628651460584236</v>
      </c>
      <c r="U2770" s="86" t="str">
        <f>_xlfn.XLOOKUP(表格1[[#This Row],[Model]],表格3[Model-Input-Ref2],表格3[TOSHIBA/HIGHEST])</f>
        <v>Toshiba SRP</v>
      </c>
      <c r="W2770" s="86" t="str">
        <f>_xlfn.CONCAT(表格1[[#This Row],[欄4]],表格1[[#This Row],[inv no]])</f>
        <v>089988</v>
      </c>
    </row>
    <row r="2771" spans="1:23" hidden="1">
      <c r="A2771" s="81">
        <v>2769</v>
      </c>
      <c r="B2771" s="86" t="s">
        <v>1366</v>
      </c>
      <c r="C2771" s="86" t="s">
        <v>1870</v>
      </c>
      <c r="D2771" s="82" t="str">
        <f ca="1">OFFSET(Roster!$A$3,MATCH(表格1[[#This Row],[Location]]&amp;" "&amp;表格1[[#This Row],[Shop]]&amp;"*",Roster!$A$4:$A$72,0),DAY(表格1[[#This Row],[date]]),1,1)</f>
        <v>Gloria</v>
      </c>
      <c r="E2771" s="86">
        <f>MONTH(表格1[[#This Row],[date]])</f>
        <v>3</v>
      </c>
      <c r="F2771" s="90">
        <v>46092</v>
      </c>
      <c r="G2771" s="86" t="str">
        <f>VLOOKUP("*"&amp;表格1[[#This Row],[Input]]&amp;"*",'Ref-List'!$B:$D,2,)</f>
        <v>TP-25DR2UHK(W)</v>
      </c>
      <c r="H2771" s="86" t="str">
        <f>_xlfn.XLOOKUP(表格1[[#This Row],[Model]],表格3[Model-Input-Ref2],表格3[Product Line])</f>
        <v>電熱水瓶 (2.5公升)</v>
      </c>
      <c r="I2771" s="86" t="str">
        <f>_xlfn.XLOOKUP(表格1[[#This Row],[Model]],表格3[Model-Input-Ref2],表格3[大小電])</f>
        <v>細電</v>
      </c>
      <c r="J2771" s="86" t="str">
        <f>_xlfn.XLOOKUP(表格1[[#This Row],[Model]],表格3[Model-Input-Ref2],表格3[Code])</f>
        <v>SDA</v>
      </c>
      <c r="K2771" s="89" t="s">
        <v>1285</v>
      </c>
      <c r="L2771" s="86">
        <v>1</v>
      </c>
      <c r="M2771" s="87">
        <v>398</v>
      </c>
      <c r="N2771" s="87">
        <f>IFERROR(表格1[[#This Row],[QTY]]*表格1[[#This Row],[Unit Price]],"-")</f>
        <v>398</v>
      </c>
      <c r="O2771" s="86">
        <v>418590</v>
      </c>
      <c r="R2771" s="86" t="str">
        <f>_xlfn.CONCAT(表格1[[#This Row],[Model]]," ",表格1[[#This Row],[inv no]])</f>
        <v>TP-25DR2UHK(W) 418590</v>
      </c>
      <c r="S2771" s="86">
        <f>_xlfn.XLOOKUP(表格1[[#This Row],[Model]],表格3[Model-Input-Ref2],表格3[SRP PRICE])</f>
        <v>538</v>
      </c>
      <c r="T2771" s="43">
        <f>表格1[[#This Row],[Unit Price]]/表格1[[#This Row],[SRP]]</f>
        <v>0.7397769516728625</v>
      </c>
      <c r="U2771" s="86" t="str">
        <f>_xlfn.XLOOKUP(表格1[[#This Row],[Model]],表格3[Model-Input-Ref2],表格3[TOSHIBA/HIGHEST])</f>
        <v>Toshiba SRP</v>
      </c>
      <c r="W2771" s="86" t="str">
        <f>_xlfn.CONCAT(表格1[[#This Row],[欄4]],表格1[[#This Row],[inv no]])</f>
        <v>418590</v>
      </c>
    </row>
    <row r="2772" spans="1:23" hidden="1">
      <c r="A2772" s="81">
        <v>2770</v>
      </c>
      <c r="B2772" s="86" t="s">
        <v>1366</v>
      </c>
      <c r="C2772" s="86" t="s">
        <v>1870</v>
      </c>
      <c r="D2772" s="82" t="str">
        <f ca="1">OFFSET(Roster!$A$3,MATCH(表格1[[#This Row],[Location]]&amp;" "&amp;表格1[[#This Row],[Shop]]&amp;"*",Roster!$A$4:$A$72,0),DAY(表格1[[#This Row],[date]]),1,1)</f>
        <v>Gloria</v>
      </c>
      <c r="E2772" s="86">
        <f>MONTH(表格1[[#This Row],[date]])</f>
        <v>3</v>
      </c>
      <c r="F2772" s="90">
        <v>46092</v>
      </c>
      <c r="G2772" s="86" t="str">
        <f>VLOOKUP("*"&amp;表格1[[#This Row],[Input]]&amp;"*",'Ref-List'!$B:$D,2,)</f>
        <v>RC-5SLIH(W)</v>
      </c>
      <c r="H2772" s="86" t="str">
        <f>_xlfn.XLOOKUP(表格1[[#This Row],[Model]],表格3[Model-Input-Ref2],表格3[Product Line])</f>
        <v>微型電腦珍珠飯煲</v>
      </c>
      <c r="I2772" s="86" t="str">
        <f>_xlfn.XLOOKUP(表格1[[#This Row],[Model]],表格3[Model-Input-Ref2],表格3[大小電])</f>
        <v>細電</v>
      </c>
      <c r="J2772" s="86" t="str">
        <f>_xlfn.XLOOKUP(表格1[[#This Row],[Model]],表格3[Model-Input-Ref2],表格3[Code])</f>
        <v>SDA</v>
      </c>
      <c r="K2772" s="89" t="s">
        <v>1264</v>
      </c>
      <c r="L2772" s="86">
        <v>1</v>
      </c>
      <c r="M2772" s="87">
        <v>593</v>
      </c>
      <c r="N2772" s="87">
        <f>IFERROR(表格1[[#This Row],[QTY]]*表格1[[#This Row],[Unit Price]],"-")</f>
        <v>593</v>
      </c>
      <c r="O2772" s="142" t="s">
        <v>1891</v>
      </c>
      <c r="R2772" s="86" t="str">
        <f>_xlfn.CONCAT(表格1[[#This Row],[Model]]," ",表格1[[#This Row],[inv no]])</f>
        <v>RC-5SLIH(W) 090154</v>
      </c>
      <c r="S2772" s="86">
        <f>_xlfn.XLOOKUP(表格1[[#This Row],[Model]],表格3[Model-Input-Ref2],表格3[SRP PRICE])</f>
        <v>658</v>
      </c>
      <c r="T2772" s="43">
        <f>表格1[[#This Row],[Unit Price]]/表格1[[#This Row],[SRP]]</f>
        <v>0.90121580547112456</v>
      </c>
      <c r="U2772" s="86" t="str">
        <f>_xlfn.XLOOKUP(表格1[[#This Row],[Model]],表格3[Model-Input-Ref2],表格3[TOSHIBA/HIGHEST])</f>
        <v>Toshiba SRP</v>
      </c>
      <c r="W2772" s="86" t="str">
        <f>_xlfn.CONCAT(表格1[[#This Row],[欄4]],表格1[[#This Row],[inv no]])</f>
        <v>090154</v>
      </c>
    </row>
    <row r="2773" spans="1:23" hidden="1">
      <c r="A2773" s="81">
        <v>2771</v>
      </c>
      <c r="B2773" s="86" t="s">
        <v>1366</v>
      </c>
      <c r="C2773" s="86" t="s">
        <v>1870</v>
      </c>
      <c r="D2773" s="82" t="str">
        <f ca="1">OFFSET(Roster!$A$3,MATCH(表格1[[#This Row],[Location]]&amp;" "&amp;表格1[[#This Row],[Shop]]&amp;"*",Roster!$A$4:$A$72,0),DAY(表格1[[#This Row],[date]]),1,1)</f>
        <v>Gloria</v>
      </c>
      <c r="E2773" s="86">
        <f>MONTH(表格1[[#This Row],[date]])</f>
        <v>3</v>
      </c>
      <c r="F2773" s="90">
        <v>46092</v>
      </c>
      <c r="G2773" s="86" t="str">
        <f>VLOOKUP("*"&amp;表格1[[#This Row],[Input]]&amp;"*",'Ref-List'!$B:$D,2,)</f>
        <v>RC-10NMFIH(WT)</v>
      </c>
      <c r="H2773" s="86" t="str">
        <f>_xlfn.XLOOKUP(表格1[[#This Row],[Model]],表格3[Model-Input-Ref2],表格3[Product Line])</f>
        <v>4毫米厚釜電飯煲1L</v>
      </c>
      <c r="I2773" s="86" t="str">
        <f>_xlfn.XLOOKUP(表格1[[#This Row],[Model]],表格3[Model-Input-Ref2],表格3[大小電])</f>
        <v>細電</v>
      </c>
      <c r="J2773" s="86" t="str">
        <f>_xlfn.XLOOKUP(表格1[[#This Row],[Model]],表格3[Model-Input-Ref2],表格3[Code])</f>
        <v>SDA</v>
      </c>
      <c r="K2773" s="89" t="s">
        <v>1244</v>
      </c>
      <c r="L2773" s="86">
        <v>1</v>
      </c>
      <c r="M2773" s="87">
        <v>719</v>
      </c>
      <c r="N2773" s="87">
        <f>IFERROR(表格1[[#This Row],[QTY]]*表格1[[#This Row],[Unit Price]],"-")</f>
        <v>719</v>
      </c>
      <c r="O2773" s="86">
        <v>323255</v>
      </c>
      <c r="R2773" s="86" t="str">
        <f>_xlfn.CONCAT(表格1[[#This Row],[Model]]," ",表格1[[#This Row],[inv no]])</f>
        <v>RC-10NMFIH(WT) 323255</v>
      </c>
      <c r="S2773" s="86">
        <f>_xlfn.XLOOKUP(表格1[[#This Row],[Model]],表格3[Model-Input-Ref2],表格3[SRP PRICE])</f>
        <v>898</v>
      </c>
      <c r="T2773" s="43">
        <f>表格1[[#This Row],[Unit Price]]/表格1[[#This Row],[SRP]]</f>
        <v>0.80066815144766146</v>
      </c>
      <c r="U2773" s="86" t="str">
        <f>_xlfn.XLOOKUP(表格1[[#This Row],[Model]],表格3[Model-Input-Ref2],表格3[TOSHIBA/HIGHEST])</f>
        <v>Toshiba SRP</v>
      </c>
      <c r="W2773" s="86" t="str">
        <f>_xlfn.CONCAT(表格1[[#This Row],[欄4]],表格1[[#This Row],[inv no]])</f>
        <v>323255</v>
      </c>
    </row>
    <row r="2774" spans="1:23" hidden="1">
      <c r="A2774" s="81">
        <v>2772</v>
      </c>
      <c r="B2774" s="86" t="s">
        <v>1366</v>
      </c>
      <c r="C2774" s="86" t="s">
        <v>1870</v>
      </c>
      <c r="D2774" s="82" t="str">
        <f ca="1">OFFSET(Roster!$A$3,MATCH(表格1[[#This Row],[Location]]&amp;" "&amp;表格1[[#This Row],[Shop]]&amp;"*",Roster!$A$4:$A$72,0),DAY(表格1[[#This Row],[date]]),1,1)</f>
        <v>Gloria</v>
      </c>
      <c r="E2774" s="86">
        <f>MONTH(表格1[[#This Row],[date]])</f>
        <v>3</v>
      </c>
      <c r="F2774" s="90">
        <v>46092</v>
      </c>
      <c r="G2774" s="86" t="str">
        <f>VLOOKUP("*"&amp;表格1[[#This Row],[Input]]&amp;"*",'Ref-List'!$B:$D,2,)</f>
        <v>MS3-STQ20SC(WH)</v>
      </c>
      <c r="H2774" s="86" t="str">
        <f>_xlfn.XLOOKUP(表格1[[#This Row],[Model]],表格3[Model-Input-Ref2],表格3[Product Line])</f>
        <v>20L 智能蒸氣焗爐</v>
      </c>
      <c r="I2774" s="86" t="str">
        <f>_xlfn.XLOOKUP(表格1[[#This Row],[Model]],表格3[Model-Input-Ref2],表格3[大小電])</f>
        <v>細電</v>
      </c>
      <c r="J2774" s="86" t="str">
        <f>_xlfn.XLOOKUP(表格1[[#This Row],[Model]],表格3[Model-Input-Ref2],表格3[Code])</f>
        <v>MCA</v>
      </c>
      <c r="K2774" s="89" t="s">
        <v>1383</v>
      </c>
      <c r="L2774" s="86">
        <v>1</v>
      </c>
      <c r="M2774" s="87">
        <v>2160</v>
      </c>
      <c r="N2774" s="87">
        <f>IFERROR(表格1[[#This Row],[QTY]]*表格1[[#This Row],[Unit Price]],"-")</f>
        <v>2160</v>
      </c>
      <c r="O2774" s="86">
        <v>404411</v>
      </c>
      <c r="R2774" s="86" t="str">
        <f>_xlfn.CONCAT(表格1[[#This Row],[Model]]," ",表格1[[#This Row],[inv no]])</f>
        <v>MS3-STQ20SC(WH) 404411</v>
      </c>
      <c r="S2774" s="86">
        <f>_xlfn.XLOOKUP(表格1[[#This Row],[Model]],表格3[Model-Input-Ref2],表格3[SRP PRICE])</f>
        <v>2880</v>
      </c>
      <c r="T2774" s="43">
        <f>表格1[[#This Row],[Unit Price]]/表格1[[#This Row],[SRP]]</f>
        <v>0.75</v>
      </c>
      <c r="U2774" s="86" t="str">
        <f>_xlfn.XLOOKUP(表格1[[#This Row],[Model]],表格3[Model-Input-Ref2],表格3[TOSHIBA/HIGHEST])</f>
        <v>Toshiba SRP</v>
      </c>
      <c r="W2774" s="86" t="str">
        <f>_xlfn.CONCAT(表格1[[#This Row],[欄4]],表格1[[#This Row],[inv no]])</f>
        <v>404411</v>
      </c>
    </row>
    <row r="2775" spans="1:23" hidden="1">
      <c r="A2775" s="81">
        <v>2773</v>
      </c>
      <c r="B2775" s="86" t="s">
        <v>1366</v>
      </c>
      <c r="C2775" s="86" t="s">
        <v>1870</v>
      </c>
      <c r="D2775" s="82" t="str">
        <f ca="1">OFFSET(Roster!$A$3,MATCH(表格1[[#This Row],[Location]]&amp;" "&amp;表格1[[#This Row],[Shop]]&amp;"*",Roster!$A$4:$A$72,0),DAY(表格1[[#This Row],[date]]),1,1)</f>
        <v>Gloria</v>
      </c>
      <c r="E2775" s="86">
        <f>MONTH(表格1[[#This Row],[date]])</f>
        <v>3</v>
      </c>
      <c r="F2775" s="90">
        <v>46092</v>
      </c>
      <c r="G2775" s="86" t="str">
        <f>VLOOKUP("*"&amp;表格1[[#This Row],[Input]]&amp;"*",'Ref-List'!$B:$D,2,)</f>
        <v>MX2-TT20SC(WH)</v>
      </c>
      <c r="H2775" s="86" t="str">
        <f>_xlfn.XLOOKUP(表格1[[#This Row],[Model]],表格3[Model-Input-Ref2],表格3[Product Line])</f>
        <v>3合1 微波蒸焗爐 (20公升)</v>
      </c>
      <c r="I2775" s="86" t="str">
        <f>_xlfn.XLOOKUP(表格1[[#This Row],[Model]],表格3[Model-Input-Ref2],表格3[大小電])</f>
        <v>細電</v>
      </c>
      <c r="J2775" s="86" t="str">
        <f>_xlfn.XLOOKUP(表格1[[#This Row],[Model]],表格3[Model-Input-Ref2],表格3[Code])</f>
        <v>MCA</v>
      </c>
      <c r="K2775" s="89" t="s">
        <v>1287</v>
      </c>
      <c r="L2775" s="86">
        <v>1</v>
      </c>
      <c r="M2775" s="87">
        <v>2580</v>
      </c>
      <c r="N2775" s="87">
        <f>IFERROR(表格1[[#This Row],[QTY]]*表格1[[#This Row],[Unit Price]],"-")</f>
        <v>2580</v>
      </c>
      <c r="O2775" s="86">
        <v>984589</v>
      </c>
      <c r="R2775" s="86" t="str">
        <f>_xlfn.CONCAT(表格1[[#This Row],[Model]]," ",表格1[[#This Row],[inv no]])</f>
        <v>MX2-TT20SC(WH) 984589</v>
      </c>
      <c r="S2775" s="86">
        <f>_xlfn.XLOOKUP(表格1[[#This Row],[Model]],表格3[Model-Input-Ref2],表格3[SRP PRICE])</f>
        <v>3580</v>
      </c>
      <c r="T2775" s="43">
        <f>表格1[[#This Row],[Unit Price]]/表格1[[#This Row],[SRP]]</f>
        <v>0.72067039106145248</v>
      </c>
      <c r="U2775" s="86" t="str">
        <f>_xlfn.XLOOKUP(表格1[[#This Row],[Model]],表格3[Model-Input-Ref2],表格3[TOSHIBA/HIGHEST])</f>
        <v>Toshiba SRP</v>
      </c>
      <c r="W2775" s="86" t="str">
        <f>_xlfn.CONCAT(表格1[[#This Row],[欄4]],表格1[[#This Row],[inv no]])</f>
        <v>984589</v>
      </c>
    </row>
    <row r="2776" spans="1:23" hidden="1">
      <c r="A2776" s="81">
        <v>2774</v>
      </c>
      <c r="B2776" s="86" t="s">
        <v>1366</v>
      </c>
      <c r="C2776" s="86" t="s">
        <v>1870</v>
      </c>
      <c r="D2776" s="82" t="str">
        <f ca="1">OFFSET(Roster!$A$3,MATCH(表格1[[#This Row],[Location]]&amp;" "&amp;表格1[[#This Row],[Shop]]&amp;"*",Roster!$A$4:$A$72,0),DAY(表格1[[#This Row],[date]]),1,1)</f>
        <v>Gloria</v>
      </c>
      <c r="E2776" s="86">
        <f>MONTH(表格1[[#This Row],[date]])</f>
        <v>3</v>
      </c>
      <c r="F2776" s="90">
        <v>46093</v>
      </c>
      <c r="G2776" s="86" t="str">
        <f>VLOOKUP("*"&amp;表格1[[#This Row],[Input]]&amp;"*",'Ref-List'!$B:$D,2,)</f>
        <v>RC-DS18K(N)</v>
      </c>
      <c r="H2776" s="86" t="str">
        <f>_xlfn.XLOOKUP(表格1[[#This Row],[Model]],表格3[Model-Input-Ref2],表格3[Product Line])</f>
        <v>IH磁應電飯煲</v>
      </c>
      <c r="I2776" s="86" t="str">
        <f>_xlfn.XLOOKUP(表格1[[#This Row],[Model]],表格3[Model-Input-Ref2],表格3[大小電])</f>
        <v>細電</v>
      </c>
      <c r="J2776" s="86" t="str">
        <f>_xlfn.XLOOKUP(表格1[[#This Row],[Model]],表格3[Model-Input-Ref2],表格3[Code])</f>
        <v>SDA</v>
      </c>
      <c r="K2776" s="89" t="s">
        <v>1498</v>
      </c>
      <c r="L2776" s="86">
        <v>1</v>
      </c>
      <c r="M2776" s="87">
        <v>3490</v>
      </c>
      <c r="N2776" s="87">
        <f>IFERROR(表格1[[#This Row],[QTY]]*表格1[[#This Row],[Unit Price]],"-")</f>
        <v>3490</v>
      </c>
      <c r="O2776" s="86">
        <v>419002</v>
      </c>
      <c r="R2776" s="86" t="str">
        <f>_xlfn.CONCAT(表格1[[#This Row],[Model]]," ",表格1[[#This Row],[inv no]])</f>
        <v>RC-DS18K(N) 419002</v>
      </c>
      <c r="S2776" s="86">
        <f>_xlfn.XLOOKUP(表格1[[#This Row],[Model]],表格3[Model-Input-Ref2],表格3[SRP PRICE])</f>
        <v>4988</v>
      </c>
      <c r="T2776" s="43">
        <f>表格1[[#This Row],[Unit Price]]/表格1[[#This Row],[SRP]]</f>
        <v>0.69967923015236566</v>
      </c>
      <c r="U2776" s="86" t="str">
        <f>_xlfn.XLOOKUP(表格1[[#This Row],[Model]],表格3[Model-Input-Ref2],表格3[TOSHIBA/HIGHEST])</f>
        <v>Toshiba SRP</v>
      </c>
      <c r="W2776" s="86" t="str">
        <f>_xlfn.CONCAT(表格1[[#This Row],[欄4]],表格1[[#This Row],[inv no]])</f>
        <v>419002</v>
      </c>
    </row>
    <row r="2777" spans="1:23" hidden="1">
      <c r="A2777" s="81">
        <v>2775</v>
      </c>
      <c r="B2777" s="86" t="s">
        <v>1366</v>
      </c>
      <c r="C2777" s="86" t="s">
        <v>1870</v>
      </c>
      <c r="D2777" s="82" t="str">
        <f ca="1">OFFSET(Roster!$A$3,MATCH(表格1[[#This Row],[Location]]&amp;" "&amp;表格1[[#This Row],[Shop]]&amp;"*",Roster!$A$4:$A$72,0),DAY(表格1[[#This Row],[date]]),1,1)</f>
        <v>Gloria</v>
      </c>
      <c r="E2777" s="86">
        <f>MONTH(表格1[[#This Row],[date]])</f>
        <v>3</v>
      </c>
      <c r="F2777" s="90">
        <v>46093</v>
      </c>
      <c r="G2777" s="86" t="str">
        <f>VLOOKUP("*"&amp;表格1[[#This Row],[Input]]&amp;"*",'Ref-List'!$B:$D,2,)</f>
        <v>RC-DZ4K(N)</v>
      </c>
      <c r="H2777" s="86" t="str">
        <f>_xlfn.XLOOKUP(表格1[[#This Row],[Model]],表格3[Model-Input-Ref2],表格3[Product Line])</f>
        <v>IH磁應電飯煲</v>
      </c>
      <c r="I2777" s="86" t="str">
        <f>_xlfn.XLOOKUP(表格1[[#This Row],[Model]],表格3[Model-Input-Ref2],表格3[大小電])</f>
        <v>細電</v>
      </c>
      <c r="J2777" s="86" t="str">
        <f>_xlfn.XLOOKUP(表格1[[#This Row],[Model]],表格3[Model-Input-Ref2],表格3[Code])</f>
        <v>SDA</v>
      </c>
      <c r="K2777" s="89" t="s">
        <v>1561</v>
      </c>
      <c r="L2777" s="86">
        <v>1</v>
      </c>
      <c r="M2777" s="87">
        <v>3280</v>
      </c>
      <c r="N2777" s="87">
        <f>IFERROR(表格1[[#This Row],[QTY]]*表格1[[#This Row],[Unit Price]],"-")</f>
        <v>3280</v>
      </c>
      <c r="O2777" s="86">
        <v>323476</v>
      </c>
      <c r="R2777" s="86" t="str">
        <f>_xlfn.CONCAT(表格1[[#This Row],[Model]]," ",表格1[[#This Row],[inv no]])</f>
        <v>RC-DZ4K(N) 323476</v>
      </c>
      <c r="S2777" s="86">
        <f>_xlfn.XLOOKUP(表格1[[#This Row],[Model]],表格3[Model-Input-Ref2],表格3[SRP PRICE])</f>
        <v>3888</v>
      </c>
      <c r="T2777" s="43">
        <f>表格1[[#This Row],[Unit Price]]/表格1[[#This Row],[SRP]]</f>
        <v>0.84362139917695478</v>
      </c>
      <c r="U2777" s="86" t="str">
        <f>_xlfn.XLOOKUP(表格1[[#This Row],[Model]],表格3[Model-Input-Ref2],表格3[TOSHIBA/HIGHEST])</f>
        <v>Shops Highest Price</v>
      </c>
      <c r="W2777" s="86" t="str">
        <f>_xlfn.CONCAT(表格1[[#This Row],[欄4]],表格1[[#This Row],[inv no]])</f>
        <v>323476</v>
      </c>
    </row>
    <row r="2778" spans="1:23" hidden="1">
      <c r="A2778" s="81">
        <v>2776</v>
      </c>
      <c r="B2778" s="86" t="s">
        <v>1366</v>
      </c>
      <c r="C2778" s="86" t="s">
        <v>1870</v>
      </c>
      <c r="D2778" s="82" t="str">
        <f ca="1">OFFSET(Roster!$A$3,MATCH(表格1[[#This Row],[Location]]&amp;" "&amp;表格1[[#This Row],[Shop]]&amp;"*",Roster!$A$4:$A$72,0),DAY(表格1[[#This Row],[date]]),1,1)</f>
        <v>Gloria</v>
      </c>
      <c r="E2778" s="86">
        <f>MONTH(表格1[[#This Row],[date]])</f>
        <v>3</v>
      </c>
      <c r="F2778" s="90">
        <v>46093</v>
      </c>
      <c r="G2778" s="86" t="str">
        <f>VLOOKUP("*"&amp;表格1[[#This Row],[Input]]&amp;"*",'Ref-List'!$B:$D,2,)</f>
        <v>CMO-MMP012NDPF(GN)</v>
      </c>
      <c r="H2778" s="86" t="str">
        <f>_xlfn.XLOOKUP(表格1[[#This Row],[Model]],表格3[Model-Input-Ref2],表格3[Product Line])</f>
        <v>20公升 微波爐</v>
      </c>
      <c r="I2778" s="86" t="str">
        <f>_xlfn.XLOOKUP(表格1[[#This Row],[Model]],表格3[Model-Input-Ref2],表格3[大小電])</f>
        <v>細電</v>
      </c>
      <c r="J2778" s="86" t="str">
        <f>_xlfn.XLOOKUP(表格1[[#This Row],[Model]],表格3[Model-Input-Ref2],表格3[Code])</f>
        <v>SDA</v>
      </c>
      <c r="K2778" s="89" t="s">
        <v>1384</v>
      </c>
      <c r="L2778" s="86">
        <v>1</v>
      </c>
      <c r="M2778" s="87">
        <v>428</v>
      </c>
      <c r="N2778" s="87">
        <f>IFERROR(表格1[[#This Row],[QTY]]*表格1[[#This Row],[Unit Price]],"-")</f>
        <v>428</v>
      </c>
      <c r="O2778" s="86">
        <v>329124</v>
      </c>
      <c r="R2778" s="86" t="str">
        <f>_xlfn.CONCAT(表格1[[#This Row],[Model]]," ",表格1[[#This Row],[inv no]])</f>
        <v>CMO-MMP012NDPF(GN) 329124</v>
      </c>
      <c r="S2778" s="86">
        <f>_xlfn.XLOOKUP(表格1[[#This Row],[Model]],表格3[Model-Input-Ref2],表格3[SRP PRICE])</f>
        <v>519</v>
      </c>
      <c r="T2778" s="43">
        <f>表格1[[#This Row],[Unit Price]]/表格1[[#This Row],[SRP]]</f>
        <v>0.82466281310211942</v>
      </c>
      <c r="U2778" s="86" t="str">
        <f>_xlfn.XLOOKUP(表格1[[#This Row],[Model]],表格3[Model-Input-Ref2],表格3[TOSHIBA/HIGHEST])</f>
        <v>Shops Highest Price</v>
      </c>
      <c r="W2778" s="86" t="str">
        <f>_xlfn.CONCAT(表格1[[#This Row],[欄4]],表格1[[#This Row],[inv no]])</f>
        <v>329124</v>
      </c>
    </row>
    <row r="2779" spans="1:23" hidden="1">
      <c r="A2779" s="81">
        <v>2777</v>
      </c>
      <c r="B2779" s="86" t="s">
        <v>1366</v>
      </c>
      <c r="C2779" s="86" t="s">
        <v>1870</v>
      </c>
      <c r="D2779" s="82" t="str">
        <f ca="1">OFFSET(Roster!$A$3,MATCH(表格1[[#This Row],[Location]]&amp;" "&amp;表格1[[#This Row],[Shop]]&amp;"*",Roster!$A$4:$A$72,0),DAY(表格1[[#This Row],[date]]),1,1)</f>
        <v>Gloria</v>
      </c>
      <c r="E2779" s="86">
        <f>MONTH(表格1[[#This Row],[date]])</f>
        <v>3</v>
      </c>
      <c r="F2779" s="90">
        <v>46093</v>
      </c>
      <c r="G2779" s="86" t="str">
        <f>VLOOKUP("*"&amp;表格1[[#This Row],[Input]]&amp;"*",'Ref-List'!$B:$D,2,)</f>
        <v>MX2-TT20SC(WH)</v>
      </c>
      <c r="H2779" s="86" t="str">
        <f>_xlfn.XLOOKUP(表格1[[#This Row],[Model]],表格3[Model-Input-Ref2],表格3[Product Line])</f>
        <v>3合1 微波蒸焗爐 (20公升)</v>
      </c>
      <c r="I2779" s="86" t="str">
        <f>_xlfn.XLOOKUP(表格1[[#This Row],[Model]],表格3[Model-Input-Ref2],表格3[大小電])</f>
        <v>細電</v>
      </c>
      <c r="J2779" s="86" t="str">
        <f>_xlfn.XLOOKUP(表格1[[#This Row],[Model]],表格3[Model-Input-Ref2],表格3[Code])</f>
        <v>MCA</v>
      </c>
      <c r="K2779" s="89" t="s">
        <v>1287</v>
      </c>
      <c r="L2779" s="86">
        <v>1</v>
      </c>
      <c r="M2779" s="87">
        <v>2580</v>
      </c>
      <c r="N2779" s="87">
        <f>IFERROR(表格1[[#This Row],[QTY]]*表格1[[#This Row],[Unit Price]],"-")</f>
        <v>2580</v>
      </c>
      <c r="O2779" s="86">
        <v>418989</v>
      </c>
      <c r="R2779" s="86" t="str">
        <f>_xlfn.CONCAT(表格1[[#This Row],[Model]]," ",表格1[[#This Row],[inv no]])</f>
        <v>MX2-TT20SC(WH) 418989</v>
      </c>
      <c r="S2779" s="86">
        <f>_xlfn.XLOOKUP(表格1[[#This Row],[Model]],表格3[Model-Input-Ref2],表格3[SRP PRICE])</f>
        <v>3580</v>
      </c>
      <c r="T2779" s="43">
        <f>表格1[[#This Row],[Unit Price]]/表格1[[#This Row],[SRP]]</f>
        <v>0.72067039106145248</v>
      </c>
      <c r="U2779" s="86" t="str">
        <f>_xlfn.XLOOKUP(表格1[[#This Row],[Model]],表格3[Model-Input-Ref2],表格3[TOSHIBA/HIGHEST])</f>
        <v>Toshiba SRP</v>
      </c>
      <c r="W2779" s="86" t="str">
        <f>_xlfn.CONCAT(表格1[[#This Row],[欄4]],表格1[[#This Row],[inv no]])</f>
        <v>418989</v>
      </c>
    </row>
    <row r="2780" spans="1:23" hidden="1">
      <c r="A2780" s="81">
        <v>2778</v>
      </c>
      <c r="B2780" s="86" t="s">
        <v>1366</v>
      </c>
      <c r="C2780" s="86" t="s">
        <v>1870</v>
      </c>
      <c r="D2780" s="82" t="str">
        <f ca="1">OFFSET(Roster!$A$3,MATCH(表格1[[#This Row],[Location]]&amp;" "&amp;表格1[[#This Row],[Shop]]&amp;"*",Roster!$A$4:$A$72,0),DAY(表格1[[#This Row],[date]]),1,1)</f>
        <v>Gloria</v>
      </c>
      <c r="E2780" s="86">
        <f>MONTH(表格1[[#This Row],[date]])</f>
        <v>3</v>
      </c>
      <c r="F2780" s="90">
        <v>46094</v>
      </c>
      <c r="G2780" s="86" t="str">
        <f>VLOOKUP("*"&amp;表格1[[#This Row],[Input]]&amp;"*",'Ref-List'!$B:$D,2,)</f>
        <v>MX2-TT20SC(WH)</v>
      </c>
      <c r="H2780" s="86" t="str">
        <f>_xlfn.XLOOKUP(表格1[[#This Row],[Model]],表格3[Model-Input-Ref2],表格3[Product Line])</f>
        <v>3合1 微波蒸焗爐 (20公升)</v>
      </c>
      <c r="I2780" s="86" t="str">
        <f>_xlfn.XLOOKUP(表格1[[#This Row],[Model]],表格3[Model-Input-Ref2],表格3[大小電])</f>
        <v>細電</v>
      </c>
      <c r="J2780" s="86" t="str">
        <f>_xlfn.XLOOKUP(表格1[[#This Row],[Model]],表格3[Model-Input-Ref2],表格3[Code])</f>
        <v>MCA</v>
      </c>
      <c r="K2780" s="89" t="s">
        <v>1287</v>
      </c>
      <c r="L2780" s="86">
        <v>1</v>
      </c>
      <c r="M2780" s="87">
        <v>2580</v>
      </c>
      <c r="N2780" s="87">
        <f>IFERROR(表格1[[#This Row],[QTY]]*表格1[[#This Row],[Unit Price]],"-")</f>
        <v>2580</v>
      </c>
      <c r="O2780" s="86">
        <v>323670</v>
      </c>
      <c r="R2780" s="86" t="str">
        <f>_xlfn.CONCAT(表格1[[#This Row],[Model]]," ",表格1[[#This Row],[inv no]])</f>
        <v>MX2-TT20SC(WH) 323670</v>
      </c>
      <c r="S2780" s="86">
        <f>_xlfn.XLOOKUP(表格1[[#This Row],[Model]],表格3[Model-Input-Ref2],表格3[SRP PRICE])</f>
        <v>3580</v>
      </c>
      <c r="T2780" s="43">
        <f>表格1[[#This Row],[Unit Price]]/表格1[[#This Row],[SRP]]</f>
        <v>0.72067039106145248</v>
      </c>
      <c r="U2780" s="86" t="str">
        <f>_xlfn.XLOOKUP(表格1[[#This Row],[Model]],表格3[Model-Input-Ref2],表格3[TOSHIBA/HIGHEST])</f>
        <v>Toshiba SRP</v>
      </c>
      <c r="W2780" s="86" t="str">
        <f>_xlfn.CONCAT(表格1[[#This Row],[欄4]],表格1[[#This Row],[inv no]])</f>
        <v>323670</v>
      </c>
    </row>
    <row r="2781" spans="1:23" hidden="1">
      <c r="A2781" s="81">
        <v>2779</v>
      </c>
      <c r="B2781" s="86" t="s">
        <v>1366</v>
      </c>
      <c r="C2781" s="86" t="s">
        <v>1870</v>
      </c>
      <c r="D2781" s="82" t="str">
        <f ca="1">OFFSET(Roster!$A$3,MATCH(表格1[[#This Row],[Location]]&amp;" "&amp;表格1[[#This Row],[Shop]]&amp;"*",Roster!$A$4:$A$72,0),DAY(表格1[[#This Row],[date]]),1,1)</f>
        <v>Gloria</v>
      </c>
      <c r="E2781" s="86">
        <f>MONTH(表格1[[#This Row],[date]])</f>
        <v>3</v>
      </c>
      <c r="F2781" s="90">
        <v>46094</v>
      </c>
      <c r="G2781" s="86" t="str">
        <f>VLOOKUP("*"&amp;表格1[[#This Row],[Input]]&amp;"*",'Ref-List'!$B:$D,2,)</f>
        <v>GR-H913(MG)</v>
      </c>
      <c r="H2781" s="86" t="str">
        <f>_xlfn.XLOOKUP(表格1[[#This Row],[Model]],表格3[Model-Input-Ref2],表格3[Product Line])</f>
        <v>單門直冷式環保雪櫃81L</v>
      </c>
      <c r="I2781" s="86" t="str">
        <f>_xlfn.XLOOKUP(表格1[[#This Row],[Model]],表格3[Model-Input-Ref2],表格3[大小電])</f>
        <v>大電</v>
      </c>
      <c r="J2781" s="86" t="str">
        <f>_xlfn.XLOOKUP(表格1[[#This Row],[Model]],表格3[Model-Input-Ref2],表格3[Code])</f>
        <v>REF</v>
      </c>
      <c r="K2781" s="89" t="s">
        <v>1776</v>
      </c>
      <c r="L2781" s="86">
        <v>1</v>
      </c>
      <c r="M2781" s="87">
        <v>1880</v>
      </c>
      <c r="N2781" s="87">
        <f>IFERROR(表格1[[#This Row],[QTY]]*表格1[[#This Row],[Unit Price]],"-")</f>
        <v>1880</v>
      </c>
      <c r="O2781" s="86">
        <v>323670</v>
      </c>
      <c r="R2781" s="86" t="str">
        <f>_xlfn.CONCAT(表格1[[#This Row],[Model]]," ",表格1[[#This Row],[inv no]])</f>
        <v>GR-H913(MG) 323670</v>
      </c>
      <c r="S2781" s="86">
        <f>_xlfn.XLOOKUP(表格1[[#This Row],[Model]],表格3[Model-Input-Ref2],表格3[SRP PRICE])</f>
        <v>1980</v>
      </c>
      <c r="T2781" s="43">
        <f>表格1[[#This Row],[Unit Price]]/表格1[[#This Row],[SRP]]</f>
        <v>0.9494949494949495</v>
      </c>
      <c r="U2781" s="86" t="str">
        <f>_xlfn.XLOOKUP(表格1[[#This Row],[Model]],表格3[Model-Input-Ref2],表格3[TOSHIBA/HIGHEST])</f>
        <v>Toshiba SRP</v>
      </c>
      <c r="W2781" s="86" t="str">
        <f>_xlfn.CONCAT(表格1[[#This Row],[欄4]],表格1[[#This Row],[inv no]])</f>
        <v>323670</v>
      </c>
    </row>
    <row r="2782" spans="1:23" hidden="1">
      <c r="A2782" s="81">
        <v>2780</v>
      </c>
      <c r="B2782" s="86" t="s">
        <v>1366</v>
      </c>
      <c r="C2782" s="86" t="s">
        <v>1870</v>
      </c>
      <c r="D2782" s="82" t="str">
        <f ca="1">OFFSET(Roster!$A$3,MATCH(表格1[[#This Row],[Location]]&amp;" "&amp;表格1[[#This Row],[Shop]]&amp;"*",Roster!$A$4:$A$72,0),DAY(表格1[[#This Row],[date]]),1,1)</f>
        <v>Gloria</v>
      </c>
      <c r="E2782" s="86">
        <f>MONTH(表格1[[#This Row],[date]])</f>
        <v>3</v>
      </c>
      <c r="F2782" s="90">
        <v>46094</v>
      </c>
      <c r="G2782" s="86" t="str">
        <f>VLOOKUP("*"&amp;表格1[[#This Row],[Input]]&amp;"*",'Ref-List'!$B:$D,2,)</f>
        <v>KT-17SHNH</v>
      </c>
      <c r="H2782" s="86" t="str">
        <f>_xlfn.XLOOKUP(表格1[[#This Row],[Model]],表格3[Model-Input-Ref2],表格3[Product Line])</f>
        <v>1.7L無線雙層電熱水壺</v>
      </c>
      <c r="I2782" s="86" t="str">
        <f>_xlfn.XLOOKUP(表格1[[#This Row],[Model]],表格3[Model-Input-Ref2],表格3[大小電])</f>
        <v>細電</v>
      </c>
      <c r="J2782" s="86" t="str">
        <f>_xlfn.XLOOKUP(表格1[[#This Row],[Model]],表格3[Model-Input-Ref2],表格3[Code])</f>
        <v>SDA</v>
      </c>
      <c r="K2782" s="89" t="s">
        <v>1283</v>
      </c>
      <c r="L2782" s="86">
        <v>1</v>
      </c>
      <c r="M2782" s="87">
        <v>198</v>
      </c>
      <c r="N2782" s="87">
        <f>IFERROR(表格1[[#This Row],[QTY]]*表格1[[#This Row],[Unit Price]],"-")</f>
        <v>198</v>
      </c>
      <c r="O2782" s="86">
        <v>323726</v>
      </c>
      <c r="R2782" s="86" t="str">
        <f>_xlfn.CONCAT(表格1[[#This Row],[Model]]," ",表格1[[#This Row],[inv no]])</f>
        <v>KT-17SHNH 323726</v>
      </c>
      <c r="S2782" s="86">
        <f>_xlfn.XLOOKUP(表格1[[#This Row],[Model]],表格3[Model-Input-Ref2],表格3[SRP PRICE])</f>
        <v>299</v>
      </c>
      <c r="T2782" s="43">
        <f>表格1[[#This Row],[Unit Price]]/表格1[[#This Row],[SRP]]</f>
        <v>0.66220735785953178</v>
      </c>
      <c r="U2782" s="86" t="str">
        <f>_xlfn.XLOOKUP(表格1[[#This Row],[Model]],表格3[Model-Input-Ref2],表格3[TOSHIBA/HIGHEST])</f>
        <v>Shops Highest Price</v>
      </c>
      <c r="W2782" s="86" t="str">
        <f>_xlfn.CONCAT(表格1[[#This Row],[欄4]],表格1[[#This Row],[inv no]])</f>
        <v>323726</v>
      </c>
    </row>
    <row r="2783" spans="1:23" hidden="1">
      <c r="A2783" s="81">
        <v>2781</v>
      </c>
      <c r="B2783" s="86" t="s">
        <v>1366</v>
      </c>
      <c r="C2783" s="86" t="s">
        <v>1870</v>
      </c>
      <c r="D2783" s="82" t="str">
        <f ca="1">OFFSET(Roster!$A$3,MATCH(表格1[[#This Row],[Location]]&amp;" "&amp;表格1[[#This Row],[Shop]]&amp;"*",Roster!$A$4:$A$72,0),DAY(表格1[[#This Row],[date]]),1,1)</f>
        <v>Gloria</v>
      </c>
      <c r="E2783" s="86">
        <f>MONTH(表格1[[#This Row],[date]])</f>
        <v>3</v>
      </c>
      <c r="F2783" s="90">
        <v>46094</v>
      </c>
      <c r="G2783" s="86" t="str">
        <f>VLOOKUP("*"&amp;表格1[[#This Row],[Input]]&amp;"*",'Ref-List'!$B:$D,2,)</f>
        <v>RC-5SLIH(W)</v>
      </c>
      <c r="H2783" s="86" t="str">
        <f>_xlfn.XLOOKUP(表格1[[#This Row],[Model]],表格3[Model-Input-Ref2],表格3[Product Line])</f>
        <v>微型電腦珍珠飯煲</v>
      </c>
      <c r="I2783" s="86" t="str">
        <f>_xlfn.XLOOKUP(表格1[[#This Row],[Model]],表格3[Model-Input-Ref2],表格3[大小電])</f>
        <v>細電</v>
      </c>
      <c r="J2783" s="86" t="str">
        <f>_xlfn.XLOOKUP(表格1[[#This Row],[Model]],表格3[Model-Input-Ref2],表格3[Code])</f>
        <v>SDA</v>
      </c>
      <c r="K2783" s="89" t="s">
        <v>1264</v>
      </c>
      <c r="L2783" s="86">
        <v>1</v>
      </c>
      <c r="M2783" s="87">
        <v>593</v>
      </c>
      <c r="N2783" s="87">
        <f>IFERROR(表格1[[#This Row],[QTY]]*表格1[[#This Row],[Unit Price]],"-")</f>
        <v>593</v>
      </c>
      <c r="O2783" s="86">
        <v>419191</v>
      </c>
      <c r="R2783" s="86" t="str">
        <f>_xlfn.CONCAT(表格1[[#This Row],[Model]]," ",表格1[[#This Row],[inv no]])</f>
        <v>RC-5SLIH(W) 419191</v>
      </c>
      <c r="S2783" s="86">
        <f>_xlfn.XLOOKUP(表格1[[#This Row],[Model]],表格3[Model-Input-Ref2],表格3[SRP PRICE])</f>
        <v>658</v>
      </c>
      <c r="T2783" s="43">
        <f>表格1[[#This Row],[Unit Price]]/表格1[[#This Row],[SRP]]</f>
        <v>0.90121580547112456</v>
      </c>
      <c r="U2783" s="86" t="str">
        <f>_xlfn.XLOOKUP(表格1[[#This Row],[Model]],表格3[Model-Input-Ref2],表格3[TOSHIBA/HIGHEST])</f>
        <v>Toshiba SRP</v>
      </c>
      <c r="W2783" s="86" t="str">
        <f>_xlfn.CONCAT(表格1[[#This Row],[欄4]],表格1[[#This Row],[inv no]])</f>
        <v>419191</v>
      </c>
    </row>
    <row r="2784" spans="1:23" hidden="1">
      <c r="A2784" s="81">
        <v>2782</v>
      </c>
      <c r="B2784" s="86" t="s">
        <v>1366</v>
      </c>
      <c r="C2784" s="86" t="s">
        <v>1870</v>
      </c>
      <c r="D2784" s="82" t="str">
        <f ca="1">OFFSET(Roster!$A$3,MATCH(表格1[[#This Row],[Location]]&amp;" "&amp;表格1[[#This Row],[Shop]]&amp;"*",Roster!$A$4:$A$72,0),DAY(表格1[[#This Row],[date]]),1,1)</f>
        <v>Gloria</v>
      </c>
      <c r="E2784" s="86">
        <f>MONTH(表格1[[#This Row],[date]])</f>
        <v>3</v>
      </c>
      <c r="F2784" s="90">
        <v>46094</v>
      </c>
      <c r="G2784" s="86" t="str">
        <f>VLOOKUP("*"&amp;表格1[[#This Row],[Input]]&amp;"*",'Ref-List'!$B:$D,2,)</f>
        <v>RC-18JRUH(N)</v>
      </c>
      <c r="H2784" s="86" t="str">
        <f>_xlfn.XLOOKUP(表格1[[#This Row],[Model]],表格3[Model-Input-Ref2],表格3[Product Line])</f>
        <v>1.8公升電飯煲</v>
      </c>
      <c r="I2784" s="86" t="str">
        <f>_xlfn.XLOOKUP(表格1[[#This Row],[Model]],表格3[Model-Input-Ref2],表格3[大小電])</f>
        <v>細電</v>
      </c>
      <c r="J2784" s="86" t="str">
        <f>_xlfn.XLOOKUP(表格1[[#This Row],[Model]],表格3[Model-Input-Ref2],表格3[Code])</f>
        <v>SDA</v>
      </c>
      <c r="K2784" s="89" t="s">
        <v>1275</v>
      </c>
      <c r="L2784" s="86">
        <v>1</v>
      </c>
      <c r="M2784" s="87">
        <v>388</v>
      </c>
      <c r="N2784" s="87">
        <f>IFERROR(表格1[[#This Row],[QTY]]*表格1[[#This Row],[Unit Price]],"-")</f>
        <v>388</v>
      </c>
      <c r="O2784" s="86">
        <v>323567</v>
      </c>
      <c r="R2784" s="86" t="str">
        <f>_xlfn.CONCAT(表格1[[#This Row],[Model]]," ",表格1[[#This Row],[inv no]])</f>
        <v>RC-18JRUH(N) 323567</v>
      </c>
      <c r="S2784" s="86">
        <f>_xlfn.XLOOKUP(表格1[[#This Row],[Model]],表格3[Model-Input-Ref2],表格3[SRP PRICE])</f>
        <v>458</v>
      </c>
      <c r="T2784" s="43">
        <f>表格1[[#This Row],[Unit Price]]/表格1[[#This Row],[SRP]]</f>
        <v>0.84716157205240172</v>
      </c>
      <c r="U2784" s="86" t="str">
        <f>_xlfn.XLOOKUP(表格1[[#This Row],[Model]],表格3[Model-Input-Ref2],表格3[TOSHIBA/HIGHEST])</f>
        <v>Shops Highest Price</v>
      </c>
      <c r="W2784" s="86" t="str">
        <f>_xlfn.CONCAT(表格1[[#This Row],[欄4]],表格1[[#This Row],[inv no]])</f>
        <v>323567</v>
      </c>
    </row>
    <row r="2785" spans="1:23" hidden="1">
      <c r="A2785" s="81">
        <v>2783</v>
      </c>
      <c r="B2785" s="86" t="s">
        <v>1366</v>
      </c>
      <c r="C2785" s="86" t="s">
        <v>1870</v>
      </c>
      <c r="D2785" s="82" t="str">
        <f ca="1">OFFSET(Roster!$A$3,MATCH(表格1[[#This Row],[Location]]&amp;" "&amp;表格1[[#This Row],[Shop]]&amp;"*",Roster!$A$4:$A$72,0),DAY(表格1[[#This Row],[date]]),1,1)</f>
        <v>Gloria</v>
      </c>
      <c r="E2785" s="86">
        <f>MONTH(表格1[[#This Row],[date]])</f>
        <v>3</v>
      </c>
      <c r="F2785" s="90">
        <v>46094</v>
      </c>
      <c r="G2785" s="86" t="str">
        <f>VLOOKUP("*"&amp;表格1[[#This Row],[Input]]&amp;"*",'Ref-List'!$B:$D,2,)</f>
        <v>GR-RB221WE-PMA(57)</v>
      </c>
      <c r="H2785" s="86" t="str">
        <f>_xlfn.XLOOKUP(表格1[[#This Row],[Model]],表格3[Model-Input-Ref2],表格3[Product Line])</f>
        <v>變頻下置式雙門雪櫃（163L）</v>
      </c>
      <c r="I2785" s="86" t="str">
        <f>_xlfn.XLOOKUP(表格1[[#This Row],[Model]],表格3[Model-Input-Ref2],表格3[大小電])</f>
        <v>大電</v>
      </c>
      <c r="J2785" s="86" t="str">
        <f>_xlfn.XLOOKUP(表格1[[#This Row],[Model]],表格3[Model-Input-Ref2],表格3[Code])</f>
        <v>REF</v>
      </c>
      <c r="K2785" s="89" t="s">
        <v>1386</v>
      </c>
      <c r="L2785" s="86">
        <v>1</v>
      </c>
      <c r="M2785" s="87">
        <v>1880</v>
      </c>
      <c r="N2785" s="87">
        <f>IFERROR(表格1[[#This Row],[QTY]]*表格1[[#This Row],[Unit Price]],"-")</f>
        <v>1880</v>
      </c>
      <c r="O2785" s="86">
        <v>323583</v>
      </c>
      <c r="R2785" s="86" t="str">
        <f>_xlfn.CONCAT(表格1[[#This Row],[Model]]," ",表格1[[#This Row],[inv no]])</f>
        <v>GR-RB221WE-PMA(57) 323583</v>
      </c>
      <c r="S2785" s="86">
        <f>_xlfn.XLOOKUP(表格1[[#This Row],[Model]],表格3[Model-Input-Ref2],表格3[SRP PRICE])</f>
        <v>3480</v>
      </c>
      <c r="T2785" s="43">
        <f>表格1[[#This Row],[Unit Price]]/表格1[[#This Row],[SRP]]</f>
        <v>0.54022988505747127</v>
      </c>
      <c r="U2785" s="86" t="str">
        <f>_xlfn.XLOOKUP(表格1[[#This Row],[Model]],表格3[Model-Input-Ref2],表格3[TOSHIBA/HIGHEST])</f>
        <v>Toshiba SRP</v>
      </c>
      <c r="W2785" s="86" t="str">
        <f>_xlfn.CONCAT(表格1[[#This Row],[欄4]],表格1[[#This Row],[inv no]])</f>
        <v>323583</v>
      </c>
    </row>
    <row r="2786" spans="1:23" hidden="1">
      <c r="A2786" s="81">
        <v>2784</v>
      </c>
      <c r="B2786" s="86" t="s">
        <v>1366</v>
      </c>
      <c r="C2786" s="86" t="s">
        <v>1870</v>
      </c>
      <c r="D2786" s="82" t="str">
        <f ca="1">OFFSET(Roster!$A$3,MATCH(表格1[[#This Row],[Location]]&amp;" "&amp;表格1[[#This Row],[Shop]]&amp;"*",Roster!$A$4:$A$72,0),DAY(表格1[[#This Row],[date]]),1,1)</f>
        <v>Gloria</v>
      </c>
      <c r="E2786" s="86">
        <f>MONTH(表格1[[#This Row],[date]])</f>
        <v>3</v>
      </c>
      <c r="F2786" s="90">
        <v>46095</v>
      </c>
      <c r="G2786" s="86" t="str">
        <f>VLOOKUP("*"&amp;表格1[[#This Row],[Input]]&amp;"*",'Ref-List'!$B:$D,2,)</f>
        <v>KT-17DRTHK(H)</v>
      </c>
      <c r="H2786" s="86" t="str">
        <f>_xlfn.XLOOKUP(表格1[[#This Row],[Model]],表格3[Model-Input-Ref2],表格3[Product Line])</f>
        <v>無線雙層電熱水壺(1.7公升)</v>
      </c>
      <c r="I2786" s="86" t="str">
        <f>_xlfn.XLOOKUP(表格1[[#This Row],[Model]],表格3[Model-Input-Ref2],表格3[大小電])</f>
        <v>細電</v>
      </c>
      <c r="J2786" s="86" t="str">
        <f>_xlfn.XLOOKUP(表格1[[#This Row],[Model]],表格3[Model-Input-Ref2],表格3[Code])</f>
        <v>SDA</v>
      </c>
      <c r="K2786" s="89" t="s">
        <v>1271</v>
      </c>
      <c r="L2786" s="86">
        <v>1</v>
      </c>
      <c r="M2786" s="87">
        <v>388</v>
      </c>
      <c r="N2786" s="87">
        <f>IFERROR(表格1[[#This Row],[QTY]]*表格1[[#This Row],[Unit Price]],"-")</f>
        <v>388</v>
      </c>
      <c r="O2786" s="86">
        <v>323870</v>
      </c>
      <c r="R2786" s="86" t="str">
        <f>_xlfn.CONCAT(表格1[[#This Row],[Model]]," ",表格1[[#This Row],[inv no]])</f>
        <v>KT-17DRTHK(H) 323870</v>
      </c>
      <c r="S2786" s="86">
        <f>_xlfn.XLOOKUP(表格1[[#This Row],[Model]],表格3[Model-Input-Ref2],表格3[SRP PRICE])</f>
        <v>498</v>
      </c>
      <c r="T2786" s="43">
        <f>表格1[[#This Row],[Unit Price]]/表格1[[#This Row],[SRP]]</f>
        <v>0.77911646586345384</v>
      </c>
      <c r="U2786" s="86" t="str">
        <f>_xlfn.XLOOKUP(表格1[[#This Row],[Model]],表格3[Model-Input-Ref2],表格3[TOSHIBA/HIGHEST])</f>
        <v>Toshiba SRP</v>
      </c>
      <c r="W2786" s="86" t="str">
        <f>_xlfn.CONCAT(表格1[[#This Row],[欄4]],表格1[[#This Row],[inv no]])</f>
        <v>323870</v>
      </c>
    </row>
    <row r="2787" spans="1:23" hidden="1">
      <c r="A2787" s="81">
        <v>2785</v>
      </c>
      <c r="B2787" s="86" t="s">
        <v>1366</v>
      </c>
      <c r="C2787" s="86" t="s">
        <v>1870</v>
      </c>
      <c r="D2787" s="82" t="str">
        <f ca="1">OFFSET(Roster!$A$3,MATCH(表格1[[#This Row],[Location]]&amp;" "&amp;表格1[[#This Row],[Shop]]&amp;"*",Roster!$A$4:$A$72,0),DAY(表格1[[#This Row],[date]]),1,1)</f>
        <v>Gloria</v>
      </c>
      <c r="E2787" s="86">
        <f>MONTH(表格1[[#This Row],[date]])</f>
        <v>3</v>
      </c>
      <c r="F2787" s="90">
        <v>46095</v>
      </c>
      <c r="G2787" s="86" t="str">
        <f>VLOOKUP("*"&amp;表格1[[#This Row],[Input]]&amp;"*",'Ref-List'!$B:$D,2,)</f>
        <v>RC-10NMFIH(WT)</v>
      </c>
      <c r="H2787" s="86" t="str">
        <f>_xlfn.XLOOKUP(表格1[[#This Row],[Model]],表格3[Model-Input-Ref2],表格3[Product Line])</f>
        <v>4毫米厚釜電飯煲1L</v>
      </c>
      <c r="I2787" s="86" t="str">
        <f>_xlfn.XLOOKUP(表格1[[#This Row],[Model]],表格3[Model-Input-Ref2],表格3[大小電])</f>
        <v>細電</v>
      </c>
      <c r="J2787" s="86" t="str">
        <f>_xlfn.XLOOKUP(表格1[[#This Row],[Model]],表格3[Model-Input-Ref2],表格3[Code])</f>
        <v>SDA</v>
      </c>
      <c r="K2787" s="89" t="s">
        <v>1244</v>
      </c>
      <c r="L2787" s="86">
        <v>1</v>
      </c>
      <c r="M2787" s="87">
        <v>719</v>
      </c>
      <c r="N2787" s="87">
        <f>IFERROR(表格1[[#This Row],[QTY]]*表格1[[#This Row],[Unit Price]],"-")</f>
        <v>719</v>
      </c>
      <c r="O2787" s="142" t="s">
        <v>1892</v>
      </c>
      <c r="R2787" s="86" t="str">
        <f>_xlfn.CONCAT(表格1[[#This Row],[Model]]," ",表格1[[#This Row],[inv no]])</f>
        <v>RC-10NMFIH(WT) 090533</v>
      </c>
      <c r="S2787" s="86">
        <f>_xlfn.XLOOKUP(表格1[[#This Row],[Model]],表格3[Model-Input-Ref2],表格3[SRP PRICE])</f>
        <v>898</v>
      </c>
      <c r="T2787" s="43">
        <f>表格1[[#This Row],[Unit Price]]/表格1[[#This Row],[SRP]]</f>
        <v>0.80066815144766146</v>
      </c>
      <c r="U2787" s="86" t="str">
        <f>_xlfn.XLOOKUP(表格1[[#This Row],[Model]],表格3[Model-Input-Ref2],表格3[TOSHIBA/HIGHEST])</f>
        <v>Toshiba SRP</v>
      </c>
      <c r="W2787" s="86" t="str">
        <f>_xlfn.CONCAT(表格1[[#This Row],[欄4]],表格1[[#This Row],[inv no]])</f>
        <v>090533</v>
      </c>
    </row>
    <row r="2788" spans="1:23" hidden="1">
      <c r="A2788" s="81">
        <v>2786</v>
      </c>
      <c r="B2788" s="86" t="s">
        <v>1366</v>
      </c>
      <c r="C2788" s="86" t="s">
        <v>1870</v>
      </c>
      <c r="D2788" s="82" t="str">
        <f ca="1">OFFSET(Roster!$A$3,MATCH(表格1[[#This Row],[Location]]&amp;" "&amp;表格1[[#This Row],[Shop]]&amp;"*",Roster!$A$4:$A$72,0),DAY(表格1[[#This Row],[date]]),1,1)</f>
        <v>Gloria</v>
      </c>
      <c r="E2788" s="86">
        <f>MONTH(表格1[[#This Row],[date]])</f>
        <v>3</v>
      </c>
      <c r="F2788" s="90">
        <v>46095</v>
      </c>
      <c r="G2788" s="86" t="str">
        <f>VLOOKUP("*"&amp;表格1[[#This Row],[Input]]&amp;"*",'Ref-List'!$B:$D,2,)</f>
        <v>MS3-STQ20SC(WH)</v>
      </c>
      <c r="H2788" s="86" t="str">
        <f>_xlfn.XLOOKUP(表格1[[#This Row],[Model]],表格3[Model-Input-Ref2],表格3[Product Line])</f>
        <v>20L 智能蒸氣焗爐</v>
      </c>
      <c r="I2788" s="86" t="str">
        <f>_xlfn.XLOOKUP(表格1[[#This Row],[Model]],表格3[Model-Input-Ref2],表格3[大小電])</f>
        <v>細電</v>
      </c>
      <c r="J2788" s="86" t="str">
        <f>_xlfn.XLOOKUP(表格1[[#This Row],[Model]],表格3[Model-Input-Ref2],表格3[Code])</f>
        <v>MCA</v>
      </c>
      <c r="K2788" s="89" t="s">
        <v>1383</v>
      </c>
      <c r="L2788" s="86">
        <v>1</v>
      </c>
      <c r="M2788" s="87">
        <v>2100</v>
      </c>
      <c r="N2788" s="87">
        <f>IFERROR(表格1[[#This Row],[QTY]]*表格1[[#This Row],[Unit Price]],"-")</f>
        <v>2100</v>
      </c>
      <c r="O2788" s="142" t="s">
        <v>1893</v>
      </c>
      <c r="R2788" s="86" t="str">
        <f>_xlfn.CONCAT(表格1[[#This Row],[Model]]," ",表格1[[#This Row],[inv no]])</f>
        <v>MS3-STQ20SC(WH) 090512</v>
      </c>
      <c r="S2788" s="86">
        <f>_xlfn.XLOOKUP(表格1[[#This Row],[Model]],表格3[Model-Input-Ref2],表格3[SRP PRICE])</f>
        <v>2880</v>
      </c>
      <c r="T2788" s="43">
        <f>表格1[[#This Row],[Unit Price]]/表格1[[#This Row],[SRP]]</f>
        <v>0.72916666666666663</v>
      </c>
      <c r="U2788" s="86" t="str">
        <f>_xlfn.XLOOKUP(表格1[[#This Row],[Model]],表格3[Model-Input-Ref2],表格3[TOSHIBA/HIGHEST])</f>
        <v>Toshiba SRP</v>
      </c>
      <c r="W2788" s="86" t="str">
        <f>_xlfn.CONCAT(表格1[[#This Row],[欄4]],表格1[[#This Row],[inv no]])</f>
        <v>090512</v>
      </c>
    </row>
    <row r="2789" spans="1:23" hidden="1">
      <c r="A2789" s="81">
        <v>2787</v>
      </c>
      <c r="B2789" s="86" t="s">
        <v>1366</v>
      </c>
      <c r="C2789" s="86" t="s">
        <v>1870</v>
      </c>
      <c r="D2789" s="82" t="str">
        <f ca="1">OFFSET(Roster!$A$3,MATCH(表格1[[#This Row],[Location]]&amp;" "&amp;表格1[[#This Row],[Shop]]&amp;"*",Roster!$A$4:$A$72,0),DAY(表格1[[#This Row],[date]]),1,1)</f>
        <v>Gloria</v>
      </c>
      <c r="E2789" s="86">
        <f>MONTH(表格1[[#This Row],[date]])</f>
        <v>3</v>
      </c>
      <c r="F2789" s="90">
        <v>46095</v>
      </c>
      <c r="G2789" s="86" t="str">
        <f>VLOOKUP("*"&amp;表格1[[#This Row],[Input]]&amp;"*",'Ref-List'!$B:$D,2,)</f>
        <v>TW-BL85A2H(WW)</v>
      </c>
      <c r="H2789" s="86" t="str">
        <f>_xlfn.XLOOKUP(表格1[[#This Row],[Model]],表格3[Model-Input-Ref2],表格3[Product Line])</f>
        <v>7.5KG超薄身前置式變頻洗衣機</v>
      </c>
      <c r="I2789" s="86" t="str">
        <f>_xlfn.XLOOKUP(表格1[[#This Row],[Model]],表格3[Model-Input-Ref2],表格3[大小電])</f>
        <v>大電</v>
      </c>
      <c r="J2789" s="86" t="str">
        <f>_xlfn.XLOOKUP(表格1[[#This Row],[Model]],表格3[Model-Input-Ref2],表格3[Code])</f>
        <v>WM</v>
      </c>
      <c r="K2789" s="89" t="s">
        <v>1206</v>
      </c>
      <c r="L2789" s="86">
        <v>1</v>
      </c>
      <c r="M2789" s="87">
        <v>3180</v>
      </c>
      <c r="N2789" s="87">
        <f>IFERROR(表格1[[#This Row],[QTY]]*表格1[[#This Row],[Unit Price]],"-")</f>
        <v>3180</v>
      </c>
      <c r="O2789" s="86">
        <v>323807</v>
      </c>
      <c r="R2789" s="86" t="str">
        <f>_xlfn.CONCAT(表格1[[#This Row],[Model]]," ",表格1[[#This Row],[inv no]])</f>
        <v>TW-BL85A2H(WW) 323807</v>
      </c>
      <c r="S2789" s="86">
        <f>_xlfn.XLOOKUP(表格1[[#This Row],[Model]],表格3[Model-Input-Ref2],表格3[SRP PRICE])</f>
        <v>5080</v>
      </c>
      <c r="T2789" s="43">
        <f>表格1[[#This Row],[Unit Price]]/表格1[[#This Row],[SRP]]</f>
        <v>0.62598425196850394</v>
      </c>
      <c r="U2789" s="86" t="str">
        <f>_xlfn.XLOOKUP(表格1[[#This Row],[Model]],表格3[Model-Input-Ref2],表格3[TOSHIBA/HIGHEST])</f>
        <v>Toshiba SRP</v>
      </c>
      <c r="W2789" s="86" t="str">
        <f>_xlfn.CONCAT(表格1[[#This Row],[欄4]],表格1[[#This Row],[inv no]])</f>
        <v>323807</v>
      </c>
    </row>
    <row r="2790" spans="1:23" hidden="1">
      <c r="A2790" s="81">
        <v>2788</v>
      </c>
      <c r="B2790" s="86" t="s">
        <v>1366</v>
      </c>
      <c r="C2790" s="86" t="s">
        <v>1870</v>
      </c>
      <c r="D2790" s="82" t="str">
        <f ca="1">OFFSET(Roster!$A$3,MATCH(表格1[[#This Row],[Location]]&amp;" "&amp;表格1[[#This Row],[Shop]]&amp;"*",Roster!$A$4:$A$72,0),DAY(表格1[[#This Row],[date]]),1,1)</f>
        <v>Gloria</v>
      </c>
      <c r="E2790" s="86">
        <f>MONTH(表格1[[#This Row],[date]])</f>
        <v>3</v>
      </c>
      <c r="F2790" s="90">
        <v>46095</v>
      </c>
      <c r="G2790" s="86" t="str">
        <f>VLOOKUP("*"&amp;表格1[[#This Row],[Input]]&amp;"*",'Ref-List'!$B:$D,2,)</f>
        <v>MWP-MM20P(WH)</v>
      </c>
      <c r="H2790" s="86" t="str">
        <f>_xlfn.XLOOKUP(表格1[[#This Row],[Model]],表格3[Model-Input-Ref2],表格3[Product Line])</f>
        <v>旋鈕式燒烤微波爐20L</v>
      </c>
      <c r="I2790" s="86" t="str">
        <f>_xlfn.XLOOKUP(表格1[[#This Row],[Model]],表格3[Model-Input-Ref2],表格3[大小電])</f>
        <v>細電</v>
      </c>
      <c r="J2790" s="86" t="str">
        <f>_xlfn.XLOOKUP(表格1[[#This Row],[Model]],表格3[Model-Input-Ref2],表格3[Code])</f>
        <v>SDA</v>
      </c>
      <c r="K2790" s="89" t="s">
        <v>1270</v>
      </c>
      <c r="L2790" s="86">
        <v>1</v>
      </c>
      <c r="M2790" s="87">
        <v>488</v>
      </c>
      <c r="N2790" s="87">
        <f>IFERROR(表格1[[#This Row],[QTY]]*表格1[[#This Row],[Unit Price]],"-")</f>
        <v>488</v>
      </c>
      <c r="O2790" s="86">
        <v>323807</v>
      </c>
      <c r="R2790" s="86" t="str">
        <f>_xlfn.CONCAT(表格1[[#This Row],[Model]]," ",表格1[[#This Row],[inv no]])</f>
        <v>MWP-MM20P(WH) 323807</v>
      </c>
      <c r="S2790" s="86">
        <f>_xlfn.XLOOKUP(表格1[[#This Row],[Model]],表格3[Model-Input-Ref2],表格3[SRP PRICE])</f>
        <v>648</v>
      </c>
      <c r="T2790" s="43">
        <f>表格1[[#This Row],[Unit Price]]/表格1[[#This Row],[SRP]]</f>
        <v>0.75308641975308643</v>
      </c>
      <c r="U2790" s="86" t="str">
        <f>_xlfn.XLOOKUP(表格1[[#This Row],[Model]],表格3[Model-Input-Ref2],表格3[TOSHIBA/HIGHEST])</f>
        <v>Toshiba SRP</v>
      </c>
      <c r="W2790" s="86" t="str">
        <f>_xlfn.CONCAT(表格1[[#This Row],[欄4]],表格1[[#This Row],[inv no]])</f>
        <v>323807</v>
      </c>
    </row>
    <row r="2791" spans="1:23" hidden="1">
      <c r="A2791" s="81">
        <v>2789</v>
      </c>
      <c r="B2791" s="86" t="s">
        <v>1366</v>
      </c>
      <c r="C2791" s="86" t="s">
        <v>1870</v>
      </c>
      <c r="D2791" s="82" t="str">
        <f ca="1">OFFSET(Roster!$A$3,MATCH(表格1[[#This Row],[Location]]&amp;" "&amp;表格1[[#This Row],[Shop]]&amp;"*",Roster!$A$4:$A$72,0),DAY(表格1[[#This Row],[date]]),1,1)</f>
        <v>Gloria</v>
      </c>
      <c r="E2791" s="86">
        <f>MONTH(表格1[[#This Row],[date]])</f>
        <v>3</v>
      </c>
      <c r="F2791" s="90">
        <v>46095</v>
      </c>
      <c r="G2791" s="86" t="str">
        <f>VLOOKUP("*"&amp;表格1[[#This Row],[Input]]&amp;"*",'Ref-List'!$B:$D,2,)</f>
        <v>GR-H913(MG)</v>
      </c>
      <c r="H2791" s="86" t="str">
        <f>_xlfn.XLOOKUP(表格1[[#This Row],[Model]],表格3[Model-Input-Ref2],表格3[Product Line])</f>
        <v>單門直冷式環保雪櫃81L</v>
      </c>
      <c r="I2791" s="86" t="str">
        <f>_xlfn.XLOOKUP(表格1[[#This Row],[Model]],表格3[Model-Input-Ref2],表格3[大小電])</f>
        <v>大電</v>
      </c>
      <c r="J2791" s="86" t="str">
        <f>_xlfn.XLOOKUP(表格1[[#This Row],[Model]],表格3[Model-Input-Ref2],表格3[Code])</f>
        <v>REF</v>
      </c>
      <c r="K2791" s="89" t="s">
        <v>1776</v>
      </c>
      <c r="L2791" s="86">
        <v>1</v>
      </c>
      <c r="M2791" s="87">
        <v>1880</v>
      </c>
      <c r="N2791" s="87">
        <f>IFERROR(表格1[[#This Row],[QTY]]*表格1[[#This Row],[Unit Price]],"-")</f>
        <v>1880</v>
      </c>
      <c r="O2791" s="86">
        <v>404468</v>
      </c>
      <c r="R2791" s="86" t="str">
        <f>_xlfn.CONCAT(表格1[[#This Row],[Model]]," ",表格1[[#This Row],[inv no]])</f>
        <v>GR-H913(MG) 404468</v>
      </c>
      <c r="S2791" s="86">
        <f>_xlfn.XLOOKUP(表格1[[#This Row],[Model]],表格3[Model-Input-Ref2],表格3[SRP PRICE])</f>
        <v>1980</v>
      </c>
      <c r="T2791" s="43">
        <f>表格1[[#This Row],[Unit Price]]/表格1[[#This Row],[SRP]]</f>
        <v>0.9494949494949495</v>
      </c>
      <c r="U2791" s="86" t="str">
        <f>_xlfn.XLOOKUP(表格1[[#This Row],[Model]],表格3[Model-Input-Ref2],表格3[TOSHIBA/HIGHEST])</f>
        <v>Toshiba SRP</v>
      </c>
      <c r="W2791" s="86" t="str">
        <f>_xlfn.CONCAT(表格1[[#This Row],[欄4]],表格1[[#This Row],[inv no]])</f>
        <v>404468</v>
      </c>
    </row>
    <row r="2792" spans="1:23" hidden="1">
      <c r="A2792" s="81">
        <v>2790</v>
      </c>
      <c r="B2792" s="86" t="s">
        <v>1366</v>
      </c>
      <c r="C2792" s="86" t="s">
        <v>1870</v>
      </c>
      <c r="D2792" s="82" t="str">
        <f ca="1">OFFSET(Roster!$A$3,MATCH(表格1[[#This Row],[Location]]&amp;" "&amp;表格1[[#This Row],[Shop]]&amp;"*",Roster!$A$4:$A$72,0),DAY(表格1[[#This Row],[date]]),1,1)</f>
        <v>Gloria</v>
      </c>
      <c r="E2792" s="86">
        <f>MONTH(表格1[[#This Row],[date]])</f>
        <v>3</v>
      </c>
      <c r="F2792" s="90">
        <v>46095</v>
      </c>
      <c r="G2792" s="86" t="str">
        <f>VLOOKUP("*"&amp;表格1[[#This Row],[Input]]&amp;"*",'Ref-List'!$B:$D,2,)</f>
        <v>GR-RB449WE-PMA(57)</v>
      </c>
      <c r="H2792" s="86" t="str">
        <f>_xlfn.XLOOKUP(表格1[[#This Row],[Model]],表格3[Model-Input-Ref2],表格3[Product Line])</f>
        <v>變頻下置式雙門雪櫃</v>
      </c>
      <c r="I2792" s="86" t="str">
        <f>_xlfn.XLOOKUP(表格1[[#This Row],[Model]],表格3[Model-Input-Ref2],表格3[大小電])</f>
        <v>大電</v>
      </c>
      <c r="J2792" s="86" t="str">
        <f>_xlfn.XLOOKUP(表格1[[#This Row],[Model]],表格3[Model-Input-Ref2],表格3[Code])</f>
        <v>REF</v>
      </c>
      <c r="K2792" s="89" t="s">
        <v>1484</v>
      </c>
      <c r="L2792" s="86">
        <v>1</v>
      </c>
      <c r="M2792" s="87">
        <v>4880</v>
      </c>
      <c r="N2792" s="87">
        <f>IFERROR(表格1[[#This Row],[QTY]]*表格1[[#This Row],[Unit Price]],"-")</f>
        <v>4880</v>
      </c>
      <c r="O2792" s="86">
        <v>323908</v>
      </c>
      <c r="R2792" s="86" t="str">
        <f>_xlfn.CONCAT(表格1[[#This Row],[Model]]," ",表格1[[#This Row],[inv no]])</f>
        <v>GR-RB449WE-PMA(57) 323908</v>
      </c>
      <c r="S2792" s="86">
        <f>_xlfn.XLOOKUP(表格1[[#This Row],[Model]],表格3[Model-Input-Ref2],表格3[SRP PRICE])</f>
        <v>6280</v>
      </c>
      <c r="T2792" s="43">
        <f>表格1[[#This Row],[Unit Price]]/表格1[[#This Row],[SRP]]</f>
        <v>0.77707006369426757</v>
      </c>
      <c r="U2792" s="86" t="str">
        <f>_xlfn.XLOOKUP(表格1[[#This Row],[Model]],表格3[Model-Input-Ref2],表格3[TOSHIBA/HIGHEST])</f>
        <v>Toshiba SRP</v>
      </c>
      <c r="W2792" s="86" t="str">
        <f>_xlfn.CONCAT(表格1[[#This Row],[欄4]],表格1[[#This Row],[inv no]])</f>
        <v>323908</v>
      </c>
    </row>
    <row r="2793" spans="1:23" hidden="1">
      <c r="A2793" s="81">
        <v>2791</v>
      </c>
      <c r="B2793" s="86" t="s">
        <v>1366</v>
      </c>
      <c r="C2793" s="86" t="s">
        <v>1870</v>
      </c>
      <c r="D2793" s="82" t="str">
        <f ca="1">OFFSET(Roster!$A$3,MATCH(表格1[[#This Row],[Location]]&amp;" "&amp;表格1[[#This Row],[Shop]]&amp;"*",Roster!$A$4:$A$72,0),DAY(表格1[[#This Row],[date]]),1,1)</f>
        <v>Gloria</v>
      </c>
      <c r="E2793" s="86">
        <f>MONTH(表格1[[#This Row],[date]])</f>
        <v>3</v>
      </c>
      <c r="F2793" s="90">
        <v>46096</v>
      </c>
      <c r="G2793" s="86" t="str">
        <f>VLOOKUP("*"&amp;表格1[[#This Row],[Input]]&amp;"*",'Ref-List'!$B:$D,2,)</f>
        <v>RC-DS10K(N)</v>
      </c>
      <c r="H2793" s="86" t="str">
        <f>_xlfn.XLOOKUP(表格1[[#This Row],[Model]],表格3[Model-Input-Ref2],表格3[Product Line])</f>
        <v>IH磁應電飯煲</v>
      </c>
      <c r="I2793" s="86" t="str">
        <f>_xlfn.XLOOKUP(表格1[[#This Row],[Model]],表格3[Model-Input-Ref2],表格3[大小電])</f>
        <v>細電</v>
      </c>
      <c r="J2793" s="86" t="str">
        <f>_xlfn.XLOOKUP(表格1[[#This Row],[Model]],表格3[Model-Input-Ref2],表格3[Code])</f>
        <v>SDA</v>
      </c>
      <c r="K2793" s="89" t="s">
        <v>1633</v>
      </c>
      <c r="L2793" s="86">
        <v>1</v>
      </c>
      <c r="M2793" s="87">
        <v>3150</v>
      </c>
      <c r="N2793" s="87">
        <f>IFERROR(表格1[[#This Row],[QTY]]*表格1[[#This Row],[Unit Price]],"-")</f>
        <v>3150</v>
      </c>
      <c r="O2793" s="142" t="s">
        <v>1894</v>
      </c>
      <c r="R2793" s="86" t="str">
        <f>_xlfn.CONCAT(表格1[[#This Row],[Model]]," ",表格1[[#This Row],[inv no]])</f>
        <v>RC-DS10K(N) 070746</v>
      </c>
      <c r="S2793" s="86">
        <f>_xlfn.XLOOKUP(表格1[[#This Row],[Model]],表格3[Model-Input-Ref2],表格3[SRP PRICE])</f>
        <v>4588</v>
      </c>
      <c r="T2793" s="43">
        <f>表格1[[#This Row],[Unit Price]]/表格1[[#This Row],[SRP]]</f>
        <v>0.68657367044463824</v>
      </c>
      <c r="U2793" s="86" t="str">
        <f>_xlfn.XLOOKUP(表格1[[#This Row],[Model]],表格3[Model-Input-Ref2],表格3[TOSHIBA/HIGHEST])</f>
        <v>Toshiba SRP</v>
      </c>
      <c r="W2793" s="86" t="str">
        <f>_xlfn.CONCAT(表格1[[#This Row],[欄4]],表格1[[#This Row],[inv no]])</f>
        <v>070746</v>
      </c>
    </row>
    <row r="2794" spans="1:23" hidden="1">
      <c r="A2794" s="81">
        <v>2792</v>
      </c>
      <c r="B2794" s="86" t="s">
        <v>1366</v>
      </c>
      <c r="C2794" s="86" t="s">
        <v>1870</v>
      </c>
      <c r="D2794" s="82" t="str">
        <f ca="1">OFFSET(Roster!$A$3,MATCH(表格1[[#This Row],[Location]]&amp;" "&amp;表格1[[#This Row],[Shop]]&amp;"*",Roster!$A$4:$A$72,0),DAY(表格1[[#This Row],[date]]),1,1)</f>
        <v>Gloria</v>
      </c>
      <c r="E2794" s="86">
        <f>MONTH(表格1[[#This Row],[date]])</f>
        <v>3</v>
      </c>
      <c r="F2794" s="90">
        <v>46096</v>
      </c>
      <c r="G2794" s="86" t="str">
        <f>VLOOKUP("*"&amp;表格1[[#This Row],[Input]]&amp;"*",'Ref-List'!$B:$D,2,)</f>
        <v>RC-5MMIH(WT)</v>
      </c>
      <c r="H2794" s="86" t="str">
        <f>_xlfn.XLOOKUP(表格1[[#This Row],[Model]],表格3[Model-Input-Ref2],表格3[Product Line])</f>
        <v>4毫米厚釜電飯煲0.54L</v>
      </c>
      <c r="I2794" s="86" t="str">
        <f>_xlfn.XLOOKUP(表格1[[#This Row],[Model]],表格3[Model-Input-Ref2],表格3[大小電])</f>
        <v>細電</v>
      </c>
      <c r="J2794" s="86" t="str">
        <f>_xlfn.XLOOKUP(表格1[[#This Row],[Model]],表格3[Model-Input-Ref2],表格3[Code])</f>
        <v>SDA</v>
      </c>
      <c r="K2794" s="89" t="s">
        <v>1195</v>
      </c>
      <c r="L2794" s="86">
        <v>1</v>
      </c>
      <c r="M2794" s="87">
        <v>557</v>
      </c>
      <c r="N2794" s="87">
        <f>IFERROR(表格1[[#This Row],[QTY]]*表格1[[#This Row],[Unit Price]],"-")</f>
        <v>557</v>
      </c>
      <c r="O2794" s="86">
        <v>329403</v>
      </c>
      <c r="R2794" s="86" t="str">
        <f>_xlfn.CONCAT(表格1[[#This Row],[Model]]," ",表格1[[#This Row],[inv no]])</f>
        <v>RC-5MMIH(WT) 329403</v>
      </c>
      <c r="S2794" s="86">
        <f>_xlfn.XLOOKUP(表格1[[#This Row],[Model]],表格3[Model-Input-Ref2],表格3[SRP PRICE])</f>
        <v>618</v>
      </c>
      <c r="T2794" s="43">
        <f>表格1[[#This Row],[Unit Price]]/表格1[[#This Row],[SRP]]</f>
        <v>0.90129449838187703</v>
      </c>
      <c r="U2794" s="86" t="str">
        <f>_xlfn.XLOOKUP(表格1[[#This Row],[Model]],表格3[Model-Input-Ref2],表格3[TOSHIBA/HIGHEST])</f>
        <v>Toshiba SRP</v>
      </c>
      <c r="W2794" s="86" t="str">
        <f>_xlfn.CONCAT(表格1[[#This Row],[欄4]],表格1[[#This Row],[inv no]])</f>
        <v>329403</v>
      </c>
    </row>
    <row r="2795" spans="1:23" hidden="1">
      <c r="A2795" s="81">
        <v>2793</v>
      </c>
      <c r="B2795" s="86" t="s">
        <v>1366</v>
      </c>
      <c r="C2795" s="86" t="s">
        <v>1870</v>
      </c>
      <c r="D2795" s="82" t="str">
        <f ca="1">OFFSET(Roster!$A$3,MATCH(表格1[[#This Row],[Location]]&amp;" "&amp;表格1[[#This Row],[Shop]]&amp;"*",Roster!$A$4:$A$72,0),DAY(表格1[[#This Row],[date]]),1,1)</f>
        <v>Gloria</v>
      </c>
      <c r="E2795" s="86">
        <f>MONTH(表格1[[#This Row],[date]])</f>
        <v>3</v>
      </c>
      <c r="F2795" s="90">
        <v>46096</v>
      </c>
      <c r="G2795" s="86" t="str">
        <f>VLOOKUP("*"&amp;表格1[[#This Row],[Input]]&amp;"*",'Ref-List'!$B:$D,2,)</f>
        <v>RC-10JRUH(N)</v>
      </c>
      <c r="H2795" s="86" t="str">
        <f>_xlfn.XLOOKUP(表格1[[#This Row],[Model]],表格3[Model-Input-Ref2],表格3[Product Line])</f>
        <v>電飯煲</v>
      </c>
      <c r="I2795" s="86" t="str">
        <f>_xlfn.XLOOKUP(表格1[[#This Row],[Model]],表格3[Model-Input-Ref2],表格3[大小電])</f>
        <v>細電</v>
      </c>
      <c r="J2795" s="86" t="str">
        <f>_xlfn.XLOOKUP(表格1[[#This Row],[Model]],表格3[Model-Input-Ref2],表格3[Code])</f>
        <v>SDA</v>
      </c>
      <c r="K2795" s="89" t="s">
        <v>1263</v>
      </c>
      <c r="L2795" s="86">
        <v>1</v>
      </c>
      <c r="M2795" s="87">
        <v>328</v>
      </c>
      <c r="N2795" s="87">
        <f>IFERROR(表格1[[#This Row],[QTY]]*表格1[[#This Row],[Unit Price]],"-")</f>
        <v>328</v>
      </c>
      <c r="O2795" s="86">
        <v>419844</v>
      </c>
      <c r="R2795" s="86" t="str">
        <f>_xlfn.CONCAT(表格1[[#This Row],[Model]]," ",表格1[[#This Row],[inv no]])</f>
        <v>RC-10JRUH(N) 419844</v>
      </c>
      <c r="S2795" s="86">
        <f>_xlfn.XLOOKUP(表格1[[#This Row],[Model]],表格3[Model-Input-Ref2],表格3[SRP PRICE])</f>
        <v>398</v>
      </c>
      <c r="T2795" s="43">
        <f>表格1[[#This Row],[Unit Price]]/表格1[[#This Row],[SRP]]</f>
        <v>0.82412060301507539</v>
      </c>
      <c r="U2795" s="86" t="str">
        <f>_xlfn.XLOOKUP(表格1[[#This Row],[Model]],表格3[Model-Input-Ref2],表格3[TOSHIBA/HIGHEST])</f>
        <v>Shops Highest Price</v>
      </c>
      <c r="W2795" s="86" t="str">
        <f>_xlfn.CONCAT(表格1[[#This Row],[欄4]],表格1[[#This Row],[inv no]])</f>
        <v>419844</v>
      </c>
    </row>
    <row r="2796" spans="1:23" hidden="1">
      <c r="A2796" s="81">
        <v>2794</v>
      </c>
      <c r="B2796" s="86" t="s">
        <v>1366</v>
      </c>
      <c r="C2796" s="86" t="s">
        <v>1870</v>
      </c>
      <c r="D2796" s="82" t="str">
        <f ca="1">OFFSET(Roster!$A$3,MATCH(表格1[[#This Row],[Location]]&amp;" "&amp;表格1[[#This Row],[Shop]]&amp;"*",Roster!$A$4:$A$72,0),DAY(表格1[[#This Row],[date]]),1,1)</f>
        <v>Gloria</v>
      </c>
      <c r="E2796" s="86">
        <f>MONTH(表格1[[#This Row],[date]])</f>
        <v>3</v>
      </c>
      <c r="F2796" s="90">
        <v>46096</v>
      </c>
      <c r="G2796" s="86" t="str">
        <f>VLOOKUP("*"&amp;表格1[[#This Row],[Input]]&amp;"*",'Ref-List'!$B:$D,2,)</f>
        <v>TP-50DRUHK(W)</v>
      </c>
      <c r="H2796" s="86" t="str">
        <f>_xlfn.XLOOKUP(表格1[[#This Row],[Model]],表格3[Model-Input-Ref2],表格3[Product Line])</f>
        <v>電熱水瓶 (5公升)</v>
      </c>
      <c r="I2796" s="86" t="str">
        <f>_xlfn.XLOOKUP(表格1[[#This Row],[Model]],表格3[Model-Input-Ref2],表格3[大小電])</f>
        <v>細電</v>
      </c>
      <c r="J2796" s="86" t="str">
        <f>_xlfn.XLOOKUP(表格1[[#This Row],[Model]],表格3[Model-Input-Ref2],表格3[Code])</f>
        <v>SDA</v>
      </c>
      <c r="K2796" s="89" t="s">
        <v>1277</v>
      </c>
      <c r="L2796" s="86">
        <v>1</v>
      </c>
      <c r="M2796" s="87">
        <v>598</v>
      </c>
      <c r="N2796" s="87">
        <f>IFERROR(表格1[[#This Row],[QTY]]*表格1[[#This Row],[Unit Price]],"-")</f>
        <v>598</v>
      </c>
      <c r="O2796" s="142" t="s">
        <v>1895</v>
      </c>
      <c r="R2796" s="86" t="str">
        <f>_xlfn.CONCAT(表格1[[#This Row],[Model]]," ",表格1[[#This Row],[inv no]])</f>
        <v>TP-50DRUHK(W) 090812</v>
      </c>
      <c r="S2796" s="86">
        <f>_xlfn.XLOOKUP(表格1[[#This Row],[Model]],表格3[Model-Input-Ref2],表格3[SRP PRICE])</f>
        <v>718</v>
      </c>
      <c r="T2796" s="43">
        <f>表格1[[#This Row],[Unit Price]]/表格1[[#This Row],[SRP]]</f>
        <v>0.83286908077994426</v>
      </c>
      <c r="U2796" s="86" t="str">
        <f>_xlfn.XLOOKUP(表格1[[#This Row],[Model]],表格3[Model-Input-Ref2],表格3[TOSHIBA/HIGHEST])</f>
        <v>Toshiba SRP</v>
      </c>
      <c r="W2796" s="86" t="str">
        <f>_xlfn.CONCAT(表格1[[#This Row],[欄4]],表格1[[#This Row],[inv no]])</f>
        <v>090812</v>
      </c>
    </row>
    <row r="2797" spans="1:23" hidden="1">
      <c r="A2797" s="81">
        <v>2795</v>
      </c>
      <c r="B2797" s="86" t="s">
        <v>1366</v>
      </c>
      <c r="C2797" s="86" t="s">
        <v>1870</v>
      </c>
      <c r="D2797" s="82" t="str">
        <f ca="1">OFFSET(Roster!$A$3,MATCH(表格1[[#This Row],[Location]]&amp;" "&amp;表格1[[#This Row],[Shop]]&amp;"*",Roster!$A$4:$A$72,0),DAY(表格1[[#This Row],[date]]),1,1)</f>
        <v>Gloria</v>
      </c>
      <c r="E2797" s="86">
        <f>MONTH(表格1[[#This Row],[date]])</f>
        <v>3</v>
      </c>
      <c r="F2797" s="90">
        <v>46096</v>
      </c>
      <c r="G2797" s="86" t="str">
        <f>VLOOKUP("*"&amp;表格1[[#This Row],[Input]]&amp;"*",'Ref-List'!$B:$D,2,)</f>
        <v>RC-10NMFIH(WT)</v>
      </c>
      <c r="H2797" s="86" t="str">
        <f>_xlfn.XLOOKUP(表格1[[#This Row],[Model]],表格3[Model-Input-Ref2],表格3[Product Line])</f>
        <v>4毫米厚釜電飯煲1L</v>
      </c>
      <c r="I2797" s="86" t="str">
        <f>_xlfn.XLOOKUP(表格1[[#This Row],[Model]],表格3[Model-Input-Ref2],表格3[大小電])</f>
        <v>細電</v>
      </c>
      <c r="J2797" s="86" t="str">
        <f>_xlfn.XLOOKUP(表格1[[#This Row],[Model]],表格3[Model-Input-Ref2],表格3[Code])</f>
        <v>SDA</v>
      </c>
      <c r="K2797" s="89" t="s">
        <v>1244</v>
      </c>
      <c r="L2797" s="86">
        <v>1</v>
      </c>
      <c r="M2797" s="87">
        <v>719</v>
      </c>
      <c r="N2797" s="87">
        <f>IFERROR(表格1[[#This Row],[QTY]]*表格1[[#This Row],[Unit Price]],"-")</f>
        <v>719</v>
      </c>
      <c r="O2797" s="86">
        <v>324027</v>
      </c>
      <c r="R2797" s="86" t="str">
        <f>_xlfn.CONCAT(表格1[[#This Row],[Model]]," ",表格1[[#This Row],[inv no]])</f>
        <v>RC-10NMFIH(WT) 324027</v>
      </c>
      <c r="S2797" s="86">
        <f>_xlfn.XLOOKUP(表格1[[#This Row],[Model]],表格3[Model-Input-Ref2],表格3[SRP PRICE])</f>
        <v>898</v>
      </c>
      <c r="T2797" s="43">
        <f>表格1[[#This Row],[Unit Price]]/表格1[[#This Row],[SRP]]</f>
        <v>0.80066815144766146</v>
      </c>
      <c r="U2797" s="86" t="str">
        <f>_xlfn.XLOOKUP(表格1[[#This Row],[Model]],表格3[Model-Input-Ref2],表格3[TOSHIBA/HIGHEST])</f>
        <v>Toshiba SRP</v>
      </c>
      <c r="W2797" s="86" t="str">
        <f>_xlfn.CONCAT(表格1[[#This Row],[欄4]],表格1[[#This Row],[inv no]])</f>
        <v>324027</v>
      </c>
    </row>
    <row r="2798" spans="1:23" hidden="1">
      <c r="A2798" s="81">
        <v>2796</v>
      </c>
      <c r="B2798" s="86" t="s">
        <v>1366</v>
      </c>
      <c r="C2798" s="86" t="s">
        <v>1870</v>
      </c>
      <c r="D2798" s="82" t="str">
        <f ca="1">OFFSET(Roster!$A$3,MATCH(表格1[[#This Row],[Location]]&amp;" "&amp;表格1[[#This Row],[Shop]]&amp;"*",Roster!$A$4:$A$72,0),DAY(表格1[[#This Row],[date]]),1,1)</f>
        <v>Gloria</v>
      </c>
      <c r="E2798" s="86">
        <f>MONTH(表格1[[#This Row],[date]])</f>
        <v>3</v>
      </c>
      <c r="F2798" s="90">
        <v>46096</v>
      </c>
      <c r="G2798" s="86" t="str">
        <f>VLOOKUP("*"&amp;表格1[[#This Row],[Input]]&amp;"*",'Ref-List'!$B:$D,2,)</f>
        <v>RC-10NMFIH(WT)</v>
      </c>
      <c r="H2798" s="86" t="str">
        <f>_xlfn.XLOOKUP(表格1[[#This Row],[Model]],表格3[Model-Input-Ref2],表格3[Product Line])</f>
        <v>4毫米厚釜電飯煲1L</v>
      </c>
      <c r="I2798" s="86" t="str">
        <f>_xlfn.XLOOKUP(表格1[[#This Row],[Model]],表格3[Model-Input-Ref2],表格3[大小電])</f>
        <v>細電</v>
      </c>
      <c r="J2798" s="86" t="str">
        <f>_xlfn.XLOOKUP(表格1[[#This Row],[Model]],表格3[Model-Input-Ref2],表格3[Code])</f>
        <v>SDA</v>
      </c>
      <c r="K2798" s="89" t="s">
        <v>1244</v>
      </c>
      <c r="L2798" s="86">
        <v>1</v>
      </c>
      <c r="M2798" s="87">
        <v>719</v>
      </c>
      <c r="N2798" s="87">
        <f>IFERROR(表格1[[#This Row],[QTY]]*表格1[[#This Row],[Unit Price]],"-")</f>
        <v>719</v>
      </c>
      <c r="O2798" s="142" t="s">
        <v>1896</v>
      </c>
      <c r="R2798" s="86" t="str">
        <f>_xlfn.CONCAT(表格1[[#This Row],[Model]]," ",表格1[[#This Row],[inv no]])</f>
        <v>RC-10NMFIH(WT) 090710</v>
      </c>
      <c r="S2798" s="86">
        <f>_xlfn.XLOOKUP(表格1[[#This Row],[Model]],表格3[Model-Input-Ref2],表格3[SRP PRICE])</f>
        <v>898</v>
      </c>
      <c r="T2798" s="43">
        <f>表格1[[#This Row],[Unit Price]]/表格1[[#This Row],[SRP]]</f>
        <v>0.80066815144766146</v>
      </c>
      <c r="U2798" s="86" t="str">
        <f>_xlfn.XLOOKUP(表格1[[#This Row],[Model]],表格3[Model-Input-Ref2],表格3[TOSHIBA/HIGHEST])</f>
        <v>Toshiba SRP</v>
      </c>
      <c r="W2798" s="86" t="str">
        <f>_xlfn.CONCAT(表格1[[#This Row],[欄4]],表格1[[#This Row],[inv no]])</f>
        <v>090710</v>
      </c>
    </row>
    <row r="2799" spans="1:23" hidden="1">
      <c r="A2799" s="81">
        <v>2797</v>
      </c>
      <c r="B2799" s="86" t="s">
        <v>1366</v>
      </c>
      <c r="C2799" s="86" t="s">
        <v>1870</v>
      </c>
      <c r="D2799" s="82" t="str">
        <f ca="1">OFFSET(Roster!$A$3,MATCH(表格1[[#This Row],[Location]]&amp;" "&amp;表格1[[#This Row],[Shop]]&amp;"*",Roster!$A$4:$A$72,0),DAY(表格1[[#This Row],[date]]),1,1)</f>
        <v>Gloria</v>
      </c>
      <c r="E2799" s="86">
        <f>MONTH(表格1[[#This Row],[date]])</f>
        <v>3</v>
      </c>
      <c r="F2799" s="90">
        <v>46096</v>
      </c>
      <c r="G2799" s="86" t="str">
        <f>VLOOKUP("*"&amp;表格1[[#This Row],[Input]]&amp;"*",'Ref-List'!$B:$D,2,)</f>
        <v>RC-10NMFIH(WT)</v>
      </c>
      <c r="H2799" s="86" t="str">
        <f>_xlfn.XLOOKUP(表格1[[#This Row],[Model]],表格3[Model-Input-Ref2],表格3[Product Line])</f>
        <v>4毫米厚釜電飯煲1L</v>
      </c>
      <c r="I2799" s="86" t="str">
        <f>_xlfn.XLOOKUP(表格1[[#This Row],[Model]],表格3[Model-Input-Ref2],表格3[大小電])</f>
        <v>細電</v>
      </c>
      <c r="J2799" s="86" t="str">
        <f>_xlfn.XLOOKUP(表格1[[#This Row],[Model]],表格3[Model-Input-Ref2],表格3[Code])</f>
        <v>SDA</v>
      </c>
      <c r="K2799" s="89" t="s">
        <v>1244</v>
      </c>
      <c r="L2799" s="86">
        <v>1</v>
      </c>
      <c r="M2799" s="87">
        <v>719</v>
      </c>
      <c r="N2799" s="87">
        <f>IFERROR(表格1[[#This Row],[QTY]]*表格1[[#This Row],[Unit Price]],"-")</f>
        <v>719</v>
      </c>
      <c r="O2799" s="86">
        <v>324107</v>
      </c>
      <c r="R2799" s="86" t="str">
        <f>_xlfn.CONCAT(表格1[[#This Row],[Model]]," ",表格1[[#This Row],[inv no]])</f>
        <v>RC-10NMFIH(WT) 324107</v>
      </c>
      <c r="S2799" s="86">
        <f>_xlfn.XLOOKUP(表格1[[#This Row],[Model]],表格3[Model-Input-Ref2],表格3[SRP PRICE])</f>
        <v>898</v>
      </c>
      <c r="T2799" s="43">
        <f>表格1[[#This Row],[Unit Price]]/表格1[[#This Row],[SRP]]</f>
        <v>0.80066815144766146</v>
      </c>
      <c r="U2799" s="86" t="str">
        <f>_xlfn.XLOOKUP(表格1[[#This Row],[Model]],表格3[Model-Input-Ref2],表格3[TOSHIBA/HIGHEST])</f>
        <v>Toshiba SRP</v>
      </c>
      <c r="W2799" s="86" t="str">
        <f>_xlfn.CONCAT(表格1[[#This Row],[欄4]],表格1[[#This Row],[inv no]])</f>
        <v>324107</v>
      </c>
    </row>
    <row r="2800" spans="1:23" hidden="1">
      <c r="A2800" s="81">
        <v>2798</v>
      </c>
      <c r="B2800" s="86" t="s">
        <v>1366</v>
      </c>
      <c r="C2800" s="86" t="s">
        <v>1870</v>
      </c>
      <c r="D2800" s="82" t="str">
        <f ca="1">OFFSET(Roster!$A$3,MATCH(表格1[[#This Row],[Location]]&amp;" "&amp;表格1[[#This Row],[Shop]]&amp;"*",Roster!$A$4:$A$72,0),DAY(表格1[[#This Row],[date]]),1,1)</f>
        <v>Gloria</v>
      </c>
      <c r="E2800" s="86">
        <f>MONTH(表格1[[#This Row],[date]])</f>
        <v>3</v>
      </c>
      <c r="F2800" s="90">
        <v>46096</v>
      </c>
      <c r="G2800" s="86" t="str">
        <f>VLOOKUP("*"&amp;表格1[[#This Row],[Input]]&amp;"*",'Ref-List'!$B:$D,2,)</f>
        <v>RC-18NMFIH(WT)</v>
      </c>
      <c r="H2800" s="86" t="str">
        <f>_xlfn.XLOOKUP(表格1[[#This Row],[Model]],表格3[Model-Input-Ref2],表格3[Product Line])</f>
        <v>4毫米厚釜電飯煲1.8L</v>
      </c>
      <c r="I2800" s="86" t="str">
        <f>_xlfn.XLOOKUP(表格1[[#This Row],[Model]],表格3[Model-Input-Ref2],表格3[大小電])</f>
        <v>細電</v>
      </c>
      <c r="J2800" s="86" t="str">
        <f>_xlfn.XLOOKUP(表格1[[#This Row],[Model]],表格3[Model-Input-Ref2],表格3[Code])</f>
        <v>SDA</v>
      </c>
      <c r="K2800" s="89" t="s">
        <v>1267</v>
      </c>
      <c r="L2800" s="86">
        <v>1</v>
      </c>
      <c r="M2800" s="87">
        <v>799</v>
      </c>
      <c r="N2800" s="87">
        <f>IFERROR(表格1[[#This Row],[QTY]]*表格1[[#This Row],[Unit Price]],"-")</f>
        <v>799</v>
      </c>
      <c r="O2800" s="86">
        <v>324938</v>
      </c>
      <c r="R2800" s="86" t="str">
        <f>_xlfn.CONCAT(表格1[[#This Row],[Model]]," ",表格1[[#This Row],[inv no]])</f>
        <v>RC-18NMFIH(WT) 324938</v>
      </c>
      <c r="S2800" s="86">
        <f>_xlfn.XLOOKUP(表格1[[#This Row],[Model]],表格3[Model-Input-Ref2],表格3[SRP PRICE])</f>
        <v>998</v>
      </c>
      <c r="T2800" s="43">
        <f>表格1[[#This Row],[Unit Price]]/表格1[[#This Row],[SRP]]</f>
        <v>0.80060120240480959</v>
      </c>
      <c r="U2800" s="86" t="str">
        <f>_xlfn.XLOOKUP(表格1[[#This Row],[Model]],表格3[Model-Input-Ref2],表格3[TOSHIBA/HIGHEST])</f>
        <v>Toshiba SRP</v>
      </c>
      <c r="W2800" s="86" t="str">
        <f>_xlfn.CONCAT(表格1[[#This Row],[欄4]],表格1[[#This Row],[inv no]])</f>
        <v>324938</v>
      </c>
    </row>
    <row r="2801" spans="1:23" hidden="1">
      <c r="A2801" s="81">
        <v>2799</v>
      </c>
      <c r="B2801" s="86" t="s">
        <v>1366</v>
      </c>
      <c r="C2801" s="86" t="s">
        <v>1870</v>
      </c>
      <c r="D2801" s="82" t="str">
        <f ca="1">OFFSET(Roster!$A$3,MATCH(表格1[[#This Row],[Location]]&amp;" "&amp;表格1[[#This Row],[Shop]]&amp;"*",Roster!$A$4:$A$72,0),DAY(表格1[[#This Row],[date]]),1,1)</f>
        <v>Gloria</v>
      </c>
      <c r="E2801" s="86">
        <f>MONTH(表格1[[#This Row],[date]])</f>
        <v>3</v>
      </c>
      <c r="F2801" s="90">
        <v>46096</v>
      </c>
      <c r="G2801" s="86" t="str">
        <f>VLOOKUP("*"&amp;表格1[[#This Row],[Input]]&amp;"*",'Ref-List'!$B:$D,2,)</f>
        <v>RC-18NMFIH(WT)</v>
      </c>
      <c r="H2801" s="86" t="str">
        <f>_xlfn.XLOOKUP(表格1[[#This Row],[Model]],表格3[Model-Input-Ref2],表格3[Product Line])</f>
        <v>4毫米厚釜電飯煲1.8L</v>
      </c>
      <c r="I2801" s="86" t="str">
        <f>_xlfn.XLOOKUP(表格1[[#This Row],[Model]],表格3[Model-Input-Ref2],表格3[大小電])</f>
        <v>細電</v>
      </c>
      <c r="J2801" s="86" t="str">
        <f>_xlfn.XLOOKUP(表格1[[#This Row],[Model]],表格3[Model-Input-Ref2],表格3[Code])</f>
        <v>SDA</v>
      </c>
      <c r="K2801" s="89" t="s">
        <v>1267</v>
      </c>
      <c r="L2801" s="86">
        <v>1</v>
      </c>
      <c r="M2801" s="87">
        <v>799</v>
      </c>
      <c r="N2801" s="87">
        <f>IFERROR(表格1[[#This Row],[QTY]]*表格1[[#This Row],[Unit Price]],"-")</f>
        <v>799</v>
      </c>
      <c r="O2801" s="86">
        <v>324037</v>
      </c>
      <c r="R2801" s="86" t="str">
        <f>_xlfn.CONCAT(表格1[[#This Row],[Model]]," ",表格1[[#This Row],[inv no]])</f>
        <v>RC-18NMFIH(WT) 324037</v>
      </c>
      <c r="S2801" s="86">
        <f>_xlfn.XLOOKUP(表格1[[#This Row],[Model]],表格3[Model-Input-Ref2],表格3[SRP PRICE])</f>
        <v>998</v>
      </c>
      <c r="T2801" s="43">
        <f>表格1[[#This Row],[Unit Price]]/表格1[[#This Row],[SRP]]</f>
        <v>0.80060120240480959</v>
      </c>
      <c r="U2801" s="86" t="str">
        <f>_xlfn.XLOOKUP(表格1[[#This Row],[Model]],表格3[Model-Input-Ref2],表格3[TOSHIBA/HIGHEST])</f>
        <v>Toshiba SRP</v>
      </c>
      <c r="W2801" s="86" t="str">
        <f>_xlfn.CONCAT(表格1[[#This Row],[欄4]],表格1[[#This Row],[inv no]])</f>
        <v>324037</v>
      </c>
    </row>
    <row r="2802" spans="1:23" hidden="1">
      <c r="A2802" s="81">
        <v>2800</v>
      </c>
      <c r="B2802" s="86" t="s">
        <v>1366</v>
      </c>
      <c r="C2802" s="86" t="s">
        <v>1870</v>
      </c>
      <c r="D2802" s="82" t="str">
        <f ca="1">OFFSET(Roster!$A$3,MATCH(表格1[[#This Row],[Location]]&amp;" "&amp;表格1[[#This Row],[Shop]]&amp;"*",Roster!$A$4:$A$72,0),DAY(表格1[[#This Row],[date]]),1,1)</f>
        <v>Gloria</v>
      </c>
      <c r="E2802" s="86">
        <f>MONTH(表格1[[#This Row],[date]])</f>
        <v>3</v>
      </c>
      <c r="F2802" s="90">
        <v>46096</v>
      </c>
      <c r="G2802" s="86" t="str">
        <f>VLOOKUP("*"&amp;表格1[[#This Row],[Input]]&amp;"*",'Ref-List'!$B:$D,2,)</f>
        <v>RC-18NMFIH(WT)</v>
      </c>
      <c r="H2802" s="86" t="str">
        <f>_xlfn.XLOOKUP(表格1[[#This Row],[Model]],表格3[Model-Input-Ref2],表格3[Product Line])</f>
        <v>4毫米厚釜電飯煲1.8L</v>
      </c>
      <c r="I2802" s="86" t="str">
        <f>_xlfn.XLOOKUP(表格1[[#This Row],[Model]],表格3[Model-Input-Ref2],表格3[大小電])</f>
        <v>細電</v>
      </c>
      <c r="J2802" s="86" t="str">
        <f>_xlfn.XLOOKUP(表格1[[#This Row],[Model]],表格3[Model-Input-Ref2],表格3[Code])</f>
        <v>SDA</v>
      </c>
      <c r="K2802" s="89" t="s">
        <v>1267</v>
      </c>
      <c r="L2802" s="86">
        <v>1</v>
      </c>
      <c r="M2802" s="87">
        <v>799</v>
      </c>
      <c r="N2802" s="87">
        <f>IFERROR(表格1[[#This Row],[QTY]]*表格1[[#This Row],[Unit Price]],"-")</f>
        <v>799</v>
      </c>
      <c r="O2802" s="86">
        <v>324272</v>
      </c>
      <c r="R2802" s="86" t="str">
        <f>_xlfn.CONCAT(表格1[[#This Row],[Model]]," ",表格1[[#This Row],[inv no]])</f>
        <v>RC-18NMFIH(WT) 324272</v>
      </c>
      <c r="S2802" s="86">
        <f>_xlfn.XLOOKUP(表格1[[#This Row],[Model]],表格3[Model-Input-Ref2],表格3[SRP PRICE])</f>
        <v>998</v>
      </c>
      <c r="T2802" s="43">
        <f>表格1[[#This Row],[Unit Price]]/表格1[[#This Row],[SRP]]</f>
        <v>0.80060120240480959</v>
      </c>
      <c r="U2802" s="86" t="str">
        <f>_xlfn.XLOOKUP(表格1[[#This Row],[Model]],表格3[Model-Input-Ref2],表格3[TOSHIBA/HIGHEST])</f>
        <v>Toshiba SRP</v>
      </c>
      <c r="W2802" s="86" t="str">
        <f>_xlfn.CONCAT(表格1[[#This Row],[欄4]],表格1[[#This Row],[inv no]])</f>
        <v>324272</v>
      </c>
    </row>
    <row r="2803" spans="1:23" hidden="1">
      <c r="A2803" s="81">
        <v>2801</v>
      </c>
      <c r="B2803" s="86" t="s">
        <v>1366</v>
      </c>
      <c r="C2803" s="86" t="s">
        <v>1870</v>
      </c>
      <c r="D2803" s="82" t="str">
        <f ca="1">OFFSET(Roster!$A$3,MATCH(表格1[[#This Row],[Location]]&amp;" "&amp;表格1[[#This Row],[Shop]]&amp;"*",Roster!$A$4:$A$72,0),DAY(表格1[[#This Row],[date]]),1,1)</f>
        <v>Gloria</v>
      </c>
      <c r="E2803" s="86">
        <f>MONTH(表格1[[#This Row],[date]])</f>
        <v>3</v>
      </c>
      <c r="F2803" s="90">
        <v>46096</v>
      </c>
      <c r="G2803" s="86" t="str">
        <f>VLOOKUP("*"&amp;表格1[[#This Row],[Input]]&amp;"*",'Ref-List'!$B:$D,2,)</f>
        <v>RC-DR10T(W)</v>
      </c>
      <c r="H2803" s="86" t="str">
        <f>_xlfn.XLOOKUP(表格1[[#This Row],[Model]],表格3[Model-Input-Ref2],表格3[Product Line])</f>
        <v>IH磁應電飯煲</v>
      </c>
      <c r="I2803" s="86" t="str">
        <f>_xlfn.XLOOKUP(表格1[[#This Row],[Model]],表格3[Model-Input-Ref2],表格3[大小電])</f>
        <v>細電</v>
      </c>
      <c r="J2803" s="86" t="str">
        <f>_xlfn.XLOOKUP(表格1[[#This Row],[Model]],表格3[Model-Input-Ref2],表格3[Code])</f>
        <v>SDA</v>
      </c>
      <c r="K2803" s="89" t="s">
        <v>1294</v>
      </c>
      <c r="L2803" s="86">
        <v>1</v>
      </c>
      <c r="M2803" s="87">
        <v>2380</v>
      </c>
      <c r="N2803" s="87">
        <f>IFERROR(表格1[[#This Row],[QTY]]*表格1[[#This Row],[Unit Price]],"-")</f>
        <v>2380</v>
      </c>
      <c r="O2803" s="86">
        <v>419830</v>
      </c>
      <c r="R2803" s="86" t="str">
        <f>_xlfn.CONCAT(表格1[[#This Row],[Model]]," ",表格1[[#This Row],[inv no]])</f>
        <v>RC-DR10T(W) 419830</v>
      </c>
      <c r="S2803" s="86">
        <f>_xlfn.XLOOKUP(表格1[[#This Row],[Model]],表格3[Model-Input-Ref2],表格3[SRP PRICE])</f>
        <v>3188</v>
      </c>
      <c r="T2803" s="43">
        <f>表格1[[#This Row],[Unit Price]]/表格1[[#This Row],[SRP]]</f>
        <v>0.74654956085319946</v>
      </c>
      <c r="U2803" s="86" t="str">
        <f>_xlfn.XLOOKUP(表格1[[#This Row],[Model]],表格3[Model-Input-Ref2],表格3[TOSHIBA/HIGHEST])</f>
        <v>Toshiba SRP</v>
      </c>
      <c r="W2803" s="86" t="str">
        <f>_xlfn.CONCAT(表格1[[#This Row],[欄4]],表格1[[#This Row],[inv no]])</f>
        <v>419830</v>
      </c>
    </row>
    <row r="2804" spans="1:23" hidden="1">
      <c r="A2804" s="81">
        <v>2802</v>
      </c>
      <c r="B2804" s="86" t="s">
        <v>1366</v>
      </c>
      <c r="C2804" s="86" t="s">
        <v>1870</v>
      </c>
      <c r="D2804" s="82" t="str">
        <f ca="1">OFFSET(Roster!$A$3,MATCH(表格1[[#This Row],[Location]]&amp;" "&amp;表格1[[#This Row],[Shop]]&amp;"*",Roster!$A$4:$A$72,0),DAY(表格1[[#This Row],[date]]),1,1)</f>
        <v>Gloria</v>
      </c>
      <c r="E2804" s="86">
        <f>MONTH(表格1[[#This Row],[date]])</f>
        <v>3</v>
      </c>
      <c r="F2804" s="90">
        <v>46096</v>
      </c>
      <c r="G2804" s="86" t="str">
        <f>VLOOKUP("*"&amp;表格1[[#This Row],[Input]]&amp;"*",'Ref-List'!$B:$D,2,)</f>
        <v>TW-T22BU95UWH(WK)-B</v>
      </c>
      <c r="H2804" s="86" t="str">
        <f>_xlfn.XLOOKUP(表格1[[#This Row],[Model]],表格3[Model-Input-Ref2],表格3[Product Line])</f>
        <v>470MM超薄身前置式變頻洗衣機(8.5公斤, 可飛頂)</v>
      </c>
      <c r="I2804" s="86" t="str">
        <f>_xlfn.XLOOKUP(表格1[[#This Row],[Model]],表格3[Model-Input-Ref2],表格3[大小電])</f>
        <v>大電</v>
      </c>
      <c r="J2804" s="86" t="str">
        <f>_xlfn.XLOOKUP(表格1[[#This Row],[Model]],表格3[Model-Input-Ref2],表格3[Code])</f>
        <v>LAD</v>
      </c>
      <c r="K2804" s="89" t="s">
        <v>969</v>
      </c>
      <c r="L2804" s="86">
        <v>1</v>
      </c>
      <c r="M2804" s="87">
        <v>3680</v>
      </c>
      <c r="N2804" s="87">
        <f>IFERROR(表格1[[#This Row],[QTY]]*表格1[[#This Row],[Unit Price]],"-")</f>
        <v>3680</v>
      </c>
      <c r="O2804" s="86">
        <v>419830</v>
      </c>
      <c r="R2804" s="86" t="str">
        <f>_xlfn.CONCAT(表格1[[#This Row],[Model]]," ",表格1[[#This Row],[inv no]])</f>
        <v>TW-T22BU95UWH(WK)-B 419830</v>
      </c>
      <c r="S2804" s="86">
        <f>_xlfn.XLOOKUP(表格1[[#This Row],[Model]],表格3[Model-Input-Ref2],表格3[SRP PRICE])</f>
        <v>5880</v>
      </c>
      <c r="T2804" s="43">
        <f>表格1[[#This Row],[Unit Price]]/表格1[[#This Row],[SRP]]</f>
        <v>0.62585034013605445</v>
      </c>
      <c r="U2804" s="86" t="str">
        <f>_xlfn.XLOOKUP(表格1[[#This Row],[Model]],表格3[Model-Input-Ref2],表格3[TOSHIBA/HIGHEST])</f>
        <v>Toshiba SRP</v>
      </c>
      <c r="W2804" s="86" t="str">
        <f>_xlfn.CONCAT(表格1[[#This Row],[欄4]],表格1[[#This Row],[inv no]])</f>
        <v>419830</v>
      </c>
    </row>
    <row r="2805" spans="1:23" hidden="1">
      <c r="A2805" s="81">
        <v>2803</v>
      </c>
      <c r="B2805" s="86" t="s">
        <v>1366</v>
      </c>
      <c r="C2805" s="86" t="s">
        <v>1870</v>
      </c>
      <c r="D2805" s="82" t="str">
        <f ca="1">OFFSET(Roster!$A$3,MATCH(表格1[[#This Row],[Location]]&amp;" "&amp;表格1[[#This Row],[Shop]]&amp;"*",Roster!$A$4:$A$72,0),DAY(表格1[[#This Row],[date]]),1,1)</f>
        <v>Gloria</v>
      </c>
      <c r="E2805" s="86">
        <f>MONTH(表格1[[#This Row],[date]])</f>
        <v>3</v>
      </c>
      <c r="F2805" s="90">
        <v>46099</v>
      </c>
      <c r="G2805" s="86" t="str">
        <f>VLOOKUP("*"&amp;表格1[[#This Row],[Input]]&amp;"*",'Ref-List'!$B:$D,2,)</f>
        <v>RC-5SLIH(W)</v>
      </c>
      <c r="H2805" s="86" t="str">
        <f>_xlfn.XLOOKUP(表格1[[#This Row],[Model]],表格3[Model-Input-Ref2],表格3[Product Line])</f>
        <v>微型電腦珍珠飯煲</v>
      </c>
      <c r="I2805" s="86" t="str">
        <f>_xlfn.XLOOKUP(表格1[[#This Row],[Model]],表格3[Model-Input-Ref2],表格3[大小電])</f>
        <v>細電</v>
      </c>
      <c r="J2805" s="86" t="str">
        <f>_xlfn.XLOOKUP(表格1[[#This Row],[Model]],表格3[Model-Input-Ref2],表格3[Code])</f>
        <v>SDA</v>
      </c>
      <c r="K2805" s="89" t="s">
        <v>1264</v>
      </c>
      <c r="L2805" s="86">
        <v>1</v>
      </c>
      <c r="M2805" s="87">
        <v>593</v>
      </c>
      <c r="N2805" s="87">
        <f>IFERROR(表格1[[#This Row],[QTY]]*表格1[[#This Row],[Unit Price]],"-")</f>
        <v>593</v>
      </c>
      <c r="O2805" s="86">
        <v>324934</v>
      </c>
      <c r="R2805" s="86" t="str">
        <f>_xlfn.CONCAT(表格1[[#This Row],[Model]]," ",表格1[[#This Row],[inv no]])</f>
        <v>RC-5SLIH(W) 324934</v>
      </c>
      <c r="S2805" s="86">
        <f>_xlfn.XLOOKUP(表格1[[#This Row],[Model]],表格3[Model-Input-Ref2],表格3[SRP PRICE])</f>
        <v>658</v>
      </c>
      <c r="T2805" s="43">
        <f>表格1[[#This Row],[Unit Price]]/表格1[[#This Row],[SRP]]</f>
        <v>0.90121580547112456</v>
      </c>
      <c r="U2805" s="86" t="str">
        <f>_xlfn.XLOOKUP(表格1[[#This Row],[Model]],表格3[Model-Input-Ref2],表格3[TOSHIBA/HIGHEST])</f>
        <v>Toshiba SRP</v>
      </c>
      <c r="W2805" s="86" t="str">
        <f>_xlfn.CONCAT(表格1[[#This Row],[欄4]],表格1[[#This Row],[inv no]])</f>
        <v>324934</v>
      </c>
    </row>
    <row r="2806" spans="1:23" hidden="1">
      <c r="A2806" s="81">
        <v>2804</v>
      </c>
      <c r="B2806" s="86" t="s">
        <v>1366</v>
      </c>
      <c r="C2806" s="86" t="s">
        <v>1870</v>
      </c>
      <c r="D2806" s="82" t="str">
        <f ca="1">OFFSET(Roster!$A$3,MATCH(表格1[[#This Row],[Location]]&amp;" "&amp;表格1[[#This Row],[Shop]]&amp;"*",Roster!$A$4:$A$72,0),DAY(表格1[[#This Row],[date]]),1,1)</f>
        <v>Gloria</v>
      </c>
      <c r="E2806" s="86">
        <f>MONTH(表格1[[#This Row],[date]])</f>
        <v>3</v>
      </c>
      <c r="F2806" s="90">
        <v>46099</v>
      </c>
      <c r="G2806" s="86" t="str">
        <f>VLOOKUP("*"&amp;表格1[[#This Row],[Input]]&amp;"*",'Ref-List'!$B:$D,2,)</f>
        <v>AW-Q901BPH(WW)</v>
      </c>
      <c r="H2806" s="86" t="str">
        <f>_xlfn.XLOOKUP(表格1[[#This Row],[Model]],表格3[Model-Input-Ref2],表格3[Product Line])</f>
        <v>日式洗衣機 (8公斤 結合高低水位)</v>
      </c>
      <c r="I2806" s="86" t="str">
        <f>_xlfn.XLOOKUP(表格1[[#This Row],[Model]],表格3[Model-Input-Ref2],表格3[大小電])</f>
        <v>大電</v>
      </c>
      <c r="J2806" s="86" t="str">
        <f>_xlfn.XLOOKUP(表格1[[#This Row],[Model]],表格3[Model-Input-Ref2],表格3[Code])</f>
        <v>LAD</v>
      </c>
      <c r="K2806" s="89" t="s">
        <v>1411</v>
      </c>
      <c r="L2806" s="86">
        <v>1</v>
      </c>
      <c r="M2806" s="87">
        <v>2280</v>
      </c>
      <c r="N2806" s="87">
        <f>IFERROR(表格1[[#This Row],[QTY]]*表格1[[#This Row],[Unit Price]],"-")</f>
        <v>2280</v>
      </c>
      <c r="O2806" s="86">
        <v>420792</v>
      </c>
      <c r="R2806" s="86" t="str">
        <f>_xlfn.CONCAT(表格1[[#This Row],[Model]]," ",表格1[[#This Row],[inv no]])</f>
        <v>AW-Q901BPH(WW) 420792</v>
      </c>
      <c r="S2806" s="86">
        <f>_xlfn.XLOOKUP(表格1[[#This Row],[Model]],表格3[Model-Input-Ref2],表格3[SRP PRICE])</f>
        <v>3780</v>
      </c>
      <c r="T2806" s="43">
        <f>表格1[[#This Row],[Unit Price]]/表格1[[#This Row],[SRP]]</f>
        <v>0.60317460317460314</v>
      </c>
      <c r="U2806" s="86" t="str">
        <f>_xlfn.XLOOKUP(表格1[[#This Row],[Model]],表格3[Model-Input-Ref2],表格3[TOSHIBA/HIGHEST])</f>
        <v>Toshiba SRP</v>
      </c>
      <c r="W2806" s="86" t="str">
        <f>_xlfn.CONCAT(表格1[[#This Row],[欄4]],表格1[[#This Row],[inv no]])</f>
        <v>420792</v>
      </c>
    </row>
    <row r="2807" spans="1:23" hidden="1">
      <c r="A2807" s="81">
        <v>2805</v>
      </c>
      <c r="B2807" s="86" t="s">
        <v>1366</v>
      </c>
      <c r="C2807" s="86" t="s">
        <v>1870</v>
      </c>
      <c r="D2807" s="82" t="str">
        <f ca="1">OFFSET(Roster!$A$3,MATCH(表格1[[#This Row],[Location]]&amp;" "&amp;表格1[[#This Row],[Shop]]&amp;"*",Roster!$A$4:$A$72,0),DAY(表格1[[#This Row],[date]]),1,1)</f>
        <v>Gloria</v>
      </c>
      <c r="E2807" s="86">
        <f>MONTH(表格1[[#This Row],[date]])</f>
        <v>3</v>
      </c>
      <c r="F2807" s="90">
        <v>46099</v>
      </c>
      <c r="G2807" s="86" t="str">
        <f>VLOOKUP("*"&amp;表格1[[#This Row],[Input]]&amp;"*",'Ref-List'!$B:$D,2,)</f>
        <v>TW-T22BU95UWH(WK)-B</v>
      </c>
      <c r="H2807" s="86" t="str">
        <f>_xlfn.XLOOKUP(表格1[[#This Row],[Model]],表格3[Model-Input-Ref2],表格3[Product Line])</f>
        <v>470MM超薄身前置式變頻洗衣機(8.5公斤, 可飛頂)</v>
      </c>
      <c r="I2807" s="86" t="str">
        <f>_xlfn.XLOOKUP(表格1[[#This Row],[Model]],表格3[Model-Input-Ref2],表格3[大小電])</f>
        <v>大電</v>
      </c>
      <c r="J2807" s="86" t="str">
        <f>_xlfn.XLOOKUP(表格1[[#This Row],[Model]],表格3[Model-Input-Ref2],表格3[Code])</f>
        <v>LAD</v>
      </c>
      <c r="K2807" s="89" t="s">
        <v>969</v>
      </c>
      <c r="L2807" s="86">
        <v>1</v>
      </c>
      <c r="M2807" s="87">
        <v>3680</v>
      </c>
      <c r="N2807" s="87">
        <f>IFERROR(表格1[[#This Row],[QTY]]*表格1[[#This Row],[Unit Price]],"-")</f>
        <v>3680</v>
      </c>
      <c r="O2807" s="86">
        <v>420743</v>
      </c>
      <c r="R2807" s="86" t="str">
        <f>_xlfn.CONCAT(表格1[[#This Row],[Model]]," ",表格1[[#This Row],[inv no]])</f>
        <v>TW-T22BU95UWH(WK)-B 420743</v>
      </c>
      <c r="S2807" s="86">
        <f>_xlfn.XLOOKUP(表格1[[#This Row],[Model]],表格3[Model-Input-Ref2],表格3[SRP PRICE])</f>
        <v>5880</v>
      </c>
      <c r="T2807" s="43">
        <f>表格1[[#This Row],[Unit Price]]/表格1[[#This Row],[SRP]]</f>
        <v>0.62585034013605445</v>
      </c>
      <c r="U2807" s="86" t="str">
        <f>_xlfn.XLOOKUP(表格1[[#This Row],[Model]],表格3[Model-Input-Ref2],表格3[TOSHIBA/HIGHEST])</f>
        <v>Toshiba SRP</v>
      </c>
      <c r="W2807" s="86" t="str">
        <f>_xlfn.CONCAT(表格1[[#This Row],[欄4]],表格1[[#This Row],[inv no]])</f>
        <v>420743</v>
      </c>
    </row>
    <row r="2808" spans="1:23" hidden="1">
      <c r="A2808" s="81">
        <v>2806</v>
      </c>
      <c r="B2808" s="86" t="s">
        <v>1366</v>
      </c>
      <c r="C2808" s="86" t="s">
        <v>1870</v>
      </c>
      <c r="D2808" s="82" t="str">
        <f ca="1">OFFSET(Roster!$A$3,MATCH(表格1[[#This Row],[Location]]&amp;" "&amp;表格1[[#This Row],[Shop]]&amp;"*",Roster!$A$4:$A$72,0),DAY(表格1[[#This Row],[date]]),1,1)</f>
        <v>Gloria</v>
      </c>
      <c r="E2808" s="86">
        <f>MONTH(表格1[[#This Row],[date]])</f>
        <v>3</v>
      </c>
      <c r="F2808" s="90">
        <v>46100</v>
      </c>
      <c r="G2808" s="86" t="str">
        <f>VLOOKUP("*"&amp;表格1[[#This Row],[Input]]&amp;"*",'Ref-List'!$B:$D,2,)</f>
        <v>RC-10JRUH(N)</v>
      </c>
      <c r="H2808" s="86" t="str">
        <f>_xlfn.XLOOKUP(表格1[[#This Row],[Model]],表格3[Model-Input-Ref2],表格3[Product Line])</f>
        <v>電飯煲</v>
      </c>
      <c r="I2808" s="86" t="str">
        <f>_xlfn.XLOOKUP(表格1[[#This Row],[Model]],表格3[Model-Input-Ref2],表格3[大小電])</f>
        <v>細電</v>
      </c>
      <c r="J2808" s="86" t="str">
        <f>_xlfn.XLOOKUP(表格1[[#This Row],[Model]],表格3[Model-Input-Ref2],表格3[Code])</f>
        <v>SDA</v>
      </c>
      <c r="K2808" s="89" t="s">
        <v>1263</v>
      </c>
      <c r="L2808" s="86">
        <v>1</v>
      </c>
      <c r="M2808" s="87">
        <v>328</v>
      </c>
      <c r="N2808" s="87">
        <f>IFERROR(表格1[[#This Row],[QTY]]*表格1[[#This Row],[Unit Price]],"-")</f>
        <v>328</v>
      </c>
      <c r="O2808" s="86">
        <v>324993</v>
      </c>
      <c r="R2808" s="86" t="str">
        <f>_xlfn.CONCAT(表格1[[#This Row],[Model]]," ",表格1[[#This Row],[inv no]])</f>
        <v>RC-10JRUH(N) 324993</v>
      </c>
      <c r="S2808" s="86">
        <f>_xlfn.XLOOKUP(表格1[[#This Row],[Model]],表格3[Model-Input-Ref2],表格3[SRP PRICE])</f>
        <v>398</v>
      </c>
      <c r="T2808" s="43">
        <f>表格1[[#This Row],[Unit Price]]/表格1[[#This Row],[SRP]]</f>
        <v>0.82412060301507539</v>
      </c>
      <c r="U2808" s="86" t="str">
        <f>_xlfn.XLOOKUP(表格1[[#This Row],[Model]],表格3[Model-Input-Ref2],表格3[TOSHIBA/HIGHEST])</f>
        <v>Shops Highest Price</v>
      </c>
      <c r="W2808" s="86" t="str">
        <f>_xlfn.CONCAT(表格1[[#This Row],[欄4]],表格1[[#This Row],[inv no]])</f>
        <v>324993</v>
      </c>
    </row>
    <row r="2809" spans="1:23" hidden="1">
      <c r="A2809" s="81">
        <v>2807</v>
      </c>
      <c r="B2809" s="86" t="s">
        <v>1366</v>
      </c>
      <c r="C2809" s="86" t="s">
        <v>1870</v>
      </c>
      <c r="D2809" s="82" t="str">
        <f ca="1">OFFSET(Roster!$A$3,MATCH(表格1[[#This Row],[Location]]&amp;" "&amp;表格1[[#This Row],[Shop]]&amp;"*",Roster!$A$4:$A$72,0),DAY(表格1[[#This Row],[date]]),1,1)</f>
        <v>Gloria</v>
      </c>
      <c r="E2809" s="86">
        <f>MONTH(表格1[[#This Row],[date]])</f>
        <v>3</v>
      </c>
      <c r="F2809" s="90">
        <v>46100</v>
      </c>
      <c r="G2809" s="86" t="str">
        <f>VLOOKUP("*"&amp;表格1[[#This Row],[Input]]&amp;"*",'Ref-List'!$B:$D,2,)</f>
        <v>RC-18NMFIH(WT)</v>
      </c>
      <c r="H2809" s="86" t="str">
        <f>_xlfn.XLOOKUP(表格1[[#This Row],[Model]],表格3[Model-Input-Ref2],表格3[Product Line])</f>
        <v>4毫米厚釜電飯煲1.8L</v>
      </c>
      <c r="I2809" s="86" t="str">
        <f>_xlfn.XLOOKUP(表格1[[#This Row],[Model]],表格3[Model-Input-Ref2],表格3[大小電])</f>
        <v>細電</v>
      </c>
      <c r="J2809" s="86" t="str">
        <f>_xlfn.XLOOKUP(表格1[[#This Row],[Model]],表格3[Model-Input-Ref2],表格3[Code])</f>
        <v>SDA</v>
      </c>
      <c r="K2809" s="89" t="s">
        <v>1267</v>
      </c>
      <c r="L2809" s="86">
        <v>1</v>
      </c>
      <c r="M2809" s="87">
        <v>799</v>
      </c>
      <c r="N2809" s="87">
        <f>IFERROR(表格1[[#This Row],[QTY]]*表格1[[#This Row],[Unit Price]],"-")</f>
        <v>799</v>
      </c>
      <c r="O2809" s="142">
        <v>325040</v>
      </c>
      <c r="R2809" s="86" t="str">
        <f>_xlfn.CONCAT(表格1[[#This Row],[Model]]," ",表格1[[#This Row],[inv no]])</f>
        <v>RC-18NMFIH(WT) 325040</v>
      </c>
      <c r="S2809" s="86">
        <f>_xlfn.XLOOKUP(表格1[[#This Row],[Model]],表格3[Model-Input-Ref2],表格3[SRP PRICE])</f>
        <v>998</v>
      </c>
      <c r="T2809" s="43">
        <f>表格1[[#This Row],[Unit Price]]/表格1[[#This Row],[SRP]]</f>
        <v>0.80060120240480959</v>
      </c>
      <c r="U2809" s="86" t="str">
        <f>_xlfn.XLOOKUP(表格1[[#This Row],[Model]],表格3[Model-Input-Ref2],表格3[TOSHIBA/HIGHEST])</f>
        <v>Toshiba SRP</v>
      </c>
      <c r="W2809" s="86" t="str">
        <f>_xlfn.CONCAT(表格1[[#This Row],[欄4]],表格1[[#This Row],[inv no]])</f>
        <v>325040</v>
      </c>
    </row>
    <row r="2810" spans="1:23" hidden="1">
      <c r="A2810" s="81">
        <v>2808</v>
      </c>
      <c r="B2810" s="86" t="s">
        <v>1366</v>
      </c>
      <c r="C2810" s="86" t="s">
        <v>1870</v>
      </c>
      <c r="D2810" s="82" t="str">
        <f ca="1">OFFSET(Roster!$A$3,MATCH(表格1[[#This Row],[Location]]&amp;" "&amp;表格1[[#This Row],[Shop]]&amp;"*",Roster!$A$4:$A$72,0),DAY(表格1[[#This Row],[date]]),1,1)</f>
        <v>Gloria</v>
      </c>
      <c r="E2810" s="86">
        <f>MONTH(表格1[[#This Row],[date]])</f>
        <v>3</v>
      </c>
      <c r="F2810" s="90">
        <v>46100</v>
      </c>
      <c r="G2810" s="86" t="str">
        <f>VLOOKUP("*"&amp;表格1[[#This Row],[Input]]&amp;"*",'Ref-List'!$B:$D,2,)</f>
        <v>GR-RM612WE-PGA(B5)</v>
      </c>
      <c r="H2810" s="86" t="str">
        <f>_xlfn.XLOOKUP(表格1[[#This Row],[Model]],表格3[Model-Input-Ref2],表格3[Product Line])</f>
        <v>變頻五門雪櫃(375L)</v>
      </c>
      <c r="I2810" s="86" t="str">
        <f>_xlfn.XLOOKUP(表格1[[#This Row],[Model]],表格3[Model-Input-Ref2],表格3[大小電])</f>
        <v>大電</v>
      </c>
      <c r="J2810" s="86" t="str">
        <f>_xlfn.XLOOKUP(表格1[[#This Row],[Model]],表格3[Model-Input-Ref2],表格3[Code])</f>
        <v>REF</v>
      </c>
      <c r="K2810" s="89" t="s">
        <v>1257</v>
      </c>
      <c r="L2810" s="86">
        <v>1</v>
      </c>
      <c r="M2810" s="87">
        <v>9980</v>
      </c>
      <c r="N2810" s="87">
        <f>IFERROR(表格1[[#This Row],[QTY]]*表格1[[#This Row],[Unit Price]],"-")</f>
        <v>9980</v>
      </c>
      <c r="O2810" s="142" t="s">
        <v>1897</v>
      </c>
      <c r="R2810" s="86" t="str">
        <f>_xlfn.CONCAT(表格1[[#This Row],[Model]]," ",表格1[[#This Row],[inv no]])</f>
        <v>GR-RM612WE-PGA(B5) 091313</v>
      </c>
      <c r="S2810" s="86">
        <f>_xlfn.XLOOKUP(表格1[[#This Row],[Model]],表格3[Model-Input-Ref2],表格3[SRP PRICE])</f>
        <v>11000</v>
      </c>
      <c r="T2810" s="43">
        <f>表格1[[#This Row],[Unit Price]]/表格1[[#This Row],[SRP]]</f>
        <v>0.90727272727272723</v>
      </c>
      <c r="U2810" s="86" t="str">
        <f>_xlfn.XLOOKUP(表格1[[#This Row],[Model]],表格3[Model-Input-Ref2],表格3[TOSHIBA/HIGHEST])</f>
        <v>Shops Highest Price</v>
      </c>
      <c r="W2810" s="86" t="str">
        <f>_xlfn.CONCAT(表格1[[#This Row],[欄4]],表格1[[#This Row],[inv no]])</f>
        <v>091313</v>
      </c>
    </row>
    <row r="2811" spans="1:23" hidden="1">
      <c r="A2811" s="81">
        <v>2809</v>
      </c>
      <c r="B2811" s="86" t="s">
        <v>1366</v>
      </c>
      <c r="C2811" s="86" t="s">
        <v>1870</v>
      </c>
      <c r="D2811" s="82" t="str">
        <f ca="1">OFFSET(Roster!$A$3,MATCH(表格1[[#This Row],[Location]]&amp;" "&amp;表格1[[#This Row],[Shop]]&amp;"*",Roster!$A$4:$A$72,0),DAY(表格1[[#This Row],[date]]),1,1)</f>
        <v>Gloria</v>
      </c>
      <c r="E2811" s="86">
        <f>MONTH(表格1[[#This Row],[date]])</f>
        <v>3</v>
      </c>
      <c r="F2811" s="90">
        <v>46101</v>
      </c>
      <c r="G2811" s="86" t="str">
        <f>VLOOKUP("*"&amp;表格1[[#This Row],[Input]]&amp;"*",'Ref-List'!$B:$D,2,)</f>
        <v>KT-15DRTHK(W)</v>
      </c>
      <c r="H2811" s="86" t="str">
        <f>_xlfn.XLOOKUP(表格1[[#This Row],[Model]],表格3[Model-Input-Ref2],表格3[Product Line])</f>
        <v>無線雙層電熱水壺-附可鎖壺蓋</v>
      </c>
      <c r="I2811" s="86" t="str">
        <f>_xlfn.XLOOKUP(表格1[[#This Row],[Model]],表格3[Model-Input-Ref2],表格3[大小電])</f>
        <v>細電</v>
      </c>
      <c r="J2811" s="86" t="str">
        <f>_xlfn.XLOOKUP(表格1[[#This Row],[Model]],表格3[Model-Input-Ref2],表格3[Code])</f>
        <v>SDA</v>
      </c>
      <c r="K2811" s="89" t="s">
        <v>1278</v>
      </c>
      <c r="L2811" s="86">
        <v>1</v>
      </c>
      <c r="M2811" s="87">
        <v>358</v>
      </c>
      <c r="N2811" s="87">
        <f>IFERROR(表格1[[#This Row],[QTY]]*表格1[[#This Row],[Unit Price]],"-")</f>
        <v>358</v>
      </c>
      <c r="O2811" s="142" t="s">
        <v>1898</v>
      </c>
      <c r="R2811" s="86" t="str">
        <f>_xlfn.CONCAT(表格1[[#This Row],[Model]]," ",表格1[[#This Row],[inv no]])</f>
        <v>KT-15DRTHK(W) 091413</v>
      </c>
      <c r="S2811" s="86">
        <f>_xlfn.XLOOKUP(表格1[[#This Row],[Model]],表格3[Model-Input-Ref2],表格3[SRP PRICE])</f>
        <v>598</v>
      </c>
      <c r="T2811" s="43">
        <f>表格1[[#This Row],[Unit Price]]/表格1[[#This Row],[SRP]]</f>
        <v>0.59866220735785958</v>
      </c>
      <c r="U2811" s="86" t="str">
        <f>_xlfn.XLOOKUP(表格1[[#This Row],[Model]],表格3[Model-Input-Ref2],表格3[TOSHIBA/HIGHEST])</f>
        <v>Toshiba SRP</v>
      </c>
      <c r="W2811" s="86" t="str">
        <f>_xlfn.CONCAT(表格1[[#This Row],[欄4]],表格1[[#This Row],[inv no]])</f>
        <v>091413</v>
      </c>
    </row>
    <row r="2812" spans="1:23" hidden="1">
      <c r="A2812" s="81">
        <v>2810</v>
      </c>
      <c r="B2812" s="86" t="s">
        <v>1366</v>
      </c>
      <c r="C2812" s="86" t="s">
        <v>1870</v>
      </c>
      <c r="D2812" s="82" t="str">
        <f ca="1">OFFSET(Roster!$A$3,MATCH(表格1[[#This Row],[Location]]&amp;" "&amp;表格1[[#This Row],[Shop]]&amp;"*",Roster!$A$4:$A$72,0),DAY(表格1[[#This Row],[date]]),1,1)</f>
        <v>Gloria</v>
      </c>
      <c r="E2812" s="86">
        <f>MONTH(表格1[[#This Row],[date]])</f>
        <v>3</v>
      </c>
      <c r="F2812" s="90">
        <v>46101</v>
      </c>
      <c r="G2812" s="86" t="str">
        <f>VLOOKUP("*"&amp;表格1[[#This Row],[Input]]&amp;"*",'Ref-List'!$B:$D,2,)</f>
        <v>RC-DS10K(N)</v>
      </c>
      <c r="H2812" s="86" t="str">
        <f>_xlfn.XLOOKUP(表格1[[#This Row],[Model]],表格3[Model-Input-Ref2],表格3[Product Line])</f>
        <v>IH磁應電飯煲</v>
      </c>
      <c r="I2812" s="86" t="str">
        <f>_xlfn.XLOOKUP(表格1[[#This Row],[Model]],表格3[Model-Input-Ref2],表格3[大小電])</f>
        <v>細電</v>
      </c>
      <c r="J2812" s="86" t="str">
        <f>_xlfn.XLOOKUP(表格1[[#This Row],[Model]],表格3[Model-Input-Ref2],表格3[Code])</f>
        <v>SDA</v>
      </c>
      <c r="K2812" s="89" t="s">
        <v>1633</v>
      </c>
      <c r="L2812" s="86">
        <v>1</v>
      </c>
      <c r="M2812" s="87">
        <v>3150</v>
      </c>
      <c r="N2812" s="87">
        <f>IFERROR(表格1[[#This Row],[QTY]]*表格1[[#This Row],[Unit Price]],"-")</f>
        <v>3150</v>
      </c>
      <c r="O2812" s="142" t="s">
        <v>1899</v>
      </c>
      <c r="R2812" s="86" t="str">
        <f>_xlfn.CONCAT(表格1[[#This Row],[Model]]," ",表格1[[#This Row],[inv no]])</f>
        <v>RC-DS10K(N) 091447</v>
      </c>
      <c r="S2812" s="86">
        <f>_xlfn.XLOOKUP(表格1[[#This Row],[Model]],表格3[Model-Input-Ref2],表格3[SRP PRICE])</f>
        <v>4588</v>
      </c>
      <c r="T2812" s="43">
        <f>表格1[[#This Row],[Unit Price]]/表格1[[#This Row],[SRP]]</f>
        <v>0.68657367044463824</v>
      </c>
      <c r="U2812" s="86" t="str">
        <f>_xlfn.XLOOKUP(表格1[[#This Row],[Model]],表格3[Model-Input-Ref2],表格3[TOSHIBA/HIGHEST])</f>
        <v>Toshiba SRP</v>
      </c>
      <c r="W2812" s="86" t="str">
        <f>_xlfn.CONCAT(表格1[[#This Row],[欄4]],表格1[[#This Row],[inv no]])</f>
        <v>091447</v>
      </c>
    </row>
    <row r="2813" spans="1:23" hidden="1">
      <c r="A2813" s="81">
        <v>2811</v>
      </c>
      <c r="B2813" s="86" t="s">
        <v>1366</v>
      </c>
      <c r="C2813" s="86" t="s">
        <v>1870</v>
      </c>
      <c r="D2813" s="82" t="str">
        <f ca="1">OFFSET(Roster!$A$3,MATCH(表格1[[#This Row],[Location]]&amp;" "&amp;表格1[[#This Row],[Shop]]&amp;"*",Roster!$A$4:$A$72,0),DAY(表格1[[#This Row],[date]]),1,1)</f>
        <v>Gloria</v>
      </c>
      <c r="E2813" s="86">
        <f>MONTH(表格1[[#This Row],[date]])</f>
        <v>3</v>
      </c>
      <c r="F2813" s="90">
        <v>46101</v>
      </c>
      <c r="G2813" s="86" t="str">
        <f>VLOOKUP("*"&amp;表格1[[#This Row],[Input]]&amp;"*",'Ref-List'!$B:$D,2,)</f>
        <v>RC-DS10K(N)</v>
      </c>
      <c r="H2813" s="86" t="str">
        <f>_xlfn.XLOOKUP(表格1[[#This Row],[Model]],表格3[Model-Input-Ref2],表格3[Product Line])</f>
        <v>IH磁應電飯煲</v>
      </c>
      <c r="I2813" s="86" t="str">
        <f>_xlfn.XLOOKUP(表格1[[#This Row],[Model]],表格3[Model-Input-Ref2],表格3[大小電])</f>
        <v>細電</v>
      </c>
      <c r="J2813" s="86" t="str">
        <f>_xlfn.XLOOKUP(表格1[[#This Row],[Model]],表格3[Model-Input-Ref2],表格3[Code])</f>
        <v>SDA</v>
      </c>
      <c r="K2813" s="89" t="s">
        <v>1633</v>
      </c>
      <c r="L2813" s="86">
        <v>1</v>
      </c>
      <c r="M2813" s="87">
        <v>3150</v>
      </c>
      <c r="N2813" s="87">
        <f>IFERROR(表格1[[#This Row],[QTY]]*表格1[[#This Row],[Unit Price]],"-")</f>
        <v>3150</v>
      </c>
      <c r="O2813" s="86">
        <v>404762</v>
      </c>
      <c r="R2813" s="86" t="str">
        <f>_xlfn.CONCAT(表格1[[#This Row],[Model]]," ",表格1[[#This Row],[inv no]])</f>
        <v>RC-DS10K(N) 404762</v>
      </c>
      <c r="S2813" s="86">
        <f>_xlfn.XLOOKUP(表格1[[#This Row],[Model]],表格3[Model-Input-Ref2],表格3[SRP PRICE])</f>
        <v>4588</v>
      </c>
      <c r="T2813" s="43">
        <f>表格1[[#This Row],[Unit Price]]/表格1[[#This Row],[SRP]]</f>
        <v>0.68657367044463824</v>
      </c>
      <c r="U2813" s="86" t="str">
        <f>_xlfn.XLOOKUP(表格1[[#This Row],[Model]],表格3[Model-Input-Ref2],表格3[TOSHIBA/HIGHEST])</f>
        <v>Toshiba SRP</v>
      </c>
      <c r="W2813" s="86" t="str">
        <f>_xlfn.CONCAT(表格1[[#This Row],[欄4]],表格1[[#This Row],[inv no]])</f>
        <v>404762</v>
      </c>
    </row>
    <row r="2814" spans="1:23" hidden="1">
      <c r="A2814" s="81">
        <v>2812</v>
      </c>
      <c r="B2814" s="86" t="s">
        <v>1366</v>
      </c>
      <c r="C2814" s="86" t="s">
        <v>1870</v>
      </c>
      <c r="D2814" s="82" t="str">
        <f ca="1">OFFSET(Roster!$A$3,MATCH(表格1[[#This Row],[Location]]&amp;" "&amp;表格1[[#This Row],[Shop]]&amp;"*",Roster!$A$4:$A$72,0),DAY(表格1[[#This Row],[date]]),1,1)</f>
        <v>Gloria</v>
      </c>
      <c r="E2814" s="86">
        <f>MONTH(表格1[[#This Row],[date]])</f>
        <v>3</v>
      </c>
      <c r="F2814" s="90">
        <v>46101</v>
      </c>
      <c r="G2814" s="86" t="str">
        <f>VLOOKUP("*"&amp;表格1[[#This Row],[Input]]&amp;"*",'Ref-List'!$B:$D,2,)</f>
        <v>KT-08DH1VHK(W)</v>
      </c>
      <c r="H2814" s="86" t="str">
        <f>_xlfn.XLOOKUP(表格1[[#This Row],[Model]],表格3[Model-Input-Ref2],表格3[Product Line])</f>
        <v>無線雙層電熱水壺-附可鎖壺蓋(0.8公升)</v>
      </c>
      <c r="I2814" s="86" t="str">
        <f>_xlfn.XLOOKUP(表格1[[#This Row],[Model]],表格3[Model-Input-Ref2],表格3[大小電])</f>
        <v>細電</v>
      </c>
      <c r="J2814" s="86" t="str">
        <f>_xlfn.XLOOKUP(表格1[[#This Row],[Model]],表格3[Model-Input-Ref2],表格3[Code])</f>
        <v>SDA</v>
      </c>
      <c r="K2814" s="89" t="s">
        <v>1268</v>
      </c>
      <c r="L2814" s="86">
        <v>1</v>
      </c>
      <c r="M2814" s="87">
        <v>268</v>
      </c>
      <c r="N2814" s="87">
        <f>IFERROR(表格1[[#This Row],[QTY]]*表格1[[#This Row],[Unit Price]],"-")</f>
        <v>268</v>
      </c>
      <c r="O2814" s="86">
        <v>421504</v>
      </c>
      <c r="R2814" s="86" t="str">
        <f>_xlfn.CONCAT(表格1[[#This Row],[Model]]," ",表格1[[#This Row],[inv no]])</f>
        <v>KT-08DH1VHK(W) 421504</v>
      </c>
      <c r="S2814" s="86">
        <f>_xlfn.XLOOKUP(表格1[[#This Row],[Model]],表格3[Model-Input-Ref2],表格3[SRP PRICE])</f>
        <v>428</v>
      </c>
      <c r="T2814" s="43">
        <f>表格1[[#This Row],[Unit Price]]/表格1[[#This Row],[SRP]]</f>
        <v>0.62616822429906538</v>
      </c>
      <c r="U2814" s="86" t="str">
        <f>_xlfn.XLOOKUP(表格1[[#This Row],[Model]],表格3[Model-Input-Ref2],表格3[TOSHIBA/HIGHEST])</f>
        <v>Toshiba SRP</v>
      </c>
      <c r="W2814" s="86" t="str">
        <f>_xlfn.CONCAT(表格1[[#This Row],[欄4]],表格1[[#This Row],[inv no]])</f>
        <v>421504</v>
      </c>
    </row>
    <row r="2815" spans="1:23" hidden="1">
      <c r="A2815" s="81">
        <v>2813</v>
      </c>
      <c r="B2815" s="86" t="s">
        <v>1366</v>
      </c>
      <c r="C2815" s="86" t="s">
        <v>1870</v>
      </c>
      <c r="D2815" s="82" t="str">
        <f ca="1">OFFSET(Roster!$A$3,MATCH(表格1[[#This Row],[Location]]&amp;" "&amp;表格1[[#This Row],[Shop]]&amp;"*",Roster!$A$4:$A$72,0),DAY(表格1[[#This Row],[date]]),1,1)</f>
        <v>Gloria</v>
      </c>
      <c r="E2815" s="86">
        <f>MONTH(表格1[[#This Row],[date]])</f>
        <v>3</v>
      </c>
      <c r="F2815" s="90">
        <v>46101</v>
      </c>
      <c r="G2815" s="86" t="str">
        <f>VLOOKUP("*"&amp;表格1[[#This Row],[Input]]&amp;"*",'Ref-List'!$B:$D,2,)</f>
        <v>RC-10AMXH(W)</v>
      </c>
      <c r="H2815" s="86" t="str">
        <f>_xlfn.XLOOKUP(表格1[[#This Row],[Model]],表格3[Model-Input-Ref2],表格3[Product Line])</f>
        <v>酵活炊電飯煲(1.0公升)</v>
      </c>
      <c r="I2815" s="86" t="str">
        <f>_xlfn.XLOOKUP(表格1[[#This Row],[Model]],表格3[Model-Input-Ref2],表格3[大小電])</f>
        <v>細電</v>
      </c>
      <c r="J2815" s="86" t="str">
        <f>_xlfn.XLOOKUP(表格1[[#This Row],[Model]],表格3[Model-Input-Ref2],表格3[Code])</f>
        <v>SDA</v>
      </c>
      <c r="K2815" s="89" t="s">
        <v>1279</v>
      </c>
      <c r="L2815" s="86">
        <v>1</v>
      </c>
      <c r="M2815" s="87">
        <v>990</v>
      </c>
      <c r="N2815" s="87">
        <f>IFERROR(表格1[[#This Row],[QTY]]*表格1[[#This Row],[Unit Price]],"-")</f>
        <v>990</v>
      </c>
      <c r="O2815" s="86">
        <v>325326</v>
      </c>
      <c r="R2815" s="86" t="str">
        <f>_xlfn.CONCAT(表格1[[#This Row],[Model]]," ",表格1[[#This Row],[inv no]])</f>
        <v>RC-10AMXH(W) 325326</v>
      </c>
      <c r="S2815" s="86">
        <f>_xlfn.XLOOKUP(表格1[[#This Row],[Model]],表格3[Model-Input-Ref2],表格3[SRP PRICE])</f>
        <v>1288</v>
      </c>
      <c r="T2815" s="43">
        <f>表格1[[#This Row],[Unit Price]]/表格1[[#This Row],[SRP]]</f>
        <v>0.76863354037267084</v>
      </c>
      <c r="U2815" s="86" t="str">
        <f>_xlfn.XLOOKUP(表格1[[#This Row],[Model]],表格3[Model-Input-Ref2],表格3[TOSHIBA/HIGHEST])</f>
        <v>Toshiba SRP</v>
      </c>
      <c r="W2815" s="86" t="str">
        <f>_xlfn.CONCAT(表格1[[#This Row],[欄4]],表格1[[#This Row],[inv no]])</f>
        <v>325326</v>
      </c>
    </row>
    <row r="2816" spans="1:23" hidden="1">
      <c r="A2816" s="81">
        <v>2814</v>
      </c>
      <c r="B2816" s="86" t="s">
        <v>1366</v>
      </c>
      <c r="C2816" s="86" t="s">
        <v>1870</v>
      </c>
      <c r="D2816" s="82" t="str">
        <f ca="1">OFFSET(Roster!$A$3,MATCH(表格1[[#This Row],[Location]]&amp;" "&amp;表格1[[#This Row],[Shop]]&amp;"*",Roster!$A$4:$A$72,0),DAY(表格1[[#This Row],[date]]),1,1)</f>
        <v>Gloria</v>
      </c>
      <c r="E2816" s="86">
        <f>MONTH(表格1[[#This Row],[date]])</f>
        <v>3</v>
      </c>
      <c r="F2816" s="90">
        <v>46101</v>
      </c>
      <c r="G2816" s="86" t="str">
        <f>VLOOKUP("*"&amp;表格1[[#This Row],[Input]]&amp;"*",'Ref-List'!$B:$D,2,)</f>
        <v>MWP-MM20P(WH)</v>
      </c>
      <c r="H2816" s="86" t="str">
        <f>_xlfn.XLOOKUP(表格1[[#This Row],[Model]],表格3[Model-Input-Ref2],表格3[Product Line])</f>
        <v>旋鈕式燒烤微波爐20L</v>
      </c>
      <c r="I2816" s="86" t="str">
        <f>_xlfn.XLOOKUP(表格1[[#This Row],[Model]],表格3[Model-Input-Ref2],表格3[大小電])</f>
        <v>細電</v>
      </c>
      <c r="J2816" s="86" t="str">
        <f>_xlfn.XLOOKUP(表格1[[#This Row],[Model]],表格3[Model-Input-Ref2],表格3[Code])</f>
        <v>SDA</v>
      </c>
      <c r="K2816" s="89" t="s">
        <v>1270</v>
      </c>
      <c r="L2816" s="86">
        <v>1</v>
      </c>
      <c r="M2816" s="87">
        <v>488</v>
      </c>
      <c r="N2816" s="87">
        <f>IFERROR(表格1[[#This Row],[QTY]]*表格1[[#This Row],[Unit Price]],"-")</f>
        <v>488</v>
      </c>
      <c r="O2816" s="86">
        <v>325316</v>
      </c>
      <c r="R2816" s="86" t="str">
        <f>_xlfn.CONCAT(表格1[[#This Row],[Model]]," ",表格1[[#This Row],[inv no]])</f>
        <v>MWP-MM20P(WH) 325316</v>
      </c>
      <c r="S2816" s="86">
        <f>_xlfn.XLOOKUP(表格1[[#This Row],[Model]],表格3[Model-Input-Ref2],表格3[SRP PRICE])</f>
        <v>648</v>
      </c>
      <c r="T2816" s="43">
        <f>表格1[[#This Row],[Unit Price]]/表格1[[#This Row],[SRP]]</f>
        <v>0.75308641975308643</v>
      </c>
      <c r="U2816" s="86" t="str">
        <f>_xlfn.XLOOKUP(表格1[[#This Row],[Model]],表格3[Model-Input-Ref2],表格3[TOSHIBA/HIGHEST])</f>
        <v>Toshiba SRP</v>
      </c>
      <c r="W2816" s="86" t="str">
        <f>_xlfn.CONCAT(表格1[[#This Row],[欄4]],表格1[[#This Row],[inv no]])</f>
        <v>325316</v>
      </c>
    </row>
    <row r="2817" spans="1:23" hidden="1">
      <c r="A2817" s="81">
        <v>2815</v>
      </c>
      <c r="B2817" s="86" t="s">
        <v>1366</v>
      </c>
      <c r="C2817" s="86" t="s">
        <v>1870</v>
      </c>
      <c r="D2817" s="82" t="str">
        <f ca="1">OFFSET(Roster!$A$3,MATCH(表格1[[#This Row],[Location]]&amp;" "&amp;表格1[[#This Row],[Shop]]&amp;"*",Roster!$A$4:$A$72,0),DAY(表格1[[#This Row],[date]]),1,1)</f>
        <v>Gloria</v>
      </c>
      <c r="E2817" s="86">
        <f>MONTH(表格1[[#This Row],[date]])</f>
        <v>3</v>
      </c>
      <c r="F2817" s="90">
        <v>46102</v>
      </c>
      <c r="G2817" s="86" t="str">
        <f>VLOOKUP("*"&amp;表格1[[#This Row],[Input]]&amp;"*",'Ref-List'!$B:$D,2,)</f>
        <v>MWP-MM20P(WH)</v>
      </c>
      <c r="H2817" s="86" t="str">
        <f>_xlfn.XLOOKUP(表格1[[#This Row],[Model]],表格3[Model-Input-Ref2],表格3[Product Line])</f>
        <v>旋鈕式燒烤微波爐20L</v>
      </c>
      <c r="I2817" s="86" t="str">
        <f>_xlfn.XLOOKUP(表格1[[#This Row],[Model]],表格3[Model-Input-Ref2],表格3[大小電])</f>
        <v>細電</v>
      </c>
      <c r="J2817" s="86" t="str">
        <f>_xlfn.XLOOKUP(表格1[[#This Row],[Model]],表格3[Model-Input-Ref2],表格3[Code])</f>
        <v>SDA</v>
      </c>
      <c r="K2817" s="89" t="s">
        <v>1270</v>
      </c>
      <c r="L2817" s="86">
        <v>1</v>
      </c>
      <c r="M2817" s="87">
        <v>488</v>
      </c>
      <c r="N2817" s="87">
        <f>IFERROR(表格1[[#This Row],[QTY]]*表格1[[#This Row],[Unit Price]],"-")</f>
        <v>488</v>
      </c>
      <c r="O2817" s="86">
        <v>421770</v>
      </c>
      <c r="R2817" s="86" t="str">
        <f>_xlfn.CONCAT(表格1[[#This Row],[Model]]," ",表格1[[#This Row],[inv no]])</f>
        <v>MWP-MM20P(WH) 421770</v>
      </c>
      <c r="S2817" s="86">
        <f>_xlfn.XLOOKUP(表格1[[#This Row],[Model]],表格3[Model-Input-Ref2],表格3[SRP PRICE])</f>
        <v>648</v>
      </c>
      <c r="T2817" s="43">
        <f>表格1[[#This Row],[Unit Price]]/表格1[[#This Row],[SRP]]</f>
        <v>0.75308641975308643</v>
      </c>
      <c r="U2817" s="86" t="str">
        <f>_xlfn.XLOOKUP(表格1[[#This Row],[Model]],表格3[Model-Input-Ref2],表格3[TOSHIBA/HIGHEST])</f>
        <v>Toshiba SRP</v>
      </c>
      <c r="W2817" s="86" t="str">
        <f>_xlfn.CONCAT(表格1[[#This Row],[欄4]],表格1[[#This Row],[inv no]])</f>
        <v>421770</v>
      </c>
    </row>
    <row r="2818" spans="1:23" hidden="1">
      <c r="A2818" s="81">
        <v>2816</v>
      </c>
      <c r="B2818" s="86" t="s">
        <v>1366</v>
      </c>
      <c r="C2818" s="86" t="s">
        <v>1870</v>
      </c>
      <c r="D2818" s="82" t="str">
        <f ca="1">OFFSET(Roster!$A$3,MATCH(表格1[[#This Row],[Location]]&amp;" "&amp;表格1[[#This Row],[Shop]]&amp;"*",Roster!$A$4:$A$72,0),DAY(表格1[[#This Row],[date]]),1,1)</f>
        <v>Gloria</v>
      </c>
      <c r="E2818" s="86">
        <f>MONTH(表格1[[#This Row],[date]])</f>
        <v>3</v>
      </c>
      <c r="F2818" s="90">
        <v>46102</v>
      </c>
      <c r="G2818" s="86" t="str">
        <f>VLOOKUP("*"&amp;表格1[[#This Row],[Input]]&amp;"*",'Ref-List'!$B:$D,2,)</f>
        <v>RC-10NMFIH(WT)</v>
      </c>
      <c r="H2818" s="86" t="str">
        <f>_xlfn.XLOOKUP(表格1[[#This Row],[Model]],表格3[Model-Input-Ref2],表格3[Product Line])</f>
        <v>4毫米厚釜電飯煲1L</v>
      </c>
      <c r="I2818" s="86" t="str">
        <f>_xlfn.XLOOKUP(表格1[[#This Row],[Model]],表格3[Model-Input-Ref2],表格3[大小電])</f>
        <v>細電</v>
      </c>
      <c r="J2818" s="86" t="str">
        <f>_xlfn.XLOOKUP(表格1[[#This Row],[Model]],表格3[Model-Input-Ref2],表格3[Code])</f>
        <v>SDA</v>
      </c>
      <c r="K2818" s="89" t="s">
        <v>1244</v>
      </c>
      <c r="L2818" s="86">
        <v>1</v>
      </c>
      <c r="M2818" s="87">
        <v>719</v>
      </c>
      <c r="N2818" s="87">
        <f>IFERROR(表格1[[#This Row],[QTY]]*表格1[[#This Row],[Unit Price]],"-")</f>
        <v>719</v>
      </c>
      <c r="O2818" s="142" t="s">
        <v>1900</v>
      </c>
      <c r="R2818" s="86" t="str">
        <f>_xlfn.CONCAT(表格1[[#This Row],[Model]]," ",表格1[[#This Row],[inv no]])</f>
        <v>RC-10NMFIH(WT) 091570</v>
      </c>
      <c r="S2818" s="86">
        <f>_xlfn.XLOOKUP(表格1[[#This Row],[Model]],表格3[Model-Input-Ref2],表格3[SRP PRICE])</f>
        <v>898</v>
      </c>
      <c r="T2818" s="43">
        <f>表格1[[#This Row],[Unit Price]]/表格1[[#This Row],[SRP]]</f>
        <v>0.80066815144766146</v>
      </c>
      <c r="U2818" s="86" t="str">
        <f>_xlfn.XLOOKUP(表格1[[#This Row],[Model]],表格3[Model-Input-Ref2],表格3[TOSHIBA/HIGHEST])</f>
        <v>Toshiba SRP</v>
      </c>
      <c r="W2818" s="86" t="str">
        <f>_xlfn.CONCAT(表格1[[#This Row],[欄4]],表格1[[#This Row],[inv no]])</f>
        <v>091570</v>
      </c>
    </row>
    <row r="2819" spans="1:23" hidden="1">
      <c r="A2819" s="81">
        <v>2817</v>
      </c>
      <c r="B2819" s="86" t="s">
        <v>1366</v>
      </c>
      <c r="C2819" s="86" t="s">
        <v>1870</v>
      </c>
      <c r="D2819" s="82" t="str">
        <f ca="1">OFFSET(Roster!$A$3,MATCH(表格1[[#This Row],[Location]]&amp;" "&amp;表格1[[#This Row],[Shop]]&amp;"*",Roster!$A$4:$A$72,0),DAY(表格1[[#This Row],[date]]),1,1)</f>
        <v>Gloria</v>
      </c>
      <c r="E2819" s="86">
        <f>MONTH(表格1[[#This Row],[date]])</f>
        <v>3</v>
      </c>
      <c r="F2819" s="90">
        <v>46102</v>
      </c>
      <c r="G2819" s="86" t="str">
        <f>VLOOKUP("*"&amp;表格1[[#This Row],[Input]]&amp;"*",'Ref-List'!$B:$D,2,)</f>
        <v>TWD-BN90GF4H(WK)</v>
      </c>
      <c r="H2819" s="86" t="str">
        <f>_xlfn.XLOOKUP(表格1[[#This Row],[Model]],表格3[Model-Input-Ref2],表格3[Product Line])</f>
        <v>超薄身前置式洗衣乾衣機 (洗8公斤 乾5公斤)</v>
      </c>
      <c r="I2819" s="86" t="str">
        <f>_xlfn.XLOOKUP(表格1[[#This Row],[Model]],表格3[Model-Input-Ref2],表格3[大小電])</f>
        <v>大電</v>
      </c>
      <c r="J2819" s="86" t="str">
        <f>_xlfn.XLOOKUP(表格1[[#This Row],[Model]],表格3[Model-Input-Ref2],表格3[Code])</f>
        <v>WM</v>
      </c>
      <c r="K2819" s="89" t="s">
        <v>1199</v>
      </c>
      <c r="L2819" s="86">
        <v>1</v>
      </c>
      <c r="M2819" s="87">
        <v>3780</v>
      </c>
      <c r="N2819" s="87">
        <f>IFERROR(表格1[[#This Row],[QTY]]*表格1[[#This Row],[Unit Price]],"-")</f>
        <v>3780</v>
      </c>
      <c r="O2819" s="142" t="s">
        <v>1901</v>
      </c>
      <c r="R2819" s="86" t="str">
        <f>_xlfn.CONCAT(表格1[[#This Row],[Model]]," ",表格1[[#This Row],[inv no]])</f>
        <v>TWD-BN90GF4H(WK) 091591</v>
      </c>
      <c r="S2819" s="86">
        <f>_xlfn.XLOOKUP(表格1[[#This Row],[Model]],表格3[Model-Input-Ref2],表格3[SRP PRICE])</f>
        <v>5980</v>
      </c>
      <c r="T2819" s="43">
        <f>表格1[[#This Row],[Unit Price]]/表格1[[#This Row],[SRP]]</f>
        <v>0.63210702341137126</v>
      </c>
      <c r="U2819" s="86" t="str">
        <f>_xlfn.XLOOKUP(表格1[[#This Row],[Model]],表格3[Model-Input-Ref2],表格3[TOSHIBA/HIGHEST])</f>
        <v>Toshiba SRP</v>
      </c>
      <c r="W2819" s="86" t="str">
        <f>_xlfn.CONCAT(表格1[[#This Row],[欄4]],表格1[[#This Row],[inv no]])</f>
        <v>091591</v>
      </c>
    </row>
    <row r="2820" spans="1:23" hidden="1">
      <c r="A2820" s="81">
        <v>2818</v>
      </c>
      <c r="B2820" s="86" t="s">
        <v>1366</v>
      </c>
      <c r="C2820" s="86" t="s">
        <v>1870</v>
      </c>
      <c r="D2820" s="82" t="str">
        <f ca="1">OFFSET(Roster!$A$3,MATCH(表格1[[#This Row],[Location]]&amp;" "&amp;表格1[[#This Row],[Shop]]&amp;"*",Roster!$A$4:$A$72,0),DAY(表格1[[#This Row],[date]]),1,1)</f>
        <v>Gloria</v>
      </c>
      <c r="E2820" s="86">
        <f>MONTH(表格1[[#This Row],[date]])</f>
        <v>3</v>
      </c>
      <c r="F2820" s="90">
        <v>46103</v>
      </c>
      <c r="G2820" s="86" t="str">
        <f>VLOOKUP("*"&amp;表格1[[#This Row],[Input]]&amp;"*",'Ref-List'!$B:$D,2,)</f>
        <v>MWP-MM20P(WH)</v>
      </c>
      <c r="H2820" s="86" t="str">
        <f>_xlfn.XLOOKUP(表格1[[#This Row],[Model]],表格3[Model-Input-Ref2],表格3[Product Line])</f>
        <v>旋鈕式燒烤微波爐20L</v>
      </c>
      <c r="I2820" s="86" t="str">
        <f>_xlfn.XLOOKUP(表格1[[#This Row],[Model]],表格3[Model-Input-Ref2],表格3[大小電])</f>
        <v>細電</v>
      </c>
      <c r="J2820" s="86" t="str">
        <f>_xlfn.XLOOKUP(表格1[[#This Row],[Model]],表格3[Model-Input-Ref2],表格3[Code])</f>
        <v>SDA</v>
      </c>
      <c r="K2820" s="89" t="s">
        <v>1270</v>
      </c>
      <c r="L2820" s="86">
        <v>1</v>
      </c>
      <c r="M2820" s="87">
        <v>488</v>
      </c>
      <c r="N2820" s="87">
        <f>IFERROR(表格1[[#This Row],[QTY]]*表格1[[#This Row],[Unit Price]],"-")</f>
        <v>488</v>
      </c>
      <c r="O2820" s="142" t="s">
        <v>1902</v>
      </c>
      <c r="R2820" s="86" t="str">
        <f>_xlfn.CONCAT(表格1[[#This Row],[Model]]," ",表格1[[#This Row],[inv no]])</f>
        <v>MWP-MM20P(WH) 091692</v>
      </c>
      <c r="S2820" s="86">
        <f>_xlfn.XLOOKUP(表格1[[#This Row],[Model]],表格3[Model-Input-Ref2],表格3[SRP PRICE])</f>
        <v>648</v>
      </c>
      <c r="T2820" s="43">
        <f>表格1[[#This Row],[Unit Price]]/表格1[[#This Row],[SRP]]</f>
        <v>0.75308641975308643</v>
      </c>
      <c r="U2820" s="86" t="str">
        <f>_xlfn.XLOOKUP(表格1[[#This Row],[Model]],表格3[Model-Input-Ref2],表格3[TOSHIBA/HIGHEST])</f>
        <v>Toshiba SRP</v>
      </c>
      <c r="W2820" s="86" t="str">
        <f>_xlfn.CONCAT(表格1[[#This Row],[欄4]],表格1[[#This Row],[inv no]])</f>
        <v>091692</v>
      </c>
    </row>
    <row r="2821" spans="1:23" hidden="1">
      <c r="A2821" s="81">
        <v>2819</v>
      </c>
      <c r="B2821" s="86" t="s">
        <v>1366</v>
      </c>
      <c r="C2821" s="86" t="s">
        <v>1870</v>
      </c>
      <c r="D2821" s="82" t="str">
        <f ca="1">OFFSET(Roster!$A$3,MATCH(表格1[[#This Row],[Location]]&amp;" "&amp;表格1[[#This Row],[Shop]]&amp;"*",Roster!$A$4:$A$72,0),DAY(表格1[[#This Row],[date]]),1,1)</f>
        <v>Gloria</v>
      </c>
      <c r="E2821" s="86">
        <f>MONTH(表格1[[#This Row],[date]])</f>
        <v>3</v>
      </c>
      <c r="F2821" s="90">
        <v>46103</v>
      </c>
      <c r="G2821" s="86" t="str">
        <f>VLOOKUP("*"&amp;表格1[[#This Row],[Input]]&amp;"*",'Ref-List'!$B:$D,2,)</f>
        <v>RC-DR18T(W)</v>
      </c>
      <c r="H2821" s="86" t="str">
        <f>_xlfn.XLOOKUP(表格1[[#This Row],[Model]],表格3[Model-Input-Ref2],表格3[Product Line])</f>
        <v>IH磁應電飯煲
鑽石銅鍋</v>
      </c>
      <c r="I2821" s="86" t="str">
        <f>_xlfn.XLOOKUP(表格1[[#This Row],[Model]],表格3[Model-Input-Ref2],表格3[大小電])</f>
        <v>細電</v>
      </c>
      <c r="J2821" s="86" t="str">
        <f>_xlfn.XLOOKUP(表格1[[#This Row],[Model]],表格3[Model-Input-Ref2],表格3[Code])</f>
        <v>SDA</v>
      </c>
      <c r="K2821" s="89" t="s">
        <v>1378</v>
      </c>
      <c r="L2821" s="86">
        <v>1</v>
      </c>
      <c r="M2821" s="87">
        <v>2800</v>
      </c>
      <c r="N2821" s="87">
        <f>IFERROR(表格1[[#This Row],[QTY]]*表格1[[#This Row],[Unit Price]],"-")</f>
        <v>2800</v>
      </c>
      <c r="O2821" s="142" t="s">
        <v>1902</v>
      </c>
      <c r="R2821" s="86" t="str">
        <f>_xlfn.CONCAT(表格1[[#This Row],[Model]]," ",表格1[[#This Row],[inv no]])</f>
        <v>RC-DR18T(W) 091692</v>
      </c>
      <c r="S2821" s="86">
        <f>_xlfn.XLOOKUP(表格1[[#This Row],[Model]],表格3[Model-Input-Ref2],表格3[SRP PRICE])</f>
        <v>3588</v>
      </c>
      <c r="T2821" s="43">
        <f>表格1[[#This Row],[Unit Price]]/表格1[[#This Row],[SRP]]</f>
        <v>0.78037904124860646</v>
      </c>
      <c r="U2821" s="86" t="str">
        <f>_xlfn.XLOOKUP(表格1[[#This Row],[Model]],表格3[Model-Input-Ref2],表格3[TOSHIBA/HIGHEST])</f>
        <v>Toshiba SRP</v>
      </c>
      <c r="W2821" s="86" t="str">
        <f>_xlfn.CONCAT(表格1[[#This Row],[欄4]],表格1[[#This Row],[inv no]])</f>
        <v>091692</v>
      </c>
    </row>
    <row r="2822" spans="1:23" hidden="1">
      <c r="A2822" s="81">
        <v>2820</v>
      </c>
      <c r="B2822" s="86" t="s">
        <v>1366</v>
      </c>
      <c r="C2822" s="86" t="s">
        <v>1870</v>
      </c>
      <c r="D2822" s="82" t="str">
        <f ca="1">OFFSET(Roster!$A$3,MATCH(表格1[[#This Row],[Location]]&amp;" "&amp;表格1[[#This Row],[Shop]]&amp;"*",Roster!$A$4:$A$72,0),DAY(表格1[[#This Row],[date]]),1,1)</f>
        <v>Gloria</v>
      </c>
      <c r="E2822" s="86">
        <f>MONTH(表格1[[#This Row],[date]])</f>
        <v>3</v>
      </c>
      <c r="F2822" s="90">
        <v>46103</v>
      </c>
      <c r="G2822" s="86" t="str">
        <f>VLOOKUP("*"&amp;表格1[[#This Row],[Input]]&amp;"*",'Ref-List'!$B:$D,2,)</f>
        <v>CMO-MMP012NDPF(GN)</v>
      </c>
      <c r="H2822" s="86" t="str">
        <f>_xlfn.XLOOKUP(表格1[[#This Row],[Model]],表格3[Model-Input-Ref2],表格3[Product Line])</f>
        <v>20公升 微波爐</v>
      </c>
      <c r="I2822" s="86" t="str">
        <f>_xlfn.XLOOKUP(表格1[[#This Row],[Model]],表格3[Model-Input-Ref2],表格3[大小電])</f>
        <v>細電</v>
      </c>
      <c r="J2822" s="86" t="str">
        <f>_xlfn.XLOOKUP(表格1[[#This Row],[Model]],表格3[Model-Input-Ref2],表格3[Code])</f>
        <v>SDA</v>
      </c>
      <c r="K2822" s="89" t="s">
        <v>1384</v>
      </c>
      <c r="L2822" s="86">
        <v>1</v>
      </c>
      <c r="M2822" s="87">
        <v>428</v>
      </c>
      <c r="N2822" s="87">
        <f>IFERROR(表格1[[#This Row],[QTY]]*表格1[[#This Row],[Unit Price]],"-")</f>
        <v>428</v>
      </c>
      <c r="O2822" s="86">
        <v>404871</v>
      </c>
      <c r="R2822" s="86" t="str">
        <f>_xlfn.CONCAT(表格1[[#This Row],[Model]]," ",表格1[[#This Row],[inv no]])</f>
        <v>CMO-MMP012NDPF(GN) 404871</v>
      </c>
      <c r="S2822" s="86">
        <f>_xlfn.XLOOKUP(表格1[[#This Row],[Model]],表格3[Model-Input-Ref2],表格3[SRP PRICE])</f>
        <v>519</v>
      </c>
      <c r="T2822" s="43">
        <f>表格1[[#This Row],[Unit Price]]/表格1[[#This Row],[SRP]]</f>
        <v>0.82466281310211942</v>
      </c>
      <c r="U2822" s="86" t="str">
        <f>_xlfn.XLOOKUP(表格1[[#This Row],[Model]],表格3[Model-Input-Ref2],表格3[TOSHIBA/HIGHEST])</f>
        <v>Shops Highest Price</v>
      </c>
      <c r="W2822" s="86" t="str">
        <f>_xlfn.CONCAT(表格1[[#This Row],[欄4]],表格1[[#This Row],[inv no]])</f>
        <v>404871</v>
      </c>
    </row>
    <row r="2823" spans="1:23" hidden="1">
      <c r="A2823" s="81">
        <v>2821</v>
      </c>
      <c r="B2823" s="86" t="s">
        <v>1366</v>
      </c>
      <c r="C2823" s="86" t="s">
        <v>1870</v>
      </c>
      <c r="D2823" s="82" t="str">
        <f ca="1">OFFSET(Roster!$A$3,MATCH(表格1[[#This Row],[Location]]&amp;" "&amp;表格1[[#This Row],[Shop]]&amp;"*",Roster!$A$4:$A$72,0),DAY(表格1[[#This Row],[date]]),1,1)</f>
        <v>Gloria</v>
      </c>
      <c r="E2823" s="86">
        <f>MONTH(表格1[[#This Row],[date]])</f>
        <v>3</v>
      </c>
      <c r="F2823" s="90">
        <v>46103</v>
      </c>
      <c r="G2823" s="86" t="str">
        <f>VLOOKUP("*"&amp;表格1[[#This Row],[Input]]&amp;"*",'Ref-List'!$B:$D,2,)</f>
        <v>MM2-EM20PC(WH)</v>
      </c>
      <c r="H2823" s="86" t="str">
        <f>_xlfn.XLOOKUP(表格1[[#This Row],[Model]],表格3[Model-Input-Ref2],表格3[Product Line])</f>
        <v>輕觸式微波爐 (20公升)</v>
      </c>
      <c r="I2823" s="86" t="str">
        <f>_xlfn.XLOOKUP(表格1[[#This Row],[Model]],表格3[Model-Input-Ref2],表格3[大小電])</f>
        <v>細電</v>
      </c>
      <c r="J2823" s="86" t="str">
        <f>_xlfn.XLOOKUP(表格1[[#This Row],[Model]],表格3[Model-Input-Ref2],表格3[Code])</f>
        <v>MCA</v>
      </c>
      <c r="K2823" s="89" t="s">
        <v>1276</v>
      </c>
      <c r="L2823" s="86">
        <v>1</v>
      </c>
      <c r="M2823" s="87">
        <v>598</v>
      </c>
      <c r="N2823" s="87">
        <f>IFERROR(表格1[[#This Row],[QTY]]*表格1[[#This Row],[Unit Price]],"-")</f>
        <v>598</v>
      </c>
      <c r="O2823" s="142" t="s">
        <v>1909</v>
      </c>
      <c r="R2823" s="86" t="str">
        <f>_xlfn.CONCAT(表格1[[#This Row],[Model]]," ",表格1[[#This Row],[inv no]])</f>
        <v>MM2-EM20PC(WH) 091703</v>
      </c>
      <c r="S2823" s="86">
        <f>_xlfn.XLOOKUP(表格1[[#This Row],[Model]],表格3[Model-Input-Ref2],表格3[SRP PRICE])</f>
        <v>788</v>
      </c>
      <c r="T2823" s="43">
        <f>表格1[[#This Row],[Unit Price]]/表格1[[#This Row],[SRP]]</f>
        <v>0.75888324873096447</v>
      </c>
      <c r="U2823" s="86" t="str">
        <f>_xlfn.XLOOKUP(表格1[[#This Row],[Model]],表格3[Model-Input-Ref2],表格3[TOSHIBA/HIGHEST])</f>
        <v>Toshiba SRP</v>
      </c>
      <c r="W2823" s="86" t="str">
        <f>_xlfn.CONCAT(表格1[[#This Row],[欄4]],表格1[[#This Row],[inv no]])</f>
        <v>091703</v>
      </c>
    </row>
    <row r="2824" spans="1:23" hidden="1">
      <c r="A2824" s="81">
        <v>2822</v>
      </c>
      <c r="B2824" s="86" t="s">
        <v>1366</v>
      </c>
      <c r="C2824" s="86" t="s">
        <v>1870</v>
      </c>
      <c r="D2824" s="82" t="str">
        <f ca="1">OFFSET(Roster!$A$3,MATCH(表格1[[#This Row],[Location]]&amp;" "&amp;表格1[[#This Row],[Shop]]&amp;"*",Roster!$A$4:$A$72,0),DAY(表格1[[#This Row],[date]]),1,1)</f>
        <v>Gloria</v>
      </c>
      <c r="E2824" s="86">
        <f>MONTH(表格1[[#This Row],[date]])</f>
        <v>3</v>
      </c>
      <c r="F2824" s="90">
        <v>46103</v>
      </c>
      <c r="G2824" s="86" t="str">
        <f>VLOOKUP("*"&amp;表格1[[#This Row],[Input]]&amp;"*",'Ref-List'!$B:$D,2,)</f>
        <v>MM2-EM20PC(WH)</v>
      </c>
      <c r="H2824" s="86" t="str">
        <f>_xlfn.XLOOKUP(表格1[[#This Row],[Model]],表格3[Model-Input-Ref2],表格3[Product Line])</f>
        <v>輕觸式微波爐 (20公升)</v>
      </c>
      <c r="I2824" s="86" t="str">
        <f>_xlfn.XLOOKUP(表格1[[#This Row],[Model]],表格3[Model-Input-Ref2],表格3[大小電])</f>
        <v>細電</v>
      </c>
      <c r="J2824" s="86" t="str">
        <f>_xlfn.XLOOKUP(表格1[[#This Row],[Model]],表格3[Model-Input-Ref2],表格3[Code])</f>
        <v>MCA</v>
      </c>
      <c r="K2824" s="89" t="s">
        <v>1276</v>
      </c>
      <c r="L2824" s="86">
        <v>1</v>
      </c>
      <c r="M2824" s="87">
        <v>598</v>
      </c>
      <c r="N2824" s="87">
        <f>IFERROR(表格1[[#This Row],[QTY]]*表格1[[#This Row],[Unit Price]],"-")</f>
        <v>598</v>
      </c>
      <c r="O2824" s="86">
        <v>325871</v>
      </c>
      <c r="R2824" s="86" t="str">
        <f>_xlfn.CONCAT(表格1[[#This Row],[Model]]," ",表格1[[#This Row],[inv no]])</f>
        <v>MM2-EM20PC(WH) 325871</v>
      </c>
      <c r="S2824" s="86">
        <f>_xlfn.XLOOKUP(表格1[[#This Row],[Model]],表格3[Model-Input-Ref2],表格3[SRP PRICE])</f>
        <v>788</v>
      </c>
      <c r="T2824" s="43">
        <f>表格1[[#This Row],[Unit Price]]/表格1[[#This Row],[SRP]]</f>
        <v>0.75888324873096447</v>
      </c>
      <c r="U2824" s="86" t="str">
        <f>_xlfn.XLOOKUP(表格1[[#This Row],[Model]],表格3[Model-Input-Ref2],表格3[TOSHIBA/HIGHEST])</f>
        <v>Toshiba SRP</v>
      </c>
      <c r="W2824" s="86" t="str">
        <f>_xlfn.CONCAT(表格1[[#This Row],[欄4]],表格1[[#This Row],[inv no]])</f>
        <v>325871</v>
      </c>
    </row>
    <row r="2825" spans="1:23" hidden="1">
      <c r="A2825" s="81">
        <v>2823</v>
      </c>
      <c r="B2825" s="86" t="s">
        <v>1366</v>
      </c>
      <c r="C2825" s="86" t="s">
        <v>1870</v>
      </c>
      <c r="D2825" s="82" t="str">
        <f ca="1">OFFSET(Roster!$A$3,MATCH(表格1[[#This Row],[Location]]&amp;" "&amp;表格1[[#This Row],[Shop]]&amp;"*",Roster!$A$4:$A$72,0),DAY(表格1[[#This Row],[date]]),1,1)</f>
        <v>Gloria</v>
      </c>
      <c r="E2825" s="86">
        <f>MONTH(表格1[[#This Row],[date]])</f>
        <v>3</v>
      </c>
      <c r="F2825" s="90">
        <v>46103</v>
      </c>
      <c r="G2825" s="86" t="str">
        <f>VLOOKUP("*"&amp;表格1[[#This Row],[Input]]&amp;"*",'Ref-List'!$B:$D,2,)</f>
        <v>MWP-MM20P(WH)</v>
      </c>
      <c r="H2825" s="86" t="str">
        <f>_xlfn.XLOOKUP(表格1[[#This Row],[Model]],表格3[Model-Input-Ref2],表格3[Product Line])</f>
        <v>旋鈕式燒烤微波爐20L</v>
      </c>
      <c r="I2825" s="86" t="str">
        <f>_xlfn.XLOOKUP(表格1[[#This Row],[Model]],表格3[Model-Input-Ref2],表格3[大小電])</f>
        <v>細電</v>
      </c>
      <c r="J2825" s="86" t="str">
        <f>_xlfn.XLOOKUP(表格1[[#This Row],[Model]],表格3[Model-Input-Ref2],表格3[Code])</f>
        <v>SDA</v>
      </c>
      <c r="K2825" s="89" t="s">
        <v>1270</v>
      </c>
      <c r="L2825" s="86">
        <v>1</v>
      </c>
      <c r="M2825" s="87">
        <v>488</v>
      </c>
      <c r="N2825" s="87">
        <f>IFERROR(表格1[[#This Row],[QTY]]*表格1[[#This Row],[Unit Price]],"-")</f>
        <v>488</v>
      </c>
      <c r="O2825" s="142" t="s">
        <v>1910</v>
      </c>
      <c r="R2825" s="86" t="str">
        <f>_xlfn.CONCAT(表格1[[#This Row],[Model]]," ",表格1[[#This Row],[inv no]])</f>
        <v>MWP-MM20P(WH) 091652</v>
      </c>
      <c r="S2825" s="86">
        <f>_xlfn.XLOOKUP(表格1[[#This Row],[Model]],表格3[Model-Input-Ref2],表格3[SRP PRICE])</f>
        <v>648</v>
      </c>
      <c r="T2825" s="43">
        <f>表格1[[#This Row],[Unit Price]]/表格1[[#This Row],[SRP]]</f>
        <v>0.75308641975308643</v>
      </c>
      <c r="U2825" s="86" t="str">
        <f>_xlfn.XLOOKUP(表格1[[#This Row],[Model]],表格3[Model-Input-Ref2],表格3[TOSHIBA/HIGHEST])</f>
        <v>Toshiba SRP</v>
      </c>
      <c r="W2825" s="86" t="str">
        <f>_xlfn.CONCAT(表格1[[#This Row],[欄4]],表格1[[#This Row],[inv no]])</f>
        <v>091652</v>
      </c>
    </row>
    <row r="2826" spans="1:23" hidden="1">
      <c r="A2826" s="81">
        <v>2824</v>
      </c>
      <c r="B2826" s="86" t="s">
        <v>1366</v>
      </c>
      <c r="C2826" s="86" t="s">
        <v>1870</v>
      </c>
      <c r="D2826" s="82" t="str">
        <f ca="1">OFFSET(Roster!$A$3,MATCH(表格1[[#This Row],[Location]]&amp;" "&amp;表格1[[#This Row],[Shop]]&amp;"*",Roster!$A$4:$A$72,0),DAY(表格1[[#This Row],[date]]),1,1)</f>
        <v>Gloria</v>
      </c>
      <c r="E2826" s="86">
        <f>MONTH(表格1[[#This Row],[date]])</f>
        <v>3</v>
      </c>
      <c r="F2826" s="90">
        <v>46103</v>
      </c>
      <c r="G2826" s="86" t="str">
        <f>VLOOKUP("*"&amp;表格1[[#This Row],[Input]]&amp;"*",'Ref-List'!$B:$D,2,)</f>
        <v>CFK01W75</v>
      </c>
      <c r="H2826" s="86" t="str">
        <f>_xlfn.XLOOKUP(表格1[[#This Row],[Model]],表格3[Model-Input-Ref2],表格3[Product Line])</f>
        <v>變頻頂揭式洗衣機 (7.5公斤)</v>
      </c>
      <c r="I2826" s="86" t="str">
        <f>_xlfn.XLOOKUP(表格1[[#This Row],[Model]],表格3[Model-Input-Ref2],表格3[大小電])</f>
        <v>大電</v>
      </c>
      <c r="J2826" s="86" t="str">
        <f>_xlfn.XLOOKUP(表格1[[#This Row],[Model]],表格3[Model-Input-Ref2],表格3[Code])</f>
        <v>LAD</v>
      </c>
      <c r="K2826" s="89" t="s">
        <v>1266</v>
      </c>
      <c r="L2826" s="86">
        <v>1</v>
      </c>
      <c r="M2826" s="87">
        <v>3580</v>
      </c>
      <c r="N2826" s="87">
        <f>IFERROR(表格1[[#This Row],[QTY]]*表格1[[#This Row],[Unit Price]],"-")</f>
        <v>3580</v>
      </c>
      <c r="O2826" s="86">
        <v>329876</v>
      </c>
      <c r="R2826" s="86" t="str">
        <f>_xlfn.CONCAT(表格1[[#This Row],[Model]]," ",表格1[[#This Row],[inv no]])</f>
        <v>CFK01W75 329876</v>
      </c>
      <c r="S2826" s="86">
        <f>_xlfn.XLOOKUP(表格1[[#This Row],[Model]],表格3[Model-Input-Ref2],表格3[SRP PRICE])</f>
        <v>3888</v>
      </c>
      <c r="T2826" s="43">
        <f>表格1[[#This Row],[Unit Price]]/表格1[[#This Row],[SRP]]</f>
        <v>0.92078189300411528</v>
      </c>
      <c r="U2826" s="86" t="str">
        <f>_xlfn.XLOOKUP(表格1[[#This Row],[Model]],表格3[Model-Input-Ref2],表格3[TOSHIBA/HIGHEST])</f>
        <v>Shops Highest Price</v>
      </c>
      <c r="W2826" s="86" t="str">
        <f>_xlfn.CONCAT(表格1[[#This Row],[欄4]],表格1[[#This Row],[inv no]])</f>
        <v>329876</v>
      </c>
    </row>
    <row r="2827" spans="1:23" hidden="1">
      <c r="A2827" s="81">
        <v>2825</v>
      </c>
      <c r="B2827" s="86" t="s">
        <v>1366</v>
      </c>
      <c r="C2827" s="86" t="s">
        <v>1870</v>
      </c>
      <c r="D2827" s="82" t="str">
        <f ca="1">OFFSET(Roster!$A$3,MATCH(表格1[[#This Row],[Location]]&amp;" "&amp;表格1[[#This Row],[Shop]]&amp;"*",Roster!$A$4:$A$72,0),DAY(表格1[[#This Row],[date]]),1,1)</f>
        <v>Gloria</v>
      </c>
      <c r="E2827" s="86">
        <f>MONTH(表格1[[#This Row],[date]])</f>
        <v>3</v>
      </c>
      <c r="F2827" s="90">
        <v>46106</v>
      </c>
      <c r="G2827" s="86" t="str">
        <f>VLOOKUP("*"&amp;表格1[[#This Row],[Input]]&amp;"*",'Ref-List'!$B:$D,2,)</f>
        <v>RC-10NMFIH(WT)</v>
      </c>
      <c r="H2827" s="86" t="str">
        <f>_xlfn.XLOOKUP(表格1[[#This Row],[Model]],表格3[Model-Input-Ref2],表格3[Product Line])</f>
        <v>4毫米厚釜電飯煲1L</v>
      </c>
      <c r="I2827" s="86" t="str">
        <f>_xlfn.XLOOKUP(表格1[[#This Row],[Model]],表格3[Model-Input-Ref2],表格3[大小電])</f>
        <v>細電</v>
      </c>
      <c r="J2827" s="86" t="str">
        <f>_xlfn.XLOOKUP(表格1[[#This Row],[Model]],表格3[Model-Input-Ref2],表格3[Code])</f>
        <v>SDA</v>
      </c>
      <c r="K2827" s="89" t="s">
        <v>1244</v>
      </c>
      <c r="L2827" s="86">
        <v>1</v>
      </c>
      <c r="M2827" s="87">
        <v>719</v>
      </c>
      <c r="N2827" s="87">
        <f>IFERROR(表格1[[#This Row],[QTY]]*表格1[[#This Row],[Unit Price]],"-")</f>
        <v>719</v>
      </c>
      <c r="O2827" s="86">
        <v>326576</v>
      </c>
      <c r="R2827" s="86" t="str">
        <f>_xlfn.CONCAT(表格1[[#This Row],[Model]]," ",表格1[[#This Row],[inv no]])</f>
        <v>RC-10NMFIH(WT) 326576</v>
      </c>
      <c r="S2827" s="86">
        <f>_xlfn.XLOOKUP(表格1[[#This Row],[Model]],表格3[Model-Input-Ref2],表格3[SRP PRICE])</f>
        <v>898</v>
      </c>
      <c r="T2827" s="43">
        <f>表格1[[#This Row],[Unit Price]]/表格1[[#This Row],[SRP]]</f>
        <v>0.80066815144766146</v>
      </c>
      <c r="U2827" s="86" t="str">
        <f>_xlfn.XLOOKUP(表格1[[#This Row],[Model]],表格3[Model-Input-Ref2],表格3[TOSHIBA/HIGHEST])</f>
        <v>Toshiba SRP</v>
      </c>
      <c r="W2827" s="86" t="str">
        <f>_xlfn.CONCAT(表格1[[#This Row],[欄4]],表格1[[#This Row],[inv no]])</f>
        <v>326576</v>
      </c>
    </row>
    <row r="2828" spans="1:23" hidden="1">
      <c r="A2828" s="81">
        <v>2826</v>
      </c>
      <c r="B2828" s="86" t="s">
        <v>1366</v>
      </c>
      <c r="C2828" s="86" t="s">
        <v>1870</v>
      </c>
      <c r="D2828" s="82" t="str">
        <f ca="1">OFFSET(Roster!$A$3,MATCH(表格1[[#This Row],[Location]]&amp;" "&amp;表格1[[#This Row],[Shop]]&amp;"*",Roster!$A$4:$A$72,0),DAY(表格1[[#This Row],[date]]),1,1)</f>
        <v>Gloria</v>
      </c>
      <c r="E2828" s="86">
        <f>MONTH(表格1[[#This Row],[date]])</f>
        <v>3</v>
      </c>
      <c r="F2828" s="90">
        <v>46106</v>
      </c>
      <c r="G2828" s="86" t="str">
        <f>VLOOKUP("*"&amp;表格1[[#This Row],[Input]]&amp;"*",'Ref-List'!$B:$D,2,)</f>
        <v>KT-17DRTHK(H)</v>
      </c>
      <c r="H2828" s="86" t="str">
        <f>_xlfn.XLOOKUP(表格1[[#This Row],[Model]],表格3[Model-Input-Ref2],表格3[Product Line])</f>
        <v>無線雙層電熱水壺(1.7公升)</v>
      </c>
      <c r="I2828" s="86" t="str">
        <f>_xlfn.XLOOKUP(表格1[[#This Row],[Model]],表格3[Model-Input-Ref2],表格3[大小電])</f>
        <v>細電</v>
      </c>
      <c r="J2828" s="86" t="str">
        <f>_xlfn.XLOOKUP(表格1[[#This Row],[Model]],表格3[Model-Input-Ref2],表格3[Code])</f>
        <v>SDA</v>
      </c>
      <c r="K2828" s="89" t="s">
        <v>1271</v>
      </c>
      <c r="L2828" s="86">
        <v>1</v>
      </c>
      <c r="M2828" s="87">
        <v>388</v>
      </c>
      <c r="N2828" s="87">
        <f>IFERROR(表格1[[#This Row],[QTY]]*表格1[[#This Row],[Unit Price]],"-")</f>
        <v>388</v>
      </c>
      <c r="O2828" s="86">
        <v>405046</v>
      </c>
      <c r="R2828" s="86" t="str">
        <f>_xlfn.CONCAT(表格1[[#This Row],[Model]]," ",表格1[[#This Row],[inv no]])</f>
        <v>KT-17DRTHK(H) 405046</v>
      </c>
      <c r="S2828" s="86">
        <f>_xlfn.XLOOKUP(表格1[[#This Row],[Model]],表格3[Model-Input-Ref2],表格3[SRP PRICE])</f>
        <v>498</v>
      </c>
      <c r="T2828" s="43">
        <f>表格1[[#This Row],[Unit Price]]/表格1[[#This Row],[SRP]]</f>
        <v>0.77911646586345384</v>
      </c>
      <c r="U2828" s="86" t="str">
        <f>_xlfn.XLOOKUP(表格1[[#This Row],[Model]],表格3[Model-Input-Ref2],表格3[TOSHIBA/HIGHEST])</f>
        <v>Toshiba SRP</v>
      </c>
      <c r="W2828" s="86" t="str">
        <f>_xlfn.CONCAT(表格1[[#This Row],[欄4]],表格1[[#This Row],[inv no]])</f>
        <v>405046</v>
      </c>
    </row>
    <row r="2829" spans="1:23" hidden="1">
      <c r="A2829" s="81">
        <v>2827</v>
      </c>
      <c r="B2829" s="86" t="s">
        <v>1366</v>
      </c>
      <c r="C2829" s="86" t="s">
        <v>1870</v>
      </c>
      <c r="D2829" s="82" t="str">
        <f ca="1">OFFSET(Roster!$A$3,MATCH(表格1[[#This Row],[Location]]&amp;" "&amp;表格1[[#This Row],[Shop]]&amp;"*",Roster!$A$4:$A$72,0),DAY(表格1[[#This Row],[date]]),1,1)</f>
        <v>Gloria</v>
      </c>
      <c r="E2829" s="86">
        <f>MONTH(表格1[[#This Row],[date]])</f>
        <v>3</v>
      </c>
      <c r="F2829" s="90">
        <v>46106</v>
      </c>
      <c r="G2829" s="86" t="str">
        <f>VLOOKUP("*"&amp;表格1[[#This Row],[Input]]&amp;"*",'Ref-List'!$B:$D,2,)</f>
        <v>RC-18JRUH(N)</v>
      </c>
      <c r="H2829" s="86" t="str">
        <f>_xlfn.XLOOKUP(表格1[[#This Row],[Model]],表格3[Model-Input-Ref2],表格3[Product Line])</f>
        <v>1.8公升電飯煲</v>
      </c>
      <c r="I2829" s="86" t="str">
        <f>_xlfn.XLOOKUP(表格1[[#This Row],[Model]],表格3[Model-Input-Ref2],表格3[大小電])</f>
        <v>細電</v>
      </c>
      <c r="J2829" s="86" t="str">
        <f>_xlfn.XLOOKUP(表格1[[#This Row],[Model]],表格3[Model-Input-Ref2],表格3[Code])</f>
        <v>SDA</v>
      </c>
      <c r="K2829" s="89" t="s">
        <v>1275</v>
      </c>
      <c r="L2829" s="86">
        <v>1</v>
      </c>
      <c r="M2829" s="87">
        <v>388</v>
      </c>
      <c r="N2829" s="87">
        <f>IFERROR(表格1[[#This Row],[QTY]]*表格1[[#This Row],[Unit Price]],"-")</f>
        <v>388</v>
      </c>
      <c r="O2829" s="86">
        <v>405029</v>
      </c>
      <c r="R2829" s="86" t="str">
        <f>_xlfn.CONCAT(表格1[[#This Row],[Model]]," ",表格1[[#This Row],[inv no]])</f>
        <v>RC-18JRUH(N) 405029</v>
      </c>
      <c r="S2829" s="86">
        <f>_xlfn.XLOOKUP(表格1[[#This Row],[Model]],表格3[Model-Input-Ref2],表格3[SRP PRICE])</f>
        <v>458</v>
      </c>
      <c r="T2829" s="43">
        <f>表格1[[#This Row],[Unit Price]]/表格1[[#This Row],[SRP]]</f>
        <v>0.84716157205240172</v>
      </c>
      <c r="U2829" s="86" t="str">
        <f>_xlfn.XLOOKUP(表格1[[#This Row],[Model]],表格3[Model-Input-Ref2],表格3[TOSHIBA/HIGHEST])</f>
        <v>Shops Highest Price</v>
      </c>
      <c r="W2829" s="86" t="str">
        <f>_xlfn.CONCAT(表格1[[#This Row],[欄4]],表格1[[#This Row],[inv no]])</f>
        <v>405029</v>
      </c>
    </row>
    <row r="2830" spans="1:23" hidden="1">
      <c r="A2830" s="81">
        <v>2828</v>
      </c>
      <c r="B2830" s="86" t="s">
        <v>1366</v>
      </c>
      <c r="C2830" s="86" t="s">
        <v>1870</v>
      </c>
      <c r="D2830" s="82" t="str">
        <f ca="1">OFFSET(Roster!$A$3,MATCH(表格1[[#This Row],[Location]]&amp;" "&amp;表格1[[#This Row],[Shop]]&amp;"*",Roster!$A$4:$A$72,0),DAY(表格1[[#This Row],[date]]),1,1)</f>
        <v>Gloria</v>
      </c>
      <c r="E2830" s="86">
        <f>MONTH(表格1[[#This Row],[date]])</f>
        <v>3</v>
      </c>
      <c r="F2830" s="90">
        <v>46106</v>
      </c>
      <c r="G2830" s="86" t="str">
        <f>VLOOKUP("*"&amp;表格1[[#This Row],[Input]]&amp;"*",'Ref-List'!$B:$D,2,)</f>
        <v>RAD-D300H</v>
      </c>
      <c r="H2830" s="86" t="str">
        <f>_xlfn.XLOOKUP(表格1[[#This Row],[Model]],表格3[Model-Input-Ref2],表格3[Product Line])</f>
        <v>壓縮式抽濕機 (30公升)</v>
      </c>
      <c r="I2830" s="86" t="str">
        <f>_xlfn.XLOOKUP(表格1[[#This Row],[Model]],表格3[Model-Input-Ref2],表格3[大小電])</f>
        <v>細電</v>
      </c>
      <c r="J2830" s="86" t="str">
        <f>_xlfn.XLOOKUP(表格1[[#This Row],[Model]],表格3[Model-Input-Ref2],表格3[Code])</f>
        <v>RAC</v>
      </c>
      <c r="K2830" s="89" t="s">
        <v>1252</v>
      </c>
      <c r="L2830" s="86">
        <v>1</v>
      </c>
      <c r="M2830" s="87">
        <v>2280</v>
      </c>
      <c r="N2830" s="87">
        <f>IFERROR(表格1[[#This Row],[QTY]]*表格1[[#This Row],[Unit Price]],"-")</f>
        <v>2280</v>
      </c>
      <c r="O2830" s="86">
        <v>326587</v>
      </c>
      <c r="R2830" s="86" t="str">
        <f>_xlfn.CONCAT(表格1[[#This Row],[Model]]," ",表格1[[#This Row],[inv no]])</f>
        <v>RAD-D300H 326587</v>
      </c>
      <c r="S2830" s="86">
        <f>_xlfn.XLOOKUP(表格1[[#This Row],[Model]],表格3[Model-Input-Ref2],表格3[SRP PRICE])</f>
        <v>3380</v>
      </c>
      <c r="T2830" s="43">
        <f>表格1[[#This Row],[Unit Price]]/表格1[[#This Row],[SRP]]</f>
        <v>0.67455621301775148</v>
      </c>
      <c r="U2830" s="86" t="str">
        <f>_xlfn.XLOOKUP(表格1[[#This Row],[Model]],表格3[Model-Input-Ref2],表格3[TOSHIBA/HIGHEST])</f>
        <v>Shops Highest Price</v>
      </c>
      <c r="W2830" s="86" t="str">
        <f>_xlfn.CONCAT(表格1[[#This Row],[欄4]],表格1[[#This Row],[inv no]])</f>
        <v>326587</v>
      </c>
    </row>
    <row r="2831" spans="1:23" hidden="1">
      <c r="A2831" s="81">
        <v>2829</v>
      </c>
      <c r="B2831" s="86" t="s">
        <v>1366</v>
      </c>
      <c r="C2831" s="86" t="s">
        <v>1870</v>
      </c>
      <c r="D2831" s="82" t="str">
        <f ca="1">OFFSET(Roster!$A$3,MATCH(表格1[[#This Row],[Location]]&amp;" "&amp;表格1[[#This Row],[Shop]]&amp;"*",Roster!$A$4:$A$72,0),DAY(表格1[[#This Row],[date]]),1,1)</f>
        <v>Gloria</v>
      </c>
      <c r="E2831" s="86">
        <f>MONTH(表格1[[#This Row],[date]])</f>
        <v>3</v>
      </c>
      <c r="F2831" s="90">
        <v>46106</v>
      </c>
      <c r="G2831" s="86" t="str">
        <f>VLOOKUP("*"&amp;表格1[[#This Row],[Input]]&amp;"*",'Ref-List'!$B:$D,2,)</f>
        <v>AW-Q801APH(WW)</v>
      </c>
      <c r="H2831" s="86" t="str">
        <f>_xlfn.XLOOKUP(表格1[[#This Row],[Model]],表格3[Model-Input-Ref2],表格3[Product Line])</f>
        <v>日式洗衣機 (7公斤 結合高低水位)</v>
      </c>
      <c r="I2831" s="86" t="str">
        <f>_xlfn.XLOOKUP(表格1[[#This Row],[Model]],表格3[Model-Input-Ref2],表格3[大小電])</f>
        <v>大電</v>
      </c>
      <c r="J2831" s="86" t="str">
        <f>_xlfn.XLOOKUP(表格1[[#This Row],[Model]],表格3[Model-Input-Ref2],表格3[Code])</f>
        <v>LAD</v>
      </c>
      <c r="K2831" s="89" t="s">
        <v>1420</v>
      </c>
      <c r="L2831" s="86">
        <v>1</v>
      </c>
      <c r="M2831" s="87">
        <v>1980</v>
      </c>
      <c r="N2831" s="87">
        <f>IFERROR(表格1[[#This Row],[QTY]]*表格1[[#This Row],[Unit Price]],"-")</f>
        <v>1980</v>
      </c>
      <c r="O2831" s="86">
        <v>326587</v>
      </c>
      <c r="R2831" s="86" t="str">
        <f>_xlfn.CONCAT(表格1[[#This Row],[Model]]," ",表格1[[#This Row],[inv no]])</f>
        <v>AW-Q801APH(WW) 326587</v>
      </c>
      <c r="S2831" s="86">
        <f>_xlfn.XLOOKUP(表格1[[#This Row],[Model]],表格3[Model-Input-Ref2],表格3[SRP PRICE])</f>
        <v>3380</v>
      </c>
      <c r="T2831" s="43">
        <f>表格1[[#This Row],[Unit Price]]/表格1[[#This Row],[SRP]]</f>
        <v>0.58579881656804733</v>
      </c>
      <c r="U2831" s="86" t="str">
        <f>_xlfn.XLOOKUP(表格1[[#This Row],[Model]],表格3[Model-Input-Ref2],表格3[TOSHIBA/HIGHEST])</f>
        <v>Toshiba SRP</v>
      </c>
      <c r="W2831" s="86" t="str">
        <f>_xlfn.CONCAT(表格1[[#This Row],[欄4]],表格1[[#This Row],[inv no]])</f>
        <v>326587</v>
      </c>
    </row>
    <row r="2832" spans="1:23" hidden="1">
      <c r="A2832" s="81">
        <v>2830</v>
      </c>
      <c r="B2832" s="86" t="s">
        <v>1366</v>
      </c>
      <c r="C2832" s="86" t="s">
        <v>1870</v>
      </c>
      <c r="D2832" s="82" t="str">
        <f ca="1">OFFSET(Roster!$A$3,MATCH(表格1[[#This Row],[Location]]&amp;" "&amp;表格1[[#This Row],[Shop]]&amp;"*",Roster!$A$4:$A$72,0),DAY(表格1[[#This Row],[date]]),1,1)</f>
        <v>Gloria</v>
      </c>
      <c r="E2832" s="86">
        <f>MONTH(表格1[[#This Row],[date]])</f>
        <v>3</v>
      </c>
      <c r="F2832" s="90">
        <v>46106</v>
      </c>
      <c r="G2832" s="86" t="str">
        <f>VLOOKUP("*"&amp;表格1[[#This Row],[Input]]&amp;"*",'Ref-List'!$B:$D,2,)</f>
        <v>GR-RT300WE-PMA(57)</v>
      </c>
      <c r="H2832" s="86" t="str">
        <f>_xlfn.XLOOKUP(表格1[[#This Row],[Model]],表格3[Model-Input-Ref2],表格3[Product Line])</f>
        <v>變頻式環保雙門雪櫃(233L)</v>
      </c>
      <c r="I2832" s="86" t="str">
        <f>_xlfn.XLOOKUP(表格1[[#This Row],[Model]],表格3[Model-Input-Ref2],表格3[大小電])</f>
        <v>大電</v>
      </c>
      <c r="J2832" s="86" t="str">
        <f>_xlfn.XLOOKUP(表格1[[#This Row],[Model]],表格3[Model-Input-Ref2],表格3[Code])</f>
        <v>REF</v>
      </c>
      <c r="K2832" s="89" t="s">
        <v>1462</v>
      </c>
      <c r="L2832" s="86">
        <v>1</v>
      </c>
      <c r="M2832" s="87">
        <v>2780</v>
      </c>
      <c r="N2832" s="87">
        <f>IFERROR(表格1[[#This Row],[QTY]]*表格1[[#This Row],[Unit Price]],"-")</f>
        <v>2780</v>
      </c>
      <c r="O2832" s="86">
        <v>422591</v>
      </c>
      <c r="R2832" s="86" t="str">
        <f>_xlfn.CONCAT(表格1[[#This Row],[Model]]," ",表格1[[#This Row],[inv no]])</f>
        <v>GR-RT300WE-PMA(57) 422591</v>
      </c>
      <c r="S2832" s="86">
        <f>_xlfn.XLOOKUP(表格1[[#This Row],[Model]],表格3[Model-Input-Ref2],表格3[SRP PRICE])</f>
        <v>4280</v>
      </c>
      <c r="T2832" s="43">
        <f>表格1[[#This Row],[Unit Price]]/表格1[[#This Row],[SRP]]</f>
        <v>0.64953271028037385</v>
      </c>
      <c r="U2832" s="86" t="str">
        <f>_xlfn.XLOOKUP(表格1[[#This Row],[Model]],表格3[Model-Input-Ref2],表格3[TOSHIBA/HIGHEST])</f>
        <v>Toshiba SRP</v>
      </c>
      <c r="W2832" s="86" t="str">
        <f>_xlfn.CONCAT(表格1[[#This Row],[欄4]],表格1[[#This Row],[inv no]])</f>
        <v>422591</v>
      </c>
    </row>
    <row r="2833" spans="1:23" hidden="1">
      <c r="A2833" s="81">
        <v>2831</v>
      </c>
      <c r="B2833" s="86" t="s">
        <v>1366</v>
      </c>
      <c r="C2833" s="86" t="s">
        <v>1870</v>
      </c>
      <c r="D2833" s="82" t="str">
        <f ca="1">OFFSET(Roster!$A$3,MATCH(表格1[[#This Row],[Location]]&amp;" "&amp;表格1[[#This Row],[Shop]]&amp;"*",Roster!$A$4:$A$72,0),DAY(表格1[[#This Row],[date]]),1,1)</f>
        <v>Gloria</v>
      </c>
      <c r="E2833" s="86">
        <f>MONTH(表格1[[#This Row],[date]])</f>
        <v>3</v>
      </c>
      <c r="F2833" s="90">
        <v>46106</v>
      </c>
      <c r="G2833" s="86" t="str">
        <f>VLOOKUP("*"&amp;表格1[[#This Row],[Input]]&amp;"*",'Ref-List'!$B:$D,2,)</f>
        <v>CMO-MMP012NDPF(GN)</v>
      </c>
      <c r="H2833" s="86" t="str">
        <f>_xlfn.XLOOKUP(表格1[[#This Row],[Model]],表格3[Model-Input-Ref2],表格3[Product Line])</f>
        <v>20公升 微波爐</v>
      </c>
      <c r="I2833" s="86" t="str">
        <f>_xlfn.XLOOKUP(表格1[[#This Row],[Model]],表格3[Model-Input-Ref2],表格3[大小電])</f>
        <v>細電</v>
      </c>
      <c r="J2833" s="86" t="str">
        <f>_xlfn.XLOOKUP(表格1[[#This Row],[Model]],表格3[Model-Input-Ref2],表格3[Code])</f>
        <v>SDA</v>
      </c>
      <c r="K2833" s="89" t="s">
        <v>1384</v>
      </c>
      <c r="L2833" s="86">
        <v>1</v>
      </c>
      <c r="M2833" s="87">
        <v>428</v>
      </c>
      <c r="N2833" s="87">
        <f>IFERROR(表格1[[#This Row],[QTY]]*表格1[[#This Row],[Unit Price]],"-")</f>
        <v>428</v>
      </c>
      <c r="O2833" s="86">
        <v>405079</v>
      </c>
      <c r="R2833" s="86" t="str">
        <f>_xlfn.CONCAT(表格1[[#This Row],[Model]]," ",表格1[[#This Row],[inv no]])</f>
        <v>CMO-MMP012NDPF(GN) 405079</v>
      </c>
      <c r="S2833" s="86">
        <f>_xlfn.XLOOKUP(表格1[[#This Row],[Model]],表格3[Model-Input-Ref2],表格3[SRP PRICE])</f>
        <v>519</v>
      </c>
      <c r="T2833" s="43">
        <f>表格1[[#This Row],[Unit Price]]/表格1[[#This Row],[SRP]]</f>
        <v>0.82466281310211942</v>
      </c>
      <c r="U2833" s="86" t="str">
        <f>_xlfn.XLOOKUP(表格1[[#This Row],[Model]],表格3[Model-Input-Ref2],表格3[TOSHIBA/HIGHEST])</f>
        <v>Shops Highest Price</v>
      </c>
      <c r="W2833" s="86" t="str">
        <f>_xlfn.CONCAT(表格1[[#This Row],[欄4]],表格1[[#This Row],[inv no]])</f>
        <v>405079</v>
      </c>
    </row>
    <row r="2834" spans="1:23" hidden="1">
      <c r="A2834" s="81">
        <v>2832</v>
      </c>
      <c r="B2834" s="86" t="s">
        <v>1366</v>
      </c>
      <c r="C2834" s="86" t="s">
        <v>1870</v>
      </c>
      <c r="D2834" s="82" t="str">
        <f ca="1">OFFSET(Roster!$A$3,MATCH(表格1[[#This Row],[Location]]&amp;" "&amp;表格1[[#This Row],[Shop]]&amp;"*",Roster!$A$4:$A$72,0),DAY(表格1[[#This Row],[date]]),1,1)</f>
        <v>Gloria</v>
      </c>
      <c r="E2834" s="86">
        <f>MONTH(表格1[[#This Row],[date]])</f>
        <v>3</v>
      </c>
      <c r="F2834" s="90">
        <v>46106</v>
      </c>
      <c r="G2834" s="86" t="str">
        <f>VLOOKUP("*"&amp;表格1[[#This Row],[Input]]&amp;"*",'Ref-List'!$B:$D,2,)</f>
        <v>AW-Q801APH(WW)</v>
      </c>
      <c r="H2834" s="86" t="str">
        <f>_xlfn.XLOOKUP(表格1[[#This Row],[Model]],表格3[Model-Input-Ref2],表格3[Product Line])</f>
        <v>日式洗衣機 (7公斤 結合高低水位)</v>
      </c>
      <c r="I2834" s="86" t="str">
        <f>_xlfn.XLOOKUP(表格1[[#This Row],[Model]],表格3[Model-Input-Ref2],表格3[大小電])</f>
        <v>大電</v>
      </c>
      <c r="J2834" s="86" t="str">
        <f>_xlfn.XLOOKUP(表格1[[#This Row],[Model]],表格3[Model-Input-Ref2],表格3[Code])</f>
        <v>LAD</v>
      </c>
      <c r="K2834" s="89" t="s">
        <v>1420</v>
      </c>
      <c r="L2834" s="86">
        <v>1</v>
      </c>
      <c r="M2834" s="87">
        <v>1980</v>
      </c>
      <c r="N2834" s="87">
        <f>IFERROR(表格1[[#This Row],[QTY]]*表格1[[#This Row],[Unit Price]],"-")</f>
        <v>1980</v>
      </c>
      <c r="O2834" s="86">
        <v>405079</v>
      </c>
      <c r="R2834" s="86" t="str">
        <f>_xlfn.CONCAT(表格1[[#This Row],[Model]]," ",表格1[[#This Row],[inv no]])</f>
        <v>AW-Q801APH(WW) 405079</v>
      </c>
      <c r="S2834" s="86">
        <f>_xlfn.XLOOKUP(表格1[[#This Row],[Model]],表格3[Model-Input-Ref2],表格3[SRP PRICE])</f>
        <v>3380</v>
      </c>
      <c r="T2834" s="43">
        <f>表格1[[#This Row],[Unit Price]]/表格1[[#This Row],[SRP]]</f>
        <v>0.58579881656804733</v>
      </c>
      <c r="U2834" s="86" t="str">
        <f>_xlfn.XLOOKUP(表格1[[#This Row],[Model]],表格3[Model-Input-Ref2],表格3[TOSHIBA/HIGHEST])</f>
        <v>Toshiba SRP</v>
      </c>
      <c r="W2834" s="86" t="str">
        <f>_xlfn.CONCAT(表格1[[#This Row],[欄4]],表格1[[#This Row],[inv no]])</f>
        <v>405079</v>
      </c>
    </row>
    <row r="2835" spans="1:23" hidden="1">
      <c r="A2835" s="81">
        <v>2833</v>
      </c>
      <c r="B2835" s="86" t="s">
        <v>1366</v>
      </c>
      <c r="C2835" s="86" t="s">
        <v>1870</v>
      </c>
      <c r="D2835" s="82" t="str">
        <f ca="1">OFFSET(Roster!$A$3,MATCH(表格1[[#This Row],[Location]]&amp;" "&amp;表格1[[#This Row],[Shop]]&amp;"*",Roster!$A$4:$A$72,0),DAY(表格1[[#This Row],[date]]),1,1)</f>
        <v>Gloria</v>
      </c>
      <c r="E2835" s="86">
        <f>MONTH(表格1[[#This Row],[date]])</f>
        <v>3</v>
      </c>
      <c r="F2835" s="90">
        <v>46107</v>
      </c>
      <c r="G2835" s="86" t="str">
        <f>VLOOKUP("*"&amp;表格1[[#This Row],[Input]]&amp;"*",'Ref-List'!$B:$D,2,)</f>
        <v>MWP-MM20P(WH)</v>
      </c>
      <c r="H2835" s="86" t="str">
        <f>_xlfn.XLOOKUP(表格1[[#This Row],[Model]],表格3[Model-Input-Ref2],表格3[Product Line])</f>
        <v>旋鈕式燒烤微波爐20L</v>
      </c>
      <c r="I2835" s="86" t="str">
        <f>_xlfn.XLOOKUP(表格1[[#This Row],[Model]],表格3[Model-Input-Ref2],表格3[大小電])</f>
        <v>細電</v>
      </c>
      <c r="J2835" s="86" t="str">
        <f>_xlfn.XLOOKUP(表格1[[#This Row],[Model]],表格3[Model-Input-Ref2],表格3[Code])</f>
        <v>SDA</v>
      </c>
      <c r="K2835" s="89" t="s">
        <v>1270</v>
      </c>
      <c r="L2835" s="86">
        <v>1</v>
      </c>
      <c r="M2835" s="87">
        <v>488</v>
      </c>
      <c r="N2835" s="87">
        <f>IFERROR(表格1[[#This Row],[QTY]]*表格1[[#This Row],[Unit Price]],"-")</f>
        <v>488</v>
      </c>
      <c r="O2835" s="142" t="s">
        <v>1911</v>
      </c>
      <c r="R2835" s="86" t="str">
        <f>_xlfn.CONCAT(表格1[[#This Row],[Model]]," ",表格1[[#This Row],[inv no]])</f>
        <v>MWP-MM20P(WH) 092162</v>
      </c>
      <c r="S2835" s="86">
        <f>_xlfn.XLOOKUP(表格1[[#This Row],[Model]],表格3[Model-Input-Ref2],表格3[SRP PRICE])</f>
        <v>648</v>
      </c>
      <c r="T2835" s="43">
        <f>表格1[[#This Row],[Unit Price]]/表格1[[#This Row],[SRP]]</f>
        <v>0.75308641975308643</v>
      </c>
      <c r="U2835" s="86" t="str">
        <f>_xlfn.XLOOKUP(表格1[[#This Row],[Model]],表格3[Model-Input-Ref2],表格3[TOSHIBA/HIGHEST])</f>
        <v>Toshiba SRP</v>
      </c>
      <c r="W2835" s="86" t="str">
        <f>_xlfn.CONCAT(表格1[[#This Row],[欄4]],表格1[[#This Row],[inv no]])</f>
        <v>092162</v>
      </c>
    </row>
    <row r="2836" spans="1:23" hidden="1">
      <c r="A2836" s="81">
        <v>2834</v>
      </c>
      <c r="B2836" s="86" t="s">
        <v>1366</v>
      </c>
      <c r="C2836" s="86" t="s">
        <v>1870</v>
      </c>
      <c r="D2836" s="82" t="str">
        <f ca="1">OFFSET(Roster!$A$3,MATCH(表格1[[#This Row],[Location]]&amp;" "&amp;表格1[[#This Row],[Shop]]&amp;"*",Roster!$A$4:$A$72,0),DAY(表格1[[#This Row],[date]]),1,1)</f>
        <v>Gloria</v>
      </c>
      <c r="E2836" s="86">
        <f>MONTH(表格1[[#This Row],[date]])</f>
        <v>3</v>
      </c>
      <c r="F2836" s="90">
        <v>46108</v>
      </c>
      <c r="G2836" s="86" t="str">
        <f>VLOOKUP("*"&amp;表格1[[#This Row],[Input]]&amp;"*",'Ref-List'!$B:$D,2,)</f>
        <v>KT-17SHNH</v>
      </c>
      <c r="H2836" s="86" t="str">
        <f>_xlfn.XLOOKUP(表格1[[#This Row],[Model]],表格3[Model-Input-Ref2],表格3[Product Line])</f>
        <v>1.7L無線雙層電熱水壺</v>
      </c>
      <c r="I2836" s="86" t="str">
        <f>_xlfn.XLOOKUP(表格1[[#This Row],[Model]],表格3[Model-Input-Ref2],表格3[大小電])</f>
        <v>細電</v>
      </c>
      <c r="J2836" s="86" t="str">
        <f>_xlfn.XLOOKUP(表格1[[#This Row],[Model]],表格3[Model-Input-Ref2],表格3[Code])</f>
        <v>SDA</v>
      </c>
      <c r="K2836" s="89" t="s">
        <v>1283</v>
      </c>
      <c r="L2836" s="86">
        <v>1</v>
      </c>
      <c r="M2836" s="87">
        <v>198</v>
      </c>
      <c r="N2836" s="87">
        <f>IFERROR(表格1[[#This Row],[QTY]]*表格1[[#This Row],[Unit Price]],"-")</f>
        <v>198</v>
      </c>
      <c r="O2836" s="86">
        <v>327084</v>
      </c>
      <c r="R2836" s="86" t="str">
        <f>_xlfn.CONCAT(表格1[[#This Row],[Model]]," ",表格1[[#This Row],[inv no]])</f>
        <v>KT-17SHNH 327084</v>
      </c>
      <c r="S2836" s="86">
        <f>_xlfn.XLOOKUP(表格1[[#This Row],[Model]],表格3[Model-Input-Ref2],表格3[SRP PRICE])</f>
        <v>299</v>
      </c>
      <c r="T2836" s="43">
        <f>表格1[[#This Row],[Unit Price]]/表格1[[#This Row],[SRP]]</f>
        <v>0.66220735785953178</v>
      </c>
      <c r="U2836" s="86" t="str">
        <f>_xlfn.XLOOKUP(表格1[[#This Row],[Model]],表格3[Model-Input-Ref2],表格3[TOSHIBA/HIGHEST])</f>
        <v>Shops Highest Price</v>
      </c>
      <c r="W2836" s="86" t="str">
        <f>_xlfn.CONCAT(表格1[[#This Row],[欄4]],表格1[[#This Row],[inv no]])</f>
        <v>327084</v>
      </c>
    </row>
    <row r="2837" spans="1:23" hidden="1">
      <c r="A2837" s="81">
        <v>2835</v>
      </c>
      <c r="B2837" s="86" t="s">
        <v>1366</v>
      </c>
      <c r="C2837" s="86" t="s">
        <v>1870</v>
      </c>
      <c r="D2837" s="82" t="str">
        <f ca="1">OFFSET(Roster!$A$3,MATCH(表格1[[#This Row],[Location]]&amp;" "&amp;表格1[[#This Row],[Shop]]&amp;"*",Roster!$A$4:$A$72,0),DAY(表格1[[#This Row],[date]]),1,1)</f>
        <v>Gloria</v>
      </c>
      <c r="E2837" s="86">
        <f>MONTH(表格1[[#This Row],[date]])</f>
        <v>3</v>
      </c>
      <c r="F2837" s="90">
        <v>46108</v>
      </c>
      <c r="G2837" s="86" t="str">
        <f>VLOOKUP("*"&amp;表格1[[#This Row],[Input]]&amp;"*",'Ref-List'!$B:$D,2,)</f>
        <v>TWD-BN90GF4H(WK)</v>
      </c>
      <c r="H2837" s="86" t="str">
        <f>_xlfn.XLOOKUP(表格1[[#This Row],[Model]],表格3[Model-Input-Ref2],表格3[Product Line])</f>
        <v>超薄身前置式洗衣乾衣機 (洗8公斤 乾5公斤)</v>
      </c>
      <c r="I2837" s="86" t="str">
        <f>_xlfn.XLOOKUP(表格1[[#This Row],[Model]],表格3[Model-Input-Ref2],表格3[大小電])</f>
        <v>大電</v>
      </c>
      <c r="J2837" s="86" t="str">
        <f>_xlfn.XLOOKUP(表格1[[#This Row],[Model]],表格3[Model-Input-Ref2],表格3[Code])</f>
        <v>WM</v>
      </c>
      <c r="K2837" s="89" t="s">
        <v>1199</v>
      </c>
      <c r="L2837" s="86">
        <v>1</v>
      </c>
      <c r="M2837" s="87">
        <v>3780</v>
      </c>
      <c r="N2837" s="87">
        <f>IFERROR(表格1[[#This Row],[QTY]]*表格1[[#This Row],[Unit Price]],"-")</f>
        <v>3780</v>
      </c>
      <c r="O2837" s="142" t="s">
        <v>1912</v>
      </c>
      <c r="R2837" s="86" t="str">
        <f>_xlfn.CONCAT(表格1[[#This Row],[Model]]," ",表格1[[#This Row],[inv no]])</f>
        <v>TWD-BN90GF4H(WK) 092280</v>
      </c>
      <c r="S2837" s="86">
        <f>_xlfn.XLOOKUP(表格1[[#This Row],[Model]],表格3[Model-Input-Ref2],表格3[SRP PRICE])</f>
        <v>5980</v>
      </c>
      <c r="T2837" s="43">
        <f>表格1[[#This Row],[Unit Price]]/表格1[[#This Row],[SRP]]</f>
        <v>0.63210702341137126</v>
      </c>
      <c r="U2837" s="86" t="str">
        <f>_xlfn.XLOOKUP(表格1[[#This Row],[Model]],表格3[Model-Input-Ref2],表格3[TOSHIBA/HIGHEST])</f>
        <v>Toshiba SRP</v>
      </c>
      <c r="W2837" s="86" t="str">
        <f>_xlfn.CONCAT(表格1[[#This Row],[欄4]],表格1[[#This Row],[inv no]])</f>
        <v>092280</v>
      </c>
    </row>
    <row r="2838" spans="1:23" hidden="1">
      <c r="A2838" s="81">
        <v>2836</v>
      </c>
      <c r="B2838" s="86" t="s">
        <v>1366</v>
      </c>
      <c r="C2838" s="86" t="s">
        <v>1870</v>
      </c>
      <c r="D2838" s="82" t="str">
        <f ca="1">OFFSET(Roster!$A$3,MATCH(表格1[[#This Row],[Location]]&amp;" "&amp;表格1[[#This Row],[Shop]]&amp;"*",Roster!$A$4:$A$72,0),DAY(表格1[[#This Row],[date]]),1,1)</f>
        <v>Gloria</v>
      </c>
      <c r="E2838" s="86">
        <f>MONTH(表格1[[#This Row],[date]])</f>
        <v>3</v>
      </c>
      <c r="F2838" s="90">
        <v>46108</v>
      </c>
      <c r="G2838" s="86" t="str">
        <f>VLOOKUP("*"&amp;表格1[[#This Row],[Input]]&amp;"*",'Ref-List'!$B:$D,2,)</f>
        <v>TW-BL85A2H(WW)</v>
      </c>
      <c r="H2838" s="86" t="str">
        <f>_xlfn.XLOOKUP(表格1[[#This Row],[Model]],表格3[Model-Input-Ref2],表格3[Product Line])</f>
        <v>7.5KG超薄身前置式變頻洗衣機</v>
      </c>
      <c r="I2838" s="86" t="str">
        <f>_xlfn.XLOOKUP(表格1[[#This Row],[Model]],表格3[Model-Input-Ref2],表格3[大小電])</f>
        <v>大電</v>
      </c>
      <c r="J2838" s="86" t="str">
        <f>_xlfn.XLOOKUP(表格1[[#This Row],[Model]],表格3[Model-Input-Ref2],表格3[Code])</f>
        <v>WM</v>
      </c>
      <c r="K2838" s="89" t="s">
        <v>1206</v>
      </c>
      <c r="L2838" s="86">
        <v>1</v>
      </c>
      <c r="M2838" s="87">
        <v>3180</v>
      </c>
      <c r="N2838" s="87">
        <f>IFERROR(表格1[[#This Row],[QTY]]*表格1[[#This Row],[Unit Price]],"-")</f>
        <v>3180</v>
      </c>
      <c r="O2838" s="86">
        <v>327140</v>
      </c>
      <c r="R2838" s="86" t="str">
        <f>_xlfn.CONCAT(表格1[[#This Row],[Model]]," ",表格1[[#This Row],[inv no]])</f>
        <v>TW-BL85A2H(WW) 327140</v>
      </c>
      <c r="S2838" s="86">
        <f>_xlfn.XLOOKUP(表格1[[#This Row],[Model]],表格3[Model-Input-Ref2],表格3[SRP PRICE])</f>
        <v>5080</v>
      </c>
      <c r="T2838" s="43">
        <f>表格1[[#This Row],[Unit Price]]/表格1[[#This Row],[SRP]]</f>
        <v>0.62598425196850394</v>
      </c>
      <c r="U2838" s="86" t="str">
        <f>_xlfn.XLOOKUP(表格1[[#This Row],[Model]],表格3[Model-Input-Ref2],表格3[TOSHIBA/HIGHEST])</f>
        <v>Toshiba SRP</v>
      </c>
      <c r="W2838" s="86" t="str">
        <f>_xlfn.CONCAT(表格1[[#This Row],[欄4]],表格1[[#This Row],[inv no]])</f>
        <v>327140</v>
      </c>
    </row>
    <row r="2839" spans="1:23" hidden="1">
      <c r="A2839" s="81">
        <v>2837</v>
      </c>
      <c r="B2839" s="86" t="s">
        <v>1366</v>
      </c>
      <c r="C2839" s="86" t="s">
        <v>1870</v>
      </c>
      <c r="D2839" s="82" t="str">
        <f ca="1">OFFSET(Roster!$A$3,MATCH(表格1[[#This Row],[Location]]&amp;" "&amp;表格1[[#This Row],[Shop]]&amp;"*",Roster!$A$4:$A$72,0),DAY(表格1[[#This Row],[date]]),1,1)</f>
        <v>Gloria</v>
      </c>
      <c r="E2839" s="86">
        <f>MONTH(表格1[[#This Row],[date]])</f>
        <v>3</v>
      </c>
      <c r="F2839" s="90">
        <v>46109</v>
      </c>
      <c r="G2839" s="86" t="str">
        <f>VLOOKUP("*"&amp;表格1[[#This Row],[Input]]&amp;"*",'Ref-List'!$B:$D,2,)</f>
        <v>RC-5SLIH(W)</v>
      </c>
      <c r="H2839" s="86" t="str">
        <f>_xlfn.XLOOKUP(表格1[[#This Row],[Model]],表格3[Model-Input-Ref2],表格3[Product Line])</f>
        <v>微型電腦珍珠飯煲</v>
      </c>
      <c r="I2839" s="86" t="str">
        <f>_xlfn.XLOOKUP(表格1[[#This Row],[Model]],表格3[Model-Input-Ref2],表格3[大小電])</f>
        <v>細電</v>
      </c>
      <c r="J2839" s="86" t="str">
        <f>_xlfn.XLOOKUP(表格1[[#This Row],[Model]],表格3[Model-Input-Ref2],表格3[Code])</f>
        <v>SDA</v>
      </c>
      <c r="K2839" s="89" t="s">
        <v>1264</v>
      </c>
      <c r="L2839" s="86">
        <v>1</v>
      </c>
      <c r="M2839" s="87">
        <v>593</v>
      </c>
      <c r="N2839" s="87">
        <f>IFERROR(表格1[[#This Row],[QTY]]*表格1[[#This Row],[Unit Price]],"-")</f>
        <v>593</v>
      </c>
      <c r="O2839" s="86">
        <v>327405</v>
      </c>
      <c r="R2839" s="86" t="str">
        <f>_xlfn.CONCAT(表格1[[#This Row],[Model]]," ",表格1[[#This Row],[inv no]])</f>
        <v>RC-5SLIH(W) 327405</v>
      </c>
      <c r="S2839" s="86">
        <f>_xlfn.XLOOKUP(表格1[[#This Row],[Model]],表格3[Model-Input-Ref2],表格3[SRP PRICE])</f>
        <v>658</v>
      </c>
      <c r="T2839" s="43">
        <f>表格1[[#This Row],[Unit Price]]/表格1[[#This Row],[SRP]]</f>
        <v>0.90121580547112456</v>
      </c>
      <c r="U2839" s="86" t="str">
        <f>_xlfn.XLOOKUP(表格1[[#This Row],[Model]],表格3[Model-Input-Ref2],表格3[TOSHIBA/HIGHEST])</f>
        <v>Toshiba SRP</v>
      </c>
      <c r="W2839" s="86" t="str">
        <f>_xlfn.CONCAT(表格1[[#This Row],[欄4]],表格1[[#This Row],[inv no]])</f>
        <v>327405</v>
      </c>
    </row>
    <row r="2840" spans="1:23" hidden="1">
      <c r="A2840" s="81">
        <v>2838</v>
      </c>
      <c r="B2840" s="86" t="s">
        <v>1366</v>
      </c>
      <c r="C2840" s="86" t="s">
        <v>1870</v>
      </c>
      <c r="D2840" s="82" t="str">
        <f ca="1">OFFSET(Roster!$A$3,MATCH(表格1[[#This Row],[Location]]&amp;" "&amp;表格1[[#This Row],[Shop]]&amp;"*",Roster!$A$4:$A$72,0),DAY(表格1[[#This Row],[date]]),1,1)</f>
        <v>Gloria</v>
      </c>
      <c r="E2840" s="86">
        <f>MONTH(表格1[[#This Row],[date]])</f>
        <v>3</v>
      </c>
      <c r="F2840" s="90">
        <v>46109</v>
      </c>
      <c r="G2840" s="86" t="str">
        <f>VLOOKUP("*"&amp;表格1[[#This Row],[Input]]&amp;"*",'Ref-List'!$B:$D,2,)</f>
        <v>RC-5SLIH(W)</v>
      </c>
      <c r="H2840" s="86" t="str">
        <f>_xlfn.XLOOKUP(表格1[[#This Row],[Model]],表格3[Model-Input-Ref2],表格3[Product Line])</f>
        <v>微型電腦珍珠飯煲</v>
      </c>
      <c r="I2840" s="86" t="str">
        <f>_xlfn.XLOOKUP(表格1[[#This Row],[Model]],表格3[Model-Input-Ref2],表格3[大小電])</f>
        <v>細電</v>
      </c>
      <c r="J2840" s="86" t="str">
        <f>_xlfn.XLOOKUP(表格1[[#This Row],[Model]],表格3[Model-Input-Ref2],表格3[Code])</f>
        <v>SDA</v>
      </c>
      <c r="K2840" s="89" t="s">
        <v>1264</v>
      </c>
      <c r="L2840" s="86">
        <v>1</v>
      </c>
      <c r="M2840" s="87">
        <v>593</v>
      </c>
      <c r="N2840" s="87">
        <f>IFERROR(表格1[[#This Row],[QTY]]*表格1[[#This Row],[Unit Price]],"-")</f>
        <v>593</v>
      </c>
      <c r="O2840" s="86">
        <v>33039</v>
      </c>
      <c r="R2840" s="86" t="str">
        <f>_xlfn.CONCAT(表格1[[#This Row],[Model]]," ",表格1[[#This Row],[inv no]])</f>
        <v>RC-5SLIH(W) 33039</v>
      </c>
      <c r="S2840" s="86">
        <f>_xlfn.XLOOKUP(表格1[[#This Row],[Model]],表格3[Model-Input-Ref2],表格3[SRP PRICE])</f>
        <v>658</v>
      </c>
      <c r="T2840" s="43">
        <f>表格1[[#This Row],[Unit Price]]/表格1[[#This Row],[SRP]]</f>
        <v>0.90121580547112456</v>
      </c>
      <c r="U2840" s="86" t="str">
        <f>_xlfn.XLOOKUP(表格1[[#This Row],[Model]],表格3[Model-Input-Ref2],表格3[TOSHIBA/HIGHEST])</f>
        <v>Toshiba SRP</v>
      </c>
      <c r="W2840" s="86" t="str">
        <f>_xlfn.CONCAT(表格1[[#This Row],[欄4]],表格1[[#This Row],[inv no]])</f>
        <v>33039</v>
      </c>
    </row>
    <row r="2841" spans="1:23" hidden="1">
      <c r="A2841" s="81">
        <v>2839</v>
      </c>
      <c r="B2841" s="86" t="s">
        <v>1366</v>
      </c>
      <c r="C2841" s="86" t="s">
        <v>1870</v>
      </c>
      <c r="D2841" s="82" t="str">
        <f ca="1">OFFSET(Roster!$A$3,MATCH(表格1[[#This Row],[Location]]&amp;" "&amp;表格1[[#This Row],[Shop]]&amp;"*",Roster!$A$4:$A$72,0),DAY(表格1[[#This Row],[date]]),1,1)</f>
        <v>Gloria</v>
      </c>
      <c r="E2841" s="86">
        <f>MONTH(表格1[[#This Row],[date]])</f>
        <v>3</v>
      </c>
      <c r="F2841" s="90">
        <v>46109</v>
      </c>
      <c r="G2841" s="86" t="str">
        <f>VLOOKUP("*"&amp;表格1[[#This Row],[Input]]&amp;"*",'Ref-List'!$B:$D,2,)</f>
        <v>RC-10IRPH</v>
      </c>
      <c r="H2841" s="86" t="str">
        <f>_xlfn.XLOOKUP(表格1[[#This Row],[Model]],表格3[Model-Input-Ref2],表格3[Product Line])</f>
        <v>低醣磁應電飯煲1L</v>
      </c>
      <c r="I2841" s="86" t="str">
        <f>_xlfn.XLOOKUP(表格1[[#This Row],[Model]],表格3[Model-Input-Ref2],表格3[大小電])</f>
        <v>細電</v>
      </c>
      <c r="J2841" s="86" t="str">
        <f>_xlfn.XLOOKUP(表格1[[#This Row],[Model]],表格3[Model-Input-Ref2],表格3[Code])</f>
        <v>SDA</v>
      </c>
      <c r="K2841" s="89" t="s">
        <v>1297</v>
      </c>
      <c r="L2841" s="86">
        <v>1</v>
      </c>
      <c r="M2841" s="87">
        <v>793</v>
      </c>
      <c r="N2841" s="87">
        <f>IFERROR(表格1[[#This Row],[QTY]]*表格1[[#This Row],[Unit Price]],"-")</f>
        <v>793</v>
      </c>
      <c r="O2841" s="86">
        <v>327243</v>
      </c>
      <c r="R2841" s="86" t="str">
        <f>_xlfn.CONCAT(表格1[[#This Row],[Model]]," ",表格1[[#This Row],[inv no]])</f>
        <v>RC-10IRPH 327243</v>
      </c>
      <c r="S2841" s="86">
        <f>_xlfn.XLOOKUP(表格1[[#This Row],[Model]],表格3[Model-Input-Ref2],表格3[SRP PRICE])</f>
        <v>1388</v>
      </c>
      <c r="T2841" s="43">
        <f>表格1[[#This Row],[Unit Price]]/表格1[[#This Row],[SRP]]</f>
        <v>0.57132564841498557</v>
      </c>
      <c r="U2841" s="86" t="str">
        <f>_xlfn.XLOOKUP(表格1[[#This Row],[Model]],表格3[Model-Input-Ref2],表格3[TOSHIBA/HIGHEST])</f>
        <v>Toshiba SRP</v>
      </c>
      <c r="W2841" s="86" t="str">
        <f>_xlfn.CONCAT(表格1[[#This Row],[欄4]],表格1[[#This Row],[inv no]])</f>
        <v>327243</v>
      </c>
    </row>
    <row r="2842" spans="1:23" hidden="1">
      <c r="A2842" s="81">
        <v>2840</v>
      </c>
      <c r="B2842" s="86" t="s">
        <v>1366</v>
      </c>
      <c r="C2842" s="86" t="s">
        <v>1870</v>
      </c>
      <c r="D2842" s="82" t="str">
        <f ca="1">OFFSET(Roster!$A$3,MATCH(表格1[[#This Row],[Location]]&amp;" "&amp;表格1[[#This Row],[Shop]]&amp;"*",Roster!$A$4:$A$72,0),DAY(表格1[[#This Row],[date]]),1,1)</f>
        <v>Gloria</v>
      </c>
      <c r="E2842" s="86">
        <f>MONTH(表格1[[#This Row],[date]])</f>
        <v>3</v>
      </c>
      <c r="F2842" s="90">
        <v>46109</v>
      </c>
      <c r="G2842" s="86" t="str">
        <f>VLOOKUP("*"&amp;表格1[[#This Row],[Input]]&amp;"*",'Ref-List'!$B:$D,2,)</f>
        <v>RC-5MMIH(WT)</v>
      </c>
      <c r="H2842" s="86" t="str">
        <f>_xlfn.XLOOKUP(表格1[[#This Row],[Model]],表格3[Model-Input-Ref2],表格3[Product Line])</f>
        <v>4毫米厚釜電飯煲0.54L</v>
      </c>
      <c r="I2842" s="86" t="str">
        <f>_xlfn.XLOOKUP(表格1[[#This Row],[Model]],表格3[Model-Input-Ref2],表格3[大小電])</f>
        <v>細電</v>
      </c>
      <c r="J2842" s="86" t="str">
        <f>_xlfn.XLOOKUP(表格1[[#This Row],[Model]],表格3[Model-Input-Ref2],表格3[Code])</f>
        <v>SDA</v>
      </c>
      <c r="K2842" s="89" t="s">
        <v>1195</v>
      </c>
      <c r="L2842" s="86">
        <v>1</v>
      </c>
      <c r="M2842" s="87">
        <v>557</v>
      </c>
      <c r="N2842" s="87">
        <f>IFERROR(表格1[[#This Row],[QTY]]*表格1[[#This Row],[Unit Price]],"-")</f>
        <v>557</v>
      </c>
      <c r="O2842" s="86">
        <v>327243</v>
      </c>
      <c r="R2842" s="86" t="str">
        <f>_xlfn.CONCAT(表格1[[#This Row],[Model]]," ",表格1[[#This Row],[inv no]])</f>
        <v>RC-5MMIH(WT) 327243</v>
      </c>
      <c r="S2842" s="86">
        <f>_xlfn.XLOOKUP(表格1[[#This Row],[Model]],表格3[Model-Input-Ref2],表格3[SRP PRICE])</f>
        <v>618</v>
      </c>
      <c r="T2842" s="43">
        <f>表格1[[#This Row],[Unit Price]]/表格1[[#This Row],[SRP]]</f>
        <v>0.90129449838187703</v>
      </c>
      <c r="U2842" s="86" t="str">
        <f>_xlfn.XLOOKUP(表格1[[#This Row],[Model]],表格3[Model-Input-Ref2],表格3[TOSHIBA/HIGHEST])</f>
        <v>Toshiba SRP</v>
      </c>
      <c r="W2842" s="86" t="str">
        <f>_xlfn.CONCAT(表格1[[#This Row],[欄4]],表格1[[#This Row],[inv no]])</f>
        <v>327243</v>
      </c>
    </row>
    <row r="2843" spans="1:23" hidden="1">
      <c r="A2843" s="81">
        <v>2841</v>
      </c>
      <c r="B2843" s="86" t="s">
        <v>1366</v>
      </c>
      <c r="C2843" s="86" t="s">
        <v>1870</v>
      </c>
      <c r="D2843" s="82" t="str">
        <f ca="1">OFFSET(Roster!$A$3,MATCH(表格1[[#This Row],[Location]]&amp;" "&amp;表格1[[#This Row],[Shop]]&amp;"*",Roster!$A$4:$A$72,0),DAY(表格1[[#This Row],[date]]),1,1)</f>
        <v>Gloria</v>
      </c>
      <c r="E2843" s="86">
        <f>MONTH(表格1[[#This Row],[date]])</f>
        <v>3</v>
      </c>
      <c r="F2843" s="90">
        <v>46109</v>
      </c>
      <c r="G2843" s="86" t="str">
        <f>VLOOKUP("*"&amp;表格1[[#This Row],[Input]]&amp;"*",'Ref-List'!$B:$D,2,)</f>
        <v>RC-10NMFIH(WT)</v>
      </c>
      <c r="H2843" s="86" t="str">
        <f>_xlfn.XLOOKUP(表格1[[#This Row],[Model]],表格3[Model-Input-Ref2],表格3[Product Line])</f>
        <v>4毫米厚釜電飯煲1L</v>
      </c>
      <c r="I2843" s="86" t="str">
        <f>_xlfn.XLOOKUP(表格1[[#This Row],[Model]],表格3[Model-Input-Ref2],表格3[大小電])</f>
        <v>細電</v>
      </c>
      <c r="J2843" s="86" t="str">
        <f>_xlfn.XLOOKUP(表格1[[#This Row],[Model]],表格3[Model-Input-Ref2],表格3[Code])</f>
        <v>SDA</v>
      </c>
      <c r="K2843" s="89" t="s">
        <v>1244</v>
      </c>
      <c r="L2843" s="86">
        <v>1</v>
      </c>
      <c r="M2843" s="87">
        <v>719</v>
      </c>
      <c r="N2843" s="87">
        <f>IFERROR(表格1[[#This Row],[QTY]]*表格1[[#This Row],[Unit Price]],"-")</f>
        <v>719</v>
      </c>
      <c r="O2843" s="142" t="s">
        <v>1913</v>
      </c>
      <c r="R2843" s="86" t="str">
        <f>_xlfn.CONCAT(表格1[[#This Row],[Model]]," ",表格1[[#This Row],[inv no]])</f>
        <v>RC-10NMFIH(WT) 092520</v>
      </c>
      <c r="S2843" s="86">
        <f>_xlfn.XLOOKUP(表格1[[#This Row],[Model]],表格3[Model-Input-Ref2],表格3[SRP PRICE])</f>
        <v>898</v>
      </c>
      <c r="T2843" s="43">
        <f>表格1[[#This Row],[Unit Price]]/表格1[[#This Row],[SRP]]</f>
        <v>0.80066815144766146</v>
      </c>
      <c r="U2843" s="86" t="str">
        <f>_xlfn.XLOOKUP(表格1[[#This Row],[Model]],表格3[Model-Input-Ref2],表格3[TOSHIBA/HIGHEST])</f>
        <v>Toshiba SRP</v>
      </c>
      <c r="W2843" s="86" t="str">
        <f>_xlfn.CONCAT(表格1[[#This Row],[欄4]],表格1[[#This Row],[inv no]])</f>
        <v>092520</v>
      </c>
    </row>
    <row r="2844" spans="1:23" hidden="1">
      <c r="A2844" s="81">
        <v>2842</v>
      </c>
      <c r="B2844" s="86" t="s">
        <v>1366</v>
      </c>
      <c r="C2844" s="86" t="s">
        <v>1870</v>
      </c>
      <c r="D2844" s="82" t="str">
        <f ca="1">OFFSET(Roster!$A$3,MATCH(表格1[[#This Row],[Location]]&amp;" "&amp;表格1[[#This Row],[Shop]]&amp;"*",Roster!$A$4:$A$72,0),DAY(表格1[[#This Row],[date]]),1,1)</f>
        <v>Gloria</v>
      </c>
      <c r="E2844" s="86">
        <f>MONTH(表格1[[#This Row],[date]])</f>
        <v>3</v>
      </c>
      <c r="F2844" s="90">
        <v>46109</v>
      </c>
      <c r="G2844" s="86" t="str">
        <f>VLOOKUP("*"&amp;表格1[[#This Row],[Input]]&amp;"*",'Ref-List'!$B:$D,2,)</f>
        <v>MWP-MM20P(WH)</v>
      </c>
      <c r="H2844" s="86" t="str">
        <f>_xlfn.XLOOKUP(表格1[[#This Row],[Model]],表格3[Model-Input-Ref2],表格3[Product Line])</f>
        <v>旋鈕式燒烤微波爐20L</v>
      </c>
      <c r="I2844" s="86" t="str">
        <f>_xlfn.XLOOKUP(表格1[[#This Row],[Model]],表格3[Model-Input-Ref2],表格3[大小電])</f>
        <v>細電</v>
      </c>
      <c r="J2844" s="86" t="str">
        <f>_xlfn.XLOOKUP(表格1[[#This Row],[Model]],表格3[Model-Input-Ref2],表格3[Code])</f>
        <v>SDA</v>
      </c>
      <c r="K2844" s="89" t="s">
        <v>1270</v>
      </c>
      <c r="L2844" s="86">
        <v>1</v>
      </c>
      <c r="M2844" s="87">
        <v>488</v>
      </c>
      <c r="N2844" s="87">
        <f>IFERROR(表格1[[#This Row],[QTY]]*表格1[[#This Row],[Unit Price]],"-")</f>
        <v>488</v>
      </c>
      <c r="O2844" s="86">
        <v>327416</v>
      </c>
      <c r="R2844" s="86" t="str">
        <f>_xlfn.CONCAT(表格1[[#This Row],[Model]]," ",表格1[[#This Row],[inv no]])</f>
        <v>MWP-MM20P(WH) 327416</v>
      </c>
      <c r="S2844" s="86">
        <f>_xlfn.XLOOKUP(表格1[[#This Row],[Model]],表格3[Model-Input-Ref2],表格3[SRP PRICE])</f>
        <v>648</v>
      </c>
      <c r="T2844" s="43">
        <f>表格1[[#This Row],[Unit Price]]/表格1[[#This Row],[SRP]]</f>
        <v>0.75308641975308643</v>
      </c>
      <c r="U2844" s="86" t="str">
        <f>_xlfn.XLOOKUP(表格1[[#This Row],[Model]],表格3[Model-Input-Ref2],表格3[TOSHIBA/HIGHEST])</f>
        <v>Toshiba SRP</v>
      </c>
      <c r="W2844" s="86" t="str">
        <f>_xlfn.CONCAT(表格1[[#This Row],[欄4]],表格1[[#This Row],[inv no]])</f>
        <v>327416</v>
      </c>
    </row>
    <row r="2845" spans="1:23" hidden="1">
      <c r="A2845" s="81">
        <v>2843</v>
      </c>
      <c r="B2845" s="86" t="s">
        <v>1366</v>
      </c>
      <c r="C2845" s="86" t="s">
        <v>1870</v>
      </c>
      <c r="D2845" s="82" t="str">
        <f ca="1">OFFSET(Roster!$A$3,MATCH(表格1[[#This Row],[Location]]&amp;" "&amp;表格1[[#This Row],[Shop]]&amp;"*",Roster!$A$4:$A$72,0),DAY(表格1[[#This Row],[date]]),1,1)</f>
        <v>Gloria</v>
      </c>
      <c r="E2845" s="86">
        <f>MONTH(表格1[[#This Row],[date]])</f>
        <v>3</v>
      </c>
      <c r="F2845" s="90">
        <v>46109</v>
      </c>
      <c r="G2845" s="86" t="str">
        <f>VLOOKUP("*"&amp;表格1[[#This Row],[Input]]&amp;"*",'Ref-List'!$B:$D,2,)</f>
        <v>MX2-TT20SC(WH)</v>
      </c>
      <c r="H2845" s="86" t="str">
        <f>_xlfn.XLOOKUP(表格1[[#This Row],[Model]],表格3[Model-Input-Ref2],表格3[Product Line])</f>
        <v>3合1 微波蒸焗爐 (20公升)</v>
      </c>
      <c r="I2845" s="86" t="str">
        <f>_xlfn.XLOOKUP(表格1[[#This Row],[Model]],表格3[Model-Input-Ref2],表格3[大小電])</f>
        <v>細電</v>
      </c>
      <c r="J2845" s="86" t="str">
        <f>_xlfn.XLOOKUP(表格1[[#This Row],[Model]],表格3[Model-Input-Ref2],表格3[Code])</f>
        <v>MCA</v>
      </c>
      <c r="K2845" s="89" t="s">
        <v>1287</v>
      </c>
      <c r="L2845" s="86">
        <v>1</v>
      </c>
      <c r="M2845" s="87">
        <v>2580</v>
      </c>
      <c r="N2845" s="87">
        <f>IFERROR(表格1[[#This Row],[QTY]]*表格1[[#This Row],[Unit Price]],"-")</f>
        <v>2580</v>
      </c>
      <c r="O2845" s="86">
        <v>405275</v>
      </c>
      <c r="R2845" s="86" t="str">
        <f>_xlfn.CONCAT(表格1[[#This Row],[Model]]," ",表格1[[#This Row],[inv no]])</f>
        <v>MX2-TT20SC(WH) 405275</v>
      </c>
      <c r="S2845" s="86">
        <f>_xlfn.XLOOKUP(表格1[[#This Row],[Model]],表格3[Model-Input-Ref2],表格3[SRP PRICE])</f>
        <v>3580</v>
      </c>
      <c r="T2845" s="43">
        <f>表格1[[#This Row],[Unit Price]]/表格1[[#This Row],[SRP]]</f>
        <v>0.72067039106145248</v>
      </c>
      <c r="U2845" s="86" t="str">
        <f>_xlfn.XLOOKUP(表格1[[#This Row],[Model]],表格3[Model-Input-Ref2],表格3[TOSHIBA/HIGHEST])</f>
        <v>Toshiba SRP</v>
      </c>
      <c r="W2845" s="86" t="str">
        <f>_xlfn.CONCAT(表格1[[#This Row],[欄4]],表格1[[#This Row],[inv no]])</f>
        <v>405275</v>
      </c>
    </row>
    <row r="2846" spans="1:23" hidden="1">
      <c r="A2846" s="81">
        <v>2844</v>
      </c>
      <c r="B2846" s="86" t="s">
        <v>1366</v>
      </c>
      <c r="C2846" s="86" t="s">
        <v>1870</v>
      </c>
      <c r="D2846" s="82" t="str">
        <f ca="1">OFFSET(Roster!$A$3,MATCH(表格1[[#This Row],[Location]]&amp;" "&amp;表格1[[#This Row],[Shop]]&amp;"*",Roster!$A$4:$A$72,0),DAY(表格1[[#This Row],[date]]),1,1)</f>
        <v>Gloria</v>
      </c>
      <c r="E2846" s="86">
        <f>MONTH(表格1[[#This Row],[date]])</f>
        <v>3</v>
      </c>
      <c r="F2846" s="90">
        <v>46109</v>
      </c>
      <c r="G2846" s="86" t="str">
        <f>VLOOKUP("*"&amp;表格1[[#This Row],[Input]]&amp;"*",'Ref-List'!$B:$D,2,)</f>
        <v>MX2-TT20SC(WH)</v>
      </c>
      <c r="H2846" s="86" t="str">
        <f>_xlfn.XLOOKUP(表格1[[#This Row],[Model]],表格3[Model-Input-Ref2],表格3[Product Line])</f>
        <v>3合1 微波蒸焗爐 (20公升)</v>
      </c>
      <c r="I2846" s="86" t="str">
        <f>_xlfn.XLOOKUP(表格1[[#This Row],[Model]],表格3[Model-Input-Ref2],表格3[大小電])</f>
        <v>細電</v>
      </c>
      <c r="J2846" s="86" t="str">
        <f>_xlfn.XLOOKUP(表格1[[#This Row],[Model]],表格3[Model-Input-Ref2],表格3[Code])</f>
        <v>MCA</v>
      </c>
      <c r="K2846" s="89" t="s">
        <v>1287</v>
      </c>
      <c r="L2846" s="86">
        <v>1</v>
      </c>
      <c r="M2846" s="87">
        <v>2580</v>
      </c>
      <c r="N2846" s="87">
        <f>IFERROR(表格1[[#This Row],[QTY]]*表格1[[#This Row],[Unit Price]],"-")</f>
        <v>2580</v>
      </c>
      <c r="O2846" s="86">
        <v>422826</v>
      </c>
      <c r="R2846" s="86" t="str">
        <f>_xlfn.CONCAT(表格1[[#This Row],[Model]]," ",表格1[[#This Row],[inv no]])</f>
        <v>MX2-TT20SC(WH) 422826</v>
      </c>
      <c r="S2846" s="86">
        <f>_xlfn.XLOOKUP(表格1[[#This Row],[Model]],表格3[Model-Input-Ref2],表格3[SRP PRICE])</f>
        <v>3580</v>
      </c>
      <c r="T2846" s="43">
        <f>表格1[[#This Row],[Unit Price]]/表格1[[#This Row],[SRP]]</f>
        <v>0.72067039106145248</v>
      </c>
      <c r="U2846" s="86" t="str">
        <f>_xlfn.XLOOKUP(表格1[[#This Row],[Model]],表格3[Model-Input-Ref2],表格3[TOSHIBA/HIGHEST])</f>
        <v>Toshiba SRP</v>
      </c>
      <c r="W2846" s="86" t="str">
        <f>_xlfn.CONCAT(表格1[[#This Row],[欄4]],表格1[[#This Row],[inv no]])</f>
        <v>422826</v>
      </c>
    </row>
    <row r="2847" spans="1:23" hidden="1">
      <c r="A2847" s="81">
        <v>2845</v>
      </c>
      <c r="B2847" s="86" t="s">
        <v>1366</v>
      </c>
      <c r="C2847" s="86" t="s">
        <v>1870</v>
      </c>
      <c r="D2847" s="82" t="str">
        <f ca="1">OFFSET(Roster!$A$3,MATCH(表格1[[#This Row],[Location]]&amp;" "&amp;表格1[[#This Row],[Shop]]&amp;"*",Roster!$A$4:$A$72,0),DAY(表格1[[#This Row],[date]]),1,1)</f>
        <v>Gloria</v>
      </c>
      <c r="E2847" s="86">
        <f>MONTH(表格1[[#This Row],[date]])</f>
        <v>3</v>
      </c>
      <c r="F2847" s="90">
        <v>46109</v>
      </c>
      <c r="G2847" s="86" t="str">
        <f>VLOOKUP("*"&amp;表格1[[#This Row],[Input]]&amp;"*",'Ref-List'!$B:$D,2,)</f>
        <v>TW-T22BU95UWH(WK)-B</v>
      </c>
      <c r="H2847" s="86" t="str">
        <f>_xlfn.XLOOKUP(表格1[[#This Row],[Model]],表格3[Model-Input-Ref2],表格3[Product Line])</f>
        <v>470MM超薄身前置式變頻洗衣機(8.5公斤, 可飛頂)</v>
      </c>
      <c r="I2847" s="86" t="str">
        <f>_xlfn.XLOOKUP(表格1[[#This Row],[Model]],表格3[Model-Input-Ref2],表格3[大小電])</f>
        <v>大電</v>
      </c>
      <c r="J2847" s="86" t="str">
        <f>_xlfn.XLOOKUP(表格1[[#This Row],[Model]],表格3[Model-Input-Ref2],表格3[Code])</f>
        <v>LAD</v>
      </c>
      <c r="K2847" s="89" t="s">
        <v>969</v>
      </c>
      <c r="L2847" s="86">
        <v>1</v>
      </c>
      <c r="M2847" s="87">
        <v>3680</v>
      </c>
      <c r="N2847" s="87">
        <f>IFERROR(表格1[[#This Row],[QTY]]*表格1[[#This Row],[Unit Price]],"-")</f>
        <v>3680</v>
      </c>
      <c r="O2847" s="142" t="s">
        <v>1914</v>
      </c>
      <c r="R2847" s="86" t="str">
        <f>_xlfn.CONCAT(表格1[[#This Row],[Model]]," ",表格1[[#This Row],[inv no]])</f>
        <v>TW-T22BU95UWH(WK)-B 092430</v>
      </c>
      <c r="S2847" s="86">
        <f>_xlfn.XLOOKUP(表格1[[#This Row],[Model]],表格3[Model-Input-Ref2],表格3[SRP PRICE])</f>
        <v>5880</v>
      </c>
      <c r="T2847" s="43">
        <f>表格1[[#This Row],[Unit Price]]/表格1[[#This Row],[SRP]]</f>
        <v>0.62585034013605445</v>
      </c>
      <c r="U2847" s="86" t="str">
        <f>_xlfn.XLOOKUP(表格1[[#This Row],[Model]],表格3[Model-Input-Ref2],表格3[TOSHIBA/HIGHEST])</f>
        <v>Toshiba SRP</v>
      </c>
      <c r="W2847" s="86" t="str">
        <f>_xlfn.CONCAT(表格1[[#This Row],[欄4]],表格1[[#This Row],[inv no]])</f>
        <v>092430</v>
      </c>
    </row>
    <row r="2848" spans="1:23" hidden="1">
      <c r="A2848" s="81">
        <v>2846</v>
      </c>
      <c r="B2848" s="86" t="s">
        <v>1366</v>
      </c>
      <c r="C2848" s="86" t="s">
        <v>1870</v>
      </c>
      <c r="D2848" s="82" t="str">
        <f ca="1">OFFSET(Roster!$A$3,MATCH(表格1[[#This Row],[Location]]&amp;" "&amp;表格1[[#This Row],[Shop]]&amp;"*",Roster!$A$4:$A$72,0),DAY(表格1[[#This Row],[date]]),1,1)</f>
        <v>Gloria</v>
      </c>
      <c r="E2848" s="86">
        <f>MONTH(表格1[[#This Row],[date]])</f>
        <v>3</v>
      </c>
      <c r="F2848" s="90">
        <v>46110</v>
      </c>
      <c r="G2848" s="86" t="str">
        <f>VLOOKUP("*"&amp;表格1[[#This Row],[Input]]&amp;"*",'Ref-List'!$B:$D,2,)</f>
        <v>RC-DR10T(W)</v>
      </c>
      <c r="H2848" s="86" t="str">
        <f>_xlfn.XLOOKUP(表格1[[#This Row],[Model]],表格3[Model-Input-Ref2],表格3[Product Line])</f>
        <v>IH磁應電飯煲</v>
      </c>
      <c r="I2848" s="86" t="str">
        <f>_xlfn.XLOOKUP(表格1[[#This Row],[Model]],表格3[Model-Input-Ref2],表格3[大小電])</f>
        <v>細電</v>
      </c>
      <c r="J2848" s="86" t="str">
        <f>_xlfn.XLOOKUP(表格1[[#This Row],[Model]],表格3[Model-Input-Ref2],表格3[Code])</f>
        <v>SDA</v>
      </c>
      <c r="K2848" s="89" t="s">
        <v>1294</v>
      </c>
      <c r="L2848" s="86">
        <v>1</v>
      </c>
      <c r="M2848" s="87">
        <v>2380</v>
      </c>
      <c r="N2848" s="87">
        <f>IFERROR(表格1[[#This Row],[QTY]]*表格1[[#This Row],[Unit Price]],"-")</f>
        <v>2380</v>
      </c>
      <c r="O2848" s="86">
        <v>405310</v>
      </c>
      <c r="R2848" s="86" t="str">
        <f>_xlfn.CONCAT(表格1[[#This Row],[Model]]," ",表格1[[#This Row],[inv no]])</f>
        <v>RC-DR10T(W) 405310</v>
      </c>
      <c r="S2848" s="86">
        <f>_xlfn.XLOOKUP(表格1[[#This Row],[Model]],表格3[Model-Input-Ref2],表格3[SRP PRICE])</f>
        <v>3188</v>
      </c>
      <c r="T2848" s="43">
        <f>表格1[[#This Row],[Unit Price]]/表格1[[#This Row],[SRP]]</f>
        <v>0.74654956085319946</v>
      </c>
      <c r="U2848" s="86" t="str">
        <f>_xlfn.XLOOKUP(表格1[[#This Row],[Model]],表格3[Model-Input-Ref2],表格3[TOSHIBA/HIGHEST])</f>
        <v>Toshiba SRP</v>
      </c>
      <c r="W2848" s="86" t="str">
        <f>_xlfn.CONCAT(表格1[[#This Row],[欄4]],表格1[[#This Row],[inv no]])</f>
        <v>405310</v>
      </c>
    </row>
    <row r="2849" spans="1:23" hidden="1">
      <c r="A2849" s="81">
        <v>2847</v>
      </c>
      <c r="B2849" s="86" t="s">
        <v>1366</v>
      </c>
      <c r="C2849" s="86" t="s">
        <v>1870</v>
      </c>
      <c r="D2849" s="82" t="str">
        <f ca="1">OFFSET(Roster!$A$3,MATCH(表格1[[#This Row],[Location]]&amp;" "&amp;表格1[[#This Row],[Shop]]&amp;"*",Roster!$A$4:$A$72,0),DAY(表格1[[#This Row],[date]]),1,1)</f>
        <v>Gloria</v>
      </c>
      <c r="E2849" s="86">
        <f>MONTH(表格1[[#This Row],[date]])</f>
        <v>3</v>
      </c>
      <c r="F2849" s="90">
        <v>46110</v>
      </c>
      <c r="G2849" s="86" t="str">
        <f>VLOOKUP("*"&amp;表格1[[#This Row],[Input]]&amp;"*",'Ref-List'!$B:$D,2,)</f>
        <v>RC-DS18K(N)</v>
      </c>
      <c r="H2849" s="86" t="str">
        <f>_xlfn.XLOOKUP(表格1[[#This Row],[Model]],表格3[Model-Input-Ref2],表格3[Product Line])</f>
        <v>IH磁應電飯煲</v>
      </c>
      <c r="I2849" s="86" t="str">
        <f>_xlfn.XLOOKUP(表格1[[#This Row],[Model]],表格3[Model-Input-Ref2],表格3[大小電])</f>
        <v>細電</v>
      </c>
      <c r="J2849" s="86" t="str">
        <f>_xlfn.XLOOKUP(表格1[[#This Row],[Model]],表格3[Model-Input-Ref2],表格3[Code])</f>
        <v>SDA</v>
      </c>
      <c r="K2849" s="89" t="s">
        <v>1498</v>
      </c>
      <c r="L2849" s="86">
        <v>1</v>
      </c>
      <c r="M2849" s="87">
        <v>3490</v>
      </c>
      <c r="N2849" s="87">
        <f>IFERROR(表格1[[#This Row],[QTY]]*表格1[[#This Row],[Unit Price]],"-")</f>
        <v>3490</v>
      </c>
      <c r="O2849" s="86">
        <v>327788</v>
      </c>
      <c r="R2849" s="86" t="str">
        <f>_xlfn.CONCAT(表格1[[#This Row],[Model]]," ",表格1[[#This Row],[inv no]])</f>
        <v>RC-DS18K(N) 327788</v>
      </c>
      <c r="S2849" s="86">
        <f>_xlfn.XLOOKUP(表格1[[#This Row],[Model]],表格3[Model-Input-Ref2],表格3[SRP PRICE])</f>
        <v>4988</v>
      </c>
      <c r="T2849" s="43">
        <f>表格1[[#This Row],[Unit Price]]/表格1[[#This Row],[SRP]]</f>
        <v>0.69967923015236566</v>
      </c>
      <c r="U2849" s="86" t="str">
        <f>_xlfn.XLOOKUP(表格1[[#This Row],[Model]],表格3[Model-Input-Ref2],表格3[TOSHIBA/HIGHEST])</f>
        <v>Toshiba SRP</v>
      </c>
      <c r="W2849" s="86" t="str">
        <f>_xlfn.CONCAT(表格1[[#This Row],[欄4]],表格1[[#This Row],[inv no]])</f>
        <v>327788</v>
      </c>
    </row>
    <row r="2850" spans="1:23" hidden="1">
      <c r="A2850" s="81">
        <v>2848</v>
      </c>
      <c r="B2850" s="86" t="s">
        <v>1366</v>
      </c>
      <c r="C2850" s="86" t="s">
        <v>1870</v>
      </c>
      <c r="D2850" s="82" t="str">
        <f ca="1">OFFSET(Roster!$A$3,MATCH(表格1[[#This Row],[Location]]&amp;" "&amp;表格1[[#This Row],[Shop]]&amp;"*",Roster!$A$4:$A$72,0),DAY(表格1[[#This Row],[date]]),1,1)</f>
        <v>Gloria</v>
      </c>
      <c r="E2850" s="86">
        <f>MONTH(表格1[[#This Row],[date]])</f>
        <v>3</v>
      </c>
      <c r="F2850" s="90">
        <v>46110</v>
      </c>
      <c r="G2850" s="86" t="str">
        <f>VLOOKUP("*"&amp;表格1[[#This Row],[Input]]&amp;"*",'Ref-List'!$B:$D,2,)</f>
        <v>RC-10JRUH(N)</v>
      </c>
      <c r="H2850" s="86" t="str">
        <f>_xlfn.XLOOKUP(表格1[[#This Row],[Model]],表格3[Model-Input-Ref2],表格3[Product Line])</f>
        <v>電飯煲</v>
      </c>
      <c r="I2850" s="86" t="str">
        <f>_xlfn.XLOOKUP(表格1[[#This Row],[Model]],表格3[Model-Input-Ref2],表格3[大小電])</f>
        <v>細電</v>
      </c>
      <c r="J2850" s="86" t="str">
        <f>_xlfn.XLOOKUP(表格1[[#This Row],[Model]],表格3[Model-Input-Ref2],表格3[Code])</f>
        <v>SDA</v>
      </c>
      <c r="K2850" s="89" t="s">
        <v>1263</v>
      </c>
      <c r="L2850" s="86">
        <v>1</v>
      </c>
      <c r="M2850" s="87">
        <v>328</v>
      </c>
      <c r="N2850" s="87">
        <f>IFERROR(表格1[[#This Row],[QTY]]*表格1[[#This Row],[Unit Price]],"-")</f>
        <v>328</v>
      </c>
      <c r="O2850" s="142" t="s">
        <v>1915</v>
      </c>
      <c r="R2850" s="86" t="str">
        <f>_xlfn.CONCAT(表格1[[#This Row],[Model]]," ",表格1[[#This Row],[inv no]])</f>
        <v>RC-10JRUH(N) 092606</v>
      </c>
      <c r="S2850" s="86">
        <f>_xlfn.XLOOKUP(表格1[[#This Row],[Model]],表格3[Model-Input-Ref2],表格3[SRP PRICE])</f>
        <v>398</v>
      </c>
      <c r="T2850" s="43">
        <f>表格1[[#This Row],[Unit Price]]/表格1[[#This Row],[SRP]]</f>
        <v>0.82412060301507539</v>
      </c>
      <c r="U2850" s="86" t="str">
        <f>_xlfn.XLOOKUP(表格1[[#This Row],[Model]],表格3[Model-Input-Ref2],表格3[TOSHIBA/HIGHEST])</f>
        <v>Shops Highest Price</v>
      </c>
      <c r="W2850" s="86" t="str">
        <f>_xlfn.CONCAT(表格1[[#This Row],[欄4]],表格1[[#This Row],[inv no]])</f>
        <v>092606</v>
      </c>
    </row>
    <row r="2851" spans="1:23" hidden="1">
      <c r="A2851" s="81">
        <v>2849</v>
      </c>
      <c r="B2851" s="86" t="s">
        <v>1366</v>
      </c>
      <c r="C2851" s="86" t="s">
        <v>1870</v>
      </c>
      <c r="D2851" s="82" t="str">
        <f ca="1">OFFSET(Roster!$A$3,MATCH(表格1[[#This Row],[Location]]&amp;" "&amp;表格1[[#This Row],[Shop]]&amp;"*",Roster!$A$4:$A$72,0),DAY(表格1[[#This Row],[date]]),1,1)</f>
        <v>Gloria</v>
      </c>
      <c r="E2851" s="86">
        <f>MONTH(表格1[[#This Row],[date]])</f>
        <v>3</v>
      </c>
      <c r="F2851" s="90">
        <v>46110</v>
      </c>
      <c r="G2851" s="86" t="str">
        <f>VLOOKUP("*"&amp;表格1[[#This Row],[Input]]&amp;"*",'Ref-List'!$B:$D,2,)</f>
        <v>RC-10NMFIH(WT)</v>
      </c>
      <c r="H2851" s="86" t="str">
        <f>_xlfn.XLOOKUP(表格1[[#This Row],[Model]],表格3[Model-Input-Ref2],表格3[Product Line])</f>
        <v>4毫米厚釜電飯煲1L</v>
      </c>
      <c r="I2851" s="86" t="str">
        <f>_xlfn.XLOOKUP(表格1[[#This Row],[Model]],表格3[Model-Input-Ref2],表格3[大小電])</f>
        <v>細電</v>
      </c>
      <c r="J2851" s="86" t="str">
        <f>_xlfn.XLOOKUP(表格1[[#This Row],[Model]],表格3[Model-Input-Ref2],表格3[Code])</f>
        <v>SDA</v>
      </c>
      <c r="K2851" s="89" t="s">
        <v>1244</v>
      </c>
      <c r="L2851" s="86">
        <v>1</v>
      </c>
      <c r="M2851" s="87">
        <v>719</v>
      </c>
      <c r="N2851" s="87">
        <f>IFERROR(表格1[[#This Row],[QTY]]*表格1[[#This Row],[Unit Price]],"-")</f>
        <v>719</v>
      </c>
      <c r="O2851" s="86">
        <v>327805</v>
      </c>
      <c r="R2851" s="86" t="str">
        <f>_xlfn.CONCAT(表格1[[#This Row],[Model]]," ",表格1[[#This Row],[inv no]])</f>
        <v>RC-10NMFIH(WT) 327805</v>
      </c>
      <c r="S2851" s="86">
        <f>_xlfn.XLOOKUP(表格1[[#This Row],[Model]],表格3[Model-Input-Ref2],表格3[SRP PRICE])</f>
        <v>898</v>
      </c>
      <c r="T2851" s="43">
        <f>表格1[[#This Row],[Unit Price]]/表格1[[#This Row],[SRP]]</f>
        <v>0.80066815144766146</v>
      </c>
      <c r="U2851" s="86" t="str">
        <f>_xlfn.XLOOKUP(表格1[[#This Row],[Model]],表格3[Model-Input-Ref2],表格3[TOSHIBA/HIGHEST])</f>
        <v>Toshiba SRP</v>
      </c>
      <c r="W2851" s="86" t="str">
        <f>_xlfn.CONCAT(表格1[[#This Row],[欄4]],表格1[[#This Row],[inv no]])</f>
        <v>327805</v>
      </c>
    </row>
    <row r="2852" spans="1:23" hidden="1">
      <c r="A2852" s="81">
        <v>2850</v>
      </c>
      <c r="B2852" s="86" t="s">
        <v>1366</v>
      </c>
      <c r="C2852" s="86" t="s">
        <v>1870</v>
      </c>
      <c r="D2852" s="82" t="str">
        <f ca="1">OFFSET(Roster!$A$3,MATCH(表格1[[#This Row],[Location]]&amp;" "&amp;表格1[[#This Row],[Shop]]&amp;"*",Roster!$A$4:$A$72,0),DAY(表格1[[#This Row],[date]]),1,1)</f>
        <v>Gloria</v>
      </c>
      <c r="E2852" s="86">
        <f>MONTH(表格1[[#This Row],[date]])</f>
        <v>3</v>
      </c>
      <c r="F2852" s="90">
        <v>46110</v>
      </c>
      <c r="G2852" s="86" t="str">
        <f>VLOOKUP("*"&amp;表格1[[#This Row],[Input]]&amp;"*",'Ref-List'!$B:$D,2,)</f>
        <v>RC-10NMFIH(WT)</v>
      </c>
      <c r="H2852" s="86" t="str">
        <f>_xlfn.XLOOKUP(表格1[[#This Row],[Model]],表格3[Model-Input-Ref2],表格3[Product Line])</f>
        <v>4毫米厚釜電飯煲1L</v>
      </c>
      <c r="I2852" s="86" t="str">
        <f>_xlfn.XLOOKUP(表格1[[#This Row],[Model]],表格3[Model-Input-Ref2],表格3[大小電])</f>
        <v>細電</v>
      </c>
      <c r="J2852" s="86" t="str">
        <f>_xlfn.XLOOKUP(表格1[[#This Row],[Model]],表格3[Model-Input-Ref2],表格3[Code])</f>
        <v>SDA</v>
      </c>
      <c r="K2852" s="89" t="s">
        <v>1244</v>
      </c>
      <c r="L2852" s="86">
        <v>1</v>
      </c>
      <c r="M2852" s="87">
        <v>719</v>
      </c>
      <c r="N2852" s="87">
        <f>IFERROR(表格1[[#This Row],[QTY]]*表格1[[#This Row],[Unit Price]],"-")</f>
        <v>719</v>
      </c>
      <c r="O2852" s="142" t="s">
        <v>1916</v>
      </c>
      <c r="R2852" s="86" t="str">
        <f>_xlfn.CONCAT(表格1[[#This Row],[Model]]," ",表格1[[#This Row],[inv no]])</f>
        <v>RC-10NMFIH(WT) 092690</v>
      </c>
      <c r="S2852" s="86">
        <f>_xlfn.XLOOKUP(表格1[[#This Row],[Model]],表格3[Model-Input-Ref2],表格3[SRP PRICE])</f>
        <v>898</v>
      </c>
      <c r="T2852" s="43">
        <f>表格1[[#This Row],[Unit Price]]/表格1[[#This Row],[SRP]]</f>
        <v>0.80066815144766146</v>
      </c>
      <c r="U2852" s="86" t="str">
        <f>_xlfn.XLOOKUP(表格1[[#This Row],[Model]],表格3[Model-Input-Ref2],表格3[TOSHIBA/HIGHEST])</f>
        <v>Toshiba SRP</v>
      </c>
      <c r="W2852" s="86" t="str">
        <f>_xlfn.CONCAT(表格1[[#This Row],[欄4]],表格1[[#This Row],[inv no]])</f>
        <v>092690</v>
      </c>
    </row>
    <row r="2853" spans="1:23" hidden="1">
      <c r="A2853" s="81">
        <v>2851</v>
      </c>
      <c r="B2853" s="86" t="s">
        <v>1366</v>
      </c>
      <c r="C2853" s="86" t="s">
        <v>1870</v>
      </c>
      <c r="D2853" s="82" t="str">
        <f ca="1">OFFSET(Roster!$A$3,MATCH(表格1[[#This Row],[Location]]&amp;" "&amp;表格1[[#This Row],[Shop]]&amp;"*",Roster!$A$4:$A$72,0),DAY(表格1[[#This Row],[date]]),1,1)</f>
        <v>Gloria</v>
      </c>
      <c r="E2853" s="86">
        <f>MONTH(表格1[[#This Row],[date]])</f>
        <v>3</v>
      </c>
      <c r="F2853" s="90">
        <v>46110</v>
      </c>
      <c r="G2853" s="86" t="str">
        <f>VLOOKUP("*"&amp;表格1[[#This Row],[Input]]&amp;"*",'Ref-List'!$B:$D,2,)</f>
        <v>CFK01W75</v>
      </c>
      <c r="H2853" s="86" t="str">
        <f>_xlfn.XLOOKUP(表格1[[#This Row],[Model]],表格3[Model-Input-Ref2],表格3[Product Line])</f>
        <v>變頻頂揭式洗衣機 (7.5公斤)</v>
      </c>
      <c r="I2853" s="86" t="str">
        <f>_xlfn.XLOOKUP(表格1[[#This Row],[Model]],表格3[Model-Input-Ref2],表格3[大小電])</f>
        <v>大電</v>
      </c>
      <c r="J2853" s="86" t="str">
        <f>_xlfn.XLOOKUP(表格1[[#This Row],[Model]],表格3[Model-Input-Ref2],表格3[Code])</f>
        <v>LAD</v>
      </c>
      <c r="K2853" s="89" t="s">
        <v>1266</v>
      </c>
      <c r="L2853" s="86">
        <v>1</v>
      </c>
      <c r="M2853" s="87">
        <v>3580</v>
      </c>
      <c r="N2853" s="87">
        <f>IFERROR(表格1[[#This Row],[QTY]]*表格1[[#This Row],[Unit Price]],"-")</f>
        <v>3580</v>
      </c>
      <c r="O2853" s="86">
        <v>422988</v>
      </c>
      <c r="R2853" s="86" t="str">
        <f>_xlfn.CONCAT(表格1[[#This Row],[Model]]," ",表格1[[#This Row],[inv no]])</f>
        <v>CFK01W75 422988</v>
      </c>
      <c r="S2853" s="86">
        <f>_xlfn.XLOOKUP(表格1[[#This Row],[Model]],表格3[Model-Input-Ref2],表格3[SRP PRICE])</f>
        <v>3888</v>
      </c>
      <c r="T2853" s="43">
        <f>表格1[[#This Row],[Unit Price]]/表格1[[#This Row],[SRP]]</f>
        <v>0.92078189300411528</v>
      </c>
      <c r="U2853" s="86" t="str">
        <f>_xlfn.XLOOKUP(表格1[[#This Row],[Model]],表格3[Model-Input-Ref2],表格3[TOSHIBA/HIGHEST])</f>
        <v>Shops Highest Price</v>
      </c>
      <c r="W2853" s="86" t="str">
        <f>_xlfn.CONCAT(表格1[[#This Row],[欄4]],表格1[[#This Row],[inv no]])</f>
        <v>422988</v>
      </c>
    </row>
    <row r="2854" spans="1:23" hidden="1">
      <c r="A2854" s="81">
        <v>2852</v>
      </c>
      <c r="B2854" s="86" t="s">
        <v>1366</v>
      </c>
      <c r="C2854" s="86" t="s">
        <v>1918</v>
      </c>
      <c r="D2854" s="82" t="str">
        <f ca="1">OFFSET(Roster!$A$3,MATCH(表格1[[#This Row],[Location]]&amp;" "&amp;表格1[[#This Row],[Shop]]&amp;"*",Roster!$A$4:$A$72,0),DAY(表格1[[#This Row],[date]]),1,1)</f>
        <v>Tony_2</v>
      </c>
      <c r="E2854" s="86">
        <f>MONTH(表格1[[#This Row],[date]])</f>
        <v>3</v>
      </c>
      <c r="F2854" s="90">
        <v>46090</v>
      </c>
      <c r="G2854" s="86" t="str">
        <f>VLOOKUP("*"&amp;表格1[[#This Row],[Input]]&amp;"*",'Ref-List'!$B:$D,2,)</f>
        <v>PLK-30FLIH(WT)</v>
      </c>
      <c r="H2854" s="86" t="str">
        <f>_xlfn.XLOOKUP(表格1[[#This Row],[Model]],表格3[Model-Input-Ref2],表格3[Product Line])</f>
        <v>電熱水瓶3L</v>
      </c>
      <c r="I2854" s="86" t="str">
        <f>_xlfn.XLOOKUP(表格1[[#This Row],[Model]],表格3[Model-Input-Ref2],表格3[大小電])</f>
        <v>細電</v>
      </c>
      <c r="J2854" s="86" t="str">
        <f>_xlfn.XLOOKUP(表格1[[#This Row],[Model]],表格3[Model-Input-Ref2],表格3[Code])</f>
        <v>SDA</v>
      </c>
      <c r="K2854" s="89" t="s">
        <v>1272</v>
      </c>
      <c r="L2854" s="86">
        <v>1</v>
      </c>
      <c r="M2854" s="87">
        <v>489</v>
      </c>
      <c r="N2854" s="87">
        <f>IFERROR(表格1[[#This Row],[QTY]]*表格1[[#This Row],[Unit Price]],"-")</f>
        <v>489</v>
      </c>
      <c r="O2854" s="142" t="s">
        <v>1919</v>
      </c>
      <c r="R2854" s="86" t="str">
        <f>_xlfn.CONCAT(表格1[[#This Row],[Model]]," ",表格1[[#This Row],[inv no]])</f>
        <v>PLK-30FLIH(WT) 090065</v>
      </c>
      <c r="S2854" s="86">
        <f>_xlfn.XLOOKUP(表格1[[#This Row],[Model]],表格3[Model-Input-Ref2],表格3[SRP PRICE])</f>
        <v>658</v>
      </c>
      <c r="T2854" s="43">
        <f>表格1[[#This Row],[Unit Price]]/表格1[[#This Row],[SRP]]</f>
        <v>0.74316109422492405</v>
      </c>
      <c r="U2854" s="86" t="str">
        <f>_xlfn.XLOOKUP(表格1[[#This Row],[Model]],表格3[Model-Input-Ref2],表格3[TOSHIBA/HIGHEST])</f>
        <v>Toshiba SRP</v>
      </c>
      <c r="W2854" s="86" t="str">
        <f>_xlfn.CONCAT(表格1[[#This Row],[欄4]],表格1[[#This Row],[inv no]])</f>
        <v>090065</v>
      </c>
    </row>
    <row r="2855" spans="1:23" hidden="1">
      <c r="A2855" s="81">
        <v>2853</v>
      </c>
      <c r="B2855" s="86" t="s">
        <v>1366</v>
      </c>
      <c r="C2855" s="86" t="s">
        <v>1918</v>
      </c>
      <c r="D2855" s="82" t="str">
        <f ca="1">OFFSET(Roster!$A$3,MATCH(表格1[[#This Row],[Location]]&amp;" "&amp;表格1[[#This Row],[Shop]]&amp;"*",Roster!$A$4:$A$72,0),DAY(表格1[[#This Row],[date]]),1,1)</f>
        <v>Tony_2</v>
      </c>
      <c r="E2855" s="86">
        <f>MONTH(表格1[[#This Row],[date]])</f>
        <v>3</v>
      </c>
      <c r="F2855" s="90">
        <v>46090</v>
      </c>
      <c r="G2855" s="86" t="str">
        <f>VLOOKUP("*"&amp;表格1[[#This Row],[Input]]&amp;"*",'Ref-List'!$B:$D,2,)</f>
        <v>GR-RT300WE-PMA(57)</v>
      </c>
      <c r="H2855" s="86" t="str">
        <f>_xlfn.XLOOKUP(表格1[[#This Row],[Model]],表格3[Model-Input-Ref2],表格3[Product Line])</f>
        <v>變頻式環保雙門雪櫃(233L)</v>
      </c>
      <c r="I2855" s="86" t="str">
        <f>_xlfn.XLOOKUP(表格1[[#This Row],[Model]],表格3[Model-Input-Ref2],表格3[大小電])</f>
        <v>大電</v>
      </c>
      <c r="J2855" s="86" t="str">
        <f>_xlfn.XLOOKUP(表格1[[#This Row],[Model]],表格3[Model-Input-Ref2],表格3[Code])</f>
        <v>REF</v>
      </c>
      <c r="K2855" s="89" t="s">
        <v>1462</v>
      </c>
      <c r="L2855" s="86">
        <v>1</v>
      </c>
      <c r="M2855" s="87">
        <v>2780</v>
      </c>
      <c r="N2855" s="87">
        <f>IFERROR(表格1[[#This Row],[QTY]]*表格1[[#This Row],[Unit Price]],"-")</f>
        <v>2780</v>
      </c>
      <c r="O2855" s="86">
        <v>418317</v>
      </c>
      <c r="R2855" s="86" t="str">
        <f>_xlfn.CONCAT(表格1[[#This Row],[Model]]," ",表格1[[#This Row],[inv no]])</f>
        <v>GR-RT300WE-PMA(57) 418317</v>
      </c>
      <c r="S2855" s="86">
        <f>_xlfn.XLOOKUP(表格1[[#This Row],[Model]],表格3[Model-Input-Ref2],表格3[SRP PRICE])</f>
        <v>4280</v>
      </c>
      <c r="T2855" s="43">
        <f>表格1[[#This Row],[Unit Price]]/表格1[[#This Row],[SRP]]</f>
        <v>0.64953271028037385</v>
      </c>
      <c r="U2855" s="86" t="str">
        <f>_xlfn.XLOOKUP(表格1[[#This Row],[Model]],表格3[Model-Input-Ref2],表格3[TOSHIBA/HIGHEST])</f>
        <v>Toshiba SRP</v>
      </c>
      <c r="W2855" s="86" t="str">
        <f>_xlfn.CONCAT(表格1[[#This Row],[欄4]],表格1[[#This Row],[inv no]])</f>
        <v>418317</v>
      </c>
    </row>
    <row r="2856" spans="1:23" hidden="1">
      <c r="A2856" s="81">
        <v>2854</v>
      </c>
      <c r="B2856" s="86" t="s">
        <v>1366</v>
      </c>
      <c r="C2856" s="86" t="s">
        <v>1918</v>
      </c>
      <c r="D2856" s="82" t="str">
        <f ca="1">OFFSET(Roster!$A$3,MATCH(表格1[[#This Row],[Location]]&amp;" "&amp;表格1[[#This Row],[Shop]]&amp;"*",Roster!$A$4:$A$72,0),DAY(表格1[[#This Row],[date]]),1,1)</f>
        <v>Tony_2</v>
      </c>
      <c r="E2856" s="86">
        <f>MONTH(表格1[[#This Row],[date]])</f>
        <v>3</v>
      </c>
      <c r="F2856" s="90">
        <v>46090</v>
      </c>
      <c r="G2856" s="86" t="str">
        <f>VLOOKUP("*"&amp;表格1[[#This Row],[Input]]&amp;"*",'Ref-List'!$B:$D,2,)</f>
        <v>AW-Q801APH(WW)</v>
      </c>
      <c r="H2856" s="86" t="str">
        <f>_xlfn.XLOOKUP(表格1[[#This Row],[Model]],表格3[Model-Input-Ref2],表格3[Product Line])</f>
        <v>日式洗衣機 (7公斤 結合高低水位)</v>
      </c>
      <c r="I2856" s="86" t="str">
        <f>_xlfn.XLOOKUP(表格1[[#This Row],[Model]],表格3[Model-Input-Ref2],表格3[大小電])</f>
        <v>大電</v>
      </c>
      <c r="J2856" s="86" t="str">
        <f>_xlfn.XLOOKUP(表格1[[#This Row],[Model]],表格3[Model-Input-Ref2],表格3[Code])</f>
        <v>LAD</v>
      </c>
      <c r="K2856" s="89" t="s">
        <v>1420</v>
      </c>
      <c r="L2856" s="86">
        <v>1</v>
      </c>
      <c r="M2856" s="87">
        <v>1980</v>
      </c>
      <c r="N2856" s="87">
        <f>IFERROR(表格1[[#This Row],[QTY]]*表格1[[#This Row],[Unit Price]],"-")</f>
        <v>1980</v>
      </c>
      <c r="O2856" s="142" t="s">
        <v>1920</v>
      </c>
      <c r="R2856" s="86" t="str">
        <f>_xlfn.CONCAT(表格1[[#This Row],[Model]]," ",表格1[[#This Row],[inv no]])</f>
        <v>AW-Q801APH(WW) 090108</v>
      </c>
      <c r="S2856" s="86">
        <f>_xlfn.XLOOKUP(表格1[[#This Row],[Model]],表格3[Model-Input-Ref2],表格3[SRP PRICE])</f>
        <v>3380</v>
      </c>
      <c r="T2856" s="43">
        <f>表格1[[#This Row],[Unit Price]]/表格1[[#This Row],[SRP]]</f>
        <v>0.58579881656804733</v>
      </c>
      <c r="U2856" s="86" t="str">
        <f>_xlfn.XLOOKUP(表格1[[#This Row],[Model]],表格3[Model-Input-Ref2],表格3[TOSHIBA/HIGHEST])</f>
        <v>Toshiba SRP</v>
      </c>
      <c r="W2856" s="86" t="str">
        <f>_xlfn.CONCAT(表格1[[#This Row],[欄4]],表格1[[#This Row],[inv no]])</f>
        <v>090108</v>
      </c>
    </row>
    <row r="2857" spans="1:23" hidden="1">
      <c r="A2857" s="81">
        <v>2855</v>
      </c>
      <c r="B2857" s="86" t="s">
        <v>1366</v>
      </c>
      <c r="C2857" s="86" t="s">
        <v>1918</v>
      </c>
      <c r="D2857" s="82" t="str">
        <f ca="1">OFFSET(Roster!$A$3,MATCH(表格1[[#This Row],[Location]]&amp;" "&amp;表格1[[#This Row],[Shop]]&amp;"*",Roster!$A$4:$A$72,0),DAY(表格1[[#This Row],[date]]),1,1)</f>
        <v>Tony_2</v>
      </c>
      <c r="E2857" s="86">
        <f>MONTH(表格1[[#This Row],[date]])</f>
        <v>3</v>
      </c>
      <c r="F2857" s="90">
        <v>46090</v>
      </c>
      <c r="G2857" s="86" t="str">
        <f>VLOOKUP("*"&amp;表格1[[#This Row],[Input]]&amp;"*",'Ref-List'!$B:$D,2,)</f>
        <v>RC-10DRNH</v>
      </c>
      <c r="H2857" s="86" t="str">
        <f>_xlfn.XLOOKUP(表格1[[#This Row],[Model]],表格3[Model-Input-Ref2],表格3[Product Line])</f>
        <v>多功能備長炭本厚釜電飯煲1L</v>
      </c>
      <c r="I2857" s="86" t="str">
        <f>_xlfn.XLOOKUP(表格1[[#This Row],[Model]],表格3[Model-Input-Ref2],表格3[大小電])</f>
        <v>細電</v>
      </c>
      <c r="J2857" s="86" t="str">
        <f>_xlfn.XLOOKUP(表格1[[#This Row],[Model]],表格3[Model-Input-Ref2],表格3[Code])</f>
        <v>SDA</v>
      </c>
      <c r="K2857" s="89" t="s">
        <v>1376</v>
      </c>
      <c r="L2857" s="86">
        <v>1</v>
      </c>
      <c r="M2857" s="87">
        <v>549</v>
      </c>
      <c r="N2857" s="87">
        <f>IFERROR(表格1[[#This Row],[QTY]]*表格1[[#This Row],[Unit Price]],"-")</f>
        <v>549</v>
      </c>
      <c r="O2857" s="86">
        <v>418338</v>
      </c>
      <c r="R2857" s="86" t="str">
        <f>_xlfn.CONCAT(表格1[[#This Row],[Model]]," ",表格1[[#This Row],[inv no]])</f>
        <v>RC-10DRNH 418338</v>
      </c>
      <c r="S2857" s="86">
        <f>_xlfn.XLOOKUP(表格1[[#This Row],[Model]],表格3[Model-Input-Ref2],表格3[SRP PRICE])</f>
        <v>798</v>
      </c>
      <c r="T2857" s="43">
        <f>表格1[[#This Row],[Unit Price]]/表格1[[#This Row],[SRP]]</f>
        <v>0.68796992481203012</v>
      </c>
      <c r="U2857" s="86" t="str">
        <f>_xlfn.XLOOKUP(表格1[[#This Row],[Model]],表格3[Model-Input-Ref2],表格3[TOSHIBA/HIGHEST])</f>
        <v>Toshiba SRP</v>
      </c>
      <c r="W2857" s="86" t="str">
        <f>_xlfn.CONCAT(表格1[[#This Row],[欄4]],表格1[[#This Row],[inv no]])</f>
        <v>418338</v>
      </c>
    </row>
    <row r="2858" spans="1:23" hidden="1">
      <c r="A2858" s="81">
        <v>2856</v>
      </c>
      <c r="B2858" s="86" t="s">
        <v>1366</v>
      </c>
      <c r="C2858" s="86" t="s">
        <v>1918</v>
      </c>
      <c r="D2858" s="82" t="str">
        <f ca="1">OFFSET(Roster!$A$3,MATCH(表格1[[#This Row],[Location]]&amp;" "&amp;表格1[[#This Row],[Shop]]&amp;"*",Roster!$A$4:$A$72,0),DAY(表格1[[#This Row],[date]]),1,1)</f>
        <v>Tony_2</v>
      </c>
      <c r="E2858" s="86">
        <f>MONTH(表格1[[#This Row],[date]])</f>
        <v>3</v>
      </c>
      <c r="F2858" s="90">
        <v>46090</v>
      </c>
      <c r="G2858" s="86" t="str">
        <f>VLOOKUP("*"&amp;表格1[[#This Row],[Input]]&amp;"*",'Ref-List'!$B:$D,2,)</f>
        <v>RC-DR10T(W)</v>
      </c>
      <c r="H2858" s="86" t="str">
        <f>_xlfn.XLOOKUP(表格1[[#This Row],[Model]],表格3[Model-Input-Ref2],表格3[Product Line])</f>
        <v>IH磁應電飯煲</v>
      </c>
      <c r="I2858" s="86" t="str">
        <f>_xlfn.XLOOKUP(表格1[[#This Row],[Model]],表格3[Model-Input-Ref2],表格3[大小電])</f>
        <v>細電</v>
      </c>
      <c r="J2858" s="86" t="str">
        <f>_xlfn.XLOOKUP(表格1[[#This Row],[Model]],表格3[Model-Input-Ref2],表格3[Code])</f>
        <v>SDA</v>
      </c>
      <c r="K2858" s="89" t="s">
        <v>1294</v>
      </c>
      <c r="L2858" s="86">
        <v>1</v>
      </c>
      <c r="M2858" s="87">
        <v>2380</v>
      </c>
      <c r="N2858" s="87">
        <f>IFERROR(表格1[[#This Row],[QTY]]*表格1[[#This Row],[Unit Price]],"-")</f>
        <v>2380</v>
      </c>
      <c r="O2858" s="86">
        <v>418375</v>
      </c>
      <c r="R2858" s="86" t="str">
        <f>_xlfn.CONCAT(表格1[[#This Row],[Model]]," ",表格1[[#This Row],[inv no]])</f>
        <v>RC-DR10T(W) 418375</v>
      </c>
      <c r="S2858" s="86">
        <f>_xlfn.XLOOKUP(表格1[[#This Row],[Model]],表格3[Model-Input-Ref2],表格3[SRP PRICE])</f>
        <v>3188</v>
      </c>
      <c r="T2858" s="43">
        <f>表格1[[#This Row],[Unit Price]]/表格1[[#This Row],[SRP]]</f>
        <v>0.74654956085319946</v>
      </c>
      <c r="U2858" s="86" t="str">
        <f>_xlfn.XLOOKUP(表格1[[#This Row],[Model]],表格3[Model-Input-Ref2],表格3[TOSHIBA/HIGHEST])</f>
        <v>Toshiba SRP</v>
      </c>
      <c r="W2858" s="86" t="str">
        <f>_xlfn.CONCAT(表格1[[#This Row],[欄4]],表格1[[#This Row],[inv no]])</f>
        <v>418375</v>
      </c>
    </row>
    <row r="2859" spans="1:23" hidden="1">
      <c r="A2859" s="81">
        <v>2857</v>
      </c>
      <c r="B2859" s="86" t="s">
        <v>1366</v>
      </c>
      <c r="C2859" s="86" t="s">
        <v>1918</v>
      </c>
      <c r="D2859" s="82" t="str">
        <f ca="1">OFFSET(Roster!$A$3,MATCH(表格1[[#This Row],[Location]]&amp;" "&amp;表格1[[#This Row],[Shop]]&amp;"*",Roster!$A$4:$A$72,0),DAY(表格1[[#This Row],[date]]),1,1)</f>
        <v>Tony_2</v>
      </c>
      <c r="E2859" s="86">
        <f>MONTH(表格1[[#This Row],[date]])</f>
        <v>3</v>
      </c>
      <c r="F2859" s="90">
        <v>46091</v>
      </c>
      <c r="G2859" s="86" t="str">
        <f>VLOOKUP("*"&amp;表格1[[#This Row],[Input]]&amp;"*",'Ref-List'!$B:$D,2,)</f>
        <v>MM2-EM20PC(WH)</v>
      </c>
      <c r="H2859" s="86" t="str">
        <f>_xlfn.XLOOKUP(表格1[[#This Row],[Model]],表格3[Model-Input-Ref2],表格3[Product Line])</f>
        <v>輕觸式微波爐 (20公升)</v>
      </c>
      <c r="I2859" s="86" t="str">
        <f>_xlfn.XLOOKUP(表格1[[#This Row],[Model]],表格3[Model-Input-Ref2],表格3[大小電])</f>
        <v>細電</v>
      </c>
      <c r="J2859" s="86" t="str">
        <f>_xlfn.XLOOKUP(表格1[[#This Row],[Model]],表格3[Model-Input-Ref2],表格3[Code])</f>
        <v>MCA</v>
      </c>
      <c r="K2859" s="89" t="s">
        <v>1276</v>
      </c>
      <c r="L2859" s="86">
        <v>1</v>
      </c>
      <c r="M2859" s="87">
        <v>598</v>
      </c>
      <c r="N2859" s="87">
        <f>IFERROR(表格1[[#This Row],[QTY]]*表格1[[#This Row],[Unit Price]],"-")</f>
        <v>598</v>
      </c>
      <c r="O2859" s="86">
        <v>418445</v>
      </c>
      <c r="R2859" s="86" t="str">
        <f>_xlfn.CONCAT(表格1[[#This Row],[Model]]," ",表格1[[#This Row],[inv no]])</f>
        <v>MM2-EM20PC(WH) 418445</v>
      </c>
      <c r="S2859" s="86">
        <f>_xlfn.XLOOKUP(表格1[[#This Row],[Model]],表格3[Model-Input-Ref2],表格3[SRP PRICE])</f>
        <v>788</v>
      </c>
      <c r="T2859" s="43">
        <f>表格1[[#This Row],[Unit Price]]/表格1[[#This Row],[SRP]]</f>
        <v>0.75888324873096447</v>
      </c>
      <c r="U2859" s="86" t="str">
        <f>_xlfn.XLOOKUP(表格1[[#This Row],[Model]],表格3[Model-Input-Ref2],表格3[TOSHIBA/HIGHEST])</f>
        <v>Toshiba SRP</v>
      </c>
      <c r="W2859" s="86" t="str">
        <f>_xlfn.CONCAT(表格1[[#This Row],[欄4]],表格1[[#This Row],[inv no]])</f>
        <v>418445</v>
      </c>
    </row>
    <row r="2860" spans="1:23" hidden="1">
      <c r="A2860" s="81">
        <v>2858</v>
      </c>
      <c r="B2860" s="86" t="s">
        <v>1366</v>
      </c>
      <c r="C2860" s="86" t="s">
        <v>1918</v>
      </c>
      <c r="D2860" s="82" t="str">
        <f ca="1">OFFSET(Roster!$A$3,MATCH(表格1[[#This Row],[Location]]&amp;" "&amp;表格1[[#This Row],[Shop]]&amp;"*",Roster!$A$4:$A$72,0),DAY(表格1[[#This Row],[date]]),1,1)</f>
        <v>Tony_2</v>
      </c>
      <c r="E2860" s="86">
        <f>MONTH(表格1[[#This Row],[date]])</f>
        <v>3</v>
      </c>
      <c r="F2860" s="90">
        <v>46091</v>
      </c>
      <c r="G2860" s="86" t="str">
        <f>VLOOKUP("*"&amp;表格1[[#This Row],[Input]]&amp;"*",'Ref-List'!$B:$D,2,)</f>
        <v>TW-T22BU95UWH(WK)-B</v>
      </c>
      <c r="H2860" s="86" t="str">
        <f>_xlfn.XLOOKUP(表格1[[#This Row],[Model]],表格3[Model-Input-Ref2],表格3[Product Line])</f>
        <v>470MM超薄身前置式變頻洗衣機(8.5公斤, 可飛頂)</v>
      </c>
      <c r="I2860" s="86" t="str">
        <f>_xlfn.XLOOKUP(表格1[[#This Row],[Model]],表格3[Model-Input-Ref2],表格3[大小電])</f>
        <v>大電</v>
      </c>
      <c r="J2860" s="86" t="str">
        <f>_xlfn.XLOOKUP(表格1[[#This Row],[Model]],表格3[Model-Input-Ref2],表格3[Code])</f>
        <v>LAD</v>
      </c>
      <c r="K2860" s="89" t="s">
        <v>969</v>
      </c>
      <c r="L2860" s="86">
        <v>1</v>
      </c>
      <c r="M2860" s="87">
        <v>3680</v>
      </c>
      <c r="N2860" s="87">
        <f>IFERROR(表格1[[#This Row],[QTY]]*表格1[[#This Row],[Unit Price]],"-")</f>
        <v>3680</v>
      </c>
      <c r="O2860" s="86">
        <v>418442</v>
      </c>
      <c r="R2860" s="86" t="str">
        <f>_xlfn.CONCAT(表格1[[#This Row],[Model]]," ",表格1[[#This Row],[inv no]])</f>
        <v>TW-T22BU95UWH(WK)-B 418442</v>
      </c>
      <c r="S2860" s="86">
        <f>_xlfn.XLOOKUP(表格1[[#This Row],[Model]],表格3[Model-Input-Ref2],表格3[SRP PRICE])</f>
        <v>5880</v>
      </c>
      <c r="T2860" s="43">
        <f>表格1[[#This Row],[Unit Price]]/表格1[[#This Row],[SRP]]</f>
        <v>0.62585034013605445</v>
      </c>
      <c r="U2860" s="86" t="str">
        <f>_xlfn.XLOOKUP(表格1[[#This Row],[Model]],表格3[Model-Input-Ref2],表格3[TOSHIBA/HIGHEST])</f>
        <v>Toshiba SRP</v>
      </c>
      <c r="W2860" s="86" t="str">
        <f>_xlfn.CONCAT(表格1[[#This Row],[欄4]],表格1[[#This Row],[inv no]])</f>
        <v>418442</v>
      </c>
    </row>
    <row r="2861" spans="1:23" hidden="1">
      <c r="A2861" s="81">
        <v>2859</v>
      </c>
      <c r="B2861" s="86" t="s">
        <v>1366</v>
      </c>
      <c r="C2861" s="86" t="s">
        <v>1918</v>
      </c>
      <c r="D2861" s="82" t="str">
        <f ca="1">OFFSET(Roster!$A$3,MATCH(表格1[[#This Row],[Location]]&amp;" "&amp;表格1[[#This Row],[Shop]]&amp;"*",Roster!$A$4:$A$72,0),DAY(表格1[[#This Row],[date]]),1,1)</f>
        <v>Tony_2</v>
      </c>
      <c r="E2861" s="86">
        <f>MONTH(表格1[[#This Row],[date]])</f>
        <v>3</v>
      </c>
      <c r="F2861" s="90">
        <v>46104</v>
      </c>
      <c r="G2861" s="86" t="str">
        <f>VLOOKUP("*"&amp;表格1[[#This Row],[Input]]&amp;"*",'Ref-List'!$B:$D,2,)</f>
        <v>MWP-MM20P(WH)</v>
      </c>
      <c r="H2861" s="86" t="str">
        <f>_xlfn.XLOOKUP(表格1[[#This Row],[Model]],表格3[Model-Input-Ref2],表格3[Product Line])</f>
        <v>旋鈕式燒烤微波爐20L</v>
      </c>
      <c r="I2861" s="86" t="str">
        <f>_xlfn.XLOOKUP(表格1[[#This Row],[Model]],表格3[Model-Input-Ref2],表格3[大小電])</f>
        <v>細電</v>
      </c>
      <c r="J2861" s="86" t="str">
        <f>_xlfn.XLOOKUP(表格1[[#This Row],[Model]],表格3[Model-Input-Ref2],表格3[Code])</f>
        <v>SDA</v>
      </c>
      <c r="K2861" s="89" t="s">
        <v>1270</v>
      </c>
      <c r="L2861" s="86">
        <v>1</v>
      </c>
      <c r="M2861" s="87">
        <v>488</v>
      </c>
      <c r="N2861" s="87">
        <f>IFERROR(表格1[[#This Row],[QTY]]*表格1[[#This Row],[Unit Price]],"-")</f>
        <v>488</v>
      </c>
      <c r="O2861" s="142" t="s">
        <v>1921</v>
      </c>
      <c r="R2861" s="86" t="str">
        <f>_xlfn.CONCAT(表格1[[#This Row],[Model]]," ",表格1[[#This Row],[inv no]])</f>
        <v>MWP-MM20P(WH) 091962</v>
      </c>
      <c r="S2861" s="86">
        <f>_xlfn.XLOOKUP(表格1[[#This Row],[Model]],表格3[Model-Input-Ref2],表格3[SRP PRICE])</f>
        <v>648</v>
      </c>
      <c r="T2861" s="43">
        <f>表格1[[#This Row],[Unit Price]]/表格1[[#This Row],[SRP]]</f>
        <v>0.75308641975308643</v>
      </c>
      <c r="U2861" s="86" t="str">
        <f>_xlfn.XLOOKUP(表格1[[#This Row],[Model]],表格3[Model-Input-Ref2],表格3[TOSHIBA/HIGHEST])</f>
        <v>Toshiba SRP</v>
      </c>
      <c r="W2861" s="86" t="str">
        <f>_xlfn.CONCAT(表格1[[#This Row],[欄4]],表格1[[#This Row],[inv no]])</f>
        <v>091962</v>
      </c>
    </row>
    <row r="2862" spans="1:23" hidden="1">
      <c r="A2862" s="81">
        <v>2860</v>
      </c>
      <c r="B2862" s="86" t="s">
        <v>1366</v>
      </c>
      <c r="C2862" s="86" t="s">
        <v>1918</v>
      </c>
      <c r="D2862" s="82" t="str">
        <f ca="1">OFFSET(Roster!$A$3,MATCH(表格1[[#This Row],[Location]]&amp;" "&amp;表格1[[#This Row],[Shop]]&amp;"*",Roster!$A$4:$A$72,0),DAY(表格1[[#This Row],[date]]),1,1)</f>
        <v>Tony_2</v>
      </c>
      <c r="E2862" s="86">
        <f>MONTH(表格1[[#This Row],[date]])</f>
        <v>3</v>
      </c>
      <c r="F2862" s="90">
        <v>46104</v>
      </c>
      <c r="G2862" s="86" t="str">
        <f>VLOOKUP("*"&amp;表格1[[#This Row],[Input]]&amp;"*",'Ref-List'!$B:$D,2,)</f>
        <v>KT-17DRTHK(H)</v>
      </c>
      <c r="H2862" s="86" t="str">
        <f>_xlfn.XLOOKUP(表格1[[#This Row],[Model]],表格3[Model-Input-Ref2],表格3[Product Line])</f>
        <v>無線雙層電熱水壺(1.7公升)</v>
      </c>
      <c r="I2862" s="86" t="str">
        <f>_xlfn.XLOOKUP(表格1[[#This Row],[Model]],表格3[Model-Input-Ref2],表格3[大小電])</f>
        <v>細電</v>
      </c>
      <c r="J2862" s="86" t="str">
        <f>_xlfn.XLOOKUP(表格1[[#This Row],[Model]],表格3[Model-Input-Ref2],表格3[Code])</f>
        <v>SDA</v>
      </c>
      <c r="K2862" s="89" t="s">
        <v>1271</v>
      </c>
      <c r="L2862" s="86">
        <v>1</v>
      </c>
      <c r="M2862" s="87">
        <v>388</v>
      </c>
      <c r="N2862" s="87">
        <f>IFERROR(表格1[[#This Row],[QTY]]*表格1[[#This Row],[Unit Price]],"-")</f>
        <v>388</v>
      </c>
      <c r="O2862" s="142" t="s">
        <v>1922</v>
      </c>
      <c r="R2862" s="86" t="str">
        <f>_xlfn.CONCAT(表格1[[#This Row],[Model]]," ",表格1[[#This Row],[inv no]])</f>
        <v>KT-17DRTHK(H) 091910</v>
      </c>
      <c r="S2862" s="86">
        <f>_xlfn.XLOOKUP(表格1[[#This Row],[Model]],表格3[Model-Input-Ref2],表格3[SRP PRICE])</f>
        <v>498</v>
      </c>
      <c r="T2862" s="43">
        <f>表格1[[#This Row],[Unit Price]]/表格1[[#This Row],[SRP]]</f>
        <v>0.77911646586345384</v>
      </c>
      <c r="U2862" s="86" t="str">
        <f>_xlfn.XLOOKUP(表格1[[#This Row],[Model]],表格3[Model-Input-Ref2],表格3[TOSHIBA/HIGHEST])</f>
        <v>Toshiba SRP</v>
      </c>
      <c r="W2862" s="86" t="str">
        <f>_xlfn.CONCAT(表格1[[#This Row],[欄4]],表格1[[#This Row],[inv no]])</f>
        <v>091910</v>
      </c>
    </row>
    <row r="2863" spans="1:23" hidden="1">
      <c r="A2863" s="81">
        <v>2861</v>
      </c>
      <c r="B2863" s="86" t="s">
        <v>1366</v>
      </c>
      <c r="C2863" s="86" t="s">
        <v>1918</v>
      </c>
      <c r="D2863" s="82" t="str">
        <f ca="1">OFFSET(Roster!$A$3,MATCH(表格1[[#This Row],[Location]]&amp;" "&amp;表格1[[#This Row],[Shop]]&amp;"*",Roster!$A$4:$A$72,0),DAY(表格1[[#This Row],[date]]),1,1)</f>
        <v>Tony_2</v>
      </c>
      <c r="E2863" s="86">
        <f>MONTH(表格1[[#This Row],[date]])</f>
        <v>3</v>
      </c>
      <c r="F2863" s="90">
        <v>46104</v>
      </c>
      <c r="G2863" s="86" t="str">
        <f>VLOOKUP("*"&amp;表格1[[#This Row],[Input]]&amp;"*",'Ref-List'!$B:$D,2,)</f>
        <v>RC-5SLIH(W)</v>
      </c>
      <c r="H2863" s="86" t="str">
        <f>_xlfn.XLOOKUP(表格1[[#This Row],[Model]],表格3[Model-Input-Ref2],表格3[Product Line])</f>
        <v>微型電腦珍珠飯煲</v>
      </c>
      <c r="I2863" s="86" t="str">
        <f>_xlfn.XLOOKUP(表格1[[#This Row],[Model]],表格3[Model-Input-Ref2],表格3[大小電])</f>
        <v>細電</v>
      </c>
      <c r="J2863" s="86" t="str">
        <f>_xlfn.XLOOKUP(表格1[[#This Row],[Model]],表格3[Model-Input-Ref2],表格3[Code])</f>
        <v>SDA</v>
      </c>
      <c r="K2863" s="89" t="s">
        <v>1264</v>
      </c>
      <c r="L2863" s="86">
        <v>1</v>
      </c>
      <c r="M2863" s="87">
        <v>593</v>
      </c>
      <c r="N2863" s="87">
        <f>IFERROR(表格1[[#This Row],[QTY]]*表格1[[#This Row],[Unit Price]],"-")</f>
        <v>593</v>
      </c>
      <c r="O2863" s="86">
        <v>422389</v>
      </c>
      <c r="R2863" s="86" t="str">
        <f>_xlfn.CONCAT(表格1[[#This Row],[Model]]," ",表格1[[#This Row],[inv no]])</f>
        <v>RC-5SLIH(W) 422389</v>
      </c>
      <c r="S2863" s="86">
        <f>_xlfn.XLOOKUP(表格1[[#This Row],[Model]],表格3[Model-Input-Ref2],表格3[SRP PRICE])</f>
        <v>658</v>
      </c>
      <c r="T2863" s="43">
        <f>表格1[[#This Row],[Unit Price]]/表格1[[#This Row],[SRP]]</f>
        <v>0.90121580547112456</v>
      </c>
      <c r="U2863" s="86" t="str">
        <f>_xlfn.XLOOKUP(表格1[[#This Row],[Model]],表格3[Model-Input-Ref2],表格3[TOSHIBA/HIGHEST])</f>
        <v>Toshiba SRP</v>
      </c>
      <c r="W2863" s="86" t="str">
        <f>_xlfn.CONCAT(表格1[[#This Row],[欄4]],表格1[[#This Row],[inv no]])</f>
        <v>422389</v>
      </c>
    </row>
    <row r="2864" spans="1:23" hidden="1">
      <c r="A2864" s="81">
        <v>2862</v>
      </c>
      <c r="B2864" s="86" t="s">
        <v>1366</v>
      </c>
      <c r="C2864" s="86" t="s">
        <v>1918</v>
      </c>
      <c r="D2864" s="82" t="str">
        <f ca="1">OFFSET(Roster!$A$3,MATCH(表格1[[#This Row],[Location]]&amp;" "&amp;表格1[[#This Row],[Shop]]&amp;"*",Roster!$A$4:$A$72,0),DAY(表格1[[#This Row],[date]]),1,1)</f>
        <v>Tony_2</v>
      </c>
      <c r="E2864" s="86">
        <f>MONTH(表格1[[#This Row],[date]])</f>
        <v>3</v>
      </c>
      <c r="F2864" s="90">
        <v>46104</v>
      </c>
      <c r="G2864" s="86" t="str">
        <f>VLOOKUP("*"&amp;表格1[[#This Row],[Input]]&amp;"*",'Ref-List'!$B:$D,2,)</f>
        <v>MWP-MM20P(WH)</v>
      </c>
      <c r="H2864" s="86" t="str">
        <f>_xlfn.XLOOKUP(表格1[[#This Row],[Model]],表格3[Model-Input-Ref2],表格3[Product Line])</f>
        <v>旋鈕式燒烤微波爐20L</v>
      </c>
      <c r="I2864" s="86" t="str">
        <f>_xlfn.XLOOKUP(表格1[[#This Row],[Model]],表格3[Model-Input-Ref2],表格3[大小電])</f>
        <v>細電</v>
      </c>
      <c r="J2864" s="86" t="str">
        <f>_xlfn.XLOOKUP(表格1[[#This Row],[Model]],表格3[Model-Input-Ref2],表格3[Code])</f>
        <v>SDA</v>
      </c>
      <c r="K2864" s="89" t="s">
        <v>1270</v>
      </c>
      <c r="L2864" s="86">
        <v>1</v>
      </c>
      <c r="M2864" s="87">
        <v>488</v>
      </c>
      <c r="N2864" s="87">
        <f>IFERROR(表格1[[#This Row],[QTY]]*表格1[[#This Row],[Unit Price]],"-")</f>
        <v>488</v>
      </c>
      <c r="O2864" s="142" t="s">
        <v>1923</v>
      </c>
      <c r="R2864" s="86" t="str">
        <f>_xlfn.CONCAT(表格1[[#This Row],[Model]]," ",表格1[[#This Row],[inv no]])</f>
        <v>MWP-MM20P(WH) 091909</v>
      </c>
      <c r="S2864" s="86">
        <f>_xlfn.XLOOKUP(表格1[[#This Row],[Model]],表格3[Model-Input-Ref2],表格3[SRP PRICE])</f>
        <v>648</v>
      </c>
      <c r="T2864" s="43">
        <f>表格1[[#This Row],[Unit Price]]/表格1[[#This Row],[SRP]]</f>
        <v>0.75308641975308643</v>
      </c>
      <c r="U2864" s="86" t="str">
        <f>_xlfn.XLOOKUP(表格1[[#This Row],[Model]],表格3[Model-Input-Ref2],表格3[TOSHIBA/HIGHEST])</f>
        <v>Toshiba SRP</v>
      </c>
      <c r="W2864" s="86" t="str">
        <f>_xlfn.CONCAT(表格1[[#This Row],[欄4]],表格1[[#This Row],[inv no]])</f>
        <v>091909</v>
      </c>
    </row>
    <row r="2865" spans="1:23" hidden="1">
      <c r="A2865" s="81">
        <v>2863</v>
      </c>
      <c r="B2865" s="86" t="s">
        <v>1366</v>
      </c>
      <c r="C2865" s="86" t="s">
        <v>1918</v>
      </c>
      <c r="D2865" s="82" t="str">
        <f ca="1">OFFSET(Roster!$A$3,MATCH(表格1[[#This Row],[Location]]&amp;" "&amp;表格1[[#This Row],[Shop]]&amp;"*",Roster!$A$4:$A$72,0),DAY(表格1[[#This Row],[date]]),1,1)</f>
        <v>Tony_2</v>
      </c>
      <c r="E2865" s="86">
        <f>MONTH(表格1[[#This Row],[date]])</f>
        <v>3</v>
      </c>
      <c r="F2865" s="90">
        <v>46105</v>
      </c>
      <c r="G2865" s="86" t="str">
        <f>VLOOKUP("*"&amp;表格1[[#This Row],[Input]]&amp;"*",'Ref-List'!$B:$D,2,)</f>
        <v>GR-RB221WE-PMA(57)</v>
      </c>
      <c r="H2865" s="86" t="str">
        <f>_xlfn.XLOOKUP(表格1[[#This Row],[Model]],表格3[Model-Input-Ref2],表格3[Product Line])</f>
        <v>變頻下置式雙門雪櫃（163L）</v>
      </c>
      <c r="I2865" s="86" t="str">
        <f>_xlfn.XLOOKUP(表格1[[#This Row],[Model]],表格3[Model-Input-Ref2],表格3[大小電])</f>
        <v>大電</v>
      </c>
      <c r="J2865" s="86" t="str">
        <f>_xlfn.XLOOKUP(表格1[[#This Row],[Model]],表格3[Model-Input-Ref2],表格3[Code])</f>
        <v>REF</v>
      </c>
      <c r="K2865" s="89" t="s">
        <v>1386</v>
      </c>
      <c r="L2865" s="86">
        <v>1</v>
      </c>
      <c r="M2865" s="87">
        <v>1880</v>
      </c>
      <c r="N2865" s="87">
        <f>IFERROR(表格1[[#This Row],[QTY]]*表格1[[#This Row],[Unit Price]],"-")</f>
        <v>1880</v>
      </c>
      <c r="O2865" s="142" t="s">
        <v>1924</v>
      </c>
      <c r="R2865" s="86" t="str">
        <f>_xlfn.CONCAT(表格1[[#This Row],[Model]]," ",表格1[[#This Row],[inv no]])</f>
        <v>GR-RB221WE-PMA(57) 092123</v>
      </c>
      <c r="S2865" s="86">
        <f>_xlfn.XLOOKUP(表格1[[#This Row],[Model]],表格3[Model-Input-Ref2],表格3[SRP PRICE])</f>
        <v>3480</v>
      </c>
      <c r="T2865" s="43">
        <f>表格1[[#This Row],[Unit Price]]/表格1[[#This Row],[SRP]]</f>
        <v>0.54022988505747127</v>
      </c>
      <c r="U2865" s="86" t="str">
        <f>_xlfn.XLOOKUP(表格1[[#This Row],[Model]],表格3[Model-Input-Ref2],表格3[TOSHIBA/HIGHEST])</f>
        <v>Toshiba SRP</v>
      </c>
      <c r="W2865" s="86" t="str">
        <f>_xlfn.CONCAT(表格1[[#This Row],[欄4]],表格1[[#This Row],[inv no]])</f>
        <v>092123</v>
      </c>
    </row>
    <row r="2866" spans="1:23" hidden="1">
      <c r="A2866" s="81">
        <v>2864</v>
      </c>
      <c r="B2866" s="86" t="s">
        <v>1366</v>
      </c>
      <c r="C2866" s="86" t="s">
        <v>1918</v>
      </c>
      <c r="D2866" s="82" t="str">
        <f ca="1">OFFSET(Roster!$A$3,MATCH(表格1[[#This Row],[Location]]&amp;" "&amp;表格1[[#This Row],[Shop]]&amp;"*",Roster!$A$4:$A$72,0),DAY(表格1[[#This Row],[date]]),1,1)</f>
        <v>Tony_2</v>
      </c>
      <c r="E2866" s="86">
        <f>MONTH(表格1[[#This Row],[date]])</f>
        <v>3</v>
      </c>
      <c r="F2866" s="90">
        <v>46105</v>
      </c>
      <c r="G2866" s="86" t="str">
        <f>VLOOKUP("*"&amp;表格1[[#This Row],[Input]]&amp;"*",'Ref-List'!$B:$D,2,)</f>
        <v>CMO-MMP012NDPF(GN)</v>
      </c>
      <c r="H2866" s="86" t="str">
        <f>_xlfn.XLOOKUP(表格1[[#This Row],[Model]],表格3[Model-Input-Ref2],表格3[Product Line])</f>
        <v>20公升 微波爐</v>
      </c>
      <c r="I2866" s="86" t="str">
        <f>_xlfn.XLOOKUP(表格1[[#This Row],[Model]],表格3[Model-Input-Ref2],表格3[大小電])</f>
        <v>細電</v>
      </c>
      <c r="J2866" s="86" t="str">
        <f>_xlfn.XLOOKUP(表格1[[#This Row],[Model]],表格3[Model-Input-Ref2],表格3[Code])</f>
        <v>SDA</v>
      </c>
      <c r="K2866" s="89" t="s">
        <v>1384</v>
      </c>
      <c r="L2866" s="86">
        <v>1</v>
      </c>
      <c r="M2866" s="87">
        <v>428</v>
      </c>
      <c r="N2866" s="87">
        <f>IFERROR(表格1[[#This Row],[QTY]]*表格1[[#This Row],[Unit Price]],"-")</f>
        <v>428</v>
      </c>
      <c r="O2866" s="142" t="s">
        <v>1924</v>
      </c>
      <c r="R2866" s="86" t="str">
        <f>_xlfn.CONCAT(表格1[[#This Row],[Model]]," ",表格1[[#This Row],[inv no]])</f>
        <v>CMO-MMP012NDPF(GN) 092123</v>
      </c>
      <c r="S2866" s="86">
        <f>_xlfn.XLOOKUP(表格1[[#This Row],[Model]],表格3[Model-Input-Ref2],表格3[SRP PRICE])</f>
        <v>519</v>
      </c>
      <c r="T2866" s="43">
        <f>表格1[[#This Row],[Unit Price]]/表格1[[#This Row],[SRP]]</f>
        <v>0.82466281310211942</v>
      </c>
      <c r="U2866" s="86" t="str">
        <f>_xlfn.XLOOKUP(表格1[[#This Row],[Model]],表格3[Model-Input-Ref2],表格3[TOSHIBA/HIGHEST])</f>
        <v>Shops Highest Price</v>
      </c>
      <c r="W2866" s="86" t="str">
        <f>_xlfn.CONCAT(表格1[[#This Row],[欄4]],表格1[[#This Row],[inv no]])</f>
        <v>092123</v>
      </c>
    </row>
    <row r="2867" spans="1:23" hidden="1">
      <c r="A2867" s="81">
        <v>2865</v>
      </c>
      <c r="B2867" s="86" t="s">
        <v>1366</v>
      </c>
      <c r="C2867" s="86" t="s">
        <v>1918</v>
      </c>
      <c r="D2867" s="82" t="str">
        <f ca="1">OFFSET(Roster!$A$3,MATCH(表格1[[#This Row],[Location]]&amp;" "&amp;表格1[[#This Row],[Shop]]&amp;"*",Roster!$A$4:$A$72,0),DAY(表格1[[#This Row],[date]]),1,1)</f>
        <v>Tony_2</v>
      </c>
      <c r="E2867" s="86">
        <f>MONTH(表格1[[#This Row],[date]])</f>
        <v>3</v>
      </c>
      <c r="F2867" s="90">
        <v>46105</v>
      </c>
      <c r="G2867" s="86" t="str">
        <f>VLOOKUP("*"&amp;表格1[[#This Row],[Input]]&amp;"*",'Ref-List'!$B:$D,2,)</f>
        <v>RC-5MMIH(WT)</v>
      </c>
      <c r="H2867" s="86" t="str">
        <f>_xlfn.XLOOKUP(表格1[[#This Row],[Model]],表格3[Model-Input-Ref2],表格3[Product Line])</f>
        <v>4毫米厚釜電飯煲0.54L</v>
      </c>
      <c r="I2867" s="86" t="str">
        <f>_xlfn.XLOOKUP(表格1[[#This Row],[Model]],表格3[Model-Input-Ref2],表格3[大小電])</f>
        <v>細電</v>
      </c>
      <c r="J2867" s="86" t="str">
        <f>_xlfn.XLOOKUP(表格1[[#This Row],[Model]],表格3[Model-Input-Ref2],表格3[Code])</f>
        <v>SDA</v>
      </c>
      <c r="K2867" s="89" t="s">
        <v>1195</v>
      </c>
      <c r="L2867" s="86">
        <v>1</v>
      </c>
      <c r="M2867" s="87">
        <v>557</v>
      </c>
      <c r="N2867" s="87">
        <f>IFERROR(表格1[[#This Row],[QTY]]*表格1[[#This Row],[Unit Price]],"-")</f>
        <v>557</v>
      </c>
      <c r="O2867" s="86">
        <v>326257</v>
      </c>
      <c r="R2867" s="86" t="str">
        <f>_xlfn.CONCAT(表格1[[#This Row],[Model]]," ",表格1[[#This Row],[inv no]])</f>
        <v>RC-5MMIH(WT) 326257</v>
      </c>
      <c r="S2867" s="86">
        <f>_xlfn.XLOOKUP(表格1[[#This Row],[Model]],表格3[Model-Input-Ref2],表格3[SRP PRICE])</f>
        <v>618</v>
      </c>
      <c r="T2867" s="43">
        <f>表格1[[#This Row],[Unit Price]]/表格1[[#This Row],[SRP]]</f>
        <v>0.90129449838187703</v>
      </c>
      <c r="U2867" s="86" t="str">
        <f>_xlfn.XLOOKUP(表格1[[#This Row],[Model]],表格3[Model-Input-Ref2],表格3[TOSHIBA/HIGHEST])</f>
        <v>Toshiba SRP</v>
      </c>
      <c r="W2867" s="86" t="str">
        <f>_xlfn.CONCAT(表格1[[#This Row],[欄4]],表格1[[#This Row],[inv no]])</f>
        <v>326257</v>
      </c>
    </row>
    <row r="2868" spans="1:23" hidden="1">
      <c r="A2868" s="81">
        <v>2866</v>
      </c>
      <c r="B2868" s="86" t="s">
        <v>1366</v>
      </c>
      <c r="C2868" s="86" t="s">
        <v>1918</v>
      </c>
      <c r="D2868" s="82" t="str">
        <f ca="1">OFFSET(Roster!$A$3,MATCH(表格1[[#This Row],[Location]]&amp;" "&amp;表格1[[#This Row],[Shop]]&amp;"*",Roster!$A$4:$A$72,0),DAY(表格1[[#This Row],[date]]),1,1)</f>
        <v>Tony_2</v>
      </c>
      <c r="E2868" s="86">
        <f>MONTH(表格1[[#This Row],[date]])</f>
        <v>3</v>
      </c>
      <c r="F2868" s="90">
        <v>46105</v>
      </c>
      <c r="G2868" s="86" t="str">
        <f>VLOOKUP("*"&amp;表格1[[#This Row],[Input]]&amp;"*",'Ref-List'!$B:$D,2,)</f>
        <v>MWP-MM20P(WH)</v>
      </c>
      <c r="H2868" s="86" t="str">
        <f>_xlfn.XLOOKUP(表格1[[#This Row],[Model]],表格3[Model-Input-Ref2],表格3[Product Line])</f>
        <v>旋鈕式燒烤微波爐20L</v>
      </c>
      <c r="I2868" s="86" t="str">
        <f>_xlfn.XLOOKUP(表格1[[#This Row],[Model]],表格3[Model-Input-Ref2],表格3[大小電])</f>
        <v>細電</v>
      </c>
      <c r="J2868" s="86" t="str">
        <f>_xlfn.XLOOKUP(表格1[[#This Row],[Model]],表格3[Model-Input-Ref2],表格3[Code])</f>
        <v>SDA</v>
      </c>
      <c r="K2868" s="89" t="s">
        <v>1270</v>
      </c>
      <c r="L2868" s="86">
        <v>1</v>
      </c>
      <c r="M2868" s="87">
        <v>488</v>
      </c>
      <c r="N2868" s="87">
        <f>IFERROR(表格1[[#This Row],[QTY]]*表格1[[#This Row],[Unit Price]],"-")</f>
        <v>488</v>
      </c>
      <c r="O2868" s="86">
        <v>326206</v>
      </c>
      <c r="R2868" s="86" t="str">
        <f>_xlfn.CONCAT(表格1[[#This Row],[Model]]," ",表格1[[#This Row],[inv no]])</f>
        <v>MWP-MM20P(WH) 326206</v>
      </c>
      <c r="S2868" s="86">
        <f>_xlfn.XLOOKUP(表格1[[#This Row],[Model]],表格3[Model-Input-Ref2],表格3[SRP PRICE])</f>
        <v>648</v>
      </c>
      <c r="T2868" s="43">
        <f>表格1[[#This Row],[Unit Price]]/表格1[[#This Row],[SRP]]</f>
        <v>0.75308641975308643</v>
      </c>
      <c r="U2868" s="86" t="str">
        <f>_xlfn.XLOOKUP(表格1[[#This Row],[Model]],表格3[Model-Input-Ref2],表格3[TOSHIBA/HIGHEST])</f>
        <v>Toshiba SRP</v>
      </c>
      <c r="W2868" s="86" t="str">
        <f>_xlfn.CONCAT(表格1[[#This Row],[欄4]],表格1[[#This Row],[inv no]])</f>
        <v>326206</v>
      </c>
    </row>
    <row r="2869" spans="1:23" hidden="1">
      <c r="A2869" s="81">
        <v>2867</v>
      </c>
      <c r="B2869" s="86" t="s">
        <v>1366</v>
      </c>
      <c r="C2869" s="86" t="s">
        <v>1918</v>
      </c>
      <c r="D2869" s="82" t="str">
        <f ca="1">OFFSET(Roster!$A$3,MATCH(表格1[[#This Row],[Location]]&amp;" "&amp;表格1[[#This Row],[Shop]]&amp;"*",Roster!$A$4:$A$72,0),DAY(表格1[[#This Row],[date]]),1,1)</f>
        <v>Tony_2</v>
      </c>
      <c r="E2869" s="86">
        <f>MONTH(表格1[[#This Row],[date]])</f>
        <v>3</v>
      </c>
      <c r="F2869" s="90">
        <v>46105</v>
      </c>
      <c r="G2869" s="86" t="str">
        <f>VLOOKUP("*"&amp;表格1[[#This Row],[Input]]&amp;"*",'Ref-List'!$B:$D,2,)</f>
        <v>GR-RT234WE-PMA(57)</v>
      </c>
      <c r="H2869" s="86" t="str">
        <f>_xlfn.XLOOKUP(表格1[[#This Row],[Model]],表格3[Model-Input-Ref2],表格3[Product Line])</f>
        <v>變頻式環保雙門雪櫃（179L）</v>
      </c>
      <c r="I2869" s="86" t="str">
        <f>_xlfn.XLOOKUP(表格1[[#This Row],[Model]],表格3[Model-Input-Ref2],表格3[大小電])</f>
        <v>大電</v>
      </c>
      <c r="J2869" s="86" t="str">
        <f>_xlfn.XLOOKUP(表格1[[#This Row],[Model]],表格3[Model-Input-Ref2],表格3[Code])</f>
        <v>REF</v>
      </c>
      <c r="K2869" s="89" t="s">
        <v>1423</v>
      </c>
      <c r="L2869" s="86">
        <v>1</v>
      </c>
      <c r="M2869" s="87">
        <v>1980</v>
      </c>
      <c r="N2869" s="87">
        <f>IFERROR(表格1[[#This Row],[QTY]]*表格1[[#This Row],[Unit Price]],"-")</f>
        <v>1980</v>
      </c>
      <c r="O2869" s="142" t="s">
        <v>1925</v>
      </c>
      <c r="R2869" s="86" t="str">
        <f>_xlfn.CONCAT(表格1[[#This Row],[Model]]," ",表格1[[#This Row],[inv no]])</f>
        <v>GR-RT234WE-PMA(57) 092131</v>
      </c>
      <c r="S2869" s="86">
        <f>_xlfn.XLOOKUP(表格1[[#This Row],[Model]],表格3[Model-Input-Ref2],表格3[SRP PRICE])</f>
        <v>3680</v>
      </c>
      <c r="T2869" s="43">
        <f>表格1[[#This Row],[Unit Price]]/表格1[[#This Row],[SRP]]</f>
        <v>0.53804347826086951</v>
      </c>
      <c r="U2869" s="86" t="str">
        <f>_xlfn.XLOOKUP(表格1[[#This Row],[Model]],表格3[Model-Input-Ref2],表格3[TOSHIBA/HIGHEST])</f>
        <v>Toshiba SRP</v>
      </c>
      <c r="W2869" s="86" t="str">
        <f>_xlfn.CONCAT(表格1[[#This Row],[欄4]],表格1[[#This Row],[inv no]])</f>
        <v>092131</v>
      </c>
    </row>
    <row r="2870" spans="1:23" hidden="1">
      <c r="A2870" s="81">
        <v>2868</v>
      </c>
      <c r="B2870" s="86" t="s">
        <v>1366</v>
      </c>
      <c r="C2870" s="86" t="s">
        <v>1918</v>
      </c>
      <c r="D2870" s="82" t="str">
        <f ca="1">OFFSET(Roster!$A$3,MATCH(表格1[[#This Row],[Location]]&amp;" "&amp;表格1[[#This Row],[Shop]]&amp;"*",Roster!$A$4:$A$72,0),DAY(表格1[[#This Row],[date]]),1,1)</f>
        <v>Tony_2</v>
      </c>
      <c r="E2870" s="86">
        <f>MONTH(表格1[[#This Row],[date]])</f>
        <v>3</v>
      </c>
      <c r="F2870" s="90">
        <v>46105</v>
      </c>
      <c r="G2870" s="86" t="str">
        <f>VLOOKUP("*"&amp;表格1[[#This Row],[Input]]&amp;"*",'Ref-List'!$B:$D,2,)</f>
        <v>MWP-MM20P(WH)</v>
      </c>
      <c r="H2870" s="86" t="str">
        <f>_xlfn.XLOOKUP(表格1[[#This Row],[Model]],表格3[Model-Input-Ref2],表格3[Product Line])</f>
        <v>旋鈕式燒烤微波爐20L</v>
      </c>
      <c r="I2870" s="86" t="str">
        <f>_xlfn.XLOOKUP(表格1[[#This Row],[Model]],表格3[Model-Input-Ref2],表格3[大小電])</f>
        <v>細電</v>
      </c>
      <c r="J2870" s="86" t="str">
        <f>_xlfn.XLOOKUP(表格1[[#This Row],[Model]],表格3[Model-Input-Ref2],表格3[Code])</f>
        <v>SDA</v>
      </c>
      <c r="K2870" s="89" t="s">
        <v>1270</v>
      </c>
      <c r="L2870" s="86">
        <v>1</v>
      </c>
      <c r="M2870" s="87">
        <v>488</v>
      </c>
      <c r="N2870" s="87">
        <f>IFERROR(表格1[[#This Row],[QTY]]*表格1[[#This Row],[Unit Price]],"-")</f>
        <v>488</v>
      </c>
      <c r="O2870" s="86">
        <v>326281</v>
      </c>
      <c r="R2870" s="86" t="str">
        <f>_xlfn.CONCAT(表格1[[#This Row],[Model]]," ",表格1[[#This Row],[inv no]])</f>
        <v>MWP-MM20P(WH) 326281</v>
      </c>
      <c r="S2870" s="86">
        <f>_xlfn.XLOOKUP(表格1[[#This Row],[Model]],表格3[Model-Input-Ref2],表格3[SRP PRICE])</f>
        <v>648</v>
      </c>
      <c r="T2870" s="43">
        <f>表格1[[#This Row],[Unit Price]]/表格1[[#This Row],[SRP]]</f>
        <v>0.75308641975308643</v>
      </c>
      <c r="U2870" s="86" t="str">
        <f>_xlfn.XLOOKUP(表格1[[#This Row],[Model]],表格3[Model-Input-Ref2],表格3[TOSHIBA/HIGHEST])</f>
        <v>Toshiba SRP</v>
      </c>
      <c r="W2870" s="86" t="str">
        <f>_xlfn.CONCAT(表格1[[#This Row],[欄4]],表格1[[#This Row],[inv no]])</f>
        <v>326281</v>
      </c>
    </row>
    <row r="2871" spans="1:23" hidden="1">
      <c r="A2871" s="81">
        <v>2869</v>
      </c>
      <c r="B2871" s="86" t="s">
        <v>1366</v>
      </c>
      <c r="C2871" s="86" t="s">
        <v>1917</v>
      </c>
      <c r="D2871" s="82" t="str">
        <f ca="1">OFFSET(Roster!$A$3,MATCH(表格1[[#This Row],[Location]]&amp;" "&amp;表格1[[#This Row],[Shop]]&amp;"*",Roster!$A$4:$A$72,0),DAY(表格1[[#This Row],[date]]),1,1)</f>
        <v>Tony_2</v>
      </c>
      <c r="E2871" s="86">
        <f>MONTH(表格1[[#This Row],[date]])</f>
        <v>3</v>
      </c>
      <c r="F2871" s="90">
        <v>46111</v>
      </c>
      <c r="G2871" s="86" t="str">
        <f>VLOOKUP("*"&amp;表格1[[#This Row],[Input]]&amp;"*",'Ref-List'!$B:$D,2,)</f>
        <v>RC-10AMXH(W)</v>
      </c>
      <c r="H2871" s="86" t="str">
        <f>_xlfn.XLOOKUP(表格1[[#This Row],[Model]],表格3[Model-Input-Ref2],表格3[Product Line])</f>
        <v>酵活炊電飯煲(1.0公升)</v>
      </c>
      <c r="I2871" s="86" t="str">
        <f>_xlfn.XLOOKUP(表格1[[#This Row],[Model]],表格3[Model-Input-Ref2],表格3[大小電])</f>
        <v>細電</v>
      </c>
      <c r="J2871" s="86" t="str">
        <f>_xlfn.XLOOKUP(表格1[[#This Row],[Model]],表格3[Model-Input-Ref2],表格3[Code])</f>
        <v>SDA</v>
      </c>
      <c r="K2871" s="89" t="s">
        <v>1279</v>
      </c>
      <c r="L2871" s="86">
        <v>1</v>
      </c>
      <c r="M2871" s="87">
        <v>990</v>
      </c>
      <c r="N2871" s="87">
        <f>IFERROR(表格1[[#This Row],[QTY]]*表格1[[#This Row],[Unit Price]],"-")</f>
        <v>990</v>
      </c>
      <c r="O2871" s="142" t="s">
        <v>1926</v>
      </c>
      <c r="R2871" s="86" t="str">
        <f>_xlfn.CONCAT(表格1[[#This Row],[Model]]," ",表格1[[#This Row],[inv no]])</f>
        <v>RC-10AMXH(W) 092807</v>
      </c>
      <c r="S2871" s="86">
        <f>_xlfn.XLOOKUP(表格1[[#This Row],[Model]],表格3[Model-Input-Ref2],表格3[SRP PRICE])</f>
        <v>1288</v>
      </c>
      <c r="T2871" s="43">
        <f>表格1[[#This Row],[Unit Price]]/表格1[[#This Row],[SRP]]</f>
        <v>0.76863354037267084</v>
      </c>
      <c r="U2871" s="86" t="str">
        <f>_xlfn.XLOOKUP(表格1[[#This Row],[Model]],表格3[Model-Input-Ref2],表格3[TOSHIBA/HIGHEST])</f>
        <v>Toshiba SRP</v>
      </c>
      <c r="W2871" s="86" t="str">
        <f>_xlfn.CONCAT(表格1[[#This Row],[欄4]],表格1[[#This Row],[inv no]])</f>
        <v>092807</v>
      </c>
    </row>
    <row r="2872" spans="1:23" hidden="1">
      <c r="A2872" s="81">
        <v>2870</v>
      </c>
      <c r="B2872" s="86" t="s">
        <v>1366</v>
      </c>
      <c r="C2872" s="86" t="s">
        <v>1917</v>
      </c>
      <c r="D2872" s="82" t="str">
        <f ca="1">OFFSET(Roster!$A$3,MATCH(表格1[[#This Row],[Location]]&amp;" "&amp;表格1[[#This Row],[Shop]]&amp;"*",Roster!$A$4:$A$72,0),DAY(表格1[[#This Row],[date]]),1,1)</f>
        <v>Tony_2</v>
      </c>
      <c r="E2872" s="86">
        <f>MONTH(表格1[[#This Row],[date]])</f>
        <v>3</v>
      </c>
      <c r="F2872" s="90">
        <v>46112</v>
      </c>
      <c r="G2872" s="86" t="str">
        <f>VLOOKUP("*"&amp;表格1[[#This Row],[Input]]&amp;"*",'Ref-List'!$B:$D,2,)</f>
        <v>MWP-MM20P(WH)</v>
      </c>
      <c r="H2872" s="86" t="str">
        <f>_xlfn.XLOOKUP(表格1[[#This Row],[Model]],表格3[Model-Input-Ref2],表格3[Product Line])</f>
        <v>旋鈕式燒烤微波爐20L</v>
      </c>
      <c r="I2872" s="86" t="str">
        <f>_xlfn.XLOOKUP(表格1[[#This Row],[Model]],表格3[Model-Input-Ref2],表格3[大小電])</f>
        <v>細電</v>
      </c>
      <c r="J2872" s="86" t="str">
        <f>_xlfn.XLOOKUP(表格1[[#This Row],[Model]],表格3[Model-Input-Ref2],表格3[Code])</f>
        <v>SDA</v>
      </c>
      <c r="K2872" s="89" t="s">
        <v>1270</v>
      </c>
      <c r="L2872" s="86">
        <v>1</v>
      </c>
      <c r="M2872" s="87">
        <v>488</v>
      </c>
      <c r="N2872" s="87">
        <f>IFERROR(表格1[[#This Row],[QTY]]*表格1[[#This Row],[Unit Price]],"-")</f>
        <v>488</v>
      </c>
      <c r="O2872" s="142" t="s">
        <v>1927</v>
      </c>
      <c r="R2872" s="86" t="str">
        <f>_xlfn.CONCAT(表格1[[#This Row],[Model]]," ",表格1[[#This Row],[inv no]])</f>
        <v>MWP-MM20P(WH) 093871</v>
      </c>
      <c r="S2872" s="86">
        <f>_xlfn.XLOOKUP(表格1[[#This Row],[Model]],表格3[Model-Input-Ref2],表格3[SRP PRICE])</f>
        <v>648</v>
      </c>
      <c r="T2872" s="43">
        <f>表格1[[#This Row],[Unit Price]]/表格1[[#This Row],[SRP]]</f>
        <v>0.75308641975308643</v>
      </c>
      <c r="U2872" s="86" t="str">
        <f>_xlfn.XLOOKUP(表格1[[#This Row],[Model]],表格3[Model-Input-Ref2],表格3[TOSHIBA/HIGHEST])</f>
        <v>Toshiba SRP</v>
      </c>
      <c r="W2872" s="86" t="str">
        <f>_xlfn.CONCAT(表格1[[#This Row],[欄4]],表格1[[#This Row],[inv no]])</f>
        <v>093871</v>
      </c>
    </row>
    <row r="2873" spans="1:23" hidden="1">
      <c r="A2873" s="81">
        <v>2871</v>
      </c>
      <c r="B2873" s="86" t="s">
        <v>1366</v>
      </c>
      <c r="C2873" s="86" t="s">
        <v>1917</v>
      </c>
      <c r="D2873" s="82" t="str">
        <f ca="1">OFFSET(Roster!$A$3,MATCH(表格1[[#This Row],[Location]]&amp;" "&amp;表格1[[#This Row],[Shop]]&amp;"*",Roster!$A$4:$A$72,0),DAY(表格1[[#This Row],[date]]),1,1)</f>
        <v>Tony_2</v>
      </c>
      <c r="E2873" s="86">
        <f>MONTH(表格1[[#This Row],[date]])</f>
        <v>3</v>
      </c>
      <c r="F2873" s="90">
        <v>46112</v>
      </c>
      <c r="G2873" s="86" t="str">
        <f>VLOOKUP("*"&amp;表格1[[#This Row],[Input]]&amp;"*",'Ref-List'!$B:$D,2,)</f>
        <v>MX2-STR25SC(WH)</v>
      </c>
      <c r="H2873" s="86" t="str">
        <f>_xlfn.XLOOKUP(表格1[[#This Row],[Model]],表格3[Model-Input-Ref2],表格3[Product Line])</f>
        <v>4合1氣炸微波蒸焗爐(25公升)</v>
      </c>
      <c r="I2873" s="86" t="str">
        <f>_xlfn.XLOOKUP(表格1[[#This Row],[Model]],表格3[Model-Input-Ref2],表格3[大小電])</f>
        <v>細電</v>
      </c>
      <c r="J2873" s="86" t="str">
        <f>_xlfn.XLOOKUP(表格1[[#This Row],[Model]],表格3[Model-Input-Ref2],表格3[Code])</f>
        <v>MCA</v>
      </c>
      <c r="K2873" s="89" t="s">
        <v>1410</v>
      </c>
      <c r="L2873" s="86">
        <v>1</v>
      </c>
      <c r="M2873" s="87">
        <v>3580</v>
      </c>
      <c r="N2873" s="87">
        <f>IFERROR(表格1[[#This Row],[QTY]]*表格1[[#This Row],[Unit Price]],"-")</f>
        <v>3580</v>
      </c>
      <c r="O2873" s="142" t="s">
        <v>1926</v>
      </c>
      <c r="R2873" s="86" t="str">
        <f>_xlfn.CONCAT(表格1[[#This Row],[Model]]," ",表格1[[#This Row],[inv no]])</f>
        <v>MX2-STR25SC(WH) 092807</v>
      </c>
      <c r="S2873" s="86">
        <f>_xlfn.XLOOKUP(表格1[[#This Row],[Model]],表格3[Model-Input-Ref2],表格3[SRP PRICE])</f>
        <v>4998</v>
      </c>
      <c r="T2873" s="43">
        <f>表格1[[#This Row],[Unit Price]]/表格1[[#This Row],[SRP]]</f>
        <v>0.71628651460584236</v>
      </c>
      <c r="U2873" s="86" t="str">
        <f>_xlfn.XLOOKUP(表格1[[#This Row],[Model]],表格3[Model-Input-Ref2],表格3[TOSHIBA/HIGHEST])</f>
        <v>Toshiba SRP</v>
      </c>
      <c r="W2873" s="86" t="str">
        <f>_xlfn.CONCAT(表格1[[#This Row],[欄4]],表格1[[#This Row],[inv no]])</f>
        <v>092807</v>
      </c>
    </row>
    <row r="2874" spans="1:23" hidden="1">
      <c r="A2874" s="81">
        <v>2872</v>
      </c>
      <c r="B2874" s="86" t="s">
        <v>1366</v>
      </c>
      <c r="C2874" s="86" t="s">
        <v>1917</v>
      </c>
      <c r="D2874" s="82" t="str">
        <f ca="1">OFFSET(Roster!$A$3,MATCH(表格1[[#This Row],[Location]]&amp;" "&amp;表格1[[#This Row],[Shop]]&amp;"*",Roster!$A$4:$A$72,0),DAY(表格1[[#This Row],[date]]),1,1)</f>
        <v>Tony_2</v>
      </c>
      <c r="E2874" s="86">
        <f>MONTH(表格1[[#This Row],[date]])</f>
        <v>3</v>
      </c>
      <c r="F2874" s="90">
        <v>46112</v>
      </c>
      <c r="G2874" s="86" t="str">
        <f>VLOOKUP("*"&amp;表格1[[#This Row],[Input]]&amp;"*",'Ref-List'!$B:$D,2,)</f>
        <v>DW-05T2-HK</v>
      </c>
      <c r="H2874" s="86" t="str">
        <f>_xlfn.XLOOKUP(表格1[[#This Row],[Model]],表格3[Model-Input-Ref2],表格3[Product Line])</f>
        <v>座檯式洗碗碟機</v>
      </c>
      <c r="I2874" s="86" t="str">
        <f>_xlfn.XLOOKUP(表格1[[#This Row],[Model]],表格3[Model-Input-Ref2],表格3[大小電])</f>
        <v>細電</v>
      </c>
      <c r="J2874" s="86" t="str">
        <f>_xlfn.XLOOKUP(表格1[[#This Row],[Model]],表格3[Model-Input-Ref2],表格3[Code])</f>
        <v>DW</v>
      </c>
      <c r="K2874" s="89" t="s">
        <v>1475</v>
      </c>
      <c r="L2874" s="86">
        <v>1</v>
      </c>
      <c r="M2874" s="87">
        <v>3980</v>
      </c>
      <c r="N2874" s="87">
        <f>IFERROR(表格1[[#This Row],[QTY]]*表格1[[#This Row],[Unit Price]],"-")</f>
        <v>3980</v>
      </c>
      <c r="O2874" s="142" t="s">
        <v>1926</v>
      </c>
      <c r="R2874" s="86" t="str">
        <f>_xlfn.CONCAT(表格1[[#This Row],[Model]]," ",表格1[[#This Row],[inv no]])</f>
        <v>DW-05T2-HK 092807</v>
      </c>
      <c r="S2874" s="86">
        <f>_xlfn.XLOOKUP(表格1[[#This Row],[Model]],表格3[Model-Input-Ref2],表格3[SRP PRICE])</f>
        <v>4580</v>
      </c>
      <c r="T2874" s="43">
        <f>表格1[[#This Row],[Unit Price]]/表格1[[#This Row],[SRP]]</f>
        <v>0.86899563318777295</v>
      </c>
      <c r="U2874" s="86" t="str">
        <f>_xlfn.XLOOKUP(表格1[[#This Row],[Model]],表格3[Model-Input-Ref2],表格3[TOSHIBA/HIGHEST])</f>
        <v>Toshiba SRP</v>
      </c>
      <c r="W2874" s="86" t="str">
        <f>_xlfn.CONCAT(表格1[[#This Row],[欄4]],表格1[[#This Row],[inv no]])</f>
        <v>092807</v>
      </c>
    </row>
    <row r="2875" spans="1:23" hidden="1">
      <c r="A2875" s="81">
        <v>2873</v>
      </c>
      <c r="B2875" s="86" t="s">
        <v>1366</v>
      </c>
      <c r="C2875" s="86" t="s">
        <v>1917</v>
      </c>
      <c r="D2875" s="82" t="str">
        <f ca="1">OFFSET(Roster!$A$3,MATCH(表格1[[#This Row],[Location]]&amp;" "&amp;表格1[[#This Row],[Shop]]&amp;"*",Roster!$A$4:$A$72,0),DAY(表格1[[#This Row],[date]]),1,1)</f>
        <v>Tony_2</v>
      </c>
      <c r="E2875" s="86">
        <f>MONTH(表格1[[#This Row],[date]])</f>
        <v>3</v>
      </c>
      <c r="F2875" s="90">
        <v>46112</v>
      </c>
      <c r="G2875" s="86" t="str">
        <f>VLOOKUP("*"&amp;表格1[[#This Row],[Input]]&amp;"*",'Ref-List'!$B:$D,2,)</f>
        <v>TW-T22BU95UWH(WK)-B</v>
      </c>
      <c r="H2875" s="86" t="str">
        <f>_xlfn.XLOOKUP(表格1[[#This Row],[Model]],表格3[Model-Input-Ref2],表格3[Product Line])</f>
        <v>470MM超薄身前置式變頻洗衣機(8.5公斤, 可飛頂)</v>
      </c>
      <c r="I2875" s="86" t="str">
        <f>_xlfn.XLOOKUP(表格1[[#This Row],[Model]],表格3[Model-Input-Ref2],表格3[大小電])</f>
        <v>大電</v>
      </c>
      <c r="J2875" s="86" t="str">
        <f>_xlfn.XLOOKUP(表格1[[#This Row],[Model]],表格3[Model-Input-Ref2],表格3[Code])</f>
        <v>LAD</v>
      </c>
      <c r="K2875" s="89" t="s">
        <v>969</v>
      </c>
      <c r="L2875" s="86">
        <v>1</v>
      </c>
      <c r="M2875" s="87">
        <v>3680</v>
      </c>
      <c r="N2875" s="87">
        <f>IFERROR(表格1[[#This Row],[QTY]]*表格1[[#This Row],[Unit Price]],"-")</f>
        <v>3680</v>
      </c>
      <c r="O2875" s="86">
        <v>423137</v>
      </c>
      <c r="R2875" s="86" t="str">
        <f>_xlfn.CONCAT(表格1[[#This Row],[Model]]," ",表格1[[#This Row],[inv no]])</f>
        <v>TW-T22BU95UWH(WK)-B 423137</v>
      </c>
      <c r="S2875" s="86">
        <f>_xlfn.XLOOKUP(表格1[[#This Row],[Model]],表格3[Model-Input-Ref2],表格3[SRP PRICE])</f>
        <v>5880</v>
      </c>
      <c r="T2875" s="43">
        <f>表格1[[#This Row],[Unit Price]]/表格1[[#This Row],[SRP]]</f>
        <v>0.62585034013605445</v>
      </c>
      <c r="U2875" s="86" t="str">
        <f>_xlfn.XLOOKUP(表格1[[#This Row],[Model]],表格3[Model-Input-Ref2],表格3[TOSHIBA/HIGHEST])</f>
        <v>Toshiba SRP</v>
      </c>
      <c r="W2875" s="86" t="str">
        <f>_xlfn.CONCAT(表格1[[#This Row],[欄4]],表格1[[#This Row],[inv no]])</f>
        <v>423137</v>
      </c>
    </row>
    <row r="2876" spans="1:23" hidden="1">
      <c r="A2876" s="81">
        <v>2874</v>
      </c>
      <c r="B2876" s="86" t="s">
        <v>1366</v>
      </c>
      <c r="C2876" s="86" t="s">
        <v>1928</v>
      </c>
      <c r="D2876" s="82" t="str">
        <f ca="1">OFFSET(Roster!$A$3,MATCH(表格1[[#This Row],[Location]]&amp;" "&amp;表格1[[#This Row],[Shop]]&amp;"*",Roster!$A$4:$A$72,0),DAY(表格1[[#This Row],[date]]),1,1)</f>
        <v>Tony_1</v>
      </c>
      <c r="E2876" s="86">
        <f>MONTH(表格1[[#This Row],[date]])</f>
        <v>3</v>
      </c>
      <c r="F2876" s="90">
        <v>46106</v>
      </c>
      <c r="G2876" s="86" t="str">
        <f>VLOOKUP("*"&amp;表格1[[#This Row],[Input]]&amp;"*",'Ref-List'!$B:$D,2,)</f>
        <v>KT-17SHNH</v>
      </c>
      <c r="H2876" s="86" t="str">
        <f>_xlfn.XLOOKUP(表格1[[#This Row],[Model]],表格3[Model-Input-Ref2],表格3[Product Line])</f>
        <v>1.7L無線雙層電熱水壺</v>
      </c>
      <c r="I2876" s="86" t="str">
        <f>_xlfn.XLOOKUP(表格1[[#This Row],[Model]],表格3[Model-Input-Ref2],表格3[大小電])</f>
        <v>細電</v>
      </c>
      <c r="J2876" s="86" t="str">
        <f>_xlfn.XLOOKUP(表格1[[#This Row],[Model]],表格3[Model-Input-Ref2],表格3[Code])</f>
        <v>SDA</v>
      </c>
      <c r="K2876" s="89" t="s">
        <v>1283</v>
      </c>
      <c r="L2876" s="86">
        <v>1</v>
      </c>
      <c r="M2876" s="87">
        <v>198</v>
      </c>
      <c r="N2876" s="87">
        <f>IFERROR(表格1[[#This Row],[QTY]]*表格1[[#This Row],[Unit Price]],"-")</f>
        <v>198</v>
      </c>
      <c r="O2876" s="86">
        <v>350648</v>
      </c>
      <c r="P2876" s="86" t="s">
        <v>1941</v>
      </c>
      <c r="R2876" s="86" t="str">
        <f>_xlfn.CONCAT(表格1[[#This Row],[Model]]," ",表格1[[#This Row],[inv no]])</f>
        <v>KT-17SHNH 350648</v>
      </c>
      <c r="S2876" s="86">
        <f>_xlfn.XLOOKUP(表格1[[#This Row],[Model]],表格3[Model-Input-Ref2],表格3[SRP PRICE])</f>
        <v>299</v>
      </c>
      <c r="T2876" s="43">
        <f>表格1[[#This Row],[Unit Price]]/表格1[[#This Row],[SRP]]</f>
        <v>0.66220735785953178</v>
      </c>
      <c r="U2876" s="86" t="str">
        <f>_xlfn.XLOOKUP(表格1[[#This Row],[Model]],表格3[Model-Input-Ref2],表格3[TOSHIBA/HIGHEST])</f>
        <v>Shops Highest Price</v>
      </c>
      <c r="W2876" s="86" t="str">
        <f>_xlfn.CONCAT(表格1[[#This Row],[欄4]],表格1[[#This Row],[inv no]])</f>
        <v>350648</v>
      </c>
    </row>
    <row r="2877" spans="1:23" hidden="1">
      <c r="A2877" s="81">
        <v>2875</v>
      </c>
      <c r="B2877" s="86" t="s">
        <v>1366</v>
      </c>
      <c r="C2877" s="86" t="s">
        <v>1928</v>
      </c>
      <c r="D2877" s="82" t="str">
        <f ca="1">OFFSET(Roster!$A$3,MATCH(表格1[[#This Row],[Location]]&amp;" "&amp;表格1[[#This Row],[Shop]]&amp;"*",Roster!$A$4:$A$72,0),DAY(表格1[[#This Row],[date]]),1,1)</f>
        <v>Tony_1</v>
      </c>
      <c r="E2877" s="86">
        <f>MONTH(表格1[[#This Row],[date]])</f>
        <v>3</v>
      </c>
      <c r="F2877" s="90">
        <v>46106</v>
      </c>
      <c r="G2877" s="86" t="str">
        <f>VLOOKUP("*"&amp;表格1[[#This Row],[Input]]&amp;"*",'Ref-List'!$B:$D,2,)</f>
        <v>RC-18NMFIH(WT)</v>
      </c>
      <c r="H2877" s="86" t="str">
        <f>_xlfn.XLOOKUP(表格1[[#This Row],[Model]],表格3[Model-Input-Ref2],表格3[Product Line])</f>
        <v>4毫米厚釜電飯煲1.8L</v>
      </c>
      <c r="I2877" s="86" t="str">
        <f>_xlfn.XLOOKUP(表格1[[#This Row],[Model]],表格3[Model-Input-Ref2],表格3[大小電])</f>
        <v>細電</v>
      </c>
      <c r="J2877" s="86" t="str">
        <f>_xlfn.XLOOKUP(表格1[[#This Row],[Model]],表格3[Model-Input-Ref2],表格3[Code])</f>
        <v>SDA</v>
      </c>
      <c r="K2877" s="89" t="s">
        <v>1267</v>
      </c>
      <c r="L2877" s="86">
        <v>1</v>
      </c>
      <c r="M2877" s="87">
        <v>799</v>
      </c>
      <c r="N2877" s="87">
        <f>IFERROR(表格1[[#This Row],[QTY]]*表格1[[#This Row],[Unit Price]],"-")</f>
        <v>799</v>
      </c>
      <c r="O2877" s="86">
        <v>534416</v>
      </c>
      <c r="R2877" s="86" t="str">
        <f>_xlfn.CONCAT(表格1[[#This Row],[Model]]," ",表格1[[#This Row],[inv no]])</f>
        <v>RC-18NMFIH(WT) 534416</v>
      </c>
      <c r="S2877" s="86">
        <f>_xlfn.XLOOKUP(表格1[[#This Row],[Model]],表格3[Model-Input-Ref2],表格3[SRP PRICE])</f>
        <v>998</v>
      </c>
      <c r="T2877" s="43">
        <f>表格1[[#This Row],[Unit Price]]/表格1[[#This Row],[SRP]]</f>
        <v>0.80060120240480959</v>
      </c>
      <c r="U2877" s="86" t="str">
        <f>_xlfn.XLOOKUP(表格1[[#This Row],[Model]],表格3[Model-Input-Ref2],表格3[TOSHIBA/HIGHEST])</f>
        <v>Toshiba SRP</v>
      </c>
      <c r="W2877" s="86" t="str">
        <f>_xlfn.CONCAT(表格1[[#This Row],[欄4]],表格1[[#This Row],[inv no]])</f>
        <v>534416</v>
      </c>
    </row>
    <row r="2878" spans="1:23" hidden="1">
      <c r="A2878" s="81">
        <v>2876</v>
      </c>
      <c r="B2878" s="86" t="s">
        <v>1366</v>
      </c>
      <c r="C2878" s="86" t="s">
        <v>1928</v>
      </c>
      <c r="D2878" s="82" t="str">
        <f ca="1">OFFSET(Roster!$A$3,MATCH(表格1[[#This Row],[Location]]&amp;" "&amp;表格1[[#This Row],[Shop]]&amp;"*",Roster!$A$4:$A$72,0),DAY(表格1[[#This Row],[date]]),1,1)</f>
        <v>Tony_1</v>
      </c>
      <c r="E2878" s="86">
        <f>MONTH(表格1[[#This Row],[date]])</f>
        <v>3</v>
      </c>
      <c r="F2878" s="90">
        <v>46106</v>
      </c>
      <c r="G2878" s="86" t="str">
        <f>VLOOKUP("*"&amp;表格1[[#This Row],[Input]]&amp;"*",'Ref-List'!$B:$D,2,)</f>
        <v>RC-18NMFIH(WT)</v>
      </c>
      <c r="H2878" s="86" t="str">
        <f>_xlfn.XLOOKUP(表格1[[#This Row],[Model]],表格3[Model-Input-Ref2],表格3[Product Line])</f>
        <v>4毫米厚釜電飯煲1.8L</v>
      </c>
      <c r="I2878" s="86" t="str">
        <f>_xlfn.XLOOKUP(表格1[[#This Row],[Model]],表格3[Model-Input-Ref2],表格3[大小電])</f>
        <v>細電</v>
      </c>
      <c r="J2878" s="86" t="str">
        <f>_xlfn.XLOOKUP(表格1[[#This Row],[Model]],表格3[Model-Input-Ref2],表格3[Code])</f>
        <v>SDA</v>
      </c>
      <c r="K2878" s="89" t="s">
        <v>1267</v>
      </c>
      <c r="L2878" s="86">
        <v>1</v>
      </c>
      <c r="M2878" s="87">
        <v>799</v>
      </c>
      <c r="N2878" s="87">
        <f>IFERROR(表格1[[#This Row],[QTY]]*表格1[[#This Row],[Unit Price]],"-")</f>
        <v>799</v>
      </c>
      <c r="O2878" s="86">
        <v>534417</v>
      </c>
      <c r="R2878" s="86" t="str">
        <f>_xlfn.CONCAT(表格1[[#This Row],[Model]]," ",表格1[[#This Row],[inv no]])</f>
        <v>RC-18NMFIH(WT) 534417</v>
      </c>
      <c r="S2878" s="86">
        <f>_xlfn.XLOOKUP(表格1[[#This Row],[Model]],表格3[Model-Input-Ref2],表格3[SRP PRICE])</f>
        <v>998</v>
      </c>
      <c r="T2878" s="43">
        <f>表格1[[#This Row],[Unit Price]]/表格1[[#This Row],[SRP]]</f>
        <v>0.80060120240480959</v>
      </c>
      <c r="U2878" s="86" t="str">
        <f>_xlfn.XLOOKUP(表格1[[#This Row],[Model]],表格3[Model-Input-Ref2],表格3[TOSHIBA/HIGHEST])</f>
        <v>Toshiba SRP</v>
      </c>
      <c r="W2878" s="86" t="str">
        <f>_xlfn.CONCAT(表格1[[#This Row],[欄4]],表格1[[#This Row],[inv no]])</f>
        <v>534417</v>
      </c>
    </row>
    <row r="2879" spans="1:23" hidden="1">
      <c r="A2879" s="81">
        <v>2877</v>
      </c>
      <c r="B2879" s="86" t="s">
        <v>1366</v>
      </c>
      <c r="C2879" s="86" t="s">
        <v>1928</v>
      </c>
      <c r="D2879" s="82" t="str">
        <f ca="1">OFFSET(Roster!$A$3,MATCH(表格1[[#This Row],[Location]]&amp;" "&amp;表格1[[#This Row],[Shop]]&amp;"*",Roster!$A$4:$A$72,0),DAY(表格1[[#This Row],[date]]),1,1)</f>
        <v>Tony_1</v>
      </c>
      <c r="E2879" s="86">
        <f>MONTH(表格1[[#This Row],[date]])</f>
        <v>3</v>
      </c>
      <c r="F2879" s="90">
        <v>46106</v>
      </c>
      <c r="G2879" s="86" t="str">
        <f>VLOOKUP("*"&amp;表格1[[#This Row],[Input]]&amp;"*",'Ref-List'!$B:$D,2,)</f>
        <v>KT-17DRTHK(H)</v>
      </c>
      <c r="H2879" s="86" t="str">
        <f>_xlfn.XLOOKUP(表格1[[#This Row],[Model]],表格3[Model-Input-Ref2],表格3[Product Line])</f>
        <v>無線雙層電熱水壺(1.7公升)</v>
      </c>
      <c r="I2879" s="86" t="str">
        <f>_xlfn.XLOOKUP(表格1[[#This Row],[Model]],表格3[Model-Input-Ref2],表格3[大小電])</f>
        <v>細電</v>
      </c>
      <c r="J2879" s="86" t="str">
        <f>_xlfn.XLOOKUP(表格1[[#This Row],[Model]],表格3[Model-Input-Ref2],表格3[Code])</f>
        <v>SDA</v>
      </c>
      <c r="K2879" s="89" t="s">
        <v>1271</v>
      </c>
      <c r="L2879" s="86">
        <v>1</v>
      </c>
      <c r="M2879" s="87">
        <v>388</v>
      </c>
      <c r="N2879" s="87">
        <f>IFERROR(表格1[[#This Row],[QTY]]*表格1[[#This Row],[Unit Price]],"-")</f>
        <v>388</v>
      </c>
      <c r="O2879" s="86">
        <v>534497</v>
      </c>
      <c r="R2879" s="86" t="str">
        <f>_xlfn.CONCAT(表格1[[#This Row],[Model]]," ",表格1[[#This Row],[inv no]])</f>
        <v>KT-17DRTHK(H) 534497</v>
      </c>
      <c r="S2879" s="86">
        <f>_xlfn.XLOOKUP(表格1[[#This Row],[Model]],表格3[Model-Input-Ref2],表格3[SRP PRICE])</f>
        <v>498</v>
      </c>
      <c r="T2879" s="43">
        <f>表格1[[#This Row],[Unit Price]]/表格1[[#This Row],[SRP]]</f>
        <v>0.77911646586345384</v>
      </c>
      <c r="U2879" s="86" t="str">
        <f>_xlfn.XLOOKUP(表格1[[#This Row],[Model]],表格3[Model-Input-Ref2],表格3[TOSHIBA/HIGHEST])</f>
        <v>Toshiba SRP</v>
      </c>
      <c r="W2879" s="86" t="str">
        <f>_xlfn.CONCAT(表格1[[#This Row],[欄4]],表格1[[#This Row],[inv no]])</f>
        <v>534497</v>
      </c>
    </row>
    <row r="2880" spans="1:23" hidden="1">
      <c r="A2880" s="81">
        <v>2878</v>
      </c>
      <c r="B2880" s="86" t="s">
        <v>1366</v>
      </c>
      <c r="C2880" s="86" t="s">
        <v>1928</v>
      </c>
      <c r="D2880" s="82" t="str">
        <f ca="1">OFFSET(Roster!$A$3,MATCH(表格1[[#This Row],[Location]]&amp;" "&amp;表格1[[#This Row],[Shop]]&amp;"*",Roster!$A$4:$A$72,0),DAY(表格1[[#This Row],[date]]),1,1)</f>
        <v>Tony_1</v>
      </c>
      <c r="E2880" s="86">
        <f>MONTH(表格1[[#This Row],[date]])</f>
        <v>3</v>
      </c>
      <c r="F2880" s="90">
        <v>46106</v>
      </c>
      <c r="G2880" s="86" t="str">
        <f>VLOOKUP("*"&amp;表格1[[#This Row],[Input]]&amp;"*",'Ref-List'!$B:$D,2,)</f>
        <v>RC-5SLIH(W)</v>
      </c>
      <c r="H2880" s="86" t="str">
        <f>_xlfn.XLOOKUP(表格1[[#This Row],[Model]],表格3[Model-Input-Ref2],表格3[Product Line])</f>
        <v>微型電腦珍珠飯煲</v>
      </c>
      <c r="I2880" s="86" t="str">
        <f>_xlfn.XLOOKUP(表格1[[#This Row],[Model]],表格3[Model-Input-Ref2],表格3[大小電])</f>
        <v>細電</v>
      </c>
      <c r="J2880" s="86" t="str">
        <f>_xlfn.XLOOKUP(表格1[[#This Row],[Model]],表格3[Model-Input-Ref2],表格3[Code])</f>
        <v>SDA</v>
      </c>
      <c r="K2880" s="89" t="s">
        <v>1264</v>
      </c>
      <c r="L2880" s="86">
        <v>1</v>
      </c>
      <c r="M2880" s="87">
        <v>593</v>
      </c>
      <c r="N2880" s="87">
        <f>IFERROR(表格1[[#This Row],[QTY]]*表格1[[#This Row],[Unit Price]],"-")</f>
        <v>593</v>
      </c>
      <c r="O2880" s="86">
        <v>534456</v>
      </c>
      <c r="R2880" s="86" t="str">
        <f>_xlfn.CONCAT(表格1[[#This Row],[Model]]," ",表格1[[#This Row],[inv no]])</f>
        <v>RC-5SLIH(W) 534456</v>
      </c>
      <c r="S2880" s="86">
        <f>_xlfn.XLOOKUP(表格1[[#This Row],[Model]],表格3[Model-Input-Ref2],表格3[SRP PRICE])</f>
        <v>658</v>
      </c>
      <c r="T2880" s="43">
        <f>表格1[[#This Row],[Unit Price]]/表格1[[#This Row],[SRP]]</f>
        <v>0.90121580547112456</v>
      </c>
      <c r="U2880" s="86" t="str">
        <f>_xlfn.XLOOKUP(表格1[[#This Row],[Model]],表格3[Model-Input-Ref2],表格3[TOSHIBA/HIGHEST])</f>
        <v>Toshiba SRP</v>
      </c>
      <c r="W2880" s="86" t="str">
        <f>_xlfn.CONCAT(表格1[[#This Row],[欄4]],表格1[[#This Row],[inv no]])</f>
        <v>534456</v>
      </c>
    </row>
    <row r="2881" spans="1:23" hidden="1">
      <c r="A2881" s="81">
        <v>2879</v>
      </c>
      <c r="B2881" s="86" t="s">
        <v>1366</v>
      </c>
      <c r="C2881" s="86" t="s">
        <v>1928</v>
      </c>
      <c r="D2881" s="82" t="str">
        <f ca="1">OFFSET(Roster!$A$3,MATCH(表格1[[#This Row],[Location]]&amp;" "&amp;表格1[[#This Row],[Shop]]&amp;"*",Roster!$A$4:$A$72,0),DAY(表格1[[#This Row],[date]]),1,1)</f>
        <v>Tony_1</v>
      </c>
      <c r="E2881" s="86">
        <f>MONTH(表格1[[#This Row],[date]])</f>
        <v>3</v>
      </c>
      <c r="F2881" s="90">
        <v>46107</v>
      </c>
      <c r="G2881" s="86" t="str">
        <f>VLOOKUP("*"&amp;表格1[[#This Row],[Input]]&amp;"*",'Ref-List'!$B:$D,2,)</f>
        <v>KT-17SHNH</v>
      </c>
      <c r="H2881" s="86" t="str">
        <f>_xlfn.XLOOKUP(表格1[[#This Row],[Model]],表格3[Model-Input-Ref2],表格3[Product Line])</f>
        <v>1.7L無線雙層電熱水壺</v>
      </c>
      <c r="I2881" s="86" t="str">
        <f>_xlfn.XLOOKUP(表格1[[#This Row],[Model]],表格3[Model-Input-Ref2],表格3[大小電])</f>
        <v>細電</v>
      </c>
      <c r="J2881" s="86" t="str">
        <f>_xlfn.XLOOKUP(表格1[[#This Row],[Model]],表格3[Model-Input-Ref2],表格3[Code])</f>
        <v>SDA</v>
      </c>
      <c r="K2881" s="89" t="s">
        <v>1283</v>
      </c>
      <c r="L2881" s="86">
        <v>1</v>
      </c>
      <c r="M2881" s="87">
        <v>198</v>
      </c>
      <c r="N2881" s="87">
        <f>IFERROR(表格1[[#This Row],[QTY]]*表格1[[#This Row],[Unit Price]],"-")</f>
        <v>198</v>
      </c>
      <c r="O2881" s="86">
        <v>351136</v>
      </c>
      <c r="R2881" s="86" t="str">
        <f>_xlfn.CONCAT(表格1[[#This Row],[Model]]," ",表格1[[#This Row],[inv no]])</f>
        <v>KT-17SHNH 351136</v>
      </c>
      <c r="S2881" s="86">
        <f>_xlfn.XLOOKUP(表格1[[#This Row],[Model]],表格3[Model-Input-Ref2],表格3[SRP PRICE])</f>
        <v>299</v>
      </c>
      <c r="T2881" s="43">
        <f>表格1[[#This Row],[Unit Price]]/表格1[[#This Row],[SRP]]</f>
        <v>0.66220735785953178</v>
      </c>
      <c r="U2881" s="86" t="str">
        <f>_xlfn.XLOOKUP(表格1[[#This Row],[Model]],表格3[Model-Input-Ref2],表格3[TOSHIBA/HIGHEST])</f>
        <v>Shops Highest Price</v>
      </c>
      <c r="W2881" s="86" t="str">
        <f>_xlfn.CONCAT(表格1[[#This Row],[欄4]],表格1[[#This Row],[inv no]])</f>
        <v>351136</v>
      </c>
    </row>
    <row r="2882" spans="1:23" hidden="1">
      <c r="A2882" s="81">
        <v>2880</v>
      </c>
      <c r="B2882" s="86" t="s">
        <v>1366</v>
      </c>
      <c r="C2882" s="86" t="s">
        <v>1928</v>
      </c>
      <c r="D2882" s="82" t="str">
        <f ca="1">OFFSET(Roster!$A$3,MATCH(表格1[[#This Row],[Location]]&amp;" "&amp;表格1[[#This Row],[Shop]]&amp;"*",Roster!$A$4:$A$72,0),DAY(表格1[[#This Row],[date]]),1,1)</f>
        <v>Tony_1</v>
      </c>
      <c r="E2882" s="86">
        <f>MONTH(表格1[[#This Row],[date]])</f>
        <v>3</v>
      </c>
      <c r="F2882" s="90">
        <v>46107</v>
      </c>
      <c r="G2882" s="86" t="str">
        <f>VLOOKUP("*"&amp;表格1[[#This Row],[Input]]&amp;"*",'Ref-List'!$B:$D,2,)</f>
        <v>KT-17DRTHK(H)</v>
      </c>
      <c r="H2882" s="86" t="str">
        <f>_xlfn.XLOOKUP(表格1[[#This Row],[Model]],表格3[Model-Input-Ref2],表格3[Product Line])</f>
        <v>無線雙層電熱水壺(1.7公升)</v>
      </c>
      <c r="I2882" s="86" t="str">
        <f>_xlfn.XLOOKUP(表格1[[#This Row],[Model]],表格3[Model-Input-Ref2],表格3[大小電])</f>
        <v>細電</v>
      </c>
      <c r="J2882" s="86" t="str">
        <f>_xlfn.XLOOKUP(表格1[[#This Row],[Model]],表格3[Model-Input-Ref2],表格3[Code])</f>
        <v>SDA</v>
      </c>
      <c r="K2882" s="89" t="s">
        <v>1271</v>
      </c>
      <c r="L2882" s="86">
        <v>1</v>
      </c>
      <c r="M2882" s="87">
        <v>388</v>
      </c>
      <c r="N2882" s="87">
        <f>IFERROR(表格1[[#This Row],[QTY]]*表格1[[#This Row],[Unit Price]],"-")</f>
        <v>388</v>
      </c>
      <c r="O2882" s="86">
        <v>322193</v>
      </c>
      <c r="R2882" s="86" t="str">
        <f>_xlfn.CONCAT(表格1[[#This Row],[Model]]," ",表格1[[#This Row],[inv no]])</f>
        <v>KT-17DRTHK(H) 322193</v>
      </c>
      <c r="S2882" s="86">
        <f>_xlfn.XLOOKUP(表格1[[#This Row],[Model]],表格3[Model-Input-Ref2],表格3[SRP PRICE])</f>
        <v>498</v>
      </c>
      <c r="T2882" s="43">
        <f>表格1[[#This Row],[Unit Price]]/表格1[[#This Row],[SRP]]</f>
        <v>0.77911646586345384</v>
      </c>
      <c r="U2882" s="86" t="str">
        <f>_xlfn.XLOOKUP(表格1[[#This Row],[Model]],表格3[Model-Input-Ref2],表格3[TOSHIBA/HIGHEST])</f>
        <v>Toshiba SRP</v>
      </c>
      <c r="W2882" s="86" t="str">
        <f>_xlfn.CONCAT(表格1[[#This Row],[欄4]],表格1[[#This Row],[inv no]])</f>
        <v>322193</v>
      </c>
    </row>
    <row r="2883" spans="1:23" hidden="1">
      <c r="A2883" s="81">
        <v>2881</v>
      </c>
      <c r="B2883" s="86" t="s">
        <v>1366</v>
      </c>
      <c r="C2883" s="86" t="s">
        <v>1928</v>
      </c>
      <c r="D2883" s="82" t="str">
        <f ca="1">OFFSET(Roster!$A$3,MATCH(表格1[[#This Row],[Location]]&amp;" "&amp;表格1[[#This Row],[Shop]]&amp;"*",Roster!$A$4:$A$72,0),DAY(表格1[[#This Row],[date]]),1,1)</f>
        <v>Tony_1</v>
      </c>
      <c r="E2883" s="86">
        <f>MONTH(表格1[[#This Row],[date]])</f>
        <v>3</v>
      </c>
      <c r="F2883" s="90">
        <v>46107</v>
      </c>
      <c r="G2883" s="86" t="str">
        <f>VLOOKUP("*"&amp;表格1[[#This Row],[Input]]&amp;"*",'Ref-List'!$B:$D,2,)</f>
        <v>KT-17DRTHK(H)</v>
      </c>
      <c r="H2883" s="86" t="str">
        <f>_xlfn.XLOOKUP(表格1[[#This Row],[Model]],表格3[Model-Input-Ref2],表格3[Product Line])</f>
        <v>無線雙層電熱水壺(1.7公升)</v>
      </c>
      <c r="I2883" s="86" t="str">
        <f>_xlfn.XLOOKUP(表格1[[#This Row],[Model]],表格3[Model-Input-Ref2],表格3[大小電])</f>
        <v>細電</v>
      </c>
      <c r="J2883" s="86" t="str">
        <f>_xlfn.XLOOKUP(表格1[[#This Row],[Model]],表格3[Model-Input-Ref2],表格3[Code])</f>
        <v>SDA</v>
      </c>
      <c r="K2883" s="89" t="s">
        <v>1271</v>
      </c>
      <c r="L2883" s="86">
        <v>1</v>
      </c>
      <c r="M2883" s="87">
        <v>388</v>
      </c>
      <c r="N2883" s="87">
        <f>IFERROR(表格1[[#This Row],[QTY]]*表格1[[#This Row],[Unit Price]],"-")</f>
        <v>388</v>
      </c>
      <c r="O2883" s="86">
        <v>322105</v>
      </c>
      <c r="R2883" s="86" t="str">
        <f>_xlfn.CONCAT(表格1[[#This Row],[Model]]," ",表格1[[#This Row],[inv no]])</f>
        <v>KT-17DRTHK(H) 322105</v>
      </c>
      <c r="S2883" s="86">
        <f>_xlfn.XLOOKUP(表格1[[#This Row],[Model]],表格3[Model-Input-Ref2],表格3[SRP PRICE])</f>
        <v>498</v>
      </c>
      <c r="T2883" s="43">
        <f>表格1[[#This Row],[Unit Price]]/表格1[[#This Row],[SRP]]</f>
        <v>0.77911646586345384</v>
      </c>
      <c r="U2883" s="86" t="str">
        <f>_xlfn.XLOOKUP(表格1[[#This Row],[Model]],表格3[Model-Input-Ref2],表格3[TOSHIBA/HIGHEST])</f>
        <v>Toshiba SRP</v>
      </c>
      <c r="W2883" s="86" t="str">
        <f>_xlfn.CONCAT(表格1[[#This Row],[欄4]],表格1[[#This Row],[inv no]])</f>
        <v>322105</v>
      </c>
    </row>
    <row r="2884" spans="1:23" hidden="1">
      <c r="A2884" s="81">
        <v>2882</v>
      </c>
      <c r="B2884" s="86" t="s">
        <v>1366</v>
      </c>
      <c r="C2884" s="86" t="s">
        <v>1928</v>
      </c>
      <c r="D2884" s="82" t="str">
        <f ca="1">OFFSET(Roster!$A$3,MATCH(表格1[[#This Row],[Location]]&amp;" "&amp;表格1[[#This Row],[Shop]]&amp;"*",Roster!$A$4:$A$72,0),DAY(表格1[[#This Row],[date]]),1,1)</f>
        <v>Tony_1</v>
      </c>
      <c r="E2884" s="86">
        <f>MONTH(表格1[[#This Row],[date]])</f>
        <v>3</v>
      </c>
      <c r="F2884" s="90">
        <v>46107</v>
      </c>
      <c r="G2884" s="86" t="str">
        <f>VLOOKUP("*"&amp;表格1[[#This Row],[Input]]&amp;"*",'Ref-List'!$B:$D,2,)</f>
        <v>KT-17DRTHK(H)</v>
      </c>
      <c r="H2884" s="86" t="str">
        <f>_xlfn.XLOOKUP(表格1[[#This Row],[Model]],表格3[Model-Input-Ref2],表格3[Product Line])</f>
        <v>無線雙層電熱水壺(1.7公升)</v>
      </c>
      <c r="I2884" s="86" t="str">
        <f>_xlfn.XLOOKUP(表格1[[#This Row],[Model]],表格3[Model-Input-Ref2],表格3[大小電])</f>
        <v>細電</v>
      </c>
      <c r="J2884" s="86" t="str">
        <f>_xlfn.XLOOKUP(表格1[[#This Row],[Model]],表格3[Model-Input-Ref2],表格3[Code])</f>
        <v>SDA</v>
      </c>
      <c r="K2884" s="89" t="s">
        <v>1271</v>
      </c>
      <c r="L2884" s="86">
        <v>1</v>
      </c>
      <c r="M2884" s="87">
        <v>388</v>
      </c>
      <c r="N2884" s="87">
        <f>IFERROR(表格1[[#This Row],[QTY]]*表格1[[#This Row],[Unit Price]],"-")</f>
        <v>388</v>
      </c>
      <c r="O2884" s="86">
        <v>350978</v>
      </c>
      <c r="R2884" s="86" t="str">
        <f>_xlfn.CONCAT(表格1[[#This Row],[Model]]," ",表格1[[#This Row],[inv no]])</f>
        <v>KT-17DRTHK(H) 350978</v>
      </c>
      <c r="S2884" s="86">
        <f>_xlfn.XLOOKUP(表格1[[#This Row],[Model]],表格3[Model-Input-Ref2],表格3[SRP PRICE])</f>
        <v>498</v>
      </c>
      <c r="T2884" s="43">
        <f>表格1[[#This Row],[Unit Price]]/表格1[[#This Row],[SRP]]</f>
        <v>0.77911646586345384</v>
      </c>
      <c r="U2884" s="86" t="str">
        <f>_xlfn.XLOOKUP(表格1[[#This Row],[Model]],表格3[Model-Input-Ref2],表格3[TOSHIBA/HIGHEST])</f>
        <v>Toshiba SRP</v>
      </c>
      <c r="W2884" s="86" t="str">
        <f>_xlfn.CONCAT(表格1[[#This Row],[欄4]],表格1[[#This Row],[inv no]])</f>
        <v>350978</v>
      </c>
    </row>
    <row r="2885" spans="1:23" hidden="1">
      <c r="A2885" s="81">
        <v>2883</v>
      </c>
      <c r="B2885" s="86" t="s">
        <v>1366</v>
      </c>
      <c r="C2885" s="86" t="s">
        <v>1928</v>
      </c>
      <c r="D2885" s="82" t="str">
        <f ca="1">OFFSET(Roster!$A$3,MATCH(表格1[[#This Row],[Location]]&amp;" "&amp;表格1[[#This Row],[Shop]]&amp;"*",Roster!$A$4:$A$72,0),DAY(表格1[[#This Row],[date]]),1,1)</f>
        <v>Tony_1</v>
      </c>
      <c r="E2885" s="86">
        <f>MONTH(表格1[[#This Row],[date]])</f>
        <v>3</v>
      </c>
      <c r="F2885" s="90">
        <v>46107</v>
      </c>
      <c r="G2885" s="86" t="str">
        <f>VLOOKUP("*"&amp;表格1[[#This Row],[Input]]&amp;"*",'Ref-List'!$B:$D,2,)</f>
        <v>RC-10AMXH(W)</v>
      </c>
      <c r="H2885" s="86" t="str">
        <f>_xlfn.XLOOKUP(表格1[[#This Row],[Model]],表格3[Model-Input-Ref2],表格3[Product Line])</f>
        <v>酵活炊電飯煲(1.0公升)</v>
      </c>
      <c r="I2885" s="86" t="str">
        <f>_xlfn.XLOOKUP(表格1[[#This Row],[Model]],表格3[Model-Input-Ref2],表格3[大小電])</f>
        <v>細電</v>
      </c>
      <c r="J2885" s="86" t="str">
        <f>_xlfn.XLOOKUP(表格1[[#This Row],[Model]],表格3[Model-Input-Ref2],表格3[Code])</f>
        <v>SDA</v>
      </c>
      <c r="K2885" s="89" t="s">
        <v>1279</v>
      </c>
      <c r="L2885" s="86">
        <v>1</v>
      </c>
      <c r="M2885" s="87">
        <v>990</v>
      </c>
      <c r="N2885" s="87">
        <f>IFERROR(表格1[[#This Row],[QTY]]*表格1[[#This Row],[Unit Price]],"-")</f>
        <v>990</v>
      </c>
      <c r="O2885" s="86">
        <v>322116</v>
      </c>
      <c r="R2885" s="86" t="str">
        <f>_xlfn.CONCAT(表格1[[#This Row],[Model]]," ",表格1[[#This Row],[inv no]])</f>
        <v>RC-10AMXH(W) 322116</v>
      </c>
      <c r="S2885" s="86">
        <f>_xlfn.XLOOKUP(表格1[[#This Row],[Model]],表格3[Model-Input-Ref2],表格3[SRP PRICE])</f>
        <v>1288</v>
      </c>
      <c r="T2885" s="43">
        <f>表格1[[#This Row],[Unit Price]]/表格1[[#This Row],[SRP]]</f>
        <v>0.76863354037267084</v>
      </c>
      <c r="U2885" s="86" t="str">
        <f>_xlfn.XLOOKUP(表格1[[#This Row],[Model]],表格3[Model-Input-Ref2],表格3[TOSHIBA/HIGHEST])</f>
        <v>Toshiba SRP</v>
      </c>
      <c r="W2885" s="86" t="str">
        <f>_xlfn.CONCAT(表格1[[#This Row],[欄4]],表格1[[#This Row],[inv no]])</f>
        <v>322116</v>
      </c>
    </row>
    <row r="2886" spans="1:23" hidden="1">
      <c r="A2886" s="81">
        <v>2884</v>
      </c>
      <c r="B2886" s="86" t="s">
        <v>1366</v>
      </c>
      <c r="C2886" s="86" t="s">
        <v>1928</v>
      </c>
      <c r="D2886" s="82" t="str">
        <f ca="1">OFFSET(Roster!$A$3,MATCH(表格1[[#This Row],[Location]]&amp;" "&amp;表格1[[#This Row],[Shop]]&amp;"*",Roster!$A$4:$A$72,0),DAY(表格1[[#This Row],[date]]),1,1)</f>
        <v>Tony_1</v>
      </c>
      <c r="E2886" s="86">
        <f>MONTH(表格1[[#This Row],[date]])</f>
        <v>3</v>
      </c>
      <c r="F2886" s="90">
        <v>46107</v>
      </c>
      <c r="G2886" s="86" t="str">
        <f>VLOOKUP("*"&amp;表格1[[#This Row],[Input]]&amp;"*",'Ref-List'!$B:$D,2,)</f>
        <v>RC-5MMIH(WT)</v>
      </c>
      <c r="H2886" s="86" t="str">
        <f>_xlfn.XLOOKUP(表格1[[#This Row],[Model]],表格3[Model-Input-Ref2],表格3[Product Line])</f>
        <v>4毫米厚釜電飯煲0.54L</v>
      </c>
      <c r="I2886" s="86" t="str">
        <f>_xlfn.XLOOKUP(表格1[[#This Row],[Model]],表格3[Model-Input-Ref2],表格3[大小電])</f>
        <v>細電</v>
      </c>
      <c r="J2886" s="86" t="str">
        <f>_xlfn.XLOOKUP(表格1[[#This Row],[Model]],表格3[Model-Input-Ref2],表格3[Code])</f>
        <v>SDA</v>
      </c>
      <c r="K2886" s="89" t="s">
        <v>1195</v>
      </c>
      <c r="L2886" s="86">
        <v>1</v>
      </c>
      <c r="M2886" s="87">
        <v>557</v>
      </c>
      <c r="N2886" s="87">
        <f>IFERROR(表格1[[#This Row],[QTY]]*表格1[[#This Row],[Unit Price]],"-")</f>
        <v>557</v>
      </c>
      <c r="O2886" s="86">
        <v>534799</v>
      </c>
      <c r="R2886" s="86" t="str">
        <f>_xlfn.CONCAT(表格1[[#This Row],[Model]]," ",表格1[[#This Row],[inv no]])</f>
        <v>RC-5MMIH(WT) 534799</v>
      </c>
      <c r="S2886" s="86">
        <f>_xlfn.XLOOKUP(表格1[[#This Row],[Model]],表格3[Model-Input-Ref2],表格3[SRP PRICE])</f>
        <v>618</v>
      </c>
      <c r="T2886" s="43">
        <f>表格1[[#This Row],[Unit Price]]/表格1[[#This Row],[SRP]]</f>
        <v>0.90129449838187703</v>
      </c>
      <c r="U2886" s="86" t="str">
        <f>_xlfn.XLOOKUP(表格1[[#This Row],[Model]],表格3[Model-Input-Ref2],表格3[TOSHIBA/HIGHEST])</f>
        <v>Toshiba SRP</v>
      </c>
      <c r="W2886" s="86" t="str">
        <f>_xlfn.CONCAT(表格1[[#This Row],[欄4]],表格1[[#This Row],[inv no]])</f>
        <v>534799</v>
      </c>
    </row>
    <row r="2887" spans="1:23" hidden="1">
      <c r="A2887" s="81">
        <v>2885</v>
      </c>
      <c r="B2887" s="86" t="s">
        <v>1418</v>
      </c>
      <c r="C2887" s="86" t="s">
        <v>1929</v>
      </c>
      <c r="D2887" s="82" t="str">
        <f ca="1">OFFSET(Roster!$A$3,MATCH(表格1[[#This Row],[Location]]&amp;" "&amp;表格1[[#This Row],[Shop]]&amp;"*",Roster!$A$4:$A$72,0),DAY(表格1[[#This Row],[date]]),1,1)</f>
        <v>Tony_3</v>
      </c>
      <c r="E2887" s="86">
        <f>MONTH(表格1[[#This Row],[date]])</f>
        <v>3</v>
      </c>
      <c r="F2887" s="90">
        <v>46096</v>
      </c>
      <c r="G2887" s="86" t="str">
        <f>VLOOKUP("*"&amp;表格1[[#This Row],[Input]]&amp;"*",'Ref-List'!$B:$D,2,)</f>
        <v>RC-5SLIH(W)</v>
      </c>
      <c r="H2887" s="86" t="str">
        <f>_xlfn.XLOOKUP(表格1[[#This Row],[Model]],表格3[Model-Input-Ref2],表格3[Product Line])</f>
        <v>微型電腦珍珠飯煲</v>
      </c>
      <c r="I2887" s="86" t="str">
        <f>_xlfn.XLOOKUP(表格1[[#This Row],[Model]],表格3[Model-Input-Ref2],表格3[大小電])</f>
        <v>細電</v>
      </c>
      <c r="J2887" s="86" t="str">
        <f>_xlfn.XLOOKUP(表格1[[#This Row],[Model]],表格3[Model-Input-Ref2],表格3[Code])</f>
        <v>SDA</v>
      </c>
      <c r="K2887" s="89" t="s">
        <v>1264</v>
      </c>
      <c r="L2887" s="86">
        <v>1</v>
      </c>
      <c r="M2887" s="87">
        <v>550</v>
      </c>
      <c r="N2887" s="87">
        <f>IFERROR(表格1[[#This Row],[QTY]]*表格1[[#This Row],[Unit Price]],"-")</f>
        <v>550</v>
      </c>
      <c r="O2887" s="86">
        <v>293099</v>
      </c>
      <c r="R2887" s="86" t="str">
        <f>_xlfn.CONCAT(表格1[[#This Row],[Model]]," ",表格1[[#This Row],[inv no]])</f>
        <v>RC-5SLIH(W) 293099</v>
      </c>
      <c r="S2887" s="86">
        <f>_xlfn.XLOOKUP(表格1[[#This Row],[Model]],表格3[Model-Input-Ref2],表格3[SRP PRICE])</f>
        <v>658</v>
      </c>
      <c r="T2887" s="43">
        <f>表格1[[#This Row],[Unit Price]]/表格1[[#This Row],[SRP]]</f>
        <v>0.83586626139817632</v>
      </c>
      <c r="U2887" s="86" t="str">
        <f>_xlfn.XLOOKUP(表格1[[#This Row],[Model]],表格3[Model-Input-Ref2],表格3[TOSHIBA/HIGHEST])</f>
        <v>Toshiba SRP</v>
      </c>
      <c r="W2887" s="86" t="str">
        <f>_xlfn.CONCAT(表格1[[#This Row],[欄4]],表格1[[#This Row],[inv no]])</f>
        <v>293099</v>
      </c>
    </row>
    <row r="2888" spans="1:23" hidden="1">
      <c r="A2888" s="81">
        <v>2886</v>
      </c>
      <c r="B2888" s="86" t="s">
        <v>1418</v>
      </c>
      <c r="C2888" s="86" t="s">
        <v>1929</v>
      </c>
      <c r="D2888" s="82" t="str">
        <f ca="1">OFFSET(Roster!$A$3,MATCH(表格1[[#This Row],[Location]]&amp;" "&amp;表格1[[#This Row],[Shop]]&amp;"*",Roster!$A$4:$A$72,0),DAY(表格1[[#This Row],[date]]),1,1)</f>
        <v>Tony_3</v>
      </c>
      <c r="E2888" s="86">
        <f>MONTH(表格1[[#This Row],[date]])</f>
        <v>3</v>
      </c>
      <c r="F2888" s="90">
        <v>46096</v>
      </c>
      <c r="G2888" s="86" t="str">
        <f>VLOOKUP("*"&amp;表格1[[#This Row],[Input]]&amp;"*",'Ref-List'!$B:$D,2,)</f>
        <v>RC-DR10T(R)</v>
      </c>
      <c r="H2888" s="86" t="str">
        <f>_xlfn.XLOOKUP(表格1[[#This Row],[Model]],表格3[Model-Input-Ref2],表格3[Product Line])</f>
        <v>IH磁應電飯煲</v>
      </c>
      <c r="I2888" s="86" t="str">
        <f>_xlfn.XLOOKUP(表格1[[#This Row],[Model]],表格3[Model-Input-Ref2],表格3[大小電])</f>
        <v>細電</v>
      </c>
      <c r="J2888" s="86" t="str">
        <f>_xlfn.XLOOKUP(表格1[[#This Row],[Model]],表格3[Model-Input-Ref2],表格3[Code])</f>
        <v>SDA</v>
      </c>
      <c r="K2888" s="89" t="s">
        <v>1296</v>
      </c>
      <c r="L2888" s="86">
        <v>1</v>
      </c>
      <c r="M2888" s="87">
        <v>2380</v>
      </c>
      <c r="N2888" s="87">
        <f>IFERROR(表格1[[#This Row],[QTY]]*表格1[[#This Row],[Unit Price]],"-")</f>
        <v>2380</v>
      </c>
      <c r="O2888" s="86">
        <v>293233</v>
      </c>
      <c r="R2888" s="86" t="str">
        <f>_xlfn.CONCAT(表格1[[#This Row],[Model]]," ",表格1[[#This Row],[inv no]])</f>
        <v>RC-DR10T(R) 293233</v>
      </c>
      <c r="S2888" s="86">
        <f>_xlfn.XLOOKUP(表格1[[#This Row],[Model]],表格3[Model-Input-Ref2],表格3[SRP PRICE])</f>
        <v>3188</v>
      </c>
      <c r="T2888" s="43">
        <f>表格1[[#This Row],[Unit Price]]/表格1[[#This Row],[SRP]]</f>
        <v>0.74654956085319946</v>
      </c>
      <c r="U2888" s="86" t="str">
        <f>_xlfn.XLOOKUP(表格1[[#This Row],[Model]],表格3[Model-Input-Ref2],表格3[TOSHIBA/HIGHEST])</f>
        <v>Toshiba SRP</v>
      </c>
      <c r="W2888" s="86" t="str">
        <f>_xlfn.CONCAT(表格1[[#This Row],[欄4]],表格1[[#This Row],[inv no]])</f>
        <v>293233</v>
      </c>
    </row>
    <row r="2889" spans="1:23" hidden="1">
      <c r="A2889" s="81">
        <v>2887</v>
      </c>
      <c r="B2889" s="86" t="s">
        <v>1418</v>
      </c>
      <c r="C2889" s="86" t="s">
        <v>1929</v>
      </c>
      <c r="D2889" s="82" t="str">
        <f ca="1">OFFSET(Roster!$A$3,MATCH(表格1[[#This Row],[Location]]&amp;" "&amp;表格1[[#This Row],[Shop]]&amp;"*",Roster!$A$4:$A$72,0),DAY(表格1[[#This Row],[date]]),1,1)</f>
        <v>Tony_3</v>
      </c>
      <c r="E2889" s="86">
        <f>MONTH(表格1[[#This Row],[date]])</f>
        <v>3</v>
      </c>
      <c r="F2889" s="90">
        <v>46096</v>
      </c>
      <c r="G2889" s="86" t="str">
        <f>VLOOKUP("*"&amp;表格1[[#This Row],[Input]]&amp;"*",'Ref-List'!$B:$D,2,)</f>
        <v>MS3-STQ20SC(WH)</v>
      </c>
      <c r="H2889" s="86" t="str">
        <f>_xlfn.XLOOKUP(表格1[[#This Row],[Model]],表格3[Model-Input-Ref2],表格3[Product Line])</f>
        <v>20L 智能蒸氣焗爐</v>
      </c>
      <c r="I2889" s="86" t="str">
        <f>_xlfn.XLOOKUP(表格1[[#This Row],[Model]],表格3[Model-Input-Ref2],表格3[大小電])</f>
        <v>細電</v>
      </c>
      <c r="J2889" s="86" t="str">
        <f>_xlfn.XLOOKUP(表格1[[#This Row],[Model]],表格3[Model-Input-Ref2],表格3[Code])</f>
        <v>MCA</v>
      </c>
      <c r="K2889" s="89" t="s">
        <v>1383</v>
      </c>
      <c r="L2889" s="86">
        <v>1</v>
      </c>
      <c r="M2889" s="87">
        <v>2049</v>
      </c>
      <c r="N2889" s="87">
        <f>IFERROR(表格1[[#This Row],[QTY]]*表格1[[#This Row],[Unit Price]],"-")</f>
        <v>2049</v>
      </c>
      <c r="O2889" s="86">
        <v>293332</v>
      </c>
      <c r="R2889" s="86" t="str">
        <f>_xlfn.CONCAT(表格1[[#This Row],[Model]]," ",表格1[[#This Row],[inv no]])</f>
        <v>MS3-STQ20SC(WH) 293332</v>
      </c>
      <c r="S2889" s="86">
        <f>_xlfn.XLOOKUP(表格1[[#This Row],[Model]],表格3[Model-Input-Ref2],表格3[SRP PRICE])</f>
        <v>2880</v>
      </c>
      <c r="T2889" s="43">
        <f>表格1[[#This Row],[Unit Price]]/表格1[[#This Row],[SRP]]</f>
        <v>0.7114583333333333</v>
      </c>
      <c r="U2889" s="86" t="str">
        <f>_xlfn.XLOOKUP(表格1[[#This Row],[Model]],表格3[Model-Input-Ref2],表格3[TOSHIBA/HIGHEST])</f>
        <v>Toshiba SRP</v>
      </c>
      <c r="W2889" s="86" t="str">
        <f>_xlfn.CONCAT(表格1[[#This Row],[欄4]],表格1[[#This Row],[inv no]])</f>
        <v>293332</v>
      </c>
    </row>
    <row r="2890" spans="1:23" hidden="1">
      <c r="A2890" s="81">
        <v>2888</v>
      </c>
      <c r="B2890" s="86" t="s">
        <v>1418</v>
      </c>
      <c r="C2890" s="86" t="s">
        <v>1929</v>
      </c>
      <c r="D2890" s="82" t="str">
        <f ca="1">OFFSET(Roster!$A$3,MATCH(表格1[[#This Row],[Location]]&amp;" "&amp;表格1[[#This Row],[Shop]]&amp;"*",Roster!$A$4:$A$72,0),DAY(表格1[[#This Row],[date]]),1,1)</f>
        <v>Tony_3</v>
      </c>
      <c r="E2890" s="86">
        <f>MONTH(表格1[[#This Row],[date]])</f>
        <v>3</v>
      </c>
      <c r="F2890" s="90">
        <v>46096</v>
      </c>
      <c r="G2890" s="86" t="str">
        <f>VLOOKUP("*"&amp;表格1[[#This Row],[Input]]&amp;"*",'Ref-List'!$B:$D,2,)</f>
        <v>RC-10ISSHK(W)</v>
      </c>
      <c r="H2890" s="86" t="str">
        <f>_xlfn.XLOOKUP(表格1[[#This Row],[Model]],表格3[Model-Input-Ref2],表格3[Product Line])</f>
        <v>磁應電飯煲(1公升)</v>
      </c>
      <c r="I2890" s="86" t="str">
        <f>_xlfn.XLOOKUP(表格1[[#This Row],[Model]],表格3[Model-Input-Ref2],表格3[大小電])</f>
        <v>細電</v>
      </c>
      <c r="J2890" s="86" t="str">
        <f>_xlfn.XLOOKUP(表格1[[#This Row],[Model]],表格3[Model-Input-Ref2],表格3[Code])</f>
        <v>SDA</v>
      </c>
      <c r="K2890" s="89" t="s">
        <v>1286</v>
      </c>
      <c r="L2890" s="86">
        <v>1</v>
      </c>
      <c r="M2890" s="87">
        <v>898</v>
      </c>
      <c r="N2890" s="87">
        <f>IFERROR(表格1[[#This Row],[QTY]]*表格1[[#This Row],[Unit Price]],"-")</f>
        <v>898</v>
      </c>
      <c r="O2890" s="86">
        <v>293332</v>
      </c>
      <c r="R2890" s="86" t="str">
        <f>_xlfn.CONCAT(表格1[[#This Row],[Model]]," ",表格1[[#This Row],[inv no]])</f>
        <v>RC-10ISSHK(W) 293332</v>
      </c>
      <c r="S2890" s="86">
        <f>_xlfn.XLOOKUP(表格1[[#This Row],[Model]],表格3[Model-Input-Ref2],表格3[SRP PRICE])</f>
        <v>1188</v>
      </c>
      <c r="T2890" s="43">
        <f>表格1[[#This Row],[Unit Price]]/表格1[[#This Row],[SRP]]</f>
        <v>0.75589225589225584</v>
      </c>
      <c r="U2890" s="86" t="str">
        <f>_xlfn.XLOOKUP(表格1[[#This Row],[Model]],表格3[Model-Input-Ref2],表格3[TOSHIBA/HIGHEST])</f>
        <v>Shops Highest Price</v>
      </c>
      <c r="W2890" s="86" t="str">
        <f>_xlfn.CONCAT(表格1[[#This Row],[欄4]],表格1[[#This Row],[inv no]])</f>
        <v>293332</v>
      </c>
    </row>
    <row r="2891" spans="1:23" hidden="1">
      <c r="A2891" s="81">
        <v>2889</v>
      </c>
      <c r="B2891" s="86" t="s">
        <v>1418</v>
      </c>
      <c r="C2891" s="86" t="s">
        <v>1929</v>
      </c>
      <c r="D2891" s="82" t="str">
        <f ca="1">OFFSET(Roster!$A$3,MATCH(表格1[[#This Row],[Location]]&amp;" "&amp;表格1[[#This Row],[Shop]]&amp;"*",Roster!$A$4:$A$72,0),DAY(表格1[[#This Row],[date]]),1,1)</f>
        <v>Tony_3</v>
      </c>
      <c r="E2891" s="86">
        <f>MONTH(表格1[[#This Row],[date]])</f>
        <v>3</v>
      </c>
      <c r="F2891" s="90">
        <v>46096</v>
      </c>
      <c r="G2891" s="86" t="str">
        <f>VLOOKUP("*"&amp;表格1[[#This Row],[Input]]&amp;"*",'Ref-List'!$B:$D,2,)</f>
        <v>KT-17DRTHK(H)</v>
      </c>
      <c r="H2891" s="86" t="str">
        <f>_xlfn.XLOOKUP(表格1[[#This Row],[Model]],表格3[Model-Input-Ref2],表格3[Product Line])</f>
        <v>無線雙層電熱水壺(1.7公升)</v>
      </c>
      <c r="I2891" s="86" t="str">
        <f>_xlfn.XLOOKUP(表格1[[#This Row],[Model]],表格3[Model-Input-Ref2],表格3[大小電])</f>
        <v>細電</v>
      </c>
      <c r="J2891" s="86" t="str">
        <f>_xlfn.XLOOKUP(表格1[[#This Row],[Model]],表格3[Model-Input-Ref2],表格3[Code])</f>
        <v>SDA</v>
      </c>
      <c r="K2891" s="89" t="s">
        <v>1271</v>
      </c>
      <c r="L2891" s="86">
        <v>1</v>
      </c>
      <c r="M2891" s="87">
        <v>388</v>
      </c>
      <c r="N2891" s="87">
        <f>IFERROR(表格1[[#This Row],[QTY]]*表格1[[#This Row],[Unit Price]],"-")</f>
        <v>388</v>
      </c>
      <c r="O2891" s="86">
        <v>293332</v>
      </c>
      <c r="R2891" s="86" t="str">
        <f>_xlfn.CONCAT(表格1[[#This Row],[Model]]," ",表格1[[#This Row],[inv no]])</f>
        <v>KT-17DRTHK(H) 293332</v>
      </c>
      <c r="S2891" s="86">
        <f>_xlfn.XLOOKUP(表格1[[#This Row],[Model]],表格3[Model-Input-Ref2],表格3[SRP PRICE])</f>
        <v>498</v>
      </c>
      <c r="T2891" s="43">
        <f>表格1[[#This Row],[Unit Price]]/表格1[[#This Row],[SRP]]</f>
        <v>0.77911646586345384</v>
      </c>
      <c r="U2891" s="86" t="str">
        <f>_xlfn.XLOOKUP(表格1[[#This Row],[Model]],表格3[Model-Input-Ref2],表格3[TOSHIBA/HIGHEST])</f>
        <v>Toshiba SRP</v>
      </c>
      <c r="W2891" s="86" t="str">
        <f>_xlfn.CONCAT(表格1[[#This Row],[欄4]],表格1[[#This Row],[inv no]])</f>
        <v>293332</v>
      </c>
    </row>
    <row r="2892" spans="1:23" hidden="1">
      <c r="A2892" s="81">
        <v>2890</v>
      </c>
      <c r="B2892" s="86" t="s">
        <v>1260</v>
      </c>
      <c r="C2892" s="86" t="s">
        <v>1930</v>
      </c>
      <c r="D2892" s="82" t="str">
        <f ca="1">OFFSET(Roster!$A$3,MATCH(表格1[[#This Row],[Location]]&amp;" "&amp;表格1[[#This Row],[Shop]]&amp;"*",Roster!$A$4:$A$72,0),DAY(表格1[[#This Row],[date]]),1,1)</f>
        <v>Tony_4</v>
      </c>
      <c r="E2892" s="86">
        <f>MONTH(表格1[[#This Row],[date]])</f>
        <v>3</v>
      </c>
      <c r="F2892" s="90">
        <v>46102</v>
      </c>
      <c r="G2892" s="86" t="str">
        <f>VLOOKUP("*"&amp;表格1[[#This Row],[Input]]&amp;"*",'Ref-List'!$B:$D,2,)</f>
        <v>RC-5SLIH(W)</v>
      </c>
      <c r="H2892" s="86" t="str">
        <f>_xlfn.XLOOKUP(表格1[[#This Row],[Model]],表格3[Model-Input-Ref2],表格3[Product Line])</f>
        <v>微型電腦珍珠飯煲</v>
      </c>
      <c r="I2892" s="86" t="str">
        <f>_xlfn.XLOOKUP(表格1[[#This Row],[Model]],表格3[Model-Input-Ref2],表格3[大小電])</f>
        <v>細電</v>
      </c>
      <c r="J2892" s="86" t="str">
        <f>_xlfn.XLOOKUP(表格1[[#This Row],[Model]],表格3[Model-Input-Ref2],表格3[Code])</f>
        <v>SDA</v>
      </c>
      <c r="K2892" s="89" t="s">
        <v>1264</v>
      </c>
      <c r="L2892" s="86">
        <v>1</v>
      </c>
      <c r="M2892" s="87">
        <v>558</v>
      </c>
      <c r="N2892" s="87">
        <f>IFERROR(表格1[[#This Row],[QTY]]*表格1[[#This Row],[Unit Price]],"-")</f>
        <v>558</v>
      </c>
      <c r="O2892" s="142" t="s">
        <v>1931</v>
      </c>
      <c r="R2892" s="86" t="str">
        <f>_xlfn.CONCAT(表格1[[#This Row],[Model]]," ",表格1[[#This Row],[inv no]])</f>
        <v>RC-5SLIH(W) 057907</v>
      </c>
      <c r="S2892" s="86">
        <f>_xlfn.XLOOKUP(表格1[[#This Row],[Model]],表格3[Model-Input-Ref2],表格3[SRP PRICE])</f>
        <v>658</v>
      </c>
      <c r="T2892" s="43">
        <f>表格1[[#This Row],[Unit Price]]/表格1[[#This Row],[SRP]]</f>
        <v>0.84802431610942253</v>
      </c>
      <c r="U2892" s="86" t="str">
        <f>_xlfn.XLOOKUP(表格1[[#This Row],[Model]],表格3[Model-Input-Ref2],表格3[TOSHIBA/HIGHEST])</f>
        <v>Toshiba SRP</v>
      </c>
      <c r="W2892" s="86" t="str">
        <f>_xlfn.CONCAT(表格1[[#This Row],[欄4]],表格1[[#This Row],[inv no]])</f>
        <v>057907</v>
      </c>
    </row>
    <row r="2893" spans="1:23" hidden="1">
      <c r="A2893" s="81">
        <v>2891</v>
      </c>
      <c r="B2893" s="86" t="s">
        <v>1260</v>
      </c>
      <c r="C2893" s="86" t="s">
        <v>1930</v>
      </c>
      <c r="D2893" s="82" t="str">
        <f ca="1">OFFSET(Roster!$A$3,MATCH(表格1[[#This Row],[Location]]&amp;" "&amp;表格1[[#This Row],[Shop]]&amp;"*",Roster!$A$4:$A$72,0),DAY(表格1[[#This Row],[date]]),1,1)</f>
        <v>Tony_4</v>
      </c>
      <c r="E2893" s="86">
        <f>MONTH(表格1[[#This Row],[date]])</f>
        <v>3</v>
      </c>
      <c r="F2893" s="90">
        <v>46102</v>
      </c>
      <c r="G2893" s="86" t="str">
        <f>VLOOKUP("*"&amp;表格1[[#This Row],[Input]]&amp;"*",'Ref-List'!$B:$D,2,)</f>
        <v>AW-Q801APH(WW)</v>
      </c>
      <c r="H2893" s="86" t="str">
        <f>_xlfn.XLOOKUP(表格1[[#This Row],[Model]],表格3[Model-Input-Ref2],表格3[Product Line])</f>
        <v>日式洗衣機 (7公斤 結合高低水位)</v>
      </c>
      <c r="I2893" s="86" t="str">
        <f>_xlfn.XLOOKUP(表格1[[#This Row],[Model]],表格3[Model-Input-Ref2],表格3[大小電])</f>
        <v>大電</v>
      </c>
      <c r="J2893" s="86" t="str">
        <f>_xlfn.XLOOKUP(表格1[[#This Row],[Model]],表格3[Model-Input-Ref2],表格3[Code])</f>
        <v>LAD</v>
      </c>
      <c r="K2893" s="89" t="s">
        <v>1420</v>
      </c>
      <c r="L2893" s="86">
        <v>1</v>
      </c>
      <c r="M2893" s="87">
        <v>1980</v>
      </c>
      <c r="N2893" s="87">
        <f>IFERROR(表格1[[#This Row],[QTY]]*表格1[[#This Row],[Unit Price]],"-")</f>
        <v>1980</v>
      </c>
      <c r="O2893" s="142" t="s">
        <v>1932</v>
      </c>
      <c r="R2893" s="86" t="str">
        <f>_xlfn.CONCAT(表格1[[#This Row],[Model]]," ",表格1[[#This Row],[inv no]])</f>
        <v>AW-Q801APH(WW) 058168</v>
      </c>
      <c r="S2893" s="86">
        <f>_xlfn.XLOOKUP(表格1[[#This Row],[Model]],表格3[Model-Input-Ref2],表格3[SRP PRICE])</f>
        <v>3380</v>
      </c>
      <c r="T2893" s="43">
        <f>表格1[[#This Row],[Unit Price]]/表格1[[#This Row],[SRP]]</f>
        <v>0.58579881656804733</v>
      </c>
      <c r="U2893" s="86" t="str">
        <f>_xlfn.XLOOKUP(表格1[[#This Row],[Model]],表格3[Model-Input-Ref2],表格3[TOSHIBA/HIGHEST])</f>
        <v>Toshiba SRP</v>
      </c>
      <c r="W2893" s="86" t="str">
        <f>_xlfn.CONCAT(表格1[[#This Row],[欄4]],表格1[[#This Row],[inv no]])</f>
        <v>058168</v>
      </c>
    </row>
    <row r="2894" spans="1:23" hidden="1">
      <c r="A2894" s="81">
        <v>2892</v>
      </c>
      <c r="B2894" s="86" t="s">
        <v>1260</v>
      </c>
      <c r="C2894" s="86" t="s">
        <v>1930</v>
      </c>
      <c r="D2894" s="82" t="str">
        <f ca="1">OFFSET(Roster!$A$3,MATCH(表格1[[#This Row],[Location]]&amp;" "&amp;表格1[[#This Row],[Shop]]&amp;"*",Roster!$A$4:$A$72,0),DAY(表格1[[#This Row],[date]]),1,1)</f>
        <v>Tony_4</v>
      </c>
      <c r="E2894" s="86">
        <f>MONTH(表格1[[#This Row],[date]])</f>
        <v>3</v>
      </c>
      <c r="F2894" s="90">
        <v>46102</v>
      </c>
      <c r="G2894" s="86" t="str">
        <f>VLOOKUP("*"&amp;表格1[[#This Row],[Input]]&amp;"*",'Ref-List'!$B:$D,2,)</f>
        <v>MWP-MM20P(WH)</v>
      </c>
      <c r="H2894" s="86" t="str">
        <f>_xlfn.XLOOKUP(表格1[[#This Row],[Model]],表格3[Model-Input-Ref2],表格3[Product Line])</f>
        <v>旋鈕式燒烤微波爐20L</v>
      </c>
      <c r="I2894" s="86" t="str">
        <f>_xlfn.XLOOKUP(表格1[[#This Row],[Model]],表格3[Model-Input-Ref2],表格3[大小電])</f>
        <v>細電</v>
      </c>
      <c r="J2894" s="86" t="str">
        <f>_xlfn.XLOOKUP(表格1[[#This Row],[Model]],表格3[Model-Input-Ref2],表格3[Code])</f>
        <v>SDA</v>
      </c>
      <c r="K2894" s="89" t="s">
        <v>1270</v>
      </c>
      <c r="L2894" s="86">
        <v>1</v>
      </c>
      <c r="M2894" s="87">
        <v>488</v>
      </c>
      <c r="N2894" s="87">
        <f>IFERROR(表格1[[#This Row],[QTY]]*表格1[[#This Row],[Unit Price]],"-")</f>
        <v>488</v>
      </c>
      <c r="O2894" s="142" t="s">
        <v>1933</v>
      </c>
      <c r="R2894" s="86" t="str">
        <f>_xlfn.CONCAT(表格1[[#This Row],[Model]]," ",表格1[[#This Row],[inv no]])</f>
        <v>MWP-MM20P(WH) 057926</v>
      </c>
      <c r="S2894" s="86">
        <f>_xlfn.XLOOKUP(表格1[[#This Row],[Model]],表格3[Model-Input-Ref2],表格3[SRP PRICE])</f>
        <v>648</v>
      </c>
      <c r="T2894" s="43">
        <f>表格1[[#This Row],[Unit Price]]/表格1[[#This Row],[SRP]]</f>
        <v>0.75308641975308643</v>
      </c>
      <c r="U2894" s="86" t="str">
        <f>_xlfn.XLOOKUP(表格1[[#This Row],[Model]],表格3[Model-Input-Ref2],表格3[TOSHIBA/HIGHEST])</f>
        <v>Toshiba SRP</v>
      </c>
      <c r="W2894" s="86" t="str">
        <f>_xlfn.CONCAT(表格1[[#This Row],[欄4]],表格1[[#This Row],[inv no]])</f>
        <v>057926</v>
      </c>
    </row>
    <row r="2895" spans="1:23" hidden="1">
      <c r="A2895" s="81">
        <v>2893</v>
      </c>
      <c r="B2895" s="86" t="s">
        <v>1260</v>
      </c>
      <c r="C2895" s="86" t="s">
        <v>1930</v>
      </c>
      <c r="D2895" s="82" t="str">
        <f ca="1">OFFSET(Roster!$A$3,MATCH(表格1[[#This Row],[Location]]&amp;" "&amp;表格1[[#This Row],[Shop]]&amp;"*",Roster!$A$4:$A$72,0),DAY(表格1[[#This Row],[date]]),1,1)</f>
        <v>Tony_4</v>
      </c>
      <c r="E2895" s="86">
        <f>MONTH(表格1[[#This Row],[date]])</f>
        <v>3</v>
      </c>
      <c r="F2895" s="90">
        <v>46102</v>
      </c>
      <c r="G2895" s="86" t="str">
        <f>VLOOKUP("*"&amp;表格1[[#This Row],[Input]]&amp;"*",'Ref-List'!$B:$D,2,)</f>
        <v>RAD-D200H</v>
      </c>
      <c r="H2895" s="86" t="str">
        <f>_xlfn.XLOOKUP(表格1[[#This Row],[Model]],表格3[Model-Input-Ref2],表格3[Product Line])</f>
        <v>壓縮式抽濕機 (22公升)</v>
      </c>
      <c r="I2895" s="86" t="str">
        <f>_xlfn.XLOOKUP(表格1[[#This Row],[Model]],表格3[Model-Input-Ref2],表格3[大小電])</f>
        <v>細電</v>
      </c>
      <c r="J2895" s="86" t="str">
        <f>_xlfn.XLOOKUP(表格1[[#This Row],[Model]],表格3[Model-Input-Ref2],表格3[Code])</f>
        <v>RAC</v>
      </c>
      <c r="K2895" s="89" t="s">
        <v>1250</v>
      </c>
      <c r="L2895" s="86">
        <v>1</v>
      </c>
      <c r="M2895" s="87">
        <v>1980</v>
      </c>
      <c r="N2895" s="87">
        <f>IFERROR(表格1[[#This Row],[QTY]]*表格1[[#This Row],[Unit Price]],"-")</f>
        <v>1980</v>
      </c>
      <c r="O2895" s="86">
        <v>138786</v>
      </c>
      <c r="R2895" s="86" t="str">
        <f>_xlfn.CONCAT(表格1[[#This Row],[Model]]," ",表格1[[#This Row],[inv no]])</f>
        <v>RAD-D200H 138786</v>
      </c>
      <c r="S2895" s="86">
        <f>_xlfn.XLOOKUP(表格1[[#This Row],[Model]],表格3[Model-Input-Ref2],表格3[SRP PRICE])</f>
        <v>2880</v>
      </c>
      <c r="T2895" s="43">
        <f>表格1[[#This Row],[Unit Price]]/表格1[[#This Row],[SRP]]</f>
        <v>0.6875</v>
      </c>
      <c r="U2895" s="86" t="str">
        <f>_xlfn.XLOOKUP(表格1[[#This Row],[Model]],表格3[Model-Input-Ref2],表格3[TOSHIBA/HIGHEST])</f>
        <v>Shops Highest Price</v>
      </c>
      <c r="W2895" s="86" t="str">
        <f>_xlfn.CONCAT(表格1[[#This Row],[欄4]],表格1[[#This Row],[inv no]])</f>
        <v>138786</v>
      </c>
    </row>
    <row r="2896" spans="1:23" hidden="1">
      <c r="A2896" s="81">
        <v>2894</v>
      </c>
      <c r="B2896" s="86" t="s">
        <v>1260</v>
      </c>
      <c r="C2896" s="86" t="s">
        <v>1930</v>
      </c>
      <c r="D2896" s="82" t="str">
        <f ca="1">OFFSET(Roster!$A$3,MATCH(表格1[[#This Row],[Location]]&amp;" "&amp;表格1[[#This Row],[Shop]]&amp;"*",Roster!$A$4:$A$72,0),DAY(表格1[[#This Row],[date]]),1,1)</f>
        <v>Tony_4</v>
      </c>
      <c r="E2896" s="86">
        <f>MONTH(表格1[[#This Row],[date]])</f>
        <v>3</v>
      </c>
      <c r="F2896" s="90">
        <v>46102</v>
      </c>
      <c r="G2896" s="86" t="str">
        <f>VLOOKUP("*"&amp;表格1[[#This Row],[Input]]&amp;"*",'Ref-List'!$B:$D,2,)</f>
        <v>KT-17SHNH</v>
      </c>
      <c r="H2896" s="86" t="str">
        <f>_xlfn.XLOOKUP(表格1[[#This Row],[Model]],表格3[Model-Input-Ref2],表格3[Product Line])</f>
        <v>1.7L無線雙層電熱水壺</v>
      </c>
      <c r="I2896" s="86" t="str">
        <f>_xlfn.XLOOKUP(表格1[[#This Row],[Model]],表格3[Model-Input-Ref2],表格3[大小電])</f>
        <v>細電</v>
      </c>
      <c r="J2896" s="86" t="str">
        <f>_xlfn.XLOOKUP(表格1[[#This Row],[Model]],表格3[Model-Input-Ref2],表格3[Code])</f>
        <v>SDA</v>
      </c>
      <c r="K2896" s="89" t="s">
        <v>1283</v>
      </c>
      <c r="L2896" s="86">
        <v>1</v>
      </c>
      <c r="M2896" s="87">
        <v>228</v>
      </c>
      <c r="N2896" s="87">
        <f>IFERROR(表格1[[#This Row],[QTY]]*表格1[[#This Row],[Unit Price]],"-")</f>
        <v>228</v>
      </c>
      <c r="O2896" s="142" t="s">
        <v>1934</v>
      </c>
      <c r="R2896" s="86" t="str">
        <f>_xlfn.CONCAT(表格1[[#This Row],[Model]]," ",表格1[[#This Row],[inv no]])</f>
        <v>KT-17SHNH 040058</v>
      </c>
      <c r="S2896" s="86">
        <f>_xlfn.XLOOKUP(表格1[[#This Row],[Model]],表格3[Model-Input-Ref2],表格3[SRP PRICE])</f>
        <v>299</v>
      </c>
      <c r="T2896" s="43">
        <f>表格1[[#This Row],[Unit Price]]/表格1[[#This Row],[SRP]]</f>
        <v>0.76254180602006694</v>
      </c>
      <c r="U2896" s="86" t="str">
        <f>_xlfn.XLOOKUP(表格1[[#This Row],[Model]],表格3[Model-Input-Ref2],表格3[TOSHIBA/HIGHEST])</f>
        <v>Shops Highest Price</v>
      </c>
      <c r="W2896" s="86" t="str">
        <f>_xlfn.CONCAT(表格1[[#This Row],[欄4]],表格1[[#This Row],[inv no]])</f>
        <v>040058</v>
      </c>
    </row>
    <row r="2897" spans="1:23" hidden="1">
      <c r="A2897" s="81">
        <v>2895</v>
      </c>
      <c r="B2897" s="86" t="s">
        <v>1260</v>
      </c>
      <c r="C2897" s="86" t="s">
        <v>1930</v>
      </c>
      <c r="D2897" s="82" t="str">
        <f ca="1">OFFSET(Roster!$A$3,MATCH(表格1[[#This Row],[Location]]&amp;" "&amp;表格1[[#This Row],[Shop]]&amp;"*",Roster!$A$4:$A$72,0),DAY(表格1[[#This Row],[date]]),1,1)</f>
        <v>Tony_4</v>
      </c>
      <c r="E2897" s="86">
        <f>MONTH(表格1[[#This Row],[date]])</f>
        <v>3</v>
      </c>
      <c r="F2897" s="90">
        <v>46102</v>
      </c>
      <c r="G2897" s="86" t="str">
        <f>VLOOKUP("*"&amp;表格1[[#This Row],[Input]]&amp;"*",'Ref-List'!$B:$D,2,)</f>
        <v>RAD-D200H</v>
      </c>
      <c r="H2897" s="86" t="str">
        <f>_xlfn.XLOOKUP(表格1[[#This Row],[Model]],表格3[Model-Input-Ref2],表格3[Product Line])</f>
        <v>壓縮式抽濕機 (22公升)</v>
      </c>
      <c r="I2897" s="86" t="str">
        <f>_xlfn.XLOOKUP(表格1[[#This Row],[Model]],表格3[Model-Input-Ref2],表格3[大小電])</f>
        <v>細電</v>
      </c>
      <c r="J2897" s="86" t="str">
        <f>_xlfn.XLOOKUP(表格1[[#This Row],[Model]],表格3[Model-Input-Ref2],表格3[Code])</f>
        <v>RAC</v>
      </c>
      <c r="K2897" s="89" t="s">
        <v>1250</v>
      </c>
      <c r="L2897" s="86">
        <v>1</v>
      </c>
      <c r="M2897" s="87">
        <v>1880</v>
      </c>
      <c r="N2897" s="87">
        <f>IFERROR(表格1[[#This Row],[QTY]]*表格1[[#This Row],[Unit Price]],"-")</f>
        <v>1880</v>
      </c>
      <c r="O2897" s="142" t="s">
        <v>1935</v>
      </c>
      <c r="R2897" s="86" t="str">
        <f>_xlfn.CONCAT(表格1[[#This Row],[Model]]," ",表格1[[#This Row],[inv no]])</f>
        <v>RAD-D200H 057931</v>
      </c>
      <c r="S2897" s="86">
        <f>_xlfn.XLOOKUP(表格1[[#This Row],[Model]],表格3[Model-Input-Ref2],表格3[SRP PRICE])</f>
        <v>2880</v>
      </c>
      <c r="T2897" s="43">
        <f>表格1[[#This Row],[Unit Price]]/表格1[[#This Row],[SRP]]</f>
        <v>0.65277777777777779</v>
      </c>
      <c r="U2897" s="86" t="str">
        <f>_xlfn.XLOOKUP(表格1[[#This Row],[Model]],表格3[Model-Input-Ref2],表格3[TOSHIBA/HIGHEST])</f>
        <v>Shops Highest Price</v>
      </c>
      <c r="W2897" s="86" t="str">
        <f>_xlfn.CONCAT(表格1[[#This Row],[欄4]],表格1[[#This Row],[inv no]])</f>
        <v>057931</v>
      </c>
    </row>
    <row r="2898" spans="1:23" hidden="1">
      <c r="A2898" s="81">
        <v>2896</v>
      </c>
      <c r="B2898" s="86" t="s">
        <v>1260</v>
      </c>
      <c r="C2898" s="86" t="s">
        <v>1930</v>
      </c>
      <c r="D2898" s="82" t="str">
        <f ca="1">OFFSET(Roster!$A$3,MATCH(表格1[[#This Row],[Location]]&amp;" "&amp;表格1[[#This Row],[Shop]]&amp;"*",Roster!$A$4:$A$72,0),DAY(表格1[[#This Row],[date]]),1,1)</f>
        <v>Tony_4</v>
      </c>
      <c r="E2898" s="86">
        <f>MONTH(表格1[[#This Row],[date]])</f>
        <v>3</v>
      </c>
      <c r="F2898" s="90">
        <v>46102</v>
      </c>
      <c r="G2898" s="86" t="str">
        <f>VLOOKUP("*"&amp;表格1[[#This Row],[Input]]&amp;"*",'Ref-List'!$B:$D,2,)</f>
        <v>RAD-D200H</v>
      </c>
      <c r="H2898" s="86" t="str">
        <f>_xlfn.XLOOKUP(表格1[[#This Row],[Model]],表格3[Model-Input-Ref2],表格3[Product Line])</f>
        <v>壓縮式抽濕機 (22公升)</v>
      </c>
      <c r="I2898" s="86" t="str">
        <f>_xlfn.XLOOKUP(表格1[[#This Row],[Model]],表格3[Model-Input-Ref2],表格3[大小電])</f>
        <v>細電</v>
      </c>
      <c r="J2898" s="86" t="str">
        <f>_xlfn.XLOOKUP(表格1[[#This Row],[Model]],表格3[Model-Input-Ref2],表格3[Code])</f>
        <v>RAC</v>
      </c>
      <c r="K2898" s="89" t="s">
        <v>1250</v>
      </c>
      <c r="L2898" s="86">
        <v>1</v>
      </c>
      <c r="M2898" s="87">
        <v>1880</v>
      </c>
      <c r="N2898" s="87">
        <f>IFERROR(表格1[[#This Row],[QTY]]*表格1[[#This Row],[Unit Price]],"-")</f>
        <v>1880</v>
      </c>
      <c r="O2898" s="142" t="s">
        <v>1936</v>
      </c>
      <c r="R2898" s="86" t="str">
        <f>_xlfn.CONCAT(表格1[[#This Row],[Model]]," ",表格1[[#This Row],[inv no]])</f>
        <v>RAD-D200H 057932</v>
      </c>
      <c r="S2898" s="86">
        <f>_xlfn.XLOOKUP(表格1[[#This Row],[Model]],表格3[Model-Input-Ref2],表格3[SRP PRICE])</f>
        <v>2880</v>
      </c>
      <c r="T2898" s="43">
        <f>表格1[[#This Row],[Unit Price]]/表格1[[#This Row],[SRP]]</f>
        <v>0.65277777777777779</v>
      </c>
      <c r="U2898" s="86" t="str">
        <f>_xlfn.XLOOKUP(表格1[[#This Row],[Model]],表格3[Model-Input-Ref2],表格3[TOSHIBA/HIGHEST])</f>
        <v>Shops Highest Price</v>
      </c>
      <c r="W2898" s="86" t="str">
        <f>_xlfn.CONCAT(表格1[[#This Row],[欄4]],表格1[[#This Row],[inv no]])</f>
        <v>057932</v>
      </c>
    </row>
    <row r="2899" spans="1:23" hidden="1">
      <c r="A2899" s="81">
        <v>2897</v>
      </c>
      <c r="B2899" s="86" t="s">
        <v>1260</v>
      </c>
      <c r="C2899" s="86" t="s">
        <v>1930</v>
      </c>
      <c r="D2899" s="82" t="str">
        <f ca="1">OFFSET(Roster!$A$3,MATCH(表格1[[#This Row],[Location]]&amp;" "&amp;表格1[[#This Row],[Shop]]&amp;"*",Roster!$A$4:$A$72,0),DAY(表格1[[#This Row],[date]]),1,1)</f>
        <v>Tony_4</v>
      </c>
      <c r="E2899" s="86">
        <f>MONTH(表格1[[#This Row],[date]])</f>
        <v>3</v>
      </c>
      <c r="F2899" s="90">
        <v>46103</v>
      </c>
      <c r="G2899" s="86" t="str">
        <f>VLOOKUP("*"&amp;表格1[[#This Row],[Input]]&amp;"*",'Ref-List'!$B:$D,2,)</f>
        <v>KT-17SHNH</v>
      </c>
      <c r="H2899" s="86" t="str">
        <f>_xlfn.XLOOKUP(表格1[[#This Row],[Model]],表格3[Model-Input-Ref2],表格3[Product Line])</f>
        <v>1.7L無線雙層電熱水壺</v>
      </c>
      <c r="I2899" s="86" t="str">
        <f>_xlfn.XLOOKUP(表格1[[#This Row],[Model]],表格3[Model-Input-Ref2],表格3[大小電])</f>
        <v>細電</v>
      </c>
      <c r="J2899" s="86" t="str">
        <f>_xlfn.XLOOKUP(表格1[[#This Row],[Model]],表格3[Model-Input-Ref2],表格3[Code])</f>
        <v>SDA</v>
      </c>
      <c r="K2899" s="89" t="s">
        <v>1283</v>
      </c>
      <c r="L2899" s="86">
        <v>1</v>
      </c>
      <c r="M2899" s="87">
        <v>228</v>
      </c>
      <c r="N2899" s="87">
        <f>IFERROR(表格1[[#This Row],[QTY]]*表格1[[#This Row],[Unit Price]],"-")</f>
        <v>228</v>
      </c>
      <c r="O2899" s="142" t="s">
        <v>1937</v>
      </c>
      <c r="R2899" s="86" t="str">
        <f>_xlfn.CONCAT(表格1[[#This Row],[Model]]," ",表格1[[#This Row],[inv no]])</f>
        <v>KT-17SHNH 058351</v>
      </c>
      <c r="S2899" s="86">
        <f>_xlfn.XLOOKUP(表格1[[#This Row],[Model]],表格3[Model-Input-Ref2],表格3[SRP PRICE])</f>
        <v>299</v>
      </c>
      <c r="T2899" s="43">
        <f>表格1[[#This Row],[Unit Price]]/表格1[[#This Row],[SRP]]</f>
        <v>0.76254180602006694</v>
      </c>
      <c r="U2899" s="86" t="str">
        <f>_xlfn.XLOOKUP(表格1[[#This Row],[Model]],表格3[Model-Input-Ref2],表格3[TOSHIBA/HIGHEST])</f>
        <v>Shops Highest Price</v>
      </c>
      <c r="W2899" s="86" t="str">
        <f>_xlfn.CONCAT(表格1[[#This Row],[欄4]],表格1[[#This Row],[inv no]])</f>
        <v>058351</v>
      </c>
    </row>
    <row r="2900" spans="1:23" hidden="1">
      <c r="A2900" s="81">
        <v>2898</v>
      </c>
      <c r="B2900" s="86" t="s">
        <v>1260</v>
      </c>
      <c r="C2900" s="86" t="s">
        <v>1930</v>
      </c>
      <c r="D2900" s="82" t="str">
        <f ca="1">OFFSET(Roster!$A$3,MATCH(表格1[[#This Row],[Location]]&amp;" "&amp;表格1[[#This Row],[Shop]]&amp;"*",Roster!$A$4:$A$72,0),DAY(表格1[[#This Row],[date]]),1,1)</f>
        <v>Tony_4</v>
      </c>
      <c r="E2900" s="86">
        <f>MONTH(表格1[[#This Row],[date]])</f>
        <v>3</v>
      </c>
      <c r="F2900" s="90">
        <v>46103</v>
      </c>
      <c r="G2900" s="86" t="str">
        <f>VLOOKUP("*"&amp;表格1[[#This Row],[Input]]&amp;"*",'Ref-List'!$B:$D,2,)</f>
        <v>PLK-45SFIH(WT)</v>
      </c>
      <c r="H2900" s="86" t="str">
        <f>_xlfn.XLOOKUP(表格1[[#This Row],[Model]],表格3[Model-Input-Ref2],表格3[Product Line])</f>
        <v>電熱水瓶4.5L</v>
      </c>
      <c r="I2900" s="86" t="str">
        <f>_xlfn.XLOOKUP(表格1[[#This Row],[Model]],表格3[Model-Input-Ref2],表格3[大小電])</f>
        <v>細電</v>
      </c>
      <c r="J2900" s="86" t="str">
        <f>_xlfn.XLOOKUP(表格1[[#This Row],[Model]],表格3[Model-Input-Ref2],表格3[Code])</f>
        <v>SDA</v>
      </c>
      <c r="K2900" s="89" t="s">
        <v>1117</v>
      </c>
      <c r="L2900" s="86">
        <v>1</v>
      </c>
      <c r="M2900" s="87">
        <v>578</v>
      </c>
      <c r="N2900" s="87">
        <f>IFERROR(表格1[[#This Row],[QTY]]*表格1[[#This Row],[Unit Price]],"-")</f>
        <v>578</v>
      </c>
      <c r="O2900" s="142" t="s">
        <v>1938</v>
      </c>
      <c r="R2900" s="86" t="str">
        <f>_xlfn.CONCAT(表格1[[#This Row],[Model]]," ",表格1[[#This Row],[inv no]])</f>
        <v>PLK-45SFIH(WT) 058441</v>
      </c>
      <c r="S2900" s="86">
        <f>_xlfn.XLOOKUP(表格1[[#This Row],[Model]],表格3[Model-Input-Ref2],表格3[SRP PRICE])</f>
        <v>788</v>
      </c>
      <c r="T2900" s="43">
        <f>表格1[[#This Row],[Unit Price]]/表格1[[#This Row],[SRP]]</f>
        <v>0.73350253807106602</v>
      </c>
      <c r="U2900" s="86" t="str">
        <f>_xlfn.XLOOKUP(表格1[[#This Row],[Model]],表格3[Model-Input-Ref2],表格3[TOSHIBA/HIGHEST])</f>
        <v>Toshiba SRP</v>
      </c>
      <c r="W2900" s="86" t="str">
        <f>_xlfn.CONCAT(表格1[[#This Row],[欄4]],表格1[[#This Row],[inv no]])</f>
        <v>058441</v>
      </c>
    </row>
    <row r="2901" spans="1:23" hidden="1">
      <c r="A2901" s="81">
        <v>2899</v>
      </c>
      <c r="B2901" s="86" t="s">
        <v>1260</v>
      </c>
      <c r="C2901" s="86" t="s">
        <v>1930</v>
      </c>
      <c r="D2901" s="82" t="str">
        <f ca="1">OFFSET(Roster!$A$3,MATCH(表格1[[#This Row],[Location]]&amp;" "&amp;表格1[[#This Row],[Shop]]&amp;"*",Roster!$A$4:$A$72,0),DAY(表格1[[#This Row],[date]]),1,1)</f>
        <v>Tony_4</v>
      </c>
      <c r="E2901" s="86">
        <f>MONTH(表格1[[#This Row],[date]])</f>
        <v>3</v>
      </c>
      <c r="F2901" s="90">
        <v>46103</v>
      </c>
      <c r="G2901" s="86" t="str">
        <f>VLOOKUP("*"&amp;表格1[[#This Row],[Input]]&amp;"*",'Ref-List'!$B:$D,2,)</f>
        <v>TWD-BN90GF4H(WK)</v>
      </c>
      <c r="H2901" s="86" t="str">
        <f>_xlfn.XLOOKUP(表格1[[#This Row],[Model]],表格3[Model-Input-Ref2],表格3[Product Line])</f>
        <v>超薄身前置式洗衣乾衣機 (洗8公斤 乾5公斤)</v>
      </c>
      <c r="I2901" s="86" t="str">
        <f>_xlfn.XLOOKUP(表格1[[#This Row],[Model]],表格3[Model-Input-Ref2],表格3[大小電])</f>
        <v>大電</v>
      </c>
      <c r="J2901" s="86" t="str">
        <f>_xlfn.XLOOKUP(表格1[[#This Row],[Model]],表格3[Model-Input-Ref2],表格3[Code])</f>
        <v>WM</v>
      </c>
      <c r="K2901" s="89" t="s">
        <v>1199</v>
      </c>
      <c r="L2901" s="86">
        <v>1</v>
      </c>
      <c r="M2901" s="87">
        <v>3980</v>
      </c>
      <c r="N2901" s="87">
        <f>IFERROR(表格1[[#This Row],[QTY]]*表格1[[#This Row],[Unit Price]],"-")</f>
        <v>3980</v>
      </c>
      <c r="O2901" s="142" t="s">
        <v>1939</v>
      </c>
      <c r="R2901" s="86" t="str">
        <f>_xlfn.CONCAT(表格1[[#This Row],[Model]]," ",表格1[[#This Row],[inv no]])</f>
        <v>TWD-BN90GF4H(WK) 058452</v>
      </c>
      <c r="S2901" s="86">
        <f>_xlfn.XLOOKUP(表格1[[#This Row],[Model]],表格3[Model-Input-Ref2],表格3[SRP PRICE])</f>
        <v>5980</v>
      </c>
      <c r="T2901" s="43">
        <f>表格1[[#This Row],[Unit Price]]/表格1[[#This Row],[SRP]]</f>
        <v>0.66555183946488294</v>
      </c>
      <c r="U2901" s="86" t="str">
        <f>_xlfn.XLOOKUP(表格1[[#This Row],[Model]],表格3[Model-Input-Ref2],表格3[TOSHIBA/HIGHEST])</f>
        <v>Toshiba SRP</v>
      </c>
      <c r="W2901" s="86" t="str">
        <f>_xlfn.CONCAT(表格1[[#This Row],[欄4]],表格1[[#This Row],[inv no]])</f>
        <v>058452</v>
      </c>
    </row>
    <row r="2902" spans="1:23" hidden="1">
      <c r="A2902" s="81">
        <v>2900</v>
      </c>
      <c r="B2902" s="86" t="s">
        <v>1260</v>
      </c>
      <c r="C2902" s="86" t="s">
        <v>1930</v>
      </c>
      <c r="D2902" s="82" t="str">
        <f ca="1">OFFSET(Roster!$A$3,MATCH(表格1[[#This Row],[Location]]&amp;" "&amp;表格1[[#This Row],[Shop]]&amp;"*",Roster!$A$4:$A$72,0),DAY(表格1[[#This Row],[date]]),1,1)</f>
        <v>Tony_4</v>
      </c>
      <c r="E2902" s="86">
        <f>MONTH(表格1[[#This Row],[date]])</f>
        <v>3</v>
      </c>
      <c r="F2902" s="90">
        <v>46103</v>
      </c>
      <c r="G2902" s="86" t="str">
        <f>VLOOKUP("*"&amp;表格1[[#This Row],[Input]]&amp;"*",'Ref-List'!$B:$D,2,)</f>
        <v>TW-T22BU85UWH(WK)-B</v>
      </c>
      <c r="H2902" s="86" t="str">
        <f>_xlfn.XLOOKUP(表格1[[#This Row],[Model]],表格3[Model-Input-Ref2],表格3[Product Line])</f>
        <v>470MM超薄身前置式變頻洗衣機(7.5公斤, 可飛頂)</v>
      </c>
      <c r="I2902" s="86" t="str">
        <f>_xlfn.XLOOKUP(表格1[[#This Row],[Model]],表格3[Model-Input-Ref2],表格3[大小電])</f>
        <v>大電</v>
      </c>
      <c r="J2902" s="86" t="str">
        <f>_xlfn.XLOOKUP(表格1[[#This Row],[Model]],表格3[Model-Input-Ref2],表格3[Code])</f>
        <v>LAD</v>
      </c>
      <c r="K2902" s="89" t="s">
        <v>972</v>
      </c>
      <c r="L2902" s="86">
        <v>1</v>
      </c>
      <c r="M2902" s="87">
        <v>3480</v>
      </c>
      <c r="N2902" s="87">
        <f>IFERROR(表格1[[#This Row],[QTY]]*表格1[[#This Row],[Unit Price]],"-")</f>
        <v>3480</v>
      </c>
      <c r="O2902" s="142" t="s">
        <v>1940</v>
      </c>
      <c r="R2902" s="86" t="str">
        <f>_xlfn.CONCAT(表格1[[#This Row],[Model]]," ",表格1[[#This Row],[inv no]])</f>
        <v>TW-T22BU85UWH(WK)-B 058480</v>
      </c>
      <c r="S2902" s="86">
        <f>_xlfn.XLOOKUP(表格1[[#This Row],[Model]],表格3[Model-Input-Ref2],表格3[SRP PRICE])</f>
        <v>5480</v>
      </c>
      <c r="T2902" s="43">
        <f>表格1[[#This Row],[Unit Price]]/表格1[[#This Row],[SRP]]</f>
        <v>0.63503649635036497</v>
      </c>
      <c r="U2902" s="86" t="str">
        <f>_xlfn.XLOOKUP(表格1[[#This Row],[Model]],表格3[Model-Input-Ref2],表格3[TOSHIBA/HIGHEST])</f>
        <v>Toshiba SRP</v>
      </c>
      <c r="W2902" s="86" t="str">
        <f>_xlfn.CONCAT(表格1[[#This Row],[欄4]],表格1[[#This Row],[inv no]])</f>
        <v>058480</v>
      </c>
    </row>
    <row r="2903" spans="1:23" hidden="1">
      <c r="A2903" s="81">
        <v>2901</v>
      </c>
      <c r="B2903" s="86" t="s">
        <v>1260</v>
      </c>
      <c r="C2903" s="86" t="s">
        <v>1930</v>
      </c>
      <c r="D2903" s="82" t="str">
        <f ca="1">OFFSET(Roster!$A$3,MATCH(表格1[[#This Row],[Location]]&amp;" "&amp;表格1[[#This Row],[Shop]]&amp;"*",Roster!$A$4:$A$72,0),DAY(表格1[[#This Row],[date]]),1,1)</f>
        <v>Tony_4</v>
      </c>
      <c r="E2903" s="86">
        <f>MONTH(表格1[[#This Row],[date]])</f>
        <v>3</v>
      </c>
      <c r="F2903" s="90">
        <v>46103</v>
      </c>
      <c r="G2903" s="86" t="str">
        <f>VLOOKUP("*"&amp;表格1[[#This Row],[Input]]&amp;"*",'Ref-List'!$B:$D,2,)</f>
        <v>F-LYA20(W)HKG</v>
      </c>
      <c r="H2903" s="86" t="str">
        <f>_xlfn.XLOOKUP(表格1[[#This Row],[Model]],表格3[Model-Input-Ref2],表格3[Product Line])</f>
        <v>12吋2合1座地座檯電風扇連遙控</v>
      </c>
      <c r="I2903" s="86" t="str">
        <f>_xlfn.XLOOKUP(表格1[[#This Row],[Model]],表格3[Model-Input-Ref2],表格3[大小電])</f>
        <v>細電</v>
      </c>
      <c r="J2903" s="86" t="str">
        <f>_xlfn.XLOOKUP(表格1[[#This Row],[Model]],表格3[Model-Input-Ref2],表格3[Code])</f>
        <v>EAD</v>
      </c>
      <c r="K2903" s="89" t="s">
        <v>1391</v>
      </c>
      <c r="L2903" s="86">
        <v>1</v>
      </c>
      <c r="M2903" s="87">
        <v>368</v>
      </c>
      <c r="N2903" s="87">
        <f>IFERROR(表格1[[#This Row],[QTY]]*表格1[[#This Row],[Unit Price]],"-")</f>
        <v>368</v>
      </c>
      <c r="O2903" s="86">
        <v>139416</v>
      </c>
      <c r="R2903" s="86" t="str">
        <f>_xlfn.CONCAT(表格1[[#This Row],[Model]]," ",表格1[[#This Row],[inv no]])</f>
        <v>F-LYA20(W)HKG 139416</v>
      </c>
      <c r="S2903" s="86">
        <f>_xlfn.XLOOKUP(表格1[[#This Row],[Model]],表格3[Model-Input-Ref2],表格3[SRP PRICE])</f>
        <v>988</v>
      </c>
      <c r="T2903" s="43">
        <f>表格1[[#This Row],[Unit Price]]/表格1[[#This Row],[SRP]]</f>
        <v>0.37246963562753038</v>
      </c>
      <c r="U2903" s="86" t="str">
        <f>_xlfn.XLOOKUP(表格1[[#This Row],[Model]],表格3[Model-Input-Ref2],表格3[TOSHIBA/HIGHEST])</f>
        <v>Toshiba SRP</v>
      </c>
      <c r="W2903" s="86" t="str">
        <f>_xlfn.CONCAT(表格1[[#This Row],[欄4]],表格1[[#This Row],[inv no]])</f>
        <v>139416</v>
      </c>
    </row>
    <row r="2904" spans="1:23" hidden="1">
      <c r="A2904" s="81">
        <v>2902</v>
      </c>
      <c r="B2904" s="86" t="s">
        <v>1458</v>
      </c>
      <c r="C2904" s="86" t="s">
        <v>1942</v>
      </c>
      <c r="D2904" s="82" t="str">
        <f ca="1">OFFSET(Roster!$A$3,MATCH(表格1[[#This Row],[Location]]&amp;" "&amp;表格1[[#This Row],[Shop]]&amp;"*",Roster!$A$4:$A$72,0),DAY(表格1[[#This Row],[date]]),1,1)</f>
        <v>Ivy Wong_2</v>
      </c>
      <c r="E2904" s="86">
        <f>MONTH(表格1[[#This Row],[date]])</f>
        <v>3</v>
      </c>
      <c r="F2904" s="90">
        <v>46087</v>
      </c>
      <c r="G2904" s="86" t="str">
        <f>VLOOKUP("*"&amp;表格1[[#This Row],[Input]]&amp;"*",'Ref-List'!$B:$D,2,)</f>
        <v>RAD-D300H</v>
      </c>
      <c r="H2904" s="86" t="str">
        <f>_xlfn.XLOOKUP(表格1[[#This Row],[Model]],表格3[Model-Input-Ref2],表格3[Product Line])</f>
        <v>壓縮式抽濕機 (30公升)</v>
      </c>
      <c r="I2904" s="86" t="str">
        <f>_xlfn.XLOOKUP(表格1[[#This Row],[Model]],表格3[Model-Input-Ref2],表格3[大小電])</f>
        <v>細電</v>
      </c>
      <c r="J2904" s="86" t="str">
        <f>_xlfn.XLOOKUP(表格1[[#This Row],[Model]],表格3[Model-Input-Ref2],表格3[Code])</f>
        <v>RAC</v>
      </c>
      <c r="K2904" s="89" t="s">
        <v>1252</v>
      </c>
      <c r="L2904" s="86">
        <v>1</v>
      </c>
      <c r="M2904" s="87">
        <v>2280</v>
      </c>
      <c r="N2904" s="87">
        <f>IFERROR(表格1[[#This Row],[QTY]]*表格1[[#This Row],[Unit Price]],"-")</f>
        <v>2280</v>
      </c>
      <c r="O2904" s="86">
        <v>103154</v>
      </c>
      <c r="R2904" s="86" t="str">
        <f>_xlfn.CONCAT(表格1[[#This Row],[Model]]," ",表格1[[#This Row],[inv no]])</f>
        <v>RAD-D300H 103154</v>
      </c>
      <c r="S2904" s="86">
        <f>_xlfn.XLOOKUP(表格1[[#This Row],[Model]],表格3[Model-Input-Ref2],表格3[SRP PRICE])</f>
        <v>3380</v>
      </c>
      <c r="T2904" s="43">
        <f>表格1[[#This Row],[Unit Price]]/表格1[[#This Row],[SRP]]</f>
        <v>0.67455621301775148</v>
      </c>
      <c r="U2904" s="86" t="str">
        <f>_xlfn.XLOOKUP(表格1[[#This Row],[Model]],表格3[Model-Input-Ref2],表格3[TOSHIBA/HIGHEST])</f>
        <v>Shops Highest Price</v>
      </c>
      <c r="W2904" s="86" t="str">
        <f>_xlfn.CONCAT(表格1[[#This Row],[欄4]],表格1[[#This Row],[inv no]])</f>
        <v>103154</v>
      </c>
    </row>
    <row r="2905" spans="1:23" hidden="1">
      <c r="A2905" s="81">
        <v>2903</v>
      </c>
      <c r="B2905" s="86" t="s">
        <v>1458</v>
      </c>
      <c r="C2905" s="86" t="s">
        <v>1942</v>
      </c>
      <c r="D2905" s="82" t="str">
        <f ca="1">OFFSET(Roster!$A$3,MATCH(表格1[[#This Row],[Location]]&amp;" "&amp;表格1[[#This Row],[Shop]]&amp;"*",Roster!$A$4:$A$72,0),DAY(表格1[[#This Row],[date]]),1,1)</f>
        <v>Ivy Wong_2</v>
      </c>
      <c r="E2905" s="86">
        <f>MONTH(表格1[[#This Row],[date]])</f>
        <v>3</v>
      </c>
      <c r="F2905" s="90">
        <v>46087</v>
      </c>
      <c r="G2905" s="86" t="str">
        <f>VLOOKUP("*"&amp;表格1[[#This Row],[Input]]&amp;"*",'Ref-List'!$B:$D,2,)</f>
        <v>AW-Q901BPH(WW)</v>
      </c>
      <c r="H2905" s="86" t="str">
        <f>_xlfn.XLOOKUP(表格1[[#This Row],[Model]],表格3[Model-Input-Ref2],表格3[Product Line])</f>
        <v>日式洗衣機 (8公斤 結合高低水位)</v>
      </c>
      <c r="I2905" s="86" t="str">
        <f>_xlfn.XLOOKUP(表格1[[#This Row],[Model]],表格3[Model-Input-Ref2],表格3[大小電])</f>
        <v>大電</v>
      </c>
      <c r="J2905" s="86" t="str">
        <f>_xlfn.XLOOKUP(表格1[[#This Row],[Model]],表格3[Model-Input-Ref2],表格3[Code])</f>
        <v>LAD</v>
      </c>
      <c r="K2905" s="89" t="s">
        <v>1411</v>
      </c>
      <c r="L2905" s="86">
        <v>1</v>
      </c>
      <c r="M2905" s="87">
        <v>2180</v>
      </c>
      <c r="N2905" s="87">
        <f>IFERROR(表格1[[#This Row],[QTY]]*表格1[[#This Row],[Unit Price]],"-")</f>
        <v>2180</v>
      </c>
      <c r="O2905" s="86">
        <v>103153</v>
      </c>
      <c r="R2905" s="86" t="str">
        <f>_xlfn.CONCAT(表格1[[#This Row],[Model]]," ",表格1[[#This Row],[inv no]])</f>
        <v>AW-Q901BPH(WW) 103153</v>
      </c>
      <c r="S2905" s="86">
        <f>_xlfn.XLOOKUP(表格1[[#This Row],[Model]],表格3[Model-Input-Ref2],表格3[SRP PRICE])</f>
        <v>3780</v>
      </c>
      <c r="T2905" s="43">
        <f>表格1[[#This Row],[Unit Price]]/表格1[[#This Row],[SRP]]</f>
        <v>0.57671957671957674</v>
      </c>
      <c r="U2905" s="86" t="str">
        <f>_xlfn.XLOOKUP(表格1[[#This Row],[Model]],表格3[Model-Input-Ref2],表格3[TOSHIBA/HIGHEST])</f>
        <v>Toshiba SRP</v>
      </c>
      <c r="W2905" s="86" t="str">
        <f>_xlfn.CONCAT(表格1[[#This Row],[欄4]],表格1[[#This Row],[inv no]])</f>
        <v>103153</v>
      </c>
    </row>
    <row r="2906" spans="1:23" hidden="1">
      <c r="A2906" s="81">
        <v>2904</v>
      </c>
      <c r="B2906" s="86" t="s">
        <v>1458</v>
      </c>
      <c r="C2906" s="86" t="s">
        <v>1942</v>
      </c>
      <c r="D2906" s="82" t="str">
        <f ca="1">OFFSET(Roster!$A$3,MATCH(表格1[[#This Row],[Location]]&amp;" "&amp;表格1[[#This Row],[Shop]]&amp;"*",Roster!$A$4:$A$72,0),DAY(表格1[[#This Row],[date]]),1,1)</f>
        <v>Ivy Wong_2</v>
      </c>
      <c r="E2906" s="86">
        <f>MONTH(表格1[[#This Row],[date]])</f>
        <v>3</v>
      </c>
      <c r="F2906" s="90">
        <v>46087</v>
      </c>
      <c r="G2906" s="86" t="str">
        <f>VLOOKUP("*"&amp;表格1[[#This Row],[Input]]&amp;"*",'Ref-List'!$B:$D,2,)</f>
        <v>GR-RB360WE-PMA(06)</v>
      </c>
      <c r="H2906" s="86" t="str">
        <f>_xlfn.XLOOKUP(表格1[[#This Row],[Model]],表格3[Model-Input-Ref2],表格3[Product Line])</f>
        <v>變頻下置式雙門雪櫃系列270L</v>
      </c>
      <c r="I2906" s="86" t="str">
        <f>_xlfn.XLOOKUP(表格1[[#This Row],[Model]],表格3[Model-Input-Ref2],表格3[大小電])</f>
        <v>大電</v>
      </c>
      <c r="J2906" s="86" t="str">
        <f>_xlfn.XLOOKUP(表格1[[#This Row],[Model]],表格3[Model-Input-Ref2],表格3[Code])</f>
        <v>REF</v>
      </c>
      <c r="K2906" s="89" t="s">
        <v>1282</v>
      </c>
      <c r="L2906" s="86">
        <v>1</v>
      </c>
      <c r="M2906" s="87">
        <v>3650</v>
      </c>
      <c r="N2906" s="87">
        <f>IFERROR(表格1[[#This Row],[QTY]]*表格1[[#This Row],[Unit Price]],"-")</f>
        <v>3650</v>
      </c>
      <c r="O2906" s="86">
        <v>103151</v>
      </c>
      <c r="R2906" s="86" t="str">
        <f>_xlfn.CONCAT(表格1[[#This Row],[Model]]," ",表格1[[#This Row],[inv no]])</f>
        <v>GR-RB360WE-PMA(06) 103151</v>
      </c>
      <c r="S2906" s="86">
        <f>_xlfn.XLOOKUP(表格1[[#This Row],[Model]],表格3[Model-Input-Ref2],表格3[SRP PRICE])</f>
        <v>5080</v>
      </c>
      <c r="T2906" s="43">
        <f>表格1[[#This Row],[Unit Price]]/表格1[[#This Row],[SRP]]</f>
        <v>0.71850393700787396</v>
      </c>
      <c r="U2906" s="86" t="str">
        <f>_xlfn.XLOOKUP(表格1[[#This Row],[Model]],表格3[Model-Input-Ref2],表格3[TOSHIBA/HIGHEST])</f>
        <v>Toshiba SRP</v>
      </c>
      <c r="W2906" s="86" t="str">
        <f>_xlfn.CONCAT(表格1[[#This Row],[欄4]],表格1[[#This Row],[inv no]])</f>
        <v>103151</v>
      </c>
    </row>
    <row r="2907" spans="1:23" hidden="1">
      <c r="A2907" s="81">
        <v>2905</v>
      </c>
      <c r="B2907" s="86" t="s">
        <v>1458</v>
      </c>
      <c r="C2907" s="86" t="s">
        <v>1942</v>
      </c>
      <c r="D2907" s="82" t="str">
        <f ca="1">OFFSET(Roster!$A$3,MATCH(表格1[[#This Row],[Location]]&amp;" "&amp;表格1[[#This Row],[Shop]]&amp;"*",Roster!$A$4:$A$72,0),DAY(表格1[[#This Row],[date]]),1,1)</f>
        <v>Ivy Wong_2</v>
      </c>
      <c r="E2907" s="86">
        <f>MONTH(表格1[[#This Row],[date]])</f>
        <v>3</v>
      </c>
      <c r="F2907" s="90">
        <v>46088</v>
      </c>
      <c r="G2907" s="86" t="str">
        <f>VLOOKUP("*"&amp;表格1[[#This Row],[Input]]&amp;"*",'Ref-List'!$B:$D,2,)</f>
        <v>RAD-D300H</v>
      </c>
      <c r="H2907" s="86" t="str">
        <f>_xlfn.XLOOKUP(表格1[[#This Row],[Model]],表格3[Model-Input-Ref2],表格3[Product Line])</f>
        <v>壓縮式抽濕機 (30公升)</v>
      </c>
      <c r="I2907" s="86" t="str">
        <f>_xlfn.XLOOKUP(表格1[[#This Row],[Model]],表格3[Model-Input-Ref2],表格3[大小電])</f>
        <v>細電</v>
      </c>
      <c r="J2907" s="86" t="str">
        <f>_xlfn.XLOOKUP(表格1[[#This Row],[Model]],表格3[Model-Input-Ref2],表格3[Code])</f>
        <v>RAC</v>
      </c>
      <c r="K2907" s="89" t="s">
        <v>1252</v>
      </c>
      <c r="L2907" s="86">
        <v>1</v>
      </c>
      <c r="M2907" s="87">
        <v>2280</v>
      </c>
      <c r="N2907" s="87">
        <f>IFERROR(表格1[[#This Row],[QTY]]*表格1[[#This Row],[Unit Price]],"-")</f>
        <v>2280</v>
      </c>
      <c r="O2907" s="86">
        <v>103164</v>
      </c>
      <c r="R2907" s="86" t="str">
        <f>_xlfn.CONCAT(表格1[[#This Row],[Model]]," ",表格1[[#This Row],[inv no]])</f>
        <v>RAD-D300H 103164</v>
      </c>
      <c r="S2907" s="86">
        <f>_xlfn.XLOOKUP(表格1[[#This Row],[Model]],表格3[Model-Input-Ref2],表格3[SRP PRICE])</f>
        <v>3380</v>
      </c>
      <c r="T2907" s="43">
        <f>表格1[[#This Row],[Unit Price]]/表格1[[#This Row],[SRP]]</f>
        <v>0.67455621301775148</v>
      </c>
      <c r="U2907" s="86" t="str">
        <f>_xlfn.XLOOKUP(表格1[[#This Row],[Model]],表格3[Model-Input-Ref2],表格3[TOSHIBA/HIGHEST])</f>
        <v>Shops Highest Price</v>
      </c>
      <c r="W2907" s="86" t="str">
        <f>_xlfn.CONCAT(表格1[[#This Row],[欄4]],表格1[[#This Row],[inv no]])</f>
        <v>103164</v>
      </c>
    </row>
    <row r="2908" spans="1:23" hidden="1">
      <c r="A2908" s="81">
        <v>2906</v>
      </c>
      <c r="B2908" s="86" t="s">
        <v>1458</v>
      </c>
      <c r="C2908" s="86" t="s">
        <v>1942</v>
      </c>
      <c r="D2908" s="82" t="str">
        <f ca="1">OFFSET(Roster!$A$3,MATCH(表格1[[#This Row],[Location]]&amp;" "&amp;表格1[[#This Row],[Shop]]&amp;"*",Roster!$A$4:$A$72,0),DAY(表格1[[#This Row],[date]]),1,1)</f>
        <v>Ivy Wong_2</v>
      </c>
      <c r="E2908" s="86">
        <f>MONTH(表格1[[#This Row],[date]])</f>
        <v>3</v>
      </c>
      <c r="F2908" s="90">
        <v>46088</v>
      </c>
      <c r="G2908" s="86" t="str">
        <f>VLOOKUP("*"&amp;表格1[[#This Row],[Input]]&amp;"*",'Ref-List'!$B:$D,2,)</f>
        <v>TWD-BN90GF4H(WK)</v>
      </c>
      <c r="H2908" s="86" t="str">
        <f>_xlfn.XLOOKUP(表格1[[#This Row],[Model]],表格3[Model-Input-Ref2],表格3[Product Line])</f>
        <v>超薄身前置式洗衣乾衣機 (洗8公斤 乾5公斤)</v>
      </c>
      <c r="I2908" s="86" t="str">
        <f>_xlfn.XLOOKUP(表格1[[#This Row],[Model]],表格3[Model-Input-Ref2],表格3[大小電])</f>
        <v>大電</v>
      </c>
      <c r="J2908" s="86" t="str">
        <f>_xlfn.XLOOKUP(表格1[[#This Row],[Model]],表格3[Model-Input-Ref2],表格3[Code])</f>
        <v>WM</v>
      </c>
      <c r="K2908" s="89" t="s">
        <v>1199</v>
      </c>
      <c r="L2908" s="86">
        <v>1</v>
      </c>
      <c r="M2908" s="87">
        <v>3650</v>
      </c>
      <c r="N2908" s="87">
        <f>IFERROR(表格1[[#This Row],[QTY]]*表格1[[#This Row],[Unit Price]],"-")</f>
        <v>3650</v>
      </c>
      <c r="O2908" s="86">
        <v>103163</v>
      </c>
      <c r="R2908" s="86" t="str">
        <f>_xlfn.CONCAT(表格1[[#This Row],[Model]]," ",表格1[[#This Row],[inv no]])</f>
        <v>TWD-BN90GF4H(WK) 103163</v>
      </c>
      <c r="S2908" s="86">
        <f>_xlfn.XLOOKUP(表格1[[#This Row],[Model]],表格3[Model-Input-Ref2],表格3[SRP PRICE])</f>
        <v>5980</v>
      </c>
      <c r="T2908" s="43">
        <f>表格1[[#This Row],[Unit Price]]/表格1[[#This Row],[SRP]]</f>
        <v>0.61036789297658867</v>
      </c>
      <c r="U2908" s="86" t="str">
        <f>_xlfn.XLOOKUP(表格1[[#This Row],[Model]],表格3[Model-Input-Ref2],表格3[TOSHIBA/HIGHEST])</f>
        <v>Toshiba SRP</v>
      </c>
      <c r="W2908" s="86" t="str">
        <f>_xlfn.CONCAT(表格1[[#This Row],[欄4]],表格1[[#This Row],[inv no]])</f>
        <v>103163</v>
      </c>
    </row>
    <row r="2909" spans="1:23" hidden="1">
      <c r="A2909" s="81">
        <v>2907</v>
      </c>
      <c r="B2909" s="86" t="s">
        <v>1458</v>
      </c>
      <c r="C2909" s="86" t="s">
        <v>1942</v>
      </c>
      <c r="D2909" s="82" t="str">
        <f ca="1">OFFSET(Roster!$A$3,MATCH(表格1[[#This Row],[Location]]&amp;" "&amp;表格1[[#This Row],[Shop]]&amp;"*",Roster!$A$4:$A$72,0),DAY(表格1[[#This Row],[date]]),1,1)</f>
        <v>Ivy Wong_2</v>
      </c>
      <c r="E2909" s="86">
        <f>MONTH(表格1[[#This Row],[date]])</f>
        <v>3</v>
      </c>
      <c r="F2909" s="90">
        <v>46088</v>
      </c>
      <c r="G2909" s="86" t="str">
        <f>VLOOKUP("*"&amp;表格1[[#This Row],[Input]]&amp;"*",'Ref-List'!$B:$D,2,)</f>
        <v>GR-RB360WE-PMA(06)</v>
      </c>
      <c r="H2909" s="86" t="str">
        <f>_xlfn.XLOOKUP(表格1[[#This Row],[Model]],表格3[Model-Input-Ref2],表格3[Product Line])</f>
        <v>變頻下置式雙門雪櫃系列270L</v>
      </c>
      <c r="I2909" s="86" t="str">
        <f>_xlfn.XLOOKUP(表格1[[#This Row],[Model]],表格3[Model-Input-Ref2],表格3[大小電])</f>
        <v>大電</v>
      </c>
      <c r="J2909" s="86" t="str">
        <f>_xlfn.XLOOKUP(表格1[[#This Row],[Model]],表格3[Model-Input-Ref2],表格3[Code])</f>
        <v>REF</v>
      </c>
      <c r="K2909" s="89" t="s">
        <v>1282</v>
      </c>
      <c r="L2909" s="86">
        <v>1</v>
      </c>
      <c r="M2909" s="87">
        <v>3650</v>
      </c>
      <c r="N2909" s="87">
        <f>IFERROR(表格1[[#This Row],[QTY]]*表格1[[#This Row],[Unit Price]],"-")</f>
        <v>3650</v>
      </c>
      <c r="O2909" s="86">
        <v>103163</v>
      </c>
      <c r="R2909" s="86" t="str">
        <f>_xlfn.CONCAT(表格1[[#This Row],[Model]]," ",表格1[[#This Row],[inv no]])</f>
        <v>GR-RB360WE-PMA(06) 103163</v>
      </c>
      <c r="S2909" s="86">
        <f>_xlfn.XLOOKUP(表格1[[#This Row],[Model]],表格3[Model-Input-Ref2],表格3[SRP PRICE])</f>
        <v>5080</v>
      </c>
      <c r="T2909" s="43">
        <f>表格1[[#This Row],[Unit Price]]/表格1[[#This Row],[SRP]]</f>
        <v>0.71850393700787396</v>
      </c>
      <c r="U2909" s="86" t="str">
        <f>_xlfn.XLOOKUP(表格1[[#This Row],[Model]],表格3[Model-Input-Ref2],表格3[TOSHIBA/HIGHEST])</f>
        <v>Toshiba SRP</v>
      </c>
      <c r="W2909" s="86" t="str">
        <f>_xlfn.CONCAT(表格1[[#This Row],[欄4]],表格1[[#This Row],[inv no]])</f>
        <v>103163</v>
      </c>
    </row>
    <row r="2910" spans="1:23" hidden="1">
      <c r="A2910" s="81">
        <v>2908</v>
      </c>
      <c r="B2910" s="86" t="s">
        <v>1458</v>
      </c>
      <c r="C2910" s="86" t="s">
        <v>1942</v>
      </c>
      <c r="D2910" s="82" t="str">
        <f ca="1">OFFSET(Roster!$A$3,MATCH(表格1[[#This Row],[Location]]&amp;" "&amp;表格1[[#This Row],[Shop]]&amp;"*",Roster!$A$4:$A$72,0),DAY(表格1[[#This Row],[date]]),1,1)</f>
        <v>Ivy Wong_2</v>
      </c>
      <c r="E2910" s="86">
        <f>MONTH(表格1[[#This Row],[date]])</f>
        <v>3</v>
      </c>
      <c r="F2910" s="90">
        <v>46088</v>
      </c>
      <c r="G2910" s="86" t="str">
        <f>VLOOKUP("*"&amp;表格1[[#This Row],[Input]]&amp;"*",'Ref-List'!$B:$D,2,)</f>
        <v>GR-RT300WE-PMA(57)</v>
      </c>
      <c r="H2910" s="86" t="str">
        <f>_xlfn.XLOOKUP(表格1[[#This Row],[Model]],表格3[Model-Input-Ref2],表格3[Product Line])</f>
        <v>變頻式環保雙門雪櫃(233L)</v>
      </c>
      <c r="I2910" s="86" t="str">
        <f>_xlfn.XLOOKUP(表格1[[#This Row],[Model]],表格3[Model-Input-Ref2],表格3[大小電])</f>
        <v>大電</v>
      </c>
      <c r="J2910" s="86" t="str">
        <f>_xlfn.XLOOKUP(表格1[[#This Row],[Model]],表格3[Model-Input-Ref2],表格3[Code])</f>
        <v>REF</v>
      </c>
      <c r="K2910" s="89" t="s">
        <v>1462</v>
      </c>
      <c r="L2910" s="86">
        <v>1</v>
      </c>
      <c r="M2910" s="87">
        <v>2780</v>
      </c>
      <c r="N2910" s="87">
        <f>IFERROR(表格1[[#This Row],[QTY]]*表格1[[#This Row],[Unit Price]],"-")</f>
        <v>2780</v>
      </c>
      <c r="O2910" s="86">
        <v>103162</v>
      </c>
      <c r="R2910" s="86" t="str">
        <f>_xlfn.CONCAT(表格1[[#This Row],[Model]]," ",表格1[[#This Row],[inv no]])</f>
        <v>GR-RT300WE-PMA(57) 103162</v>
      </c>
      <c r="S2910" s="86">
        <f>_xlfn.XLOOKUP(表格1[[#This Row],[Model]],表格3[Model-Input-Ref2],表格3[SRP PRICE])</f>
        <v>4280</v>
      </c>
      <c r="T2910" s="43">
        <f>表格1[[#This Row],[Unit Price]]/表格1[[#This Row],[SRP]]</f>
        <v>0.64953271028037385</v>
      </c>
      <c r="U2910" s="86" t="str">
        <f>_xlfn.XLOOKUP(表格1[[#This Row],[Model]],表格3[Model-Input-Ref2],表格3[TOSHIBA/HIGHEST])</f>
        <v>Toshiba SRP</v>
      </c>
      <c r="W2910" s="86" t="str">
        <f>_xlfn.CONCAT(表格1[[#This Row],[欄4]],表格1[[#This Row],[inv no]])</f>
        <v>103162</v>
      </c>
    </row>
    <row r="2911" spans="1:23" hidden="1">
      <c r="A2911" s="81">
        <v>2909</v>
      </c>
      <c r="B2911" s="86" t="s">
        <v>1458</v>
      </c>
      <c r="C2911" s="86" t="s">
        <v>1942</v>
      </c>
      <c r="D2911" s="82" t="str">
        <f ca="1">OFFSET(Roster!$A$3,MATCH(表格1[[#This Row],[Location]]&amp;" "&amp;表格1[[#This Row],[Shop]]&amp;"*",Roster!$A$4:$A$72,0),DAY(表格1[[#This Row],[date]]),1,1)</f>
        <v>Ivy Wong_2</v>
      </c>
      <c r="E2911" s="86">
        <f>MONTH(表格1[[#This Row],[date]])</f>
        <v>3</v>
      </c>
      <c r="F2911" s="90">
        <v>46088</v>
      </c>
      <c r="G2911" s="86" t="str">
        <f>VLOOKUP("*"&amp;表格1[[#This Row],[Input]]&amp;"*",'Ref-List'!$B:$D,2,)</f>
        <v>GR-RT234WE-PMA(57)</v>
      </c>
      <c r="H2911" s="86" t="str">
        <f>_xlfn.XLOOKUP(表格1[[#This Row],[Model]],表格3[Model-Input-Ref2],表格3[Product Line])</f>
        <v>變頻式環保雙門雪櫃（179L）</v>
      </c>
      <c r="I2911" s="86" t="str">
        <f>_xlfn.XLOOKUP(表格1[[#This Row],[Model]],表格3[Model-Input-Ref2],表格3[大小電])</f>
        <v>大電</v>
      </c>
      <c r="J2911" s="86" t="str">
        <f>_xlfn.XLOOKUP(表格1[[#This Row],[Model]],表格3[Model-Input-Ref2],表格3[Code])</f>
        <v>REF</v>
      </c>
      <c r="K2911" s="89" t="s">
        <v>1423</v>
      </c>
      <c r="L2911" s="86">
        <v>1</v>
      </c>
      <c r="M2911" s="87">
        <v>1950</v>
      </c>
      <c r="N2911" s="87">
        <f>IFERROR(表格1[[#This Row],[QTY]]*表格1[[#This Row],[Unit Price]],"-")</f>
        <v>1950</v>
      </c>
      <c r="O2911" s="86">
        <v>103161</v>
      </c>
      <c r="R2911" s="86" t="str">
        <f>_xlfn.CONCAT(表格1[[#This Row],[Model]]," ",表格1[[#This Row],[inv no]])</f>
        <v>GR-RT234WE-PMA(57) 103161</v>
      </c>
      <c r="S2911" s="86">
        <f>_xlfn.XLOOKUP(表格1[[#This Row],[Model]],表格3[Model-Input-Ref2],表格3[SRP PRICE])</f>
        <v>3680</v>
      </c>
      <c r="T2911" s="43">
        <f>表格1[[#This Row],[Unit Price]]/表格1[[#This Row],[SRP]]</f>
        <v>0.52989130434782605</v>
      </c>
      <c r="U2911" s="86" t="str">
        <f>_xlfn.XLOOKUP(表格1[[#This Row],[Model]],表格3[Model-Input-Ref2],表格3[TOSHIBA/HIGHEST])</f>
        <v>Toshiba SRP</v>
      </c>
      <c r="W2911" s="86" t="str">
        <f>_xlfn.CONCAT(表格1[[#This Row],[欄4]],表格1[[#This Row],[inv no]])</f>
        <v>103161</v>
      </c>
    </row>
    <row r="2912" spans="1:23" hidden="1">
      <c r="A2912" s="81">
        <v>2910</v>
      </c>
      <c r="B2912" s="86" t="s">
        <v>1458</v>
      </c>
      <c r="C2912" s="86" t="s">
        <v>1942</v>
      </c>
      <c r="D2912" s="82" t="str">
        <f ca="1">OFFSET(Roster!$A$3,MATCH(表格1[[#This Row],[Location]]&amp;" "&amp;表格1[[#This Row],[Shop]]&amp;"*",Roster!$A$4:$A$72,0),DAY(表格1[[#This Row],[date]]),1,1)</f>
        <v>Ivy Wong_2</v>
      </c>
      <c r="E2912" s="86">
        <f>MONTH(表格1[[#This Row],[date]])</f>
        <v>3</v>
      </c>
      <c r="F2912" s="90">
        <v>46088</v>
      </c>
      <c r="G2912" s="86" t="str">
        <f>VLOOKUP("*"&amp;表格1[[#This Row],[Input]]&amp;"*",'Ref-List'!$B:$D,2,)</f>
        <v>MX2-TT20SC(WH)</v>
      </c>
      <c r="H2912" s="86" t="str">
        <f>_xlfn.XLOOKUP(表格1[[#This Row],[Model]],表格3[Model-Input-Ref2],表格3[Product Line])</f>
        <v>3合1 微波蒸焗爐 (20公升)</v>
      </c>
      <c r="I2912" s="86" t="str">
        <f>_xlfn.XLOOKUP(表格1[[#This Row],[Model]],表格3[Model-Input-Ref2],表格3[大小電])</f>
        <v>細電</v>
      </c>
      <c r="J2912" s="86" t="str">
        <f>_xlfn.XLOOKUP(表格1[[#This Row],[Model]],表格3[Model-Input-Ref2],表格3[Code])</f>
        <v>MCA</v>
      </c>
      <c r="K2912" s="89" t="s">
        <v>1287</v>
      </c>
      <c r="L2912" s="86">
        <v>1</v>
      </c>
      <c r="M2912" s="87">
        <v>2490</v>
      </c>
      <c r="N2912" s="87">
        <f>IFERROR(表格1[[#This Row],[QTY]]*表格1[[#This Row],[Unit Price]],"-")</f>
        <v>2490</v>
      </c>
      <c r="O2912" s="86">
        <v>103160</v>
      </c>
      <c r="R2912" s="86" t="str">
        <f>_xlfn.CONCAT(表格1[[#This Row],[Model]]," ",表格1[[#This Row],[inv no]])</f>
        <v>MX2-TT20SC(WH) 103160</v>
      </c>
      <c r="S2912" s="86">
        <f>_xlfn.XLOOKUP(表格1[[#This Row],[Model]],表格3[Model-Input-Ref2],表格3[SRP PRICE])</f>
        <v>3580</v>
      </c>
      <c r="T2912" s="43">
        <f>表格1[[#This Row],[Unit Price]]/表格1[[#This Row],[SRP]]</f>
        <v>0.6955307262569832</v>
      </c>
      <c r="U2912" s="86" t="str">
        <f>_xlfn.XLOOKUP(表格1[[#This Row],[Model]],表格3[Model-Input-Ref2],表格3[TOSHIBA/HIGHEST])</f>
        <v>Toshiba SRP</v>
      </c>
      <c r="W2912" s="86" t="str">
        <f>_xlfn.CONCAT(表格1[[#This Row],[欄4]],表格1[[#This Row],[inv no]])</f>
        <v>103160</v>
      </c>
    </row>
    <row r="2913" spans="1:23" hidden="1">
      <c r="A2913" s="81">
        <v>2911</v>
      </c>
      <c r="B2913" s="86" t="s">
        <v>1458</v>
      </c>
      <c r="C2913" s="86" t="s">
        <v>1942</v>
      </c>
      <c r="D2913" s="82" t="str">
        <f ca="1">OFFSET(Roster!$A$3,MATCH(表格1[[#This Row],[Location]]&amp;" "&amp;表格1[[#This Row],[Shop]]&amp;"*",Roster!$A$4:$A$72,0),DAY(表格1[[#This Row],[date]]),1,1)</f>
        <v>Ivy Wong_2</v>
      </c>
      <c r="E2913" s="86">
        <f>MONTH(表格1[[#This Row],[date]])</f>
        <v>3</v>
      </c>
      <c r="F2913" s="90">
        <v>46088</v>
      </c>
      <c r="G2913" s="86" t="str">
        <f>VLOOKUP("*"&amp;表格1[[#This Row],[Input]]&amp;"*",'Ref-List'!$B:$D,2,)</f>
        <v>GR-RT234WE-PMA(57)</v>
      </c>
      <c r="H2913" s="86" t="str">
        <f>_xlfn.XLOOKUP(表格1[[#This Row],[Model]],表格3[Model-Input-Ref2],表格3[Product Line])</f>
        <v>變頻式環保雙門雪櫃（179L）</v>
      </c>
      <c r="I2913" s="86" t="str">
        <f>_xlfn.XLOOKUP(表格1[[#This Row],[Model]],表格3[Model-Input-Ref2],表格3[大小電])</f>
        <v>大電</v>
      </c>
      <c r="J2913" s="86" t="str">
        <f>_xlfn.XLOOKUP(表格1[[#This Row],[Model]],表格3[Model-Input-Ref2],表格3[Code])</f>
        <v>REF</v>
      </c>
      <c r="K2913" s="89" t="s">
        <v>1423</v>
      </c>
      <c r="L2913" s="86">
        <v>1</v>
      </c>
      <c r="M2913" s="87">
        <v>1950</v>
      </c>
      <c r="N2913" s="87">
        <f>IFERROR(表格1[[#This Row],[QTY]]*表格1[[#This Row],[Unit Price]],"-")</f>
        <v>1950</v>
      </c>
      <c r="O2913" s="86">
        <v>103159</v>
      </c>
      <c r="R2913" s="86" t="str">
        <f>_xlfn.CONCAT(表格1[[#This Row],[Model]]," ",表格1[[#This Row],[inv no]])</f>
        <v>GR-RT234WE-PMA(57) 103159</v>
      </c>
      <c r="S2913" s="86">
        <f>_xlfn.XLOOKUP(表格1[[#This Row],[Model]],表格3[Model-Input-Ref2],表格3[SRP PRICE])</f>
        <v>3680</v>
      </c>
      <c r="T2913" s="43">
        <f>表格1[[#This Row],[Unit Price]]/表格1[[#This Row],[SRP]]</f>
        <v>0.52989130434782605</v>
      </c>
      <c r="U2913" s="86" t="str">
        <f>_xlfn.XLOOKUP(表格1[[#This Row],[Model]],表格3[Model-Input-Ref2],表格3[TOSHIBA/HIGHEST])</f>
        <v>Toshiba SRP</v>
      </c>
      <c r="W2913" s="86" t="str">
        <f>_xlfn.CONCAT(表格1[[#This Row],[欄4]],表格1[[#This Row],[inv no]])</f>
        <v>103159</v>
      </c>
    </row>
    <row r="2914" spans="1:23" hidden="1">
      <c r="A2914" s="81">
        <v>2912</v>
      </c>
      <c r="B2914" s="86" t="s">
        <v>1458</v>
      </c>
      <c r="C2914" s="86" t="s">
        <v>1942</v>
      </c>
      <c r="D2914" s="82" t="str">
        <f ca="1">OFFSET(Roster!$A$3,MATCH(表格1[[#This Row],[Location]]&amp;" "&amp;表格1[[#This Row],[Shop]]&amp;"*",Roster!$A$4:$A$72,0),DAY(表格1[[#This Row],[date]]),1,1)</f>
        <v>Ivy Wong_2</v>
      </c>
      <c r="E2914" s="86">
        <f>MONTH(表格1[[#This Row],[date]])</f>
        <v>3</v>
      </c>
      <c r="F2914" s="90">
        <v>46088</v>
      </c>
      <c r="G2914" s="86" t="str">
        <f>VLOOKUP("*"&amp;表格1[[#This Row],[Input]]&amp;"*",'Ref-List'!$B:$D,2,)</f>
        <v>AW-Q901BPH(WW)</v>
      </c>
      <c r="H2914" s="86" t="str">
        <f>_xlfn.XLOOKUP(表格1[[#This Row],[Model]],表格3[Model-Input-Ref2],表格3[Product Line])</f>
        <v>日式洗衣機 (8公斤 結合高低水位)</v>
      </c>
      <c r="I2914" s="86" t="str">
        <f>_xlfn.XLOOKUP(表格1[[#This Row],[Model]],表格3[Model-Input-Ref2],表格3[大小電])</f>
        <v>大電</v>
      </c>
      <c r="J2914" s="86" t="str">
        <f>_xlfn.XLOOKUP(表格1[[#This Row],[Model]],表格3[Model-Input-Ref2],表格3[Code])</f>
        <v>LAD</v>
      </c>
      <c r="K2914" s="89" t="s">
        <v>1411</v>
      </c>
      <c r="L2914" s="86">
        <v>1</v>
      </c>
      <c r="M2914" s="87">
        <v>2180</v>
      </c>
      <c r="N2914" s="87">
        <f>IFERROR(表格1[[#This Row],[QTY]]*表格1[[#This Row],[Unit Price]],"-")</f>
        <v>2180</v>
      </c>
      <c r="O2914" s="86">
        <v>103158</v>
      </c>
      <c r="R2914" s="86" t="str">
        <f>_xlfn.CONCAT(表格1[[#This Row],[Model]]," ",表格1[[#This Row],[inv no]])</f>
        <v>AW-Q901BPH(WW) 103158</v>
      </c>
      <c r="S2914" s="86">
        <f>_xlfn.XLOOKUP(表格1[[#This Row],[Model]],表格3[Model-Input-Ref2],表格3[SRP PRICE])</f>
        <v>3780</v>
      </c>
      <c r="T2914" s="43">
        <f>表格1[[#This Row],[Unit Price]]/表格1[[#This Row],[SRP]]</f>
        <v>0.57671957671957674</v>
      </c>
      <c r="U2914" s="86" t="str">
        <f>_xlfn.XLOOKUP(表格1[[#This Row],[Model]],表格3[Model-Input-Ref2],表格3[TOSHIBA/HIGHEST])</f>
        <v>Toshiba SRP</v>
      </c>
      <c r="W2914" s="86" t="str">
        <f>_xlfn.CONCAT(表格1[[#This Row],[欄4]],表格1[[#This Row],[inv no]])</f>
        <v>103158</v>
      </c>
    </row>
    <row r="2915" spans="1:23" hidden="1">
      <c r="A2915" s="81">
        <v>2913</v>
      </c>
      <c r="B2915" s="86" t="s">
        <v>1458</v>
      </c>
      <c r="C2915" s="86" t="s">
        <v>1942</v>
      </c>
      <c r="D2915" s="82" t="str">
        <f ca="1">OFFSET(Roster!$A$3,MATCH(表格1[[#This Row],[Location]]&amp;" "&amp;表格1[[#This Row],[Shop]]&amp;"*",Roster!$A$4:$A$72,0),DAY(表格1[[#This Row],[date]]),1,1)</f>
        <v>Ivy Wong_2</v>
      </c>
      <c r="E2915" s="86">
        <f>MONTH(表格1[[#This Row],[date]])</f>
        <v>3</v>
      </c>
      <c r="F2915" s="90">
        <v>46088</v>
      </c>
      <c r="G2915" s="86" t="str">
        <f>VLOOKUP("*"&amp;表格1[[#This Row],[Input]]&amp;"*",'Ref-List'!$B:$D,2,)</f>
        <v>GR-RM352WI-PMA(53)</v>
      </c>
      <c r="H2915" s="86" t="str">
        <f>_xlfn.XLOOKUP(表格1[[#This Row],[Model]],表格3[Model-Input-Ref2],表格3[Product Line])</f>
        <v>變頻三門雪櫃 (233L)</v>
      </c>
      <c r="I2915" s="86" t="str">
        <f>_xlfn.XLOOKUP(表格1[[#This Row],[Model]],表格3[Model-Input-Ref2],表格3[大小電])</f>
        <v>大電</v>
      </c>
      <c r="J2915" s="86" t="str">
        <f>_xlfn.XLOOKUP(表格1[[#This Row],[Model]],表格3[Model-Input-Ref2],表格3[Code])</f>
        <v>REF</v>
      </c>
      <c r="K2915" s="89" t="s">
        <v>1495</v>
      </c>
      <c r="L2915" s="86">
        <v>1</v>
      </c>
      <c r="M2915" s="87">
        <v>3580</v>
      </c>
      <c r="N2915" s="87">
        <f>IFERROR(表格1[[#This Row],[QTY]]*表格1[[#This Row],[Unit Price]],"-")</f>
        <v>3580</v>
      </c>
      <c r="O2915" s="86">
        <v>103157</v>
      </c>
      <c r="R2915" s="86" t="str">
        <f>_xlfn.CONCAT(表格1[[#This Row],[Model]]," ",表格1[[#This Row],[inv no]])</f>
        <v>GR-RM352WI-PMA(53) 103157</v>
      </c>
      <c r="S2915" s="86">
        <f>_xlfn.XLOOKUP(表格1[[#This Row],[Model]],表格3[Model-Input-Ref2],表格3[SRP PRICE])</f>
        <v>5580</v>
      </c>
      <c r="T2915" s="43">
        <f>表格1[[#This Row],[Unit Price]]/表格1[[#This Row],[SRP]]</f>
        <v>0.64157706093189959</v>
      </c>
      <c r="U2915" s="86" t="str">
        <f>_xlfn.XLOOKUP(表格1[[#This Row],[Model]],表格3[Model-Input-Ref2],表格3[TOSHIBA/HIGHEST])</f>
        <v>Toshiba SRP</v>
      </c>
      <c r="W2915" s="86" t="str">
        <f>_xlfn.CONCAT(表格1[[#This Row],[欄4]],表格1[[#This Row],[inv no]])</f>
        <v>103157</v>
      </c>
    </row>
    <row r="2916" spans="1:23" hidden="1">
      <c r="A2916" s="81">
        <v>2914</v>
      </c>
      <c r="B2916" s="86" t="s">
        <v>1458</v>
      </c>
      <c r="C2916" s="86" t="s">
        <v>1942</v>
      </c>
      <c r="D2916" s="82" t="str">
        <f ca="1">OFFSET(Roster!$A$3,MATCH(表格1[[#This Row],[Location]]&amp;" "&amp;表格1[[#This Row],[Shop]]&amp;"*",Roster!$A$4:$A$72,0),DAY(表格1[[#This Row],[date]]),1,1)</f>
        <v>Ivy Wong_2</v>
      </c>
      <c r="E2916" s="86">
        <f>MONTH(表格1[[#This Row],[date]])</f>
        <v>3</v>
      </c>
      <c r="F2916" s="90">
        <v>46088</v>
      </c>
      <c r="G2916" s="86" t="str">
        <f>VLOOKUP("*"&amp;表格1[[#This Row],[Input]]&amp;"*",'Ref-List'!$B:$D,2,)</f>
        <v>RAD-D300H</v>
      </c>
      <c r="H2916" s="86" t="str">
        <f>_xlfn.XLOOKUP(表格1[[#This Row],[Model]],表格3[Model-Input-Ref2],表格3[Product Line])</f>
        <v>壓縮式抽濕機 (30公升)</v>
      </c>
      <c r="I2916" s="86" t="str">
        <f>_xlfn.XLOOKUP(表格1[[#This Row],[Model]],表格3[Model-Input-Ref2],表格3[大小電])</f>
        <v>細電</v>
      </c>
      <c r="J2916" s="86" t="str">
        <f>_xlfn.XLOOKUP(表格1[[#This Row],[Model]],表格3[Model-Input-Ref2],表格3[Code])</f>
        <v>RAC</v>
      </c>
      <c r="K2916" s="89" t="s">
        <v>1252</v>
      </c>
      <c r="L2916" s="86">
        <v>1</v>
      </c>
      <c r="M2916" s="87">
        <v>2280</v>
      </c>
      <c r="N2916" s="87">
        <f>IFERROR(表格1[[#This Row],[QTY]]*表格1[[#This Row],[Unit Price]],"-")</f>
        <v>2280</v>
      </c>
      <c r="O2916" s="86">
        <v>103156</v>
      </c>
      <c r="R2916" s="86" t="str">
        <f>_xlfn.CONCAT(表格1[[#This Row],[Model]]," ",表格1[[#This Row],[inv no]])</f>
        <v>RAD-D300H 103156</v>
      </c>
      <c r="S2916" s="86">
        <f>_xlfn.XLOOKUP(表格1[[#This Row],[Model]],表格3[Model-Input-Ref2],表格3[SRP PRICE])</f>
        <v>3380</v>
      </c>
      <c r="T2916" s="43">
        <f>表格1[[#This Row],[Unit Price]]/表格1[[#This Row],[SRP]]</f>
        <v>0.67455621301775148</v>
      </c>
      <c r="U2916" s="86" t="str">
        <f>_xlfn.XLOOKUP(表格1[[#This Row],[Model]],表格3[Model-Input-Ref2],表格3[TOSHIBA/HIGHEST])</f>
        <v>Shops Highest Price</v>
      </c>
      <c r="W2916" s="86" t="str">
        <f>_xlfn.CONCAT(表格1[[#This Row],[欄4]],表格1[[#This Row],[inv no]])</f>
        <v>103156</v>
      </c>
    </row>
    <row r="2917" spans="1:23" hidden="1">
      <c r="A2917" s="81">
        <v>2915</v>
      </c>
      <c r="B2917" s="86" t="s">
        <v>1458</v>
      </c>
      <c r="C2917" s="86" t="s">
        <v>1942</v>
      </c>
      <c r="D2917" s="82" t="str">
        <f ca="1">OFFSET(Roster!$A$3,MATCH(表格1[[#This Row],[Location]]&amp;" "&amp;表格1[[#This Row],[Shop]]&amp;"*",Roster!$A$4:$A$72,0),DAY(表格1[[#This Row],[date]]),1,1)</f>
        <v>Ivy Wong_2</v>
      </c>
      <c r="E2917" s="86">
        <f>MONTH(表格1[[#This Row],[date]])</f>
        <v>3</v>
      </c>
      <c r="F2917" s="90">
        <v>46089</v>
      </c>
      <c r="G2917" s="86" t="str">
        <f>VLOOKUP("*"&amp;表格1[[#This Row],[Input]]&amp;"*",'Ref-List'!$B:$D,2,)</f>
        <v>AW-Q901BPH(WW)</v>
      </c>
      <c r="H2917" s="86" t="str">
        <f>_xlfn.XLOOKUP(表格1[[#This Row],[Model]],表格3[Model-Input-Ref2],表格3[Product Line])</f>
        <v>日式洗衣機 (8公斤 結合高低水位)</v>
      </c>
      <c r="I2917" s="86" t="str">
        <f>_xlfn.XLOOKUP(表格1[[#This Row],[Model]],表格3[Model-Input-Ref2],表格3[大小電])</f>
        <v>大電</v>
      </c>
      <c r="J2917" s="86" t="str">
        <f>_xlfn.XLOOKUP(表格1[[#This Row],[Model]],表格3[Model-Input-Ref2],表格3[Code])</f>
        <v>LAD</v>
      </c>
      <c r="K2917" s="89" t="s">
        <v>1411</v>
      </c>
      <c r="L2917" s="86">
        <v>1</v>
      </c>
      <c r="M2917" s="87">
        <v>2180</v>
      </c>
      <c r="N2917" s="87">
        <f>IFERROR(表格1[[#This Row],[QTY]]*表格1[[#This Row],[Unit Price]],"-")</f>
        <v>2180</v>
      </c>
      <c r="O2917" s="86">
        <v>103166</v>
      </c>
      <c r="R2917" s="86" t="str">
        <f>_xlfn.CONCAT(表格1[[#This Row],[Model]]," ",表格1[[#This Row],[inv no]])</f>
        <v>AW-Q901BPH(WW) 103166</v>
      </c>
      <c r="S2917" s="86">
        <f>_xlfn.XLOOKUP(表格1[[#This Row],[Model]],表格3[Model-Input-Ref2],表格3[SRP PRICE])</f>
        <v>3780</v>
      </c>
      <c r="T2917" s="43">
        <f>表格1[[#This Row],[Unit Price]]/表格1[[#This Row],[SRP]]</f>
        <v>0.57671957671957674</v>
      </c>
      <c r="U2917" s="86" t="str">
        <f>_xlfn.XLOOKUP(表格1[[#This Row],[Model]],表格3[Model-Input-Ref2],表格3[TOSHIBA/HIGHEST])</f>
        <v>Toshiba SRP</v>
      </c>
      <c r="W2917" s="86" t="str">
        <f>_xlfn.CONCAT(表格1[[#This Row],[欄4]],表格1[[#This Row],[inv no]])</f>
        <v>103166</v>
      </c>
    </row>
    <row r="2918" spans="1:23" hidden="1">
      <c r="A2918" s="81">
        <v>2916</v>
      </c>
      <c r="B2918" s="86" t="s">
        <v>1458</v>
      </c>
      <c r="C2918" s="86" t="s">
        <v>1942</v>
      </c>
      <c r="D2918" s="82" t="str">
        <f ca="1">OFFSET(Roster!$A$3,MATCH(表格1[[#This Row],[Location]]&amp;" "&amp;表格1[[#This Row],[Shop]]&amp;"*",Roster!$A$4:$A$72,0),DAY(表格1[[#This Row],[date]]),1,1)</f>
        <v>Ivy Wong_2</v>
      </c>
      <c r="E2918" s="86">
        <f>MONTH(表格1[[#This Row],[date]])</f>
        <v>3</v>
      </c>
      <c r="F2918" s="90">
        <v>46089</v>
      </c>
      <c r="G2918" s="86" t="str">
        <f>VLOOKUP("*"&amp;表格1[[#This Row],[Input]]&amp;"*",'Ref-List'!$B:$D,2,)</f>
        <v>GR-RM352WI-PMA(53)</v>
      </c>
      <c r="H2918" s="86" t="str">
        <f>_xlfn.XLOOKUP(表格1[[#This Row],[Model]],表格3[Model-Input-Ref2],表格3[Product Line])</f>
        <v>變頻三門雪櫃 (233L)</v>
      </c>
      <c r="I2918" s="86" t="str">
        <f>_xlfn.XLOOKUP(表格1[[#This Row],[Model]],表格3[Model-Input-Ref2],表格3[大小電])</f>
        <v>大電</v>
      </c>
      <c r="J2918" s="86" t="str">
        <f>_xlfn.XLOOKUP(表格1[[#This Row],[Model]],表格3[Model-Input-Ref2],表格3[Code])</f>
        <v>REF</v>
      </c>
      <c r="K2918" s="89" t="s">
        <v>1495</v>
      </c>
      <c r="L2918" s="86">
        <v>1</v>
      </c>
      <c r="M2918" s="87">
        <v>3580</v>
      </c>
      <c r="N2918" s="87">
        <f>IFERROR(表格1[[#This Row],[QTY]]*表格1[[#This Row],[Unit Price]],"-")</f>
        <v>3580</v>
      </c>
      <c r="O2918" s="86">
        <v>103165</v>
      </c>
      <c r="R2918" s="86" t="str">
        <f>_xlfn.CONCAT(表格1[[#This Row],[Model]]," ",表格1[[#This Row],[inv no]])</f>
        <v>GR-RM352WI-PMA(53) 103165</v>
      </c>
      <c r="S2918" s="86">
        <f>_xlfn.XLOOKUP(表格1[[#This Row],[Model]],表格3[Model-Input-Ref2],表格3[SRP PRICE])</f>
        <v>5580</v>
      </c>
      <c r="T2918" s="43">
        <f>表格1[[#This Row],[Unit Price]]/表格1[[#This Row],[SRP]]</f>
        <v>0.64157706093189959</v>
      </c>
      <c r="U2918" s="86" t="str">
        <f>_xlfn.XLOOKUP(表格1[[#This Row],[Model]],表格3[Model-Input-Ref2],表格3[TOSHIBA/HIGHEST])</f>
        <v>Toshiba SRP</v>
      </c>
      <c r="W2918" s="86" t="str">
        <f>_xlfn.CONCAT(表格1[[#This Row],[欄4]],表格1[[#This Row],[inv no]])</f>
        <v>103165</v>
      </c>
    </row>
    <row r="2919" spans="1:23" hidden="1">
      <c r="A2919" s="81">
        <v>2917</v>
      </c>
      <c r="B2919" s="86" t="s">
        <v>1458</v>
      </c>
      <c r="C2919" s="86" t="s">
        <v>1942</v>
      </c>
      <c r="D2919" s="82" t="str">
        <f ca="1">OFFSET(Roster!$A$3,MATCH(表格1[[#This Row],[Location]]&amp;" "&amp;表格1[[#This Row],[Shop]]&amp;"*",Roster!$A$4:$A$72,0),DAY(表格1[[#This Row],[date]]),1,1)</f>
        <v>Ivy Wong_2</v>
      </c>
      <c r="E2919" s="86">
        <f>MONTH(表格1[[#This Row],[date]])</f>
        <v>3</v>
      </c>
      <c r="F2919" s="90">
        <v>46089</v>
      </c>
      <c r="G2919" s="86" t="str">
        <f>VLOOKUP("*"&amp;表格1[[#This Row],[Input]]&amp;"*",'Ref-List'!$B:$D,2,)</f>
        <v>AW-Q801APH(WW)</v>
      </c>
      <c r="H2919" s="86" t="str">
        <f>_xlfn.XLOOKUP(表格1[[#This Row],[Model]],表格3[Model-Input-Ref2],表格3[Product Line])</f>
        <v>日式洗衣機 (7公斤 結合高低水位)</v>
      </c>
      <c r="I2919" s="86" t="str">
        <f>_xlfn.XLOOKUP(表格1[[#This Row],[Model]],表格3[Model-Input-Ref2],表格3[大小電])</f>
        <v>大電</v>
      </c>
      <c r="J2919" s="86" t="str">
        <f>_xlfn.XLOOKUP(表格1[[#This Row],[Model]],表格3[Model-Input-Ref2],表格3[Code])</f>
        <v>LAD</v>
      </c>
      <c r="K2919" s="89" t="s">
        <v>1420</v>
      </c>
      <c r="L2919" s="86">
        <v>1</v>
      </c>
      <c r="M2919" s="87">
        <v>1880</v>
      </c>
      <c r="N2919" s="87">
        <f>IFERROR(表格1[[#This Row],[QTY]]*表格1[[#This Row],[Unit Price]],"-")</f>
        <v>1880</v>
      </c>
      <c r="O2919" s="86">
        <v>103165</v>
      </c>
      <c r="R2919" s="86" t="str">
        <f>_xlfn.CONCAT(表格1[[#This Row],[Model]]," ",表格1[[#This Row],[inv no]])</f>
        <v>AW-Q801APH(WW) 103165</v>
      </c>
      <c r="S2919" s="86">
        <f>_xlfn.XLOOKUP(表格1[[#This Row],[Model]],表格3[Model-Input-Ref2],表格3[SRP PRICE])</f>
        <v>3380</v>
      </c>
      <c r="T2919" s="43">
        <f>表格1[[#This Row],[Unit Price]]/表格1[[#This Row],[SRP]]</f>
        <v>0.55621301775147924</v>
      </c>
      <c r="U2919" s="86" t="str">
        <f>_xlfn.XLOOKUP(表格1[[#This Row],[Model]],表格3[Model-Input-Ref2],表格3[TOSHIBA/HIGHEST])</f>
        <v>Toshiba SRP</v>
      </c>
      <c r="W2919" s="86" t="str">
        <f>_xlfn.CONCAT(表格1[[#This Row],[欄4]],表格1[[#This Row],[inv no]])</f>
        <v>103165</v>
      </c>
    </row>
    <row r="2920" spans="1:23" hidden="1">
      <c r="A2920" s="81">
        <v>2918</v>
      </c>
      <c r="B2920" s="86" t="s">
        <v>1458</v>
      </c>
      <c r="C2920" s="86" t="s">
        <v>1942</v>
      </c>
      <c r="D2920" s="82" t="str">
        <f ca="1">OFFSET(Roster!$A$3,MATCH(表格1[[#This Row],[Location]]&amp;" "&amp;表格1[[#This Row],[Shop]]&amp;"*",Roster!$A$4:$A$72,0),DAY(表格1[[#This Row],[date]]),1,1)</f>
        <v>Ivy Wong_2</v>
      </c>
      <c r="E2920" s="86">
        <f>MONTH(表格1[[#This Row],[date]])</f>
        <v>3</v>
      </c>
      <c r="F2920" s="90">
        <v>46089</v>
      </c>
      <c r="G2920" s="86" t="str">
        <f>VLOOKUP("*"&amp;表格1[[#This Row],[Input]]&amp;"*",'Ref-List'!$B:$D,2,)</f>
        <v>GR-RB360WE-PMA(06)</v>
      </c>
      <c r="H2920" s="86" t="str">
        <f>_xlfn.XLOOKUP(表格1[[#This Row],[Model]],表格3[Model-Input-Ref2],表格3[Product Line])</f>
        <v>變頻下置式雙門雪櫃系列270L</v>
      </c>
      <c r="I2920" s="86" t="str">
        <f>_xlfn.XLOOKUP(表格1[[#This Row],[Model]],表格3[Model-Input-Ref2],表格3[大小電])</f>
        <v>大電</v>
      </c>
      <c r="J2920" s="86" t="str">
        <f>_xlfn.XLOOKUP(表格1[[#This Row],[Model]],表格3[Model-Input-Ref2],表格3[Code])</f>
        <v>REF</v>
      </c>
      <c r="K2920" s="89" t="s">
        <v>1282</v>
      </c>
      <c r="L2920" s="86">
        <v>1</v>
      </c>
      <c r="M2920" s="87">
        <v>3650</v>
      </c>
      <c r="N2920" s="87">
        <f>IFERROR(表格1[[#This Row],[QTY]]*表格1[[#This Row],[Unit Price]],"-")</f>
        <v>3650</v>
      </c>
      <c r="O2920" s="86">
        <v>103167</v>
      </c>
      <c r="R2920" s="86" t="str">
        <f>_xlfn.CONCAT(表格1[[#This Row],[Model]]," ",表格1[[#This Row],[inv no]])</f>
        <v>GR-RB360WE-PMA(06) 103167</v>
      </c>
      <c r="S2920" s="86">
        <f>_xlfn.XLOOKUP(表格1[[#This Row],[Model]],表格3[Model-Input-Ref2],表格3[SRP PRICE])</f>
        <v>5080</v>
      </c>
      <c r="T2920" s="43">
        <f>表格1[[#This Row],[Unit Price]]/表格1[[#This Row],[SRP]]</f>
        <v>0.71850393700787396</v>
      </c>
      <c r="U2920" s="86" t="str">
        <f>_xlfn.XLOOKUP(表格1[[#This Row],[Model]],表格3[Model-Input-Ref2],表格3[TOSHIBA/HIGHEST])</f>
        <v>Toshiba SRP</v>
      </c>
      <c r="W2920" s="86" t="str">
        <f>_xlfn.CONCAT(表格1[[#This Row],[欄4]],表格1[[#This Row],[inv no]])</f>
        <v>103167</v>
      </c>
    </row>
    <row r="2921" spans="1:23" hidden="1">
      <c r="A2921" s="81">
        <v>2919</v>
      </c>
      <c r="B2921" s="86" t="s">
        <v>1458</v>
      </c>
      <c r="C2921" s="86" t="s">
        <v>1942</v>
      </c>
      <c r="D2921" s="82" t="str">
        <f ca="1">OFFSET(Roster!$A$3,MATCH(表格1[[#This Row],[Location]]&amp;" "&amp;表格1[[#This Row],[Shop]]&amp;"*",Roster!$A$4:$A$72,0),DAY(表格1[[#This Row],[date]]),1,1)</f>
        <v>Ivy Wong_2</v>
      </c>
      <c r="E2921" s="86">
        <f>MONTH(表格1[[#This Row],[date]])</f>
        <v>3</v>
      </c>
      <c r="F2921" s="90">
        <v>46089</v>
      </c>
      <c r="G2921" s="86" t="str">
        <f>VLOOKUP("*"&amp;表格1[[#This Row],[Input]]&amp;"*",'Ref-List'!$B:$D,2,)</f>
        <v>MX2-TT20SC(WH)</v>
      </c>
      <c r="H2921" s="86" t="str">
        <f>_xlfn.XLOOKUP(表格1[[#This Row],[Model]],表格3[Model-Input-Ref2],表格3[Product Line])</f>
        <v>3合1 微波蒸焗爐 (20公升)</v>
      </c>
      <c r="I2921" s="86" t="str">
        <f>_xlfn.XLOOKUP(表格1[[#This Row],[Model]],表格3[Model-Input-Ref2],表格3[大小電])</f>
        <v>細電</v>
      </c>
      <c r="J2921" s="86" t="str">
        <f>_xlfn.XLOOKUP(表格1[[#This Row],[Model]],表格3[Model-Input-Ref2],表格3[Code])</f>
        <v>MCA</v>
      </c>
      <c r="K2921" s="89" t="s">
        <v>1287</v>
      </c>
      <c r="L2921" s="86">
        <v>1</v>
      </c>
      <c r="M2921" s="87">
        <v>2490</v>
      </c>
      <c r="N2921" s="87">
        <f>IFERROR(表格1[[#This Row],[QTY]]*表格1[[#This Row],[Unit Price]],"-")</f>
        <v>2490</v>
      </c>
      <c r="O2921" s="86">
        <v>103168</v>
      </c>
      <c r="R2921" s="86" t="str">
        <f>_xlfn.CONCAT(表格1[[#This Row],[Model]]," ",表格1[[#This Row],[inv no]])</f>
        <v>MX2-TT20SC(WH) 103168</v>
      </c>
      <c r="S2921" s="86">
        <f>_xlfn.XLOOKUP(表格1[[#This Row],[Model]],表格3[Model-Input-Ref2],表格3[SRP PRICE])</f>
        <v>3580</v>
      </c>
      <c r="T2921" s="43">
        <f>表格1[[#This Row],[Unit Price]]/表格1[[#This Row],[SRP]]</f>
        <v>0.6955307262569832</v>
      </c>
      <c r="U2921" s="86" t="str">
        <f>_xlfn.XLOOKUP(表格1[[#This Row],[Model]],表格3[Model-Input-Ref2],表格3[TOSHIBA/HIGHEST])</f>
        <v>Toshiba SRP</v>
      </c>
      <c r="W2921" s="86" t="str">
        <f>_xlfn.CONCAT(表格1[[#This Row],[欄4]],表格1[[#This Row],[inv no]])</f>
        <v>103168</v>
      </c>
    </row>
    <row r="2922" spans="1:23" hidden="1">
      <c r="A2922" s="81">
        <v>2920</v>
      </c>
      <c r="B2922" s="86" t="s">
        <v>1458</v>
      </c>
      <c r="C2922" s="86" t="s">
        <v>1942</v>
      </c>
      <c r="D2922" s="82" t="str">
        <f ca="1">OFFSET(Roster!$A$3,MATCH(表格1[[#This Row],[Location]]&amp;" "&amp;表格1[[#This Row],[Shop]]&amp;"*",Roster!$A$4:$A$72,0),DAY(表格1[[#This Row],[date]]),1,1)</f>
        <v>Ivy Wong_2</v>
      </c>
      <c r="E2922" s="86">
        <f>MONTH(表格1[[#This Row],[date]])</f>
        <v>3</v>
      </c>
      <c r="F2922" s="90">
        <v>46089</v>
      </c>
      <c r="G2922" s="86" t="str">
        <f>VLOOKUP("*"&amp;表格1[[#This Row],[Input]]&amp;"*",'Ref-List'!$B:$D,2,)</f>
        <v>GR-RB360WE-PMA(06)</v>
      </c>
      <c r="H2922" s="86" t="str">
        <f>_xlfn.XLOOKUP(表格1[[#This Row],[Model]],表格3[Model-Input-Ref2],表格3[Product Line])</f>
        <v>變頻下置式雙門雪櫃系列270L</v>
      </c>
      <c r="I2922" s="86" t="str">
        <f>_xlfn.XLOOKUP(表格1[[#This Row],[Model]],表格3[Model-Input-Ref2],表格3[大小電])</f>
        <v>大電</v>
      </c>
      <c r="J2922" s="86" t="str">
        <f>_xlfn.XLOOKUP(表格1[[#This Row],[Model]],表格3[Model-Input-Ref2],表格3[Code])</f>
        <v>REF</v>
      </c>
      <c r="K2922" s="89" t="s">
        <v>1282</v>
      </c>
      <c r="L2922" s="86">
        <v>1</v>
      </c>
      <c r="M2922" s="87">
        <v>3650</v>
      </c>
      <c r="N2922" s="87">
        <f>IFERROR(表格1[[#This Row],[QTY]]*表格1[[#This Row],[Unit Price]],"-")</f>
        <v>3650</v>
      </c>
      <c r="O2922" s="86">
        <v>103169</v>
      </c>
      <c r="R2922" s="86" t="str">
        <f>_xlfn.CONCAT(表格1[[#This Row],[Model]]," ",表格1[[#This Row],[inv no]])</f>
        <v>GR-RB360WE-PMA(06) 103169</v>
      </c>
      <c r="S2922" s="86">
        <f>_xlfn.XLOOKUP(表格1[[#This Row],[Model]],表格3[Model-Input-Ref2],表格3[SRP PRICE])</f>
        <v>5080</v>
      </c>
      <c r="T2922" s="43">
        <f>表格1[[#This Row],[Unit Price]]/表格1[[#This Row],[SRP]]</f>
        <v>0.71850393700787396</v>
      </c>
      <c r="U2922" s="86" t="str">
        <f>_xlfn.XLOOKUP(表格1[[#This Row],[Model]],表格3[Model-Input-Ref2],表格3[TOSHIBA/HIGHEST])</f>
        <v>Toshiba SRP</v>
      </c>
      <c r="W2922" s="86" t="str">
        <f>_xlfn.CONCAT(表格1[[#This Row],[欄4]],表格1[[#This Row],[inv no]])</f>
        <v>103169</v>
      </c>
    </row>
    <row r="2923" spans="1:23" hidden="1">
      <c r="A2923" s="81">
        <v>2921</v>
      </c>
      <c r="B2923" s="86" t="s">
        <v>1458</v>
      </c>
      <c r="C2923" s="86" t="s">
        <v>1942</v>
      </c>
      <c r="D2923" s="82" t="str">
        <f ca="1">OFFSET(Roster!$A$3,MATCH(表格1[[#This Row],[Location]]&amp;" "&amp;表格1[[#This Row],[Shop]]&amp;"*",Roster!$A$4:$A$72,0),DAY(表格1[[#This Row],[date]]),1,1)</f>
        <v>Ivy Wong_2</v>
      </c>
      <c r="E2923" s="86">
        <f>MONTH(表格1[[#This Row],[date]])</f>
        <v>3</v>
      </c>
      <c r="F2923" s="90">
        <v>46089</v>
      </c>
      <c r="G2923" s="86" t="str">
        <f>VLOOKUP("*"&amp;表格1[[#This Row],[Input]]&amp;"*",'Ref-List'!$B:$D,2,)</f>
        <v>TW-BL80A2H(WW)</v>
      </c>
      <c r="H2923" s="86" t="str">
        <f>_xlfn.XLOOKUP(表格1[[#This Row],[Model]],表格3[Model-Input-Ref2],表格3[Product Line])</f>
        <v>7KG前置式變頻洗衣機</v>
      </c>
      <c r="I2923" s="86" t="str">
        <f>_xlfn.XLOOKUP(表格1[[#This Row],[Model]],表格3[Model-Input-Ref2],表格3[大小電])</f>
        <v>大電</v>
      </c>
      <c r="J2923" s="86" t="str">
        <f>_xlfn.XLOOKUP(表格1[[#This Row],[Model]],表格3[Model-Input-Ref2],表格3[Code])</f>
        <v>WM</v>
      </c>
      <c r="K2923" s="89" t="s">
        <v>1943</v>
      </c>
      <c r="L2923" s="86">
        <v>1</v>
      </c>
      <c r="M2923" s="87">
        <v>2800</v>
      </c>
      <c r="N2923" s="87">
        <f>IFERROR(表格1[[#This Row],[QTY]]*表格1[[#This Row],[Unit Price]],"-")</f>
        <v>2800</v>
      </c>
      <c r="O2923" s="86">
        <v>103170</v>
      </c>
      <c r="R2923" s="86" t="str">
        <f>_xlfn.CONCAT(表格1[[#This Row],[Model]]," ",表格1[[#This Row],[inv no]])</f>
        <v>TW-BL80A2H(WW) 103170</v>
      </c>
      <c r="S2923" s="86">
        <f>_xlfn.XLOOKUP(表格1[[#This Row],[Model]],表格3[Model-Input-Ref2],表格3[SRP PRICE])</f>
        <v>3890</v>
      </c>
      <c r="T2923" s="43">
        <f>表格1[[#This Row],[Unit Price]]/表格1[[#This Row],[SRP]]</f>
        <v>0.71979434447300772</v>
      </c>
      <c r="U2923" s="86" t="str">
        <f>_xlfn.XLOOKUP(表格1[[#This Row],[Model]],表格3[Model-Input-Ref2],表格3[TOSHIBA/HIGHEST])</f>
        <v>Shops Highest Price</v>
      </c>
      <c r="W2923" s="86" t="str">
        <f>_xlfn.CONCAT(表格1[[#This Row],[欄4]],表格1[[#This Row],[inv no]])</f>
        <v>103170</v>
      </c>
    </row>
    <row r="2924" spans="1:23" hidden="1">
      <c r="A2924" s="81">
        <v>2922</v>
      </c>
      <c r="B2924" s="86" t="s">
        <v>1458</v>
      </c>
      <c r="C2924" s="86" t="s">
        <v>1942</v>
      </c>
      <c r="D2924" s="82" t="str">
        <f ca="1">OFFSET(Roster!$A$3,MATCH(表格1[[#This Row],[Location]]&amp;" "&amp;表格1[[#This Row],[Shop]]&amp;"*",Roster!$A$4:$A$72,0),DAY(表格1[[#This Row],[date]]),1,1)</f>
        <v>Ivy Wong_2</v>
      </c>
      <c r="E2924" s="86">
        <f>MONTH(表格1[[#This Row],[date]])</f>
        <v>3</v>
      </c>
      <c r="F2924" s="90">
        <v>46089</v>
      </c>
      <c r="G2924" s="86" t="str">
        <f>VLOOKUP("*"&amp;表格1[[#This Row],[Input]]&amp;"*",'Ref-List'!$B:$D,2,)</f>
        <v>GR-RT234WE-PMA(57)</v>
      </c>
      <c r="H2924" s="86" t="str">
        <f>_xlfn.XLOOKUP(表格1[[#This Row],[Model]],表格3[Model-Input-Ref2],表格3[Product Line])</f>
        <v>變頻式環保雙門雪櫃（179L）</v>
      </c>
      <c r="I2924" s="86" t="str">
        <f>_xlfn.XLOOKUP(表格1[[#This Row],[Model]],表格3[Model-Input-Ref2],表格3[大小電])</f>
        <v>大電</v>
      </c>
      <c r="J2924" s="86" t="str">
        <f>_xlfn.XLOOKUP(表格1[[#This Row],[Model]],表格3[Model-Input-Ref2],表格3[Code])</f>
        <v>REF</v>
      </c>
      <c r="K2924" s="89" t="s">
        <v>1423</v>
      </c>
      <c r="L2924" s="86">
        <v>1</v>
      </c>
      <c r="M2924" s="87">
        <v>1950</v>
      </c>
      <c r="N2924" s="87">
        <f>IFERROR(表格1[[#This Row],[QTY]]*表格1[[#This Row],[Unit Price]],"-")</f>
        <v>1950</v>
      </c>
      <c r="O2924" s="86">
        <v>103173</v>
      </c>
      <c r="R2924" s="86" t="str">
        <f>_xlfn.CONCAT(表格1[[#This Row],[Model]]," ",表格1[[#This Row],[inv no]])</f>
        <v>GR-RT234WE-PMA(57) 103173</v>
      </c>
      <c r="S2924" s="86">
        <f>_xlfn.XLOOKUP(表格1[[#This Row],[Model]],表格3[Model-Input-Ref2],表格3[SRP PRICE])</f>
        <v>3680</v>
      </c>
      <c r="T2924" s="43">
        <f>表格1[[#This Row],[Unit Price]]/表格1[[#This Row],[SRP]]</f>
        <v>0.52989130434782605</v>
      </c>
      <c r="U2924" s="86" t="str">
        <f>_xlfn.XLOOKUP(表格1[[#This Row],[Model]],表格3[Model-Input-Ref2],表格3[TOSHIBA/HIGHEST])</f>
        <v>Toshiba SRP</v>
      </c>
      <c r="W2924" s="86" t="str">
        <f>_xlfn.CONCAT(表格1[[#This Row],[欄4]],表格1[[#This Row],[inv no]])</f>
        <v>103173</v>
      </c>
    </row>
    <row r="2925" spans="1:23" hidden="1">
      <c r="A2925" s="81">
        <v>2923</v>
      </c>
      <c r="B2925" s="86" t="s">
        <v>1458</v>
      </c>
      <c r="C2925" s="86" t="s">
        <v>1942</v>
      </c>
      <c r="D2925" s="82" t="str">
        <f ca="1">OFFSET(Roster!$A$3,MATCH(表格1[[#This Row],[Location]]&amp;" "&amp;表格1[[#This Row],[Shop]]&amp;"*",Roster!$A$4:$A$72,0),DAY(表格1[[#This Row],[date]]),1,1)</f>
        <v>Ivy Wong_2</v>
      </c>
      <c r="E2925" s="86">
        <f>MONTH(表格1[[#This Row],[date]])</f>
        <v>3</v>
      </c>
      <c r="F2925" s="90">
        <v>46089</v>
      </c>
      <c r="G2925" s="86" t="str">
        <f>VLOOKUP("*"&amp;表格1[[#This Row],[Input]]&amp;"*",'Ref-List'!$B:$D,2,)</f>
        <v>TWD-BN90GF4H(WK)</v>
      </c>
      <c r="H2925" s="86" t="str">
        <f>_xlfn.XLOOKUP(表格1[[#This Row],[Model]],表格3[Model-Input-Ref2],表格3[Product Line])</f>
        <v>超薄身前置式洗衣乾衣機 (洗8公斤 乾5公斤)</v>
      </c>
      <c r="I2925" s="86" t="str">
        <f>_xlfn.XLOOKUP(表格1[[#This Row],[Model]],表格3[Model-Input-Ref2],表格3[大小電])</f>
        <v>大電</v>
      </c>
      <c r="J2925" s="86" t="str">
        <f>_xlfn.XLOOKUP(表格1[[#This Row],[Model]],表格3[Model-Input-Ref2],表格3[Code])</f>
        <v>WM</v>
      </c>
      <c r="K2925" s="89" t="s">
        <v>1199</v>
      </c>
      <c r="L2925" s="86">
        <v>1</v>
      </c>
      <c r="M2925" s="87">
        <v>3650</v>
      </c>
      <c r="N2925" s="87">
        <f>IFERROR(表格1[[#This Row],[QTY]]*表格1[[#This Row],[Unit Price]],"-")</f>
        <v>3650</v>
      </c>
      <c r="O2925" s="86">
        <v>103174</v>
      </c>
      <c r="R2925" s="86" t="str">
        <f>_xlfn.CONCAT(表格1[[#This Row],[Model]]," ",表格1[[#This Row],[inv no]])</f>
        <v>TWD-BN90GF4H(WK) 103174</v>
      </c>
      <c r="S2925" s="86">
        <f>_xlfn.XLOOKUP(表格1[[#This Row],[Model]],表格3[Model-Input-Ref2],表格3[SRP PRICE])</f>
        <v>5980</v>
      </c>
      <c r="T2925" s="43">
        <f>表格1[[#This Row],[Unit Price]]/表格1[[#This Row],[SRP]]</f>
        <v>0.61036789297658867</v>
      </c>
      <c r="U2925" s="86" t="str">
        <f>_xlfn.XLOOKUP(表格1[[#This Row],[Model]],表格3[Model-Input-Ref2],表格3[TOSHIBA/HIGHEST])</f>
        <v>Toshiba SRP</v>
      </c>
      <c r="W2925" s="86" t="str">
        <f>_xlfn.CONCAT(表格1[[#This Row],[欄4]],表格1[[#This Row],[inv no]])</f>
        <v>103174</v>
      </c>
    </row>
    <row r="2926" spans="1:23" hidden="1">
      <c r="A2926" s="81">
        <v>2924</v>
      </c>
      <c r="B2926" s="86" t="s">
        <v>1458</v>
      </c>
      <c r="C2926" s="86" t="s">
        <v>1942</v>
      </c>
      <c r="D2926" s="82" t="str">
        <f ca="1">OFFSET(Roster!$A$3,MATCH(表格1[[#This Row],[Location]]&amp;" "&amp;表格1[[#This Row],[Shop]]&amp;"*",Roster!$A$4:$A$72,0),DAY(表格1[[#This Row],[date]]),1,1)</f>
        <v>Ivy Wong_2</v>
      </c>
      <c r="E2926" s="86">
        <f>MONTH(表格1[[#This Row],[date]])</f>
        <v>3</v>
      </c>
      <c r="F2926" s="90">
        <v>46089</v>
      </c>
      <c r="G2926" s="86" t="str">
        <f>VLOOKUP("*"&amp;表格1[[#This Row],[Input]]&amp;"*",'Ref-List'!$B:$D,2,)</f>
        <v>DW-05T2-HK</v>
      </c>
      <c r="H2926" s="86" t="str">
        <f>_xlfn.XLOOKUP(表格1[[#This Row],[Model]],表格3[Model-Input-Ref2],表格3[Product Line])</f>
        <v>座檯式洗碗碟機</v>
      </c>
      <c r="I2926" s="86" t="str">
        <f>_xlfn.XLOOKUP(表格1[[#This Row],[Model]],表格3[Model-Input-Ref2],表格3[大小電])</f>
        <v>細電</v>
      </c>
      <c r="J2926" s="86" t="str">
        <f>_xlfn.XLOOKUP(表格1[[#This Row],[Model]],表格3[Model-Input-Ref2],表格3[Code])</f>
        <v>DW</v>
      </c>
      <c r="K2926" s="89" t="s">
        <v>1475</v>
      </c>
      <c r="L2926" s="86">
        <v>1</v>
      </c>
      <c r="M2926" s="87">
        <v>3580</v>
      </c>
      <c r="N2926" s="87">
        <f>IFERROR(表格1[[#This Row],[QTY]]*表格1[[#This Row],[Unit Price]],"-")</f>
        <v>3580</v>
      </c>
      <c r="O2926" s="86">
        <v>103175</v>
      </c>
      <c r="R2926" s="86" t="str">
        <f>_xlfn.CONCAT(表格1[[#This Row],[Model]]," ",表格1[[#This Row],[inv no]])</f>
        <v>DW-05T2-HK 103175</v>
      </c>
      <c r="S2926" s="86">
        <f>_xlfn.XLOOKUP(表格1[[#This Row],[Model]],表格3[Model-Input-Ref2],表格3[SRP PRICE])</f>
        <v>4580</v>
      </c>
      <c r="T2926" s="43">
        <f>表格1[[#This Row],[Unit Price]]/表格1[[#This Row],[SRP]]</f>
        <v>0.78165938864628826</v>
      </c>
      <c r="U2926" s="86" t="str">
        <f>_xlfn.XLOOKUP(表格1[[#This Row],[Model]],表格3[Model-Input-Ref2],表格3[TOSHIBA/HIGHEST])</f>
        <v>Toshiba SRP</v>
      </c>
      <c r="W2926" s="86" t="str">
        <f>_xlfn.CONCAT(表格1[[#This Row],[欄4]],表格1[[#This Row],[inv no]])</f>
        <v>103175</v>
      </c>
    </row>
    <row r="2927" spans="1:23" hidden="1">
      <c r="A2927" s="81">
        <v>2925</v>
      </c>
      <c r="B2927" s="86" t="s">
        <v>1458</v>
      </c>
      <c r="C2927" s="86" t="s">
        <v>1942</v>
      </c>
      <c r="D2927" s="82" t="str">
        <f ca="1">OFFSET(Roster!$A$3,MATCH(表格1[[#This Row],[Location]]&amp;" "&amp;表格1[[#This Row],[Shop]]&amp;"*",Roster!$A$4:$A$72,0),DAY(表格1[[#This Row],[date]]),1,1)</f>
        <v>Ivy Wong_2</v>
      </c>
      <c r="E2927" s="86">
        <f>MONTH(表格1[[#This Row],[date]])</f>
        <v>3</v>
      </c>
      <c r="F2927" s="90">
        <v>46090</v>
      </c>
      <c r="G2927" s="86" t="str">
        <f>VLOOKUP("*"&amp;表格1[[#This Row],[Input]]&amp;"*",'Ref-List'!$B:$D,2,)</f>
        <v>RAD-D300H</v>
      </c>
      <c r="H2927" s="86" t="str">
        <f>_xlfn.XLOOKUP(表格1[[#This Row],[Model]],表格3[Model-Input-Ref2],表格3[Product Line])</f>
        <v>壓縮式抽濕機 (30公升)</v>
      </c>
      <c r="I2927" s="86" t="str">
        <f>_xlfn.XLOOKUP(表格1[[#This Row],[Model]],表格3[Model-Input-Ref2],表格3[大小電])</f>
        <v>細電</v>
      </c>
      <c r="J2927" s="86" t="str">
        <f>_xlfn.XLOOKUP(表格1[[#This Row],[Model]],表格3[Model-Input-Ref2],表格3[Code])</f>
        <v>RAC</v>
      </c>
      <c r="K2927" s="89" t="s">
        <v>1252</v>
      </c>
      <c r="L2927" s="86">
        <v>1</v>
      </c>
      <c r="M2927" s="87">
        <v>2280</v>
      </c>
      <c r="N2927" s="87">
        <f>IFERROR(表格1[[#This Row],[QTY]]*表格1[[#This Row],[Unit Price]],"-")</f>
        <v>2280</v>
      </c>
      <c r="O2927" s="86">
        <v>103185</v>
      </c>
      <c r="R2927" s="86" t="str">
        <f>_xlfn.CONCAT(表格1[[#This Row],[Model]]," ",表格1[[#This Row],[inv no]])</f>
        <v>RAD-D300H 103185</v>
      </c>
      <c r="S2927" s="86">
        <f>_xlfn.XLOOKUP(表格1[[#This Row],[Model]],表格3[Model-Input-Ref2],表格3[SRP PRICE])</f>
        <v>3380</v>
      </c>
      <c r="T2927" s="43">
        <f>表格1[[#This Row],[Unit Price]]/表格1[[#This Row],[SRP]]</f>
        <v>0.67455621301775148</v>
      </c>
      <c r="U2927" s="86" t="str">
        <f>_xlfn.XLOOKUP(表格1[[#This Row],[Model]],表格3[Model-Input-Ref2],表格3[TOSHIBA/HIGHEST])</f>
        <v>Shops Highest Price</v>
      </c>
      <c r="W2927" s="86" t="str">
        <f>_xlfn.CONCAT(表格1[[#This Row],[欄4]],表格1[[#This Row],[inv no]])</f>
        <v>103185</v>
      </c>
    </row>
    <row r="2928" spans="1:23" hidden="1">
      <c r="A2928" s="81">
        <v>2926</v>
      </c>
      <c r="B2928" s="86" t="s">
        <v>1458</v>
      </c>
      <c r="C2928" s="86" t="s">
        <v>1942</v>
      </c>
      <c r="D2928" s="82" t="str">
        <f ca="1">OFFSET(Roster!$A$3,MATCH(表格1[[#This Row],[Location]]&amp;" "&amp;表格1[[#This Row],[Shop]]&amp;"*",Roster!$A$4:$A$72,0),DAY(表格1[[#This Row],[date]]),1,1)</f>
        <v>Ivy Wong_2</v>
      </c>
      <c r="E2928" s="86">
        <f>MONTH(表格1[[#This Row],[date]])</f>
        <v>3</v>
      </c>
      <c r="F2928" s="90">
        <v>46090</v>
      </c>
      <c r="G2928" s="86" t="str">
        <f>VLOOKUP("*"&amp;表格1[[#This Row],[Input]]&amp;"*",'Ref-List'!$B:$D,2,)</f>
        <v>RAD-D300H</v>
      </c>
      <c r="H2928" s="86" t="str">
        <f>_xlfn.XLOOKUP(表格1[[#This Row],[Model]],表格3[Model-Input-Ref2],表格3[Product Line])</f>
        <v>壓縮式抽濕機 (30公升)</v>
      </c>
      <c r="I2928" s="86" t="str">
        <f>_xlfn.XLOOKUP(表格1[[#This Row],[Model]],表格3[Model-Input-Ref2],表格3[大小電])</f>
        <v>細電</v>
      </c>
      <c r="J2928" s="86" t="str">
        <f>_xlfn.XLOOKUP(表格1[[#This Row],[Model]],表格3[Model-Input-Ref2],表格3[Code])</f>
        <v>RAC</v>
      </c>
      <c r="K2928" s="89" t="s">
        <v>1252</v>
      </c>
      <c r="L2928" s="86">
        <v>1</v>
      </c>
      <c r="M2928" s="87">
        <v>2280</v>
      </c>
      <c r="N2928" s="87">
        <f>IFERROR(表格1[[#This Row],[QTY]]*表格1[[#This Row],[Unit Price]],"-")</f>
        <v>2280</v>
      </c>
      <c r="O2928" s="86">
        <v>103183</v>
      </c>
      <c r="R2928" s="86" t="str">
        <f>_xlfn.CONCAT(表格1[[#This Row],[Model]]," ",表格1[[#This Row],[inv no]])</f>
        <v>RAD-D300H 103183</v>
      </c>
      <c r="S2928" s="86">
        <f>_xlfn.XLOOKUP(表格1[[#This Row],[Model]],表格3[Model-Input-Ref2],表格3[SRP PRICE])</f>
        <v>3380</v>
      </c>
      <c r="T2928" s="43">
        <f>表格1[[#This Row],[Unit Price]]/表格1[[#This Row],[SRP]]</f>
        <v>0.67455621301775148</v>
      </c>
      <c r="U2928" s="86" t="str">
        <f>_xlfn.XLOOKUP(表格1[[#This Row],[Model]],表格3[Model-Input-Ref2],表格3[TOSHIBA/HIGHEST])</f>
        <v>Shops Highest Price</v>
      </c>
      <c r="W2928" s="86" t="str">
        <f>_xlfn.CONCAT(表格1[[#This Row],[欄4]],表格1[[#This Row],[inv no]])</f>
        <v>103183</v>
      </c>
    </row>
    <row r="2929" spans="1:23" hidden="1">
      <c r="A2929" s="81">
        <v>2927</v>
      </c>
      <c r="B2929" s="86" t="s">
        <v>1458</v>
      </c>
      <c r="C2929" s="86" t="s">
        <v>1942</v>
      </c>
      <c r="D2929" s="82" t="str">
        <f ca="1">OFFSET(Roster!$A$3,MATCH(表格1[[#This Row],[Location]]&amp;" "&amp;表格1[[#This Row],[Shop]]&amp;"*",Roster!$A$4:$A$72,0),DAY(表格1[[#This Row],[date]]),1,1)</f>
        <v>Ivy Wong_2</v>
      </c>
      <c r="E2929" s="86">
        <f>MONTH(表格1[[#This Row],[date]])</f>
        <v>3</v>
      </c>
      <c r="F2929" s="90">
        <v>46090</v>
      </c>
      <c r="G2929" s="86" t="str">
        <f>VLOOKUP("*"&amp;表格1[[#This Row],[Input]]&amp;"*",'Ref-List'!$B:$D,2,)</f>
        <v>DW-05T2-HK</v>
      </c>
      <c r="H2929" s="86" t="str">
        <f>_xlfn.XLOOKUP(表格1[[#This Row],[Model]],表格3[Model-Input-Ref2],表格3[Product Line])</f>
        <v>座檯式洗碗碟機</v>
      </c>
      <c r="I2929" s="86" t="str">
        <f>_xlfn.XLOOKUP(表格1[[#This Row],[Model]],表格3[Model-Input-Ref2],表格3[大小電])</f>
        <v>細電</v>
      </c>
      <c r="J2929" s="86" t="str">
        <f>_xlfn.XLOOKUP(表格1[[#This Row],[Model]],表格3[Model-Input-Ref2],表格3[Code])</f>
        <v>DW</v>
      </c>
      <c r="K2929" s="89" t="s">
        <v>1475</v>
      </c>
      <c r="L2929" s="86">
        <v>1</v>
      </c>
      <c r="M2929" s="87">
        <v>3580</v>
      </c>
      <c r="N2929" s="87">
        <f>IFERROR(表格1[[#This Row],[QTY]]*表格1[[#This Row],[Unit Price]],"-")</f>
        <v>3580</v>
      </c>
      <c r="O2929" s="86">
        <v>103182</v>
      </c>
      <c r="R2929" s="86" t="str">
        <f>_xlfn.CONCAT(表格1[[#This Row],[Model]]," ",表格1[[#This Row],[inv no]])</f>
        <v>DW-05T2-HK 103182</v>
      </c>
      <c r="S2929" s="86">
        <f>_xlfn.XLOOKUP(表格1[[#This Row],[Model]],表格3[Model-Input-Ref2],表格3[SRP PRICE])</f>
        <v>4580</v>
      </c>
      <c r="T2929" s="43">
        <f>表格1[[#This Row],[Unit Price]]/表格1[[#This Row],[SRP]]</f>
        <v>0.78165938864628826</v>
      </c>
      <c r="U2929" s="86" t="str">
        <f>_xlfn.XLOOKUP(表格1[[#This Row],[Model]],表格3[Model-Input-Ref2],表格3[TOSHIBA/HIGHEST])</f>
        <v>Toshiba SRP</v>
      </c>
      <c r="W2929" s="86" t="str">
        <f>_xlfn.CONCAT(表格1[[#This Row],[欄4]],表格1[[#This Row],[inv no]])</f>
        <v>103182</v>
      </c>
    </row>
    <row r="2930" spans="1:23" hidden="1">
      <c r="A2930" s="81">
        <v>2928</v>
      </c>
      <c r="B2930" s="86" t="s">
        <v>1458</v>
      </c>
      <c r="C2930" s="86" t="s">
        <v>1942</v>
      </c>
      <c r="D2930" s="82" t="str">
        <f ca="1">OFFSET(Roster!$A$3,MATCH(表格1[[#This Row],[Location]]&amp;" "&amp;表格1[[#This Row],[Shop]]&amp;"*",Roster!$A$4:$A$72,0),DAY(表格1[[#This Row],[date]]),1,1)</f>
        <v>Ivy Wong_2</v>
      </c>
      <c r="E2930" s="86">
        <f>MONTH(表格1[[#This Row],[date]])</f>
        <v>3</v>
      </c>
      <c r="F2930" s="90">
        <v>46090</v>
      </c>
      <c r="G2930" s="86" t="str">
        <f>VLOOKUP("*"&amp;表格1[[#This Row],[Input]]&amp;"*",'Ref-List'!$B:$D,2,)</f>
        <v>AW-Q901BPH(WW)</v>
      </c>
      <c r="H2930" s="86" t="str">
        <f>_xlfn.XLOOKUP(表格1[[#This Row],[Model]],表格3[Model-Input-Ref2],表格3[Product Line])</f>
        <v>日式洗衣機 (8公斤 結合高低水位)</v>
      </c>
      <c r="I2930" s="86" t="str">
        <f>_xlfn.XLOOKUP(表格1[[#This Row],[Model]],表格3[Model-Input-Ref2],表格3[大小電])</f>
        <v>大電</v>
      </c>
      <c r="J2930" s="86" t="str">
        <f>_xlfn.XLOOKUP(表格1[[#This Row],[Model]],表格3[Model-Input-Ref2],表格3[Code])</f>
        <v>LAD</v>
      </c>
      <c r="K2930" s="89" t="s">
        <v>1411</v>
      </c>
      <c r="L2930" s="86">
        <v>1</v>
      </c>
      <c r="M2930" s="87">
        <v>2180</v>
      </c>
      <c r="N2930" s="87">
        <f>IFERROR(表格1[[#This Row],[QTY]]*表格1[[#This Row],[Unit Price]],"-")</f>
        <v>2180</v>
      </c>
      <c r="O2930" s="86">
        <v>103181</v>
      </c>
      <c r="R2930" s="86" t="str">
        <f>_xlfn.CONCAT(表格1[[#This Row],[Model]]," ",表格1[[#This Row],[inv no]])</f>
        <v>AW-Q901BPH(WW) 103181</v>
      </c>
      <c r="S2930" s="86">
        <f>_xlfn.XLOOKUP(表格1[[#This Row],[Model]],表格3[Model-Input-Ref2],表格3[SRP PRICE])</f>
        <v>3780</v>
      </c>
      <c r="T2930" s="43">
        <f>表格1[[#This Row],[Unit Price]]/表格1[[#This Row],[SRP]]</f>
        <v>0.57671957671957674</v>
      </c>
      <c r="U2930" s="86" t="str">
        <f>_xlfn.XLOOKUP(表格1[[#This Row],[Model]],表格3[Model-Input-Ref2],表格3[TOSHIBA/HIGHEST])</f>
        <v>Toshiba SRP</v>
      </c>
      <c r="W2930" s="86" t="str">
        <f>_xlfn.CONCAT(表格1[[#This Row],[欄4]],表格1[[#This Row],[inv no]])</f>
        <v>103181</v>
      </c>
    </row>
    <row r="2931" spans="1:23" hidden="1">
      <c r="A2931" s="81">
        <v>2929</v>
      </c>
      <c r="B2931" s="86" t="s">
        <v>1458</v>
      </c>
      <c r="C2931" s="86" t="s">
        <v>1942</v>
      </c>
      <c r="D2931" s="82" t="str">
        <f ca="1">OFFSET(Roster!$A$3,MATCH(表格1[[#This Row],[Location]]&amp;" "&amp;表格1[[#This Row],[Shop]]&amp;"*",Roster!$A$4:$A$72,0),DAY(表格1[[#This Row],[date]]),1,1)</f>
        <v>Ivy Wong_2</v>
      </c>
      <c r="E2931" s="86">
        <f>MONTH(表格1[[#This Row],[date]])</f>
        <v>3</v>
      </c>
      <c r="F2931" s="90">
        <v>46090</v>
      </c>
      <c r="G2931" s="86" t="str">
        <f>VLOOKUP("*"&amp;表格1[[#This Row],[Input]]&amp;"*",'Ref-List'!$B:$D,2,)</f>
        <v>GR-RB360WE-PMA(06)</v>
      </c>
      <c r="H2931" s="86" t="str">
        <f>_xlfn.XLOOKUP(表格1[[#This Row],[Model]],表格3[Model-Input-Ref2],表格3[Product Line])</f>
        <v>變頻下置式雙門雪櫃系列270L</v>
      </c>
      <c r="I2931" s="86" t="str">
        <f>_xlfn.XLOOKUP(表格1[[#This Row],[Model]],表格3[Model-Input-Ref2],表格3[大小電])</f>
        <v>大電</v>
      </c>
      <c r="J2931" s="86" t="str">
        <f>_xlfn.XLOOKUP(表格1[[#This Row],[Model]],表格3[Model-Input-Ref2],表格3[Code])</f>
        <v>REF</v>
      </c>
      <c r="K2931" s="89" t="s">
        <v>1282</v>
      </c>
      <c r="L2931" s="86">
        <v>1</v>
      </c>
      <c r="M2931" s="87">
        <v>3650</v>
      </c>
      <c r="N2931" s="87">
        <f>IFERROR(表格1[[#This Row],[QTY]]*表格1[[#This Row],[Unit Price]],"-")</f>
        <v>3650</v>
      </c>
      <c r="O2931" s="86">
        <v>103179</v>
      </c>
      <c r="R2931" s="86" t="str">
        <f>_xlfn.CONCAT(表格1[[#This Row],[Model]]," ",表格1[[#This Row],[inv no]])</f>
        <v>GR-RB360WE-PMA(06) 103179</v>
      </c>
      <c r="S2931" s="86">
        <f>_xlfn.XLOOKUP(表格1[[#This Row],[Model]],表格3[Model-Input-Ref2],表格3[SRP PRICE])</f>
        <v>5080</v>
      </c>
      <c r="T2931" s="43">
        <f>表格1[[#This Row],[Unit Price]]/表格1[[#This Row],[SRP]]</f>
        <v>0.71850393700787396</v>
      </c>
      <c r="U2931" s="86" t="str">
        <f>_xlfn.XLOOKUP(表格1[[#This Row],[Model]],表格3[Model-Input-Ref2],表格3[TOSHIBA/HIGHEST])</f>
        <v>Toshiba SRP</v>
      </c>
      <c r="W2931" s="86" t="str">
        <f>_xlfn.CONCAT(表格1[[#This Row],[欄4]],表格1[[#This Row],[inv no]])</f>
        <v>103179</v>
      </c>
    </row>
    <row r="2932" spans="1:23" hidden="1">
      <c r="A2932" s="81">
        <v>2930</v>
      </c>
      <c r="B2932" s="86" t="s">
        <v>1458</v>
      </c>
      <c r="C2932" s="86" t="s">
        <v>1942</v>
      </c>
      <c r="D2932" s="82" t="str">
        <f ca="1">OFFSET(Roster!$A$3,MATCH(表格1[[#This Row],[Location]]&amp;" "&amp;表格1[[#This Row],[Shop]]&amp;"*",Roster!$A$4:$A$72,0),DAY(表格1[[#This Row],[date]]),1,1)</f>
        <v>Ivy Wong_2</v>
      </c>
      <c r="E2932" s="86">
        <f>MONTH(表格1[[#This Row],[date]])</f>
        <v>3</v>
      </c>
      <c r="F2932" s="90">
        <v>46090</v>
      </c>
      <c r="G2932" s="86" t="str">
        <f>VLOOKUP("*"&amp;表格1[[#This Row],[Input]]&amp;"*",'Ref-List'!$B:$D,2,)</f>
        <v>GR-RB360WE-PMA(06)</v>
      </c>
      <c r="H2932" s="86" t="str">
        <f>_xlfn.XLOOKUP(表格1[[#This Row],[Model]],表格3[Model-Input-Ref2],表格3[Product Line])</f>
        <v>變頻下置式雙門雪櫃系列270L</v>
      </c>
      <c r="I2932" s="86" t="str">
        <f>_xlfn.XLOOKUP(表格1[[#This Row],[Model]],表格3[Model-Input-Ref2],表格3[大小電])</f>
        <v>大電</v>
      </c>
      <c r="J2932" s="86" t="str">
        <f>_xlfn.XLOOKUP(表格1[[#This Row],[Model]],表格3[Model-Input-Ref2],表格3[Code])</f>
        <v>REF</v>
      </c>
      <c r="K2932" s="89" t="s">
        <v>1282</v>
      </c>
      <c r="L2932" s="86">
        <v>1</v>
      </c>
      <c r="M2932" s="87">
        <v>3650</v>
      </c>
      <c r="N2932" s="87">
        <f>IFERROR(表格1[[#This Row],[QTY]]*表格1[[#This Row],[Unit Price]],"-")</f>
        <v>3650</v>
      </c>
      <c r="O2932" s="86">
        <v>103178</v>
      </c>
      <c r="R2932" s="86" t="str">
        <f>_xlfn.CONCAT(表格1[[#This Row],[Model]]," ",表格1[[#This Row],[inv no]])</f>
        <v>GR-RB360WE-PMA(06) 103178</v>
      </c>
      <c r="S2932" s="86">
        <f>_xlfn.XLOOKUP(表格1[[#This Row],[Model]],表格3[Model-Input-Ref2],表格3[SRP PRICE])</f>
        <v>5080</v>
      </c>
      <c r="T2932" s="43">
        <f>表格1[[#This Row],[Unit Price]]/表格1[[#This Row],[SRP]]</f>
        <v>0.71850393700787396</v>
      </c>
      <c r="U2932" s="86" t="str">
        <f>_xlfn.XLOOKUP(表格1[[#This Row],[Model]],表格3[Model-Input-Ref2],表格3[TOSHIBA/HIGHEST])</f>
        <v>Toshiba SRP</v>
      </c>
      <c r="W2932" s="86" t="str">
        <f>_xlfn.CONCAT(表格1[[#This Row],[欄4]],表格1[[#This Row],[inv no]])</f>
        <v>103178</v>
      </c>
    </row>
    <row r="2933" spans="1:23" hidden="1">
      <c r="A2933" s="81">
        <v>2931</v>
      </c>
      <c r="B2933" s="86" t="s">
        <v>1458</v>
      </c>
      <c r="C2933" s="86" t="s">
        <v>1942</v>
      </c>
      <c r="D2933" s="82" t="str">
        <f ca="1">OFFSET(Roster!$A$3,MATCH(表格1[[#This Row],[Location]]&amp;" "&amp;表格1[[#This Row],[Shop]]&amp;"*",Roster!$A$4:$A$72,0),DAY(表格1[[#This Row],[date]]),1,1)</f>
        <v>Ivy Wong_2</v>
      </c>
      <c r="E2933" s="86">
        <f>MONTH(表格1[[#This Row],[date]])</f>
        <v>3</v>
      </c>
      <c r="F2933" s="90">
        <v>46090</v>
      </c>
      <c r="G2933" s="86" t="str">
        <f>VLOOKUP("*"&amp;表格1[[#This Row],[Input]]&amp;"*",'Ref-List'!$B:$D,2,)</f>
        <v>AW-Q801APH(WW)</v>
      </c>
      <c r="H2933" s="86" t="str">
        <f>_xlfn.XLOOKUP(表格1[[#This Row],[Model]],表格3[Model-Input-Ref2],表格3[Product Line])</f>
        <v>日式洗衣機 (7公斤 結合高低水位)</v>
      </c>
      <c r="I2933" s="86" t="str">
        <f>_xlfn.XLOOKUP(表格1[[#This Row],[Model]],表格3[Model-Input-Ref2],表格3[大小電])</f>
        <v>大電</v>
      </c>
      <c r="J2933" s="86" t="str">
        <f>_xlfn.XLOOKUP(表格1[[#This Row],[Model]],表格3[Model-Input-Ref2],表格3[Code])</f>
        <v>LAD</v>
      </c>
      <c r="K2933" s="89" t="s">
        <v>1420</v>
      </c>
      <c r="L2933" s="86">
        <v>1</v>
      </c>
      <c r="M2933" s="87">
        <v>1880</v>
      </c>
      <c r="N2933" s="87">
        <f>IFERROR(表格1[[#This Row],[QTY]]*表格1[[#This Row],[Unit Price]],"-")</f>
        <v>1880</v>
      </c>
      <c r="O2933" s="86">
        <v>103177</v>
      </c>
      <c r="R2933" s="86" t="str">
        <f>_xlfn.CONCAT(表格1[[#This Row],[Model]]," ",表格1[[#This Row],[inv no]])</f>
        <v>AW-Q801APH(WW) 103177</v>
      </c>
      <c r="S2933" s="86">
        <f>_xlfn.XLOOKUP(表格1[[#This Row],[Model]],表格3[Model-Input-Ref2],表格3[SRP PRICE])</f>
        <v>3380</v>
      </c>
      <c r="T2933" s="43">
        <f>表格1[[#This Row],[Unit Price]]/表格1[[#This Row],[SRP]]</f>
        <v>0.55621301775147924</v>
      </c>
      <c r="U2933" s="86" t="str">
        <f>_xlfn.XLOOKUP(表格1[[#This Row],[Model]],表格3[Model-Input-Ref2],表格3[TOSHIBA/HIGHEST])</f>
        <v>Toshiba SRP</v>
      </c>
      <c r="W2933" s="86" t="str">
        <f>_xlfn.CONCAT(表格1[[#This Row],[欄4]],表格1[[#This Row],[inv no]])</f>
        <v>103177</v>
      </c>
    </row>
    <row r="2934" spans="1:23" hidden="1">
      <c r="A2934" s="81">
        <v>2932</v>
      </c>
      <c r="B2934" s="86" t="s">
        <v>1477</v>
      </c>
      <c r="C2934" s="86" t="s">
        <v>1945</v>
      </c>
      <c r="D2934" s="82" t="str">
        <f ca="1">OFFSET(Roster!$A$3,MATCH(表格1[[#This Row],[Location]]&amp;" "&amp;表格1[[#This Row],[Shop]]&amp;"*",Roster!$A$4:$A$72,0),DAY(表格1[[#This Row],[date]]),1,1)</f>
        <v>Ivy Wong_1</v>
      </c>
      <c r="E2934" s="86">
        <f>MONTH(表格1[[#This Row],[date]])</f>
        <v>3</v>
      </c>
      <c r="F2934" s="90">
        <v>46082</v>
      </c>
      <c r="G2934" s="86" t="str">
        <f>VLOOKUP("*"&amp;表格1[[#This Row],[Input]]&amp;"*",'Ref-List'!$B:$D,2,)</f>
        <v>TW-T21BU80UWH(MG)</v>
      </c>
      <c r="H2934" s="86" t="str">
        <f>_xlfn.XLOOKUP(表格1[[#This Row],[Model]],表格3[Model-Input-Ref2],表格3[Product Line])</f>
        <v>400MM超薄身前置式變頻洗衣機(7公斤)</v>
      </c>
      <c r="I2934" s="86" t="str">
        <f>_xlfn.XLOOKUP(表格1[[#This Row],[Model]],表格3[Model-Input-Ref2],表格3[大小電])</f>
        <v>大電</v>
      </c>
      <c r="J2934" s="86" t="str">
        <f>_xlfn.XLOOKUP(表格1[[#This Row],[Model]],表格3[Model-Input-Ref2],表格3[Code])</f>
        <v>LAD</v>
      </c>
      <c r="K2934" s="89" t="s">
        <v>1280</v>
      </c>
      <c r="L2934" s="86">
        <v>1</v>
      </c>
      <c r="M2934" s="87">
        <v>3090</v>
      </c>
      <c r="N2934" s="87">
        <f>IFERROR(表格1[[#This Row],[QTY]]*表格1[[#This Row],[Unit Price]],"-")</f>
        <v>3090</v>
      </c>
      <c r="O2934" s="86">
        <v>413911</v>
      </c>
      <c r="R2934" s="86" t="str">
        <f>_xlfn.CONCAT(表格1[[#This Row],[Model]]," ",表格1[[#This Row],[inv no]])</f>
        <v>TW-T21BU80UWH(MG) 413911</v>
      </c>
      <c r="S2934" s="86">
        <f>_xlfn.XLOOKUP(表格1[[#This Row],[Model]],表格3[Model-Input-Ref2],表格3[SRP PRICE])</f>
        <v>5180</v>
      </c>
      <c r="T2934" s="43">
        <f>表格1[[#This Row],[Unit Price]]/表格1[[#This Row],[SRP]]</f>
        <v>0.59652509652509655</v>
      </c>
      <c r="U2934" s="86" t="str">
        <f>_xlfn.XLOOKUP(表格1[[#This Row],[Model]],表格3[Model-Input-Ref2],表格3[TOSHIBA/HIGHEST])</f>
        <v>Toshiba SRP</v>
      </c>
      <c r="W2934" s="86" t="str">
        <f>_xlfn.CONCAT(表格1[[#This Row],[欄4]],表格1[[#This Row],[inv no]])</f>
        <v>413911</v>
      </c>
    </row>
    <row r="2935" spans="1:23" hidden="1">
      <c r="A2935" s="81">
        <v>2933</v>
      </c>
      <c r="B2935" s="86" t="s">
        <v>1477</v>
      </c>
      <c r="C2935" s="86" t="s">
        <v>1945</v>
      </c>
      <c r="D2935" s="82" t="str">
        <f ca="1">OFFSET(Roster!$A$3,MATCH(表格1[[#This Row],[Location]]&amp;" "&amp;表格1[[#This Row],[Shop]]&amp;"*",Roster!$A$4:$A$72,0),DAY(表格1[[#This Row],[date]]),1,1)</f>
        <v>Ivy Wong_1</v>
      </c>
      <c r="E2935" s="86">
        <f>MONTH(表格1[[#This Row],[date]])</f>
        <v>3</v>
      </c>
      <c r="F2935" s="90">
        <v>46082</v>
      </c>
      <c r="G2935" s="86" t="str">
        <f>VLOOKUP("*"&amp;表格1[[#This Row],[Input]]&amp;"*",'Ref-List'!$B:$D,2,)</f>
        <v>RC-15BHH(W)</v>
      </c>
      <c r="H2935" s="86" t="str">
        <f>_xlfn.XLOOKUP(表格1[[#This Row],[Model]],表格3[Model-Input-Ref2],表格3[Product Line])</f>
        <v>酵活炊磁應電飯煲(1.5公升)</v>
      </c>
      <c r="I2935" s="86" t="str">
        <f>_xlfn.XLOOKUP(表格1[[#This Row],[Model]],表格3[Model-Input-Ref2],表格3[大小電])</f>
        <v>細電</v>
      </c>
      <c r="J2935" s="86" t="str">
        <f>_xlfn.XLOOKUP(表格1[[#This Row],[Model]],表格3[Model-Input-Ref2],表格3[Code])</f>
        <v>SDA</v>
      </c>
      <c r="K2935" s="89" t="s">
        <v>1381</v>
      </c>
      <c r="L2935" s="86">
        <v>1</v>
      </c>
      <c r="M2935" s="87">
        <v>2080</v>
      </c>
      <c r="N2935" s="87">
        <f>IFERROR(表格1[[#This Row],[QTY]]*表格1[[#This Row],[Unit Price]],"-")</f>
        <v>2080</v>
      </c>
      <c r="O2935" s="86">
        <v>413919</v>
      </c>
      <c r="R2935" s="86" t="str">
        <f>_xlfn.CONCAT(表格1[[#This Row],[Model]]," ",表格1[[#This Row],[inv no]])</f>
        <v>RC-15BHH(W) 413919</v>
      </c>
      <c r="S2935" s="86">
        <f>_xlfn.XLOOKUP(表格1[[#This Row],[Model]],表格3[Model-Input-Ref2],表格3[SRP PRICE])</f>
        <v>2388</v>
      </c>
      <c r="T2935" s="43">
        <f>表格1[[#This Row],[Unit Price]]/表格1[[#This Row],[SRP]]</f>
        <v>0.87102177554438864</v>
      </c>
      <c r="U2935" s="86" t="str">
        <f>_xlfn.XLOOKUP(表格1[[#This Row],[Model]],表格3[Model-Input-Ref2],表格3[TOSHIBA/HIGHEST])</f>
        <v>Toshiba SRP</v>
      </c>
      <c r="W2935" s="86" t="str">
        <f>_xlfn.CONCAT(表格1[[#This Row],[欄4]],表格1[[#This Row],[inv no]])</f>
        <v>413919</v>
      </c>
    </row>
    <row r="2936" spans="1:23" hidden="1">
      <c r="A2936" s="81">
        <v>2934</v>
      </c>
      <c r="B2936" s="86" t="s">
        <v>1477</v>
      </c>
      <c r="C2936" s="86" t="s">
        <v>1945</v>
      </c>
      <c r="D2936" s="82" t="str">
        <f ca="1">OFFSET(Roster!$A$3,MATCH(表格1[[#This Row],[Location]]&amp;" "&amp;表格1[[#This Row],[Shop]]&amp;"*",Roster!$A$4:$A$72,0),DAY(表格1[[#This Row],[date]]),1,1)</f>
        <v>Ivy Wong_1</v>
      </c>
      <c r="E2936" s="86">
        <f>MONTH(表格1[[#This Row],[date]])</f>
        <v>3</v>
      </c>
      <c r="F2936" s="90">
        <v>46082</v>
      </c>
      <c r="G2936" s="86" t="str">
        <f>VLOOKUP("*"&amp;表格1[[#This Row],[Input]]&amp;"*",'Ref-List'!$B:$D,2,)</f>
        <v>RC-DS18K(R)</v>
      </c>
      <c r="H2936" s="86" t="str">
        <f>_xlfn.XLOOKUP(表格1[[#This Row],[Model]],表格3[Model-Input-Ref2],表格3[Product Line])</f>
        <v>IH磁應電飯煲</v>
      </c>
      <c r="I2936" s="86" t="str">
        <f>_xlfn.XLOOKUP(表格1[[#This Row],[Model]],表格3[Model-Input-Ref2],表格3[大小電])</f>
        <v>細電</v>
      </c>
      <c r="J2936" s="86" t="str">
        <f>_xlfn.XLOOKUP(表格1[[#This Row],[Model]],表格3[Model-Input-Ref2],表格3[Code])</f>
        <v>SDA</v>
      </c>
      <c r="K2936" s="89" t="s">
        <v>1946</v>
      </c>
      <c r="L2936" s="86">
        <v>1</v>
      </c>
      <c r="M2936" s="87">
        <v>3490</v>
      </c>
      <c r="N2936" s="87">
        <f>IFERROR(表格1[[#This Row],[QTY]]*表格1[[#This Row],[Unit Price]],"-")</f>
        <v>3490</v>
      </c>
      <c r="O2936" s="86">
        <v>413907</v>
      </c>
      <c r="R2936" s="86" t="str">
        <f>_xlfn.CONCAT(表格1[[#This Row],[Model]]," ",表格1[[#This Row],[inv no]])</f>
        <v>RC-DS18K(R) 413907</v>
      </c>
      <c r="S2936" s="86">
        <f>_xlfn.XLOOKUP(表格1[[#This Row],[Model]],表格3[Model-Input-Ref2],表格3[SRP PRICE])</f>
        <v>4988</v>
      </c>
      <c r="T2936" s="43">
        <f>表格1[[#This Row],[Unit Price]]/表格1[[#This Row],[SRP]]</f>
        <v>0.69967923015236566</v>
      </c>
      <c r="U2936" s="86" t="str">
        <f>_xlfn.XLOOKUP(表格1[[#This Row],[Model]],表格3[Model-Input-Ref2],表格3[TOSHIBA/HIGHEST])</f>
        <v>Toshiba SRP</v>
      </c>
      <c r="W2936" s="86" t="str">
        <f>_xlfn.CONCAT(表格1[[#This Row],[欄4]],表格1[[#This Row],[inv no]])</f>
        <v>413907</v>
      </c>
    </row>
    <row r="2937" spans="1:23" hidden="1">
      <c r="A2937" s="81">
        <v>2935</v>
      </c>
      <c r="B2937" s="86" t="s">
        <v>1477</v>
      </c>
      <c r="C2937" s="86" t="s">
        <v>1945</v>
      </c>
      <c r="D2937" s="82" t="str">
        <f ca="1">OFFSET(Roster!$A$3,MATCH(表格1[[#This Row],[Location]]&amp;" "&amp;表格1[[#This Row],[Shop]]&amp;"*",Roster!$A$4:$A$72,0),DAY(表格1[[#This Row],[date]]),1,1)</f>
        <v>Ivy Wong_1</v>
      </c>
      <c r="E2937" s="86">
        <f>MONTH(表格1[[#This Row],[date]])</f>
        <v>3</v>
      </c>
      <c r="F2937" s="90">
        <v>46082</v>
      </c>
      <c r="G2937" s="86" t="str">
        <f>VLOOKUP("*"&amp;表格1[[#This Row],[Input]]&amp;"*",'Ref-List'!$B:$D,2,)</f>
        <v>RC-10NMFIH(WT)</v>
      </c>
      <c r="H2937" s="86" t="str">
        <f>_xlfn.XLOOKUP(表格1[[#This Row],[Model]],表格3[Model-Input-Ref2],表格3[Product Line])</f>
        <v>4毫米厚釜電飯煲1L</v>
      </c>
      <c r="I2937" s="86" t="str">
        <f>_xlfn.XLOOKUP(表格1[[#This Row],[Model]],表格3[Model-Input-Ref2],表格3[大小電])</f>
        <v>細電</v>
      </c>
      <c r="J2937" s="86" t="str">
        <f>_xlfn.XLOOKUP(表格1[[#This Row],[Model]],表格3[Model-Input-Ref2],表格3[Code])</f>
        <v>SDA</v>
      </c>
      <c r="K2937" s="89" t="s">
        <v>1244</v>
      </c>
      <c r="L2937" s="86">
        <v>1</v>
      </c>
      <c r="M2937" s="87">
        <v>719</v>
      </c>
      <c r="N2937" s="87">
        <f>IFERROR(表格1[[#This Row],[QTY]]*表格1[[#This Row],[Unit Price]],"-")</f>
        <v>719</v>
      </c>
      <c r="O2937" s="86">
        <v>413922</v>
      </c>
      <c r="R2937" s="86" t="str">
        <f>_xlfn.CONCAT(表格1[[#This Row],[Model]]," ",表格1[[#This Row],[inv no]])</f>
        <v>RC-10NMFIH(WT) 413922</v>
      </c>
      <c r="S2937" s="86">
        <f>_xlfn.XLOOKUP(表格1[[#This Row],[Model]],表格3[Model-Input-Ref2],表格3[SRP PRICE])</f>
        <v>898</v>
      </c>
      <c r="T2937" s="43">
        <f>表格1[[#This Row],[Unit Price]]/表格1[[#This Row],[SRP]]</f>
        <v>0.80066815144766146</v>
      </c>
      <c r="U2937" s="86" t="str">
        <f>_xlfn.XLOOKUP(表格1[[#This Row],[Model]],表格3[Model-Input-Ref2],表格3[TOSHIBA/HIGHEST])</f>
        <v>Toshiba SRP</v>
      </c>
      <c r="W2937" s="86" t="str">
        <f>_xlfn.CONCAT(表格1[[#This Row],[欄4]],表格1[[#This Row],[inv no]])</f>
        <v>413922</v>
      </c>
    </row>
    <row r="2938" spans="1:23" hidden="1">
      <c r="A2938" s="81">
        <v>2936</v>
      </c>
      <c r="B2938" s="86" t="s">
        <v>1477</v>
      </c>
      <c r="C2938" s="86" t="s">
        <v>1945</v>
      </c>
      <c r="D2938" s="82" t="str">
        <f ca="1">OFFSET(Roster!$A$3,MATCH(表格1[[#This Row],[Location]]&amp;" "&amp;表格1[[#This Row],[Shop]]&amp;"*",Roster!$A$4:$A$72,0),DAY(表格1[[#This Row],[date]]),1,1)</f>
        <v>Ivy Wong_1</v>
      </c>
      <c r="E2938" s="86">
        <f>MONTH(表格1[[#This Row],[date]])</f>
        <v>3</v>
      </c>
      <c r="F2938" s="90">
        <v>46082</v>
      </c>
      <c r="G2938" s="86" t="str">
        <f>VLOOKUP("*"&amp;表格1[[#This Row],[Input]]&amp;"*",'Ref-List'!$B:$D,2,)</f>
        <v>RC-10ISSHK(W)</v>
      </c>
      <c r="H2938" s="86" t="str">
        <f>_xlfn.XLOOKUP(表格1[[#This Row],[Model]],表格3[Model-Input-Ref2],表格3[Product Line])</f>
        <v>磁應電飯煲(1公升)</v>
      </c>
      <c r="I2938" s="86" t="str">
        <f>_xlfn.XLOOKUP(表格1[[#This Row],[Model]],表格3[Model-Input-Ref2],表格3[大小電])</f>
        <v>細電</v>
      </c>
      <c r="J2938" s="86" t="str">
        <f>_xlfn.XLOOKUP(表格1[[#This Row],[Model]],表格3[Model-Input-Ref2],表格3[Code])</f>
        <v>SDA</v>
      </c>
      <c r="K2938" s="89" t="s">
        <v>1286</v>
      </c>
      <c r="L2938" s="86">
        <v>1</v>
      </c>
      <c r="M2938" s="87">
        <v>898</v>
      </c>
      <c r="N2938" s="87">
        <f>IFERROR(表格1[[#This Row],[QTY]]*表格1[[#This Row],[Unit Price]],"-")</f>
        <v>898</v>
      </c>
      <c r="O2938" s="86">
        <v>413920</v>
      </c>
      <c r="R2938" s="86" t="str">
        <f>_xlfn.CONCAT(表格1[[#This Row],[Model]]," ",表格1[[#This Row],[inv no]])</f>
        <v>RC-10ISSHK(W) 413920</v>
      </c>
      <c r="S2938" s="86">
        <f>_xlfn.XLOOKUP(表格1[[#This Row],[Model]],表格3[Model-Input-Ref2],表格3[SRP PRICE])</f>
        <v>1188</v>
      </c>
      <c r="T2938" s="43">
        <f>表格1[[#This Row],[Unit Price]]/表格1[[#This Row],[SRP]]</f>
        <v>0.75589225589225584</v>
      </c>
      <c r="U2938" s="86" t="str">
        <f>_xlfn.XLOOKUP(表格1[[#This Row],[Model]],表格3[Model-Input-Ref2],表格3[TOSHIBA/HIGHEST])</f>
        <v>Shops Highest Price</v>
      </c>
      <c r="W2938" s="86" t="str">
        <f>_xlfn.CONCAT(表格1[[#This Row],[欄4]],表格1[[#This Row],[inv no]])</f>
        <v>413920</v>
      </c>
    </row>
    <row r="2939" spans="1:23" hidden="1">
      <c r="A2939" s="81">
        <v>2937</v>
      </c>
      <c r="B2939" s="86" t="s">
        <v>1477</v>
      </c>
      <c r="C2939" s="86" t="s">
        <v>1945</v>
      </c>
      <c r="D2939" s="82" t="str">
        <f ca="1">OFFSET(Roster!$A$3,MATCH(表格1[[#This Row],[Location]]&amp;" "&amp;表格1[[#This Row],[Shop]]&amp;"*",Roster!$A$4:$A$72,0),DAY(表格1[[#This Row],[date]]),1,1)</f>
        <v>Ivy Wong_1</v>
      </c>
      <c r="E2939" s="86">
        <f>MONTH(表格1[[#This Row],[date]])</f>
        <v>3</v>
      </c>
      <c r="F2939" s="90">
        <v>46082</v>
      </c>
      <c r="G2939" s="86" t="str">
        <f>VLOOKUP("*"&amp;表格1[[#This Row],[Input]]&amp;"*",'Ref-List'!$B:$D,2,)</f>
        <v>TWD-BN90GF4H(WK)</v>
      </c>
      <c r="H2939" s="86" t="str">
        <f>_xlfn.XLOOKUP(表格1[[#This Row],[Model]],表格3[Model-Input-Ref2],表格3[Product Line])</f>
        <v>超薄身前置式洗衣乾衣機 (洗8公斤 乾5公斤)</v>
      </c>
      <c r="I2939" s="86" t="str">
        <f>_xlfn.XLOOKUP(表格1[[#This Row],[Model]],表格3[Model-Input-Ref2],表格3[大小電])</f>
        <v>大電</v>
      </c>
      <c r="J2939" s="86" t="str">
        <f>_xlfn.XLOOKUP(表格1[[#This Row],[Model]],表格3[Model-Input-Ref2],表格3[Code])</f>
        <v>WM</v>
      </c>
      <c r="K2939" s="89" t="s">
        <v>1199</v>
      </c>
      <c r="L2939" s="86">
        <v>1</v>
      </c>
      <c r="M2939" s="87">
        <v>3780</v>
      </c>
      <c r="N2939" s="87">
        <f>IFERROR(表格1[[#This Row],[QTY]]*表格1[[#This Row],[Unit Price]],"-")</f>
        <v>3780</v>
      </c>
      <c r="O2939" s="86">
        <v>413926</v>
      </c>
      <c r="R2939" s="86" t="str">
        <f>_xlfn.CONCAT(表格1[[#This Row],[Model]]," ",表格1[[#This Row],[inv no]])</f>
        <v>TWD-BN90GF4H(WK) 413926</v>
      </c>
      <c r="S2939" s="86">
        <f>_xlfn.XLOOKUP(表格1[[#This Row],[Model]],表格3[Model-Input-Ref2],表格3[SRP PRICE])</f>
        <v>5980</v>
      </c>
      <c r="T2939" s="43">
        <f>表格1[[#This Row],[Unit Price]]/表格1[[#This Row],[SRP]]</f>
        <v>0.63210702341137126</v>
      </c>
      <c r="U2939" s="86" t="str">
        <f>_xlfn.XLOOKUP(表格1[[#This Row],[Model]],表格3[Model-Input-Ref2],表格3[TOSHIBA/HIGHEST])</f>
        <v>Toshiba SRP</v>
      </c>
      <c r="W2939" s="86" t="str">
        <f>_xlfn.CONCAT(表格1[[#This Row],[欄4]],表格1[[#This Row],[inv no]])</f>
        <v>413926</v>
      </c>
    </row>
    <row r="2940" spans="1:23" hidden="1">
      <c r="A2940" s="81">
        <v>2938</v>
      </c>
      <c r="B2940" s="86" t="s">
        <v>1477</v>
      </c>
      <c r="C2940" s="86" t="s">
        <v>1945</v>
      </c>
      <c r="D2940" s="82" t="str">
        <f ca="1">OFFSET(Roster!$A$3,MATCH(表格1[[#This Row],[Location]]&amp;" "&amp;表格1[[#This Row],[Shop]]&amp;"*",Roster!$A$4:$A$72,0),DAY(表格1[[#This Row],[date]]),1,1)</f>
        <v>Ivy Wong_1</v>
      </c>
      <c r="E2940" s="86">
        <f>MONTH(表格1[[#This Row],[date]])</f>
        <v>3</v>
      </c>
      <c r="F2940" s="90">
        <v>46082</v>
      </c>
      <c r="G2940" s="86" t="str">
        <f>VLOOKUP("*"&amp;表格1[[#This Row],[Input]]&amp;"*",'Ref-List'!$B:$D,2,)</f>
        <v>VC-CLX50BF(R)</v>
      </c>
      <c r="H2940" s="86" t="str">
        <f>_xlfn.XLOOKUP(表格1[[#This Row],[Model]],表格3[Model-Input-Ref2],表格3[Product Line])</f>
        <v>All-in-one 輕巧無線吸塵機</v>
      </c>
      <c r="I2940" s="86" t="str">
        <f>_xlfn.XLOOKUP(表格1[[#This Row],[Model]],表格3[Model-Input-Ref2],表格3[大小電])</f>
        <v>細電</v>
      </c>
      <c r="J2940" s="86" t="str">
        <f>_xlfn.XLOOKUP(表格1[[#This Row],[Model]],表格3[Model-Input-Ref2],表格3[Code])</f>
        <v>MCA</v>
      </c>
      <c r="K2940" s="89" t="s">
        <v>1774</v>
      </c>
      <c r="L2940" s="86">
        <v>1</v>
      </c>
      <c r="M2940" s="87">
        <v>1798</v>
      </c>
      <c r="N2940" s="87">
        <f>IFERROR(表格1[[#This Row],[QTY]]*表格1[[#This Row],[Unit Price]],"-")</f>
        <v>1798</v>
      </c>
      <c r="O2940" s="86">
        <v>413848</v>
      </c>
      <c r="R2940" s="86" t="str">
        <f>_xlfn.CONCAT(表格1[[#This Row],[Model]]," ",表格1[[#This Row],[inv no]])</f>
        <v>VC-CLX50BF(R) 413848</v>
      </c>
      <c r="S2940" s="86">
        <f>_xlfn.XLOOKUP(表格1[[#This Row],[Model]],表格3[Model-Input-Ref2],表格3[SRP PRICE])</f>
        <v>3188</v>
      </c>
      <c r="T2940" s="43">
        <f>表格1[[#This Row],[Unit Price]]/表格1[[#This Row],[SRP]]</f>
        <v>0.56398996235884569</v>
      </c>
      <c r="U2940" s="86" t="str">
        <f>_xlfn.XLOOKUP(表格1[[#This Row],[Model]],表格3[Model-Input-Ref2],表格3[TOSHIBA/HIGHEST])</f>
        <v>Toshiba SRP</v>
      </c>
      <c r="W2940" s="86" t="str">
        <f>_xlfn.CONCAT(表格1[[#This Row],[欄4]],表格1[[#This Row],[inv no]])</f>
        <v>413848</v>
      </c>
    </row>
    <row r="2941" spans="1:23" hidden="1">
      <c r="A2941" s="81">
        <v>2939</v>
      </c>
      <c r="B2941" s="86" t="s">
        <v>1477</v>
      </c>
      <c r="C2941" s="86" t="s">
        <v>1945</v>
      </c>
      <c r="D2941" s="82" t="str">
        <f ca="1">OFFSET(Roster!$A$3,MATCH(表格1[[#This Row],[Location]]&amp;" "&amp;表格1[[#This Row],[Shop]]&amp;"*",Roster!$A$4:$A$72,0),DAY(表格1[[#This Row],[date]]),1,1)</f>
        <v>Ivy Wong_1</v>
      </c>
      <c r="E2941" s="86">
        <f>MONTH(表格1[[#This Row],[date]])</f>
        <v>3</v>
      </c>
      <c r="F2941" s="90">
        <v>46082</v>
      </c>
      <c r="G2941" s="86" t="str">
        <f>VLOOKUP("*"&amp;表格1[[#This Row],[Input]]&amp;"*",'Ref-List'!$B:$D,2,)</f>
        <v>MW3-SAC24SE(BK)</v>
      </c>
      <c r="H2941" s="86" t="str">
        <f>_xlfn.XLOOKUP(表格1[[#This Row],[Model]],表格3[Model-Input-Ref2],表格3[Product Line])</f>
        <v>智能氣炸烤焗爐(24公升)</v>
      </c>
      <c r="I2941" s="86" t="str">
        <f>_xlfn.XLOOKUP(表格1[[#This Row],[Model]],表格3[Model-Input-Ref2],表格3[大小電])</f>
        <v>細電</v>
      </c>
      <c r="J2941" s="86" t="str">
        <f>_xlfn.XLOOKUP(表格1[[#This Row],[Model]],表格3[Model-Input-Ref2],表格3[Code])</f>
        <v>MCA</v>
      </c>
      <c r="K2941" s="89" t="s">
        <v>1274</v>
      </c>
      <c r="L2941" s="86">
        <v>1</v>
      </c>
      <c r="M2941" s="87">
        <v>1320</v>
      </c>
      <c r="N2941" s="87">
        <f>IFERROR(表格1[[#This Row],[QTY]]*表格1[[#This Row],[Unit Price]],"-")</f>
        <v>1320</v>
      </c>
      <c r="O2941" s="86">
        <v>320984</v>
      </c>
      <c r="R2941" s="86" t="str">
        <f>_xlfn.CONCAT(表格1[[#This Row],[Model]]," ",表格1[[#This Row],[inv no]])</f>
        <v>MW3-SAC24SE(BK) 320984</v>
      </c>
      <c r="S2941" s="86">
        <f>_xlfn.XLOOKUP(表格1[[#This Row],[Model]],表格3[Model-Input-Ref2],表格3[SRP PRICE])</f>
        <v>1680</v>
      </c>
      <c r="T2941" s="43">
        <f>表格1[[#This Row],[Unit Price]]/表格1[[#This Row],[SRP]]</f>
        <v>0.7857142857142857</v>
      </c>
      <c r="U2941" s="86" t="str">
        <f>_xlfn.XLOOKUP(表格1[[#This Row],[Model]],表格3[Model-Input-Ref2],表格3[TOSHIBA/HIGHEST])</f>
        <v>Toshiba SRP</v>
      </c>
      <c r="W2941" s="86" t="str">
        <f>_xlfn.CONCAT(表格1[[#This Row],[欄4]],表格1[[#This Row],[inv no]])</f>
        <v>320984</v>
      </c>
    </row>
    <row r="2942" spans="1:23" hidden="1">
      <c r="A2942" s="81">
        <v>2940</v>
      </c>
      <c r="B2942" s="86" t="s">
        <v>1477</v>
      </c>
      <c r="C2942" s="86" t="s">
        <v>1945</v>
      </c>
      <c r="D2942" s="82" t="str">
        <f ca="1">OFFSET(Roster!$A$3,MATCH(表格1[[#This Row],[Location]]&amp;" "&amp;表格1[[#This Row],[Shop]]&amp;"*",Roster!$A$4:$A$72,0),DAY(表格1[[#This Row],[date]]),1,1)</f>
        <v>Ivy Wong_1</v>
      </c>
      <c r="E2942" s="86">
        <f>MONTH(表格1[[#This Row],[date]])</f>
        <v>3</v>
      </c>
      <c r="F2942" s="90">
        <v>46082</v>
      </c>
      <c r="G2942" s="86" t="str">
        <f>VLOOKUP("*"&amp;表格1[[#This Row],[Input]]&amp;"*",'Ref-List'!$B:$D,2,)</f>
        <v>TW-T21BU90UWH(WW)</v>
      </c>
      <c r="H2942" s="86" t="str">
        <f>_xlfn.XLOOKUP(表格1[[#This Row],[Model]],表格3[Model-Input-Ref2],表格3[Product Line])</f>
        <v>8公斤超薄身前置式變頻洗衣機</v>
      </c>
      <c r="I2942" s="86" t="str">
        <f>_xlfn.XLOOKUP(表格1[[#This Row],[Model]],表格3[Model-Input-Ref2],表格3[大小電])</f>
        <v>大電</v>
      </c>
      <c r="J2942" s="86" t="str">
        <f>_xlfn.XLOOKUP(表格1[[#This Row],[Model]],表格3[Model-Input-Ref2],表格3[Code])</f>
        <v>LAD</v>
      </c>
      <c r="K2942" s="89" t="s">
        <v>1472</v>
      </c>
      <c r="L2942" s="86">
        <v>1</v>
      </c>
      <c r="M2942" s="87">
        <v>3480</v>
      </c>
      <c r="N2942" s="87">
        <f>IFERROR(表格1[[#This Row],[QTY]]*表格1[[#This Row],[Unit Price]],"-")</f>
        <v>3480</v>
      </c>
      <c r="O2942" s="86">
        <v>413866</v>
      </c>
      <c r="R2942" s="86" t="str">
        <f>_xlfn.CONCAT(表格1[[#This Row],[Model]]," ",表格1[[#This Row],[inv no]])</f>
        <v>TW-T21BU90UWH(WW) 413866</v>
      </c>
      <c r="S2942" s="86">
        <f>_xlfn.XLOOKUP(表格1[[#This Row],[Model]],表格3[Model-Input-Ref2],表格3[SRP PRICE])</f>
        <v>5480</v>
      </c>
      <c r="T2942" s="43">
        <f>表格1[[#This Row],[Unit Price]]/表格1[[#This Row],[SRP]]</f>
        <v>0.63503649635036497</v>
      </c>
      <c r="U2942" s="86" t="str">
        <f>_xlfn.XLOOKUP(表格1[[#This Row],[Model]],表格3[Model-Input-Ref2],表格3[TOSHIBA/HIGHEST])</f>
        <v>Toshiba SRP</v>
      </c>
      <c r="W2942" s="86" t="str">
        <f>_xlfn.CONCAT(表格1[[#This Row],[欄4]],表格1[[#This Row],[inv no]])</f>
        <v>413866</v>
      </c>
    </row>
    <row r="2943" spans="1:23" hidden="1">
      <c r="A2943" s="81">
        <v>2941</v>
      </c>
      <c r="B2943" s="86" t="s">
        <v>1477</v>
      </c>
      <c r="C2943" s="86" t="s">
        <v>1945</v>
      </c>
      <c r="D2943" s="82" t="str">
        <f ca="1">OFFSET(Roster!$A$3,MATCH(表格1[[#This Row],[Location]]&amp;" "&amp;表格1[[#This Row],[Shop]]&amp;"*",Roster!$A$4:$A$72,0),DAY(表格1[[#This Row],[date]]),1,1)</f>
        <v>Ivy Wong_1</v>
      </c>
      <c r="E2943" s="86">
        <f>MONTH(表格1[[#This Row],[date]])</f>
        <v>3</v>
      </c>
      <c r="F2943" s="90">
        <v>46082</v>
      </c>
      <c r="G2943" s="86" t="str">
        <f>VLOOKUP("*"&amp;表格1[[#This Row],[Input]]&amp;"*",'Ref-List'!$B:$D,2,)</f>
        <v>TWD-T22BU95UWH(WK)-B</v>
      </c>
      <c r="H2943" s="86" t="str">
        <f>_xlfn.XLOOKUP(表格1[[#This Row],[Model]],表格3[Model-Input-Ref2],表格3[Product Line])</f>
        <v>470MM超薄身前置式變頻洗衣乾衣機 (洗8.5公斤/乾6公斤, 可飛頂)</v>
      </c>
      <c r="I2943" s="86" t="str">
        <f>_xlfn.XLOOKUP(表格1[[#This Row],[Model]],表格3[Model-Input-Ref2],表格3[大小電])</f>
        <v>大電</v>
      </c>
      <c r="J2943" s="86" t="str">
        <f>_xlfn.XLOOKUP(表格1[[#This Row],[Model]],表格3[Model-Input-Ref2],表格3[Code])</f>
        <v>LAD</v>
      </c>
      <c r="K2943" s="89" t="s">
        <v>1421</v>
      </c>
      <c r="L2943" s="86">
        <v>1</v>
      </c>
      <c r="M2943" s="87">
        <v>4780</v>
      </c>
      <c r="N2943" s="87">
        <f>IFERROR(表格1[[#This Row],[QTY]]*表格1[[#This Row],[Unit Price]],"-")</f>
        <v>4780</v>
      </c>
      <c r="O2943" s="86">
        <v>413961</v>
      </c>
      <c r="R2943" s="86" t="str">
        <f>_xlfn.CONCAT(表格1[[#This Row],[Model]]," ",表格1[[#This Row],[inv no]])</f>
        <v>TWD-T22BU95UWH(WK)-B 413961</v>
      </c>
      <c r="S2943" s="86">
        <f>_xlfn.XLOOKUP(表格1[[#This Row],[Model]],表格3[Model-Input-Ref2],表格3[SRP PRICE])</f>
        <v>7480</v>
      </c>
      <c r="T2943" s="43">
        <f>表格1[[#This Row],[Unit Price]]/表格1[[#This Row],[SRP]]</f>
        <v>0.63903743315508021</v>
      </c>
      <c r="U2943" s="86" t="str">
        <f>_xlfn.XLOOKUP(表格1[[#This Row],[Model]],表格3[Model-Input-Ref2],表格3[TOSHIBA/HIGHEST])</f>
        <v>Toshiba SRP</v>
      </c>
      <c r="W2943" s="86" t="str">
        <f>_xlfn.CONCAT(表格1[[#This Row],[欄4]],表格1[[#This Row],[inv no]])</f>
        <v>413961</v>
      </c>
    </row>
    <row r="2944" spans="1:23" hidden="1">
      <c r="A2944" s="81">
        <v>2942</v>
      </c>
      <c r="B2944" s="86" t="s">
        <v>1477</v>
      </c>
      <c r="C2944" s="86" t="s">
        <v>1945</v>
      </c>
      <c r="D2944" s="82" t="str">
        <f ca="1">OFFSET(Roster!$A$3,MATCH(表格1[[#This Row],[Location]]&amp;" "&amp;表格1[[#This Row],[Shop]]&amp;"*",Roster!$A$4:$A$72,0),DAY(表格1[[#This Row],[date]]),1,1)</f>
        <v>Ivy Wong_1</v>
      </c>
      <c r="E2944" s="86">
        <f>MONTH(表格1[[#This Row],[date]])</f>
        <v>3</v>
      </c>
      <c r="F2944" s="90">
        <v>46082</v>
      </c>
      <c r="G2944" s="86" t="str">
        <f>VLOOKUP("*"&amp;表格1[[#This Row],[Input]]&amp;"*",'Ref-List'!$B:$D,2,)</f>
        <v>RAD-D300H</v>
      </c>
      <c r="H2944" s="86" t="str">
        <f>_xlfn.XLOOKUP(表格1[[#This Row],[Model]],表格3[Model-Input-Ref2],表格3[Product Line])</f>
        <v>壓縮式抽濕機 (30公升)</v>
      </c>
      <c r="I2944" s="86" t="str">
        <f>_xlfn.XLOOKUP(表格1[[#This Row],[Model]],表格3[Model-Input-Ref2],表格3[大小電])</f>
        <v>細電</v>
      </c>
      <c r="J2944" s="86" t="str">
        <f>_xlfn.XLOOKUP(表格1[[#This Row],[Model]],表格3[Model-Input-Ref2],表格3[Code])</f>
        <v>RAC</v>
      </c>
      <c r="K2944" s="89" t="s">
        <v>1252</v>
      </c>
      <c r="L2944" s="86">
        <v>1</v>
      </c>
      <c r="M2944" s="87">
        <v>2280</v>
      </c>
      <c r="N2944" s="87">
        <f>IFERROR(表格1[[#This Row],[QTY]]*表格1[[#This Row],[Unit Price]],"-")</f>
        <v>2280</v>
      </c>
      <c r="O2944" s="86">
        <v>321007</v>
      </c>
      <c r="R2944" s="86" t="str">
        <f>_xlfn.CONCAT(表格1[[#This Row],[Model]]," ",表格1[[#This Row],[inv no]])</f>
        <v>RAD-D300H 321007</v>
      </c>
      <c r="S2944" s="86">
        <f>_xlfn.XLOOKUP(表格1[[#This Row],[Model]],表格3[Model-Input-Ref2],表格3[SRP PRICE])</f>
        <v>3380</v>
      </c>
      <c r="T2944" s="43">
        <f>表格1[[#This Row],[Unit Price]]/表格1[[#This Row],[SRP]]</f>
        <v>0.67455621301775148</v>
      </c>
      <c r="U2944" s="86" t="str">
        <f>_xlfn.XLOOKUP(表格1[[#This Row],[Model]],表格3[Model-Input-Ref2],表格3[TOSHIBA/HIGHEST])</f>
        <v>Shops Highest Price</v>
      </c>
      <c r="W2944" s="86" t="str">
        <f>_xlfn.CONCAT(表格1[[#This Row],[欄4]],表格1[[#This Row],[inv no]])</f>
        <v>321007</v>
      </c>
    </row>
    <row r="2945" spans="1:23" hidden="1">
      <c r="A2945" s="81">
        <v>2943</v>
      </c>
      <c r="B2945" s="86" t="s">
        <v>1477</v>
      </c>
      <c r="C2945" s="86" t="s">
        <v>1945</v>
      </c>
      <c r="D2945" s="82" t="str">
        <f ca="1">OFFSET(Roster!$A$3,MATCH(表格1[[#This Row],[Location]]&amp;" "&amp;表格1[[#This Row],[Shop]]&amp;"*",Roster!$A$4:$A$72,0),DAY(表格1[[#This Row],[date]]),1,1)</f>
        <v>Ivy Wong_1</v>
      </c>
      <c r="E2945" s="86">
        <f>MONTH(表格1[[#This Row],[date]])</f>
        <v>3</v>
      </c>
      <c r="F2945" s="90">
        <v>46082</v>
      </c>
      <c r="G2945" s="86" t="str">
        <f>VLOOKUP("*"&amp;表格1[[#This Row],[Input]]&amp;"*",'Ref-List'!$B:$D,2,)</f>
        <v>RAC-09G3CVRGR-HK</v>
      </c>
      <c r="H2945" s="86" t="str">
        <f>_xlfn.XLOOKUP(表格1[[#This Row],[Model]],表格3[Model-Input-Ref2],表格3[Product Line])</f>
        <v>1 匹 R32變頻窗口式冷氣機 (獨立抽濕遙控</v>
      </c>
      <c r="I2945" s="86" t="str">
        <f>_xlfn.XLOOKUP(表格1[[#This Row],[Model]],表格3[Model-Input-Ref2],表格3[大小電])</f>
        <v>大電</v>
      </c>
      <c r="J2945" s="86" t="str">
        <f>_xlfn.XLOOKUP(表格1[[#This Row],[Model]],表格3[Model-Input-Ref2],表格3[Code])</f>
        <v>AC</v>
      </c>
      <c r="K2945" s="89" t="s">
        <v>1474</v>
      </c>
      <c r="L2945" s="86">
        <v>1</v>
      </c>
      <c r="M2945" s="87">
        <v>4980</v>
      </c>
      <c r="N2945" s="87">
        <f>IFERROR(表格1[[#This Row],[QTY]]*表格1[[#This Row],[Unit Price]],"-")</f>
        <v>4980</v>
      </c>
      <c r="O2945" s="86">
        <v>321044</v>
      </c>
      <c r="R2945" s="86" t="str">
        <f>_xlfn.CONCAT(表格1[[#This Row],[Model]]," ",表格1[[#This Row],[inv no]])</f>
        <v>RAC-09G3CVRGR-HK 321044</v>
      </c>
      <c r="S2945" s="86">
        <f>_xlfn.XLOOKUP(表格1[[#This Row],[Model]],表格3[Model-Input-Ref2],表格3[SRP PRICE])</f>
        <v>6980</v>
      </c>
      <c r="T2945" s="43">
        <f>表格1[[#This Row],[Unit Price]]/表格1[[#This Row],[SRP]]</f>
        <v>0.71346704871060174</v>
      </c>
      <c r="U2945" s="86" t="str">
        <f>_xlfn.XLOOKUP(表格1[[#This Row],[Model]],表格3[Model-Input-Ref2],表格3[TOSHIBA/HIGHEST])</f>
        <v>Toshiba SRP</v>
      </c>
      <c r="W2945" s="86" t="str">
        <f>_xlfn.CONCAT(表格1[[#This Row],[欄4]],表格1[[#This Row],[inv no]])</f>
        <v>321044</v>
      </c>
    </row>
    <row r="2946" spans="1:23" hidden="1">
      <c r="A2946" s="81">
        <v>2944</v>
      </c>
      <c r="B2946" s="86" t="s">
        <v>1477</v>
      </c>
      <c r="C2946" s="86" t="s">
        <v>1945</v>
      </c>
      <c r="D2946" s="82" t="str">
        <f ca="1">OFFSET(Roster!$A$3,MATCH(表格1[[#This Row],[Location]]&amp;" "&amp;表格1[[#This Row],[Shop]]&amp;"*",Roster!$A$4:$A$72,0),DAY(表格1[[#This Row],[date]]),1,1)</f>
        <v>Ivy Wong_1</v>
      </c>
      <c r="E2946" s="86">
        <f>MONTH(表格1[[#This Row],[date]])</f>
        <v>3</v>
      </c>
      <c r="F2946" s="90">
        <v>46082</v>
      </c>
      <c r="G2946" s="86" t="str">
        <f>VLOOKUP("*"&amp;表格1[[#This Row],[Input]]&amp;"*",'Ref-List'!$B:$D,2,)</f>
        <v>RAD-D300H</v>
      </c>
      <c r="H2946" s="86" t="str">
        <f>_xlfn.XLOOKUP(表格1[[#This Row],[Model]],表格3[Model-Input-Ref2],表格3[Product Line])</f>
        <v>壓縮式抽濕機 (30公升)</v>
      </c>
      <c r="I2946" s="86" t="str">
        <f>_xlfn.XLOOKUP(表格1[[#This Row],[Model]],表格3[Model-Input-Ref2],表格3[大小電])</f>
        <v>細電</v>
      </c>
      <c r="J2946" s="86" t="str">
        <f>_xlfn.XLOOKUP(表格1[[#This Row],[Model]],表格3[Model-Input-Ref2],表格3[Code])</f>
        <v>RAC</v>
      </c>
      <c r="K2946" s="89" t="s">
        <v>1252</v>
      </c>
      <c r="L2946" s="86">
        <v>1</v>
      </c>
      <c r="M2946" s="87">
        <v>2280</v>
      </c>
      <c r="N2946" s="87">
        <f>IFERROR(表格1[[#This Row],[QTY]]*表格1[[#This Row],[Unit Price]],"-")</f>
        <v>2280</v>
      </c>
      <c r="O2946" s="86">
        <v>413918</v>
      </c>
      <c r="R2946" s="86" t="str">
        <f>_xlfn.CONCAT(表格1[[#This Row],[Model]]," ",表格1[[#This Row],[inv no]])</f>
        <v>RAD-D300H 413918</v>
      </c>
      <c r="S2946" s="86">
        <f>_xlfn.XLOOKUP(表格1[[#This Row],[Model]],表格3[Model-Input-Ref2],表格3[SRP PRICE])</f>
        <v>3380</v>
      </c>
      <c r="T2946" s="43">
        <f>表格1[[#This Row],[Unit Price]]/表格1[[#This Row],[SRP]]</f>
        <v>0.67455621301775148</v>
      </c>
      <c r="U2946" s="86" t="str">
        <f>_xlfn.XLOOKUP(表格1[[#This Row],[Model]],表格3[Model-Input-Ref2],表格3[TOSHIBA/HIGHEST])</f>
        <v>Shops Highest Price</v>
      </c>
      <c r="W2946" s="86" t="str">
        <f>_xlfn.CONCAT(表格1[[#This Row],[欄4]],表格1[[#This Row],[inv no]])</f>
        <v>413918</v>
      </c>
    </row>
    <row r="2947" spans="1:23" hidden="1">
      <c r="A2947" s="81">
        <v>2945</v>
      </c>
      <c r="B2947" s="86" t="s">
        <v>1477</v>
      </c>
      <c r="C2947" s="86" t="s">
        <v>1945</v>
      </c>
      <c r="D2947" s="82" t="str">
        <f ca="1">OFFSET(Roster!$A$3,MATCH(表格1[[#This Row],[Location]]&amp;" "&amp;表格1[[#This Row],[Shop]]&amp;"*",Roster!$A$4:$A$72,0),DAY(表格1[[#This Row],[date]]),1,1)</f>
        <v>Ivy Wong_1</v>
      </c>
      <c r="E2947" s="86">
        <f>MONTH(表格1[[#This Row],[date]])</f>
        <v>3</v>
      </c>
      <c r="F2947" s="90">
        <v>46082</v>
      </c>
      <c r="G2947" s="86" t="str">
        <f>VLOOKUP("*"&amp;表格1[[#This Row],[Input]]&amp;"*",'Ref-List'!$B:$D,2,)</f>
        <v>GR-RT300WE-PMA(57)</v>
      </c>
      <c r="H2947" s="86" t="str">
        <f>_xlfn.XLOOKUP(表格1[[#This Row],[Model]],表格3[Model-Input-Ref2],表格3[Product Line])</f>
        <v>變頻式環保雙門雪櫃(233L)</v>
      </c>
      <c r="I2947" s="86" t="str">
        <f>_xlfn.XLOOKUP(表格1[[#This Row],[Model]],表格3[Model-Input-Ref2],表格3[大小電])</f>
        <v>大電</v>
      </c>
      <c r="J2947" s="86" t="str">
        <f>_xlfn.XLOOKUP(表格1[[#This Row],[Model]],表格3[Model-Input-Ref2],表格3[Code])</f>
        <v>REF</v>
      </c>
      <c r="K2947" s="89" t="s">
        <v>1462</v>
      </c>
      <c r="L2947" s="86">
        <v>1</v>
      </c>
      <c r="M2947" s="87">
        <v>2780</v>
      </c>
      <c r="N2947" s="87">
        <f>IFERROR(表格1[[#This Row],[QTY]]*表格1[[#This Row],[Unit Price]],"-")</f>
        <v>2780</v>
      </c>
      <c r="O2947" s="86">
        <v>413983</v>
      </c>
      <c r="R2947" s="86" t="str">
        <f>_xlfn.CONCAT(表格1[[#This Row],[Model]]," ",表格1[[#This Row],[inv no]])</f>
        <v>GR-RT300WE-PMA(57) 413983</v>
      </c>
      <c r="S2947" s="86">
        <f>_xlfn.XLOOKUP(表格1[[#This Row],[Model]],表格3[Model-Input-Ref2],表格3[SRP PRICE])</f>
        <v>4280</v>
      </c>
      <c r="T2947" s="43">
        <f>表格1[[#This Row],[Unit Price]]/表格1[[#This Row],[SRP]]</f>
        <v>0.64953271028037385</v>
      </c>
      <c r="U2947" s="86" t="str">
        <f>_xlfn.XLOOKUP(表格1[[#This Row],[Model]],表格3[Model-Input-Ref2],表格3[TOSHIBA/HIGHEST])</f>
        <v>Toshiba SRP</v>
      </c>
      <c r="W2947" s="86" t="str">
        <f>_xlfn.CONCAT(表格1[[#This Row],[欄4]],表格1[[#This Row],[inv no]])</f>
        <v>413983</v>
      </c>
    </row>
    <row r="2948" spans="1:23" hidden="1">
      <c r="A2948" s="81">
        <v>2946</v>
      </c>
      <c r="B2948" s="86" t="s">
        <v>1477</v>
      </c>
      <c r="C2948" s="86" t="s">
        <v>1945</v>
      </c>
      <c r="D2948" s="82" t="str">
        <f ca="1">OFFSET(Roster!$A$3,MATCH(表格1[[#This Row],[Location]]&amp;" "&amp;表格1[[#This Row],[Shop]]&amp;"*",Roster!$A$4:$A$72,0),DAY(表格1[[#This Row],[date]]),1,1)</f>
        <v>Ivy Wong_1</v>
      </c>
      <c r="E2948" s="86">
        <f>MONTH(表格1[[#This Row],[date]])</f>
        <v>3</v>
      </c>
      <c r="F2948" s="90">
        <v>46095</v>
      </c>
      <c r="G2948" s="86" t="str">
        <f>VLOOKUP("*"&amp;表格1[[#This Row],[Input]]&amp;"*",'Ref-List'!$B:$D,2,)</f>
        <v>PLK-30FLIH(WT)</v>
      </c>
      <c r="H2948" s="86" t="str">
        <f>_xlfn.XLOOKUP(表格1[[#This Row],[Model]],表格3[Model-Input-Ref2],表格3[Product Line])</f>
        <v>電熱水瓶3L</v>
      </c>
      <c r="I2948" s="86" t="str">
        <f>_xlfn.XLOOKUP(表格1[[#This Row],[Model]],表格3[Model-Input-Ref2],表格3[大小電])</f>
        <v>細電</v>
      </c>
      <c r="J2948" s="86" t="str">
        <f>_xlfn.XLOOKUP(表格1[[#This Row],[Model]],表格3[Model-Input-Ref2],表格3[Code])</f>
        <v>SDA</v>
      </c>
      <c r="K2948" s="89" t="s">
        <v>1272</v>
      </c>
      <c r="L2948" s="86">
        <v>1</v>
      </c>
      <c r="M2948" s="87">
        <v>489</v>
      </c>
      <c r="N2948" s="87">
        <f>IFERROR(表格1[[#This Row],[QTY]]*表格1[[#This Row],[Unit Price]],"-")</f>
        <v>489</v>
      </c>
      <c r="O2948" s="86">
        <v>413999</v>
      </c>
      <c r="R2948" s="86" t="str">
        <f>_xlfn.CONCAT(表格1[[#This Row],[Model]]," ",表格1[[#This Row],[inv no]])</f>
        <v>PLK-30FLIH(WT) 413999</v>
      </c>
      <c r="S2948" s="86">
        <f>_xlfn.XLOOKUP(表格1[[#This Row],[Model]],表格3[Model-Input-Ref2],表格3[SRP PRICE])</f>
        <v>658</v>
      </c>
      <c r="T2948" s="43">
        <f>表格1[[#This Row],[Unit Price]]/表格1[[#This Row],[SRP]]</f>
        <v>0.74316109422492405</v>
      </c>
      <c r="U2948" s="86" t="str">
        <f>_xlfn.XLOOKUP(表格1[[#This Row],[Model]],表格3[Model-Input-Ref2],表格3[TOSHIBA/HIGHEST])</f>
        <v>Toshiba SRP</v>
      </c>
      <c r="W2948" s="86" t="str">
        <f>_xlfn.CONCAT(表格1[[#This Row],[欄4]],表格1[[#This Row],[inv no]])</f>
        <v>413999</v>
      </c>
    </row>
    <row r="2949" spans="1:23" hidden="1">
      <c r="A2949" s="81">
        <v>2947</v>
      </c>
      <c r="B2949" s="86" t="s">
        <v>1477</v>
      </c>
      <c r="C2949" s="86" t="s">
        <v>1945</v>
      </c>
      <c r="D2949" s="82" t="str">
        <f ca="1">OFFSET(Roster!$A$3,MATCH(表格1[[#This Row],[Location]]&amp;" "&amp;表格1[[#This Row],[Shop]]&amp;"*",Roster!$A$4:$A$72,0),DAY(表格1[[#This Row],[date]]),1,1)</f>
        <v>Ivy Wong_1</v>
      </c>
      <c r="E2949" s="86">
        <f>MONTH(表格1[[#This Row],[date]])</f>
        <v>3</v>
      </c>
      <c r="F2949" s="90">
        <v>46095</v>
      </c>
      <c r="G2949" s="86" t="str">
        <f>VLOOKUP("*"&amp;表格1[[#This Row],[Input]]&amp;"*",'Ref-List'!$B:$D,2,)</f>
        <v>ET-TD7080(PN)</v>
      </c>
      <c r="H2949" s="86" t="str">
        <f>_xlfn.XLOOKUP(表格1[[#This Row],[Model]],表格3[Model-Input-Ref2],表格3[Product Line])</f>
        <v>多士焗爐8L</v>
      </c>
      <c r="I2949" s="86" t="str">
        <f>_xlfn.XLOOKUP(表格1[[#This Row],[Model]],表格3[Model-Input-Ref2],表格3[大小電])</f>
        <v>細電</v>
      </c>
      <c r="J2949" s="86" t="str">
        <f>_xlfn.XLOOKUP(表格1[[#This Row],[Model]],表格3[Model-Input-Ref2],表格3[Code])</f>
        <v>SDA</v>
      </c>
      <c r="K2949" s="89">
        <v>7080</v>
      </c>
      <c r="L2949" s="86">
        <v>1</v>
      </c>
      <c r="M2949" s="87">
        <v>318</v>
      </c>
      <c r="N2949" s="87">
        <f>IFERROR(表格1[[#This Row],[QTY]]*表格1[[#This Row],[Unit Price]],"-")</f>
        <v>318</v>
      </c>
      <c r="O2949" s="86">
        <v>414034</v>
      </c>
      <c r="R2949" s="86" t="str">
        <f>_xlfn.CONCAT(表格1[[#This Row],[Model]]," ",表格1[[#This Row],[inv no]])</f>
        <v>ET-TD7080(PN) 414034</v>
      </c>
      <c r="S2949" s="86">
        <f>_xlfn.XLOOKUP(表格1[[#This Row],[Model]],表格3[Model-Input-Ref2],表格3[SRP PRICE])</f>
        <v>498</v>
      </c>
      <c r="T2949" s="43">
        <f>表格1[[#This Row],[Unit Price]]/表格1[[#This Row],[SRP]]</f>
        <v>0.63855421686746983</v>
      </c>
      <c r="U2949" s="86" t="str">
        <f>_xlfn.XLOOKUP(表格1[[#This Row],[Model]],表格3[Model-Input-Ref2],表格3[TOSHIBA/HIGHEST])</f>
        <v>Toshiba SRP</v>
      </c>
      <c r="W2949" s="86" t="str">
        <f>_xlfn.CONCAT(表格1[[#This Row],[欄4]],表格1[[#This Row],[inv no]])</f>
        <v>414034</v>
      </c>
    </row>
    <row r="2950" spans="1:23" hidden="1">
      <c r="A2950" s="81">
        <v>2948</v>
      </c>
      <c r="B2950" s="86" t="s">
        <v>1477</v>
      </c>
      <c r="C2950" s="86" t="s">
        <v>1945</v>
      </c>
      <c r="D2950" s="82" t="str">
        <f ca="1">OFFSET(Roster!$A$3,MATCH(表格1[[#This Row],[Location]]&amp;" "&amp;表格1[[#This Row],[Shop]]&amp;"*",Roster!$A$4:$A$72,0),DAY(表格1[[#This Row],[date]]),1,1)</f>
        <v>Ivy Wong_1</v>
      </c>
      <c r="E2950" s="86">
        <f>MONTH(表格1[[#This Row],[date]])</f>
        <v>3</v>
      </c>
      <c r="F2950" s="90">
        <v>46095</v>
      </c>
      <c r="G2950" s="86" t="str">
        <f>VLOOKUP("*"&amp;表格1[[#This Row],[Input]]&amp;"*",'Ref-List'!$B:$D,2,)</f>
        <v>PLK-45SFIH(WT)</v>
      </c>
      <c r="H2950" s="86" t="str">
        <f>_xlfn.XLOOKUP(表格1[[#This Row],[Model]],表格3[Model-Input-Ref2],表格3[Product Line])</f>
        <v>電熱水瓶4.5L</v>
      </c>
      <c r="I2950" s="86" t="str">
        <f>_xlfn.XLOOKUP(表格1[[#This Row],[Model]],表格3[Model-Input-Ref2],表格3[大小電])</f>
        <v>細電</v>
      </c>
      <c r="J2950" s="86" t="str">
        <f>_xlfn.XLOOKUP(表格1[[#This Row],[Model]],表格3[Model-Input-Ref2],表格3[Code])</f>
        <v>SDA</v>
      </c>
      <c r="K2950" s="89" t="s">
        <v>1117</v>
      </c>
      <c r="L2950" s="86">
        <v>1</v>
      </c>
      <c r="M2950" s="87">
        <v>589</v>
      </c>
      <c r="N2950" s="87">
        <f>IFERROR(表格1[[#This Row],[QTY]]*表格1[[#This Row],[Unit Price]],"-")</f>
        <v>589</v>
      </c>
      <c r="O2950" s="86">
        <v>413981</v>
      </c>
      <c r="R2950" s="86" t="str">
        <f>_xlfn.CONCAT(表格1[[#This Row],[Model]]," ",表格1[[#This Row],[inv no]])</f>
        <v>PLK-45SFIH(WT) 413981</v>
      </c>
      <c r="S2950" s="86">
        <f>_xlfn.XLOOKUP(表格1[[#This Row],[Model]],表格3[Model-Input-Ref2],表格3[SRP PRICE])</f>
        <v>788</v>
      </c>
      <c r="T2950" s="43">
        <f>表格1[[#This Row],[Unit Price]]/表格1[[#This Row],[SRP]]</f>
        <v>0.7474619289340102</v>
      </c>
      <c r="U2950" s="86" t="str">
        <f>_xlfn.XLOOKUP(表格1[[#This Row],[Model]],表格3[Model-Input-Ref2],表格3[TOSHIBA/HIGHEST])</f>
        <v>Toshiba SRP</v>
      </c>
      <c r="W2950" s="86" t="str">
        <f>_xlfn.CONCAT(表格1[[#This Row],[欄4]],表格1[[#This Row],[inv no]])</f>
        <v>413981</v>
      </c>
    </row>
    <row r="2951" spans="1:23" hidden="1">
      <c r="A2951" s="81">
        <v>2949</v>
      </c>
      <c r="B2951" s="86" t="s">
        <v>1477</v>
      </c>
      <c r="C2951" s="86" t="s">
        <v>1945</v>
      </c>
      <c r="D2951" s="82" t="str">
        <f ca="1">OFFSET(Roster!$A$3,MATCH(表格1[[#This Row],[Location]]&amp;" "&amp;表格1[[#This Row],[Shop]]&amp;"*",Roster!$A$4:$A$72,0),DAY(表格1[[#This Row],[date]]),1,1)</f>
        <v>Ivy Wong_1</v>
      </c>
      <c r="E2951" s="86">
        <f>MONTH(表格1[[#This Row],[date]])</f>
        <v>3</v>
      </c>
      <c r="F2951" s="90">
        <v>46095</v>
      </c>
      <c r="G2951" s="86" t="str">
        <f>VLOOKUP("*"&amp;表格1[[#This Row],[Input]]&amp;"*",'Ref-List'!$B:$D,2,)</f>
        <v>TWD-T22BU95UWH(WK)-B</v>
      </c>
      <c r="H2951" s="86" t="str">
        <f>_xlfn.XLOOKUP(表格1[[#This Row],[Model]],表格3[Model-Input-Ref2],表格3[Product Line])</f>
        <v>470MM超薄身前置式變頻洗衣乾衣機 (洗8.5公斤/乾6公斤, 可飛頂)</v>
      </c>
      <c r="I2951" s="86" t="str">
        <f>_xlfn.XLOOKUP(表格1[[#This Row],[Model]],表格3[Model-Input-Ref2],表格3[大小電])</f>
        <v>大電</v>
      </c>
      <c r="J2951" s="86" t="str">
        <f>_xlfn.XLOOKUP(表格1[[#This Row],[Model]],表格3[Model-Input-Ref2],表格3[Code])</f>
        <v>LAD</v>
      </c>
      <c r="K2951" s="89" t="s">
        <v>1421</v>
      </c>
      <c r="L2951" s="86">
        <v>1</v>
      </c>
      <c r="M2951" s="87">
        <v>4780</v>
      </c>
      <c r="N2951" s="87">
        <f>IFERROR(表格1[[#This Row],[QTY]]*表格1[[#This Row],[Unit Price]],"-")</f>
        <v>4780</v>
      </c>
      <c r="O2951" s="86">
        <v>414058</v>
      </c>
      <c r="R2951" s="86" t="str">
        <f>_xlfn.CONCAT(表格1[[#This Row],[Model]]," ",表格1[[#This Row],[inv no]])</f>
        <v>TWD-T22BU95UWH(WK)-B 414058</v>
      </c>
      <c r="S2951" s="86">
        <f>_xlfn.XLOOKUP(表格1[[#This Row],[Model]],表格3[Model-Input-Ref2],表格3[SRP PRICE])</f>
        <v>7480</v>
      </c>
      <c r="T2951" s="43">
        <f>表格1[[#This Row],[Unit Price]]/表格1[[#This Row],[SRP]]</f>
        <v>0.63903743315508021</v>
      </c>
      <c r="U2951" s="86" t="str">
        <f>_xlfn.XLOOKUP(表格1[[#This Row],[Model]],表格3[Model-Input-Ref2],表格3[TOSHIBA/HIGHEST])</f>
        <v>Toshiba SRP</v>
      </c>
      <c r="W2951" s="86" t="str">
        <f>_xlfn.CONCAT(表格1[[#This Row],[欄4]],表格1[[#This Row],[inv no]])</f>
        <v>414058</v>
      </c>
    </row>
    <row r="2952" spans="1:23" hidden="1">
      <c r="A2952" s="81">
        <v>2950</v>
      </c>
      <c r="B2952" s="86" t="s">
        <v>1477</v>
      </c>
      <c r="C2952" s="86" t="s">
        <v>1945</v>
      </c>
      <c r="D2952" s="82" t="str">
        <f ca="1">OFFSET(Roster!$A$3,MATCH(表格1[[#This Row],[Location]]&amp;" "&amp;表格1[[#This Row],[Shop]]&amp;"*",Roster!$A$4:$A$72,0),DAY(表格1[[#This Row],[date]]),1,1)</f>
        <v>Ivy Wong_1</v>
      </c>
      <c r="E2952" s="86">
        <f>MONTH(表格1[[#This Row],[date]])</f>
        <v>3</v>
      </c>
      <c r="F2952" s="90">
        <v>46095</v>
      </c>
      <c r="G2952" s="86" t="str">
        <f>VLOOKUP("*"&amp;表格1[[#This Row],[Input]]&amp;"*",'Ref-List'!$B:$D,2,)</f>
        <v>TL-MC35Z</v>
      </c>
      <c r="H2952" s="86" t="str">
        <f>_xlfn.XLOOKUP(表格1[[#This Row],[Model]],表格3[Model-Input-Ref2],表格3[Product Line])</f>
        <v>35L多功能電焗爐</v>
      </c>
      <c r="I2952" s="86" t="str">
        <f>_xlfn.XLOOKUP(表格1[[#This Row],[Model]],表格3[Model-Input-Ref2],表格3[大小電])</f>
        <v>細電</v>
      </c>
      <c r="J2952" s="86" t="str">
        <f>_xlfn.XLOOKUP(表格1[[#This Row],[Model]],表格3[Model-Input-Ref2],表格3[Code])</f>
        <v>SDA</v>
      </c>
      <c r="K2952" s="89" t="s">
        <v>1295</v>
      </c>
      <c r="L2952" s="86">
        <v>1</v>
      </c>
      <c r="M2952" s="87">
        <v>888</v>
      </c>
      <c r="N2952" s="87">
        <f>IFERROR(表格1[[#This Row],[QTY]]*表格1[[#This Row],[Unit Price]],"-")</f>
        <v>888</v>
      </c>
      <c r="O2952" s="86">
        <v>414068</v>
      </c>
      <c r="R2952" s="86" t="str">
        <f>_xlfn.CONCAT(表格1[[#This Row],[Model]]," ",表格1[[#This Row],[inv no]])</f>
        <v>TL-MC35Z 414068</v>
      </c>
      <c r="S2952" s="86">
        <f>_xlfn.XLOOKUP(表格1[[#This Row],[Model]],表格3[Model-Input-Ref2],表格3[SRP PRICE])</f>
        <v>1098</v>
      </c>
      <c r="T2952" s="43">
        <f>表格1[[#This Row],[Unit Price]]/表格1[[#This Row],[SRP]]</f>
        <v>0.80874316939890711</v>
      </c>
      <c r="U2952" s="86" t="str">
        <f>_xlfn.XLOOKUP(表格1[[#This Row],[Model]],表格3[Model-Input-Ref2],表格3[TOSHIBA/HIGHEST])</f>
        <v>Toshiba SRP</v>
      </c>
      <c r="W2952" s="86" t="str">
        <f>_xlfn.CONCAT(表格1[[#This Row],[欄4]],表格1[[#This Row],[inv no]])</f>
        <v>414068</v>
      </c>
    </row>
    <row r="2953" spans="1:23" hidden="1">
      <c r="A2953" s="81">
        <v>2951</v>
      </c>
      <c r="B2953" s="86" t="s">
        <v>1477</v>
      </c>
      <c r="C2953" s="86" t="s">
        <v>1945</v>
      </c>
      <c r="D2953" s="82" t="str">
        <f ca="1">OFFSET(Roster!$A$3,MATCH(表格1[[#This Row],[Location]]&amp;" "&amp;表格1[[#This Row],[Shop]]&amp;"*",Roster!$A$4:$A$72,0),DAY(表格1[[#This Row],[date]]),1,1)</f>
        <v>Ivy Wong_1</v>
      </c>
      <c r="E2953" s="86">
        <f>MONTH(表格1[[#This Row],[date]])</f>
        <v>3</v>
      </c>
      <c r="F2953" s="90">
        <v>46095</v>
      </c>
      <c r="G2953" s="86" t="str">
        <f>VLOOKUP("*"&amp;表格1[[#This Row],[Input]]&amp;"*",'Ref-List'!$B:$D,2,)</f>
        <v>AW-DQ110JPH(WW)</v>
      </c>
      <c r="H2953" s="86" t="str">
        <f>_xlfn.XLOOKUP(表格1[[#This Row],[Model]],表格3[Model-Input-Ref2],表格3[Product Line])</f>
        <v>變頻日式洗衣機 (10公斤 結合高低水位)</v>
      </c>
      <c r="I2953" s="86" t="str">
        <f>_xlfn.XLOOKUP(表格1[[#This Row],[Model]],表格3[Model-Input-Ref2],表格3[大小電])</f>
        <v>大電</v>
      </c>
      <c r="J2953" s="86" t="str">
        <f>_xlfn.XLOOKUP(表格1[[#This Row],[Model]],表格3[Model-Input-Ref2],表格3[Code])</f>
        <v>LAD</v>
      </c>
      <c r="K2953" s="89" t="s">
        <v>1831</v>
      </c>
      <c r="L2953" s="86">
        <v>1</v>
      </c>
      <c r="M2953" s="87">
        <v>2780</v>
      </c>
      <c r="N2953" s="87">
        <f>IFERROR(表格1[[#This Row],[QTY]]*表格1[[#This Row],[Unit Price]],"-")</f>
        <v>2780</v>
      </c>
      <c r="O2953" s="86">
        <v>321124</v>
      </c>
      <c r="R2953" s="86" t="str">
        <f>_xlfn.CONCAT(表格1[[#This Row],[Model]]," ",表格1[[#This Row],[inv no]])</f>
        <v>AW-DQ110JPH(WW) 321124</v>
      </c>
      <c r="S2953" s="86">
        <f>_xlfn.XLOOKUP(表格1[[#This Row],[Model]],表格3[Model-Input-Ref2],表格3[SRP PRICE])</f>
        <v>4680</v>
      </c>
      <c r="T2953" s="43">
        <f>表格1[[#This Row],[Unit Price]]/表格1[[#This Row],[SRP]]</f>
        <v>0.59401709401709402</v>
      </c>
      <c r="U2953" s="86" t="str">
        <f>_xlfn.XLOOKUP(表格1[[#This Row],[Model]],表格3[Model-Input-Ref2],表格3[TOSHIBA/HIGHEST])</f>
        <v>Toshiba SRP</v>
      </c>
      <c r="W2953" s="86" t="str">
        <f>_xlfn.CONCAT(表格1[[#This Row],[欄4]],表格1[[#This Row],[inv no]])</f>
        <v>321124</v>
      </c>
    </row>
    <row r="2954" spans="1:23" hidden="1">
      <c r="A2954" s="81">
        <v>2952</v>
      </c>
      <c r="B2954" s="86" t="s">
        <v>1477</v>
      </c>
      <c r="C2954" s="86" t="s">
        <v>1945</v>
      </c>
      <c r="D2954" s="82" t="str">
        <f ca="1">OFFSET(Roster!$A$3,MATCH(表格1[[#This Row],[Location]]&amp;" "&amp;表格1[[#This Row],[Shop]]&amp;"*",Roster!$A$4:$A$72,0),DAY(表格1[[#This Row],[date]]),1,1)</f>
        <v>Ivy Wong_1</v>
      </c>
      <c r="E2954" s="86">
        <f>MONTH(表格1[[#This Row],[date]])</f>
        <v>3</v>
      </c>
      <c r="F2954" s="90">
        <v>46095</v>
      </c>
      <c r="G2954" s="86" t="str">
        <f>VLOOKUP("*"&amp;表格1[[#This Row],[Input]]&amp;"*",'Ref-List'!$B:$D,2,)</f>
        <v>MW3-SAC24SE(BK)</v>
      </c>
      <c r="H2954" s="86" t="str">
        <f>_xlfn.XLOOKUP(表格1[[#This Row],[Model]],表格3[Model-Input-Ref2],表格3[Product Line])</f>
        <v>智能氣炸烤焗爐(24公升)</v>
      </c>
      <c r="I2954" s="86" t="str">
        <f>_xlfn.XLOOKUP(表格1[[#This Row],[Model]],表格3[Model-Input-Ref2],表格3[大小電])</f>
        <v>細電</v>
      </c>
      <c r="J2954" s="86" t="str">
        <f>_xlfn.XLOOKUP(表格1[[#This Row],[Model]],表格3[Model-Input-Ref2],表格3[Code])</f>
        <v>MCA</v>
      </c>
      <c r="K2954" s="89" t="s">
        <v>1274</v>
      </c>
      <c r="L2954" s="86">
        <v>1</v>
      </c>
      <c r="M2954" s="87">
        <v>1320</v>
      </c>
      <c r="N2954" s="87">
        <f>IFERROR(表格1[[#This Row],[QTY]]*表格1[[#This Row],[Unit Price]],"-")</f>
        <v>1320</v>
      </c>
      <c r="O2954" s="86">
        <v>414125</v>
      </c>
      <c r="R2954" s="86" t="str">
        <f>_xlfn.CONCAT(表格1[[#This Row],[Model]]," ",表格1[[#This Row],[inv no]])</f>
        <v>MW3-SAC24SE(BK) 414125</v>
      </c>
      <c r="S2954" s="86">
        <f>_xlfn.XLOOKUP(表格1[[#This Row],[Model]],表格3[Model-Input-Ref2],表格3[SRP PRICE])</f>
        <v>1680</v>
      </c>
      <c r="T2954" s="43">
        <f>表格1[[#This Row],[Unit Price]]/表格1[[#This Row],[SRP]]</f>
        <v>0.7857142857142857</v>
      </c>
      <c r="U2954" s="86" t="str">
        <f>_xlfn.XLOOKUP(表格1[[#This Row],[Model]],表格3[Model-Input-Ref2],表格3[TOSHIBA/HIGHEST])</f>
        <v>Toshiba SRP</v>
      </c>
      <c r="W2954" s="86" t="str">
        <f>_xlfn.CONCAT(表格1[[#This Row],[欄4]],表格1[[#This Row],[inv no]])</f>
        <v>414125</v>
      </c>
    </row>
    <row r="2955" spans="1:23" hidden="1">
      <c r="A2955" s="81">
        <v>2953</v>
      </c>
      <c r="B2955" s="86" t="s">
        <v>1477</v>
      </c>
      <c r="C2955" s="86" t="s">
        <v>1945</v>
      </c>
      <c r="D2955" s="82" t="str">
        <f ca="1">OFFSET(Roster!$A$3,MATCH(表格1[[#This Row],[Location]]&amp;" "&amp;表格1[[#This Row],[Shop]]&amp;"*",Roster!$A$4:$A$72,0),DAY(表格1[[#This Row],[date]]),1,1)</f>
        <v>Ivy Wong_1</v>
      </c>
      <c r="E2955" s="86">
        <f>MONTH(表格1[[#This Row],[date]])</f>
        <v>3</v>
      </c>
      <c r="F2955" s="90">
        <v>46095</v>
      </c>
      <c r="G2955" s="86" t="str">
        <f>VLOOKUP("*"&amp;表格1[[#This Row],[Input]]&amp;"*",'Ref-List'!$B:$D,2,)</f>
        <v>KT-15DRTHK(W)</v>
      </c>
      <c r="H2955" s="86" t="str">
        <f>_xlfn.XLOOKUP(表格1[[#This Row],[Model]],表格3[Model-Input-Ref2],表格3[Product Line])</f>
        <v>無線雙層電熱水壺-附可鎖壺蓋</v>
      </c>
      <c r="I2955" s="86" t="str">
        <f>_xlfn.XLOOKUP(表格1[[#This Row],[Model]],表格3[Model-Input-Ref2],表格3[大小電])</f>
        <v>細電</v>
      </c>
      <c r="J2955" s="86" t="str">
        <f>_xlfn.XLOOKUP(表格1[[#This Row],[Model]],表格3[Model-Input-Ref2],表格3[Code])</f>
        <v>SDA</v>
      </c>
      <c r="K2955" s="89" t="s">
        <v>1278</v>
      </c>
      <c r="L2955" s="86">
        <v>1</v>
      </c>
      <c r="M2955" s="87">
        <v>338</v>
      </c>
      <c r="N2955" s="87">
        <f>IFERROR(表格1[[#This Row],[QTY]]*表格1[[#This Row],[Unit Price]],"-")</f>
        <v>338</v>
      </c>
      <c r="O2955" s="86">
        <v>321122</v>
      </c>
      <c r="R2955" s="86" t="str">
        <f>_xlfn.CONCAT(表格1[[#This Row],[Model]]," ",表格1[[#This Row],[inv no]])</f>
        <v>KT-15DRTHK(W) 321122</v>
      </c>
      <c r="S2955" s="86">
        <f>_xlfn.XLOOKUP(表格1[[#This Row],[Model]],表格3[Model-Input-Ref2],表格3[SRP PRICE])</f>
        <v>598</v>
      </c>
      <c r="T2955" s="43">
        <f>表格1[[#This Row],[Unit Price]]/表格1[[#This Row],[SRP]]</f>
        <v>0.56521739130434778</v>
      </c>
      <c r="U2955" s="86" t="str">
        <f>_xlfn.XLOOKUP(表格1[[#This Row],[Model]],表格3[Model-Input-Ref2],表格3[TOSHIBA/HIGHEST])</f>
        <v>Toshiba SRP</v>
      </c>
      <c r="W2955" s="86" t="str">
        <f>_xlfn.CONCAT(表格1[[#This Row],[欄4]],表格1[[#This Row],[inv no]])</f>
        <v>321122</v>
      </c>
    </row>
    <row r="2956" spans="1:23" hidden="1">
      <c r="A2956" s="81">
        <v>2954</v>
      </c>
      <c r="B2956" s="86" t="s">
        <v>1477</v>
      </c>
      <c r="C2956" s="86" t="s">
        <v>1945</v>
      </c>
      <c r="D2956" s="82" t="str">
        <f ca="1">OFFSET(Roster!$A$3,MATCH(表格1[[#This Row],[Location]]&amp;" "&amp;表格1[[#This Row],[Shop]]&amp;"*",Roster!$A$4:$A$72,0),DAY(表格1[[#This Row],[date]]),1,1)</f>
        <v>Ivy Wong_1</v>
      </c>
      <c r="E2956" s="86">
        <f>MONTH(表格1[[#This Row],[date]])</f>
        <v>3</v>
      </c>
      <c r="F2956" s="90">
        <v>46095</v>
      </c>
      <c r="G2956" s="86" t="str">
        <f>VLOOKUP("*"&amp;表格1[[#This Row],[Input]]&amp;"*",'Ref-List'!$B:$D,2,)</f>
        <v>ET-TD7080(PN)</v>
      </c>
      <c r="H2956" s="86" t="str">
        <f>_xlfn.XLOOKUP(表格1[[#This Row],[Model]],表格3[Model-Input-Ref2],表格3[Product Line])</f>
        <v>多士焗爐8L</v>
      </c>
      <c r="I2956" s="86" t="str">
        <f>_xlfn.XLOOKUP(表格1[[#This Row],[Model]],表格3[Model-Input-Ref2],表格3[大小電])</f>
        <v>細電</v>
      </c>
      <c r="J2956" s="86" t="str">
        <f>_xlfn.XLOOKUP(表格1[[#This Row],[Model]],表格3[Model-Input-Ref2],表格3[Code])</f>
        <v>SDA</v>
      </c>
      <c r="K2956" s="89">
        <v>7080</v>
      </c>
      <c r="L2956" s="86">
        <v>1</v>
      </c>
      <c r="M2956" s="87">
        <v>318</v>
      </c>
      <c r="N2956" s="87">
        <f>IFERROR(表格1[[#This Row],[QTY]]*表格1[[#This Row],[Unit Price]],"-")</f>
        <v>318</v>
      </c>
      <c r="O2956" s="86">
        <v>414167</v>
      </c>
      <c r="R2956" s="86" t="str">
        <f>_xlfn.CONCAT(表格1[[#This Row],[Model]]," ",表格1[[#This Row],[inv no]])</f>
        <v>ET-TD7080(PN) 414167</v>
      </c>
      <c r="S2956" s="86">
        <f>_xlfn.XLOOKUP(表格1[[#This Row],[Model]],表格3[Model-Input-Ref2],表格3[SRP PRICE])</f>
        <v>498</v>
      </c>
      <c r="T2956" s="43">
        <f>表格1[[#This Row],[Unit Price]]/表格1[[#This Row],[SRP]]</f>
        <v>0.63855421686746983</v>
      </c>
      <c r="U2956" s="86" t="str">
        <f>_xlfn.XLOOKUP(表格1[[#This Row],[Model]],表格3[Model-Input-Ref2],表格3[TOSHIBA/HIGHEST])</f>
        <v>Toshiba SRP</v>
      </c>
      <c r="W2956" s="86" t="str">
        <f>_xlfn.CONCAT(表格1[[#This Row],[欄4]],表格1[[#This Row],[inv no]])</f>
        <v>414167</v>
      </c>
    </row>
    <row r="2957" spans="1:23" hidden="1">
      <c r="A2957" s="81">
        <v>2955</v>
      </c>
      <c r="B2957" s="86" t="s">
        <v>1477</v>
      </c>
      <c r="C2957" s="86" t="s">
        <v>1945</v>
      </c>
      <c r="D2957" s="82" t="str">
        <f ca="1">OFFSET(Roster!$A$3,MATCH(表格1[[#This Row],[Location]]&amp;" "&amp;表格1[[#This Row],[Shop]]&amp;"*",Roster!$A$4:$A$72,0),DAY(表格1[[#This Row],[date]]),1,1)</f>
        <v>Ivy Wong_1</v>
      </c>
      <c r="E2957" s="86">
        <f>MONTH(表格1[[#This Row],[date]])</f>
        <v>3</v>
      </c>
      <c r="F2957" s="90">
        <v>46095</v>
      </c>
      <c r="G2957" s="86" t="str">
        <f>VLOOKUP("*"&amp;表格1[[#This Row],[Input]]&amp;"*",'Ref-List'!$B:$D,2,)</f>
        <v>RAD-D300H</v>
      </c>
      <c r="H2957" s="86" t="str">
        <f>_xlfn.XLOOKUP(表格1[[#This Row],[Model]],表格3[Model-Input-Ref2],表格3[Product Line])</f>
        <v>壓縮式抽濕機 (30公升)</v>
      </c>
      <c r="I2957" s="86" t="str">
        <f>_xlfn.XLOOKUP(表格1[[#This Row],[Model]],表格3[Model-Input-Ref2],表格3[大小電])</f>
        <v>細電</v>
      </c>
      <c r="J2957" s="86" t="str">
        <f>_xlfn.XLOOKUP(表格1[[#This Row],[Model]],表格3[Model-Input-Ref2],表格3[Code])</f>
        <v>RAC</v>
      </c>
      <c r="K2957" s="89" t="s">
        <v>1252</v>
      </c>
      <c r="L2957" s="86">
        <v>1</v>
      </c>
      <c r="M2957" s="87">
        <v>2280</v>
      </c>
      <c r="N2957" s="87">
        <f>IFERROR(表格1[[#This Row],[QTY]]*表格1[[#This Row],[Unit Price]],"-")</f>
        <v>2280</v>
      </c>
      <c r="O2957" s="86">
        <v>413892</v>
      </c>
      <c r="R2957" s="86" t="str">
        <f>_xlfn.CONCAT(表格1[[#This Row],[Model]]," ",表格1[[#This Row],[inv no]])</f>
        <v>RAD-D300H 413892</v>
      </c>
      <c r="S2957" s="86">
        <f>_xlfn.XLOOKUP(表格1[[#This Row],[Model]],表格3[Model-Input-Ref2],表格3[SRP PRICE])</f>
        <v>3380</v>
      </c>
      <c r="T2957" s="43">
        <f>表格1[[#This Row],[Unit Price]]/表格1[[#This Row],[SRP]]</f>
        <v>0.67455621301775148</v>
      </c>
      <c r="U2957" s="86" t="str">
        <f>_xlfn.XLOOKUP(表格1[[#This Row],[Model]],表格3[Model-Input-Ref2],表格3[TOSHIBA/HIGHEST])</f>
        <v>Shops Highest Price</v>
      </c>
      <c r="W2957" s="86" t="str">
        <f>_xlfn.CONCAT(表格1[[#This Row],[欄4]],表格1[[#This Row],[inv no]])</f>
        <v>413892</v>
      </c>
    </row>
    <row r="2958" spans="1:23" hidden="1">
      <c r="A2958" s="81">
        <v>2956</v>
      </c>
      <c r="B2958" s="86" t="s">
        <v>1477</v>
      </c>
      <c r="C2958" s="86" t="s">
        <v>1945</v>
      </c>
      <c r="D2958" s="82" t="str">
        <f ca="1">OFFSET(Roster!$A$3,MATCH(表格1[[#This Row],[Location]]&amp;" "&amp;表格1[[#This Row],[Shop]]&amp;"*",Roster!$A$4:$A$72,0),DAY(表格1[[#This Row],[date]]),1,1)</f>
        <v>Ivy Wong_1</v>
      </c>
      <c r="E2958" s="86">
        <f>MONTH(表格1[[#This Row],[date]])</f>
        <v>3</v>
      </c>
      <c r="F2958" s="90">
        <v>46095</v>
      </c>
      <c r="G2958" s="86" t="str">
        <f>VLOOKUP("*"&amp;表格1[[#This Row],[Input]]&amp;"*",'Ref-List'!$B:$D,2,)</f>
        <v>AW-Q901BPH(WW)</v>
      </c>
      <c r="H2958" s="86" t="str">
        <f>_xlfn.XLOOKUP(表格1[[#This Row],[Model]],表格3[Model-Input-Ref2],表格3[Product Line])</f>
        <v>日式洗衣機 (8公斤 結合高低水位)</v>
      </c>
      <c r="I2958" s="86" t="str">
        <f>_xlfn.XLOOKUP(表格1[[#This Row],[Model]],表格3[Model-Input-Ref2],表格3[大小電])</f>
        <v>大電</v>
      </c>
      <c r="J2958" s="86" t="str">
        <f>_xlfn.XLOOKUP(表格1[[#This Row],[Model]],表格3[Model-Input-Ref2],表格3[Code])</f>
        <v>LAD</v>
      </c>
      <c r="K2958" s="89" t="s">
        <v>1411</v>
      </c>
      <c r="L2958" s="86">
        <v>1</v>
      </c>
      <c r="M2958" s="87">
        <v>2280</v>
      </c>
      <c r="N2958" s="87">
        <f>IFERROR(表格1[[#This Row],[QTY]]*表格1[[#This Row],[Unit Price]],"-")</f>
        <v>2280</v>
      </c>
      <c r="O2958" s="86">
        <v>414260</v>
      </c>
      <c r="R2958" s="86" t="str">
        <f>_xlfn.CONCAT(表格1[[#This Row],[Model]]," ",表格1[[#This Row],[inv no]])</f>
        <v>AW-Q901BPH(WW) 414260</v>
      </c>
      <c r="S2958" s="86">
        <f>_xlfn.XLOOKUP(表格1[[#This Row],[Model]],表格3[Model-Input-Ref2],表格3[SRP PRICE])</f>
        <v>3780</v>
      </c>
      <c r="T2958" s="43">
        <f>表格1[[#This Row],[Unit Price]]/表格1[[#This Row],[SRP]]</f>
        <v>0.60317460317460314</v>
      </c>
      <c r="U2958" s="86" t="str">
        <f>_xlfn.XLOOKUP(表格1[[#This Row],[Model]],表格3[Model-Input-Ref2],表格3[TOSHIBA/HIGHEST])</f>
        <v>Toshiba SRP</v>
      </c>
      <c r="W2958" s="86" t="str">
        <f>_xlfn.CONCAT(表格1[[#This Row],[欄4]],表格1[[#This Row],[inv no]])</f>
        <v>414260</v>
      </c>
    </row>
    <row r="2959" spans="1:23" hidden="1">
      <c r="A2959" s="81">
        <v>2957</v>
      </c>
      <c r="B2959" s="86" t="s">
        <v>1477</v>
      </c>
      <c r="C2959" s="86" t="s">
        <v>1945</v>
      </c>
      <c r="D2959" s="82" t="str">
        <f ca="1">OFFSET(Roster!$A$3,MATCH(表格1[[#This Row],[Location]]&amp;" "&amp;表格1[[#This Row],[Shop]]&amp;"*",Roster!$A$4:$A$72,0),DAY(表格1[[#This Row],[date]]),1,1)</f>
        <v>Ivy Wong_1</v>
      </c>
      <c r="E2959" s="86">
        <f>MONTH(表格1[[#This Row],[date]])</f>
        <v>3</v>
      </c>
      <c r="F2959" s="90">
        <v>46095</v>
      </c>
      <c r="G2959" s="86" t="str">
        <f>VLOOKUP("*"&amp;表格1[[#This Row],[Input]]&amp;"*",'Ref-List'!$B:$D,2,)</f>
        <v>TW-T21BU80UWH(MG)</v>
      </c>
      <c r="H2959" s="86" t="str">
        <f>_xlfn.XLOOKUP(表格1[[#This Row],[Model]],表格3[Model-Input-Ref2],表格3[Product Line])</f>
        <v>400MM超薄身前置式變頻洗衣機(7公斤)</v>
      </c>
      <c r="I2959" s="86" t="str">
        <f>_xlfn.XLOOKUP(表格1[[#This Row],[Model]],表格3[Model-Input-Ref2],表格3[大小電])</f>
        <v>大電</v>
      </c>
      <c r="J2959" s="86" t="str">
        <f>_xlfn.XLOOKUP(表格1[[#This Row],[Model]],表格3[Model-Input-Ref2],表格3[Code])</f>
        <v>LAD</v>
      </c>
      <c r="K2959" s="89" t="s">
        <v>1280</v>
      </c>
      <c r="L2959" s="86">
        <v>1</v>
      </c>
      <c r="M2959" s="87">
        <v>3090</v>
      </c>
      <c r="N2959" s="87">
        <f>IFERROR(表格1[[#This Row],[QTY]]*表格1[[#This Row],[Unit Price]],"-")</f>
        <v>3090</v>
      </c>
      <c r="O2959" s="86">
        <v>321189</v>
      </c>
      <c r="R2959" s="86" t="str">
        <f>_xlfn.CONCAT(表格1[[#This Row],[Model]]," ",表格1[[#This Row],[inv no]])</f>
        <v>TW-T21BU80UWH(MG) 321189</v>
      </c>
      <c r="S2959" s="86">
        <f>_xlfn.XLOOKUP(表格1[[#This Row],[Model]],表格3[Model-Input-Ref2],表格3[SRP PRICE])</f>
        <v>5180</v>
      </c>
      <c r="T2959" s="43">
        <f>表格1[[#This Row],[Unit Price]]/表格1[[#This Row],[SRP]]</f>
        <v>0.59652509652509655</v>
      </c>
      <c r="U2959" s="86" t="str">
        <f>_xlfn.XLOOKUP(表格1[[#This Row],[Model]],表格3[Model-Input-Ref2],表格3[TOSHIBA/HIGHEST])</f>
        <v>Toshiba SRP</v>
      </c>
      <c r="W2959" s="86" t="str">
        <f>_xlfn.CONCAT(表格1[[#This Row],[欄4]],表格1[[#This Row],[inv no]])</f>
        <v>321189</v>
      </c>
    </row>
    <row r="2960" spans="1:23" hidden="1">
      <c r="A2960" s="81">
        <v>2958</v>
      </c>
      <c r="B2960" s="86" t="s">
        <v>1477</v>
      </c>
      <c r="C2960" s="86" t="s">
        <v>1945</v>
      </c>
      <c r="D2960" s="82" t="str">
        <f ca="1">OFFSET(Roster!$A$3,MATCH(表格1[[#This Row],[Location]]&amp;" "&amp;表格1[[#This Row],[Shop]]&amp;"*",Roster!$A$4:$A$72,0),DAY(表格1[[#This Row],[date]]),1,1)</f>
        <v>Ivy Wong_1</v>
      </c>
      <c r="E2960" s="86">
        <f>MONTH(表格1[[#This Row],[date]])</f>
        <v>3</v>
      </c>
      <c r="F2960" s="90">
        <v>46095</v>
      </c>
      <c r="G2960" s="86" t="str">
        <f>VLOOKUP("*"&amp;表格1[[#This Row],[Input]]&amp;"*",'Ref-List'!$B:$D,2,)</f>
        <v>RAD-D300H</v>
      </c>
      <c r="H2960" s="86" t="str">
        <f>_xlfn.XLOOKUP(表格1[[#This Row],[Model]],表格3[Model-Input-Ref2],表格3[Product Line])</f>
        <v>壓縮式抽濕機 (30公升)</v>
      </c>
      <c r="I2960" s="86" t="str">
        <f>_xlfn.XLOOKUP(表格1[[#This Row],[Model]],表格3[Model-Input-Ref2],表格3[大小電])</f>
        <v>細電</v>
      </c>
      <c r="J2960" s="86" t="str">
        <f>_xlfn.XLOOKUP(表格1[[#This Row],[Model]],表格3[Model-Input-Ref2],表格3[Code])</f>
        <v>RAC</v>
      </c>
      <c r="K2960" s="89" t="s">
        <v>1252</v>
      </c>
      <c r="L2960" s="86">
        <v>1</v>
      </c>
      <c r="M2960" s="87">
        <v>2280</v>
      </c>
      <c r="N2960" s="87">
        <f>IFERROR(表格1[[#This Row],[QTY]]*表格1[[#This Row],[Unit Price]],"-")</f>
        <v>2280</v>
      </c>
      <c r="O2960" s="86">
        <v>414147</v>
      </c>
      <c r="R2960" s="86" t="str">
        <f>_xlfn.CONCAT(表格1[[#This Row],[Model]]," ",表格1[[#This Row],[inv no]])</f>
        <v>RAD-D300H 414147</v>
      </c>
      <c r="S2960" s="86">
        <f>_xlfn.XLOOKUP(表格1[[#This Row],[Model]],表格3[Model-Input-Ref2],表格3[SRP PRICE])</f>
        <v>3380</v>
      </c>
      <c r="T2960" s="43">
        <f>表格1[[#This Row],[Unit Price]]/表格1[[#This Row],[SRP]]</f>
        <v>0.67455621301775148</v>
      </c>
      <c r="U2960" s="86" t="str">
        <f>_xlfn.XLOOKUP(表格1[[#This Row],[Model]],表格3[Model-Input-Ref2],表格3[TOSHIBA/HIGHEST])</f>
        <v>Shops Highest Price</v>
      </c>
      <c r="W2960" s="86" t="str">
        <f>_xlfn.CONCAT(表格1[[#This Row],[欄4]],表格1[[#This Row],[inv no]])</f>
        <v>414147</v>
      </c>
    </row>
    <row r="2961" spans="1:23" hidden="1">
      <c r="A2961" s="81">
        <v>2959</v>
      </c>
      <c r="B2961" s="86" t="s">
        <v>1477</v>
      </c>
      <c r="C2961" s="86" t="s">
        <v>1945</v>
      </c>
      <c r="D2961" s="82" t="str">
        <f ca="1">OFFSET(Roster!$A$3,MATCH(表格1[[#This Row],[Location]]&amp;" "&amp;表格1[[#This Row],[Shop]]&amp;"*",Roster!$A$4:$A$72,0),DAY(表格1[[#This Row],[date]]),1,1)</f>
        <v>Ivy Wong_1</v>
      </c>
      <c r="E2961" s="86">
        <f>MONTH(表格1[[#This Row],[date]])</f>
        <v>3</v>
      </c>
      <c r="F2961" s="90">
        <v>46095</v>
      </c>
      <c r="G2961" s="86" t="str">
        <f>VLOOKUP("*"&amp;表格1[[#This Row],[Input]]&amp;"*",'Ref-List'!$B:$D,2,)</f>
        <v>GR-RT300WE-PMA(57)</v>
      </c>
      <c r="H2961" s="86" t="str">
        <f>_xlfn.XLOOKUP(表格1[[#This Row],[Model]],表格3[Model-Input-Ref2],表格3[Product Line])</f>
        <v>變頻式環保雙門雪櫃(233L)</v>
      </c>
      <c r="I2961" s="86" t="str">
        <f>_xlfn.XLOOKUP(表格1[[#This Row],[Model]],表格3[Model-Input-Ref2],表格3[大小電])</f>
        <v>大電</v>
      </c>
      <c r="J2961" s="86" t="str">
        <f>_xlfn.XLOOKUP(表格1[[#This Row],[Model]],表格3[Model-Input-Ref2],表格3[Code])</f>
        <v>REF</v>
      </c>
      <c r="K2961" s="89" t="s">
        <v>1462</v>
      </c>
      <c r="L2961" s="86">
        <v>1</v>
      </c>
      <c r="M2961" s="87">
        <v>2780</v>
      </c>
      <c r="N2961" s="87">
        <f>IFERROR(表格1[[#This Row],[QTY]]*表格1[[#This Row],[Unit Price]],"-")</f>
        <v>2780</v>
      </c>
      <c r="O2961" s="86">
        <v>414260</v>
      </c>
      <c r="R2961" s="86" t="str">
        <f>_xlfn.CONCAT(表格1[[#This Row],[Model]]," ",表格1[[#This Row],[inv no]])</f>
        <v>GR-RT300WE-PMA(57) 414260</v>
      </c>
      <c r="S2961" s="86">
        <f>_xlfn.XLOOKUP(表格1[[#This Row],[Model]],表格3[Model-Input-Ref2],表格3[SRP PRICE])</f>
        <v>4280</v>
      </c>
      <c r="T2961" s="43">
        <f>表格1[[#This Row],[Unit Price]]/表格1[[#This Row],[SRP]]</f>
        <v>0.64953271028037385</v>
      </c>
      <c r="U2961" s="86" t="str">
        <f>_xlfn.XLOOKUP(表格1[[#This Row],[Model]],表格3[Model-Input-Ref2],表格3[TOSHIBA/HIGHEST])</f>
        <v>Toshiba SRP</v>
      </c>
      <c r="W2961" s="86" t="str">
        <f>_xlfn.CONCAT(表格1[[#This Row],[欄4]],表格1[[#This Row],[inv no]])</f>
        <v>414260</v>
      </c>
    </row>
    <row r="2962" spans="1:23" hidden="1">
      <c r="A2962" s="81">
        <v>2960</v>
      </c>
      <c r="B2962" s="86" t="s">
        <v>1477</v>
      </c>
      <c r="C2962" s="86" t="s">
        <v>1945</v>
      </c>
      <c r="D2962" s="82" t="str">
        <f ca="1">OFFSET(Roster!$A$3,MATCH(表格1[[#This Row],[Location]]&amp;" "&amp;表格1[[#This Row],[Shop]]&amp;"*",Roster!$A$4:$A$72,0),DAY(表格1[[#This Row],[date]]),1,1)</f>
        <v>Ivy Wong_1</v>
      </c>
      <c r="E2962" s="86">
        <f>MONTH(表格1[[#This Row],[date]])</f>
        <v>3</v>
      </c>
      <c r="F2962" s="90">
        <v>46095</v>
      </c>
      <c r="G2962" s="86" t="str">
        <f>VLOOKUP("*"&amp;表格1[[#This Row],[Input]]&amp;"*",'Ref-List'!$B:$D,2,)</f>
        <v>RC-10ISSHK(W)</v>
      </c>
      <c r="H2962" s="86" t="str">
        <f>_xlfn.XLOOKUP(表格1[[#This Row],[Model]],表格3[Model-Input-Ref2],表格3[Product Line])</f>
        <v>磁應電飯煲(1公升)</v>
      </c>
      <c r="I2962" s="86" t="str">
        <f>_xlfn.XLOOKUP(表格1[[#This Row],[Model]],表格3[Model-Input-Ref2],表格3[大小電])</f>
        <v>細電</v>
      </c>
      <c r="J2962" s="86" t="str">
        <f>_xlfn.XLOOKUP(表格1[[#This Row],[Model]],表格3[Model-Input-Ref2],表格3[Code])</f>
        <v>SDA</v>
      </c>
      <c r="K2962" s="89" t="s">
        <v>1286</v>
      </c>
      <c r="L2962" s="86">
        <v>1</v>
      </c>
      <c r="M2962" s="87">
        <v>938</v>
      </c>
      <c r="N2962" s="87">
        <f>IFERROR(表格1[[#This Row],[QTY]]*表格1[[#This Row],[Unit Price]],"-")</f>
        <v>938</v>
      </c>
      <c r="O2962" s="86">
        <v>413998</v>
      </c>
      <c r="R2962" s="86" t="str">
        <f>_xlfn.CONCAT(表格1[[#This Row],[Model]]," ",表格1[[#This Row],[inv no]])</f>
        <v>RC-10ISSHK(W) 413998</v>
      </c>
      <c r="S2962" s="86">
        <f>_xlfn.XLOOKUP(表格1[[#This Row],[Model]],表格3[Model-Input-Ref2],表格3[SRP PRICE])</f>
        <v>1188</v>
      </c>
      <c r="T2962" s="43">
        <f>表格1[[#This Row],[Unit Price]]/表格1[[#This Row],[SRP]]</f>
        <v>0.78956228956228958</v>
      </c>
      <c r="U2962" s="86" t="str">
        <f>_xlfn.XLOOKUP(表格1[[#This Row],[Model]],表格3[Model-Input-Ref2],表格3[TOSHIBA/HIGHEST])</f>
        <v>Shops Highest Price</v>
      </c>
      <c r="W2962" s="86" t="str">
        <f>_xlfn.CONCAT(表格1[[#This Row],[欄4]],表格1[[#This Row],[inv no]])</f>
        <v>413998</v>
      </c>
    </row>
    <row r="2963" spans="1:23" hidden="1">
      <c r="A2963" s="81">
        <v>2961</v>
      </c>
      <c r="B2963" s="86" t="s">
        <v>1477</v>
      </c>
      <c r="C2963" s="86" t="s">
        <v>1945</v>
      </c>
      <c r="D2963" s="82" t="str">
        <f ca="1">OFFSET(Roster!$A$3,MATCH(表格1[[#This Row],[Location]]&amp;" "&amp;表格1[[#This Row],[Shop]]&amp;"*",Roster!$A$4:$A$72,0),DAY(表格1[[#This Row],[date]]),1,1)</f>
        <v>Ivy Wong_1</v>
      </c>
      <c r="E2963" s="86">
        <f>MONTH(表格1[[#This Row],[date]])</f>
        <v>3</v>
      </c>
      <c r="F2963" s="90">
        <v>46095</v>
      </c>
      <c r="G2963" s="86" t="str">
        <f>VLOOKUP("*"&amp;表格1[[#This Row],[Input]]&amp;"*",'Ref-List'!$B:$D,2,)</f>
        <v>RC-10NMFIH(WT)</v>
      </c>
      <c r="H2963" s="86" t="str">
        <f>_xlfn.XLOOKUP(表格1[[#This Row],[Model]],表格3[Model-Input-Ref2],表格3[Product Line])</f>
        <v>4毫米厚釜電飯煲1L</v>
      </c>
      <c r="I2963" s="86" t="str">
        <f>_xlfn.XLOOKUP(表格1[[#This Row],[Model]],表格3[Model-Input-Ref2],表格3[大小電])</f>
        <v>細電</v>
      </c>
      <c r="J2963" s="86" t="str">
        <f>_xlfn.XLOOKUP(表格1[[#This Row],[Model]],表格3[Model-Input-Ref2],表格3[Code])</f>
        <v>SDA</v>
      </c>
      <c r="K2963" s="89" t="s">
        <v>1244</v>
      </c>
      <c r="L2963" s="86">
        <v>1</v>
      </c>
      <c r="M2963" s="87">
        <v>719</v>
      </c>
      <c r="N2963" s="87">
        <f>IFERROR(表格1[[#This Row],[QTY]]*表格1[[#This Row],[Unit Price]],"-")</f>
        <v>719</v>
      </c>
      <c r="O2963" s="86">
        <v>414362</v>
      </c>
      <c r="R2963" s="86" t="str">
        <f>_xlfn.CONCAT(表格1[[#This Row],[Model]]," ",表格1[[#This Row],[inv no]])</f>
        <v>RC-10NMFIH(WT) 414362</v>
      </c>
      <c r="S2963" s="86">
        <f>_xlfn.XLOOKUP(表格1[[#This Row],[Model]],表格3[Model-Input-Ref2],表格3[SRP PRICE])</f>
        <v>898</v>
      </c>
      <c r="T2963" s="43">
        <f>表格1[[#This Row],[Unit Price]]/表格1[[#This Row],[SRP]]</f>
        <v>0.80066815144766146</v>
      </c>
      <c r="U2963" s="86" t="str">
        <f>_xlfn.XLOOKUP(表格1[[#This Row],[Model]],表格3[Model-Input-Ref2],表格3[TOSHIBA/HIGHEST])</f>
        <v>Toshiba SRP</v>
      </c>
      <c r="W2963" s="86" t="str">
        <f>_xlfn.CONCAT(表格1[[#This Row],[欄4]],表格1[[#This Row],[inv no]])</f>
        <v>414362</v>
      </c>
    </row>
    <row r="2964" spans="1:23" hidden="1">
      <c r="A2964" s="81">
        <v>2962</v>
      </c>
      <c r="B2964" s="86" t="s">
        <v>1477</v>
      </c>
      <c r="C2964" s="86" t="s">
        <v>1945</v>
      </c>
      <c r="D2964" s="82" t="str">
        <f ca="1">OFFSET(Roster!$A$3,MATCH(表格1[[#This Row],[Location]]&amp;" "&amp;表格1[[#This Row],[Shop]]&amp;"*",Roster!$A$4:$A$72,0),DAY(表格1[[#This Row],[date]]),1,1)</f>
        <v>Ivy Wong_1</v>
      </c>
      <c r="E2964" s="86">
        <f>MONTH(表格1[[#This Row],[date]])</f>
        <v>3</v>
      </c>
      <c r="F2964" s="90">
        <v>46096</v>
      </c>
      <c r="G2964" s="86" t="str">
        <f>VLOOKUP("*"&amp;表格1[[#This Row],[Input]]&amp;"*",'Ref-List'!$B:$D,2,)</f>
        <v>RAD-D300H</v>
      </c>
      <c r="H2964" s="86" t="str">
        <f>_xlfn.XLOOKUP(表格1[[#This Row],[Model]],表格3[Model-Input-Ref2],表格3[Product Line])</f>
        <v>壓縮式抽濕機 (30公升)</v>
      </c>
      <c r="I2964" s="86" t="str">
        <f>_xlfn.XLOOKUP(表格1[[#This Row],[Model]],表格3[Model-Input-Ref2],表格3[大小電])</f>
        <v>細電</v>
      </c>
      <c r="J2964" s="86" t="str">
        <f>_xlfn.XLOOKUP(表格1[[#This Row],[Model]],表格3[Model-Input-Ref2],表格3[Code])</f>
        <v>RAC</v>
      </c>
      <c r="K2964" s="89" t="s">
        <v>1252</v>
      </c>
      <c r="L2964" s="86">
        <v>1</v>
      </c>
      <c r="M2964" s="87">
        <v>2280</v>
      </c>
      <c r="N2964" s="87">
        <f>IFERROR(表格1[[#This Row],[QTY]]*表格1[[#This Row],[Unit Price]],"-")</f>
        <v>2280</v>
      </c>
      <c r="O2964" s="86">
        <v>414255</v>
      </c>
      <c r="R2964" s="86" t="str">
        <f>_xlfn.CONCAT(表格1[[#This Row],[Model]]," ",表格1[[#This Row],[inv no]])</f>
        <v>RAD-D300H 414255</v>
      </c>
      <c r="S2964" s="86">
        <f>_xlfn.XLOOKUP(表格1[[#This Row],[Model]],表格3[Model-Input-Ref2],表格3[SRP PRICE])</f>
        <v>3380</v>
      </c>
      <c r="T2964" s="43">
        <f>表格1[[#This Row],[Unit Price]]/表格1[[#This Row],[SRP]]</f>
        <v>0.67455621301775148</v>
      </c>
      <c r="U2964" s="86" t="str">
        <f>_xlfn.XLOOKUP(表格1[[#This Row],[Model]],表格3[Model-Input-Ref2],表格3[TOSHIBA/HIGHEST])</f>
        <v>Shops Highest Price</v>
      </c>
      <c r="W2964" s="86" t="str">
        <f>_xlfn.CONCAT(表格1[[#This Row],[欄4]],表格1[[#This Row],[inv no]])</f>
        <v>414255</v>
      </c>
    </row>
    <row r="2965" spans="1:23" hidden="1">
      <c r="A2965" s="81">
        <v>2963</v>
      </c>
      <c r="B2965" s="86" t="s">
        <v>1477</v>
      </c>
      <c r="C2965" s="86" t="s">
        <v>1945</v>
      </c>
      <c r="D2965" s="82" t="str">
        <f ca="1">OFFSET(Roster!$A$3,MATCH(表格1[[#This Row],[Location]]&amp;" "&amp;表格1[[#This Row],[Shop]]&amp;"*",Roster!$A$4:$A$72,0),DAY(表格1[[#This Row],[date]]),1,1)</f>
        <v>Ivy Wong_1</v>
      </c>
      <c r="E2965" s="86">
        <f>MONTH(表格1[[#This Row],[date]])</f>
        <v>3</v>
      </c>
      <c r="F2965" s="90">
        <v>46096</v>
      </c>
      <c r="G2965" s="86" t="str">
        <f>VLOOKUP("*"&amp;表格1[[#This Row],[Input]]&amp;"*",'Ref-List'!$B:$D,2,)</f>
        <v>TW-T22BU95UWH(WK)-B</v>
      </c>
      <c r="H2965" s="86" t="str">
        <f>_xlfn.XLOOKUP(表格1[[#This Row],[Model]],表格3[Model-Input-Ref2],表格3[Product Line])</f>
        <v>470MM超薄身前置式變頻洗衣機(8.5公斤, 可飛頂)</v>
      </c>
      <c r="I2965" s="86" t="str">
        <f>_xlfn.XLOOKUP(表格1[[#This Row],[Model]],表格3[Model-Input-Ref2],表格3[大小電])</f>
        <v>大電</v>
      </c>
      <c r="J2965" s="86" t="str">
        <f>_xlfn.XLOOKUP(表格1[[#This Row],[Model]],表格3[Model-Input-Ref2],表格3[Code])</f>
        <v>LAD</v>
      </c>
      <c r="K2965" s="89" t="s">
        <v>969</v>
      </c>
      <c r="L2965" s="86">
        <v>1</v>
      </c>
      <c r="M2965" s="87">
        <v>3680</v>
      </c>
      <c r="N2965" s="87">
        <f>IFERROR(表格1[[#This Row],[QTY]]*表格1[[#This Row],[Unit Price]],"-")</f>
        <v>3680</v>
      </c>
      <c r="O2965" s="86">
        <v>414382</v>
      </c>
      <c r="R2965" s="86" t="str">
        <f>_xlfn.CONCAT(表格1[[#This Row],[Model]]," ",表格1[[#This Row],[inv no]])</f>
        <v>TW-T22BU95UWH(WK)-B 414382</v>
      </c>
      <c r="S2965" s="86">
        <f>_xlfn.XLOOKUP(表格1[[#This Row],[Model]],表格3[Model-Input-Ref2],表格3[SRP PRICE])</f>
        <v>5880</v>
      </c>
      <c r="T2965" s="43">
        <f>表格1[[#This Row],[Unit Price]]/表格1[[#This Row],[SRP]]</f>
        <v>0.62585034013605445</v>
      </c>
      <c r="U2965" s="86" t="str">
        <f>_xlfn.XLOOKUP(表格1[[#This Row],[Model]],表格3[Model-Input-Ref2],表格3[TOSHIBA/HIGHEST])</f>
        <v>Toshiba SRP</v>
      </c>
      <c r="W2965" s="86" t="str">
        <f>_xlfn.CONCAT(表格1[[#This Row],[欄4]],表格1[[#This Row],[inv no]])</f>
        <v>414382</v>
      </c>
    </row>
    <row r="2966" spans="1:23" hidden="1">
      <c r="A2966" s="81">
        <v>2964</v>
      </c>
      <c r="B2966" s="86" t="s">
        <v>1477</v>
      </c>
      <c r="C2966" s="86" t="s">
        <v>1945</v>
      </c>
      <c r="D2966" s="82" t="str">
        <f ca="1">OFFSET(Roster!$A$3,MATCH(表格1[[#This Row],[Location]]&amp;" "&amp;表格1[[#This Row],[Shop]]&amp;"*",Roster!$A$4:$A$72,0),DAY(表格1[[#This Row],[date]]),1,1)</f>
        <v>Ivy Wong_1</v>
      </c>
      <c r="E2966" s="86">
        <f>MONTH(表格1[[#This Row],[date]])</f>
        <v>3</v>
      </c>
      <c r="F2966" s="90">
        <v>46096</v>
      </c>
      <c r="G2966" s="86" t="str">
        <f>VLOOKUP("*"&amp;表格1[[#This Row],[Input]]&amp;"*",'Ref-List'!$B:$D,2,)</f>
        <v>KT-17DRTHK(H)</v>
      </c>
      <c r="H2966" s="86" t="str">
        <f>_xlfn.XLOOKUP(表格1[[#This Row],[Model]],表格3[Model-Input-Ref2],表格3[Product Line])</f>
        <v>無線雙層電熱水壺(1.7公升)</v>
      </c>
      <c r="I2966" s="86" t="str">
        <f>_xlfn.XLOOKUP(表格1[[#This Row],[Model]],表格3[Model-Input-Ref2],表格3[大小電])</f>
        <v>細電</v>
      </c>
      <c r="J2966" s="86" t="str">
        <f>_xlfn.XLOOKUP(表格1[[#This Row],[Model]],表格3[Model-Input-Ref2],表格3[Code])</f>
        <v>SDA</v>
      </c>
      <c r="K2966" s="89" t="s">
        <v>1271</v>
      </c>
      <c r="L2966" s="86">
        <v>1</v>
      </c>
      <c r="M2966" s="87">
        <v>388</v>
      </c>
      <c r="N2966" s="87">
        <f>IFERROR(表格1[[#This Row],[QTY]]*表格1[[#This Row],[Unit Price]],"-")</f>
        <v>388</v>
      </c>
      <c r="O2966" s="86">
        <v>414362</v>
      </c>
      <c r="R2966" s="86" t="str">
        <f>_xlfn.CONCAT(表格1[[#This Row],[Model]]," ",表格1[[#This Row],[inv no]])</f>
        <v>KT-17DRTHK(H) 414362</v>
      </c>
      <c r="S2966" s="86">
        <f>_xlfn.XLOOKUP(表格1[[#This Row],[Model]],表格3[Model-Input-Ref2],表格3[SRP PRICE])</f>
        <v>498</v>
      </c>
      <c r="T2966" s="43">
        <f>表格1[[#This Row],[Unit Price]]/表格1[[#This Row],[SRP]]</f>
        <v>0.77911646586345384</v>
      </c>
      <c r="U2966" s="86" t="str">
        <f>_xlfn.XLOOKUP(表格1[[#This Row],[Model]],表格3[Model-Input-Ref2],表格3[TOSHIBA/HIGHEST])</f>
        <v>Toshiba SRP</v>
      </c>
      <c r="W2966" s="86" t="str">
        <f>_xlfn.CONCAT(表格1[[#This Row],[欄4]],表格1[[#This Row],[inv no]])</f>
        <v>414362</v>
      </c>
    </row>
    <row r="2967" spans="1:23" hidden="1">
      <c r="A2967" s="81">
        <v>2965</v>
      </c>
      <c r="B2967" s="86" t="s">
        <v>1477</v>
      </c>
      <c r="C2967" s="86" t="s">
        <v>1945</v>
      </c>
      <c r="D2967" s="82" t="str">
        <f ca="1">OFFSET(Roster!$A$3,MATCH(表格1[[#This Row],[Location]]&amp;" "&amp;表格1[[#This Row],[Shop]]&amp;"*",Roster!$A$4:$A$72,0),DAY(表格1[[#This Row],[date]]),1,1)</f>
        <v>Ivy Wong_1</v>
      </c>
      <c r="E2967" s="86">
        <f>MONTH(表格1[[#This Row],[date]])</f>
        <v>3</v>
      </c>
      <c r="F2967" s="90">
        <v>46096</v>
      </c>
      <c r="G2967" s="86" t="str">
        <f>VLOOKUP("*"&amp;表格1[[#This Row],[Input]]&amp;"*",'Ref-List'!$B:$D,2,)</f>
        <v>RC-DR10T(R)</v>
      </c>
      <c r="H2967" s="86" t="str">
        <f>_xlfn.XLOOKUP(表格1[[#This Row],[Model]],表格3[Model-Input-Ref2],表格3[Product Line])</f>
        <v>IH磁應電飯煲</v>
      </c>
      <c r="I2967" s="86" t="str">
        <f>_xlfn.XLOOKUP(表格1[[#This Row],[Model]],表格3[Model-Input-Ref2],表格3[大小電])</f>
        <v>細電</v>
      </c>
      <c r="J2967" s="86" t="str">
        <f>_xlfn.XLOOKUP(表格1[[#This Row],[Model]],表格3[Model-Input-Ref2],表格3[Code])</f>
        <v>SDA</v>
      </c>
      <c r="K2967" s="89" t="s">
        <v>1296</v>
      </c>
      <c r="L2967" s="86">
        <v>1</v>
      </c>
      <c r="M2967" s="87">
        <v>2380</v>
      </c>
      <c r="N2967" s="87">
        <f>IFERROR(表格1[[#This Row],[QTY]]*表格1[[#This Row],[Unit Price]],"-")</f>
        <v>2380</v>
      </c>
      <c r="O2967" s="86">
        <v>414423</v>
      </c>
      <c r="R2967" s="86" t="str">
        <f>_xlfn.CONCAT(表格1[[#This Row],[Model]]," ",表格1[[#This Row],[inv no]])</f>
        <v>RC-DR10T(R) 414423</v>
      </c>
      <c r="S2967" s="86">
        <f>_xlfn.XLOOKUP(表格1[[#This Row],[Model]],表格3[Model-Input-Ref2],表格3[SRP PRICE])</f>
        <v>3188</v>
      </c>
      <c r="T2967" s="43">
        <f>表格1[[#This Row],[Unit Price]]/表格1[[#This Row],[SRP]]</f>
        <v>0.74654956085319946</v>
      </c>
      <c r="U2967" s="86" t="str">
        <f>_xlfn.XLOOKUP(表格1[[#This Row],[Model]],表格3[Model-Input-Ref2],表格3[TOSHIBA/HIGHEST])</f>
        <v>Toshiba SRP</v>
      </c>
      <c r="W2967" s="86" t="str">
        <f>_xlfn.CONCAT(表格1[[#This Row],[欄4]],表格1[[#This Row],[inv no]])</f>
        <v>414423</v>
      </c>
    </row>
    <row r="2968" spans="1:23" hidden="1">
      <c r="A2968" s="81">
        <v>2966</v>
      </c>
      <c r="B2968" s="86" t="s">
        <v>1477</v>
      </c>
      <c r="C2968" s="86" t="s">
        <v>1945</v>
      </c>
      <c r="D2968" s="82" t="str">
        <f ca="1">OFFSET(Roster!$A$3,MATCH(表格1[[#This Row],[Location]]&amp;" "&amp;表格1[[#This Row],[Shop]]&amp;"*",Roster!$A$4:$A$72,0),DAY(表格1[[#This Row],[date]]),1,1)</f>
        <v>Ivy Wong_1</v>
      </c>
      <c r="E2968" s="86">
        <f>MONTH(表格1[[#This Row],[date]])</f>
        <v>3</v>
      </c>
      <c r="F2968" s="90">
        <v>46096</v>
      </c>
      <c r="G2968" s="86" t="str">
        <f>VLOOKUP("*"&amp;表格1[[#This Row],[Input]]&amp;"*",'Ref-List'!$B:$D,2,)</f>
        <v>MM2-EM20PC(WH)</v>
      </c>
      <c r="H2968" s="86" t="str">
        <f>_xlfn.XLOOKUP(表格1[[#This Row],[Model]],表格3[Model-Input-Ref2],表格3[Product Line])</f>
        <v>輕觸式微波爐 (20公升)</v>
      </c>
      <c r="I2968" s="86" t="str">
        <f>_xlfn.XLOOKUP(表格1[[#This Row],[Model]],表格3[Model-Input-Ref2],表格3[大小電])</f>
        <v>細電</v>
      </c>
      <c r="J2968" s="86" t="str">
        <f>_xlfn.XLOOKUP(表格1[[#This Row],[Model]],表格3[Model-Input-Ref2],表格3[Code])</f>
        <v>MCA</v>
      </c>
      <c r="K2968" s="89" t="s">
        <v>1276</v>
      </c>
      <c r="L2968" s="86">
        <v>1</v>
      </c>
      <c r="M2968" s="87">
        <v>598</v>
      </c>
      <c r="N2968" s="87">
        <f>IFERROR(表格1[[#This Row],[QTY]]*表格1[[#This Row],[Unit Price]],"-")</f>
        <v>598</v>
      </c>
      <c r="O2968" s="86">
        <v>414451</v>
      </c>
      <c r="R2968" s="86" t="str">
        <f>_xlfn.CONCAT(表格1[[#This Row],[Model]]," ",表格1[[#This Row],[inv no]])</f>
        <v>MM2-EM20PC(WH) 414451</v>
      </c>
      <c r="S2968" s="86">
        <f>_xlfn.XLOOKUP(表格1[[#This Row],[Model]],表格3[Model-Input-Ref2],表格3[SRP PRICE])</f>
        <v>788</v>
      </c>
      <c r="T2968" s="43">
        <f>表格1[[#This Row],[Unit Price]]/表格1[[#This Row],[SRP]]</f>
        <v>0.75888324873096447</v>
      </c>
      <c r="U2968" s="86" t="str">
        <f>_xlfn.XLOOKUP(表格1[[#This Row],[Model]],表格3[Model-Input-Ref2],表格3[TOSHIBA/HIGHEST])</f>
        <v>Toshiba SRP</v>
      </c>
      <c r="W2968" s="86" t="str">
        <f>_xlfn.CONCAT(表格1[[#This Row],[欄4]],表格1[[#This Row],[inv no]])</f>
        <v>414451</v>
      </c>
    </row>
    <row r="2969" spans="1:23" hidden="1">
      <c r="A2969" s="81">
        <v>2967</v>
      </c>
      <c r="B2969" s="86" t="s">
        <v>1477</v>
      </c>
      <c r="C2969" s="86" t="s">
        <v>1945</v>
      </c>
      <c r="D2969" s="82" t="str">
        <f ca="1">OFFSET(Roster!$A$3,MATCH(表格1[[#This Row],[Location]]&amp;" "&amp;表格1[[#This Row],[Shop]]&amp;"*",Roster!$A$4:$A$72,0),DAY(表格1[[#This Row],[date]]),1,1)</f>
        <v>Ivy Wong_1</v>
      </c>
      <c r="E2969" s="86">
        <f>MONTH(表格1[[#This Row],[date]])</f>
        <v>3</v>
      </c>
      <c r="F2969" s="90">
        <v>46096</v>
      </c>
      <c r="G2969" s="86" t="str">
        <f>VLOOKUP("*"&amp;表格1[[#This Row],[Input]]&amp;"*",'Ref-List'!$B:$D,2,)</f>
        <v>KT-17DRTHK(H)</v>
      </c>
      <c r="H2969" s="86" t="str">
        <f>_xlfn.XLOOKUP(表格1[[#This Row],[Model]],表格3[Model-Input-Ref2],表格3[Product Line])</f>
        <v>無線雙層電熱水壺(1.7公升)</v>
      </c>
      <c r="I2969" s="86" t="str">
        <f>_xlfn.XLOOKUP(表格1[[#This Row],[Model]],表格3[Model-Input-Ref2],表格3[大小電])</f>
        <v>細電</v>
      </c>
      <c r="J2969" s="86" t="str">
        <f>_xlfn.XLOOKUP(表格1[[#This Row],[Model]],表格3[Model-Input-Ref2],表格3[Code])</f>
        <v>SDA</v>
      </c>
      <c r="K2969" s="89" t="s">
        <v>1271</v>
      </c>
      <c r="L2969" s="86">
        <v>1</v>
      </c>
      <c r="M2969" s="87">
        <v>388</v>
      </c>
      <c r="N2969" s="87">
        <f>IFERROR(表格1[[#This Row],[QTY]]*表格1[[#This Row],[Unit Price]],"-")</f>
        <v>388</v>
      </c>
      <c r="O2969" s="86">
        <v>414443</v>
      </c>
      <c r="R2969" s="86" t="str">
        <f>_xlfn.CONCAT(表格1[[#This Row],[Model]]," ",表格1[[#This Row],[inv no]])</f>
        <v>KT-17DRTHK(H) 414443</v>
      </c>
      <c r="S2969" s="86">
        <f>_xlfn.XLOOKUP(表格1[[#This Row],[Model]],表格3[Model-Input-Ref2],表格3[SRP PRICE])</f>
        <v>498</v>
      </c>
      <c r="T2969" s="43">
        <f>表格1[[#This Row],[Unit Price]]/表格1[[#This Row],[SRP]]</f>
        <v>0.77911646586345384</v>
      </c>
      <c r="U2969" s="86" t="str">
        <f>_xlfn.XLOOKUP(表格1[[#This Row],[Model]],表格3[Model-Input-Ref2],表格3[TOSHIBA/HIGHEST])</f>
        <v>Toshiba SRP</v>
      </c>
      <c r="W2969" s="86" t="str">
        <f>_xlfn.CONCAT(表格1[[#This Row],[欄4]],表格1[[#This Row],[inv no]])</f>
        <v>414443</v>
      </c>
    </row>
    <row r="2970" spans="1:23" hidden="1">
      <c r="A2970" s="81">
        <v>2968</v>
      </c>
      <c r="B2970" s="86" t="s">
        <v>1477</v>
      </c>
      <c r="C2970" s="86" t="s">
        <v>1945</v>
      </c>
      <c r="D2970" s="82" t="str">
        <f ca="1">OFFSET(Roster!$A$3,MATCH(表格1[[#This Row],[Location]]&amp;" "&amp;表格1[[#This Row],[Shop]]&amp;"*",Roster!$A$4:$A$72,0),DAY(表格1[[#This Row],[date]]),1,1)</f>
        <v>Ivy Wong_1</v>
      </c>
      <c r="E2970" s="86">
        <f>MONTH(表格1[[#This Row],[date]])</f>
        <v>3</v>
      </c>
      <c r="F2970" s="90">
        <v>46096</v>
      </c>
      <c r="G2970" s="86" t="str">
        <f>VLOOKUP("*"&amp;表格1[[#This Row],[Input]]&amp;"*",'Ref-List'!$B:$D,2,)</f>
        <v>RC-7HMH</v>
      </c>
      <c r="H2970" s="86" t="str">
        <f>_xlfn.XLOOKUP(表格1[[#This Row],[Model]],表格3[Model-Input-Ref2],表格3[Product Line])</f>
        <v>備長炭本厚釜電飯煲0.7L</v>
      </c>
      <c r="I2970" s="86" t="str">
        <f>_xlfn.XLOOKUP(表格1[[#This Row],[Model]],表格3[Model-Input-Ref2],表格3[大小電])</f>
        <v>細電</v>
      </c>
      <c r="J2970" s="86" t="str">
        <f>_xlfn.XLOOKUP(表格1[[#This Row],[Model]],表格3[Model-Input-Ref2],表格3[Code])</f>
        <v>SDA</v>
      </c>
      <c r="K2970" s="89" t="s">
        <v>1284</v>
      </c>
      <c r="L2970" s="86">
        <v>1</v>
      </c>
      <c r="M2970" s="87">
        <v>838</v>
      </c>
      <c r="N2970" s="87">
        <f>IFERROR(表格1[[#This Row],[QTY]]*表格1[[#This Row],[Unit Price]],"-")</f>
        <v>838</v>
      </c>
      <c r="O2970" s="86">
        <v>321299</v>
      </c>
      <c r="R2970" s="86" t="str">
        <f>_xlfn.CONCAT(表格1[[#This Row],[Model]]," ",表格1[[#This Row],[inv no]])</f>
        <v>RC-7HMH 321299</v>
      </c>
      <c r="S2970" s="86">
        <f>_xlfn.XLOOKUP(表格1[[#This Row],[Model]],表格3[Model-Input-Ref2],表格3[SRP PRICE])</f>
        <v>1288</v>
      </c>
      <c r="T2970" s="43">
        <f>表格1[[#This Row],[Unit Price]]/表格1[[#This Row],[SRP]]</f>
        <v>0.65062111801242239</v>
      </c>
      <c r="U2970" s="86" t="str">
        <f>_xlfn.XLOOKUP(表格1[[#This Row],[Model]],表格3[Model-Input-Ref2],表格3[TOSHIBA/HIGHEST])</f>
        <v>Toshiba SRP</v>
      </c>
      <c r="W2970" s="86" t="str">
        <f>_xlfn.CONCAT(表格1[[#This Row],[欄4]],表格1[[#This Row],[inv no]])</f>
        <v>321299</v>
      </c>
    </row>
    <row r="2971" spans="1:23" hidden="1">
      <c r="A2971" s="81">
        <v>2969</v>
      </c>
      <c r="B2971" s="86" t="s">
        <v>1477</v>
      </c>
      <c r="C2971" s="86" t="s">
        <v>1945</v>
      </c>
      <c r="D2971" s="82" t="str">
        <f ca="1">OFFSET(Roster!$A$3,MATCH(表格1[[#This Row],[Location]]&amp;" "&amp;表格1[[#This Row],[Shop]]&amp;"*",Roster!$A$4:$A$72,0),DAY(表格1[[#This Row],[date]]),1,1)</f>
        <v>Ivy Wong_1</v>
      </c>
      <c r="E2971" s="86">
        <f>MONTH(表格1[[#This Row],[date]])</f>
        <v>3</v>
      </c>
      <c r="F2971" s="90">
        <v>46096</v>
      </c>
      <c r="G2971" s="86" t="str">
        <f>VLOOKUP("*"&amp;表格1[[#This Row],[Input]]&amp;"*",'Ref-List'!$B:$D,2,)</f>
        <v>TWD-T22BU95UWH(WK)-B</v>
      </c>
      <c r="H2971" s="86" t="str">
        <f>_xlfn.XLOOKUP(表格1[[#This Row],[Model]],表格3[Model-Input-Ref2],表格3[Product Line])</f>
        <v>470MM超薄身前置式變頻洗衣乾衣機 (洗8.5公斤/乾6公斤, 可飛頂)</v>
      </c>
      <c r="I2971" s="86" t="str">
        <f>_xlfn.XLOOKUP(表格1[[#This Row],[Model]],表格3[Model-Input-Ref2],表格3[大小電])</f>
        <v>大電</v>
      </c>
      <c r="J2971" s="86" t="str">
        <f>_xlfn.XLOOKUP(表格1[[#This Row],[Model]],表格3[Model-Input-Ref2],表格3[Code])</f>
        <v>LAD</v>
      </c>
      <c r="K2971" s="89" t="s">
        <v>1421</v>
      </c>
      <c r="L2971" s="86">
        <v>1</v>
      </c>
      <c r="M2971" s="87">
        <v>4780</v>
      </c>
      <c r="N2971" s="87">
        <f>IFERROR(表格1[[#This Row],[QTY]]*表格1[[#This Row],[Unit Price]],"-")</f>
        <v>4780</v>
      </c>
      <c r="O2971" s="86">
        <v>414469</v>
      </c>
      <c r="R2971" s="86" t="str">
        <f>_xlfn.CONCAT(表格1[[#This Row],[Model]]," ",表格1[[#This Row],[inv no]])</f>
        <v>TWD-T22BU95UWH(WK)-B 414469</v>
      </c>
      <c r="S2971" s="86">
        <f>_xlfn.XLOOKUP(表格1[[#This Row],[Model]],表格3[Model-Input-Ref2],表格3[SRP PRICE])</f>
        <v>7480</v>
      </c>
      <c r="T2971" s="43">
        <f>表格1[[#This Row],[Unit Price]]/表格1[[#This Row],[SRP]]</f>
        <v>0.63903743315508021</v>
      </c>
      <c r="U2971" s="86" t="str">
        <f>_xlfn.XLOOKUP(表格1[[#This Row],[Model]],表格3[Model-Input-Ref2],表格3[TOSHIBA/HIGHEST])</f>
        <v>Toshiba SRP</v>
      </c>
      <c r="W2971" s="86" t="str">
        <f>_xlfn.CONCAT(表格1[[#This Row],[欄4]],表格1[[#This Row],[inv no]])</f>
        <v>414469</v>
      </c>
    </row>
    <row r="2972" spans="1:23" hidden="1">
      <c r="A2972" s="81">
        <v>2970</v>
      </c>
      <c r="B2972" s="86" t="s">
        <v>1477</v>
      </c>
      <c r="C2972" s="86" t="s">
        <v>1945</v>
      </c>
      <c r="D2972" s="82" t="str">
        <f ca="1">OFFSET(Roster!$A$3,MATCH(表格1[[#This Row],[Location]]&amp;" "&amp;表格1[[#This Row],[Shop]]&amp;"*",Roster!$A$4:$A$72,0),DAY(表格1[[#This Row],[date]]),1,1)</f>
        <v>Ivy Wong_1</v>
      </c>
      <c r="E2972" s="86">
        <f>MONTH(表格1[[#This Row],[date]])</f>
        <v>3</v>
      </c>
      <c r="F2972" s="90">
        <v>46096</v>
      </c>
      <c r="G2972" s="86" t="str">
        <f>VLOOKUP("*"&amp;表格1[[#This Row],[Input]]&amp;"*",'Ref-List'!$B:$D,2,)</f>
        <v>KT-15DRTHK(W)</v>
      </c>
      <c r="H2972" s="86" t="str">
        <f>_xlfn.XLOOKUP(表格1[[#This Row],[Model]],表格3[Model-Input-Ref2],表格3[Product Line])</f>
        <v>無線雙層電熱水壺-附可鎖壺蓋</v>
      </c>
      <c r="I2972" s="86" t="str">
        <f>_xlfn.XLOOKUP(表格1[[#This Row],[Model]],表格3[Model-Input-Ref2],表格3[大小電])</f>
        <v>細電</v>
      </c>
      <c r="J2972" s="86" t="str">
        <f>_xlfn.XLOOKUP(表格1[[#This Row],[Model]],表格3[Model-Input-Ref2],表格3[Code])</f>
        <v>SDA</v>
      </c>
      <c r="K2972" s="89" t="s">
        <v>1278</v>
      </c>
      <c r="L2972" s="86">
        <v>1</v>
      </c>
      <c r="M2972" s="87">
        <v>338</v>
      </c>
      <c r="N2972" s="87">
        <f>IFERROR(表格1[[#This Row],[QTY]]*表格1[[#This Row],[Unit Price]],"-")</f>
        <v>338</v>
      </c>
      <c r="O2972" s="86">
        <v>414516</v>
      </c>
      <c r="R2972" s="86" t="str">
        <f>_xlfn.CONCAT(表格1[[#This Row],[Model]]," ",表格1[[#This Row],[inv no]])</f>
        <v>KT-15DRTHK(W) 414516</v>
      </c>
      <c r="S2972" s="86">
        <f>_xlfn.XLOOKUP(表格1[[#This Row],[Model]],表格3[Model-Input-Ref2],表格3[SRP PRICE])</f>
        <v>598</v>
      </c>
      <c r="T2972" s="43">
        <f>表格1[[#This Row],[Unit Price]]/表格1[[#This Row],[SRP]]</f>
        <v>0.56521739130434778</v>
      </c>
      <c r="U2972" s="86" t="str">
        <f>_xlfn.XLOOKUP(表格1[[#This Row],[Model]],表格3[Model-Input-Ref2],表格3[TOSHIBA/HIGHEST])</f>
        <v>Toshiba SRP</v>
      </c>
      <c r="W2972" s="86" t="str">
        <f>_xlfn.CONCAT(表格1[[#This Row],[欄4]],表格1[[#This Row],[inv no]])</f>
        <v>414516</v>
      </c>
    </row>
    <row r="2973" spans="1:23" hidden="1">
      <c r="A2973" s="81">
        <v>2971</v>
      </c>
      <c r="B2973" s="86" t="s">
        <v>1477</v>
      </c>
      <c r="C2973" s="86" t="s">
        <v>1945</v>
      </c>
      <c r="D2973" s="82" t="str">
        <f ca="1">OFFSET(Roster!$A$3,MATCH(表格1[[#This Row],[Location]]&amp;" "&amp;表格1[[#This Row],[Shop]]&amp;"*",Roster!$A$4:$A$72,0),DAY(表格1[[#This Row],[date]]),1,1)</f>
        <v>Ivy Wong_1</v>
      </c>
      <c r="E2973" s="86">
        <f>MONTH(表格1[[#This Row],[date]])</f>
        <v>3</v>
      </c>
      <c r="F2973" s="90">
        <v>46096</v>
      </c>
      <c r="G2973" s="86" t="str">
        <f>VLOOKUP("*"&amp;表格1[[#This Row],[Input]]&amp;"*",'Ref-List'!$B:$D,2,)</f>
        <v>RC-DS10K(R)</v>
      </c>
      <c r="H2973" s="86" t="str">
        <f>_xlfn.XLOOKUP(表格1[[#This Row],[Model]],表格3[Model-Input-Ref2],表格3[Product Line])</f>
        <v>IH磁應電飯煲</v>
      </c>
      <c r="I2973" s="86" t="str">
        <f>_xlfn.XLOOKUP(表格1[[#This Row],[Model]],表格3[Model-Input-Ref2],表格3[大小電])</f>
        <v>細電</v>
      </c>
      <c r="J2973" s="86" t="str">
        <f>_xlfn.XLOOKUP(表格1[[#This Row],[Model]],表格3[Model-Input-Ref2],表格3[Code])</f>
        <v>SDA</v>
      </c>
      <c r="K2973" s="89" t="s">
        <v>1424</v>
      </c>
      <c r="L2973" s="86">
        <v>1</v>
      </c>
      <c r="M2973" s="87">
        <v>3150</v>
      </c>
      <c r="N2973" s="87">
        <f>IFERROR(表格1[[#This Row],[QTY]]*表格1[[#This Row],[Unit Price]],"-")</f>
        <v>3150</v>
      </c>
      <c r="O2973" s="86">
        <v>414524</v>
      </c>
      <c r="R2973" s="86" t="str">
        <f>_xlfn.CONCAT(表格1[[#This Row],[Model]]," ",表格1[[#This Row],[inv no]])</f>
        <v>RC-DS10K(R) 414524</v>
      </c>
      <c r="S2973" s="86">
        <f>_xlfn.XLOOKUP(表格1[[#This Row],[Model]],表格3[Model-Input-Ref2],表格3[SRP PRICE])</f>
        <v>4588</v>
      </c>
      <c r="T2973" s="43">
        <f>表格1[[#This Row],[Unit Price]]/表格1[[#This Row],[SRP]]</f>
        <v>0.68657367044463824</v>
      </c>
      <c r="U2973" s="86" t="str">
        <f>_xlfn.XLOOKUP(表格1[[#This Row],[Model]],表格3[Model-Input-Ref2],表格3[TOSHIBA/HIGHEST])</f>
        <v>Toshiba SRP</v>
      </c>
      <c r="W2973" s="86" t="str">
        <f>_xlfn.CONCAT(表格1[[#This Row],[欄4]],表格1[[#This Row],[inv no]])</f>
        <v>414524</v>
      </c>
    </row>
    <row r="2974" spans="1:23" hidden="1">
      <c r="A2974" s="81">
        <v>2972</v>
      </c>
      <c r="B2974" s="86" t="s">
        <v>1477</v>
      </c>
      <c r="C2974" s="86" t="s">
        <v>1945</v>
      </c>
      <c r="D2974" s="82" t="str">
        <f ca="1">OFFSET(Roster!$A$3,MATCH(表格1[[#This Row],[Location]]&amp;" "&amp;表格1[[#This Row],[Shop]]&amp;"*",Roster!$A$4:$A$72,0),DAY(表格1[[#This Row],[date]]),1,1)</f>
        <v>Ivy Wong_1</v>
      </c>
      <c r="E2974" s="86">
        <f>MONTH(表格1[[#This Row],[date]])</f>
        <v>3</v>
      </c>
      <c r="F2974" s="90">
        <v>46096</v>
      </c>
      <c r="G2974" s="86" t="str">
        <f>VLOOKUP("*"&amp;表格1[[#This Row],[Input]]&amp;"*",'Ref-List'!$B:$D,2,)</f>
        <v>KT-17DRTHK(H)</v>
      </c>
      <c r="H2974" s="86" t="str">
        <f>_xlfn.XLOOKUP(表格1[[#This Row],[Model]],表格3[Model-Input-Ref2],表格3[Product Line])</f>
        <v>無線雙層電熱水壺(1.7公升)</v>
      </c>
      <c r="I2974" s="86" t="str">
        <f>_xlfn.XLOOKUP(表格1[[#This Row],[Model]],表格3[Model-Input-Ref2],表格3[大小電])</f>
        <v>細電</v>
      </c>
      <c r="J2974" s="86" t="str">
        <f>_xlfn.XLOOKUP(表格1[[#This Row],[Model]],表格3[Model-Input-Ref2],表格3[Code])</f>
        <v>SDA</v>
      </c>
      <c r="K2974" s="89" t="s">
        <v>1271</v>
      </c>
      <c r="L2974" s="86">
        <v>1</v>
      </c>
      <c r="M2974" s="87">
        <v>388</v>
      </c>
      <c r="N2974" s="87">
        <f>IFERROR(表格1[[#This Row],[QTY]]*表格1[[#This Row],[Unit Price]],"-")</f>
        <v>388</v>
      </c>
      <c r="O2974" s="86">
        <v>414567</v>
      </c>
      <c r="R2974" s="86" t="str">
        <f>_xlfn.CONCAT(表格1[[#This Row],[Model]]," ",表格1[[#This Row],[inv no]])</f>
        <v>KT-17DRTHK(H) 414567</v>
      </c>
      <c r="S2974" s="86">
        <f>_xlfn.XLOOKUP(表格1[[#This Row],[Model]],表格3[Model-Input-Ref2],表格3[SRP PRICE])</f>
        <v>498</v>
      </c>
      <c r="T2974" s="43">
        <f>表格1[[#This Row],[Unit Price]]/表格1[[#This Row],[SRP]]</f>
        <v>0.77911646586345384</v>
      </c>
      <c r="U2974" s="86" t="str">
        <f>_xlfn.XLOOKUP(表格1[[#This Row],[Model]],表格3[Model-Input-Ref2],表格3[TOSHIBA/HIGHEST])</f>
        <v>Toshiba SRP</v>
      </c>
      <c r="W2974" s="86" t="str">
        <f>_xlfn.CONCAT(表格1[[#This Row],[欄4]],表格1[[#This Row],[inv no]])</f>
        <v>414567</v>
      </c>
    </row>
    <row r="2975" spans="1:23" hidden="1">
      <c r="A2975" s="81">
        <v>2973</v>
      </c>
      <c r="B2975" s="86" t="s">
        <v>1477</v>
      </c>
      <c r="C2975" s="86" t="s">
        <v>1945</v>
      </c>
      <c r="D2975" s="82" t="str">
        <f ca="1">OFFSET(Roster!$A$3,MATCH(表格1[[#This Row],[Location]]&amp;" "&amp;表格1[[#This Row],[Shop]]&amp;"*",Roster!$A$4:$A$72,0),DAY(表格1[[#This Row],[date]]),1,1)</f>
        <v>Ivy Wong_1</v>
      </c>
      <c r="E2975" s="86">
        <f>MONTH(表格1[[#This Row],[date]])</f>
        <v>3</v>
      </c>
      <c r="F2975" s="90">
        <v>46096</v>
      </c>
      <c r="G2975" s="86" t="str">
        <f>VLOOKUP("*"&amp;表格1[[#This Row],[Input]]&amp;"*",'Ref-List'!$B:$D,2,)</f>
        <v>IC-S19RH</v>
      </c>
      <c r="H2975" s="86" t="str">
        <f>_xlfn.XLOOKUP(表格1[[#This Row],[Model]],表格3[Model-Input-Ref2],表格3[Product Line])</f>
        <v>輕便式電磁爐7個功能</v>
      </c>
      <c r="I2975" s="86" t="str">
        <f>_xlfn.XLOOKUP(表格1[[#This Row],[Model]],表格3[Model-Input-Ref2],表格3[大小電])</f>
        <v>細電</v>
      </c>
      <c r="J2975" s="86" t="str">
        <f>_xlfn.XLOOKUP(表格1[[#This Row],[Model]],表格3[Model-Input-Ref2],表格3[Code])</f>
        <v>SDA</v>
      </c>
      <c r="K2975" s="89" t="s">
        <v>1289</v>
      </c>
      <c r="L2975" s="86">
        <v>1</v>
      </c>
      <c r="M2975" s="87">
        <v>418</v>
      </c>
      <c r="N2975" s="87">
        <f>IFERROR(表格1[[#This Row],[QTY]]*表格1[[#This Row],[Unit Price]],"-")</f>
        <v>418</v>
      </c>
      <c r="O2975" s="86">
        <v>414608</v>
      </c>
      <c r="R2975" s="86" t="str">
        <f>_xlfn.CONCAT(表格1[[#This Row],[Model]]," ",表格1[[#This Row],[inv no]])</f>
        <v>IC-S19RH 414608</v>
      </c>
      <c r="S2975" s="86">
        <f>_xlfn.XLOOKUP(表格1[[#This Row],[Model]],表格3[Model-Input-Ref2],表格3[SRP PRICE])</f>
        <v>638</v>
      </c>
      <c r="T2975" s="43">
        <f>表格1[[#This Row],[Unit Price]]/表格1[[#This Row],[SRP]]</f>
        <v>0.65517241379310343</v>
      </c>
      <c r="U2975" s="86" t="str">
        <f>_xlfn.XLOOKUP(表格1[[#This Row],[Model]],表格3[Model-Input-Ref2],表格3[TOSHIBA/HIGHEST])</f>
        <v>Toshiba SRP</v>
      </c>
      <c r="W2975" s="86" t="str">
        <f>_xlfn.CONCAT(表格1[[#This Row],[欄4]],表格1[[#This Row],[inv no]])</f>
        <v>414608</v>
      </c>
    </row>
    <row r="2976" spans="1:23" hidden="1">
      <c r="A2976" s="81">
        <v>2974</v>
      </c>
      <c r="B2976" s="86" t="s">
        <v>1477</v>
      </c>
      <c r="C2976" s="86" t="s">
        <v>1945</v>
      </c>
      <c r="D2976" s="82" t="str">
        <f ca="1">OFFSET(Roster!$A$3,MATCH(表格1[[#This Row],[Location]]&amp;" "&amp;表格1[[#This Row],[Shop]]&amp;"*",Roster!$A$4:$A$72,0),DAY(表格1[[#This Row],[date]]),1,1)</f>
        <v>Ivy Wong_1</v>
      </c>
      <c r="E2976" s="86">
        <f>MONTH(表格1[[#This Row],[date]])</f>
        <v>3</v>
      </c>
      <c r="F2976" s="90">
        <v>46096</v>
      </c>
      <c r="G2976" s="86" t="str">
        <f>VLOOKUP("*"&amp;表格1[[#This Row],[Input]]&amp;"*",'Ref-List'!$B:$D,2,)</f>
        <v>MM2-EM20PC(WH)</v>
      </c>
      <c r="H2976" s="86" t="str">
        <f>_xlfn.XLOOKUP(表格1[[#This Row],[Model]],表格3[Model-Input-Ref2],表格3[Product Line])</f>
        <v>輕觸式微波爐 (20公升)</v>
      </c>
      <c r="I2976" s="86" t="str">
        <f>_xlfn.XLOOKUP(表格1[[#This Row],[Model]],表格3[Model-Input-Ref2],表格3[大小電])</f>
        <v>細電</v>
      </c>
      <c r="J2976" s="86" t="str">
        <f>_xlfn.XLOOKUP(表格1[[#This Row],[Model]],表格3[Model-Input-Ref2],表格3[Code])</f>
        <v>MCA</v>
      </c>
      <c r="K2976" s="89" t="s">
        <v>1276</v>
      </c>
      <c r="L2976" s="86">
        <v>1</v>
      </c>
      <c r="M2976" s="87">
        <v>598</v>
      </c>
      <c r="N2976" s="87">
        <f>IFERROR(表格1[[#This Row],[QTY]]*表格1[[#This Row],[Unit Price]],"-")</f>
        <v>598</v>
      </c>
      <c r="O2976" s="86">
        <v>414622</v>
      </c>
      <c r="R2976" s="86" t="str">
        <f>_xlfn.CONCAT(表格1[[#This Row],[Model]]," ",表格1[[#This Row],[inv no]])</f>
        <v>MM2-EM20PC(WH) 414622</v>
      </c>
      <c r="S2976" s="86">
        <f>_xlfn.XLOOKUP(表格1[[#This Row],[Model]],表格3[Model-Input-Ref2],表格3[SRP PRICE])</f>
        <v>788</v>
      </c>
      <c r="T2976" s="43">
        <f>表格1[[#This Row],[Unit Price]]/表格1[[#This Row],[SRP]]</f>
        <v>0.75888324873096447</v>
      </c>
      <c r="U2976" s="86" t="str">
        <f>_xlfn.XLOOKUP(表格1[[#This Row],[Model]],表格3[Model-Input-Ref2],表格3[TOSHIBA/HIGHEST])</f>
        <v>Toshiba SRP</v>
      </c>
      <c r="W2976" s="86" t="str">
        <f>_xlfn.CONCAT(表格1[[#This Row],[欄4]],表格1[[#This Row],[inv no]])</f>
        <v>414622</v>
      </c>
    </row>
    <row r="2977" spans="1:23" hidden="1">
      <c r="A2977" s="81">
        <v>2975</v>
      </c>
      <c r="B2977" s="86" t="s">
        <v>1477</v>
      </c>
      <c r="C2977" s="86" t="s">
        <v>1945</v>
      </c>
      <c r="D2977" s="82" t="str">
        <f ca="1">OFFSET(Roster!$A$3,MATCH(表格1[[#This Row],[Location]]&amp;" "&amp;表格1[[#This Row],[Shop]]&amp;"*",Roster!$A$4:$A$72,0),DAY(表格1[[#This Row],[date]]),1,1)</f>
        <v>Ivy Wong_1</v>
      </c>
      <c r="E2977" s="86">
        <f>MONTH(表格1[[#This Row],[date]])</f>
        <v>3</v>
      </c>
      <c r="F2977" s="90">
        <v>46096</v>
      </c>
      <c r="G2977" s="86" t="str">
        <f>VLOOKUP("*"&amp;表格1[[#This Row],[Input]]&amp;"*",'Ref-List'!$B:$D,2,)</f>
        <v>RAD-D300H</v>
      </c>
      <c r="H2977" s="86" t="str">
        <f>_xlfn.XLOOKUP(表格1[[#This Row],[Model]],表格3[Model-Input-Ref2],表格3[Product Line])</f>
        <v>壓縮式抽濕機 (30公升)</v>
      </c>
      <c r="I2977" s="86" t="str">
        <f>_xlfn.XLOOKUP(表格1[[#This Row],[Model]],表格3[Model-Input-Ref2],表格3[大小電])</f>
        <v>細電</v>
      </c>
      <c r="J2977" s="86" t="str">
        <f>_xlfn.XLOOKUP(表格1[[#This Row],[Model]],表格3[Model-Input-Ref2],表格3[Code])</f>
        <v>RAC</v>
      </c>
      <c r="K2977" s="89" t="s">
        <v>1252</v>
      </c>
      <c r="L2977" s="86">
        <v>1</v>
      </c>
      <c r="M2977" s="87">
        <v>2280</v>
      </c>
      <c r="N2977" s="87">
        <f>IFERROR(表格1[[#This Row],[QTY]]*表格1[[#This Row],[Unit Price]],"-")</f>
        <v>2280</v>
      </c>
      <c r="O2977" s="86">
        <v>414621</v>
      </c>
      <c r="R2977" s="86" t="str">
        <f>_xlfn.CONCAT(表格1[[#This Row],[Model]]," ",表格1[[#This Row],[inv no]])</f>
        <v>RAD-D300H 414621</v>
      </c>
      <c r="S2977" s="86">
        <f>_xlfn.XLOOKUP(表格1[[#This Row],[Model]],表格3[Model-Input-Ref2],表格3[SRP PRICE])</f>
        <v>3380</v>
      </c>
      <c r="T2977" s="43">
        <f>表格1[[#This Row],[Unit Price]]/表格1[[#This Row],[SRP]]</f>
        <v>0.67455621301775148</v>
      </c>
      <c r="U2977" s="86" t="str">
        <f>_xlfn.XLOOKUP(表格1[[#This Row],[Model]],表格3[Model-Input-Ref2],表格3[TOSHIBA/HIGHEST])</f>
        <v>Shops Highest Price</v>
      </c>
      <c r="W2977" s="86" t="str">
        <f>_xlfn.CONCAT(表格1[[#This Row],[欄4]],表格1[[#This Row],[inv no]])</f>
        <v>414621</v>
      </c>
    </row>
    <row r="2978" spans="1:23" hidden="1">
      <c r="A2978" s="81">
        <v>2976</v>
      </c>
      <c r="B2978" s="86" t="s">
        <v>1477</v>
      </c>
      <c r="C2978" s="86" t="s">
        <v>1945</v>
      </c>
      <c r="D2978" s="82" t="str">
        <f ca="1">OFFSET(Roster!$A$3,MATCH(表格1[[#This Row],[Location]]&amp;" "&amp;表格1[[#This Row],[Shop]]&amp;"*",Roster!$A$4:$A$72,0),DAY(表格1[[#This Row],[date]]),1,1)</f>
        <v>Ivy Wong_1</v>
      </c>
      <c r="E2978" s="86">
        <f>MONTH(表格1[[#This Row],[date]])</f>
        <v>3</v>
      </c>
      <c r="F2978" s="90">
        <v>46096</v>
      </c>
      <c r="G2978" s="86" t="str">
        <f>VLOOKUP("*"&amp;表格1[[#This Row],[Input]]&amp;"*",'Ref-List'!$B:$D,2,)</f>
        <v>KT-17DRTHK(H)</v>
      </c>
      <c r="H2978" s="86" t="str">
        <f>_xlfn.XLOOKUP(表格1[[#This Row],[Model]],表格3[Model-Input-Ref2],表格3[Product Line])</f>
        <v>無線雙層電熱水壺(1.7公升)</v>
      </c>
      <c r="I2978" s="86" t="str">
        <f>_xlfn.XLOOKUP(表格1[[#This Row],[Model]],表格3[Model-Input-Ref2],表格3[大小電])</f>
        <v>細電</v>
      </c>
      <c r="J2978" s="86" t="str">
        <f>_xlfn.XLOOKUP(表格1[[#This Row],[Model]],表格3[Model-Input-Ref2],表格3[Code])</f>
        <v>SDA</v>
      </c>
      <c r="K2978" s="89" t="s">
        <v>1271</v>
      </c>
      <c r="L2978" s="86">
        <v>1</v>
      </c>
      <c r="M2978" s="87">
        <v>388</v>
      </c>
      <c r="N2978" s="87">
        <f>IFERROR(表格1[[#This Row],[QTY]]*表格1[[#This Row],[Unit Price]],"-")</f>
        <v>388</v>
      </c>
      <c r="O2978" s="86">
        <v>321350</v>
      </c>
      <c r="R2978" s="86" t="str">
        <f>_xlfn.CONCAT(表格1[[#This Row],[Model]]," ",表格1[[#This Row],[inv no]])</f>
        <v>KT-17DRTHK(H) 321350</v>
      </c>
      <c r="S2978" s="86">
        <f>_xlfn.XLOOKUP(表格1[[#This Row],[Model]],表格3[Model-Input-Ref2],表格3[SRP PRICE])</f>
        <v>498</v>
      </c>
      <c r="T2978" s="43">
        <f>表格1[[#This Row],[Unit Price]]/表格1[[#This Row],[SRP]]</f>
        <v>0.77911646586345384</v>
      </c>
      <c r="U2978" s="86" t="str">
        <f>_xlfn.XLOOKUP(表格1[[#This Row],[Model]],表格3[Model-Input-Ref2],表格3[TOSHIBA/HIGHEST])</f>
        <v>Toshiba SRP</v>
      </c>
      <c r="W2978" s="86" t="str">
        <f>_xlfn.CONCAT(表格1[[#This Row],[欄4]],表格1[[#This Row],[inv no]])</f>
        <v>321350</v>
      </c>
    </row>
    <row r="2979" spans="1:23" hidden="1">
      <c r="A2979" s="81">
        <v>2977</v>
      </c>
      <c r="B2979" s="86" t="s">
        <v>1477</v>
      </c>
      <c r="C2979" s="86" t="s">
        <v>1945</v>
      </c>
      <c r="D2979" s="82" t="str">
        <f ca="1">OFFSET(Roster!$A$3,MATCH(表格1[[#This Row],[Location]]&amp;" "&amp;表格1[[#This Row],[Shop]]&amp;"*",Roster!$A$4:$A$72,0),DAY(表格1[[#This Row],[date]]),1,1)</f>
        <v>Ivy Wong_1</v>
      </c>
      <c r="E2979" s="86">
        <f>MONTH(表格1[[#This Row],[date]])</f>
        <v>3</v>
      </c>
      <c r="F2979" s="90">
        <v>46096</v>
      </c>
      <c r="G2979" s="86" t="str">
        <f>VLOOKUP("*"&amp;表格1[[#This Row],[Input]]&amp;"*",'Ref-List'!$B:$D,2,)</f>
        <v>DW-05T2-HK</v>
      </c>
      <c r="H2979" s="86" t="str">
        <f>_xlfn.XLOOKUP(表格1[[#This Row],[Model]],表格3[Model-Input-Ref2],表格3[Product Line])</f>
        <v>座檯式洗碗碟機</v>
      </c>
      <c r="I2979" s="86" t="str">
        <f>_xlfn.XLOOKUP(表格1[[#This Row],[Model]],表格3[Model-Input-Ref2],表格3[大小電])</f>
        <v>細電</v>
      </c>
      <c r="J2979" s="86" t="str">
        <f>_xlfn.XLOOKUP(表格1[[#This Row],[Model]],表格3[Model-Input-Ref2],表格3[Code])</f>
        <v>DW</v>
      </c>
      <c r="K2979" s="89" t="s">
        <v>1475</v>
      </c>
      <c r="L2979" s="86">
        <v>1</v>
      </c>
      <c r="M2979" s="87">
        <v>3980</v>
      </c>
      <c r="N2979" s="87">
        <f>IFERROR(表格1[[#This Row],[QTY]]*表格1[[#This Row],[Unit Price]],"-")</f>
        <v>3980</v>
      </c>
      <c r="O2979" s="86">
        <v>414834</v>
      </c>
      <c r="R2979" s="86" t="str">
        <f>_xlfn.CONCAT(表格1[[#This Row],[Model]]," ",表格1[[#This Row],[inv no]])</f>
        <v>DW-05T2-HK 414834</v>
      </c>
      <c r="S2979" s="86">
        <f>_xlfn.XLOOKUP(表格1[[#This Row],[Model]],表格3[Model-Input-Ref2],表格3[SRP PRICE])</f>
        <v>4580</v>
      </c>
      <c r="T2979" s="43">
        <f>表格1[[#This Row],[Unit Price]]/表格1[[#This Row],[SRP]]</f>
        <v>0.86899563318777295</v>
      </c>
      <c r="U2979" s="86" t="str">
        <f>_xlfn.XLOOKUP(表格1[[#This Row],[Model]],表格3[Model-Input-Ref2],表格3[TOSHIBA/HIGHEST])</f>
        <v>Toshiba SRP</v>
      </c>
      <c r="W2979" s="86" t="str">
        <f>_xlfn.CONCAT(表格1[[#This Row],[欄4]],表格1[[#This Row],[inv no]])</f>
        <v>414834</v>
      </c>
    </row>
    <row r="2980" spans="1:23" hidden="1">
      <c r="A2980" s="81">
        <v>2978</v>
      </c>
      <c r="B2980" s="86" t="s">
        <v>1477</v>
      </c>
      <c r="C2980" s="86" t="s">
        <v>1945</v>
      </c>
      <c r="D2980" s="82" t="str">
        <f ca="1">OFFSET(Roster!$A$3,MATCH(表格1[[#This Row],[Location]]&amp;" "&amp;表格1[[#This Row],[Shop]]&amp;"*",Roster!$A$4:$A$72,0),DAY(表格1[[#This Row],[date]]),1,1)</f>
        <v>Ivy Wong_1</v>
      </c>
      <c r="E2980" s="86">
        <f>MONTH(表格1[[#This Row],[date]])</f>
        <v>3</v>
      </c>
      <c r="F2980" s="90">
        <v>46096</v>
      </c>
      <c r="G2980" s="86" t="str">
        <f>VLOOKUP("*"&amp;表格1[[#This Row],[Input]]&amp;"*",'Ref-List'!$B:$D,2,)</f>
        <v>Model-Input-Ref2</v>
      </c>
      <c r="H2980" s="86" t="e">
        <f>_xlfn.XLOOKUP(表格1[[#This Row],[Model]],表格3[Model-Input-Ref2],表格3[Product Line])</f>
        <v>#N/A</v>
      </c>
      <c r="I2980" s="86" t="e">
        <f>_xlfn.XLOOKUP(表格1[[#This Row],[Model]],表格3[Model-Input-Ref2],表格3[大小電])</f>
        <v>#N/A</v>
      </c>
      <c r="J2980" s="86" t="e">
        <f>_xlfn.XLOOKUP(表格1[[#This Row],[Model]],表格3[Model-Input-Ref2],表格3[Code])</f>
        <v>#N/A</v>
      </c>
      <c r="N2980" s="87">
        <f>IFERROR(表格1[[#This Row],[QTY]]*表格1[[#This Row],[Unit Price]],"-")</f>
        <v>0</v>
      </c>
      <c r="P2980" s="86" t="s">
        <v>1950</v>
      </c>
      <c r="R2980" s="86" t="str">
        <f>_xlfn.CONCAT(表格1[[#This Row],[Model]]," ",表格1[[#This Row],[inv no]])</f>
        <v xml:space="preserve">Model-Input-Ref2 </v>
      </c>
      <c r="S2980" s="86" t="e">
        <f>_xlfn.XLOOKUP(表格1[[#This Row],[Model]],表格3[Model-Input-Ref2],表格3[SRP PRICE])</f>
        <v>#N/A</v>
      </c>
      <c r="T2980" s="43" t="e">
        <f>表格1[[#This Row],[Unit Price]]/表格1[[#This Row],[SRP]]</f>
        <v>#N/A</v>
      </c>
      <c r="U2980" s="86" t="e">
        <f>_xlfn.XLOOKUP(表格1[[#This Row],[Model]],表格3[Model-Input-Ref2],表格3[TOSHIBA/HIGHEST])</f>
        <v>#N/A</v>
      </c>
      <c r="W2980" s="86" t="str">
        <f>_xlfn.CONCAT(表格1[[#This Row],[欄4]],表格1[[#This Row],[inv no]])</f>
        <v/>
      </c>
    </row>
    <row r="2981" spans="1:23" hidden="1">
      <c r="A2981" s="81">
        <v>2979</v>
      </c>
      <c r="B2981" s="86" t="s">
        <v>1477</v>
      </c>
      <c r="C2981" s="86" t="s">
        <v>1945</v>
      </c>
      <c r="D2981" s="82" t="str">
        <f ca="1">OFFSET(Roster!$A$3,MATCH(表格1[[#This Row],[Location]]&amp;" "&amp;表格1[[#This Row],[Shop]]&amp;"*",Roster!$A$4:$A$72,0),DAY(表格1[[#This Row],[date]]),1,1)</f>
        <v>Ivy Wong_1</v>
      </c>
      <c r="E2981" s="86">
        <f>MONTH(表格1[[#This Row],[date]])</f>
        <v>3</v>
      </c>
      <c r="F2981" s="90">
        <v>46102</v>
      </c>
      <c r="G2981" s="86" t="str">
        <f>VLOOKUP("*"&amp;表格1[[#This Row],[Input]]&amp;"*",'Ref-List'!$B:$D,2,)</f>
        <v>Model-Input-Ref2</v>
      </c>
      <c r="H2981" s="86" t="e">
        <f>_xlfn.XLOOKUP(表格1[[#This Row],[Model]],表格3[Model-Input-Ref2],表格3[Product Line])</f>
        <v>#N/A</v>
      </c>
      <c r="I2981" s="86" t="e">
        <f>_xlfn.XLOOKUP(表格1[[#This Row],[Model]],表格3[Model-Input-Ref2],表格3[大小電])</f>
        <v>#N/A</v>
      </c>
      <c r="J2981" s="86" t="e">
        <f>_xlfn.XLOOKUP(表格1[[#This Row],[Model]],表格3[Model-Input-Ref2],表格3[Code])</f>
        <v>#N/A</v>
      </c>
      <c r="N2981" s="87">
        <f>IFERROR(表格1[[#This Row],[QTY]]*表格1[[#This Row],[Unit Price]],"-")</f>
        <v>0</v>
      </c>
      <c r="P2981" s="86" t="s">
        <v>1951</v>
      </c>
      <c r="R2981" s="86" t="str">
        <f>_xlfn.CONCAT(表格1[[#This Row],[Model]]," ",表格1[[#This Row],[inv no]])</f>
        <v xml:space="preserve">Model-Input-Ref2 </v>
      </c>
      <c r="S2981" s="86" t="e">
        <f>_xlfn.XLOOKUP(表格1[[#This Row],[Model]],表格3[Model-Input-Ref2],表格3[SRP PRICE])</f>
        <v>#N/A</v>
      </c>
      <c r="T2981" s="43" t="e">
        <f>表格1[[#This Row],[Unit Price]]/表格1[[#This Row],[SRP]]</f>
        <v>#N/A</v>
      </c>
      <c r="U2981" s="86" t="e">
        <f>_xlfn.XLOOKUP(表格1[[#This Row],[Model]],表格3[Model-Input-Ref2],表格3[TOSHIBA/HIGHEST])</f>
        <v>#N/A</v>
      </c>
      <c r="W2981" s="86" t="str">
        <f>_xlfn.CONCAT(表格1[[#This Row],[欄4]],表格1[[#This Row],[inv no]])</f>
        <v/>
      </c>
    </row>
    <row r="2982" spans="1:23" hidden="1">
      <c r="A2982" s="81">
        <v>2980</v>
      </c>
      <c r="B2982" s="86" t="s">
        <v>1477</v>
      </c>
      <c r="C2982" s="86" t="s">
        <v>1945</v>
      </c>
      <c r="D2982" s="82" t="str">
        <f ca="1">OFFSET(Roster!$A$3,MATCH(表格1[[#This Row],[Location]]&amp;" "&amp;表格1[[#This Row],[Shop]]&amp;"*",Roster!$A$4:$A$72,0),DAY(表格1[[#This Row],[date]]),1,1)</f>
        <v>Ivy Wong_1</v>
      </c>
      <c r="E2982" s="86">
        <f>MONTH(表格1[[#This Row],[date]])</f>
        <v>3</v>
      </c>
      <c r="F2982" s="90">
        <v>46102</v>
      </c>
      <c r="G2982" s="86" t="str">
        <f>VLOOKUP("*"&amp;表格1[[#This Row],[Input]]&amp;"*",'Ref-List'!$B:$D,2,)</f>
        <v>GR-RT234WE-PMA(57)</v>
      </c>
      <c r="H2982" s="86" t="str">
        <f>_xlfn.XLOOKUP(表格1[[#This Row],[Model]],表格3[Model-Input-Ref2],表格3[Product Line])</f>
        <v>變頻式環保雙門雪櫃（179L）</v>
      </c>
      <c r="I2982" s="86" t="str">
        <f>_xlfn.XLOOKUP(表格1[[#This Row],[Model]],表格3[Model-Input-Ref2],表格3[大小電])</f>
        <v>大電</v>
      </c>
      <c r="J2982" s="86" t="str">
        <f>_xlfn.XLOOKUP(表格1[[#This Row],[Model]],表格3[Model-Input-Ref2],表格3[Code])</f>
        <v>REF</v>
      </c>
      <c r="K2982" s="89" t="s">
        <v>1423</v>
      </c>
      <c r="L2982" s="86">
        <v>1</v>
      </c>
      <c r="M2982" s="87">
        <v>1980</v>
      </c>
      <c r="N2982" s="87">
        <f>IFERROR(表格1[[#This Row],[QTY]]*表格1[[#This Row],[Unit Price]],"-")</f>
        <v>1980</v>
      </c>
      <c r="O2982" s="86">
        <v>414597</v>
      </c>
      <c r="R2982" s="86" t="str">
        <f>_xlfn.CONCAT(表格1[[#This Row],[Model]]," ",表格1[[#This Row],[inv no]])</f>
        <v>GR-RT234WE-PMA(57) 414597</v>
      </c>
      <c r="S2982" s="86">
        <f>_xlfn.XLOOKUP(表格1[[#This Row],[Model]],表格3[Model-Input-Ref2],表格3[SRP PRICE])</f>
        <v>3680</v>
      </c>
      <c r="T2982" s="43">
        <f>表格1[[#This Row],[Unit Price]]/表格1[[#This Row],[SRP]]</f>
        <v>0.53804347826086951</v>
      </c>
      <c r="U2982" s="86" t="str">
        <f>_xlfn.XLOOKUP(表格1[[#This Row],[Model]],表格3[Model-Input-Ref2],表格3[TOSHIBA/HIGHEST])</f>
        <v>Toshiba SRP</v>
      </c>
      <c r="W2982" s="86" t="str">
        <f>_xlfn.CONCAT(表格1[[#This Row],[欄4]],表格1[[#This Row],[inv no]])</f>
        <v>414597</v>
      </c>
    </row>
    <row r="2983" spans="1:23" hidden="1">
      <c r="A2983" s="81">
        <v>2981</v>
      </c>
      <c r="B2983" s="86" t="s">
        <v>1477</v>
      </c>
      <c r="C2983" s="86" t="s">
        <v>1945</v>
      </c>
      <c r="D2983" s="82" t="str">
        <f ca="1">OFFSET(Roster!$A$3,MATCH(表格1[[#This Row],[Location]]&amp;" "&amp;表格1[[#This Row],[Shop]]&amp;"*",Roster!$A$4:$A$72,0),DAY(表格1[[#This Row],[date]]),1,1)</f>
        <v>Ivy Wong_1</v>
      </c>
      <c r="E2983" s="86">
        <f>MONTH(表格1[[#This Row],[date]])</f>
        <v>3</v>
      </c>
      <c r="F2983" s="90">
        <v>46102</v>
      </c>
      <c r="G2983" s="86" t="str">
        <f>VLOOKUP("*"&amp;表格1[[#This Row],[Input]]&amp;"*",'Ref-List'!$B:$D,2,)</f>
        <v>Model-Input-Ref2</v>
      </c>
      <c r="H2983" s="86" t="e">
        <f>_xlfn.XLOOKUP(表格1[[#This Row],[Model]],表格3[Model-Input-Ref2],表格3[Product Line])</f>
        <v>#N/A</v>
      </c>
      <c r="I2983" s="86" t="e">
        <f>_xlfn.XLOOKUP(表格1[[#This Row],[Model]],表格3[Model-Input-Ref2],表格3[大小電])</f>
        <v>#N/A</v>
      </c>
      <c r="J2983" s="86" t="e">
        <f>_xlfn.XLOOKUP(表格1[[#This Row],[Model]],表格3[Model-Input-Ref2],表格3[Code])</f>
        <v>#N/A</v>
      </c>
      <c r="N2983" s="87">
        <f>IFERROR(表格1[[#This Row],[QTY]]*表格1[[#This Row],[Unit Price]],"-")</f>
        <v>0</v>
      </c>
      <c r="P2983" s="86" t="s">
        <v>1952</v>
      </c>
      <c r="R2983" s="86" t="str">
        <f>_xlfn.CONCAT(表格1[[#This Row],[Model]]," ",表格1[[#This Row],[inv no]])</f>
        <v xml:space="preserve">Model-Input-Ref2 </v>
      </c>
      <c r="S2983" s="86" t="e">
        <f>_xlfn.XLOOKUP(表格1[[#This Row],[Model]],表格3[Model-Input-Ref2],表格3[SRP PRICE])</f>
        <v>#N/A</v>
      </c>
      <c r="T2983" s="43" t="e">
        <f>表格1[[#This Row],[Unit Price]]/表格1[[#This Row],[SRP]]</f>
        <v>#N/A</v>
      </c>
      <c r="U2983" s="86" t="e">
        <f>_xlfn.XLOOKUP(表格1[[#This Row],[Model]],表格3[Model-Input-Ref2],表格3[TOSHIBA/HIGHEST])</f>
        <v>#N/A</v>
      </c>
      <c r="W2983" s="86" t="str">
        <f>_xlfn.CONCAT(表格1[[#This Row],[欄4]],表格1[[#This Row],[inv no]])</f>
        <v/>
      </c>
    </row>
    <row r="2984" spans="1:23" hidden="1">
      <c r="A2984" s="81">
        <v>2982</v>
      </c>
      <c r="B2984" s="86" t="s">
        <v>1477</v>
      </c>
      <c r="C2984" s="86" t="s">
        <v>1945</v>
      </c>
      <c r="D2984" s="82" t="str">
        <f ca="1">OFFSET(Roster!$A$3,MATCH(表格1[[#This Row],[Location]]&amp;" "&amp;表格1[[#This Row],[Shop]]&amp;"*",Roster!$A$4:$A$72,0),DAY(表格1[[#This Row],[date]]),1,1)</f>
        <v>Ivy Wong_1</v>
      </c>
      <c r="E2984" s="86">
        <f>MONTH(表格1[[#This Row],[date]])</f>
        <v>3</v>
      </c>
      <c r="F2984" s="90">
        <v>46102</v>
      </c>
      <c r="G2984" s="86" t="str">
        <f>VLOOKUP("*"&amp;表格1[[#This Row],[Input]]&amp;"*",'Ref-List'!$B:$D,2,)</f>
        <v>PLK-45SFIH(WT)</v>
      </c>
      <c r="H2984" s="86" t="str">
        <f>_xlfn.XLOOKUP(表格1[[#This Row],[Model]],表格3[Model-Input-Ref2],表格3[Product Line])</f>
        <v>電熱水瓶4.5L</v>
      </c>
      <c r="I2984" s="86" t="str">
        <f>_xlfn.XLOOKUP(表格1[[#This Row],[Model]],表格3[Model-Input-Ref2],表格3[大小電])</f>
        <v>細電</v>
      </c>
      <c r="J2984" s="86" t="str">
        <f>_xlfn.XLOOKUP(表格1[[#This Row],[Model]],表格3[Model-Input-Ref2],表格3[Code])</f>
        <v>SDA</v>
      </c>
      <c r="K2984" s="89" t="s">
        <v>1117</v>
      </c>
      <c r="L2984" s="86">
        <v>1</v>
      </c>
      <c r="M2984" s="87">
        <v>589</v>
      </c>
      <c r="N2984" s="87">
        <f>IFERROR(表格1[[#This Row],[QTY]]*表格1[[#This Row],[Unit Price]],"-")</f>
        <v>589</v>
      </c>
      <c r="O2984" s="86">
        <v>321385</v>
      </c>
      <c r="R2984" s="86" t="str">
        <f>_xlfn.CONCAT(表格1[[#This Row],[Model]]," ",表格1[[#This Row],[inv no]])</f>
        <v>PLK-45SFIH(WT) 321385</v>
      </c>
      <c r="S2984" s="86">
        <f>_xlfn.XLOOKUP(表格1[[#This Row],[Model]],表格3[Model-Input-Ref2],表格3[SRP PRICE])</f>
        <v>788</v>
      </c>
      <c r="T2984" s="43">
        <f>表格1[[#This Row],[Unit Price]]/表格1[[#This Row],[SRP]]</f>
        <v>0.7474619289340102</v>
      </c>
      <c r="U2984" s="86" t="str">
        <f>_xlfn.XLOOKUP(表格1[[#This Row],[Model]],表格3[Model-Input-Ref2],表格3[TOSHIBA/HIGHEST])</f>
        <v>Toshiba SRP</v>
      </c>
      <c r="W2984" s="86" t="str">
        <f>_xlfn.CONCAT(表格1[[#This Row],[欄4]],表格1[[#This Row],[inv no]])</f>
        <v>321385</v>
      </c>
    </row>
    <row r="2985" spans="1:23" hidden="1">
      <c r="A2985" s="81">
        <v>2983</v>
      </c>
      <c r="B2985" s="86" t="s">
        <v>1477</v>
      </c>
      <c r="C2985" s="86" t="s">
        <v>1945</v>
      </c>
      <c r="D2985" s="82" t="str">
        <f ca="1">OFFSET(Roster!$A$3,MATCH(表格1[[#This Row],[Location]]&amp;" "&amp;表格1[[#This Row],[Shop]]&amp;"*",Roster!$A$4:$A$72,0),DAY(表格1[[#This Row],[date]]),1,1)</f>
        <v>Ivy Wong_1</v>
      </c>
      <c r="E2985" s="86">
        <f>MONTH(表格1[[#This Row],[date]])</f>
        <v>3</v>
      </c>
      <c r="F2985" s="90">
        <v>46102</v>
      </c>
      <c r="G2985" s="86" t="str">
        <f>VLOOKUP("*"&amp;表格1[[#This Row],[Input]]&amp;"*",'Ref-List'!$B:$D,2,)</f>
        <v>MWP-MM20P(WH)</v>
      </c>
      <c r="H2985" s="86" t="str">
        <f>_xlfn.XLOOKUP(表格1[[#This Row],[Model]],表格3[Model-Input-Ref2],表格3[Product Line])</f>
        <v>旋鈕式燒烤微波爐20L</v>
      </c>
      <c r="I2985" s="86" t="str">
        <f>_xlfn.XLOOKUP(表格1[[#This Row],[Model]],表格3[Model-Input-Ref2],表格3[大小電])</f>
        <v>細電</v>
      </c>
      <c r="J2985" s="86" t="str">
        <f>_xlfn.XLOOKUP(表格1[[#This Row],[Model]],表格3[Model-Input-Ref2],表格3[Code])</f>
        <v>SDA</v>
      </c>
      <c r="K2985" s="89" t="s">
        <v>1270</v>
      </c>
      <c r="L2985" s="86">
        <v>1</v>
      </c>
      <c r="M2985" s="87">
        <v>488</v>
      </c>
      <c r="N2985" s="87">
        <f>IFERROR(表格1[[#This Row],[QTY]]*表格1[[#This Row],[Unit Price]],"-")</f>
        <v>488</v>
      </c>
      <c r="O2985" s="86">
        <v>414645</v>
      </c>
      <c r="R2985" s="86" t="str">
        <f>_xlfn.CONCAT(表格1[[#This Row],[Model]]," ",表格1[[#This Row],[inv no]])</f>
        <v>MWP-MM20P(WH) 414645</v>
      </c>
      <c r="S2985" s="86">
        <f>_xlfn.XLOOKUP(表格1[[#This Row],[Model]],表格3[Model-Input-Ref2],表格3[SRP PRICE])</f>
        <v>648</v>
      </c>
      <c r="T2985" s="43">
        <f>表格1[[#This Row],[Unit Price]]/表格1[[#This Row],[SRP]]</f>
        <v>0.75308641975308643</v>
      </c>
      <c r="U2985" s="86" t="str">
        <f>_xlfn.XLOOKUP(表格1[[#This Row],[Model]],表格3[Model-Input-Ref2],表格3[TOSHIBA/HIGHEST])</f>
        <v>Toshiba SRP</v>
      </c>
      <c r="W2985" s="86" t="str">
        <f>_xlfn.CONCAT(表格1[[#This Row],[欄4]],表格1[[#This Row],[inv no]])</f>
        <v>414645</v>
      </c>
    </row>
    <row r="2986" spans="1:23" hidden="1">
      <c r="A2986" s="81">
        <v>2984</v>
      </c>
      <c r="B2986" s="86" t="s">
        <v>1477</v>
      </c>
      <c r="C2986" s="86" t="s">
        <v>1945</v>
      </c>
      <c r="D2986" s="82" t="str">
        <f ca="1">OFFSET(Roster!$A$3,MATCH(表格1[[#This Row],[Location]]&amp;" "&amp;表格1[[#This Row],[Shop]]&amp;"*",Roster!$A$4:$A$72,0),DAY(表格1[[#This Row],[date]]),1,1)</f>
        <v>Ivy Wong_1</v>
      </c>
      <c r="E2986" s="86">
        <f>MONTH(表格1[[#This Row],[date]])</f>
        <v>3</v>
      </c>
      <c r="F2986" s="90">
        <v>46102</v>
      </c>
      <c r="G2986" s="86" t="str">
        <f>VLOOKUP("*"&amp;表格1[[#This Row],[Input]]&amp;"*",'Ref-List'!$B:$D,2,)</f>
        <v>RC-10ISSHK(W)</v>
      </c>
      <c r="H2986" s="86" t="str">
        <f>_xlfn.XLOOKUP(表格1[[#This Row],[Model]],表格3[Model-Input-Ref2],表格3[Product Line])</f>
        <v>磁應電飯煲(1公升)</v>
      </c>
      <c r="I2986" s="86" t="str">
        <f>_xlfn.XLOOKUP(表格1[[#This Row],[Model]],表格3[Model-Input-Ref2],表格3[大小電])</f>
        <v>細電</v>
      </c>
      <c r="J2986" s="86" t="str">
        <f>_xlfn.XLOOKUP(表格1[[#This Row],[Model]],表格3[Model-Input-Ref2],表格3[Code])</f>
        <v>SDA</v>
      </c>
      <c r="K2986" s="89" t="s">
        <v>1286</v>
      </c>
      <c r="L2986" s="86">
        <v>1</v>
      </c>
      <c r="M2986" s="87">
        <v>938</v>
      </c>
      <c r="N2986" s="87">
        <f>IFERROR(表格1[[#This Row],[QTY]]*表格1[[#This Row],[Unit Price]],"-")</f>
        <v>938</v>
      </c>
      <c r="O2986" s="86">
        <v>321383</v>
      </c>
      <c r="R2986" s="86" t="str">
        <f>_xlfn.CONCAT(表格1[[#This Row],[Model]]," ",表格1[[#This Row],[inv no]])</f>
        <v>RC-10ISSHK(W) 321383</v>
      </c>
      <c r="S2986" s="86">
        <f>_xlfn.XLOOKUP(表格1[[#This Row],[Model]],表格3[Model-Input-Ref2],表格3[SRP PRICE])</f>
        <v>1188</v>
      </c>
      <c r="T2986" s="43">
        <f>表格1[[#This Row],[Unit Price]]/表格1[[#This Row],[SRP]]</f>
        <v>0.78956228956228958</v>
      </c>
      <c r="U2986" s="86" t="str">
        <f>_xlfn.XLOOKUP(表格1[[#This Row],[Model]],表格3[Model-Input-Ref2],表格3[TOSHIBA/HIGHEST])</f>
        <v>Shops Highest Price</v>
      </c>
      <c r="W2986" s="86" t="str">
        <f>_xlfn.CONCAT(表格1[[#This Row],[欄4]],表格1[[#This Row],[inv no]])</f>
        <v>321383</v>
      </c>
    </row>
    <row r="2987" spans="1:23" hidden="1">
      <c r="A2987" s="81">
        <v>2985</v>
      </c>
      <c r="B2987" s="86" t="s">
        <v>1477</v>
      </c>
      <c r="C2987" s="86" t="s">
        <v>1945</v>
      </c>
      <c r="D2987" s="82" t="str">
        <f ca="1">OFFSET(Roster!$A$3,MATCH(表格1[[#This Row],[Location]]&amp;" "&amp;表格1[[#This Row],[Shop]]&amp;"*",Roster!$A$4:$A$72,0),DAY(表格1[[#This Row],[date]]),1,1)</f>
        <v>Ivy Wong_1</v>
      </c>
      <c r="E2987" s="86">
        <f>MONTH(表格1[[#This Row],[date]])</f>
        <v>3</v>
      </c>
      <c r="F2987" s="90">
        <v>46102</v>
      </c>
      <c r="G2987" s="86" t="str">
        <f>VLOOKUP("*"&amp;表格1[[#This Row],[Input]]&amp;"*",'Ref-List'!$B:$D,2,)</f>
        <v>AW-DQ950FPH(WW)</v>
      </c>
      <c r="H2987" s="86" t="str">
        <f>_xlfn.XLOOKUP(表格1[[#This Row],[Model]],表格3[Model-Input-Ref2],表格3[Product Line])</f>
        <v>變頻日式洗衣機 (8.5公斤 結合高低水位)</v>
      </c>
      <c r="I2987" s="86" t="str">
        <f>_xlfn.XLOOKUP(表格1[[#This Row],[Model]],表格3[Model-Input-Ref2],表格3[大小電])</f>
        <v>大電</v>
      </c>
      <c r="J2987" s="86" t="str">
        <f>_xlfn.XLOOKUP(表格1[[#This Row],[Model]],表格3[Model-Input-Ref2],表格3[Code])</f>
        <v>LAD</v>
      </c>
      <c r="K2987" s="89" t="s">
        <v>1493</v>
      </c>
      <c r="L2987" s="86">
        <v>1</v>
      </c>
      <c r="M2987" s="87">
        <v>2580</v>
      </c>
      <c r="N2987" s="87">
        <f>IFERROR(表格1[[#This Row],[QTY]]*表格1[[#This Row],[Unit Price]],"-")</f>
        <v>2580</v>
      </c>
      <c r="O2987" s="86">
        <v>414641</v>
      </c>
      <c r="R2987" s="86" t="str">
        <f>_xlfn.CONCAT(表格1[[#This Row],[Model]]," ",表格1[[#This Row],[inv no]])</f>
        <v>AW-DQ950FPH(WW) 414641</v>
      </c>
      <c r="S2987" s="86">
        <f>_xlfn.XLOOKUP(表格1[[#This Row],[Model]],表格3[Model-Input-Ref2],表格3[SRP PRICE])</f>
        <v>3980</v>
      </c>
      <c r="T2987" s="43">
        <f>表格1[[#This Row],[Unit Price]]/表格1[[#This Row],[SRP]]</f>
        <v>0.64824120603015079</v>
      </c>
      <c r="U2987" s="86" t="str">
        <f>_xlfn.XLOOKUP(表格1[[#This Row],[Model]],表格3[Model-Input-Ref2],表格3[TOSHIBA/HIGHEST])</f>
        <v>Toshiba SRP</v>
      </c>
      <c r="W2987" s="86" t="str">
        <f>_xlfn.CONCAT(表格1[[#This Row],[欄4]],表格1[[#This Row],[inv no]])</f>
        <v>414641</v>
      </c>
    </row>
    <row r="2988" spans="1:23" hidden="1">
      <c r="A2988" s="81">
        <v>2986</v>
      </c>
      <c r="B2988" s="86" t="s">
        <v>1477</v>
      </c>
      <c r="C2988" s="86" t="s">
        <v>1945</v>
      </c>
      <c r="D2988" s="82" t="str">
        <f ca="1">OFFSET(Roster!$A$3,MATCH(表格1[[#This Row],[Location]]&amp;" "&amp;表格1[[#This Row],[Shop]]&amp;"*",Roster!$A$4:$A$72,0),DAY(表格1[[#This Row],[date]]),1,1)</f>
        <v>Ivy Wong_1</v>
      </c>
      <c r="E2988" s="86">
        <f>MONTH(表格1[[#This Row],[date]])</f>
        <v>3</v>
      </c>
      <c r="F2988" s="90">
        <v>46102</v>
      </c>
      <c r="G2988" s="86" t="str">
        <f>VLOOKUP("*"&amp;表格1[[#This Row],[Input]]&amp;"*",'Ref-List'!$B:$D,2,)</f>
        <v>KT-15DRTHK(W)</v>
      </c>
      <c r="H2988" s="86" t="str">
        <f>_xlfn.XLOOKUP(表格1[[#This Row],[Model]],表格3[Model-Input-Ref2],表格3[Product Line])</f>
        <v>無線雙層電熱水壺-附可鎖壺蓋</v>
      </c>
      <c r="I2988" s="86" t="str">
        <f>_xlfn.XLOOKUP(表格1[[#This Row],[Model]],表格3[Model-Input-Ref2],表格3[大小電])</f>
        <v>細電</v>
      </c>
      <c r="J2988" s="86" t="str">
        <f>_xlfn.XLOOKUP(表格1[[#This Row],[Model]],表格3[Model-Input-Ref2],表格3[Code])</f>
        <v>SDA</v>
      </c>
      <c r="K2988" s="89" t="s">
        <v>1278</v>
      </c>
      <c r="L2988" s="86">
        <v>1</v>
      </c>
      <c r="M2988" s="87">
        <v>358</v>
      </c>
      <c r="N2988" s="87">
        <f>IFERROR(表格1[[#This Row],[QTY]]*表格1[[#This Row],[Unit Price]],"-")</f>
        <v>358</v>
      </c>
      <c r="O2988" s="86">
        <v>414683</v>
      </c>
      <c r="R2988" s="86" t="str">
        <f>_xlfn.CONCAT(表格1[[#This Row],[Model]]," ",表格1[[#This Row],[inv no]])</f>
        <v>KT-15DRTHK(W) 414683</v>
      </c>
      <c r="S2988" s="86">
        <f>_xlfn.XLOOKUP(表格1[[#This Row],[Model]],表格3[Model-Input-Ref2],表格3[SRP PRICE])</f>
        <v>598</v>
      </c>
      <c r="T2988" s="43">
        <f>表格1[[#This Row],[Unit Price]]/表格1[[#This Row],[SRP]]</f>
        <v>0.59866220735785958</v>
      </c>
      <c r="U2988" s="86" t="str">
        <f>_xlfn.XLOOKUP(表格1[[#This Row],[Model]],表格3[Model-Input-Ref2],表格3[TOSHIBA/HIGHEST])</f>
        <v>Toshiba SRP</v>
      </c>
      <c r="W2988" s="86" t="str">
        <f>_xlfn.CONCAT(表格1[[#This Row],[欄4]],表格1[[#This Row],[inv no]])</f>
        <v>414683</v>
      </c>
    </row>
    <row r="2989" spans="1:23" hidden="1">
      <c r="A2989" s="81">
        <v>2987</v>
      </c>
      <c r="B2989" s="86" t="s">
        <v>1477</v>
      </c>
      <c r="C2989" s="86" t="s">
        <v>1945</v>
      </c>
      <c r="D2989" s="82" t="str">
        <f ca="1">OFFSET(Roster!$A$3,MATCH(表格1[[#This Row],[Location]]&amp;" "&amp;表格1[[#This Row],[Shop]]&amp;"*",Roster!$A$4:$A$72,0),DAY(表格1[[#This Row],[date]]),1,1)</f>
        <v>Ivy Wong_1</v>
      </c>
      <c r="E2989" s="86">
        <f>MONTH(表格1[[#This Row],[date]])</f>
        <v>3</v>
      </c>
      <c r="F2989" s="90">
        <v>46102</v>
      </c>
      <c r="G2989" s="86" t="str">
        <f>VLOOKUP("*"&amp;表格1[[#This Row],[Input]]&amp;"*",'Ref-List'!$B:$D,2,)</f>
        <v>TWD-T25BZU115MWH(MG)</v>
      </c>
      <c r="H2989" s="86" t="str">
        <f>_xlfn.XLOOKUP(表格1[[#This Row],[Model]],表格3[Model-Input-Ref2],表格3[Product Line])</f>
        <v>前置式變頻洗衣乾衣機 (洗10.5公斤 乾7公斤)</v>
      </c>
      <c r="I2989" s="86" t="str">
        <f>_xlfn.XLOOKUP(表格1[[#This Row],[Model]],表格3[Model-Input-Ref2],表格3[大小電])</f>
        <v>大電</v>
      </c>
      <c r="J2989" s="86" t="str">
        <f>_xlfn.XLOOKUP(表格1[[#This Row],[Model]],表格3[Model-Input-Ref2],表格3[Code])</f>
        <v>LAD</v>
      </c>
      <c r="K2989" s="89" t="s">
        <v>1098</v>
      </c>
      <c r="L2989" s="86">
        <v>3</v>
      </c>
      <c r="M2989" s="87">
        <v>5980</v>
      </c>
      <c r="N2989" s="87">
        <f>IFERROR(表格1[[#This Row],[QTY]]*表格1[[#This Row],[Unit Price]],"-")</f>
        <v>17940</v>
      </c>
      <c r="O2989" s="86">
        <v>414699</v>
      </c>
      <c r="R2989" s="86" t="str">
        <f>_xlfn.CONCAT(表格1[[#This Row],[Model]]," ",表格1[[#This Row],[inv no]])</f>
        <v>TWD-T25BZU115MWH(MG) 414699</v>
      </c>
      <c r="S2989" s="86">
        <f>_xlfn.XLOOKUP(表格1[[#This Row],[Model]],表格3[Model-Input-Ref2],表格3[SRP PRICE])</f>
        <v>8280</v>
      </c>
      <c r="T2989" s="43">
        <f>表格1[[#This Row],[Unit Price]]/表格1[[#This Row],[SRP]]</f>
        <v>0.72222222222222221</v>
      </c>
      <c r="U2989" s="86" t="str">
        <f>_xlfn.XLOOKUP(表格1[[#This Row],[Model]],表格3[Model-Input-Ref2],表格3[TOSHIBA/HIGHEST])</f>
        <v>Toshiba SRP</v>
      </c>
      <c r="W2989" s="86" t="str">
        <f>_xlfn.CONCAT(表格1[[#This Row],[欄4]],表格1[[#This Row],[inv no]])</f>
        <v>414699</v>
      </c>
    </row>
    <row r="2990" spans="1:23" hidden="1">
      <c r="A2990" s="81">
        <v>2988</v>
      </c>
      <c r="B2990" s="86" t="s">
        <v>1477</v>
      </c>
      <c r="C2990" s="86" t="s">
        <v>1945</v>
      </c>
      <c r="D2990" s="82" t="str">
        <f ca="1">OFFSET(Roster!$A$3,MATCH(表格1[[#This Row],[Location]]&amp;" "&amp;表格1[[#This Row],[Shop]]&amp;"*",Roster!$A$4:$A$72,0),DAY(表格1[[#This Row],[date]]),1,1)</f>
        <v>Ivy Wong_1</v>
      </c>
      <c r="E2990" s="86">
        <f>MONTH(表格1[[#This Row],[date]])</f>
        <v>3</v>
      </c>
      <c r="F2990" s="90">
        <v>46102</v>
      </c>
      <c r="G2990" s="86" t="str">
        <f>VLOOKUP("*"&amp;表格1[[#This Row],[Input]]&amp;"*",'Ref-List'!$B:$D,2,)</f>
        <v>TWD-BN90GF4H(WK)</v>
      </c>
      <c r="H2990" s="86" t="str">
        <f>_xlfn.XLOOKUP(表格1[[#This Row],[Model]],表格3[Model-Input-Ref2],表格3[Product Line])</f>
        <v>超薄身前置式洗衣乾衣機 (洗8公斤 乾5公斤)</v>
      </c>
      <c r="I2990" s="86" t="str">
        <f>_xlfn.XLOOKUP(表格1[[#This Row],[Model]],表格3[Model-Input-Ref2],表格3[大小電])</f>
        <v>大電</v>
      </c>
      <c r="J2990" s="86" t="str">
        <f>_xlfn.XLOOKUP(表格1[[#This Row],[Model]],表格3[Model-Input-Ref2],表格3[Code])</f>
        <v>WM</v>
      </c>
      <c r="K2990" s="89" t="s">
        <v>1199</v>
      </c>
      <c r="L2990" s="86">
        <v>1</v>
      </c>
      <c r="M2990" s="87">
        <v>3980</v>
      </c>
      <c r="N2990" s="87">
        <f>IFERROR(表格1[[#This Row],[QTY]]*表格1[[#This Row],[Unit Price]],"-")</f>
        <v>3980</v>
      </c>
      <c r="O2990" s="86">
        <v>414699</v>
      </c>
      <c r="R2990" s="86" t="str">
        <f>_xlfn.CONCAT(表格1[[#This Row],[Model]]," ",表格1[[#This Row],[inv no]])</f>
        <v>TWD-BN90GF4H(WK) 414699</v>
      </c>
      <c r="S2990" s="86">
        <f>_xlfn.XLOOKUP(表格1[[#This Row],[Model]],表格3[Model-Input-Ref2],表格3[SRP PRICE])</f>
        <v>5980</v>
      </c>
      <c r="T2990" s="43">
        <f>表格1[[#This Row],[Unit Price]]/表格1[[#This Row],[SRP]]</f>
        <v>0.66555183946488294</v>
      </c>
      <c r="U2990" s="86" t="str">
        <f>_xlfn.XLOOKUP(表格1[[#This Row],[Model]],表格3[Model-Input-Ref2],表格3[TOSHIBA/HIGHEST])</f>
        <v>Toshiba SRP</v>
      </c>
      <c r="W2990" s="86" t="str">
        <f>_xlfn.CONCAT(表格1[[#This Row],[欄4]],表格1[[#This Row],[inv no]])</f>
        <v>414699</v>
      </c>
    </row>
    <row r="2991" spans="1:23" hidden="1">
      <c r="A2991" s="81">
        <v>2989</v>
      </c>
      <c r="B2991" s="86" t="s">
        <v>1477</v>
      </c>
      <c r="C2991" s="86" t="s">
        <v>1945</v>
      </c>
      <c r="D2991" s="82" t="str">
        <f ca="1">OFFSET(Roster!$A$3,MATCH(表格1[[#This Row],[Location]]&amp;" "&amp;表格1[[#This Row],[Shop]]&amp;"*",Roster!$A$4:$A$72,0),DAY(表格1[[#This Row],[date]]),1,1)</f>
        <v>Ivy Wong_1</v>
      </c>
      <c r="E2991" s="86">
        <f>MONTH(表格1[[#This Row],[date]])</f>
        <v>3</v>
      </c>
      <c r="F2991" s="90">
        <v>46102</v>
      </c>
      <c r="G2991" s="86" t="str">
        <f>VLOOKUP("*"&amp;表格1[[#This Row],[Input]]&amp;"*",'Ref-List'!$B:$D,2,)</f>
        <v>PLK-45SFIH(WT)</v>
      </c>
      <c r="H2991" s="86" t="str">
        <f>_xlfn.XLOOKUP(表格1[[#This Row],[Model]],表格3[Model-Input-Ref2],表格3[Product Line])</f>
        <v>電熱水瓶4.5L</v>
      </c>
      <c r="I2991" s="86" t="str">
        <f>_xlfn.XLOOKUP(表格1[[#This Row],[Model]],表格3[Model-Input-Ref2],表格3[大小電])</f>
        <v>細電</v>
      </c>
      <c r="J2991" s="86" t="str">
        <f>_xlfn.XLOOKUP(表格1[[#This Row],[Model]],表格3[Model-Input-Ref2],表格3[Code])</f>
        <v>SDA</v>
      </c>
      <c r="K2991" s="89" t="s">
        <v>1117</v>
      </c>
      <c r="L2991" s="86">
        <v>1</v>
      </c>
      <c r="M2991" s="87">
        <v>589</v>
      </c>
      <c r="N2991" s="87">
        <f>IFERROR(表格1[[#This Row],[QTY]]*表格1[[#This Row],[Unit Price]],"-")</f>
        <v>589</v>
      </c>
      <c r="O2991" s="86">
        <v>414748</v>
      </c>
      <c r="R2991" s="86" t="str">
        <f>_xlfn.CONCAT(表格1[[#This Row],[Model]]," ",表格1[[#This Row],[inv no]])</f>
        <v>PLK-45SFIH(WT) 414748</v>
      </c>
      <c r="S2991" s="86">
        <f>_xlfn.XLOOKUP(表格1[[#This Row],[Model]],表格3[Model-Input-Ref2],表格3[SRP PRICE])</f>
        <v>788</v>
      </c>
      <c r="T2991" s="43">
        <f>表格1[[#This Row],[Unit Price]]/表格1[[#This Row],[SRP]]</f>
        <v>0.7474619289340102</v>
      </c>
      <c r="U2991" s="86" t="str">
        <f>_xlfn.XLOOKUP(表格1[[#This Row],[Model]],表格3[Model-Input-Ref2],表格3[TOSHIBA/HIGHEST])</f>
        <v>Toshiba SRP</v>
      </c>
      <c r="W2991" s="86" t="str">
        <f>_xlfn.CONCAT(表格1[[#This Row],[欄4]],表格1[[#This Row],[inv no]])</f>
        <v>414748</v>
      </c>
    </row>
    <row r="2992" spans="1:23" hidden="1">
      <c r="A2992" s="81">
        <v>2990</v>
      </c>
      <c r="B2992" s="86" t="s">
        <v>1477</v>
      </c>
      <c r="C2992" s="86" t="s">
        <v>1944</v>
      </c>
      <c r="D2992" s="82" t="str">
        <f ca="1">OFFSET(Roster!$A$3,MATCH(表格1[[#This Row],[Location]]&amp;" "&amp;表格1[[#This Row],[Shop]]&amp;"*",Roster!$A$4:$A$72,0),DAY(表格1[[#This Row],[date]]),1,1)</f>
        <v>Ivy Wong_1</v>
      </c>
      <c r="E2992" s="86">
        <f>MONTH(表格1[[#This Row],[date]])</f>
        <v>3</v>
      </c>
      <c r="F2992" s="90">
        <v>46103</v>
      </c>
      <c r="G2992" s="86" t="str">
        <f>VLOOKUP("*"&amp;表格1[[#This Row],[Input]]&amp;"*",'Ref-List'!$B:$D,2,)</f>
        <v>RC-DS18K(R)</v>
      </c>
      <c r="H2992" s="86" t="str">
        <f>_xlfn.XLOOKUP(表格1[[#This Row],[Model]],表格3[Model-Input-Ref2],表格3[Product Line])</f>
        <v>IH磁應電飯煲</v>
      </c>
      <c r="I2992" s="86" t="str">
        <f>_xlfn.XLOOKUP(表格1[[#This Row],[Model]],表格3[Model-Input-Ref2],表格3[大小電])</f>
        <v>細電</v>
      </c>
      <c r="J2992" s="86" t="str">
        <f>_xlfn.XLOOKUP(表格1[[#This Row],[Model]],表格3[Model-Input-Ref2],表格3[Code])</f>
        <v>SDA</v>
      </c>
      <c r="K2992" s="89" t="s">
        <v>1946</v>
      </c>
      <c r="L2992" s="86">
        <v>1</v>
      </c>
      <c r="M2992" s="87">
        <v>3490</v>
      </c>
      <c r="N2992" s="87">
        <f>IFERROR(表格1[[#This Row],[QTY]]*表格1[[#This Row],[Unit Price]],"-")</f>
        <v>3490</v>
      </c>
      <c r="O2992" s="86">
        <v>414779</v>
      </c>
      <c r="R2992" s="86" t="str">
        <f>_xlfn.CONCAT(表格1[[#This Row],[Model]]," ",表格1[[#This Row],[inv no]])</f>
        <v>RC-DS18K(R) 414779</v>
      </c>
      <c r="S2992" s="86">
        <f>_xlfn.XLOOKUP(表格1[[#This Row],[Model]],表格3[Model-Input-Ref2],表格3[SRP PRICE])</f>
        <v>4988</v>
      </c>
      <c r="T2992" s="43">
        <f>表格1[[#This Row],[Unit Price]]/表格1[[#This Row],[SRP]]</f>
        <v>0.69967923015236566</v>
      </c>
      <c r="U2992" s="86" t="str">
        <f>_xlfn.XLOOKUP(表格1[[#This Row],[Model]],表格3[Model-Input-Ref2],表格3[TOSHIBA/HIGHEST])</f>
        <v>Toshiba SRP</v>
      </c>
      <c r="W2992" s="86" t="str">
        <f>_xlfn.CONCAT(表格1[[#This Row],[欄4]],表格1[[#This Row],[inv no]])</f>
        <v>414779</v>
      </c>
    </row>
    <row r="2993" spans="1:23" hidden="1">
      <c r="A2993" s="81">
        <v>2991</v>
      </c>
      <c r="B2993" s="86" t="s">
        <v>1477</v>
      </c>
      <c r="C2993" s="86" t="s">
        <v>1944</v>
      </c>
      <c r="D2993" s="82" t="str">
        <f ca="1">OFFSET(Roster!$A$3,MATCH(表格1[[#This Row],[Location]]&amp;" "&amp;表格1[[#This Row],[Shop]]&amp;"*",Roster!$A$4:$A$72,0),DAY(表格1[[#This Row],[date]]),1,1)</f>
        <v>Ivy Wong_1</v>
      </c>
      <c r="E2993" s="86">
        <f>MONTH(表格1[[#This Row],[date]])</f>
        <v>3</v>
      </c>
      <c r="F2993" s="90">
        <v>46103</v>
      </c>
      <c r="G2993" s="86" t="str">
        <f>VLOOKUP("*"&amp;表格1[[#This Row],[Input]]&amp;"*",'Ref-List'!$B:$D,2,)</f>
        <v>RC-6PXTHK(W)</v>
      </c>
      <c r="H2993" s="86" t="str">
        <f>_xlfn.XLOOKUP(表格1[[#This Row],[Model]],表格3[Model-Input-Ref2],表格3[Product Line])</f>
        <v>迷你壓力磁應電飯煲(0.63公升)</v>
      </c>
      <c r="I2993" s="86" t="str">
        <f>_xlfn.XLOOKUP(表格1[[#This Row],[Model]],表格3[Model-Input-Ref2],表格3[大小電])</f>
        <v>細電</v>
      </c>
      <c r="J2993" s="86" t="str">
        <f>_xlfn.XLOOKUP(表格1[[#This Row],[Model]],表格3[Model-Input-Ref2],表格3[Code])</f>
        <v>SDA</v>
      </c>
      <c r="K2993" s="89" t="s">
        <v>1494</v>
      </c>
      <c r="L2993" s="86">
        <v>1</v>
      </c>
      <c r="M2993" s="87">
        <v>938</v>
      </c>
      <c r="N2993" s="87">
        <f>IFERROR(表格1[[#This Row],[QTY]]*表格1[[#This Row],[Unit Price]],"-")</f>
        <v>938</v>
      </c>
      <c r="O2993" s="86">
        <v>414773</v>
      </c>
      <c r="R2993" s="86" t="str">
        <f>_xlfn.CONCAT(表格1[[#This Row],[Model]]," ",表格1[[#This Row],[inv no]])</f>
        <v>RC-6PXTHK(W) 414773</v>
      </c>
      <c r="S2993" s="86">
        <f>_xlfn.XLOOKUP(表格1[[#This Row],[Model]],表格3[Model-Input-Ref2],表格3[SRP PRICE])</f>
        <v>1398</v>
      </c>
      <c r="T2993" s="43">
        <f>表格1[[#This Row],[Unit Price]]/表格1[[#This Row],[SRP]]</f>
        <v>0.67095851216022895</v>
      </c>
      <c r="U2993" s="86" t="str">
        <f>_xlfn.XLOOKUP(表格1[[#This Row],[Model]],表格3[Model-Input-Ref2],表格3[TOSHIBA/HIGHEST])</f>
        <v>Toshiba SRP</v>
      </c>
      <c r="W2993" s="86" t="str">
        <f>_xlfn.CONCAT(表格1[[#This Row],[欄4]],表格1[[#This Row],[inv no]])</f>
        <v>414773</v>
      </c>
    </row>
    <row r="2994" spans="1:23" hidden="1">
      <c r="A2994" s="81">
        <v>2992</v>
      </c>
      <c r="B2994" s="86" t="s">
        <v>1477</v>
      </c>
      <c r="C2994" s="86" t="s">
        <v>1944</v>
      </c>
      <c r="D2994" s="82" t="str">
        <f ca="1">OFFSET(Roster!$A$3,MATCH(表格1[[#This Row],[Location]]&amp;" "&amp;表格1[[#This Row],[Shop]]&amp;"*",Roster!$A$4:$A$72,0),DAY(表格1[[#This Row],[date]]),1,1)</f>
        <v>Ivy Wong_1</v>
      </c>
      <c r="E2994" s="86">
        <f>MONTH(表格1[[#This Row],[date]])</f>
        <v>3</v>
      </c>
      <c r="F2994" s="90">
        <v>46103</v>
      </c>
      <c r="G2994" s="86" t="str">
        <f>VLOOKUP("*"&amp;表格1[[#This Row],[Input]]&amp;"*",'Ref-List'!$B:$D,2,)</f>
        <v>MWP-MM20P(WH)</v>
      </c>
      <c r="H2994" s="86" t="str">
        <f>_xlfn.XLOOKUP(表格1[[#This Row],[Model]],表格3[Model-Input-Ref2],表格3[Product Line])</f>
        <v>旋鈕式燒烤微波爐20L</v>
      </c>
      <c r="I2994" s="86" t="str">
        <f>_xlfn.XLOOKUP(表格1[[#This Row],[Model]],表格3[Model-Input-Ref2],表格3[大小電])</f>
        <v>細電</v>
      </c>
      <c r="J2994" s="86" t="str">
        <f>_xlfn.XLOOKUP(表格1[[#This Row],[Model]],表格3[Model-Input-Ref2],表格3[Code])</f>
        <v>SDA</v>
      </c>
      <c r="K2994" s="89" t="s">
        <v>1270</v>
      </c>
      <c r="L2994" s="86">
        <v>1</v>
      </c>
      <c r="M2994" s="87">
        <v>488</v>
      </c>
      <c r="N2994" s="87">
        <f>IFERROR(表格1[[#This Row],[QTY]]*表格1[[#This Row],[Unit Price]],"-")</f>
        <v>488</v>
      </c>
      <c r="O2994" s="86">
        <v>414848</v>
      </c>
      <c r="R2994" s="86" t="str">
        <f>_xlfn.CONCAT(表格1[[#This Row],[Model]]," ",表格1[[#This Row],[inv no]])</f>
        <v>MWP-MM20P(WH) 414848</v>
      </c>
      <c r="S2994" s="86">
        <f>_xlfn.XLOOKUP(表格1[[#This Row],[Model]],表格3[Model-Input-Ref2],表格3[SRP PRICE])</f>
        <v>648</v>
      </c>
      <c r="T2994" s="43">
        <f>表格1[[#This Row],[Unit Price]]/表格1[[#This Row],[SRP]]</f>
        <v>0.75308641975308643</v>
      </c>
      <c r="U2994" s="86" t="str">
        <f>_xlfn.XLOOKUP(表格1[[#This Row],[Model]],表格3[Model-Input-Ref2],表格3[TOSHIBA/HIGHEST])</f>
        <v>Toshiba SRP</v>
      </c>
      <c r="W2994" s="86" t="str">
        <f>_xlfn.CONCAT(表格1[[#This Row],[欄4]],表格1[[#This Row],[inv no]])</f>
        <v>414848</v>
      </c>
    </row>
    <row r="2995" spans="1:23" hidden="1">
      <c r="A2995" s="81">
        <v>2993</v>
      </c>
      <c r="B2995" s="86" t="s">
        <v>1477</v>
      </c>
      <c r="C2995" s="86" t="s">
        <v>1944</v>
      </c>
      <c r="D2995" s="82" t="str">
        <f ca="1">OFFSET(Roster!$A$3,MATCH(表格1[[#This Row],[Location]]&amp;" "&amp;表格1[[#This Row],[Shop]]&amp;"*",Roster!$A$4:$A$72,0),DAY(表格1[[#This Row],[date]]),1,1)</f>
        <v>Ivy Wong_1</v>
      </c>
      <c r="E2995" s="86">
        <f>MONTH(表格1[[#This Row],[date]])</f>
        <v>3</v>
      </c>
      <c r="F2995" s="90">
        <v>46103</v>
      </c>
      <c r="G2995" s="86" t="str">
        <f>VLOOKUP("*"&amp;表格1[[#This Row],[Input]]&amp;"*",'Ref-List'!$B:$D,2,)</f>
        <v>GR-RB410WE-PMA(06)</v>
      </c>
      <c r="H2995" s="86" t="str">
        <f>_xlfn.XLOOKUP(表格1[[#This Row],[Model]],表格3[Model-Input-Ref2],表格3[Product Line])</f>
        <v>雙門雪櫃</v>
      </c>
      <c r="I2995" s="86" t="str">
        <f>_xlfn.XLOOKUP(表格1[[#This Row],[Model]],表格3[Model-Input-Ref2],表格3[大小電])</f>
        <v>大電</v>
      </c>
      <c r="J2995" s="86" t="str">
        <f>_xlfn.XLOOKUP(表格1[[#This Row],[Model]],表格3[Model-Input-Ref2],表格3[Code])</f>
        <v>REF</v>
      </c>
      <c r="K2995" s="89" t="s">
        <v>1775</v>
      </c>
      <c r="L2995" s="86">
        <v>1</v>
      </c>
      <c r="M2995" s="87">
        <v>3980</v>
      </c>
      <c r="N2995" s="87">
        <f>IFERROR(表格1[[#This Row],[QTY]]*表格1[[#This Row],[Unit Price]],"-")</f>
        <v>3980</v>
      </c>
      <c r="O2995" s="86">
        <v>321420</v>
      </c>
      <c r="R2995" s="86" t="str">
        <f>_xlfn.CONCAT(表格1[[#This Row],[Model]]," ",表格1[[#This Row],[inv no]])</f>
        <v>GR-RB410WE-PMA(06) 321420</v>
      </c>
      <c r="S2995" s="86">
        <f>_xlfn.XLOOKUP(表格1[[#This Row],[Model]],表格3[Model-Input-Ref2],表格3[SRP PRICE])</f>
        <v>4000</v>
      </c>
      <c r="T2995" s="43">
        <f>表格1[[#This Row],[Unit Price]]/表格1[[#This Row],[SRP]]</f>
        <v>0.995</v>
      </c>
      <c r="U2995" s="86" t="str">
        <f>_xlfn.XLOOKUP(表格1[[#This Row],[Model]],表格3[Model-Input-Ref2],表格3[TOSHIBA/HIGHEST])</f>
        <v>Shops Highest Price</v>
      </c>
      <c r="W2995" s="86" t="str">
        <f>_xlfn.CONCAT(表格1[[#This Row],[欄4]],表格1[[#This Row],[inv no]])</f>
        <v>321420</v>
      </c>
    </row>
    <row r="2996" spans="1:23" hidden="1">
      <c r="A2996" s="81">
        <v>2994</v>
      </c>
      <c r="B2996" s="86" t="s">
        <v>1477</v>
      </c>
      <c r="C2996" s="86" t="s">
        <v>1944</v>
      </c>
      <c r="D2996" s="82" t="str">
        <f ca="1">OFFSET(Roster!$A$3,MATCH(表格1[[#This Row],[Location]]&amp;" "&amp;表格1[[#This Row],[Shop]]&amp;"*",Roster!$A$4:$A$72,0),DAY(表格1[[#This Row],[date]]),1,1)</f>
        <v>Ivy Wong_1</v>
      </c>
      <c r="E2996" s="86">
        <f>MONTH(表格1[[#This Row],[date]])</f>
        <v>3</v>
      </c>
      <c r="F2996" s="90">
        <v>46103</v>
      </c>
      <c r="G2996" s="86" t="str">
        <f>VLOOKUP("*"&amp;表格1[[#This Row],[Input]]&amp;"*",'Ref-List'!$B:$D,2,)</f>
        <v>AW-DQ950FPH(WW)</v>
      </c>
      <c r="H2996" s="86" t="str">
        <f>_xlfn.XLOOKUP(表格1[[#This Row],[Model]],表格3[Model-Input-Ref2],表格3[Product Line])</f>
        <v>變頻日式洗衣機 (8.5公斤 結合高低水位)</v>
      </c>
      <c r="I2996" s="86" t="str">
        <f>_xlfn.XLOOKUP(表格1[[#This Row],[Model]],表格3[Model-Input-Ref2],表格3[大小電])</f>
        <v>大電</v>
      </c>
      <c r="J2996" s="86" t="str">
        <f>_xlfn.XLOOKUP(表格1[[#This Row],[Model]],表格3[Model-Input-Ref2],表格3[Code])</f>
        <v>LAD</v>
      </c>
      <c r="K2996" s="89" t="s">
        <v>1493</v>
      </c>
      <c r="L2996" s="86">
        <v>1</v>
      </c>
      <c r="M2996" s="87">
        <v>2580</v>
      </c>
      <c r="N2996" s="87">
        <f>IFERROR(表格1[[#This Row],[QTY]]*表格1[[#This Row],[Unit Price]],"-")</f>
        <v>2580</v>
      </c>
      <c r="O2996" s="86">
        <v>321422</v>
      </c>
      <c r="R2996" s="86" t="str">
        <f>_xlfn.CONCAT(表格1[[#This Row],[Model]]," ",表格1[[#This Row],[inv no]])</f>
        <v>AW-DQ950FPH(WW) 321422</v>
      </c>
      <c r="S2996" s="86">
        <f>_xlfn.XLOOKUP(表格1[[#This Row],[Model]],表格3[Model-Input-Ref2],表格3[SRP PRICE])</f>
        <v>3980</v>
      </c>
      <c r="T2996" s="43">
        <f>表格1[[#This Row],[Unit Price]]/表格1[[#This Row],[SRP]]</f>
        <v>0.64824120603015079</v>
      </c>
      <c r="U2996" s="86" t="str">
        <f>_xlfn.XLOOKUP(表格1[[#This Row],[Model]],表格3[Model-Input-Ref2],表格3[TOSHIBA/HIGHEST])</f>
        <v>Toshiba SRP</v>
      </c>
      <c r="W2996" s="86" t="str">
        <f>_xlfn.CONCAT(表格1[[#This Row],[欄4]],表格1[[#This Row],[inv no]])</f>
        <v>321422</v>
      </c>
    </row>
    <row r="2997" spans="1:23" hidden="1">
      <c r="A2997" s="81">
        <v>2995</v>
      </c>
      <c r="B2997" s="86" t="s">
        <v>1477</v>
      </c>
      <c r="C2997" s="86" t="s">
        <v>1944</v>
      </c>
      <c r="D2997" s="82" t="str">
        <f ca="1">OFFSET(Roster!$A$3,MATCH(表格1[[#This Row],[Location]]&amp;" "&amp;表格1[[#This Row],[Shop]]&amp;"*",Roster!$A$4:$A$72,0),DAY(表格1[[#This Row],[date]]),1,1)</f>
        <v>Ivy Wong_1</v>
      </c>
      <c r="E2997" s="86">
        <f>MONTH(表格1[[#This Row],[date]])</f>
        <v>3</v>
      </c>
      <c r="F2997" s="90">
        <v>46103</v>
      </c>
      <c r="G2997" s="86" t="str">
        <f>VLOOKUP("*"&amp;表格1[[#This Row],[Input]]&amp;"*",'Ref-List'!$B:$D,2,)</f>
        <v>TW-T22BU95UWH(WK)-B</v>
      </c>
      <c r="H2997" s="86" t="str">
        <f>_xlfn.XLOOKUP(表格1[[#This Row],[Model]],表格3[Model-Input-Ref2],表格3[Product Line])</f>
        <v>470MM超薄身前置式變頻洗衣機(8.5公斤, 可飛頂)</v>
      </c>
      <c r="I2997" s="86" t="str">
        <f>_xlfn.XLOOKUP(表格1[[#This Row],[Model]],表格3[Model-Input-Ref2],表格3[大小電])</f>
        <v>大電</v>
      </c>
      <c r="J2997" s="86" t="str">
        <f>_xlfn.XLOOKUP(表格1[[#This Row],[Model]],表格3[Model-Input-Ref2],表格3[Code])</f>
        <v>LAD</v>
      </c>
      <c r="K2997" s="89" t="s">
        <v>969</v>
      </c>
      <c r="L2997" s="86">
        <v>1</v>
      </c>
      <c r="M2997" s="87">
        <v>3680</v>
      </c>
      <c r="N2997" s="87">
        <f>IFERROR(表格1[[#This Row],[QTY]]*表格1[[#This Row],[Unit Price]],"-")</f>
        <v>3680</v>
      </c>
      <c r="O2997" s="86">
        <v>414794</v>
      </c>
      <c r="R2997" s="86" t="str">
        <f>_xlfn.CONCAT(表格1[[#This Row],[Model]]," ",表格1[[#This Row],[inv no]])</f>
        <v>TW-T22BU95UWH(WK)-B 414794</v>
      </c>
      <c r="S2997" s="86">
        <f>_xlfn.XLOOKUP(表格1[[#This Row],[Model]],表格3[Model-Input-Ref2],表格3[SRP PRICE])</f>
        <v>5880</v>
      </c>
      <c r="T2997" s="43">
        <f>表格1[[#This Row],[Unit Price]]/表格1[[#This Row],[SRP]]</f>
        <v>0.62585034013605445</v>
      </c>
      <c r="U2997" s="86" t="str">
        <f>_xlfn.XLOOKUP(表格1[[#This Row],[Model]],表格3[Model-Input-Ref2],表格3[TOSHIBA/HIGHEST])</f>
        <v>Toshiba SRP</v>
      </c>
      <c r="W2997" s="86" t="str">
        <f>_xlfn.CONCAT(表格1[[#This Row],[欄4]],表格1[[#This Row],[inv no]])</f>
        <v>414794</v>
      </c>
    </row>
    <row r="2998" spans="1:23" hidden="1">
      <c r="A2998" s="81">
        <v>2996</v>
      </c>
      <c r="B2998" s="86" t="s">
        <v>1477</v>
      </c>
      <c r="C2998" s="86" t="s">
        <v>1944</v>
      </c>
      <c r="D2998" s="82" t="str">
        <f ca="1">OFFSET(Roster!$A$3,MATCH(表格1[[#This Row],[Location]]&amp;" "&amp;表格1[[#This Row],[Shop]]&amp;"*",Roster!$A$4:$A$72,0),DAY(表格1[[#This Row],[date]]),1,1)</f>
        <v>Ivy Wong_1</v>
      </c>
      <c r="E2998" s="86">
        <f>MONTH(表格1[[#This Row],[date]])</f>
        <v>3</v>
      </c>
      <c r="F2998" s="90">
        <v>46103</v>
      </c>
      <c r="G2998" s="86" t="str">
        <f>VLOOKUP("*"&amp;表格1[[#This Row],[Input]]&amp;"*",'Ref-List'!$B:$D,2,)</f>
        <v>TW-T22BU95UWH(WK)-B</v>
      </c>
      <c r="H2998" s="86" t="str">
        <f>_xlfn.XLOOKUP(表格1[[#This Row],[Model]],表格3[Model-Input-Ref2],表格3[Product Line])</f>
        <v>470MM超薄身前置式變頻洗衣機(8.5公斤, 可飛頂)</v>
      </c>
      <c r="I2998" s="86" t="str">
        <f>_xlfn.XLOOKUP(表格1[[#This Row],[Model]],表格3[Model-Input-Ref2],表格3[大小電])</f>
        <v>大電</v>
      </c>
      <c r="J2998" s="86" t="str">
        <f>_xlfn.XLOOKUP(表格1[[#This Row],[Model]],表格3[Model-Input-Ref2],表格3[Code])</f>
        <v>LAD</v>
      </c>
      <c r="K2998" s="89" t="s">
        <v>969</v>
      </c>
      <c r="L2998" s="86">
        <v>1</v>
      </c>
      <c r="M2998" s="87">
        <v>4980</v>
      </c>
      <c r="N2998" s="87">
        <f>IFERROR(表格1[[#This Row],[QTY]]*表格1[[#This Row],[Unit Price]],"-")</f>
        <v>4980</v>
      </c>
      <c r="O2998" s="86">
        <v>414834</v>
      </c>
      <c r="R2998" s="86" t="str">
        <f>_xlfn.CONCAT(表格1[[#This Row],[Model]]," ",表格1[[#This Row],[inv no]])</f>
        <v>TW-T22BU95UWH(WK)-B 414834</v>
      </c>
      <c r="S2998" s="86">
        <f>_xlfn.XLOOKUP(表格1[[#This Row],[Model]],表格3[Model-Input-Ref2],表格3[SRP PRICE])</f>
        <v>5880</v>
      </c>
      <c r="T2998" s="43">
        <f>表格1[[#This Row],[Unit Price]]/表格1[[#This Row],[SRP]]</f>
        <v>0.84693877551020413</v>
      </c>
      <c r="U2998" s="86" t="str">
        <f>_xlfn.XLOOKUP(表格1[[#This Row],[Model]],表格3[Model-Input-Ref2],表格3[TOSHIBA/HIGHEST])</f>
        <v>Toshiba SRP</v>
      </c>
      <c r="W2998" s="86" t="str">
        <f>_xlfn.CONCAT(表格1[[#This Row],[欄4]],表格1[[#This Row],[inv no]])</f>
        <v>414834</v>
      </c>
    </row>
    <row r="2999" spans="1:23" hidden="1">
      <c r="A2999" s="81">
        <v>2997</v>
      </c>
      <c r="B2999" s="86" t="s">
        <v>1477</v>
      </c>
      <c r="C2999" s="86" t="s">
        <v>1944</v>
      </c>
      <c r="D2999" s="82" t="str">
        <f ca="1">OFFSET(Roster!$A$3,MATCH(表格1[[#This Row],[Location]]&amp;" "&amp;表格1[[#This Row],[Shop]]&amp;"*",Roster!$A$4:$A$72,0),DAY(表格1[[#This Row],[date]]),1,1)</f>
        <v>Ivy Wong_1</v>
      </c>
      <c r="E2999" s="86">
        <f>MONTH(表格1[[#This Row],[date]])</f>
        <v>3</v>
      </c>
      <c r="F2999" s="90">
        <v>46103</v>
      </c>
      <c r="G2999" s="86" t="str">
        <f>VLOOKUP("*"&amp;表格1[[#This Row],[Input]]&amp;"*",'Ref-List'!$B:$D,2,)</f>
        <v>GR-RM612WE-PGA(B5)</v>
      </c>
      <c r="H2999" s="86" t="str">
        <f>_xlfn.XLOOKUP(表格1[[#This Row],[Model]],表格3[Model-Input-Ref2],表格3[Product Line])</f>
        <v>變頻五門雪櫃(375L)</v>
      </c>
      <c r="I2999" s="86" t="str">
        <f>_xlfn.XLOOKUP(表格1[[#This Row],[Model]],表格3[Model-Input-Ref2],表格3[大小電])</f>
        <v>大電</v>
      </c>
      <c r="J2999" s="86" t="str">
        <f>_xlfn.XLOOKUP(表格1[[#This Row],[Model]],表格3[Model-Input-Ref2],表格3[Code])</f>
        <v>REF</v>
      </c>
      <c r="K2999" s="89" t="s">
        <v>1257</v>
      </c>
      <c r="L2999" s="86">
        <v>1</v>
      </c>
      <c r="M2999" s="87">
        <v>9980</v>
      </c>
      <c r="N2999" s="87">
        <f>IFERROR(表格1[[#This Row],[QTY]]*表格1[[#This Row],[Unit Price]],"-")</f>
        <v>9980</v>
      </c>
      <c r="O2999" s="86">
        <v>414972</v>
      </c>
      <c r="R2999" s="86" t="str">
        <f>_xlfn.CONCAT(表格1[[#This Row],[Model]]," ",表格1[[#This Row],[inv no]])</f>
        <v>GR-RM612WE-PGA(B5) 414972</v>
      </c>
      <c r="S2999" s="86">
        <f>_xlfn.XLOOKUP(表格1[[#This Row],[Model]],表格3[Model-Input-Ref2],表格3[SRP PRICE])</f>
        <v>11000</v>
      </c>
      <c r="T2999" s="43">
        <f>表格1[[#This Row],[Unit Price]]/表格1[[#This Row],[SRP]]</f>
        <v>0.90727272727272723</v>
      </c>
      <c r="U2999" s="86" t="str">
        <f>_xlfn.XLOOKUP(表格1[[#This Row],[Model]],表格3[Model-Input-Ref2],表格3[TOSHIBA/HIGHEST])</f>
        <v>Shops Highest Price</v>
      </c>
      <c r="W2999" s="86" t="str">
        <f>_xlfn.CONCAT(表格1[[#This Row],[欄4]],表格1[[#This Row],[inv no]])</f>
        <v>414972</v>
      </c>
    </row>
    <row r="3000" spans="1:23" hidden="1">
      <c r="A3000" s="81">
        <v>2998</v>
      </c>
      <c r="B3000" s="86" t="s">
        <v>1477</v>
      </c>
      <c r="C3000" s="86" t="s">
        <v>1944</v>
      </c>
      <c r="D3000" s="82" t="str">
        <f ca="1">OFFSET(Roster!$A$3,MATCH(表格1[[#This Row],[Location]]&amp;" "&amp;表格1[[#This Row],[Shop]]&amp;"*",Roster!$A$4:$A$72,0),DAY(表格1[[#This Row],[date]]),1,1)</f>
        <v>Ivy Wong_1</v>
      </c>
      <c r="E3000" s="86">
        <f>MONTH(表格1[[#This Row],[date]])</f>
        <v>3</v>
      </c>
      <c r="F3000" s="90">
        <v>46103</v>
      </c>
      <c r="G3000" s="86" t="str">
        <f>VLOOKUP("*"&amp;表格1[[#This Row],[Input]]&amp;"*",'Ref-List'!$B:$D,2,)</f>
        <v>RC-7HMH</v>
      </c>
      <c r="H3000" s="86" t="str">
        <f>_xlfn.XLOOKUP(表格1[[#This Row],[Model]],表格3[Model-Input-Ref2],表格3[Product Line])</f>
        <v>備長炭本厚釜電飯煲0.7L</v>
      </c>
      <c r="I3000" s="86" t="str">
        <f>_xlfn.XLOOKUP(表格1[[#This Row],[Model]],表格3[Model-Input-Ref2],表格3[大小電])</f>
        <v>細電</v>
      </c>
      <c r="J3000" s="86" t="str">
        <f>_xlfn.XLOOKUP(表格1[[#This Row],[Model]],表格3[Model-Input-Ref2],表格3[Code])</f>
        <v>SDA</v>
      </c>
      <c r="K3000" s="89" t="s">
        <v>1284</v>
      </c>
      <c r="L3000" s="86">
        <v>1</v>
      </c>
      <c r="M3000" s="87">
        <v>838</v>
      </c>
      <c r="N3000" s="87">
        <f>IFERROR(表格1[[#This Row],[QTY]]*表格1[[#This Row],[Unit Price]],"-")</f>
        <v>838</v>
      </c>
      <c r="O3000" s="86">
        <v>321447</v>
      </c>
      <c r="R3000" s="86" t="str">
        <f>_xlfn.CONCAT(表格1[[#This Row],[Model]]," ",表格1[[#This Row],[inv no]])</f>
        <v>RC-7HMH 321447</v>
      </c>
      <c r="S3000" s="86">
        <f>_xlfn.XLOOKUP(表格1[[#This Row],[Model]],表格3[Model-Input-Ref2],表格3[SRP PRICE])</f>
        <v>1288</v>
      </c>
      <c r="T3000" s="43">
        <f>表格1[[#This Row],[Unit Price]]/表格1[[#This Row],[SRP]]</f>
        <v>0.65062111801242239</v>
      </c>
      <c r="U3000" s="86" t="str">
        <f>_xlfn.XLOOKUP(表格1[[#This Row],[Model]],表格3[Model-Input-Ref2],表格3[TOSHIBA/HIGHEST])</f>
        <v>Toshiba SRP</v>
      </c>
      <c r="W3000" s="86" t="str">
        <f>_xlfn.CONCAT(表格1[[#This Row],[欄4]],表格1[[#This Row],[inv no]])</f>
        <v>321447</v>
      </c>
    </row>
    <row r="3001" spans="1:23" hidden="1">
      <c r="A3001" s="81">
        <v>2999</v>
      </c>
      <c r="B3001" s="86" t="s">
        <v>1477</v>
      </c>
      <c r="C3001" s="86" t="s">
        <v>1944</v>
      </c>
      <c r="D3001" s="82" t="str">
        <f ca="1">OFFSET(Roster!$A$3,MATCH(表格1[[#This Row],[Location]]&amp;" "&amp;表格1[[#This Row],[Shop]]&amp;"*",Roster!$A$4:$A$72,0),DAY(表格1[[#This Row],[date]]),1,1)</f>
        <v>Ivy Wong_1</v>
      </c>
      <c r="E3001" s="86">
        <f>MONTH(表格1[[#This Row],[date]])</f>
        <v>3</v>
      </c>
      <c r="F3001" s="90">
        <v>46103</v>
      </c>
      <c r="G3001" s="86" t="str">
        <f>VLOOKUP("*"&amp;表格1[[#This Row],[Input]]&amp;"*",'Ref-List'!$B:$D,2,)</f>
        <v>TW-BL115A2H(WW)</v>
      </c>
      <c r="H3001" s="86" t="str">
        <f>_xlfn.XLOOKUP(表格1[[#This Row],[Model]],表格3[Model-Input-Ref2],表格3[Product Line])</f>
        <v>10.5KG前置式變頻洗衣機</v>
      </c>
      <c r="I3001" s="86" t="str">
        <f>_xlfn.XLOOKUP(表格1[[#This Row],[Model]],表格3[Model-Input-Ref2],表格3[大小電])</f>
        <v>大電</v>
      </c>
      <c r="J3001" s="86" t="str">
        <f>_xlfn.XLOOKUP(表格1[[#This Row],[Model]],表格3[Model-Input-Ref2],表格3[Code])</f>
        <v>WM</v>
      </c>
      <c r="K3001" s="89" t="s">
        <v>1949</v>
      </c>
      <c r="L3001" s="86">
        <v>1</v>
      </c>
      <c r="M3001" s="87">
        <v>3380</v>
      </c>
      <c r="N3001" s="87">
        <f>IFERROR(表格1[[#This Row],[QTY]]*表格1[[#This Row],[Unit Price]],"-")</f>
        <v>3380</v>
      </c>
      <c r="O3001" s="86">
        <v>414969</v>
      </c>
      <c r="R3001" s="86" t="str">
        <f>_xlfn.CONCAT(表格1[[#This Row],[Model]]," ",表格1[[#This Row],[inv no]])</f>
        <v>TW-BL115A2H(WW) 414969</v>
      </c>
      <c r="S3001" s="86">
        <f>_xlfn.XLOOKUP(表格1[[#This Row],[Model]],表格3[Model-Input-Ref2],表格3[SRP PRICE])</f>
        <v>6480</v>
      </c>
      <c r="T3001" s="43">
        <f>表格1[[#This Row],[Unit Price]]/表格1[[#This Row],[SRP]]</f>
        <v>0.52160493827160492</v>
      </c>
      <c r="U3001" s="86" t="str">
        <f>_xlfn.XLOOKUP(表格1[[#This Row],[Model]],表格3[Model-Input-Ref2],表格3[TOSHIBA/HIGHEST])</f>
        <v>Toshiba SRP</v>
      </c>
      <c r="W3001" s="86" t="str">
        <f>_xlfn.CONCAT(表格1[[#This Row],[欄4]],表格1[[#This Row],[inv no]])</f>
        <v>414969</v>
      </c>
    </row>
    <row r="3002" spans="1:23" hidden="1">
      <c r="A3002" s="81">
        <v>3000</v>
      </c>
      <c r="B3002" s="86" t="s">
        <v>1477</v>
      </c>
      <c r="C3002" s="86" t="s">
        <v>1944</v>
      </c>
      <c r="D3002" s="82" t="str">
        <f ca="1">OFFSET(Roster!$A$3,MATCH(表格1[[#This Row],[Location]]&amp;" "&amp;表格1[[#This Row],[Shop]]&amp;"*",Roster!$A$4:$A$72,0),DAY(表格1[[#This Row],[date]]),1,1)</f>
        <v>Ivy Wong_1</v>
      </c>
      <c r="E3002" s="86">
        <f>MONTH(表格1[[#This Row],[date]])</f>
        <v>3</v>
      </c>
      <c r="F3002" s="90">
        <v>46103</v>
      </c>
      <c r="G3002" s="86" t="str">
        <f>VLOOKUP("*"&amp;表格1[[#This Row],[Input]]&amp;"*",'Ref-List'!$B:$D,2,)</f>
        <v>TW-T21BU80UWH(MG)</v>
      </c>
      <c r="H3002" s="86" t="str">
        <f>_xlfn.XLOOKUP(表格1[[#This Row],[Model]],表格3[Model-Input-Ref2],表格3[Product Line])</f>
        <v>400MM超薄身前置式變頻洗衣機(7公斤)</v>
      </c>
      <c r="I3002" s="86" t="str">
        <f>_xlfn.XLOOKUP(表格1[[#This Row],[Model]],表格3[Model-Input-Ref2],表格3[大小電])</f>
        <v>大電</v>
      </c>
      <c r="J3002" s="86" t="str">
        <f>_xlfn.XLOOKUP(表格1[[#This Row],[Model]],表格3[Model-Input-Ref2],表格3[Code])</f>
        <v>LAD</v>
      </c>
      <c r="K3002" s="89" t="s">
        <v>1280</v>
      </c>
      <c r="L3002" s="86">
        <v>1</v>
      </c>
      <c r="M3002" s="87">
        <v>3190</v>
      </c>
      <c r="N3002" s="87">
        <f>IFERROR(表格1[[#This Row],[QTY]]*表格1[[#This Row],[Unit Price]],"-")</f>
        <v>3190</v>
      </c>
      <c r="O3002" s="86">
        <v>414977</v>
      </c>
      <c r="R3002" s="86" t="str">
        <f>_xlfn.CONCAT(表格1[[#This Row],[Model]]," ",表格1[[#This Row],[inv no]])</f>
        <v>TW-T21BU80UWH(MG) 414977</v>
      </c>
      <c r="S3002" s="86">
        <f>_xlfn.XLOOKUP(表格1[[#This Row],[Model]],表格3[Model-Input-Ref2],表格3[SRP PRICE])</f>
        <v>5180</v>
      </c>
      <c r="T3002" s="43">
        <f>表格1[[#This Row],[Unit Price]]/表格1[[#This Row],[SRP]]</f>
        <v>0.61583011583011582</v>
      </c>
      <c r="U3002" s="86" t="str">
        <f>_xlfn.XLOOKUP(表格1[[#This Row],[Model]],表格3[Model-Input-Ref2],表格3[TOSHIBA/HIGHEST])</f>
        <v>Toshiba SRP</v>
      </c>
      <c r="W3002" s="86" t="str">
        <f>_xlfn.CONCAT(表格1[[#This Row],[欄4]],表格1[[#This Row],[inv no]])</f>
        <v>414977</v>
      </c>
    </row>
    <row r="3003" spans="1:23" hidden="1">
      <c r="A3003" s="81">
        <v>3001</v>
      </c>
      <c r="B3003" s="86" t="s">
        <v>1477</v>
      </c>
      <c r="C3003" s="86" t="s">
        <v>1944</v>
      </c>
      <c r="D3003" s="82" t="str">
        <f ca="1">OFFSET(Roster!$A$3,MATCH(表格1[[#This Row],[Location]]&amp;" "&amp;表格1[[#This Row],[Shop]]&amp;"*",Roster!$A$4:$A$72,0),DAY(表格1[[#This Row],[date]]),1,1)</f>
        <v>Ivy Wong_1</v>
      </c>
      <c r="E3003" s="86">
        <f>MONTH(表格1[[#This Row],[date]])</f>
        <v>3</v>
      </c>
      <c r="F3003" s="90">
        <v>46103</v>
      </c>
      <c r="G3003" s="86" t="str">
        <f>VLOOKUP("*"&amp;表格1[[#This Row],[Input]]&amp;"*",'Ref-List'!$B:$D,2,)</f>
        <v>RAC-18G3CVRGR-HK</v>
      </c>
      <c r="H3003" s="86" t="str">
        <f>_xlfn.XLOOKUP(表格1[[#This Row],[Model]],表格3[Model-Input-Ref2],表格3[Product Line])</f>
        <v>2 匹 R32變頻窗口式冷氣機 (remote)</v>
      </c>
      <c r="I3003" s="86" t="str">
        <f>_xlfn.XLOOKUP(表格1[[#This Row],[Model]],表格3[Model-Input-Ref2],表格3[大小電])</f>
        <v>大電</v>
      </c>
      <c r="J3003" s="86" t="str">
        <f>_xlfn.XLOOKUP(表格1[[#This Row],[Model]],表格3[Model-Input-Ref2],表格3[Code])</f>
        <v>AC</v>
      </c>
      <c r="K3003" s="89" t="s">
        <v>1471</v>
      </c>
      <c r="L3003" s="86">
        <v>1</v>
      </c>
      <c r="M3003" s="87">
        <v>6035</v>
      </c>
      <c r="N3003" s="87">
        <f>IFERROR(表格1[[#This Row],[QTY]]*表格1[[#This Row],[Unit Price]],"-")</f>
        <v>6035</v>
      </c>
      <c r="O3003" s="86">
        <v>414976</v>
      </c>
      <c r="R3003" s="86" t="str">
        <f>_xlfn.CONCAT(表格1[[#This Row],[Model]]," ",表格1[[#This Row],[inv no]])</f>
        <v>RAC-18G3CVRGR-HK 414976</v>
      </c>
      <c r="S3003" s="86">
        <f>_xlfn.XLOOKUP(表格1[[#This Row],[Model]],表格3[Model-Input-Ref2],表格3[SRP PRICE])</f>
        <v>10380</v>
      </c>
      <c r="T3003" s="43">
        <f>表格1[[#This Row],[Unit Price]]/表格1[[#This Row],[SRP]]</f>
        <v>0.58140655105973027</v>
      </c>
      <c r="U3003" s="86" t="str">
        <f>_xlfn.XLOOKUP(表格1[[#This Row],[Model]],表格3[Model-Input-Ref2],表格3[TOSHIBA/HIGHEST])</f>
        <v>Toshiba SRP</v>
      </c>
      <c r="W3003" s="86" t="str">
        <f>_xlfn.CONCAT(表格1[[#This Row],[欄4]],表格1[[#This Row],[inv no]])</f>
        <v>414976</v>
      </c>
    </row>
    <row r="3004" spans="1:23" hidden="1">
      <c r="A3004" s="81">
        <v>3002</v>
      </c>
      <c r="B3004" s="86" t="s">
        <v>1477</v>
      </c>
      <c r="C3004" s="86" t="s">
        <v>1944</v>
      </c>
      <c r="D3004" s="82" t="str">
        <f ca="1">OFFSET(Roster!$A$3,MATCH(表格1[[#This Row],[Location]]&amp;" "&amp;表格1[[#This Row],[Shop]]&amp;"*",Roster!$A$4:$A$72,0),DAY(表格1[[#This Row],[date]]),1,1)</f>
        <v>Ivy Wong_1</v>
      </c>
      <c r="E3004" s="86">
        <f>MONTH(表格1[[#This Row],[date]])</f>
        <v>3</v>
      </c>
      <c r="F3004" s="90">
        <v>46103</v>
      </c>
      <c r="G3004" s="86" t="str">
        <f>VLOOKUP("*"&amp;表格1[[#This Row],[Input]]&amp;"*",'Ref-List'!$B:$D,2,)</f>
        <v>RC-10NMFIH(WT)</v>
      </c>
      <c r="H3004" s="86" t="str">
        <f>_xlfn.XLOOKUP(表格1[[#This Row],[Model]],表格3[Model-Input-Ref2],表格3[Product Line])</f>
        <v>4毫米厚釜電飯煲1L</v>
      </c>
      <c r="I3004" s="86" t="str">
        <f>_xlfn.XLOOKUP(表格1[[#This Row],[Model]],表格3[Model-Input-Ref2],表格3[大小電])</f>
        <v>細電</v>
      </c>
      <c r="J3004" s="86" t="str">
        <f>_xlfn.XLOOKUP(表格1[[#This Row],[Model]],表格3[Model-Input-Ref2],表格3[Code])</f>
        <v>SDA</v>
      </c>
      <c r="K3004" s="89" t="s">
        <v>1244</v>
      </c>
      <c r="L3004" s="86">
        <v>1</v>
      </c>
      <c r="M3004" s="87">
        <v>719</v>
      </c>
      <c r="N3004" s="87">
        <f>IFERROR(表格1[[#This Row],[QTY]]*表格1[[#This Row],[Unit Price]],"-")</f>
        <v>719</v>
      </c>
      <c r="O3004" s="86">
        <v>415033</v>
      </c>
      <c r="R3004" s="86" t="str">
        <f>_xlfn.CONCAT(表格1[[#This Row],[Model]]," ",表格1[[#This Row],[inv no]])</f>
        <v>RC-10NMFIH(WT) 415033</v>
      </c>
      <c r="S3004" s="86">
        <f>_xlfn.XLOOKUP(表格1[[#This Row],[Model]],表格3[Model-Input-Ref2],表格3[SRP PRICE])</f>
        <v>898</v>
      </c>
      <c r="T3004" s="43">
        <f>表格1[[#This Row],[Unit Price]]/表格1[[#This Row],[SRP]]</f>
        <v>0.80066815144766146</v>
      </c>
      <c r="U3004" s="86" t="str">
        <f>_xlfn.XLOOKUP(表格1[[#This Row],[Model]],表格3[Model-Input-Ref2],表格3[TOSHIBA/HIGHEST])</f>
        <v>Toshiba SRP</v>
      </c>
      <c r="W3004" s="86" t="str">
        <f>_xlfn.CONCAT(表格1[[#This Row],[欄4]],表格1[[#This Row],[inv no]])</f>
        <v>415033</v>
      </c>
    </row>
    <row r="3005" spans="1:23" hidden="1">
      <c r="A3005" s="81">
        <v>3003</v>
      </c>
      <c r="B3005" s="86" t="s">
        <v>1477</v>
      </c>
      <c r="C3005" s="86" t="s">
        <v>1944</v>
      </c>
      <c r="D3005" s="82" t="str">
        <f ca="1">OFFSET(Roster!$A$3,MATCH(表格1[[#This Row],[Location]]&amp;" "&amp;表格1[[#This Row],[Shop]]&amp;"*",Roster!$A$4:$A$72,0),DAY(表格1[[#This Row],[date]]),1,1)</f>
        <v>Ivy Wong_1</v>
      </c>
      <c r="E3005" s="86">
        <f>MONTH(表格1[[#This Row],[date]])</f>
        <v>3</v>
      </c>
      <c r="F3005" s="90">
        <v>46103</v>
      </c>
      <c r="G3005" s="86" t="str">
        <f>VLOOKUP("*"&amp;表格1[[#This Row],[Input]]&amp;"*",'Ref-List'!$B:$D,2,)</f>
        <v>AW-DQ950FPH(WW)</v>
      </c>
      <c r="H3005" s="86" t="str">
        <f>_xlfn.XLOOKUP(表格1[[#This Row],[Model]],表格3[Model-Input-Ref2],表格3[Product Line])</f>
        <v>變頻日式洗衣機 (8.5公斤 結合高低水位)</v>
      </c>
      <c r="I3005" s="86" t="str">
        <f>_xlfn.XLOOKUP(表格1[[#This Row],[Model]],表格3[Model-Input-Ref2],表格3[大小電])</f>
        <v>大電</v>
      </c>
      <c r="J3005" s="86" t="str">
        <f>_xlfn.XLOOKUP(表格1[[#This Row],[Model]],表格3[Model-Input-Ref2],表格3[Code])</f>
        <v>LAD</v>
      </c>
      <c r="K3005" s="89" t="s">
        <v>1493</v>
      </c>
      <c r="L3005" s="86">
        <v>1</v>
      </c>
      <c r="M3005" s="87">
        <v>2580</v>
      </c>
      <c r="N3005" s="87">
        <f>IFERROR(表格1[[#This Row],[QTY]]*表格1[[#This Row],[Unit Price]],"-")</f>
        <v>2580</v>
      </c>
      <c r="O3005" s="86">
        <v>415021</v>
      </c>
      <c r="R3005" s="86" t="str">
        <f>_xlfn.CONCAT(表格1[[#This Row],[Model]]," ",表格1[[#This Row],[inv no]])</f>
        <v>AW-DQ950FPH(WW) 415021</v>
      </c>
      <c r="S3005" s="86">
        <f>_xlfn.XLOOKUP(表格1[[#This Row],[Model]],表格3[Model-Input-Ref2],表格3[SRP PRICE])</f>
        <v>3980</v>
      </c>
      <c r="T3005" s="43">
        <f>表格1[[#This Row],[Unit Price]]/表格1[[#This Row],[SRP]]</f>
        <v>0.64824120603015079</v>
      </c>
      <c r="U3005" s="86" t="str">
        <f>_xlfn.XLOOKUP(表格1[[#This Row],[Model]],表格3[Model-Input-Ref2],表格3[TOSHIBA/HIGHEST])</f>
        <v>Toshiba SRP</v>
      </c>
      <c r="W3005" s="86" t="str">
        <f>_xlfn.CONCAT(表格1[[#This Row],[欄4]],表格1[[#This Row],[inv no]])</f>
        <v>415021</v>
      </c>
    </row>
    <row r="3006" spans="1:23" hidden="1">
      <c r="A3006" s="81">
        <v>3004</v>
      </c>
      <c r="B3006" s="86" t="s">
        <v>1477</v>
      </c>
      <c r="C3006" s="86" t="s">
        <v>1944</v>
      </c>
      <c r="D3006" s="82" t="str">
        <f ca="1">OFFSET(Roster!$A$3,MATCH(表格1[[#This Row],[Location]]&amp;" "&amp;表格1[[#This Row],[Shop]]&amp;"*",Roster!$A$4:$A$72,0),DAY(表格1[[#This Row],[date]]),1,1)</f>
        <v>Ivy Wong_1</v>
      </c>
      <c r="E3006" s="86">
        <f>MONTH(表格1[[#This Row],[date]])</f>
        <v>3</v>
      </c>
      <c r="F3006" s="90">
        <v>46103</v>
      </c>
      <c r="G3006" s="86" t="str">
        <f>VLOOKUP("*"&amp;表格1[[#This Row],[Input]]&amp;"*",'Ref-List'!$B:$D,2,)</f>
        <v>TWP-W2265THK(W)</v>
      </c>
      <c r="H3006" s="86" t="str">
        <f>_xlfn.XLOOKUP(表格1[[#This Row],[Model]],表格3[Model-Input-Ref2],表格3[Product Line])</f>
        <v>RO座檯式冷熱飲水機</v>
      </c>
      <c r="I3006" s="86" t="str">
        <f>_xlfn.XLOOKUP(表格1[[#This Row],[Model]],表格3[Model-Input-Ref2],表格3[大小電])</f>
        <v>細電</v>
      </c>
      <c r="J3006" s="86" t="str">
        <f>_xlfn.XLOOKUP(表格1[[#This Row],[Model]],表格3[Model-Input-Ref2],表格3[Code])</f>
        <v>KWH</v>
      </c>
      <c r="K3006" s="89" t="s">
        <v>1694</v>
      </c>
      <c r="L3006" s="86">
        <v>1</v>
      </c>
      <c r="M3006" s="87">
        <v>3050</v>
      </c>
      <c r="N3006" s="87">
        <f>IFERROR(表格1[[#This Row],[QTY]]*表格1[[#This Row],[Unit Price]],"-")</f>
        <v>3050</v>
      </c>
      <c r="O3006" s="86">
        <v>415048</v>
      </c>
      <c r="R3006" s="86" t="str">
        <f>_xlfn.CONCAT(表格1[[#This Row],[Model]]," ",表格1[[#This Row],[inv no]])</f>
        <v>TWP-W2265THK(W) 415048</v>
      </c>
      <c r="S3006" s="86">
        <f>_xlfn.XLOOKUP(表格1[[#This Row],[Model]],表格3[Model-Input-Ref2],表格3[SRP PRICE])</f>
        <v>3480</v>
      </c>
      <c r="T3006" s="43">
        <f>表格1[[#This Row],[Unit Price]]/表格1[[#This Row],[SRP]]</f>
        <v>0.87643678160919536</v>
      </c>
      <c r="U3006" s="86" t="str">
        <f>_xlfn.XLOOKUP(表格1[[#This Row],[Model]],表格3[Model-Input-Ref2],表格3[TOSHIBA/HIGHEST])</f>
        <v>Shops Highest Price</v>
      </c>
      <c r="W3006" s="86" t="str">
        <f>_xlfn.CONCAT(表格1[[#This Row],[欄4]],表格1[[#This Row],[inv no]])</f>
        <v>415048</v>
      </c>
    </row>
    <row r="3007" spans="1:23" hidden="1">
      <c r="A3007" s="81">
        <v>3005</v>
      </c>
      <c r="B3007" s="86" t="s">
        <v>1477</v>
      </c>
      <c r="C3007" s="86" t="s">
        <v>1944</v>
      </c>
      <c r="D3007" s="82" t="str">
        <f ca="1">OFFSET(Roster!$A$3,MATCH(表格1[[#This Row],[Location]]&amp;" "&amp;表格1[[#This Row],[Shop]]&amp;"*",Roster!$A$4:$A$72,0),DAY(表格1[[#This Row],[date]]),1,1)</f>
        <v>Ivy Wong_1</v>
      </c>
      <c r="E3007" s="86">
        <f>MONTH(表格1[[#This Row],[date]])</f>
        <v>3</v>
      </c>
      <c r="F3007" s="90">
        <v>46103</v>
      </c>
      <c r="G3007" s="86" t="str">
        <f>VLOOKUP("*"&amp;表格1[[#This Row],[Input]]&amp;"*",'Ref-List'!$B:$D,2,)</f>
        <v>TWP-W2265THK(W)</v>
      </c>
      <c r="H3007" s="86" t="str">
        <f>_xlfn.XLOOKUP(表格1[[#This Row],[Model]],表格3[Model-Input-Ref2],表格3[Product Line])</f>
        <v>RO座檯式冷熱飲水機</v>
      </c>
      <c r="I3007" s="86" t="str">
        <f>_xlfn.XLOOKUP(表格1[[#This Row],[Model]],表格3[Model-Input-Ref2],表格3[大小電])</f>
        <v>細電</v>
      </c>
      <c r="J3007" s="86" t="str">
        <f>_xlfn.XLOOKUP(表格1[[#This Row],[Model]],表格3[Model-Input-Ref2],表格3[Code])</f>
        <v>KWH</v>
      </c>
      <c r="K3007" s="89" t="s">
        <v>1694</v>
      </c>
      <c r="L3007" s="86">
        <v>1</v>
      </c>
      <c r="M3007" s="87">
        <v>3050</v>
      </c>
      <c r="N3007" s="87">
        <f>IFERROR(表格1[[#This Row],[QTY]]*表格1[[#This Row],[Unit Price]],"-")</f>
        <v>3050</v>
      </c>
      <c r="O3007" s="86">
        <v>415049</v>
      </c>
      <c r="R3007" s="86" t="str">
        <f>_xlfn.CONCAT(表格1[[#This Row],[Model]]," ",表格1[[#This Row],[inv no]])</f>
        <v>TWP-W2265THK(W) 415049</v>
      </c>
      <c r="S3007" s="86">
        <f>_xlfn.XLOOKUP(表格1[[#This Row],[Model]],表格3[Model-Input-Ref2],表格3[SRP PRICE])</f>
        <v>3480</v>
      </c>
      <c r="T3007" s="43">
        <f>表格1[[#This Row],[Unit Price]]/表格1[[#This Row],[SRP]]</f>
        <v>0.87643678160919536</v>
      </c>
      <c r="U3007" s="86" t="str">
        <f>_xlfn.XLOOKUP(表格1[[#This Row],[Model]],表格3[Model-Input-Ref2],表格3[TOSHIBA/HIGHEST])</f>
        <v>Shops Highest Price</v>
      </c>
      <c r="W3007" s="86" t="str">
        <f>_xlfn.CONCAT(表格1[[#This Row],[欄4]],表格1[[#This Row],[inv no]])</f>
        <v>415049</v>
      </c>
    </row>
    <row r="3008" spans="1:23" hidden="1">
      <c r="A3008" s="81">
        <v>3006</v>
      </c>
      <c r="B3008" s="86" t="s">
        <v>1477</v>
      </c>
      <c r="C3008" s="86" t="s">
        <v>1944</v>
      </c>
      <c r="D3008" s="82" t="str">
        <f ca="1">OFFSET(Roster!$A$3,MATCH(表格1[[#This Row],[Location]]&amp;" "&amp;表格1[[#This Row],[Shop]]&amp;"*",Roster!$A$4:$A$72,0),DAY(表格1[[#This Row],[date]]),1,1)</f>
        <v>Ivy Wong_1</v>
      </c>
      <c r="E3008" s="86">
        <f>MONTH(表格1[[#This Row],[date]])</f>
        <v>3</v>
      </c>
      <c r="F3008" s="90">
        <v>46106</v>
      </c>
      <c r="G3008" s="86" t="str">
        <f>VLOOKUP("*"&amp;表格1[[#This Row],[Input]]&amp;"*",'Ref-List'!$B:$D,2,)</f>
        <v>AW-DQ950FPH(WW)</v>
      </c>
      <c r="H3008" s="86" t="str">
        <f>_xlfn.XLOOKUP(表格1[[#This Row],[Model]],表格3[Model-Input-Ref2],表格3[Product Line])</f>
        <v>變頻日式洗衣機 (8.5公斤 結合高低水位)</v>
      </c>
      <c r="I3008" s="86" t="str">
        <f>_xlfn.XLOOKUP(表格1[[#This Row],[Model]],表格3[Model-Input-Ref2],表格3[大小電])</f>
        <v>大電</v>
      </c>
      <c r="J3008" s="86" t="str">
        <f>_xlfn.XLOOKUP(表格1[[#This Row],[Model]],表格3[Model-Input-Ref2],表格3[Code])</f>
        <v>LAD</v>
      </c>
      <c r="K3008" s="89" t="s">
        <v>1493</v>
      </c>
      <c r="L3008" s="86">
        <v>1</v>
      </c>
      <c r="M3008" s="87">
        <v>3050</v>
      </c>
      <c r="N3008" s="87">
        <f>IFERROR(表格1[[#This Row],[QTY]]*表格1[[#This Row],[Unit Price]],"-")</f>
        <v>3050</v>
      </c>
      <c r="O3008" s="86">
        <v>415058</v>
      </c>
      <c r="R3008" s="86" t="str">
        <f>_xlfn.CONCAT(表格1[[#This Row],[Model]]," ",表格1[[#This Row],[inv no]])</f>
        <v>AW-DQ950FPH(WW) 415058</v>
      </c>
      <c r="S3008" s="86">
        <f>_xlfn.XLOOKUP(表格1[[#This Row],[Model]],表格3[Model-Input-Ref2],表格3[SRP PRICE])</f>
        <v>3980</v>
      </c>
      <c r="T3008" s="43">
        <f>表格1[[#This Row],[Unit Price]]/表格1[[#This Row],[SRP]]</f>
        <v>0.76633165829145733</v>
      </c>
      <c r="U3008" s="86" t="str">
        <f>_xlfn.XLOOKUP(表格1[[#This Row],[Model]],表格3[Model-Input-Ref2],表格3[TOSHIBA/HIGHEST])</f>
        <v>Toshiba SRP</v>
      </c>
      <c r="W3008" s="86" t="str">
        <f>_xlfn.CONCAT(表格1[[#This Row],[欄4]],表格1[[#This Row],[inv no]])</f>
        <v>415058</v>
      </c>
    </row>
    <row r="3009" spans="1:23" hidden="1">
      <c r="A3009" s="81">
        <v>3007</v>
      </c>
      <c r="B3009" s="86" t="s">
        <v>1477</v>
      </c>
      <c r="C3009" s="86" t="s">
        <v>1944</v>
      </c>
      <c r="D3009" s="82" t="str">
        <f ca="1">OFFSET(Roster!$A$3,MATCH(表格1[[#This Row],[Location]]&amp;" "&amp;表格1[[#This Row],[Shop]]&amp;"*",Roster!$A$4:$A$72,0),DAY(表格1[[#This Row],[date]]),1,1)</f>
        <v>Ivy Wong_1</v>
      </c>
      <c r="E3009" s="86">
        <f>MONTH(表格1[[#This Row],[date]])</f>
        <v>3</v>
      </c>
      <c r="F3009" s="90">
        <v>46106</v>
      </c>
      <c r="G3009" s="86" t="str">
        <f>VLOOKUP("*"&amp;表格1[[#This Row],[Input]]&amp;"*",'Ref-List'!$B:$D,2,)</f>
        <v>GR-RB360WE-PMA(06)</v>
      </c>
      <c r="H3009" s="86" t="str">
        <f>_xlfn.XLOOKUP(表格1[[#This Row],[Model]],表格3[Model-Input-Ref2],表格3[Product Line])</f>
        <v>變頻下置式雙門雪櫃系列270L</v>
      </c>
      <c r="I3009" s="86" t="str">
        <f>_xlfn.XLOOKUP(表格1[[#This Row],[Model]],表格3[Model-Input-Ref2],表格3[大小電])</f>
        <v>大電</v>
      </c>
      <c r="J3009" s="86" t="str">
        <f>_xlfn.XLOOKUP(表格1[[#This Row],[Model]],表格3[Model-Input-Ref2],表格3[Code])</f>
        <v>REF</v>
      </c>
      <c r="K3009" s="89" t="s">
        <v>1282</v>
      </c>
      <c r="L3009" s="86">
        <v>1</v>
      </c>
      <c r="M3009" s="87">
        <v>3680</v>
      </c>
      <c r="N3009" s="87">
        <f>IFERROR(表格1[[#This Row],[QTY]]*表格1[[#This Row],[Unit Price]],"-")</f>
        <v>3680</v>
      </c>
      <c r="O3009" s="86">
        <v>321502</v>
      </c>
      <c r="R3009" s="86" t="str">
        <f>_xlfn.CONCAT(表格1[[#This Row],[Model]]," ",表格1[[#This Row],[inv no]])</f>
        <v>GR-RB360WE-PMA(06) 321502</v>
      </c>
      <c r="S3009" s="86">
        <f>_xlfn.XLOOKUP(表格1[[#This Row],[Model]],表格3[Model-Input-Ref2],表格3[SRP PRICE])</f>
        <v>5080</v>
      </c>
      <c r="T3009" s="43">
        <f>表格1[[#This Row],[Unit Price]]/表格1[[#This Row],[SRP]]</f>
        <v>0.72440944881889768</v>
      </c>
      <c r="U3009" s="86" t="str">
        <f>_xlfn.XLOOKUP(表格1[[#This Row],[Model]],表格3[Model-Input-Ref2],表格3[TOSHIBA/HIGHEST])</f>
        <v>Toshiba SRP</v>
      </c>
      <c r="W3009" s="86" t="str">
        <f>_xlfn.CONCAT(表格1[[#This Row],[欄4]],表格1[[#This Row],[inv no]])</f>
        <v>321502</v>
      </c>
    </row>
    <row r="3010" spans="1:23" hidden="1">
      <c r="A3010" s="81">
        <v>3008</v>
      </c>
      <c r="B3010" s="86" t="s">
        <v>1477</v>
      </c>
      <c r="C3010" s="86" t="s">
        <v>1944</v>
      </c>
      <c r="D3010" s="82" t="str">
        <f ca="1">OFFSET(Roster!$A$3,MATCH(表格1[[#This Row],[Location]]&amp;" "&amp;表格1[[#This Row],[Shop]]&amp;"*",Roster!$A$4:$A$72,0),DAY(表格1[[#This Row],[date]]),1,1)</f>
        <v>Ivy Wong_1</v>
      </c>
      <c r="E3010" s="86">
        <f>MONTH(表格1[[#This Row],[date]])</f>
        <v>3</v>
      </c>
      <c r="F3010" s="90">
        <v>46106</v>
      </c>
      <c r="G3010" s="86" t="str">
        <f>VLOOKUP("*"&amp;表格1[[#This Row],[Input]]&amp;"*",'Ref-List'!$B:$D,2,)</f>
        <v>GR-RM352WI-PMA(53)</v>
      </c>
      <c r="H3010" s="86" t="str">
        <f>_xlfn.XLOOKUP(表格1[[#This Row],[Model]],表格3[Model-Input-Ref2],表格3[Product Line])</f>
        <v>變頻三門雪櫃 (233L)</v>
      </c>
      <c r="I3010" s="86" t="str">
        <f>_xlfn.XLOOKUP(表格1[[#This Row],[Model]],表格3[Model-Input-Ref2],表格3[大小電])</f>
        <v>大電</v>
      </c>
      <c r="J3010" s="86" t="str">
        <f>_xlfn.XLOOKUP(表格1[[#This Row],[Model]],表格3[Model-Input-Ref2],表格3[Code])</f>
        <v>REF</v>
      </c>
      <c r="K3010" s="89" t="s">
        <v>1495</v>
      </c>
      <c r="L3010" s="86">
        <v>1</v>
      </c>
      <c r="M3010" s="87">
        <v>3790</v>
      </c>
      <c r="N3010" s="87">
        <f>IFERROR(表格1[[#This Row],[QTY]]*表格1[[#This Row],[Unit Price]],"-")</f>
        <v>3790</v>
      </c>
      <c r="O3010" s="86">
        <v>415055</v>
      </c>
      <c r="R3010" s="86" t="str">
        <f>_xlfn.CONCAT(表格1[[#This Row],[Model]]," ",表格1[[#This Row],[inv no]])</f>
        <v>GR-RM352WI-PMA(53) 415055</v>
      </c>
      <c r="S3010" s="86">
        <f>_xlfn.XLOOKUP(表格1[[#This Row],[Model]],表格3[Model-Input-Ref2],表格3[SRP PRICE])</f>
        <v>5580</v>
      </c>
      <c r="T3010" s="43">
        <f>表格1[[#This Row],[Unit Price]]/表格1[[#This Row],[SRP]]</f>
        <v>0.67921146953405021</v>
      </c>
      <c r="U3010" s="86" t="str">
        <f>_xlfn.XLOOKUP(表格1[[#This Row],[Model]],表格3[Model-Input-Ref2],表格3[TOSHIBA/HIGHEST])</f>
        <v>Toshiba SRP</v>
      </c>
      <c r="W3010" s="86" t="str">
        <f>_xlfn.CONCAT(表格1[[#This Row],[欄4]],表格1[[#This Row],[inv no]])</f>
        <v>415055</v>
      </c>
    </row>
    <row r="3011" spans="1:23" hidden="1">
      <c r="A3011" s="81">
        <v>3009</v>
      </c>
      <c r="B3011" s="86" t="s">
        <v>1477</v>
      </c>
      <c r="C3011" s="86" t="s">
        <v>1944</v>
      </c>
      <c r="D3011" s="82" t="str">
        <f ca="1">OFFSET(Roster!$A$3,MATCH(表格1[[#This Row],[Location]]&amp;" "&amp;表格1[[#This Row],[Shop]]&amp;"*",Roster!$A$4:$A$72,0),DAY(表格1[[#This Row],[date]]),1,1)</f>
        <v>Ivy Wong_1</v>
      </c>
      <c r="E3011" s="86">
        <f>MONTH(表格1[[#This Row],[date]])</f>
        <v>3</v>
      </c>
      <c r="F3011" s="90">
        <v>46106</v>
      </c>
      <c r="G3011" s="86" t="str">
        <f>VLOOKUP("*"&amp;表格1[[#This Row],[Input]]&amp;"*",'Ref-List'!$B:$D,2,)</f>
        <v>Model-Input-Ref2</v>
      </c>
      <c r="H3011" s="86" t="e">
        <f>_xlfn.XLOOKUP(表格1[[#This Row],[Model]],表格3[Model-Input-Ref2],表格3[Product Line])</f>
        <v>#N/A</v>
      </c>
      <c r="I3011" s="86" t="e">
        <f>_xlfn.XLOOKUP(表格1[[#This Row],[Model]],表格3[Model-Input-Ref2],表格3[大小電])</f>
        <v>#N/A</v>
      </c>
      <c r="J3011" s="86" t="e">
        <f>_xlfn.XLOOKUP(表格1[[#This Row],[Model]],表格3[Model-Input-Ref2],表格3[Code])</f>
        <v>#N/A</v>
      </c>
      <c r="N3011" s="87">
        <f>IFERROR(表格1[[#This Row],[QTY]]*表格1[[#This Row],[Unit Price]],"-")</f>
        <v>0</v>
      </c>
      <c r="P3011" s="86" t="s">
        <v>1953</v>
      </c>
      <c r="R3011" s="86" t="str">
        <f>_xlfn.CONCAT(表格1[[#This Row],[Model]]," ",表格1[[#This Row],[inv no]])</f>
        <v xml:space="preserve">Model-Input-Ref2 </v>
      </c>
      <c r="S3011" s="86" t="e">
        <f>_xlfn.XLOOKUP(表格1[[#This Row],[Model]],表格3[Model-Input-Ref2],表格3[SRP PRICE])</f>
        <v>#N/A</v>
      </c>
      <c r="T3011" s="43" t="e">
        <f>表格1[[#This Row],[Unit Price]]/表格1[[#This Row],[SRP]]</f>
        <v>#N/A</v>
      </c>
      <c r="U3011" s="86" t="e">
        <f>_xlfn.XLOOKUP(表格1[[#This Row],[Model]],表格3[Model-Input-Ref2],表格3[TOSHIBA/HIGHEST])</f>
        <v>#N/A</v>
      </c>
      <c r="W3011" s="86" t="str">
        <f>_xlfn.CONCAT(表格1[[#This Row],[欄4]],表格1[[#This Row],[inv no]])</f>
        <v/>
      </c>
    </row>
    <row r="3012" spans="1:23" hidden="1">
      <c r="A3012" s="81">
        <v>3010</v>
      </c>
      <c r="B3012" s="86" t="s">
        <v>1477</v>
      </c>
      <c r="C3012" s="86" t="s">
        <v>1944</v>
      </c>
      <c r="D3012" s="82" t="str">
        <f ca="1">OFFSET(Roster!$A$3,MATCH(表格1[[#This Row],[Location]]&amp;" "&amp;表格1[[#This Row],[Shop]]&amp;"*",Roster!$A$4:$A$72,0),DAY(表格1[[#This Row],[date]]),1,1)</f>
        <v>Ivy Wong_1</v>
      </c>
      <c r="E3012" s="86">
        <f>MONTH(表格1[[#This Row],[date]])</f>
        <v>3</v>
      </c>
      <c r="F3012" s="90">
        <v>46106</v>
      </c>
      <c r="G3012" s="86" t="str">
        <f>VLOOKUP("*"&amp;表格1[[#This Row],[Input]]&amp;"*",'Ref-List'!$B:$D,2,)</f>
        <v>AW-Q800APH(WW)</v>
      </c>
      <c r="H3012" s="86" t="str">
        <f>_xlfn.XLOOKUP(表格1[[#This Row],[Model]],表格3[Model-Input-Ref2],表格3[Product Line])</f>
        <v>日式洗衣機 (7公斤 結合高低水位)</v>
      </c>
      <c r="I3012" s="86" t="str">
        <f>_xlfn.XLOOKUP(表格1[[#This Row],[Model]],表格3[Model-Input-Ref2],表格3[大小電])</f>
        <v>大電</v>
      </c>
      <c r="J3012" s="86" t="str">
        <f>_xlfn.XLOOKUP(表格1[[#This Row],[Model]],表格3[Model-Input-Ref2],表格3[Code])</f>
        <v>LAD</v>
      </c>
      <c r="K3012" s="89" t="s">
        <v>1479</v>
      </c>
      <c r="L3012" s="86">
        <v>1</v>
      </c>
      <c r="M3012" s="87">
        <v>1980</v>
      </c>
      <c r="N3012" s="87">
        <f>IFERROR(表格1[[#This Row],[QTY]]*表格1[[#This Row],[Unit Price]],"-")</f>
        <v>1980</v>
      </c>
      <c r="O3012" s="86">
        <v>415112</v>
      </c>
      <c r="R3012" s="86" t="str">
        <f>_xlfn.CONCAT(表格1[[#This Row],[Model]]," ",表格1[[#This Row],[inv no]])</f>
        <v>AW-Q800APH(WW) 415112</v>
      </c>
      <c r="S3012" s="86">
        <f>_xlfn.XLOOKUP(表格1[[#This Row],[Model]],表格3[Model-Input-Ref2],表格3[SRP PRICE])</f>
        <v>3580</v>
      </c>
      <c r="T3012" s="43">
        <f>表格1[[#This Row],[Unit Price]]/表格1[[#This Row],[SRP]]</f>
        <v>0.55307262569832405</v>
      </c>
      <c r="U3012" s="86" t="str">
        <f>_xlfn.XLOOKUP(表格1[[#This Row],[Model]],表格3[Model-Input-Ref2],表格3[TOSHIBA/HIGHEST])</f>
        <v>Toshiba SRP</v>
      </c>
      <c r="W3012" s="86" t="str">
        <f>_xlfn.CONCAT(表格1[[#This Row],[欄4]],表格1[[#This Row],[inv no]])</f>
        <v>415112</v>
      </c>
    </row>
    <row r="3013" spans="1:23" hidden="1">
      <c r="A3013" s="81">
        <v>3011</v>
      </c>
      <c r="B3013" s="86" t="s">
        <v>1477</v>
      </c>
      <c r="C3013" s="86" t="s">
        <v>1944</v>
      </c>
      <c r="D3013" s="82" t="str">
        <f ca="1">OFFSET(Roster!$A$3,MATCH(表格1[[#This Row],[Location]]&amp;" "&amp;表格1[[#This Row],[Shop]]&amp;"*",Roster!$A$4:$A$72,0),DAY(表格1[[#This Row],[date]]),1,1)</f>
        <v>Ivy Wong_1</v>
      </c>
      <c r="E3013" s="86">
        <f>MONTH(表格1[[#This Row],[date]])</f>
        <v>3</v>
      </c>
      <c r="F3013" s="90">
        <v>46106</v>
      </c>
      <c r="G3013" s="86" t="str">
        <f>VLOOKUP("*"&amp;表格1[[#This Row],[Input]]&amp;"*",'Ref-List'!$B:$D,2,)</f>
        <v>RC-10NMFIH(WT)</v>
      </c>
      <c r="H3013" s="86" t="str">
        <f>_xlfn.XLOOKUP(表格1[[#This Row],[Model]],表格3[Model-Input-Ref2],表格3[Product Line])</f>
        <v>4毫米厚釜電飯煲1L</v>
      </c>
      <c r="I3013" s="86" t="str">
        <f>_xlfn.XLOOKUP(表格1[[#This Row],[Model]],表格3[Model-Input-Ref2],表格3[大小電])</f>
        <v>細電</v>
      </c>
      <c r="J3013" s="86" t="str">
        <f>_xlfn.XLOOKUP(表格1[[#This Row],[Model]],表格3[Model-Input-Ref2],表格3[Code])</f>
        <v>SDA</v>
      </c>
      <c r="K3013" s="89" t="s">
        <v>1244</v>
      </c>
      <c r="L3013" s="86">
        <v>1</v>
      </c>
      <c r="M3013" s="87">
        <v>719</v>
      </c>
      <c r="N3013" s="87">
        <f>IFERROR(表格1[[#This Row],[QTY]]*表格1[[#This Row],[Unit Price]],"-")</f>
        <v>719</v>
      </c>
      <c r="O3013" s="86">
        <v>415166</v>
      </c>
      <c r="R3013" s="86" t="str">
        <f>_xlfn.CONCAT(表格1[[#This Row],[Model]]," ",表格1[[#This Row],[inv no]])</f>
        <v>RC-10NMFIH(WT) 415166</v>
      </c>
      <c r="S3013" s="86">
        <f>_xlfn.XLOOKUP(表格1[[#This Row],[Model]],表格3[Model-Input-Ref2],表格3[SRP PRICE])</f>
        <v>898</v>
      </c>
      <c r="T3013" s="43">
        <f>表格1[[#This Row],[Unit Price]]/表格1[[#This Row],[SRP]]</f>
        <v>0.80066815144766146</v>
      </c>
      <c r="U3013" s="86" t="str">
        <f>_xlfn.XLOOKUP(表格1[[#This Row],[Model]],表格3[Model-Input-Ref2],表格3[TOSHIBA/HIGHEST])</f>
        <v>Toshiba SRP</v>
      </c>
      <c r="W3013" s="86" t="str">
        <f>_xlfn.CONCAT(表格1[[#This Row],[欄4]],表格1[[#This Row],[inv no]])</f>
        <v>415166</v>
      </c>
    </row>
    <row r="3014" spans="1:23" hidden="1">
      <c r="A3014" s="81">
        <v>3012</v>
      </c>
      <c r="B3014" s="86" t="s">
        <v>1477</v>
      </c>
      <c r="C3014" s="86" t="s">
        <v>1944</v>
      </c>
      <c r="D3014" s="82" t="str">
        <f ca="1">OFFSET(Roster!$A$3,MATCH(表格1[[#This Row],[Location]]&amp;" "&amp;表格1[[#This Row],[Shop]]&amp;"*",Roster!$A$4:$A$72,0),DAY(表格1[[#This Row],[date]]),1,1)</f>
        <v>Ivy Wong_1</v>
      </c>
      <c r="E3014" s="86">
        <f>MONTH(表格1[[#This Row],[date]])</f>
        <v>3</v>
      </c>
      <c r="F3014" s="90">
        <v>46106</v>
      </c>
      <c r="G3014" s="86" t="str">
        <f>VLOOKUP("*"&amp;表格1[[#This Row],[Input]]&amp;"*",'Ref-List'!$B:$D,2,)</f>
        <v>RAC-07G3CVRG-HK</v>
      </c>
      <c r="H3014" s="86" t="str">
        <f>_xlfn.XLOOKUP(表格1[[#This Row],[Model]],表格3[Model-Input-Ref2],表格3[Product Line])</f>
        <v>3/4 匹 窗口式冷氣機(remote/fortress)</v>
      </c>
      <c r="I3014" s="86" t="str">
        <f>_xlfn.XLOOKUP(表格1[[#This Row],[Model]],表格3[Model-Input-Ref2],表格3[大小電])</f>
        <v>大電</v>
      </c>
      <c r="J3014" s="86" t="str">
        <f>_xlfn.XLOOKUP(表格1[[#This Row],[Model]],表格3[Model-Input-Ref2],表格3[Code])</f>
        <v>AC</v>
      </c>
      <c r="K3014" s="89" t="s">
        <v>664</v>
      </c>
      <c r="L3014" s="86">
        <v>1</v>
      </c>
      <c r="M3014" s="87">
        <v>3880</v>
      </c>
      <c r="N3014" s="87">
        <f>IFERROR(表格1[[#This Row],[QTY]]*表格1[[#This Row],[Unit Price]],"-")</f>
        <v>3880</v>
      </c>
      <c r="O3014" s="86">
        <v>321547</v>
      </c>
      <c r="R3014" s="86" t="str">
        <f>_xlfn.CONCAT(表格1[[#This Row],[Model]]," ",表格1[[#This Row],[inv no]])</f>
        <v>RAC-07G3CVRG-HK 321547</v>
      </c>
      <c r="S3014" s="86">
        <f>_xlfn.XLOOKUP(表格1[[#This Row],[Model]],表格3[Model-Input-Ref2],表格3[SRP PRICE])</f>
        <v>5580</v>
      </c>
      <c r="T3014" s="43">
        <f>表格1[[#This Row],[Unit Price]]/表格1[[#This Row],[SRP]]</f>
        <v>0.69534050179211471</v>
      </c>
      <c r="U3014" s="86" t="str">
        <f>_xlfn.XLOOKUP(表格1[[#This Row],[Model]],表格3[Model-Input-Ref2],表格3[TOSHIBA/HIGHEST])</f>
        <v>Toshiba SRP</v>
      </c>
      <c r="W3014" s="86" t="str">
        <f>_xlfn.CONCAT(表格1[[#This Row],[欄4]],表格1[[#This Row],[inv no]])</f>
        <v>321547</v>
      </c>
    </row>
    <row r="3015" spans="1:23" hidden="1">
      <c r="A3015" s="81">
        <v>3013</v>
      </c>
      <c r="B3015" s="86" t="s">
        <v>1477</v>
      </c>
      <c r="C3015" s="86" t="s">
        <v>1944</v>
      </c>
      <c r="D3015" s="82" t="str">
        <f ca="1">OFFSET(Roster!$A$3,MATCH(表格1[[#This Row],[Location]]&amp;" "&amp;表格1[[#This Row],[Shop]]&amp;"*",Roster!$A$4:$A$72,0),DAY(表格1[[#This Row],[date]]),1,1)</f>
        <v>Ivy Wong_1</v>
      </c>
      <c r="E3015" s="86">
        <f>MONTH(表格1[[#This Row],[date]])</f>
        <v>3</v>
      </c>
      <c r="F3015" s="90">
        <v>46106</v>
      </c>
      <c r="G3015" s="86" t="str">
        <f>VLOOKUP("*"&amp;表格1[[#This Row],[Input]]&amp;"*",'Ref-List'!$B:$D,2,)</f>
        <v>GR-RB221WE-PMA(57)</v>
      </c>
      <c r="H3015" s="86" t="str">
        <f>_xlfn.XLOOKUP(表格1[[#This Row],[Model]],表格3[Model-Input-Ref2],表格3[Product Line])</f>
        <v>變頻下置式雙門雪櫃（163L）</v>
      </c>
      <c r="I3015" s="86" t="str">
        <f>_xlfn.XLOOKUP(表格1[[#This Row],[Model]],表格3[Model-Input-Ref2],表格3[大小電])</f>
        <v>大電</v>
      </c>
      <c r="J3015" s="86" t="str">
        <f>_xlfn.XLOOKUP(表格1[[#This Row],[Model]],表格3[Model-Input-Ref2],表格3[Code])</f>
        <v>REF</v>
      </c>
      <c r="K3015" s="89" t="s">
        <v>1386</v>
      </c>
      <c r="L3015" s="86">
        <v>1</v>
      </c>
      <c r="M3015" s="87">
        <v>1880</v>
      </c>
      <c r="N3015" s="87">
        <f>IFERROR(表格1[[#This Row],[QTY]]*表格1[[#This Row],[Unit Price]],"-")</f>
        <v>1880</v>
      </c>
      <c r="O3015" s="86">
        <v>415171</v>
      </c>
      <c r="R3015" s="86" t="str">
        <f>_xlfn.CONCAT(表格1[[#This Row],[Model]]," ",表格1[[#This Row],[inv no]])</f>
        <v>GR-RB221WE-PMA(57) 415171</v>
      </c>
      <c r="S3015" s="86">
        <f>_xlfn.XLOOKUP(表格1[[#This Row],[Model]],表格3[Model-Input-Ref2],表格3[SRP PRICE])</f>
        <v>3480</v>
      </c>
      <c r="T3015" s="43">
        <f>表格1[[#This Row],[Unit Price]]/表格1[[#This Row],[SRP]]</f>
        <v>0.54022988505747127</v>
      </c>
      <c r="U3015" s="86" t="str">
        <f>_xlfn.XLOOKUP(表格1[[#This Row],[Model]],表格3[Model-Input-Ref2],表格3[TOSHIBA/HIGHEST])</f>
        <v>Toshiba SRP</v>
      </c>
      <c r="W3015" s="86" t="str">
        <f>_xlfn.CONCAT(表格1[[#This Row],[欄4]],表格1[[#This Row],[inv no]])</f>
        <v>415171</v>
      </c>
    </row>
    <row r="3016" spans="1:23" hidden="1">
      <c r="A3016" s="81">
        <v>3014</v>
      </c>
      <c r="B3016" s="86" t="s">
        <v>1477</v>
      </c>
      <c r="C3016" s="86" t="s">
        <v>1944</v>
      </c>
      <c r="D3016" s="82" t="str">
        <f ca="1">OFFSET(Roster!$A$3,MATCH(表格1[[#This Row],[Location]]&amp;" "&amp;表格1[[#This Row],[Shop]]&amp;"*",Roster!$A$4:$A$72,0),DAY(表格1[[#This Row],[date]]),1,1)</f>
        <v>Ivy Wong_1</v>
      </c>
      <c r="E3016" s="86">
        <f>MONTH(表格1[[#This Row],[date]])</f>
        <v>3</v>
      </c>
      <c r="F3016" s="90">
        <v>46106</v>
      </c>
      <c r="G3016" s="86" t="str">
        <f>VLOOKUP("*"&amp;表格1[[#This Row],[Input]]&amp;"*",'Ref-List'!$B:$D,2,)</f>
        <v>RAD-D300H</v>
      </c>
      <c r="H3016" s="86" t="str">
        <f>_xlfn.XLOOKUP(表格1[[#This Row],[Model]],表格3[Model-Input-Ref2],表格3[Product Line])</f>
        <v>壓縮式抽濕機 (30公升)</v>
      </c>
      <c r="I3016" s="86" t="str">
        <f>_xlfn.XLOOKUP(表格1[[#This Row],[Model]],表格3[Model-Input-Ref2],表格3[大小電])</f>
        <v>細電</v>
      </c>
      <c r="J3016" s="86" t="str">
        <f>_xlfn.XLOOKUP(表格1[[#This Row],[Model]],表格3[Model-Input-Ref2],表格3[Code])</f>
        <v>RAC</v>
      </c>
      <c r="K3016" s="89" t="s">
        <v>1252</v>
      </c>
      <c r="L3016" s="86">
        <v>2</v>
      </c>
      <c r="M3016" s="87">
        <v>2280</v>
      </c>
      <c r="N3016" s="87">
        <f>IFERROR(表格1[[#This Row],[QTY]]*表格1[[#This Row],[Unit Price]],"-")</f>
        <v>4560</v>
      </c>
      <c r="O3016" s="86">
        <v>321539</v>
      </c>
      <c r="R3016" s="86" t="str">
        <f>_xlfn.CONCAT(表格1[[#This Row],[Model]]," ",表格1[[#This Row],[inv no]])</f>
        <v>RAD-D300H 321539</v>
      </c>
      <c r="S3016" s="86">
        <f>_xlfn.XLOOKUP(表格1[[#This Row],[Model]],表格3[Model-Input-Ref2],表格3[SRP PRICE])</f>
        <v>3380</v>
      </c>
      <c r="T3016" s="43">
        <f>表格1[[#This Row],[Unit Price]]/表格1[[#This Row],[SRP]]</f>
        <v>0.67455621301775148</v>
      </c>
      <c r="U3016" s="86" t="str">
        <f>_xlfn.XLOOKUP(表格1[[#This Row],[Model]],表格3[Model-Input-Ref2],表格3[TOSHIBA/HIGHEST])</f>
        <v>Shops Highest Price</v>
      </c>
      <c r="W3016" s="86" t="str">
        <f>_xlfn.CONCAT(表格1[[#This Row],[欄4]],表格1[[#This Row],[inv no]])</f>
        <v>321539</v>
      </c>
    </row>
    <row r="3017" spans="1:23" hidden="1">
      <c r="A3017" s="81">
        <v>3015</v>
      </c>
      <c r="B3017" s="86" t="s">
        <v>1477</v>
      </c>
      <c r="C3017" s="86" t="s">
        <v>1944</v>
      </c>
      <c r="D3017" s="82" t="str">
        <f ca="1">OFFSET(Roster!$A$3,MATCH(表格1[[#This Row],[Location]]&amp;" "&amp;表格1[[#This Row],[Shop]]&amp;"*",Roster!$A$4:$A$72,0),DAY(表格1[[#This Row],[date]]),1,1)</f>
        <v>Ivy Wong_1</v>
      </c>
      <c r="E3017" s="86">
        <f>MONTH(表格1[[#This Row],[date]])</f>
        <v>3</v>
      </c>
      <c r="F3017" s="90">
        <v>46106</v>
      </c>
      <c r="G3017" s="86" t="str">
        <f>VLOOKUP("*"&amp;表格1[[#This Row],[Input]]&amp;"*",'Ref-List'!$B:$D,2,)</f>
        <v>MW3-SAC24SE(BK)</v>
      </c>
      <c r="H3017" s="86" t="str">
        <f>_xlfn.XLOOKUP(表格1[[#This Row],[Model]],表格3[Model-Input-Ref2],表格3[Product Line])</f>
        <v>智能氣炸烤焗爐(24公升)</v>
      </c>
      <c r="I3017" s="86" t="str">
        <f>_xlfn.XLOOKUP(表格1[[#This Row],[Model]],表格3[Model-Input-Ref2],表格3[大小電])</f>
        <v>細電</v>
      </c>
      <c r="J3017" s="86" t="str">
        <f>_xlfn.XLOOKUP(表格1[[#This Row],[Model]],表格3[Model-Input-Ref2],表格3[Code])</f>
        <v>MCA</v>
      </c>
      <c r="K3017" s="89" t="s">
        <v>1274</v>
      </c>
      <c r="L3017" s="86">
        <v>1</v>
      </c>
      <c r="M3017" s="87">
        <v>1320</v>
      </c>
      <c r="N3017" s="87">
        <f>IFERROR(表格1[[#This Row],[QTY]]*表格1[[#This Row],[Unit Price]],"-")</f>
        <v>1320</v>
      </c>
      <c r="O3017" s="86">
        <v>321543</v>
      </c>
      <c r="R3017" s="86" t="str">
        <f>_xlfn.CONCAT(表格1[[#This Row],[Model]]," ",表格1[[#This Row],[inv no]])</f>
        <v>MW3-SAC24SE(BK) 321543</v>
      </c>
      <c r="S3017" s="86">
        <f>_xlfn.XLOOKUP(表格1[[#This Row],[Model]],表格3[Model-Input-Ref2],表格3[SRP PRICE])</f>
        <v>1680</v>
      </c>
      <c r="T3017" s="43">
        <f>表格1[[#This Row],[Unit Price]]/表格1[[#This Row],[SRP]]</f>
        <v>0.7857142857142857</v>
      </c>
      <c r="U3017" s="86" t="str">
        <f>_xlfn.XLOOKUP(表格1[[#This Row],[Model]],表格3[Model-Input-Ref2],表格3[TOSHIBA/HIGHEST])</f>
        <v>Toshiba SRP</v>
      </c>
      <c r="W3017" s="86" t="str">
        <f>_xlfn.CONCAT(表格1[[#This Row],[欄4]],表格1[[#This Row],[inv no]])</f>
        <v>321543</v>
      </c>
    </row>
    <row r="3018" spans="1:23" hidden="1">
      <c r="A3018" s="81">
        <v>3016</v>
      </c>
      <c r="B3018" s="86" t="s">
        <v>1477</v>
      </c>
      <c r="C3018" s="86" t="s">
        <v>1944</v>
      </c>
      <c r="D3018" s="82" t="str">
        <f ca="1">OFFSET(Roster!$A$3,MATCH(表格1[[#This Row],[Location]]&amp;" "&amp;表格1[[#This Row],[Shop]]&amp;"*",Roster!$A$4:$A$72,0),DAY(表格1[[#This Row],[date]]),1,1)</f>
        <v>Ivy Wong_1</v>
      </c>
      <c r="E3018" s="86">
        <f>MONTH(表格1[[#This Row],[date]])</f>
        <v>3</v>
      </c>
      <c r="F3018" s="90">
        <v>46106</v>
      </c>
      <c r="G3018" s="86" t="str">
        <f>VLOOKUP("*"&amp;表格1[[#This Row],[Input]]&amp;"*",'Ref-List'!$B:$D,2,)</f>
        <v>KT-17DRTHK(H)</v>
      </c>
      <c r="H3018" s="86" t="str">
        <f>_xlfn.XLOOKUP(表格1[[#This Row],[Model]],表格3[Model-Input-Ref2],表格3[Product Line])</f>
        <v>無線雙層電熱水壺(1.7公升)</v>
      </c>
      <c r="I3018" s="86" t="str">
        <f>_xlfn.XLOOKUP(表格1[[#This Row],[Model]],表格3[Model-Input-Ref2],表格3[大小電])</f>
        <v>細電</v>
      </c>
      <c r="J3018" s="86" t="str">
        <f>_xlfn.XLOOKUP(表格1[[#This Row],[Model]],表格3[Model-Input-Ref2],表格3[Code])</f>
        <v>SDA</v>
      </c>
      <c r="K3018" s="89" t="s">
        <v>1271</v>
      </c>
      <c r="L3018" s="86">
        <v>1</v>
      </c>
      <c r="M3018" s="87">
        <v>388</v>
      </c>
      <c r="N3018" s="87">
        <f>IFERROR(表格1[[#This Row],[QTY]]*表格1[[#This Row],[Unit Price]],"-")</f>
        <v>388</v>
      </c>
      <c r="O3018" s="86">
        <v>415243</v>
      </c>
      <c r="R3018" s="86" t="str">
        <f>_xlfn.CONCAT(表格1[[#This Row],[Model]]," ",表格1[[#This Row],[inv no]])</f>
        <v>KT-17DRTHK(H) 415243</v>
      </c>
      <c r="S3018" s="86">
        <f>_xlfn.XLOOKUP(表格1[[#This Row],[Model]],表格3[Model-Input-Ref2],表格3[SRP PRICE])</f>
        <v>498</v>
      </c>
      <c r="T3018" s="43">
        <f>表格1[[#This Row],[Unit Price]]/表格1[[#This Row],[SRP]]</f>
        <v>0.77911646586345384</v>
      </c>
      <c r="U3018" s="86" t="str">
        <f>_xlfn.XLOOKUP(表格1[[#This Row],[Model]],表格3[Model-Input-Ref2],表格3[TOSHIBA/HIGHEST])</f>
        <v>Toshiba SRP</v>
      </c>
      <c r="W3018" s="86" t="str">
        <f>_xlfn.CONCAT(表格1[[#This Row],[欄4]],表格1[[#This Row],[inv no]])</f>
        <v>415243</v>
      </c>
    </row>
    <row r="3019" spans="1:23" hidden="1">
      <c r="A3019" s="81">
        <v>3017</v>
      </c>
      <c r="B3019" s="86" t="s">
        <v>1477</v>
      </c>
      <c r="C3019" s="86" t="s">
        <v>1944</v>
      </c>
      <c r="D3019" s="82" t="str">
        <f ca="1">OFFSET(Roster!$A$3,MATCH(表格1[[#This Row],[Location]]&amp;" "&amp;表格1[[#This Row],[Shop]]&amp;"*",Roster!$A$4:$A$72,0),DAY(表格1[[#This Row],[date]]),1,1)</f>
        <v>Ivy Wong_1</v>
      </c>
      <c r="E3019" s="86">
        <f>MONTH(表格1[[#This Row],[date]])</f>
        <v>3</v>
      </c>
      <c r="F3019" s="90">
        <v>46106</v>
      </c>
      <c r="G3019" s="86" t="str">
        <f>VLOOKUP("*"&amp;表格1[[#This Row],[Input]]&amp;"*",'Ref-List'!$B:$D,2,)</f>
        <v>TWD-T21BU95UWH(WW)</v>
      </c>
      <c r="H3019" s="86" t="str">
        <f>_xlfn.XLOOKUP(表格1[[#This Row],[Model]],表格3[Model-Input-Ref2],表格3[Product Line])</f>
        <v>470MM超薄身前置式變頻洗衣乾衣機 (洗8.5公斤 乾6公斤)</v>
      </c>
      <c r="I3019" s="86" t="str">
        <f>_xlfn.XLOOKUP(表格1[[#This Row],[Model]],表格3[Model-Input-Ref2],表格3[大小電])</f>
        <v>大電</v>
      </c>
      <c r="J3019" s="86" t="str">
        <f>_xlfn.XLOOKUP(表格1[[#This Row],[Model]],表格3[Model-Input-Ref2],表格3[Code])</f>
        <v>LAD</v>
      </c>
      <c r="K3019" s="89" t="s">
        <v>1461</v>
      </c>
      <c r="L3019" s="86">
        <v>1</v>
      </c>
      <c r="M3019" s="87">
        <v>3990</v>
      </c>
      <c r="N3019" s="87">
        <f>IFERROR(表格1[[#This Row],[QTY]]*表格1[[#This Row],[Unit Price]],"-")</f>
        <v>3990</v>
      </c>
      <c r="O3019" s="86">
        <v>415232</v>
      </c>
      <c r="R3019" s="86" t="str">
        <f>_xlfn.CONCAT(表格1[[#This Row],[Model]]," ",表格1[[#This Row],[inv no]])</f>
        <v>TWD-T21BU95UWH(WW) 415232</v>
      </c>
      <c r="S3019" s="86">
        <f>_xlfn.XLOOKUP(表格1[[#This Row],[Model]],表格3[Model-Input-Ref2],表格3[SRP PRICE])</f>
        <v>7280</v>
      </c>
      <c r="T3019" s="43">
        <f>表格1[[#This Row],[Unit Price]]/表格1[[#This Row],[SRP]]</f>
        <v>0.54807692307692313</v>
      </c>
      <c r="U3019" s="86" t="str">
        <f>_xlfn.XLOOKUP(表格1[[#This Row],[Model]],表格3[Model-Input-Ref2],表格3[TOSHIBA/HIGHEST])</f>
        <v>Toshiba SRP</v>
      </c>
      <c r="W3019" s="86" t="str">
        <f>_xlfn.CONCAT(表格1[[#This Row],[欄4]],表格1[[#This Row],[inv no]])</f>
        <v>415232</v>
      </c>
    </row>
    <row r="3020" spans="1:23" hidden="1">
      <c r="A3020" s="81">
        <v>3018</v>
      </c>
      <c r="B3020" s="86" t="s">
        <v>1477</v>
      </c>
      <c r="C3020" s="86" t="s">
        <v>1944</v>
      </c>
      <c r="D3020" s="82" t="str">
        <f ca="1">OFFSET(Roster!$A$3,MATCH(表格1[[#This Row],[Location]]&amp;" "&amp;表格1[[#This Row],[Shop]]&amp;"*",Roster!$A$4:$A$72,0),DAY(表格1[[#This Row],[date]]),1,1)</f>
        <v>Ivy Wong_1</v>
      </c>
      <c r="E3020" s="86">
        <f>MONTH(表格1[[#This Row],[date]])</f>
        <v>3</v>
      </c>
      <c r="F3020" s="90">
        <v>46106</v>
      </c>
      <c r="G3020" s="86" t="str">
        <f>VLOOKUP("*"&amp;表格1[[#This Row],[Input]]&amp;"*",'Ref-List'!$B:$D,2,)</f>
        <v>IC-S19RH</v>
      </c>
      <c r="H3020" s="86" t="str">
        <f>_xlfn.XLOOKUP(表格1[[#This Row],[Model]],表格3[Model-Input-Ref2],表格3[Product Line])</f>
        <v>輕便式電磁爐7個功能</v>
      </c>
      <c r="I3020" s="86" t="str">
        <f>_xlfn.XLOOKUP(表格1[[#This Row],[Model]],表格3[Model-Input-Ref2],表格3[大小電])</f>
        <v>細電</v>
      </c>
      <c r="J3020" s="86" t="str">
        <f>_xlfn.XLOOKUP(表格1[[#This Row],[Model]],表格3[Model-Input-Ref2],表格3[Code])</f>
        <v>SDA</v>
      </c>
      <c r="K3020" s="89" t="s">
        <v>1289</v>
      </c>
      <c r="L3020" s="86">
        <v>1</v>
      </c>
      <c r="M3020" s="87">
        <v>418</v>
      </c>
      <c r="N3020" s="87">
        <f>IFERROR(表格1[[#This Row],[QTY]]*表格1[[#This Row],[Unit Price]],"-")</f>
        <v>418</v>
      </c>
      <c r="O3020" s="86">
        <v>415247</v>
      </c>
      <c r="R3020" s="86" t="str">
        <f>_xlfn.CONCAT(表格1[[#This Row],[Model]]," ",表格1[[#This Row],[inv no]])</f>
        <v>IC-S19RH 415247</v>
      </c>
      <c r="S3020" s="86">
        <f>_xlfn.XLOOKUP(表格1[[#This Row],[Model]],表格3[Model-Input-Ref2],表格3[SRP PRICE])</f>
        <v>638</v>
      </c>
      <c r="T3020" s="43">
        <f>表格1[[#This Row],[Unit Price]]/表格1[[#This Row],[SRP]]</f>
        <v>0.65517241379310343</v>
      </c>
      <c r="U3020" s="86" t="str">
        <f>_xlfn.XLOOKUP(表格1[[#This Row],[Model]],表格3[Model-Input-Ref2],表格3[TOSHIBA/HIGHEST])</f>
        <v>Toshiba SRP</v>
      </c>
      <c r="W3020" s="86" t="str">
        <f>_xlfn.CONCAT(表格1[[#This Row],[欄4]],表格1[[#This Row],[inv no]])</f>
        <v>415247</v>
      </c>
    </row>
    <row r="3021" spans="1:23" hidden="1">
      <c r="A3021" s="81">
        <v>3019</v>
      </c>
      <c r="B3021" s="86" t="s">
        <v>1477</v>
      </c>
      <c r="C3021" s="86" t="s">
        <v>1944</v>
      </c>
      <c r="D3021" s="82" t="str">
        <f ca="1">OFFSET(Roster!$A$3,MATCH(表格1[[#This Row],[Location]]&amp;" "&amp;表格1[[#This Row],[Shop]]&amp;"*",Roster!$A$4:$A$72,0),DAY(表格1[[#This Row],[date]]),1,1)</f>
        <v>Ivy Wong_1</v>
      </c>
      <c r="E3021" s="86">
        <f>MONTH(表格1[[#This Row],[date]])</f>
        <v>3</v>
      </c>
      <c r="F3021" s="90">
        <v>46106</v>
      </c>
      <c r="G3021" s="86" t="str">
        <f>VLOOKUP("*"&amp;表格1[[#This Row],[Input]]&amp;"*",'Ref-List'!$B:$D,2,)</f>
        <v>GR-RB410WE-PMA(06)</v>
      </c>
      <c r="H3021" s="86" t="str">
        <f>_xlfn.XLOOKUP(表格1[[#This Row],[Model]],表格3[Model-Input-Ref2],表格3[Product Line])</f>
        <v>雙門雪櫃</v>
      </c>
      <c r="I3021" s="86" t="str">
        <f>_xlfn.XLOOKUP(表格1[[#This Row],[Model]],表格3[Model-Input-Ref2],表格3[大小電])</f>
        <v>大電</v>
      </c>
      <c r="J3021" s="86" t="str">
        <f>_xlfn.XLOOKUP(表格1[[#This Row],[Model]],表格3[Model-Input-Ref2],表格3[Code])</f>
        <v>REF</v>
      </c>
      <c r="K3021" s="89" t="s">
        <v>1775</v>
      </c>
      <c r="L3021" s="86">
        <v>1</v>
      </c>
      <c r="M3021" s="87">
        <v>3980</v>
      </c>
      <c r="N3021" s="87">
        <f>IFERROR(表格1[[#This Row],[QTY]]*表格1[[#This Row],[Unit Price]],"-")</f>
        <v>3980</v>
      </c>
      <c r="O3021" s="86">
        <v>415247</v>
      </c>
      <c r="R3021" s="86" t="str">
        <f>_xlfn.CONCAT(表格1[[#This Row],[Model]]," ",表格1[[#This Row],[inv no]])</f>
        <v>GR-RB410WE-PMA(06) 415247</v>
      </c>
      <c r="S3021" s="86">
        <f>_xlfn.XLOOKUP(表格1[[#This Row],[Model]],表格3[Model-Input-Ref2],表格3[SRP PRICE])</f>
        <v>4000</v>
      </c>
      <c r="T3021" s="43">
        <f>表格1[[#This Row],[Unit Price]]/表格1[[#This Row],[SRP]]</f>
        <v>0.995</v>
      </c>
      <c r="U3021" s="86" t="str">
        <f>_xlfn.XLOOKUP(表格1[[#This Row],[Model]],表格3[Model-Input-Ref2],表格3[TOSHIBA/HIGHEST])</f>
        <v>Shops Highest Price</v>
      </c>
      <c r="W3021" s="86" t="str">
        <f>_xlfn.CONCAT(表格1[[#This Row],[欄4]],表格1[[#This Row],[inv no]])</f>
        <v>415247</v>
      </c>
    </row>
    <row r="3022" spans="1:23" hidden="1">
      <c r="A3022" s="81">
        <v>3020</v>
      </c>
      <c r="B3022" s="86" t="s">
        <v>1477</v>
      </c>
      <c r="C3022" s="86" t="s">
        <v>1944</v>
      </c>
      <c r="D3022" s="82" t="str">
        <f ca="1">OFFSET(Roster!$A$3,MATCH(表格1[[#This Row],[Location]]&amp;" "&amp;表格1[[#This Row],[Shop]]&amp;"*",Roster!$A$4:$A$72,0),DAY(表格1[[#This Row],[date]]),1,1)</f>
        <v>Ivy Wong_1</v>
      </c>
      <c r="E3022" s="86">
        <f>MONTH(表格1[[#This Row],[date]])</f>
        <v>3</v>
      </c>
      <c r="F3022" s="90">
        <v>46109</v>
      </c>
      <c r="G3022" s="86" t="str">
        <f>VLOOKUP("*"&amp;表格1[[#This Row],[Input]]&amp;"*",'Ref-List'!$B:$D,2,)</f>
        <v>KT-08DH1VHK(W)</v>
      </c>
      <c r="H3022" s="86" t="str">
        <f>_xlfn.XLOOKUP(表格1[[#This Row],[Model]],表格3[Model-Input-Ref2],表格3[Product Line])</f>
        <v>無線雙層電熱水壺-附可鎖壺蓋(0.8公升)</v>
      </c>
      <c r="I3022" s="86" t="str">
        <f>_xlfn.XLOOKUP(表格1[[#This Row],[Model]],表格3[Model-Input-Ref2],表格3[大小電])</f>
        <v>細電</v>
      </c>
      <c r="J3022" s="86" t="str">
        <f>_xlfn.XLOOKUP(表格1[[#This Row],[Model]],表格3[Model-Input-Ref2],表格3[Code])</f>
        <v>SDA</v>
      </c>
      <c r="K3022" s="89" t="s">
        <v>1268</v>
      </c>
      <c r="L3022" s="86">
        <v>1</v>
      </c>
      <c r="M3022" s="87">
        <v>268</v>
      </c>
      <c r="N3022" s="87">
        <f>IFERROR(表格1[[#This Row],[QTY]]*表格1[[#This Row],[Unit Price]],"-")</f>
        <v>268</v>
      </c>
      <c r="O3022" s="86">
        <v>415351</v>
      </c>
      <c r="R3022" s="86" t="str">
        <f>_xlfn.CONCAT(表格1[[#This Row],[Model]]," ",表格1[[#This Row],[inv no]])</f>
        <v>KT-08DH1VHK(W) 415351</v>
      </c>
      <c r="S3022" s="86">
        <f>_xlfn.XLOOKUP(表格1[[#This Row],[Model]],表格3[Model-Input-Ref2],表格3[SRP PRICE])</f>
        <v>428</v>
      </c>
      <c r="T3022" s="43">
        <f>表格1[[#This Row],[Unit Price]]/表格1[[#This Row],[SRP]]</f>
        <v>0.62616822429906538</v>
      </c>
      <c r="U3022" s="86" t="str">
        <f>_xlfn.XLOOKUP(表格1[[#This Row],[Model]],表格3[Model-Input-Ref2],表格3[TOSHIBA/HIGHEST])</f>
        <v>Toshiba SRP</v>
      </c>
      <c r="W3022" s="86" t="str">
        <f>_xlfn.CONCAT(表格1[[#This Row],[欄4]],表格1[[#This Row],[inv no]])</f>
        <v>415351</v>
      </c>
    </row>
    <row r="3023" spans="1:23" hidden="1">
      <c r="A3023" s="81">
        <v>3021</v>
      </c>
      <c r="B3023" s="86" t="s">
        <v>1477</v>
      </c>
      <c r="C3023" s="86" t="s">
        <v>1944</v>
      </c>
      <c r="D3023" s="82" t="str">
        <f ca="1">OFFSET(Roster!$A$3,MATCH(表格1[[#This Row],[Location]]&amp;" "&amp;表格1[[#This Row],[Shop]]&amp;"*",Roster!$A$4:$A$72,0),DAY(表格1[[#This Row],[date]]),1,1)</f>
        <v>Ivy Wong_1</v>
      </c>
      <c r="E3023" s="86">
        <f>MONTH(表格1[[#This Row],[date]])</f>
        <v>3</v>
      </c>
      <c r="F3023" s="90">
        <v>46109</v>
      </c>
      <c r="G3023" s="86" t="str">
        <f>VLOOKUP("*"&amp;表格1[[#This Row],[Input]]&amp;"*",'Ref-List'!$B:$D,2,)</f>
        <v>RC-10NMFIH(WT)</v>
      </c>
      <c r="H3023" s="86" t="str">
        <f>_xlfn.XLOOKUP(表格1[[#This Row],[Model]],表格3[Model-Input-Ref2],表格3[Product Line])</f>
        <v>4毫米厚釜電飯煲1L</v>
      </c>
      <c r="I3023" s="86" t="str">
        <f>_xlfn.XLOOKUP(表格1[[#This Row],[Model]],表格3[Model-Input-Ref2],表格3[大小電])</f>
        <v>細電</v>
      </c>
      <c r="J3023" s="86" t="str">
        <f>_xlfn.XLOOKUP(表格1[[#This Row],[Model]],表格3[Model-Input-Ref2],表格3[Code])</f>
        <v>SDA</v>
      </c>
      <c r="K3023" s="89" t="s">
        <v>1244</v>
      </c>
      <c r="L3023" s="86">
        <v>1</v>
      </c>
      <c r="M3023" s="87">
        <v>719</v>
      </c>
      <c r="N3023" s="87">
        <f>IFERROR(表格1[[#This Row],[QTY]]*表格1[[#This Row],[Unit Price]],"-")</f>
        <v>719</v>
      </c>
      <c r="O3023" s="86">
        <v>415273</v>
      </c>
      <c r="R3023" s="86" t="str">
        <f>_xlfn.CONCAT(表格1[[#This Row],[Model]]," ",表格1[[#This Row],[inv no]])</f>
        <v>RC-10NMFIH(WT) 415273</v>
      </c>
      <c r="S3023" s="86">
        <f>_xlfn.XLOOKUP(表格1[[#This Row],[Model]],表格3[Model-Input-Ref2],表格3[SRP PRICE])</f>
        <v>898</v>
      </c>
      <c r="T3023" s="43">
        <f>表格1[[#This Row],[Unit Price]]/表格1[[#This Row],[SRP]]</f>
        <v>0.80066815144766146</v>
      </c>
      <c r="U3023" s="86" t="str">
        <f>_xlfn.XLOOKUP(表格1[[#This Row],[Model]],表格3[Model-Input-Ref2],表格3[TOSHIBA/HIGHEST])</f>
        <v>Toshiba SRP</v>
      </c>
      <c r="W3023" s="86" t="str">
        <f>_xlfn.CONCAT(表格1[[#This Row],[欄4]],表格1[[#This Row],[inv no]])</f>
        <v>415273</v>
      </c>
    </row>
    <row r="3024" spans="1:23" hidden="1">
      <c r="A3024" s="81">
        <v>3022</v>
      </c>
      <c r="B3024" s="86" t="s">
        <v>1477</v>
      </c>
      <c r="C3024" s="86" t="s">
        <v>1944</v>
      </c>
      <c r="D3024" s="82" t="str">
        <f ca="1">OFFSET(Roster!$A$3,MATCH(表格1[[#This Row],[Location]]&amp;" "&amp;表格1[[#This Row],[Shop]]&amp;"*",Roster!$A$4:$A$72,0),DAY(表格1[[#This Row],[date]]),1,1)</f>
        <v>Ivy Wong_1</v>
      </c>
      <c r="E3024" s="86">
        <f>MONTH(表格1[[#This Row],[date]])</f>
        <v>3</v>
      </c>
      <c r="F3024" s="90">
        <v>46109</v>
      </c>
      <c r="G3024" s="86" t="str">
        <f>VLOOKUP("*"&amp;表格1[[#This Row],[Input]]&amp;"*",'Ref-List'!$B:$D,2,)</f>
        <v>PLK-30FLIH(WT)</v>
      </c>
      <c r="H3024" s="86" t="str">
        <f>_xlfn.XLOOKUP(表格1[[#This Row],[Model]],表格3[Model-Input-Ref2],表格3[Product Line])</f>
        <v>電熱水瓶3L</v>
      </c>
      <c r="I3024" s="86" t="str">
        <f>_xlfn.XLOOKUP(表格1[[#This Row],[Model]],表格3[Model-Input-Ref2],表格3[大小電])</f>
        <v>細電</v>
      </c>
      <c r="J3024" s="86" t="str">
        <f>_xlfn.XLOOKUP(表格1[[#This Row],[Model]],表格3[Model-Input-Ref2],表格3[Code])</f>
        <v>SDA</v>
      </c>
      <c r="K3024" s="89" t="s">
        <v>1272</v>
      </c>
      <c r="L3024" s="86">
        <v>1</v>
      </c>
      <c r="M3024" s="87">
        <v>489</v>
      </c>
      <c r="N3024" s="87">
        <f>IFERROR(表格1[[#This Row],[QTY]]*表格1[[#This Row],[Unit Price]],"-")</f>
        <v>489</v>
      </c>
      <c r="O3024" s="86">
        <v>415291</v>
      </c>
      <c r="R3024" s="86" t="str">
        <f>_xlfn.CONCAT(表格1[[#This Row],[Model]]," ",表格1[[#This Row],[inv no]])</f>
        <v>PLK-30FLIH(WT) 415291</v>
      </c>
      <c r="S3024" s="86">
        <f>_xlfn.XLOOKUP(表格1[[#This Row],[Model]],表格3[Model-Input-Ref2],表格3[SRP PRICE])</f>
        <v>658</v>
      </c>
      <c r="T3024" s="43">
        <f>表格1[[#This Row],[Unit Price]]/表格1[[#This Row],[SRP]]</f>
        <v>0.74316109422492405</v>
      </c>
      <c r="U3024" s="86" t="str">
        <f>_xlfn.XLOOKUP(表格1[[#This Row],[Model]],表格3[Model-Input-Ref2],表格3[TOSHIBA/HIGHEST])</f>
        <v>Toshiba SRP</v>
      </c>
      <c r="W3024" s="86" t="str">
        <f>_xlfn.CONCAT(表格1[[#This Row],[欄4]],表格1[[#This Row],[inv no]])</f>
        <v>415291</v>
      </c>
    </row>
    <row r="3025" spans="1:23" hidden="1">
      <c r="A3025" s="81">
        <v>3023</v>
      </c>
      <c r="B3025" s="86" t="s">
        <v>1477</v>
      </c>
      <c r="C3025" s="86" t="s">
        <v>1944</v>
      </c>
      <c r="D3025" s="82" t="str">
        <f ca="1">OFFSET(Roster!$A$3,MATCH(表格1[[#This Row],[Location]]&amp;" "&amp;表格1[[#This Row],[Shop]]&amp;"*",Roster!$A$4:$A$72,0),DAY(表格1[[#This Row],[date]]),1,1)</f>
        <v>Ivy Wong_1</v>
      </c>
      <c r="E3025" s="86">
        <f>MONTH(表格1[[#This Row],[date]])</f>
        <v>3</v>
      </c>
      <c r="F3025" s="90">
        <v>46109</v>
      </c>
      <c r="G3025" s="86" t="str">
        <f>VLOOKUP("*"&amp;表格1[[#This Row],[Input]]&amp;"*",'Ref-List'!$B:$D,2,)</f>
        <v>RAD-D300H</v>
      </c>
      <c r="H3025" s="86" t="str">
        <f>_xlfn.XLOOKUP(表格1[[#This Row],[Model]],表格3[Model-Input-Ref2],表格3[Product Line])</f>
        <v>壓縮式抽濕機 (30公升)</v>
      </c>
      <c r="I3025" s="86" t="str">
        <f>_xlfn.XLOOKUP(表格1[[#This Row],[Model]],表格3[Model-Input-Ref2],表格3[大小電])</f>
        <v>細電</v>
      </c>
      <c r="J3025" s="86" t="str">
        <f>_xlfn.XLOOKUP(表格1[[#This Row],[Model]],表格3[Model-Input-Ref2],表格3[Code])</f>
        <v>RAC</v>
      </c>
      <c r="K3025" s="89" t="s">
        <v>1252</v>
      </c>
      <c r="L3025" s="86">
        <v>1</v>
      </c>
      <c r="M3025" s="87">
        <v>2280</v>
      </c>
      <c r="N3025" s="87">
        <f>IFERROR(表格1[[#This Row],[QTY]]*表格1[[#This Row],[Unit Price]],"-")</f>
        <v>2280</v>
      </c>
      <c r="O3025" s="86">
        <v>415298</v>
      </c>
      <c r="R3025" s="86" t="str">
        <f>_xlfn.CONCAT(表格1[[#This Row],[Model]]," ",表格1[[#This Row],[inv no]])</f>
        <v>RAD-D300H 415298</v>
      </c>
      <c r="S3025" s="86">
        <f>_xlfn.XLOOKUP(表格1[[#This Row],[Model]],表格3[Model-Input-Ref2],表格3[SRP PRICE])</f>
        <v>3380</v>
      </c>
      <c r="T3025" s="43">
        <f>表格1[[#This Row],[Unit Price]]/表格1[[#This Row],[SRP]]</f>
        <v>0.67455621301775148</v>
      </c>
      <c r="U3025" s="86" t="str">
        <f>_xlfn.XLOOKUP(表格1[[#This Row],[Model]],表格3[Model-Input-Ref2],表格3[TOSHIBA/HIGHEST])</f>
        <v>Shops Highest Price</v>
      </c>
      <c r="W3025" s="86" t="str">
        <f>_xlfn.CONCAT(表格1[[#This Row],[欄4]],表格1[[#This Row],[inv no]])</f>
        <v>415298</v>
      </c>
    </row>
    <row r="3026" spans="1:23" hidden="1">
      <c r="A3026" s="81">
        <v>3024</v>
      </c>
      <c r="B3026" s="86" t="s">
        <v>1477</v>
      </c>
      <c r="C3026" s="86" t="s">
        <v>1944</v>
      </c>
      <c r="D3026" s="82" t="str">
        <f ca="1">OFFSET(Roster!$A$3,MATCH(表格1[[#This Row],[Location]]&amp;" "&amp;表格1[[#This Row],[Shop]]&amp;"*",Roster!$A$4:$A$72,0),DAY(表格1[[#This Row],[date]]),1,1)</f>
        <v>Ivy Wong_1</v>
      </c>
      <c r="E3026" s="86">
        <f>MONTH(表格1[[#This Row],[date]])</f>
        <v>3</v>
      </c>
      <c r="F3026" s="90">
        <v>46109</v>
      </c>
      <c r="G3026" s="86" t="str">
        <f>VLOOKUP("*"&amp;表格1[[#This Row],[Input]]&amp;"*",'Ref-List'!$B:$D,2,)</f>
        <v>KT-17DRTHK(H)</v>
      </c>
      <c r="H3026" s="86" t="str">
        <f>_xlfn.XLOOKUP(表格1[[#This Row],[Model]],表格3[Model-Input-Ref2],表格3[Product Line])</f>
        <v>無線雙層電熱水壺(1.7公升)</v>
      </c>
      <c r="I3026" s="86" t="str">
        <f>_xlfn.XLOOKUP(表格1[[#This Row],[Model]],表格3[Model-Input-Ref2],表格3[大小電])</f>
        <v>細電</v>
      </c>
      <c r="J3026" s="86" t="str">
        <f>_xlfn.XLOOKUP(表格1[[#This Row],[Model]],表格3[Model-Input-Ref2],表格3[Code])</f>
        <v>SDA</v>
      </c>
      <c r="K3026" s="89" t="s">
        <v>1271</v>
      </c>
      <c r="L3026" s="86">
        <v>1</v>
      </c>
      <c r="M3026" s="87">
        <v>388</v>
      </c>
      <c r="N3026" s="87">
        <f>IFERROR(表格1[[#This Row],[QTY]]*表格1[[#This Row],[Unit Price]],"-")</f>
        <v>388</v>
      </c>
      <c r="O3026" s="86">
        <v>415313</v>
      </c>
      <c r="R3026" s="86" t="str">
        <f>_xlfn.CONCAT(表格1[[#This Row],[Model]]," ",表格1[[#This Row],[inv no]])</f>
        <v>KT-17DRTHK(H) 415313</v>
      </c>
      <c r="S3026" s="86">
        <f>_xlfn.XLOOKUP(表格1[[#This Row],[Model]],表格3[Model-Input-Ref2],表格3[SRP PRICE])</f>
        <v>498</v>
      </c>
      <c r="T3026" s="43">
        <f>表格1[[#This Row],[Unit Price]]/表格1[[#This Row],[SRP]]</f>
        <v>0.77911646586345384</v>
      </c>
      <c r="U3026" s="86" t="str">
        <f>_xlfn.XLOOKUP(表格1[[#This Row],[Model]],表格3[Model-Input-Ref2],表格3[TOSHIBA/HIGHEST])</f>
        <v>Toshiba SRP</v>
      </c>
      <c r="W3026" s="86" t="str">
        <f>_xlfn.CONCAT(表格1[[#This Row],[欄4]],表格1[[#This Row],[inv no]])</f>
        <v>415313</v>
      </c>
    </row>
    <row r="3027" spans="1:23" hidden="1">
      <c r="A3027" s="81">
        <v>3025</v>
      </c>
      <c r="B3027" s="86" t="s">
        <v>1477</v>
      </c>
      <c r="C3027" s="86" t="s">
        <v>1944</v>
      </c>
      <c r="D3027" s="82" t="str">
        <f ca="1">OFFSET(Roster!$A$3,MATCH(表格1[[#This Row],[Location]]&amp;" "&amp;表格1[[#This Row],[Shop]]&amp;"*",Roster!$A$4:$A$72,0),DAY(表格1[[#This Row],[date]]),1,1)</f>
        <v>Ivy Wong_1</v>
      </c>
      <c r="E3027" s="86">
        <f>MONTH(表格1[[#This Row],[date]])</f>
        <v>3</v>
      </c>
      <c r="F3027" s="90">
        <v>46109</v>
      </c>
      <c r="G3027" s="86" t="str">
        <f>VLOOKUP("*"&amp;表格1[[#This Row],[Input]]&amp;"*",'Ref-List'!$B:$D,2,)</f>
        <v>GR-RT300WE-PMA(57)</v>
      </c>
      <c r="H3027" s="86" t="str">
        <f>_xlfn.XLOOKUP(表格1[[#This Row],[Model]],表格3[Model-Input-Ref2],表格3[Product Line])</f>
        <v>變頻式環保雙門雪櫃(233L)</v>
      </c>
      <c r="I3027" s="86" t="str">
        <f>_xlfn.XLOOKUP(表格1[[#This Row],[Model]],表格3[Model-Input-Ref2],表格3[大小電])</f>
        <v>大電</v>
      </c>
      <c r="J3027" s="86" t="str">
        <f>_xlfn.XLOOKUP(表格1[[#This Row],[Model]],表格3[Model-Input-Ref2],表格3[Code])</f>
        <v>REF</v>
      </c>
      <c r="K3027" s="89" t="s">
        <v>1462</v>
      </c>
      <c r="L3027" s="86">
        <v>1</v>
      </c>
      <c r="M3027" s="87">
        <v>2780</v>
      </c>
      <c r="N3027" s="87">
        <f>IFERROR(表格1[[#This Row],[QTY]]*表格1[[#This Row],[Unit Price]],"-")</f>
        <v>2780</v>
      </c>
      <c r="O3027" s="86">
        <v>415332</v>
      </c>
      <c r="R3027" s="86" t="str">
        <f>_xlfn.CONCAT(表格1[[#This Row],[Model]]," ",表格1[[#This Row],[inv no]])</f>
        <v>GR-RT300WE-PMA(57) 415332</v>
      </c>
      <c r="S3027" s="86">
        <f>_xlfn.XLOOKUP(表格1[[#This Row],[Model]],表格3[Model-Input-Ref2],表格3[SRP PRICE])</f>
        <v>4280</v>
      </c>
      <c r="T3027" s="43">
        <f>表格1[[#This Row],[Unit Price]]/表格1[[#This Row],[SRP]]</f>
        <v>0.64953271028037385</v>
      </c>
      <c r="U3027" s="86" t="str">
        <f>_xlfn.XLOOKUP(表格1[[#This Row],[Model]],表格3[Model-Input-Ref2],表格3[TOSHIBA/HIGHEST])</f>
        <v>Toshiba SRP</v>
      </c>
      <c r="W3027" s="86" t="str">
        <f>_xlfn.CONCAT(表格1[[#This Row],[欄4]],表格1[[#This Row],[inv no]])</f>
        <v>415332</v>
      </c>
    </row>
    <row r="3028" spans="1:23" hidden="1">
      <c r="A3028" s="81">
        <v>3026</v>
      </c>
      <c r="B3028" s="86" t="s">
        <v>1477</v>
      </c>
      <c r="C3028" s="86" t="s">
        <v>1944</v>
      </c>
      <c r="D3028" s="82" t="str">
        <f ca="1">OFFSET(Roster!$A$3,MATCH(表格1[[#This Row],[Location]]&amp;" "&amp;表格1[[#This Row],[Shop]]&amp;"*",Roster!$A$4:$A$72,0),DAY(表格1[[#This Row],[date]]),1,1)</f>
        <v>Ivy Wong_1</v>
      </c>
      <c r="E3028" s="86">
        <f>MONTH(表格1[[#This Row],[date]])</f>
        <v>3</v>
      </c>
      <c r="F3028" s="90">
        <v>46109</v>
      </c>
      <c r="G3028" s="86" t="str">
        <f>VLOOKUP("*"&amp;表格1[[#This Row],[Input]]&amp;"*",'Ref-List'!$B:$D,2,)</f>
        <v>AW-Q901BPH(WW)</v>
      </c>
      <c r="H3028" s="86" t="str">
        <f>_xlfn.XLOOKUP(表格1[[#This Row],[Model]],表格3[Model-Input-Ref2],表格3[Product Line])</f>
        <v>日式洗衣機 (8公斤 結合高低水位)</v>
      </c>
      <c r="I3028" s="86" t="str">
        <f>_xlfn.XLOOKUP(表格1[[#This Row],[Model]],表格3[Model-Input-Ref2],表格3[大小電])</f>
        <v>大電</v>
      </c>
      <c r="J3028" s="86" t="str">
        <f>_xlfn.XLOOKUP(表格1[[#This Row],[Model]],表格3[Model-Input-Ref2],表格3[Code])</f>
        <v>LAD</v>
      </c>
      <c r="K3028" s="89" t="s">
        <v>1411</v>
      </c>
      <c r="L3028" s="86">
        <v>1</v>
      </c>
      <c r="M3028" s="87">
        <v>2280</v>
      </c>
      <c r="N3028" s="87">
        <f>IFERROR(表格1[[#This Row],[QTY]]*表格1[[#This Row],[Unit Price]],"-")</f>
        <v>2280</v>
      </c>
      <c r="O3028" s="86">
        <v>415339</v>
      </c>
      <c r="R3028" s="86" t="str">
        <f>_xlfn.CONCAT(表格1[[#This Row],[Model]]," ",表格1[[#This Row],[inv no]])</f>
        <v>AW-Q901BPH(WW) 415339</v>
      </c>
      <c r="S3028" s="86">
        <f>_xlfn.XLOOKUP(表格1[[#This Row],[Model]],表格3[Model-Input-Ref2],表格3[SRP PRICE])</f>
        <v>3780</v>
      </c>
      <c r="T3028" s="43">
        <f>表格1[[#This Row],[Unit Price]]/表格1[[#This Row],[SRP]]</f>
        <v>0.60317460317460314</v>
      </c>
      <c r="U3028" s="86" t="str">
        <f>_xlfn.XLOOKUP(表格1[[#This Row],[Model]],表格3[Model-Input-Ref2],表格3[TOSHIBA/HIGHEST])</f>
        <v>Toshiba SRP</v>
      </c>
      <c r="W3028" s="86" t="str">
        <f>_xlfn.CONCAT(表格1[[#This Row],[欄4]],表格1[[#This Row],[inv no]])</f>
        <v>415339</v>
      </c>
    </row>
    <row r="3029" spans="1:23" hidden="1">
      <c r="A3029" s="81">
        <v>3027</v>
      </c>
      <c r="B3029" s="86" t="s">
        <v>1477</v>
      </c>
      <c r="C3029" s="86" t="s">
        <v>1944</v>
      </c>
      <c r="D3029" s="82" t="str">
        <f ca="1">OFFSET(Roster!$A$3,MATCH(表格1[[#This Row],[Location]]&amp;" "&amp;表格1[[#This Row],[Shop]]&amp;"*",Roster!$A$4:$A$72,0),DAY(表格1[[#This Row],[date]]),1,1)</f>
        <v>Ivy Wong_1</v>
      </c>
      <c r="E3029" s="86">
        <f>MONTH(表格1[[#This Row],[date]])</f>
        <v>3</v>
      </c>
      <c r="F3029" s="90">
        <v>46109</v>
      </c>
      <c r="G3029" s="86" t="str">
        <f>VLOOKUP("*"&amp;表格1[[#This Row],[Input]]&amp;"*",'Ref-List'!$B:$D,2,)</f>
        <v>AW-Q800APH(WW)</v>
      </c>
      <c r="H3029" s="86" t="str">
        <f>_xlfn.XLOOKUP(表格1[[#This Row],[Model]],表格3[Model-Input-Ref2],表格3[Product Line])</f>
        <v>日式洗衣機 (7公斤 結合高低水位)</v>
      </c>
      <c r="I3029" s="86" t="str">
        <f>_xlfn.XLOOKUP(表格1[[#This Row],[Model]],表格3[Model-Input-Ref2],表格3[大小電])</f>
        <v>大電</v>
      </c>
      <c r="J3029" s="86" t="str">
        <f>_xlfn.XLOOKUP(表格1[[#This Row],[Model]],表格3[Model-Input-Ref2],表格3[Code])</f>
        <v>LAD</v>
      </c>
      <c r="K3029" s="89" t="s">
        <v>1479</v>
      </c>
      <c r="L3029" s="86">
        <v>1</v>
      </c>
      <c r="M3029" s="87">
        <v>1980</v>
      </c>
      <c r="N3029" s="87">
        <f>IFERROR(表格1[[#This Row],[QTY]]*表格1[[#This Row],[Unit Price]],"-")</f>
        <v>1980</v>
      </c>
      <c r="O3029" s="86">
        <v>415369</v>
      </c>
      <c r="R3029" s="86" t="str">
        <f>_xlfn.CONCAT(表格1[[#This Row],[Model]]," ",表格1[[#This Row],[inv no]])</f>
        <v>AW-Q800APH(WW) 415369</v>
      </c>
      <c r="S3029" s="86">
        <f>_xlfn.XLOOKUP(表格1[[#This Row],[Model]],表格3[Model-Input-Ref2],表格3[SRP PRICE])</f>
        <v>3580</v>
      </c>
      <c r="T3029" s="43">
        <f>表格1[[#This Row],[Unit Price]]/表格1[[#This Row],[SRP]]</f>
        <v>0.55307262569832405</v>
      </c>
      <c r="U3029" s="86" t="str">
        <f>_xlfn.XLOOKUP(表格1[[#This Row],[Model]],表格3[Model-Input-Ref2],表格3[TOSHIBA/HIGHEST])</f>
        <v>Toshiba SRP</v>
      </c>
      <c r="W3029" s="86" t="str">
        <f>_xlfn.CONCAT(表格1[[#This Row],[欄4]],表格1[[#This Row],[inv no]])</f>
        <v>415369</v>
      </c>
    </row>
    <row r="3030" spans="1:23" hidden="1">
      <c r="A3030" s="81">
        <v>3028</v>
      </c>
      <c r="B3030" s="86" t="s">
        <v>1477</v>
      </c>
      <c r="C3030" s="86" t="s">
        <v>1944</v>
      </c>
      <c r="D3030" s="82" t="str">
        <f ca="1">OFFSET(Roster!$A$3,MATCH(表格1[[#This Row],[Location]]&amp;" "&amp;表格1[[#This Row],[Shop]]&amp;"*",Roster!$A$4:$A$72,0),DAY(表格1[[#This Row],[date]]),1,1)</f>
        <v>Ivy Wong_1</v>
      </c>
      <c r="E3030" s="86">
        <f>MONTH(表格1[[#This Row],[date]])</f>
        <v>3</v>
      </c>
      <c r="F3030" s="90">
        <v>46109</v>
      </c>
      <c r="G3030" s="86" t="str">
        <f>VLOOKUP("*"&amp;表格1[[#This Row],[Input]]&amp;"*",'Ref-List'!$B:$D,2,)</f>
        <v>RAC-07G3CVRG-HK</v>
      </c>
      <c r="H3030" s="86" t="str">
        <f>_xlfn.XLOOKUP(表格1[[#This Row],[Model]],表格3[Model-Input-Ref2],表格3[Product Line])</f>
        <v>3/4 匹 窗口式冷氣機(remote/fortress)</v>
      </c>
      <c r="I3030" s="86" t="str">
        <f>_xlfn.XLOOKUP(表格1[[#This Row],[Model]],表格3[Model-Input-Ref2],表格3[大小電])</f>
        <v>大電</v>
      </c>
      <c r="J3030" s="86" t="str">
        <f>_xlfn.XLOOKUP(表格1[[#This Row],[Model]],表格3[Model-Input-Ref2],表格3[Code])</f>
        <v>AC</v>
      </c>
      <c r="K3030" s="89" t="s">
        <v>664</v>
      </c>
      <c r="L3030" s="86">
        <v>1</v>
      </c>
      <c r="M3030" s="87">
        <v>3880</v>
      </c>
      <c r="N3030" s="87">
        <f>IFERROR(表格1[[#This Row],[QTY]]*表格1[[#This Row],[Unit Price]],"-")</f>
        <v>3880</v>
      </c>
      <c r="O3030" s="86">
        <v>415385</v>
      </c>
      <c r="R3030" s="86" t="str">
        <f>_xlfn.CONCAT(表格1[[#This Row],[Model]]," ",表格1[[#This Row],[inv no]])</f>
        <v>RAC-07G3CVRG-HK 415385</v>
      </c>
      <c r="S3030" s="86">
        <f>_xlfn.XLOOKUP(表格1[[#This Row],[Model]],表格3[Model-Input-Ref2],表格3[SRP PRICE])</f>
        <v>5580</v>
      </c>
      <c r="T3030" s="43">
        <f>表格1[[#This Row],[Unit Price]]/表格1[[#This Row],[SRP]]</f>
        <v>0.69534050179211471</v>
      </c>
      <c r="U3030" s="86" t="str">
        <f>_xlfn.XLOOKUP(表格1[[#This Row],[Model]],表格3[Model-Input-Ref2],表格3[TOSHIBA/HIGHEST])</f>
        <v>Toshiba SRP</v>
      </c>
      <c r="W3030" s="86" t="str">
        <f>_xlfn.CONCAT(表格1[[#This Row],[欄4]],表格1[[#This Row],[inv no]])</f>
        <v>415385</v>
      </c>
    </row>
    <row r="3031" spans="1:23" hidden="1">
      <c r="A3031" s="81">
        <v>3029</v>
      </c>
      <c r="B3031" s="86" t="s">
        <v>1477</v>
      </c>
      <c r="C3031" s="86" t="s">
        <v>1944</v>
      </c>
      <c r="D3031" s="82" t="str">
        <f ca="1">OFFSET(Roster!$A$3,MATCH(表格1[[#This Row],[Location]]&amp;" "&amp;表格1[[#This Row],[Shop]]&amp;"*",Roster!$A$4:$A$72,0),DAY(表格1[[#This Row],[date]]),1,1)</f>
        <v>Ivy Wong_1</v>
      </c>
      <c r="E3031" s="86">
        <f>MONTH(表格1[[#This Row],[date]])</f>
        <v>3</v>
      </c>
      <c r="F3031" s="90">
        <v>46109</v>
      </c>
      <c r="G3031" s="86" t="str">
        <f>VLOOKUP("*"&amp;表格1[[#This Row],[Input]]&amp;"*",'Ref-List'!$B:$D,2,)</f>
        <v>RAD-D300H</v>
      </c>
      <c r="H3031" s="86" t="str">
        <f>_xlfn.XLOOKUP(表格1[[#This Row],[Model]],表格3[Model-Input-Ref2],表格3[Product Line])</f>
        <v>壓縮式抽濕機 (30公升)</v>
      </c>
      <c r="I3031" s="86" t="str">
        <f>_xlfn.XLOOKUP(表格1[[#This Row],[Model]],表格3[Model-Input-Ref2],表格3[大小電])</f>
        <v>細電</v>
      </c>
      <c r="J3031" s="86" t="str">
        <f>_xlfn.XLOOKUP(表格1[[#This Row],[Model]],表格3[Model-Input-Ref2],表格3[Code])</f>
        <v>RAC</v>
      </c>
      <c r="K3031" s="89" t="s">
        <v>1252</v>
      </c>
      <c r="L3031" s="86">
        <v>1</v>
      </c>
      <c r="M3031" s="87">
        <v>2280</v>
      </c>
      <c r="N3031" s="87">
        <f>IFERROR(表格1[[#This Row],[QTY]]*表格1[[#This Row],[Unit Price]],"-")</f>
        <v>2280</v>
      </c>
      <c r="O3031" s="86">
        <v>415376</v>
      </c>
      <c r="R3031" s="86" t="str">
        <f>_xlfn.CONCAT(表格1[[#This Row],[Model]]," ",表格1[[#This Row],[inv no]])</f>
        <v>RAD-D300H 415376</v>
      </c>
      <c r="S3031" s="86">
        <f>_xlfn.XLOOKUP(表格1[[#This Row],[Model]],表格3[Model-Input-Ref2],表格3[SRP PRICE])</f>
        <v>3380</v>
      </c>
      <c r="T3031" s="43">
        <f>表格1[[#This Row],[Unit Price]]/表格1[[#This Row],[SRP]]</f>
        <v>0.67455621301775148</v>
      </c>
      <c r="U3031" s="86" t="str">
        <f>_xlfn.XLOOKUP(表格1[[#This Row],[Model]],表格3[Model-Input-Ref2],表格3[TOSHIBA/HIGHEST])</f>
        <v>Shops Highest Price</v>
      </c>
      <c r="W3031" s="86" t="str">
        <f>_xlfn.CONCAT(表格1[[#This Row],[欄4]],表格1[[#This Row],[inv no]])</f>
        <v>415376</v>
      </c>
    </row>
    <row r="3032" spans="1:23" hidden="1">
      <c r="A3032" s="81">
        <v>3030</v>
      </c>
      <c r="B3032" s="86" t="s">
        <v>1477</v>
      </c>
      <c r="C3032" s="86" t="s">
        <v>1944</v>
      </c>
      <c r="D3032" s="82" t="str">
        <f ca="1">OFFSET(Roster!$A$3,MATCH(表格1[[#This Row],[Location]]&amp;" "&amp;表格1[[#This Row],[Shop]]&amp;"*",Roster!$A$4:$A$72,0),DAY(表格1[[#This Row],[date]]),1,1)</f>
        <v>Ivy Wong_1</v>
      </c>
      <c r="E3032" s="86">
        <f>MONTH(表格1[[#This Row],[date]])</f>
        <v>3</v>
      </c>
      <c r="F3032" s="90">
        <v>46109</v>
      </c>
      <c r="G3032" s="86" t="str">
        <f>VLOOKUP("*"&amp;表格1[[#This Row],[Input]]&amp;"*",'Ref-List'!$B:$D,2,)</f>
        <v>RAC-09G3CVRGR-HK</v>
      </c>
      <c r="H3032" s="86" t="str">
        <f>_xlfn.XLOOKUP(表格1[[#This Row],[Model]],表格3[Model-Input-Ref2],表格3[Product Line])</f>
        <v>1 匹 R32變頻窗口式冷氣機 (獨立抽濕遙控</v>
      </c>
      <c r="I3032" s="86" t="str">
        <f>_xlfn.XLOOKUP(表格1[[#This Row],[Model]],表格3[Model-Input-Ref2],表格3[大小電])</f>
        <v>大電</v>
      </c>
      <c r="J3032" s="86" t="str">
        <f>_xlfn.XLOOKUP(表格1[[#This Row],[Model]],表格3[Model-Input-Ref2],表格3[Code])</f>
        <v>AC</v>
      </c>
      <c r="K3032" s="89" t="s">
        <v>1474</v>
      </c>
      <c r="L3032" s="86">
        <v>1</v>
      </c>
      <c r="M3032" s="87">
        <v>4980</v>
      </c>
      <c r="N3032" s="87">
        <f>IFERROR(表格1[[#This Row],[QTY]]*表格1[[#This Row],[Unit Price]],"-")</f>
        <v>4980</v>
      </c>
      <c r="O3032" s="86">
        <v>415346</v>
      </c>
      <c r="R3032" s="86" t="str">
        <f>_xlfn.CONCAT(表格1[[#This Row],[Model]]," ",表格1[[#This Row],[inv no]])</f>
        <v>RAC-09G3CVRGR-HK 415346</v>
      </c>
      <c r="S3032" s="86">
        <f>_xlfn.XLOOKUP(表格1[[#This Row],[Model]],表格3[Model-Input-Ref2],表格3[SRP PRICE])</f>
        <v>6980</v>
      </c>
      <c r="T3032" s="43">
        <f>表格1[[#This Row],[Unit Price]]/表格1[[#This Row],[SRP]]</f>
        <v>0.71346704871060174</v>
      </c>
      <c r="U3032" s="86" t="str">
        <f>_xlfn.XLOOKUP(表格1[[#This Row],[Model]],表格3[Model-Input-Ref2],表格3[TOSHIBA/HIGHEST])</f>
        <v>Toshiba SRP</v>
      </c>
      <c r="W3032" s="86" t="str">
        <f>_xlfn.CONCAT(表格1[[#This Row],[欄4]],表格1[[#This Row],[inv no]])</f>
        <v>415346</v>
      </c>
    </row>
    <row r="3033" spans="1:23" hidden="1">
      <c r="A3033" s="81">
        <v>3031</v>
      </c>
      <c r="B3033" s="86" t="s">
        <v>1477</v>
      </c>
      <c r="C3033" s="86" t="s">
        <v>1944</v>
      </c>
      <c r="D3033" s="82" t="str">
        <f ca="1">OFFSET(Roster!$A$3,MATCH(表格1[[#This Row],[Location]]&amp;" "&amp;表格1[[#This Row],[Shop]]&amp;"*",Roster!$A$4:$A$72,0),DAY(表格1[[#This Row],[date]]),1,1)</f>
        <v>Ivy Wong_1</v>
      </c>
      <c r="E3033" s="86">
        <f>MONTH(表格1[[#This Row],[date]])</f>
        <v>3</v>
      </c>
      <c r="F3033" s="90">
        <v>46109</v>
      </c>
      <c r="G3033" s="86" t="str">
        <f>VLOOKUP("*"&amp;表格1[[#This Row],[Input]]&amp;"*",'Ref-List'!$B:$D,2,)</f>
        <v>ER-SD99HKW</v>
      </c>
      <c r="H3033" s="86" t="str">
        <f>_xlfn.XLOOKUP(表格1[[#This Row],[Model]],表格3[Model-Input-Ref2],表格3[Product Line])</f>
        <v>智能水波爐 (26公升)</v>
      </c>
      <c r="I3033" s="86" t="str">
        <f>_xlfn.XLOOKUP(表格1[[#This Row],[Model]],表格3[Model-Input-Ref2],表格3[大小電])</f>
        <v>細電</v>
      </c>
      <c r="J3033" s="86" t="str">
        <f>_xlfn.XLOOKUP(表格1[[#This Row],[Model]],表格3[Model-Input-Ref2],表格3[Code])</f>
        <v>MCA</v>
      </c>
      <c r="K3033" s="89" t="s">
        <v>1382</v>
      </c>
      <c r="L3033" s="86">
        <v>1</v>
      </c>
      <c r="M3033" s="87">
        <v>3980</v>
      </c>
      <c r="N3033" s="87">
        <f>IFERROR(表格1[[#This Row],[QTY]]*表格1[[#This Row],[Unit Price]],"-")</f>
        <v>3980</v>
      </c>
      <c r="O3033" s="86">
        <v>415375</v>
      </c>
      <c r="R3033" s="86" t="str">
        <f>_xlfn.CONCAT(表格1[[#This Row],[Model]]," ",表格1[[#This Row],[inv no]])</f>
        <v>ER-SD99HKW 415375</v>
      </c>
      <c r="S3033" s="86">
        <f>_xlfn.XLOOKUP(表格1[[#This Row],[Model]],表格3[Model-Input-Ref2],表格3[SRP PRICE])</f>
        <v>5888</v>
      </c>
      <c r="T3033" s="43">
        <f>表格1[[#This Row],[Unit Price]]/表格1[[#This Row],[SRP]]</f>
        <v>0.67595108695652173</v>
      </c>
      <c r="U3033" s="86" t="str">
        <f>_xlfn.XLOOKUP(表格1[[#This Row],[Model]],表格3[Model-Input-Ref2],表格3[TOSHIBA/HIGHEST])</f>
        <v>Toshiba SRP</v>
      </c>
      <c r="W3033" s="86" t="str">
        <f>_xlfn.CONCAT(表格1[[#This Row],[欄4]],表格1[[#This Row],[inv no]])</f>
        <v>415375</v>
      </c>
    </row>
    <row r="3034" spans="1:23" hidden="1">
      <c r="A3034" s="81">
        <v>3032</v>
      </c>
      <c r="B3034" s="86" t="s">
        <v>1477</v>
      </c>
      <c r="C3034" s="86" t="s">
        <v>1944</v>
      </c>
      <c r="D3034" s="82" t="str">
        <f ca="1">OFFSET(Roster!$A$3,MATCH(表格1[[#This Row],[Location]]&amp;" "&amp;表格1[[#This Row],[Shop]]&amp;"*",Roster!$A$4:$A$72,0),DAY(表格1[[#This Row],[date]]),1,1)</f>
        <v>Ivy Wong_1</v>
      </c>
      <c r="E3034" s="86">
        <f>MONTH(表格1[[#This Row],[date]])</f>
        <v>3</v>
      </c>
      <c r="F3034" s="90">
        <v>46109</v>
      </c>
      <c r="G3034" s="86" t="str">
        <f>VLOOKUP("*"&amp;表格1[[#This Row],[Input]]&amp;"*",'Ref-List'!$B:$D,2,)</f>
        <v>VC-CLX50BF(R)</v>
      </c>
      <c r="H3034" s="86" t="str">
        <f>_xlfn.XLOOKUP(表格1[[#This Row],[Model]],表格3[Model-Input-Ref2],表格3[Product Line])</f>
        <v>All-in-one 輕巧無線吸塵機</v>
      </c>
      <c r="I3034" s="86" t="str">
        <f>_xlfn.XLOOKUP(表格1[[#This Row],[Model]],表格3[Model-Input-Ref2],表格3[大小電])</f>
        <v>細電</v>
      </c>
      <c r="J3034" s="86" t="str">
        <f>_xlfn.XLOOKUP(表格1[[#This Row],[Model]],表格3[Model-Input-Ref2],表格3[Code])</f>
        <v>MCA</v>
      </c>
      <c r="K3034" s="89" t="s">
        <v>1774</v>
      </c>
      <c r="L3034" s="86">
        <v>1</v>
      </c>
      <c r="M3034" s="87">
        <v>1798</v>
      </c>
      <c r="N3034" s="87">
        <f>IFERROR(表格1[[#This Row],[QTY]]*表格1[[#This Row],[Unit Price]],"-")</f>
        <v>1798</v>
      </c>
      <c r="O3034" s="86">
        <v>415412</v>
      </c>
      <c r="R3034" s="86" t="str">
        <f>_xlfn.CONCAT(表格1[[#This Row],[Model]]," ",表格1[[#This Row],[inv no]])</f>
        <v>VC-CLX50BF(R) 415412</v>
      </c>
      <c r="S3034" s="86">
        <f>_xlfn.XLOOKUP(表格1[[#This Row],[Model]],表格3[Model-Input-Ref2],表格3[SRP PRICE])</f>
        <v>3188</v>
      </c>
      <c r="T3034" s="43">
        <f>表格1[[#This Row],[Unit Price]]/表格1[[#This Row],[SRP]]</f>
        <v>0.56398996235884569</v>
      </c>
      <c r="U3034" s="86" t="str">
        <f>_xlfn.XLOOKUP(表格1[[#This Row],[Model]],表格3[Model-Input-Ref2],表格3[TOSHIBA/HIGHEST])</f>
        <v>Toshiba SRP</v>
      </c>
      <c r="W3034" s="86" t="str">
        <f>_xlfn.CONCAT(表格1[[#This Row],[欄4]],表格1[[#This Row],[inv no]])</f>
        <v>415412</v>
      </c>
    </row>
    <row r="3035" spans="1:23" hidden="1">
      <c r="A3035" s="81">
        <v>3033</v>
      </c>
      <c r="B3035" s="86" t="s">
        <v>1477</v>
      </c>
      <c r="C3035" s="86" t="s">
        <v>1944</v>
      </c>
      <c r="D3035" s="82" t="str">
        <f ca="1">OFFSET(Roster!$A$3,MATCH(表格1[[#This Row],[Location]]&amp;" "&amp;表格1[[#This Row],[Shop]]&amp;"*",Roster!$A$4:$A$72,0),DAY(表格1[[#This Row],[date]]),1,1)</f>
        <v>Ivy Wong_1</v>
      </c>
      <c r="E3035" s="86">
        <f>MONTH(表格1[[#This Row],[date]])</f>
        <v>3</v>
      </c>
      <c r="F3035" s="90">
        <v>46109</v>
      </c>
      <c r="G3035" s="86" t="str">
        <f>VLOOKUP("*"&amp;表格1[[#This Row],[Input]]&amp;"*",'Ref-List'!$B:$D,2,)</f>
        <v>RC-15BHH(W)</v>
      </c>
      <c r="H3035" s="86" t="str">
        <f>_xlfn.XLOOKUP(表格1[[#This Row],[Model]],表格3[Model-Input-Ref2],表格3[Product Line])</f>
        <v>酵活炊磁應電飯煲(1.5公升)</v>
      </c>
      <c r="I3035" s="86" t="str">
        <f>_xlfn.XLOOKUP(表格1[[#This Row],[Model]],表格3[Model-Input-Ref2],表格3[大小電])</f>
        <v>細電</v>
      </c>
      <c r="J3035" s="86" t="str">
        <f>_xlfn.XLOOKUP(表格1[[#This Row],[Model]],表格3[Model-Input-Ref2],表格3[Code])</f>
        <v>SDA</v>
      </c>
      <c r="K3035" s="89" t="s">
        <v>1381</v>
      </c>
      <c r="L3035" s="86">
        <v>1</v>
      </c>
      <c r="M3035" s="87">
        <v>2088</v>
      </c>
      <c r="N3035" s="87">
        <f>IFERROR(表格1[[#This Row],[QTY]]*表格1[[#This Row],[Unit Price]],"-")</f>
        <v>2088</v>
      </c>
      <c r="O3035" s="86">
        <v>415419</v>
      </c>
      <c r="R3035" s="86" t="str">
        <f>_xlfn.CONCAT(表格1[[#This Row],[Model]]," ",表格1[[#This Row],[inv no]])</f>
        <v>RC-15BHH(W) 415419</v>
      </c>
      <c r="S3035" s="86">
        <f>_xlfn.XLOOKUP(表格1[[#This Row],[Model]],表格3[Model-Input-Ref2],表格3[SRP PRICE])</f>
        <v>2388</v>
      </c>
      <c r="T3035" s="43">
        <f>表格1[[#This Row],[Unit Price]]/表格1[[#This Row],[SRP]]</f>
        <v>0.87437185929648242</v>
      </c>
      <c r="U3035" s="86" t="str">
        <f>_xlfn.XLOOKUP(表格1[[#This Row],[Model]],表格3[Model-Input-Ref2],表格3[TOSHIBA/HIGHEST])</f>
        <v>Toshiba SRP</v>
      </c>
      <c r="W3035" s="86" t="str">
        <f>_xlfn.CONCAT(表格1[[#This Row],[欄4]],表格1[[#This Row],[inv no]])</f>
        <v>415419</v>
      </c>
    </row>
    <row r="3036" spans="1:23" hidden="1">
      <c r="A3036" s="81">
        <v>3034</v>
      </c>
      <c r="B3036" s="86" t="s">
        <v>1477</v>
      </c>
      <c r="C3036" s="86" t="s">
        <v>1944</v>
      </c>
      <c r="D3036" s="82" t="str">
        <f ca="1">OFFSET(Roster!$A$3,MATCH(表格1[[#This Row],[Location]]&amp;" "&amp;表格1[[#This Row],[Shop]]&amp;"*",Roster!$A$4:$A$72,0),DAY(表格1[[#This Row],[date]]),1,1)</f>
        <v>Ivy Wong_1</v>
      </c>
      <c r="E3036" s="86">
        <f>MONTH(表格1[[#This Row],[date]])</f>
        <v>3</v>
      </c>
      <c r="F3036" s="90">
        <v>46109</v>
      </c>
      <c r="G3036" s="86" t="str">
        <f>VLOOKUP("*"&amp;表格1[[#This Row],[Input]]&amp;"*",'Ref-List'!$B:$D,2,)</f>
        <v>RC-18DRNH</v>
      </c>
      <c r="H3036" s="86" t="str">
        <f>_xlfn.XLOOKUP(表格1[[#This Row],[Model]],表格3[Model-Input-Ref2],表格3[Product Line])</f>
        <v>多功能備長炭本厚釜電飯煲1.8L</v>
      </c>
      <c r="I3036" s="86" t="str">
        <f>_xlfn.XLOOKUP(表格1[[#This Row],[Model]],表格3[Model-Input-Ref2],表格3[大小電])</f>
        <v>細電</v>
      </c>
      <c r="J3036" s="86" t="str">
        <f>_xlfn.XLOOKUP(表格1[[#This Row],[Model]],表格3[Model-Input-Ref2],表格3[Code])</f>
        <v>SDA</v>
      </c>
      <c r="K3036" s="89" t="s">
        <v>1389</v>
      </c>
      <c r="L3036" s="86">
        <v>1</v>
      </c>
      <c r="M3036" s="87">
        <v>619</v>
      </c>
      <c r="N3036" s="87">
        <f>IFERROR(表格1[[#This Row],[QTY]]*表格1[[#This Row],[Unit Price]],"-")</f>
        <v>619</v>
      </c>
      <c r="O3036" s="86">
        <v>321682</v>
      </c>
      <c r="R3036" s="86" t="str">
        <f>_xlfn.CONCAT(表格1[[#This Row],[Model]]," ",表格1[[#This Row],[inv no]])</f>
        <v>RC-18DRNH 321682</v>
      </c>
      <c r="S3036" s="86">
        <f>_xlfn.XLOOKUP(表格1[[#This Row],[Model]],表格3[Model-Input-Ref2],表格3[SRP PRICE])</f>
        <v>898</v>
      </c>
      <c r="T3036" s="43">
        <f>表格1[[#This Row],[Unit Price]]/表格1[[#This Row],[SRP]]</f>
        <v>0.68930957683741645</v>
      </c>
      <c r="U3036" s="86" t="str">
        <f>_xlfn.XLOOKUP(表格1[[#This Row],[Model]],表格3[Model-Input-Ref2],表格3[TOSHIBA/HIGHEST])</f>
        <v>Toshiba SRP</v>
      </c>
      <c r="W3036" s="86" t="str">
        <f>_xlfn.CONCAT(表格1[[#This Row],[欄4]],表格1[[#This Row],[inv no]])</f>
        <v>321682</v>
      </c>
    </row>
    <row r="3037" spans="1:23" hidden="1">
      <c r="A3037" s="81">
        <v>3035</v>
      </c>
      <c r="B3037" s="86" t="s">
        <v>1477</v>
      </c>
      <c r="C3037" s="86" t="s">
        <v>1944</v>
      </c>
      <c r="D3037" s="82" t="str">
        <f ca="1">OFFSET(Roster!$A$3,MATCH(表格1[[#This Row],[Location]]&amp;" "&amp;表格1[[#This Row],[Shop]]&amp;"*",Roster!$A$4:$A$72,0),DAY(表格1[[#This Row],[date]]),1,1)</f>
        <v>Ivy Wong_1</v>
      </c>
      <c r="E3037" s="86">
        <f>MONTH(表格1[[#This Row],[date]])</f>
        <v>3</v>
      </c>
      <c r="F3037" s="90">
        <v>46109</v>
      </c>
      <c r="G3037" s="86" t="str">
        <f>VLOOKUP("*"&amp;表格1[[#This Row],[Input]]&amp;"*",'Ref-List'!$B:$D,2,)</f>
        <v>AW-DQ950FPH(WW)</v>
      </c>
      <c r="H3037" s="86" t="str">
        <f>_xlfn.XLOOKUP(表格1[[#This Row],[Model]],表格3[Model-Input-Ref2],表格3[Product Line])</f>
        <v>變頻日式洗衣機 (8.5公斤 結合高低水位)</v>
      </c>
      <c r="I3037" s="86" t="str">
        <f>_xlfn.XLOOKUP(表格1[[#This Row],[Model]],表格3[Model-Input-Ref2],表格3[大小電])</f>
        <v>大電</v>
      </c>
      <c r="J3037" s="86" t="str">
        <f>_xlfn.XLOOKUP(表格1[[#This Row],[Model]],表格3[Model-Input-Ref2],表格3[Code])</f>
        <v>LAD</v>
      </c>
      <c r="K3037" s="89" t="s">
        <v>1493</v>
      </c>
      <c r="L3037" s="86">
        <v>1</v>
      </c>
      <c r="M3037" s="87">
        <v>2580</v>
      </c>
      <c r="N3037" s="87">
        <f>IFERROR(表格1[[#This Row],[QTY]]*表格1[[#This Row],[Unit Price]],"-")</f>
        <v>2580</v>
      </c>
      <c r="O3037" s="86">
        <v>321686</v>
      </c>
      <c r="R3037" s="86" t="str">
        <f>_xlfn.CONCAT(表格1[[#This Row],[Model]]," ",表格1[[#This Row],[inv no]])</f>
        <v>AW-DQ950FPH(WW) 321686</v>
      </c>
      <c r="S3037" s="86">
        <f>_xlfn.XLOOKUP(表格1[[#This Row],[Model]],表格3[Model-Input-Ref2],表格3[SRP PRICE])</f>
        <v>3980</v>
      </c>
      <c r="T3037" s="43">
        <f>表格1[[#This Row],[Unit Price]]/表格1[[#This Row],[SRP]]</f>
        <v>0.64824120603015079</v>
      </c>
      <c r="U3037" s="86" t="str">
        <f>_xlfn.XLOOKUP(表格1[[#This Row],[Model]],表格3[Model-Input-Ref2],表格3[TOSHIBA/HIGHEST])</f>
        <v>Toshiba SRP</v>
      </c>
      <c r="W3037" s="86" t="str">
        <f>_xlfn.CONCAT(表格1[[#This Row],[欄4]],表格1[[#This Row],[inv no]])</f>
        <v>321686</v>
      </c>
    </row>
    <row r="3038" spans="1:23" hidden="1">
      <c r="A3038" s="81">
        <v>3036</v>
      </c>
      <c r="B3038" s="86" t="s">
        <v>1477</v>
      </c>
      <c r="C3038" s="86" t="s">
        <v>1944</v>
      </c>
      <c r="D3038" s="82" t="str">
        <f ca="1">OFFSET(Roster!$A$3,MATCH(表格1[[#This Row],[Location]]&amp;" "&amp;表格1[[#This Row],[Shop]]&amp;"*",Roster!$A$4:$A$72,0),DAY(表格1[[#This Row],[date]]),1,1)</f>
        <v>Ivy Wong_1</v>
      </c>
      <c r="E3038" s="86">
        <f>MONTH(表格1[[#This Row],[date]])</f>
        <v>3</v>
      </c>
      <c r="F3038" s="90">
        <v>46109</v>
      </c>
      <c r="G3038" s="86" t="str">
        <f>VLOOKUP("*"&amp;表格1[[#This Row],[Input]]&amp;"*",'Ref-List'!$B:$D,2,)</f>
        <v>RC-15BHH(W)</v>
      </c>
      <c r="H3038" s="86" t="str">
        <f>_xlfn.XLOOKUP(表格1[[#This Row],[Model]],表格3[Model-Input-Ref2],表格3[Product Line])</f>
        <v>酵活炊磁應電飯煲(1.5公升)</v>
      </c>
      <c r="I3038" s="86" t="str">
        <f>_xlfn.XLOOKUP(表格1[[#This Row],[Model]],表格3[Model-Input-Ref2],表格3[大小電])</f>
        <v>細電</v>
      </c>
      <c r="J3038" s="86" t="str">
        <f>_xlfn.XLOOKUP(表格1[[#This Row],[Model]],表格3[Model-Input-Ref2],表格3[Code])</f>
        <v>SDA</v>
      </c>
      <c r="K3038" s="89" t="s">
        <v>1381</v>
      </c>
      <c r="L3038" s="86">
        <v>1</v>
      </c>
      <c r="M3038" s="87">
        <v>2088</v>
      </c>
      <c r="N3038" s="87">
        <f>IFERROR(表格1[[#This Row],[QTY]]*表格1[[#This Row],[Unit Price]],"-")</f>
        <v>2088</v>
      </c>
      <c r="O3038" s="86">
        <v>415484</v>
      </c>
      <c r="R3038" s="86" t="str">
        <f>_xlfn.CONCAT(表格1[[#This Row],[Model]]," ",表格1[[#This Row],[inv no]])</f>
        <v>RC-15BHH(W) 415484</v>
      </c>
      <c r="S3038" s="86">
        <f>_xlfn.XLOOKUP(表格1[[#This Row],[Model]],表格3[Model-Input-Ref2],表格3[SRP PRICE])</f>
        <v>2388</v>
      </c>
      <c r="T3038" s="43">
        <f>表格1[[#This Row],[Unit Price]]/表格1[[#This Row],[SRP]]</f>
        <v>0.87437185929648242</v>
      </c>
      <c r="U3038" s="86" t="str">
        <f>_xlfn.XLOOKUP(表格1[[#This Row],[Model]],表格3[Model-Input-Ref2],表格3[TOSHIBA/HIGHEST])</f>
        <v>Toshiba SRP</v>
      </c>
      <c r="W3038" s="86" t="str">
        <f>_xlfn.CONCAT(表格1[[#This Row],[欄4]],表格1[[#This Row],[inv no]])</f>
        <v>415484</v>
      </c>
    </row>
    <row r="3039" spans="1:23" hidden="1">
      <c r="A3039" s="81">
        <v>3037</v>
      </c>
      <c r="B3039" s="86" t="s">
        <v>1477</v>
      </c>
      <c r="C3039" s="86" t="s">
        <v>1954</v>
      </c>
      <c r="D3039" s="82" t="str">
        <f ca="1">OFFSET(Roster!$A$3,MATCH(表格1[[#This Row],[Location]]&amp;" "&amp;表格1[[#This Row],[Shop]]&amp;"*",Roster!$A$4:$A$72,0),DAY(表格1[[#This Row],[date]]),1,1)</f>
        <v>Kandy</v>
      </c>
      <c r="E3039" s="86">
        <f>MONTH(表格1[[#This Row],[date]])</f>
        <v>3</v>
      </c>
      <c r="F3039" s="90">
        <v>46082</v>
      </c>
      <c r="G3039" s="86" t="str">
        <f>VLOOKUP("*"&amp;表格1[[#This Row],[Input]]&amp;"*",'Ref-List'!$B:$D,2,)</f>
        <v>MM2-EM20PC(WH)</v>
      </c>
      <c r="H3039" s="86" t="str">
        <f>_xlfn.XLOOKUP(表格1[[#This Row],[Model]],表格3[Model-Input-Ref2],表格3[Product Line])</f>
        <v>輕觸式微波爐 (20公升)</v>
      </c>
      <c r="I3039" s="86" t="str">
        <f>_xlfn.XLOOKUP(表格1[[#This Row],[Model]],表格3[Model-Input-Ref2],表格3[大小電])</f>
        <v>細電</v>
      </c>
      <c r="J3039" s="86" t="str">
        <f>_xlfn.XLOOKUP(表格1[[#This Row],[Model]],表格3[Model-Input-Ref2],表格3[Code])</f>
        <v>MCA</v>
      </c>
      <c r="K3039" s="89" t="s">
        <v>1276</v>
      </c>
      <c r="L3039" s="86">
        <v>1</v>
      </c>
      <c r="M3039" s="87">
        <v>598</v>
      </c>
      <c r="N3039" s="87">
        <f>IFERROR(表格1[[#This Row],[QTY]]*表格1[[#This Row],[Unit Price]],"-")</f>
        <v>598</v>
      </c>
      <c r="O3039" s="86">
        <v>1013385</v>
      </c>
      <c r="R3039" s="86" t="str">
        <f>_xlfn.CONCAT(表格1[[#This Row],[Model]]," ",表格1[[#This Row],[inv no]])</f>
        <v>MM2-EM20PC(WH) 1013385</v>
      </c>
      <c r="S3039" s="86">
        <f>_xlfn.XLOOKUP(表格1[[#This Row],[Model]],表格3[Model-Input-Ref2],表格3[SRP PRICE])</f>
        <v>788</v>
      </c>
      <c r="T3039" s="43">
        <f>表格1[[#This Row],[Unit Price]]/表格1[[#This Row],[SRP]]</f>
        <v>0.75888324873096447</v>
      </c>
      <c r="U3039" s="86" t="str">
        <f>_xlfn.XLOOKUP(表格1[[#This Row],[Model]],表格3[Model-Input-Ref2],表格3[TOSHIBA/HIGHEST])</f>
        <v>Toshiba SRP</v>
      </c>
      <c r="W3039" s="86" t="str">
        <f>_xlfn.CONCAT(表格1[[#This Row],[欄4]],表格1[[#This Row],[inv no]])</f>
        <v>1013385</v>
      </c>
    </row>
    <row r="3040" spans="1:23" hidden="1">
      <c r="A3040" s="81">
        <v>3038</v>
      </c>
      <c r="B3040" s="86" t="s">
        <v>1477</v>
      </c>
      <c r="C3040" s="86" t="s">
        <v>1954</v>
      </c>
      <c r="D3040" s="82" t="str">
        <f ca="1">OFFSET(Roster!$A$3,MATCH(表格1[[#This Row],[Location]]&amp;" "&amp;表格1[[#This Row],[Shop]]&amp;"*",Roster!$A$4:$A$72,0),DAY(表格1[[#This Row],[date]]),1,1)</f>
        <v>Kandy</v>
      </c>
      <c r="E3040" s="86">
        <f>MONTH(表格1[[#This Row],[date]])</f>
        <v>3</v>
      </c>
      <c r="F3040" s="90">
        <v>46082</v>
      </c>
      <c r="G3040" s="86" t="str">
        <f>VLOOKUP("*"&amp;表格1[[#This Row],[Input]]&amp;"*",'Ref-List'!$B:$D,2,)</f>
        <v>MW3-SAC24SE(BK)</v>
      </c>
      <c r="H3040" s="86" t="str">
        <f>_xlfn.XLOOKUP(表格1[[#This Row],[Model]],表格3[Model-Input-Ref2],表格3[Product Line])</f>
        <v>智能氣炸烤焗爐(24公升)</v>
      </c>
      <c r="I3040" s="86" t="str">
        <f>_xlfn.XLOOKUP(表格1[[#This Row],[Model]],表格3[Model-Input-Ref2],表格3[大小電])</f>
        <v>細電</v>
      </c>
      <c r="J3040" s="86" t="str">
        <f>_xlfn.XLOOKUP(表格1[[#This Row],[Model]],表格3[Model-Input-Ref2],表格3[Code])</f>
        <v>MCA</v>
      </c>
      <c r="K3040" s="89" t="s">
        <v>1274</v>
      </c>
      <c r="L3040" s="86">
        <v>1</v>
      </c>
      <c r="M3040" s="87">
        <v>1320</v>
      </c>
      <c r="N3040" s="87">
        <f>IFERROR(表格1[[#This Row],[QTY]]*表格1[[#This Row],[Unit Price]],"-")</f>
        <v>1320</v>
      </c>
      <c r="O3040" s="86">
        <v>1013432</v>
      </c>
      <c r="R3040" s="86" t="str">
        <f>_xlfn.CONCAT(表格1[[#This Row],[Model]]," ",表格1[[#This Row],[inv no]])</f>
        <v>MW3-SAC24SE(BK) 1013432</v>
      </c>
      <c r="S3040" s="86">
        <f>_xlfn.XLOOKUP(表格1[[#This Row],[Model]],表格3[Model-Input-Ref2],表格3[SRP PRICE])</f>
        <v>1680</v>
      </c>
      <c r="T3040" s="43">
        <f>表格1[[#This Row],[Unit Price]]/表格1[[#This Row],[SRP]]</f>
        <v>0.7857142857142857</v>
      </c>
      <c r="U3040" s="86" t="str">
        <f>_xlfn.XLOOKUP(表格1[[#This Row],[Model]],表格3[Model-Input-Ref2],表格3[TOSHIBA/HIGHEST])</f>
        <v>Toshiba SRP</v>
      </c>
      <c r="W3040" s="86" t="str">
        <f>_xlfn.CONCAT(表格1[[#This Row],[欄4]],表格1[[#This Row],[inv no]])</f>
        <v>1013432</v>
      </c>
    </row>
    <row r="3041" spans="1:23" hidden="1">
      <c r="A3041" s="81">
        <v>3039</v>
      </c>
      <c r="B3041" s="86" t="s">
        <v>1477</v>
      </c>
      <c r="C3041" s="86" t="s">
        <v>1954</v>
      </c>
      <c r="D3041" s="82" t="str">
        <f ca="1">OFFSET(Roster!$A$3,MATCH(表格1[[#This Row],[Location]]&amp;" "&amp;表格1[[#This Row],[Shop]]&amp;"*",Roster!$A$4:$A$72,0),DAY(表格1[[#This Row],[date]]),1,1)</f>
        <v>Kandy</v>
      </c>
      <c r="E3041" s="86">
        <f>MONTH(表格1[[#This Row],[date]])</f>
        <v>3</v>
      </c>
      <c r="F3041" s="90">
        <v>46082</v>
      </c>
      <c r="G3041" s="86" t="str">
        <f>VLOOKUP("*"&amp;表格1[[#This Row],[Input]]&amp;"*",'Ref-List'!$B:$D,2,)</f>
        <v>PLK-45SFIH(WT)</v>
      </c>
      <c r="H3041" s="86" t="str">
        <f>_xlfn.XLOOKUP(表格1[[#This Row],[Model]],表格3[Model-Input-Ref2],表格3[Product Line])</f>
        <v>電熱水瓶4.5L</v>
      </c>
      <c r="I3041" s="86" t="str">
        <f>_xlfn.XLOOKUP(表格1[[#This Row],[Model]],表格3[Model-Input-Ref2],表格3[大小電])</f>
        <v>細電</v>
      </c>
      <c r="J3041" s="86" t="str">
        <f>_xlfn.XLOOKUP(表格1[[#This Row],[Model]],表格3[Model-Input-Ref2],表格3[Code])</f>
        <v>SDA</v>
      </c>
      <c r="K3041" s="89" t="s">
        <v>1117</v>
      </c>
      <c r="L3041" s="86">
        <v>1</v>
      </c>
      <c r="M3041" s="87">
        <v>589</v>
      </c>
      <c r="N3041" s="87">
        <f>IFERROR(表格1[[#This Row],[QTY]]*表格1[[#This Row],[Unit Price]],"-")</f>
        <v>589</v>
      </c>
      <c r="O3041" s="86">
        <v>1013649</v>
      </c>
      <c r="R3041" s="86" t="str">
        <f>_xlfn.CONCAT(表格1[[#This Row],[Model]]," ",表格1[[#This Row],[inv no]])</f>
        <v>PLK-45SFIH(WT) 1013649</v>
      </c>
      <c r="S3041" s="86">
        <f>_xlfn.XLOOKUP(表格1[[#This Row],[Model]],表格3[Model-Input-Ref2],表格3[SRP PRICE])</f>
        <v>788</v>
      </c>
      <c r="T3041" s="43">
        <f>表格1[[#This Row],[Unit Price]]/表格1[[#This Row],[SRP]]</f>
        <v>0.7474619289340102</v>
      </c>
      <c r="U3041" s="86" t="str">
        <f>_xlfn.XLOOKUP(表格1[[#This Row],[Model]],表格3[Model-Input-Ref2],表格3[TOSHIBA/HIGHEST])</f>
        <v>Toshiba SRP</v>
      </c>
      <c r="W3041" s="86" t="str">
        <f>_xlfn.CONCAT(表格1[[#This Row],[欄4]],表格1[[#This Row],[inv no]])</f>
        <v>1013649</v>
      </c>
    </row>
    <row r="3042" spans="1:23" hidden="1">
      <c r="A3042" s="81">
        <v>3040</v>
      </c>
      <c r="B3042" s="86" t="s">
        <v>1477</v>
      </c>
      <c r="C3042" s="86" t="s">
        <v>1954</v>
      </c>
      <c r="D3042" s="82" t="str">
        <f ca="1">OFFSET(Roster!$A$3,MATCH(表格1[[#This Row],[Location]]&amp;" "&amp;表格1[[#This Row],[Shop]]&amp;"*",Roster!$A$4:$A$72,0),DAY(表格1[[#This Row],[date]]),1,1)</f>
        <v>Kandy</v>
      </c>
      <c r="E3042" s="86">
        <f>MONTH(表格1[[#This Row],[date]])</f>
        <v>3</v>
      </c>
      <c r="F3042" s="90">
        <v>46082</v>
      </c>
      <c r="G3042" s="86" t="str">
        <f>VLOOKUP("*"&amp;表格1[[#This Row],[Input]]&amp;"*",'Ref-List'!$B:$D,2,)</f>
        <v>TWD-T22BU95UWH(WK)-B</v>
      </c>
      <c r="H3042" s="86" t="str">
        <f>_xlfn.XLOOKUP(表格1[[#This Row],[Model]],表格3[Model-Input-Ref2],表格3[Product Line])</f>
        <v>470MM超薄身前置式變頻洗衣乾衣機 (洗8.5公斤/乾6公斤, 可飛頂)</v>
      </c>
      <c r="I3042" s="86" t="str">
        <f>_xlfn.XLOOKUP(表格1[[#This Row],[Model]],表格3[Model-Input-Ref2],表格3[大小電])</f>
        <v>大電</v>
      </c>
      <c r="J3042" s="86" t="str">
        <f>_xlfn.XLOOKUP(表格1[[#This Row],[Model]],表格3[Model-Input-Ref2],表格3[Code])</f>
        <v>LAD</v>
      </c>
      <c r="K3042" s="89" t="s">
        <v>1421</v>
      </c>
      <c r="L3042" s="86">
        <v>1</v>
      </c>
      <c r="M3042" s="87">
        <v>4780</v>
      </c>
      <c r="N3042" s="87">
        <f>IFERROR(表格1[[#This Row],[QTY]]*表格1[[#This Row],[Unit Price]],"-")</f>
        <v>4780</v>
      </c>
      <c r="O3042" s="86">
        <v>1013714</v>
      </c>
      <c r="R3042" s="86" t="str">
        <f>_xlfn.CONCAT(表格1[[#This Row],[Model]]," ",表格1[[#This Row],[inv no]])</f>
        <v>TWD-T22BU95UWH(WK)-B 1013714</v>
      </c>
      <c r="S3042" s="86">
        <f>_xlfn.XLOOKUP(表格1[[#This Row],[Model]],表格3[Model-Input-Ref2],表格3[SRP PRICE])</f>
        <v>7480</v>
      </c>
      <c r="T3042" s="43">
        <f>表格1[[#This Row],[Unit Price]]/表格1[[#This Row],[SRP]]</f>
        <v>0.63903743315508021</v>
      </c>
      <c r="U3042" s="86" t="str">
        <f>_xlfn.XLOOKUP(表格1[[#This Row],[Model]],表格3[Model-Input-Ref2],表格3[TOSHIBA/HIGHEST])</f>
        <v>Toshiba SRP</v>
      </c>
      <c r="W3042" s="86" t="str">
        <f>_xlfn.CONCAT(表格1[[#This Row],[欄4]],表格1[[#This Row],[inv no]])</f>
        <v>1013714</v>
      </c>
    </row>
    <row r="3043" spans="1:23" hidden="1">
      <c r="A3043" s="81">
        <v>3041</v>
      </c>
      <c r="B3043" s="86" t="s">
        <v>1477</v>
      </c>
      <c r="C3043" s="86" t="s">
        <v>1954</v>
      </c>
      <c r="D3043" s="82" t="str">
        <f ca="1">OFFSET(Roster!$A$3,MATCH(表格1[[#This Row],[Location]]&amp;" "&amp;表格1[[#This Row],[Shop]]&amp;"*",Roster!$A$4:$A$72,0),DAY(表格1[[#This Row],[date]]),1,1)</f>
        <v>Kandy</v>
      </c>
      <c r="E3043" s="86">
        <f>MONTH(表格1[[#This Row],[date]])</f>
        <v>3</v>
      </c>
      <c r="F3043" s="90">
        <v>46082</v>
      </c>
      <c r="G3043" s="86" t="str">
        <f>VLOOKUP("*"&amp;表格1[[#This Row],[Input]]&amp;"*",'Ref-List'!$B:$D,2,)</f>
        <v>TW-T21BU80UWH(MG)</v>
      </c>
      <c r="H3043" s="86" t="str">
        <f>_xlfn.XLOOKUP(表格1[[#This Row],[Model]],表格3[Model-Input-Ref2],表格3[Product Line])</f>
        <v>400MM超薄身前置式變頻洗衣機(7公斤)</v>
      </c>
      <c r="I3043" s="86" t="str">
        <f>_xlfn.XLOOKUP(表格1[[#This Row],[Model]],表格3[Model-Input-Ref2],表格3[大小電])</f>
        <v>大電</v>
      </c>
      <c r="J3043" s="86" t="str">
        <f>_xlfn.XLOOKUP(表格1[[#This Row],[Model]],表格3[Model-Input-Ref2],表格3[Code])</f>
        <v>LAD</v>
      </c>
      <c r="K3043" s="89" t="s">
        <v>1280</v>
      </c>
      <c r="L3043" s="86">
        <v>1</v>
      </c>
      <c r="M3043" s="87">
        <v>3150</v>
      </c>
      <c r="N3043" s="87">
        <f>IFERROR(表格1[[#This Row],[QTY]]*表格1[[#This Row],[Unit Price]],"-")</f>
        <v>3150</v>
      </c>
      <c r="O3043" s="86">
        <v>1013506</v>
      </c>
      <c r="R3043" s="86" t="str">
        <f>_xlfn.CONCAT(表格1[[#This Row],[Model]]," ",表格1[[#This Row],[inv no]])</f>
        <v>TW-T21BU80UWH(MG) 1013506</v>
      </c>
      <c r="S3043" s="86">
        <f>_xlfn.XLOOKUP(表格1[[#This Row],[Model]],表格3[Model-Input-Ref2],表格3[SRP PRICE])</f>
        <v>5180</v>
      </c>
      <c r="T3043" s="43">
        <f>表格1[[#This Row],[Unit Price]]/表格1[[#This Row],[SRP]]</f>
        <v>0.60810810810810811</v>
      </c>
      <c r="U3043" s="86" t="str">
        <f>_xlfn.XLOOKUP(表格1[[#This Row],[Model]],表格3[Model-Input-Ref2],表格3[TOSHIBA/HIGHEST])</f>
        <v>Toshiba SRP</v>
      </c>
      <c r="W3043" s="86" t="str">
        <f>_xlfn.CONCAT(表格1[[#This Row],[欄4]],表格1[[#This Row],[inv no]])</f>
        <v>1013506</v>
      </c>
    </row>
    <row r="3044" spans="1:23" hidden="1">
      <c r="A3044" s="81">
        <v>3042</v>
      </c>
      <c r="B3044" s="86" t="s">
        <v>1477</v>
      </c>
      <c r="C3044" s="86" t="s">
        <v>1954</v>
      </c>
      <c r="D3044" s="82" t="str">
        <f ca="1">OFFSET(Roster!$A$3,MATCH(表格1[[#This Row],[Location]]&amp;" "&amp;表格1[[#This Row],[Shop]]&amp;"*",Roster!$A$4:$A$72,0),DAY(表格1[[#This Row],[date]]),1,1)</f>
        <v>Kandy</v>
      </c>
      <c r="E3044" s="86">
        <f>MONTH(表格1[[#This Row],[date]])</f>
        <v>3</v>
      </c>
      <c r="F3044" s="90">
        <v>46082</v>
      </c>
      <c r="G3044" s="86" t="str">
        <f>VLOOKUP("*"&amp;表格1[[#This Row],[Input]]&amp;"*",'Ref-List'!$B:$D,2,)</f>
        <v>RAD-D300H</v>
      </c>
      <c r="H3044" s="86" t="str">
        <f>_xlfn.XLOOKUP(表格1[[#This Row],[Model]],表格3[Model-Input-Ref2],表格3[Product Line])</f>
        <v>壓縮式抽濕機 (30公升)</v>
      </c>
      <c r="I3044" s="86" t="str">
        <f>_xlfn.XLOOKUP(表格1[[#This Row],[Model]],表格3[Model-Input-Ref2],表格3[大小電])</f>
        <v>細電</v>
      </c>
      <c r="J3044" s="86" t="str">
        <f>_xlfn.XLOOKUP(表格1[[#This Row],[Model]],表格3[Model-Input-Ref2],表格3[Code])</f>
        <v>RAC</v>
      </c>
      <c r="K3044" s="89" t="s">
        <v>1252</v>
      </c>
      <c r="L3044" s="86">
        <v>1</v>
      </c>
      <c r="M3044" s="87">
        <v>2280</v>
      </c>
      <c r="N3044" s="87">
        <f>IFERROR(表格1[[#This Row],[QTY]]*表格1[[#This Row],[Unit Price]],"-")</f>
        <v>2280</v>
      </c>
      <c r="O3044" s="86">
        <v>1013424</v>
      </c>
      <c r="R3044" s="86" t="str">
        <f>_xlfn.CONCAT(表格1[[#This Row],[Model]]," ",表格1[[#This Row],[inv no]])</f>
        <v>RAD-D300H 1013424</v>
      </c>
      <c r="S3044" s="86">
        <f>_xlfn.XLOOKUP(表格1[[#This Row],[Model]],表格3[Model-Input-Ref2],表格3[SRP PRICE])</f>
        <v>3380</v>
      </c>
      <c r="T3044" s="43">
        <f>表格1[[#This Row],[Unit Price]]/表格1[[#This Row],[SRP]]</f>
        <v>0.67455621301775148</v>
      </c>
      <c r="U3044" s="86" t="str">
        <f>_xlfn.XLOOKUP(表格1[[#This Row],[Model]],表格3[Model-Input-Ref2],表格3[TOSHIBA/HIGHEST])</f>
        <v>Shops Highest Price</v>
      </c>
      <c r="W3044" s="86" t="str">
        <f>_xlfn.CONCAT(表格1[[#This Row],[欄4]],表格1[[#This Row],[inv no]])</f>
        <v>1013424</v>
      </c>
    </row>
    <row r="3045" spans="1:23" hidden="1">
      <c r="A3045" s="81">
        <v>3043</v>
      </c>
      <c r="B3045" s="86" t="s">
        <v>1477</v>
      </c>
      <c r="C3045" s="86" t="s">
        <v>1954</v>
      </c>
      <c r="D3045" s="82" t="str">
        <f ca="1">OFFSET(Roster!$A$3,MATCH(表格1[[#This Row],[Location]]&amp;" "&amp;表格1[[#This Row],[Shop]]&amp;"*",Roster!$A$4:$A$72,0),DAY(表格1[[#This Row],[date]]),1,1)</f>
        <v>Kandy</v>
      </c>
      <c r="E3045" s="86">
        <f>MONTH(表格1[[#This Row],[date]])</f>
        <v>3</v>
      </c>
      <c r="F3045" s="90">
        <v>46082</v>
      </c>
      <c r="G3045" s="86" t="str">
        <f>VLOOKUP("*"&amp;表格1[[#This Row],[Input]]&amp;"*",'Ref-List'!$B:$D,2,)</f>
        <v>RC-6PXTHK(W)</v>
      </c>
      <c r="H3045" s="86" t="str">
        <f>_xlfn.XLOOKUP(表格1[[#This Row],[Model]],表格3[Model-Input-Ref2],表格3[Product Line])</f>
        <v>迷你壓力磁應電飯煲(0.63公升)</v>
      </c>
      <c r="I3045" s="86" t="str">
        <f>_xlfn.XLOOKUP(表格1[[#This Row],[Model]],表格3[Model-Input-Ref2],表格3[大小電])</f>
        <v>細電</v>
      </c>
      <c r="J3045" s="86" t="str">
        <f>_xlfn.XLOOKUP(表格1[[#This Row],[Model]],表格3[Model-Input-Ref2],表格3[Code])</f>
        <v>SDA</v>
      </c>
      <c r="K3045" s="89" t="s">
        <v>1494</v>
      </c>
      <c r="L3045" s="86">
        <v>1</v>
      </c>
      <c r="M3045" s="87">
        <v>938</v>
      </c>
      <c r="N3045" s="87">
        <f>IFERROR(表格1[[#This Row],[QTY]]*表格1[[#This Row],[Unit Price]],"-")</f>
        <v>938</v>
      </c>
      <c r="O3045" s="86">
        <v>1013473</v>
      </c>
      <c r="R3045" s="86" t="str">
        <f>_xlfn.CONCAT(表格1[[#This Row],[Model]]," ",表格1[[#This Row],[inv no]])</f>
        <v>RC-6PXTHK(W) 1013473</v>
      </c>
      <c r="S3045" s="86">
        <f>_xlfn.XLOOKUP(表格1[[#This Row],[Model]],表格3[Model-Input-Ref2],表格3[SRP PRICE])</f>
        <v>1398</v>
      </c>
      <c r="T3045" s="43">
        <f>表格1[[#This Row],[Unit Price]]/表格1[[#This Row],[SRP]]</f>
        <v>0.67095851216022895</v>
      </c>
      <c r="U3045" s="86" t="str">
        <f>_xlfn.XLOOKUP(表格1[[#This Row],[Model]],表格3[Model-Input-Ref2],表格3[TOSHIBA/HIGHEST])</f>
        <v>Toshiba SRP</v>
      </c>
      <c r="W3045" s="86" t="str">
        <f>_xlfn.CONCAT(表格1[[#This Row],[欄4]],表格1[[#This Row],[inv no]])</f>
        <v>1013473</v>
      </c>
    </row>
    <row r="3046" spans="1:23" hidden="1">
      <c r="A3046" s="81">
        <v>3044</v>
      </c>
      <c r="B3046" s="86" t="s">
        <v>1477</v>
      </c>
      <c r="C3046" s="86" t="s">
        <v>1954</v>
      </c>
      <c r="D3046" s="82" t="str">
        <f ca="1">OFFSET(Roster!$A$3,MATCH(表格1[[#This Row],[Location]]&amp;" "&amp;表格1[[#This Row],[Shop]]&amp;"*",Roster!$A$4:$A$72,0),DAY(表格1[[#This Row],[date]]),1,1)</f>
        <v>Kandy</v>
      </c>
      <c r="E3046" s="86">
        <f>MONTH(表格1[[#This Row],[date]])</f>
        <v>3</v>
      </c>
      <c r="F3046" s="90">
        <v>46082</v>
      </c>
      <c r="G3046" s="86" t="str">
        <f>VLOOKUP("*"&amp;表格1[[#This Row],[Input]]&amp;"*",'Ref-List'!$B:$D,2,)</f>
        <v>RC-6PXTHK(W)</v>
      </c>
      <c r="H3046" s="86" t="str">
        <f>_xlfn.XLOOKUP(表格1[[#This Row],[Model]],表格3[Model-Input-Ref2],表格3[Product Line])</f>
        <v>迷你壓力磁應電飯煲(0.63公升)</v>
      </c>
      <c r="I3046" s="86" t="str">
        <f>_xlfn.XLOOKUP(表格1[[#This Row],[Model]],表格3[Model-Input-Ref2],表格3[大小電])</f>
        <v>細電</v>
      </c>
      <c r="J3046" s="86" t="str">
        <f>_xlfn.XLOOKUP(表格1[[#This Row],[Model]],表格3[Model-Input-Ref2],表格3[Code])</f>
        <v>SDA</v>
      </c>
      <c r="K3046" s="89" t="s">
        <v>1494</v>
      </c>
      <c r="L3046" s="86">
        <v>1</v>
      </c>
      <c r="M3046" s="87">
        <v>938</v>
      </c>
      <c r="N3046" s="87">
        <f>IFERROR(表格1[[#This Row],[QTY]]*表格1[[#This Row],[Unit Price]],"-")</f>
        <v>938</v>
      </c>
      <c r="O3046" s="86">
        <v>1013534</v>
      </c>
      <c r="R3046" s="86" t="str">
        <f>_xlfn.CONCAT(表格1[[#This Row],[Model]]," ",表格1[[#This Row],[inv no]])</f>
        <v>RC-6PXTHK(W) 1013534</v>
      </c>
      <c r="S3046" s="86">
        <f>_xlfn.XLOOKUP(表格1[[#This Row],[Model]],表格3[Model-Input-Ref2],表格3[SRP PRICE])</f>
        <v>1398</v>
      </c>
      <c r="T3046" s="43">
        <f>表格1[[#This Row],[Unit Price]]/表格1[[#This Row],[SRP]]</f>
        <v>0.67095851216022895</v>
      </c>
      <c r="U3046" s="86" t="str">
        <f>_xlfn.XLOOKUP(表格1[[#This Row],[Model]],表格3[Model-Input-Ref2],表格3[TOSHIBA/HIGHEST])</f>
        <v>Toshiba SRP</v>
      </c>
      <c r="W3046" s="86" t="str">
        <f>_xlfn.CONCAT(表格1[[#This Row],[欄4]],表格1[[#This Row],[inv no]])</f>
        <v>1013534</v>
      </c>
    </row>
    <row r="3047" spans="1:23" hidden="1">
      <c r="A3047" s="81">
        <v>3045</v>
      </c>
      <c r="B3047" s="86" t="s">
        <v>1477</v>
      </c>
      <c r="C3047" s="86" t="s">
        <v>1954</v>
      </c>
      <c r="D3047" s="82" t="str">
        <f ca="1">OFFSET(Roster!$A$3,MATCH(表格1[[#This Row],[Location]]&amp;" "&amp;表格1[[#This Row],[Shop]]&amp;"*",Roster!$A$4:$A$72,0),DAY(表格1[[#This Row],[date]]),1,1)</f>
        <v>Kandy</v>
      </c>
      <c r="E3047" s="86">
        <f>MONTH(表格1[[#This Row],[date]])</f>
        <v>3</v>
      </c>
      <c r="F3047" s="90">
        <v>46082</v>
      </c>
      <c r="G3047" s="86" t="str">
        <f>VLOOKUP("*"&amp;表格1[[#This Row],[Input]]&amp;"*",'Ref-List'!$B:$D,2,)</f>
        <v>RC-18DRNH</v>
      </c>
      <c r="H3047" s="86" t="str">
        <f>_xlfn.XLOOKUP(表格1[[#This Row],[Model]],表格3[Model-Input-Ref2],表格3[Product Line])</f>
        <v>多功能備長炭本厚釜電飯煲1.8L</v>
      </c>
      <c r="I3047" s="86" t="str">
        <f>_xlfn.XLOOKUP(表格1[[#This Row],[Model]],表格3[Model-Input-Ref2],表格3[大小電])</f>
        <v>細電</v>
      </c>
      <c r="J3047" s="86" t="str">
        <f>_xlfn.XLOOKUP(表格1[[#This Row],[Model]],表格3[Model-Input-Ref2],表格3[Code])</f>
        <v>SDA</v>
      </c>
      <c r="K3047" s="89" t="s">
        <v>1389</v>
      </c>
      <c r="L3047" s="86">
        <v>1</v>
      </c>
      <c r="M3047" s="87">
        <v>619</v>
      </c>
      <c r="N3047" s="87">
        <f>IFERROR(表格1[[#This Row],[QTY]]*表格1[[#This Row],[Unit Price]],"-")</f>
        <v>619</v>
      </c>
      <c r="O3047" s="86">
        <v>1013394</v>
      </c>
      <c r="R3047" s="86" t="str">
        <f>_xlfn.CONCAT(表格1[[#This Row],[Model]]," ",表格1[[#This Row],[inv no]])</f>
        <v>RC-18DRNH 1013394</v>
      </c>
      <c r="S3047" s="86">
        <f>_xlfn.XLOOKUP(表格1[[#This Row],[Model]],表格3[Model-Input-Ref2],表格3[SRP PRICE])</f>
        <v>898</v>
      </c>
      <c r="T3047" s="43">
        <f>表格1[[#This Row],[Unit Price]]/表格1[[#This Row],[SRP]]</f>
        <v>0.68930957683741645</v>
      </c>
      <c r="U3047" s="86" t="str">
        <f>_xlfn.XLOOKUP(表格1[[#This Row],[Model]],表格3[Model-Input-Ref2],表格3[TOSHIBA/HIGHEST])</f>
        <v>Toshiba SRP</v>
      </c>
      <c r="W3047" s="86" t="str">
        <f>_xlfn.CONCAT(表格1[[#This Row],[欄4]],表格1[[#This Row],[inv no]])</f>
        <v>1013394</v>
      </c>
    </row>
    <row r="3048" spans="1:23" hidden="1">
      <c r="A3048" s="81">
        <v>3046</v>
      </c>
      <c r="B3048" s="86" t="s">
        <v>1477</v>
      </c>
      <c r="C3048" s="86" t="s">
        <v>1954</v>
      </c>
      <c r="D3048" s="82" t="str">
        <f ca="1">OFFSET(Roster!$A$3,MATCH(表格1[[#This Row],[Location]]&amp;" "&amp;表格1[[#This Row],[Shop]]&amp;"*",Roster!$A$4:$A$72,0),DAY(表格1[[#This Row],[date]]),1,1)</f>
        <v>Kandy</v>
      </c>
      <c r="E3048" s="86">
        <f>MONTH(表格1[[#This Row],[date]])</f>
        <v>3</v>
      </c>
      <c r="F3048" s="90">
        <v>46082</v>
      </c>
      <c r="G3048" s="86" t="str">
        <f>VLOOKUP("*"&amp;表格1[[#This Row],[Input]]&amp;"*",'Ref-List'!$B:$D,2,)</f>
        <v>MWP-MM20P(WH)</v>
      </c>
      <c r="H3048" s="86" t="str">
        <f>_xlfn.XLOOKUP(表格1[[#This Row],[Model]],表格3[Model-Input-Ref2],表格3[Product Line])</f>
        <v>旋鈕式燒烤微波爐20L</v>
      </c>
      <c r="I3048" s="86" t="str">
        <f>_xlfn.XLOOKUP(表格1[[#This Row],[Model]],表格3[Model-Input-Ref2],表格3[大小電])</f>
        <v>細電</v>
      </c>
      <c r="J3048" s="86" t="str">
        <f>_xlfn.XLOOKUP(表格1[[#This Row],[Model]],表格3[Model-Input-Ref2],表格3[Code])</f>
        <v>SDA</v>
      </c>
      <c r="K3048" s="89" t="s">
        <v>1270</v>
      </c>
      <c r="L3048" s="86">
        <v>1</v>
      </c>
      <c r="M3048" s="87">
        <v>488</v>
      </c>
      <c r="N3048" s="87">
        <f>IFERROR(表格1[[#This Row],[QTY]]*表格1[[#This Row],[Unit Price]],"-")</f>
        <v>488</v>
      </c>
      <c r="O3048" s="86">
        <v>1013703</v>
      </c>
      <c r="R3048" s="86" t="str">
        <f>_xlfn.CONCAT(表格1[[#This Row],[Model]]," ",表格1[[#This Row],[inv no]])</f>
        <v>MWP-MM20P(WH) 1013703</v>
      </c>
      <c r="S3048" s="86">
        <f>_xlfn.XLOOKUP(表格1[[#This Row],[Model]],表格3[Model-Input-Ref2],表格3[SRP PRICE])</f>
        <v>648</v>
      </c>
      <c r="T3048" s="43">
        <f>表格1[[#This Row],[Unit Price]]/表格1[[#This Row],[SRP]]</f>
        <v>0.75308641975308643</v>
      </c>
      <c r="U3048" s="86" t="str">
        <f>_xlfn.XLOOKUP(表格1[[#This Row],[Model]],表格3[Model-Input-Ref2],表格3[TOSHIBA/HIGHEST])</f>
        <v>Toshiba SRP</v>
      </c>
      <c r="W3048" s="86" t="str">
        <f>_xlfn.CONCAT(表格1[[#This Row],[欄4]],表格1[[#This Row],[inv no]])</f>
        <v>1013703</v>
      </c>
    </row>
    <row r="3049" spans="1:23" hidden="1">
      <c r="A3049" s="81">
        <v>3047</v>
      </c>
      <c r="B3049" s="86" t="s">
        <v>1477</v>
      </c>
      <c r="C3049" s="86" t="s">
        <v>1954</v>
      </c>
      <c r="D3049" s="82" t="str">
        <f ca="1">OFFSET(Roster!$A$3,MATCH(表格1[[#This Row],[Location]]&amp;" "&amp;表格1[[#This Row],[Shop]]&amp;"*",Roster!$A$4:$A$72,0),DAY(表格1[[#This Row],[date]]),1,1)</f>
        <v>Kandy</v>
      </c>
      <c r="E3049" s="86">
        <f>MONTH(表格1[[#This Row],[date]])</f>
        <v>3</v>
      </c>
      <c r="F3049" s="90">
        <v>46082</v>
      </c>
      <c r="G3049" s="86" t="str">
        <f>VLOOKUP("*"&amp;表格1[[#This Row],[Input]]&amp;"*",'Ref-List'!$B:$D,2,)</f>
        <v>RC-10JRUH(N)</v>
      </c>
      <c r="H3049" s="86" t="str">
        <f>_xlfn.XLOOKUP(表格1[[#This Row],[Model]],表格3[Model-Input-Ref2],表格3[Product Line])</f>
        <v>電飯煲</v>
      </c>
      <c r="I3049" s="86" t="str">
        <f>_xlfn.XLOOKUP(表格1[[#This Row],[Model]],表格3[Model-Input-Ref2],表格3[大小電])</f>
        <v>細電</v>
      </c>
      <c r="J3049" s="86" t="str">
        <f>_xlfn.XLOOKUP(表格1[[#This Row],[Model]],表格3[Model-Input-Ref2],表格3[Code])</f>
        <v>SDA</v>
      </c>
      <c r="K3049" s="89" t="s">
        <v>1263</v>
      </c>
      <c r="L3049" s="86">
        <v>1</v>
      </c>
      <c r="M3049" s="87">
        <v>328</v>
      </c>
      <c r="N3049" s="87">
        <f>IFERROR(表格1[[#This Row],[QTY]]*表格1[[#This Row],[Unit Price]],"-")</f>
        <v>328</v>
      </c>
      <c r="O3049" s="86">
        <v>1013787</v>
      </c>
      <c r="R3049" s="86" t="str">
        <f>_xlfn.CONCAT(表格1[[#This Row],[Model]]," ",表格1[[#This Row],[inv no]])</f>
        <v>RC-10JRUH(N) 1013787</v>
      </c>
      <c r="S3049" s="86">
        <f>_xlfn.XLOOKUP(表格1[[#This Row],[Model]],表格3[Model-Input-Ref2],表格3[SRP PRICE])</f>
        <v>398</v>
      </c>
      <c r="T3049" s="43">
        <f>表格1[[#This Row],[Unit Price]]/表格1[[#This Row],[SRP]]</f>
        <v>0.82412060301507539</v>
      </c>
      <c r="U3049" s="86" t="str">
        <f>_xlfn.XLOOKUP(表格1[[#This Row],[Model]],表格3[Model-Input-Ref2],表格3[TOSHIBA/HIGHEST])</f>
        <v>Shops Highest Price</v>
      </c>
      <c r="W3049" s="86" t="str">
        <f>_xlfn.CONCAT(表格1[[#This Row],[欄4]],表格1[[#This Row],[inv no]])</f>
        <v>1013787</v>
      </c>
    </row>
    <row r="3050" spans="1:23" hidden="1">
      <c r="A3050" s="81">
        <v>3048</v>
      </c>
      <c r="B3050" s="86" t="s">
        <v>1477</v>
      </c>
      <c r="C3050" s="86" t="s">
        <v>1954</v>
      </c>
      <c r="D3050" s="82" t="str">
        <f ca="1">OFFSET(Roster!$A$3,MATCH(表格1[[#This Row],[Location]]&amp;" "&amp;表格1[[#This Row],[Shop]]&amp;"*",Roster!$A$4:$A$72,0),DAY(表格1[[#This Row],[date]]),1,1)</f>
        <v>Kandy</v>
      </c>
      <c r="E3050" s="86">
        <f>MONTH(表格1[[#This Row],[date]])</f>
        <v>3</v>
      </c>
      <c r="F3050" s="90">
        <v>46082</v>
      </c>
      <c r="G3050" s="86" t="str">
        <f>VLOOKUP("*"&amp;表格1[[#This Row],[Input]]&amp;"*",'Ref-List'!$B:$D,2,)</f>
        <v>RC-18DRNH</v>
      </c>
      <c r="H3050" s="86" t="str">
        <f>_xlfn.XLOOKUP(表格1[[#This Row],[Model]],表格3[Model-Input-Ref2],表格3[Product Line])</f>
        <v>多功能備長炭本厚釜電飯煲1.8L</v>
      </c>
      <c r="I3050" s="86" t="str">
        <f>_xlfn.XLOOKUP(表格1[[#This Row],[Model]],表格3[Model-Input-Ref2],表格3[大小電])</f>
        <v>細電</v>
      </c>
      <c r="J3050" s="86" t="str">
        <f>_xlfn.XLOOKUP(表格1[[#This Row],[Model]],表格3[Model-Input-Ref2],表格3[Code])</f>
        <v>SDA</v>
      </c>
      <c r="K3050" s="89" t="s">
        <v>1389</v>
      </c>
      <c r="L3050" s="86">
        <v>1</v>
      </c>
      <c r="M3050" s="87">
        <v>619</v>
      </c>
      <c r="N3050" s="87">
        <f>IFERROR(表格1[[#This Row],[QTY]]*表格1[[#This Row],[Unit Price]],"-")</f>
        <v>619</v>
      </c>
      <c r="O3050" s="86">
        <v>1013780</v>
      </c>
      <c r="R3050" s="86" t="str">
        <f>_xlfn.CONCAT(表格1[[#This Row],[Model]]," ",表格1[[#This Row],[inv no]])</f>
        <v>RC-18DRNH 1013780</v>
      </c>
      <c r="S3050" s="86">
        <f>_xlfn.XLOOKUP(表格1[[#This Row],[Model]],表格3[Model-Input-Ref2],表格3[SRP PRICE])</f>
        <v>898</v>
      </c>
      <c r="T3050" s="43">
        <f>表格1[[#This Row],[Unit Price]]/表格1[[#This Row],[SRP]]</f>
        <v>0.68930957683741645</v>
      </c>
      <c r="U3050" s="86" t="str">
        <f>_xlfn.XLOOKUP(表格1[[#This Row],[Model]],表格3[Model-Input-Ref2],表格3[TOSHIBA/HIGHEST])</f>
        <v>Toshiba SRP</v>
      </c>
      <c r="W3050" s="86" t="str">
        <f>_xlfn.CONCAT(表格1[[#This Row],[欄4]],表格1[[#This Row],[inv no]])</f>
        <v>1013780</v>
      </c>
    </row>
    <row r="3051" spans="1:23" hidden="1">
      <c r="A3051" s="81">
        <v>3049</v>
      </c>
      <c r="B3051" s="86" t="s">
        <v>1477</v>
      </c>
      <c r="C3051" s="86" t="s">
        <v>1954</v>
      </c>
      <c r="D3051" s="82" t="str">
        <f ca="1">OFFSET(Roster!$A$3,MATCH(表格1[[#This Row],[Location]]&amp;" "&amp;表格1[[#This Row],[Shop]]&amp;"*",Roster!$A$4:$A$72,0),DAY(表格1[[#This Row],[date]]),1,1)</f>
        <v>Kandy</v>
      </c>
      <c r="E3051" s="86">
        <f>MONTH(表格1[[#This Row],[date]])</f>
        <v>3</v>
      </c>
      <c r="F3051" s="90">
        <v>46082</v>
      </c>
      <c r="G3051" s="86" t="str">
        <f>VLOOKUP("*"&amp;表格1[[#This Row],[Input]]&amp;"*",'Ref-List'!$B:$D,2,)</f>
        <v>MWP-MM20P(WH)</v>
      </c>
      <c r="H3051" s="86" t="str">
        <f>_xlfn.XLOOKUP(表格1[[#This Row],[Model]],表格3[Model-Input-Ref2],表格3[Product Line])</f>
        <v>旋鈕式燒烤微波爐20L</v>
      </c>
      <c r="I3051" s="86" t="str">
        <f>_xlfn.XLOOKUP(表格1[[#This Row],[Model]],表格3[Model-Input-Ref2],表格3[大小電])</f>
        <v>細電</v>
      </c>
      <c r="J3051" s="86" t="str">
        <f>_xlfn.XLOOKUP(表格1[[#This Row],[Model]],表格3[Model-Input-Ref2],表格3[Code])</f>
        <v>SDA</v>
      </c>
      <c r="K3051" s="89" t="s">
        <v>1270</v>
      </c>
      <c r="L3051" s="86">
        <v>1</v>
      </c>
      <c r="M3051" s="87">
        <v>488</v>
      </c>
      <c r="N3051" s="87">
        <f>IFERROR(表格1[[#This Row],[QTY]]*表格1[[#This Row],[Unit Price]],"-")</f>
        <v>488</v>
      </c>
      <c r="O3051" s="86">
        <v>1013788</v>
      </c>
      <c r="R3051" s="86" t="str">
        <f>_xlfn.CONCAT(表格1[[#This Row],[Model]]," ",表格1[[#This Row],[inv no]])</f>
        <v>MWP-MM20P(WH) 1013788</v>
      </c>
      <c r="S3051" s="86">
        <f>_xlfn.XLOOKUP(表格1[[#This Row],[Model]],表格3[Model-Input-Ref2],表格3[SRP PRICE])</f>
        <v>648</v>
      </c>
      <c r="T3051" s="43">
        <f>表格1[[#This Row],[Unit Price]]/表格1[[#This Row],[SRP]]</f>
        <v>0.75308641975308643</v>
      </c>
      <c r="U3051" s="86" t="str">
        <f>_xlfn.XLOOKUP(表格1[[#This Row],[Model]],表格3[Model-Input-Ref2],表格3[TOSHIBA/HIGHEST])</f>
        <v>Toshiba SRP</v>
      </c>
      <c r="W3051" s="86" t="str">
        <f>_xlfn.CONCAT(表格1[[#This Row],[欄4]],表格1[[#This Row],[inv no]])</f>
        <v>1013788</v>
      </c>
    </row>
    <row r="3052" spans="1:23" hidden="1">
      <c r="A3052" s="81">
        <v>3050</v>
      </c>
      <c r="B3052" s="86" t="s">
        <v>1477</v>
      </c>
      <c r="C3052" s="86" t="s">
        <v>1954</v>
      </c>
      <c r="D3052" s="82" t="str">
        <f ca="1">OFFSET(Roster!$A$3,MATCH(表格1[[#This Row],[Location]]&amp;" "&amp;表格1[[#This Row],[Shop]]&amp;"*",Roster!$A$4:$A$72,0),DAY(表格1[[#This Row],[date]]),1,1)</f>
        <v>Kandy</v>
      </c>
      <c r="E3052" s="86">
        <f>MONTH(表格1[[#This Row],[date]])</f>
        <v>3</v>
      </c>
      <c r="F3052" s="90">
        <v>46082</v>
      </c>
      <c r="G3052" s="86" t="str">
        <f>VLOOKUP("*"&amp;表格1[[#This Row],[Input]]&amp;"*",'Ref-List'!$B:$D,2,)</f>
        <v>MX2-TT20SC(WH)</v>
      </c>
      <c r="H3052" s="86" t="str">
        <f>_xlfn.XLOOKUP(表格1[[#This Row],[Model]],表格3[Model-Input-Ref2],表格3[Product Line])</f>
        <v>3合1 微波蒸焗爐 (20公升)</v>
      </c>
      <c r="I3052" s="86" t="str">
        <f>_xlfn.XLOOKUP(表格1[[#This Row],[Model]],表格3[Model-Input-Ref2],表格3[大小電])</f>
        <v>細電</v>
      </c>
      <c r="J3052" s="86" t="str">
        <f>_xlfn.XLOOKUP(表格1[[#This Row],[Model]],表格3[Model-Input-Ref2],表格3[Code])</f>
        <v>MCA</v>
      </c>
      <c r="K3052" s="89" t="s">
        <v>1287</v>
      </c>
      <c r="L3052" s="86">
        <v>1</v>
      </c>
      <c r="M3052" s="87">
        <v>2580</v>
      </c>
      <c r="N3052" s="87">
        <f>IFERROR(表格1[[#This Row],[QTY]]*表格1[[#This Row],[Unit Price]],"-")</f>
        <v>2580</v>
      </c>
      <c r="O3052" s="86">
        <v>1013798</v>
      </c>
      <c r="R3052" s="86" t="str">
        <f>_xlfn.CONCAT(表格1[[#This Row],[Model]]," ",表格1[[#This Row],[inv no]])</f>
        <v>MX2-TT20SC(WH) 1013798</v>
      </c>
      <c r="S3052" s="86">
        <f>_xlfn.XLOOKUP(表格1[[#This Row],[Model]],表格3[Model-Input-Ref2],表格3[SRP PRICE])</f>
        <v>3580</v>
      </c>
      <c r="T3052" s="43">
        <f>表格1[[#This Row],[Unit Price]]/表格1[[#This Row],[SRP]]</f>
        <v>0.72067039106145248</v>
      </c>
      <c r="U3052" s="86" t="str">
        <f>_xlfn.XLOOKUP(表格1[[#This Row],[Model]],表格3[Model-Input-Ref2],表格3[TOSHIBA/HIGHEST])</f>
        <v>Toshiba SRP</v>
      </c>
      <c r="W3052" s="86" t="str">
        <f>_xlfn.CONCAT(表格1[[#This Row],[欄4]],表格1[[#This Row],[inv no]])</f>
        <v>1013798</v>
      </c>
    </row>
    <row r="3053" spans="1:23" hidden="1">
      <c r="A3053" s="81">
        <v>3051</v>
      </c>
      <c r="B3053" s="86" t="s">
        <v>1477</v>
      </c>
      <c r="C3053" s="86" t="s">
        <v>1954</v>
      </c>
      <c r="D3053" s="82" t="str">
        <f ca="1">OFFSET(Roster!$A$3,MATCH(表格1[[#This Row],[Location]]&amp;" "&amp;表格1[[#This Row],[Shop]]&amp;"*",Roster!$A$4:$A$72,0),DAY(表格1[[#This Row],[date]]),1,1)</f>
        <v>Kandy</v>
      </c>
      <c r="E3053" s="86">
        <f>MONTH(表格1[[#This Row],[date]])</f>
        <v>3</v>
      </c>
      <c r="F3053" s="90">
        <v>46082</v>
      </c>
      <c r="G3053" s="86" t="str">
        <f>VLOOKUP("*"&amp;表格1[[#This Row],[Input]]&amp;"*",'Ref-List'!$B:$D,2,)</f>
        <v>RC-10NMFIH(WT)</v>
      </c>
      <c r="H3053" s="86" t="str">
        <f>_xlfn.XLOOKUP(表格1[[#This Row],[Model]],表格3[Model-Input-Ref2],表格3[Product Line])</f>
        <v>4毫米厚釜電飯煲1L</v>
      </c>
      <c r="I3053" s="86" t="str">
        <f>_xlfn.XLOOKUP(表格1[[#This Row],[Model]],表格3[Model-Input-Ref2],表格3[大小電])</f>
        <v>細電</v>
      </c>
      <c r="J3053" s="86" t="str">
        <f>_xlfn.XLOOKUP(表格1[[#This Row],[Model]],表格3[Model-Input-Ref2],表格3[Code])</f>
        <v>SDA</v>
      </c>
      <c r="K3053" s="89" t="s">
        <v>1244</v>
      </c>
      <c r="L3053" s="86">
        <v>1</v>
      </c>
      <c r="M3053" s="87">
        <v>719</v>
      </c>
      <c r="N3053" s="87">
        <f>IFERROR(表格1[[#This Row],[QTY]]*表格1[[#This Row],[Unit Price]],"-")</f>
        <v>719</v>
      </c>
      <c r="O3053" s="86">
        <v>1013907</v>
      </c>
      <c r="R3053" s="86" t="str">
        <f>_xlfn.CONCAT(表格1[[#This Row],[Model]]," ",表格1[[#This Row],[inv no]])</f>
        <v>RC-10NMFIH(WT) 1013907</v>
      </c>
      <c r="S3053" s="86">
        <f>_xlfn.XLOOKUP(表格1[[#This Row],[Model]],表格3[Model-Input-Ref2],表格3[SRP PRICE])</f>
        <v>898</v>
      </c>
      <c r="T3053" s="43">
        <f>表格1[[#This Row],[Unit Price]]/表格1[[#This Row],[SRP]]</f>
        <v>0.80066815144766146</v>
      </c>
      <c r="U3053" s="86" t="str">
        <f>_xlfn.XLOOKUP(表格1[[#This Row],[Model]],表格3[Model-Input-Ref2],表格3[TOSHIBA/HIGHEST])</f>
        <v>Toshiba SRP</v>
      </c>
      <c r="W3053" s="86" t="str">
        <f>_xlfn.CONCAT(表格1[[#This Row],[欄4]],表格1[[#This Row],[inv no]])</f>
        <v>1013907</v>
      </c>
    </row>
    <row r="3054" spans="1:23" hidden="1">
      <c r="A3054" s="81">
        <v>3052</v>
      </c>
      <c r="B3054" s="86" t="s">
        <v>1477</v>
      </c>
      <c r="C3054" s="86" t="s">
        <v>1954</v>
      </c>
      <c r="D3054" s="82" t="str">
        <f ca="1">OFFSET(Roster!$A$3,MATCH(表格1[[#This Row],[Location]]&amp;" "&amp;表格1[[#This Row],[Shop]]&amp;"*",Roster!$A$4:$A$72,0),DAY(表格1[[#This Row],[date]]),1,1)</f>
        <v>Kandy</v>
      </c>
      <c r="E3054" s="86">
        <f>MONTH(表格1[[#This Row],[date]])</f>
        <v>3</v>
      </c>
      <c r="F3054" s="90">
        <v>46082</v>
      </c>
      <c r="G3054" s="86" t="str">
        <f>VLOOKUP("*"&amp;表格1[[#This Row],[Input]]&amp;"*",'Ref-List'!$B:$D,2,)</f>
        <v>RAD-DIA17HK</v>
      </c>
      <c r="H3054" s="86" t="str">
        <f>_xlfn.XLOOKUP(表格1[[#This Row],[Model]],表格3[Model-Input-Ref2],表格3[Product Line])</f>
        <v>變頻二合一空氣淨化抽濕機 (28公升)</v>
      </c>
      <c r="I3054" s="86" t="str">
        <f>_xlfn.XLOOKUP(表格1[[#This Row],[Model]],表格3[Model-Input-Ref2],表格3[大小電])</f>
        <v>大電</v>
      </c>
      <c r="J3054" s="86" t="str">
        <f>_xlfn.XLOOKUP(表格1[[#This Row],[Model]],表格3[Model-Input-Ref2],表格3[Code])</f>
        <v>RAC</v>
      </c>
      <c r="K3054" s="89" t="s">
        <v>1480</v>
      </c>
      <c r="L3054" s="86">
        <v>1</v>
      </c>
      <c r="M3054" s="87">
        <v>3580</v>
      </c>
      <c r="N3054" s="87">
        <f>IFERROR(表格1[[#This Row],[QTY]]*表格1[[#This Row],[Unit Price]],"-")</f>
        <v>3580</v>
      </c>
      <c r="O3054" s="86">
        <v>1013856</v>
      </c>
      <c r="R3054" s="86" t="str">
        <f>_xlfn.CONCAT(表格1[[#This Row],[Model]]," ",表格1[[#This Row],[inv no]])</f>
        <v>RAD-DIA17HK 1013856</v>
      </c>
      <c r="S3054" s="86">
        <f>_xlfn.XLOOKUP(表格1[[#This Row],[Model]],表格3[Model-Input-Ref2],表格3[SRP PRICE])</f>
        <v>4980</v>
      </c>
      <c r="T3054" s="43">
        <f>表格1[[#This Row],[Unit Price]]/表格1[[#This Row],[SRP]]</f>
        <v>0.71887550200803207</v>
      </c>
      <c r="U3054" s="86" t="str">
        <f>_xlfn.XLOOKUP(表格1[[#This Row],[Model]],表格3[Model-Input-Ref2],表格3[TOSHIBA/HIGHEST])</f>
        <v>Toshiba SRP</v>
      </c>
      <c r="W3054" s="86" t="str">
        <f>_xlfn.CONCAT(表格1[[#This Row],[欄4]],表格1[[#This Row],[inv no]])</f>
        <v>1013856</v>
      </c>
    </row>
    <row r="3055" spans="1:23" hidden="1">
      <c r="A3055" s="81">
        <v>3053</v>
      </c>
      <c r="B3055" s="86" t="s">
        <v>1477</v>
      </c>
      <c r="C3055" s="86" t="s">
        <v>1954</v>
      </c>
      <c r="D3055" s="82" t="str">
        <f ca="1">OFFSET(Roster!$A$3,MATCH(表格1[[#This Row],[Location]]&amp;" "&amp;表格1[[#This Row],[Shop]]&amp;"*",Roster!$A$4:$A$72,0),DAY(表格1[[#This Row],[date]]),1,1)</f>
        <v>Kandy</v>
      </c>
      <c r="E3055" s="86">
        <f>MONTH(表格1[[#This Row],[date]])</f>
        <v>3</v>
      </c>
      <c r="F3055" s="90">
        <v>46088</v>
      </c>
      <c r="G3055" s="86" t="str">
        <f>VLOOKUP("*"&amp;表格1[[#This Row],[Input]]&amp;"*",'Ref-List'!$B:$D,2,)</f>
        <v>DW-05T2-HK</v>
      </c>
      <c r="H3055" s="86" t="str">
        <f>_xlfn.XLOOKUP(表格1[[#This Row],[Model]],表格3[Model-Input-Ref2],表格3[Product Line])</f>
        <v>座檯式洗碗碟機</v>
      </c>
      <c r="I3055" s="86" t="str">
        <f>_xlfn.XLOOKUP(表格1[[#This Row],[Model]],表格3[Model-Input-Ref2],表格3[大小電])</f>
        <v>細電</v>
      </c>
      <c r="J3055" s="86" t="str">
        <f>_xlfn.XLOOKUP(表格1[[#This Row],[Model]],表格3[Model-Input-Ref2],表格3[Code])</f>
        <v>DW</v>
      </c>
      <c r="K3055" s="89" t="s">
        <v>1475</v>
      </c>
      <c r="L3055" s="86">
        <v>1</v>
      </c>
      <c r="M3055" s="87">
        <v>3780</v>
      </c>
      <c r="N3055" s="87">
        <f>IFERROR(表格1[[#This Row],[QTY]]*表格1[[#This Row],[Unit Price]],"-")</f>
        <v>3780</v>
      </c>
      <c r="O3055" s="86">
        <v>1014196</v>
      </c>
      <c r="R3055" s="86" t="str">
        <f>_xlfn.CONCAT(表格1[[#This Row],[Model]]," ",表格1[[#This Row],[inv no]])</f>
        <v>DW-05T2-HK 1014196</v>
      </c>
      <c r="S3055" s="86">
        <f>_xlfn.XLOOKUP(表格1[[#This Row],[Model]],表格3[Model-Input-Ref2],表格3[SRP PRICE])</f>
        <v>4580</v>
      </c>
      <c r="T3055" s="43">
        <f>表格1[[#This Row],[Unit Price]]/表格1[[#This Row],[SRP]]</f>
        <v>0.8253275109170306</v>
      </c>
      <c r="U3055" s="86" t="str">
        <f>_xlfn.XLOOKUP(表格1[[#This Row],[Model]],表格3[Model-Input-Ref2],表格3[TOSHIBA/HIGHEST])</f>
        <v>Toshiba SRP</v>
      </c>
      <c r="W3055" s="86" t="str">
        <f>_xlfn.CONCAT(表格1[[#This Row],[欄4]],表格1[[#This Row],[inv no]])</f>
        <v>1014196</v>
      </c>
    </row>
    <row r="3056" spans="1:23" hidden="1">
      <c r="A3056" s="81">
        <v>3054</v>
      </c>
      <c r="B3056" s="86" t="s">
        <v>1477</v>
      </c>
      <c r="C3056" s="86" t="s">
        <v>1954</v>
      </c>
      <c r="D3056" s="82" t="str">
        <f ca="1">OFFSET(Roster!$A$3,MATCH(表格1[[#This Row],[Location]]&amp;" "&amp;表格1[[#This Row],[Shop]]&amp;"*",Roster!$A$4:$A$72,0),DAY(表格1[[#This Row],[date]]),1,1)</f>
        <v>Kandy</v>
      </c>
      <c r="E3056" s="86">
        <f>MONTH(表格1[[#This Row],[date]])</f>
        <v>3</v>
      </c>
      <c r="F3056" s="90">
        <v>46088</v>
      </c>
      <c r="G3056" s="86" t="str">
        <f>VLOOKUP("*"&amp;表格1[[#This Row],[Input]]&amp;"*",'Ref-List'!$B:$D,2,)</f>
        <v>MW3-SAC24SE(BK)</v>
      </c>
      <c r="H3056" s="86" t="str">
        <f>_xlfn.XLOOKUP(表格1[[#This Row],[Model]],表格3[Model-Input-Ref2],表格3[Product Line])</f>
        <v>智能氣炸烤焗爐(24公升)</v>
      </c>
      <c r="I3056" s="86" t="str">
        <f>_xlfn.XLOOKUP(表格1[[#This Row],[Model]],表格3[Model-Input-Ref2],表格3[大小電])</f>
        <v>細電</v>
      </c>
      <c r="J3056" s="86" t="str">
        <f>_xlfn.XLOOKUP(表格1[[#This Row],[Model]],表格3[Model-Input-Ref2],表格3[Code])</f>
        <v>MCA</v>
      </c>
      <c r="K3056" s="89" t="s">
        <v>1274</v>
      </c>
      <c r="L3056" s="86">
        <v>1</v>
      </c>
      <c r="M3056" s="87">
        <v>1320</v>
      </c>
      <c r="N3056" s="87">
        <f>IFERROR(表格1[[#This Row],[QTY]]*表格1[[#This Row],[Unit Price]],"-")</f>
        <v>1320</v>
      </c>
      <c r="O3056" s="86">
        <v>1014214</v>
      </c>
      <c r="R3056" s="86" t="str">
        <f>_xlfn.CONCAT(表格1[[#This Row],[Model]]," ",表格1[[#This Row],[inv no]])</f>
        <v>MW3-SAC24SE(BK) 1014214</v>
      </c>
      <c r="S3056" s="86">
        <f>_xlfn.XLOOKUP(表格1[[#This Row],[Model]],表格3[Model-Input-Ref2],表格3[SRP PRICE])</f>
        <v>1680</v>
      </c>
      <c r="T3056" s="43">
        <f>表格1[[#This Row],[Unit Price]]/表格1[[#This Row],[SRP]]</f>
        <v>0.7857142857142857</v>
      </c>
      <c r="U3056" s="86" t="str">
        <f>_xlfn.XLOOKUP(表格1[[#This Row],[Model]],表格3[Model-Input-Ref2],表格3[TOSHIBA/HIGHEST])</f>
        <v>Toshiba SRP</v>
      </c>
      <c r="W3056" s="86" t="str">
        <f>_xlfn.CONCAT(表格1[[#This Row],[欄4]],表格1[[#This Row],[inv no]])</f>
        <v>1014214</v>
      </c>
    </row>
    <row r="3057" spans="1:23" hidden="1">
      <c r="A3057" s="81">
        <v>3055</v>
      </c>
      <c r="B3057" s="86" t="s">
        <v>1477</v>
      </c>
      <c r="C3057" s="86" t="s">
        <v>1954</v>
      </c>
      <c r="D3057" s="82" t="str">
        <f ca="1">OFFSET(Roster!$A$3,MATCH(表格1[[#This Row],[Location]]&amp;" "&amp;表格1[[#This Row],[Shop]]&amp;"*",Roster!$A$4:$A$72,0),DAY(表格1[[#This Row],[date]]),1,1)</f>
        <v>Kandy</v>
      </c>
      <c r="E3057" s="86">
        <f>MONTH(表格1[[#This Row],[date]])</f>
        <v>3</v>
      </c>
      <c r="F3057" s="90">
        <v>46088</v>
      </c>
      <c r="G3057" s="86" t="str">
        <f>VLOOKUP("*"&amp;表格1[[#This Row],[Input]]&amp;"*",'Ref-List'!$B:$D,2,)</f>
        <v>MM2-EG20PC(WH)</v>
      </c>
      <c r="H3057" s="86" t="str">
        <f>_xlfn.XLOOKUP(表格1[[#This Row],[Model]],表格3[Model-Input-Ref2],表格3[Product Line])</f>
        <v>輕觸式燒烤微波爐</v>
      </c>
      <c r="I3057" s="86" t="str">
        <f>_xlfn.XLOOKUP(表格1[[#This Row],[Model]],表格3[Model-Input-Ref2],表格3[大小電])</f>
        <v>細電</v>
      </c>
      <c r="J3057" s="86" t="str">
        <f>_xlfn.XLOOKUP(表格1[[#This Row],[Model]],表格3[Model-Input-Ref2],表格3[Code])</f>
        <v>MCA</v>
      </c>
      <c r="K3057" s="89" t="s">
        <v>1273</v>
      </c>
      <c r="L3057" s="86">
        <v>1</v>
      </c>
      <c r="M3057" s="87">
        <v>768</v>
      </c>
      <c r="N3057" s="87">
        <f>IFERROR(表格1[[#This Row],[QTY]]*表格1[[#This Row],[Unit Price]],"-")</f>
        <v>768</v>
      </c>
      <c r="O3057" s="86">
        <v>1014282</v>
      </c>
      <c r="R3057" s="86" t="str">
        <f>_xlfn.CONCAT(表格1[[#This Row],[Model]]," ",表格1[[#This Row],[inv no]])</f>
        <v>MM2-EG20PC(WH) 1014282</v>
      </c>
      <c r="S3057" s="86">
        <f>_xlfn.XLOOKUP(表格1[[#This Row],[Model]],表格3[Model-Input-Ref2],表格3[SRP PRICE])</f>
        <v>918</v>
      </c>
      <c r="T3057" s="43">
        <f>表格1[[#This Row],[Unit Price]]/表格1[[#This Row],[SRP]]</f>
        <v>0.83660130718954251</v>
      </c>
      <c r="U3057" s="86" t="str">
        <f>_xlfn.XLOOKUP(表格1[[#This Row],[Model]],表格3[Model-Input-Ref2],表格3[TOSHIBA/HIGHEST])</f>
        <v>Shops Highest Price</v>
      </c>
      <c r="W3057" s="86" t="str">
        <f>_xlfn.CONCAT(表格1[[#This Row],[欄4]],表格1[[#This Row],[inv no]])</f>
        <v>1014282</v>
      </c>
    </row>
    <row r="3058" spans="1:23" hidden="1">
      <c r="A3058" s="81">
        <v>3056</v>
      </c>
      <c r="B3058" s="86" t="s">
        <v>1477</v>
      </c>
      <c r="C3058" s="86" t="s">
        <v>1954</v>
      </c>
      <c r="D3058" s="82" t="str">
        <f ca="1">OFFSET(Roster!$A$3,MATCH(表格1[[#This Row],[Location]]&amp;" "&amp;表格1[[#This Row],[Shop]]&amp;"*",Roster!$A$4:$A$72,0),DAY(表格1[[#This Row],[date]]),1,1)</f>
        <v>Kandy</v>
      </c>
      <c r="E3058" s="86">
        <f>MONTH(表格1[[#This Row],[date]])</f>
        <v>3</v>
      </c>
      <c r="F3058" s="90">
        <v>46088</v>
      </c>
      <c r="G3058" s="86" t="str">
        <f>VLOOKUP("*"&amp;表格1[[#This Row],[Input]]&amp;"*",'Ref-List'!$B:$D,2,)</f>
        <v>RC-6PXTHK(W)</v>
      </c>
      <c r="H3058" s="86" t="str">
        <f>_xlfn.XLOOKUP(表格1[[#This Row],[Model]],表格3[Model-Input-Ref2],表格3[Product Line])</f>
        <v>迷你壓力磁應電飯煲(0.63公升)</v>
      </c>
      <c r="I3058" s="86" t="str">
        <f>_xlfn.XLOOKUP(表格1[[#This Row],[Model]],表格3[Model-Input-Ref2],表格3[大小電])</f>
        <v>細電</v>
      </c>
      <c r="J3058" s="86" t="str">
        <f>_xlfn.XLOOKUP(表格1[[#This Row],[Model]],表格3[Model-Input-Ref2],表格3[Code])</f>
        <v>SDA</v>
      </c>
      <c r="K3058" s="89" t="s">
        <v>1494</v>
      </c>
      <c r="L3058" s="86">
        <v>1</v>
      </c>
      <c r="M3058" s="87">
        <v>938</v>
      </c>
      <c r="N3058" s="87">
        <f>IFERROR(表格1[[#This Row],[QTY]]*表格1[[#This Row],[Unit Price]],"-")</f>
        <v>938</v>
      </c>
      <c r="O3058" s="86">
        <v>1014240</v>
      </c>
      <c r="R3058" s="86" t="str">
        <f>_xlfn.CONCAT(表格1[[#This Row],[Model]]," ",表格1[[#This Row],[inv no]])</f>
        <v>RC-6PXTHK(W) 1014240</v>
      </c>
      <c r="S3058" s="86">
        <f>_xlfn.XLOOKUP(表格1[[#This Row],[Model]],表格3[Model-Input-Ref2],表格3[SRP PRICE])</f>
        <v>1398</v>
      </c>
      <c r="T3058" s="43">
        <f>表格1[[#This Row],[Unit Price]]/表格1[[#This Row],[SRP]]</f>
        <v>0.67095851216022895</v>
      </c>
      <c r="U3058" s="86" t="str">
        <f>_xlfn.XLOOKUP(表格1[[#This Row],[Model]],表格3[Model-Input-Ref2],表格3[TOSHIBA/HIGHEST])</f>
        <v>Toshiba SRP</v>
      </c>
      <c r="W3058" s="86" t="str">
        <f>_xlfn.CONCAT(表格1[[#This Row],[欄4]],表格1[[#This Row],[inv no]])</f>
        <v>1014240</v>
      </c>
    </row>
    <row r="3059" spans="1:23" hidden="1">
      <c r="A3059" s="81">
        <v>3057</v>
      </c>
      <c r="B3059" s="86" t="s">
        <v>1477</v>
      </c>
      <c r="C3059" s="86" t="s">
        <v>1954</v>
      </c>
      <c r="D3059" s="82" t="str">
        <f ca="1">OFFSET(Roster!$A$3,MATCH(表格1[[#This Row],[Location]]&amp;" "&amp;表格1[[#This Row],[Shop]]&amp;"*",Roster!$A$4:$A$72,0),DAY(表格1[[#This Row],[date]]),1,1)</f>
        <v>Kandy</v>
      </c>
      <c r="E3059" s="86">
        <f>MONTH(表格1[[#This Row],[date]])</f>
        <v>3</v>
      </c>
      <c r="F3059" s="90">
        <v>46088</v>
      </c>
      <c r="G3059" s="86" t="str">
        <f>VLOOKUP("*"&amp;表格1[[#This Row],[Input]]&amp;"*",'Ref-List'!$B:$D,2,)</f>
        <v>RC-7HMH</v>
      </c>
      <c r="H3059" s="86" t="str">
        <f>_xlfn.XLOOKUP(表格1[[#This Row],[Model]],表格3[Model-Input-Ref2],表格3[Product Line])</f>
        <v>備長炭本厚釜電飯煲0.7L</v>
      </c>
      <c r="I3059" s="86" t="str">
        <f>_xlfn.XLOOKUP(表格1[[#This Row],[Model]],表格3[Model-Input-Ref2],表格3[大小電])</f>
        <v>細電</v>
      </c>
      <c r="J3059" s="86" t="str">
        <f>_xlfn.XLOOKUP(表格1[[#This Row],[Model]],表格3[Model-Input-Ref2],表格3[Code])</f>
        <v>SDA</v>
      </c>
      <c r="K3059" s="89" t="s">
        <v>1284</v>
      </c>
      <c r="L3059" s="86">
        <v>1</v>
      </c>
      <c r="M3059" s="87">
        <v>788</v>
      </c>
      <c r="N3059" s="87">
        <f>IFERROR(表格1[[#This Row],[QTY]]*表格1[[#This Row],[Unit Price]],"-")</f>
        <v>788</v>
      </c>
      <c r="O3059" s="86">
        <v>1014020</v>
      </c>
      <c r="R3059" s="86" t="str">
        <f>_xlfn.CONCAT(表格1[[#This Row],[Model]]," ",表格1[[#This Row],[inv no]])</f>
        <v>RC-7HMH 1014020</v>
      </c>
      <c r="S3059" s="86">
        <f>_xlfn.XLOOKUP(表格1[[#This Row],[Model]],表格3[Model-Input-Ref2],表格3[SRP PRICE])</f>
        <v>1288</v>
      </c>
      <c r="T3059" s="43">
        <f>表格1[[#This Row],[Unit Price]]/表格1[[#This Row],[SRP]]</f>
        <v>0.61180124223602483</v>
      </c>
      <c r="U3059" s="86" t="str">
        <f>_xlfn.XLOOKUP(表格1[[#This Row],[Model]],表格3[Model-Input-Ref2],表格3[TOSHIBA/HIGHEST])</f>
        <v>Toshiba SRP</v>
      </c>
      <c r="W3059" s="86" t="str">
        <f>_xlfn.CONCAT(表格1[[#This Row],[欄4]],表格1[[#This Row],[inv no]])</f>
        <v>1014020</v>
      </c>
    </row>
    <row r="3060" spans="1:23" hidden="1">
      <c r="A3060" s="81">
        <v>3058</v>
      </c>
      <c r="B3060" s="86" t="s">
        <v>1477</v>
      </c>
      <c r="C3060" s="86" t="s">
        <v>1954</v>
      </c>
      <c r="D3060" s="82" t="str">
        <f ca="1">OFFSET(Roster!$A$3,MATCH(表格1[[#This Row],[Location]]&amp;" "&amp;表格1[[#This Row],[Shop]]&amp;"*",Roster!$A$4:$A$72,0),DAY(表格1[[#This Row],[date]]),1,1)</f>
        <v>Kandy</v>
      </c>
      <c r="E3060" s="86">
        <f>MONTH(表格1[[#This Row],[date]])</f>
        <v>3</v>
      </c>
      <c r="F3060" s="90">
        <v>46088</v>
      </c>
      <c r="G3060" s="86" t="str">
        <f>VLOOKUP("*"&amp;表格1[[#This Row],[Input]]&amp;"*",'Ref-List'!$B:$D,2,)</f>
        <v>RC-10DRNH</v>
      </c>
      <c r="H3060" s="86" t="str">
        <f>_xlfn.XLOOKUP(表格1[[#This Row],[Model]],表格3[Model-Input-Ref2],表格3[Product Line])</f>
        <v>多功能備長炭本厚釜電飯煲1L</v>
      </c>
      <c r="I3060" s="86" t="str">
        <f>_xlfn.XLOOKUP(表格1[[#This Row],[Model]],表格3[Model-Input-Ref2],表格3[大小電])</f>
        <v>細電</v>
      </c>
      <c r="J3060" s="86" t="str">
        <f>_xlfn.XLOOKUP(表格1[[#This Row],[Model]],表格3[Model-Input-Ref2],表格3[Code])</f>
        <v>SDA</v>
      </c>
      <c r="K3060" s="89" t="s">
        <v>1376</v>
      </c>
      <c r="L3060" s="86">
        <v>1</v>
      </c>
      <c r="M3060" s="87">
        <v>537</v>
      </c>
      <c r="N3060" s="87">
        <f>IFERROR(表格1[[#This Row],[QTY]]*表格1[[#This Row],[Unit Price]],"-")</f>
        <v>537</v>
      </c>
      <c r="O3060" s="86">
        <v>1014263</v>
      </c>
      <c r="P3060" s="86" t="s">
        <v>1955</v>
      </c>
      <c r="R3060" s="86" t="str">
        <f>_xlfn.CONCAT(表格1[[#This Row],[Model]]," ",表格1[[#This Row],[inv no]])</f>
        <v>RC-10DRNH 1014263</v>
      </c>
      <c r="S3060" s="86">
        <f>_xlfn.XLOOKUP(表格1[[#This Row],[Model]],表格3[Model-Input-Ref2],表格3[SRP PRICE])</f>
        <v>798</v>
      </c>
      <c r="T3060" s="43">
        <f>表格1[[#This Row],[Unit Price]]/表格1[[#This Row],[SRP]]</f>
        <v>0.67293233082706772</v>
      </c>
      <c r="U3060" s="86" t="str">
        <f>_xlfn.XLOOKUP(表格1[[#This Row],[Model]],表格3[Model-Input-Ref2],表格3[TOSHIBA/HIGHEST])</f>
        <v>Toshiba SRP</v>
      </c>
      <c r="W3060" s="86" t="str">
        <f>_xlfn.CONCAT(表格1[[#This Row],[欄4]],表格1[[#This Row],[inv no]])</f>
        <v>1014263</v>
      </c>
    </row>
    <row r="3061" spans="1:23" hidden="1">
      <c r="A3061" s="81">
        <v>3059</v>
      </c>
      <c r="B3061" s="86" t="s">
        <v>1477</v>
      </c>
      <c r="C3061" s="86" t="s">
        <v>1954</v>
      </c>
      <c r="D3061" s="82" t="str">
        <f ca="1">OFFSET(Roster!$A$3,MATCH(表格1[[#This Row],[Location]]&amp;" "&amp;表格1[[#This Row],[Shop]]&amp;"*",Roster!$A$4:$A$72,0),DAY(表格1[[#This Row],[date]]),1,1)</f>
        <v>Kandy</v>
      </c>
      <c r="E3061" s="86">
        <f>MONTH(表格1[[#This Row],[date]])</f>
        <v>3</v>
      </c>
      <c r="F3061" s="90">
        <v>46088</v>
      </c>
      <c r="G3061" s="86" t="str">
        <f>VLOOKUP("*"&amp;表格1[[#This Row],[Input]]&amp;"*",'Ref-List'!$B:$D,2,)</f>
        <v>MWP-MM20P(WH)</v>
      </c>
      <c r="H3061" s="86" t="str">
        <f>_xlfn.XLOOKUP(表格1[[#This Row],[Model]],表格3[Model-Input-Ref2],表格3[Product Line])</f>
        <v>旋鈕式燒烤微波爐20L</v>
      </c>
      <c r="I3061" s="86" t="str">
        <f>_xlfn.XLOOKUP(表格1[[#This Row],[Model]],表格3[Model-Input-Ref2],表格3[大小電])</f>
        <v>細電</v>
      </c>
      <c r="J3061" s="86" t="str">
        <f>_xlfn.XLOOKUP(表格1[[#This Row],[Model]],表格3[Model-Input-Ref2],表格3[Code])</f>
        <v>SDA</v>
      </c>
      <c r="K3061" s="89" t="s">
        <v>1270</v>
      </c>
      <c r="L3061" s="86">
        <v>1</v>
      </c>
      <c r="M3061" s="87">
        <v>488</v>
      </c>
      <c r="N3061" s="87">
        <f>IFERROR(表格1[[#This Row],[QTY]]*表格1[[#This Row],[Unit Price]],"-")</f>
        <v>488</v>
      </c>
      <c r="O3061" s="86">
        <v>1014193</v>
      </c>
      <c r="R3061" s="86" t="str">
        <f>_xlfn.CONCAT(表格1[[#This Row],[Model]]," ",表格1[[#This Row],[inv no]])</f>
        <v>MWP-MM20P(WH) 1014193</v>
      </c>
      <c r="S3061" s="86">
        <f>_xlfn.XLOOKUP(表格1[[#This Row],[Model]],表格3[Model-Input-Ref2],表格3[SRP PRICE])</f>
        <v>648</v>
      </c>
      <c r="T3061" s="43">
        <f>表格1[[#This Row],[Unit Price]]/表格1[[#This Row],[SRP]]</f>
        <v>0.75308641975308643</v>
      </c>
      <c r="U3061" s="86" t="str">
        <f>_xlfn.XLOOKUP(表格1[[#This Row],[Model]],表格3[Model-Input-Ref2],表格3[TOSHIBA/HIGHEST])</f>
        <v>Toshiba SRP</v>
      </c>
      <c r="W3061" s="86" t="str">
        <f>_xlfn.CONCAT(表格1[[#This Row],[欄4]],表格1[[#This Row],[inv no]])</f>
        <v>1014193</v>
      </c>
    </row>
    <row r="3062" spans="1:23" hidden="1">
      <c r="A3062" s="81">
        <v>3060</v>
      </c>
      <c r="B3062" s="86" t="s">
        <v>1477</v>
      </c>
      <c r="C3062" s="86" t="s">
        <v>1954</v>
      </c>
      <c r="D3062" s="82" t="str">
        <f ca="1">OFFSET(Roster!$A$3,MATCH(表格1[[#This Row],[Location]]&amp;" "&amp;表格1[[#This Row],[Shop]]&amp;"*",Roster!$A$4:$A$72,0),DAY(表格1[[#This Row],[date]]),1,1)</f>
        <v>Kandy</v>
      </c>
      <c r="E3062" s="86">
        <f>MONTH(表格1[[#This Row],[date]])</f>
        <v>3</v>
      </c>
      <c r="F3062" s="90">
        <v>46088</v>
      </c>
      <c r="G3062" s="86" t="str">
        <f>VLOOKUP("*"&amp;表格1[[#This Row],[Input]]&amp;"*",'Ref-List'!$B:$D,2,)</f>
        <v>MM2-EM20PC(WH)</v>
      </c>
      <c r="H3062" s="86" t="str">
        <f>_xlfn.XLOOKUP(表格1[[#This Row],[Model]],表格3[Model-Input-Ref2],表格3[Product Line])</f>
        <v>輕觸式微波爐 (20公升)</v>
      </c>
      <c r="I3062" s="86" t="str">
        <f>_xlfn.XLOOKUP(表格1[[#This Row],[Model]],表格3[Model-Input-Ref2],表格3[大小電])</f>
        <v>細電</v>
      </c>
      <c r="J3062" s="86" t="str">
        <f>_xlfn.XLOOKUP(表格1[[#This Row],[Model]],表格3[Model-Input-Ref2],表格3[Code])</f>
        <v>MCA</v>
      </c>
      <c r="K3062" s="89" t="s">
        <v>1276</v>
      </c>
      <c r="L3062" s="86">
        <v>1</v>
      </c>
      <c r="M3062" s="87">
        <v>598</v>
      </c>
      <c r="N3062" s="87">
        <f>IFERROR(表格1[[#This Row],[QTY]]*表格1[[#This Row],[Unit Price]],"-")</f>
        <v>598</v>
      </c>
      <c r="O3062" s="86">
        <v>1014019</v>
      </c>
      <c r="R3062" s="86" t="str">
        <f>_xlfn.CONCAT(表格1[[#This Row],[Model]]," ",表格1[[#This Row],[inv no]])</f>
        <v>MM2-EM20PC(WH) 1014019</v>
      </c>
      <c r="S3062" s="86">
        <f>_xlfn.XLOOKUP(表格1[[#This Row],[Model]],表格3[Model-Input-Ref2],表格3[SRP PRICE])</f>
        <v>788</v>
      </c>
      <c r="T3062" s="43">
        <f>表格1[[#This Row],[Unit Price]]/表格1[[#This Row],[SRP]]</f>
        <v>0.75888324873096447</v>
      </c>
      <c r="U3062" s="86" t="str">
        <f>_xlfn.XLOOKUP(表格1[[#This Row],[Model]],表格3[Model-Input-Ref2],表格3[TOSHIBA/HIGHEST])</f>
        <v>Toshiba SRP</v>
      </c>
      <c r="W3062" s="86" t="str">
        <f>_xlfn.CONCAT(表格1[[#This Row],[欄4]],表格1[[#This Row],[inv no]])</f>
        <v>1014019</v>
      </c>
    </row>
    <row r="3063" spans="1:23" hidden="1">
      <c r="A3063" s="81">
        <v>3061</v>
      </c>
      <c r="B3063" s="86" t="s">
        <v>1477</v>
      </c>
      <c r="C3063" s="86" t="s">
        <v>1954</v>
      </c>
      <c r="D3063" s="82" t="str">
        <f ca="1">OFFSET(Roster!$A$3,MATCH(表格1[[#This Row],[Location]]&amp;" "&amp;表格1[[#This Row],[Shop]]&amp;"*",Roster!$A$4:$A$72,0),DAY(表格1[[#This Row],[date]]),1,1)</f>
        <v>Kandy</v>
      </c>
      <c r="E3063" s="86">
        <f>MONTH(表格1[[#This Row],[date]])</f>
        <v>3</v>
      </c>
      <c r="F3063" s="90">
        <v>46088</v>
      </c>
      <c r="G3063" s="86" t="str">
        <f>VLOOKUP("*"&amp;表格1[[#This Row],[Input]]&amp;"*",'Ref-List'!$B:$D,2,)</f>
        <v>MM2-EM20PC(WH)</v>
      </c>
      <c r="H3063" s="86" t="str">
        <f>_xlfn.XLOOKUP(表格1[[#This Row],[Model]],表格3[Model-Input-Ref2],表格3[Product Line])</f>
        <v>輕觸式微波爐 (20公升)</v>
      </c>
      <c r="I3063" s="86" t="str">
        <f>_xlfn.XLOOKUP(表格1[[#This Row],[Model]],表格3[Model-Input-Ref2],表格3[大小電])</f>
        <v>細電</v>
      </c>
      <c r="J3063" s="86" t="str">
        <f>_xlfn.XLOOKUP(表格1[[#This Row],[Model]],表格3[Model-Input-Ref2],表格3[Code])</f>
        <v>MCA</v>
      </c>
      <c r="K3063" s="89" t="s">
        <v>1276</v>
      </c>
      <c r="L3063" s="86">
        <v>1</v>
      </c>
      <c r="M3063" s="87">
        <v>598</v>
      </c>
      <c r="N3063" s="87">
        <f>IFERROR(表格1[[#This Row],[QTY]]*表格1[[#This Row],[Unit Price]],"-")</f>
        <v>598</v>
      </c>
      <c r="O3063" s="86">
        <v>1014209</v>
      </c>
      <c r="R3063" s="86" t="str">
        <f>_xlfn.CONCAT(表格1[[#This Row],[Model]]," ",表格1[[#This Row],[inv no]])</f>
        <v>MM2-EM20PC(WH) 1014209</v>
      </c>
      <c r="S3063" s="86">
        <f>_xlfn.XLOOKUP(表格1[[#This Row],[Model]],表格3[Model-Input-Ref2],表格3[SRP PRICE])</f>
        <v>788</v>
      </c>
      <c r="T3063" s="43">
        <f>表格1[[#This Row],[Unit Price]]/表格1[[#This Row],[SRP]]</f>
        <v>0.75888324873096447</v>
      </c>
      <c r="U3063" s="86" t="str">
        <f>_xlfn.XLOOKUP(表格1[[#This Row],[Model]],表格3[Model-Input-Ref2],表格3[TOSHIBA/HIGHEST])</f>
        <v>Toshiba SRP</v>
      </c>
      <c r="W3063" s="86" t="str">
        <f>_xlfn.CONCAT(表格1[[#This Row],[欄4]],表格1[[#This Row],[inv no]])</f>
        <v>1014209</v>
      </c>
    </row>
    <row r="3064" spans="1:23" hidden="1">
      <c r="A3064" s="81">
        <v>3062</v>
      </c>
      <c r="B3064" s="86" t="s">
        <v>1477</v>
      </c>
      <c r="C3064" s="86" t="s">
        <v>1954</v>
      </c>
      <c r="D3064" s="82" t="str">
        <f ca="1">OFFSET(Roster!$A$3,MATCH(表格1[[#This Row],[Location]]&amp;" "&amp;表格1[[#This Row],[Shop]]&amp;"*",Roster!$A$4:$A$72,0),DAY(表格1[[#This Row],[date]]),1,1)</f>
        <v>Kandy</v>
      </c>
      <c r="E3064" s="86">
        <f>MONTH(表格1[[#This Row],[date]])</f>
        <v>3</v>
      </c>
      <c r="F3064" s="90">
        <v>46088</v>
      </c>
      <c r="G3064" s="86" t="str">
        <f>VLOOKUP("*"&amp;表格1[[#This Row],[Input]]&amp;"*",'Ref-List'!$B:$D,2,)</f>
        <v>RC-10BHH(W)</v>
      </c>
      <c r="H3064" s="86" t="str">
        <f>_xlfn.XLOOKUP(表格1[[#This Row],[Model]],表格3[Model-Input-Ref2],表格3[Product Line])</f>
        <v>酵活炊磁應電飯煲</v>
      </c>
      <c r="I3064" s="86" t="str">
        <f>_xlfn.XLOOKUP(表格1[[#This Row],[Model]],表格3[Model-Input-Ref2],表格3[大小電])</f>
        <v>細電</v>
      </c>
      <c r="J3064" s="86" t="str">
        <f>_xlfn.XLOOKUP(表格1[[#This Row],[Model]],表格3[Model-Input-Ref2],表格3[Code])</f>
        <v>SDA</v>
      </c>
      <c r="K3064" s="89" t="s">
        <v>1269</v>
      </c>
      <c r="L3064" s="86">
        <v>1</v>
      </c>
      <c r="M3064" s="87">
        <v>1888</v>
      </c>
      <c r="N3064" s="87">
        <f>IFERROR(表格1[[#This Row],[QTY]]*表格1[[#This Row],[Unit Price]],"-")</f>
        <v>1888</v>
      </c>
      <c r="O3064" s="86">
        <v>1014192</v>
      </c>
      <c r="R3064" s="86" t="str">
        <f>_xlfn.CONCAT(表格1[[#This Row],[Model]]," ",表格1[[#This Row],[inv no]])</f>
        <v>RC-10BHH(W) 1014192</v>
      </c>
      <c r="S3064" s="86">
        <f>_xlfn.XLOOKUP(表格1[[#This Row],[Model]],表格3[Model-Input-Ref2],表格3[SRP PRICE])</f>
        <v>2088</v>
      </c>
      <c r="T3064" s="43">
        <f>表格1[[#This Row],[Unit Price]]/表格1[[#This Row],[SRP]]</f>
        <v>0.90421455938697315</v>
      </c>
      <c r="U3064" s="86" t="str">
        <f>_xlfn.XLOOKUP(表格1[[#This Row],[Model]],表格3[Model-Input-Ref2],表格3[TOSHIBA/HIGHEST])</f>
        <v>Shops Highest Price</v>
      </c>
      <c r="W3064" s="86" t="str">
        <f>_xlfn.CONCAT(表格1[[#This Row],[欄4]],表格1[[#This Row],[inv no]])</f>
        <v>1014192</v>
      </c>
    </row>
    <row r="3065" spans="1:23" hidden="1">
      <c r="A3065" s="81">
        <v>3063</v>
      </c>
      <c r="B3065" s="86" t="s">
        <v>1477</v>
      </c>
      <c r="C3065" s="86" t="s">
        <v>1954</v>
      </c>
      <c r="D3065" s="82" t="str">
        <f ca="1">OFFSET(Roster!$A$3,MATCH(表格1[[#This Row],[Location]]&amp;" "&amp;表格1[[#This Row],[Shop]]&amp;"*",Roster!$A$4:$A$72,0),DAY(表格1[[#This Row],[date]]),1,1)</f>
        <v>Kandy</v>
      </c>
      <c r="E3065" s="86">
        <f>MONTH(表格1[[#This Row],[date]])</f>
        <v>3</v>
      </c>
      <c r="F3065" s="90">
        <v>46088</v>
      </c>
      <c r="G3065" s="86" t="str">
        <f>VLOOKUP("*"&amp;表格1[[#This Row],[Input]]&amp;"*",'Ref-List'!$B:$D,2,)</f>
        <v>RC-18NMFIH(WT)</v>
      </c>
      <c r="H3065" s="86" t="str">
        <f>_xlfn.XLOOKUP(表格1[[#This Row],[Model]],表格3[Model-Input-Ref2],表格3[Product Line])</f>
        <v>4毫米厚釜電飯煲1.8L</v>
      </c>
      <c r="I3065" s="86" t="str">
        <f>_xlfn.XLOOKUP(表格1[[#This Row],[Model]],表格3[Model-Input-Ref2],表格3[大小電])</f>
        <v>細電</v>
      </c>
      <c r="J3065" s="86" t="str">
        <f>_xlfn.XLOOKUP(表格1[[#This Row],[Model]],表格3[Model-Input-Ref2],表格3[Code])</f>
        <v>SDA</v>
      </c>
      <c r="K3065" s="89" t="s">
        <v>1267</v>
      </c>
      <c r="L3065" s="86">
        <v>1</v>
      </c>
      <c r="M3065" s="87">
        <v>799</v>
      </c>
      <c r="N3065" s="87">
        <f>IFERROR(表格1[[#This Row],[QTY]]*表格1[[#This Row],[Unit Price]],"-")</f>
        <v>799</v>
      </c>
      <c r="O3065" s="86">
        <v>1014118</v>
      </c>
      <c r="R3065" s="86" t="str">
        <f>_xlfn.CONCAT(表格1[[#This Row],[Model]]," ",表格1[[#This Row],[inv no]])</f>
        <v>RC-18NMFIH(WT) 1014118</v>
      </c>
      <c r="S3065" s="86">
        <f>_xlfn.XLOOKUP(表格1[[#This Row],[Model]],表格3[Model-Input-Ref2],表格3[SRP PRICE])</f>
        <v>998</v>
      </c>
      <c r="T3065" s="43">
        <f>表格1[[#This Row],[Unit Price]]/表格1[[#This Row],[SRP]]</f>
        <v>0.80060120240480959</v>
      </c>
      <c r="U3065" s="86" t="str">
        <f>_xlfn.XLOOKUP(表格1[[#This Row],[Model]],表格3[Model-Input-Ref2],表格3[TOSHIBA/HIGHEST])</f>
        <v>Toshiba SRP</v>
      </c>
      <c r="W3065" s="86" t="str">
        <f>_xlfn.CONCAT(表格1[[#This Row],[欄4]],表格1[[#This Row],[inv no]])</f>
        <v>1014118</v>
      </c>
    </row>
    <row r="3066" spans="1:23" hidden="1">
      <c r="A3066" s="81">
        <v>3064</v>
      </c>
      <c r="B3066" s="86" t="s">
        <v>1477</v>
      </c>
      <c r="C3066" s="86" t="s">
        <v>1954</v>
      </c>
      <c r="D3066" s="82" t="str">
        <f ca="1">OFFSET(Roster!$A$3,MATCH(表格1[[#This Row],[Location]]&amp;" "&amp;表格1[[#This Row],[Shop]]&amp;"*",Roster!$A$4:$A$72,0),DAY(表格1[[#This Row],[date]]),1,1)</f>
        <v>Kandy</v>
      </c>
      <c r="E3066" s="86">
        <f>MONTH(表格1[[#This Row],[date]])</f>
        <v>3</v>
      </c>
      <c r="F3066" s="90">
        <v>46088</v>
      </c>
      <c r="G3066" s="86" t="str">
        <f>VLOOKUP("*"&amp;表格1[[#This Row],[Input]]&amp;"*",'Ref-List'!$B:$D,2,)</f>
        <v>KT-17SHNH</v>
      </c>
      <c r="H3066" s="86" t="str">
        <f>_xlfn.XLOOKUP(表格1[[#This Row],[Model]],表格3[Model-Input-Ref2],表格3[Product Line])</f>
        <v>1.7L無線雙層電熱水壺</v>
      </c>
      <c r="I3066" s="86" t="str">
        <f>_xlfn.XLOOKUP(表格1[[#This Row],[Model]],表格3[Model-Input-Ref2],表格3[大小電])</f>
        <v>細電</v>
      </c>
      <c r="J3066" s="86" t="str">
        <f>_xlfn.XLOOKUP(表格1[[#This Row],[Model]],表格3[Model-Input-Ref2],表格3[Code])</f>
        <v>SDA</v>
      </c>
      <c r="K3066" s="89" t="s">
        <v>1283</v>
      </c>
      <c r="L3066" s="86">
        <v>1</v>
      </c>
      <c r="M3066" s="87">
        <v>198</v>
      </c>
      <c r="N3066" s="87">
        <f>IFERROR(表格1[[#This Row],[QTY]]*表格1[[#This Row],[Unit Price]],"-")</f>
        <v>198</v>
      </c>
      <c r="O3066" s="86">
        <v>1014017</v>
      </c>
      <c r="R3066" s="86" t="str">
        <f>_xlfn.CONCAT(表格1[[#This Row],[Model]]," ",表格1[[#This Row],[inv no]])</f>
        <v>KT-17SHNH 1014017</v>
      </c>
      <c r="S3066" s="86">
        <f>_xlfn.XLOOKUP(表格1[[#This Row],[Model]],表格3[Model-Input-Ref2],表格3[SRP PRICE])</f>
        <v>299</v>
      </c>
      <c r="T3066" s="43">
        <f>表格1[[#This Row],[Unit Price]]/表格1[[#This Row],[SRP]]</f>
        <v>0.66220735785953178</v>
      </c>
      <c r="U3066" s="86" t="str">
        <f>_xlfn.XLOOKUP(表格1[[#This Row],[Model]],表格3[Model-Input-Ref2],表格3[TOSHIBA/HIGHEST])</f>
        <v>Shops Highest Price</v>
      </c>
      <c r="W3066" s="86" t="str">
        <f>_xlfn.CONCAT(表格1[[#This Row],[欄4]],表格1[[#This Row],[inv no]])</f>
        <v>1014017</v>
      </c>
    </row>
    <row r="3067" spans="1:23" hidden="1">
      <c r="A3067" s="81">
        <v>3065</v>
      </c>
      <c r="B3067" s="86" t="s">
        <v>1477</v>
      </c>
      <c r="C3067" s="86" t="s">
        <v>1954</v>
      </c>
      <c r="D3067" s="82" t="str">
        <f ca="1">OFFSET(Roster!$A$3,MATCH(表格1[[#This Row],[Location]]&amp;" "&amp;表格1[[#This Row],[Shop]]&amp;"*",Roster!$A$4:$A$72,0),DAY(表格1[[#This Row],[date]]),1,1)</f>
        <v>Kandy</v>
      </c>
      <c r="E3067" s="86">
        <f>MONTH(表格1[[#This Row],[date]])</f>
        <v>3</v>
      </c>
      <c r="F3067" s="90">
        <v>46088</v>
      </c>
      <c r="G3067" s="86" t="str">
        <f>VLOOKUP("*"&amp;表格1[[#This Row],[Input]]&amp;"*",'Ref-List'!$B:$D,2,)</f>
        <v>MM2-EM20PC(WH)</v>
      </c>
      <c r="H3067" s="86" t="str">
        <f>_xlfn.XLOOKUP(表格1[[#This Row],[Model]],表格3[Model-Input-Ref2],表格3[Product Line])</f>
        <v>輕觸式微波爐 (20公升)</v>
      </c>
      <c r="I3067" s="86" t="str">
        <f>_xlfn.XLOOKUP(表格1[[#This Row],[Model]],表格3[Model-Input-Ref2],表格3[大小電])</f>
        <v>細電</v>
      </c>
      <c r="J3067" s="86" t="str">
        <f>_xlfn.XLOOKUP(表格1[[#This Row],[Model]],表格3[Model-Input-Ref2],表格3[Code])</f>
        <v>MCA</v>
      </c>
      <c r="K3067" s="89" t="s">
        <v>1276</v>
      </c>
      <c r="L3067" s="86">
        <v>1</v>
      </c>
      <c r="M3067" s="87">
        <v>598</v>
      </c>
      <c r="N3067" s="87">
        <f>IFERROR(表格1[[#This Row],[QTY]]*表格1[[#This Row],[Unit Price]],"-")</f>
        <v>598</v>
      </c>
      <c r="O3067" s="86">
        <v>1014234</v>
      </c>
      <c r="R3067" s="86" t="str">
        <f>_xlfn.CONCAT(表格1[[#This Row],[Model]]," ",表格1[[#This Row],[inv no]])</f>
        <v>MM2-EM20PC(WH) 1014234</v>
      </c>
      <c r="S3067" s="86">
        <f>_xlfn.XLOOKUP(表格1[[#This Row],[Model]],表格3[Model-Input-Ref2],表格3[SRP PRICE])</f>
        <v>788</v>
      </c>
      <c r="T3067" s="43">
        <f>表格1[[#This Row],[Unit Price]]/表格1[[#This Row],[SRP]]</f>
        <v>0.75888324873096447</v>
      </c>
      <c r="U3067" s="86" t="str">
        <f>_xlfn.XLOOKUP(表格1[[#This Row],[Model]],表格3[Model-Input-Ref2],表格3[TOSHIBA/HIGHEST])</f>
        <v>Toshiba SRP</v>
      </c>
      <c r="W3067" s="86" t="str">
        <f>_xlfn.CONCAT(表格1[[#This Row],[欄4]],表格1[[#This Row],[inv no]])</f>
        <v>1014234</v>
      </c>
    </row>
    <row r="3068" spans="1:23" hidden="1">
      <c r="A3068" s="81">
        <v>3066</v>
      </c>
      <c r="B3068" s="86" t="s">
        <v>1477</v>
      </c>
      <c r="C3068" s="86" t="s">
        <v>1954</v>
      </c>
      <c r="D3068" s="82" t="str">
        <f ca="1">OFFSET(Roster!$A$3,MATCH(表格1[[#This Row],[Location]]&amp;" "&amp;表格1[[#This Row],[Shop]]&amp;"*",Roster!$A$4:$A$72,0),DAY(表格1[[#This Row],[date]]),1,1)</f>
        <v>Kandy</v>
      </c>
      <c r="E3068" s="86">
        <f>MONTH(表格1[[#This Row],[date]])</f>
        <v>3</v>
      </c>
      <c r="F3068" s="90">
        <v>46088</v>
      </c>
      <c r="G3068" s="86" t="str">
        <f>VLOOKUP("*"&amp;表格1[[#This Row],[Input]]&amp;"*",'Ref-List'!$B:$D,2,)</f>
        <v>MM2-EG20PC(WH)</v>
      </c>
      <c r="H3068" s="86" t="str">
        <f>_xlfn.XLOOKUP(表格1[[#This Row],[Model]],表格3[Model-Input-Ref2],表格3[Product Line])</f>
        <v>輕觸式燒烤微波爐</v>
      </c>
      <c r="I3068" s="86" t="str">
        <f>_xlfn.XLOOKUP(表格1[[#This Row],[Model]],表格3[Model-Input-Ref2],表格3[大小電])</f>
        <v>細電</v>
      </c>
      <c r="J3068" s="86" t="str">
        <f>_xlfn.XLOOKUP(表格1[[#This Row],[Model]],表格3[Model-Input-Ref2],表格3[Code])</f>
        <v>MCA</v>
      </c>
      <c r="K3068" s="89" t="s">
        <v>1273</v>
      </c>
      <c r="L3068" s="86">
        <v>1</v>
      </c>
      <c r="M3068" s="87">
        <v>698</v>
      </c>
      <c r="N3068" s="87">
        <f>IFERROR(表格1[[#This Row],[QTY]]*表格1[[#This Row],[Unit Price]],"-")</f>
        <v>698</v>
      </c>
      <c r="O3068" s="86">
        <v>1014343</v>
      </c>
      <c r="R3068" s="86" t="str">
        <f>_xlfn.CONCAT(表格1[[#This Row],[Model]]," ",表格1[[#This Row],[inv no]])</f>
        <v>MM2-EG20PC(WH) 1014343</v>
      </c>
      <c r="S3068" s="86">
        <f>_xlfn.XLOOKUP(表格1[[#This Row],[Model]],表格3[Model-Input-Ref2],表格3[SRP PRICE])</f>
        <v>918</v>
      </c>
      <c r="T3068" s="43">
        <f>表格1[[#This Row],[Unit Price]]/表格1[[#This Row],[SRP]]</f>
        <v>0.76034858387799564</v>
      </c>
      <c r="U3068" s="86" t="str">
        <f>_xlfn.XLOOKUP(表格1[[#This Row],[Model]],表格3[Model-Input-Ref2],表格3[TOSHIBA/HIGHEST])</f>
        <v>Shops Highest Price</v>
      </c>
      <c r="W3068" s="86" t="str">
        <f>_xlfn.CONCAT(表格1[[#This Row],[欄4]],表格1[[#This Row],[inv no]])</f>
        <v>1014343</v>
      </c>
    </row>
    <row r="3069" spans="1:23" hidden="1">
      <c r="A3069" s="81">
        <v>3067</v>
      </c>
      <c r="B3069" s="86" t="s">
        <v>1477</v>
      </c>
      <c r="C3069" s="86" t="s">
        <v>1954</v>
      </c>
      <c r="D3069" s="82" t="str">
        <f ca="1">OFFSET(Roster!$A$3,MATCH(表格1[[#This Row],[Location]]&amp;" "&amp;表格1[[#This Row],[Shop]]&amp;"*",Roster!$A$4:$A$72,0),DAY(表格1[[#This Row],[date]]),1,1)</f>
        <v>Kandy</v>
      </c>
      <c r="E3069" s="86">
        <f>MONTH(表格1[[#This Row],[date]])</f>
        <v>3</v>
      </c>
      <c r="F3069" s="90">
        <v>46088</v>
      </c>
      <c r="G3069" s="86" t="str">
        <f>VLOOKUP("*"&amp;表格1[[#This Row],[Input]]&amp;"*",'Ref-List'!$B:$D,2,)</f>
        <v>MWP-MM20P(WH)</v>
      </c>
      <c r="H3069" s="86" t="str">
        <f>_xlfn.XLOOKUP(表格1[[#This Row],[Model]],表格3[Model-Input-Ref2],表格3[Product Line])</f>
        <v>旋鈕式燒烤微波爐20L</v>
      </c>
      <c r="I3069" s="86" t="str">
        <f>_xlfn.XLOOKUP(表格1[[#This Row],[Model]],表格3[Model-Input-Ref2],表格3[大小電])</f>
        <v>細電</v>
      </c>
      <c r="J3069" s="86" t="str">
        <f>_xlfn.XLOOKUP(表格1[[#This Row],[Model]],表格3[Model-Input-Ref2],表格3[Code])</f>
        <v>SDA</v>
      </c>
      <c r="K3069" s="89" t="s">
        <v>1270</v>
      </c>
      <c r="L3069" s="86">
        <v>1</v>
      </c>
      <c r="M3069" s="87">
        <v>488</v>
      </c>
      <c r="N3069" s="87">
        <f>IFERROR(表格1[[#This Row],[QTY]]*表格1[[#This Row],[Unit Price]],"-")</f>
        <v>488</v>
      </c>
      <c r="O3069" s="86">
        <v>1014378</v>
      </c>
      <c r="R3069" s="86" t="str">
        <f>_xlfn.CONCAT(表格1[[#This Row],[Model]]," ",表格1[[#This Row],[inv no]])</f>
        <v>MWP-MM20P(WH) 1014378</v>
      </c>
      <c r="S3069" s="86">
        <f>_xlfn.XLOOKUP(表格1[[#This Row],[Model]],表格3[Model-Input-Ref2],表格3[SRP PRICE])</f>
        <v>648</v>
      </c>
      <c r="T3069" s="43">
        <f>表格1[[#This Row],[Unit Price]]/表格1[[#This Row],[SRP]]</f>
        <v>0.75308641975308643</v>
      </c>
      <c r="U3069" s="86" t="str">
        <f>_xlfn.XLOOKUP(表格1[[#This Row],[Model]],表格3[Model-Input-Ref2],表格3[TOSHIBA/HIGHEST])</f>
        <v>Toshiba SRP</v>
      </c>
      <c r="W3069" s="86" t="str">
        <f>_xlfn.CONCAT(表格1[[#This Row],[欄4]],表格1[[#This Row],[inv no]])</f>
        <v>1014378</v>
      </c>
    </row>
    <row r="3070" spans="1:23" hidden="1">
      <c r="A3070" s="81">
        <v>3068</v>
      </c>
      <c r="B3070" s="86" t="s">
        <v>1477</v>
      </c>
      <c r="C3070" s="86" t="s">
        <v>1954</v>
      </c>
      <c r="D3070" s="82" t="str">
        <f ca="1">OFFSET(Roster!$A$3,MATCH(表格1[[#This Row],[Location]]&amp;" "&amp;表格1[[#This Row],[Shop]]&amp;"*",Roster!$A$4:$A$72,0),DAY(表格1[[#This Row],[date]]),1,1)</f>
        <v>Kandy</v>
      </c>
      <c r="E3070" s="86">
        <f>MONTH(表格1[[#This Row],[date]])</f>
        <v>3</v>
      </c>
      <c r="F3070" s="90">
        <v>46088</v>
      </c>
      <c r="G3070" s="86" t="str">
        <f>VLOOKUP("*"&amp;表格1[[#This Row],[Input]]&amp;"*",'Ref-List'!$B:$D,2,)</f>
        <v>KT-15DRTHK(W)</v>
      </c>
      <c r="H3070" s="86" t="str">
        <f>_xlfn.XLOOKUP(表格1[[#This Row],[Model]],表格3[Model-Input-Ref2],表格3[Product Line])</f>
        <v>無線雙層電熱水壺-附可鎖壺蓋</v>
      </c>
      <c r="I3070" s="86" t="str">
        <f>_xlfn.XLOOKUP(表格1[[#This Row],[Model]],表格3[Model-Input-Ref2],表格3[大小電])</f>
        <v>細電</v>
      </c>
      <c r="J3070" s="86" t="str">
        <f>_xlfn.XLOOKUP(表格1[[#This Row],[Model]],表格3[Model-Input-Ref2],表格3[Code])</f>
        <v>SDA</v>
      </c>
      <c r="K3070" s="89" t="s">
        <v>1278</v>
      </c>
      <c r="L3070" s="86">
        <v>1</v>
      </c>
      <c r="M3070" s="87">
        <v>355</v>
      </c>
      <c r="N3070" s="87">
        <f>IFERROR(表格1[[#This Row],[QTY]]*表格1[[#This Row],[Unit Price]],"-")</f>
        <v>355</v>
      </c>
      <c r="O3070" s="86">
        <v>1014390</v>
      </c>
      <c r="R3070" s="86" t="str">
        <f>_xlfn.CONCAT(表格1[[#This Row],[Model]]," ",表格1[[#This Row],[inv no]])</f>
        <v>KT-15DRTHK(W) 1014390</v>
      </c>
      <c r="S3070" s="86">
        <f>_xlfn.XLOOKUP(表格1[[#This Row],[Model]],表格3[Model-Input-Ref2],表格3[SRP PRICE])</f>
        <v>598</v>
      </c>
      <c r="T3070" s="43">
        <f>表格1[[#This Row],[Unit Price]]/表格1[[#This Row],[SRP]]</f>
        <v>0.59364548494983282</v>
      </c>
      <c r="U3070" s="86" t="str">
        <f>_xlfn.XLOOKUP(表格1[[#This Row],[Model]],表格3[Model-Input-Ref2],表格3[TOSHIBA/HIGHEST])</f>
        <v>Toshiba SRP</v>
      </c>
      <c r="W3070" s="86" t="str">
        <f>_xlfn.CONCAT(表格1[[#This Row],[欄4]],表格1[[#This Row],[inv no]])</f>
        <v>1014390</v>
      </c>
    </row>
    <row r="3071" spans="1:23" hidden="1">
      <c r="A3071" s="81">
        <v>3069</v>
      </c>
      <c r="B3071" s="86" t="s">
        <v>1477</v>
      </c>
      <c r="C3071" s="86" t="s">
        <v>1954</v>
      </c>
      <c r="D3071" s="82" t="str">
        <f ca="1">OFFSET(Roster!$A$3,MATCH(表格1[[#This Row],[Location]]&amp;" "&amp;表格1[[#This Row],[Shop]]&amp;"*",Roster!$A$4:$A$72,0),DAY(表格1[[#This Row],[date]]),1,1)</f>
        <v>Kandy</v>
      </c>
      <c r="E3071" s="86">
        <f>MONTH(表格1[[#This Row],[date]])</f>
        <v>3</v>
      </c>
      <c r="F3071" s="90">
        <v>46088</v>
      </c>
      <c r="G3071" s="86" t="str">
        <f>VLOOKUP("*"&amp;表格1[[#This Row],[Input]]&amp;"*",'Ref-List'!$B:$D,2,)</f>
        <v>RC-10DRNH</v>
      </c>
      <c r="H3071" s="86" t="str">
        <f>_xlfn.XLOOKUP(表格1[[#This Row],[Model]],表格3[Model-Input-Ref2],表格3[Product Line])</f>
        <v>多功能備長炭本厚釜電飯煲1L</v>
      </c>
      <c r="I3071" s="86" t="str">
        <f>_xlfn.XLOOKUP(表格1[[#This Row],[Model]],表格3[Model-Input-Ref2],表格3[大小電])</f>
        <v>細電</v>
      </c>
      <c r="J3071" s="86" t="str">
        <f>_xlfn.XLOOKUP(表格1[[#This Row],[Model]],表格3[Model-Input-Ref2],表格3[Code])</f>
        <v>SDA</v>
      </c>
      <c r="K3071" s="89" t="s">
        <v>1376</v>
      </c>
      <c r="L3071" s="86">
        <v>1</v>
      </c>
      <c r="M3071" s="87">
        <v>537</v>
      </c>
      <c r="N3071" s="87">
        <f>IFERROR(表格1[[#This Row],[QTY]]*表格1[[#This Row],[Unit Price]],"-")</f>
        <v>537</v>
      </c>
      <c r="O3071" s="86">
        <v>1014325</v>
      </c>
      <c r="P3071" s="86" t="s">
        <v>1957</v>
      </c>
      <c r="R3071" s="86" t="str">
        <f>_xlfn.CONCAT(表格1[[#This Row],[Model]]," ",表格1[[#This Row],[inv no]])</f>
        <v>RC-10DRNH 1014325</v>
      </c>
      <c r="S3071" s="86">
        <f>_xlfn.XLOOKUP(表格1[[#This Row],[Model]],表格3[Model-Input-Ref2],表格3[SRP PRICE])</f>
        <v>798</v>
      </c>
      <c r="T3071" s="43">
        <f>表格1[[#This Row],[Unit Price]]/表格1[[#This Row],[SRP]]</f>
        <v>0.67293233082706772</v>
      </c>
      <c r="U3071" s="86" t="str">
        <f>_xlfn.XLOOKUP(表格1[[#This Row],[Model]],表格3[Model-Input-Ref2],表格3[TOSHIBA/HIGHEST])</f>
        <v>Toshiba SRP</v>
      </c>
      <c r="W3071" s="86" t="str">
        <f>_xlfn.CONCAT(表格1[[#This Row],[欄4]],表格1[[#This Row],[inv no]])</f>
        <v>1014325</v>
      </c>
    </row>
    <row r="3072" spans="1:23" hidden="1">
      <c r="A3072" s="81">
        <v>3070</v>
      </c>
      <c r="B3072" s="86" t="s">
        <v>1477</v>
      </c>
      <c r="C3072" s="86" t="s">
        <v>1954</v>
      </c>
      <c r="D3072" s="82" t="str">
        <f ca="1">OFFSET(Roster!$A$3,MATCH(表格1[[#This Row],[Location]]&amp;" "&amp;表格1[[#This Row],[Shop]]&amp;"*",Roster!$A$4:$A$72,0),DAY(表格1[[#This Row],[date]]),1,1)</f>
        <v>Kandy</v>
      </c>
      <c r="E3072" s="86">
        <f>MONTH(表格1[[#This Row],[date]])</f>
        <v>3</v>
      </c>
      <c r="F3072" s="90">
        <v>46089</v>
      </c>
      <c r="G3072" s="86" t="str">
        <f>VLOOKUP("*"&amp;表格1[[#This Row],[Input]]&amp;"*",'Ref-List'!$B:$D,2,)</f>
        <v>DW-05T2-HK</v>
      </c>
      <c r="H3072" s="86" t="str">
        <f>_xlfn.XLOOKUP(表格1[[#This Row],[Model]],表格3[Model-Input-Ref2],表格3[Product Line])</f>
        <v>座檯式洗碗碟機</v>
      </c>
      <c r="I3072" s="86" t="str">
        <f>_xlfn.XLOOKUP(表格1[[#This Row],[Model]],表格3[Model-Input-Ref2],表格3[大小電])</f>
        <v>細電</v>
      </c>
      <c r="J3072" s="86" t="str">
        <f>_xlfn.XLOOKUP(表格1[[#This Row],[Model]],表格3[Model-Input-Ref2],表格3[Code])</f>
        <v>DW</v>
      </c>
      <c r="K3072" s="89" t="s">
        <v>1475</v>
      </c>
      <c r="L3072" s="86">
        <v>1</v>
      </c>
      <c r="M3072" s="87">
        <v>3780</v>
      </c>
      <c r="N3072" s="87">
        <f>IFERROR(表格1[[#This Row],[QTY]]*表格1[[#This Row],[Unit Price]],"-")</f>
        <v>3780</v>
      </c>
      <c r="O3072" s="86">
        <v>1014402</v>
      </c>
      <c r="R3072" s="86" t="str">
        <f>_xlfn.CONCAT(表格1[[#This Row],[Model]]," ",表格1[[#This Row],[inv no]])</f>
        <v>DW-05T2-HK 1014402</v>
      </c>
      <c r="S3072" s="86">
        <f>_xlfn.XLOOKUP(表格1[[#This Row],[Model]],表格3[Model-Input-Ref2],表格3[SRP PRICE])</f>
        <v>4580</v>
      </c>
      <c r="T3072" s="43">
        <f>表格1[[#This Row],[Unit Price]]/表格1[[#This Row],[SRP]]</f>
        <v>0.8253275109170306</v>
      </c>
      <c r="U3072" s="86" t="str">
        <f>_xlfn.XLOOKUP(表格1[[#This Row],[Model]],表格3[Model-Input-Ref2],表格3[TOSHIBA/HIGHEST])</f>
        <v>Toshiba SRP</v>
      </c>
      <c r="W3072" s="86" t="str">
        <f>_xlfn.CONCAT(表格1[[#This Row],[欄4]],表格1[[#This Row],[inv no]])</f>
        <v>1014402</v>
      </c>
    </row>
    <row r="3073" spans="1:23" hidden="1">
      <c r="A3073" s="81">
        <v>3071</v>
      </c>
      <c r="B3073" s="86" t="s">
        <v>1477</v>
      </c>
      <c r="C3073" s="86" t="s">
        <v>1954</v>
      </c>
      <c r="D3073" s="82" t="str">
        <f ca="1">OFFSET(Roster!$A$3,MATCH(表格1[[#This Row],[Location]]&amp;" "&amp;表格1[[#This Row],[Shop]]&amp;"*",Roster!$A$4:$A$72,0),DAY(表格1[[#This Row],[date]]),1,1)</f>
        <v>Kandy</v>
      </c>
      <c r="E3073" s="86">
        <f>MONTH(表格1[[#This Row],[date]])</f>
        <v>3</v>
      </c>
      <c r="F3073" s="90">
        <v>46089</v>
      </c>
      <c r="G3073" s="86" t="str">
        <f>VLOOKUP("*"&amp;表格1[[#This Row],[Input]]&amp;"*",'Ref-List'!$B:$D,2,)</f>
        <v>MM2-EG20PC(WH)</v>
      </c>
      <c r="H3073" s="86" t="str">
        <f>_xlfn.XLOOKUP(表格1[[#This Row],[Model]],表格3[Model-Input-Ref2],表格3[Product Line])</f>
        <v>輕觸式燒烤微波爐</v>
      </c>
      <c r="I3073" s="86" t="str">
        <f>_xlfn.XLOOKUP(表格1[[#This Row],[Model]],表格3[Model-Input-Ref2],表格3[大小電])</f>
        <v>細電</v>
      </c>
      <c r="J3073" s="86" t="str">
        <f>_xlfn.XLOOKUP(表格1[[#This Row],[Model]],表格3[Model-Input-Ref2],表格3[Code])</f>
        <v>MCA</v>
      </c>
      <c r="K3073" s="89" t="s">
        <v>1273</v>
      </c>
      <c r="L3073" s="86">
        <v>1</v>
      </c>
      <c r="M3073" s="87">
        <v>698</v>
      </c>
      <c r="N3073" s="87">
        <f>IFERROR(表格1[[#This Row],[QTY]]*表格1[[#This Row],[Unit Price]],"-")</f>
        <v>698</v>
      </c>
      <c r="O3073" s="86">
        <v>1014476</v>
      </c>
      <c r="R3073" s="86" t="str">
        <f>_xlfn.CONCAT(表格1[[#This Row],[Model]]," ",表格1[[#This Row],[inv no]])</f>
        <v>MM2-EG20PC(WH) 1014476</v>
      </c>
      <c r="S3073" s="86">
        <f>_xlfn.XLOOKUP(表格1[[#This Row],[Model]],表格3[Model-Input-Ref2],表格3[SRP PRICE])</f>
        <v>918</v>
      </c>
      <c r="T3073" s="43">
        <f>表格1[[#This Row],[Unit Price]]/表格1[[#This Row],[SRP]]</f>
        <v>0.76034858387799564</v>
      </c>
      <c r="U3073" s="86" t="str">
        <f>_xlfn.XLOOKUP(表格1[[#This Row],[Model]],表格3[Model-Input-Ref2],表格3[TOSHIBA/HIGHEST])</f>
        <v>Shops Highest Price</v>
      </c>
      <c r="W3073" s="86" t="str">
        <f>_xlfn.CONCAT(表格1[[#This Row],[欄4]],表格1[[#This Row],[inv no]])</f>
        <v>1014476</v>
      </c>
    </row>
    <row r="3074" spans="1:23" hidden="1">
      <c r="A3074" s="81">
        <v>3072</v>
      </c>
      <c r="B3074" s="86" t="s">
        <v>1477</v>
      </c>
      <c r="C3074" s="86" t="s">
        <v>1954</v>
      </c>
      <c r="D3074" s="82" t="str">
        <f ca="1">OFFSET(Roster!$A$3,MATCH(表格1[[#This Row],[Location]]&amp;" "&amp;表格1[[#This Row],[Shop]]&amp;"*",Roster!$A$4:$A$72,0),DAY(表格1[[#This Row],[date]]),1,1)</f>
        <v>Kandy</v>
      </c>
      <c r="E3074" s="86">
        <f>MONTH(表格1[[#This Row],[date]])</f>
        <v>3</v>
      </c>
      <c r="F3074" s="90">
        <v>46089</v>
      </c>
      <c r="G3074" s="86" t="str">
        <f>VLOOKUP("*"&amp;表格1[[#This Row],[Input]]&amp;"*",'Ref-List'!$B:$D,2,)</f>
        <v>RC-18NMFIH(WT)</v>
      </c>
      <c r="H3074" s="86" t="str">
        <f>_xlfn.XLOOKUP(表格1[[#This Row],[Model]],表格3[Model-Input-Ref2],表格3[Product Line])</f>
        <v>4毫米厚釜電飯煲1.8L</v>
      </c>
      <c r="I3074" s="86" t="str">
        <f>_xlfn.XLOOKUP(表格1[[#This Row],[Model]],表格3[Model-Input-Ref2],表格3[大小電])</f>
        <v>細電</v>
      </c>
      <c r="J3074" s="86" t="str">
        <f>_xlfn.XLOOKUP(表格1[[#This Row],[Model]],表格3[Model-Input-Ref2],表格3[Code])</f>
        <v>SDA</v>
      </c>
      <c r="K3074" s="89" t="s">
        <v>1267</v>
      </c>
      <c r="L3074" s="86">
        <v>1</v>
      </c>
      <c r="M3074" s="87">
        <v>799</v>
      </c>
      <c r="N3074" s="87">
        <f>IFERROR(表格1[[#This Row],[QTY]]*表格1[[#This Row],[Unit Price]],"-")</f>
        <v>799</v>
      </c>
      <c r="O3074" s="86">
        <v>1014435</v>
      </c>
      <c r="R3074" s="86" t="str">
        <f>_xlfn.CONCAT(表格1[[#This Row],[Model]]," ",表格1[[#This Row],[inv no]])</f>
        <v>RC-18NMFIH(WT) 1014435</v>
      </c>
      <c r="S3074" s="86">
        <f>_xlfn.XLOOKUP(表格1[[#This Row],[Model]],表格3[Model-Input-Ref2],表格3[SRP PRICE])</f>
        <v>998</v>
      </c>
      <c r="T3074" s="43">
        <f>表格1[[#This Row],[Unit Price]]/表格1[[#This Row],[SRP]]</f>
        <v>0.80060120240480959</v>
      </c>
      <c r="U3074" s="86" t="str">
        <f>_xlfn.XLOOKUP(表格1[[#This Row],[Model]],表格3[Model-Input-Ref2],表格3[TOSHIBA/HIGHEST])</f>
        <v>Toshiba SRP</v>
      </c>
      <c r="W3074" s="86" t="str">
        <f>_xlfn.CONCAT(表格1[[#This Row],[欄4]],表格1[[#This Row],[inv no]])</f>
        <v>1014435</v>
      </c>
    </row>
    <row r="3075" spans="1:23" hidden="1">
      <c r="A3075" s="81">
        <v>3073</v>
      </c>
      <c r="B3075" s="86" t="s">
        <v>1477</v>
      </c>
      <c r="C3075" s="86" t="s">
        <v>1954</v>
      </c>
      <c r="D3075" s="82" t="str">
        <f ca="1">OFFSET(Roster!$A$3,MATCH(表格1[[#This Row],[Location]]&amp;" "&amp;表格1[[#This Row],[Shop]]&amp;"*",Roster!$A$4:$A$72,0),DAY(表格1[[#This Row],[date]]),1,1)</f>
        <v>Kandy</v>
      </c>
      <c r="E3075" s="86">
        <f>MONTH(表格1[[#This Row],[date]])</f>
        <v>3</v>
      </c>
      <c r="F3075" s="90">
        <v>46089</v>
      </c>
      <c r="G3075" s="86" t="str">
        <f>VLOOKUP("*"&amp;表格1[[#This Row],[Input]]&amp;"*",'Ref-List'!$B:$D,2,)</f>
        <v>RC-18NMFIH(WT)</v>
      </c>
      <c r="H3075" s="86" t="str">
        <f>_xlfn.XLOOKUP(表格1[[#This Row],[Model]],表格3[Model-Input-Ref2],表格3[Product Line])</f>
        <v>4毫米厚釜電飯煲1.8L</v>
      </c>
      <c r="I3075" s="86" t="str">
        <f>_xlfn.XLOOKUP(表格1[[#This Row],[Model]],表格3[Model-Input-Ref2],表格3[大小電])</f>
        <v>細電</v>
      </c>
      <c r="J3075" s="86" t="str">
        <f>_xlfn.XLOOKUP(表格1[[#This Row],[Model]],表格3[Model-Input-Ref2],表格3[Code])</f>
        <v>SDA</v>
      </c>
      <c r="K3075" s="89" t="s">
        <v>1267</v>
      </c>
      <c r="L3075" s="86">
        <v>1</v>
      </c>
      <c r="M3075" s="87">
        <v>799</v>
      </c>
      <c r="N3075" s="87">
        <f>IFERROR(表格1[[#This Row],[QTY]]*表格1[[#This Row],[Unit Price]],"-")</f>
        <v>799</v>
      </c>
      <c r="O3075" s="86">
        <v>1014651</v>
      </c>
      <c r="R3075" s="86" t="str">
        <f>_xlfn.CONCAT(表格1[[#This Row],[Model]]," ",表格1[[#This Row],[inv no]])</f>
        <v>RC-18NMFIH(WT) 1014651</v>
      </c>
      <c r="S3075" s="86">
        <f>_xlfn.XLOOKUP(表格1[[#This Row],[Model]],表格3[Model-Input-Ref2],表格3[SRP PRICE])</f>
        <v>998</v>
      </c>
      <c r="T3075" s="43">
        <f>表格1[[#This Row],[Unit Price]]/表格1[[#This Row],[SRP]]</f>
        <v>0.80060120240480959</v>
      </c>
      <c r="U3075" s="86" t="str">
        <f>_xlfn.XLOOKUP(表格1[[#This Row],[Model]],表格3[Model-Input-Ref2],表格3[TOSHIBA/HIGHEST])</f>
        <v>Toshiba SRP</v>
      </c>
      <c r="W3075" s="86" t="str">
        <f>_xlfn.CONCAT(表格1[[#This Row],[欄4]],表格1[[#This Row],[inv no]])</f>
        <v>1014651</v>
      </c>
    </row>
    <row r="3076" spans="1:23" hidden="1">
      <c r="A3076" s="81">
        <v>3074</v>
      </c>
      <c r="B3076" s="86" t="s">
        <v>1477</v>
      </c>
      <c r="C3076" s="86" t="s">
        <v>1954</v>
      </c>
      <c r="D3076" s="82" t="str">
        <f ca="1">OFFSET(Roster!$A$3,MATCH(表格1[[#This Row],[Location]]&amp;" "&amp;表格1[[#This Row],[Shop]]&amp;"*",Roster!$A$4:$A$72,0),DAY(表格1[[#This Row],[date]]),1,1)</f>
        <v>Kandy</v>
      </c>
      <c r="E3076" s="86">
        <f>MONTH(表格1[[#This Row],[date]])</f>
        <v>3</v>
      </c>
      <c r="F3076" s="90">
        <v>46089</v>
      </c>
      <c r="G3076" s="86" t="str">
        <f>VLOOKUP("*"&amp;表格1[[#This Row],[Input]]&amp;"*",'Ref-List'!$B:$D,2,)</f>
        <v>KT-17SHNH</v>
      </c>
      <c r="H3076" s="86" t="str">
        <f>_xlfn.XLOOKUP(表格1[[#This Row],[Model]],表格3[Model-Input-Ref2],表格3[Product Line])</f>
        <v>1.7L無線雙層電熱水壺</v>
      </c>
      <c r="I3076" s="86" t="str">
        <f>_xlfn.XLOOKUP(表格1[[#This Row],[Model]],表格3[Model-Input-Ref2],表格3[大小電])</f>
        <v>細電</v>
      </c>
      <c r="J3076" s="86" t="str">
        <f>_xlfn.XLOOKUP(表格1[[#This Row],[Model]],表格3[Model-Input-Ref2],表格3[Code])</f>
        <v>SDA</v>
      </c>
      <c r="K3076" s="89" t="s">
        <v>1283</v>
      </c>
      <c r="L3076" s="86">
        <v>1</v>
      </c>
      <c r="M3076" s="87">
        <v>198</v>
      </c>
      <c r="N3076" s="87">
        <f>IFERROR(表格1[[#This Row],[QTY]]*表格1[[#This Row],[Unit Price]],"-")</f>
        <v>198</v>
      </c>
      <c r="O3076" s="86">
        <v>1014665</v>
      </c>
      <c r="R3076" s="86" t="str">
        <f>_xlfn.CONCAT(表格1[[#This Row],[Model]]," ",表格1[[#This Row],[inv no]])</f>
        <v>KT-17SHNH 1014665</v>
      </c>
      <c r="S3076" s="86">
        <f>_xlfn.XLOOKUP(表格1[[#This Row],[Model]],表格3[Model-Input-Ref2],表格3[SRP PRICE])</f>
        <v>299</v>
      </c>
      <c r="T3076" s="43">
        <f>表格1[[#This Row],[Unit Price]]/表格1[[#This Row],[SRP]]</f>
        <v>0.66220735785953178</v>
      </c>
      <c r="U3076" s="86" t="str">
        <f>_xlfn.XLOOKUP(表格1[[#This Row],[Model]],表格3[Model-Input-Ref2],表格3[TOSHIBA/HIGHEST])</f>
        <v>Shops Highest Price</v>
      </c>
      <c r="W3076" s="86" t="str">
        <f>_xlfn.CONCAT(表格1[[#This Row],[欄4]],表格1[[#This Row],[inv no]])</f>
        <v>1014665</v>
      </c>
    </row>
    <row r="3077" spans="1:23" hidden="1">
      <c r="A3077" s="81">
        <v>3075</v>
      </c>
      <c r="B3077" s="86" t="s">
        <v>1477</v>
      </c>
      <c r="C3077" s="86" t="s">
        <v>1954</v>
      </c>
      <c r="D3077" s="82" t="str">
        <f ca="1">OFFSET(Roster!$A$3,MATCH(表格1[[#This Row],[Location]]&amp;" "&amp;表格1[[#This Row],[Shop]]&amp;"*",Roster!$A$4:$A$72,0),DAY(表格1[[#This Row],[date]]),1,1)</f>
        <v>Kandy</v>
      </c>
      <c r="E3077" s="86">
        <f>MONTH(表格1[[#This Row],[date]])</f>
        <v>3</v>
      </c>
      <c r="F3077" s="90">
        <v>46089</v>
      </c>
      <c r="G3077" s="86" t="str">
        <f>VLOOKUP("*"&amp;表格1[[#This Row],[Input]]&amp;"*",'Ref-List'!$B:$D,2,)</f>
        <v>KT-17SHNH</v>
      </c>
      <c r="H3077" s="86" t="str">
        <f>_xlfn.XLOOKUP(表格1[[#This Row],[Model]],表格3[Model-Input-Ref2],表格3[Product Line])</f>
        <v>1.7L無線雙層電熱水壺</v>
      </c>
      <c r="I3077" s="86" t="str">
        <f>_xlfn.XLOOKUP(表格1[[#This Row],[Model]],表格3[Model-Input-Ref2],表格3[大小電])</f>
        <v>細電</v>
      </c>
      <c r="J3077" s="86" t="str">
        <f>_xlfn.XLOOKUP(表格1[[#This Row],[Model]],表格3[Model-Input-Ref2],表格3[Code])</f>
        <v>SDA</v>
      </c>
      <c r="K3077" s="89" t="s">
        <v>1283</v>
      </c>
      <c r="L3077" s="86">
        <v>1</v>
      </c>
      <c r="M3077" s="87">
        <v>198</v>
      </c>
      <c r="N3077" s="87">
        <f>IFERROR(表格1[[#This Row],[QTY]]*表格1[[#This Row],[Unit Price]],"-")</f>
        <v>198</v>
      </c>
      <c r="O3077" s="86">
        <v>1014680</v>
      </c>
      <c r="R3077" s="86" t="str">
        <f>_xlfn.CONCAT(表格1[[#This Row],[Model]]," ",表格1[[#This Row],[inv no]])</f>
        <v>KT-17SHNH 1014680</v>
      </c>
      <c r="S3077" s="86">
        <f>_xlfn.XLOOKUP(表格1[[#This Row],[Model]],表格3[Model-Input-Ref2],表格3[SRP PRICE])</f>
        <v>299</v>
      </c>
      <c r="T3077" s="43">
        <f>表格1[[#This Row],[Unit Price]]/表格1[[#This Row],[SRP]]</f>
        <v>0.66220735785953178</v>
      </c>
      <c r="U3077" s="86" t="str">
        <f>_xlfn.XLOOKUP(表格1[[#This Row],[Model]],表格3[Model-Input-Ref2],表格3[TOSHIBA/HIGHEST])</f>
        <v>Shops Highest Price</v>
      </c>
      <c r="W3077" s="86" t="str">
        <f>_xlfn.CONCAT(表格1[[#This Row],[欄4]],表格1[[#This Row],[inv no]])</f>
        <v>1014680</v>
      </c>
    </row>
    <row r="3078" spans="1:23" hidden="1">
      <c r="A3078" s="81">
        <v>3076</v>
      </c>
      <c r="B3078" s="86" t="s">
        <v>1477</v>
      </c>
      <c r="C3078" s="86" t="s">
        <v>1954</v>
      </c>
      <c r="D3078" s="82" t="str">
        <f ca="1">OFFSET(Roster!$A$3,MATCH(表格1[[#This Row],[Location]]&amp;" "&amp;表格1[[#This Row],[Shop]]&amp;"*",Roster!$A$4:$A$72,0),DAY(表格1[[#This Row],[date]]),1,1)</f>
        <v>Kandy</v>
      </c>
      <c r="E3078" s="86">
        <f>MONTH(表格1[[#This Row],[date]])</f>
        <v>3</v>
      </c>
      <c r="F3078" s="90">
        <v>46089</v>
      </c>
      <c r="G3078" s="86" t="str">
        <f>VLOOKUP("*"&amp;表格1[[#This Row],[Input]]&amp;"*",'Ref-List'!$B:$D,2,)</f>
        <v>TWD-T22BU95UWH(WK)-B</v>
      </c>
      <c r="H3078" s="86" t="str">
        <f>_xlfn.XLOOKUP(表格1[[#This Row],[Model]],表格3[Model-Input-Ref2],表格3[Product Line])</f>
        <v>470MM超薄身前置式變頻洗衣乾衣機 (洗8.5公斤/乾6公斤, 可飛頂)</v>
      </c>
      <c r="I3078" s="86" t="str">
        <f>_xlfn.XLOOKUP(表格1[[#This Row],[Model]],表格3[Model-Input-Ref2],表格3[大小電])</f>
        <v>大電</v>
      </c>
      <c r="J3078" s="86" t="str">
        <f>_xlfn.XLOOKUP(表格1[[#This Row],[Model]],表格3[Model-Input-Ref2],表格3[Code])</f>
        <v>LAD</v>
      </c>
      <c r="K3078" s="89" t="s">
        <v>1421</v>
      </c>
      <c r="L3078" s="86">
        <v>1</v>
      </c>
      <c r="M3078" s="87">
        <v>4780</v>
      </c>
      <c r="N3078" s="87">
        <f>IFERROR(表格1[[#This Row],[QTY]]*表格1[[#This Row],[Unit Price]],"-")</f>
        <v>4780</v>
      </c>
      <c r="O3078" s="86">
        <v>1014532</v>
      </c>
      <c r="R3078" s="86" t="str">
        <f>_xlfn.CONCAT(表格1[[#This Row],[Model]]," ",表格1[[#This Row],[inv no]])</f>
        <v>TWD-T22BU95UWH(WK)-B 1014532</v>
      </c>
      <c r="S3078" s="86">
        <f>_xlfn.XLOOKUP(表格1[[#This Row],[Model]],表格3[Model-Input-Ref2],表格3[SRP PRICE])</f>
        <v>7480</v>
      </c>
      <c r="T3078" s="43">
        <f>表格1[[#This Row],[Unit Price]]/表格1[[#This Row],[SRP]]</f>
        <v>0.63903743315508021</v>
      </c>
      <c r="U3078" s="86" t="str">
        <f>_xlfn.XLOOKUP(表格1[[#This Row],[Model]],表格3[Model-Input-Ref2],表格3[TOSHIBA/HIGHEST])</f>
        <v>Toshiba SRP</v>
      </c>
      <c r="W3078" s="86" t="str">
        <f>_xlfn.CONCAT(表格1[[#This Row],[欄4]],表格1[[#This Row],[inv no]])</f>
        <v>1014532</v>
      </c>
    </row>
    <row r="3079" spans="1:23" hidden="1">
      <c r="A3079" s="81">
        <v>3077</v>
      </c>
      <c r="B3079" s="86" t="s">
        <v>1477</v>
      </c>
      <c r="C3079" s="86" t="s">
        <v>1954</v>
      </c>
      <c r="D3079" s="82" t="str">
        <f ca="1">OFFSET(Roster!$A$3,MATCH(表格1[[#This Row],[Location]]&amp;" "&amp;表格1[[#This Row],[Shop]]&amp;"*",Roster!$A$4:$A$72,0),DAY(表格1[[#This Row],[date]]),1,1)</f>
        <v>Kandy</v>
      </c>
      <c r="E3079" s="86">
        <f>MONTH(表格1[[#This Row],[date]])</f>
        <v>3</v>
      </c>
      <c r="F3079" s="90">
        <v>46089</v>
      </c>
      <c r="G3079" s="86" t="str">
        <f>VLOOKUP("*"&amp;表格1[[#This Row],[Input]]&amp;"*",'Ref-List'!$B:$D,2,)</f>
        <v>TWD-T22BU95UWH(WK)-B</v>
      </c>
      <c r="H3079" s="86" t="str">
        <f>_xlfn.XLOOKUP(表格1[[#This Row],[Model]],表格3[Model-Input-Ref2],表格3[Product Line])</f>
        <v>470MM超薄身前置式變頻洗衣乾衣機 (洗8.5公斤/乾6公斤, 可飛頂)</v>
      </c>
      <c r="I3079" s="86" t="str">
        <f>_xlfn.XLOOKUP(表格1[[#This Row],[Model]],表格3[Model-Input-Ref2],表格3[大小電])</f>
        <v>大電</v>
      </c>
      <c r="J3079" s="86" t="str">
        <f>_xlfn.XLOOKUP(表格1[[#This Row],[Model]],表格3[Model-Input-Ref2],表格3[Code])</f>
        <v>LAD</v>
      </c>
      <c r="K3079" s="89" t="s">
        <v>1421</v>
      </c>
      <c r="L3079" s="86">
        <v>1</v>
      </c>
      <c r="M3079" s="87">
        <v>4780</v>
      </c>
      <c r="N3079" s="87">
        <f>IFERROR(表格1[[#This Row],[QTY]]*表格1[[#This Row],[Unit Price]],"-")</f>
        <v>4780</v>
      </c>
      <c r="O3079" s="86">
        <v>1014534</v>
      </c>
      <c r="R3079" s="86" t="str">
        <f>_xlfn.CONCAT(表格1[[#This Row],[Model]]," ",表格1[[#This Row],[inv no]])</f>
        <v>TWD-T22BU95UWH(WK)-B 1014534</v>
      </c>
      <c r="S3079" s="86">
        <f>_xlfn.XLOOKUP(表格1[[#This Row],[Model]],表格3[Model-Input-Ref2],表格3[SRP PRICE])</f>
        <v>7480</v>
      </c>
      <c r="T3079" s="43">
        <f>表格1[[#This Row],[Unit Price]]/表格1[[#This Row],[SRP]]</f>
        <v>0.63903743315508021</v>
      </c>
      <c r="U3079" s="86" t="str">
        <f>_xlfn.XLOOKUP(表格1[[#This Row],[Model]],表格3[Model-Input-Ref2],表格3[TOSHIBA/HIGHEST])</f>
        <v>Toshiba SRP</v>
      </c>
      <c r="W3079" s="86" t="str">
        <f>_xlfn.CONCAT(表格1[[#This Row],[欄4]],表格1[[#This Row],[inv no]])</f>
        <v>1014534</v>
      </c>
    </row>
    <row r="3080" spans="1:23" hidden="1">
      <c r="A3080" s="81">
        <v>3078</v>
      </c>
      <c r="B3080" s="86" t="s">
        <v>1477</v>
      </c>
      <c r="C3080" s="86" t="s">
        <v>1954</v>
      </c>
      <c r="D3080" s="82" t="str">
        <f ca="1">OFFSET(Roster!$A$3,MATCH(表格1[[#This Row],[Location]]&amp;" "&amp;表格1[[#This Row],[Shop]]&amp;"*",Roster!$A$4:$A$72,0),DAY(表格1[[#This Row],[date]]),1,1)</f>
        <v>Kandy</v>
      </c>
      <c r="E3080" s="86">
        <f>MONTH(表格1[[#This Row],[date]])</f>
        <v>3</v>
      </c>
      <c r="F3080" s="90">
        <v>46089</v>
      </c>
      <c r="G3080" s="86" t="str">
        <f>VLOOKUP("*"&amp;表格1[[#This Row],[Input]]&amp;"*",'Ref-List'!$B:$D,2,)</f>
        <v>ER-VD7000HK(XK)</v>
      </c>
      <c r="H3080" s="86" t="str">
        <f>_xlfn.XLOOKUP(表格1[[#This Row],[Model]],表格3[Model-Input-Ref2],表格3[Product Line])</f>
        <v>水波爐</v>
      </c>
      <c r="I3080" s="86" t="str">
        <f>_xlfn.XLOOKUP(表格1[[#This Row],[Model]],表格3[Model-Input-Ref2],表格3[大小電])</f>
        <v>細電</v>
      </c>
      <c r="J3080" s="86" t="str">
        <f>_xlfn.XLOOKUP(表格1[[#This Row],[Model]],表格3[Model-Input-Ref2],表格3[Code])</f>
        <v>MCA</v>
      </c>
      <c r="K3080" s="89" t="s">
        <v>1469</v>
      </c>
      <c r="L3080" s="86">
        <v>1</v>
      </c>
      <c r="M3080" s="87">
        <v>6798</v>
      </c>
      <c r="N3080" s="87">
        <f>IFERROR(表格1[[#This Row],[QTY]]*表格1[[#This Row],[Unit Price]],"-")</f>
        <v>6798</v>
      </c>
      <c r="O3080" s="86">
        <v>1014658</v>
      </c>
      <c r="R3080" s="86" t="str">
        <f>_xlfn.CONCAT(表格1[[#This Row],[Model]]," ",表格1[[#This Row],[inv no]])</f>
        <v>ER-VD7000HK(XK) 1014658</v>
      </c>
      <c r="S3080" s="86">
        <f>_xlfn.XLOOKUP(表格1[[#This Row],[Model]],表格3[Model-Input-Ref2],表格3[SRP PRICE])</f>
        <v>8998</v>
      </c>
      <c r="T3080" s="43">
        <f>表格1[[#This Row],[Unit Price]]/表格1[[#This Row],[SRP]]</f>
        <v>0.75550122249388751</v>
      </c>
      <c r="U3080" s="86" t="str">
        <f>_xlfn.XLOOKUP(表格1[[#This Row],[Model]],表格3[Model-Input-Ref2],表格3[TOSHIBA/HIGHEST])</f>
        <v>Toshiba SRP</v>
      </c>
      <c r="W3080" s="86" t="str">
        <f>_xlfn.CONCAT(表格1[[#This Row],[欄4]],表格1[[#This Row],[inv no]])</f>
        <v>1014658</v>
      </c>
    </row>
    <row r="3081" spans="1:23" hidden="1">
      <c r="A3081" s="81">
        <v>3079</v>
      </c>
      <c r="B3081" s="86" t="s">
        <v>1477</v>
      </c>
      <c r="C3081" s="86" t="s">
        <v>1954</v>
      </c>
      <c r="D3081" s="82" t="str">
        <f ca="1">OFFSET(Roster!$A$3,MATCH(表格1[[#This Row],[Location]]&amp;" "&amp;表格1[[#This Row],[Shop]]&amp;"*",Roster!$A$4:$A$72,0),DAY(表格1[[#This Row],[date]]),1,1)</f>
        <v>Kandy</v>
      </c>
      <c r="E3081" s="86">
        <f>MONTH(表格1[[#This Row],[date]])</f>
        <v>3</v>
      </c>
      <c r="F3081" s="90">
        <v>46089</v>
      </c>
      <c r="G3081" s="86" t="str">
        <f>VLOOKUP("*"&amp;表格1[[#This Row],[Input]]&amp;"*",'Ref-List'!$B:$D,2,)</f>
        <v>RC-18NMFIH(WT)</v>
      </c>
      <c r="H3081" s="86" t="str">
        <f>_xlfn.XLOOKUP(表格1[[#This Row],[Model]],表格3[Model-Input-Ref2],表格3[Product Line])</f>
        <v>4毫米厚釜電飯煲1.8L</v>
      </c>
      <c r="I3081" s="86" t="str">
        <f>_xlfn.XLOOKUP(表格1[[#This Row],[Model]],表格3[Model-Input-Ref2],表格3[大小電])</f>
        <v>細電</v>
      </c>
      <c r="J3081" s="86" t="str">
        <f>_xlfn.XLOOKUP(表格1[[#This Row],[Model]],表格3[Model-Input-Ref2],表格3[Code])</f>
        <v>SDA</v>
      </c>
      <c r="K3081" s="89" t="s">
        <v>1267</v>
      </c>
      <c r="L3081" s="86">
        <v>1</v>
      </c>
      <c r="M3081" s="87">
        <v>799</v>
      </c>
      <c r="N3081" s="87">
        <f>IFERROR(表格1[[#This Row],[QTY]]*表格1[[#This Row],[Unit Price]],"-")</f>
        <v>799</v>
      </c>
      <c r="O3081" s="86">
        <v>1014857</v>
      </c>
      <c r="R3081" s="86" t="str">
        <f>_xlfn.CONCAT(表格1[[#This Row],[Model]]," ",表格1[[#This Row],[inv no]])</f>
        <v>RC-18NMFIH(WT) 1014857</v>
      </c>
      <c r="S3081" s="86">
        <f>_xlfn.XLOOKUP(表格1[[#This Row],[Model]],表格3[Model-Input-Ref2],表格3[SRP PRICE])</f>
        <v>998</v>
      </c>
      <c r="T3081" s="43">
        <f>表格1[[#This Row],[Unit Price]]/表格1[[#This Row],[SRP]]</f>
        <v>0.80060120240480959</v>
      </c>
      <c r="U3081" s="86" t="str">
        <f>_xlfn.XLOOKUP(表格1[[#This Row],[Model]],表格3[Model-Input-Ref2],表格3[TOSHIBA/HIGHEST])</f>
        <v>Toshiba SRP</v>
      </c>
      <c r="W3081" s="86" t="str">
        <f>_xlfn.CONCAT(表格1[[#This Row],[欄4]],表格1[[#This Row],[inv no]])</f>
        <v>1014857</v>
      </c>
    </row>
    <row r="3082" spans="1:23" hidden="1">
      <c r="A3082" s="81">
        <v>3080</v>
      </c>
      <c r="B3082" s="86" t="s">
        <v>1477</v>
      </c>
      <c r="C3082" s="86" t="s">
        <v>1954</v>
      </c>
      <c r="D3082" s="82" t="str">
        <f ca="1">OFFSET(Roster!$A$3,MATCH(表格1[[#This Row],[Location]]&amp;" "&amp;表格1[[#This Row],[Shop]]&amp;"*",Roster!$A$4:$A$72,0),DAY(表格1[[#This Row],[date]]),1,1)</f>
        <v>Kandy</v>
      </c>
      <c r="E3082" s="86">
        <f>MONTH(表格1[[#This Row],[date]])</f>
        <v>3</v>
      </c>
      <c r="F3082" s="90">
        <v>46089</v>
      </c>
      <c r="G3082" s="86" t="str">
        <f>VLOOKUP("*"&amp;表格1[[#This Row],[Input]]&amp;"*",'Ref-List'!$B:$D,2,)</f>
        <v>RC-18NMFIH(WT)</v>
      </c>
      <c r="H3082" s="86" t="str">
        <f>_xlfn.XLOOKUP(表格1[[#This Row],[Model]],表格3[Model-Input-Ref2],表格3[Product Line])</f>
        <v>4毫米厚釜電飯煲1.8L</v>
      </c>
      <c r="I3082" s="86" t="str">
        <f>_xlfn.XLOOKUP(表格1[[#This Row],[Model]],表格3[Model-Input-Ref2],表格3[大小電])</f>
        <v>細電</v>
      </c>
      <c r="J3082" s="86" t="str">
        <f>_xlfn.XLOOKUP(表格1[[#This Row],[Model]],表格3[Model-Input-Ref2],表格3[Code])</f>
        <v>SDA</v>
      </c>
      <c r="K3082" s="89" t="s">
        <v>1267</v>
      </c>
      <c r="L3082" s="86">
        <v>1</v>
      </c>
      <c r="M3082" s="87">
        <v>799</v>
      </c>
      <c r="N3082" s="87">
        <f>IFERROR(表格1[[#This Row],[QTY]]*表格1[[#This Row],[Unit Price]],"-")</f>
        <v>799</v>
      </c>
      <c r="O3082" s="86">
        <v>1014877</v>
      </c>
      <c r="R3082" s="86" t="str">
        <f>_xlfn.CONCAT(表格1[[#This Row],[Model]]," ",表格1[[#This Row],[inv no]])</f>
        <v>RC-18NMFIH(WT) 1014877</v>
      </c>
      <c r="S3082" s="86">
        <f>_xlfn.XLOOKUP(表格1[[#This Row],[Model]],表格3[Model-Input-Ref2],表格3[SRP PRICE])</f>
        <v>998</v>
      </c>
      <c r="T3082" s="43">
        <f>表格1[[#This Row],[Unit Price]]/表格1[[#This Row],[SRP]]</f>
        <v>0.80060120240480959</v>
      </c>
      <c r="U3082" s="86" t="str">
        <f>_xlfn.XLOOKUP(表格1[[#This Row],[Model]],表格3[Model-Input-Ref2],表格3[TOSHIBA/HIGHEST])</f>
        <v>Toshiba SRP</v>
      </c>
      <c r="W3082" s="86" t="str">
        <f>_xlfn.CONCAT(表格1[[#This Row],[欄4]],表格1[[#This Row],[inv no]])</f>
        <v>1014877</v>
      </c>
    </row>
    <row r="3083" spans="1:23" hidden="1">
      <c r="A3083" s="81">
        <v>3081</v>
      </c>
      <c r="B3083" s="86" t="s">
        <v>1477</v>
      </c>
      <c r="C3083" s="86" t="s">
        <v>1954</v>
      </c>
      <c r="D3083" s="82" t="str">
        <f ca="1">OFFSET(Roster!$A$3,MATCH(表格1[[#This Row],[Location]]&amp;" "&amp;表格1[[#This Row],[Shop]]&amp;"*",Roster!$A$4:$A$72,0),DAY(表格1[[#This Row],[date]]),1,1)</f>
        <v>Kandy</v>
      </c>
      <c r="E3083" s="86">
        <f>MONTH(表格1[[#This Row],[date]])</f>
        <v>3</v>
      </c>
      <c r="F3083" s="90">
        <v>46089</v>
      </c>
      <c r="G3083" s="86" t="str">
        <f>VLOOKUP("*"&amp;表格1[[#This Row],[Input]]&amp;"*",'Ref-List'!$B:$D,2,)</f>
        <v>MM2-EM20PC(WH)</v>
      </c>
      <c r="H3083" s="86" t="str">
        <f>_xlfn.XLOOKUP(表格1[[#This Row],[Model]],表格3[Model-Input-Ref2],表格3[Product Line])</f>
        <v>輕觸式微波爐 (20公升)</v>
      </c>
      <c r="I3083" s="86" t="str">
        <f>_xlfn.XLOOKUP(表格1[[#This Row],[Model]],表格3[Model-Input-Ref2],表格3[大小電])</f>
        <v>細電</v>
      </c>
      <c r="J3083" s="86" t="str">
        <f>_xlfn.XLOOKUP(表格1[[#This Row],[Model]],表格3[Model-Input-Ref2],表格3[Code])</f>
        <v>MCA</v>
      </c>
      <c r="K3083" s="89" t="s">
        <v>1276</v>
      </c>
      <c r="L3083" s="86">
        <v>1</v>
      </c>
      <c r="M3083" s="87">
        <v>598</v>
      </c>
      <c r="N3083" s="87">
        <f>IFERROR(表格1[[#This Row],[QTY]]*表格1[[#This Row],[Unit Price]],"-")</f>
        <v>598</v>
      </c>
      <c r="O3083" s="86">
        <v>1014768</v>
      </c>
      <c r="R3083" s="86" t="str">
        <f>_xlfn.CONCAT(表格1[[#This Row],[Model]]," ",表格1[[#This Row],[inv no]])</f>
        <v>MM2-EM20PC(WH) 1014768</v>
      </c>
      <c r="S3083" s="86">
        <f>_xlfn.XLOOKUP(表格1[[#This Row],[Model]],表格3[Model-Input-Ref2],表格3[SRP PRICE])</f>
        <v>788</v>
      </c>
      <c r="T3083" s="43">
        <f>表格1[[#This Row],[Unit Price]]/表格1[[#This Row],[SRP]]</f>
        <v>0.75888324873096447</v>
      </c>
      <c r="U3083" s="86" t="str">
        <f>_xlfn.XLOOKUP(表格1[[#This Row],[Model]],表格3[Model-Input-Ref2],表格3[TOSHIBA/HIGHEST])</f>
        <v>Toshiba SRP</v>
      </c>
      <c r="W3083" s="86" t="str">
        <f>_xlfn.CONCAT(表格1[[#This Row],[欄4]],表格1[[#This Row],[inv no]])</f>
        <v>1014768</v>
      </c>
    </row>
    <row r="3084" spans="1:23" hidden="1">
      <c r="A3084" s="81">
        <v>3082</v>
      </c>
      <c r="B3084" s="86" t="s">
        <v>1477</v>
      </c>
      <c r="C3084" s="86" t="s">
        <v>1954</v>
      </c>
      <c r="D3084" s="82" t="str">
        <f ca="1">OFFSET(Roster!$A$3,MATCH(表格1[[#This Row],[Location]]&amp;" "&amp;表格1[[#This Row],[Shop]]&amp;"*",Roster!$A$4:$A$72,0),DAY(表格1[[#This Row],[date]]),1,1)</f>
        <v>Kandy</v>
      </c>
      <c r="E3084" s="86">
        <f>MONTH(表格1[[#This Row],[date]])</f>
        <v>3</v>
      </c>
      <c r="F3084" s="90">
        <v>46089</v>
      </c>
      <c r="G3084" s="86" t="str">
        <f>VLOOKUP("*"&amp;表格1[[#This Row],[Input]]&amp;"*",'Ref-List'!$B:$D,2,)</f>
        <v>TL-MC35Z</v>
      </c>
      <c r="H3084" s="86" t="str">
        <f>_xlfn.XLOOKUP(表格1[[#This Row],[Model]],表格3[Model-Input-Ref2],表格3[Product Line])</f>
        <v>35L多功能電焗爐</v>
      </c>
      <c r="I3084" s="86" t="str">
        <f>_xlfn.XLOOKUP(表格1[[#This Row],[Model]],表格3[Model-Input-Ref2],表格3[大小電])</f>
        <v>細電</v>
      </c>
      <c r="J3084" s="86" t="str">
        <f>_xlfn.XLOOKUP(表格1[[#This Row],[Model]],表格3[Model-Input-Ref2],表格3[Code])</f>
        <v>SDA</v>
      </c>
      <c r="K3084" s="89" t="s">
        <v>1295</v>
      </c>
      <c r="L3084" s="86">
        <v>1</v>
      </c>
      <c r="M3084" s="87">
        <v>888</v>
      </c>
      <c r="N3084" s="87">
        <f>IFERROR(表格1[[#This Row],[QTY]]*表格1[[#This Row],[Unit Price]],"-")</f>
        <v>888</v>
      </c>
      <c r="O3084" s="86">
        <v>1014818</v>
      </c>
      <c r="R3084" s="86" t="str">
        <f>_xlfn.CONCAT(表格1[[#This Row],[Model]]," ",表格1[[#This Row],[inv no]])</f>
        <v>TL-MC35Z 1014818</v>
      </c>
      <c r="S3084" s="86">
        <f>_xlfn.XLOOKUP(表格1[[#This Row],[Model]],表格3[Model-Input-Ref2],表格3[SRP PRICE])</f>
        <v>1098</v>
      </c>
      <c r="T3084" s="43">
        <f>表格1[[#This Row],[Unit Price]]/表格1[[#This Row],[SRP]]</f>
        <v>0.80874316939890711</v>
      </c>
      <c r="U3084" s="86" t="str">
        <f>_xlfn.XLOOKUP(表格1[[#This Row],[Model]],表格3[Model-Input-Ref2],表格3[TOSHIBA/HIGHEST])</f>
        <v>Toshiba SRP</v>
      </c>
      <c r="W3084" s="86" t="str">
        <f>_xlfn.CONCAT(表格1[[#This Row],[欄4]],表格1[[#This Row],[inv no]])</f>
        <v>1014818</v>
      </c>
    </row>
    <row r="3085" spans="1:23" hidden="1">
      <c r="A3085" s="81">
        <v>3083</v>
      </c>
      <c r="B3085" s="86" t="s">
        <v>1477</v>
      </c>
      <c r="C3085" s="86" t="s">
        <v>1954</v>
      </c>
      <c r="D3085" s="82" t="str">
        <f ca="1">OFFSET(Roster!$A$3,MATCH(表格1[[#This Row],[Location]]&amp;" "&amp;表格1[[#This Row],[Shop]]&amp;"*",Roster!$A$4:$A$72,0),DAY(表格1[[#This Row],[date]]),1,1)</f>
        <v>Kandy</v>
      </c>
      <c r="E3085" s="86">
        <f>MONTH(表格1[[#This Row],[date]])</f>
        <v>3</v>
      </c>
      <c r="F3085" s="90">
        <v>46089</v>
      </c>
      <c r="G3085" s="86" t="str">
        <f>VLOOKUP("*"&amp;表格1[[#This Row],[Input]]&amp;"*",'Ref-List'!$B:$D,2,)</f>
        <v>DWS-34AHK</v>
      </c>
      <c r="H3085" s="86" t="str">
        <f>_xlfn.XLOOKUP(表格1[[#This Row],[Model]],表格3[Model-Input-Ref2],表格3[Product Line])</f>
        <v>獨立式免安裝洗碗碟機</v>
      </c>
      <c r="I3085" s="86" t="str">
        <f>_xlfn.XLOOKUP(表格1[[#This Row],[Model]],表格3[Model-Input-Ref2],表格3[大小電])</f>
        <v>細電</v>
      </c>
      <c r="J3085" s="86" t="str">
        <f>_xlfn.XLOOKUP(表格1[[#This Row],[Model]],表格3[Model-Input-Ref2],表格3[Code])</f>
        <v>DM</v>
      </c>
      <c r="K3085" s="89" t="s">
        <v>1240</v>
      </c>
      <c r="L3085" s="86">
        <v>1</v>
      </c>
      <c r="M3085" s="87">
        <v>2380</v>
      </c>
      <c r="N3085" s="87">
        <f>IFERROR(表格1[[#This Row],[QTY]]*表格1[[#This Row],[Unit Price]],"-")</f>
        <v>2380</v>
      </c>
      <c r="O3085" s="86">
        <v>1014779</v>
      </c>
      <c r="R3085" s="86" t="str">
        <f>_xlfn.CONCAT(表格1[[#This Row],[Model]]," ",表格1[[#This Row],[inv no]])</f>
        <v>DWS-34AHK 1014779</v>
      </c>
      <c r="S3085" s="86">
        <f>_xlfn.XLOOKUP(表格1[[#This Row],[Model]],表格3[Model-Input-Ref2],表格3[SRP PRICE])</f>
        <v>3999</v>
      </c>
      <c r="T3085" s="43">
        <f>表格1[[#This Row],[Unit Price]]/表格1[[#This Row],[SRP]]</f>
        <v>0.5951487871967992</v>
      </c>
      <c r="U3085" s="86" t="str">
        <f>_xlfn.XLOOKUP(表格1[[#This Row],[Model]],表格3[Model-Input-Ref2],表格3[TOSHIBA/HIGHEST])</f>
        <v>Web SRP</v>
      </c>
      <c r="W3085" s="86" t="str">
        <f>_xlfn.CONCAT(表格1[[#This Row],[欄4]],表格1[[#This Row],[inv no]])</f>
        <v>1014779</v>
      </c>
    </row>
    <row r="3086" spans="1:23" hidden="1">
      <c r="A3086" s="81">
        <v>3084</v>
      </c>
      <c r="B3086" s="86" t="s">
        <v>1477</v>
      </c>
      <c r="C3086" s="86" t="s">
        <v>1954</v>
      </c>
      <c r="D3086" s="82" t="str">
        <f ca="1">OFFSET(Roster!$A$3,MATCH(表格1[[#This Row],[Location]]&amp;" "&amp;表格1[[#This Row],[Shop]]&amp;"*",Roster!$A$4:$A$72,0),DAY(表格1[[#This Row],[date]]),1,1)</f>
        <v>Kandy</v>
      </c>
      <c r="E3086" s="86">
        <f>MONTH(表格1[[#This Row],[date]])</f>
        <v>3</v>
      </c>
      <c r="F3086" s="90">
        <v>46089</v>
      </c>
      <c r="G3086" s="86" t="str">
        <f>VLOOKUP("*"&amp;表格1[[#This Row],[Input]]&amp;"*",'Ref-List'!$B:$D,2,)</f>
        <v>MWP-MM20P(WH)</v>
      </c>
      <c r="H3086" s="86" t="str">
        <f>_xlfn.XLOOKUP(表格1[[#This Row],[Model]],表格3[Model-Input-Ref2],表格3[Product Line])</f>
        <v>旋鈕式燒烤微波爐20L</v>
      </c>
      <c r="I3086" s="86" t="str">
        <f>_xlfn.XLOOKUP(表格1[[#This Row],[Model]],表格3[Model-Input-Ref2],表格3[大小電])</f>
        <v>細電</v>
      </c>
      <c r="J3086" s="86" t="str">
        <f>_xlfn.XLOOKUP(表格1[[#This Row],[Model]],表格3[Model-Input-Ref2],表格3[Code])</f>
        <v>SDA</v>
      </c>
      <c r="K3086" s="89" t="s">
        <v>1270</v>
      </c>
      <c r="L3086" s="86">
        <v>1</v>
      </c>
      <c r="M3086" s="87">
        <v>488</v>
      </c>
      <c r="N3086" s="87">
        <f>IFERROR(表格1[[#This Row],[QTY]]*表格1[[#This Row],[Unit Price]],"-")</f>
        <v>488</v>
      </c>
      <c r="O3086" s="86">
        <v>1014754</v>
      </c>
      <c r="R3086" s="86" t="str">
        <f>_xlfn.CONCAT(表格1[[#This Row],[Model]]," ",表格1[[#This Row],[inv no]])</f>
        <v>MWP-MM20P(WH) 1014754</v>
      </c>
      <c r="S3086" s="86">
        <f>_xlfn.XLOOKUP(表格1[[#This Row],[Model]],表格3[Model-Input-Ref2],表格3[SRP PRICE])</f>
        <v>648</v>
      </c>
      <c r="T3086" s="43">
        <f>表格1[[#This Row],[Unit Price]]/表格1[[#This Row],[SRP]]</f>
        <v>0.75308641975308643</v>
      </c>
      <c r="U3086" s="86" t="str">
        <f>_xlfn.XLOOKUP(表格1[[#This Row],[Model]],表格3[Model-Input-Ref2],表格3[TOSHIBA/HIGHEST])</f>
        <v>Toshiba SRP</v>
      </c>
      <c r="W3086" s="86" t="str">
        <f>_xlfn.CONCAT(表格1[[#This Row],[欄4]],表格1[[#This Row],[inv no]])</f>
        <v>1014754</v>
      </c>
    </row>
    <row r="3087" spans="1:23" hidden="1">
      <c r="A3087" s="81">
        <v>3085</v>
      </c>
      <c r="B3087" s="86" t="s">
        <v>1477</v>
      </c>
      <c r="C3087" s="86" t="s">
        <v>1954</v>
      </c>
      <c r="D3087" s="82" t="str">
        <f ca="1">OFFSET(Roster!$A$3,MATCH(表格1[[#This Row],[Location]]&amp;" "&amp;表格1[[#This Row],[Shop]]&amp;"*",Roster!$A$4:$A$72,0),DAY(表格1[[#This Row],[date]]),1,1)</f>
        <v>Kandy</v>
      </c>
      <c r="E3087" s="86">
        <f>MONTH(表格1[[#This Row],[date]])</f>
        <v>3</v>
      </c>
      <c r="F3087" s="90">
        <v>46102</v>
      </c>
      <c r="G3087" s="86" t="str">
        <f>VLOOKUP("*"&amp;表格1[[#This Row],[Input]]&amp;"*",'Ref-List'!$B:$D,2,)</f>
        <v>MX2-TT20SC(WH)</v>
      </c>
      <c r="H3087" s="86" t="str">
        <f>_xlfn.XLOOKUP(表格1[[#This Row],[Model]],表格3[Model-Input-Ref2],表格3[Product Line])</f>
        <v>3合1 微波蒸焗爐 (20公升)</v>
      </c>
      <c r="I3087" s="86" t="str">
        <f>_xlfn.XLOOKUP(表格1[[#This Row],[Model]],表格3[Model-Input-Ref2],表格3[大小電])</f>
        <v>細電</v>
      </c>
      <c r="J3087" s="86" t="str">
        <f>_xlfn.XLOOKUP(表格1[[#This Row],[Model]],表格3[Model-Input-Ref2],表格3[Code])</f>
        <v>MCA</v>
      </c>
      <c r="K3087" s="89" t="s">
        <v>1287</v>
      </c>
      <c r="L3087" s="86">
        <v>1</v>
      </c>
      <c r="M3087" s="87">
        <v>2580</v>
      </c>
      <c r="N3087" s="87">
        <f>IFERROR(表格1[[#This Row],[QTY]]*表格1[[#This Row],[Unit Price]],"-")</f>
        <v>2580</v>
      </c>
      <c r="O3087" s="86">
        <v>1014907</v>
      </c>
      <c r="R3087" s="86" t="str">
        <f>_xlfn.CONCAT(表格1[[#This Row],[Model]]," ",表格1[[#This Row],[inv no]])</f>
        <v>MX2-TT20SC(WH) 1014907</v>
      </c>
      <c r="S3087" s="86">
        <f>_xlfn.XLOOKUP(表格1[[#This Row],[Model]],表格3[Model-Input-Ref2],表格3[SRP PRICE])</f>
        <v>3580</v>
      </c>
      <c r="T3087" s="43">
        <f>表格1[[#This Row],[Unit Price]]/表格1[[#This Row],[SRP]]</f>
        <v>0.72067039106145248</v>
      </c>
      <c r="U3087" s="86" t="str">
        <f>_xlfn.XLOOKUP(表格1[[#This Row],[Model]],表格3[Model-Input-Ref2],表格3[TOSHIBA/HIGHEST])</f>
        <v>Toshiba SRP</v>
      </c>
      <c r="W3087" s="86" t="str">
        <f>_xlfn.CONCAT(表格1[[#This Row],[欄4]],表格1[[#This Row],[inv no]])</f>
        <v>1014907</v>
      </c>
    </row>
    <row r="3088" spans="1:23" hidden="1">
      <c r="A3088" s="81">
        <v>3086</v>
      </c>
      <c r="B3088" s="86" t="s">
        <v>1477</v>
      </c>
      <c r="C3088" s="86" t="s">
        <v>1954</v>
      </c>
      <c r="D3088" s="82" t="str">
        <f ca="1">OFFSET(Roster!$A$3,MATCH(表格1[[#This Row],[Location]]&amp;" "&amp;表格1[[#This Row],[Shop]]&amp;"*",Roster!$A$4:$A$72,0),DAY(表格1[[#This Row],[date]]),1,1)</f>
        <v>Kandy</v>
      </c>
      <c r="E3088" s="86">
        <f>MONTH(表格1[[#This Row],[date]])</f>
        <v>3</v>
      </c>
      <c r="F3088" s="90">
        <v>46102</v>
      </c>
      <c r="G3088" s="86" t="str">
        <f>VLOOKUP("*"&amp;表格1[[#This Row],[Input]]&amp;"*",'Ref-List'!$B:$D,2,)</f>
        <v>MX2-TT20SC(WH)</v>
      </c>
      <c r="H3088" s="86" t="str">
        <f>_xlfn.XLOOKUP(表格1[[#This Row],[Model]],表格3[Model-Input-Ref2],表格3[Product Line])</f>
        <v>3合1 微波蒸焗爐 (20公升)</v>
      </c>
      <c r="I3088" s="86" t="str">
        <f>_xlfn.XLOOKUP(表格1[[#This Row],[Model]],表格3[Model-Input-Ref2],表格3[大小電])</f>
        <v>細電</v>
      </c>
      <c r="J3088" s="86" t="str">
        <f>_xlfn.XLOOKUP(表格1[[#This Row],[Model]],表格3[Model-Input-Ref2],表格3[Code])</f>
        <v>MCA</v>
      </c>
      <c r="K3088" s="89" t="s">
        <v>1287</v>
      </c>
      <c r="L3088" s="86">
        <v>1</v>
      </c>
      <c r="M3088" s="87">
        <v>2580</v>
      </c>
      <c r="N3088" s="87">
        <f>IFERROR(表格1[[#This Row],[QTY]]*表格1[[#This Row],[Unit Price]],"-")</f>
        <v>2580</v>
      </c>
      <c r="O3088" s="86">
        <v>1015013</v>
      </c>
      <c r="R3088" s="86" t="str">
        <f>_xlfn.CONCAT(表格1[[#This Row],[Model]]," ",表格1[[#This Row],[inv no]])</f>
        <v>MX2-TT20SC(WH) 1015013</v>
      </c>
      <c r="S3088" s="86">
        <f>_xlfn.XLOOKUP(表格1[[#This Row],[Model]],表格3[Model-Input-Ref2],表格3[SRP PRICE])</f>
        <v>3580</v>
      </c>
      <c r="T3088" s="43">
        <f>表格1[[#This Row],[Unit Price]]/表格1[[#This Row],[SRP]]</f>
        <v>0.72067039106145248</v>
      </c>
      <c r="U3088" s="86" t="str">
        <f>_xlfn.XLOOKUP(表格1[[#This Row],[Model]],表格3[Model-Input-Ref2],表格3[TOSHIBA/HIGHEST])</f>
        <v>Toshiba SRP</v>
      </c>
      <c r="W3088" s="86" t="str">
        <f>_xlfn.CONCAT(表格1[[#This Row],[欄4]],表格1[[#This Row],[inv no]])</f>
        <v>1015013</v>
      </c>
    </row>
    <row r="3089" spans="1:23" hidden="1">
      <c r="A3089" s="81">
        <v>3087</v>
      </c>
      <c r="B3089" s="86" t="s">
        <v>1477</v>
      </c>
      <c r="C3089" s="86" t="s">
        <v>1954</v>
      </c>
      <c r="D3089" s="82" t="str">
        <f ca="1">OFFSET(Roster!$A$3,MATCH(表格1[[#This Row],[Location]]&amp;" "&amp;表格1[[#This Row],[Shop]]&amp;"*",Roster!$A$4:$A$72,0),DAY(表格1[[#This Row],[date]]),1,1)</f>
        <v>Kandy</v>
      </c>
      <c r="E3089" s="86">
        <f>MONTH(表格1[[#This Row],[date]])</f>
        <v>3</v>
      </c>
      <c r="F3089" s="90">
        <v>46102</v>
      </c>
      <c r="G3089" s="86" t="str">
        <f>VLOOKUP("*"&amp;表格1[[#This Row],[Input]]&amp;"*",'Ref-List'!$B:$D,2,)</f>
        <v>RAD-D300H</v>
      </c>
      <c r="H3089" s="86" t="str">
        <f>_xlfn.XLOOKUP(表格1[[#This Row],[Model]],表格3[Model-Input-Ref2],表格3[Product Line])</f>
        <v>壓縮式抽濕機 (30公升)</v>
      </c>
      <c r="I3089" s="86" t="str">
        <f>_xlfn.XLOOKUP(表格1[[#This Row],[Model]],表格3[Model-Input-Ref2],表格3[大小電])</f>
        <v>細電</v>
      </c>
      <c r="J3089" s="86" t="str">
        <f>_xlfn.XLOOKUP(表格1[[#This Row],[Model]],表格3[Model-Input-Ref2],表格3[Code])</f>
        <v>RAC</v>
      </c>
      <c r="K3089" s="89" t="s">
        <v>1252</v>
      </c>
      <c r="L3089" s="86">
        <v>1</v>
      </c>
      <c r="M3089" s="87">
        <v>2280</v>
      </c>
      <c r="N3089" s="87">
        <f>IFERROR(表格1[[#This Row],[QTY]]*表格1[[#This Row],[Unit Price]],"-")</f>
        <v>2280</v>
      </c>
      <c r="O3089" s="86">
        <v>1015119</v>
      </c>
      <c r="R3089" s="86" t="str">
        <f>_xlfn.CONCAT(表格1[[#This Row],[Model]]," ",表格1[[#This Row],[inv no]])</f>
        <v>RAD-D300H 1015119</v>
      </c>
      <c r="S3089" s="86">
        <f>_xlfn.XLOOKUP(表格1[[#This Row],[Model]],表格3[Model-Input-Ref2],表格3[SRP PRICE])</f>
        <v>3380</v>
      </c>
      <c r="T3089" s="43">
        <f>表格1[[#This Row],[Unit Price]]/表格1[[#This Row],[SRP]]</f>
        <v>0.67455621301775148</v>
      </c>
      <c r="U3089" s="86" t="str">
        <f>_xlfn.XLOOKUP(表格1[[#This Row],[Model]],表格3[Model-Input-Ref2],表格3[TOSHIBA/HIGHEST])</f>
        <v>Shops Highest Price</v>
      </c>
      <c r="W3089" s="86" t="str">
        <f>_xlfn.CONCAT(表格1[[#This Row],[欄4]],表格1[[#This Row],[inv no]])</f>
        <v>1015119</v>
      </c>
    </row>
    <row r="3090" spans="1:23" hidden="1">
      <c r="A3090" s="81">
        <v>3088</v>
      </c>
      <c r="B3090" s="86" t="s">
        <v>1477</v>
      </c>
      <c r="C3090" s="86" t="s">
        <v>1954</v>
      </c>
      <c r="D3090" s="82" t="str">
        <f ca="1">OFFSET(Roster!$A$3,MATCH(表格1[[#This Row],[Location]]&amp;" "&amp;表格1[[#This Row],[Shop]]&amp;"*",Roster!$A$4:$A$72,0),DAY(表格1[[#This Row],[date]]),1,1)</f>
        <v>Kandy</v>
      </c>
      <c r="E3090" s="86">
        <f>MONTH(表格1[[#This Row],[date]])</f>
        <v>3</v>
      </c>
      <c r="F3090" s="90">
        <v>46102</v>
      </c>
      <c r="G3090" s="86" t="str">
        <f>VLOOKUP("*"&amp;表格1[[#This Row],[Input]]&amp;"*",'Ref-List'!$B:$D,2,)</f>
        <v>RC-6PXTHK(W)</v>
      </c>
      <c r="H3090" s="86" t="str">
        <f>_xlfn.XLOOKUP(表格1[[#This Row],[Model]],表格3[Model-Input-Ref2],表格3[Product Line])</f>
        <v>迷你壓力磁應電飯煲(0.63公升)</v>
      </c>
      <c r="I3090" s="86" t="str">
        <f>_xlfn.XLOOKUP(表格1[[#This Row],[Model]],表格3[Model-Input-Ref2],表格3[大小電])</f>
        <v>細電</v>
      </c>
      <c r="J3090" s="86" t="str">
        <f>_xlfn.XLOOKUP(表格1[[#This Row],[Model]],表格3[Model-Input-Ref2],表格3[Code])</f>
        <v>SDA</v>
      </c>
      <c r="K3090" s="89" t="s">
        <v>1494</v>
      </c>
      <c r="L3090" s="86">
        <v>1</v>
      </c>
      <c r="M3090" s="87">
        <v>938</v>
      </c>
      <c r="N3090" s="87">
        <f>IFERROR(表格1[[#This Row],[QTY]]*表格1[[#This Row],[Unit Price]],"-")</f>
        <v>938</v>
      </c>
      <c r="O3090" s="86">
        <v>1015376</v>
      </c>
      <c r="R3090" s="86" t="str">
        <f>_xlfn.CONCAT(表格1[[#This Row],[Model]]," ",表格1[[#This Row],[inv no]])</f>
        <v>RC-6PXTHK(W) 1015376</v>
      </c>
      <c r="S3090" s="86">
        <f>_xlfn.XLOOKUP(表格1[[#This Row],[Model]],表格3[Model-Input-Ref2],表格3[SRP PRICE])</f>
        <v>1398</v>
      </c>
      <c r="T3090" s="43">
        <f>表格1[[#This Row],[Unit Price]]/表格1[[#This Row],[SRP]]</f>
        <v>0.67095851216022895</v>
      </c>
      <c r="U3090" s="86" t="str">
        <f>_xlfn.XLOOKUP(表格1[[#This Row],[Model]],表格3[Model-Input-Ref2],表格3[TOSHIBA/HIGHEST])</f>
        <v>Toshiba SRP</v>
      </c>
      <c r="W3090" s="86" t="str">
        <f>_xlfn.CONCAT(表格1[[#This Row],[欄4]],表格1[[#This Row],[inv no]])</f>
        <v>1015376</v>
      </c>
    </row>
    <row r="3091" spans="1:23" hidden="1">
      <c r="A3091" s="81">
        <v>3089</v>
      </c>
      <c r="B3091" s="86" t="s">
        <v>1477</v>
      </c>
      <c r="C3091" s="86" t="s">
        <v>1954</v>
      </c>
      <c r="D3091" s="82" t="str">
        <f ca="1">OFFSET(Roster!$A$3,MATCH(表格1[[#This Row],[Location]]&amp;" "&amp;表格1[[#This Row],[Shop]]&amp;"*",Roster!$A$4:$A$72,0),DAY(表格1[[#This Row],[date]]),1,1)</f>
        <v>Kandy</v>
      </c>
      <c r="E3091" s="86">
        <f>MONTH(表格1[[#This Row],[date]])</f>
        <v>3</v>
      </c>
      <c r="F3091" s="90">
        <v>46102</v>
      </c>
      <c r="G3091" s="86" t="str">
        <f>VLOOKUP("*"&amp;表格1[[#This Row],[Input]]&amp;"*",'Ref-List'!$B:$D,2,)</f>
        <v>RC-10AMXH(W)</v>
      </c>
      <c r="H3091" s="86" t="str">
        <f>_xlfn.XLOOKUP(表格1[[#This Row],[Model]],表格3[Model-Input-Ref2],表格3[Product Line])</f>
        <v>酵活炊電飯煲(1.0公升)</v>
      </c>
      <c r="I3091" s="86" t="str">
        <f>_xlfn.XLOOKUP(表格1[[#This Row],[Model]],表格3[Model-Input-Ref2],表格3[大小電])</f>
        <v>細電</v>
      </c>
      <c r="J3091" s="86" t="str">
        <f>_xlfn.XLOOKUP(表格1[[#This Row],[Model]],表格3[Model-Input-Ref2],表格3[Code])</f>
        <v>SDA</v>
      </c>
      <c r="K3091" s="89" t="s">
        <v>1279</v>
      </c>
      <c r="L3091" s="86">
        <v>1</v>
      </c>
      <c r="M3091" s="87">
        <v>990</v>
      </c>
      <c r="N3091" s="87">
        <f>IFERROR(表格1[[#This Row],[QTY]]*表格1[[#This Row],[Unit Price]],"-")</f>
        <v>990</v>
      </c>
      <c r="O3091" s="86">
        <v>1015077</v>
      </c>
      <c r="R3091" s="86" t="str">
        <f>_xlfn.CONCAT(表格1[[#This Row],[Model]]," ",表格1[[#This Row],[inv no]])</f>
        <v>RC-10AMXH(W) 1015077</v>
      </c>
      <c r="S3091" s="86">
        <f>_xlfn.XLOOKUP(表格1[[#This Row],[Model]],表格3[Model-Input-Ref2],表格3[SRP PRICE])</f>
        <v>1288</v>
      </c>
      <c r="T3091" s="43">
        <f>表格1[[#This Row],[Unit Price]]/表格1[[#This Row],[SRP]]</f>
        <v>0.76863354037267084</v>
      </c>
      <c r="U3091" s="86" t="str">
        <f>_xlfn.XLOOKUP(表格1[[#This Row],[Model]],表格3[Model-Input-Ref2],表格3[TOSHIBA/HIGHEST])</f>
        <v>Toshiba SRP</v>
      </c>
      <c r="W3091" s="86" t="str">
        <f>_xlfn.CONCAT(表格1[[#This Row],[欄4]],表格1[[#This Row],[inv no]])</f>
        <v>1015077</v>
      </c>
    </row>
    <row r="3092" spans="1:23" hidden="1">
      <c r="A3092" s="81">
        <v>3090</v>
      </c>
      <c r="B3092" s="86" t="s">
        <v>1477</v>
      </c>
      <c r="C3092" s="86" t="s">
        <v>1954</v>
      </c>
      <c r="D3092" s="82" t="str">
        <f ca="1">OFFSET(Roster!$A$3,MATCH(表格1[[#This Row],[Location]]&amp;" "&amp;表格1[[#This Row],[Shop]]&amp;"*",Roster!$A$4:$A$72,0),DAY(表格1[[#This Row],[date]]),1,1)</f>
        <v>Kandy</v>
      </c>
      <c r="E3092" s="86">
        <f>MONTH(表格1[[#This Row],[date]])</f>
        <v>3</v>
      </c>
      <c r="F3092" s="90">
        <v>46102</v>
      </c>
      <c r="G3092" s="86" t="str">
        <f>VLOOKUP("*"&amp;表格1[[#This Row],[Input]]&amp;"*",'Ref-List'!$B:$D,2,)</f>
        <v>RC-10DRNH</v>
      </c>
      <c r="H3092" s="86" t="str">
        <f>_xlfn.XLOOKUP(表格1[[#This Row],[Model]],表格3[Model-Input-Ref2],表格3[Product Line])</f>
        <v>多功能備長炭本厚釜電飯煲1L</v>
      </c>
      <c r="I3092" s="86" t="str">
        <f>_xlfn.XLOOKUP(表格1[[#This Row],[Model]],表格3[Model-Input-Ref2],表格3[大小電])</f>
        <v>細電</v>
      </c>
      <c r="J3092" s="86" t="str">
        <f>_xlfn.XLOOKUP(表格1[[#This Row],[Model]],表格3[Model-Input-Ref2],表格3[Code])</f>
        <v>SDA</v>
      </c>
      <c r="K3092" s="89" t="s">
        <v>1376</v>
      </c>
      <c r="L3092" s="86">
        <v>1</v>
      </c>
      <c r="M3092" s="87">
        <v>537</v>
      </c>
      <c r="N3092" s="87">
        <f>IFERROR(表格1[[#This Row],[QTY]]*表格1[[#This Row],[Unit Price]],"-")</f>
        <v>537</v>
      </c>
      <c r="O3092" s="86">
        <v>1014986</v>
      </c>
      <c r="P3092" s="86" t="s">
        <v>1957</v>
      </c>
      <c r="R3092" s="86" t="str">
        <f>_xlfn.CONCAT(表格1[[#This Row],[Model]]," ",表格1[[#This Row],[inv no]])</f>
        <v>RC-10DRNH 1014986</v>
      </c>
      <c r="S3092" s="86">
        <f>_xlfn.XLOOKUP(表格1[[#This Row],[Model]],表格3[Model-Input-Ref2],表格3[SRP PRICE])</f>
        <v>798</v>
      </c>
      <c r="T3092" s="43">
        <f>表格1[[#This Row],[Unit Price]]/表格1[[#This Row],[SRP]]</f>
        <v>0.67293233082706772</v>
      </c>
      <c r="U3092" s="86" t="str">
        <f>_xlfn.XLOOKUP(表格1[[#This Row],[Model]],表格3[Model-Input-Ref2],表格3[TOSHIBA/HIGHEST])</f>
        <v>Toshiba SRP</v>
      </c>
      <c r="W3092" s="86" t="str">
        <f>_xlfn.CONCAT(表格1[[#This Row],[欄4]],表格1[[#This Row],[inv no]])</f>
        <v>1014986</v>
      </c>
    </row>
    <row r="3093" spans="1:23" hidden="1">
      <c r="A3093" s="81">
        <v>3091</v>
      </c>
      <c r="B3093" s="86" t="s">
        <v>1477</v>
      </c>
      <c r="C3093" s="86" t="s">
        <v>1954</v>
      </c>
      <c r="D3093" s="82" t="str">
        <f ca="1">OFFSET(Roster!$A$3,MATCH(表格1[[#This Row],[Location]]&amp;" "&amp;表格1[[#This Row],[Shop]]&amp;"*",Roster!$A$4:$A$72,0),DAY(表格1[[#This Row],[date]]),1,1)</f>
        <v>Kandy</v>
      </c>
      <c r="E3093" s="86">
        <f>MONTH(表格1[[#This Row],[date]])</f>
        <v>3</v>
      </c>
      <c r="F3093" s="90">
        <v>46102</v>
      </c>
      <c r="G3093" s="86" t="str">
        <f>VLOOKUP("*"&amp;表格1[[#This Row],[Input]]&amp;"*",'Ref-List'!$B:$D,2,)</f>
        <v>MM2-EM20PC(WH)</v>
      </c>
      <c r="H3093" s="86" t="str">
        <f>_xlfn.XLOOKUP(表格1[[#This Row],[Model]],表格3[Model-Input-Ref2],表格3[Product Line])</f>
        <v>輕觸式微波爐 (20公升)</v>
      </c>
      <c r="I3093" s="86" t="str">
        <f>_xlfn.XLOOKUP(表格1[[#This Row],[Model]],表格3[Model-Input-Ref2],表格3[大小電])</f>
        <v>細電</v>
      </c>
      <c r="J3093" s="86" t="str">
        <f>_xlfn.XLOOKUP(表格1[[#This Row],[Model]],表格3[Model-Input-Ref2],表格3[Code])</f>
        <v>MCA</v>
      </c>
      <c r="K3093" s="89" t="s">
        <v>1276</v>
      </c>
      <c r="L3093" s="86">
        <v>1</v>
      </c>
      <c r="M3093" s="87">
        <v>598</v>
      </c>
      <c r="N3093" s="87">
        <f>IFERROR(表格1[[#This Row],[QTY]]*表格1[[#This Row],[Unit Price]],"-")</f>
        <v>598</v>
      </c>
      <c r="O3093" s="86">
        <v>1014958</v>
      </c>
      <c r="R3093" s="86" t="str">
        <f>_xlfn.CONCAT(表格1[[#This Row],[Model]]," ",表格1[[#This Row],[inv no]])</f>
        <v>MM2-EM20PC(WH) 1014958</v>
      </c>
      <c r="S3093" s="86">
        <f>_xlfn.XLOOKUP(表格1[[#This Row],[Model]],表格3[Model-Input-Ref2],表格3[SRP PRICE])</f>
        <v>788</v>
      </c>
      <c r="T3093" s="43">
        <f>表格1[[#This Row],[Unit Price]]/表格1[[#This Row],[SRP]]</f>
        <v>0.75888324873096447</v>
      </c>
      <c r="U3093" s="86" t="str">
        <f>_xlfn.XLOOKUP(表格1[[#This Row],[Model]],表格3[Model-Input-Ref2],表格3[TOSHIBA/HIGHEST])</f>
        <v>Toshiba SRP</v>
      </c>
      <c r="W3093" s="86" t="str">
        <f>_xlfn.CONCAT(表格1[[#This Row],[欄4]],表格1[[#This Row],[inv no]])</f>
        <v>1014958</v>
      </c>
    </row>
    <row r="3094" spans="1:23" hidden="1">
      <c r="A3094" s="81">
        <v>3092</v>
      </c>
      <c r="B3094" s="86" t="s">
        <v>1477</v>
      </c>
      <c r="C3094" s="86" t="s">
        <v>1954</v>
      </c>
      <c r="D3094" s="82" t="str">
        <f ca="1">OFFSET(Roster!$A$3,MATCH(表格1[[#This Row],[Location]]&amp;" "&amp;表格1[[#This Row],[Shop]]&amp;"*",Roster!$A$4:$A$72,0),DAY(表格1[[#This Row],[date]]),1,1)</f>
        <v>Kandy</v>
      </c>
      <c r="E3094" s="86">
        <f>MONTH(表格1[[#This Row],[date]])</f>
        <v>3</v>
      </c>
      <c r="F3094" s="90">
        <v>46102</v>
      </c>
      <c r="G3094" s="86" t="str">
        <f>VLOOKUP("*"&amp;表格1[[#This Row],[Input]]&amp;"*",'Ref-List'!$B:$D,2,)</f>
        <v>MM2-EM20PC(WH)</v>
      </c>
      <c r="H3094" s="86" t="str">
        <f>_xlfn.XLOOKUP(表格1[[#This Row],[Model]],表格3[Model-Input-Ref2],表格3[Product Line])</f>
        <v>輕觸式微波爐 (20公升)</v>
      </c>
      <c r="I3094" s="86" t="str">
        <f>_xlfn.XLOOKUP(表格1[[#This Row],[Model]],表格3[Model-Input-Ref2],表格3[大小電])</f>
        <v>細電</v>
      </c>
      <c r="J3094" s="86" t="str">
        <f>_xlfn.XLOOKUP(表格1[[#This Row],[Model]],表格3[Model-Input-Ref2],表格3[Code])</f>
        <v>MCA</v>
      </c>
      <c r="K3094" s="89" t="s">
        <v>1276</v>
      </c>
      <c r="L3094" s="86">
        <v>1</v>
      </c>
      <c r="M3094" s="87">
        <v>598</v>
      </c>
      <c r="N3094" s="87">
        <f>IFERROR(表格1[[#This Row],[QTY]]*表格1[[#This Row],[Unit Price]],"-")</f>
        <v>598</v>
      </c>
      <c r="O3094" s="86">
        <v>1015347</v>
      </c>
      <c r="R3094" s="86" t="str">
        <f>_xlfn.CONCAT(表格1[[#This Row],[Model]]," ",表格1[[#This Row],[inv no]])</f>
        <v>MM2-EM20PC(WH) 1015347</v>
      </c>
      <c r="S3094" s="86">
        <f>_xlfn.XLOOKUP(表格1[[#This Row],[Model]],表格3[Model-Input-Ref2],表格3[SRP PRICE])</f>
        <v>788</v>
      </c>
      <c r="T3094" s="43">
        <f>表格1[[#This Row],[Unit Price]]/表格1[[#This Row],[SRP]]</f>
        <v>0.75888324873096447</v>
      </c>
      <c r="U3094" s="86" t="str">
        <f>_xlfn.XLOOKUP(表格1[[#This Row],[Model]],表格3[Model-Input-Ref2],表格3[TOSHIBA/HIGHEST])</f>
        <v>Toshiba SRP</v>
      </c>
      <c r="W3094" s="86" t="str">
        <f>_xlfn.CONCAT(表格1[[#This Row],[欄4]],表格1[[#This Row],[inv no]])</f>
        <v>1015347</v>
      </c>
    </row>
    <row r="3095" spans="1:23" hidden="1">
      <c r="A3095" s="81">
        <v>3093</v>
      </c>
      <c r="B3095" s="86" t="s">
        <v>1477</v>
      </c>
      <c r="C3095" s="86" t="s">
        <v>1954</v>
      </c>
      <c r="D3095" s="82" t="str">
        <f ca="1">OFFSET(Roster!$A$3,MATCH(表格1[[#This Row],[Location]]&amp;" "&amp;表格1[[#This Row],[Shop]]&amp;"*",Roster!$A$4:$A$72,0),DAY(表格1[[#This Row],[date]]),1,1)</f>
        <v>Kandy</v>
      </c>
      <c r="E3095" s="86">
        <f>MONTH(表格1[[#This Row],[date]])</f>
        <v>3</v>
      </c>
      <c r="F3095" s="90">
        <v>46102</v>
      </c>
      <c r="G3095" s="86" t="str">
        <f>VLOOKUP("*"&amp;表格1[[#This Row],[Input]]&amp;"*",'Ref-List'!$B:$D,2,)</f>
        <v>MM2-EM20PC(WH)</v>
      </c>
      <c r="H3095" s="86" t="str">
        <f>_xlfn.XLOOKUP(表格1[[#This Row],[Model]],表格3[Model-Input-Ref2],表格3[Product Line])</f>
        <v>輕觸式微波爐 (20公升)</v>
      </c>
      <c r="I3095" s="86" t="str">
        <f>_xlfn.XLOOKUP(表格1[[#This Row],[Model]],表格3[Model-Input-Ref2],表格3[大小電])</f>
        <v>細電</v>
      </c>
      <c r="J3095" s="86" t="str">
        <f>_xlfn.XLOOKUP(表格1[[#This Row],[Model]],表格3[Model-Input-Ref2],表格3[Code])</f>
        <v>MCA</v>
      </c>
      <c r="K3095" s="89" t="s">
        <v>1947</v>
      </c>
      <c r="L3095" s="86">
        <v>1</v>
      </c>
      <c r="M3095" s="87">
        <v>598</v>
      </c>
      <c r="N3095" s="87">
        <f>IFERROR(表格1[[#This Row],[QTY]]*表格1[[#This Row],[Unit Price]],"-")</f>
        <v>598</v>
      </c>
      <c r="O3095" s="86">
        <v>1015207</v>
      </c>
      <c r="R3095" s="86" t="str">
        <f>_xlfn.CONCAT(表格1[[#This Row],[Model]]," ",表格1[[#This Row],[inv no]])</f>
        <v>MM2-EM20PC(WH) 1015207</v>
      </c>
      <c r="S3095" s="86">
        <f>_xlfn.XLOOKUP(表格1[[#This Row],[Model]],表格3[Model-Input-Ref2],表格3[SRP PRICE])</f>
        <v>788</v>
      </c>
      <c r="T3095" s="43">
        <f>表格1[[#This Row],[Unit Price]]/表格1[[#This Row],[SRP]]</f>
        <v>0.75888324873096447</v>
      </c>
      <c r="U3095" s="86" t="str">
        <f>_xlfn.XLOOKUP(表格1[[#This Row],[Model]],表格3[Model-Input-Ref2],表格3[TOSHIBA/HIGHEST])</f>
        <v>Toshiba SRP</v>
      </c>
      <c r="W3095" s="86" t="str">
        <f>_xlfn.CONCAT(表格1[[#This Row],[欄4]],表格1[[#This Row],[inv no]])</f>
        <v>1015207</v>
      </c>
    </row>
    <row r="3096" spans="1:23" hidden="1">
      <c r="A3096" s="81">
        <v>3094</v>
      </c>
      <c r="B3096" s="86" t="s">
        <v>1477</v>
      </c>
      <c r="C3096" s="86" t="s">
        <v>1954</v>
      </c>
      <c r="D3096" s="82" t="str">
        <f ca="1">OFFSET(Roster!$A$3,MATCH(表格1[[#This Row],[Location]]&amp;" "&amp;表格1[[#This Row],[Shop]]&amp;"*",Roster!$A$4:$A$72,0),DAY(表格1[[#This Row],[date]]),1,1)</f>
        <v>Kandy</v>
      </c>
      <c r="E3096" s="86">
        <f>MONTH(表格1[[#This Row],[date]])</f>
        <v>3</v>
      </c>
      <c r="F3096" s="90">
        <v>46102</v>
      </c>
      <c r="G3096" s="86" t="str">
        <f>VLOOKUP("*"&amp;表格1[[#This Row],[Input]]&amp;"*",'Ref-List'!$B:$D,2,)</f>
        <v>MM2-EM20PC(WH)</v>
      </c>
      <c r="H3096" s="86" t="str">
        <f>_xlfn.XLOOKUP(表格1[[#This Row],[Model]],表格3[Model-Input-Ref2],表格3[Product Line])</f>
        <v>輕觸式微波爐 (20公升)</v>
      </c>
      <c r="I3096" s="86" t="str">
        <f>_xlfn.XLOOKUP(表格1[[#This Row],[Model]],表格3[Model-Input-Ref2],表格3[大小電])</f>
        <v>細電</v>
      </c>
      <c r="J3096" s="86" t="str">
        <f>_xlfn.XLOOKUP(表格1[[#This Row],[Model]],表格3[Model-Input-Ref2],表格3[Code])</f>
        <v>MCA</v>
      </c>
      <c r="K3096" s="89" t="s">
        <v>1947</v>
      </c>
      <c r="L3096" s="86">
        <v>1</v>
      </c>
      <c r="M3096" s="87">
        <v>598</v>
      </c>
      <c r="N3096" s="87">
        <f>IFERROR(表格1[[#This Row],[QTY]]*表格1[[#This Row],[Unit Price]],"-")</f>
        <v>598</v>
      </c>
      <c r="O3096" s="86">
        <v>1015399</v>
      </c>
      <c r="R3096" s="86" t="str">
        <f>_xlfn.CONCAT(表格1[[#This Row],[Model]]," ",表格1[[#This Row],[inv no]])</f>
        <v>MM2-EM20PC(WH) 1015399</v>
      </c>
      <c r="S3096" s="86">
        <f>_xlfn.XLOOKUP(表格1[[#This Row],[Model]],表格3[Model-Input-Ref2],表格3[SRP PRICE])</f>
        <v>788</v>
      </c>
      <c r="T3096" s="43">
        <f>表格1[[#This Row],[Unit Price]]/表格1[[#This Row],[SRP]]</f>
        <v>0.75888324873096447</v>
      </c>
      <c r="U3096" s="86" t="str">
        <f>_xlfn.XLOOKUP(表格1[[#This Row],[Model]],表格3[Model-Input-Ref2],表格3[TOSHIBA/HIGHEST])</f>
        <v>Toshiba SRP</v>
      </c>
      <c r="W3096" s="86" t="str">
        <f>_xlfn.CONCAT(表格1[[#This Row],[欄4]],表格1[[#This Row],[inv no]])</f>
        <v>1015399</v>
      </c>
    </row>
    <row r="3097" spans="1:23" hidden="1">
      <c r="A3097" s="81">
        <v>3095</v>
      </c>
      <c r="B3097" s="86" t="s">
        <v>1477</v>
      </c>
      <c r="C3097" s="86" t="s">
        <v>1954</v>
      </c>
      <c r="D3097" s="82" t="str">
        <f ca="1">OFFSET(Roster!$A$3,MATCH(表格1[[#This Row],[Location]]&amp;" "&amp;表格1[[#This Row],[Shop]]&amp;"*",Roster!$A$4:$A$72,0),DAY(表格1[[#This Row],[date]]),1,1)</f>
        <v>Kandy</v>
      </c>
      <c r="E3097" s="86">
        <f>MONTH(表格1[[#This Row],[date]])</f>
        <v>3</v>
      </c>
      <c r="F3097" s="90">
        <v>46102</v>
      </c>
      <c r="G3097" s="86" t="str">
        <f>VLOOKUP("*"&amp;表格1[[#This Row],[Input]]&amp;"*",'Ref-List'!$B:$D,2,)</f>
        <v>DW-05T2-HK</v>
      </c>
      <c r="H3097" s="86" t="str">
        <f>_xlfn.XLOOKUP(表格1[[#This Row],[Model]],表格3[Model-Input-Ref2],表格3[Product Line])</f>
        <v>座檯式洗碗碟機</v>
      </c>
      <c r="I3097" s="86" t="str">
        <f>_xlfn.XLOOKUP(表格1[[#This Row],[Model]],表格3[Model-Input-Ref2],表格3[大小電])</f>
        <v>細電</v>
      </c>
      <c r="J3097" s="86" t="str">
        <f>_xlfn.XLOOKUP(表格1[[#This Row],[Model]],表格3[Model-Input-Ref2],表格3[Code])</f>
        <v>DW</v>
      </c>
      <c r="K3097" s="89" t="s">
        <v>1475</v>
      </c>
      <c r="L3097" s="86">
        <v>1</v>
      </c>
      <c r="M3097" s="87">
        <v>3780</v>
      </c>
      <c r="N3097" s="87">
        <f>IFERROR(表格1[[#This Row],[QTY]]*表格1[[#This Row],[Unit Price]],"-")</f>
        <v>3780</v>
      </c>
      <c r="O3097" s="86">
        <v>1015482</v>
      </c>
      <c r="R3097" s="86" t="str">
        <f>_xlfn.CONCAT(表格1[[#This Row],[Model]]," ",表格1[[#This Row],[inv no]])</f>
        <v>DW-05T2-HK 1015482</v>
      </c>
      <c r="S3097" s="86">
        <f>_xlfn.XLOOKUP(表格1[[#This Row],[Model]],表格3[Model-Input-Ref2],表格3[SRP PRICE])</f>
        <v>4580</v>
      </c>
      <c r="T3097" s="43">
        <f>表格1[[#This Row],[Unit Price]]/表格1[[#This Row],[SRP]]</f>
        <v>0.8253275109170306</v>
      </c>
      <c r="U3097" s="86" t="str">
        <f>_xlfn.XLOOKUP(表格1[[#This Row],[Model]],表格3[Model-Input-Ref2],表格3[TOSHIBA/HIGHEST])</f>
        <v>Toshiba SRP</v>
      </c>
      <c r="W3097" s="86" t="str">
        <f>_xlfn.CONCAT(表格1[[#This Row],[欄4]],表格1[[#This Row],[inv no]])</f>
        <v>1015482</v>
      </c>
    </row>
    <row r="3098" spans="1:23" hidden="1">
      <c r="A3098" s="81">
        <v>3096</v>
      </c>
      <c r="B3098" s="86" t="s">
        <v>1477</v>
      </c>
      <c r="C3098" s="86" t="s">
        <v>1954</v>
      </c>
      <c r="D3098" s="82" t="str">
        <f ca="1">OFFSET(Roster!$A$3,MATCH(表格1[[#This Row],[Location]]&amp;" "&amp;表格1[[#This Row],[Shop]]&amp;"*",Roster!$A$4:$A$72,0),DAY(表格1[[#This Row],[date]]),1,1)</f>
        <v>Kandy</v>
      </c>
      <c r="E3098" s="86">
        <f>MONTH(表格1[[#This Row],[date]])</f>
        <v>3</v>
      </c>
      <c r="F3098" s="90">
        <v>46102</v>
      </c>
      <c r="G3098" s="86" t="str">
        <f>VLOOKUP("*"&amp;表格1[[#This Row],[Input]]&amp;"*",'Ref-List'!$B:$D,2,)</f>
        <v>TWD-T25BZU115MWH(MG)</v>
      </c>
      <c r="H3098" s="86" t="str">
        <f>_xlfn.XLOOKUP(表格1[[#This Row],[Model]],表格3[Model-Input-Ref2],表格3[Product Line])</f>
        <v>前置式變頻洗衣乾衣機 (洗10.5公斤 乾7公斤)</v>
      </c>
      <c r="I3098" s="86" t="str">
        <f>_xlfn.XLOOKUP(表格1[[#This Row],[Model]],表格3[Model-Input-Ref2],表格3[大小電])</f>
        <v>大電</v>
      </c>
      <c r="J3098" s="86" t="str">
        <f>_xlfn.XLOOKUP(表格1[[#This Row],[Model]],表格3[Model-Input-Ref2],表格3[Code])</f>
        <v>LAD</v>
      </c>
      <c r="K3098" s="89" t="s">
        <v>1098</v>
      </c>
      <c r="L3098" s="86">
        <v>1</v>
      </c>
      <c r="M3098" s="87">
        <v>5980</v>
      </c>
      <c r="N3098" s="87">
        <f>IFERROR(表格1[[#This Row],[QTY]]*表格1[[#This Row],[Unit Price]],"-")</f>
        <v>5980</v>
      </c>
      <c r="O3098" s="86">
        <v>1015054</v>
      </c>
      <c r="R3098" s="86" t="str">
        <f>_xlfn.CONCAT(表格1[[#This Row],[Model]]," ",表格1[[#This Row],[inv no]])</f>
        <v>TWD-T25BZU115MWH(MG) 1015054</v>
      </c>
      <c r="S3098" s="86">
        <f>_xlfn.XLOOKUP(表格1[[#This Row],[Model]],表格3[Model-Input-Ref2],表格3[SRP PRICE])</f>
        <v>8280</v>
      </c>
      <c r="T3098" s="43">
        <f>表格1[[#This Row],[Unit Price]]/表格1[[#This Row],[SRP]]</f>
        <v>0.72222222222222221</v>
      </c>
      <c r="U3098" s="86" t="str">
        <f>_xlfn.XLOOKUP(表格1[[#This Row],[Model]],表格3[Model-Input-Ref2],表格3[TOSHIBA/HIGHEST])</f>
        <v>Toshiba SRP</v>
      </c>
      <c r="W3098" s="86" t="str">
        <f>_xlfn.CONCAT(表格1[[#This Row],[欄4]],表格1[[#This Row],[inv no]])</f>
        <v>1015054</v>
      </c>
    </row>
    <row r="3099" spans="1:23" hidden="1">
      <c r="A3099" s="81">
        <v>3097</v>
      </c>
      <c r="B3099" s="86" t="s">
        <v>1477</v>
      </c>
      <c r="C3099" s="86" t="s">
        <v>1954</v>
      </c>
      <c r="D3099" s="82" t="str">
        <f ca="1">OFFSET(Roster!$A$3,MATCH(表格1[[#This Row],[Location]]&amp;" "&amp;表格1[[#This Row],[Shop]]&amp;"*",Roster!$A$4:$A$72,0),DAY(表格1[[#This Row],[date]]),1,1)</f>
        <v>Kandy</v>
      </c>
      <c r="E3099" s="86">
        <f>MONTH(表格1[[#This Row],[date]])</f>
        <v>3</v>
      </c>
      <c r="F3099" s="90">
        <v>46102</v>
      </c>
      <c r="G3099" s="86" t="str">
        <f>VLOOKUP("*"&amp;表格1[[#This Row],[Input]]&amp;"*",'Ref-List'!$B:$D,2,)</f>
        <v>GR-RT300WE-PMA(57)</v>
      </c>
      <c r="H3099" s="86" t="str">
        <f>_xlfn.XLOOKUP(表格1[[#This Row],[Model]],表格3[Model-Input-Ref2],表格3[Product Line])</f>
        <v>變頻式環保雙門雪櫃(233L)</v>
      </c>
      <c r="I3099" s="86" t="str">
        <f>_xlfn.XLOOKUP(表格1[[#This Row],[Model]],表格3[Model-Input-Ref2],表格3[大小電])</f>
        <v>大電</v>
      </c>
      <c r="J3099" s="86" t="str">
        <f>_xlfn.XLOOKUP(表格1[[#This Row],[Model]],表格3[Model-Input-Ref2],表格3[Code])</f>
        <v>REF</v>
      </c>
      <c r="K3099" s="89" t="s">
        <v>1462</v>
      </c>
      <c r="L3099" s="86">
        <v>1</v>
      </c>
      <c r="M3099" s="87">
        <v>2780</v>
      </c>
      <c r="N3099" s="87">
        <f>IFERROR(表格1[[#This Row],[QTY]]*表格1[[#This Row],[Unit Price]],"-")</f>
        <v>2780</v>
      </c>
      <c r="O3099" s="86">
        <v>1015341</v>
      </c>
      <c r="R3099" s="86" t="str">
        <f>_xlfn.CONCAT(表格1[[#This Row],[Model]]," ",表格1[[#This Row],[inv no]])</f>
        <v>GR-RT300WE-PMA(57) 1015341</v>
      </c>
      <c r="S3099" s="86">
        <f>_xlfn.XLOOKUP(表格1[[#This Row],[Model]],表格3[Model-Input-Ref2],表格3[SRP PRICE])</f>
        <v>4280</v>
      </c>
      <c r="T3099" s="43">
        <f>表格1[[#This Row],[Unit Price]]/表格1[[#This Row],[SRP]]</f>
        <v>0.64953271028037385</v>
      </c>
      <c r="U3099" s="86" t="str">
        <f>_xlfn.XLOOKUP(表格1[[#This Row],[Model]],表格3[Model-Input-Ref2],表格3[TOSHIBA/HIGHEST])</f>
        <v>Toshiba SRP</v>
      </c>
      <c r="W3099" s="86" t="str">
        <f>_xlfn.CONCAT(表格1[[#This Row],[欄4]],表格1[[#This Row],[inv no]])</f>
        <v>1015341</v>
      </c>
    </row>
    <row r="3100" spans="1:23" hidden="1">
      <c r="A3100" s="81">
        <v>3098</v>
      </c>
      <c r="B3100" s="86" t="s">
        <v>1477</v>
      </c>
      <c r="C3100" s="86" t="s">
        <v>1954</v>
      </c>
      <c r="D3100" s="82" t="str">
        <f ca="1">OFFSET(Roster!$A$3,MATCH(表格1[[#This Row],[Location]]&amp;" "&amp;表格1[[#This Row],[Shop]]&amp;"*",Roster!$A$4:$A$72,0),DAY(表格1[[#This Row],[date]]),1,1)</f>
        <v>Kandy</v>
      </c>
      <c r="E3100" s="86">
        <f>MONTH(表格1[[#This Row],[date]])</f>
        <v>3</v>
      </c>
      <c r="F3100" s="90">
        <v>46102</v>
      </c>
      <c r="G3100" s="86" t="str">
        <f>VLOOKUP("*"&amp;表格1[[#This Row],[Input]]&amp;"*",'Ref-List'!$B:$D,2,)</f>
        <v>MX1-TH23SC(WH)</v>
      </c>
      <c r="H3100" s="86" t="str">
        <f>_xlfn.XLOOKUP(表格1[[#This Row],[Model]],表格3[Model-Input-Ref2],表格3[Product Line])</f>
        <v>微波蒸焗爐23L</v>
      </c>
      <c r="I3100" s="86" t="str">
        <f>_xlfn.XLOOKUP(表格1[[#This Row],[Model]],表格3[Model-Input-Ref2],表格3[大小電])</f>
        <v>細電</v>
      </c>
      <c r="J3100" s="86" t="str">
        <f>_xlfn.XLOOKUP(表格1[[#This Row],[Model]],表格3[Model-Input-Ref2],表格3[Code])</f>
        <v>SDA</v>
      </c>
      <c r="K3100" s="89" t="s">
        <v>1496</v>
      </c>
      <c r="L3100" s="86">
        <v>1</v>
      </c>
      <c r="M3100" s="87">
        <v>2580</v>
      </c>
      <c r="N3100" s="87">
        <f>IFERROR(表格1[[#This Row],[QTY]]*表格1[[#This Row],[Unit Price]],"-")</f>
        <v>2580</v>
      </c>
      <c r="O3100" s="86">
        <v>1015099</v>
      </c>
      <c r="R3100" s="86" t="str">
        <f>_xlfn.CONCAT(表格1[[#This Row],[Model]]," ",表格1[[#This Row],[inv no]])</f>
        <v>MX1-TH23SC(WH) 1015099</v>
      </c>
      <c r="S3100" s="86">
        <f>_xlfn.XLOOKUP(表格1[[#This Row],[Model]],表格3[Model-Input-Ref2],表格3[SRP PRICE])</f>
        <v>3380</v>
      </c>
      <c r="T3100" s="43">
        <f>表格1[[#This Row],[Unit Price]]/表格1[[#This Row],[SRP]]</f>
        <v>0.76331360946745563</v>
      </c>
      <c r="U3100" s="86" t="str">
        <f>_xlfn.XLOOKUP(表格1[[#This Row],[Model]],表格3[Model-Input-Ref2],表格3[TOSHIBA/HIGHEST])</f>
        <v>Toshiba SRP</v>
      </c>
      <c r="W3100" s="86" t="str">
        <f>_xlfn.CONCAT(表格1[[#This Row],[欄4]],表格1[[#This Row],[inv no]])</f>
        <v>1015099</v>
      </c>
    </row>
    <row r="3101" spans="1:23" hidden="1">
      <c r="A3101" s="81">
        <v>3099</v>
      </c>
      <c r="B3101" s="86" t="s">
        <v>1477</v>
      </c>
      <c r="C3101" s="86" t="s">
        <v>1954</v>
      </c>
      <c r="D3101" s="82" t="str">
        <f ca="1">OFFSET(Roster!$A$3,MATCH(表格1[[#This Row],[Location]]&amp;" "&amp;表格1[[#This Row],[Shop]]&amp;"*",Roster!$A$4:$A$72,0),DAY(表格1[[#This Row],[date]]),1,1)</f>
        <v>Kandy</v>
      </c>
      <c r="E3101" s="86">
        <f>MONTH(表格1[[#This Row],[date]])</f>
        <v>3</v>
      </c>
      <c r="F3101" s="90">
        <v>46102</v>
      </c>
      <c r="G3101" s="86" t="str">
        <f>VLOOKUP("*"&amp;表格1[[#This Row],[Input]]&amp;"*",'Ref-List'!$B:$D,2,)</f>
        <v>TL-MC35Z</v>
      </c>
      <c r="H3101" s="86" t="str">
        <f>_xlfn.XLOOKUP(表格1[[#This Row],[Model]],表格3[Model-Input-Ref2],表格3[Product Line])</f>
        <v>35L多功能電焗爐</v>
      </c>
      <c r="I3101" s="86" t="str">
        <f>_xlfn.XLOOKUP(表格1[[#This Row],[Model]],表格3[Model-Input-Ref2],表格3[大小電])</f>
        <v>細電</v>
      </c>
      <c r="J3101" s="86" t="str">
        <f>_xlfn.XLOOKUP(表格1[[#This Row],[Model]],表格3[Model-Input-Ref2],表格3[Code])</f>
        <v>SDA</v>
      </c>
      <c r="K3101" s="89" t="s">
        <v>1295</v>
      </c>
      <c r="L3101" s="86">
        <v>1</v>
      </c>
      <c r="M3101" s="87">
        <v>888</v>
      </c>
      <c r="N3101" s="87">
        <f>IFERROR(表格1[[#This Row],[QTY]]*表格1[[#This Row],[Unit Price]],"-")</f>
        <v>888</v>
      </c>
      <c r="O3101" s="86">
        <v>1015169</v>
      </c>
      <c r="R3101" s="86" t="str">
        <f>_xlfn.CONCAT(表格1[[#This Row],[Model]]," ",表格1[[#This Row],[inv no]])</f>
        <v>TL-MC35Z 1015169</v>
      </c>
      <c r="S3101" s="86">
        <f>_xlfn.XLOOKUP(表格1[[#This Row],[Model]],表格3[Model-Input-Ref2],表格3[SRP PRICE])</f>
        <v>1098</v>
      </c>
      <c r="T3101" s="43">
        <f>表格1[[#This Row],[Unit Price]]/表格1[[#This Row],[SRP]]</f>
        <v>0.80874316939890711</v>
      </c>
      <c r="U3101" s="86" t="str">
        <f>_xlfn.XLOOKUP(表格1[[#This Row],[Model]],表格3[Model-Input-Ref2],表格3[TOSHIBA/HIGHEST])</f>
        <v>Toshiba SRP</v>
      </c>
      <c r="W3101" s="86" t="str">
        <f>_xlfn.CONCAT(表格1[[#This Row],[欄4]],表格1[[#This Row],[inv no]])</f>
        <v>1015169</v>
      </c>
    </row>
    <row r="3102" spans="1:23" hidden="1">
      <c r="A3102" s="81">
        <v>3100</v>
      </c>
      <c r="B3102" s="86" t="s">
        <v>1477</v>
      </c>
      <c r="C3102" s="86" t="s">
        <v>1954</v>
      </c>
      <c r="D3102" s="82" t="str">
        <f ca="1">OFFSET(Roster!$A$3,MATCH(表格1[[#This Row],[Location]]&amp;" "&amp;表格1[[#This Row],[Shop]]&amp;"*",Roster!$A$4:$A$72,0),DAY(表格1[[#This Row],[date]]),1,1)</f>
        <v>Kandy</v>
      </c>
      <c r="E3102" s="86">
        <f>MONTH(表格1[[#This Row],[date]])</f>
        <v>3</v>
      </c>
      <c r="F3102" s="90">
        <v>46102</v>
      </c>
      <c r="G3102" s="86" t="str">
        <f>VLOOKUP("*"&amp;表格1[[#This Row],[Input]]&amp;"*",'Ref-List'!$B:$D,2,)</f>
        <v>MW3-SAC24SE(BK)</v>
      </c>
      <c r="H3102" s="86" t="str">
        <f>_xlfn.XLOOKUP(表格1[[#This Row],[Model]],表格3[Model-Input-Ref2],表格3[Product Line])</f>
        <v>智能氣炸烤焗爐(24公升)</v>
      </c>
      <c r="I3102" s="86" t="str">
        <f>_xlfn.XLOOKUP(表格1[[#This Row],[Model]],表格3[Model-Input-Ref2],表格3[大小電])</f>
        <v>細電</v>
      </c>
      <c r="J3102" s="86" t="str">
        <f>_xlfn.XLOOKUP(表格1[[#This Row],[Model]],表格3[Model-Input-Ref2],表格3[Code])</f>
        <v>MCA</v>
      </c>
      <c r="K3102" s="89" t="s">
        <v>1274</v>
      </c>
      <c r="L3102" s="86">
        <v>1</v>
      </c>
      <c r="M3102" s="87">
        <v>1320</v>
      </c>
      <c r="N3102" s="87">
        <f>IFERROR(表格1[[#This Row],[QTY]]*表格1[[#This Row],[Unit Price]],"-")</f>
        <v>1320</v>
      </c>
      <c r="O3102" s="86">
        <v>1015069</v>
      </c>
      <c r="R3102" s="86" t="str">
        <f>_xlfn.CONCAT(表格1[[#This Row],[Model]]," ",表格1[[#This Row],[inv no]])</f>
        <v>MW3-SAC24SE(BK) 1015069</v>
      </c>
      <c r="S3102" s="86">
        <f>_xlfn.XLOOKUP(表格1[[#This Row],[Model]],表格3[Model-Input-Ref2],表格3[SRP PRICE])</f>
        <v>1680</v>
      </c>
      <c r="T3102" s="43">
        <f>表格1[[#This Row],[Unit Price]]/表格1[[#This Row],[SRP]]</f>
        <v>0.7857142857142857</v>
      </c>
      <c r="U3102" s="86" t="str">
        <f>_xlfn.XLOOKUP(表格1[[#This Row],[Model]],表格3[Model-Input-Ref2],表格3[TOSHIBA/HIGHEST])</f>
        <v>Toshiba SRP</v>
      </c>
      <c r="W3102" s="86" t="str">
        <f>_xlfn.CONCAT(表格1[[#This Row],[欄4]],表格1[[#This Row],[inv no]])</f>
        <v>1015069</v>
      </c>
    </row>
    <row r="3103" spans="1:23" hidden="1">
      <c r="A3103" s="81">
        <v>3101</v>
      </c>
      <c r="B3103" s="86" t="s">
        <v>1477</v>
      </c>
      <c r="C3103" s="86" t="s">
        <v>1954</v>
      </c>
      <c r="D3103" s="82" t="str">
        <f ca="1">OFFSET(Roster!$A$3,MATCH(表格1[[#This Row],[Location]]&amp;" "&amp;表格1[[#This Row],[Shop]]&amp;"*",Roster!$A$4:$A$72,0),DAY(表格1[[#This Row],[date]]),1,1)</f>
        <v>Kandy</v>
      </c>
      <c r="E3103" s="86">
        <f>MONTH(表格1[[#This Row],[date]])</f>
        <v>3</v>
      </c>
      <c r="F3103" s="90">
        <v>46102</v>
      </c>
      <c r="G3103" s="86" t="str">
        <f>VLOOKUP("*"&amp;表格1[[#This Row],[Input]]&amp;"*",'Ref-List'!$B:$D,2,)</f>
        <v>KT-17SHNH</v>
      </c>
      <c r="H3103" s="86" t="str">
        <f>_xlfn.XLOOKUP(表格1[[#This Row],[Model]],表格3[Model-Input-Ref2],表格3[Product Line])</f>
        <v>1.7L無線雙層電熱水壺</v>
      </c>
      <c r="I3103" s="86" t="str">
        <f>_xlfn.XLOOKUP(表格1[[#This Row],[Model]],表格3[Model-Input-Ref2],表格3[大小電])</f>
        <v>細電</v>
      </c>
      <c r="J3103" s="86" t="str">
        <f>_xlfn.XLOOKUP(表格1[[#This Row],[Model]],表格3[Model-Input-Ref2],表格3[Code])</f>
        <v>SDA</v>
      </c>
      <c r="K3103" s="89" t="s">
        <v>1283</v>
      </c>
      <c r="L3103" s="86">
        <v>1</v>
      </c>
      <c r="M3103" s="87">
        <v>198</v>
      </c>
      <c r="N3103" s="87">
        <f>IFERROR(表格1[[#This Row],[QTY]]*表格1[[#This Row],[Unit Price]],"-")</f>
        <v>198</v>
      </c>
      <c r="O3103" s="86">
        <v>1015522</v>
      </c>
      <c r="R3103" s="86" t="str">
        <f>_xlfn.CONCAT(表格1[[#This Row],[Model]]," ",表格1[[#This Row],[inv no]])</f>
        <v>KT-17SHNH 1015522</v>
      </c>
      <c r="S3103" s="86">
        <f>_xlfn.XLOOKUP(表格1[[#This Row],[Model]],表格3[Model-Input-Ref2],表格3[SRP PRICE])</f>
        <v>299</v>
      </c>
      <c r="T3103" s="43">
        <f>表格1[[#This Row],[Unit Price]]/表格1[[#This Row],[SRP]]</f>
        <v>0.66220735785953178</v>
      </c>
      <c r="U3103" s="86" t="str">
        <f>_xlfn.XLOOKUP(表格1[[#This Row],[Model]],表格3[Model-Input-Ref2],表格3[TOSHIBA/HIGHEST])</f>
        <v>Shops Highest Price</v>
      </c>
      <c r="W3103" s="86" t="str">
        <f>_xlfn.CONCAT(表格1[[#This Row],[欄4]],表格1[[#This Row],[inv no]])</f>
        <v>1015522</v>
      </c>
    </row>
    <row r="3104" spans="1:23" hidden="1">
      <c r="A3104" s="81">
        <v>3102</v>
      </c>
      <c r="B3104" s="86" t="s">
        <v>1477</v>
      </c>
      <c r="C3104" s="86" t="s">
        <v>1954</v>
      </c>
      <c r="D3104" s="82" t="str">
        <f ca="1">OFFSET(Roster!$A$3,MATCH(表格1[[#This Row],[Location]]&amp;" "&amp;表格1[[#This Row],[Shop]]&amp;"*",Roster!$A$4:$A$72,0),DAY(表格1[[#This Row],[date]]),1,1)</f>
        <v>Kandy</v>
      </c>
      <c r="E3104" s="86">
        <f>MONTH(表格1[[#This Row],[date]])</f>
        <v>3</v>
      </c>
      <c r="F3104" s="90">
        <v>46102</v>
      </c>
      <c r="G3104" s="86" t="str">
        <f>VLOOKUP("*"&amp;表格1[[#This Row],[Input]]&amp;"*",'Ref-List'!$B:$D,2,)</f>
        <v>KT-17SHNH</v>
      </c>
      <c r="H3104" s="86" t="str">
        <f>_xlfn.XLOOKUP(表格1[[#This Row],[Model]],表格3[Model-Input-Ref2],表格3[Product Line])</f>
        <v>1.7L無線雙層電熱水壺</v>
      </c>
      <c r="I3104" s="86" t="str">
        <f>_xlfn.XLOOKUP(表格1[[#This Row],[Model]],表格3[Model-Input-Ref2],表格3[大小電])</f>
        <v>細電</v>
      </c>
      <c r="J3104" s="86" t="str">
        <f>_xlfn.XLOOKUP(表格1[[#This Row],[Model]],表格3[Model-Input-Ref2],表格3[Code])</f>
        <v>SDA</v>
      </c>
      <c r="K3104" s="89" t="s">
        <v>1283</v>
      </c>
      <c r="L3104" s="86">
        <v>1</v>
      </c>
      <c r="M3104" s="87">
        <v>198</v>
      </c>
      <c r="N3104" s="87">
        <f>IFERROR(表格1[[#This Row],[QTY]]*表格1[[#This Row],[Unit Price]],"-")</f>
        <v>198</v>
      </c>
      <c r="O3104" s="86">
        <v>1015554</v>
      </c>
      <c r="R3104" s="86" t="str">
        <f>_xlfn.CONCAT(表格1[[#This Row],[Model]]," ",表格1[[#This Row],[inv no]])</f>
        <v>KT-17SHNH 1015554</v>
      </c>
      <c r="S3104" s="86">
        <f>_xlfn.XLOOKUP(表格1[[#This Row],[Model]],表格3[Model-Input-Ref2],表格3[SRP PRICE])</f>
        <v>299</v>
      </c>
      <c r="T3104" s="43">
        <f>表格1[[#This Row],[Unit Price]]/表格1[[#This Row],[SRP]]</f>
        <v>0.66220735785953178</v>
      </c>
      <c r="U3104" s="86" t="str">
        <f>_xlfn.XLOOKUP(表格1[[#This Row],[Model]],表格3[Model-Input-Ref2],表格3[TOSHIBA/HIGHEST])</f>
        <v>Shops Highest Price</v>
      </c>
      <c r="W3104" s="86" t="str">
        <f>_xlfn.CONCAT(表格1[[#This Row],[欄4]],表格1[[#This Row],[inv no]])</f>
        <v>1015554</v>
      </c>
    </row>
    <row r="3105" spans="1:23" hidden="1">
      <c r="A3105" s="81">
        <v>3103</v>
      </c>
      <c r="B3105" s="86" t="s">
        <v>1477</v>
      </c>
      <c r="C3105" s="86" t="s">
        <v>1954</v>
      </c>
      <c r="D3105" s="82" t="str">
        <f ca="1">OFFSET(Roster!$A$3,MATCH(表格1[[#This Row],[Location]]&amp;" "&amp;表格1[[#This Row],[Shop]]&amp;"*",Roster!$A$4:$A$72,0),DAY(表格1[[#This Row],[date]]),1,1)</f>
        <v>Kandy</v>
      </c>
      <c r="E3105" s="86">
        <f>MONTH(表格1[[#This Row],[date]])</f>
        <v>3</v>
      </c>
      <c r="F3105" s="90">
        <v>46102</v>
      </c>
      <c r="G3105" s="86" t="str">
        <f>VLOOKUP("*"&amp;表格1[[#This Row],[Input]]&amp;"*",'Ref-List'!$B:$D,2,)</f>
        <v>GR-RB449WE-PMA(57)</v>
      </c>
      <c r="H3105" s="86" t="str">
        <f>_xlfn.XLOOKUP(表格1[[#This Row],[Model]],表格3[Model-Input-Ref2],表格3[Product Line])</f>
        <v>變頻下置式雙門雪櫃</v>
      </c>
      <c r="I3105" s="86" t="str">
        <f>_xlfn.XLOOKUP(表格1[[#This Row],[Model]],表格3[Model-Input-Ref2],表格3[大小電])</f>
        <v>大電</v>
      </c>
      <c r="J3105" s="86" t="str">
        <f>_xlfn.XLOOKUP(表格1[[#This Row],[Model]],表格3[Model-Input-Ref2],表格3[Code])</f>
        <v>REF</v>
      </c>
      <c r="K3105" s="89" t="s">
        <v>1484</v>
      </c>
      <c r="L3105" s="86">
        <v>1</v>
      </c>
      <c r="M3105" s="87">
        <v>4560</v>
      </c>
      <c r="N3105" s="87">
        <f>IFERROR(表格1[[#This Row],[QTY]]*表格1[[#This Row],[Unit Price]],"-")</f>
        <v>4560</v>
      </c>
      <c r="O3105" s="86">
        <v>1015066</v>
      </c>
      <c r="R3105" s="86" t="str">
        <f>_xlfn.CONCAT(表格1[[#This Row],[Model]]," ",表格1[[#This Row],[inv no]])</f>
        <v>GR-RB449WE-PMA(57) 1015066</v>
      </c>
      <c r="S3105" s="86">
        <f>_xlfn.XLOOKUP(表格1[[#This Row],[Model]],表格3[Model-Input-Ref2],表格3[SRP PRICE])</f>
        <v>6280</v>
      </c>
      <c r="T3105" s="43">
        <f>表格1[[#This Row],[Unit Price]]/表格1[[#This Row],[SRP]]</f>
        <v>0.72611464968152861</v>
      </c>
      <c r="U3105" s="86" t="str">
        <f>_xlfn.XLOOKUP(表格1[[#This Row],[Model]],表格3[Model-Input-Ref2],表格3[TOSHIBA/HIGHEST])</f>
        <v>Toshiba SRP</v>
      </c>
      <c r="W3105" s="86" t="str">
        <f>_xlfn.CONCAT(表格1[[#This Row],[欄4]],表格1[[#This Row],[inv no]])</f>
        <v>1015066</v>
      </c>
    </row>
    <row r="3106" spans="1:23" hidden="1">
      <c r="A3106" s="81">
        <v>3104</v>
      </c>
      <c r="B3106" s="86" t="s">
        <v>1477</v>
      </c>
      <c r="C3106" s="86" t="s">
        <v>1954</v>
      </c>
      <c r="D3106" s="82" t="str">
        <f ca="1">OFFSET(Roster!$A$3,MATCH(表格1[[#This Row],[Location]]&amp;" "&amp;表格1[[#This Row],[Shop]]&amp;"*",Roster!$A$4:$A$72,0),DAY(表格1[[#This Row],[date]]),1,1)</f>
        <v>Kandy</v>
      </c>
      <c r="E3106" s="86">
        <f>MONTH(表格1[[#This Row],[date]])</f>
        <v>3</v>
      </c>
      <c r="F3106" s="90">
        <v>46102</v>
      </c>
      <c r="G3106" s="86" t="str">
        <f>VLOOKUP("*"&amp;表格1[[#This Row],[Input]]&amp;"*",'Ref-List'!$B:$D,2,)</f>
        <v>KT-15DRTHK(W)</v>
      </c>
      <c r="H3106" s="86" t="str">
        <f>_xlfn.XLOOKUP(表格1[[#This Row],[Model]],表格3[Model-Input-Ref2],表格3[Product Line])</f>
        <v>無線雙層電熱水壺-附可鎖壺蓋</v>
      </c>
      <c r="I3106" s="86" t="str">
        <f>_xlfn.XLOOKUP(表格1[[#This Row],[Model]],表格3[Model-Input-Ref2],表格3[大小電])</f>
        <v>細電</v>
      </c>
      <c r="J3106" s="86" t="str">
        <f>_xlfn.XLOOKUP(表格1[[#This Row],[Model]],表格3[Model-Input-Ref2],表格3[Code])</f>
        <v>SDA</v>
      </c>
      <c r="K3106" s="89" t="s">
        <v>1278</v>
      </c>
      <c r="L3106" s="86">
        <v>1</v>
      </c>
      <c r="M3106" s="87">
        <v>355</v>
      </c>
      <c r="N3106" s="87">
        <f>IFERROR(表格1[[#This Row],[QTY]]*表格1[[#This Row],[Unit Price]],"-")</f>
        <v>355</v>
      </c>
      <c r="O3106" s="86">
        <v>1015308</v>
      </c>
      <c r="R3106" s="86" t="str">
        <f>_xlfn.CONCAT(表格1[[#This Row],[Model]]," ",表格1[[#This Row],[inv no]])</f>
        <v>KT-15DRTHK(W) 1015308</v>
      </c>
      <c r="S3106" s="86">
        <f>_xlfn.XLOOKUP(表格1[[#This Row],[Model]],表格3[Model-Input-Ref2],表格3[SRP PRICE])</f>
        <v>598</v>
      </c>
      <c r="T3106" s="43">
        <f>表格1[[#This Row],[Unit Price]]/表格1[[#This Row],[SRP]]</f>
        <v>0.59364548494983282</v>
      </c>
      <c r="U3106" s="86" t="str">
        <f>_xlfn.XLOOKUP(表格1[[#This Row],[Model]],表格3[Model-Input-Ref2],表格3[TOSHIBA/HIGHEST])</f>
        <v>Toshiba SRP</v>
      </c>
      <c r="W3106" s="86" t="str">
        <f>_xlfn.CONCAT(表格1[[#This Row],[欄4]],表格1[[#This Row],[inv no]])</f>
        <v>1015308</v>
      </c>
    </row>
    <row r="3107" spans="1:23" hidden="1">
      <c r="A3107" s="81">
        <v>3105</v>
      </c>
      <c r="B3107" s="86" t="s">
        <v>1477</v>
      </c>
      <c r="C3107" s="86" t="s">
        <v>1954</v>
      </c>
      <c r="D3107" s="82" t="str">
        <f ca="1">OFFSET(Roster!$A$3,MATCH(表格1[[#This Row],[Location]]&amp;" "&amp;表格1[[#This Row],[Shop]]&amp;"*",Roster!$A$4:$A$72,0),DAY(表格1[[#This Row],[date]]),1,1)</f>
        <v>Kandy</v>
      </c>
      <c r="E3107" s="86">
        <f>MONTH(表格1[[#This Row],[date]])</f>
        <v>3</v>
      </c>
      <c r="F3107" s="90">
        <v>46102</v>
      </c>
      <c r="G3107" s="86" t="str">
        <f>VLOOKUP("*"&amp;表格1[[#This Row],[Input]]&amp;"*",'Ref-List'!$B:$D,2,)</f>
        <v>RC-10NMFIH(WT)</v>
      </c>
      <c r="H3107" s="86" t="str">
        <f>_xlfn.XLOOKUP(表格1[[#This Row],[Model]],表格3[Model-Input-Ref2],表格3[Product Line])</f>
        <v>4毫米厚釜電飯煲1L</v>
      </c>
      <c r="I3107" s="86" t="str">
        <f>_xlfn.XLOOKUP(表格1[[#This Row],[Model]],表格3[Model-Input-Ref2],表格3[大小電])</f>
        <v>細電</v>
      </c>
      <c r="J3107" s="86" t="str">
        <f>_xlfn.XLOOKUP(表格1[[#This Row],[Model]],表格3[Model-Input-Ref2],表格3[Code])</f>
        <v>SDA</v>
      </c>
      <c r="K3107" s="89" t="s">
        <v>1244</v>
      </c>
      <c r="L3107" s="86">
        <v>1</v>
      </c>
      <c r="M3107" s="87">
        <v>719</v>
      </c>
      <c r="N3107" s="87">
        <f>IFERROR(表格1[[#This Row],[QTY]]*表格1[[#This Row],[Unit Price]],"-")</f>
        <v>719</v>
      </c>
      <c r="O3107" s="86">
        <v>1015519</v>
      </c>
      <c r="R3107" s="86" t="str">
        <f>_xlfn.CONCAT(表格1[[#This Row],[Model]]," ",表格1[[#This Row],[inv no]])</f>
        <v>RC-10NMFIH(WT) 1015519</v>
      </c>
      <c r="S3107" s="86">
        <f>_xlfn.XLOOKUP(表格1[[#This Row],[Model]],表格3[Model-Input-Ref2],表格3[SRP PRICE])</f>
        <v>898</v>
      </c>
      <c r="T3107" s="43">
        <f>表格1[[#This Row],[Unit Price]]/表格1[[#This Row],[SRP]]</f>
        <v>0.80066815144766146</v>
      </c>
      <c r="U3107" s="86" t="str">
        <f>_xlfn.XLOOKUP(表格1[[#This Row],[Model]],表格3[Model-Input-Ref2],表格3[TOSHIBA/HIGHEST])</f>
        <v>Toshiba SRP</v>
      </c>
      <c r="W3107" s="86" t="str">
        <f>_xlfn.CONCAT(表格1[[#This Row],[欄4]],表格1[[#This Row],[inv no]])</f>
        <v>1015519</v>
      </c>
    </row>
    <row r="3108" spans="1:23" hidden="1">
      <c r="A3108" s="81">
        <v>3106</v>
      </c>
      <c r="B3108" s="86" t="s">
        <v>1477</v>
      </c>
      <c r="C3108" s="86" t="s">
        <v>1954</v>
      </c>
      <c r="D3108" s="82" t="str">
        <f ca="1">OFFSET(Roster!$A$3,MATCH(表格1[[#This Row],[Location]]&amp;" "&amp;表格1[[#This Row],[Shop]]&amp;"*",Roster!$A$4:$A$72,0),DAY(表格1[[#This Row],[date]]),1,1)</f>
        <v>Kandy</v>
      </c>
      <c r="E3108" s="86">
        <f>MONTH(表格1[[#This Row],[date]])</f>
        <v>3</v>
      </c>
      <c r="F3108" s="90">
        <v>46103</v>
      </c>
      <c r="G3108" s="86" t="str">
        <f>VLOOKUP("*"&amp;表格1[[#This Row],[Input]]&amp;"*",'Ref-List'!$B:$D,2,)</f>
        <v>RAD-DIA17HK</v>
      </c>
      <c r="H3108" s="86" t="str">
        <f>_xlfn.XLOOKUP(表格1[[#This Row],[Model]],表格3[Model-Input-Ref2],表格3[Product Line])</f>
        <v>變頻二合一空氣淨化抽濕機 (28公升)</v>
      </c>
      <c r="I3108" s="86" t="str">
        <f>_xlfn.XLOOKUP(表格1[[#This Row],[Model]],表格3[Model-Input-Ref2],表格3[大小電])</f>
        <v>大電</v>
      </c>
      <c r="J3108" s="86" t="str">
        <f>_xlfn.XLOOKUP(表格1[[#This Row],[Model]],表格3[Model-Input-Ref2],表格3[Code])</f>
        <v>RAC</v>
      </c>
      <c r="K3108" s="89" t="s">
        <v>1480</v>
      </c>
      <c r="L3108" s="86">
        <v>1</v>
      </c>
      <c r="M3108" s="87">
        <v>3580</v>
      </c>
      <c r="N3108" s="87">
        <f>IFERROR(表格1[[#This Row],[QTY]]*表格1[[#This Row],[Unit Price]],"-")</f>
        <v>3580</v>
      </c>
      <c r="O3108" s="86">
        <v>1015866</v>
      </c>
      <c r="R3108" s="86" t="str">
        <f>_xlfn.CONCAT(表格1[[#This Row],[Model]]," ",表格1[[#This Row],[inv no]])</f>
        <v>RAD-DIA17HK 1015866</v>
      </c>
      <c r="S3108" s="86">
        <f>_xlfn.XLOOKUP(表格1[[#This Row],[Model]],表格3[Model-Input-Ref2],表格3[SRP PRICE])</f>
        <v>4980</v>
      </c>
      <c r="T3108" s="43">
        <f>表格1[[#This Row],[Unit Price]]/表格1[[#This Row],[SRP]]</f>
        <v>0.71887550200803207</v>
      </c>
      <c r="U3108" s="86" t="str">
        <f>_xlfn.XLOOKUP(表格1[[#This Row],[Model]],表格3[Model-Input-Ref2],表格3[TOSHIBA/HIGHEST])</f>
        <v>Toshiba SRP</v>
      </c>
      <c r="W3108" s="86" t="str">
        <f>_xlfn.CONCAT(表格1[[#This Row],[欄4]],表格1[[#This Row],[inv no]])</f>
        <v>1015866</v>
      </c>
    </row>
    <row r="3109" spans="1:23" hidden="1">
      <c r="A3109" s="81">
        <v>3107</v>
      </c>
      <c r="B3109" s="86" t="s">
        <v>1477</v>
      </c>
      <c r="C3109" s="86" t="s">
        <v>1954</v>
      </c>
      <c r="D3109" s="82" t="str">
        <f ca="1">OFFSET(Roster!$A$3,MATCH(表格1[[#This Row],[Location]]&amp;" "&amp;表格1[[#This Row],[Shop]]&amp;"*",Roster!$A$4:$A$72,0),DAY(表格1[[#This Row],[date]]),1,1)</f>
        <v>Kandy</v>
      </c>
      <c r="E3109" s="86">
        <f>MONTH(表格1[[#This Row],[date]])</f>
        <v>3</v>
      </c>
      <c r="F3109" s="90">
        <v>46103</v>
      </c>
      <c r="G3109" s="86" t="str">
        <f>VLOOKUP("*"&amp;表格1[[#This Row],[Input]]&amp;"*",'Ref-List'!$B:$D,2,)</f>
        <v>DW-05T2-HK</v>
      </c>
      <c r="H3109" s="86" t="str">
        <f>_xlfn.XLOOKUP(表格1[[#This Row],[Model]],表格3[Model-Input-Ref2],表格3[Product Line])</f>
        <v>座檯式洗碗碟機</v>
      </c>
      <c r="I3109" s="86" t="str">
        <f>_xlfn.XLOOKUP(表格1[[#This Row],[Model]],表格3[Model-Input-Ref2],表格3[大小電])</f>
        <v>細電</v>
      </c>
      <c r="J3109" s="86" t="str">
        <f>_xlfn.XLOOKUP(表格1[[#This Row],[Model]],表格3[Model-Input-Ref2],表格3[Code])</f>
        <v>DW</v>
      </c>
      <c r="K3109" s="89" t="s">
        <v>1475</v>
      </c>
      <c r="L3109" s="86">
        <v>1</v>
      </c>
      <c r="M3109" s="87">
        <v>3780</v>
      </c>
      <c r="N3109" s="87">
        <f>IFERROR(表格1[[#This Row],[QTY]]*表格1[[#This Row],[Unit Price]],"-")</f>
        <v>3780</v>
      </c>
      <c r="O3109" s="86">
        <v>1015796</v>
      </c>
      <c r="R3109" s="86" t="str">
        <f>_xlfn.CONCAT(表格1[[#This Row],[Model]]," ",表格1[[#This Row],[inv no]])</f>
        <v>DW-05T2-HK 1015796</v>
      </c>
      <c r="S3109" s="86">
        <f>_xlfn.XLOOKUP(表格1[[#This Row],[Model]],表格3[Model-Input-Ref2],表格3[SRP PRICE])</f>
        <v>4580</v>
      </c>
      <c r="T3109" s="43">
        <f>表格1[[#This Row],[Unit Price]]/表格1[[#This Row],[SRP]]</f>
        <v>0.8253275109170306</v>
      </c>
      <c r="U3109" s="86" t="str">
        <f>_xlfn.XLOOKUP(表格1[[#This Row],[Model]],表格3[Model-Input-Ref2],表格3[TOSHIBA/HIGHEST])</f>
        <v>Toshiba SRP</v>
      </c>
      <c r="W3109" s="86" t="str">
        <f>_xlfn.CONCAT(表格1[[#This Row],[欄4]],表格1[[#This Row],[inv no]])</f>
        <v>1015796</v>
      </c>
    </row>
    <row r="3110" spans="1:23" hidden="1">
      <c r="A3110" s="81">
        <v>3108</v>
      </c>
      <c r="B3110" s="86" t="s">
        <v>1477</v>
      </c>
      <c r="C3110" s="86" t="s">
        <v>1954</v>
      </c>
      <c r="D3110" s="82" t="str">
        <f ca="1">OFFSET(Roster!$A$3,MATCH(表格1[[#This Row],[Location]]&amp;" "&amp;表格1[[#This Row],[Shop]]&amp;"*",Roster!$A$4:$A$72,0),DAY(表格1[[#This Row],[date]]),1,1)</f>
        <v>Kandy</v>
      </c>
      <c r="E3110" s="86">
        <f>MONTH(表格1[[#This Row],[date]])</f>
        <v>3</v>
      </c>
      <c r="F3110" s="90">
        <v>46103</v>
      </c>
      <c r="G3110" s="86" t="str">
        <f>VLOOKUP("*"&amp;表格1[[#This Row],[Input]]&amp;"*",'Ref-List'!$B:$D,2,)</f>
        <v>RAD-D300H</v>
      </c>
      <c r="H3110" s="86" t="str">
        <f>_xlfn.XLOOKUP(表格1[[#This Row],[Model]],表格3[Model-Input-Ref2],表格3[Product Line])</f>
        <v>壓縮式抽濕機 (30公升)</v>
      </c>
      <c r="I3110" s="86" t="str">
        <f>_xlfn.XLOOKUP(表格1[[#This Row],[Model]],表格3[Model-Input-Ref2],表格3[大小電])</f>
        <v>細電</v>
      </c>
      <c r="J3110" s="86" t="str">
        <f>_xlfn.XLOOKUP(表格1[[#This Row],[Model]],表格3[Model-Input-Ref2],表格3[Code])</f>
        <v>RAC</v>
      </c>
      <c r="K3110" s="89" t="s">
        <v>1252</v>
      </c>
      <c r="L3110" s="86">
        <v>1</v>
      </c>
      <c r="M3110" s="87">
        <v>2580</v>
      </c>
      <c r="N3110" s="87">
        <f>IFERROR(表格1[[#This Row],[QTY]]*表格1[[#This Row],[Unit Price]],"-")</f>
        <v>2580</v>
      </c>
      <c r="O3110" s="86">
        <v>1015902</v>
      </c>
      <c r="R3110" s="86" t="str">
        <f>_xlfn.CONCAT(表格1[[#This Row],[Model]]," ",表格1[[#This Row],[inv no]])</f>
        <v>RAD-D300H 1015902</v>
      </c>
      <c r="S3110" s="86">
        <f>_xlfn.XLOOKUP(表格1[[#This Row],[Model]],表格3[Model-Input-Ref2],表格3[SRP PRICE])</f>
        <v>3380</v>
      </c>
      <c r="T3110" s="43">
        <f>表格1[[#This Row],[Unit Price]]/表格1[[#This Row],[SRP]]</f>
        <v>0.76331360946745563</v>
      </c>
      <c r="U3110" s="86" t="str">
        <f>_xlfn.XLOOKUP(表格1[[#This Row],[Model]],表格3[Model-Input-Ref2],表格3[TOSHIBA/HIGHEST])</f>
        <v>Shops Highest Price</v>
      </c>
      <c r="W3110" s="86" t="str">
        <f>_xlfn.CONCAT(表格1[[#This Row],[欄4]],表格1[[#This Row],[inv no]])</f>
        <v>1015902</v>
      </c>
    </row>
    <row r="3111" spans="1:23" hidden="1">
      <c r="A3111" s="81">
        <v>3109</v>
      </c>
      <c r="B3111" s="86" t="s">
        <v>1477</v>
      </c>
      <c r="C3111" s="86" t="s">
        <v>1954</v>
      </c>
      <c r="D3111" s="82" t="str">
        <f ca="1">OFFSET(Roster!$A$3,MATCH(表格1[[#This Row],[Location]]&amp;" "&amp;表格1[[#This Row],[Shop]]&amp;"*",Roster!$A$4:$A$72,0),DAY(表格1[[#This Row],[date]]),1,1)</f>
        <v>Kandy</v>
      </c>
      <c r="E3111" s="86">
        <f>MONTH(表格1[[#This Row],[date]])</f>
        <v>3</v>
      </c>
      <c r="F3111" s="90">
        <v>46103</v>
      </c>
      <c r="G3111" s="86" t="str">
        <f>VLOOKUP("*"&amp;表格1[[#This Row],[Input]]&amp;"*",'Ref-List'!$B:$D,2,)</f>
        <v>MM2-EG20PC(WH)</v>
      </c>
      <c r="H3111" s="86" t="str">
        <f>_xlfn.XLOOKUP(表格1[[#This Row],[Model]],表格3[Model-Input-Ref2],表格3[Product Line])</f>
        <v>輕觸式燒烤微波爐</v>
      </c>
      <c r="I3111" s="86" t="str">
        <f>_xlfn.XLOOKUP(表格1[[#This Row],[Model]],表格3[Model-Input-Ref2],表格3[大小電])</f>
        <v>細電</v>
      </c>
      <c r="J3111" s="86" t="str">
        <f>_xlfn.XLOOKUP(表格1[[#This Row],[Model]],表格3[Model-Input-Ref2],表格3[Code])</f>
        <v>MCA</v>
      </c>
      <c r="K3111" s="89" t="s">
        <v>1273</v>
      </c>
      <c r="L3111" s="86">
        <v>1</v>
      </c>
      <c r="M3111" s="87">
        <v>698</v>
      </c>
      <c r="N3111" s="87">
        <f>IFERROR(表格1[[#This Row],[QTY]]*表格1[[#This Row],[Unit Price]],"-")</f>
        <v>698</v>
      </c>
      <c r="O3111" s="86">
        <v>1015793</v>
      </c>
      <c r="R3111" s="86" t="str">
        <f>_xlfn.CONCAT(表格1[[#This Row],[Model]]," ",表格1[[#This Row],[inv no]])</f>
        <v>MM2-EG20PC(WH) 1015793</v>
      </c>
      <c r="S3111" s="86">
        <f>_xlfn.XLOOKUP(表格1[[#This Row],[Model]],表格3[Model-Input-Ref2],表格3[SRP PRICE])</f>
        <v>918</v>
      </c>
      <c r="T3111" s="43">
        <f>表格1[[#This Row],[Unit Price]]/表格1[[#This Row],[SRP]]</f>
        <v>0.76034858387799564</v>
      </c>
      <c r="U3111" s="86" t="str">
        <f>_xlfn.XLOOKUP(表格1[[#This Row],[Model]],表格3[Model-Input-Ref2],表格3[TOSHIBA/HIGHEST])</f>
        <v>Shops Highest Price</v>
      </c>
      <c r="W3111" s="86" t="str">
        <f>_xlfn.CONCAT(表格1[[#This Row],[欄4]],表格1[[#This Row],[inv no]])</f>
        <v>1015793</v>
      </c>
    </row>
    <row r="3112" spans="1:23" hidden="1">
      <c r="A3112" s="81">
        <v>3110</v>
      </c>
      <c r="B3112" s="86" t="s">
        <v>1477</v>
      </c>
      <c r="C3112" s="86" t="s">
        <v>1954</v>
      </c>
      <c r="D3112" s="82" t="str">
        <f ca="1">OFFSET(Roster!$A$3,MATCH(表格1[[#This Row],[Location]]&amp;" "&amp;表格1[[#This Row],[Shop]]&amp;"*",Roster!$A$4:$A$72,0),DAY(表格1[[#This Row],[date]]),1,1)</f>
        <v>Kandy</v>
      </c>
      <c r="E3112" s="86">
        <f>MONTH(表格1[[#This Row],[date]])</f>
        <v>3</v>
      </c>
      <c r="F3112" s="90">
        <v>46103</v>
      </c>
      <c r="G3112" s="86" t="str">
        <f>VLOOKUP("*"&amp;表格1[[#This Row],[Input]]&amp;"*",'Ref-List'!$B:$D,2,)</f>
        <v>RC-18DRNH</v>
      </c>
      <c r="H3112" s="86" t="str">
        <f>_xlfn.XLOOKUP(表格1[[#This Row],[Model]],表格3[Model-Input-Ref2],表格3[Product Line])</f>
        <v>多功能備長炭本厚釜電飯煲1.8L</v>
      </c>
      <c r="I3112" s="86" t="str">
        <f>_xlfn.XLOOKUP(表格1[[#This Row],[Model]],表格3[Model-Input-Ref2],表格3[大小電])</f>
        <v>細電</v>
      </c>
      <c r="J3112" s="86" t="str">
        <f>_xlfn.XLOOKUP(表格1[[#This Row],[Model]],表格3[Model-Input-Ref2],表格3[Code])</f>
        <v>SDA</v>
      </c>
      <c r="K3112" s="89" t="s">
        <v>1389</v>
      </c>
      <c r="L3112" s="86">
        <v>1</v>
      </c>
      <c r="M3112" s="87">
        <v>619</v>
      </c>
      <c r="N3112" s="87">
        <f>IFERROR(表格1[[#This Row],[QTY]]*表格1[[#This Row],[Unit Price]],"-")</f>
        <v>619</v>
      </c>
      <c r="O3112" s="86">
        <v>1015341</v>
      </c>
      <c r="R3112" s="86" t="str">
        <f>_xlfn.CONCAT(表格1[[#This Row],[Model]]," ",表格1[[#This Row],[inv no]])</f>
        <v>RC-18DRNH 1015341</v>
      </c>
      <c r="S3112" s="86">
        <f>_xlfn.XLOOKUP(表格1[[#This Row],[Model]],表格3[Model-Input-Ref2],表格3[SRP PRICE])</f>
        <v>898</v>
      </c>
      <c r="T3112" s="43">
        <f>表格1[[#This Row],[Unit Price]]/表格1[[#This Row],[SRP]]</f>
        <v>0.68930957683741645</v>
      </c>
      <c r="U3112" s="86" t="str">
        <f>_xlfn.XLOOKUP(表格1[[#This Row],[Model]],表格3[Model-Input-Ref2],表格3[TOSHIBA/HIGHEST])</f>
        <v>Toshiba SRP</v>
      </c>
      <c r="W3112" s="86" t="str">
        <f>_xlfn.CONCAT(表格1[[#This Row],[欄4]],表格1[[#This Row],[inv no]])</f>
        <v>1015341</v>
      </c>
    </row>
    <row r="3113" spans="1:23" hidden="1">
      <c r="A3113" s="81">
        <v>3111</v>
      </c>
      <c r="B3113" s="86" t="s">
        <v>1477</v>
      </c>
      <c r="C3113" s="86" t="s">
        <v>1954</v>
      </c>
      <c r="D3113" s="82" t="str">
        <f ca="1">OFFSET(Roster!$A$3,MATCH(表格1[[#This Row],[Location]]&amp;" "&amp;表格1[[#This Row],[Shop]]&amp;"*",Roster!$A$4:$A$72,0),DAY(表格1[[#This Row],[date]]),1,1)</f>
        <v>Kandy</v>
      </c>
      <c r="E3113" s="86">
        <f>MONTH(表格1[[#This Row],[date]])</f>
        <v>3</v>
      </c>
      <c r="F3113" s="90">
        <v>46103</v>
      </c>
      <c r="G3113" s="86" t="str">
        <f>VLOOKUP("*"&amp;表格1[[#This Row],[Input]]&amp;"*",'Ref-List'!$B:$D,2,)</f>
        <v>MWP-MM20P(WH)</v>
      </c>
      <c r="H3113" s="86" t="str">
        <f>_xlfn.XLOOKUP(表格1[[#This Row],[Model]],表格3[Model-Input-Ref2],表格3[Product Line])</f>
        <v>旋鈕式燒烤微波爐20L</v>
      </c>
      <c r="I3113" s="86" t="str">
        <f>_xlfn.XLOOKUP(表格1[[#This Row],[Model]],表格3[Model-Input-Ref2],表格3[大小電])</f>
        <v>細電</v>
      </c>
      <c r="J3113" s="86" t="str">
        <f>_xlfn.XLOOKUP(表格1[[#This Row],[Model]],表格3[Model-Input-Ref2],表格3[Code])</f>
        <v>SDA</v>
      </c>
      <c r="K3113" s="89" t="s">
        <v>1270</v>
      </c>
      <c r="L3113" s="86">
        <v>1</v>
      </c>
      <c r="M3113" s="87">
        <v>488</v>
      </c>
      <c r="N3113" s="87">
        <f>IFERROR(表格1[[#This Row],[QTY]]*表格1[[#This Row],[Unit Price]],"-")</f>
        <v>488</v>
      </c>
      <c r="O3113" s="86">
        <v>1015463</v>
      </c>
      <c r="R3113" s="86" t="str">
        <f>_xlfn.CONCAT(表格1[[#This Row],[Model]]," ",表格1[[#This Row],[inv no]])</f>
        <v>MWP-MM20P(WH) 1015463</v>
      </c>
      <c r="S3113" s="86">
        <f>_xlfn.XLOOKUP(表格1[[#This Row],[Model]],表格3[Model-Input-Ref2],表格3[SRP PRICE])</f>
        <v>648</v>
      </c>
      <c r="T3113" s="43">
        <f>表格1[[#This Row],[Unit Price]]/表格1[[#This Row],[SRP]]</f>
        <v>0.75308641975308643</v>
      </c>
      <c r="U3113" s="86" t="str">
        <f>_xlfn.XLOOKUP(表格1[[#This Row],[Model]],表格3[Model-Input-Ref2],表格3[TOSHIBA/HIGHEST])</f>
        <v>Toshiba SRP</v>
      </c>
      <c r="W3113" s="86" t="str">
        <f>_xlfn.CONCAT(表格1[[#This Row],[欄4]],表格1[[#This Row],[inv no]])</f>
        <v>1015463</v>
      </c>
    </row>
    <row r="3114" spans="1:23" hidden="1">
      <c r="A3114" s="81">
        <v>3112</v>
      </c>
      <c r="B3114" s="86" t="s">
        <v>1477</v>
      </c>
      <c r="C3114" s="86" t="s">
        <v>1954</v>
      </c>
      <c r="D3114" s="82" t="str">
        <f ca="1">OFFSET(Roster!$A$3,MATCH(表格1[[#This Row],[Location]]&amp;" "&amp;表格1[[#This Row],[Shop]]&amp;"*",Roster!$A$4:$A$72,0),DAY(表格1[[#This Row],[date]]),1,1)</f>
        <v>Kandy</v>
      </c>
      <c r="E3114" s="86">
        <f>MONTH(表格1[[#This Row],[date]])</f>
        <v>3</v>
      </c>
      <c r="F3114" s="90">
        <v>46103</v>
      </c>
      <c r="G3114" s="86" t="str">
        <f>VLOOKUP("*"&amp;表格1[[#This Row],[Input]]&amp;"*",'Ref-List'!$B:$D,2,)</f>
        <v>MWP-MM20P(WH)</v>
      </c>
      <c r="H3114" s="86" t="str">
        <f>_xlfn.XLOOKUP(表格1[[#This Row],[Model]],表格3[Model-Input-Ref2],表格3[Product Line])</f>
        <v>旋鈕式燒烤微波爐20L</v>
      </c>
      <c r="I3114" s="86" t="str">
        <f>_xlfn.XLOOKUP(表格1[[#This Row],[Model]],表格3[Model-Input-Ref2],表格3[大小電])</f>
        <v>細電</v>
      </c>
      <c r="J3114" s="86" t="str">
        <f>_xlfn.XLOOKUP(表格1[[#This Row],[Model]],表格3[Model-Input-Ref2],表格3[Code])</f>
        <v>SDA</v>
      </c>
      <c r="K3114" s="89" t="s">
        <v>1270</v>
      </c>
      <c r="L3114" s="86">
        <v>1</v>
      </c>
      <c r="M3114" s="87">
        <v>488</v>
      </c>
      <c r="N3114" s="87">
        <f>IFERROR(表格1[[#This Row],[QTY]]*表格1[[#This Row],[Unit Price]],"-")</f>
        <v>488</v>
      </c>
      <c r="O3114" s="86">
        <v>1015507</v>
      </c>
      <c r="R3114" s="86" t="str">
        <f>_xlfn.CONCAT(表格1[[#This Row],[Model]]," ",表格1[[#This Row],[inv no]])</f>
        <v>MWP-MM20P(WH) 1015507</v>
      </c>
      <c r="S3114" s="86">
        <f>_xlfn.XLOOKUP(表格1[[#This Row],[Model]],表格3[Model-Input-Ref2],表格3[SRP PRICE])</f>
        <v>648</v>
      </c>
      <c r="T3114" s="43">
        <f>表格1[[#This Row],[Unit Price]]/表格1[[#This Row],[SRP]]</f>
        <v>0.75308641975308643</v>
      </c>
      <c r="U3114" s="86" t="str">
        <f>_xlfn.XLOOKUP(表格1[[#This Row],[Model]],表格3[Model-Input-Ref2],表格3[TOSHIBA/HIGHEST])</f>
        <v>Toshiba SRP</v>
      </c>
      <c r="W3114" s="86" t="str">
        <f>_xlfn.CONCAT(表格1[[#This Row],[欄4]],表格1[[#This Row],[inv no]])</f>
        <v>1015507</v>
      </c>
    </row>
    <row r="3115" spans="1:23" hidden="1">
      <c r="A3115" s="81">
        <v>3113</v>
      </c>
      <c r="B3115" s="86" t="s">
        <v>1477</v>
      </c>
      <c r="C3115" s="86" t="s">
        <v>1954</v>
      </c>
      <c r="D3115" s="82" t="str">
        <f ca="1">OFFSET(Roster!$A$3,MATCH(表格1[[#This Row],[Location]]&amp;" "&amp;表格1[[#This Row],[Shop]]&amp;"*",Roster!$A$4:$A$72,0),DAY(表格1[[#This Row],[date]]),1,1)</f>
        <v>Kandy</v>
      </c>
      <c r="E3115" s="86">
        <f>MONTH(表格1[[#This Row],[date]])</f>
        <v>3</v>
      </c>
      <c r="F3115" s="90">
        <v>46103</v>
      </c>
      <c r="G3115" s="86" t="str">
        <f>VLOOKUP("*"&amp;表格1[[#This Row],[Input]]&amp;"*",'Ref-List'!$B:$D,2,)</f>
        <v>MWP-MM20P(WH)</v>
      </c>
      <c r="H3115" s="86" t="str">
        <f>_xlfn.XLOOKUP(表格1[[#This Row],[Model]],表格3[Model-Input-Ref2],表格3[Product Line])</f>
        <v>旋鈕式燒烤微波爐20L</v>
      </c>
      <c r="I3115" s="86" t="str">
        <f>_xlfn.XLOOKUP(表格1[[#This Row],[Model]],表格3[Model-Input-Ref2],表格3[大小電])</f>
        <v>細電</v>
      </c>
      <c r="J3115" s="86" t="str">
        <f>_xlfn.XLOOKUP(表格1[[#This Row],[Model]],表格3[Model-Input-Ref2],表格3[Code])</f>
        <v>SDA</v>
      </c>
      <c r="K3115" s="89" t="s">
        <v>1270</v>
      </c>
      <c r="L3115" s="86">
        <v>1</v>
      </c>
      <c r="M3115" s="87">
        <v>488</v>
      </c>
      <c r="N3115" s="87">
        <f>IFERROR(表格1[[#This Row],[QTY]]*表格1[[#This Row],[Unit Price]],"-")</f>
        <v>488</v>
      </c>
      <c r="O3115" s="86">
        <v>1015508</v>
      </c>
      <c r="R3115" s="86" t="str">
        <f>_xlfn.CONCAT(表格1[[#This Row],[Model]]," ",表格1[[#This Row],[inv no]])</f>
        <v>MWP-MM20P(WH) 1015508</v>
      </c>
      <c r="S3115" s="86">
        <f>_xlfn.XLOOKUP(表格1[[#This Row],[Model]],表格3[Model-Input-Ref2],表格3[SRP PRICE])</f>
        <v>648</v>
      </c>
      <c r="T3115" s="43">
        <f>表格1[[#This Row],[Unit Price]]/表格1[[#This Row],[SRP]]</f>
        <v>0.75308641975308643</v>
      </c>
      <c r="U3115" s="86" t="str">
        <f>_xlfn.XLOOKUP(表格1[[#This Row],[Model]],表格3[Model-Input-Ref2],表格3[TOSHIBA/HIGHEST])</f>
        <v>Toshiba SRP</v>
      </c>
      <c r="W3115" s="86" t="str">
        <f>_xlfn.CONCAT(表格1[[#This Row],[欄4]],表格1[[#This Row],[inv no]])</f>
        <v>1015508</v>
      </c>
    </row>
    <row r="3116" spans="1:23" hidden="1">
      <c r="A3116" s="81">
        <v>3114</v>
      </c>
      <c r="B3116" s="86" t="s">
        <v>1477</v>
      </c>
      <c r="C3116" s="86" t="s">
        <v>1954</v>
      </c>
      <c r="D3116" s="82" t="str">
        <f ca="1">OFFSET(Roster!$A$3,MATCH(表格1[[#This Row],[Location]]&amp;" "&amp;表格1[[#This Row],[Shop]]&amp;"*",Roster!$A$4:$A$72,0),DAY(表格1[[#This Row],[date]]),1,1)</f>
        <v>Kandy</v>
      </c>
      <c r="E3116" s="86">
        <f>MONTH(表格1[[#This Row],[date]])</f>
        <v>3</v>
      </c>
      <c r="F3116" s="90">
        <v>46103</v>
      </c>
      <c r="G3116" s="86" t="str">
        <f>VLOOKUP("*"&amp;表格1[[#This Row],[Input]]&amp;"*",'Ref-List'!$B:$D,2,)</f>
        <v>MWP-MM20P(WH)</v>
      </c>
      <c r="H3116" s="86" t="str">
        <f>_xlfn.XLOOKUP(表格1[[#This Row],[Model]],表格3[Model-Input-Ref2],表格3[Product Line])</f>
        <v>旋鈕式燒烤微波爐20L</v>
      </c>
      <c r="I3116" s="86" t="str">
        <f>_xlfn.XLOOKUP(表格1[[#This Row],[Model]],表格3[Model-Input-Ref2],表格3[大小電])</f>
        <v>細電</v>
      </c>
      <c r="J3116" s="86" t="str">
        <f>_xlfn.XLOOKUP(表格1[[#This Row],[Model]],表格3[Model-Input-Ref2],表格3[Code])</f>
        <v>SDA</v>
      </c>
      <c r="K3116" s="89" t="s">
        <v>1375</v>
      </c>
      <c r="L3116" s="86">
        <v>1</v>
      </c>
      <c r="M3116" s="87">
        <v>488</v>
      </c>
      <c r="N3116" s="87">
        <f>IFERROR(表格1[[#This Row],[QTY]]*表格1[[#This Row],[Unit Price]],"-")</f>
        <v>488</v>
      </c>
      <c r="O3116" s="86">
        <v>1015509</v>
      </c>
      <c r="R3116" s="86" t="str">
        <f>_xlfn.CONCAT(表格1[[#This Row],[Model]]," ",表格1[[#This Row],[inv no]])</f>
        <v>MWP-MM20P(WH) 1015509</v>
      </c>
      <c r="S3116" s="86">
        <f>_xlfn.XLOOKUP(表格1[[#This Row],[Model]],表格3[Model-Input-Ref2],表格3[SRP PRICE])</f>
        <v>648</v>
      </c>
      <c r="T3116" s="43">
        <f>表格1[[#This Row],[Unit Price]]/表格1[[#This Row],[SRP]]</f>
        <v>0.75308641975308643</v>
      </c>
      <c r="U3116" s="86" t="str">
        <f>_xlfn.XLOOKUP(表格1[[#This Row],[Model]],表格3[Model-Input-Ref2],表格3[TOSHIBA/HIGHEST])</f>
        <v>Toshiba SRP</v>
      </c>
      <c r="W3116" s="86" t="str">
        <f>_xlfn.CONCAT(表格1[[#This Row],[欄4]],表格1[[#This Row],[inv no]])</f>
        <v>1015509</v>
      </c>
    </row>
    <row r="3117" spans="1:23" hidden="1">
      <c r="A3117" s="81">
        <v>3115</v>
      </c>
      <c r="B3117" s="86" t="s">
        <v>1477</v>
      </c>
      <c r="C3117" s="86" t="s">
        <v>1954</v>
      </c>
      <c r="D3117" s="82" t="str">
        <f ca="1">OFFSET(Roster!$A$3,MATCH(表格1[[#This Row],[Location]]&amp;" "&amp;表格1[[#This Row],[Shop]]&amp;"*",Roster!$A$4:$A$72,0),DAY(表格1[[#This Row],[date]]),1,1)</f>
        <v>Kandy</v>
      </c>
      <c r="E3117" s="86">
        <f>MONTH(表格1[[#This Row],[date]])</f>
        <v>3</v>
      </c>
      <c r="F3117" s="90">
        <v>46103</v>
      </c>
      <c r="G3117" s="86" t="str">
        <f>VLOOKUP("*"&amp;表格1[[#This Row],[Input]]&amp;"*",'Ref-List'!$B:$D,2,)</f>
        <v>MWP-MM20P(WH)</v>
      </c>
      <c r="H3117" s="86" t="str">
        <f>_xlfn.XLOOKUP(表格1[[#This Row],[Model]],表格3[Model-Input-Ref2],表格3[Product Line])</f>
        <v>旋鈕式燒烤微波爐20L</v>
      </c>
      <c r="I3117" s="86" t="str">
        <f>_xlfn.XLOOKUP(表格1[[#This Row],[Model]],表格3[Model-Input-Ref2],表格3[大小電])</f>
        <v>細電</v>
      </c>
      <c r="J3117" s="86" t="str">
        <f>_xlfn.XLOOKUP(表格1[[#This Row],[Model]],表格3[Model-Input-Ref2],表格3[Code])</f>
        <v>SDA</v>
      </c>
      <c r="K3117" s="89" t="s">
        <v>1375</v>
      </c>
      <c r="L3117" s="86">
        <v>1</v>
      </c>
      <c r="M3117" s="87">
        <v>488</v>
      </c>
      <c r="N3117" s="87">
        <f>IFERROR(表格1[[#This Row],[QTY]]*表格1[[#This Row],[Unit Price]],"-")</f>
        <v>488</v>
      </c>
      <c r="O3117" s="86">
        <v>1015510</v>
      </c>
      <c r="R3117" s="86" t="str">
        <f>_xlfn.CONCAT(表格1[[#This Row],[Model]]," ",表格1[[#This Row],[inv no]])</f>
        <v>MWP-MM20P(WH) 1015510</v>
      </c>
      <c r="S3117" s="86">
        <f>_xlfn.XLOOKUP(表格1[[#This Row],[Model]],表格3[Model-Input-Ref2],表格3[SRP PRICE])</f>
        <v>648</v>
      </c>
      <c r="T3117" s="43">
        <f>表格1[[#This Row],[Unit Price]]/表格1[[#This Row],[SRP]]</f>
        <v>0.75308641975308643</v>
      </c>
      <c r="U3117" s="86" t="str">
        <f>_xlfn.XLOOKUP(表格1[[#This Row],[Model]],表格3[Model-Input-Ref2],表格3[TOSHIBA/HIGHEST])</f>
        <v>Toshiba SRP</v>
      </c>
      <c r="W3117" s="86" t="str">
        <f>_xlfn.CONCAT(表格1[[#This Row],[欄4]],表格1[[#This Row],[inv no]])</f>
        <v>1015510</v>
      </c>
    </row>
    <row r="3118" spans="1:23" hidden="1">
      <c r="A3118" s="81">
        <v>3116</v>
      </c>
      <c r="B3118" s="86" t="s">
        <v>1477</v>
      </c>
      <c r="C3118" s="86" t="s">
        <v>1954</v>
      </c>
      <c r="D3118" s="82" t="str">
        <f ca="1">OFFSET(Roster!$A$3,MATCH(表格1[[#This Row],[Location]]&amp;" "&amp;表格1[[#This Row],[Shop]]&amp;"*",Roster!$A$4:$A$72,0),DAY(表格1[[#This Row],[date]]),1,1)</f>
        <v>Kandy</v>
      </c>
      <c r="E3118" s="86">
        <f>MONTH(表格1[[#This Row],[date]])</f>
        <v>3</v>
      </c>
      <c r="F3118" s="90">
        <v>46103</v>
      </c>
      <c r="G3118" s="86" t="str">
        <f>VLOOKUP("*"&amp;表格1[[#This Row],[Input]]&amp;"*",'Ref-List'!$B:$D,2,)</f>
        <v>MWP-MM20P(WH)</v>
      </c>
      <c r="H3118" s="86" t="str">
        <f>_xlfn.XLOOKUP(表格1[[#This Row],[Model]],表格3[Model-Input-Ref2],表格3[Product Line])</f>
        <v>旋鈕式燒烤微波爐20L</v>
      </c>
      <c r="I3118" s="86" t="str">
        <f>_xlfn.XLOOKUP(表格1[[#This Row],[Model]],表格3[Model-Input-Ref2],表格3[大小電])</f>
        <v>細電</v>
      </c>
      <c r="J3118" s="86" t="str">
        <f>_xlfn.XLOOKUP(表格1[[#This Row],[Model]],表格3[Model-Input-Ref2],表格3[Code])</f>
        <v>SDA</v>
      </c>
      <c r="K3118" s="89" t="s">
        <v>1375</v>
      </c>
      <c r="L3118" s="86">
        <v>1</v>
      </c>
      <c r="M3118" s="87">
        <v>488</v>
      </c>
      <c r="N3118" s="87">
        <f>IFERROR(表格1[[#This Row],[QTY]]*表格1[[#This Row],[Unit Price]],"-")</f>
        <v>488</v>
      </c>
      <c r="O3118" s="86">
        <v>1015514</v>
      </c>
      <c r="R3118" s="86" t="str">
        <f>_xlfn.CONCAT(表格1[[#This Row],[Model]]," ",表格1[[#This Row],[inv no]])</f>
        <v>MWP-MM20P(WH) 1015514</v>
      </c>
      <c r="S3118" s="86">
        <f>_xlfn.XLOOKUP(表格1[[#This Row],[Model]],表格3[Model-Input-Ref2],表格3[SRP PRICE])</f>
        <v>648</v>
      </c>
      <c r="T3118" s="43">
        <f>表格1[[#This Row],[Unit Price]]/表格1[[#This Row],[SRP]]</f>
        <v>0.75308641975308643</v>
      </c>
      <c r="U3118" s="86" t="str">
        <f>_xlfn.XLOOKUP(表格1[[#This Row],[Model]],表格3[Model-Input-Ref2],表格3[TOSHIBA/HIGHEST])</f>
        <v>Toshiba SRP</v>
      </c>
      <c r="W3118" s="86" t="str">
        <f>_xlfn.CONCAT(表格1[[#This Row],[欄4]],表格1[[#This Row],[inv no]])</f>
        <v>1015514</v>
      </c>
    </row>
    <row r="3119" spans="1:23" hidden="1">
      <c r="A3119" s="81">
        <v>3117</v>
      </c>
      <c r="B3119" s="86" t="s">
        <v>1477</v>
      </c>
      <c r="C3119" s="86" t="s">
        <v>1954</v>
      </c>
      <c r="D3119" s="82" t="str">
        <f ca="1">OFFSET(Roster!$A$3,MATCH(表格1[[#This Row],[Location]]&amp;" "&amp;表格1[[#This Row],[Shop]]&amp;"*",Roster!$A$4:$A$72,0),DAY(表格1[[#This Row],[date]]),1,1)</f>
        <v>Kandy</v>
      </c>
      <c r="E3119" s="86">
        <f>MONTH(表格1[[#This Row],[date]])</f>
        <v>3</v>
      </c>
      <c r="F3119" s="90">
        <v>46103</v>
      </c>
      <c r="G3119" s="86" t="str">
        <f>VLOOKUP("*"&amp;表格1[[#This Row],[Input]]&amp;"*",'Ref-List'!$B:$D,2,)</f>
        <v>MWP-MM20P(WH)</v>
      </c>
      <c r="H3119" s="86" t="str">
        <f>_xlfn.XLOOKUP(表格1[[#This Row],[Model]],表格3[Model-Input-Ref2],表格3[Product Line])</f>
        <v>旋鈕式燒烤微波爐20L</v>
      </c>
      <c r="I3119" s="86" t="str">
        <f>_xlfn.XLOOKUP(表格1[[#This Row],[Model]],表格3[Model-Input-Ref2],表格3[大小電])</f>
        <v>細電</v>
      </c>
      <c r="J3119" s="86" t="str">
        <f>_xlfn.XLOOKUP(表格1[[#This Row],[Model]],表格3[Model-Input-Ref2],表格3[Code])</f>
        <v>SDA</v>
      </c>
      <c r="K3119" s="89" t="s">
        <v>1375</v>
      </c>
      <c r="L3119" s="86">
        <v>1</v>
      </c>
      <c r="M3119" s="87">
        <v>488</v>
      </c>
      <c r="N3119" s="87">
        <f>IFERROR(表格1[[#This Row],[QTY]]*表格1[[#This Row],[Unit Price]],"-")</f>
        <v>488</v>
      </c>
      <c r="O3119" s="86">
        <v>1015623</v>
      </c>
      <c r="R3119" s="86" t="str">
        <f>_xlfn.CONCAT(表格1[[#This Row],[Model]]," ",表格1[[#This Row],[inv no]])</f>
        <v>MWP-MM20P(WH) 1015623</v>
      </c>
      <c r="S3119" s="86">
        <f>_xlfn.XLOOKUP(表格1[[#This Row],[Model]],表格3[Model-Input-Ref2],表格3[SRP PRICE])</f>
        <v>648</v>
      </c>
      <c r="T3119" s="43">
        <f>表格1[[#This Row],[Unit Price]]/表格1[[#This Row],[SRP]]</f>
        <v>0.75308641975308643</v>
      </c>
      <c r="U3119" s="86" t="str">
        <f>_xlfn.XLOOKUP(表格1[[#This Row],[Model]],表格3[Model-Input-Ref2],表格3[TOSHIBA/HIGHEST])</f>
        <v>Toshiba SRP</v>
      </c>
      <c r="W3119" s="86" t="str">
        <f>_xlfn.CONCAT(表格1[[#This Row],[欄4]],表格1[[#This Row],[inv no]])</f>
        <v>1015623</v>
      </c>
    </row>
    <row r="3120" spans="1:23" hidden="1">
      <c r="A3120" s="81">
        <v>3118</v>
      </c>
      <c r="B3120" s="86" t="s">
        <v>1477</v>
      </c>
      <c r="C3120" s="86" t="s">
        <v>1954</v>
      </c>
      <c r="D3120" s="82" t="str">
        <f ca="1">OFFSET(Roster!$A$3,MATCH(表格1[[#This Row],[Location]]&amp;" "&amp;表格1[[#This Row],[Shop]]&amp;"*",Roster!$A$4:$A$72,0),DAY(表格1[[#This Row],[date]]),1,1)</f>
        <v>Kandy</v>
      </c>
      <c r="E3120" s="86">
        <f>MONTH(表格1[[#This Row],[date]])</f>
        <v>3</v>
      </c>
      <c r="F3120" s="90">
        <v>46103</v>
      </c>
      <c r="G3120" s="86" t="str">
        <f>VLOOKUP("*"&amp;表格1[[#This Row],[Input]]&amp;"*",'Ref-List'!$B:$D,2,)</f>
        <v>AW-Q800APH(WW)</v>
      </c>
      <c r="H3120" s="86" t="str">
        <f>_xlfn.XLOOKUP(表格1[[#This Row],[Model]],表格3[Model-Input-Ref2],表格3[Product Line])</f>
        <v>日式洗衣機 (7公斤 結合高低水位)</v>
      </c>
      <c r="I3120" s="86" t="str">
        <f>_xlfn.XLOOKUP(表格1[[#This Row],[Model]],表格3[Model-Input-Ref2],表格3[大小電])</f>
        <v>大電</v>
      </c>
      <c r="J3120" s="86" t="str">
        <f>_xlfn.XLOOKUP(表格1[[#This Row],[Model]],表格3[Model-Input-Ref2],表格3[Code])</f>
        <v>LAD</v>
      </c>
      <c r="K3120" s="89" t="s">
        <v>1479</v>
      </c>
      <c r="L3120" s="86">
        <v>1</v>
      </c>
      <c r="M3120" s="87">
        <v>1980</v>
      </c>
      <c r="N3120" s="87">
        <f>IFERROR(表格1[[#This Row],[QTY]]*表格1[[#This Row],[Unit Price]],"-")</f>
        <v>1980</v>
      </c>
      <c r="O3120" s="86">
        <v>1015846</v>
      </c>
      <c r="R3120" s="86" t="str">
        <f>_xlfn.CONCAT(表格1[[#This Row],[Model]]," ",表格1[[#This Row],[inv no]])</f>
        <v>AW-Q800APH(WW) 1015846</v>
      </c>
      <c r="S3120" s="86">
        <f>_xlfn.XLOOKUP(表格1[[#This Row],[Model]],表格3[Model-Input-Ref2],表格3[SRP PRICE])</f>
        <v>3580</v>
      </c>
      <c r="T3120" s="43">
        <f>表格1[[#This Row],[Unit Price]]/表格1[[#This Row],[SRP]]</f>
        <v>0.55307262569832405</v>
      </c>
      <c r="U3120" s="86" t="str">
        <f>_xlfn.XLOOKUP(表格1[[#This Row],[Model]],表格3[Model-Input-Ref2],表格3[TOSHIBA/HIGHEST])</f>
        <v>Toshiba SRP</v>
      </c>
      <c r="W3120" s="86" t="str">
        <f>_xlfn.CONCAT(表格1[[#This Row],[欄4]],表格1[[#This Row],[inv no]])</f>
        <v>1015846</v>
      </c>
    </row>
    <row r="3121" spans="1:23" hidden="1">
      <c r="A3121" s="81">
        <v>3119</v>
      </c>
      <c r="B3121" s="86" t="s">
        <v>1477</v>
      </c>
      <c r="C3121" s="86" t="s">
        <v>1959</v>
      </c>
      <c r="D3121" s="82" t="str">
        <f ca="1">OFFSET(Roster!$A$3,MATCH(表格1[[#This Row],[Location]]&amp;" "&amp;表格1[[#This Row],[Shop]]&amp;"*",Roster!$A$4:$A$72,0),DAY(表格1[[#This Row],[date]]),1,1)</f>
        <v>Jaco off</v>
      </c>
      <c r="E3121" s="86">
        <f>MONTH(表格1[[#This Row],[date]])</f>
        <v>3</v>
      </c>
      <c r="F3121" s="90">
        <v>46082</v>
      </c>
      <c r="G3121" s="86" t="str">
        <f>VLOOKUP("*"&amp;表格1[[#This Row],[Input]]&amp;"*",'Ref-List'!$B:$D,2,)</f>
        <v>KT-17SHNH</v>
      </c>
      <c r="H3121" s="86" t="str">
        <f>_xlfn.XLOOKUP(表格1[[#This Row],[Model]],表格3[Model-Input-Ref2],表格3[Product Line])</f>
        <v>1.7L無線雙層電熱水壺</v>
      </c>
      <c r="I3121" s="86" t="str">
        <f>_xlfn.XLOOKUP(表格1[[#This Row],[Model]],表格3[Model-Input-Ref2],表格3[大小電])</f>
        <v>細電</v>
      </c>
      <c r="J3121" s="86" t="str">
        <f>_xlfn.XLOOKUP(表格1[[#This Row],[Model]],表格3[Model-Input-Ref2],表格3[Code])</f>
        <v>SDA</v>
      </c>
      <c r="K3121" s="89" t="s">
        <v>1283</v>
      </c>
      <c r="L3121" s="86">
        <v>1</v>
      </c>
      <c r="M3121" s="87">
        <v>198</v>
      </c>
      <c r="N3121" s="87">
        <f>IFERROR(表格1[[#This Row],[QTY]]*表格1[[#This Row],[Unit Price]],"-")</f>
        <v>198</v>
      </c>
      <c r="O3121" s="86">
        <v>1022095</v>
      </c>
      <c r="R3121" s="86" t="str">
        <f>_xlfn.CONCAT(表格1[[#This Row],[Model]]," ",表格1[[#This Row],[inv no]])</f>
        <v>KT-17SHNH 1022095</v>
      </c>
      <c r="S3121" s="86">
        <f>_xlfn.XLOOKUP(表格1[[#This Row],[Model]],表格3[Model-Input-Ref2],表格3[SRP PRICE])</f>
        <v>299</v>
      </c>
      <c r="T3121" s="43">
        <f>表格1[[#This Row],[Unit Price]]/表格1[[#This Row],[SRP]]</f>
        <v>0.66220735785953178</v>
      </c>
      <c r="U3121" s="86" t="str">
        <f>_xlfn.XLOOKUP(表格1[[#This Row],[Model]],表格3[Model-Input-Ref2],表格3[TOSHIBA/HIGHEST])</f>
        <v>Shops Highest Price</v>
      </c>
      <c r="W3121" s="86" t="str">
        <f>_xlfn.CONCAT(表格1[[#This Row],[欄4]],表格1[[#This Row],[inv no]])</f>
        <v>1022095</v>
      </c>
    </row>
    <row r="3122" spans="1:23" hidden="1">
      <c r="A3122" s="81">
        <v>3120</v>
      </c>
      <c r="B3122" s="86" t="s">
        <v>1477</v>
      </c>
      <c r="C3122" s="86" t="s">
        <v>1959</v>
      </c>
      <c r="D3122" s="82" t="str">
        <f ca="1">OFFSET(Roster!$A$3,MATCH(表格1[[#This Row],[Location]]&amp;" "&amp;表格1[[#This Row],[Shop]]&amp;"*",Roster!$A$4:$A$72,0),DAY(表格1[[#This Row],[date]]),1,1)</f>
        <v>Jaco off</v>
      </c>
      <c r="E3122" s="86">
        <f>MONTH(表格1[[#This Row],[date]])</f>
        <v>3</v>
      </c>
      <c r="F3122" s="90">
        <v>46082</v>
      </c>
      <c r="G3122" s="86" t="str">
        <f>VLOOKUP("*"&amp;表格1[[#This Row],[Input]]&amp;"*",'Ref-List'!$B:$D,2,)</f>
        <v>RC-18ISPH</v>
      </c>
      <c r="H3122" s="86" t="str">
        <f>_xlfn.XLOOKUP(表格1[[#This Row],[Model]],表格3[Model-Input-Ref2],表格3[Product Line])</f>
        <v>低醣磁應電飯煲1.8L</v>
      </c>
      <c r="I3122" s="86" t="str">
        <f>_xlfn.XLOOKUP(表格1[[#This Row],[Model]],表格3[Model-Input-Ref2],表格3[大小電])</f>
        <v>細電</v>
      </c>
      <c r="J3122" s="86" t="str">
        <f>_xlfn.XLOOKUP(表格1[[#This Row],[Model]],表格3[Model-Input-Ref2],表格3[Code])</f>
        <v>SDA</v>
      </c>
      <c r="K3122" s="89" t="s">
        <v>1281</v>
      </c>
      <c r="L3122" s="86">
        <v>1</v>
      </c>
      <c r="M3122" s="87">
        <v>899</v>
      </c>
      <c r="N3122" s="87">
        <f>IFERROR(表格1[[#This Row],[QTY]]*表格1[[#This Row],[Unit Price]],"-")</f>
        <v>899</v>
      </c>
      <c r="O3122" s="86">
        <v>929856</v>
      </c>
      <c r="R3122" s="86" t="str">
        <f>_xlfn.CONCAT(表格1[[#This Row],[Model]]," ",表格1[[#This Row],[inv no]])</f>
        <v>RC-18ISPH 929856</v>
      </c>
      <c r="S3122" s="86">
        <f>_xlfn.XLOOKUP(表格1[[#This Row],[Model]],表格3[Model-Input-Ref2],表格3[SRP PRICE])</f>
        <v>1436</v>
      </c>
      <c r="T3122" s="43">
        <f>表格1[[#This Row],[Unit Price]]/表格1[[#This Row],[SRP]]</f>
        <v>0.62604456824512533</v>
      </c>
      <c r="U3122" s="86" t="str">
        <f>_xlfn.XLOOKUP(表格1[[#This Row],[Model]],表格3[Model-Input-Ref2],表格3[TOSHIBA/HIGHEST])</f>
        <v>Shops Highest Price</v>
      </c>
      <c r="W3122" s="86" t="str">
        <f>_xlfn.CONCAT(表格1[[#This Row],[欄4]],表格1[[#This Row],[inv no]])</f>
        <v>929856</v>
      </c>
    </row>
    <row r="3123" spans="1:23" hidden="1">
      <c r="A3123" s="81">
        <v>3121</v>
      </c>
      <c r="B3123" s="86" t="s">
        <v>1477</v>
      </c>
      <c r="C3123" s="86" t="s">
        <v>1959</v>
      </c>
      <c r="D3123" s="82" t="str">
        <f ca="1">OFFSET(Roster!$A$3,MATCH(表格1[[#This Row],[Location]]&amp;" "&amp;表格1[[#This Row],[Shop]]&amp;"*",Roster!$A$4:$A$72,0),DAY(表格1[[#This Row],[date]]),1,1)</f>
        <v>Jaco off</v>
      </c>
      <c r="E3123" s="86">
        <f>MONTH(表格1[[#This Row],[date]])</f>
        <v>3</v>
      </c>
      <c r="F3123" s="90">
        <v>46082</v>
      </c>
      <c r="G3123" s="86" t="str">
        <f>VLOOKUP("*"&amp;表格1[[#This Row],[Input]]&amp;"*",'Ref-List'!$B:$D,2,)</f>
        <v>GR-RT300WE-PMA(57)</v>
      </c>
      <c r="H3123" s="86" t="str">
        <f>_xlfn.XLOOKUP(表格1[[#This Row],[Model]],表格3[Model-Input-Ref2],表格3[Product Line])</f>
        <v>變頻式環保雙門雪櫃(233L)</v>
      </c>
      <c r="I3123" s="86" t="str">
        <f>_xlfn.XLOOKUP(表格1[[#This Row],[Model]],表格3[Model-Input-Ref2],表格3[大小電])</f>
        <v>大電</v>
      </c>
      <c r="J3123" s="86" t="str">
        <f>_xlfn.XLOOKUP(表格1[[#This Row],[Model]],表格3[Model-Input-Ref2],表格3[Code])</f>
        <v>REF</v>
      </c>
      <c r="K3123" s="89" t="s">
        <v>1462</v>
      </c>
      <c r="L3123" s="86">
        <v>1</v>
      </c>
      <c r="M3123" s="87">
        <v>2490</v>
      </c>
      <c r="N3123" s="87">
        <f>IFERROR(表格1[[#This Row],[QTY]]*表格1[[#This Row],[Unit Price]],"-")</f>
        <v>2490</v>
      </c>
      <c r="O3123" s="86">
        <v>929852</v>
      </c>
      <c r="R3123" s="86" t="str">
        <f>_xlfn.CONCAT(表格1[[#This Row],[Model]]," ",表格1[[#This Row],[inv no]])</f>
        <v>GR-RT300WE-PMA(57) 929852</v>
      </c>
      <c r="S3123" s="86">
        <f>_xlfn.XLOOKUP(表格1[[#This Row],[Model]],表格3[Model-Input-Ref2],表格3[SRP PRICE])</f>
        <v>4280</v>
      </c>
      <c r="T3123" s="43">
        <f>表格1[[#This Row],[Unit Price]]/表格1[[#This Row],[SRP]]</f>
        <v>0.58177570093457942</v>
      </c>
      <c r="U3123" s="86" t="str">
        <f>_xlfn.XLOOKUP(表格1[[#This Row],[Model]],表格3[Model-Input-Ref2],表格3[TOSHIBA/HIGHEST])</f>
        <v>Toshiba SRP</v>
      </c>
      <c r="W3123" s="86" t="str">
        <f>_xlfn.CONCAT(表格1[[#This Row],[欄4]],表格1[[#This Row],[inv no]])</f>
        <v>929852</v>
      </c>
    </row>
    <row r="3124" spans="1:23" hidden="1">
      <c r="A3124" s="81">
        <v>3122</v>
      </c>
      <c r="B3124" s="86" t="s">
        <v>1477</v>
      </c>
      <c r="C3124" s="86" t="s">
        <v>1959</v>
      </c>
      <c r="D3124" s="82" t="str">
        <f ca="1">OFFSET(Roster!$A$3,MATCH(表格1[[#This Row],[Location]]&amp;" "&amp;表格1[[#This Row],[Shop]]&amp;"*",Roster!$A$4:$A$72,0),DAY(表格1[[#This Row],[date]]),1,1)</f>
        <v>Jaco off</v>
      </c>
      <c r="E3124" s="86">
        <f>MONTH(表格1[[#This Row],[date]])</f>
        <v>3</v>
      </c>
      <c r="F3124" s="90">
        <v>46082</v>
      </c>
      <c r="G3124" s="86" t="str">
        <f>VLOOKUP("*"&amp;表格1[[#This Row],[Input]]&amp;"*",'Ref-List'!$B:$D,2,)</f>
        <v>MWP-MG20P(BK)</v>
      </c>
      <c r="H3124" s="86" t="str">
        <f>_xlfn.XLOOKUP(表格1[[#This Row],[Model]],表格3[Model-Input-Ref2],表格3[Product Line])</f>
        <v>旋鈕式燒烤微波爐20L黑色</v>
      </c>
      <c r="I3124" s="86" t="str">
        <f>_xlfn.XLOOKUP(表格1[[#This Row],[Model]],表格3[Model-Input-Ref2],表格3[大小電])</f>
        <v>細電</v>
      </c>
      <c r="J3124" s="86" t="str">
        <f>_xlfn.XLOOKUP(表格1[[#This Row],[Model]],表格3[Model-Input-Ref2],表格3[Code])</f>
        <v>SDA</v>
      </c>
      <c r="K3124" s="89" t="s">
        <v>1485</v>
      </c>
      <c r="L3124" s="86">
        <v>1</v>
      </c>
      <c r="M3124" s="87">
        <v>579</v>
      </c>
      <c r="N3124" s="87">
        <f>IFERROR(表格1[[#This Row],[QTY]]*表格1[[#This Row],[Unit Price]],"-")</f>
        <v>579</v>
      </c>
      <c r="O3124" s="86">
        <v>929793</v>
      </c>
      <c r="R3124" s="86" t="str">
        <f>_xlfn.CONCAT(表格1[[#This Row],[Model]]," ",表格1[[#This Row],[inv no]])</f>
        <v>MWP-MG20P(BK) 929793</v>
      </c>
      <c r="S3124" s="86">
        <f>_xlfn.XLOOKUP(表格1[[#This Row],[Model]],表格3[Model-Input-Ref2],表格3[SRP PRICE])</f>
        <v>918</v>
      </c>
      <c r="T3124" s="43">
        <f>表格1[[#This Row],[Unit Price]]/表格1[[#This Row],[SRP]]</f>
        <v>0.63071895424836599</v>
      </c>
      <c r="U3124" s="86" t="str">
        <f>_xlfn.XLOOKUP(表格1[[#This Row],[Model]],表格3[Model-Input-Ref2],表格3[TOSHIBA/HIGHEST])</f>
        <v>Toshiba SRP</v>
      </c>
      <c r="W3124" s="86" t="str">
        <f>_xlfn.CONCAT(表格1[[#This Row],[欄4]],表格1[[#This Row],[inv no]])</f>
        <v>929793</v>
      </c>
    </row>
    <row r="3125" spans="1:23" hidden="1">
      <c r="A3125" s="81">
        <v>3123</v>
      </c>
      <c r="B3125" s="86" t="s">
        <v>1477</v>
      </c>
      <c r="C3125" s="86" t="s">
        <v>1959</v>
      </c>
      <c r="D3125" s="82" t="str">
        <f ca="1">OFFSET(Roster!$A$3,MATCH(表格1[[#This Row],[Location]]&amp;" "&amp;表格1[[#This Row],[Shop]]&amp;"*",Roster!$A$4:$A$72,0),DAY(表格1[[#This Row],[date]]),1,1)</f>
        <v>Jaco off</v>
      </c>
      <c r="E3125" s="86">
        <f>MONTH(表格1[[#This Row],[date]])</f>
        <v>3</v>
      </c>
      <c r="F3125" s="90">
        <v>46082</v>
      </c>
      <c r="G3125" s="86" t="str">
        <f>VLOOKUP("*"&amp;表格1[[#This Row],[Input]]&amp;"*",'Ref-List'!$B:$D,2,)</f>
        <v>CAF-A400HK(H)</v>
      </c>
      <c r="H3125" s="86" t="str">
        <f>_xlfn.XLOOKUP(表格1[[#This Row],[Model]],表格3[Model-Input-Ref2],表格3[Product Line])</f>
        <v>抗菌除臭空氣清淨機</v>
      </c>
      <c r="I3125" s="86" t="str">
        <f>_xlfn.XLOOKUP(表格1[[#This Row],[Model]],表格3[Model-Input-Ref2],表格3[大小電])</f>
        <v>細電</v>
      </c>
      <c r="J3125" s="86" t="str">
        <f>_xlfn.XLOOKUP(表格1[[#This Row],[Model]],表格3[Model-Input-Ref2],表格3[Code])</f>
        <v>AP</v>
      </c>
      <c r="K3125" s="89" t="s">
        <v>1476</v>
      </c>
      <c r="L3125" s="86">
        <v>1</v>
      </c>
      <c r="M3125" s="87">
        <v>888</v>
      </c>
      <c r="N3125" s="87">
        <f>IFERROR(表格1[[#This Row],[QTY]]*表格1[[#This Row],[Unit Price]],"-")</f>
        <v>888</v>
      </c>
      <c r="O3125" s="86">
        <v>929849</v>
      </c>
      <c r="R3125" s="86" t="str">
        <f>_xlfn.CONCAT(表格1[[#This Row],[Model]]," ",表格1[[#This Row],[inv no]])</f>
        <v>CAF-A400HK(H) 929849</v>
      </c>
      <c r="S3125" s="86">
        <f>_xlfn.XLOOKUP(表格1[[#This Row],[Model]],表格3[Model-Input-Ref2],表格3[SRP PRICE])</f>
        <v>1500</v>
      </c>
      <c r="T3125" s="43">
        <f>表格1[[#This Row],[Unit Price]]/表格1[[#This Row],[SRP]]</f>
        <v>0.59199999999999997</v>
      </c>
      <c r="U3125" s="86" t="str">
        <f>_xlfn.XLOOKUP(表格1[[#This Row],[Model]],表格3[Model-Input-Ref2],表格3[TOSHIBA/HIGHEST])</f>
        <v>Shops Highest Price</v>
      </c>
      <c r="W3125" s="86" t="str">
        <f>_xlfn.CONCAT(表格1[[#This Row],[欄4]],表格1[[#This Row],[inv no]])</f>
        <v>929849</v>
      </c>
    </row>
    <row r="3126" spans="1:23" hidden="1">
      <c r="A3126" s="81">
        <v>3124</v>
      </c>
      <c r="B3126" s="86" t="s">
        <v>1477</v>
      </c>
      <c r="C3126" s="86" t="s">
        <v>1959</v>
      </c>
      <c r="D3126" s="82" t="str">
        <f ca="1">OFFSET(Roster!$A$3,MATCH(表格1[[#This Row],[Location]]&amp;" "&amp;表格1[[#This Row],[Shop]]&amp;"*",Roster!$A$4:$A$72,0),DAY(表格1[[#This Row],[date]]),1,1)</f>
        <v>Jaco</v>
      </c>
      <c r="E3126" s="86">
        <f>MONTH(表格1[[#This Row],[date]])</f>
        <v>3</v>
      </c>
      <c r="F3126" s="90">
        <v>46083</v>
      </c>
      <c r="G3126" s="86" t="str">
        <f>VLOOKUP("*"&amp;表格1[[#This Row],[Input]]&amp;"*",'Ref-List'!$B:$D,2,)</f>
        <v>RC-10BHH(W)</v>
      </c>
      <c r="H3126" s="86" t="str">
        <f>_xlfn.XLOOKUP(表格1[[#This Row],[Model]],表格3[Model-Input-Ref2],表格3[Product Line])</f>
        <v>酵活炊磁應電飯煲</v>
      </c>
      <c r="I3126" s="86" t="str">
        <f>_xlfn.XLOOKUP(表格1[[#This Row],[Model]],表格3[Model-Input-Ref2],表格3[大小電])</f>
        <v>細電</v>
      </c>
      <c r="J3126" s="86" t="str">
        <f>_xlfn.XLOOKUP(表格1[[#This Row],[Model]],表格3[Model-Input-Ref2],表格3[Code])</f>
        <v>SDA</v>
      </c>
      <c r="K3126" s="89" t="s">
        <v>1269</v>
      </c>
      <c r="L3126" s="86">
        <v>1</v>
      </c>
      <c r="M3126" s="87">
        <v>1888</v>
      </c>
      <c r="N3126" s="87">
        <f>IFERROR(表格1[[#This Row],[QTY]]*表格1[[#This Row],[Unit Price]],"-")</f>
        <v>1888</v>
      </c>
      <c r="O3126" s="86">
        <v>1022339</v>
      </c>
      <c r="R3126" s="86" t="str">
        <f>_xlfn.CONCAT(表格1[[#This Row],[Model]]," ",表格1[[#This Row],[inv no]])</f>
        <v>RC-10BHH(W) 1022339</v>
      </c>
      <c r="S3126" s="86">
        <f>_xlfn.XLOOKUP(表格1[[#This Row],[Model]],表格3[Model-Input-Ref2],表格3[SRP PRICE])</f>
        <v>2088</v>
      </c>
      <c r="T3126" s="43">
        <f>表格1[[#This Row],[Unit Price]]/表格1[[#This Row],[SRP]]</f>
        <v>0.90421455938697315</v>
      </c>
      <c r="U3126" s="86" t="str">
        <f>_xlfn.XLOOKUP(表格1[[#This Row],[Model]],表格3[Model-Input-Ref2],表格3[TOSHIBA/HIGHEST])</f>
        <v>Shops Highest Price</v>
      </c>
      <c r="W3126" s="86" t="str">
        <f>_xlfn.CONCAT(表格1[[#This Row],[欄4]],表格1[[#This Row],[inv no]])</f>
        <v>1022339</v>
      </c>
    </row>
    <row r="3127" spans="1:23" hidden="1">
      <c r="A3127" s="81">
        <v>3125</v>
      </c>
      <c r="B3127" s="86" t="s">
        <v>1477</v>
      </c>
      <c r="C3127" s="86" t="s">
        <v>1959</v>
      </c>
      <c r="D3127" s="82" t="str">
        <f ca="1">OFFSET(Roster!$A$3,MATCH(表格1[[#This Row],[Location]]&amp;" "&amp;表格1[[#This Row],[Shop]]&amp;"*",Roster!$A$4:$A$72,0),DAY(表格1[[#This Row],[date]]),1,1)</f>
        <v>Jaco</v>
      </c>
      <c r="E3127" s="86">
        <f>MONTH(表格1[[#This Row],[date]])</f>
        <v>3</v>
      </c>
      <c r="F3127" s="90">
        <v>46083</v>
      </c>
      <c r="G3127" s="86" t="str">
        <f>VLOOKUP("*"&amp;表格1[[#This Row],[Input]]&amp;"*",'Ref-List'!$B:$D,2,)</f>
        <v>MX2-STR25SC(WH)</v>
      </c>
      <c r="H3127" s="86" t="str">
        <f>_xlfn.XLOOKUP(表格1[[#This Row],[Model]],表格3[Model-Input-Ref2],表格3[Product Line])</f>
        <v>4合1氣炸微波蒸焗爐(25公升)</v>
      </c>
      <c r="I3127" s="86" t="str">
        <f>_xlfn.XLOOKUP(表格1[[#This Row],[Model]],表格3[Model-Input-Ref2],表格3[大小電])</f>
        <v>細電</v>
      </c>
      <c r="J3127" s="86" t="str">
        <f>_xlfn.XLOOKUP(表格1[[#This Row],[Model]],表格3[Model-Input-Ref2],表格3[Code])</f>
        <v>MCA</v>
      </c>
      <c r="K3127" s="89" t="s">
        <v>1410</v>
      </c>
      <c r="L3127" s="86">
        <v>1</v>
      </c>
      <c r="M3127" s="87">
        <v>3580</v>
      </c>
      <c r="N3127" s="87">
        <f>IFERROR(表格1[[#This Row],[QTY]]*表格1[[#This Row],[Unit Price]],"-")</f>
        <v>3580</v>
      </c>
      <c r="O3127" s="86">
        <v>1022271</v>
      </c>
      <c r="R3127" s="86" t="str">
        <f>_xlfn.CONCAT(表格1[[#This Row],[Model]]," ",表格1[[#This Row],[inv no]])</f>
        <v>MX2-STR25SC(WH) 1022271</v>
      </c>
      <c r="S3127" s="86">
        <f>_xlfn.XLOOKUP(表格1[[#This Row],[Model]],表格3[Model-Input-Ref2],表格3[SRP PRICE])</f>
        <v>4998</v>
      </c>
      <c r="T3127" s="43">
        <f>表格1[[#This Row],[Unit Price]]/表格1[[#This Row],[SRP]]</f>
        <v>0.71628651460584236</v>
      </c>
      <c r="U3127" s="86" t="str">
        <f>_xlfn.XLOOKUP(表格1[[#This Row],[Model]],表格3[Model-Input-Ref2],表格3[TOSHIBA/HIGHEST])</f>
        <v>Toshiba SRP</v>
      </c>
      <c r="W3127" s="86" t="str">
        <f>_xlfn.CONCAT(表格1[[#This Row],[欄4]],表格1[[#This Row],[inv no]])</f>
        <v>1022271</v>
      </c>
    </row>
    <row r="3128" spans="1:23" hidden="1">
      <c r="A3128" s="81">
        <v>3126</v>
      </c>
      <c r="B3128" s="86" t="s">
        <v>1477</v>
      </c>
      <c r="C3128" s="86" t="s">
        <v>1959</v>
      </c>
      <c r="D3128" s="82" t="str">
        <f ca="1">OFFSET(Roster!$A$3,MATCH(表格1[[#This Row],[Location]]&amp;" "&amp;表格1[[#This Row],[Shop]]&amp;"*",Roster!$A$4:$A$72,0),DAY(表格1[[#This Row],[date]]),1,1)</f>
        <v>Jaco</v>
      </c>
      <c r="E3128" s="86">
        <f>MONTH(表格1[[#This Row],[date]])</f>
        <v>3</v>
      </c>
      <c r="F3128" s="90">
        <v>46083</v>
      </c>
      <c r="G3128" s="86" t="str">
        <f>VLOOKUP("*"&amp;表格1[[#This Row],[Input]]&amp;"*",'Ref-List'!$B:$D,2,)</f>
        <v>MX2-STR25SC(WH)</v>
      </c>
      <c r="H3128" s="86" t="str">
        <f>_xlfn.XLOOKUP(表格1[[#This Row],[Model]],表格3[Model-Input-Ref2],表格3[Product Line])</f>
        <v>4合1氣炸微波蒸焗爐(25公升)</v>
      </c>
      <c r="I3128" s="86" t="str">
        <f>_xlfn.XLOOKUP(表格1[[#This Row],[Model]],表格3[Model-Input-Ref2],表格3[大小電])</f>
        <v>細電</v>
      </c>
      <c r="J3128" s="86" t="str">
        <f>_xlfn.XLOOKUP(表格1[[#This Row],[Model]],表格3[Model-Input-Ref2],表格3[Code])</f>
        <v>MCA</v>
      </c>
      <c r="K3128" s="89" t="s">
        <v>1410</v>
      </c>
      <c r="L3128" s="86">
        <v>1</v>
      </c>
      <c r="M3128" s="87">
        <v>3580</v>
      </c>
      <c r="N3128" s="87">
        <f>IFERROR(表格1[[#This Row],[QTY]]*表格1[[#This Row],[Unit Price]],"-")</f>
        <v>3580</v>
      </c>
      <c r="O3128" s="86">
        <v>929910</v>
      </c>
      <c r="R3128" s="86" t="str">
        <f>_xlfn.CONCAT(表格1[[#This Row],[Model]]," ",表格1[[#This Row],[inv no]])</f>
        <v>MX2-STR25SC(WH) 929910</v>
      </c>
      <c r="S3128" s="86">
        <f>_xlfn.XLOOKUP(表格1[[#This Row],[Model]],表格3[Model-Input-Ref2],表格3[SRP PRICE])</f>
        <v>4998</v>
      </c>
      <c r="T3128" s="43">
        <f>表格1[[#This Row],[Unit Price]]/表格1[[#This Row],[SRP]]</f>
        <v>0.71628651460584236</v>
      </c>
      <c r="U3128" s="86" t="str">
        <f>_xlfn.XLOOKUP(表格1[[#This Row],[Model]],表格3[Model-Input-Ref2],表格3[TOSHIBA/HIGHEST])</f>
        <v>Toshiba SRP</v>
      </c>
      <c r="W3128" s="86" t="str">
        <f>_xlfn.CONCAT(表格1[[#This Row],[欄4]],表格1[[#This Row],[inv no]])</f>
        <v>929910</v>
      </c>
    </row>
    <row r="3129" spans="1:23" hidden="1">
      <c r="A3129" s="81">
        <v>3127</v>
      </c>
      <c r="B3129" s="86" t="s">
        <v>1477</v>
      </c>
      <c r="C3129" s="86" t="s">
        <v>1959</v>
      </c>
      <c r="D3129" s="82" t="str">
        <f ca="1">OFFSET(Roster!$A$3,MATCH(表格1[[#This Row],[Location]]&amp;" "&amp;表格1[[#This Row],[Shop]]&amp;"*",Roster!$A$4:$A$72,0),DAY(表格1[[#This Row],[date]]),1,1)</f>
        <v>Jaco</v>
      </c>
      <c r="E3129" s="86">
        <f>MONTH(表格1[[#This Row],[date]])</f>
        <v>3</v>
      </c>
      <c r="F3129" s="90">
        <v>46083</v>
      </c>
      <c r="G3129" s="86" t="str">
        <f>VLOOKUP("*"&amp;表格1[[#This Row],[Input]]&amp;"*",'Ref-List'!$B:$D,2,)</f>
        <v>MX2-TT20SC(WH)</v>
      </c>
      <c r="H3129" s="86" t="str">
        <f>_xlfn.XLOOKUP(表格1[[#This Row],[Model]],表格3[Model-Input-Ref2],表格3[Product Line])</f>
        <v>3合1 微波蒸焗爐 (20公升)</v>
      </c>
      <c r="I3129" s="86" t="str">
        <f>_xlfn.XLOOKUP(表格1[[#This Row],[Model]],表格3[Model-Input-Ref2],表格3[大小電])</f>
        <v>細電</v>
      </c>
      <c r="J3129" s="86" t="str">
        <f>_xlfn.XLOOKUP(表格1[[#This Row],[Model]],表格3[Model-Input-Ref2],表格3[Code])</f>
        <v>MCA</v>
      </c>
      <c r="K3129" s="89" t="s">
        <v>1287</v>
      </c>
      <c r="L3129" s="86">
        <v>1</v>
      </c>
      <c r="M3129" s="87">
        <v>2580</v>
      </c>
      <c r="N3129" s="87">
        <f>IFERROR(表格1[[#This Row],[QTY]]*表格1[[#This Row],[Unit Price]],"-")</f>
        <v>2580</v>
      </c>
      <c r="O3129" s="86">
        <v>929869</v>
      </c>
      <c r="R3129" s="86" t="str">
        <f>_xlfn.CONCAT(表格1[[#This Row],[Model]]," ",表格1[[#This Row],[inv no]])</f>
        <v>MX2-TT20SC(WH) 929869</v>
      </c>
      <c r="S3129" s="86">
        <f>_xlfn.XLOOKUP(表格1[[#This Row],[Model]],表格3[Model-Input-Ref2],表格3[SRP PRICE])</f>
        <v>3580</v>
      </c>
      <c r="T3129" s="43">
        <f>表格1[[#This Row],[Unit Price]]/表格1[[#This Row],[SRP]]</f>
        <v>0.72067039106145248</v>
      </c>
      <c r="U3129" s="86" t="str">
        <f>_xlfn.XLOOKUP(表格1[[#This Row],[Model]],表格3[Model-Input-Ref2],表格3[TOSHIBA/HIGHEST])</f>
        <v>Toshiba SRP</v>
      </c>
      <c r="W3129" s="86" t="str">
        <f>_xlfn.CONCAT(表格1[[#This Row],[欄4]],表格1[[#This Row],[inv no]])</f>
        <v>929869</v>
      </c>
    </row>
    <row r="3130" spans="1:23" hidden="1">
      <c r="A3130" s="81">
        <v>3128</v>
      </c>
      <c r="B3130" s="86" t="s">
        <v>1477</v>
      </c>
      <c r="C3130" s="86" t="s">
        <v>1959</v>
      </c>
      <c r="D3130" s="82" t="str">
        <f ca="1">OFFSET(Roster!$A$3,MATCH(表格1[[#This Row],[Location]]&amp;" "&amp;表格1[[#This Row],[Shop]]&amp;"*",Roster!$A$4:$A$72,0),DAY(表格1[[#This Row],[date]]),1,1)</f>
        <v>Jaco</v>
      </c>
      <c r="E3130" s="86">
        <f>MONTH(表格1[[#This Row],[date]])</f>
        <v>3</v>
      </c>
      <c r="F3130" s="90">
        <v>46083</v>
      </c>
      <c r="G3130" s="86" t="str">
        <f>VLOOKUP("*"&amp;表格1[[#This Row],[Input]]&amp;"*",'Ref-List'!$B:$D,2,)</f>
        <v>KT-15DRTHK(W)</v>
      </c>
      <c r="H3130" s="86" t="str">
        <f>_xlfn.XLOOKUP(表格1[[#This Row],[Model]],表格3[Model-Input-Ref2],表格3[Product Line])</f>
        <v>無線雙層電熱水壺-附可鎖壺蓋</v>
      </c>
      <c r="I3130" s="86" t="str">
        <f>_xlfn.XLOOKUP(表格1[[#This Row],[Model]],表格3[Model-Input-Ref2],表格3[大小電])</f>
        <v>細電</v>
      </c>
      <c r="J3130" s="86" t="str">
        <f>_xlfn.XLOOKUP(表格1[[#This Row],[Model]],表格3[Model-Input-Ref2],表格3[Code])</f>
        <v>SDA</v>
      </c>
      <c r="K3130" s="89" t="s">
        <v>1278</v>
      </c>
      <c r="L3130" s="86">
        <v>1</v>
      </c>
      <c r="M3130" s="87">
        <v>338</v>
      </c>
      <c r="N3130" s="87">
        <f>IFERROR(表格1[[#This Row],[QTY]]*表格1[[#This Row],[Unit Price]],"-")</f>
        <v>338</v>
      </c>
      <c r="O3130" s="86">
        <v>929863</v>
      </c>
      <c r="R3130" s="86" t="str">
        <f>_xlfn.CONCAT(表格1[[#This Row],[Model]]," ",表格1[[#This Row],[inv no]])</f>
        <v>KT-15DRTHK(W) 929863</v>
      </c>
      <c r="S3130" s="86">
        <f>_xlfn.XLOOKUP(表格1[[#This Row],[Model]],表格3[Model-Input-Ref2],表格3[SRP PRICE])</f>
        <v>598</v>
      </c>
      <c r="T3130" s="43">
        <f>表格1[[#This Row],[Unit Price]]/表格1[[#This Row],[SRP]]</f>
        <v>0.56521739130434778</v>
      </c>
      <c r="U3130" s="86" t="str">
        <f>_xlfn.XLOOKUP(表格1[[#This Row],[Model]],表格3[Model-Input-Ref2],表格3[TOSHIBA/HIGHEST])</f>
        <v>Toshiba SRP</v>
      </c>
      <c r="W3130" s="86" t="str">
        <f>_xlfn.CONCAT(表格1[[#This Row],[欄4]],表格1[[#This Row],[inv no]])</f>
        <v>929863</v>
      </c>
    </row>
    <row r="3131" spans="1:23" hidden="1">
      <c r="A3131" s="81">
        <v>3129</v>
      </c>
      <c r="B3131" s="86" t="s">
        <v>1477</v>
      </c>
      <c r="C3131" s="86" t="s">
        <v>1959</v>
      </c>
      <c r="D3131" s="82" t="str">
        <f ca="1">OFFSET(Roster!$A$3,MATCH(表格1[[#This Row],[Location]]&amp;" "&amp;表格1[[#This Row],[Shop]]&amp;"*",Roster!$A$4:$A$72,0),DAY(表格1[[#This Row],[date]]),1,1)</f>
        <v>Jaco</v>
      </c>
      <c r="E3131" s="86">
        <f>MONTH(表格1[[#This Row],[date]])</f>
        <v>3</v>
      </c>
      <c r="F3131" s="90">
        <v>46083</v>
      </c>
      <c r="G3131" s="86" t="str">
        <f>VLOOKUP("*"&amp;表格1[[#This Row],[Input]]&amp;"*",'Ref-List'!$B:$D,2,)</f>
        <v>TL-MC35Z</v>
      </c>
      <c r="H3131" s="86" t="str">
        <f>_xlfn.XLOOKUP(表格1[[#This Row],[Model]],表格3[Model-Input-Ref2],表格3[Product Line])</f>
        <v>35L多功能電焗爐</v>
      </c>
      <c r="I3131" s="86" t="str">
        <f>_xlfn.XLOOKUP(表格1[[#This Row],[Model]],表格3[Model-Input-Ref2],表格3[大小電])</f>
        <v>細電</v>
      </c>
      <c r="J3131" s="86" t="str">
        <f>_xlfn.XLOOKUP(表格1[[#This Row],[Model]],表格3[Model-Input-Ref2],表格3[Code])</f>
        <v>SDA</v>
      </c>
      <c r="K3131" s="89" t="s">
        <v>1295</v>
      </c>
      <c r="L3131" s="86">
        <v>1</v>
      </c>
      <c r="M3131" s="87">
        <v>888</v>
      </c>
      <c r="N3131" s="87">
        <f>IFERROR(表格1[[#This Row],[QTY]]*表格1[[#This Row],[Unit Price]],"-")</f>
        <v>888</v>
      </c>
      <c r="O3131" s="86">
        <v>1022152</v>
      </c>
      <c r="R3131" s="86" t="str">
        <f>_xlfn.CONCAT(表格1[[#This Row],[Model]]," ",表格1[[#This Row],[inv no]])</f>
        <v>TL-MC35Z 1022152</v>
      </c>
      <c r="S3131" s="86">
        <f>_xlfn.XLOOKUP(表格1[[#This Row],[Model]],表格3[Model-Input-Ref2],表格3[SRP PRICE])</f>
        <v>1098</v>
      </c>
      <c r="T3131" s="43">
        <f>表格1[[#This Row],[Unit Price]]/表格1[[#This Row],[SRP]]</f>
        <v>0.80874316939890711</v>
      </c>
      <c r="U3131" s="86" t="str">
        <f>_xlfn.XLOOKUP(表格1[[#This Row],[Model]],表格3[Model-Input-Ref2],表格3[TOSHIBA/HIGHEST])</f>
        <v>Toshiba SRP</v>
      </c>
      <c r="W3131" s="86" t="str">
        <f>_xlfn.CONCAT(表格1[[#This Row],[欄4]],表格1[[#This Row],[inv no]])</f>
        <v>1022152</v>
      </c>
    </row>
    <row r="3132" spans="1:23" hidden="1">
      <c r="A3132" s="81">
        <v>3130</v>
      </c>
      <c r="B3132" s="86" t="s">
        <v>1477</v>
      </c>
      <c r="C3132" s="86" t="s">
        <v>1959</v>
      </c>
      <c r="D3132" s="82" t="str">
        <f ca="1">OFFSET(Roster!$A$3,MATCH(表格1[[#This Row],[Location]]&amp;" "&amp;表格1[[#This Row],[Shop]]&amp;"*",Roster!$A$4:$A$72,0),DAY(表格1[[#This Row],[date]]),1,1)</f>
        <v>Jaco</v>
      </c>
      <c r="E3132" s="86">
        <f>MONTH(表格1[[#This Row],[date]])</f>
        <v>3</v>
      </c>
      <c r="F3132" s="90">
        <v>46083</v>
      </c>
      <c r="G3132" s="86" t="str">
        <f>VLOOKUP("*"&amp;表格1[[#This Row],[Input]]&amp;"*",'Ref-List'!$B:$D,2,)</f>
        <v>TL-MC35Z</v>
      </c>
      <c r="H3132" s="86" t="str">
        <f>_xlfn.XLOOKUP(表格1[[#This Row],[Model]],表格3[Model-Input-Ref2],表格3[Product Line])</f>
        <v>35L多功能電焗爐</v>
      </c>
      <c r="I3132" s="86" t="str">
        <f>_xlfn.XLOOKUP(表格1[[#This Row],[Model]],表格3[Model-Input-Ref2],表格3[大小電])</f>
        <v>細電</v>
      </c>
      <c r="J3132" s="86" t="str">
        <f>_xlfn.XLOOKUP(表格1[[#This Row],[Model]],表格3[Model-Input-Ref2],表格3[Code])</f>
        <v>SDA</v>
      </c>
      <c r="K3132" s="89" t="s">
        <v>1295</v>
      </c>
      <c r="L3132" s="86">
        <v>1</v>
      </c>
      <c r="M3132" s="87">
        <v>888</v>
      </c>
      <c r="N3132" s="87">
        <f>IFERROR(表格1[[#This Row],[QTY]]*表格1[[#This Row],[Unit Price]],"-")</f>
        <v>888</v>
      </c>
      <c r="O3132" s="86">
        <v>929813</v>
      </c>
      <c r="R3132" s="86" t="str">
        <f>_xlfn.CONCAT(表格1[[#This Row],[Model]]," ",表格1[[#This Row],[inv no]])</f>
        <v>TL-MC35Z 929813</v>
      </c>
      <c r="S3132" s="86">
        <f>_xlfn.XLOOKUP(表格1[[#This Row],[Model]],表格3[Model-Input-Ref2],表格3[SRP PRICE])</f>
        <v>1098</v>
      </c>
      <c r="T3132" s="43">
        <f>表格1[[#This Row],[Unit Price]]/表格1[[#This Row],[SRP]]</f>
        <v>0.80874316939890711</v>
      </c>
      <c r="U3132" s="86" t="str">
        <f>_xlfn.XLOOKUP(表格1[[#This Row],[Model]],表格3[Model-Input-Ref2],表格3[TOSHIBA/HIGHEST])</f>
        <v>Toshiba SRP</v>
      </c>
      <c r="W3132" s="86" t="str">
        <f>_xlfn.CONCAT(表格1[[#This Row],[欄4]],表格1[[#This Row],[inv no]])</f>
        <v>929813</v>
      </c>
    </row>
    <row r="3133" spans="1:23" hidden="1">
      <c r="A3133" s="81">
        <v>3131</v>
      </c>
      <c r="B3133" s="86" t="s">
        <v>1477</v>
      </c>
      <c r="C3133" s="86" t="s">
        <v>1959</v>
      </c>
      <c r="D3133" s="82" t="str">
        <f ca="1">OFFSET(Roster!$A$3,MATCH(表格1[[#This Row],[Location]]&amp;" "&amp;表格1[[#This Row],[Shop]]&amp;"*",Roster!$A$4:$A$72,0),DAY(表格1[[#This Row],[date]]),1,1)</f>
        <v>Jaco</v>
      </c>
      <c r="E3133" s="86">
        <f>MONTH(表格1[[#This Row],[date]])</f>
        <v>3</v>
      </c>
      <c r="F3133" s="90">
        <v>46084</v>
      </c>
      <c r="G3133" s="86" t="str">
        <f>VLOOKUP("*"&amp;表格1[[#This Row],[Input]]&amp;"*",'Ref-List'!$B:$D,2,)</f>
        <v>TWD-T21BU95UWH(WW)</v>
      </c>
      <c r="H3133" s="86" t="str">
        <f>_xlfn.XLOOKUP(表格1[[#This Row],[Model]],表格3[Model-Input-Ref2],表格3[Product Line])</f>
        <v>470MM超薄身前置式變頻洗衣乾衣機 (洗8.5公斤 乾6公斤)</v>
      </c>
      <c r="I3133" s="86" t="str">
        <f>_xlfn.XLOOKUP(表格1[[#This Row],[Model]],表格3[Model-Input-Ref2],表格3[大小電])</f>
        <v>大電</v>
      </c>
      <c r="J3133" s="86" t="str">
        <f>_xlfn.XLOOKUP(表格1[[#This Row],[Model]],表格3[Model-Input-Ref2],表格3[Code])</f>
        <v>LAD</v>
      </c>
      <c r="K3133" s="89" t="s">
        <v>1461</v>
      </c>
      <c r="L3133" s="86">
        <v>1</v>
      </c>
      <c r="M3133" s="87">
        <v>4380</v>
      </c>
      <c r="N3133" s="87">
        <f>IFERROR(表格1[[#This Row],[QTY]]*表格1[[#This Row],[Unit Price]],"-")</f>
        <v>4380</v>
      </c>
      <c r="O3133" s="86">
        <v>1022437</v>
      </c>
      <c r="R3133" s="86" t="str">
        <f>_xlfn.CONCAT(表格1[[#This Row],[Model]]," ",表格1[[#This Row],[inv no]])</f>
        <v>TWD-T21BU95UWH(WW) 1022437</v>
      </c>
      <c r="S3133" s="86">
        <f>_xlfn.XLOOKUP(表格1[[#This Row],[Model]],表格3[Model-Input-Ref2],表格3[SRP PRICE])</f>
        <v>7280</v>
      </c>
      <c r="T3133" s="43">
        <f>表格1[[#This Row],[Unit Price]]/表格1[[#This Row],[SRP]]</f>
        <v>0.60164835164835162</v>
      </c>
      <c r="U3133" s="86" t="str">
        <f>_xlfn.XLOOKUP(表格1[[#This Row],[Model]],表格3[Model-Input-Ref2],表格3[TOSHIBA/HIGHEST])</f>
        <v>Toshiba SRP</v>
      </c>
      <c r="W3133" s="86" t="str">
        <f>_xlfn.CONCAT(表格1[[#This Row],[欄4]],表格1[[#This Row],[inv no]])</f>
        <v>1022437</v>
      </c>
    </row>
    <row r="3134" spans="1:23" hidden="1">
      <c r="A3134" s="81">
        <v>3132</v>
      </c>
      <c r="B3134" s="86" t="s">
        <v>1477</v>
      </c>
      <c r="C3134" s="86" t="s">
        <v>1959</v>
      </c>
      <c r="D3134" s="82" t="str">
        <f ca="1">OFFSET(Roster!$A$3,MATCH(表格1[[#This Row],[Location]]&amp;" "&amp;表格1[[#This Row],[Shop]]&amp;"*",Roster!$A$4:$A$72,0),DAY(表格1[[#This Row],[date]]),1,1)</f>
        <v>Jaco</v>
      </c>
      <c r="E3134" s="86">
        <f>MONTH(表格1[[#This Row],[date]])</f>
        <v>3</v>
      </c>
      <c r="F3134" s="90">
        <v>46084</v>
      </c>
      <c r="G3134" s="86" t="str">
        <f>VLOOKUP("*"&amp;表格1[[#This Row],[Input]]&amp;"*",'Ref-List'!$B:$D,2,)</f>
        <v>MX1-TH23SC(WH)</v>
      </c>
      <c r="H3134" s="86" t="str">
        <f>_xlfn.XLOOKUP(表格1[[#This Row],[Model]],表格3[Model-Input-Ref2],表格3[Product Line])</f>
        <v>微波蒸焗爐23L</v>
      </c>
      <c r="I3134" s="86" t="str">
        <f>_xlfn.XLOOKUP(表格1[[#This Row],[Model]],表格3[Model-Input-Ref2],表格3[大小電])</f>
        <v>細電</v>
      </c>
      <c r="J3134" s="86" t="str">
        <f>_xlfn.XLOOKUP(表格1[[#This Row],[Model]],表格3[Model-Input-Ref2],表格3[Code])</f>
        <v>SDA</v>
      </c>
      <c r="K3134" s="89" t="s">
        <v>1496</v>
      </c>
      <c r="L3134" s="86">
        <v>1</v>
      </c>
      <c r="M3134" s="87">
        <v>2580</v>
      </c>
      <c r="N3134" s="87">
        <f>IFERROR(表格1[[#This Row],[QTY]]*表格1[[#This Row],[Unit Price]],"-")</f>
        <v>2580</v>
      </c>
      <c r="O3134" s="86">
        <v>929953</v>
      </c>
      <c r="R3134" s="86" t="str">
        <f>_xlfn.CONCAT(表格1[[#This Row],[Model]]," ",表格1[[#This Row],[inv no]])</f>
        <v>MX1-TH23SC(WH) 929953</v>
      </c>
      <c r="S3134" s="86">
        <f>_xlfn.XLOOKUP(表格1[[#This Row],[Model]],表格3[Model-Input-Ref2],表格3[SRP PRICE])</f>
        <v>3380</v>
      </c>
      <c r="T3134" s="43">
        <f>表格1[[#This Row],[Unit Price]]/表格1[[#This Row],[SRP]]</f>
        <v>0.76331360946745563</v>
      </c>
      <c r="U3134" s="86" t="str">
        <f>_xlfn.XLOOKUP(表格1[[#This Row],[Model]],表格3[Model-Input-Ref2],表格3[TOSHIBA/HIGHEST])</f>
        <v>Toshiba SRP</v>
      </c>
      <c r="W3134" s="86" t="str">
        <f>_xlfn.CONCAT(表格1[[#This Row],[欄4]],表格1[[#This Row],[inv no]])</f>
        <v>929953</v>
      </c>
    </row>
    <row r="3135" spans="1:23" hidden="1">
      <c r="A3135" s="81">
        <v>3133</v>
      </c>
      <c r="B3135" s="86" t="s">
        <v>1477</v>
      </c>
      <c r="C3135" s="86" t="s">
        <v>1959</v>
      </c>
      <c r="D3135" s="82" t="str">
        <f ca="1">OFFSET(Roster!$A$3,MATCH(表格1[[#This Row],[Location]]&amp;" "&amp;表格1[[#This Row],[Shop]]&amp;"*",Roster!$A$4:$A$72,0),DAY(表格1[[#This Row],[date]]),1,1)</f>
        <v>Jaco</v>
      </c>
      <c r="E3135" s="86">
        <f>MONTH(表格1[[#This Row],[date]])</f>
        <v>3</v>
      </c>
      <c r="F3135" s="90">
        <v>46084</v>
      </c>
      <c r="G3135" s="86" t="str">
        <f>VLOOKUP("*"&amp;表格1[[#This Row],[Input]]&amp;"*",'Ref-List'!$B:$D,2,)</f>
        <v>RAD-D300H</v>
      </c>
      <c r="H3135" s="86" t="str">
        <f>_xlfn.XLOOKUP(表格1[[#This Row],[Model]],表格3[Model-Input-Ref2],表格3[Product Line])</f>
        <v>壓縮式抽濕機 (30公升)</v>
      </c>
      <c r="I3135" s="86" t="str">
        <f>_xlfn.XLOOKUP(表格1[[#This Row],[Model]],表格3[Model-Input-Ref2],表格3[大小電])</f>
        <v>細電</v>
      </c>
      <c r="J3135" s="86" t="str">
        <f>_xlfn.XLOOKUP(表格1[[#This Row],[Model]],表格3[Model-Input-Ref2],表格3[Code])</f>
        <v>RAC</v>
      </c>
      <c r="K3135" s="89" t="s">
        <v>1252</v>
      </c>
      <c r="L3135" s="86">
        <v>1</v>
      </c>
      <c r="M3135" s="87">
        <v>2280</v>
      </c>
      <c r="N3135" s="87">
        <f>IFERROR(表格1[[#This Row],[QTY]]*表格1[[#This Row],[Unit Price]],"-")</f>
        <v>2280</v>
      </c>
      <c r="O3135" s="86">
        <v>1022432</v>
      </c>
      <c r="R3135" s="86" t="str">
        <f>_xlfn.CONCAT(表格1[[#This Row],[Model]]," ",表格1[[#This Row],[inv no]])</f>
        <v>RAD-D300H 1022432</v>
      </c>
      <c r="S3135" s="86">
        <f>_xlfn.XLOOKUP(表格1[[#This Row],[Model]],表格3[Model-Input-Ref2],表格3[SRP PRICE])</f>
        <v>3380</v>
      </c>
      <c r="T3135" s="43">
        <f>表格1[[#This Row],[Unit Price]]/表格1[[#This Row],[SRP]]</f>
        <v>0.67455621301775148</v>
      </c>
      <c r="U3135" s="86" t="str">
        <f>_xlfn.XLOOKUP(表格1[[#This Row],[Model]],表格3[Model-Input-Ref2],表格3[TOSHIBA/HIGHEST])</f>
        <v>Shops Highest Price</v>
      </c>
      <c r="W3135" s="86" t="str">
        <f>_xlfn.CONCAT(表格1[[#This Row],[欄4]],表格1[[#This Row],[inv no]])</f>
        <v>1022432</v>
      </c>
    </row>
    <row r="3136" spans="1:23" hidden="1">
      <c r="A3136" s="81">
        <v>3134</v>
      </c>
      <c r="B3136" s="86" t="s">
        <v>1477</v>
      </c>
      <c r="C3136" s="86" t="s">
        <v>1959</v>
      </c>
      <c r="D3136" s="82" t="str">
        <f ca="1">OFFSET(Roster!$A$3,MATCH(表格1[[#This Row],[Location]]&amp;" "&amp;表格1[[#This Row],[Shop]]&amp;"*",Roster!$A$4:$A$72,0),DAY(表格1[[#This Row],[date]]),1,1)</f>
        <v>Jaco</v>
      </c>
      <c r="E3136" s="86">
        <f>MONTH(表格1[[#This Row],[date]])</f>
        <v>3</v>
      </c>
      <c r="F3136" s="90">
        <v>46084</v>
      </c>
      <c r="G3136" s="86" t="str">
        <f>VLOOKUP("*"&amp;表格1[[#This Row],[Input]]&amp;"*",'Ref-List'!$B:$D,2,)</f>
        <v>RAD-D300H</v>
      </c>
      <c r="H3136" s="86" t="str">
        <f>_xlfn.XLOOKUP(表格1[[#This Row],[Model]],表格3[Model-Input-Ref2],表格3[Product Line])</f>
        <v>壓縮式抽濕機 (30公升)</v>
      </c>
      <c r="I3136" s="86" t="str">
        <f>_xlfn.XLOOKUP(表格1[[#This Row],[Model]],表格3[Model-Input-Ref2],表格3[大小電])</f>
        <v>細電</v>
      </c>
      <c r="J3136" s="86" t="str">
        <f>_xlfn.XLOOKUP(表格1[[#This Row],[Model]],表格3[Model-Input-Ref2],表格3[Code])</f>
        <v>RAC</v>
      </c>
      <c r="K3136" s="89" t="s">
        <v>1252</v>
      </c>
      <c r="L3136" s="86">
        <v>1</v>
      </c>
      <c r="M3136" s="87">
        <v>2280</v>
      </c>
      <c r="N3136" s="87">
        <f>IFERROR(表格1[[#This Row],[QTY]]*表格1[[#This Row],[Unit Price]],"-")</f>
        <v>2280</v>
      </c>
      <c r="O3136" s="86">
        <v>929965</v>
      </c>
      <c r="R3136" s="86" t="str">
        <f>_xlfn.CONCAT(表格1[[#This Row],[Model]]," ",表格1[[#This Row],[inv no]])</f>
        <v>RAD-D300H 929965</v>
      </c>
      <c r="S3136" s="86">
        <f>_xlfn.XLOOKUP(表格1[[#This Row],[Model]],表格3[Model-Input-Ref2],表格3[SRP PRICE])</f>
        <v>3380</v>
      </c>
      <c r="T3136" s="43">
        <f>表格1[[#This Row],[Unit Price]]/表格1[[#This Row],[SRP]]</f>
        <v>0.67455621301775148</v>
      </c>
      <c r="U3136" s="86" t="str">
        <f>_xlfn.XLOOKUP(表格1[[#This Row],[Model]],表格3[Model-Input-Ref2],表格3[TOSHIBA/HIGHEST])</f>
        <v>Shops Highest Price</v>
      </c>
      <c r="W3136" s="86" t="str">
        <f>_xlfn.CONCAT(表格1[[#This Row],[欄4]],表格1[[#This Row],[inv no]])</f>
        <v>929965</v>
      </c>
    </row>
    <row r="3137" spans="1:23" hidden="1">
      <c r="A3137" s="81">
        <v>3135</v>
      </c>
      <c r="B3137" s="86" t="s">
        <v>1477</v>
      </c>
      <c r="C3137" s="86" t="s">
        <v>1959</v>
      </c>
      <c r="D3137" s="82" t="str">
        <f ca="1">OFFSET(Roster!$A$3,MATCH(表格1[[#This Row],[Location]]&amp;" "&amp;表格1[[#This Row],[Shop]]&amp;"*",Roster!$A$4:$A$72,0),DAY(表格1[[#This Row],[date]]),1,1)</f>
        <v>Jaco</v>
      </c>
      <c r="E3137" s="86">
        <f>MONTH(表格1[[#This Row],[date]])</f>
        <v>3</v>
      </c>
      <c r="F3137" s="90">
        <v>46084</v>
      </c>
      <c r="G3137" s="86" t="str">
        <f>VLOOKUP("*"&amp;表格1[[#This Row],[Input]]&amp;"*",'Ref-List'!$B:$D,2,)</f>
        <v>RC-10NMFIH(WT)</v>
      </c>
      <c r="H3137" s="86" t="str">
        <f>_xlfn.XLOOKUP(表格1[[#This Row],[Model]],表格3[Model-Input-Ref2],表格3[Product Line])</f>
        <v>4毫米厚釜電飯煲1L</v>
      </c>
      <c r="I3137" s="86" t="str">
        <f>_xlfn.XLOOKUP(表格1[[#This Row],[Model]],表格3[Model-Input-Ref2],表格3[大小電])</f>
        <v>細電</v>
      </c>
      <c r="J3137" s="86" t="str">
        <f>_xlfn.XLOOKUP(表格1[[#This Row],[Model]],表格3[Model-Input-Ref2],表格3[Code])</f>
        <v>SDA</v>
      </c>
      <c r="K3137" s="89" t="s">
        <v>1244</v>
      </c>
      <c r="L3137" s="86">
        <v>1</v>
      </c>
      <c r="M3137" s="87">
        <v>719</v>
      </c>
      <c r="N3137" s="87">
        <f>IFERROR(表格1[[#This Row],[QTY]]*表格1[[#This Row],[Unit Price]],"-")</f>
        <v>719</v>
      </c>
      <c r="O3137" s="86">
        <v>1022488</v>
      </c>
      <c r="R3137" s="86" t="str">
        <f>_xlfn.CONCAT(表格1[[#This Row],[Model]]," ",表格1[[#This Row],[inv no]])</f>
        <v>RC-10NMFIH(WT) 1022488</v>
      </c>
      <c r="S3137" s="86">
        <f>_xlfn.XLOOKUP(表格1[[#This Row],[Model]],表格3[Model-Input-Ref2],表格3[SRP PRICE])</f>
        <v>898</v>
      </c>
      <c r="T3137" s="43">
        <f>表格1[[#This Row],[Unit Price]]/表格1[[#This Row],[SRP]]</f>
        <v>0.80066815144766146</v>
      </c>
      <c r="U3137" s="86" t="str">
        <f>_xlfn.XLOOKUP(表格1[[#This Row],[Model]],表格3[Model-Input-Ref2],表格3[TOSHIBA/HIGHEST])</f>
        <v>Toshiba SRP</v>
      </c>
      <c r="W3137" s="86" t="str">
        <f>_xlfn.CONCAT(表格1[[#This Row],[欄4]],表格1[[#This Row],[inv no]])</f>
        <v>1022488</v>
      </c>
    </row>
    <row r="3138" spans="1:23" hidden="1">
      <c r="A3138" s="81">
        <v>3136</v>
      </c>
      <c r="B3138" s="86" t="s">
        <v>1477</v>
      </c>
      <c r="C3138" s="86" t="s">
        <v>1959</v>
      </c>
      <c r="D3138" s="82" t="str">
        <f ca="1">OFFSET(Roster!$A$3,MATCH(表格1[[#This Row],[Location]]&amp;" "&amp;表格1[[#This Row],[Shop]]&amp;"*",Roster!$A$4:$A$72,0),DAY(表格1[[#This Row],[date]]),1,1)</f>
        <v>Jaco</v>
      </c>
      <c r="E3138" s="86">
        <f>MONTH(表格1[[#This Row],[date]])</f>
        <v>3</v>
      </c>
      <c r="F3138" s="90">
        <v>46084</v>
      </c>
      <c r="G3138" s="86" t="str">
        <f>VLOOKUP("*"&amp;表格1[[#This Row],[Input]]&amp;"*",'Ref-List'!$B:$D,2,)</f>
        <v>GR-RB360WE-PMA(06)</v>
      </c>
      <c r="H3138" s="86" t="str">
        <f>_xlfn.XLOOKUP(表格1[[#This Row],[Model]],表格3[Model-Input-Ref2],表格3[Product Line])</f>
        <v>變頻下置式雙門雪櫃系列270L</v>
      </c>
      <c r="I3138" s="86" t="str">
        <f>_xlfn.XLOOKUP(表格1[[#This Row],[Model]],表格3[Model-Input-Ref2],表格3[大小電])</f>
        <v>大電</v>
      </c>
      <c r="J3138" s="86" t="str">
        <f>_xlfn.XLOOKUP(表格1[[#This Row],[Model]],表格3[Model-Input-Ref2],表格3[Code])</f>
        <v>REF</v>
      </c>
      <c r="K3138" s="89" t="s">
        <v>1282</v>
      </c>
      <c r="L3138" s="86">
        <v>1</v>
      </c>
      <c r="M3138" s="87">
        <v>3680</v>
      </c>
      <c r="N3138" s="87">
        <f>IFERROR(表格1[[#This Row],[QTY]]*表格1[[#This Row],[Unit Price]],"-")</f>
        <v>3680</v>
      </c>
      <c r="O3138" s="86">
        <v>929957</v>
      </c>
      <c r="R3138" s="86" t="str">
        <f>_xlfn.CONCAT(表格1[[#This Row],[Model]]," ",表格1[[#This Row],[inv no]])</f>
        <v>GR-RB360WE-PMA(06) 929957</v>
      </c>
      <c r="S3138" s="86">
        <f>_xlfn.XLOOKUP(表格1[[#This Row],[Model]],表格3[Model-Input-Ref2],表格3[SRP PRICE])</f>
        <v>5080</v>
      </c>
      <c r="T3138" s="43">
        <f>表格1[[#This Row],[Unit Price]]/表格1[[#This Row],[SRP]]</f>
        <v>0.72440944881889768</v>
      </c>
      <c r="U3138" s="86" t="str">
        <f>_xlfn.XLOOKUP(表格1[[#This Row],[Model]],表格3[Model-Input-Ref2],表格3[TOSHIBA/HIGHEST])</f>
        <v>Toshiba SRP</v>
      </c>
      <c r="W3138" s="86" t="str">
        <f>_xlfn.CONCAT(表格1[[#This Row],[欄4]],表格1[[#This Row],[inv no]])</f>
        <v>929957</v>
      </c>
    </row>
    <row r="3139" spans="1:23" hidden="1">
      <c r="A3139" s="81">
        <v>3137</v>
      </c>
      <c r="B3139" s="86" t="s">
        <v>1477</v>
      </c>
      <c r="C3139" s="86" t="s">
        <v>1959</v>
      </c>
      <c r="D3139" s="82" t="str">
        <f ca="1">OFFSET(Roster!$A$3,MATCH(表格1[[#This Row],[Location]]&amp;" "&amp;表格1[[#This Row],[Shop]]&amp;"*",Roster!$A$4:$A$72,0),DAY(表格1[[#This Row],[date]]),1,1)</f>
        <v>Jaco</v>
      </c>
      <c r="E3139" s="86">
        <f>MONTH(表格1[[#This Row],[date]])</f>
        <v>3</v>
      </c>
      <c r="F3139" s="90">
        <v>46085</v>
      </c>
      <c r="G3139" s="86" t="str">
        <f>VLOOKUP("*"&amp;表格1[[#This Row],[Input]]&amp;"*",'Ref-List'!$B:$D,2,)</f>
        <v>PLK-45SFIH(WT)</v>
      </c>
      <c r="H3139" s="86" t="str">
        <f>_xlfn.XLOOKUP(表格1[[#This Row],[Model]],表格3[Model-Input-Ref2],表格3[Product Line])</f>
        <v>電熱水瓶4.5L</v>
      </c>
      <c r="I3139" s="86" t="str">
        <f>_xlfn.XLOOKUP(表格1[[#This Row],[Model]],表格3[Model-Input-Ref2],表格3[大小電])</f>
        <v>細電</v>
      </c>
      <c r="J3139" s="86" t="str">
        <f>_xlfn.XLOOKUP(表格1[[#This Row],[Model]],表格3[Model-Input-Ref2],表格3[Code])</f>
        <v>SDA</v>
      </c>
      <c r="K3139" s="89" t="s">
        <v>1117</v>
      </c>
      <c r="L3139" s="86">
        <v>1</v>
      </c>
      <c r="M3139" s="87">
        <v>589</v>
      </c>
      <c r="N3139" s="87">
        <f>IFERROR(表格1[[#This Row],[QTY]]*表格1[[#This Row],[Unit Price]],"-")</f>
        <v>589</v>
      </c>
      <c r="O3139" s="86">
        <v>1022561</v>
      </c>
      <c r="R3139" s="86" t="str">
        <f>_xlfn.CONCAT(表格1[[#This Row],[Model]]," ",表格1[[#This Row],[inv no]])</f>
        <v>PLK-45SFIH(WT) 1022561</v>
      </c>
      <c r="S3139" s="86">
        <f>_xlfn.XLOOKUP(表格1[[#This Row],[Model]],表格3[Model-Input-Ref2],表格3[SRP PRICE])</f>
        <v>788</v>
      </c>
      <c r="T3139" s="43">
        <f>表格1[[#This Row],[Unit Price]]/表格1[[#This Row],[SRP]]</f>
        <v>0.7474619289340102</v>
      </c>
      <c r="U3139" s="86" t="str">
        <f>_xlfn.XLOOKUP(表格1[[#This Row],[Model]],表格3[Model-Input-Ref2],表格3[TOSHIBA/HIGHEST])</f>
        <v>Toshiba SRP</v>
      </c>
      <c r="W3139" s="86" t="str">
        <f>_xlfn.CONCAT(表格1[[#This Row],[欄4]],表格1[[#This Row],[inv no]])</f>
        <v>1022561</v>
      </c>
    </row>
    <row r="3140" spans="1:23" hidden="1">
      <c r="A3140" s="81">
        <v>3138</v>
      </c>
      <c r="B3140" s="86" t="s">
        <v>1477</v>
      </c>
      <c r="C3140" s="86" t="s">
        <v>1959</v>
      </c>
      <c r="D3140" s="82" t="str">
        <f ca="1">OFFSET(Roster!$A$3,MATCH(表格1[[#This Row],[Location]]&amp;" "&amp;表格1[[#This Row],[Shop]]&amp;"*",Roster!$A$4:$A$72,0),DAY(表格1[[#This Row],[date]]),1,1)</f>
        <v>Jaco</v>
      </c>
      <c r="E3140" s="86">
        <f>MONTH(表格1[[#This Row],[date]])</f>
        <v>3</v>
      </c>
      <c r="F3140" s="90">
        <v>46085</v>
      </c>
      <c r="G3140" s="86" t="str">
        <f>VLOOKUP("*"&amp;表格1[[#This Row],[Input]]&amp;"*",'Ref-List'!$B:$D,2,)</f>
        <v>RC-18DRNH</v>
      </c>
      <c r="H3140" s="86" t="str">
        <f>_xlfn.XLOOKUP(表格1[[#This Row],[Model]],表格3[Model-Input-Ref2],表格3[Product Line])</f>
        <v>多功能備長炭本厚釜電飯煲1.8L</v>
      </c>
      <c r="I3140" s="86" t="str">
        <f>_xlfn.XLOOKUP(表格1[[#This Row],[Model]],表格3[Model-Input-Ref2],表格3[大小電])</f>
        <v>細電</v>
      </c>
      <c r="J3140" s="86" t="str">
        <f>_xlfn.XLOOKUP(表格1[[#This Row],[Model]],表格3[Model-Input-Ref2],表格3[Code])</f>
        <v>SDA</v>
      </c>
      <c r="K3140" s="89" t="s">
        <v>1389</v>
      </c>
      <c r="L3140" s="86">
        <v>1</v>
      </c>
      <c r="M3140" s="87">
        <v>619</v>
      </c>
      <c r="N3140" s="87">
        <f>IFERROR(表格1[[#This Row],[QTY]]*表格1[[#This Row],[Unit Price]],"-")</f>
        <v>619</v>
      </c>
      <c r="O3140" s="86">
        <v>929945</v>
      </c>
      <c r="R3140" s="86" t="str">
        <f>_xlfn.CONCAT(表格1[[#This Row],[Model]]," ",表格1[[#This Row],[inv no]])</f>
        <v>RC-18DRNH 929945</v>
      </c>
      <c r="S3140" s="86">
        <f>_xlfn.XLOOKUP(表格1[[#This Row],[Model]],表格3[Model-Input-Ref2],表格3[SRP PRICE])</f>
        <v>898</v>
      </c>
      <c r="T3140" s="43">
        <f>表格1[[#This Row],[Unit Price]]/表格1[[#This Row],[SRP]]</f>
        <v>0.68930957683741645</v>
      </c>
      <c r="U3140" s="86" t="str">
        <f>_xlfn.XLOOKUP(表格1[[#This Row],[Model]],表格3[Model-Input-Ref2],表格3[TOSHIBA/HIGHEST])</f>
        <v>Toshiba SRP</v>
      </c>
      <c r="W3140" s="86" t="str">
        <f>_xlfn.CONCAT(表格1[[#This Row],[欄4]],表格1[[#This Row],[inv no]])</f>
        <v>929945</v>
      </c>
    </row>
    <row r="3141" spans="1:23" hidden="1">
      <c r="A3141" s="81">
        <v>3139</v>
      </c>
      <c r="B3141" s="86" t="s">
        <v>1477</v>
      </c>
      <c r="C3141" s="86" t="s">
        <v>1959</v>
      </c>
      <c r="D3141" s="82" t="str">
        <f ca="1">OFFSET(Roster!$A$3,MATCH(表格1[[#This Row],[Location]]&amp;" "&amp;表格1[[#This Row],[Shop]]&amp;"*",Roster!$A$4:$A$72,0),DAY(表格1[[#This Row],[date]]),1,1)</f>
        <v>Jaco</v>
      </c>
      <c r="E3141" s="86">
        <f>MONTH(表格1[[#This Row],[date]])</f>
        <v>3</v>
      </c>
      <c r="F3141" s="90">
        <v>46085</v>
      </c>
      <c r="G3141" s="86" t="str">
        <f>VLOOKUP("*"&amp;表格1[[#This Row],[Input]]&amp;"*",'Ref-List'!$B:$D,2,)</f>
        <v>KT-17SHNH</v>
      </c>
      <c r="H3141" s="86" t="str">
        <f>_xlfn.XLOOKUP(表格1[[#This Row],[Model]],表格3[Model-Input-Ref2],表格3[Product Line])</f>
        <v>1.7L無線雙層電熱水壺</v>
      </c>
      <c r="I3141" s="86" t="str">
        <f>_xlfn.XLOOKUP(表格1[[#This Row],[Model]],表格3[Model-Input-Ref2],表格3[大小電])</f>
        <v>細電</v>
      </c>
      <c r="J3141" s="86" t="str">
        <f>_xlfn.XLOOKUP(表格1[[#This Row],[Model]],表格3[Model-Input-Ref2],表格3[Code])</f>
        <v>SDA</v>
      </c>
      <c r="K3141" s="89" t="s">
        <v>1283</v>
      </c>
      <c r="L3141" s="86">
        <v>1</v>
      </c>
      <c r="M3141" s="87">
        <v>198</v>
      </c>
      <c r="N3141" s="87">
        <f>IFERROR(表格1[[#This Row],[QTY]]*表格1[[#This Row],[Unit Price]],"-")</f>
        <v>198</v>
      </c>
      <c r="O3141" s="86">
        <v>1022424</v>
      </c>
      <c r="R3141" s="86" t="str">
        <f>_xlfn.CONCAT(表格1[[#This Row],[Model]]," ",表格1[[#This Row],[inv no]])</f>
        <v>KT-17SHNH 1022424</v>
      </c>
      <c r="S3141" s="86">
        <f>_xlfn.XLOOKUP(表格1[[#This Row],[Model]],表格3[Model-Input-Ref2],表格3[SRP PRICE])</f>
        <v>299</v>
      </c>
      <c r="T3141" s="43">
        <f>表格1[[#This Row],[Unit Price]]/表格1[[#This Row],[SRP]]</f>
        <v>0.66220735785953178</v>
      </c>
      <c r="U3141" s="86" t="str">
        <f>_xlfn.XLOOKUP(表格1[[#This Row],[Model]],表格3[Model-Input-Ref2],表格3[TOSHIBA/HIGHEST])</f>
        <v>Shops Highest Price</v>
      </c>
      <c r="W3141" s="86" t="str">
        <f>_xlfn.CONCAT(表格1[[#This Row],[欄4]],表格1[[#This Row],[inv no]])</f>
        <v>1022424</v>
      </c>
    </row>
    <row r="3142" spans="1:23" hidden="1">
      <c r="A3142" s="81">
        <v>3140</v>
      </c>
      <c r="B3142" s="86" t="s">
        <v>1477</v>
      </c>
      <c r="C3142" s="86" t="s">
        <v>1959</v>
      </c>
      <c r="D3142" s="82" t="str">
        <f ca="1">OFFSET(Roster!$A$3,MATCH(表格1[[#This Row],[Location]]&amp;" "&amp;表格1[[#This Row],[Shop]]&amp;"*",Roster!$A$4:$A$72,0),DAY(表格1[[#This Row],[date]]),1,1)</f>
        <v>Jaco</v>
      </c>
      <c r="E3142" s="86">
        <f>MONTH(表格1[[#This Row],[date]])</f>
        <v>3</v>
      </c>
      <c r="F3142" s="90">
        <v>46085</v>
      </c>
      <c r="G3142" s="86" t="str">
        <f>VLOOKUP("*"&amp;表格1[[#This Row],[Input]]&amp;"*",'Ref-List'!$B:$D,2,)</f>
        <v>RAD-D300H</v>
      </c>
      <c r="H3142" s="86" t="str">
        <f>_xlfn.XLOOKUP(表格1[[#This Row],[Model]],表格3[Model-Input-Ref2],表格3[Product Line])</f>
        <v>壓縮式抽濕機 (30公升)</v>
      </c>
      <c r="I3142" s="86" t="str">
        <f>_xlfn.XLOOKUP(表格1[[#This Row],[Model]],表格3[Model-Input-Ref2],表格3[大小電])</f>
        <v>細電</v>
      </c>
      <c r="J3142" s="86" t="str">
        <f>_xlfn.XLOOKUP(表格1[[#This Row],[Model]],表格3[Model-Input-Ref2],表格3[Code])</f>
        <v>RAC</v>
      </c>
      <c r="K3142" s="89" t="s">
        <v>1252</v>
      </c>
      <c r="L3142" s="86">
        <v>1</v>
      </c>
      <c r="M3142" s="87">
        <v>2280</v>
      </c>
      <c r="N3142" s="87">
        <f>IFERROR(表格1[[#This Row],[QTY]]*表格1[[#This Row],[Unit Price]],"-")</f>
        <v>2280</v>
      </c>
      <c r="O3142" s="86">
        <v>1022545</v>
      </c>
      <c r="R3142" s="86" t="str">
        <f>_xlfn.CONCAT(表格1[[#This Row],[Model]]," ",表格1[[#This Row],[inv no]])</f>
        <v>RAD-D300H 1022545</v>
      </c>
      <c r="S3142" s="86">
        <f>_xlfn.XLOOKUP(表格1[[#This Row],[Model]],表格3[Model-Input-Ref2],表格3[SRP PRICE])</f>
        <v>3380</v>
      </c>
      <c r="T3142" s="43">
        <f>表格1[[#This Row],[Unit Price]]/表格1[[#This Row],[SRP]]</f>
        <v>0.67455621301775148</v>
      </c>
      <c r="U3142" s="86" t="str">
        <f>_xlfn.XLOOKUP(表格1[[#This Row],[Model]],表格3[Model-Input-Ref2],表格3[TOSHIBA/HIGHEST])</f>
        <v>Shops Highest Price</v>
      </c>
      <c r="W3142" s="86" t="str">
        <f>_xlfn.CONCAT(表格1[[#This Row],[欄4]],表格1[[#This Row],[inv no]])</f>
        <v>1022545</v>
      </c>
    </row>
    <row r="3143" spans="1:23" hidden="1">
      <c r="A3143" s="81">
        <v>3141</v>
      </c>
      <c r="B3143" s="86" t="s">
        <v>1477</v>
      </c>
      <c r="C3143" s="86" t="s">
        <v>1959</v>
      </c>
      <c r="D3143" s="82" t="str">
        <f ca="1">OFFSET(Roster!$A$3,MATCH(表格1[[#This Row],[Location]]&amp;" "&amp;表格1[[#This Row],[Shop]]&amp;"*",Roster!$A$4:$A$72,0),DAY(表格1[[#This Row],[date]]),1,1)</f>
        <v>Jaco</v>
      </c>
      <c r="E3143" s="86">
        <f>MONTH(表格1[[#This Row],[date]])</f>
        <v>3</v>
      </c>
      <c r="F3143" s="90">
        <v>46085</v>
      </c>
      <c r="G3143" s="86" t="str">
        <f>VLOOKUP("*"&amp;表格1[[#This Row],[Input]]&amp;"*",'Ref-List'!$B:$D,2,)</f>
        <v>RAD-D300H</v>
      </c>
      <c r="H3143" s="86" t="str">
        <f>_xlfn.XLOOKUP(表格1[[#This Row],[Model]],表格3[Model-Input-Ref2],表格3[Product Line])</f>
        <v>壓縮式抽濕機 (30公升)</v>
      </c>
      <c r="I3143" s="86" t="str">
        <f>_xlfn.XLOOKUP(表格1[[#This Row],[Model]],表格3[Model-Input-Ref2],表格3[大小電])</f>
        <v>細電</v>
      </c>
      <c r="J3143" s="86" t="str">
        <f>_xlfn.XLOOKUP(表格1[[#This Row],[Model]],表格3[Model-Input-Ref2],表格3[Code])</f>
        <v>RAC</v>
      </c>
      <c r="K3143" s="89" t="s">
        <v>1252</v>
      </c>
      <c r="L3143" s="86">
        <v>1</v>
      </c>
      <c r="M3143" s="87">
        <v>2280</v>
      </c>
      <c r="N3143" s="87">
        <f>IFERROR(表格1[[#This Row],[QTY]]*表格1[[#This Row],[Unit Price]],"-")</f>
        <v>2280</v>
      </c>
      <c r="O3143" s="86">
        <v>930013</v>
      </c>
      <c r="R3143" s="86" t="str">
        <f>_xlfn.CONCAT(表格1[[#This Row],[Model]]," ",表格1[[#This Row],[inv no]])</f>
        <v>RAD-D300H 930013</v>
      </c>
      <c r="S3143" s="86">
        <f>_xlfn.XLOOKUP(表格1[[#This Row],[Model]],表格3[Model-Input-Ref2],表格3[SRP PRICE])</f>
        <v>3380</v>
      </c>
      <c r="T3143" s="43">
        <f>表格1[[#This Row],[Unit Price]]/表格1[[#This Row],[SRP]]</f>
        <v>0.67455621301775148</v>
      </c>
      <c r="U3143" s="86" t="str">
        <f>_xlfn.XLOOKUP(表格1[[#This Row],[Model]],表格3[Model-Input-Ref2],表格3[TOSHIBA/HIGHEST])</f>
        <v>Shops Highest Price</v>
      </c>
      <c r="W3143" s="86" t="str">
        <f>_xlfn.CONCAT(表格1[[#This Row],[欄4]],表格1[[#This Row],[inv no]])</f>
        <v>930013</v>
      </c>
    </row>
    <row r="3144" spans="1:23" hidden="1">
      <c r="A3144" s="81">
        <v>3142</v>
      </c>
      <c r="B3144" s="86" t="s">
        <v>1477</v>
      </c>
      <c r="C3144" s="86" t="s">
        <v>1959</v>
      </c>
      <c r="D3144" s="82" t="str">
        <f ca="1">OFFSET(Roster!$A$3,MATCH(表格1[[#This Row],[Location]]&amp;" "&amp;表格1[[#This Row],[Shop]]&amp;"*",Roster!$A$4:$A$72,0),DAY(表格1[[#This Row],[date]]),1,1)</f>
        <v>Jaco</v>
      </c>
      <c r="E3144" s="86">
        <f>MONTH(表格1[[#This Row],[date]])</f>
        <v>3</v>
      </c>
      <c r="F3144" s="90">
        <v>46085</v>
      </c>
      <c r="G3144" s="86" t="str">
        <f>VLOOKUP("*"&amp;表格1[[#This Row],[Input]]&amp;"*",'Ref-List'!$B:$D,2,)</f>
        <v>MX2-TT20SC(WH)</v>
      </c>
      <c r="H3144" s="86" t="str">
        <f>_xlfn.XLOOKUP(表格1[[#This Row],[Model]],表格3[Model-Input-Ref2],表格3[Product Line])</f>
        <v>3合1 微波蒸焗爐 (20公升)</v>
      </c>
      <c r="I3144" s="86" t="str">
        <f>_xlfn.XLOOKUP(表格1[[#This Row],[Model]],表格3[Model-Input-Ref2],表格3[大小電])</f>
        <v>細電</v>
      </c>
      <c r="J3144" s="86" t="str">
        <f>_xlfn.XLOOKUP(表格1[[#This Row],[Model]],表格3[Model-Input-Ref2],表格3[Code])</f>
        <v>MCA</v>
      </c>
      <c r="K3144" s="89" t="s">
        <v>1287</v>
      </c>
      <c r="L3144" s="86">
        <v>1</v>
      </c>
      <c r="M3144" s="87">
        <v>2580</v>
      </c>
      <c r="N3144" s="87">
        <f>IFERROR(表格1[[#This Row],[QTY]]*表格1[[#This Row],[Unit Price]],"-")</f>
        <v>2580</v>
      </c>
      <c r="O3144" s="86">
        <v>1022531</v>
      </c>
      <c r="R3144" s="86" t="str">
        <f>_xlfn.CONCAT(表格1[[#This Row],[Model]]," ",表格1[[#This Row],[inv no]])</f>
        <v>MX2-TT20SC(WH) 1022531</v>
      </c>
      <c r="S3144" s="86">
        <f>_xlfn.XLOOKUP(表格1[[#This Row],[Model]],表格3[Model-Input-Ref2],表格3[SRP PRICE])</f>
        <v>3580</v>
      </c>
      <c r="T3144" s="43">
        <f>表格1[[#This Row],[Unit Price]]/表格1[[#This Row],[SRP]]</f>
        <v>0.72067039106145248</v>
      </c>
      <c r="U3144" s="86" t="str">
        <f>_xlfn.XLOOKUP(表格1[[#This Row],[Model]],表格3[Model-Input-Ref2],表格3[TOSHIBA/HIGHEST])</f>
        <v>Toshiba SRP</v>
      </c>
      <c r="W3144" s="86" t="str">
        <f>_xlfn.CONCAT(表格1[[#This Row],[欄4]],表格1[[#This Row],[inv no]])</f>
        <v>1022531</v>
      </c>
    </row>
    <row r="3145" spans="1:23" hidden="1">
      <c r="A3145" s="81">
        <v>3143</v>
      </c>
      <c r="B3145" s="86" t="s">
        <v>1477</v>
      </c>
      <c r="C3145" s="86" t="s">
        <v>1959</v>
      </c>
      <c r="D3145" s="82" t="str">
        <f ca="1">OFFSET(Roster!$A$3,MATCH(表格1[[#This Row],[Location]]&amp;" "&amp;表格1[[#This Row],[Shop]]&amp;"*",Roster!$A$4:$A$72,0),DAY(表格1[[#This Row],[date]]),1,1)</f>
        <v>Jaco</v>
      </c>
      <c r="E3145" s="86">
        <f>MONTH(表格1[[#This Row],[date]])</f>
        <v>3</v>
      </c>
      <c r="F3145" s="90">
        <v>46085</v>
      </c>
      <c r="G3145" s="86" t="str">
        <f>VLOOKUP("*"&amp;表格1[[#This Row],[Input]]&amp;"*",'Ref-List'!$B:$D,2,)</f>
        <v>MX2-TT20SC(WH)</v>
      </c>
      <c r="H3145" s="86" t="str">
        <f>_xlfn.XLOOKUP(表格1[[#This Row],[Model]],表格3[Model-Input-Ref2],表格3[Product Line])</f>
        <v>3合1 微波蒸焗爐 (20公升)</v>
      </c>
      <c r="I3145" s="86" t="str">
        <f>_xlfn.XLOOKUP(表格1[[#This Row],[Model]],表格3[Model-Input-Ref2],表格3[大小電])</f>
        <v>細電</v>
      </c>
      <c r="J3145" s="86" t="str">
        <f>_xlfn.XLOOKUP(表格1[[#This Row],[Model]],表格3[Model-Input-Ref2],表格3[Code])</f>
        <v>MCA</v>
      </c>
      <c r="K3145" s="89" t="s">
        <v>1287</v>
      </c>
      <c r="L3145" s="86">
        <v>1</v>
      </c>
      <c r="M3145" s="87">
        <v>2580</v>
      </c>
      <c r="N3145" s="87">
        <f>IFERROR(表格1[[#This Row],[QTY]]*表格1[[#This Row],[Unit Price]],"-")</f>
        <v>2580</v>
      </c>
      <c r="O3145" s="86">
        <v>930022</v>
      </c>
      <c r="R3145" s="86" t="str">
        <f>_xlfn.CONCAT(表格1[[#This Row],[Model]]," ",表格1[[#This Row],[inv no]])</f>
        <v>MX2-TT20SC(WH) 930022</v>
      </c>
      <c r="S3145" s="86">
        <f>_xlfn.XLOOKUP(表格1[[#This Row],[Model]],表格3[Model-Input-Ref2],表格3[SRP PRICE])</f>
        <v>3580</v>
      </c>
      <c r="T3145" s="43">
        <f>表格1[[#This Row],[Unit Price]]/表格1[[#This Row],[SRP]]</f>
        <v>0.72067039106145248</v>
      </c>
      <c r="U3145" s="86" t="str">
        <f>_xlfn.XLOOKUP(表格1[[#This Row],[Model]],表格3[Model-Input-Ref2],表格3[TOSHIBA/HIGHEST])</f>
        <v>Toshiba SRP</v>
      </c>
      <c r="W3145" s="86" t="str">
        <f>_xlfn.CONCAT(表格1[[#This Row],[欄4]],表格1[[#This Row],[inv no]])</f>
        <v>930022</v>
      </c>
    </row>
    <row r="3146" spans="1:23" hidden="1">
      <c r="A3146" s="81">
        <v>3144</v>
      </c>
      <c r="B3146" s="86" t="s">
        <v>1477</v>
      </c>
      <c r="C3146" s="86" t="s">
        <v>1959</v>
      </c>
      <c r="D3146" s="82" t="str">
        <f ca="1">OFFSET(Roster!$A$3,MATCH(表格1[[#This Row],[Location]]&amp;" "&amp;表格1[[#This Row],[Shop]]&amp;"*",Roster!$A$4:$A$72,0),DAY(表格1[[#This Row],[date]]),1,1)</f>
        <v>Jaco</v>
      </c>
      <c r="E3146" s="86">
        <f>MONTH(表格1[[#This Row],[date]])</f>
        <v>3</v>
      </c>
      <c r="F3146" s="90">
        <v>46085</v>
      </c>
      <c r="G3146" s="86" t="str">
        <f>VLOOKUP("*"&amp;表格1[[#This Row],[Input]]&amp;"*",'Ref-List'!$B:$D,2,)</f>
        <v>TL-MC35Z</v>
      </c>
      <c r="H3146" s="86" t="str">
        <f>_xlfn.XLOOKUP(表格1[[#This Row],[Model]],表格3[Model-Input-Ref2],表格3[Product Line])</f>
        <v>35L多功能電焗爐</v>
      </c>
      <c r="I3146" s="86" t="str">
        <f>_xlfn.XLOOKUP(表格1[[#This Row],[Model]],表格3[Model-Input-Ref2],表格3[大小電])</f>
        <v>細電</v>
      </c>
      <c r="J3146" s="86" t="str">
        <f>_xlfn.XLOOKUP(表格1[[#This Row],[Model]],表格3[Model-Input-Ref2],表格3[Code])</f>
        <v>SDA</v>
      </c>
      <c r="K3146" s="89" t="s">
        <v>1295</v>
      </c>
      <c r="L3146" s="86">
        <v>1</v>
      </c>
      <c r="M3146" s="87">
        <v>888</v>
      </c>
      <c r="N3146" s="87">
        <f>IFERROR(表格1[[#This Row],[QTY]]*表格1[[#This Row],[Unit Price]],"-")</f>
        <v>888</v>
      </c>
      <c r="O3146" s="86">
        <v>929991</v>
      </c>
      <c r="R3146" s="86" t="str">
        <f>_xlfn.CONCAT(表格1[[#This Row],[Model]]," ",表格1[[#This Row],[inv no]])</f>
        <v>TL-MC35Z 929991</v>
      </c>
      <c r="S3146" s="86">
        <f>_xlfn.XLOOKUP(表格1[[#This Row],[Model]],表格3[Model-Input-Ref2],表格3[SRP PRICE])</f>
        <v>1098</v>
      </c>
      <c r="T3146" s="43">
        <f>表格1[[#This Row],[Unit Price]]/表格1[[#This Row],[SRP]]</f>
        <v>0.80874316939890711</v>
      </c>
      <c r="U3146" s="86" t="str">
        <f>_xlfn.XLOOKUP(表格1[[#This Row],[Model]],表格3[Model-Input-Ref2],表格3[TOSHIBA/HIGHEST])</f>
        <v>Toshiba SRP</v>
      </c>
      <c r="W3146" s="86" t="str">
        <f>_xlfn.CONCAT(表格1[[#This Row],[欄4]],表格1[[#This Row],[inv no]])</f>
        <v>929991</v>
      </c>
    </row>
    <row r="3147" spans="1:23" hidden="1">
      <c r="A3147" s="81">
        <v>3145</v>
      </c>
      <c r="B3147" s="86" t="s">
        <v>1477</v>
      </c>
      <c r="C3147" s="86" t="s">
        <v>1959</v>
      </c>
      <c r="D3147" s="82" t="str">
        <f ca="1">OFFSET(Roster!$A$3,MATCH(表格1[[#This Row],[Location]]&amp;" "&amp;表格1[[#This Row],[Shop]]&amp;"*",Roster!$A$4:$A$72,0),DAY(表格1[[#This Row],[date]]),1,1)</f>
        <v>Jaco</v>
      </c>
      <c r="E3147" s="86">
        <f>MONTH(表格1[[#This Row],[date]])</f>
        <v>3</v>
      </c>
      <c r="F3147" s="90">
        <v>46086</v>
      </c>
      <c r="G3147" s="86" t="str">
        <f>VLOOKUP("*"&amp;表格1[[#This Row],[Input]]&amp;"*",'Ref-List'!$B:$D,2,)</f>
        <v>MM2-EM20PC(WH)</v>
      </c>
      <c r="H3147" s="86" t="str">
        <f>_xlfn.XLOOKUP(表格1[[#This Row],[Model]],表格3[Model-Input-Ref2],表格3[Product Line])</f>
        <v>輕觸式微波爐 (20公升)</v>
      </c>
      <c r="I3147" s="86" t="str">
        <f>_xlfn.XLOOKUP(表格1[[#This Row],[Model]],表格3[Model-Input-Ref2],表格3[大小電])</f>
        <v>細電</v>
      </c>
      <c r="J3147" s="86" t="str">
        <f>_xlfn.XLOOKUP(表格1[[#This Row],[Model]],表格3[Model-Input-Ref2],表格3[Code])</f>
        <v>MCA</v>
      </c>
      <c r="K3147" s="89" t="s">
        <v>1276</v>
      </c>
      <c r="L3147" s="86">
        <v>1</v>
      </c>
      <c r="M3147" s="87">
        <v>598</v>
      </c>
      <c r="N3147" s="87">
        <f>IFERROR(表格1[[#This Row],[QTY]]*表格1[[#This Row],[Unit Price]],"-")</f>
        <v>598</v>
      </c>
      <c r="O3147" s="86">
        <v>930036</v>
      </c>
      <c r="R3147" s="86" t="str">
        <f>_xlfn.CONCAT(表格1[[#This Row],[Model]]," ",表格1[[#This Row],[inv no]])</f>
        <v>MM2-EM20PC(WH) 930036</v>
      </c>
      <c r="S3147" s="86">
        <f>_xlfn.XLOOKUP(表格1[[#This Row],[Model]],表格3[Model-Input-Ref2],表格3[SRP PRICE])</f>
        <v>788</v>
      </c>
      <c r="T3147" s="43">
        <f>表格1[[#This Row],[Unit Price]]/表格1[[#This Row],[SRP]]</f>
        <v>0.75888324873096447</v>
      </c>
      <c r="U3147" s="86" t="str">
        <f>_xlfn.XLOOKUP(表格1[[#This Row],[Model]],表格3[Model-Input-Ref2],表格3[TOSHIBA/HIGHEST])</f>
        <v>Toshiba SRP</v>
      </c>
      <c r="W3147" s="86" t="str">
        <f>_xlfn.CONCAT(表格1[[#This Row],[欄4]],表格1[[#This Row],[inv no]])</f>
        <v>930036</v>
      </c>
    </row>
    <row r="3148" spans="1:23" hidden="1">
      <c r="A3148" s="81">
        <v>3146</v>
      </c>
      <c r="B3148" s="86" t="s">
        <v>1477</v>
      </c>
      <c r="C3148" s="86" t="s">
        <v>1959</v>
      </c>
      <c r="D3148" s="82" t="str">
        <f ca="1">OFFSET(Roster!$A$3,MATCH(表格1[[#This Row],[Location]]&amp;" "&amp;表格1[[#This Row],[Shop]]&amp;"*",Roster!$A$4:$A$72,0),DAY(表格1[[#This Row],[date]]),1,1)</f>
        <v>Jaco</v>
      </c>
      <c r="E3148" s="86">
        <f>MONTH(表格1[[#This Row],[date]])</f>
        <v>3</v>
      </c>
      <c r="F3148" s="90">
        <v>46086</v>
      </c>
      <c r="G3148" s="86" t="str">
        <f>VLOOKUP("*"&amp;表格1[[#This Row],[Input]]&amp;"*",'Ref-List'!$B:$D,2,)</f>
        <v>MWP-MM20P(WH)</v>
      </c>
      <c r="H3148" s="86" t="str">
        <f>_xlfn.XLOOKUP(表格1[[#This Row],[Model]],表格3[Model-Input-Ref2],表格3[Product Line])</f>
        <v>旋鈕式燒烤微波爐20L</v>
      </c>
      <c r="I3148" s="86" t="str">
        <f>_xlfn.XLOOKUP(表格1[[#This Row],[Model]],表格3[Model-Input-Ref2],表格3[大小電])</f>
        <v>細電</v>
      </c>
      <c r="J3148" s="86" t="str">
        <f>_xlfn.XLOOKUP(表格1[[#This Row],[Model]],表格3[Model-Input-Ref2],表格3[Code])</f>
        <v>SDA</v>
      </c>
      <c r="K3148" s="89" t="s">
        <v>1270</v>
      </c>
      <c r="L3148" s="86">
        <v>1</v>
      </c>
      <c r="M3148" s="87">
        <v>488</v>
      </c>
      <c r="N3148" s="87">
        <f>IFERROR(表格1[[#This Row],[QTY]]*表格1[[#This Row],[Unit Price]],"-")</f>
        <v>488</v>
      </c>
      <c r="O3148" s="86">
        <v>1022624</v>
      </c>
      <c r="R3148" s="86" t="str">
        <f>_xlfn.CONCAT(表格1[[#This Row],[Model]]," ",表格1[[#This Row],[inv no]])</f>
        <v>MWP-MM20P(WH) 1022624</v>
      </c>
      <c r="S3148" s="86">
        <f>_xlfn.XLOOKUP(表格1[[#This Row],[Model]],表格3[Model-Input-Ref2],表格3[SRP PRICE])</f>
        <v>648</v>
      </c>
      <c r="T3148" s="43">
        <f>表格1[[#This Row],[Unit Price]]/表格1[[#This Row],[SRP]]</f>
        <v>0.75308641975308643</v>
      </c>
      <c r="U3148" s="86" t="str">
        <f>_xlfn.XLOOKUP(表格1[[#This Row],[Model]],表格3[Model-Input-Ref2],表格3[TOSHIBA/HIGHEST])</f>
        <v>Toshiba SRP</v>
      </c>
      <c r="W3148" s="86" t="str">
        <f>_xlfn.CONCAT(表格1[[#This Row],[欄4]],表格1[[#This Row],[inv no]])</f>
        <v>1022624</v>
      </c>
    </row>
    <row r="3149" spans="1:23" hidden="1">
      <c r="A3149" s="81">
        <v>3147</v>
      </c>
      <c r="B3149" s="86" t="s">
        <v>1477</v>
      </c>
      <c r="C3149" s="86" t="s">
        <v>1959</v>
      </c>
      <c r="D3149" s="82" t="str">
        <f ca="1">OFFSET(Roster!$A$3,MATCH(表格1[[#This Row],[Location]]&amp;" "&amp;表格1[[#This Row],[Shop]]&amp;"*",Roster!$A$4:$A$72,0),DAY(表格1[[#This Row],[date]]),1,1)</f>
        <v>Jaco</v>
      </c>
      <c r="E3149" s="86">
        <f>MONTH(表格1[[#This Row],[date]])</f>
        <v>3</v>
      </c>
      <c r="F3149" s="90">
        <v>46086</v>
      </c>
      <c r="G3149" s="86" t="str">
        <f>VLOOKUP("*"&amp;表格1[[#This Row],[Input]]&amp;"*",'Ref-List'!$B:$D,2,)</f>
        <v>MWP-MM20P(WH)</v>
      </c>
      <c r="H3149" s="86" t="str">
        <f>_xlfn.XLOOKUP(表格1[[#This Row],[Model]],表格3[Model-Input-Ref2],表格3[Product Line])</f>
        <v>旋鈕式燒烤微波爐20L</v>
      </c>
      <c r="I3149" s="86" t="str">
        <f>_xlfn.XLOOKUP(表格1[[#This Row],[Model]],表格3[Model-Input-Ref2],表格3[大小電])</f>
        <v>細電</v>
      </c>
      <c r="J3149" s="86" t="str">
        <f>_xlfn.XLOOKUP(表格1[[#This Row],[Model]],表格3[Model-Input-Ref2],表格3[Code])</f>
        <v>SDA</v>
      </c>
      <c r="K3149" s="89" t="s">
        <v>1270</v>
      </c>
      <c r="L3149" s="86">
        <v>1</v>
      </c>
      <c r="M3149" s="87">
        <v>488</v>
      </c>
      <c r="N3149" s="87">
        <f>IFERROR(表格1[[#This Row],[QTY]]*表格1[[#This Row],[Unit Price]],"-")</f>
        <v>488</v>
      </c>
      <c r="O3149" s="86">
        <v>1022627</v>
      </c>
      <c r="R3149" s="86" t="str">
        <f>_xlfn.CONCAT(表格1[[#This Row],[Model]]," ",表格1[[#This Row],[inv no]])</f>
        <v>MWP-MM20P(WH) 1022627</v>
      </c>
      <c r="S3149" s="86">
        <f>_xlfn.XLOOKUP(表格1[[#This Row],[Model]],表格3[Model-Input-Ref2],表格3[SRP PRICE])</f>
        <v>648</v>
      </c>
      <c r="T3149" s="43">
        <f>表格1[[#This Row],[Unit Price]]/表格1[[#This Row],[SRP]]</f>
        <v>0.75308641975308643</v>
      </c>
      <c r="U3149" s="86" t="str">
        <f>_xlfn.XLOOKUP(表格1[[#This Row],[Model]],表格3[Model-Input-Ref2],表格3[TOSHIBA/HIGHEST])</f>
        <v>Toshiba SRP</v>
      </c>
      <c r="W3149" s="86" t="str">
        <f>_xlfn.CONCAT(表格1[[#This Row],[欄4]],表格1[[#This Row],[inv no]])</f>
        <v>1022627</v>
      </c>
    </row>
    <row r="3150" spans="1:23" hidden="1">
      <c r="A3150" s="81">
        <v>3148</v>
      </c>
      <c r="B3150" s="86" t="s">
        <v>1477</v>
      </c>
      <c r="C3150" s="86" t="s">
        <v>1959</v>
      </c>
      <c r="D3150" s="82" t="str">
        <f ca="1">OFFSET(Roster!$A$3,MATCH(表格1[[#This Row],[Location]]&amp;" "&amp;表格1[[#This Row],[Shop]]&amp;"*",Roster!$A$4:$A$72,0),DAY(表格1[[#This Row],[date]]),1,1)</f>
        <v>Jaco</v>
      </c>
      <c r="E3150" s="86">
        <f>MONTH(表格1[[#This Row],[date]])</f>
        <v>3</v>
      </c>
      <c r="F3150" s="90">
        <v>46086</v>
      </c>
      <c r="G3150" s="86" t="str">
        <f>VLOOKUP("*"&amp;表格1[[#This Row],[Input]]&amp;"*",'Ref-List'!$B:$D,2,)</f>
        <v>MW3-SAC24SE(BK)</v>
      </c>
      <c r="H3150" s="86" t="str">
        <f>_xlfn.XLOOKUP(表格1[[#This Row],[Model]],表格3[Model-Input-Ref2],表格3[Product Line])</f>
        <v>智能氣炸烤焗爐(24公升)</v>
      </c>
      <c r="I3150" s="86" t="str">
        <f>_xlfn.XLOOKUP(表格1[[#This Row],[Model]],表格3[Model-Input-Ref2],表格3[大小電])</f>
        <v>細電</v>
      </c>
      <c r="J3150" s="86" t="str">
        <f>_xlfn.XLOOKUP(表格1[[#This Row],[Model]],表格3[Model-Input-Ref2],表格3[Code])</f>
        <v>MCA</v>
      </c>
      <c r="K3150" s="89" t="s">
        <v>1274</v>
      </c>
      <c r="L3150" s="86">
        <v>1</v>
      </c>
      <c r="M3150" s="87">
        <v>1320</v>
      </c>
      <c r="N3150" s="87">
        <f>IFERROR(表格1[[#This Row],[QTY]]*表格1[[#This Row],[Unit Price]],"-")</f>
        <v>1320</v>
      </c>
      <c r="O3150" s="86">
        <v>1022673</v>
      </c>
      <c r="R3150" s="86" t="str">
        <f>_xlfn.CONCAT(表格1[[#This Row],[Model]]," ",表格1[[#This Row],[inv no]])</f>
        <v>MW3-SAC24SE(BK) 1022673</v>
      </c>
      <c r="S3150" s="86">
        <f>_xlfn.XLOOKUP(表格1[[#This Row],[Model]],表格3[Model-Input-Ref2],表格3[SRP PRICE])</f>
        <v>1680</v>
      </c>
      <c r="T3150" s="43">
        <f>表格1[[#This Row],[Unit Price]]/表格1[[#This Row],[SRP]]</f>
        <v>0.7857142857142857</v>
      </c>
      <c r="U3150" s="86" t="str">
        <f>_xlfn.XLOOKUP(表格1[[#This Row],[Model]],表格3[Model-Input-Ref2],表格3[TOSHIBA/HIGHEST])</f>
        <v>Toshiba SRP</v>
      </c>
      <c r="W3150" s="86" t="str">
        <f>_xlfn.CONCAT(表格1[[#This Row],[欄4]],表格1[[#This Row],[inv no]])</f>
        <v>1022673</v>
      </c>
    </row>
    <row r="3151" spans="1:23" hidden="1">
      <c r="A3151" s="81">
        <v>3149</v>
      </c>
      <c r="B3151" s="86" t="s">
        <v>1477</v>
      </c>
      <c r="C3151" s="86" t="s">
        <v>1959</v>
      </c>
      <c r="D3151" s="82" t="str">
        <f ca="1">OFFSET(Roster!$A$3,MATCH(表格1[[#This Row],[Location]]&amp;" "&amp;表格1[[#This Row],[Shop]]&amp;"*",Roster!$A$4:$A$72,0),DAY(表格1[[#This Row],[date]]),1,1)</f>
        <v>Jaco</v>
      </c>
      <c r="E3151" s="86">
        <f>MONTH(表格1[[#This Row],[date]])</f>
        <v>3</v>
      </c>
      <c r="F3151" s="90">
        <v>46085</v>
      </c>
      <c r="G3151" s="86" t="str">
        <f>VLOOKUP("*"&amp;表格1[[#This Row],[Input]]&amp;"*",'Ref-List'!$B:$D,2,)</f>
        <v>RAC-18G3CVRGR-HK</v>
      </c>
      <c r="H3151" s="86" t="str">
        <f>_xlfn.XLOOKUP(表格1[[#This Row],[Model]],表格3[Model-Input-Ref2],表格3[Product Line])</f>
        <v>2 匹 R32變頻窗口式冷氣機 (remote)</v>
      </c>
      <c r="I3151" s="86" t="str">
        <f>_xlfn.XLOOKUP(表格1[[#This Row],[Model]],表格3[Model-Input-Ref2],表格3[大小電])</f>
        <v>大電</v>
      </c>
      <c r="J3151" s="86" t="str">
        <f>_xlfn.XLOOKUP(表格1[[#This Row],[Model]],表格3[Model-Input-Ref2],表格3[Code])</f>
        <v>AC</v>
      </c>
      <c r="K3151" s="89" t="s">
        <v>1471</v>
      </c>
      <c r="L3151" s="86">
        <v>1</v>
      </c>
      <c r="M3151" s="87">
        <v>6980</v>
      </c>
      <c r="N3151" s="87">
        <f>IFERROR(表格1[[#This Row],[QTY]]*表格1[[#This Row],[Unit Price]],"-")</f>
        <v>6980</v>
      </c>
      <c r="O3151" s="86">
        <v>1022546</v>
      </c>
      <c r="R3151" s="86" t="str">
        <f>_xlfn.CONCAT(表格1[[#This Row],[Model]]," ",表格1[[#This Row],[inv no]])</f>
        <v>RAC-18G3CVRGR-HK 1022546</v>
      </c>
      <c r="S3151" s="86">
        <f>_xlfn.XLOOKUP(表格1[[#This Row],[Model]],表格3[Model-Input-Ref2],表格3[SRP PRICE])</f>
        <v>10380</v>
      </c>
      <c r="T3151" s="43">
        <f>表格1[[#This Row],[Unit Price]]/表格1[[#This Row],[SRP]]</f>
        <v>0.67244701348747593</v>
      </c>
      <c r="U3151" s="86" t="str">
        <f>_xlfn.XLOOKUP(表格1[[#This Row],[Model]],表格3[Model-Input-Ref2],表格3[TOSHIBA/HIGHEST])</f>
        <v>Toshiba SRP</v>
      </c>
      <c r="W3151" s="86" t="str">
        <f>_xlfn.CONCAT(表格1[[#This Row],[欄4]],表格1[[#This Row],[inv no]])</f>
        <v>1022546</v>
      </c>
    </row>
    <row r="3152" spans="1:23" hidden="1">
      <c r="A3152" s="81">
        <v>3150</v>
      </c>
      <c r="B3152" s="86" t="s">
        <v>1477</v>
      </c>
      <c r="C3152" s="86" t="s">
        <v>1959</v>
      </c>
      <c r="D3152" s="82" t="str">
        <f ca="1">OFFSET(Roster!$A$3,MATCH(表格1[[#This Row],[Location]]&amp;" "&amp;表格1[[#This Row],[Shop]]&amp;"*",Roster!$A$4:$A$72,0),DAY(表格1[[#This Row],[date]]),1,1)</f>
        <v>Jaco</v>
      </c>
      <c r="E3152" s="86">
        <f>MONTH(表格1[[#This Row],[date]])</f>
        <v>3</v>
      </c>
      <c r="F3152" s="90">
        <v>46085</v>
      </c>
      <c r="G3152" s="86" t="str">
        <f>VLOOKUP("*"&amp;表格1[[#This Row],[Input]]&amp;"*",'Ref-List'!$B:$D,2,)</f>
        <v>RAC-09G3CVRGR-HK</v>
      </c>
      <c r="H3152" s="86" t="str">
        <f>_xlfn.XLOOKUP(表格1[[#This Row],[Model]],表格3[Model-Input-Ref2],表格3[Product Line])</f>
        <v>1 匹 R32變頻窗口式冷氣機 (獨立抽濕遙控</v>
      </c>
      <c r="I3152" s="86" t="str">
        <f>_xlfn.XLOOKUP(表格1[[#This Row],[Model]],表格3[Model-Input-Ref2],表格3[大小電])</f>
        <v>大電</v>
      </c>
      <c r="J3152" s="86" t="str">
        <f>_xlfn.XLOOKUP(表格1[[#This Row],[Model]],表格3[Model-Input-Ref2],表格3[Code])</f>
        <v>AC</v>
      </c>
      <c r="K3152" s="89" t="s">
        <v>1474</v>
      </c>
      <c r="L3152" s="86">
        <v>1</v>
      </c>
      <c r="M3152" s="87">
        <v>4980</v>
      </c>
      <c r="N3152" s="87">
        <f>IFERROR(表格1[[#This Row],[QTY]]*表格1[[#This Row],[Unit Price]],"-")</f>
        <v>4980</v>
      </c>
      <c r="O3152" s="86">
        <v>1022542</v>
      </c>
      <c r="R3152" s="86" t="str">
        <f>_xlfn.CONCAT(表格1[[#This Row],[Model]]," ",表格1[[#This Row],[inv no]])</f>
        <v>RAC-09G3CVRGR-HK 1022542</v>
      </c>
      <c r="S3152" s="86">
        <f>_xlfn.XLOOKUP(表格1[[#This Row],[Model]],表格3[Model-Input-Ref2],表格3[SRP PRICE])</f>
        <v>6980</v>
      </c>
      <c r="T3152" s="43">
        <f>表格1[[#This Row],[Unit Price]]/表格1[[#This Row],[SRP]]</f>
        <v>0.71346704871060174</v>
      </c>
      <c r="U3152" s="86" t="str">
        <f>_xlfn.XLOOKUP(表格1[[#This Row],[Model]],表格3[Model-Input-Ref2],表格3[TOSHIBA/HIGHEST])</f>
        <v>Toshiba SRP</v>
      </c>
      <c r="W3152" s="86" t="str">
        <f>_xlfn.CONCAT(表格1[[#This Row],[欄4]],表格1[[#This Row],[inv no]])</f>
        <v>1022542</v>
      </c>
    </row>
    <row r="3153" spans="1:23" hidden="1">
      <c r="A3153" s="81">
        <v>3151</v>
      </c>
      <c r="B3153" s="86" t="s">
        <v>1477</v>
      </c>
      <c r="C3153" s="86" t="s">
        <v>1959</v>
      </c>
      <c r="D3153" s="82" t="str">
        <f ca="1">OFFSET(Roster!$A$3,MATCH(表格1[[#This Row],[Location]]&amp;" "&amp;表格1[[#This Row],[Shop]]&amp;"*",Roster!$A$4:$A$72,0),DAY(表格1[[#This Row],[date]]),1,1)</f>
        <v>Jaco</v>
      </c>
      <c r="E3153" s="86">
        <f>MONTH(表格1[[#This Row],[date]])</f>
        <v>3</v>
      </c>
      <c r="F3153" s="90">
        <v>46086</v>
      </c>
      <c r="G3153" s="86" t="str">
        <f>VLOOKUP("*"&amp;表格1[[#This Row],[Input]]&amp;"*",'Ref-List'!$B:$D,2,)</f>
        <v>RC-6PXTHK(W)</v>
      </c>
      <c r="H3153" s="86" t="str">
        <f>_xlfn.XLOOKUP(表格1[[#This Row],[Model]],表格3[Model-Input-Ref2],表格3[Product Line])</f>
        <v>迷你壓力磁應電飯煲(0.63公升)</v>
      </c>
      <c r="I3153" s="86" t="str">
        <f>_xlfn.XLOOKUP(表格1[[#This Row],[Model]],表格3[Model-Input-Ref2],表格3[大小電])</f>
        <v>細電</v>
      </c>
      <c r="J3153" s="86" t="str">
        <f>_xlfn.XLOOKUP(表格1[[#This Row],[Model]],表格3[Model-Input-Ref2],表格3[Code])</f>
        <v>SDA</v>
      </c>
      <c r="K3153" s="89" t="s">
        <v>1494</v>
      </c>
      <c r="L3153" s="86">
        <v>1</v>
      </c>
      <c r="M3153" s="87">
        <v>938</v>
      </c>
      <c r="N3153" s="87">
        <f>IFERROR(表格1[[#This Row],[QTY]]*表格1[[#This Row],[Unit Price]],"-")</f>
        <v>938</v>
      </c>
      <c r="O3153" s="86">
        <v>930022</v>
      </c>
      <c r="R3153" s="86" t="str">
        <f>_xlfn.CONCAT(表格1[[#This Row],[Model]]," ",表格1[[#This Row],[inv no]])</f>
        <v>RC-6PXTHK(W) 930022</v>
      </c>
      <c r="S3153" s="86">
        <f>_xlfn.XLOOKUP(表格1[[#This Row],[Model]],表格3[Model-Input-Ref2],表格3[SRP PRICE])</f>
        <v>1398</v>
      </c>
      <c r="T3153" s="43">
        <f>表格1[[#This Row],[Unit Price]]/表格1[[#This Row],[SRP]]</f>
        <v>0.67095851216022895</v>
      </c>
      <c r="U3153" s="86" t="str">
        <f>_xlfn.XLOOKUP(表格1[[#This Row],[Model]],表格3[Model-Input-Ref2],表格3[TOSHIBA/HIGHEST])</f>
        <v>Toshiba SRP</v>
      </c>
      <c r="W3153" s="86" t="str">
        <f>_xlfn.CONCAT(表格1[[#This Row],[欄4]],表格1[[#This Row],[inv no]])</f>
        <v>930022</v>
      </c>
    </row>
    <row r="3154" spans="1:23" hidden="1">
      <c r="A3154" s="81">
        <v>3152</v>
      </c>
      <c r="B3154" s="86" t="s">
        <v>1477</v>
      </c>
      <c r="C3154" s="86" t="s">
        <v>1959</v>
      </c>
      <c r="D3154" s="82" t="str">
        <f ca="1">OFFSET(Roster!$A$3,MATCH(表格1[[#This Row],[Location]]&amp;" "&amp;表格1[[#This Row],[Shop]]&amp;"*",Roster!$A$4:$A$72,0),DAY(表格1[[#This Row],[date]]),1,1)</f>
        <v>Jaco</v>
      </c>
      <c r="E3154" s="86">
        <f>MONTH(表格1[[#This Row],[date]])</f>
        <v>3</v>
      </c>
      <c r="F3154" s="90">
        <v>46086</v>
      </c>
      <c r="G3154" s="86" t="str">
        <f>VLOOKUP("*"&amp;表格1[[#This Row],[Input]]&amp;"*",'Ref-List'!$B:$D,2,)</f>
        <v>KT-17DRTHK(H)</v>
      </c>
      <c r="H3154" s="86" t="str">
        <f>_xlfn.XLOOKUP(表格1[[#This Row],[Model]],表格3[Model-Input-Ref2],表格3[Product Line])</f>
        <v>無線雙層電熱水壺(1.7公升)</v>
      </c>
      <c r="I3154" s="86" t="str">
        <f>_xlfn.XLOOKUP(表格1[[#This Row],[Model]],表格3[Model-Input-Ref2],表格3[大小電])</f>
        <v>細電</v>
      </c>
      <c r="J3154" s="86" t="str">
        <f>_xlfn.XLOOKUP(表格1[[#This Row],[Model]],表格3[Model-Input-Ref2],表格3[Code])</f>
        <v>SDA</v>
      </c>
      <c r="K3154" s="89" t="s">
        <v>1271</v>
      </c>
      <c r="L3154" s="86">
        <v>1</v>
      </c>
      <c r="M3154" s="87">
        <v>388</v>
      </c>
      <c r="N3154" s="87">
        <f>IFERROR(表格1[[#This Row],[QTY]]*表格1[[#This Row],[Unit Price]],"-")</f>
        <v>388</v>
      </c>
      <c r="O3154" s="86">
        <v>1022673</v>
      </c>
      <c r="R3154" s="86" t="str">
        <f>_xlfn.CONCAT(表格1[[#This Row],[Model]]," ",表格1[[#This Row],[inv no]])</f>
        <v>KT-17DRTHK(H) 1022673</v>
      </c>
      <c r="S3154" s="86">
        <f>_xlfn.XLOOKUP(表格1[[#This Row],[Model]],表格3[Model-Input-Ref2],表格3[SRP PRICE])</f>
        <v>498</v>
      </c>
      <c r="T3154" s="43">
        <f>表格1[[#This Row],[Unit Price]]/表格1[[#This Row],[SRP]]</f>
        <v>0.77911646586345384</v>
      </c>
      <c r="U3154" s="86" t="str">
        <f>_xlfn.XLOOKUP(表格1[[#This Row],[Model]],表格3[Model-Input-Ref2],表格3[TOSHIBA/HIGHEST])</f>
        <v>Toshiba SRP</v>
      </c>
      <c r="W3154" s="86" t="str">
        <f>_xlfn.CONCAT(表格1[[#This Row],[欄4]],表格1[[#This Row],[inv no]])</f>
        <v>1022673</v>
      </c>
    </row>
    <row r="3155" spans="1:23" hidden="1">
      <c r="A3155" s="81">
        <v>3153</v>
      </c>
      <c r="B3155" s="86" t="s">
        <v>1477</v>
      </c>
      <c r="C3155" s="86" t="s">
        <v>1959</v>
      </c>
      <c r="D3155" s="82" t="str">
        <f ca="1">OFFSET(Roster!$A$3,MATCH(表格1[[#This Row],[Location]]&amp;" "&amp;表格1[[#This Row],[Shop]]&amp;"*",Roster!$A$4:$A$72,0),DAY(表格1[[#This Row],[date]]),1,1)</f>
        <v>Jaco</v>
      </c>
      <c r="E3155" s="86">
        <f>MONTH(表格1[[#This Row],[date]])</f>
        <v>3</v>
      </c>
      <c r="F3155" s="90">
        <v>46086</v>
      </c>
      <c r="G3155" s="86" t="str">
        <f>VLOOKUP("*"&amp;表格1[[#This Row],[Input]]&amp;"*",'Ref-List'!$B:$D,2,)</f>
        <v>RC-18DRNH</v>
      </c>
      <c r="H3155" s="86" t="str">
        <f>_xlfn.XLOOKUP(表格1[[#This Row],[Model]],表格3[Model-Input-Ref2],表格3[Product Line])</f>
        <v>多功能備長炭本厚釜電飯煲1.8L</v>
      </c>
      <c r="I3155" s="86" t="str">
        <f>_xlfn.XLOOKUP(表格1[[#This Row],[Model]],表格3[Model-Input-Ref2],表格3[大小電])</f>
        <v>細電</v>
      </c>
      <c r="J3155" s="86" t="str">
        <f>_xlfn.XLOOKUP(表格1[[#This Row],[Model]],表格3[Model-Input-Ref2],表格3[Code])</f>
        <v>SDA</v>
      </c>
      <c r="K3155" s="89" t="s">
        <v>1389</v>
      </c>
      <c r="L3155" s="86">
        <v>1</v>
      </c>
      <c r="M3155" s="87">
        <v>619</v>
      </c>
      <c r="N3155" s="87">
        <f>IFERROR(表格1[[#This Row],[QTY]]*表格1[[#This Row],[Unit Price]],"-")</f>
        <v>619</v>
      </c>
      <c r="O3155" s="86">
        <v>930073</v>
      </c>
      <c r="R3155" s="86" t="str">
        <f>_xlfn.CONCAT(表格1[[#This Row],[Model]]," ",表格1[[#This Row],[inv no]])</f>
        <v>RC-18DRNH 930073</v>
      </c>
      <c r="S3155" s="86">
        <f>_xlfn.XLOOKUP(表格1[[#This Row],[Model]],表格3[Model-Input-Ref2],表格3[SRP PRICE])</f>
        <v>898</v>
      </c>
      <c r="T3155" s="43">
        <f>表格1[[#This Row],[Unit Price]]/表格1[[#This Row],[SRP]]</f>
        <v>0.68930957683741645</v>
      </c>
      <c r="U3155" s="86" t="str">
        <f>_xlfn.XLOOKUP(表格1[[#This Row],[Model]],表格3[Model-Input-Ref2],表格3[TOSHIBA/HIGHEST])</f>
        <v>Toshiba SRP</v>
      </c>
      <c r="W3155" s="86" t="str">
        <f>_xlfn.CONCAT(表格1[[#This Row],[欄4]],表格1[[#This Row],[inv no]])</f>
        <v>930073</v>
      </c>
    </row>
    <row r="3156" spans="1:23" hidden="1">
      <c r="A3156" s="81">
        <v>3154</v>
      </c>
      <c r="B3156" s="86" t="s">
        <v>1477</v>
      </c>
      <c r="C3156" s="86" t="s">
        <v>1959</v>
      </c>
      <c r="D3156" s="82" t="str">
        <f ca="1">OFFSET(Roster!$A$3,MATCH(表格1[[#This Row],[Location]]&amp;" "&amp;表格1[[#This Row],[Shop]]&amp;"*",Roster!$A$4:$A$72,0),DAY(表格1[[#This Row],[date]]),1,1)</f>
        <v>Jaco</v>
      </c>
      <c r="E3156" s="86">
        <f>MONTH(表格1[[#This Row],[date]])</f>
        <v>3</v>
      </c>
      <c r="F3156" s="90">
        <v>46086</v>
      </c>
      <c r="G3156" s="86" t="str">
        <f>VLOOKUP("*"&amp;表格1[[#This Row],[Input]]&amp;"*",'Ref-List'!$B:$D,2,)</f>
        <v>KT-15DRTHK(W)</v>
      </c>
      <c r="H3156" s="86" t="str">
        <f>_xlfn.XLOOKUP(表格1[[#This Row],[Model]],表格3[Model-Input-Ref2],表格3[Product Line])</f>
        <v>無線雙層電熱水壺-附可鎖壺蓋</v>
      </c>
      <c r="I3156" s="86" t="str">
        <f>_xlfn.XLOOKUP(表格1[[#This Row],[Model]],表格3[Model-Input-Ref2],表格3[大小電])</f>
        <v>細電</v>
      </c>
      <c r="J3156" s="86" t="str">
        <f>_xlfn.XLOOKUP(表格1[[#This Row],[Model]],表格3[Model-Input-Ref2],表格3[Code])</f>
        <v>SDA</v>
      </c>
      <c r="K3156" s="89" t="s">
        <v>1278</v>
      </c>
      <c r="L3156" s="86">
        <v>1</v>
      </c>
      <c r="M3156" s="87">
        <v>338</v>
      </c>
      <c r="N3156" s="87">
        <f>IFERROR(表格1[[#This Row],[QTY]]*表格1[[#This Row],[Unit Price]],"-")</f>
        <v>338</v>
      </c>
      <c r="O3156" s="86">
        <v>1022710</v>
      </c>
      <c r="R3156" s="86" t="str">
        <f>_xlfn.CONCAT(表格1[[#This Row],[Model]]," ",表格1[[#This Row],[inv no]])</f>
        <v>KT-15DRTHK(W) 1022710</v>
      </c>
      <c r="S3156" s="86">
        <f>_xlfn.XLOOKUP(表格1[[#This Row],[Model]],表格3[Model-Input-Ref2],表格3[SRP PRICE])</f>
        <v>598</v>
      </c>
      <c r="T3156" s="43">
        <f>表格1[[#This Row],[Unit Price]]/表格1[[#This Row],[SRP]]</f>
        <v>0.56521739130434778</v>
      </c>
      <c r="U3156" s="86" t="str">
        <f>_xlfn.XLOOKUP(表格1[[#This Row],[Model]],表格3[Model-Input-Ref2],表格3[TOSHIBA/HIGHEST])</f>
        <v>Toshiba SRP</v>
      </c>
      <c r="W3156" s="86" t="str">
        <f>_xlfn.CONCAT(表格1[[#This Row],[欄4]],表格1[[#This Row],[inv no]])</f>
        <v>1022710</v>
      </c>
    </row>
    <row r="3157" spans="1:23" hidden="1">
      <c r="A3157" s="81">
        <v>3155</v>
      </c>
      <c r="B3157" s="86" t="s">
        <v>1477</v>
      </c>
      <c r="C3157" s="86" t="s">
        <v>1959</v>
      </c>
      <c r="D3157" s="82" t="str">
        <f ca="1">OFFSET(Roster!$A$3,MATCH(表格1[[#This Row],[Location]]&amp;" "&amp;表格1[[#This Row],[Shop]]&amp;"*",Roster!$A$4:$A$72,0),DAY(表格1[[#This Row],[date]]),1,1)</f>
        <v>Jaco</v>
      </c>
      <c r="E3157" s="86">
        <f>MONTH(表格1[[#This Row],[date]])</f>
        <v>3</v>
      </c>
      <c r="F3157" s="90">
        <v>46086</v>
      </c>
      <c r="G3157" s="86" t="str">
        <f>VLOOKUP("*"&amp;表格1[[#This Row],[Input]]&amp;"*",'Ref-List'!$B:$D,2,)</f>
        <v>RC-18DRNH</v>
      </c>
      <c r="H3157" s="86" t="str">
        <f>_xlfn.XLOOKUP(表格1[[#This Row],[Model]],表格3[Model-Input-Ref2],表格3[Product Line])</f>
        <v>多功能備長炭本厚釜電飯煲1.8L</v>
      </c>
      <c r="I3157" s="86" t="str">
        <f>_xlfn.XLOOKUP(表格1[[#This Row],[Model]],表格3[Model-Input-Ref2],表格3[大小電])</f>
        <v>細電</v>
      </c>
      <c r="J3157" s="86" t="str">
        <f>_xlfn.XLOOKUP(表格1[[#This Row],[Model]],表格3[Model-Input-Ref2],表格3[Code])</f>
        <v>SDA</v>
      </c>
      <c r="K3157" s="89" t="s">
        <v>1389</v>
      </c>
      <c r="L3157" s="86">
        <v>1</v>
      </c>
      <c r="M3157" s="87">
        <v>619</v>
      </c>
      <c r="N3157" s="87">
        <f>IFERROR(表格1[[#This Row],[QTY]]*表格1[[#This Row],[Unit Price]],"-")</f>
        <v>619</v>
      </c>
      <c r="O3157" s="86">
        <v>1022735</v>
      </c>
      <c r="R3157" s="86" t="str">
        <f>_xlfn.CONCAT(表格1[[#This Row],[Model]]," ",表格1[[#This Row],[inv no]])</f>
        <v>RC-18DRNH 1022735</v>
      </c>
      <c r="S3157" s="86">
        <f>_xlfn.XLOOKUP(表格1[[#This Row],[Model]],表格3[Model-Input-Ref2],表格3[SRP PRICE])</f>
        <v>898</v>
      </c>
      <c r="T3157" s="43">
        <f>表格1[[#This Row],[Unit Price]]/表格1[[#This Row],[SRP]]</f>
        <v>0.68930957683741645</v>
      </c>
      <c r="U3157" s="86" t="str">
        <f>_xlfn.XLOOKUP(表格1[[#This Row],[Model]],表格3[Model-Input-Ref2],表格3[TOSHIBA/HIGHEST])</f>
        <v>Toshiba SRP</v>
      </c>
      <c r="W3157" s="86" t="str">
        <f>_xlfn.CONCAT(表格1[[#This Row],[欄4]],表格1[[#This Row],[inv no]])</f>
        <v>1022735</v>
      </c>
    </row>
    <row r="3158" spans="1:23" hidden="1">
      <c r="A3158" s="81">
        <v>3156</v>
      </c>
      <c r="B3158" s="86" t="s">
        <v>1477</v>
      </c>
      <c r="C3158" s="86" t="s">
        <v>1959</v>
      </c>
      <c r="D3158" s="82" t="str">
        <f ca="1">OFFSET(Roster!$A$3,MATCH(表格1[[#This Row],[Location]]&amp;" "&amp;表格1[[#This Row],[Shop]]&amp;"*",Roster!$A$4:$A$72,0),DAY(表格1[[#This Row],[date]]),1,1)</f>
        <v>Jaco</v>
      </c>
      <c r="E3158" s="86">
        <f>MONTH(表格1[[#This Row],[date]])</f>
        <v>3</v>
      </c>
      <c r="F3158" s="90">
        <v>46086</v>
      </c>
      <c r="G3158" s="86" t="str">
        <f>VLOOKUP("*"&amp;表格1[[#This Row],[Input]]&amp;"*",'Ref-List'!$B:$D,2,)</f>
        <v>RC-10IRPH</v>
      </c>
      <c r="H3158" s="86" t="str">
        <f>_xlfn.XLOOKUP(表格1[[#This Row],[Model]],表格3[Model-Input-Ref2],表格3[Product Line])</f>
        <v>低醣磁應電飯煲1L</v>
      </c>
      <c r="I3158" s="86" t="str">
        <f>_xlfn.XLOOKUP(表格1[[#This Row],[Model]],表格3[Model-Input-Ref2],表格3[大小電])</f>
        <v>細電</v>
      </c>
      <c r="J3158" s="86" t="str">
        <f>_xlfn.XLOOKUP(表格1[[#This Row],[Model]],表格3[Model-Input-Ref2],表格3[Code])</f>
        <v>SDA</v>
      </c>
      <c r="K3158" s="89" t="s">
        <v>1297</v>
      </c>
      <c r="L3158" s="86">
        <v>1</v>
      </c>
      <c r="M3158" s="87">
        <v>798</v>
      </c>
      <c r="N3158" s="87">
        <f>IFERROR(表格1[[#This Row],[QTY]]*表格1[[#This Row],[Unit Price]],"-")</f>
        <v>798</v>
      </c>
      <c r="O3158" s="86">
        <v>930127</v>
      </c>
      <c r="R3158" s="86" t="str">
        <f>_xlfn.CONCAT(表格1[[#This Row],[Model]]," ",表格1[[#This Row],[inv no]])</f>
        <v>RC-10IRPH 930127</v>
      </c>
      <c r="S3158" s="86">
        <f>_xlfn.XLOOKUP(表格1[[#This Row],[Model]],表格3[Model-Input-Ref2],表格3[SRP PRICE])</f>
        <v>1388</v>
      </c>
      <c r="T3158" s="43">
        <f>表格1[[#This Row],[Unit Price]]/表格1[[#This Row],[SRP]]</f>
        <v>0.5749279538904899</v>
      </c>
      <c r="U3158" s="86" t="str">
        <f>_xlfn.XLOOKUP(表格1[[#This Row],[Model]],表格3[Model-Input-Ref2],表格3[TOSHIBA/HIGHEST])</f>
        <v>Toshiba SRP</v>
      </c>
      <c r="W3158" s="86" t="str">
        <f>_xlfn.CONCAT(表格1[[#This Row],[欄4]],表格1[[#This Row],[inv no]])</f>
        <v>930127</v>
      </c>
    </row>
    <row r="3159" spans="1:23" hidden="1">
      <c r="A3159" s="81">
        <v>3157</v>
      </c>
      <c r="B3159" s="86" t="s">
        <v>1477</v>
      </c>
      <c r="C3159" s="86" t="s">
        <v>1959</v>
      </c>
      <c r="D3159" s="82" t="str">
        <f ca="1">OFFSET(Roster!$A$3,MATCH(表格1[[#This Row],[Location]]&amp;" "&amp;表格1[[#This Row],[Shop]]&amp;"*",Roster!$A$4:$A$72,0),DAY(表格1[[#This Row],[date]]),1,1)</f>
        <v>Jaco</v>
      </c>
      <c r="E3159" s="86">
        <f>MONTH(表格1[[#This Row],[date]])</f>
        <v>3</v>
      </c>
      <c r="F3159" s="90">
        <v>46086</v>
      </c>
      <c r="G3159" s="86" t="str">
        <f>VLOOKUP("*"&amp;表格1[[#This Row],[Input]]&amp;"*",'Ref-List'!$B:$D,2,)</f>
        <v>KT-17SHNH</v>
      </c>
      <c r="H3159" s="86" t="str">
        <f>_xlfn.XLOOKUP(表格1[[#This Row],[Model]],表格3[Model-Input-Ref2],表格3[Product Line])</f>
        <v>1.7L無線雙層電熱水壺</v>
      </c>
      <c r="I3159" s="86" t="str">
        <f>_xlfn.XLOOKUP(表格1[[#This Row],[Model]],表格3[Model-Input-Ref2],表格3[大小電])</f>
        <v>細電</v>
      </c>
      <c r="J3159" s="86" t="str">
        <f>_xlfn.XLOOKUP(表格1[[#This Row],[Model]],表格3[Model-Input-Ref2],表格3[Code])</f>
        <v>SDA</v>
      </c>
      <c r="K3159" s="89" t="s">
        <v>1283</v>
      </c>
      <c r="L3159" s="86">
        <v>1</v>
      </c>
      <c r="M3159" s="87">
        <v>198</v>
      </c>
      <c r="N3159" s="87">
        <f>IFERROR(表格1[[#This Row],[QTY]]*表格1[[#This Row],[Unit Price]],"-")</f>
        <v>198</v>
      </c>
      <c r="O3159" s="86">
        <v>1022796</v>
      </c>
      <c r="R3159" s="86" t="str">
        <f>_xlfn.CONCAT(表格1[[#This Row],[Model]]," ",表格1[[#This Row],[inv no]])</f>
        <v>KT-17SHNH 1022796</v>
      </c>
      <c r="S3159" s="86">
        <f>_xlfn.XLOOKUP(表格1[[#This Row],[Model]],表格3[Model-Input-Ref2],表格3[SRP PRICE])</f>
        <v>299</v>
      </c>
      <c r="T3159" s="43">
        <f>表格1[[#This Row],[Unit Price]]/表格1[[#This Row],[SRP]]</f>
        <v>0.66220735785953178</v>
      </c>
      <c r="U3159" s="86" t="str">
        <f>_xlfn.XLOOKUP(表格1[[#This Row],[Model]],表格3[Model-Input-Ref2],表格3[TOSHIBA/HIGHEST])</f>
        <v>Shops Highest Price</v>
      </c>
      <c r="W3159" s="86" t="str">
        <f>_xlfn.CONCAT(表格1[[#This Row],[欄4]],表格1[[#This Row],[inv no]])</f>
        <v>1022796</v>
      </c>
    </row>
    <row r="3160" spans="1:23" hidden="1">
      <c r="A3160" s="81">
        <v>3158</v>
      </c>
      <c r="B3160" s="86" t="s">
        <v>1477</v>
      </c>
      <c r="C3160" s="86" t="s">
        <v>1959</v>
      </c>
      <c r="D3160" s="82" t="str">
        <f ca="1">OFFSET(Roster!$A$3,MATCH(表格1[[#This Row],[Location]]&amp;" "&amp;表格1[[#This Row],[Shop]]&amp;"*",Roster!$A$4:$A$72,0),DAY(表格1[[#This Row],[date]]),1,1)</f>
        <v>Jaco</v>
      </c>
      <c r="E3160" s="86">
        <f>MONTH(表格1[[#This Row],[date]])</f>
        <v>3</v>
      </c>
      <c r="F3160" s="90">
        <v>46086</v>
      </c>
      <c r="G3160" s="86" t="str">
        <f>VLOOKUP("*"&amp;表格1[[#This Row],[Input]]&amp;"*",'Ref-List'!$B:$D,2,)</f>
        <v>RC-6PXTHK(W)</v>
      </c>
      <c r="H3160" s="86" t="str">
        <f>_xlfn.XLOOKUP(表格1[[#This Row],[Model]],表格3[Model-Input-Ref2],表格3[Product Line])</f>
        <v>迷你壓力磁應電飯煲(0.63公升)</v>
      </c>
      <c r="I3160" s="86" t="str">
        <f>_xlfn.XLOOKUP(表格1[[#This Row],[Model]],表格3[Model-Input-Ref2],表格3[大小電])</f>
        <v>細電</v>
      </c>
      <c r="J3160" s="86" t="str">
        <f>_xlfn.XLOOKUP(表格1[[#This Row],[Model]],表格3[Model-Input-Ref2],表格3[Code])</f>
        <v>SDA</v>
      </c>
      <c r="K3160" s="89" t="s">
        <v>1494</v>
      </c>
      <c r="L3160" s="86">
        <v>1</v>
      </c>
      <c r="M3160" s="87">
        <v>938</v>
      </c>
      <c r="N3160" s="87">
        <f>IFERROR(表格1[[#This Row],[QTY]]*表格1[[#This Row],[Unit Price]],"-")</f>
        <v>938</v>
      </c>
      <c r="O3160" s="86">
        <v>930068</v>
      </c>
      <c r="R3160" s="86" t="str">
        <f>_xlfn.CONCAT(表格1[[#This Row],[Model]]," ",表格1[[#This Row],[inv no]])</f>
        <v>RC-6PXTHK(W) 930068</v>
      </c>
      <c r="S3160" s="86">
        <f>_xlfn.XLOOKUP(表格1[[#This Row],[Model]],表格3[Model-Input-Ref2],表格3[SRP PRICE])</f>
        <v>1398</v>
      </c>
      <c r="T3160" s="43">
        <f>表格1[[#This Row],[Unit Price]]/表格1[[#This Row],[SRP]]</f>
        <v>0.67095851216022895</v>
      </c>
      <c r="U3160" s="86" t="str">
        <f>_xlfn.XLOOKUP(表格1[[#This Row],[Model]],表格3[Model-Input-Ref2],表格3[TOSHIBA/HIGHEST])</f>
        <v>Toshiba SRP</v>
      </c>
      <c r="W3160" s="86" t="str">
        <f>_xlfn.CONCAT(表格1[[#This Row],[欄4]],表格1[[#This Row],[inv no]])</f>
        <v>930068</v>
      </c>
    </row>
    <row r="3161" spans="1:23" hidden="1">
      <c r="A3161" s="81">
        <v>3159</v>
      </c>
      <c r="B3161" s="86" t="s">
        <v>1477</v>
      </c>
      <c r="C3161" s="86" t="s">
        <v>1959</v>
      </c>
      <c r="D3161" s="82" t="str">
        <f ca="1">OFFSET(Roster!$A$3,MATCH(表格1[[#This Row],[Location]]&amp;" "&amp;表格1[[#This Row],[Shop]]&amp;"*",Roster!$A$4:$A$72,0),DAY(表格1[[#This Row],[date]]),1,1)</f>
        <v>Jaco</v>
      </c>
      <c r="E3161" s="86">
        <f>MONTH(表格1[[#This Row],[date]])</f>
        <v>3</v>
      </c>
      <c r="F3161" s="90">
        <v>46086</v>
      </c>
      <c r="G3161" s="86" t="str">
        <f>VLOOKUP("*"&amp;表格1[[#This Row],[Input]]&amp;"*",'Ref-List'!$B:$D,2,)</f>
        <v>RC-DX10T(W)</v>
      </c>
      <c r="H3161" s="86" t="str">
        <f>_xlfn.XLOOKUP(表格1[[#This Row],[Model]],表格3[Model-Input-Ref2],表格3[Product Line])</f>
        <v>真空壓力磁應電飯煲(1.0公升)</v>
      </c>
      <c r="I3161" s="86" t="str">
        <f>_xlfn.XLOOKUP(表格1[[#This Row],[Model]],表格3[Model-Input-Ref2],表格3[大小電])</f>
        <v>細電</v>
      </c>
      <c r="J3161" s="86" t="str">
        <f>_xlfn.XLOOKUP(表格1[[#This Row],[Model]],表格3[Model-Input-Ref2],表格3[Code])</f>
        <v>SDA</v>
      </c>
      <c r="K3161" s="89" t="s">
        <v>1579</v>
      </c>
      <c r="L3161" s="86">
        <v>1</v>
      </c>
      <c r="M3161" s="87">
        <v>4888</v>
      </c>
      <c r="N3161" s="87">
        <f>IFERROR(表格1[[#This Row],[QTY]]*表格1[[#This Row],[Unit Price]],"-")</f>
        <v>4888</v>
      </c>
      <c r="O3161" s="86">
        <v>930134</v>
      </c>
      <c r="R3161" s="86" t="str">
        <f>_xlfn.CONCAT(表格1[[#This Row],[Model]]," ",表格1[[#This Row],[inv no]])</f>
        <v>RC-DX10T(W) 930134</v>
      </c>
      <c r="S3161" s="86">
        <f>_xlfn.XLOOKUP(表格1[[#This Row],[Model]],表格3[Model-Input-Ref2],表格3[SRP PRICE])</f>
        <v>5988</v>
      </c>
      <c r="T3161" s="43">
        <f>表格1[[#This Row],[Unit Price]]/表格1[[#This Row],[SRP]]</f>
        <v>0.81629926519706075</v>
      </c>
      <c r="U3161" s="86" t="str">
        <f>_xlfn.XLOOKUP(表格1[[#This Row],[Model]],表格3[Model-Input-Ref2],表格3[TOSHIBA/HIGHEST])</f>
        <v>Toshiba SRP</v>
      </c>
      <c r="W3161" s="86" t="str">
        <f>_xlfn.CONCAT(表格1[[#This Row],[欄4]],表格1[[#This Row],[inv no]])</f>
        <v>930134</v>
      </c>
    </row>
    <row r="3162" spans="1:23" hidden="1">
      <c r="A3162" s="81">
        <v>3160</v>
      </c>
      <c r="B3162" s="86" t="s">
        <v>1477</v>
      </c>
      <c r="C3162" s="86" t="s">
        <v>1959</v>
      </c>
      <c r="D3162" s="82" t="str">
        <f ca="1">OFFSET(Roster!$A$3,MATCH(表格1[[#This Row],[Location]]&amp;" "&amp;表格1[[#This Row],[Shop]]&amp;"*",Roster!$A$4:$A$72,0),DAY(表格1[[#This Row],[date]]),1,1)</f>
        <v>Jaco</v>
      </c>
      <c r="E3162" s="86">
        <f>MONTH(表格1[[#This Row],[date]])</f>
        <v>3</v>
      </c>
      <c r="F3162" s="90">
        <v>46086</v>
      </c>
      <c r="G3162" s="86" t="str">
        <f>VLOOKUP("*"&amp;表格1[[#This Row],[Input]]&amp;"*",'Ref-List'!$B:$D,2,)</f>
        <v>RC-10NMFIH(WT)</v>
      </c>
      <c r="H3162" s="86" t="str">
        <f>_xlfn.XLOOKUP(表格1[[#This Row],[Model]],表格3[Model-Input-Ref2],表格3[Product Line])</f>
        <v>4毫米厚釜電飯煲1L</v>
      </c>
      <c r="I3162" s="86" t="str">
        <f>_xlfn.XLOOKUP(表格1[[#This Row],[Model]],表格3[Model-Input-Ref2],表格3[大小電])</f>
        <v>細電</v>
      </c>
      <c r="J3162" s="86" t="str">
        <f>_xlfn.XLOOKUP(表格1[[#This Row],[Model]],表格3[Model-Input-Ref2],表格3[Code])</f>
        <v>SDA</v>
      </c>
      <c r="K3162" s="89" t="s">
        <v>1244</v>
      </c>
      <c r="L3162" s="86">
        <v>1</v>
      </c>
      <c r="M3162" s="87">
        <v>719</v>
      </c>
      <c r="N3162" s="87">
        <f>IFERROR(表格1[[#This Row],[QTY]]*表格1[[#This Row],[Unit Price]],"-")</f>
        <v>719</v>
      </c>
      <c r="O3162" s="86">
        <v>930103</v>
      </c>
      <c r="R3162" s="86" t="str">
        <f>_xlfn.CONCAT(表格1[[#This Row],[Model]]," ",表格1[[#This Row],[inv no]])</f>
        <v>RC-10NMFIH(WT) 930103</v>
      </c>
      <c r="S3162" s="86">
        <f>_xlfn.XLOOKUP(表格1[[#This Row],[Model]],表格3[Model-Input-Ref2],表格3[SRP PRICE])</f>
        <v>898</v>
      </c>
      <c r="T3162" s="43">
        <f>表格1[[#This Row],[Unit Price]]/表格1[[#This Row],[SRP]]</f>
        <v>0.80066815144766146</v>
      </c>
      <c r="U3162" s="86" t="str">
        <f>_xlfn.XLOOKUP(表格1[[#This Row],[Model]],表格3[Model-Input-Ref2],表格3[TOSHIBA/HIGHEST])</f>
        <v>Toshiba SRP</v>
      </c>
      <c r="W3162" s="86" t="str">
        <f>_xlfn.CONCAT(表格1[[#This Row],[欄4]],表格1[[#This Row],[inv no]])</f>
        <v>930103</v>
      </c>
    </row>
    <row r="3163" spans="1:23" hidden="1">
      <c r="A3163" s="81">
        <v>3161</v>
      </c>
      <c r="B3163" s="86" t="s">
        <v>1477</v>
      </c>
      <c r="C3163" s="86" t="s">
        <v>1959</v>
      </c>
      <c r="D3163" s="82" t="str">
        <f ca="1">OFFSET(Roster!$A$3,MATCH(表格1[[#This Row],[Location]]&amp;" "&amp;表格1[[#This Row],[Shop]]&amp;"*",Roster!$A$4:$A$72,0),DAY(表格1[[#This Row],[date]]),1,1)</f>
        <v>Jaco</v>
      </c>
      <c r="E3163" s="86">
        <f>MONTH(表格1[[#This Row],[date]])</f>
        <v>3</v>
      </c>
      <c r="F3163" s="90">
        <v>46086</v>
      </c>
      <c r="G3163" s="86" t="str">
        <f>VLOOKUP("*"&amp;表格1[[#This Row],[Input]]&amp;"*",'Ref-List'!$B:$D,2,)</f>
        <v>MWP-MM20P(WH)</v>
      </c>
      <c r="H3163" s="86" t="str">
        <f>_xlfn.XLOOKUP(表格1[[#This Row],[Model]],表格3[Model-Input-Ref2],表格3[Product Line])</f>
        <v>旋鈕式燒烤微波爐20L</v>
      </c>
      <c r="I3163" s="86" t="str">
        <f>_xlfn.XLOOKUP(表格1[[#This Row],[Model]],表格3[Model-Input-Ref2],表格3[大小電])</f>
        <v>細電</v>
      </c>
      <c r="J3163" s="86" t="str">
        <f>_xlfn.XLOOKUP(表格1[[#This Row],[Model]],表格3[Model-Input-Ref2],表格3[Code])</f>
        <v>SDA</v>
      </c>
      <c r="K3163" s="89" t="s">
        <v>1270</v>
      </c>
      <c r="L3163" s="86">
        <v>1</v>
      </c>
      <c r="M3163" s="87">
        <v>488</v>
      </c>
      <c r="N3163" s="87">
        <f>IFERROR(表格1[[#This Row],[QTY]]*表格1[[#This Row],[Unit Price]],"-")</f>
        <v>488</v>
      </c>
      <c r="O3163" s="86">
        <v>1022789</v>
      </c>
      <c r="R3163" s="86" t="str">
        <f>_xlfn.CONCAT(表格1[[#This Row],[Model]]," ",表格1[[#This Row],[inv no]])</f>
        <v>MWP-MM20P(WH) 1022789</v>
      </c>
      <c r="S3163" s="86">
        <f>_xlfn.XLOOKUP(表格1[[#This Row],[Model]],表格3[Model-Input-Ref2],表格3[SRP PRICE])</f>
        <v>648</v>
      </c>
      <c r="T3163" s="43">
        <f>表格1[[#This Row],[Unit Price]]/表格1[[#This Row],[SRP]]</f>
        <v>0.75308641975308643</v>
      </c>
      <c r="U3163" s="86" t="str">
        <f>_xlfn.XLOOKUP(表格1[[#This Row],[Model]],表格3[Model-Input-Ref2],表格3[TOSHIBA/HIGHEST])</f>
        <v>Toshiba SRP</v>
      </c>
      <c r="W3163" s="86" t="str">
        <f>_xlfn.CONCAT(表格1[[#This Row],[欄4]],表格1[[#This Row],[inv no]])</f>
        <v>1022789</v>
      </c>
    </row>
    <row r="3164" spans="1:23" hidden="1">
      <c r="A3164" s="81">
        <v>3162</v>
      </c>
      <c r="B3164" s="86" t="s">
        <v>1477</v>
      </c>
      <c r="C3164" s="86" t="s">
        <v>1959</v>
      </c>
      <c r="D3164" s="82" t="str">
        <f ca="1">OFFSET(Roster!$A$3,MATCH(表格1[[#This Row],[Location]]&amp;" "&amp;表格1[[#This Row],[Shop]]&amp;"*",Roster!$A$4:$A$72,0),DAY(表格1[[#This Row],[date]]),1,1)</f>
        <v>Jaco</v>
      </c>
      <c r="E3164" s="86">
        <f>MONTH(表格1[[#This Row],[date]])</f>
        <v>3</v>
      </c>
      <c r="F3164" s="90">
        <v>46086</v>
      </c>
      <c r="G3164" s="86" t="str">
        <f>VLOOKUP("*"&amp;表格1[[#This Row],[Input]]&amp;"*",'Ref-List'!$B:$D,2,)</f>
        <v>MM2-EG20PC(WH)</v>
      </c>
      <c r="H3164" s="86" t="str">
        <f>_xlfn.XLOOKUP(表格1[[#This Row],[Model]],表格3[Model-Input-Ref2],表格3[Product Line])</f>
        <v>輕觸式燒烤微波爐</v>
      </c>
      <c r="I3164" s="86" t="str">
        <f>_xlfn.XLOOKUP(表格1[[#This Row],[Model]],表格3[Model-Input-Ref2],表格3[大小電])</f>
        <v>細電</v>
      </c>
      <c r="J3164" s="86" t="str">
        <f>_xlfn.XLOOKUP(表格1[[#This Row],[Model]],表格3[Model-Input-Ref2],表格3[Code])</f>
        <v>MCA</v>
      </c>
      <c r="K3164" s="89" t="s">
        <v>1273</v>
      </c>
      <c r="L3164" s="86">
        <v>1</v>
      </c>
      <c r="M3164" s="87">
        <v>698</v>
      </c>
      <c r="N3164" s="87">
        <f>IFERROR(表格1[[#This Row],[QTY]]*表格1[[#This Row],[Unit Price]],"-")</f>
        <v>698</v>
      </c>
      <c r="O3164" s="86">
        <v>1022808</v>
      </c>
      <c r="R3164" s="86" t="str">
        <f>_xlfn.CONCAT(表格1[[#This Row],[Model]]," ",表格1[[#This Row],[inv no]])</f>
        <v>MM2-EG20PC(WH) 1022808</v>
      </c>
      <c r="S3164" s="86">
        <f>_xlfn.XLOOKUP(表格1[[#This Row],[Model]],表格3[Model-Input-Ref2],表格3[SRP PRICE])</f>
        <v>918</v>
      </c>
      <c r="T3164" s="43">
        <f>表格1[[#This Row],[Unit Price]]/表格1[[#This Row],[SRP]]</f>
        <v>0.76034858387799564</v>
      </c>
      <c r="U3164" s="86" t="str">
        <f>_xlfn.XLOOKUP(表格1[[#This Row],[Model]],表格3[Model-Input-Ref2],表格3[TOSHIBA/HIGHEST])</f>
        <v>Shops Highest Price</v>
      </c>
      <c r="W3164" s="86" t="str">
        <f>_xlfn.CONCAT(表格1[[#This Row],[欄4]],表格1[[#This Row],[inv no]])</f>
        <v>1022808</v>
      </c>
    </row>
    <row r="3165" spans="1:23" hidden="1">
      <c r="A3165" s="81">
        <v>3163</v>
      </c>
      <c r="B3165" s="86" t="s">
        <v>1477</v>
      </c>
      <c r="C3165" s="86" t="s">
        <v>1959</v>
      </c>
      <c r="D3165" s="82" t="str">
        <f ca="1">OFFSET(Roster!$A$3,MATCH(表格1[[#This Row],[Location]]&amp;" "&amp;表格1[[#This Row],[Shop]]&amp;"*",Roster!$A$4:$A$72,0),DAY(表格1[[#This Row],[date]]),1,1)</f>
        <v>Jaco</v>
      </c>
      <c r="E3165" s="86">
        <f>MONTH(表格1[[#This Row],[date]])</f>
        <v>3</v>
      </c>
      <c r="F3165" s="90">
        <v>46088</v>
      </c>
      <c r="G3165" s="86" t="str">
        <f>VLOOKUP("*"&amp;表格1[[#This Row],[Input]]&amp;"*",'Ref-List'!$B:$D,2,)</f>
        <v>TL-MC35Z</v>
      </c>
      <c r="H3165" s="86" t="str">
        <f>_xlfn.XLOOKUP(表格1[[#This Row],[Model]],表格3[Model-Input-Ref2],表格3[Product Line])</f>
        <v>35L多功能電焗爐</v>
      </c>
      <c r="I3165" s="86" t="str">
        <f>_xlfn.XLOOKUP(表格1[[#This Row],[Model]],表格3[Model-Input-Ref2],表格3[大小電])</f>
        <v>細電</v>
      </c>
      <c r="J3165" s="86" t="str">
        <f>_xlfn.XLOOKUP(表格1[[#This Row],[Model]],表格3[Model-Input-Ref2],表格3[Code])</f>
        <v>SDA</v>
      </c>
      <c r="K3165" s="89" t="s">
        <v>1295</v>
      </c>
      <c r="L3165" s="86">
        <v>1</v>
      </c>
      <c r="M3165" s="87">
        <v>888</v>
      </c>
      <c r="N3165" s="87">
        <f>IFERROR(表格1[[#This Row],[QTY]]*表格1[[#This Row],[Unit Price]],"-")</f>
        <v>888</v>
      </c>
      <c r="O3165" s="86">
        <v>930193</v>
      </c>
      <c r="R3165" s="86" t="str">
        <f>_xlfn.CONCAT(表格1[[#This Row],[Model]]," ",表格1[[#This Row],[inv no]])</f>
        <v>TL-MC35Z 930193</v>
      </c>
      <c r="S3165" s="86">
        <f>_xlfn.XLOOKUP(表格1[[#This Row],[Model]],表格3[Model-Input-Ref2],表格3[SRP PRICE])</f>
        <v>1098</v>
      </c>
      <c r="T3165" s="43">
        <f>表格1[[#This Row],[Unit Price]]/表格1[[#This Row],[SRP]]</f>
        <v>0.80874316939890711</v>
      </c>
      <c r="U3165" s="86" t="str">
        <f>_xlfn.XLOOKUP(表格1[[#This Row],[Model]],表格3[Model-Input-Ref2],表格3[TOSHIBA/HIGHEST])</f>
        <v>Toshiba SRP</v>
      </c>
      <c r="W3165" s="86" t="str">
        <f>_xlfn.CONCAT(表格1[[#This Row],[欄4]],表格1[[#This Row],[inv no]])</f>
        <v>930193</v>
      </c>
    </row>
    <row r="3166" spans="1:23" hidden="1">
      <c r="A3166" s="81">
        <v>3164</v>
      </c>
      <c r="B3166" s="86" t="s">
        <v>1477</v>
      </c>
      <c r="C3166" s="86" t="s">
        <v>1959</v>
      </c>
      <c r="D3166" s="82" t="str">
        <f ca="1">OFFSET(Roster!$A$3,MATCH(表格1[[#This Row],[Location]]&amp;" "&amp;表格1[[#This Row],[Shop]]&amp;"*",Roster!$A$4:$A$72,0),DAY(表格1[[#This Row],[date]]),1,1)</f>
        <v>Jaco</v>
      </c>
      <c r="E3166" s="86">
        <f>MONTH(表格1[[#This Row],[date]])</f>
        <v>3</v>
      </c>
      <c r="F3166" s="90">
        <v>46088</v>
      </c>
      <c r="G3166" s="86" t="str">
        <f>VLOOKUP("*"&amp;表格1[[#This Row],[Input]]&amp;"*",'Ref-List'!$B:$D,2,)</f>
        <v>MWP-MM20P(WH)</v>
      </c>
      <c r="H3166" s="86" t="str">
        <f>_xlfn.XLOOKUP(表格1[[#This Row],[Model]],表格3[Model-Input-Ref2],表格3[Product Line])</f>
        <v>旋鈕式燒烤微波爐20L</v>
      </c>
      <c r="I3166" s="86" t="str">
        <f>_xlfn.XLOOKUP(表格1[[#This Row],[Model]],表格3[Model-Input-Ref2],表格3[大小電])</f>
        <v>細電</v>
      </c>
      <c r="J3166" s="86" t="str">
        <f>_xlfn.XLOOKUP(表格1[[#This Row],[Model]],表格3[Model-Input-Ref2],表格3[Code])</f>
        <v>SDA</v>
      </c>
      <c r="K3166" s="89" t="s">
        <v>1270</v>
      </c>
      <c r="L3166" s="86">
        <v>1</v>
      </c>
      <c r="M3166" s="87">
        <v>488</v>
      </c>
      <c r="N3166" s="87">
        <f>IFERROR(表格1[[#This Row],[QTY]]*表格1[[#This Row],[Unit Price]],"-")</f>
        <v>488</v>
      </c>
      <c r="O3166" s="86">
        <v>1022900</v>
      </c>
      <c r="R3166" s="86" t="str">
        <f>_xlfn.CONCAT(表格1[[#This Row],[Model]]," ",表格1[[#This Row],[inv no]])</f>
        <v>MWP-MM20P(WH) 1022900</v>
      </c>
      <c r="S3166" s="86">
        <f>_xlfn.XLOOKUP(表格1[[#This Row],[Model]],表格3[Model-Input-Ref2],表格3[SRP PRICE])</f>
        <v>648</v>
      </c>
      <c r="T3166" s="43">
        <f>表格1[[#This Row],[Unit Price]]/表格1[[#This Row],[SRP]]</f>
        <v>0.75308641975308643</v>
      </c>
      <c r="U3166" s="86" t="str">
        <f>_xlfn.XLOOKUP(表格1[[#This Row],[Model]],表格3[Model-Input-Ref2],表格3[TOSHIBA/HIGHEST])</f>
        <v>Toshiba SRP</v>
      </c>
      <c r="W3166" s="86" t="str">
        <f>_xlfn.CONCAT(表格1[[#This Row],[欄4]],表格1[[#This Row],[inv no]])</f>
        <v>1022900</v>
      </c>
    </row>
    <row r="3167" spans="1:23" hidden="1">
      <c r="A3167" s="81">
        <v>3165</v>
      </c>
      <c r="B3167" s="86" t="s">
        <v>1477</v>
      </c>
      <c r="C3167" s="86" t="s">
        <v>1959</v>
      </c>
      <c r="D3167" s="82" t="str">
        <f ca="1">OFFSET(Roster!$A$3,MATCH(表格1[[#This Row],[Location]]&amp;" "&amp;表格1[[#This Row],[Shop]]&amp;"*",Roster!$A$4:$A$72,0),DAY(表格1[[#This Row],[date]]),1,1)</f>
        <v>Jaco</v>
      </c>
      <c r="E3167" s="86">
        <f>MONTH(表格1[[#This Row],[date]])</f>
        <v>3</v>
      </c>
      <c r="F3167" s="90">
        <v>46088</v>
      </c>
      <c r="G3167" s="86" t="str">
        <f>VLOOKUP("*"&amp;表格1[[#This Row],[Input]]&amp;"*",'Ref-List'!$B:$D,2,)</f>
        <v>MV-AG21TF(BK)</v>
      </c>
      <c r="H3167" s="86" t="str">
        <f>_xlfn.XLOOKUP(表格1[[#This Row],[Model]],表格3[Model-Input-Ref2],表格3[Product Line])</f>
        <v>燒烤微波爐21L</v>
      </c>
      <c r="I3167" s="86" t="str">
        <f>_xlfn.XLOOKUP(表格1[[#This Row],[Model]],表格3[Model-Input-Ref2],表格3[大小電])</f>
        <v>細電</v>
      </c>
      <c r="J3167" s="86" t="str">
        <f>_xlfn.XLOOKUP(表格1[[#This Row],[Model]],表格3[Model-Input-Ref2],表格3[Code])</f>
        <v>SDA</v>
      </c>
      <c r="K3167" s="89" t="s">
        <v>1486</v>
      </c>
      <c r="L3167" s="86">
        <v>1</v>
      </c>
      <c r="M3167" s="87">
        <v>798</v>
      </c>
      <c r="N3167" s="87">
        <f>IFERROR(表格1[[#This Row],[QTY]]*表格1[[#This Row],[Unit Price]],"-")</f>
        <v>798</v>
      </c>
      <c r="O3167" s="86">
        <v>930230</v>
      </c>
      <c r="R3167" s="86" t="str">
        <f>_xlfn.CONCAT(表格1[[#This Row],[Model]]," ",表格1[[#This Row],[inv no]])</f>
        <v>MV-AG21TF(BK) 930230</v>
      </c>
      <c r="S3167" s="86">
        <f>_xlfn.XLOOKUP(表格1[[#This Row],[Model]],表格3[Model-Input-Ref2],表格3[SRP PRICE])</f>
        <v>1098</v>
      </c>
      <c r="T3167" s="43">
        <f>表格1[[#This Row],[Unit Price]]/表格1[[#This Row],[SRP]]</f>
        <v>0.72677595628415304</v>
      </c>
      <c r="U3167" s="86" t="str">
        <f>_xlfn.XLOOKUP(表格1[[#This Row],[Model]],表格3[Model-Input-Ref2],表格3[TOSHIBA/HIGHEST])</f>
        <v>Toshiba SRP</v>
      </c>
      <c r="W3167" s="86" t="str">
        <f>_xlfn.CONCAT(表格1[[#This Row],[欄4]],表格1[[#This Row],[inv no]])</f>
        <v>930230</v>
      </c>
    </row>
    <row r="3168" spans="1:23" hidden="1">
      <c r="A3168" s="81">
        <v>3166</v>
      </c>
      <c r="B3168" s="86" t="s">
        <v>1477</v>
      </c>
      <c r="C3168" s="86" t="s">
        <v>1959</v>
      </c>
      <c r="D3168" s="82" t="str">
        <f ca="1">OFFSET(Roster!$A$3,MATCH(表格1[[#This Row],[Location]]&amp;" "&amp;表格1[[#This Row],[Shop]]&amp;"*",Roster!$A$4:$A$72,0),DAY(表格1[[#This Row],[date]]),1,1)</f>
        <v>Jaco</v>
      </c>
      <c r="E3168" s="86">
        <f>MONTH(表格1[[#This Row],[date]])</f>
        <v>3</v>
      </c>
      <c r="F3168" s="90">
        <v>46088</v>
      </c>
      <c r="G3168" s="86" t="str">
        <f>VLOOKUP("*"&amp;表格1[[#This Row],[Input]]&amp;"*",'Ref-List'!$B:$D,2,)</f>
        <v>RAD-D300H</v>
      </c>
      <c r="H3168" s="86" t="str">
        <f>_xlfn.XLOOKUP(表格1[[#This Row],[Model]],表格3[Model-Input-Ref2],表格3[Product Line])</f>
        <v>壓縮式抽濕機 (30公升)</v>
      </c>
      <c r="I3168" s="86" t="str">
        <f>_xlfn.XLOOKUP(表格1[[#This Row],[Model]],表格3[Model-Input-Ref2],表格3[大小電])</f>
        <v>細電</v>
      </c>
      <c r="J3168" s="86" t="str">
        <f>_xlfn.XLOOKUP(表格1[[#This Row],[Model]],表格3[Model-Input-Ref2],表格3[Code])</f>
        <v>RAC</v>
      </c>
      <c r="K3168" s="89" t="s">
        <v>1252</v>
      </c>
      <c r="L3168" s="86">
        <v>1</v>
      </c>
      <c r="M3168" s="87">
        <v>2280</v>
      </c>
      <c r="N3168" s="87">
        <f>IFERROR(表格1[[#This Row],[QTY]]*表格1[[#This Row],[Unit Price]],"-")</f>
        <v>2280</v>
      </c>
      <c r="O3168" s="86">
        <v>930187</v>
      </c>
      <c r="R3168" s="86" t="str">
        <f>_xlfn.CONCAT(表格1[[#This Row],[Model]]," ",表格1[[#This Row],[inv no]])</f>
        <v>RAD-D300H 930187</v>
      </c>
      <c r="S3168" s="86">
        <f>_xlfn.XLOOKUP(表格1[[#This Row],[Model]],表格3[Model-Input-Ref2],表格3[SRP PRICE])</f>
        <v>3380</v>
      </c>
      <c r="T3168" s="43">
        <f>表格1[[#This Row],[Unit Price]]/表格1[[#This Row],[SRP]]</f>
        <v>0.67455621301775148</v>
      </c>
      <c r="U3168" s="86" t="str">
        <f>_xlfn.XLOOKUP(表格1[[#This Row],[Model]],表格3[Model-Input-Ref2],表格3[TOSHIBA/HIGHEST])</f>
        <v>Shops Highest Price</v>
      </c>
      <c r="W3168" s="86" t="str">
        <f>_xlfn.CONCAT(表格1[[#This Row],[欄4]],表格1[[#This Row],[inv no]])</f>
        <v>930187</v>
      </c>
    </row>
    <row r="3169" spans="1:23" hidden="1">
      <c r="A3169" s="81">
        <v>3167</v>
      </c>
      <c r="B3169" s="86" t="s">
        <v>1477</v>
      </c>
      <c r="C3169" s="86" t="s">
        <v>1959</v>
      </c>
      <c r="D3169" s="82" t="str">
        <f ca="1">OFFSET(Roster!$A$3,MATCH(表格1[[#This Row],[Location]]&amp;" "&amp;表格1[[#This Row],[Shop]]&amp;"*",Roster!$A$4:$A$72,0),DAY(表格1[[#This Row],[date]]),1,1)</f>
        <v>Jaco</v>
      </c>
      <c r="E3169" s="86">
        <f>MONTH(表格1[[#This Row],[date]])</f>
        <v>3</v>
      </c>
      <c r="F3169" s="90">
        <v>46088</v>
      </c>
      <c r="G3169" s="86" t="str">
        <f>VLOOKUP("*"&amp;表格1[[#This Row],[Input]]&amp;"*",'Ref-List'!$B:$D,2,)</f>
        <v>RC-10NMFIH(WT)</v>
      </c>
      <c r="H3169" s="86" t="str">
        <f>_xlfn.XLOOKUP(表格1[[#This Row],[Model]],表格3[Model-Input-Ref2],表格3[Product Line])</f>
        <v>4毫米厚釜電飯煲1L</v>
      </c>
      <c r="I3169" s="86" t="str">
        <f>_xlfn.XLOOKUP(表格1[[#This Row],[Model]],表格3[Model-Input-Ref2],表格3[大小電])</f>
        <v>細電</v>
      </c>
      <c r="J3169" s="86" t="str">
        <f>_xlfn.XLOOKUP(表格1[[#This Row],[Model]],表格3[Model-Input-Ref2],表格3[Code])</f>
        <v>SDA</v>
      </c>
      <c r="K3169" s="89" t="s">
        <v>1244</v>
      </c>
      <c r="L3169" s="86">
        <v>1</v>
      </c>
      <c r="M3169" s="87">
        <v>719</v>
      </c>
      <c r="N3169" s="87">
        <f>IFERROR(表格1[[#This Row],[QTY]]*表格1[[#This Row],[Unit Price]],"-")</f>
        <v>719</v>
      </c>
      <c r="O3169" s="86">
        <v>930166</v>
      </c>
      <c r="R3169" s="86" t="str">
        <f>_xlfn.CONCAT(表格1[[#This Row],[Model]]," ",表格1[[#This Row],[inv no]])</f>
        <v>RC-10NMFIH(WT) 930166</v>
      </c>
      <c r="S3169" s="86">
        <f>_xlfn.XLOOKUP(表格1[[#This Row],[Model]],表格3[Model-Input-Ref2],表格3[SRP PRICE])</f>
        <v>898</v>
      </c>
      <c r="T3169" s="43">
        <f>表格1[[#This Row],[Unit Price]]/表格1[[#This Row],[SRP]]</f>
        <v>0.80066815144766146</v>
      </c>
      <c r="U3169" s="86" t="str">
        <f>_xlfn.XLOOKUP(表格1[[#This Row],[Model]],表格3[Model-Input-Ref2],表格3[TOSHIBA/HIGHEST])</f>
        <v>Toshiba SRP</v>
      </c>
      <c r="W3169" s="86" t="str">
        <f>_xlfn.CONCAT(表格1[[#This Row],[欄4]],表格1[[#This Row],[inv no]])</f>
        <v>930166</v>
      </c>
    </row>
    <row r="3170" spans="1:23" hidden="1">
      <c r="A3170" s="81">
        <v>3168</v>
      </c>
      <c r="B3170" s="86" t="s">
        <v>1477</v>
      </c>
      <c r="C3170" s="86" t="s">
        <v>1959</v>
      </c>
      <c r="D3170" s="82" t="str">
        <f ca="1">OFFSET(Roster!$A$3,MATCH(表格1[[#This Row],[Location]]&amp;" "&amp;表格1[[#This Row],[Shop]]&amp;"*",Roster!$A$4:$A$72,0),DAY(表格1[[#This Row],[date]]),1,1)</f>
        <v>Jaco</v>
      </c>
      <c r="E3170" s="86">
        <f>MONTH(表格1[[#This Row],[date]])</f>
        <v>3</v>
      </c>
      <c r="F3170" s="90">
        <v>46088</v>
      </c>
      <c r="G3170" s="86" t="str">
        <f>VLOOKUP("*"&amp;表格1[[#This Row],[Input]]&amp;"*",'Ref-List'!$B:$D,2,)</f>
        <v>TW-T22BU95UWH(WK)-B</v>
      </c>
      <c r="H3170" s="86" t="str">
        <f>_xlfn.XLOOKUP(表格1[[#This Row],[Model]],表格3[Model-Input-Ref2],表格3[Product Line])</f>
        <v>470MM超薄身前置式變頻洗衣機(8.5公斤, 可飛頂)</v>
      </c>
      <c r="I3170" s="86" t="str">
        <f>_xlfn.XLOOKUP(表格1[[#This Row],[Model]],表格3[Model-Input-Ref2],表格3[大小電])</f>
        <v>大電</v>
      </c>
      <c r="J3170" s="86" t="str">
        <f>_xlfn.XLOOKUP(表格1[[#This Row],[Model]],表格3[Model-Input-Ref2],表格3[Code])</f>
        <v>LAD</v>
      </c>
      <c r="K3170" s="89" t="s">
        <v>969</v>
      </c>
      <c r="L3170" s="86">
        <v>1</v>
      </c>
      <c r="M3170" s="87">
        <v>3680</v>
      </c>
      <c r="N3170" s="87">
        <f>IFERROR(表格1[[#This Row],[QTY]]*表格1[[#This Row],[Unit Price]],"-")</f>
        <v>3680</v>
      </c>
      <c r="O3170" s="86">
        <v>930194</v>
      </c>
      <c r="R3170" s="86" t="str">
        <f>_xlfn.CONCAT(表格1[[#This Row],[Model]]," ",表格1[[#This Row],[inv no]])</f>
        <v>TW-T22BU95UWH(WK)-B 930194</v>
      </c>
      <c r="S3170" s="86">
        <f>_xlfn.XLOOKUP(表格1[[#This Row],[Model]],表格3[Model-Input-Ref2],表格3[SRP PRICE])</f>
        <v>5880</v>
      </c>
      <c r="T3170" s="43">
        <f>表格1[[#This Row],[Unit Price]]/表格1[[#This Row],[SRP]]</f>
        <v>0.62585034013605445</v>
      </c>
      <c r="U3170" s="86" t="str">
        <f>_xlfn.XLOOKUP(表格1[[#This Row],[Model]],表格3[Model-Input-Ref2],表格3[TOSHIBA/HIGHEST])</f>
        <v>Toshiba SRP</v>
      </c>
      <c r="W3170" s="86" t="str">
        <f>_xlfn.CONCAT(表格1[[#This Row],[欄4]],表格1[[#This Row],[inv no]])</f>
        <v>930194</v>
      </c>
    </row>
    <row r="3171" spans="1:23" hidden="1">
      <c r="A3171" s="81">
        <v>3169</v>
      </c>
      <c r="B3171" s="86" t="s">
        <v>1477</v>
      </c>
      <c r="C3171" s="86" t="s">
        <v>1959</v>
      </c>
      <c r="D3171" s="82" t="str">
        <f ca="1">OFFSET(Roster!$A$3,MATCH(表格1[[#This Row],[Location]]&amp;" "&amp;表格1[[#This Row],[Shop]]&amp;"*",Roster!$A$4:$A$72,0),DAY(表格1[[#This Row],[date]]),1,1)</f>
        <v>Jaco</v>
      </c>
      <c r="E3171" s="86">
        <f>MONTH(表格1[[#This Row],[date]])</f>
        <v>3</v>
      </c>
      <c r="F3171" s="90">
        <v>46089</v>
      </c>
      <c r="G3171" s="86" t="str">
        <f>VLOOKUP("*"&amp;表格1[[#This Row],[Input]]&amp;"*",'Ref-List'!$B:$D,2,)</f>
        <v>RC-18DRNH</v>
      </c>
      <c r="H3171" s="86" t="str">
        <f>_xlfn.XLOOKUP(表格1[[#This Row],[Model]],表格3[Model-Input-Ref2],表格3[Product Line])</f>
        <v>多功能備長炭本厚釜電飯煲1.8L</v>
      </c>
      <c r="I3171" s="86" t="str">
        <f>_xlfn.XLOOKUP(表格1[[#This Row],[Model]],表格3[Model-Input-Ref2],表格3[大小電])</f>
        <v>細電</v>
      </c>
      <c r="J3171" s="86" t="str">
        <f>_xlfn.XLOOKUP(表格1[[#This Row],[Model]],表格3[Model-Input-Ref2],表格3[Code])</f>
        <v>SDA</v>
      </c>
      <c r="K3171" s="89" t="s">
        <v>1389</v>
      </c>
      <c r="L3171" s="86">
        <v>1</v>
      </c>
      <c r="M3171" s="87">
        <v>619</v>
      </c>
      <c r="N3171" s="87">
        <f>IFERROR(表格1[[#This Row],[QTY]]*表格1[[#This Row],[Unit Price]],"-")</f>
        <v>619</v>
      </c>
      <c r="O3171" s="86">
        <v>1023107</v>
      </c>
      <c r="R3171" s="86" t="str">
        <f>_xlfn.CONCAT(表格1[[#This Row],[Model]]," ",表格1[[#This Row],[inv no]])</f>
        <v>RC-18DRNH 1023107</v>
      </c>
      <c r="S3171" s="86">
        <f>_xlfn.XLOOKUP(表格1[[#This Row],[Model]],表格3[Model-Input-Ref2],表格3[SRP PRICE])</f>
        <v>898</v>
      </c>
      <c r="T3171" s="43">
        <f>表格1[[#This Row],[Unit Price]]/表格1[[#This Row],[SRP]]</f>
        <v>0.68930957683741645</v>
      </c>
      <c r="U3171" s="86" t="str">
        <f>_xlfn.XLOOKUP(表格1[[#This Row],[Model]],表格3[Model-Input-Ref2],表格3[TOSHIBA/HIGHEST])</f>
        <v>Toshiba SRP</v>
      </c>
      <c r="W3171" s="86" t="str">
        <f>_xlfn.CONCAT(表格1[[#This Row],[欄4]],表格1[[#This Row],[inv no]])</f>
        <v>1023107</v>
      </c>
    </row>
    <row r="3172" spans="1:23" hidden="1">
      <c r="A3172" s="81">
        <v>3170</v>
      </c>
      <c r="B3172" s="86" t="s">
        <v>1477</v>
      </c>
      <c r="C3172" s="86" t="s">
        <v>1959</v>
      </c>
      <c r="D3172" s="82" t="str">
        <f ca="1">OFFSET(Roster!$A$3,MATCH(表格1[[#This Row],[Location]]&amp;" "&amp;表格1[[#This Row],[Shop]]&amp;"*",Roster!$A$4:$A$72,0),DAY(表格1[[#This Row],[date]]),1,1)</f>
        <v>Jaco</v>
      </c>
      <c r="E3172" s="86">
        <f>MONTH(表格1[[#This Row],[date]])</f>
        <v>3</v>
      </c>
      <c r="F3172" s="90">
        <v>46089</v>
      </c>
      <c r="G3172" s="86" t="str">
        <f>VLOOKUP("*"&amp;表格1[[#This Row],[Input]]&amp;"*",'Ref-List'!$B:$D,2,)</f>
        <v>KT-17DRTHK(H)</v>
      </c>
      <c r="H3172" s="86" t="str">
        <f>_xlfn.XLOOKUP(表格1[[#This Row],[Model]],表格3[Model-Input-Ref2],表格3[Product Line])</f>
        <v>無線雙層電熱水壺(1.7公升)</v>
      </c>
      <c r="I3172" s="86" t="str">
        <f>_xlfn.XLOOKUP(表格1[[#This Row],[Model]],表格3[Model-Input-Ref2],表格3[大小電])</f>
        <v>細電</v>
      </c>
      <c r="J3172" s="86" t="str">
        <f>_xlfn.XLOOKUP(表格1[[#This Row],[Model]],表格3[Model-Input-Ref2],表格3[Code])</f>
        <v>SDA</v>
      </c>
      <c r="K3172" s="89" t="s">
        <v>1271</v>
      </c>
      <c r="L3172" s="86">
        <v>1</v>
      </c>
      <c r="M3172" s="87">
        <v>388</v>
      </c>
      <c r="N3172" s="87">
        <f>IFERROR(表格1[[#This Row],[QTY]]*表格1[[#This Row],[Unit Price]],"-")</f>
        <v>388</v>
      </c>
      <c r="O3172" s="86">
        <v>930265</v>
      </c>
      <c r="R3172" s="86" t="str">
        <f>_xlfn.CONCAT(表格1[[#This Row],[Model]]," ",表格1[[#This Row],[inv no]])</f>
        <v>KT-17DRTHK(H) 930265</v>
      </c>
      <c r="S3172" s="86">
        <f>_xlfn.XLOOKUP(表格1[[#This Row],[Model]],表格3[Model-Input-Ref2],表格3[SRP PRICE])</f>
        <v>498</v>
      </c>
      <c r="T3172" s="43">
        <f>表格1[[#This Row],[Unit Price]]/表格1[[#This Row],[SRP]]</f>
        <v>0.77911646586345384</v>
      </c>
      <c r="U3172" s="86" t="str">
        <f>_xlfn.XLOOKUP(表格1[[#This Row],[Model]],表格3[Model-Input-Ref2],表格3[TOSHIBA/HIGHEST])</f>
        <v>Toshiba SRP</v>
      </c>
      <c r="W3172" s="86" t="str">
        <f>_xlfn.CONCAT(表格1[[#This Row],[欄4]],表格1[[#This Row],[inv no]])</f>
        <v>930265</v>
      </c>
    </row>
    <row r="3173" spans="1:23" hidden="1">
      <c r="A3173" s="81">
        <v>3171</v>
      </c>
      <c r="B3173" s="86" t="s">
        <v>1477</v>
      </c>
      <c r="C3173" s="86" t="s">
        <v>1959</v>
      </c>
      <c r="D3173" s="82" t="str">
        <f ca="1">OFFSET(Roster!$A$3,MATCH(表格1[[#This Row],[Location]]&amp;" "&amp;表格1[[#This Row],[Shop]]&amp;"*",Roster!$A$4:$A$72,0),DAY(表格1[[#This Row],[date]]),1,1)</f>
        <v>Jaco</v>
      </c>
      <c r="E3173" s="86">
        <f>MONTH(表格1[[#This Row],[date]])</f>
        <v>3</v>
      </c>
      <c r="F3173" s="90">
        <v>46089</v>
      </c>
      <c r="G3173" s="86" t="str">
        <f>VLOOKUP("*"&amp;表格1[[#This Row],[Input]]&amp;"*",'Ref-List'!$B:$D,2,)</f>
        <v>RC-18AMXH(W)</v>
      </c>
      <c r="H3173" s="86" t="str">
        <f>_xlfn.XLOOKUP(表格1[[#This Row],[Model]],表格3[Model-Input-Ref2],表格3[Product Line])</f>
        <v>酵活炊電飯煲(1.8公升)</v>
      </c>
      <c r="I3173" s="86" t="str">
        <f>_xlfn.XLOOKUP(表格1[[#This Row],[Model]],表格3[Model-Input-Ref2],表格3[大小電])</f>
        <v>細電</v>
      </c>
      <c r="J3173" s="86" t="str">
        <f>_xlfn.XLOOKUP(表格1[[#This Row],[Model]],表格3[Model-Input-Ref2],表格3[Code])</f>
        <v>SDA</v>
      </c>
      <c r="K3173" s="89" t="s">
        <v>1362</v>
      </c>
      <c r="L3173" s="86">
        <v>1</v>
      </c>
      <c r="M3173" s="87">
        <v>990</v>
      </c>
      <c r="N3173" s="87">
        <f>IFERROR(表格1[[#This Row],[QTY]]*表格1[[#This Row],[Unit Price]],"-")</f>
        <v>990</v>
      </c>
      <c r="O3173" s="86">
        <v>1022989</v>
      </c>
      <c r="R3173" s="86" t="str">
        <f>_xlfn.CONCAT(表格1[[#This Row],[Model]]," ",表格1[[#This Row],[inv no]])</f>
        <v>RC-18AMXH(W) 1022989</v>
      </c>
      <c r="S3173" s="86">
        <f>_xlfn.XLOOKUP(表格1[[#This Row],[Model]],表格3[Model-Input-Ref2],表格3[SRP PRICE])</f>
        <v>1588</v>
      </c>
      <c r="T3173" s="43">
        <f>表格1[[#This Row],[Unit Price]]/表格1[[#This Row],[SRP]]</f>
        <v>0.62342569269521408</v>
      </c>
      <c r="U3173" s="86" t="str">
        <f>_xlfn.XLOOKUP(表格1[[#This Row],[Model]],表格3[Model-Input-Ref2],表格3[TOSHIBA/HIGHEST])</f>
        <v>Toshiba SRP</v>
      </c>
      <c r="W3173" s="86" t="str">
        <f>_xlfn.CONCAT(表格1[[#This Row],[欄4]],表格1[[#This Row],[inv no]])</f>
        <v>1022989</v>
      </c>
    </row>
    <row r="3174" spans="1:23" hidden="1">
      <c r="A3174" s="81">
        <v>3172</v>
      </c>
      <c r="B3174" s="86" t="s">
        <v>1477</v>
      </c>
      <c r="C3174" s="86" t="s">
        <v>1959</v>
      </c>
      <c r="D3174" s="82" t="str">
        <f ca="1">OFFSET(Roster!$A$3,MATCH(表格1[[#This Row],[Location]]&amp;" "&amp;表格1[[#This Row],[Shop]]&amp;"*",Roster!$A$4:$A$72,0),DAY(表格1[[#This Row],[date]]),1,1)</f>
        <v>Jaco</v>
      </c>
      <c r="E3174" s="86">
        <f>MONTH(表格1[[#This Row],[date]])</f>
        <v>3</v>
      </c>
      <c r="F3174" s="90">
        <v>46089</v>
      </c>
      <c r="G3174" s="86" t="str">
        <f>VLOOKUP("*"&amp;表格1[[#This Row],[Input]]&amp;"*",'Ref-List'!$B:$D,2,)</f>
        <v>RAD-D300H</v>
      </c>
      <c r="H3174" s="86" t="str">
        <f>_xlfn.XLOOKUP(表格1[[#This Row],[Model]],表格3[Model-Input-Ref2],表格3[Product Line])</f>
        <v>壓縮式抽濕機 (30公升)</v>
      </c>
      <c r="I3174" s="86" t="str">
        <f>_xlfn.XLOOKUP(表格1[[#This Row],[Model]],表格3[Model-Input-Ref2],表格3[大小電])</f>
        <v>細電</v>
      </c>
      <c r="J3174" s="86" t="str">
        <f>_xlfn.XLOOKUP(表格1[[#This Row],[Model]],表格3[Model-Input-Ref2],表格3[Code])</f>
        <v>RAC</v>
      </c>
      <c r="K3174" s="89" t="s">
        <v>1252</v>
      </c>
      <c r="L3174" s="86">
        <v>1</v>
      </c>
      <c r="M3174" s="87">
        <v>2280</v>
      </c>
      <c r="N3174" s="87">
        <f>IFERROR(表格1[[#This Row],[QTY]]*表格1[[#This Row],[Unit Price]],"-")</f>
        <v>2280</v>
      </c>
      <c r="O3174" s="86">
        <v>1023001</v>
      </c>
      <c r="R3174" s="86" t="str">
        <f>_xlfn.CONCAT(表格1[[#This Row],[Model]]," ",表格1[[#This Row],[inv no]])</f>
        <v>RAD-D300H 1023001</v>
      </c>
      <c r="S3174" s="86">
        <f>_xlfn.XLOOKUP(表格1[[#This Row],[Model]],表格3[Model-Input-Ref2],表格3[SRP PRICE])</f>
        <v>3380</v>
      </c>
      <c r="T3174" s="43">
        <f>表格1[[#This Row],[Unit Price]]/表格1[[#This Row],[SRP]]</f>
        <v>0.67455621301775148</v>
      </c>
      <c r="U3174" s="86" t="str">
        <f>_xlfn.XLOOKUP(表格1[[#This Row],[Model]],表格3[Model-Input-Ref2],表格3[TOSHIBA/HIGHEST])</f>
        <v>Shops Highest Price</v>
      </c>
      <c r="W3174" s="86" t="str">
        <f>_xlfn.CONCAT(表格1[[#This Row],[欄4]],表格1[[#This Row],[inv no]])</f>
        <v>1023001</v>
      </c>
    </row>
    <row r="3175" spans="1:23" hidden="1">
      <c r="A3175" s="81">
        <v>3173</v>
      </c>
      <c r="B3175" s="86" t="s">
        <v>1477</v>
      </c>
      <c r="C3175" s="86" t="s">
        <v>1959</v>
      </c>
      <c r="D3175" s="82" t="str">
        <f ca="1">OFFSET(Roster!$A$3,MATCH(表格1[[#This Row],[Location]]&amp;" "&amp;表格1[[#This Row],[Shop]]&amp;"*",Roster!$A$4:$A$72,0),DAY(表格1[[#This Row],[date]]),1,1)</f>
        <v>Jaco</v>
      </c>
      <c r="E3175" s="86">
        <f>MONTH(表格1[[#This Row],[date]])</f>
        <v>3</v>
      </c>
      <c r="F3175" s="90">
        <v>46089</v>
      </c>
      <c r="G3175" s="86" t="str">
        <f>VLOOKUP("*"&amp;表格1[[#This Row],[Input]]&amp;"*",'Ref-List'!$B:$D,2,)</f>
        <v>RAD-D300H</v>
      </c>
      <c r="H3175" s="86" t="str">
        <f>_xlfn.XLOOKUP(表格1[[#This Row],[Model]],表格3[Model-Input-Ref2],表格3[Product Line])</f>
        <v>壓縮式抽濕機 (30公升)</v>
      </c>
      <c r="I3175" s="86" t="str">
        <f>_xlfn.XLOOKUP(表格1[[#This Row],[Model]],表格3[Model-Input-Ref2],表格3[大小電])</f>
        <v>細電</v>
      </c>
      <c r="J3175" s="86" t="str">
        <f>_xlfn.XLOOKUP(表格1[[#This Row],[Model]],表格3[Model-Input-Ref2],表格3[Code])</f>
        <v>RAC</v>
      </c>
      <c r="K3175" s="89" t="s">
        <v>1252</v>
      </c>
      <c r="L3175" s="86">
        <v>1</v>
      </c>
      <c r="M3175" s="87">
        <v>2280</v>
      </c>
      <c r="N3175" s="87">
        <f>IFERROR(表格1[[#This Row],[QTY]]*表格1[[#This Row],[Unit Price]],"-")</f>
        <v>2280</v>
      </c>
      <c r="O3175" s="86">
        <v>930268</v>
      </c>
      <c r="R3175" s="86" t="str">
        <f>_xlfn.CONCAT(表格1[[#This Row],[Model]]," ",表格1[[#This Row],[inv no]])</f>
        <v>RAD-D300H 930268</v>
      </c>
      <c r="S3175" s="86">
        <f>_xlfn.XLOOKUP(表格1[[#This Row],[Model]],表格3[Model-Input-Ref2],表格3[SRP PRICE])</f>
        <v>3380</v>
      </c>
      <c r="T3175" s="43">
        <f>表格1[[#This Row],[Unit Price]]/表格1[[#This Row],[SRP]]</f>
        <v>0.67455621301775148</v>
      </c>
      <c r="U3175" s="86" t="str">
        <f>_xlfn.XLOOKUP(表格1[[#This Row],[Model]],表格3[Model-Input-Ref2],表格3[TOSHIBA/HIGHEST])</f>
        <v>Shops Highest Price</v>
      </c>
      <c r="W3175" s="86" t="str">
        <f>_xlfn.CONCAT(表格1[[#This Row],[欄4]],表格1[[#This Row],[inv no]])</f>
        <v>930268</v>
      </c>
    </row>
    <row r="3176" spans="1:23" hidden="1">
      <c r="A3176" s="81">
        <v>3174</v>
      </c>
      <c r="B3176" s="86" t="s">
        <v>1477</v>
      </c>
      <c r="C3176" s="86" t="s">
        <v>1959</v>
      </c>
      <c r="D3176" s="82" t="str">
        <f ca="1">OFFSET(Roster!$A$3,MATCH(表格1[[#This Row],[Location]]&amp;" "&amp;表格1[[#This Row],[Shop]]&amp;"*",Roster!$A$4:$A$72,0),DAY(表格1[[#This Row],[date]]),1,1)</f>
        <v>Jaco</v>
      </c>
      <c r="E3176" s="86">
        <f>MONTH(表格1[[#This Row],[date]])</f>
        <v>3</v>
      </c>
      <c r="F3176" s="90">
        <v>46089</v>
      </c>
      <c r="G3176" s="86" t="str">
        <f>VLOOKUP("*"&amp;表格1[[#This Row],[Input]]&amp;"*",'Ref-List'!$B:$D,2,)</f>
        <v>TWD-T22BU95UWH(WK)-B</v>
      </c>
      <c r="H3176" s="86" t="str">
        <f>_xlfn.XLOOKUP(表格1[[#This Row],[Model]],表格3[Model-Input-Ref2],表格3[Product Line])</f>
        <v>470MM超薄身前置式變頻洗衣乾衣機 (洗8.5公斤/乾6公斤, 可飛頂)</v>
      </c>
      <c r="I3176" s="86" t="str">
        <f>_xlfn.XLOOKUP(表格1[[#This Row],[Model]],表格3[Model-Input-Ref2],表格3[大小電])</f>
        <v>大電</v>
      </c>
      <c r="J3176" s="86" t="str">
        <f>_xlfn.XLOOKUP(表格1[[#This Row],[Model]],表格3[Model-Input-Ref2],表格3[Code])</f>
        <v>LAD</v>
      </c>
      <c r="K3176" s="89" t="s">
        <v>1421</v>
      </c>
      <c r="L3176" s="86">
        <v>1</v>
      </c>
      <c r="M3176" s="87">
        <v>4780</v>
      </c>
      <c r="N3176" s="87">
        <f>IFERROR(表格1[[#This Row],[QTY]]*表格1[[#This Row],[Unit Price]],"-")</f>
        <v>4780</v>
      </c>
      <c r="O3176" s="86">
        <v>930313</v>
      </c>
      <c r="R3176" s="86" t="str">
        <f>_xlfn.CONCAT(表格1[[#This Row],[Model]]," ",表格1[[#This Row],[inv no]])</f>
        <v>TWD-T22BU95UWH(WK)-B 930313</v>
      </c>
      <c r="S3176" s="86">
        <f>_xlfn.XLOOKUP(表格1[[#This Row],[Model]],表格3[Model-Input-Ref2],表格3[SRP PRICE])</f>
        <v>7480</v>
      </c>
      <c r="T3176" s="43">
        <f>表格1[[#This Row],[Unit Price]]/表格1[[#This Row],[SRP]]</f>
        <v>0.63903743315508021</v>
      </c>
      <c r="U3176" s="86" t="str">
        <f>_xlfn.XLOOKUP(表格1[[#This Row],[Model]],表格3[Model-Input-Ref2],表格3[TOSHIBA/HIGHEST])</f>
        <v>Toshiba SRP</v>
      </c>
      <c r="W3176" s="86" t="str">
        <f>_xlfn.CONCAT(表格1[[#This Row],[欄4]],表格1[[#This Row],[inv no]])</f>
        <v>930313</v>
      </c>
    </row>
    <row r="3177" spans="1:23" hidden="1">
      <c r="A3177" s="81">
        <v>3175</v>
      </c>
      <c r="B3177" s="86" t="s">
        <v>1477</v>
      </c>
      <c r="C3177" s="86" t="s">
        <v>1959</v>
      </c>
      <c r="D3177" s="82" t="str">
        <f ca="1">OFFSET(Roster!$A$3,MATCH(表格1[[#This Row],[Location]]&amp;" "&amp;表格1[[#This Row],[Shop]]&amp;"*",Roster!$A$4:$A$72,0),DAY(表格1[[#This Row],[date]]),1,1)</f>
        <v>Jaco</v>
      </c>
      <c r="E3177" s="86">
        <f>MONTH(表格1[[#This Row],[date]])</f>
        <v>3</v>
      </c>
      <c r="F3177" s="90">
        <v>46089</v>
      </c>
      <c r="G3177" s="86" t="str">
        <f>VLOOKUP("*"&amp;表格1[[#This Row],[Input]]&amp;"*",'Ref-List'!$B:$D,2,)</f>
        <v>MX2-TT20SC(WH)</v>
      </c>
      <c r="H3177" s="86" t="str">
        <f>_xlfn.XLOOKUP(表格1[[#This Row],[Model]],表格3[Model-Input-Ref2],表格3[Product Line])</f>
        <v>3合1 微波蒸焗爐 (20公升)</v>
      </c>
      <c r="I3177" s="86" t="str">
        <f>_xlfn.XLOOKUP(表格1[[#This Row],[Model]],表格3[Model-Input-Ref2],表格3[大小電])</f>
        <v>細電</v>
      </c>
      <c r="J3177" s="86" t="str">
        <f>_xlfn.XLOOKUP(表格1[[#This Row],[Model]],表格3[Model-Input-Ref2],表格3[Code])</f>
        <v>MCA</v>
      </c>
      <c r="K3177" s="89" t="s">
        <v>1287</v>
      </c>
      <c r="L3177" s="86">
        <v>1</v>
      </c>
      <c r="M3177" s="87">
        <v>2580</v>
      </c>
      <c r="N3177" s="87">
        <f>IFERROR(表格1[[#This Row],[QTY]]*表格1[[#This Row],[Unit Price]],"-")</f>
        <v>2580</v>
      </c>
      <c r="O3177" s="86">
        <v>930274</v>
      </c>
      <c r="R3177" s="86" t="str">
        <f>_xlfn.CONCAT(表格1[[#This Row],[Model]]," ",表格1[[#This Row],[inv no]])</f>
        <v>MX2-TT20SC(WH) 930274</v>
      </c>
      <c r="S3177" s="86">
        <f>_xlfn.XLOOKUP(表格1[[#This Row],[Model]],表格3[Model-Input-Ref2],表格3[SRP PRICE])</f>
        <v>3580</v>
      </c>
      <c r="T3177" s="43">
        <f>表格1[[#This Row],[Unit Price]]/表格1[[#This Row],[SRP]]</f>
        <v>0.72067039106145248</v>
      </c>
      <c r="U3177" s="86" t="str">
        <f>_xlfn.XLOOKUP(表格1[[#This Row],[Model]],表格3[Model-Input-Ref2],表格3[TOSHIBA/HIGHEST])</f>
        <v>Toshiba SRP</v>
      </c>
      <c r="W3177" s="86" t="str">
        <f>_xlfn.CONCAT(表格1[[#This Row],[欄4]],表格1[[#This Row],[inv no]])</f>
        <v>930274</v>
      </c>
    </row>
    <row r="3178" spans="1:23" hidden="1">
      <c r="A3178" s="81">
        <v>3176</v>
      </c>
      <c r="B3178" s="86" t="s">
        <v>1477</v>
      </c>
      <c r="C3178" s="86" t="s">
        <v>1959</v>
      </c>
      <c r="D3178" s="82" t="str">
        <f ca="1">OFFSET(Roster!$A$3,MATCH(表格1[[#This Row],[Location]]&amp;" "&amp;表格1[[#This Row],[Shop]]&amp;"*",Roster!$A$4:$A$72,0),DAY(表格1[[#This Row],[date]]),1,1)</f>
        <v>Jaco</v>
      </c>
      <c r="E3178" s="86">
        <f>MONTH(表格1[[#This Row],[date]])</f>
        <v>3</v>
      </c>
      <c r="F3178" s="90">
        <v>46089</v>
      </c>
      <c r="G3178" s="86" t="str">
        <f>VLOOKUP("*"&amp;表格1[[#This Row],[Input]]&amp;"*",'Ref-List'!$B:$D,2,)</f>
        <v>MX2-STR25SC(WH)</v>
      </c>
      <c r="H3178" s="86" t="str">
        <f>_xlfn.XLOOKUP(表格1[[#This Row],[Model]],表格3[Model-Input-Ref2],表格3[Product Line])</f>
        <v>4合1氣炸微波蒸焗爐(25公升)</v>
      </c>
      <c r="I3178" s="86" t="str">
        <f>_xlfn.XLOOKUP(表格1[[#This Row],[Model]],表格3[Model-Input-Ref2],表格3[大小電])</f>
        <v>細電</v>
      </c>
      <c r="J3178" s="86" t="str">
        <f>_xlfn.XLOOKUP(表格1[[#This Row],[Model]],表格3[Model-Input-Ref2],表格3[Code])</f>
        <v>MCA</v>
      </c>
      <c r="K3178" s="89" t="s">
        <v>1410</v>
      </c>
      <c r="L3178" s="86">
        <v>1</v>
      </c>
      <c r="M3178" s="87">
        <v>3580</v>
      </c>
      <c r="N3178" s="87">
        <f>IFERROR(表格1[[#This Row],[QTY]]*表格1[[#This Row],[Unit Price]],"-")</f>
        <v>3580</v>
      </c>
      <c r="O3178" s="86">
        <v>1023023</v>
      </c>
      <c r="R3178" s="86" t="str">
        <f>_xlfn.CONCAT(表格1[[#This Row],[Model]]," ",表格1[[#This Row],[inv no]])</f>
        <v>MX2-STR25SC(WH) 1023023</v>
      </c>
      <c r="S3178" s="86">
        <f>_xlfn.XLOOKUP(表格1[[#This Row],[Model]],表格3[Model-Input-Ref2],表格3[SRP PRICE])</f>
        <v>4998</v>
      </c>
      <c r="T3178" s="43">
        <f>表格1[[#This Row],[Unit Price]]/表格1[[#This Row],[SRP]]</f>
        <v>0.71628651460584236</v>
      </c>
      <c r="U3178" s="86" t="str">
        <f>_xlfn.XLOOKUP(表格1[[#This Row],[Model]],表格3[Model-Input-Ref2],表格3[TOSHIBA/HIGHEST])</f>
        <v>Toshiba SRP</v>
      </c>
      <c r="W3178" s="86" t="str">
        <f>_xlfn.CONCAT(表格1[[#This Row],[欄4]],表格1[[#This Row],[inv no]])</f>
        <v>1023023</v>
      </c>
    </row>
    <row r="3179" spans="1:23" hidden="1">
      <c r="A3179" s="81">
        <v>3177</v>
      </c>
      <c r="B3179" s="86" t="s">
        <v>1477</v>
      </c>
      <c r="C3179" s="86" t="s">
        <v>1959</v>
      </c>
      <c r="D3179" s="82" t="str">
        <f ca="1">OFFSET(Roster!$A$3,MATCH(表格1[[#This Row],[Location]]&amp;" "&amp;表格1[[#This Row],[Shop]]&amp;"*",Roster!$A$4:$A$72,0),DAY(表格1[[#This Row],[date]]),1,1)</f>
        <v>Jaco</v>
      </c>
      <c r="E3179" s="86">
        <f>MONTH(表格1[[#This Row],[date]])</f>
        <v>3</v>
      </c>
      <c r="F3179" s="90">
        <v>46089</v>
      </c>
      <c r="G3179" s="86" t="str">
        <f>VLOOKUP("*"&amp;表格1[[#This Row],[Input]]&amp;"*",'Ref-List'!$B:$D,2,)</f>
        <v>MM2-EM20PC(WH)</v>
      </c>
      <c r="H3179" s="86" t="str">
        <f>_xlfn.XLOOKUP(表格1[[#This Row],[Model]],表格3[Model-Input-Ref2],表格3[Product Line])</f>
        <v>輕觸式微波爐 (20公升)</v>
      </c>
      <c r="I3179" s="86" t="str">
        <f>_xlfn.XLOOKUP(表格1[[#This Row],[Model]],表格3[Model-Input-Ref2],表格3[大小電])</f>
        <v>細電</v>
      </c>
      <c r="J3179" s="86" t="str">
        <f>_xlfn.XLOOKUP(表格1[[#This Row],[Model]],表格3[Model-Input-Ref2],表格3[Code])</f>
        <v>MCA</v>
      </c>
      <c r="K3179" s="89" t="s">
        <v>1276</v>
      </c>
      <c r="L3179" s="86">
        <v>1</v>
      </c>
      <c r="M3179" s="87">
        <v>598</v>
      </c>
      <c r="N3179" s="87">
        <f>IFERROR(表格1[[#This Row],[QTY]]*表格1[[#This Row],[Unit Price]],"-")</f>
        <v>598</v>
      </c>
      <c r="O3179" s="86">
        <v>1023054</v>
      </c>
      <c r="R3179" s="86" t="str">
        <f>_xlfn.CONCAT(表格1[[#This Row],[Model]]," ",表格1[[#This Row],[inv no]])</f>
        <v>MM2-EM20PC(WH) 1023054</v>
      </c>
      <c r="S3179" s="86">
        <f>_xlfn.XLOOKUP(表格1[[#This Row],[Model]],表格3[Model-Input-Ref2],表格3[SRP PRICE])</f>
        <v>788</v>
      </c>
      <c r="T3179" s="43">
        <f>表格1[[#This Row],[Unit Price]]/表格1[[#This Row],[SRP]]</f>
        <v>0.75888324873096447</v>
      </c>
      <c r="U3179" s="86" t="str">
        <f>_xlfn.XLOOKUP(表格1[[#This Row],[Model]],表格3[Model-Input-Ref2],表格3[TOSHIBA/HIGHEST])</f>
        <v>Toshiba SRP</v>
      </c>
      <c r="W3179" s="86" t="str">
        <f>_xlfn.CONCAT(表格1[[#This Row],[欄4]],表格1[[#This Row],[inv no]])</f>
        <v>1023054</v>
      </c>
    </row>
    <row r="3180" spans="1:23" hidden="1">
      <c r="A3180" s="81">
        <v>3178</v>
      </c>
      <c r="B3180" s="86" t="s">
        <v>1477</v>
      </c>
      <c r="C3180" s="86" t="s">
        <v>1959</v>
      </c>
      <c r="D3180" s="82" t="str">
        <f ca="1">OFFSET(Roster!$A$3,MATCH(表格1[[#This Row],[Location]]&amp;" "&amp;表格1[[#This Row],[Shop]]&amp;"*",Roster!$A$4:$A$72,0),DAY(表格1[[#This Row],[date]]),1,1)</f>
        <v>Jaco</v>
      </c>
      <c r="E3180" s="86">
        <f>MONTH(表格1[[#This Row],[date]])</f>
        <v>3</v>
      </c>
      <c r="F3180" s="90">
        <v>46089</v>
      </c>
      <c r="G3180" s="86" t="str">
        <f>VLOOKUP("*"&amp;表格1[[#This Row],[Input]]&amp;"*",'Ref-List'!$B:$D,2,)</f>
        <v>MM2-EM20PC(WH)</v>
      </c>
      <c r="H3180" s="86" t="str">
        <f>_xlfn.XLOOKUP(表格1[[#This Row],[Model]],表格3[Model-Input-Ref2],表格3[Product Line])</f>
        <v>輕觸式微波爐 (20公升)</v>
      </c>
      <c r="I3180" s="86" t="str">
        <f>_xlfn.XLOOKUP(表格1[[#This Row],[Model]],表格3[Model-Input-Ref2],表格3[大小電])</f>
        <v>細電</v>
      </c>
      <c r="J3180" s="86" t="str">
        <f>_xlfn.XLOOKUP(表格1[[#This Row],[Model]],表格3[Model-Input-Ref2],表格3[Code])</f>
        <v>MCA</v>
      </c>
      <c r="K3180" s="89" t="s">
        <v>1276</v>
      </c>
      <c r="L3180" s="86">
        <v>1</v>
      </c>
      <c r="M3180" s="87">
        <v>598</v>
      </c>
      <c r="N3180" s="87">
        <f>IFERROR(表格1[[#This Row],[QTY]]*表格1[[#This Row],[Unit Price]],"-")</f>
        <v>598</v>
      </c>
      <c r="O3180" s="86">
        <v>930308</v>
      </c>
      <c r="R3180" s="86" t="str">
        <f>_xlfn.CONCAT(表格1[[#This Row],[Model]]," ",表格1[[#This Row],[inv no]])</f>
        <v>MM2-EM20PC(WH) 930308</v>
      </c>
      <c r="S3180" s="86">
        <f>_xlfn.XLOOKUP(表格1[[#This Row],[Model]],表格3[Model-Input-Ref2],表格3[SRP PRICE])</f>
        <v>788</v>
      </c>
      <c r="T3180" s="43">
        <f>表格1[[#This Row],[Unit Price]]/表格1[[#This Row],[SRP]]</f>
        <v>0.75888324873096447</v>
      </c>
      <c r="U3180" s="86" t="str">
        <f>_xlfn.XLOOKUP(表格1[[#This Row],[Model]],表格3[Model-Input-Ref2],表格3[TOSHIBA/HIGHEST])</f>
        <v>Toshiba SRP</v>
      </c>
      <c r="W3180" s="86" t="str">
        <f>_xlfn.CONCAT(表格1[[#This Row],[欄4]],表格1[[#This Row],[inv no]])</f>
        <v>930308</v>
      </c>
    </row>
    <row r="3181" spans="1:23" hidden="1">
      <c r="A3181" s="81">
        <v>3179</v>
      </c>
      <c r="B3181" s="86" t="s">
        <v>1477</v>
      </c>
      <c r="C3181" s="86" t="s">
        <v>1959</v>
      </c>
      <c r="D3181" s="82" t="str">
        <f ca="1">OFFSET(Roster!$A$3,MATCH(表格1[[#This Row],[Location]]&amp;" "&amp;表格1[[#This Row],[Shop]]&amp;"*",Roster!$A$4:$A$72,0),DAY(表格1[[#This Row],[date]]),1,1)</f>
        <v>Jaco</v>
      </c>
      <c r="E3181" s="86">
        <f>MONTH(表格1[[#This Row],[date]])</f>
        <v>3</v>
      </c>
      <c r="F3181" s="90">
        <v>46090</v>
      </c>
      <c r="G3181" s="86" t="str">
        <f>VLOOKUP("*"&amp;表格1[[#This Row],[Input]]&amp;"*",'Ref-List'!$B:$D,2,)</f>
        <v>RAD-D300H</v>
      </c>
      <c r="H3181" s="86" t="str">
        <f>_xlfn.XLOOKUP(表格1[[#This Row],[Model]],表格3[Model-Input-Ref2],表格3[Product Line])</f>
        <v>壓縮式抽濕機 (30公升)</v>
      </c>
      <c r="I3181" s="86" t="str">
        <f>_xlfn.XLOOKUP(表格1[[#This Row],[Model]],表格3[Model-Input-Ref2],表格3[大小電])</f>
        <v>細電</v>
      </c>
      <c r="J3181" s="86" t="str">
        <f>_xlfn.XLOOKUP(表格1[[#This Row],[Model]],表格3[Model-Input-Ref2],表格3[Code])</f>
        <v>RAC</v>
      </c>
      <c r="K3181" s="89" t="s">
        <v>1252</v>
      </c>
      <c r="L3181" s="86">
        <v>1</v>
      </c>
      <c r="M3181" s="87">
        <v>2280</v>
      </c>
      <c r="N3181" s="87">
        <f>IFERROR(表格1[[#This Row],[QTY]]*表格1[[#This Row],[Unit Price]],"-")</f>
        <v>2280</v>
      </c>
      <c r="O3181" s="86">
        <v>930373</v>
      </c>
      <c r="R3181" s="86" t="str">
        <f>_xlfn.CONCAT(表格1[[#This Row],[Model]]," ",表格1[[#This Row],[inv no]])</f>
        <v>RAD-D300H 930373</v>
      </c>
      <c r="S3181" s="86">
        <f>_xlfn.XLOOKUP(表格1[[#This Row],[Model]],表格3[Model-Input-Ref2],表格3[SRP PRICE])</f>
        <v>3380</v>
      </c>
      <c r="T3181" s="43">
        <f>表格1[[#This Row],[Unit Price]]/表格1[[#This Row],[SRP]]</f>
        <v>0.67455621301775148</v>
      </c>
      <c r="U3181" s="86" t="str">
        <f>_xlfn.XLOOKUP(表格1[[#This Row],[Model]],表格3[Model-Input-Ref2],表格3[TOSHIBA/HIGHEST])</f>
        <v>Shops Highest Price</v>
      </c>
      <c r="W3181" s="86" t="str">
        <f>_xlfn.CONCAT(表格1[[#This Row],[欄4]],表格1[[#This Row],[inv no]])</f>
        <v>930373</v>
      </c>
    </row>
    <row r="3182" spans="1:23" hidden="1">
      <c r="A3182" s="81">
        <v>3180</v>
      </c>
      <c r="B3182" s="86" t="s">
        <v>1477</v>
      </c>
      <c r="C3182" s="86" t="s">
        <v>1959</v>
      </c>
      <c r="D3182" s="82" t="str">
        <f ca="1">OFFSET(Roster!$A$3,MATCH(表格1[[#This Row],[Location]]&amp;" "&amp;表格1[[#This Row],[Shop]]&amp;"*",Roster!$A$4:$A$72,0),DAY(表格1[[#This Row],[date]]),1,1)</f>
        <v>Jaco</v>
      </c>
      <c r="E3182" s="86">
        <f>MONTH(表格1[[#This Row],[date]])</f>
        <v>3</v>
      </c>
      <c r="F3182" s="90">
        <v>46090</v>
      </c>
      <c r="G3182" s="86" t="str">
        <f>VLOOKUP("*"&amp;表格1[[#This Row],[Input]]&amp;"*",'Ref-List'!$B:$D,2,)</f>
        <v>RAD-D300H</v>
      </c>
      <c r="H3182" s="86" t="str">
        <f>_xlfn.XLOOKUP(表格1[[#This Row],[Model]],表格3[Model-Input-Ref2],表格3[Product Line])</f>
        <v>壓縮式抽濕機 (30公升)</v>
      </c>
      <c r="I3182" s="86" t="str">
        <f>_xlfn.XLOOKUP(表格1[[#This Row],[Model]],表格3[Model-Input-Ref2],表格3[大小電])</f>
        <v>細電</v>
      </c>
      <c r="J3182" s="86" t="str">
        <f>_xlfn.XLOOKUP(表格1[[#This Row],[Model]],表格3[Model-Input-Ref2],表格3[Code])</f>
        <v>RAC</v>
      </c>
      <c r="K3182" s="89" t="s">
        <v>1252</v>
      </c>
      <c r="L3182" s="86">
        <v>1</v>
      </c>
      <c r="M3182" s="87">
        <v>2280</v>
      </c>
      <c r="N3182" s="87">
        <f>IFERROR(表格1[[#This Row],[QTY]]*表格1[[#This Row],[Unit Price]],"-")</f>
        <v>2280</v>
      </c>
      <c r="O3182" s="86">
        <v>930374</v>
      </c>
      <c r="R3182" s="86" t="str">
        <f>_xlfn.CONCAT(表格1[[#This Row],[Model]]," ",表格1[[#This Row],[inv no]])</f>
        <v>RAD-D300H 930374</v>
      </c>
      <c r="S3182" s="86">
        <f>_xlfn.XLOOKUP(表格1[[#This Row],[Model]],表格3[Model-Input-Ref2],表格3[SRP PRICE])</f>
        <v>3380</v>
      </c>
      <c r="T3182" s="43">
        <f>表格1[[#This Row],[Unit Price]]/表格1[[#This Row],[SRP]]</f>
        <v>0.67455621301775148</v>
      </c>
      <c r="U3182" s="86" t="str">
        <f>_xlfn.XLOOKUP(表格1[[#This Row],[Model]],表格3[Model-Input-Ref2],表格3[TOSHIBA/HIGHEST])</f>
        <v>Shops Highest Price</v>
      </c>
      <c r="W3182" s="86" t="str">
        <f>_xlfn.CONCAT(表格1[[#This Row],[欄4]],表格1[[#This Row],[inv no]])</f>
        <v>930374</v>
      </c>
    </row>
    <row r="3183" spans="1:23" hidden="1">
      <c r="A3183" s="81">
        <v>3181</v>
      </c>
      <c r="B3183" s="86" t="s">
        <v>1477</v>
      </c>
      <c r="C3183" s="86" t="s">
        <v>1959</v>
      </c>
      <c r="D3183" s="82" t="str">
        <f ca="1">OFFSET(Roster!$A$3,MATCH(表格1[[#This Row],[Location]]&amp;" "&amp;表格1[[#This Row],[Shop]]&amp;"*",Roster!$A$4:$A$72,0),DAY(表格1[[#This Row],[date]]),1,1)</f>
        <v>Jaco</v>
      </c>
      <c r="E3183" s="86">
        <f>MONTH(表格1[[#This Row],[date]])</f>
        <v>3</v>
      </c>
      <c r="F3183" s="90">
        <v>46090</v>
      </c>
      <c r="G3183" s="86" t="str">
        <f>VLOOKUP("*"&amp;表格1[[#This Row],[Input]]&amp;"*",'Ref-List'!$B:$D,2,)</f>
        <v>RAD-D300H</v>
      </c>
      <c r="H3183" s="86" t="str">
        <f>_xlfn.XLOOKUP(表格1[[#This Row],[Model]],表格3[Model-Input-Ref2],表格3[Product Line])</f>
        <v>壓縮式抽濕機 (30公升)</v>
      </c>
      <c r="I3183" s="86" t="str">
        <f>_xlfn.XLOOKUP(表格1[[#This Row],[Model]],表格3[Model-Input-Ref2],表格3[大小電])</f>
        <v>細電</v>
      </c>
      <c r="J3183" s="86" t="str">
        <f>_xlfn.XLOOKUP(表格1[[#This Row],[Model]],表格3[Model-Input-Ref2],表格3[Code])</f>
        <v>RAC</v>
      </c>
      <c r="K3183" s="89" t="s">
        <v>1252</v>
      </c>
      <c r="L3183" s="86">
        <v>1</v>
      </c>
      <c r="M3183" s="87">
        <v>2280</v>
      </c>
      <c r="N3183" s="87">
        <f>IFERROR(表格1[[#This Row],[QTY]]*表格1[[#This Row],[Unit Price]],"-")</f>
        <v>2280</v>
      </c>
      <c r="O3183" s="86">
        <v>930375</v>
      </c>
      <c r="R3183" s="86" t="str">
        <f>_xlfn.CONCAT(表格1[[#This Row],[Model]]," ",表格1[[#This Row],[inv no]])</f>
        <v>RAD-D300H 930375</v>
      </c>
      <c r="S3183" s="86">
        <f>_xlfn.XLOOKUP(表格1[[#This Row],[Model]],表格3[Model-Input-Ref2],表格3[SRP PRICE])</f>
        <v>3380</v>
      </c>
      <c r="T3183" s="43">
        <f>表格1[[#This Row],[Unit Price]]/表格1[[#This Row],[SRP]]</f>
        <v>0.67455621301775148</v>
      </c>
      <c r="U3183" s="86" t="str">
        <f>_xlfn.XLOOKUP(表格1[[#This Row],[Model]],表格3[Model-Input-Ref2],表格3[TOSHIBA/HIGHEST])</f>
        <v>Shops Highest Price</v>
      </c>
      <c r="W3183" s="86" t="str">
        <f>_xlfn.CONCAT(表格1[[#This Row],[欄4]],表格1[[#This Row],[inv no]])</f>
        <v>930375</v>
      </c>
    </row>
    <row r="3184" spans="1:23" hidden="1">
      <c r="A3184" s="81">
        <v>3182</v>
      </c>
      <c r="B3184" s="86" t="s">
        <v>1477</v>
      </c>
      <c r="C3184" s="86" t="s">
        <v>1959</v>
      </c>
      <c r="D3184" s="82" t="str">
        <f ca="1">OFFSET(Roster!$A$3,MATCH(表格1[[#This Row],[Location]]&amp;" "&amp;表格1[[#This Row],[Shop]]&amp;"*",Roster!$A$4:$A$72,0),DAY(表格1[[#This Row],[date]]),1,1)</f>
        <v>Jaco</v>
      </c>
      <c r="E3184" s="86">
        <f>MONTH(表格1[[#This Row],[date]])</f>
        <v>3</v>
      </c>
      <c r="F3184" s="90">
        <v>46091</v>
      </c>
      <c r="G3184" s="86" t="str">
        <f>VLOOKUP("*"&amp;表格1[[#This Row],[Input]]&amp;"*",'Ref-List'!$B:$D,2,)</f>
        <v>RC-DR18T(W)</v>
      </c>
      <c r="H3184" s="86" t="str">
        <f>_xlfn.XLOOKUP(表格1[[#This Row],[Model]],表格3[Model-Input-Ref2],表格3[Product Line])</f>
        <v>IH磁應電飯煲
鑽石銅鍋</v>
      </c>
      <c r="I3184" s="86" t="str">
        <f>_xlfn.XLOOKUP(表格1[[#This Row],[Model]],表格3[Model-Input-Ref2],表格3[大小電])</f>
        <v>細電</v>
      </c>
      <c r="J3184" s="86" t="str">
        <f>_xlfn.XLOOKUP(表格1[[#This Row],[Model]],表格3[Model-Input-Ref2],表格3[Code])</f>
        <v>SDA</v>
      </c>
      <c r="K3184" s="89" t="s">
        <v>1378</v>
      </c>
      <c r="L3184" s="86">
        <v>1</v>
      </c>
      <c r="M3184" s="87">
        <v>2800</v>
      </c>
      <c r="N3184" s="87">
        <f>IFERROR(表格1[[#This Row],[QTY]]*表格1[[#This Row],[Unit Price]],"-")</f>
        <v>2800</v>
      </c>
      <c r="O3184" s="86">
        <v>1023270</v>
      </c>
      <c r="R3184" s="86" t="str">
        <f>_xlfn.CONCAT(表格1[[#This Row],[Model]]," ",表格1[[#This Row],[inv no]])</f>
        <v>RC-DR18T(W) 1023270</v>
      </c>
      <c r="S3184" s="86">
        <f>_xlfn.XLOOKUP(表格1[[#This Row],[Model]],表格3[Model-Input-Ref2],表格3[SRP PRICE])</f>
        <v>3588</v>
      </c>
      <c r="T3184" s="43">
        <f>表格1[[#This Row],[Unit Price]]/表格1[[#This Row],[SRP]]</f>
        <v>0.78037904124860646</v>
      </c>
      <c r="U3184" s="86" t="str">
        <f>_xlfn.XLOOKUP(表格1[[#This Row],[Model]],表格3[Model-Input-Ref2],表格3[TOSHIBA/HIGHEST])</f>
        <v>Toshiba SRP</v>
      </c>
      <c r="W3184" s="86" t="str">
        <f>_xlfn.CONCAT(表格1[[#This Row],[欄4]],表格1[[#This Row],[inv no]])</f>
        <v>1023270</v>
      </c>
    </row>
    <row r="3185" spans="1:23" hidden="1">
      <c r="A3185" s="81">
        <v>3183</v>
      </c>
      <c r="B3185" s="86" t="s">
        <v>1477</v>
      </c>
      <c r="C3185" s="86" t="s">
        <v>1959</v>
      </c>
      <c r="D3185" s="82" t="str">
        <f ca="1">OFFSET(Roster!$A$3,MATCH(表格1[[#This Row],[Location]]&amp;" "&amp;表格1[[#This Row],[Shop]]&amp;"*",Roster!$A$4:$A$72,0),DAY(表格1[[#This Row],[date]]),1,1)</f>
        <v>Jaco</v>
      </c>
      <c r="E3185" s="86">
        <f>MONTH(表格1[[#This Row],[date]])</f>
        <v>3</v>
      </c>
      <c r="F3185" s="90">
        <v>46091</v>
      </c>
      <c r="G3185" s="86" t="str">
        <f>VLOOKUP("*"&amp;表格1[[#This Row],[Input]]&amp;"*",'Ref-List'!$B:$D,2,)</f>
        <v>MWP-MM20P(WH)</v>
      </c>
      <c r="H3185" s="86" t="str">
        <f>_xlfn.XLOOKUP(表格1[[#This Row],[Model]],表格3[Model-Input-Ref2],表格3[Product Line])</f>
        <v>旋鈕式燒烤微波爐20L</v>
      </c>
      <c r="I3185" s="86" t="str">
        <f>_xlfn.XLOOKUP(表格1[[#This Row],[Model]],表格3[Model-Input-Ref2],表格3[大小電])</f>
        <v>細電</v>
      </c>
      <c r="J3185" s="86" t="str">
        <f>_xlfn.XLOOKUP(表格1[[#This Row],[Model]],表格3[Model-Input-Ref2],表格3[Code])</f>
        <v>SDA</v>
      </c>
      <c r="K3185" s="89" t="s">
        <v>1270</v>
      </c>
      <c r="L3185" s="86">
        <v>1</v>
      </c>
      <c r="M3185" s="87">
        <v>488</v>
      </c>
      <c r="N3185" s="87">
        <f>IFERROR(表格1[[#This Row],[QTY]]*表格1[[#This Row],[Unit Price]],"-")</f>
        <v>488</v>
      </c>
      <c r="O3185" s="86">
        <v>1023261</v>
      </c>
      <c r="R3185" s="86" t="str">
        <f>_xlfn.CONCAT(表格1[[#This Row],[Model]]," ",表格1[[#This Row],[inv no]])</f>
        <v>MWP-MM20P(WH) 1023261</v>
      </c>
      <c r="S3185" s="86">
        <f>_xlfn.XLOOKUP(表格1[[#This Row],[Model]],表格3[Model-Input-Ref2],表格3[SRP PRICE])</f>
        <v>648</v>
      </c>
      <c r="T3185" s="43">
        <f>表格1[[#This Row],[Unit Price]]/表格1[[#This Row],[SRP]]</f>
        <v>0.75308641975308643</v>
      </c>
      <c r="U3185" s="86" t="str">
        <f>_xlfn.XLOOKUP(表格1[[#This Row],[Model]],表格3[Model-Input-Ref2],表格3[TOSHIBA/HIGHEST])</f>
        <v>Toshiba SRP</v>
      </c>
      <c r="W3185" s="86" t="str">
        <f>_xlfn.CONCAT(表格1[[#This Row],[欄4]],表格1[[#This Row],[inv no]])</f>
        <v>1023261</v>
      </c>
    </row>
    <row r="3186" spans="1:23" hidden="1">
      <c r="A3186" s="81">
        <v>3184</v>
      </c>
      <c r="B3186" s="86" t="s">
        <v>1477</v>
      </c>
      <c r="C3186" s="86" t="s">
        <v>1959</v>
      </c>
      <c r="D3186" s="82" t="str">
        <f ca="1">OFFSET(Roster!$A$3,MATCH(表格1[[#This Row],[Location]]&amp;" "&amp;表格1[[#This Row],[Shop]]&amp;"*",Roster!$A$4:$A$72,0),DAY(表格1[[#This Row],[date]]),1,1)</f>
        <v>Jaco</v>
      </c>
      <c r="E3186" s="86">
        <f>MONTH(表格1[[#This Row],[date]])</f>
        <v>3</v>
      </c>
      <c r="F3186" s="90">
        <v>46091</v>
      </c>
      <c r="G3186" s="86" t="str">
        <f>VLOOKUP("*"&amp;表格1[[#This Row],[Input]]&amp;"*",'Ref-List'!$B:$D,2,)</f>
        <v>MV-AG21TF(BK)</v>
      </c>
      <c r="H3186" s="86" t="str">
        <f>_xlfn.XLOOKUP(表格1[[#This Row],[Model]],表格3[Model-Input-Ref2],表格3[Product Line])</f>
        <v>燒烤微波爐21L</v>
      </c>
      <c r="I3186" s="86" t="str">
        <f>_xlfn.XLOOKUP(表格1[[#This Row],[Model]],表格3[Model-Input-Ref2],表格3[大小電])</f>
        <v>細電</v>
      </c>
      <c r="J3186" s="86" t="str">
        <f>_xlfn.XLOOKUP(表格1[[#This Row],[Model]],表格3[Model-Input-Ref2],表格3[Code])</f>
        <v>SDA</v>
      </c>
      <c r="K3186" s="89" t="s">
        <v>1486</v>
      </c>
      <c r="L3186" s="86">
        <v>1</v>
      </c>
      <c r="M3186" s="87">
        <v>798</v>
      </c>
      <c r="N3186" s="87">
        <f>IFERROR(表格1[[#This Row],[QTY]]*表格1[[#This Row],[Unit Price]],"-")</f>
        <v>798</v>
      </c>
      <c r="O3186" s="86">
        <v>930496</v>
      </c>
      <c r="R3186" s="86" t="str">
        <f>_xlfn.CONCAT(表格1[[#This Row],[Model]]," ",表格1[[#This Row],[inv no]])</f>
        <v>MV-AG21TF(BK) 930496</v>
      </c>
      <c r="S3186" s="86">
        <f>_xlfn.XLOOKUP(表格1[[#This Row],[Model]],表格3[Model-Input-Ref2],表格3[SRP PRICE])</f>
        <v>1098</v>
      </c>
      <c r="T3186" s="43">
        <f>表格1[[#This Row],[Unit Price]]/表格1[[#This Row],[SRP]]</f>
        <v>0.72677595628415304</v>
      </c>
      <c r="U3186" s="86" t="str">
        <f>_xlfn.XLOOKUP(表格1[[#This Row],[Model]],表格3[Model-Input-Ref2],表格3[TOSHIBA/HIGHEST])</f>
        <v>Toshiba SRP</v>
      </c>
      <c r="W3186" s="86" t="str">
        <f>_xlfn.CONCAT(表格1[[#This Row],[欄4]],表格1[[#This Row],[inv no]])</f>
        <v>930496</v>
      </c>
    </row>
    <row r="3187" spans="1:23" hidden="1">
      <c r="A3187" s="81">
        <v>3185</v>
      </c>
      <c r="B3187" s="86" t="s">
        <v>1477</v>
      </c>
      <c r="C3187" s="86" t="s">
        <v>1959</v>
      </c>
      <c r="D3187" s="82" t="str">
        <f ca="1">OFFSET(Roster!$A$3,MATCH(表格1[[#This Row],[Location]]&amp;" "&amp;表格1[[#This Row],[Shop]]&amp;"*",Roster!$A$4:$A$72,0),DAY(表格1[[#This Row],[date]]),1,1)</f>
        <v>Jaco</v>
      </c>
      <c r="E3187" s="86">
        <f>MONTH(表格1[[#This Row],[date]])</f>
        <v>3</v>
      </c>
      <c r="F3187" s="90">
        <v>46091</v>
      </c>
      <c r="G3187" s="86" t="str">
        <f>VLOOKUP("*"&amp;表格1[[#This Row],[Input]]&amp;"*",'Ref-List'!$B:$D,2,)</f>
        <v>MM2-EM20PC(WH)</v>
      </c>
      <c r="H3187" s="86" t="str">
        <f>_xlfn.XLOOKUP(表格1[[#This Row],[Model]],表格3[Model-Input-Ref2],表格3[Product Line])</f>
        <v>輕觸式微波爐 (20公升)</v>
      </c>
      <c r="I3187" s="86" t="str">
        <f>_xlfn.XLOOKUP(表格1[[#This Row],[Model]],表格3[Model-Input-Ref2],表格3[大小電])</f>
        <v>細電</v>
      </c>
      <c r="J3187" s="86" t="str">
        <f>_xlfn.XLOOKUP(表格1[[#This Row],[Model]],表格3[Model-Input-Ref2],表格3[Code])</f>
        <v>MCA</v>
      </c>
      <c r="K3187" s="89" t="s">
        <v>1276</v>
      </c>
      <c r="L3187" s="86">
        <v>1</v>
      </c>
      <c r="M3187" s="87">
        <v>598</v>
      </c>
      <c r="N3187" s="87">
        <f>IFERROR(表格1[[#This Row],[QTY]]*表格1[[#This Row],[Unit Price]],"-")</f>
        <v>598</v>
      </c>
      <c r="O3187" s="86">
        <v>930520</v>
      </c>
      <c r="R3187" s="86" t="str">
        <f>_xlfn.CONCAT(表格1[[#This Row],[Model]]," ",表格1[[#This Row],[inv no]])</f>
        <v>MM2-EM20PC(WH) 930520</v>
      </c>
      <c r="S3187" s="86">
        <f>_xlfn.XLOOKUP(表格1[[#This Row],[Model]],表格3[Model-Input-Ref2],表格3[SRP PRICE])</f>
        <v>788</v>
      </c>
      <c r="T3187" s="43">
        <f>表格1[[#This Row],[Unit Price]]/表格1[[#This Row],[SRP]]</f>
        <v>0.75888324873096447</v>
      </c>
      <c r="U3187" s="86" t="str">
        <f>_xlfn.XLOOKUP(表格1[[#This Row],[Model]],表格3[Model-Input-Ref2],表格3[TOSHIBA/HIGHEST])</f>
        <v>Toshiba SRP</v>
      </c>
      <c r="W3187" s="86" t="str">
        <f>_xlfn.CONCAT(表格1[[#This Row],[欄4]],表格1[[#This Row],[inv no]])</f>
        <v>930520</v>
      </c>
    </row>
    <row r="3188" spans="1:23" hidden="1">
      <c r="A3188" s="81">
        <v>3186</v>
      </c>
      <c r="B3188" s="86" t="s">
        <v>1477</v>
      </c>
      <c r="C3188" s="86" t="s">
        <v>1959</v>
      </c>
      <c r="D3188" s="82" t="str">
        <f ca="1">OFFSET(Roster!$A$3,MATCH(表格1[[#This Row],[Location]]&amp;" "&amp;表格1[[#This Row],[Shop]]&amp;"*",Roster!$A$4:$A$72,0),DAY(表格1[[#This Row],[date]]),1,1)</f>
        <v>Jaco</v>
      </c>
      <c r="E3188" s="86">
        <f>MONTH(表格1[[#This Row],[date]])</f>
        <v>3</v>
      </c>
      <c r="F3188" s="90">
        <v>46091</v>
      </c>
      <c r="G3188" s="86" t="str">
        <f>VLOOKUP("*"&amp;表格1[[#This Row],[Input]]&amp;"*",'Ref-List'!$B:$D,2,)</f>
        <v>RAD-D300H</v>
      </c>
      <c r="H3188" s="86" t="str">
        <f>_xlfn.XLOOKUP(表格1[[#This Row],[Model]],表格3[Model-Input-Ref2],表格3[Product Line])</f>
        <v>壓縮式抽濕機 (30公升)</v>
      </c>
      <c r="I3188" s="86" t="str">
        <f>_xlfn.XLOOKUP(表格1[[#This Row],[Model]],表格3[Model-Input-Ref2],表格3[大小電])</f>
        <v>細電</v>
      </c>
      <c r="J3188" s="86" t="str">
        <f>_xlfn.XLOOKUP(表格1[[#This Row],[Model]],表格3[Model-Input-Ref2],表格3[Code])</f>
        <v>RAC</v>
      </c>
      <c r="K3188" s="89" t="s">
        <v>1252</v>
      </c>
      <c r="L3188" s="86">
        <v>1</v>
      </c>
      <c r="M3188" s="87">
        <v>2280</v>
      </c>
      <c r="N3188" s="87">
        <f>IFERROR(表格1[[#This Row],[QTY]]*表格1[[#This Row],[Unit Price]],"-")</f>
        <v>2280</v>
      </c>
      <c r="O3188" s="86">
        <v>930468</v>
      </c>
      <c r="R3188" s="86" t="str">
        <f>_xlfn.CONCAT(表格1[[#This Row],[Model]]," ",表格1[[#This Row],[inv no]])</f>
        <v>RAD-D300H 930468</v>
      </c>
      <c r="S3188" s="86">
        <f>_xlfn.XLOOKUP(表格1[[#This Row],[Model]],表格3[Model-Input-Ref2],表格3[SRP PRICE])</f>
        <v>3380</v>
      </c>
      <c r="T3188" s="43">
        <f>表格1[[#This Row],[Unit Price]]/表格1[[#This Row],[SRP]]</f>
        <v>0.67455621301775148</v>
      </c>
      <c r="U3188" s="86" t="str">
        <f>_xlfn.XLOOKUP(表格1[[#This Row],[Model]],表格3[Model-Input-Ref2],表格3[TOSHIBA/HIGHEST])</f>
        <v>Shops Highest Price</v>
      </c>
      <c r="W3188" s="86" t="str">
        <f>_xlfn.CONCAT(表格1[[#This Row],[欄4]],表格1[[#This Row],[inv no]])</f>
        <v>930468</v>
      </c>
    </row>
    <row r="3189" spans="1:23" hidden="1">
      <c r="A3189" s="81">
        <v>3187</v>
      </c>
      <c r="B3189" s="86" t="s">
        <v>1477</v>
      </c>
      <c r="C3189" s="86" t="s">
        <v>1959</v>
      </c>
      <c r="D3189" s="82" t="str">
        <f ca="1">OFFSET(Roster!$A$3,MATCH(表格1[[#This Row],[Location]]&amp;" "&amp;表格1[[#This Row],[Shop]]&amp;"*",Roster!$A$4:$A$72,0),DAY(表格1[[#This Row],[date]]),1,1)</f>
        <v>Jaco</v>
      </c>
      <c r="E3189" s="86">
        <f>MONTH(表格1[[#This Row],[date]])</f>
        <v>3</v>
      </c>
      <c r="F3189" s="90">
        <v>46091</v>
      </c>
      <c r="G3189" s="86" t="str">
        <f>VLOOKUP("*"&amp;表格1[[#This Row],[Input]]&amp;"*",'Ref-List'!$B:$D,2,)</f>
        <v>RAD-D300H</v>
      </c>
      <c r="H3189" s="86" t="str">
        <f>_xlfn.XLOOKUP(表格1[[#This Row],[Model]],表格3[Model-Input-Ref2],表格3[Product Line])</f>
        <v>壓縮式抽濕機 (30公升)</v>
      </c>
      <c r="I3189" s="86" t="str">
        <f>_xlfn.XLOOKUP(表格1[[#This Row],[Model]],表格3[Model-Input-Ref2],表格3[大小電])</f>
        <v>細電</v>
      </c>
      <c r="J3189" s="86" t="str">
        <f>_xlfn.XLOOKUP(表格1[[#This Row],[Model]],表格3[Model-Input-Ref2],表格3[Code])</f>
        <v>RAC</v>
      </c>
      <c r="K3189" s="89" t="s">
        <v>1252</v>
      </c>
      <c r="L3189" s="86">
        <v>1</v>
      </c>
      <c r="M3189" s="87">
        <v>2280</v>
      </c>
      <c r="N3189" s="87">
        <f>IFERROR(表格1[[#This Row],[QTY]]*表格1[[#This Row],[Unit Price]],"-")</f>
        <v>2280</v>
      </c>
      <c r="O3189" s="86">
        <v>930482</v>
      </c>
      <c r="R3189" s="86" t="str">
        <f>_xlfn.CONCAT(表格1[[#This Row],[Model]]," ",表格1[[#This Row],[inv no]])</f>
        <v>RAD-D300H 930482</v>
      </c>
      <c r="S3189" s="86">
        <f>_xlfn.XLOOKUP(表格1[[#This Row],[Model]],表格3[Model-Input-Ref2],表格3[SRP PRICE])</f>
        <v>3380</v>
      </c>
      <c r="T3189" s="43">
        <f>表格1[[#This Row],[Unit Price]]/表格1[[#This Row],[SRP]]</f>
        <v>0.67455621301775148</v>
      </c>
      <c r="U3189" s="86" t="str">
        <f>_xlfn.XLOOKUP(表格1[[#This Row],[Model]],表格3[Model-Input-Ref2],表格3[TOSHIBA/HIGHEST])</f>
        <v>Shops Highest Price</v>
      </c>
      <c r="W3189" s="86" t="str">
        <f>_xlfn.CONCAT(表格1[[#This Row],[欄4]],表格1[[#This Row],[inv no]])</f>
        <v>930482</v>
      </c>
    </row>
    <row r="3190" spans="1:23" hidden="1">
      <c r="A3190" s="81">
        <v>3188</v>
      </c>
      <c r="B3190" s="86" t="s">
        <v>1477</v>
      </c>
      <c r="C3190" s="86" t="s">
        <v>1959</v>
      </c>
      <c r="D3190" s="82" t="str">
        <f ca="1">OFFSET(Roster!$A$3,MATCH(表格1[[#This Row],[Location]]&amp;" "&amp;表格1[[#This Row],[Shop]]&amp;"*",Roster!$A$4:$A$72,0),DAY(表格1[[#This Row],[date]]),1,1)</f>
        <v>Jaco</v>
      </c>
      <c r="E3190" s="86">
        <f>MONTH(表格1[[#This Row],[date]])</f>
        <v>3</v>
      </c>
      <c r="F3190" s="90">
        <v>46091</v>
      </c>
      <c r="G3190" s="86" t="str">
        <f>VLOOKUP("*"&amp;表格1[[#This Row],[Input]]&amp;"*",'Ref-List'!$B:$D,2,)</f>
        <v>RC-10NMFIH(WT)</v>
      </c>
      <c r="H3190" s="86" t="str">
        <f>_xlfn.XLOOKUP(表格1[[#This Row],[Model]],表格3[Model-Input-Ref2],表格3[Product Line])</f>
        <v>4毫米厚釜電飯煲1L</v>
      </c>
      <c r="I3190" s="86" t="str">
        <f>_xlfn.XLOOKUP(表格1[[#This Row],[Model]],表格3[Model-Input-Ref2],表格3[大小電])</f>
        <v>細電</v>
      </c>
      <c r="J3190" s="86" t="str">
        <f>_xlfn.XLOOKUP(表格1[[#This Row],[Model]],表格3[Model-Input-Ref2],表格3[Code])</f>
        <v>SDA</v>
      </c>
      <c r="K3190" s="89" t="s">
        <v>1244</v>
      </c>
      <c r="L3190" s="86">
        <v>1</v>
      </c>
      <c r="M3190" s="87">
        <v>719</v>
      </c>
      <c r="N3190" s="87">
        <f>IFERROR(表格1[[#This Row],[QTY]]*表格1[[#This Row],[Unit Price]],"-")</f>
        <v>719</v>
      </c>
      <c r="O3190" s="86">
        <v>930498</v>
      </c>
      <c r="R3190" s="86" t="str">
        <f>_xlfn.CONCAT(表格1[[#This Row],[Model]]," ",表格1[[#This Row],[inv no]])</f>
        <v>RC-10NMFIH(WT) 930498</v>
      </c>
      <c r="S3190" s="86">
        <f>_xlfn.XLOOKUP(表格1[[#This Row],[Model]],表格3[Model-Input-Ref2],表格3[SRP PRICE])</f>
        <v>898</v>
      </c>
      <c r="T3190" s="43">
        <f>表格1[[#This Row],[Unit Price]]/表格1[[#This Row],[SRP]]</f>
        <v>0.80066815144766146</v>
      </c>
      <c r="U3190" s="86" t="str">
        <f>_xlfn.XLOOKUP(表格1[[#This Row],[Model]],表格3[Model-Input-Ref2],表格3[TOSHIBA/HIGHEST])</f>
        <v>Toshiba SRP</v>
      </c>
      <c r="W3190" s="86" t="str">
        <f>_xlfn.CONCAT(表格1[[#This Row],[欄4]],表格1[[#This Row],[inv no]])</f>
        <v>930498</v>
      </c>
    </row>
    <row r="3191" spans="1:23" hidden="1">
      <c r="A3191" s="81">
        <v>3189</v>
      </c>
      <c r="B3191" s="86" t="s">
        <v>1477</v>
      </c>
      <c r="C3191" s="86" t="s">
        <v>1959</v>
      </c>
      <c r="D3191" s="82" t="str">
        <f ca="1">OFFSET(Roster!$A$3,MATCH(表格1[[#This Row],[Location]]&amp;" "&amp;表格1[[#This Row],[Shop]]&amp;"*",Roster!$A$4:$A$72,0),DAY(表格1[[#This Row],[date]]),1,1)</f>
        <v>Jaco</v>
      </c>
      <c r="E3191" s="86">
        <f>MONTH(表格1[[#This Row],[date]])</f>
        <v>3</v>
      </c>
      <c r="F3191" s="90">
        <v>46091</v>
      </c>
      <c r="G3191" s="86" t="str">
        <f>VLOOKUP("*"&amp;表格1[[#This Row],[Input]]&amp;"*",'Ref-List'!$B:$D,2,)</f>
        <v>ET-TD7080(PN)</v>
      </c>
      <c r="H3191" s="86" t="str">
        <f>_xlfn.XLOOKUP(表格1[[#This Row],[Model]],表格3[Model-Input-Ref2],表格3[Product Line])</f>
        <v>多士焗爐8L</v>
      </c>
      <c r="I3191" s="86" t="str">
        <f>_xlfn.XLOOKUP(表格1[[#This Row],[Model]],表格3[Model-Input-Ref2],表格3[大小電])</f>
        <v>細電</v>
      </c>
      <c r="J3191" s="86" t="str">
        <f>_xlfn.XLOOKUP(表格1[[#This Row],[Model]],表格3[Model-Input-Ref2],表格3[Code])</f>
        <v>SDA</v>
      </c>
      <c r="K3191" s="89">
        <v>7080</v>
      </c>
      <c r="L3191" s="86">
        <v>1</v>
      </c>
      <c r="M3191" s="87">
        <v>318</v>
      </c>
      <c r="N3191" s="87">
        <f>IFERROR(表格1[[#This Row],[QTY]]*表格1[[#This Row],[Unit Price]],"-")</f>
        <v>318</v>
      </c>
      <c r="O3191" s="86">
        <v>930479</v>
      </c>
      <c r="R3191" s="86" t="str">
        <f>_xlfn.CONCAT(表格1[[#This Row],[Model]]," ",表格1[[#This Row],[inv no]])</f>
        <v>ET-TD7080(PN) 930479</v>
      </c>
      <c r="S3191" s="86">
        <f>_xlfn.XLOOKUP(表格1[[#This Row],[Model]],表格3[Model-Input-Ref2],表格3[SRP PRICE])</f>
        <v>498</v>
      </c>
      <c r="T3191" s="43">
        <f>表格1[[#This Row],[Unit Price]]/表格1[[#This Row],[SRP]]</f>
        <v>0.63855421686746983</v>
      </c>
      <c r="U3191" s="86" t="str">
        <f>_xlfn.XLOOKUP(表格1[[#This Row],[Model]],表格3[Model-Input-Ref2],表格3[TOSHIBA/HIGHEST])</f>
        <v>Toshiba SRP</v>
      </c>
      <c r="W3191" s="86" t="str">
        <f>_xlfn.CONCAT(表格1[[#This Row],[欄4]],表格1[[#This Row],[inv no]])</f>
        <v>930479</v>
      </c>
    </row>
    <row r="3192" spans="1:23" hidden="1">
      <c r="A3192" s="81">
        <v>3190</v>
      </c>
      <c r="B3192" s="86" t="s">
        <v>1477</v>
      </c>
      <c r="C3192" s="86" t="s">
        <v>1959</v>
      </c>
      <c r="D3192" s="82" t="str">
        <f ca="1">OFFSET(Roster!$A$3,MATCH(表格1[[#This Row],[Location]]&amp;" "&amp;表格1[[#This Row],[Shop]]&amp;"*",Roster!$A$4:$A$72,0),DAY(表格1[[#This Row],[date]]),1,1)</f>
        <v>Jaco</v>
      </c>
      <c r="E3192" s="86">
        <f>MONTH(表格1[[#This Row],[date]])</f>
        <v>3</v>
      </c>
      <c r="F3192" s="90">
        <v>46091</v>
      </c>
      <c r="G3192" s="86" t="str">
        <f>VLOOKUP("*"&amp;表格1[[#This Row],[Input]]&amp;"*",'Ref-List'!$B:$D,2,)</f>
        <v>AW-Q800APH(WW)</v>
      </c>
      <c r="H3192" s="86" t="str">
        <f>_xlfn.XLOOKUP(表格1[[#This Row],[Model]],表格3[Model-Input-Ref2],表格3[Product Line])</f>
        <v>日式洗衣機 (7公斤 結合高低水位)</v>
      </c>
      <c r="I3192" s="86" t="str">
        <f>_xlfn.XLOOKUP(表格1[[#This Row],[Model]],表格3[Model-Input-Ref2],表格3[大小電])</f>
        <v>大電</v>
      </c>
      <c r="J3192" s="86" t="str">
        <f>_xlfn.XLOOKUP(表格1[[#This Row],[Model]],表格3[Model-Input-Ref2],表格3[Code])</f>
        <v>LAD</v>
      </c>
      <c r="K3192" s="89" t="s">
        <v>1479</v>
      </c>
      <c r="L3192" s="86">
        <v>1</v>
      </c>
      <c r="M3192" s="87">
        <v>1980</v>
      </c>
      <c r="N3192" s="87">
        <f>IFERROR(表格1[[#This Row],[QTY]]*表格1[[#This Row],[Unit Price]],"-")</f>
        <v>1980</v>
      </c>
      <c r="O3192" s="86">
        <v>930523</v>
      </c>
      <c r="R3192" s="86" t="str">
        <f>_xlfn.CONCAT(表格1[[#This Row],[Model]]," ",表格1[[#This Row],[inv no]])</f>
        <v>AW-Q800APH(WW) 930523</v>
      </c>
      <c r="S3192" s="86">
        <f>_xlfn.XLOOKUP(表格1[[#This Row],[Model]],表格3[Model-Input-Ref2],表格3[SRP PRICE])</f>
        <v>3580</v>
      </c>
      <c r="T3192" s="43">
        <f>表格1[[#This Row],[Unit Price]]/表格1[[#This Row],[SRP]]</f>
        <v>0.55307262569832405</v>
      </c>
      <c r="U3192" s="86" t="str">
        <f>_xlfn.XLOOKUP(表格1[[#This Row],[Model]],表格3[Model-Input-Ref2],表格3[TOSHIBA/HIGHEST])</f>
        <v>Toshiba SRP</v>
      </c>
      <c r="W3192" s="86" t="str">
        <f>_xlfn.CONCAT(表格1[[#This Row],[欄4]],表格1[[#This Row],[inv no]])</f>
        <v>930523</v>
      </c>
    </row>
    <row r="3193" spans="1:23" hidden="1">
      <c r="A3193" s="81">
        <v>3191</v>
      </c>
      <c r="B3193" s="86" t="s">
        <v>1477</v>
      </c>
      <c r="C3193" s="86" t="s">
        <v>1959</v>
      </c>
      <c r="D3193" s="82" t="str">
        <f ca="1">OFFSET(Roster!$A$3,MATCH(表格1[[#This Row],[Location]]&amp;" "&amp;表格1[[#This Row],[Shop]]&amp;"*",Roster!$A$4:$A$72,0),DAY(表格1[[#This Row],[date]]),1,1)</f>
        <v>Jaco</v>
      </c>
      <c r="E3193" s="86">
        <f>MONTH(表格1[[#This Row],[date]])</f>
        <v>3</v>
      </c>
      <c r="F3193" s="90">
        <v>46091</v>
      </c>
      <c r="G3193" s="86" t="str">
        <f>VLOOKUP("*"&amp;表格1[[#This Row],[Input]]&amp;"*",'Ref-List'!$B:$D,2,)</f>
        <v>GR-RB221WE-PMA(57)</v>
      </c>
      <c r="H3193" s="86" t="str">
        <f>_xlfn.XLOOKUP(表格1[[#This Row],[Model]],表格3[Model-Input-Ref2],表格3[Product Line])</f>
        <v>變頻下置式雙門雪櫃（163L）</v>
      </c>
      <c r="I3193" s="86" t="str">
        <f>_xlfn.XLOOKUP(表格1[[#This Row],[Model]],表格3[Model-Input-Ref2],表格3[大小電])</f>
        <v>大電</v>
      </c>
      <c r="J3193" s="86" t="str">
        <f>_xlfn.XLOOKUP(表格1[[#This Row],[Model]],表格3[Model-Input-Ref2],表格3[Code])</f>
        <v>REF</v>
      </c>
      <c r="K3193" s="89" t="s">
        <v>1386</v>
      </c>
      <c r="L3193" s="86">
        <v>1</v>
      </c>
      <c r="M3193" s="87">
        <v>1880</v>
      </c>
      <c r="N3193" s="87">
        <f>IFERROR(表格1[[#This Row],[QTY]]*表格1[[#This Row],[Unit Price]],"-")</f>
        <v>1880</v>
      </c>
      <c r="O3193" s="86">
        <v>930523</v>
      </c>
      <c r="R3193" s="86" t="str">
        <f>_xlfn.CONCAT(表格1[[#This Row],[Model]]," ",表格1[[#This Row],[inv no]])</f>
        <v>GR-RB221WE-PMA(57) 930523</v>
      </c>
      <c r="S3193" s="86">
        <f>_xlfn.XLOOKUP(表格1[[#This Row],[Model]],表格3[Model-Input-Ref2],表格3[SRP PRICE])</f>
        <v>3480</v>
      </c>
      <c r="T3193" s="43">
        <f>表格1[[#This Row],[Unit Price]]/表格1[[#This Row],[SRP]]</f>
        <v>0.54022988505747127</v>
      </c>
      <c r="U3193" s="86" t="str">
        <f>_xlfn.XLOOKUP(表格1[[#This Row],[Model]],表格3[Model-Input-Ref2],表格3[TOSHIBA/HIGHEST])</f>
        <v>Toshiba SRP</v>
      </c>
      <c r="W3193" s="86" t="str">
        <f>_xlfn.CONCAT(表格1[[#This Row],[欄4]],表格1[[#This Row],[inv no]])</f>
        <v>930523</v>
      </c>
    </row>
    <row r="3194" spans="1:23" hidden="1">
      <c r="A3194" s="81">
        <v>3192</v>
      </c>
      <c r="B3194" s="86" t="s">
        <v>1477</v>
      </c>
      <c r="C3194" s="86" t="s">
        <v>1959</v>
      </c>
      <c r="D3194" s="82" t="str">
        <f ca="1">OFFSET(Roster!$A$3,MATCH(表格1[[#This Row],[Location]]&amp;" "&amp;表格1[[#This Row],[Shop]]&amp;"*",Roster!$A$4:$A$72,0),DAY(表格1[[#This Row],[date]]),1,1)</f>
        <v>Jaco</v>
      </c>
      <c r="E3194" s="86">
        <f>MONTH(表格1[[#This Row],[date]])</f>
        <v>3</v>
      </c>
      <c r="F3194" s="90">
        <v>46091</v>
      </c>
      <c r="G3194" s="86" t="str">
        <f>VLOOKUP("*"&amp;表格1[[#This Row],[Input]]&amp;"*",'Ref-List'!$B:$D,2,)</f>
        <v>AW-Q801APH(WW)</v>
      </c>
      <c r="H3194" s="86" t="str">
        <f>_xlfn.XLOOKUP(表格1[[#This Row],[Model]],表格3[Model-Input-Ref2],表格3[Product Line])</f>
        <v>日式洗衣機 (7公斤 結合高低水位)</v>
      </c>
      <c r="I3194" s="86" t="str">
        <f>_xlfn.XLOOKUP(表格1[[#This Row],[Model]],表格3[Model-Input-Ref2],表格3[大小電])</f>
        <v>大電</v>
      </c>
      <c r="J3194" s="86" t="str">
        <f>_xlfn.XLOOKUP(表格1[[#This Row],[Model]],表格3[Model-Input-Ref2],表格3[Code])</f>
        <v>LAD</v>
      </c>
      <c r="K3194" s="89" t="s">
        <v>1420</v>
      </c>
      <c r="L3194" s="86">
        <v>1</v>
      </c>
      <c r="M3194" s="87">
        <v>1880</v>
      </c>
      <c r="N3194" s="87">
        <f>IFERROR(表格1[[#This Row],[QTY]]*表格1[[#This Row],[Unit Price]],"-")</f>
        <v>1880</v>
      </c>
      <c r="O3194" s="86">
        <v>930523</v>
      </c>
      <c r="R3194" s="86" t="str">
        <f>_xlfn.CONCAT(表格1[[#This Row],[Model]]," ",表格1[[#This Row],[inv no]])</f>
        <v>AW-Q801APH(WW) 930523</v>
      </c>
      <c r="S3194" s="86">
        <f>_xlfn.XLOOKUP(表格1[[#This Row],[Model]],表格3[Model-Input-Ref2],表格3[SRP PRICE])</f>
        <v>3380</v>
      </c>
      <c r="T3194" s="43">
        <f>表格1[[#This Row],[Unit Price]]/表格1[[#This Row],[SRP]]</f>
        <v>0.55621301775147924</v>
      </c>
      <c r="U3194" s="86" t="str">
        <f>_xlfn.XLOOKUP(表格1[[#This Row],[Model]],表格3[Model-Input-Ref2],表格3[TOSHIBA/HIGHEST])</f>
        <v>Toshiba SRP</v>
      </c>
      <c r="W3194" s="86" t="str">
        <f>_xlfn.CONCAT(表格1[[#This Row],[欄4]],表格1[[#This Row],[inv no]])</f>
        <v>930523</v>
      </c>
    </row>
    <row r="3195" spans="1:23" hidden="1">
      <c r="A3195" s="81">
        <v>3193</v>
      </c>
      <c r="B3195" s="86" t="s">
        <v>1477</v>
      </c>
      <c r="C3195" s="86" t="s">
        <v>1959</v>
      </c>
      <c r="D3195" s="82" t="str">
        <f ca="1">OFFSET(Roster!$A$3,MATCH(表格1[[#This Row],[Location]]&amp;" "&amp;表格1[[#This Row],[Shop]]&amp;"*",Roster!$A$4:$A$72,0),DAY(表格1[[#This Row],[date]]),1,1)</f>
        <v>Jaco</v>
      </c>
      <c r="E3195" s="86">
        <f>MONTH(表格1[[#This Row],[date]])</f>
        <v>3</v>
      </c>
      <c r="F3195" s="90">
        <v>46091</v>
      </c>
      <c r="G3195" s="86" t="str">
        <f>VLOOKUP("*"&amp;表格1[[#This Row],[Input]]&amp;"*",'Ref-List'!$B:$D,2,)</f>
        <v>RC-10IRPH</v>
      </c>
      <c r="H3195" s="86" t="str">
        <f>_xlfn.XLOOKUP(表格1[[#This Row],[Model]],表格3[Model-Input-Ref2],表格3[Product Line])</f>
        <v>低醣磁應電飯煲1L</v>
      </c>
      <c r="I3195" s="86" t="str">
        <f>_xlfn.XLOOKUP(表格1[[#This Row],[Model]],表格3[Model-Input-Ref2],表格3[大小電])</f>
        <v>細電</v>
      </c>
      <c r="J3195" s="86" t="str">
        <f>_xlfn.XLOOKUP(表格1[[#This Row],[Model]],表格3[Model-Input-Ref2],表格3[Code])</f>
        <v>SDA</v>
      </c>
      <c r="K3195" s="89" t="s">
        <v>1297</v>
      </c>
      <c r="L3195" s="86">
        <v>1</v>
      </c>
      <c r="M3195" s="87">
        <v>798</v>
      </c>
      <c r="N3195" s="87">
        <f>IFERROR(表格1[[#This Row],[QTY]]*表格1[[#This Row],[Unit Price]],"-")</f>
        <v>798</v>
      </c>
      <c r="O3195" s="86">
        <v>1023540</v>
      </c>
      <c r="R3195" s="86" t="str">
        <f>_xlfn.CONCAT(表格1[[#This Row],[Model]]," ",表格1[[#This Row],[inv no]])</f>
        <v>RC-10IRPH 1023540</v>
      </c>
      <c r="S3195" s="86">
        <f>_xlfn.XLOOKUP(表格1[[#This Row],[Model]],表格3[Model-Input-Ref2],表格3[SRP PRICE])</f>
        <v>1388</v>
      </c>
      <c r="T3195" s="43">
        <f>表格1[[#This Row],[Unit Price]]/表格1[[#This Row],[SRP]]</f>
        <v>0.5749279538904899</v>
      </c>
      <c r="U3195" s="86" t="str">
        <f>_xlfn.XLOOKUP(表格1[[#This Row],[Model]],表格3[Model-Input-Ref2],表格3[TOSHIBA/HIGHEST])</f>
        <v>Toshiba SRP</v>
      </c>
      <c r="W3195" s="86" t="str">
        <f>_xlfn.CONCAT(表格1[[#This Row],[欄4]],表格1[[#This Row],[inv no]])</f>
        <v>1023540</v>
      </c>
    </row>
    <row r="3196" spans="1:23" hidden="1">
      <c r="A3196" s="81">
        <v>3194</v>
      </c>
      <c r="B3196" s="86" t="s">
        <v>1477</v>
      </c>
      <c r="C3196" s="86" t="s">
        <v>1959</v>
      </c>
      <c r="D3196" s="82" t="str">
        <f ca="1">OFFSET(Roster!$A$3,MATCH(表格1[[#This Row],[Location]]&amp;" "&amp;表格1[[#This Row],[Shop]]&amp;"*",Roster!$A$4:$A$72,0),DAY(表格1[[#This Row],[date]]),1,1)</f>
        <v>Jaco</v>
      </c>
      <c r="E3196" s="86">
        <f>MONTH(表格1[[#This Row],[date]])</f>
        <v>3</v>
      </c>
      <c r="F3196" s="90">
        <v>46091</v>
      </c>
      <c r="G3196" s="86" t="str">
        <f>VLOOKUP("*"&amp;表格1[[#This Row],[Input]]&amp;"*",'Ref-List'!$B:$D,2,)</f>
        <v>KT-17SHNH</v>
      </c>
      <c r="H3196" s="86" t="str">
        <f>_xlfn.XLOOKUP(表格1[[#This Row],[Model]],表格3[Model-Input-Ref2],表格3[Product Line])</f>
        <v>1.7L無線雙層電熱水壺</v>
      </c>
      <c r="I3196" s="86" t="str">
        <f>_xlfn.XLOOKUP(表格1[[#This Row],[Model]],表格3[Model-Input-Ref2],表格3[大小電])</f>
        <v>細電</v>
      </c>
      <c r="J3196" s="86" t="str">
        <f>_xlfn.XLOOKUP(表格1[[#This Row],[Model]],表格3[Model-Input-Ref2],表格3[Code])</f>
        <v>SDA</v>
      </c>
      <c r="K3196" s="89" t="s">
        <v>1283</v>
      </c>
      <c r="L3196" s="86">
        <v>1</v>
      </c>
      <c r="M3196" s="87">
        <v>198</v>
      </c>
      <c r="N3196" s="87">
        <f>IFERROR(表格1[[#This Row],[QTY]]*表格1[[#This Row],[Unit Price]],"-")</f>
        <v>198</v>
      </c>
      <c r="O3196" s="86">
        <v>1023543</v>
      </c>
      <c r="R3196" s="86" t="str">
        <f>_xlfn.CONCAT(表格1[[#This Row],[Model]]," ",表格1[[#This Row],[inv no]])</f>
        <v>KT-17SHNH 1023543</v>
      </c>
      <c r="S3196" s="86">
        <f>_xlfn.XLOOKUP(表格1[[#This Row],[Model]],表格3[Model-Input-Ref2],表格3[SRP PRICE])</f>
        <v>299</v>
      </c>
      <c r="T3196" s="43">
        <f>表格1[[#This Row],[Unit Price]]/表格1[[#This Row],[SRP]]</f>
        <v>0.66220735785953178</v>
      </c>
      <c r="U3196" s="86" t="str">
        <f>_xlfn.XLOOKUP(表格1[[#This Row],[Model]],表格3[Model-Input-Ref2],表格3[TOSHIBA/HIGHEST])</f>
        <v>Shops Highest Price</v>
      </c>
      <c r="W3196" s="86" t="str">
        <f>_xlfn.CONCAT(表格1[[#This Row],[欄4]],表格1[[#This Row],[inv no]])</f>
        <v>1023543</v>
      </c>
    </row>
    <row r="3197" spans="1:23" hidden="1">
      <c r="A3197" s="81">
        <v>3195</v>
      </c>
      <c r="B3197" s="86" t="s">
        <v>1477</v>
      </c>
      <c r="C3197" s="86" t="s">
        <v>1959</v>
      </c>
      <c r="D3197" s="82" t="str">
        <f ca="1">OFFSET(Roster!$A$3,MATCH(表格1[[#This Row],[Location]]&amp;" "&amp;表格1[[#This Row],[Shop]]&amp;"*",Roster!$A$4:$A$72,0),DAY(表格1[[#This Row],[date]]),1,1)</f>
        <v>Jaco</v>
      </c>
      <c r="E3197" s="86">
        <f>MONTH(表格1[[#This Row],[date]])</f>
        <v>3</v>
      </c>
      <c r="F3197" s="90">
        <v>46091</v>
      </c>
      <c r="G3197" s="86" t="str">
        <f>VLOOKUP("*"&amp;表格1[[#This Row],[Input]]&amp;"*",'Ref-List'!$B:$D,2,)</f>
        <v>MM2-EM20PC(WH)</v>
      </c>
      <c r="H3197" s="86" t="str">
        <f>_xlfn.XLOOKUP(表格1[[#This Row],[Model]],表格3[Model-Input-Ref2],表格3[Product Line])</f>
        <v>輕觸式微波爐 (20公升)</v>
      </c>
      <c r="I3197" s="86" t="str">
        <f>_xlfn.XLOOKUP(表格1[[#This Row],[Model]],表格3[Model-Input-Ref2],表格3[大小電])</f>
        <v>細電</v>
      </c>
      <c r="J3197" s="86" t="str">
        <f>_xlfn.XLOOKUP(表格1[[#This Row],[Model]],表格3[Model-Input-Ref2],表格3[Code])</f>
        <v>MCA</v>
      </c>
      <c r="K3197" s="89" t="s">
        <v>1276</v>
      </c>
      <c r="L3197" s="86">
        <v>1</v>
      </c>
      <c r="M3197" s="87">
        <v>598</v>
      </c>
      <c r="N3197" s="87">
        <f>IFERROR(表格1[[#This Row],[QTY]]*表格1[[#This Row],[Unit Price]],"-")</f>
        <v>598</v>
      </c>
      <c r="O3197" s="86">
        <v>930581</v>
      </c>
      <c r="R3197" s="86" t="str">
        <f>_xlfn.CONCAT(表格1[[#This Row],[Model]]," ",表格1[[#This Row],[inv no]])</f>
        <v>MM2-EM20PC(WH) 930581</v>
      </c>
      <c r="S3197" s="86">
        <f>_xlfn.XLOOKUP(表格1[[#This Row],[Model]],表格3[Model-Input-Ref2],表格3[SRP PRICE])</f>
        <v>788</v>
      </c>
      <c r="T3197" s="43">
        <f>表格1[[#This Row],[Unit Price]]/表格1[[#This Row],[SRP]]</f>
        <v>0.75888324873096447</v>
      </c>
      <c r="U3197" s="86" t="str">
        <f>_xlfn.XLOOKUP(表格1[[#This Row],[Model]],表格3[Model-Input-Ref2],表格3[TOSHIBA/HIGHEST])</f>
        <v>Toshiba SRP</v>
      </c>
      <c r="W3197" s="86" t="str">
        <f>_xlfn.CONCAT(表格1[[#This Row],[欄4]],表格1[[#This Row],[inv no]])</f>
        <v>930581</v>
      </c>
    </row>
    <row r="3198" spans="1:23" hidden="1">
      <c r="A3198" s="81">
        <v>3196</v>
      </c>
      <c r="B3198" s="86" t="s">
        <v>1477</v>
      </c>
      <c r="C3198" s="86" t="s">
        <v>1959</v>
      </c>
      <c r="D3198" s="82" t="str">
        <f ca="1">OFFSET(Roster!$A$3,MATCH(表格1[[#This Row],[Location]]&amp;" "&amp;表格1[[#This Row],[Shop]]&amp;"*",Roster!$A$4:$A$72,0),DAY(表格1[[#This Row],[date]]),1,1)</f>
        <v>Jaco</v>
      </c>
      <c r="E3198" s="86">
        <f>MONTH(表格1[[#This Row],[date]])</f>
        <v>3</v>
      </c>
      <c r="F3198" s="90">
        <v>46091</v>
      </c>
      <c r="G3198" s="86" t="str">
        <f>VLOOKUP("*"&amp;表格1[[#This Row],[Input]]&amp;"*",'Ref-List'!$B:$D,2,)</f>
        <v>MM2-EM20PC(WH)</v>
      </c>
      <c r="H3198" s="86" t="str">
        <f>_xlfn.XLOOKUP(表格1[[#This Row],[Model]],表格3[Model-Input-Ref2],表格3[Product Line])</f>
        <v>輕觸式微波爐 (20公升)</v>
      </c>
      <c r="I3198" s="86" t="str">
        <f>_xlfn.XLOOKUP(表格1[[#This Row],[Model]],表格3[Model-Input-Ref2],表格3[大小電])</f>
        <v>細電</v>
      </c>
      <c r="J3198" s="86" t="str">
        <f>_xlfn.XLOOKUP(表格1[[#This Row],[Model]],表格3[Model-Input-Ref2],表格3[Code])</f>
        <v>MCA</v>
      </c>
      <c r="K3198" s="89" t="s">
        <v>1276</v>
      </c>
      <c r="L3198" s="86">
        <v>1</v>
      </c>
      <c r="M3198" s="87">
        <v>598</v>
      </c>
      <c r="N3198" s="87">
        <f>IFERROR(表格1[[#This Row],[QTY]]*表格1[[#This Row],[Unit Price]],"-")</f>
        <v>598</v>
      </c>
      <c r="O3198" s="86">
        <v>930600</v>
      </c>
      <c r="R3198" s="86" t="str">
        <f>_xlfn.CONCAT(表格1[[#This Row],[Model]]," ",表格1[[#This Row],[inv no]])</f>
        <v>MM2-EM20PC(WH) 930600</v>
      </c>
      <c r="S3198" s="86">
        <f>_xlfn.XLOOKUP(表格1[[#This Row],[Model]],表格3[Model-Input-Ref2],表格3[SRP PRICE])</f>
        <v>788</v>
      </c>
      <c r="T3198" s="43">
        <f>表格1[[#This Row],[Unit Price]]/表格1[[#This Row],[SRP]]</f>
        <v>0.75888324873096447</v>
      </c>
      <c r="U3198" s="86" t="str">
        <f>_xlfn.XLOOKUP(表格1[[#This Row],[Model]],表格3[Model-Input-Ref2],表格3[TOSHIBA/HIGHEST])</f>
        <v>Toshiba SRP</v>
      </c>
      <c r="W3198" s="86" t="str">
        <f>_xlfn.CONCAT(表格1[[#This Row],[欄4]],表格1[[#This Row],[inv no]])</f>
        <v>930600</v>
      </c>
    </row>
    <row r="3199" spans="1:23" hidden="1">
      <c r="A3199" s="81">
        <v>3197</v>
      </c>
      <c r="B3199" s="86" t="s">
        <v>1477</v>
      </c>
      <c r="C3199" s="86" t="s">
        <v>1959</v>
      </c>
      <c r="D3199" s="82" t="str">
        <f ca="1">OFFSET(Roster!$A$3,MATCH(表格1[[#This Row],[Location]]&amp;" "&amp;表格1[[#This Row],[Shop]]&amp;"*",Roster!$A$4:$A$72,0),DAY(表格1[[#This Row],[date]]),1,1)</f>
        <v>Jaco</v>
      </c>
      <c r="E3199" s="86">
        <f>MONTH(表格1[[#This Row],[date]])</f>
        <v>3</v>
      </c>
      <c r="F3199" s="90">
        <v>46091</v>
      </c>
      <c r="G3199" s="86" t="str">
        <f>VLOOKUP("*"&amp;表格1[[#This Row],[Input]]&amp;"*",'Ref-List'!$B:$D,2,)</f>
        <v>MWP-MM20P(WH)</v>
      </c>
      <c r="H3199" s="86" t="str">
        <f>_xlfn.XLOOKUP(表格1[[#This Row],[Model]],表格3[Model-Input-Ref2],表格3[Product Line])</f>
        <v>旋鈕式燒烤微波爐20L</v>
      </c>
      <c r="I3199" s="86" t="str">
        <f>_xlfn.XLOOKUP(表格1[[#This Row],[Model]],表格3[Model-Input-Ref2],表格3[大小電])</f>
        <v>細電</v>
      </c>
      <c r="J3199" s="86" t="str">
        <f>_xlfn.XLOOKUP(表格1[[#This Row],[Model]],表格3[Model-Input-Ref2],表格3[Code])</f>
        <v>SDA</v>
      </c>
      <c r="K3199" s="89" t="s">
        <v>1270</v>
      </c>
      <c r="L3199" s="86">
        <v>1</v>
      </c>
      <c r="M3199" s="87">
        <v>488</v>
      </c>
      <c r="N3199" s="87">
        <f>IFERROR(表格1[[#This Row],[QTY]]*表格1[[#This Row],[Unit Price]],"-")</f>
        <v>488</v>
      </c>
      <c r="O3199" s="86">
        <v>1023502</v>
      </c>
      <c r="R3199" s="86" t="str">
        <f>_xlfn.CONCAT(表格1[[#This Row],[Model]]," ",表格1[[#This Row],[inv no]])</f>
        <v>MWP-MM20P(WH) 1023502</v>
      </c>
      <c r="S3199" s="86">
        <f>_xlfn.XLOOKUP(表格1[[#This Row],[Model]],表格3[Model-Input-Ref2],表格3[SRP PRICE])</f>
        <v>648</v>
      </c>
      <c r="T3199" s="43">
        <f>表格1[[#This Row],[Unit Price]]/表格1[[#This Row],[SRP]]</f>
        <v>0.75308641975308643</v>
      </c>
      <c r="U3199" s="86" t="str">
        <f>_xlfn.XLOOKUP(表格1[[#This Row],[Model]],表格3[Model-Input-Ref2],表格3[TOSHIBA/HIGHEST])</f>
        <v>Toshiba SRP</v>
      </c>
      <c r="W3199" s="86" t="str">
        <f>_xlfn.CONCAT(表格1[[#This Row],[欄4]],表格1[[#This Row],[inv no]])</f>
        <v>1023502</v>
      </c>
    </row>
    <row r="3200" spans="1:23" hidden="1">
      <c r="A3200" s="81">
        <v>3198</v>
      </c>
      <c r="B3200" s="86" t="s">
        <v>1477</v>
      </c>
      <c r="C3200" s="86" t="s">
        <v>1959</v>
      </c>
      <c r="D3200" s="82" t="str">
        <f ca="1">OFFSET(Roster!$A$3,MATCH(表格1[[#This Row],[Location]]&amp;" "&amp;表格1[[#This Row],[Shop]]&amp;"*",Roster!$A$4:$A$72,0),DAY(表格1[[#This Row],[date]]),1,1)</f>
        <v>Jaco</v>
      </c>
      <c r="E3200" s="86">
        <f>MONTH(表格1[[#This Row],[date]])</f>
        <v>3</v>
      </c>
      <c r="F3200" s="90">
        <v>46091</v>
      </c>
      <c r="G3200" s="86" t="str">
        <f>VLOOKUP("*"&amp;表格1[[#This Row],[Input]]&amp;"*",'Ref-List'!$B:$D,2,)</f>
        <v>MM2-EG20PC(WH)</v>
      </c>
      <c r="H3200" s="86" t="str">
        <f>_xlfn.XLOOKUP(表格1[[#This Row],[Model]],表格3[Model-Input-Ref2],表格3[Product Line])</f>
        <v>輕觸式燒烤微波爐</v>
      </c>
      <c r="I3200" s="86" t="str">
        <f>_xlfn.XLOOKUP(表格1[[#This Row],[Model]],表格3[Model-Input-Ref2],表格3[大小電])</f>
        <v>細電</v>
      </c>
      <c r="J3200" s="86" t="str">
        <f>_xlfn.XLOOKUP(表格1[[#This Row],[Model]],表格3[Model-Input-Ref2],表格3[Code])</f>
        <v>MCA</v>
      </c>
      <c r="K3200" s="89" t="s">
        <v>1273</v>
      </c>
      <c r="L3200" s="86">
        <v>1</v>
      </c>
      <c r="M3200" s="87">
        <v>698</v>
      </c>
      <c r="N3200" s="87">
        <f>IFERROR(表格1[[#This Row],[QTY]]*表格1[[#This Row],[Unit Price]],"-")</f>
        <v>698</v>
      </c>
      <c r="O3200" s="86">
        <v>1023671</v>
      </c>
      <c r="R3200" s="86" t="str">
        <f>_xlfn.CONCAT(表格1[[#This Row],[Model]]," ",表格1[[#This Row],[inv no]])</f>
        <v>MM2-EG20PC(WH) 1023671</v>
      </c>
      <c r="S3200" s="86">
        <f>_xlfn.XLOOKUP(表格1[[#This Row],[Model]],表格3[Model-Input-Ref2],表格3[SRP PRICE])</f>
        <v>918</v>
      </c>
      <c r="T3200" s="43">
        <f>表格1[[#This Row],[Unit Price]]/表格1[[#This Row],[SRP]]</f>
        <v>0.76034858387799564</v>
      </c>
      <c r="U3200" s="86" t="str">
        <f>_xlfn.XLOOKUP(表格1[[#This Row],[Model]],表格3[Model-Input-Ref2],表格3[TOSHIBA/HIGHEST])</f>
        <v>Shops Highest Price</v>
      </c>
      <c r="W3200" s="86" t="str">
        <f>_xlfn.CONCAT(表格1[[#This Row],[欄4]],表格1[[#This Row],[inv no]])</f>
        <v>1023671</v>
      </c>
    </row>
    <row r="3201" spans="1:23" hidden="1">
      <c r="A3201" s="81">
        <v>3199</v>
      </c>
      <c r="B3201" s="86" t="s">
        <v>1477</v>
      </c>
      <c r="C3201" s="86" t="s">
        <v>1959</v>
      </c>
      <c r="D3201" s="82" t="str">
        <f ca="1">OFFSET(Roster!$A$3,MATCH(表格1[[#This Row],[Location]]&amp;" "&amp;表格1[[#This Row],[Shop]]&amp;"*",Roster!$A$4:$A$72,0),DAY(表格1[[#This Row],[date]]),1,1)</f>
        <v>Jaco</v>
      </c>
      <c r="E3201" s="86">
        <f>MONTH(表格1[[#This Row],[date]])</f>
        <v>3</v>
      </c>
      <c r="F3201" s="90">
        <v>46091</v>
      </c>
      <c r="G3201" s="86" t="str">
        <f>VLOOKUP("*"&amp;表格1[[#This Row],[Input]]&amp;"*",'Ref-List'!$B:$D,2,)</f>
        <v>MWP-MG20P(BK)</v>
      </c>
      <c r="H3201" s="86" t="str">
        <f>_xlfn.XLOOKUP(表格1[[#This Row],[Model]],表格3[Model-Input-Ref2],表格3[Product Line])</f>
        <v>旋鈕式燒烤微波爐20L黑色</v>
      </c>
      <c r="I3201" s="86" t="str">
        <f>_xlfn.XLOOKUP(表格1[[#This Row],[Model]],表格3[Model-Input-Ref2],表格3[大小電])</f>
        <v>細電</v>
      </c>
      <c r="J3201" s="86" t="str">
        <f>_xlfn.XLOOKUP(表格1[[#This Row],[Model]],表格3[Model-Input-Ref2],表格3[Code])</f>
        <v>SDA</v>
      </c>
      <c r="K3201" s="89" t="s">
        <v>1485</v>
      </c>
      <c r="L3201" s="86">
        <v>1</v>
      </c>
      <c r="M3201" s="87">
        <v>579</v>
      </c>
      <c r="N3201" s="87">
        <f>IFERROR(表格1[[#This Row],[QTY]]*表格1[[#This Row],[Unit Price]],"-")</f>
        <v>579</v>
      </c>
      <c r="O3201" s="86">
        <v>930634</v>
      </c>
      <c r="R3201" s="86" t="str">
        <f>_xlfn.CONCAT(表格1[[#This Row],[Model]]," ",表格1[[#This Row],[inv no]])</f>
        <v>MWP-MG20P(BK) 930634</v>
      </c>
      <c r="S3201" s="86">
        <f>_xlfn.XLOOKUP(表格1[[#This Row],[Model]],表格3[Model-Input-Ref2],表格3[SRP PRICE])</f>
        <v>918</v>
      </c>
      <c r="T3201" s="43">
        <f>表格1[[#This Row],[Unit Price]]/表格1[[#This Row],[SRP]]</f>
        <v>0.63071895424836599</v>
      </c>
      <c r="U3201" s="86" t="str">
        <f>_xlfn.XLOOKUP(表格1[[#This Row],[Model]],表格3[Model-Input-Ref2],表格3[TOSHIBA/HIGHEST])</f>
        <v>Toshiba SRP</v>
      </c>
      <c r="W3201" s="86" t="str">
        <f>_xlfn.CONCAT(表格1[[#This Row],[欄4]],表格1[[#This Row],[inv no]])</f>
        <v>930634</v>
      </c>
    </row>
    <row r="3202" spans="1:23" hidden="1">
      <c r="A3202" s="81">
        <v>3200</v>
      </c>
      <c r="B3202" s="86" t="s">
        <v>1477</v>
      </c>
      <c r="C3202" s="86" t="s">
        <v>1959</v>
      </c>
      <c r="D3202" s="82" t="str">
        <f ca="1">OFFSET(Roster!$A$3,MATCH(表格1[[#This Row],[Location]]&amp;" "&amp;表格1[[#This Row],[Shop]]&amp;"*",Roster!$A$4:$A$72,0),DAY(表格1[[#This Row],[date]]),1,1)</f>
        <v>Jaco</v>
      </c>
      <c r="E3202" s="86">
        <f>MONTH(表格1[[#This Row],[date]])</f>
        <v>3</v>
      </c>
      <c r="F3202" s="90">
        <v>46095</v>
      </c>
      <c r="G3202" s="86" t="str">
        <f>VLOOKUP("*"&amp;表格1[[#This Row],[Input]]&amp;"*",'Ref-List'!$B:$D,2,)</f>
        <v>MX2-STR25SC(WH)</v>
      </c>
      <c r="H3202" s="86" t="str">
        <f>_xlfn.XLOOKUP(表格1[[#This Row],[Model]],表格3[Model-Input-Ref2],表格3[Product Line])</f>
        <v>4合1氣炸微波蒸焗爐(25公升)</v>
      </c>
      <c r="I3202" s="86" t="str">
        <f>_xlfn.XLOOKUP(表格1[[#This Row],[Model]],表格3[Model-Input-Ref2],表格3[大小電])</f>
        <v>細電</v>
      </c>
      <c r="J3202" s="86" t="str">
        <f>_xlfn.XLOOKUP(表格1[[#This Row],[Model]],表格3[Model-Input-Ref2],表格3[Code])</f>
        <v>MCA</v>
      </c>
      <c r="K3202" s="89" t="s">
        <v>1410</v>
      </c>
      <c r="L3202" s="86">
        <v>1</v>
      </c>
      <c r="M3202" s="87">
        <v>3580</v>
      </c>
      <c r="N3202" s="87">
        <f>IFERROR(表格1[[#This Row],[QTY]]*表格1[[#This Row],[Unit Price]],"-")</f>
        <v>3580</v>
      </c>
      <c r="O3202" s="86">
        <v>1023683</v>
      </c>
      <c r="R3202" s="86" t="str">
        <f>_xlfn.CONCAT(表格1[[#This Row],[Model]]," ",表格1[[#This Row],[inv no]])</f>
        <v>MX2-STR25SC(WH) 1023683</v>
      </c>
      <c r="S3202" s="86">
        <f>_xlfn.XLOOKUP(表格1[[#This Row],[Model]],表格3[Model-Input-Ref2],表格3[SRP PRICE])</f>
        <v>4998</v>
      </c>
      <c r="T3202" s="43">
        <f>表格1[[#This Row],[Unit Price]]/表格1[[#This Row],[SRP]]</f>
        <v>0.71628651460584236</v>
      </c>
      <c r="U3202" s="86" t="str">
        <f>_xlfn.XLOOKUP(表格1[[#This Row],[Model]],表格3[Model-Input-Ref2],表格3[TOSHIBA/HIGHEST])</f>
        <v>Toshiba SRP</v>
      </c>
      <c r="W3202" s="86" t="str">
        <f>_xlfn.CONCAT(表格1[[#This Row],[欄4]],表格1[[#This Row],[inv no]])</f>
        <v>1023683</v>
      </c>
    </row>
    <row r="3203" spans="1:23" hidden="1">
      <c r="A3203" s="81">
        <v>3201</v>
      </c>
      <c r="B3203" s="86" t="s">
        <v>1477</v>
      </c>
      <c r="C3203" s="86" t="s">
        <v>1959</v>
      </c>
      <c r="D3203" s="82" t="str">
        <f ca="1">OFFSET(Roster!$A$3,MATCH(表格1[[#This Row],[Location]]&amp;" "&amp;表格1[[#This Row],[Shop]]&amp;"*",Roster!$A$4:$A$72,0),DAY(表格1[[#This Row],[date]]),1,1)</f>
        <v>Jaco</v>
      </c>
      <c r="E3203" s="86">
        <f>MONTH(表格1[[#This Row],[date]])</f>
        <v>3</v>
      </c>
      <c r="F3203" s="90">
        <v>46095</v>
      </c>
      <c r="G3203" s="86" t="str">
        <f>VLOOKUP("*"&amp;表格1[[#This Row],[Input]]&amp;"*",'Ref-List'!$B:$D,2,)</f>
        <v>RC-DZ4K(N)</v>
      </c>
      <c r="H3203" s="86" t="str">
        <f>_xlfn.XLOOKUP(表格1[[#This Row],[Model]],表格3[Model-Input-Ref2],表格3[Product Line])</f>
        <v>IH磁應電飯煲</v>
      </c>
      <c r="I3203" s="86" t="str">
        <f>_xlfn.XLOOKUP(表格1[[#This Row],[Model]],表格3[Model-Input-Ref2],表格3[大小電])</f>
        <v>細電</v>
      </c>
      <c r="J3203" s="86" t="str">
        <f>_xlfn.XLOOKUP(表格1[[#This Row],[Model]],表格3[Model-Input-Ref2],表格3[Code])</f>
        <v>SDA</v>
      </c>
      <c r="K3203" s="89" t="s">
        <v>1561</v>
      </c>
      <c r="L3203" s="86">
        <v>1</v>
      </c>
      <c r="M3203" s="87">
        <v>3130</v>
      </c>
      <c r="N3203" s="87">
        <f>IFERROR(表格1[[#This Row],[QTY]]*表格1[[#This Row],[Unit Price]],"-")</f>
        <v>3130</v>
      </c>
      <c r="O3203" s="86">
        <v>1023602</v>
      </c>
      <c r="R3203" s="86" t="str">
        <f>_xlfn.CONCAT(表格1[[#This Row],[Model]]," ",表格1[[#This Row],[inv no]])</f>
        <v>RC-DZ4K(N) 1023602</v>
      </c>
      <c r="S3203" s="86">
        <f>_xlfn.XLOOKUP(表格1[[#This Row],[Model]],表格3[Model-Input-Ref2],表格3[SRP PRICE])</f>
        <v>3888</v>
      </c>
      <c r="T3203" s="43">
        <f>表格1[[#This Row],[Unit Price]]/表格1[[#This Row],[SRP]]</f>
        <v>0.80504115226337447</v>
      </c>
      <c r="U3203" s="86" t="str">
        <f>_xlfn.XLOOKUP(表格1[[#This Row],[Model]],表格3[Model-Input-Ref2],表格3[TOSHIBA/HIGHEST])</f>
        <v>Shops Highest Price</v>
      </c>
      <c r="W3203" s="86" t="str">
        <f>_xlfn.CONCAT(表格1[[#This Row],[欄4]],表格1[[#This Row],[inv no]])</f>
        <v>1023602</v>
      </c>
    </row>
    <row r="3204" spans="1:23" hidden="1">
      <c r="A3204" s="81">
        <v>3202</v>
      </c>
      <c r="B3204" s="86" t="s">
        <v>1477</v>
      </c>
      <c r="C3204" s="86" t="s">
        <v>1959</v>
      </c>
      <c r="D3204" s="82" t="str">
        <f ca="1">OFFSET(Roster!$A$3,MATCH(表格1[[#This Row],[Location]]&amp;" "&amp;表格1[[#This Row],[Shop]]&amp;"*",Roster!$A$4:$A$72,0),DAY(表格1[[#This Row],[date]]),1,1)</f>
        <v>Jaco</v>
      </c>
      <c r="E3204" s="86">
        <f>MONTH(表格1[[#This Row],[date]])</f>
        <v>3</v>
      </c>
      <c r="F3204" s="90">
        <v>46095</v>
      </c>
      <c r="G3204" s="86" t="str">
        <f>VLOOKUP("*"&amp;表格1[[#This Row],[Input]]&amp;"*",'Ref-List'!$B:$D,2,)</f>
        <v>ET-TD7080(PN)</v>
      </c>
      <c r="H3204" s="86" t="str">
        <f>_xlfn.XLOOKUP(表格1[[#This Row],[Model]],表格3[Model-Input-Ref2],表格3[Product Line])</f>
        <v>多士焗爐8L</v>
      </c>
      <c r="I3204" s="86" t="str">
        <f>_xlfn.XLOOKUP(表格1[[#This Row],[Model]],表格3[Model-Input-Ref2],表格3[大小電])</f>
        <v>細電</v>
      </c>
      <c r="J3204" s="86" t="str">
        <f>_xlfn.XLOOKUP(表格1[[#This Row],[Model]],表格3[Model-Input-Ref2],表格3[Code])</f>
        <v>SDA</v>
      </c>
      <c r="K3204" s="89">
        <v>7080</v>
      </c>
      <c r="L3204" s="86">
        <v>1</v>
      </c>
      <c r="M3204" s="87">
        <v>318</v>
      </c>
      <c r="N3204" s="87">
        <f>IFERROR(表格1[[#This Row],[QTY]]*表格1[[#This Row],[Unit Price]],"-")</f>
        <v>318</v>
      </c>
      <c r="O3204" s="86">
        <v>1023463</v>
      </c>
      <c r="R3204" s="86" t="str">
        <f>_xlfn.CONCAT(表格1[[#This Row],[Model]]," ",表格1[[#This Row],[inv no]])</f>
        <v>ET-TD7080(PN) 1023463</v>
      </c>
      <c r="S3204" s="86">
        <f>_xlfn.XLOOKUP(表格1[[#This Row],[Model]],表格3[Model-Input-Ref2],表格3[SRP PRICE])</f>
        <v>498</v>
      </c>
      <c r="T3204" s="43">
        <f>表格1[[#This Row],[Unit Price]]/表格1[[#This Row],[SRP]]</f>
        <v>0.63855421686746983</v>
      </c>
      <c r="U3204" s="86" t="str">
        <f>_xlfn.XLOOKUP(表格1[[#This Row],[Model]],表格3[Model-Input-Ref2],表格3[TOSHIBA/HIGHEST])</f>
        <v>Toshiba SRP</v>
      </c>
      <c r="W3204" s="86" t="str">
        <f>_xlfn.CONCAT(表格1[[#This Row],[欄4]],表格1[[#This Row],[inv no]])</f>
        <v>1023463</v>
      </c>
    </row>
    <row r="3205" spans="1:23" hidden="1">
      <c r="A3205" s="81">
        <v>3203</v>
      </c>
      <c r="B3205" s="86" t="s">
        <v>1477</v>
      </c>
      <c r="C3205" s="86" t="s">
        <v>1959</v>
      </c>
      <c r="D3205" s="82" t="str">
        <f ca="1">OFFSET(Roster!$A$3,MATCH(表格1[[#This Row],[Location]]&amp;" "&amp;表格1[[#This Row],[Shop]]&amp;"*",Roster!$A$4:$A$72,0),DAY(表格1[[#This Row],[date]]),1,1)</f>
        <v>Jaco</v>
      </c>
      <c r="E3205" s="86">
        <f>MONTH(表格1[[#This Row],[date]])</f>
        <v>3</v>
      </c>
      <c r="F3205" s="90">
        <v>46095</v>
      </c>
      <c r="G3205" s="86" t="str">
        <f>VLOOKUP("*"&amp;表格1[[#This Row],[Input]]&amp;"*",'Ref-List'!$B:$D,2,)</f>
        <v>GR-RB360WE-PMA(06)</v>
      </c>
      <c r="H3205" s="86" t="str">
        <f>_xlfn.XLOOKUP(表格1[[#This Row],[Model]],表格3[Model-Input-Ref2],表格3[Product Line])</f>
        <v>變頻下置式雙門雪櫃系列270L</v>
      </c>
      <c r="I3205" s="86" t="str">
        <f>_xlfn.XLOOKUP(表格1[[#This Row],[Model]],表格3[Model-Input-Ref2],表格3[大小電])</f>
        <v>大電</v>
      </c>
      <c r="J3205" s="86" t="str">
        <f>_xlfn.XLOOKUP(表格1[[#This Row],[Model]],表格3[Model-Input-Ref2],表格3[Code])</f>
        <v>REF</v>
      </c>
      <c r="K3205" s="89" t="s">
        <v>1282</v>
      </c>
      <c r="L3205" s="86">
        <v>1</v>
      </c>
      <c r="M3205" s="87">
        <v>3680</v>
      </c>
      <c r="N3205" s="87">
        <f>IFERROR(表格1[[#This Row],[QTY]]*表格1[[#This Row],[Unit Price]],"-")</f>
        <v>3680</v>
      </c>
      <c r="O3205" s="86">
        <v>930637</v>
      </c>
      <c r="R3205" s="86" t="str">
        <f>_xlfn.CONCAT(表格1[[#This Row],[Model]]," ",表格1[[#This Row],[inv no]])</f>
        <v>GR-RB360WE-PMA(06) 930637</v>
      </c>
      <c r="S3205" s="86">
        <f>_xlfn.XLOOKUP(表格1[[#This Row],[Model]],表格3[Model-Input-Ref2],表格3[SRP PRICE])</f>
        <v>5080</v>
      </c>
      <c r="T3205" s="43">
        <f>表格1[[#This Row],[Unit Price]]/表格1[[#This Row],[SRP]]</f>
        <v>0.72440944881889768</v>
      </c>
      <c r="U3205" s="86" t="str">
        <f>_xlfn.XLOOKUP(表格1[[#This Row],[Model]],表格3[Model-Input-Ref2],表格3[TOSHIBA/HIGHEST])</f>
        <v>Toshiba SRP</v>
      </c>
      <c r="W3205" s="86" t="str">
        <f>_xlfn.CONCAT(表格1[[#This Row],[欄4]],表格1[[#This Row],[inv no]])</f>
        <v>930637</v>
      </c>
    </row>
    <row r="3206" spans="1:23" hidden="1">
      <c r="A3206" s="81">
        <v>3204</v>
      </c>
      <c r="B3206" s="86" t="s">
        <v>1477</v>
      </c>
      <c r="C3206" s="86" t="s">
        <v>1959</v>
      </c>
      <c r="D3206" s="82" t="str">
        <f ca="1">OFFSET(Roster!$A$3,MATCH(表格1[[#This Row],[Location]]&amp;" "&amp;表格1[[#This Row],[Shop]]&amp;"*",Roster!$A$4:$A$72,0),DAY(表格1[[#This Row],[date]]),1,1)</f>
        <v>Jaco</v>
      </c>
      <c r="E3206" s="86">
        <f>MONTH(表格1[[#This Row],[date]])</f>
        <v>3</v>
      </c>
      <c r="F3206" s="90">
        <v>46095</v>
      </c>
      <c r="G3206" s="86" t="str">
        <f>VLOOKUP("*"&amp;表格1[[#This Row],[Input]]&amp;"*",'Ref-List'!$B:$D,2,)</f>
        <v>KT-17SHNH</v>
      </c>
      <c r="H3206" s="86" t="str">
        <f>_xlfn.XLOOKUP(表格1[[#This Row],[Model]],表格3[Model-Input-Ref2],表格3[Product Line])</f>
        <v>1.7L無線雙層電熱水壺</v>
      </c>
      <c r="I3206" s="86" t="str">
        <f>_xlfn.XLOOKUP(表格1[[#This Row],[Model]],表格3[Model-Input-Ref2],表格3[大小電])</f>
        <v>細電</v>
      </c>
      <c r="J3206" s="86" t="str">
        <f>_xlfn.XLOOKUP(表格1[[#This Row],[Model]],表格3[Model-Input-Ref2],表格3[Code])</f>
        <v>SDA</v>
      </c>
      <c r="K3206" s="89" t="s">
        <v>1283</v>
      </c>
      <c r="L3206" s="86">
        <v>1</v>
      </c>
      <c r="M3206" s="87">
        <v>198</v>
      </c>
      <c r="N3206" s="87">
        <f>IFERROR(表格1[[#This Row],[QTY]]*表格1[[#This Row],[Unit Price]],"-")</f>
        <v>198</v>
      </c>
      <c r="O3206" s="86">
        <v>1023615</v>
      </c>
      <c r="R3206" s="86" t="str">
        <f>_xlfn.CONCAT(表格1[[#This Row],[Model]]," ",表格1[[#This Row],[inv no]])</f>
        <v>KT-17SHNH 1023615</v>
      </c>
      <c r="S3206" s="86">
        <f>_xlfn.XLOOKUP(表格1[[#This Row],[Model]],表格3[Model-Input-Ref2],表格3[SRP PRICE])</f>
        <v>299</v>
      </c>
      <c r="T3206" s="43">
        <f>表格1[[#This Row],[Unit Price]]/表格1[[#This Row],[SRP]]</f>
        <v>0.66220735785953178</v>
      </c>
      <c r="U3206" s="86" t="str">
        <f>_xlfn.XLOOKUP(表格1[[#This Row],[Model]],表格3[Model-Input-Ref2],表格3[TOSHIBA/HIGHEST])</f>
        <v>Shops Highest Price</v>
      </c>
      <c r="W3206" s="86" t="str">
        <f>_xlfn.CONCAT(表格1[[#This Row],[欄4]],表格1[[#This Row],[inv no]])</f>
        <v>1023615</v>
      </c>
    </row>
    <row r="3207" spans="1:23" hidden="1">
      <c r="A3207" s="81">
        <v>3205</v>
      </c>
      <c r="B3207" s="86" t="s">
        <v>1477</v>
      </c>
      <c r="C3207" s="86" t="s">
        <v>1959</v>
      </c>
      <c r="D3207" s="82" t="str">
        <f ca="1">OFFSET(Roster!$A$3,MATCH(表格1[[#This Row],[Location]]&amp;" "&amp;表格1[[#This Row],[Shop]]&amp;"*",Roster!$A$4:$A$72,0),DAY(表格1[[#This Row],[date]]),1,1)</f>
        <v>Jaco</v>
      </c>
      <c r="E3207" s="86">
        <f>MONTH(表格1[[#This Row],[date]])</f>
        <v>3</v>
      </c>
      <c r="F3207" s="90">
        <v>46095</v>
      </c>
      <c r="G3207" s="86" t="str">
        <f>VLOOKUP("*"&amp;表格1[[#This Row],[Input]]&amp;"*",'Ref-List'!$B:$D,2,)</f>
        <v>RC-DR18T(W)</v>
      </c>
      <c r="H3207" s="86" t="str">
        <f>_xlfn.XLOOKUP(表格1[[#This Row],[Model]],表格3[Model-Input-Ref2],表格3[Product Line])</f>
        <v>IH磁應電飯煲
鑽石銅鍋</v>
      </c>
      <c r="I3207" s="86" t="str">
        <f>_xlfn.XLOOKUP(表格1[[#This Row],[Model]],表格3[Model-Input-Ref2],表格3[大小電])</f>
        <v>細電</v>
      </c>
      <c r="J3207" s="86" t="str">
        <f>_xlfn.XLOOKUP(表格1[[#This Row],[Model]],表格3[Model-Input-Ref2],表格3[Code])</f>
        <v>SDA</v>
      </c>
      <c r="K3207" s="89" t="s">
        <v>1378</v>
      </c>
      <c r="L3207" s="86">
        <v>1</v>
      </c>
      <c r="M3207" s="87">
        <v>2800</v>
      </c>
      <c r="N3207" s="87">
        <f>IFERROR(表格1[[#This Row],[QTY]]*表格1[[#This Row],[Unit Price]],"-")</f>
        <v>2800</v>
      </c>
      <c r="O3207" s="86">
        <v>930696</v>
      </c>
      <c r="R3207" s="86" t="str">
        <f>_xlfn.CONCAT(表格1[[#This Row],[Model]]," ",表格1[[#This Row],[inv no]])</f>
        <v>RC-DR18T(W) 930696</v>
      </c>
      <c r="S3207" s="86">
        <f>_xlfn.XLOOKUP(表格1[[#This Row],[Model]],表格3[Model-Input-Ref2],表格3[SRP PRICE])</f>
        <v>3588</v>
      </c>
      <c r="T3207" s="43">
        <f>表格1[[#This Row],[Unit Price]]/表格1[[#This Row],[SRP]]</f>
        <v>0.78037904124860646</v>
      </c>
      <c r="U3207" s="86" t="str">
        <f>_xlfn.XLOOKUP(表格1[[#This Row],[Model]],表格3[Model-Input-Ref2],表格3[TOSHIBA/HIGHEST])</f>
        <v>Toshiba SRP</v>
      </c>
      <c r="W3207" s="86" t="str">
        <f>_xlfn.CONCAT(表格1[[#This Row],[欄4]],表格1[[#This Row],[inv no]])</f>
        <v>930696</v>
      </c>
    </row>
    <row r="3208" spans="1:23" hidden="1">
      <c r="A3208" s="81">
        <v>3206</v>
      </c>
      <c r="B3208" s="86" t="s">
        <v>1477</v>
      </c>
      <c r="C3208" s="86" t="s">
        <v>1959</v>
      </c>
      <c r="D3208" s="82" t="str">
        <f ca="1">OFFSET(Roster!$A$3,MATCH(表格1[[#This Row],[Location]]&amp;" "&amp;表格1[[#This Row],[Shop]]&amp;"*",Roster!$A$4:$A$72,0),DAY(表格1[[#This Row],[date]]),1,1)</f>
        <v>Jaco</v>
      </c>
      <c r="E3208" s="86">
        <f>MONTH(表格1[[#This Row],[date]])</f>
        <v>3</v>
      </c>
      <c r="F3208" s="90">
        <v>46095</v>
      </c>
      <c r="G3208" s="86" t="str">
        <f>VLOOKUP("*"&amp;表格1[[#This Row],[Input]]&amp;"*",'Ref-List'!$B:$D,2,)</f>
        <v>KT-17DRTHK(H)</v>
      </c>
      <c r="H3208" s="86" t="str">
        <f>_xlfn.XLOOKUP(表格1[[#This Row],[Model]],表格3[Model-Input-Ref2],表格3[Product Line])</f>
        <v>無線雙層電熱水壺(1.7公升)</v>
      </c>
      <c r="I3208" s="86" t="str">
        <f>_xlfn.XLOOKUP(表格1[[#This Row],[Model]],表格3[Model-Input-Ref2],表格3[大小電])</f>
        <v>細電</v>
      </c>
      <c r="J3208" s="86" t="str">
        <f>_xlfn.XLOOKUP(表格1[[#This Row],[Model]],表格3[Model-Input-Ref2],表格3[Code])</f>
        <v>SDA</v>
      </c>
      <c r="K3208" s="89" t="s">
        <v>1271</v>
      </c>
      <c r="L3208" s="86">
        <v>1</v>
      </c>
      <c r="M3208" s="87">
        <v>388</v>
      </c>
      <c r="N3208" s="87">
        <f>IFERROR(表格1[[#This Row],[QTY]]*表格1[[#This Row],[Unit Price]],"-")</f>
        <v>388</v>
      </c>
      <c r="O3208" s="86">
        <v>1023796</v>
      </c>
      <c r="R3208" s="86" t="str">
        <f>_xlfn.CONCAT(表格1[[#This Row],[Model]]," ",表格1[[#This Row],[inv no]])</f>
        <v>KT-17DRTHK(H) 1023796</v>
      </c>
      <c r="S3208" s="86">
        <f>_xlfn.XLOOKUP(表格1[[#This Row],[Model]],表格3[Model-Input-Ref2],表格3[SRP PRICE])</f>
        <v>498</v>
      </c>
      <c r="T3208" s="43">
        <f>表格1[[#This Row],[Unit Price]]/表格1[[#This Row],[SRP]]</f>
        <v>0.77911646586345384</v>
      </c>
      <c r="U3208" s="86" t="str">
        <f>_xlfn.XLOOKUP(表格1[[#This Row],[Model]],表格3[Model-Input-Ref2],表格3[TOSHIBA/HIGHEST])</f>
        <v>Toshiba SRP</v>
      </c>
      <c r="W3208" s="86" t="str">
        <f>_xlfn.CONCAT(表格1[[#This Row],[欄4]],表格1[[#This Row],[inv no]])</f>
        <v>1023796</v>
      </c>
    </row>
    <row r="3209" spans="1:23" hidden="1">
      <c r="A3209" s="81">
        <v>3207</v>
      </c>
      <c r="B3209" s="86" t="s">
        <v>1477</v>
      </c>
      <c r="C3209" s="86" t="s">
        <v>1959</v>
      </c>
      <c r="D3209" s="82" t="str">
        <f ca="1">OFFSET(Roster!$A$3,MATCH(表格1[[#This Row],[Location]]&amp;" "&amp;表格1[[#This Row],[Shop]]&amp;"*",Roster!$A$4:$A$72,0),DAY(表格1[[#This Row],[date]]),1,1)</f>
        <v>Jaco</v>
      </c>
      <c r="E3209" s="86">
        <f>MONTH(表格1[[#This Row],[date]])</f>
        <v>3</v>
      </c>
      <c r="F3209" s="90">
        <v>46095</v>
      </c>
      <c r="G3209" s="86" t="str">
        <f>VLOOKUP("*"&amp;表格1[[#This Row],[Input]]&amp;"*",'Ref-List'!$B:$D,2,)</f>
        <v>MWP-MM20P(WH)</v>
      </c>
      <c r="H3209" s="86" t="str">
        <f>_xlfn.XLOOKUP(表格1[[#This Row],[Model]],表格3[Model-Input-Ref2],表格3[Product Line])</f>
        <v>旋鈕式燒烤微波爐20L</v>
      </c>
      <c r="I3209" s="86" t="str">
        <f>_xlfn.XLOOKUP(表格1[[#This Row],[Model]],表格3[Model-Input-Ref2],表格3[大小電])</f>
        <v>細電</v>
      </c>
      <c r="J3209" s="86" t="str">
        <f>_xlfn.XLOOKUP(表格1[[#This Row],[Model]],表格3[Model-Input-Ref2],表格3[Code])</f>
        <v>SDA</v>
      </c>
      <c r="K3209" s="89" t="s">
        <v>1270</v>
      </c>
      <c r="L3209" s="86">
        <v>1</v>
      </c>
      <c r="M3209" s="87">
        <v>488</v>
      </c>
      <c r="N3209" s="87">
        <f>IFERROR(表格1[[#This Row],[QTY]]*表格1[[#This Row],[Unit Price]],"-")</f>
        <v>488</v>
      </c>
      <c r="O3209" s="86">
        <v>1023760</v>
      </c>
      <c r="R3209" s="86" t="str">
        <f>_xlfn.CONCAT(表格1[[#This Row],[Model]]," ",表格1[[#This Row],[inv no]])</f>
        <v>MWP-MM20P(WH) 1023760</v>
      </c>
      <c r="S3209" s="86">
        <f>_xlfn.XLOOKUP(表格1[[#This Row],[Model]],表格3[Model-Input-Ref2],表格3[SRP PRICE])</f>
        <v>648</v>
      </c>
      <c r="T3209" s="43">
        <f>表格1[[#This Row],[Unit Price]]/表格1[[#This Row],[SRP]]</f>
        <v>0.75308641975308643</v>
      </c>
      <c r="U3209" s="86" t="str">
        <f>_xlfn.XLOOKUP(表格1[[#This Row],[Model]],表格3[Model-Input-Ref2],表格3[TOSHIBA/HIGHEST])</f>
        <v>Toshiba SRP</v>
      </c>
      <c r="W3209" s="86" t="str">
        <f>_xlfn.CONCAT(表格1[[#This Row],[欄4]],表格1[[#This Row],[inv no]])</f>
        <v>1023760</v>
      </c>
    </row>
    <row r="3210" spans="1:23" hidden="1">
      <c r="A3210" s="81">
        <v>3208</v>
      </c>
      <c r="B3210" s="86" t="s">
        <v>1477</v>
      </c>
      <c r="C3210" s="86" t="s">
        <v>1959</v>
      </c>
      <c r="D3210" s="82" t="str">
        <f ca="1">OFFSET(Roster!$A$3,MATCH(表格1[[#This Row],[Location]]&amp;" "&amp;表格1[[#This Row],[Shop]]&amp;"*",Roster!$A$4:$A$72,0),DAY(表格1[[#This Row],[date]]),1,1)</f>
        <v>Jaco</v>
      </c>
      <c r="E3210" s="86">
        <f>MONTH(表格1[[#This Row],[date]])</f>
        <v>3</v>
      </c>
      <c r="F3210" s="90">
        <v>46096</v>
      </c>
      <c r="G3210" s="86" t="str">
        <f>VLOOKUP("*"&amp;表格1[[#This Row],[Input]]&amp;"*",'Ref-List'!$B:$D,2,)</f>
        <v>MWP-MM20P(WH)</v>
      </c>
      <c r="H3210" s="86" t="str">
        <f>_xlfn.XLOOKUP(表格1[[#This Row],[Model]],表格3[Model-Input-Ref2],表格3[Product Line])</f>
        <v>旋鈕式燒烤微波爐20L</v>
      </c>
      <c r="I3210" s="86" t="str">
        <f>_xlfn.XLOOKUP(表格1[[#This Row],[Model]],表格3[Model-Input-Ref2],表格3[大小電])</f>
        <v>細電</v>
      </c>
      <c r="J3210" s="86" t="str">
        <f>_xlfn.XLOOKUP(表格1[[#This Row],[Model]],表格3[Model-Input-Ref2],表格3[Code])</f>
        <v>SDA</v>
      </c>
      <c r="K3210" s="89" t="s">
        <v>1270</v>
      </c>
      <c r="L3210" s="86">
        <v>1</v>
      </c>
      <c r="M3210" s="87">
        <v>488</v>
      </c>
      <c r="N3210" s="87">
        <f>IFERROR(表格1[[#This Row],[QTY]]*表格1[[#This Row],[Unit Price]],"-")</f>
        <v>488</v>
      </c>
      <c r="O3210" s="86">
        <v>1023869</v>
      </c>
      <c r="R3210" s="86" t="str">
        <f>_xlfn.CONCAT(表格1[[#This Row],[Model]]," ",表格1[[#This Row],[inv no]])</f>
        <v>MWP-MM20P(WH) 1023869</v>
      </c>
      <c r="S3210" s="86">
        <f>_xlfn.XLOOKUP(表格1[[#This Row],[Model]],表格3[Model-Input-Ref2],表格3[SRP PRICE])</f>
        <v>648</v>
      </c>
      <c r="T3210" s="43">
        <f>表格1[[#This Row],[Unit Price]]/表格1[[#This Row],[SRP]]</f>
        <v>0.75308641975308643</v>
      </c>
      <c r="U3210" s="86" t="str">
        <f>_xlfn.XLOOKUP(表格1[[#This Row],[Model]],表格3[Model-Input-Ref2],表格3[TOSHIBA/HIGHEST])</f>
        <v>Toshiba SRP</v>
      </c>
      <c r="W3210" s="86" t="str">
        <f>_xlfn.CONCAT(表格1[[#This Row],[欄4]],表格1[[#This Row],[inv no]])</f>
        <v>1023869</v>
      </c>
    </row>
    <row r="3211" spans="1:23" hidden="1">
      <c r="A3211" s="81">
        <v>3209</v>
      </c>
      <c r="B3211" s="86" t="s">
        <v>1477</v>
      </c>
      <c r="C3211" s="86" t="s">
        <v>1959</v>
      </c>
      <c r="D3211" s="82" t="str">
        <f ca="1">OFFSET(Roster!$A$3,MATCH(表格1[[#This Row],[Location]]&amp;" "&amp;表格1[[#This Row],[Shop]]&amp;"*",Roster!$A$4:$A$72,0),DAY(表格1[[#This Row],[date]]),1,1)</f>
        <v>Jaco</v>
      </c>
      <c r="E3211" s="86">
        <f>MONTH(表格1[[#This Row],[date]])</f>
        <v>3</v>
      </c>
      <c r="F3211" s="90">
        <v>46096</v>
      </c>
      <c r="G3211" s="86" t="str">
        <f>VLOOKUP("*"&amp;表格1[[#This Row],[Input]]&amp;"*",'Ref-List'!$B:$D,2,)</f>
        <v>MM2-EM20PC(WH)</v>
      </c>
      <c r="H3211" s="86" t="str">
        <f>_xlfn.XLOOKUP(表格1[[#This Row],[Model]],表格3[Model-Input-Ref2],表格3[Product Line])</f>
        <v>輕觸式微波爐 (20公升)</v>
      </c>
      <c r="I3211" s="86" t="str">
        <f>_xlfn.XLOOKUP(表格1[[#This Row],[Model]],表格3[Model-Input-Ref2],表格3[大小電])</f>
        <v>細電</v>
      </c>
      <c r="J3211" s="86" t="str">
        <f>_xlfn.XLOOKUP(表格1[[#This Row],[Model]],表格3[Model-Input-Ref2],表格3[Code])</f>
        <v>MCA</v>
      </c>
      <c r="K3211" s="89" t="s">
        <v>1276</v>
      </c>
      <c r="L3211" s="86">
        <v>1</v>
      </c>
      <c r="M3211" s="87">
        <v>598</v>
      </c>
      <c r="N3211" s="87">
        <f>IFERROR(表格1[[#This Row],[QTY]]*表格1[[#This Row],[Unit Price]],"-")</f>
        <v>598</v>
      </c>
      <c r="O3211" s="86">
        <v>930816</v>
      </c>
      <c r="R3211" s="86" t="str">
        <f>_xlfn.CONCAT(表格1[[#This Row],[Model]]," ",表格1[[#This Row],[inv no]])</f>
        <v>MM2-EM20PC(WH) 930816</v>
      </c>
      <c r="S3211" s="86">
        <f>_xlfn.XLOOKUP(表格1[[#This Row],[Model]],表格3[Model-Input-Ref2],表格3[SRP PRICE])</f>
        <v>788</v>
      </c>
      <c r="T3211" s="43">
        <f>表格1[[#This Row],[Unit Price]]/表格1[[#This Row],[SRP]]</f>
        <v>0.75888324873096447</v>
      </c>
      <c r="U3211" s="86" t="str">
        <f>_xlfn.XLOOKUP(表格1[[#This Row],[Model]],表格3[Model-Input-Ref2],表格3[TOSHIBA/HIGHEST])</f>
        <v>Toshiba SRP</v>
      </c>
      <c r="W3211" s="86" t="str">
        <f>_xlfn.CONCAT(表格1[[#This Row],[欄4]],表格1[[#This Row],[inv no]])</f>
        <v>930816</v>
      </c>
    </row>
    <row r="3212" spans="1:23" hidden="1">
      <c r="A3212" s="81">
        <v>3210</v>
      </c>
      <c r="B3212" s="86" t="s">
        <v>1477</v>
      </c>
      <c r="C3212" s="86" t="s">
        <v>1959</v>
      </c>
      <c r="D3212" s="82" t="str">
        <f ca="1">OFFSET(Roster!$A$3,MATCH(表格1[[#This Row],[Location]]&amp;" "&amp;表格1[[#This Row],[Shop]]&amp;"*",Roster!$A$4:$A$72,0),DAY(表格1[[#This Row],[date]]),1,1)</f>
        <v>Jaco</v>
      </c>
      <c r="E3212" s="86">
        <f>MONTH(表格1[[#This Row],[date]])</f>
        <v>3</v>
      </c>
      <c r="F3212" s="90">
        <v>46096</v>
      </c>
      <c r="G3212" s="86" t="str">
        <f>VLOOKUP("*"&amp;表格1[[#This Row],[Input]]&amp;"*",'Ref-List'!$B:$D,2,)</f>
        <v>MW3-SAC24SE(BK)</v>
      </c>
      <c r="H3212" s="86" t="str">
        <f>_xlfn.XLOOKUP(表格1[[#This Row],[Model]],表格3[Model-Input-Ref2],表格3[Product Line])</f>
        <v>智能氣炸烤焗爐(24公升)</v>
      </c>
      <c r="I3212" s="86" t="str">
        <f>_xlfn.XLOOKUP(表格1[[#This Row],[Model]],表格3[Model-Input-Ref2],表格3[大小電])</f>
        <v>細電</v>
      </c>
      <c r="J3212" s="86" t="str">
        <f>_xlfn.XLOOKUP(表格1[[#This Row],[Model]],表格3[Model-Input-Ref2],表格3[Code])</f>
        <v>MCA</v>
      </c>
      <c r="K3212" s="89" t="s">
        <v>1274</v>
      </c>
      <c r="L3212" s="86">
        <v>1</v>
      </c>
      <c r="M3212" s="87">
        <v>1320</v>
      </c>
      <c r="N3212" s="87">
        <f>IFERROR(表格1[[#This Row],[QTY]]*表格1[[#This Row],[Unit Price]],"-")</f>
        <v>1320</v>
      </c>
      <c r="O3212" s="86">
        <v>930801</v>
      </c>
      <c r="R3212" s="86" t="str">
        <f>_xlfn.CONCAT(表格1[[#This Row],[Model]]," ",表格1[[#This Row],[inv no]])</f>
        <v>MW3-SAC24SE(BK) 930801</v>
      </c>
      <c r="S3212" s="86">
        <f>_xlfn.XLOOKUP(表格1[[#This Row],[Model]],表格3[Model-Input-Ref2],表格3[SRP PRICE])</f>
        <v>1680</v>
      </c>
      <c r="T3212" s="43">
        <f>表格1[[#This Row],[Unit Price]]/表格1[[#This Row],[SRP]]</f>
        <v>0.7857142857142857</v>
      </c>
      <c r="U3212" s="86" t="str">
        <f>_xlfn.XLOOKUP(表格1[[#This Row],[Model]],表格3[Model-Input-Ref2],表格3[TOSHIBA/HIGHEST])</f>
        <v>Toshiba SRP</v>
      </c>
      <c r="W3212" s="86" t="str">
        <f>_xlfn.CONCAT(表格1[[#This Row],[欄4]],表格1[[#This Row],[inv no]])</f>
        <v>930801</v>
      </c>
    </row>
    <row r="3213" spans="1:23" hidden="1">
      <c r="A3213" s="81">
        <v>3211</v>
      </c>
      <c r="B3213" s="86" t="s">
        <v>1477</v>
      </c>
      <c r="C3213" s="86" t="s">
        <v>1959</v>
      </c>
      <c r="D3213" s="82" t="str">
        <f ca="1">OFFSET(Roster!$A$3,MATCH(表格1[[#This Row],[Location]]&amp;" "&amp;表格1[[#This Row],[Shop]]&amp;"*",Roster!$A$4:$A$72,0),DAY(表格1[[#This Row],[date]]),1,1)</f>
        <v>Jaco</v>
      </c>
      <c r="E3213" s="86">
        <f>MONTH(表格1[[#This Row],[date]])</f>
        <v>3</v>
      </c>
      <c r="F3213" s="90">
        <v>46095</v>
      </c>
      <c r="G3213" s="86" t="str">
        <f>VLOOKUP("*"&amp;表格1[[#This Row],[Input]]&amp;"*",'Ref-List'!$B:$D,2,)</f>
        <v>MX2-TT20SC(WH)</v>
      </c>
      <c r="H3213" s="86" t="str">
        <f>_xlfn.XLOOKUP(表格1[[#This Row],[Model]],表格3[Model-Input-Ref2],表格3[Product Line])</f>
        <v>3合1 微波蒸焗爐 (20公升)</v>
      </c>
      <c r="I3213" s="86" t="str">
        <f>_xlfn.XLOOKUP(表格1[[#This Row],[Model]],表格3[Model-Input-Ref2],表格3[大小電])</f>
        <v>細電</v>
      </c>
      <c r="J3213" s="86" t="str">
        <f>_xlfn.XLOOKUP(表格1[[#This Row],[Model]],表格3[Model-Input-Ref2],表格3[Code])</f>
        <v>MCA</v>
      </c>
      <c r="K3213" s="89" t="s">
        <v>1287</v>
      </c>
      <c r="L3213" s="86">
        <v>1</v>
      </c>
      <c r="M3213" s="87">
        <v>2580</v>
      </c>
      <c r="N3213" s="87">
        <f>IFERROR(表格1[[#This Row],[QTY]]*表格1[[#This Row],[Unit Price]],"-")</f>
        <v>2580</v>
      </c>
      <c r="O3213" s="86">
        <v>930672</v>
      </c>
      <c r="R3213" s="86" t="str">
        <f>_xlfn.CONCAT(表格1[[#This Row],[Model]]," ",表格1[[#This Row],[inv no]])</f>
        <v>MX2-TT20SC(WH) 930672</v>
      </c>
      <c r="S3213" s="86">
        <f>_xlfn.XLOOKUP(表格1[[#This Row],[Model]],表格3[Model-Input-Ref2],表格3[SRP PRICE])</f>
        <v>3580</v>
      </c>
      <c r="T3213" s="43">
        <f>表格1[[#This Row],[Unit Price]]/表格1[[#This Row],[SRP]]</f>
        <v>0.72067039106145248</v>
      </c>
      <c r="U3213" s="86" t="str">
        <f>_xlfn.XLOOKUP(表格1[[#This Row],[Model]],表格3[Model-Input-Ref2],表格3[TOSHIBA/HIGHEST])</f>
        <v>Toshiba SRP</v>
      </c>
      <c r="W3213" s="86" t="str">
        <f>_xlfn.CONCAT(表格1[[#This Row],[欄4]],表格1[[#This Row],[inv no]])</f>
        <v>930672</v>
      </c>
    </row>
    <row r="3214" spans="1:23" hidden="1">
      <c r="A3214" s="81">
        <v>3212</v>
      </c>
      <c r="B3214" s="86" t="s">
        <v>1477</v>
      </c>
      <c r="C3214" s="86" t="s">
        <v>1959</v>
      </c>
      <c r="D3214" s="82" t="str">
        <f ca="1">OFFSET(Roster!$A$3,MATCH(表格1[[#This Row],[Location]]&amp;" "&amp;表格1[[#This Row],[Shop]]&amp;"*",Roster!$A$4:$A$72,0),DAY(表格1[[#This Row],[date]]),1,1)</f>
        <v>Jaco</v>
      </c>
      <c r="E3214" s="86">
        <f>MONTH(表格1[[#This Row],[date]])</f>
        <v>3</v>
      </c>
      <c r="F3214" s="90">
        <v>46096</v>
      </c>
      <c r="G3214" s="86" t="str">
        <f>VLOOKUP("*"&amp;表格1[[#This Row],[Input]]&amp;"*",'Ref-List'!$B:$D,2,)</f>
        <v>KT-15DRTHK(W)</v>
      </c>
      <c r="H3214" s="86" t="str">
        <f>_xlfn.XLOOKUP(表格1[[#This Row],[Model]],表格3[Model-Input-Ref2],表格3[Product Line])</f>
        <v>無線雙層電熱水壺-附可鎖壺蓋</v>
      </c>
      <c r="I3214" s="86" t="str">
        <f>_xlfn.XLOOKUP(表格1[[#This Row],[Model]],表格3[Model-Input-Ref2],表格3[大小電])</f>
        <v>細電</v>
      </c>
      <c r="J3214" s="86" t="str">
        <f>_xlfn.XLOOKUP(表格1[[#This Row],[Model]],表格3[Model-Input-Ref2],表格3[Code])</f>
        <v>SDA</v>
      </c>
      <c r="K3214" s="89" t="s">
        <v>1278</v>
      </c>
      <c r="L3214" s="86">
        <v>1</v>
      </c>
      <c r="M3214" s="87">
        <v>338</v>
      </c>
      <c r="N3214" s="87">
        <f>IFERROR(表格1[[#This Row],[QTY]]*表格1[[#This Row],[Unit Price]],"-")</f>
        <v>338</v>
      </c>
      <c r="O3214" s="86">
        <v>930823</v>
      </c>
      <c r="R3214" s="86" t="str">
        <f>_xlfn.CONCAT(表格1[[#This Row],[Model]]," ",表格1[[#This Row],[inv no]])</f>
        <v>KT-15DRTHK(W) 930823</v>
      </c>
      <c r="S3214" s="86">
        <f>_xlfn.XLOOKUP(表格1[[#This Row],[Model]],表格3[Model-Input-Ref2],表格3[SRP PRICE])</f>
        <v>598</v>
      </c>
      <c r="T3214" s="43">
        <f>表格1[[#This Row],[Unit Price]]/表格1[[#This Row],[SRP]]</f>
        <v>0.56521739130434778</v>
      </c>
      <c r="U3214" s="86" t="str">
        <f>_xlfn.XLOOKUP(表格1[[#This Row],[Model]],表格3[Model-Input-Ref2],表格3[TOSHIBA/HIGHEST])</f>
        <v>Toshiba SRP</v>
      </c>
      <c r="W3214" s="86" t="str">
        <f>_xlfn.CONCAT(表格1[[#This Row],[欄4]],表格1[[#This Row],[inv no]])</f>
        <v>930823</v>
      </c>
    </row>
    <row r="3215" spans="1:23" hidden="1">
      <c r="A3215" s="81">
        <v>3213</v>
      </c>
      <c r="B3215" s="86" t="s">
        <v>1477</v>
      </c>
      <c r="C3215" s="86" t="s">
        <v>1959</v>
      </c>
      <c r="D3215" s="82" t="str">
        <f ca="1">OFFSET(Roster!$A$3,MATCH(表格1[[#This Row],[Location]]&amp;" "&amp;表格1[[#This Row],[Shop]]&amp;"*",Roster!$A$4:$A$72,0),DAY(表格1[[#This Row],[date]]),1,1)</f>
        <v>Jaco</v>
      </c>
      <c r="E3215" s="86">
        <f>MONTH(表格1[[#This Row],[date]])</f>
        <v>3</v>
      </c>
      <c r="F3215" s="90">
        <v>46096</v>
      </c>
      <c r="G3215" s="86" t="str">
        <f>VLOOKUP("*"&amp;表格1[[#This Row],[Input]]&amp;"*",'Ref-List'!$B:$D,2,)</f>
        <v>TW-T22BU95UWH(WK)-B</v>
      </c>
      <c r="H3215" s="86" t="str">
        <f>_xlfn.XLOOKUP(表格1[[#This Row],[Model]],表格3[Model-Input-Ref2],表格3[Product Line])</f>
        <v>470MM超薄身前置式變頻洗衣機(8.5公斤, 可飛頂)</v>
      </c>
      <c r="I3215" s="86" t="str">
        <f>_xlfn.XLOOKUP(表格1[[#This Row],[Model]],表格3[Model-Input-Ref2],表格3[大小電])</f>
        <v>大電</v>
      </c>
      <c r="J3215" s="86" t="str">
        <f>_xlfn.XLOOKUP(表格1[[#This Row],[Model]],表格3[Model-Input-Ref2],表格3[Code])</f>
        <v>LAD</v>
      </c>
      <c r="K3215" s="89" t="s">
        <v>969</v>
      </c>
      <c r="L3215" s="86">
        <v>1</v>
      </c>
      <c r="M3215" s="87">
        <v>3680</v>
      </c>
      <c r="N3215" s="87">
        <f>IFERROR(表格1[[#This Row],[QTY]]*表格1[[#This Row],[Unit Price]],"-")</f>
        <v>3680</v>
      </c>
      <c r="O3215" s="86">
        <v>1023860</v>
      </c>
      <c r="R3215" s="86" t="str">
        <f>_xlfn.CONCAT(表格1[[#This Row],[Model]]," ",表格1[[#This Row],[inv no]])</f>
        <v>TW-T22BU95UWH(WK)-B 1023860</v>
      </c>
      <c r="S3215" s="86">
        <f>_xlfn.XLOOKUP(表格1[[#This Row],[Model]],表格3[Model-Input-Ref2],表格3[SRP PRICE])</f>
        <v>5880</v>
      </c>
      <c r="T3215" s="43">
        <f>表格1[[#This Row],[Unit Price]]/表格1[[#This Row],[SRP]]</f>
        <v>0.62585034013605445</v>
      </c>
      <c r="U3215" s="86" t="str">
        <f>_xlfn.XLOOKUP(表格1[[#This Row],[Model]],表格3[Model-Input-Ref2],表格3[TOSHIBA/HIGHEST])</f>
        <v>Toshiba SRP</v>
      </c>
      <c r="W3215" s="86" t="str">
        <f>_xlfn.CONCAT(表格1[[#This Row],[欄4]],表格1[[#This Row],[inv no]])</f>
        <v>1023860</v>
      </c>
    </row>
    <row r="3216" spans="1:23" hidden="1">
      <c r="A3216" s="81">
        <v>3214</v>
      </c>
      <c r="B3216" s="86" t="s">
        <v>1477</v>
      </c>
      <c r="C3216" s="86" t="s">
        <v>1959</v>
      </c>
      <c r="D3216" s="82" t="str">
        <f ca="1">OFFSET(Roster!$A$3,MATCH(表格1[[#This Row],[Location]]&amp;" "&amp;表格1[[#This Row],[Shop]]&amp;"*",Roster!$A$4:$A$72,0),DAY(表格1[[#This Row],[date]]),1,1)</f>
        <v>Jaco</v>
      </c>
      <c r="E3216" s="86">
        <f>MONTH(表格1[[#This Row],[date]])</f>
        <v>3</v>
      </c>
      <c r="F3216" s="90">
        <v>46096</v>
      </c>
      <c r="G3216" s="86" t="str">
        <f>VLOOKUP("*"&amp;表格1[[#This Row],[Input]]&amp;"*",'Ref-List'!$B:$D,2,)</f>
        <v>TW-T22BU95UWH(WK)-B</v>
      </c>
      <c r="H3216" s="86" t="str">
        <f>_xlfn.XLOOKUP(表格1[[#This Row],[Model]],表格3[Model-Input-Ref2],表格3[Product Line])</f>
        <v>470MM超薄身前置式變頻洗衣機(8.5公斤, 可飛頂)</v>
      </c>
      <c r="I3216" s="86" t="str">
        <f>_xlfn.XLOOKUP(表格1[[#This Row],[Model]],表格3[Model-Input-Ref2],表格3[大小電])</f>
        <v>大電</v>
      </c>
      <c r="J3216" s="86" t="str">
        <f>_xlfn.XLOOKUP(表格1[[#This Row],[Model]],表格3[Model-Input-Ref2],表格3[Code])</f>
        <v>LAD</v>
      </c>
      <c r="K3216" s="89" t="s">
        <v>969</v>
      </c>
      <c r="L3216" s="86">
        <v>1</v>
      </c>
      <c r="M3216" s="87">
        <v>3680</v>
      </c>
      <c r="N3216" s="87">
        <f>IFERROR(表格1[[#This Row],[QTY]]*表格1[[#This Row],[Unit Price]],"-")</f>
        <v>3680</v>
      </c>
      <c r="O3216" s="86">
        <v>930827</v>
      </c>
      <c r="R3216" s="86" t="str">
        <f>_xlfn.CONCAT(表格1[[#This Row],[Model]]," ",表格1[[#This Row],[inv no]])</f>
        <v>TW-T22BU95UWH(WK)-B 930827</v>
      </c>
      <c r="S3216" s="86">
        <f>_xlfn.XLOOKUP(表格1[[#This Row],[Model]],表格3[Model-Input-Ref2],表格3[SRP PRICE])</f>
        <v>5880</v>
      </c>
      <c r="T3216" s="43">
        <f>表格1[[#This Row],[Unit Price]]/表格1[[#This Row],[SRP]]</f>
        <v>0.62585034013605445</v>
      </c>
      <c r="U3216" s="86" t="str">
        <f>_xlfn.XLOOKUP(表格1[[#This Row],[Model]],表格3[Model-Input-Ref2],表格3[TOSHIBA/HIGHEST])</f>
        <v>Toshiba SRP</v>
      </c>
      <c r="W3216" s="86" t="str">
        <f>_xlfn.CONCAT(表格1[[#This Row],[欄4]],表格1[[#This Row],[inv no]])</f>
        <v>930827</v>
      </c>
    </row>
    <row r="3217" spans="1:23" hidden="1">
      <c r="A3217" s="81">
        <v>3215</v>
      </c>
      <c r="B3217" s="86" t="s">
        <v>1477</v>
      </c>
      <c r="C3217" s="86" t="s">
        <v>1959</v>
      </c>
      <c r="D3217" s="82" t="str">
        <f ca="1">OFFSET(Roster!$A$3,MATCH(表格1[[#This Row],[Location]]&amp;" "&amp;表格1[[#This Row],[Shop]]&amp;"*",Roster!$A$4:$A$72,0),DAY(表格1[[#This Row],[date]]),1,1)</f>
        <v>Jaco</v>
      </c>
      <c r="E3217" s="86">
        <f>MONTH(表格1[[#This Row],[date]])</f>
        <v>3</v>
      </c>
      <c r="F3217" s="90">
        <v>46096</v>
      </c>
      <c r="G3217" s="86" t="str">
        <f>VLOOKUP("*"&amp;表格1[[#This Row],[Input]]&amp;"*",'Ref-List'!$B:$D,2,)</f>
        <v>RAC-07G3CVRG-HK</v>
      </c>
      <c r="H3217" s="86" t="str">
        <f>_xlfn.XLOOKUP(表格1[[#This Row],[Model]],表格3[Model-Input-Ref2],表格3[Product Line])</f>
        <v>3/4 匹 窗口式冷氣機(remote/fortress)</v>
      </c>
      <c r="I3217" s="86" t="str">
        <f>_xlfn.XLOOKUP(表格1[[#This Row],[Model]],表格3[Model-Input-Ref2],表格3[大小電])</f>
        <v>大電</v>
      </c>
      <c r="J3217" s="86" t="str">
        <f>_xlfn.XLOOKUP(表格1[[#This Row],[Model]],表格3[Model-Input-Ref2],表格3[Code])</f>
        <v>AC</v>
      </c>
      <c r="K3217" s="89" t="s">
        <v>664</v>
      </c>
      <c r="L3217" s="86">
        <v>1</v>
      </c>
      <c r="M3217" s="87">
        <v>3880</v>
      </c>
      <c r="N3217" s="87">
        <f>IFERROR(表格1[[#This Row],[QTY]]*表格1[[#This Row],[Unit Price]],"-")</f>
        <v>3880</v>
      </c>
      <c r="O3217" s="86">
        <v>930824</v>
      </c>
      <c r="R3217" s="86" t="str">
        <f>_xlfn.CONCAT(表格1[[#This Row],[Model]]," ",表格1[[#This Row],[inv no]])</f>
        <v>RAC-07G3CVRG-HK 930824</v>
      </c>
      <c r="S3217" s="86">
        <f>_xlfn.XLOOKUP(表格1[[#This Row],[Model]],表格3[Model-Input-Ref2],表格3[SRP PRICE])</f>
        <v>5580</v>
      </c>
      <c r="T3217" s="43">
        <f>表格1[[#This Row],[Unit Price]]/表格1[[#This Row],[SRP]]</f>
        <v>0.69534050179211471</v>
      </c>
      <c r="U3217" s="86" t="str">
        <f>_xlfn.XLOOKUP(表格1[[#This Row],[Model]],表格3[Model-Input-Ref2],表格3[TOSHIBA/HIGHEST])</f>
        <v>Toshiba SRP</v>
      </c>
      <c r="W3217" s="86" t="str">
        <f>_xlfn.CONCAT(表格1[[#This Row],[欄4]],表格1[[#This Row],[inv no]])</f>
        <v>930824</v>
      </c>
    </row>
    <row r="3218" spans="1:23" hidden="1">
      <c r="A3218" s="81">
        <v>3216</v>
      </c>
      <c r="B3218" s="86" t="s">
        <v>1477</v>
      </c>
      <c r="C3218" s="86" t="s">
        <v>1959</v>
      </c>
      <c r="D3218" s="82" t="str">
        <f ca="1">OFFSET(Roster!$A$3,MATCH(表格1[[#This Row],[Location]]&amp;" "&amp;表格1[[#This Row],[Shop]]&amp;"*",Roster!$A$4:$A$72,0),DAY(表格1[[#This Row],[date]]),1,1)</f>
        <v>Jaco</v>
      </c>
      <c r="E3218" s="86">
        <f>MONTH(表格1[[#This Row],[date]])</f>
        <v>3</v>
      </c>
      <c r="F3218" s="90">
        <v>46096</v>
      </c>
      <c r="G3218" s="86" t="str">
        <f>VLOOKUP("*"&amp;表格1[[#This Row],[Input]]&amp;"*",'Ref-List'!$B:$D,2,)</f>
        <v>RC-18DRNH</v>
      </c>
      <c r="H3218" s="86" t="str">
        <f>_xlfn.XLOOKUP(表格1[[#This Row],[Model]],表格3[Model-Input-Ref2],表格3[Product Line])</f>
        <v>多功能備長炭本厚釜電飯煲1.8L</v>
      </c>
      <c r="I3218" s="86" t="str">
        <f>_xlfn.XLOOKUP(表格1[[#This Row],[Model]],表格3[Model-Input-Ref2],表格3[大小電])</f>
        <v>細電</v>
      </c>
      <c r="J3218" s="86" t="str">
        <f>_xlfn.XLOOKUP(表格1[[#This Row],[Model]],表格3[Model-Input-Ref2],表格3[Code])</f>
        <v>SDA</v>
      </c>
      <c r="K3218" s="89" t="s">
        <v>1389</v>
      </c>
      <c r="L3218" s="86">
        <v>1</v>
      </c>
      <c r="M3218" s="87">
        <v>619</v>
      </c>
      <c r="N3218" s="87">
        <f>IFERROR(表格1[[#This Row],[QTY]]*表格1[[#This Row],[Unit Price]],"-")</f>
        <v>619</v>
      </c>
      <c r="O3218" s="86">
        <v>1023695</v>
      </c>
      <c r="R3218" s="86" t="str">
        <f>_xlfn.CONCAT(表格1[[#This Row],[Model]]," ",表格1[[#This Row],[inv no]])</f>
        <v>RC-18DRNH 1023695</v>
      </c>
      <c r="S3218" s="86">
        <f>_xlfn.XLOOKUP(表格1[[#This Row],[Model]],表格3[Model-Input-Ref2],表格3[SRP PRICE])</f>
        <v>898</v>
      </c>
      <c r="T3218" s="43">
        <f>表格1[[#This Row],[Unit Price]]/表格1[[#This Row],[SRP]]</f>
        <v>0.68930957683741645</v>
      </c>
      <c r="U3218" s="86" t="str">
        <f>_xlfn.XLOOKUP(表格1[[#This Row],[Model]],表格3[Model-Input-Ref2],表格3[TOSHIBA/HIGHEST])</f>
        <v>Toshiba SRP</v>
      </c>
      <c r="W3218" s="86" t="str">
        <f>_xlfn.CONCAT(表格1[[#This Row],[欄4]],表格1[[#This Row],[inv no]])</f>
        <v>1023695</v>
      </c>
    </row>
    <row r="3219" spans="1:23" hidden="1">
      <c r="A3219" s="81">
        <v>3217</v>
      </c>
      <c r="B3219" s="86" t="s">
        <v>1477</v>
      </c>
      <c r="C3219" s="86" t="s">
        <v>1959</v>
      </c>
      <c r="D3219" s="82" t="str">
        <f ca="1">OFFSET(Roster!$A$3,MATCH(表格1[[#This Row],[Location]]&amp;" "&amp;表格1[[#This Row],[Shop]]&amp;"*",Roster!$A$4:$A$72,0),DAY(表格1[[#This Row],[date]]),1,1)</f>
        <v>Jaco</v>
      </c>
      <c r="E3219" s="86">
        <f>MONTH(表格1[[#This Row],[date]])</f>
        <v>3</v>
      </c>
      <c r="F3219" s="90">
        <v>46097</v>
      </c>
      <c r="G3219" s="86" t="str">
        <f>VLOOKUP("*"&amp;表格1[[#This Row],[Input]]&amp;"*",'Ref-List'!$B:$D,2,)</f>
        <v>RC-DS18K(N)</v>
      </c>
      <c r="H3219" s="86" t="str">
        <f>_xlfn.XLOOKUP(表格1[[#This Row],[Model]],表格3[Model-Input-Ref2],表格3[Product Line])</f>
        <v>IH磁應電飯煲</v>
      </c>
      <c r="I3219" s="86" t="str">
        <f>_xlfn.XLOOKUP(表格1[[#This Row],[Model]],表格3[Model-Input-Ref2],表格3[大小電])</f>
        <v>細電</v>
      </c>
      <c r="J3219" s="86" t="str">
        <f>_xlfn.XLOOKUP(表格1[[#This Row],[Model]],表格3[Model-Input-Ref2],表格3[Code])</f>
        <v>SDA</v>
      </c>
      <c r="K3219" s="89" t="s">
        <v>1498</v>
      </c>
      <c r="L3219" s="86">
        <v>1</v>
      </c>
      <c r="M3219" s="87">
        <v>3490</v>
      </c>
      <c r="N3219" s="87">
        <f>IFERROR(表格1[[#This Row],[QTY]]*表格1[[#This Row],[Unit Price]],"-")</f>
        <v>3490</v>
      </c>
      <c r="O3219" s="86">
        <v>930857</v>
      </c>
      <c r="R3219" s="86" t="str">
        <f>_xlfn.CONCAT(表格1[[#This Row],[Model]]," ",表格1[[#This Row],[inv no]])</f>
        <v>RC-DS18K(N) 930857</v>
      </c>
      <c r="S3219" s="86">
        <f>_xlfn.XLOOKUP(表格1[[#This Row],[Model]],表格3[Model-Input-Ref2],表格3[SRP PRICE])</f>
        <v>4988</v>
      </c>
      <c r="T3219" s="43">
        <f>表格1[[#This Row],[Unit Price]]/表格1[[#This Row],[SRP]]</f>
        <v>0.69967923015236566</v>
      </c>
      <c r="U3219" s="86" t="str">
        <f>_xlfn.XLOOKUP(表格1[[#This Row],[Model]],表格3[Model-Input-Ref2],表格3[TOSHIBA/HIGHEST])</f>
        <v>Toshiba SRP</v>
      </c>
      <c r="W3219" s="86" t="str">
        <f>_xlfn.CONCAT(表格1[[#This Row],[欄4]],表格1[[#This Row],[inv no]])</f>
        <v>930857</v>
      </c>
    </row>
    <row r="3220" spans="1:23" hidden="1">
      <c r="A3220" s="81">
        <v>3218</v>
      </c>
      <c r="B3220" s="86" t="s">
        <v>1477</v>
      </c>
      <c r="C3220" s="86" t="s">
        <v>1959</v>
      </c>
      <c r="D3220" s="82" t="str">
        <f ca="1">OFFSET(Roster!$A$3,MATCH(表格1[[#This Row],[Location]]&amp;" "&amp;表格1[[#This Row],[Shop]]&amp;"*",Roster!$A$4:$A$72,0),DAY(表格1[[#This Row],[date]]),1,1)</f>
        <v>Jaco</v>
      </c>
      <c r="E3220" s="86">
        <f>MONTH(表格1[[#This Row],[date]])</f>
        <v>3</v>
      </c>
      <c r="F3220" s="90">
        <v>46097</v>
      </c>
      <c r="G3220" s="86" t="str">
        <f>VLOOKUP("*"&amp;表格1[[#This Row],[Input]]&amp;"*",'Ref-List'!$B:$D,2,)</f>
        <v>KT-17DRTHK(H)</v>
      </c>
      <c r="H3220" s="86" t="str">
        <f>_xlfn.XLOOKUP(表格1[[#This Row],[Model]],表格3[Model-Input-Ref2],表格3[Product Line])</f>
        <v>無線雙層電熱水壺(1.7公升)</v>
      </c>
      <c r="I3220" s="86" t="str">
        <f>_xlfn.XLOOKUP(表格1[[#This Row],[Model]],表格3[Model-Input-Ref2],表格3[大小電])</f>
        <v>細電</v>
      </c>
      <c r="J3220" s="86" t="str">
        <f>_xlfn.XLOOKUP(表格1[[#This Row],[Model]],表格3[Model-Input-Ref2],表格3[Code])</f>
        <v>SDA</v>
      </c>
      <c r="K3220" s="89" t="s">
        <v>1271</v>
      </c>
      <c r="L3220" s="86">
        <v>1</v>
      </c>
      <c r="M3220" s="87">
        <v>388</v>
      </c>
      <c r="N3220" s="87">
        <f>IFERROR(表格1[[#This Row],[QTY]]*表格1[[#This Row],[Unit Price]],"-")</f>
        <v>388</v>
      </c>
      <c r="O3220" s="86">
        <v>1024007</v>
      </c>
      <c r="R3220" s="86" t="str">
        <f>_xlfn.CONCAT(表格1[[#This Row],[Model]]," ",表格1[[#This Row],[inv no]])</f>
        <v>KT-17DRTHK(H) 1024007</v>
      </c>
      <c r="S3220" s="86">
        <f>_xlfn.XLOOKUP(表格1[[#This Row],[Model]],表格3[Model-Input-Ref2],表格3[SRP PRICE])</f>
        <v>498</v>
      </c>
      <c r="T3220" s="43">
        <f>表格1[[#This Row],[Unit Price]]/表格1[[#This Row],[SRP]]</f>
        <v>0.77911646586345384</v>
      </c>
      <c r="U3220" s="86" t="str">
        <f>_xlfn.XLOOKUP(表格1[[#This Row],[Model]],表格3[Model-Input-Ref2],表格3[TOSHIBA/HIGHEST])</f>
        <v>Toshiba SRP</v>
      </c>
      <c r="W3220" s="86" t="str">
        <f>_xlfn.CONCAT(表格1[[#This Row],[欄4]],表格1[[#This Row],[inv no]])</f>
        <v>1024007</v>
      </c>
    </row>
    <row r="3221" spans="1:23" hidden="1">
      <c r="A3221" s="81">
        <v>3219</v>
      </c>
      <c r="B3221" s="86" t="s">
        <v>1477</v>
      </c>
      <c r="C3221" s="86" t="s">
        <v>1959</v>
      </c>
      <c r="D3221" s="82" t="str">
        <f ca="1">OFFSET(Roster!$A$3,MATCH(表格1[[#This Row],[Location]]&amp;" "&amp;表格1[[#This Row],[Shop]]&amp;"*",Roster!$A$4:$A$72,0),DAY(表格1[[#This Row],[date]]),1,1)</f>
        <v>Jaco</v>
      </c>
      <c r="E3221" s="86">
        <f>MONTH(表格1[[#This Row],[date]])</f>
        <v>3</v>
      </c>
      <c r="F3221" s="90">
        <v>46097</v>
      </c>
      <c r="G3221" s="86" t="str">
        <f>VLOOKUP("*"&amp;表格1[[#This Row],[Input]]&amp;"*",'Ref-List'!$B:$D,2,)</f>
        <v>RAC-09G3CVRGR-HK</v>
      </c>
      <c r="H3221" s="86" t="str">
        <f>_xlfn.XLOOKUP(表格1[[#This Row],[Model]],表格3[Model-Input-Ref2],表格3[Product Line])</f>
        <v>1 匹 R32變頻窗口式冷氣機 (獨立抽濕遙控</v>
      </c>
      <c r="I3221" s="86" t="str">
        <f>_xlfn.XLOOKUP(表格1[[#This Row],[Model]],表格3[Model-Input-Ref2],表格3[大小電])</f>
        <v>大電</v>
      </c>
      <c r="J3221" s="86" t="str">
        <f>_xlfn.XLOOKUP(表格1[[#This Row],[Model]],表格3[Model-Input-Ref2],表格3[Code])</f>
        <v>AC</v>
      </c>
      <c r="K3221" s="89" t="s">
        <v>1474</v>
      </c>
      <c r="L3221" s="86">
        <v>1</v>
      </c>
      <c r="M3221" s="87">
        <v>4980</v>
      </c>
      <c r="N3221" s="87">
        <f>IFERROR(表格1[[#This Row],[QTY]]*表格1[[#This Row],[Unit Price]],"-")</f>
        <v>4980</v>
      </c>
      <c r="O3221" s="86">
        <v>1023968</v>
      </c>
      <c r="R3221" s="86" t="str">
        <f>_xlfn.CONCAT(表格1[[#This Row],[Model]]," ",表格1[[#This Row],[inv no]])</f>
        <v>RAC-09G3CVRGR-HK 1023968</v>
      </c>
      <c r="S3221" s="86">
        <f>_xlfn.XLOOKUP(表格1[[#This Row],[Model]],表格3[Model-Input-Ref2],表格3[SRP PRICE])</f>
        <v>6980</v>
      </c>
      <c r="T3221" s="43">
        <f>表格1[[#This Row],[Unit Price]]/表格1[[#This Row],[SRP]]</f>
        <v>0.71346704871060174</v>
      </c>
      <c r="U3221" s="86" t="str">
        <f>_xlfn.XLOOKUP(表格1[[#This Row],[Model]],表格3[Model-Input-Ref2],表格3[TOSHIBA/HIGHEST])</f>
        <v>Toshiba SRP</v>
      </c>
      <c r="W3221" s="86" t="str">
        <f>_xlfn.CONCAT(表格1[[#This Row],[欄4]],表格1[[#This Row],[inv no]])</f>
        <v>1023968</v>
      </c>
    </row>
    <row r="3222" spans="1:23" hidden="1">
      <c r="A3222" s="81">
        <v>3220</v>
      </c>
      <c r="B3222" s="86" t="s">
        <v>1477</v>
      </c>
      <c r="C3222" s="86" t="s">
        <v>1959</v>
      </c>
      <c r="D3222" s="82" t="str">
        <f ca="1">OFFSET(Roster!$A$3,MATCH(表格1[[#This Row],[Location]]&amp;" "&amp;表格1[[#This Row],[Shop]]&amp;"*",Roster!$A$4:$A$72,0),DAY(表格1[[#This Row],[date]]),1,1)</f>
        <v>Jaco</v>
      </c>
      <c r="E3222" s="86">
        <f>MONTH(表格1[[#This Row],[date]])</f>
        <v>3</v>
      </c>
      <c r="F3222" s="90">
        <v>46097</v>
      </c>
      <c r="G3222" s="86" t="str">
        <f>VLOOKUP("*"&amp;表格1[[#This Row],[Input]]&amp;"*",'Ref-List'!$B:$D,2,)</f>
        <v>GR-RB449WE-PMA(57)</v>
      </c>
      <c r="H3222" s="86" t="str">
        <f>_xlfn.XLOOKUP(表格1[[#This Row],[Model]],表格3[Model-Input-Ref2],表格3[Product Line])</f>
        <v>變頻下置式雙門雪櫃</v>
      </c>
      <c r="I3222" s="86" t="str">
        <f>_xlfn.XLOOKUP(表格1[[#This Row],[Model]],表格3[Model-Input-Ref2],表格3[大小電])</f>
        <v>大電</v>
      </c>
      <c r="J3222" s="86" t="str">
        <f>_xlfn.XLOOKUP(表格1[[#This Row],[Model]],表格3[Model-Input-Ref2],表格3[Code])</f>
        <v>REF</v>
      </c>
      <c r="K3222" s="89" t="s">
        <v>1484</v>
      </c>
      <c r="L3222" s="86">
        <v>1</v>
      </c>
      <c r="M3222" s="87">
        <v>5080</v>
      </c>
      <c r="N3222" s="87">
        <f>IFERROR(表格1[[#This Row],[QTY]]*表格1[[#This Row],[Unit Price]],"-")</f>
        <v>5080</v>
      </c>
      <c r="O3222" s="86">
        <v>1023967</v>
      </c>
      <c r="R3222" s="86" t="str">
        <f>_xlfn.CONCAT(表格1[[#This Row],[Model]]," ",表格1[[#This Row],[inv no]])</f>
        <v>GR-RB449WE-PMA(57) 1023967</v>
      </c>
      <c r="S3222" s="86">
        <f>_xlfn.XLOOKUP(表格1[[#This Row],[Model]],表格3[Model-Input-Ref2],表格3[SRP PRICE])</f>
        <v>6280</v>
      </c>
      <c r="T3222" s="43">
        <f>表格1[[#This Row],[Unit Price]]/表格1[[#This Row],[SRP]]</f>
        <v>0.80891719745222934</v>
      </c>
      <c r="U3222" s="86" t="str">
        <f>_xlfn.XLOOKUP(表格1[[#This Row],[Model]],表格3[Model-Input-Ref2],表格3[TOSHIBA/HIGHEST])</f>
        <v>Toshiba SRP</v>
      </c>
      <c r="W3222" s="86" t="str">
        <f>_xlfn.CONCAT(表格1[[#This Row],[欄4]],表格1[[#This Row],[inv no]])</f>
        <v>1023967</v>
      </c>
    </row>
    <row r="3223" spans="1:23" hidden="1">
      <c r="A3223" s="81">
        <v>3221</v>
      </c>
      <c r="B3223" s="86" t="s">
        <v>1477</v>
      </c>
      <c r="C3223" s="86" t="s">
        <v>1959</v>
      </c>
      <c r="D3223" s="82" t="str">
        <f ca="1">OFFSET(Roster!$A$3,MATCH(表格1[[#This Row],[Location]]&amp;" "&amp;表格1[[#This Row],[Shop]]&amp;"*",Roster!$A$4:$A$72,0),DAY(表格1[[#This Row],[date]]),1,1)</f>
        <v>Jaco</v>
      </c>
      <c r="E3223" s="86">
        <f>MONTH(表格1[[#This Row],[date]])</f>
        <v>3</v>
      </c>
      <c r="F3223" s="90">
        <v>46097</v>
      </c>
      <c r="G3223" s="86" t="str">
        <f>VLOOKUP("*"&amp;表格1[[#This Row],[Input]]&amp;"*",'Ref-List'!$B:$D,2,)</f>
        <v>GR-RB360WE-PMA(06)</v>
      </c>
      <c r="H3223" s="86" t="str">
        <f>_xlfn.XLOOKUP(表格1[[#This Row],[Model]],表格3[Model-Input-Ref2],表格3[Product Line])</f>
        <v>變頻下置式雙門雪櫃系列270L</v>
      </c>
      <c r="I3223" s="86" t="str">
        <f>_xlfn.XLOOKUP(表格1[[#This Row],[Model]],表格3[Model-Input-Ref2],表格3[大小電])</f>
        <v>大電</v>
      </c>
      <c r="J3223" s="86" t="str">
        <f>_xlfn.XLOOKUP(表格1[[#This Row],[Model]],表格3[Model-Input-Ref2],表格3[Code])</f>
        <v>REF</v>
      </c>
      <c r="K3223" s="89" t="s">
        <v>1282</v>
      </c>
      <c r="L3223" s="86">
        <v>1</v>
      </c>
      <c r="M3223" s="87">
        <v>3680</v>
      </c>
      <c r="N3223" s="87">
        <f>IFERROR(表格1[[#This Row],[QTY]]*表格1[[#This Row],[Unit Price]],"-")</f>
        <v>3680</v>
      </c>
      <c r="O3223" s="86">
        <v>1024008</v>
      </c>
      <c r="R3223" s="86" t="str">
        <f>_xlfn.CONCAT(表格1[[#This Row],[Model]]," ",表格1[[#This Row],[inv no]])</f>
        <v>GR-RB360WE-PMA(06) 1024008</v>
      </c>
      <c r="S3223" s="86">
        <f>_xlfn.XLOOKUP(表格1[[#This Row],[Model]],表格3[Model-Input-Ref2],表格3[SRP PRICE])</f>
        <v>5080</v>
      </c>
      <c r="T3223" s="43">
        <f>表格1[[#This Row],[Unit Price]]/表格1[[#This Row],[SRP]]</f>
        <v>0.72440944881889768</v>
      </c>
      <c r="U3223" s="86" t="str">
        <f>_xlfn.XLOOKUP(表格1[[#This Row],[Model]],表格3[Model-Input-Ref2],表格3[TOSHIBA/HIGHEST])</f>
        <v>Toshiba SRP</v>
      </c>
      <c r="W3223" s="86" t="str">
        <f>_xlfn.CONCAT(表格1[[#This Row],[欄4]],表格1[[#This Row],[inv no]])</f>
        <v>1024008</v>
      </c>
    </row>
    <row r="3224" spans="1:23" hidden="1">
      <c r="A3224" s="81">
        <v>3222</v>
      </c>
      <c r="B3224" s="86" t="s">
        <v>1477</v>
      </c>
      <c r="C3224" s="86" t="s">
        <v>1959</v>
      </c>
      <c r="D3224" s="82" t="str">
        <f ca="1">OFFSET(Roster!$A$3,MATCH(表格1[[#This Row],[Location]]&amp;" "&amp;表格1[[#This Row],[Shop]]&amp;"*",Roster!$A$4:$A$72,0),DAY(表格1[[#This Row],[date]]),1,1)</f>
        <v>Jaco</v>
      </c>
      <c r="E3224" s="86">
        <f>MONTH(表格1[[#This Row],[date]])</f>
        <v>3</v>
      </c>
      <c r="F3224" s="90">
        <v>46097</v>
      </c>
      <c r="G3224" s="86" t="str">
        <f>VLOOKUP("*"&amp;表格1[[#This Row],[Input]]&amp;"*",'Ref-List'!$B:$D,2,)</f>
        <v>RC-10NMFIH(WT)</v>
      </c>
      <c r="H3224" s="86" t="str">
        <f>_xlfn.XLOOKUP(表格1[[#This Row],[Model]],表格3[Model-Input-Ref2],表格3[Product Line])</f>
        <v>4毫米厚釜電飯煲1L</v>
      </c>
      <c r="I3224" s="86" t="str">
        <f>_xlfn.XLOOKUP(表格1[[#This Row],[Model]],表格3[Model-Input-Ref2],表格3[大小電])</f>
        <v>細電</v>
      </c>
      <c r="J3224" s="86" t="str">
        <f>_xlfn.XLOOKUP(表格1[[#This Row],[Model]],表格3[Model-Input-Ref2],表格3[Code])</f>
        <v>SDA</v>
      </c>
      <c r="K3224" s="89" t="s">
        <v>1244</v>
      </c>
      <c r="L3224" s="86">
        <v>1</v>
      </c>
      <c r="M3224" s="87">
        <v>719</v>
      </c>
      <c r="N3224" s="87">
        <f>IFERROR(表格1[[#This Row],[QTY]]*表格1[[#This Row],[Unit Price]],"-")</f>
        <v>719</v>
      </c>
      <c r="O3224" s="86">
        <v>1023980</v>
      </c>
      <c r="R3224" s="86" t="str">
        <f>_xlfn.CONCAT(表格1[[#This Row],[Model]]," ",表格1[[#This Row],[inv no]])</f>
        <v>RC-10NMFIH(WT) 1023980</v>
      </c>
      <c r="S3224" s="86">
        <f>_xlfn.XLOOKUP(表格1[[#This Row],[Model]],表格3[Model-Input-Ref2],表格3[SRP PRICE])</f>
        <v>898</v>
      </c>
      <c r="T3224" s="43">
        <f>表格1[[#This Row],[Unit Price]]/表格1[[#This Row],[SRP]]</f>
        <v>0.80066815144766146</v>
      </c>
      <c r="U3224" s="86" t="str">
        <f>_xlfn.XLOOKUP(表格1[[#This Row],[Model]],表格3[Model-Input-Ref2],表格3[TOSHIBA/HIGHEST])</f>
        <v>Toshiba SRP</v>
      </c>
      <c r="W3224" s="86" t="str">
        <f>_xlfn.CONCAT(表格1[[#This Row],[欄4]],表格1[[#This Row],[inv no]])</f>
        <v>1023980</v>
      </c>
    </row>
    <row r="3225" spans="1:23" hidden="1">
      <c r="A3225" s="81">
        <v>3223</v>
      </c>
      <c r="B3225" s="86" t="s">
        <v>1477</v>
      </c>
      <c r="C3225" s="86" t="s">
        <v>1959</v>
      </c>
      <c r="D3225" s="82" t="str">
        <f ca="1">OFFSET(Roster!$A$3,MATCH(表格1[[#This Row],[Location]]&amp;" "&amp;表格1[[#This Row],[Shop]]&amp;"*",Roster!$A$4:$A$72,0),DAY(表格1[[#This Row],[date]]),1,1)</f>
        <v>Jaco</v>
      </c>
      <c r="E3225" s="86">
        <f>MONTH(表格1[[#This Row],[date]])</f>
        <v>3</v>
      </c>
      <c r="F3225" s="90">
        <v>46097</v>
      </c>
      <c r="G3225" s="86" t="str">
        <f>VLOOKUP("*"&amp;表格1[[#This Row],[Input]]&amp;"*",'Ref-List'!$B:$D,2,)</f>
        <v>MW3-SAC24SE(BK)</v>
      </c>
      <c r="H3225" s="86" t="str">
        <f>_xlfn.XLOOKUP(表格1[[#This Row],[Model]],表格3[Model-Input-Ref2],表格3[Product Line])</f>
        <v>智能氣炸烤焗爐(24公升)</v>
      </c>
      <c r="I3225" s="86" t="str">
        <f>_xlfn.XLOOKUP(表格1[[#This Row],[Model]],表格3[Model-Input-Ref2],表格3[大小電])</f>
        <v>細電</v>
      </c>
      <c r="J3225" s="86" t="str">
        <f>_xlfn.XLOOKUP(表格1[[#This Row],[Model]],表格3[Model-Input-Ref2],表格3[Code])</f>
        <v>MCA</v>
      </c>
      <c r="K3225" s="89" t="s">
        <v>1274</v>
      </c>
      <c r="L3225" s="86">
        <v>1</v>
      </c>
      <c r="M3225" s="87">
        <v>1320</v>
      </c>
      <c r="N3225" s="87">
        <f>IFERROR(表格1[[#This Row],[QTY]]*表格1[[#This Row],[Unit Price]],"-")</f>
        <v>1320</v>
      </c>
      <c r="O3225" s="86">
        <v>930857</v>
      </c>
      <c r="R3225" s="86" t="str">
        <f>_xlfn.CONCAT(表格1[[#This Row],[Model]]," ",表格1[[#This Row],[inv no]])</f>
        <v>MW3-SAC24SE(BK) 930857</v>
      </c>
      <c r="S3225" s="86">
        <f>_xlfn.XLOOKUP(表格1[[#This Row],[Model]],表格3[Model-Input-Ref2],表格3[SRP PRICE])</f>
        <v>1680</v>
      </c>
      <c r="T3225" s="43">
        <f>表格1[[#This Row],[Unit Price]]/表格1[[#This Row],[SRP]]</f>
        <v>0.7857142857142857</v>
      </c>
      <c r="U3225" s="86" t="str">
        <f>_xlfn.XLOOKUP(表格1[[#This Row],[Model]],表格3[Model-Input-Ref2],表格3[TOSHIBA/HIGHEST])</f>
        <v>Toshiba SRP</v>
      </c>
      <c r="W3225" s="86" t="str">
        <f>_xlfn.CONCAT(表格1[[#This Row],[欄4]],表格1[[#This Row],[inv no]])</f>
        <v>930857</v>
      </c>
    </row>
    <row r="3226" spans="1:23" hidden="1">
      <c r="A3226" s="81">
        <v>3224</v>
      </c>
      <c r="B3226" s="86" t="s">
        <v>1477</v>
      </c>
      <c r="C3226" s="86" t="s">
        <v>1959</v>
      </c>
      <c r="D3226" s="82" t="str">
        <f ca="1">OFFSET(Roster!$A$3,MATCH(表格1[[#This Row],[Location]]&amp;" "&amp;表格1[[#This Row],[Shop]]&amp;"*",Roster!$A$4:$A$72,0),DAY(表格1[[#This Row],[date]]),1,1)</f>
        <v>Jaco</v>
      </c>
      <c r="E3226" s="86">
        <f>MONTH(表格1[[#This Row],[date]])</f>
        <v>3</v>
      </c>
      <c r="F3226" s="90">
        <v>46097</v>
      </c>
      <c r="G3226" s="86" t="str">
        <f>VLOOKUP("*"&amp;表格1[[#This Row],[Input]]&amp;"*",'Ref-List'!$B:$D,2,)</f>
        <v>MM2-EG20PC(WH)</v>
      </c>
      <c r="H3226" s="86" t="str">
        <f>_xlfn.XLOOKUP(表格1[[#This Row],[Model]],表格3[Model-Input-Ref2],表格3[Product Line])</f>
        <v>輕觸式燒烤微波爐</v>
      </c>
      <c r="I3226" s="86" t="str">
        <f>_xlfn.XLOOKUP(表格1[[#This Row],[Model]],表格3[Model-Input-Ref2],表格3[大小電])</f>
        <v>細電</v>
      </c>
      <c r="J3226" s="86" t="str">
        <f>_xlfn.XLOOKUP(表格1[[#This Row],[Model]],表格3[Model-Input-Ref2],表格3[Code])</f>
        <v>MCA</v>
      </c>
      <c r="K3226" s="89" t="s">
        <v>1273</v>
      </c>
      <c r="L3226" s="86">
        <v>1</v>
      </c>
      <c r="M3226" s="87">
        <v>698</v>
      </c>
      <c r="N3226" s="87">
        <f>IFERROR(表格1[[#This Row],[QTY]]*表格1[[#This Row],[Unit Price]],"-")</f>
        <v>698</v>
      </c>
      <c r="O3226" s="86">
        <v>1024018</v>
      </c>
      <c r="R3226" s="86" t="str">
        <f>_xlfn.CONCAT(表格1[[#This Row],[Model]]," ",表格1[[#This Row],[inv no]])</f>
        <v>MM2-EG20PC(WH) 1024018</v>
      </c>
      <c r="S3226" s="86">
        <f>_xlfn.XLOOKUP(表格1[[#This Row],[Model]],表格3[Model-Input-Ref2],表格3[SRP PRICE])</f>
        <v>918</v>
      </c>
      <c r="T3226" s="43">
        <f>表格1[[#This Row],[Unit Price]]/表格1[[#This Row],[SRP]]</f>
        <v>0.76034858387799564</v>
      </c>
      <c r="U3226" s="86" t="str">
        <f>_xlfn.XLOOKUP(表格1[[#This Row],[Model]],表格3[Model-Input-Ref2],表格3[TOSHIBA/HIGHEST])</f>
        <v>Shops Highest Price</v>
      </c>
      <c r="W3226" s="86" t="str">
        <f>_xlfn.CONCAT(表格1[[#This Row],[欄4]],表格1[[#This Row],[inv no]])</f>
        <v>1024018</v>
      </c>
    </row>
    <row r="3227" spans="1:23" hidden="1">
      <c r="A3227" s="81">
        <v>3225</v>
      </c>
      <c r="B3227" s="86" t="s">
        <v>1477</v>
      </c>
      <c r="C3227" s="86" t="s">
        <v>1959</v>
      </c>
      <c r="D3227" s="82" t="str">
        <f ca="1">OFFSET(Roster!$A$3,MATCH(表格1[[#This Row],[Location]]&amp;" "&amp;表格1[[#This Row],[Shop]]&amp;"*",Roster!$A$4:$A$72,0),DAY(表格1[[#This Row],[date]]),1,1)</f>
        <v>Jaco</v>
      </c>
      <c r="E3227" s="86">
        <f>MONTH(表格1[[#This Row],[date]])</f>
        <v>3</v>
      </c>
      <c r="F3227" s="90">
        <v>46097</v>
      </c>
      <c r="G3227" s="86" t="str">
        <f>VLOOKUP("*"&amp;表格1[[#This Row],[Input]]&amp;"*",'Ref-List'!$B:$D,2,)</f>
        <v>MWP-MM20P(WH)</v>
      </c>
      <c r="H3227" s="86" t="str">
        <f>_xlfn.XLOOKUP(表格1[[#This Row],[Model]],表格3[Model-Input-Ref2],表格3[Product Line])</f>
        <v>旋鈕式燒烤微波爐20L</v>
      </c>
      <c r="I3227" s="86" t="str">
        <f>_xlfn.XLOOKUP(表格1[[#This Row],[Model]],表格3[Model-Input-Ref2],表格3[大小電])</f>
        <v>細電</v>
      </c>
      <c r="J3227" s="86" t="str">
        <f>_xlfn.XLOOKUP(表格1[[#This Row],[Model]],表格3[Model-Input-Ref2],表格3[Code])</f>
        <v>SDA</v>
      </c>
      <c r="K3227" s="89" t="s">
        <v>1270</v>
      </c>
      <c r="L3227" s="86">
        <v>1</v>
      </c>
      <c r="M3227" s="87">
        <v>488</v>
      </c>
      <c r="N3227" s="87">
        <f>IFERROR(表格1[[#This Row],[QTY]]*表格1[[#This Row],[Unit Price]],"-")</f>
        <v>488</v>
      </c>
      <c r="O3227" s="86">
        <v>1024001</v>
      </c>
      <c r="R3227" s="86" t="str">
        <f>_xlfn.CONCAT(表格1[[#This Row],[Model]]," ",表格1[[#This Row],[inv no]])</f>
        <v>MWP-MM20P(WH) 1024001</v>
      </c>
      <c r="S3227" s="86">
        <f>_xlfn.XLOOKUP(表格1[[#This Row],[Model]],表格3[Model-Input-Ref2],表格3[SRP PRICE])</f>
        <v>648</v>
      </c>
      <c r="T3227" s="43">
        <f>表格1[[#This Row],[Unit Price]]/表格1[[#This Row],[SRP]]</f>
        <v>0.75308641975308643</v>
      </c>
      <c r="U3227" s="86" t="str">
        <f>_xlfn.XLOOKUP(表格1[[#This Row],[Model]],表格3[Model-Input-Ref2],表格3[TOSHIBA/HIGHEST])</f>
        <v>Toshiba SRP</v>
      </c>
      <c r="W3227" s="86" t="str">
        <f>_xlfn.CONCAT(表格1[[#This Row],[欄4]],表格1[[#This Row],[inv no]])</f>
        <v>1024001</v>
      </c>
    </row>
    <row r="3228" spans="1:23" hidden="1">
      <c r="A3228" s="81">
        <v>3226</v>
      </c>
      <c r="B3228" s="86" t="s">
        <v>1477</v>
      </c>
      <c r="C3228" s="86" t="s">
        <v>1959</v>
      </c>
      <c r="D3228" s="82" t="str">
        <f ca="1">OFFSET(Roster!$A$3,MATCH(表格1[[#This Row],[Location]]&amp;" "&amp;表格1[[#This Row],[Shop]]&amp;"*",Roster!$A$4:$A$72,0),DAY(表格1[[#This Row],[date]]),1,1)</f>
        <v>Jaco</v>
      </c>
      <c r="E3228" s="86">
        <f>MONTH(表格1[[#This Row],[date]])</f>
        <v>3</v>
      </c>
      <c r="F3228" s="90">
        <v>46097</v>
      </c>
      <c r="G3228" s="86" t="str">
        <f>VLOOKUP("*"&amp;表格1[[#This Row],[Input]]&amp;"*",'Ref-List'!$B:$D,2,)</f>
        <v>MWP-MM20P(WH)</v>
      </c>
      <c r="H3228" s="86" t="str">
        <f>_xlfn.XLOOKUP(表格1[[#This Row],[Model]],表格3[Model-Input-Ref2],表格3[Product Line])</f>
        <v>旋鈕式燒烤微波爐20L</v>
      </c>
      <c r="I3228" s="86" t="str">
        <f>_xlfn.XLOOKUP(表格1[[#This Row],[Model]],表格3[Model-Input-Ref2],表格3[大小電])</f>
        <v>細電</v>
      </c>
      <c r="J3228" s="86" t="str">
        <f>_xlfn.XLOOKUP(表格1[[#This Row],[Model]],表格3[Model-Input-Ref2],表格3[Code])</f>
        <v>SDA</v>
      </c>
      <c r="K3228" s="89" t="s">
        <v>1270</v>
      </c>
      <c r="L3228" s="86">
        <v>1</v>
      </c>
      <c r="M3228" s="87">
        <v>488</v>
      </c>
      <c r="N3228" s="87">
        <f>IFERROR(表格1[[#This Row],[QTY]]*表格1[[#This Row],[Unit Price]],"-")</f>
        <v>488</v>
      </c>
      <c r="O3228" s="86">
        <v>930892</v>
      </c>
      <c r="R3228" s="86" t="str">
        <f>_xlfn.CONCAT(表格1[[#This Row],[Model]]," ",表格1[[#This Row],[inv no]])</f>
        <v>MWP-MM20P(WH) 930892</v>
      </c>
      <c r="S3228" s="86">
        <f>_xlfn.XLOOKUP(表格1[[#This Row],[Model]],表格3[Model-Input-Ref2],表格3[SRP PRICE])</f>
        <v>648</v>
      </c>
      <c r="T3228" s="43">
        <f>表格1[[#This Row],[Unit Price]]/表格1[[#This Row],[SRP]]</f>
        <v>0.75308641975308643</v>
      </c>
      <c r="U3228" s="86" t="str">
        <f>_xlfn.XLOOKUP(表格1[[#This Row],[Model]],表格3[Model-Input-Ref2],表格3[TOSHIBA/HIGHEST])</f>
        <v>Toshiba SRP</v>
      </c>
      <c r="W3228" s="86" t="str">
        <f>_xlfn.CONCAT(表格1[[#This Row],[欄4]],表格1[[#This Row],[inv no]])</f>
        <v>930892</v>
      </c>
    </row>
    <row r="3229" spans="1:23" hidden="1">
      <c r="A3229" s="81">
        <v>3227</v>
      </c>
      <c r="B3229" s="86" t="s">
        <v>1477</v>
      </c>
      <c r="C3229" s="86" t="s">
        <v>1959</v>
      </c>
      <c r="D3229" s="82" t="str">
        <f ca="1">OFFSET(Roster!$A$3,MATCH(表格1[[#This Row],[Location]]&amp;" "&amp;表格1[[#This Row],[Shop]]&amp;"*",Roster!$A$4:$A$72,0),DAY(表格1[[#This Row],[date]]),1,1)</f>
        <v>Jaco</v>
      </c>
      <c r="E3229" s="86">
        <f>MONTH(表格1[[#This Row],[date]])</f>
        <v>3</v>
      </c>
      <c r="F3229" s="90">
        <v>46098</v>
      </c>
      <c r="G3229" s="86" t="str">
        <f>VLOOKUP("*"&amp;表格1[[#This Row],[Input]]&amp;"*",'Ref-List'!$B:$D,2,)</f>
        <v>MWP-MG20P(BK)</v>
      </c>
      <c r="H3229" s="86" t="str">
        <f>_xlfn.XLOOKUP(表格1[[#This Row],[Model]],表格3[Model-Input-Ref2],表格3[Product Line])</f>
        <v>旋鈕式燒烤微波爐20L黑色</v>
      </c>
      <c r="I3229" s="86" t="str">
        <f>_xlfn.XLOOKUP(表格1[[#This Row],[Model]],表格3[Model-Input-Ref2],表格3[大小電])</f>
        <v>細電</v>
      </c>
      <c r="J3229" s="86" t="str">
        <f>_xlfn.XLOOKUP(表格1[[#This Row],[Model]],表格3[Model-Input-Ref2],表格3[Code])</f>
        <v>SDA</v>
      </c>
      <c r="K3229" s="89" t="s">
        <v>1485</v>
      </c>
      <c r="L3229" s="86">
        <v>1</v>
      </c>
      <c r="M3229" s="87">
        <v>579</v>
      </c>
      <c r="N3229" s="87">
        <f>IFERROR(表格1[[#This Row],[QTY]]*表格1[[#This Row],[Unit Price]],"-")</f>
        <v>579</v>
      </c>
      <c r="O3229" s="86">
        <v>930918</v>
      </c>
      <c r="R3229" s="86" t="str">
        <f>_xlfn.CONCAT(表格1[[#This Row],[Model]]," ",表格1[[#This Row],[inv no]])</f>
        <v>MWP-MG20P(BK) 930918</v>
      </c>
      <c r="S3229" s="86">
        <f>_xlfn.XLOOKUP(表格1[[#This Row],[Model]],表格3[Model-Input-Ref2],表格3[SRP PRICE])</f>
        <v>918</v>
      </c>
      <c r="T3229" s="43">
        <f>表格1[[#This Row],[Unit Price]]/表格1[[#This Row],[SRP]]</f>
        <v>0.63071895424836599</v>
      </c>
      <c r="U3229" s="86" t="str">
        <f>_xlfn.XLOOKUP(表格1[[#This Row],[Model]],表格3[Model-Input-Ref2],表格3[TOSHIBA/HIGHEST])</f>
        <v>Toshiba SRP</v>
      </c>
      <c r="W3229" s="86" t="str">
        <f>_xlfn.CONCAT(表格1[[#This Row],[欄4]],表格1[[#This Row],[inv no]])</f>
        <v>930918</v>
      </c>
    </row>
    <row r="3230" spans="1:23" hidden="1">
      <c r="A3230" s="81">
        <v>3228</v>
      </c>
      <c r="B3230" s="86" t="s">
        <v>1477</v>
      </c>
      <c r="C3230" s="86" t="s">
        <v>1959</v>
      </c>
      <c r="D3230" s="82" t="str">
        <f ca="1">OFFSET(Roster!$A$3,MATCH(表格1[[#This Row],[Location]]&amp;" "&amp;表格1[[#This Row],[Shop]]&amp;"*",Roster!$A$4:$A$72,0),DAY(表格1[[#This Row],[date]]),1,1)</f>
        <v>Jaco</v>
      </c>
      <c r="E3230" s="86">
        <f>MONTH(表格1[[#This Row],[date]])</f>
        <v>3</v>
      </c>
      <c r="F3230" s="90">
        <v>46098</v>
      </c>
      <c r="G3230" s="86" t="str">
        <f>VLOOKUP("*"&amp;表格1[[#This Row],[Input]]&amp;"*",'Ref-List'!$B:$D,2,)</f>
        <v>MW3-SAC24SE(BK)</v>
      </c>
      <c r="H3230" s="86" t="str">
        <f>_xlfn.XLOOKUP(表格1[[#This Row],[Model]],表格3[Model-Input-Ref2],表格3[Product Line])</f>
        <v>智能氣炸烤焗爐(24公升)</v>
      </c>
      <c r="I3230" s="86" t="str">
        <f>_xlfn.XLOOKUP(表格1[[#This Row],[Model]],表格3[Model-Input-Ref2],表格3[大小電])</f>
        <v>細電</v>
      </c>
      <c r="J3230" s="86" t="str">
        <f>_xlfn.XLOOKUP(表格1[[#This Row],[Model]],表格3[Model-Input-Ref2],表格3[Code])</f>
        <v>MCA</v>
      </c>
      <c r="K3230" s="89" t="s">
        <v>1274</v>
      </c>
      <c r="L3230" s="86">
        <v>1</v>
      </c>
      <c r="M3230" s="87">
        <v>1320</v>
      </c>
      <c r="N3230" s="87">
        <f>IFERROR(表格1[[#This Row],[QTY]]*表格1[[#This Row],[Unit Price]],"-")</f>
        <v>1320</v>
      </c>
      <c r="O3230" s="86">
        <v>930929</v>
      </c>
      <c r="R3230" s="86" t="str">
        <f>_xlfn.CONCAT(表格1[[#This Row],[Model]]," ",表格1[[#This Row],[inv no]])</f>
        <v>MW3-SAC24SE(BK) 930929</v>
      </c>
      <c r="S3230" s="86">
        <f>_xlfn.XLOOKUP(表格1[[#This Row],[Model]],表格3[Model-Input-Ref2],表格3[SRP PRICE])</f>
        <v>1680</v>
      </c>
      <c r="T3230" s="43">
        <f>表格1[[#This Row],[Unit Price]]/表格1[[#This Row],[SRP]]</f>
        <v>0.7857142857142857</v>
      </c>
      <c r="U3230" s="86" t="str">
        <f>_xlfn.XLOOKUP(表格1[[#This Row],[Model]],表格3[Model-Input-Ref2],表格3[TOSHIBA/HIGHEST])</f>
        <v>Toshiba SRP</v>
      </c>
      <c r="W3230" s="86" t="str">
        <f>_xlfn.CONCAT(表格1[[#This Row],[欄4]],表格1[[#This Row],[inv no]])</f>
        <v>930929</v>
      </c>
    </row>
    <row r="3231" spans="1:23" hidden="1">
      <c r="A3231" s="81">
        <v>3229</v>
      </c>
      <c r="B3231" s="86" t="s">
        <v>1477</v>
      </c>
      <c r="C3231" s="86" t="s">
        <v>1959</v>
      </c>
      <c r="D3231" s="82" t="str">
        <f ca="1">OFFSET(Roster!$A$3,MATCH(表格1[[#This Row],[Location]]&amp;" "&amp;表格1[[#This Row],[Shop]]&amp;"*",Roster!$A$4:$A$72,0),DAY(表格1[[#This Row],[date]]),1,1)</f>
        <v>Jaco</v>
      </c>
      <c r="E3231" s="86">
        <f>MONTH(表格1[[#This Row],[date]])</f>
        <v>3</v>
      </c>
      <c r="F3231" s="90">
        <v>46098</v>
      </c>
      <c r="G3231" s="86" t="str">
        <f>VLOOKUP("*"&amp;表格1[[#This Row],[Input]]&amp;"*",'Ref-List'!$B:$D,2,)</f>
        <v>RC-10NMFIH(WT)</v>
      </c>
      <c r="H3231" s="86" t="str">
        <f>_xlfn.XLOOKUP(表格1[[#This Row],[Model]],表格3[Model-Input-Ref2],表格3[Product Line])</f>
        <v>4毫米厚釜電飯煲1L</v>
      </c>
      <c r="I3231" s="86" t="str">
        <f>_xlfn.XLOOKUP(表格1[[#This Row],[Model]],表格3[Model-Input-Ref2],表格3[大小電])</f>
        <v>細電</v>
      </c>
      <c r="J3231" s="86" t="str">
        <f>_xlfn.XLOOKUP(表格1[[#This Row],[Model]],表格3[Model-Input-Ref2],表格3[Code])</f>
        <v>SDA</v>
      </c>
      <c r="K3231" s="89" t="s">
        <v>1244</v>
      </c>
      <c r="L3231" s="86">
        <v>1</v>
      </c>
      <c r="M3231" s="87">
        <v>719</v>
      </c>
      <c r="N3231" s="87">
        <f>IFERROR(表格1[[#This Row],[QTY]]*表格1[[#This Row],[Unit Price]],"-")</f>
        <v>719</v>
      </c>
      <c r="O3231" s="86">
        <v>930922</v>
      </c>
      <c r="R3231" s="86" t="str">
        <f>_xlfn.CONCAT(表格1[[#This Row],[Model]]," ",表格1[[#This Row],[inv no]])</f>
        <v>RC-10NMFIH(WT) 930922</v>
      </c>
      <c r="S3231" s="86">
        <f>_xlfn.XLOOKUP(表格1[[#This Row],[Model]],表格3[Model-Input-Ref2],表格3[SRP PRICE])</f>
        <v>898</v>
      </c>
      <c r="T3231" s="43">
        <f>表格1[[#This Row],[Unit Price]]/表格1[[#This Row],[SRP]]</f>
        <v>0.80066815144766146</v>
      </c>
      <c r="U3231" s="86" t="str">
        <f>_xlfn.XLOOKUP(表格1[[#This Row],[Model]],表格3[Model-Input-Ref2],表格3[TOSHIBA/HIGHEST])</f>
        <v>Toshiba SRP</v>
      </c>
      <c r="W3231" s="86" t="str">
        <f>_xlfn.CONCAT(表格1[[#This Row],[欄4]],表格1[[#This Row],[inv no]])</f>
        <v>930922</v>
      </c>
    </row>
    <row r="3232" spans="1:23" hidden="1">
      <c r="A3232" s="81">
        <v>3230</v>
      </c>
      <c r="B3232" s="86" t="s">
        <v>1477</v>
      </c>
      <c r="C3232" s="86" t="s">
        <v>1959</v>
      </c>
      <c r="D3232" s="82" t="str">
        <f ca="1">OFFSET(Roster!$A$3,MATCH(表格1[[#This Row],[Location]]&amp;" "&amp;表格1[[#This Row],[Shop]]&amp;"*",Roster!$A$4:$A$72,0),DAY(表格1[[#This Row],[date]]),1,1)</f>
        <v>Jaco</v>
      </c>
      <c r="E3232" s="86">
        <f>MONTH(表格1[[#This Row],[date]])</f>
        <v>3</v>
      </c>
      <c r="F3232" s="90">
        <v>46098</v>
      </c>
      <c r="G3232" s="86" t="str">
        <f>VLOOKUP("*"&amp;表格1[[#This Row],[Input]]&amp;"*",'Ref-List'!$B:$D,2,)</f>
        <v>GR-RB360WE-PMA(06)</v>
      </c>
      <c r="H3232" s="86" t="str">
        <f>_xlfn.XLOOKUP(表格1[[#This Row],[Model]],表格3[Model-Input-Ref2],表格3[Product Line])</f>
        <v>變頻下置式雙門雪櫃系列270L</v>
      </c>
      <c r="I3232" s="86" t="str">
        <f>_xlfn.XLOOKUP(表格1[[#This Row],[Model]],表格3[Model-Input-Ref2],表格3[大小電])</f>
        <v>大電</v>
      </c>
      <c r="J3232" s="86" t="str">
        <f>_xlfn.XLOOKUP(表格1[[#This Row],[Model]],表格3[Model-Input-Ref2],表格3[Code])</f>
        <v>REF</v>
      </c>
      <c r="K3232" s="89" t="s">
        <v>1282</v>
      </c>
      <c r="L3232" s="86">
        <v>1</v>
      </c>
      <c r="M3232" s="87">
        <v>3680</v>
      </c>
      <c r="N3232" s="87">
        <f>IFERROR(表格1[[#This Row],[QTY]]*表格1[[#This Row],[Unit Price]],"-")</f>
        <v>3680</v>
      </c>
      <c r="O3232" s="86">
        <v>1024054</v>
      </c>
      <c r="R3232" s="86" t="str">
        <f>_xlfn.CONCAT(表格1[[#This Row],[Model]]," ",表格1[[#This Row],[inv no]])</f>
        <v>GR-RB360WE-PMA(06) 1024054</v>
      </c>
      <c r="S3232" s="86">
        <f>_xlfn.XLOOKUP(表格1[[#This Row],[Model]],表格3[Model-Input-Ref2],表格3[SRP PRICE])</f>
        <v>5080</v>
      </c>
      <c r="T3232" s="43">
        <f>表格1[[#This Row],[Unit Price]]/表格1[[#This Row],[SRP]]</f>
        <v>0.72440944881889768</v>
      </c>
      <c r="U3232" s="86" t="str">
        <f>_xlfn.XLOOKUP(表格1[[#This Row],[Model]],表格3[Model-Input-Ref2],表格3[TOSHIBA/HIGHEST])</f>
        <v>Toshiba SRP</v>
      </c>
      <c r="W3232" s="86" t="str">
        <f>_xlfn.CONCAT(表格1[[#This Row],[欄4]],表格1[[#This Row],[inv no]])</f>
        <v>1024054</v>
      </c>
    </row>
    <row r="3233" spans="1:23" hidden="1">
      <c r="A3233" s="81">
        <v>3231</v>
      </c>
      <c r="B3233" s="86" t="s">
        <v>1477</v>
      </c>
      <c r="C3233" s="86" t="s">
        <v>1959</v>
      </c>
      <c r="D3233" s="82" t="str">
        <f ca="1">OFFSET(Roster!$A$3,MATCH(表格1[[#This Row],[Location]]&amp;" "&amp;表格1[[#This Row],[Shop]]&amp;"*",Roster!$A$4:$A$72,0),DAY(表格1[[#This Row],[date]]),1,1)</f>
        <v>Jaco</v>
      </c>
      <c r="E3233" s="86">
        <f>MONTH(表格1[[#This Row],[date]])</f>
        <v>3</v>
      </c>
      <c r="F3233" s="90">
        <v>46098</v>
      </c>
      <c r="G3233" s="86" t="str">
        <f>VLOOKUP("*"&amp;表格1[[#This Row],[Input]]&amp;"*",'Ref-List'!$B:$D,2,)</f>
        <v>IC-S19RH</v>
      </c>
      <c r="H3233" s="86" t="str">
        <f>_xlfn.XLOOKUP(表格1[[#This Row],[Model]],表格3[Model-Input-Ref2],表格3[Product Line])</f>
        <v>輕便式電磁爐7個功能</v>
      </c>
      <c r="I3233" s="86" t="str">
        <f>_xlfn.XLOOKUP(表格1[[#This Row],[Model]],表格3[Model-Input-Ref2],表格3[大小電])</f>
        <v>細電</v>
      </c>
      <c r="J3233" s="86" t="str">
        <f>_xlfn.XLOOKUP(表格1[[#This Row],[Model]],表格3[Model-Input-Ref2],表格3[Code])</f>
        <v>SDA</v>
      </c>
      <c r="K3233" s="89" t="s">
        <v>1289</v>
      </c>
      <c r="L3233" s="86">
        <v>1</v>
      </c>
      <c r="M3233" s="87">
        <v>418</v>
      </c>
      <c r="N3233" s="87">
        <f>IFERROR(表格1[[#This Row],[QTY]]*表格1[[#This Row],[Unit Price]],"-")</f>
        <v>418</v>
      </c>
      <c r="O3233" s="86">
        <v>1024001</v>
      </c>
      <c r="R3233" s="86" t="str">
        <f>_xlfn.CONCAT(表格1[[#This Row],[Model]]," ",表格1[[#This Row],[inv no]])</f>
        <v>IC-S19RH 1024001</v>
      </c>
      <c r="S3233" s="86">
        <f>_xlfn.XLOOKUP(表格1[[#This Row],[Model]],表格3[Model-Input-Ref2],表格3[SRP PRICE])</f>
        <v>638</v>
      </c>
      <c r="T3233" s="43">
        <f>表格1[[#This Row],[Unit Price]]/表格1[[#This Row],[SRP]]</f>
        <v>0.65517241379310343</v>
      </c>
      <c r="U3233" s="86" t="str">
        <f>_xlfn.XLOOKUP(表格1[[#This Row],[Model]],表格3[Model-Input-Ref2],表格3[TOSHIBA/HIGHEST])</f>
        <v>Toshiba SRP</v>
      </c>
      <c r="W3233" s="86" t="str">
        <f>_xlfn.CONCAT(表格1[[#This Row],[欄4]],表格1[[#This Row],[inv no]])</f>
        <v>1024001</v>
      </c>
    </row>
    <row r="3234" spans="1:23" hidden="1">
      <c r="A3234" s="81">
        <v>3232</v>
      </c>
      <c r="B3234" s="86" t="s">
        <v>1477</v>
      </c>
      <c r="C3234" s="86" t="s">
        <v>1959</v>
      </c>
      <c r="D3234" s="82" t="str">
        <f ca="1">OFFSET(Roster!$A$3,MATCH(表格1[[#This Row],[Location]]&amp;" "&amp;表格1[[#This Row],[Shop]]&amp;"*",Roster!$A$4:$A$72,0),DAY(表格1[[#This Row],[date]]),1,1)</f>
        <v>Jaco</v>
      </c>
      <c r="E3234" s="86">
        <f>MONTH(表格1[[#This Row],[date]])</f>
        <v>3</v>
      </c>
      <c r="F3234" s="90">
        <v>46098</v>
      </c>
      <c r="G3234" s="86" t="str">
        <f>VLOOKUP("*"&amp;表格1[[#This Row],[Input]]&amp;"*",'Ref-List'!$B:$D,2,)</f>
        <v>KT-17SHNH</v>
      </c>
      <c r="H3234" s="86" t="str">
        <f>_xlfn.XLOOKUP(表格1[[#This Row],[Model]],表格3[Model-Input-Ref2],表格3[Product Line])</f>
        <v>1.7L無線雙層電熱水壺</v>
      </c>
      <c r="I3234" s="86" t="str">
        <f>_xlfn.XLOOKUP(表格1[[#This Row],[Model]],表格3[Model-Input-Ref2],表格3[大小電])</f>
        <v>細電</v>
      </c>
      <c r="J3234" s="86" t="str">
        <f>_xlfn.XLOOKUP(表格1[[#This Row],[Model]],表格3[Model-Input-Ref2],表格3[Code])</f>
        <v>SDA</v>
      </c>
      <c r="K3234" s="89" t="s">
        <v>1283</v>
      </c>
      <c r="L3234" s="86">
        <v>1</v>
      </c>
      <c r="M3234" s="87">
        <v>198</v>
      </c>
      <c r="N3234" s="87">
        <f>IFERROR(表格1[[#This Row],[QTY]]*表格1[[#This Row],[Unit Price]],"-")</f>
        <v>198</v>
      </c>
      <c r="O3234" s="86">
        <v>930918</v>
      </c>
      <c r="R3234" s="86" t="str">
        <f>_xlfn.CONCAT(表格1[[#This Row],[Model]]," ",表格1[[#This Row],[inv no]])</f>
        <v>KT-17SHNH 930918</v>
      </c>
      <c r="S3234" s="86">
        <f>_xlfn.XLOOKUP(表格1[[#This Row],[Model]],表格3[Model-Input-Ref2],表格3[SRP PRICE])</f>
        <v>299</v>
      </c>
      <c r="T3234" s="43">
        <f>表格1[[#This Row],[Unit Price]]/表格1[[#This Row],[SRP]]</f>
        <v>0.66220735785953178</v>
      </c>
      <c r="U3234" s="86" t="str">
        <f>_xlfn.XLOOKUP(表格1[[#This Row],[Model]],表格3[Model-Input-Ref2],表格3[TOSHIBA/HIGHEST])</f>
        <v>Shops Highest Price</v>
      </c>
      <c r="W3234" s="86" t="str">
        <f>_xlfn.CONCAT(表格1[[#This Row],[欄4]],表格1[[#This Row],[inv no]])</f>
        <v>930918</v>
      </c>
    </row>
    <row r="3235" spans="1:23" hidden="1">
      <c r="A3235" s="81">
        <v>3233</v>
      </c>
      <c r="B3235" s="86" t="s">
        <v>1477</v>
      </c>
      <c r="C3235" s="86" t="s">
        <v>1959</v>
      </c>
      <c r="D3235" s="82" t="str">
        <f ca="1">OFFSET(Roster!$A$3,MATCH(表格1[[#This Row],[Location]]&amp;" "&amp;表格1[[#This Row],[Shop]]&amp;"*",Roster!$A$4:$A$72,0),DAY(表格1[[#This Row],[date]]),1,1)</f>
        <v>Jaco</v>
      </c>
      <c r="E3235" s="86">
        <f>MONTH(表格1[[#This Row],[date]])</f>
        <v>3</v>
      </c>
      <c r="F3235" s="90">
        <v>46098</v>
      </c>
      <c r="G3235" s="86" t="str">
        <f>VLOOKUP("*"&amp;表格1[[#This Row],[Input]]&amp;"*",'Ref-List'!$B:$D,2,)</f>
        <v>MWP-MM20P(WH)</v>
      </c>
      <c r="H3235" s="86" t="str">
        <f>_xlfn.XLOOKUP(表格1[[#This Row],[Model]],表格3[Model-Input-Ref2],表格3[Product Line])</f>
        <v>旋鈕式燒烤微波爐20L</v>
      </c>
      <c r="I3235" s="86" t="str">
        <f>_xlfn.XLOOKUP(表格1[[#This Row],[Model]],表格3[Model-Input-Ref2],表格3[大小電])</f>
        <v>細電</v>
      </c>
      <c r="J3235" s="86" t="str">
        <f>_xlfn.XLOOKUP(表格1[[#This Row],[Model]],表格3[Model-Input-Ref2],表格3[Code])</f>
        <v>SDA</v>
      </c>
      <c r="K3235" s="89" t="s">
        <v>1270</v>
      </c>
      <c r="L3235" s="86">
        <v>1</v>
      </c>
      <c r="M3235" s="87">
        <v>488</v>
      </c>
      <c r="N3235" s="87">
        <f>IFERROR(表格1[[#This Row],[QTY]]*表格1[[#This Row],[Unit Price]],"-")</f>
        <v>488</v>
      </c>
      <c r="O3235" s="86">
        <v>931002</v>
      </c>
      <c r="R3235" s="86" t="str">
        <f>_xlfn.CONCAT(表格1[[#This Row],[Model]]," ",表格1[[#This Row],[inv no]])</f>
        <v>MWP-MM20P(WH) 931002</v>
      </c>
      <c r="S3235" s="86">
        <f>_xlfn.XLOOKUP(表格1[[#This Row],[Model]],表格3[Model-Input-Ref2],表格3[SRP PRICE])</f>
        <v>648</v>
      </c>
      <c r="T3235" s="43">
        <f>表格1[[#This Row],[Unit Price]]/表格1[[#This Row],[SRP]]</f>
        <v>0.75308641975308643</v>
      </c>
      <c r="U3235" s="86" t="str">
        <f>_xlfn.XLOOKUP(表格1[[#This Row],[Model]],表格3[Model-Input-Ref2],表格3[TOSHIBA/HIGHEST])</f>
        <v>Toshiba SRP</v>
      </c>
      <c r="W3235" s="86" t="str">
        <f>_xlfn.CONCAT(表格1[[#This Row],[欄4]],表格1[[#This Row],[inv no]])</f>
        <v>931002</v>
      </c>
    </row>
    <row r="3236" spans="1:23" hidden="1">
      <c r="A3236" s="81">
        <v>3234</v>
      </c>
      <c r="B3236" s="86" t="s">
        <v>1477</v>
      </c>
      <c r="C3236" s="86" t="s">
        <v>1959</v>
      </c>
      <c r="D3236" s="82" t="str">
        <f ca="1">OFFSET(Roster!$A$3,MATCH(表格1[[#This Row],[Location]]&amp;" "&amp;表格1[[#This Row],[Shop]]&amp;"*",Roster!$A$4:$A$72,0),DAY(表格1[[#This Row],[date]]),1,1)</f>
        <v>Jaco</v>
      </c>
      <c r="E3236" s="86">
        <f>MONTH(表格1[[#This Row],[date]])</f>
        <v>3</v>
      </c>
      <c r="F3236" s="90">
        <v>46098</v>
      </c>
      <c r="G3236" s="86" t="str">
        <f>VLOOKUP("*"&amp;表格1[[#This Row],[Input]]&amp;"*",'Ref-List'!$B:$D,2,)</f>
        <v>MM2-EG20PC(WH)</v>
      </c>
      <c r="H3236" s="86" t="str">
        <f>_xlfn.XLOOKUP(表格1[[#This Row],[Model]],表格3[Model-Input-Ref2],表格3[Product Line])</f>
        <v>輕觸式燒烤微波爐</v>
      </c>
      <c r="I3236" s="86" t="str">
        <f>_xlfn.XLOOKUP(表格1[[#This Row],[Model]],表格3[Model-Input-Ref2],表格3[大小電])</f>
        <v>細電</v>
      </c>
      <c r="J3236" s="86" t="str">
        <f>_xlfn.XLOOKUP(表格1[[#This Row],[Model]],表格3[Model-Input-Ref2],表格3[Code])</f>
        <v>MCA</v>
      </c>
      <c r="K3236" s="89" t="s">
        <v>1273</v>
      </c>
      <c r="L3236" s="86">
        <v>1</v>
      </c>
      <c r="M3236" s="87">
        <v>698</v>
      </c>
      <c r="N3236" s="87">
        <f>IFERROR(表格1[[#This Row],[QTY]]*表格1[[#This Row],[Unit Price]],"-")</f>
        <v>698</v>
      </c>
      <c r="O3236" s="86">
        <v>1024127</v>
      </c>
      <c r="R3236" s="86" t="str">
        <f>_xlfn.CONCAT(表格1[[#This Row],[Model]]," ",表格1[[#This Row],[inv no]])</f>
        <v>MM2-EG20PC(WH) 1024127</v>
      </c>
      <c r="S3236" s="86">
        <f>_xlfn.XLOOKUP(表格1[[#This Row],[Model]],表格3[Model-Input-Ref2],表格3[SRP PRICE])</f>
        <v>918</v>
      </c>
      <c r="T3236" s="43">
        <f>表格1[[#This Row],[Unit Price]]/表格1[[#This Row],[SRP]]</f>
        <v>0.76034858387799564</v>
      </c>
      <c r="U3236" s="86" t="str">
        <f>_xlfn.XLOOKUP(表格1[[#This Row],[Model]],表格3[Model-Input-Ref2],表格3[TOSHIBA/HIGHEST])</f>
        <v>Shops Highest Price</v>
      </c>
      <c r="W3236" s="86" t="str">
        <f>_xlfn.CONCAT(表格1[[#This Row],[欄4]],表格1[[#This Row],[inv no]])</f>
        <v>1024127</v>
      </c>
    </row>
    <row r="3237" spans="1:23" hidden="1">
      <c r="A3237" s="81">
        <v>3235</v>
      </c>
      <c r="B3237" s="86" t="s">
        <v>1477</v>
      </c>
      <c r="C3237" s="86" t="s">
        <v>1959</v>
      </c>
      <c r="D3237" s="82" t="str">
        <f ca="1">OFFSET(Roster!$A$3,MATCH(表格1[[#This Row],[Location]]&amp;" "&amp;表格1[[#This Row],[Shop]]&amp;"*",Roster!$A$4:$A$72,0),DAY(表格1[[#This Row],[date]]),1,1)</f>
        <v>Jaco</v>
      </c>
      <c r="E3237" s="86">
        <f>MONTH(表格1[[#This Row],[date]])</f>
        <v>3</v>
      </c>
      <c r="F3237" s="90">
        <v>46098</v>
      </c>
      <c r="G3237" s="86" t="str">
        <f>VLOOKUP("*"&amp;表格1[[#This Row],[Input]]&amp;"*",'Ref-List'!$B:$D,2,)</f>
        <v>GR-RB449WE-PMA(57)</v>
      </c>
      <c r="H3237" s="86" t="str">
        <f>_xlfn.XLOOKUP(表格1[[#This Row],[Model]],表格3[Model-Input-Ref2],表格3[Product Line])</f>
        <v>變頻下置式雙門雪櫃</v>
      </c>
      <c r="I3237" s="86" t="str">
        <f>_xlfn.XLOOKUP(表格1[[#This Row],[Model]],表格3[Model-Input-Ref2],表格3[大小電])</f>
        <v>大電</v>
      </c>
      <c r="J3237" s="86" t="str">
        <f>_xlfn.XLOOKUP(表格1[[#This Row],[Model]],表格3[Model-Input-Ref2],表格3[Code])</f>
        <v>REF</v>
      </c>
      <c r="K3237" s="89" t="s">
        <v>1484</v>
      </c>
      <c r="L3237" s="86">
        <v>1</v>
      </c>
      <c r="M3237" s="87">
        <v>4880</v>
      </c>
      <c r="N3237" s="87">
        <f>IFERROR(表格1[[#This Row],[QTY]]*表格1[[#This Row],[Unit Price]],"-")</f>
        <v>4880</v>
      </c>
      <c r="O3237" s="86">
        <v>930973</v>
      </c>
      <c r="R3237" s="86" t="str">
        <f>_xlfn.CONCAT(表格1[[#This Row],[Model]]," ",表格1[[#This Row],[inv no]])</f>
        <v>GR-RB449WE-PMA(57) 930973</v>
      </c>
      <c r="S3237" s="86">
        <f>_xlfn.XLOOKUP(表格1[[#This Row],[Model]],表格3[Model-Input-Ref2],表格3[SRP PRICE])</f>
        <v>6280</v>
      </c>
      <c r="T3237" s="43">
        <f>表格1[[#This Row],[Unit Price]]/表格1[[#This Row],[SRP]]</f>
        <v>0.77707006369426757</v>
      </c>
      <c r="U3237" s="86" t="str">
        <f>_xlfn.XLOOKUP(表格1[[#This Row],[Model]],表格3[Model-Input-Ref2],表格3[TOSHIBA/HIGHEST])</f>
        <v>Toshiba SRP</v>
      </c>
      <c r="W3237" s="86" t="str">
        <f>_xlfn.CONCAT(表格1[[#This Row],[欄4]],表格1[[#This Row],[inv no]])</f>
        <v>930973</v>
      </c>
    </row>
    <row r="3238" spans="1:23" hidden="1">
      <c r="A3238" s="81">
        <v>3236</v>
      </c>
      <c r="B3238" s="86" t="s">
        <v>1477</v>
      </c>
      <c r="C3238" s="86" t="s">
        <v>1959</v>
      </c>
      <c r="D3238" s="82" t="str">
        <f ca="1">OFFSET(Roster!$A$3,MATCH(表格1[[#This Row],[Location]]&amp;" "&amp;表格1[[#This Row],[Shop]]&amp;"*",Roster!$A$4:$A$72,0),DAY(表格1[[#This Row],[date]]),1,1)</f>
        <v>Jaco</v>
      </c>
      <c r="E3238" s="86">
        <f>MONTH(表格1[[#This Row],[date]])</f>
        <v>3</v>
      </c>
      <c r="F3238" s="90">
        <v>46098</v>
      </c>
      <c r="G3238" s="86" t="str">
        <f>VLOOKUP("*"&amp;表格1[[#This Row],[Input]]&amp;"*",'Ref-List'!$B:$D,2,)</f>
        <v>AW-Q901BPH(WW)</v>
      </c>
      <c r="H3238" s="86" t="str">
        <f>_xlfn.XLOOKUP(表格1[[#This Row],[Model]],表格3[Model-Input-Ref2],表格3[Product Line])</f>
        <v>日式洗衣機 (8公斤 結合高低水位)</v>
      </c>
      <c r="I3238" s="86" t="str">
        <f>_xlfn.XLOOKUP(表格1[[#This Row],[Model]],表格3[Model-Input-Ref2],表格3[大小電])</f>
        <v>大電</v>
      </c>
      <c r="J3238" s="86" t="str">
        <f>_xlfn.XLOOKUP(表格1[[#This Row],[Model]],表格3[Model-Input-Ref2],表格3[Code])</f>
        <v>LAD</v>
      </c>
      <c r="K3238" s="89" t="s">
        <v>1411</v>
      </c>
      <c r="L3238" s="86">
        <v>1</v>
      </c>
      <c r="M3238" s="87">
        <v>2280</v>
      </c>
      <c r="N3238" s="87">
        <f>IFERROR(表格1[[#This Row],[QTY]]*表格1[[#This Row],[Unit Price]],"-")</f>
        <v>2280</v>
      </c>
      <c r="O3238" s="86">
        <v>1024183</v>
      </c>
      <c r="R3238" s="86" t="str">
        <f>_xlfn.CONCAT(表格1[[#This Row],[Model]]," ",表格1[[#This Row],[inv no]])</f>
        <v>AW-Q901BPH(WW) 1024183</v>
      </c>
      <c r="S3238" s="86">
        <f>_xlfn.XLOOKUP(表格1[[#This Row],[Model]],表格3[Model-Input-Ref2],表格3[SRP PRICE])</f>
        <v>3780</v>
      </c>
      <c r="T3238" s="43">
        <f>表格1[[#This Row],[Unit Price]]/表格1[[#This Row],[SRP]]</f>
        <v>0.60317460317460314</v>
      </c>
      <c r="U3238" s="86" t="str">
        <f>_xlfn.XLOOKUP(表格1[[#This Row],[Model]],表格3[Model-Input-Ref2],表格3[TOSHIBA/HIGHEST])</f>
        <v>Toshiba SRP</v>
      </c>
      <c r="W3238" s="86" t="str">
        <f>_xlfn.CONCAT(表格1[[#This Row],[欄4]],表格1[[#This Row],[inv no]])</f>
        <v>1024183</v>
      </c>
    </row>
    <row r="3239" spans="1:23" hidden="1">
      <c r="A3239" s="81">
        <v>3237</v>
      </c>
      <c r="B3239" s="86" t="s">
        <v>1477</v>
      </c>
      <c r="C3239" s="86" t="s">
        <v>1959</v>
      </c>
      <c r="D3239" s="82" t="str">
        <f ca="1">OFFSET(Roster!$A$3,MATCH(表格1[[#This Row],[Location]]&amp;" "&amp;表格1[[#This Row],[Shop]]&amp;"*",Roster!$A$4:$A$72,0),DAY(表格1[[#This Row],[date]]),1,1)</f>
        <v>Jaco</v>
      </c>
      <c r="E3239" s="86">
        <f>MONTH(表格1[[#This Row],[date]])</f>
        <v>3</v>
      </c>
      <c r="F3239" s="90">
        <v>46098</v>
      </c>
      <c r="G3239" s="86" t="str">
        <f>VLOOKUP("*"&amp;表格1[[#This Row],[Input]]&amp;"*",'Ref-List'!$B:$D,2,)</f>
        <v>RC-18ISPH</v>
      </c>
      <c r="H3239" s="86" t="str">
        <f>_xlfn.XLOOKUP(表格1[[#This Row],[Model]],表格3[Model-Input-Ref2],表格3[Product Line])</f>
        <v>低醣磁應電飯煲1.8L</v>
      </c>
      <c r="I3239" s="86" t="str">
        <f>_xlfn.XLOOKUP(表格1[[#This Row],[Model]],表格3[Model-Input-Ref2],表格3[大小電])</f>
        <v>細電</v>
      </c>
      <c r="J3239" s="86" t="str">
        <f>_xlfn.XLOOKUP(表格1[[#This Row],[Model]],表格3[Model-Input-Ref2],表格3[Code])</f>
        <v>SDA</v>
      </c>
      <c r="K3239" s="89" t="s">
        <v>1281</v>
      </c>
      <c r="L3239" s="86">
        <v>1</v>
      </c>
      <c r="M3239" s="87">
        <v>898</v>
      </c>
      <c r="N3239" s="87">
        <f>IFERROR(表格1[[#This Row],[QTY]]*表格1[[#This Row],[Unit Price]],"-")</f>
        <v>898</v>
      </c>
      <c r="O3239" s="86">
        <v>1024128</v>
      </c>
      <c r="R3239" s="86" t="str">
        <f>_xlfn.CONCAT(表格1[[#This Row],[Model]]," ",表格1[[#This Row],[inv no]])</f>
        <v>RC-18ISPH 1024128</v>
      </c>
      <c r="S3239" s="86">
        <f>_xlfn.XLOOKUP(表格1[[#This Row],[Model]],表格3[Model-Input-Ref2],表格3[SRP PRICE])</f>
        <v>1436</v>
      </c>
      <c r="T3239" s="43">
        <f>表格1[[#This Row],[Unit Price]]/表格1[[#This Row],[SRP]]</f>
        <v>0.62534818941504178</v>
      </c>
      <c r="U3239" s="86" t="str">
        <f>_xlfn.XLOOKUP(表格1[[#This Row],[Model]],表格3[Model-Input-Ref2],表格3[TOSHIBA/HIGHEST])</f>
        <v>Shops Highest Price</v>
      </c>
      <c r="W3239" s="86" t="str">
        <f>_xlfn.CONCAT(表格1[[#This Row],[欄4]],表格1[[#This Row],[inv no]])</f>
        <v>1024128</v>
      </c>
    </row>
    <row r="3240" spans="1:23" hidden="1">
      <c r="A3240" s="81">
        <v>3238</v>
      </c>
      <c r="B3240" s="86" t="s">
        <v>1477</v>
      </c>
      <c r="C3240" s="86" t="s">
        <v>1959</v>
      </c>
      <c r="D3240" s="82" t="str">
        <f ca="1">OFFSET(Roster!$A$3,MATCH(表格1[[#This Row],[Location]]&amp;" "&amp;表格1[[#This Row],[Shop]]&amp;"*",Roster!$A$4:$A$72,0),DAY(表格1[[#This Row],[date]]),1,1)</f>
        <v>Jaco</v>
      </c>
      <c r="E3240" s="86">
        <f>MONTH(表格1[[#This Row],[date]])</f>
        <v>3</v>
      </c>
      <c r="F3240" s="90">
        <v>46098</v>
      </c>
      <c r="G3240" s="86" t="str">
        <f>VLOOKUP("*"&amp;表格1[[#This Row],[Input]]&amp;"*",'Ref-List'!$B:$D,2,)</f>
        <v>KT-17SHNH</v>
      </c>
      <c r="H3240" s="86" t="str">
        <f>_xlfn.XLOOKUP(表格1[[#This Row],[Model]],表格3[Model-Input-Ref2],表格3[Product Line])</f>
        <v>1.7L無線雙層電熱水壺</v>
      </c>
      <c r="I3240" s="86" t="str">
        <f>_xlfn.XLOOKUP(表格1[[#This Row],[Model]],表格3[Model-Input-Ref2],表格3[大小電])</f>
        <v>細電</v>
      </c>
      <c r="J3240" s="86" t="str">
        <f>_xlfn.XLOOKUP(表格1[[#This Row],[Model]],表格3[Model-Input-Ref2],表格3[Code])</f>
        <v>SDA</v>
      </c>
      <c r="K3240" s="89" t="s">
        <v>1283</v>
      </c>
      <c r="L3240" s="86">
        <v>1</v>
      </c>
      <c r="M3240" s="87">
        <v>198</v>
      </c>
      <c r="N3240" s="87">
        <f>IFERROR(表格1[[#This Row],[QTY]]*表格1[[#This Row],[Unit Price]],"-")</f>
        <v>198</v>
      </c>
      <c r="O3240" s="86">
        <v>1024195</v>
      </c>
      <c r="R3240" s="86" t="str">
        <f>_xlfn.CONCAT(表格1[[#This Row],[Model]]," ",表格1[[#This Row],[inv no]])</f>
        <v>KT-17SHNH 1024195</v>
      </c>
      <c r="S3240" s="86">
        <f>_xlfn.XLOOKUP(表格1[[#This Row],[Model]],表格3[Model-Input-Ref2],表格3[SRP PRICE])</f>
        <v>299</v>
      </c>
      <c r="T3240" s="43">
        <f>表格1[[#This Row],[Unit Price]]/表格1[[#This Row],[SRP]]</f>
        <v>0.66220735785953178</v>
      </c>
      <c r="U3240" s="86" t="str">
        <f>_xlfn.XLOOKUP(表格1[[#This Row],[Model]],表格3[Model-Input-Ref2],表格3[TOSHIBA/HIGHEST])</f>
        <v>Shops Highest Price</v>
      </c>
      <c r="W3240" s="86" t="str">
        <f>_xlfn.CONCAT(表格1[[#This Row],[欄4]],表格1[[#This Row],[inv no]])</f>
        <v>1024195</v>
      </c>
    </row>
    <row r="3241" spans="1:23" hidden="1">
      <c r="A3241" s="81">
        <v>3239</v>
      </c>
      <c r="B3241" s="86" t="s">
        <v>1477</v>
      </c>
      <c r="C3241" s="86" t="s">
        <v>1959</v>
      </c>
      <c r="D3241" s="82" t="str">
        <f ca="1">OFFSET(Roster!$A$3,MATCH(表格1[[#This Row],[Location]]&amp;" "&amp;表格1[[#This Row],[Shop]]&amp;"*",Roster!$A$4:$A$72,0),DAY(表格1[[#This Row],[date]]),1,1)</f>
        <v>Jaco</v>
      </c>
      <c r="E3241" s="86">
        <f>MONTH(表格1[[#This Row],[date]])</f>
        <v>3</v>
      </c>
      <c r="F3241" s="90">
        <v>46098</v>
      </c>
      <c r="G3241" s="86" t="str">
        <f>VLOOKUP("*"&amp;表格1[[#This Row],[Input]]&amp;"*",'Ref-List'!$B:$D,2,)</f>
        <v>KT-17DRTHK(H)</v>
      </c>
      <c r="H3241" s="86" t="str">
        <f>_xlfn.XLOOKUP(表格1[[#This Row],[Model]],表格3[Model-Input-Ref2],表格3[Product Line])</f>
        <v>無線雙層電熱水壺(1.7公升)</v>
      </c>
      <c r="I3241" s="86" t="str">
        <f>_xlfn.XLOOKUP(表格1[[#This Row],[Model]],表格3[Model-Input-Ref2],表格3[大小電])</f>
        <v>細電</v>
      </c>
      <c r="J3241" s="86" t="str">
        <f>_xlfn.XLOOKUP(表格1[[#This Row],[Model]],表格3[Model-Input-Ref2],表格3[Code])</f>
        <v>SDA</v>
      </c>
      <c r="K3241" s="89" t="s">
        <v>1271</v>
      </c>
      <c r="L3241" s="86">
        <v>1</v>
      </c>
      <c r="M3241" s="87">
        <v>388</v>
      </c>
      <c r="N3241" s="87">
        <f>IFERROR(表格1[[#This Row],[QTY]]*表格1[[#This Row],[Unit Price]],"-")</f>
        <v>388</v>
      </c>
      <c r="O3241" s="86">
        <v>931004</v>
      </c>
      <c r="R3241" s="86" t="str">
        <f>_xlfn.CONCAT(表格1[[#This Row],[Model]]," ",表格1[[#This Row],[inv no]])</f>
        <v>KT-17DRTHK(H) 931004</v>
      </c>
      <c r="S3241" s="86">
        <f>_xlfn.XLOOKUP(表格1[[#This Row],[Model]],表格3[Model-Input-Ref2],表格3[SRP PRICE])</f>
        <v>498</v>
      </c>
      <c r="T3241" s="43">
        <f>表格1[[#This Row],[Unit Price]]/表格1[[#This Row],[SRP]]</f>
        <v>0.77911646586345384</v>
      </c>
      <c r="U3241" s="86" t="str">
        <f>_xlfn.XLOOKUP(表格1[[#This Row],[Model]],表格3[Model-Input-Ref2],表格3[TOSHIBA/HIGHEST])</f>
        <v>Toshiba SRP</v>
      </c>
      <c r="W3241" s="86" t="str">
        <f>_xlfn.CONCAT(表格1[[#This Row],[欄4]],表格1[[#This Row],[inv no]])</f>
        <v>931004</v>
      </c>
    </row>
    <row r="3242" spans="1:23" hidden="1">
      <c r="A3242" s="81">
        <v>3240</v>
      </c>
      <c r="B3242" s="86" t="s">
        <v>1477</v>
      </c>
      <c r="C3242" s="86" t="s">
        <v>1959</v>
      </c>
      <c r="D3242" s="82" t="str">
        <f ca="1">OFFSET(Roster!$A$3,MATCH(表格1[[#This Row],[Location]]&amp;" "&amp;表格1[[#This Row],[Shop]]&amp;"*",Roster!$A$4:$A$72,0),DAY(表格1[[#This Row],[date]]),1,1)</f>
        <v>Jaco</v>
      </c>
      <c r="E3242" s="86">
        <f>MONTH(表格1[[#This Row],[date]])</f>
        <v>3</v>
      </c>
      <c r="F3242" s="90">
        <v>46098</v>
      </c>
      <c r="G3242" s="86" t="str">
        <f>VLOOKUP("*"&amp;表格1[[#This Row],[Input]]&amp;"*",'Ref-List'!$B:$D,2,)</f>
        <v>MM2-EG20PC(WH)</v>
      </c>
      <c r="H3242" s="86" t="str">
        <f>_xlfn.XLOOKUP(表格1[[#This Row],[Model]],表格3[Model-Input-Ref2],表格3[Product Line])</f>
        <v>輕觸式燒烤微波爐</v>
      </c>
      <c r="I3242" s="86" t="str">
        <f>_xlfn.XLOOKUP(表格1[[#This Row],[Model]],表格3[Model-Input-Ref2],表格3[大小電])</f>
        <v>細電</v>
      </c>
      <c r="J3242" s="86" t="str">
        <f>_xlfn.XLOOKUP(表格1[[#This Row],[Model]],表格3[Model-Input-Ref2],表格3[Code])</f>
        <v>MCA</v>
      </c>
      <c r="K3242" s="89" t="s">
        <v>1273</v>
      </c>
      <c r="L3242" s="86">
        <v>1</v>
      </c>
      <c r="M3242" s="87">
        <v>698</v>
      </c>
      <c r="N3242" s="87">
        <f>IFERROR(表格1[[#This Row],[QTY]]*表格1[[#This Row],[Unit Price]],"-")</f>
        <v>698</v>
      </c>
      <c r="O3242" s="86">
        <v>931016</v>
      </c>
      <c r="R3242" s="86" t="str">
        <f>_xlfn.CONCAT(表格1[[#This Row],[Model]]," ",表格1[[#This Row],[inv no]])</f>
        <v>MM2-EG20PC(WH) 931016</v>
      </c>
      <c r="S3242" s="86">
        <f>_xlfn.XLOOKUP(表格1[[#This Row],[Model]],表格3[Model-Input-Ref2],表格3[SRP PRICE])</f>
        <v>918</v>
      </c>
      <c r="T3242" s="43">
        <f>表格1[[#This Row],[Unit Price]]/表格1[[#This Row],[SRP]]</f>
        <v>0.76034858387799564</v>
      </c>
      <c r="U3242" s="86" t="str">
        <f>_xlfn.XLOOKUP(表格1[[#This Row],[Model]],表格3[Model-Input-Ref2],表格3[TOSHIBA/HIGHEST])</f>
        <v>Shops Highest Price</v>
      </c>
      <c r="W3242" s="86" t="str">
        <f>_xlfn.CONCAT(表格1[[#This Row],[欄4]],表格1[[#This Row],[inv no]])</f>
        <v>931016</v>
      </c>
    </row>
    <row r="3243" spans="1:23" hidden="1">
      <c r="A3243" s="81">
        <v>3241</v>
      </c>
      <c r="B3243" s="86" t="s">
        <v>1477</v>
      </c>
      <c r="C3243" s="86" t="s">
        <v>1959</v>
      </c>
      <c r="D3243" s="82" t="str">
        <f ca="1">OFFSET(Roster!$A$3,MATCH(表格1[[#This Row],[Location]]&amp;" "&amp;表格1[[#This Row],[Shop]]&amp;"*",Roster!$A$4:$A$72,0),DAY(表格1[[#This Row],[date]]),1,1)</f>
        <v>Jaco</v>
      </c>
      <c r="E3243" s="86">
        <f>MONTH(表格1[[#This Row],[date]])</f>
        <v>3</v>
      </c>
      <c r="F3243" s="90">
        <v>46098</v>
      </c>
      <c r="G3243" s="86" t="str">
        <f>VLOOKUP("*"&amp;表格1[[#This Row],[Input]]&amp;"*",'Ref-List'!$B:$D,2,)</f>
        <v>TL-MC35Z</v>
      </c>
      <c r="H3243" s="86" t="str">
        <f>_xlfn.XLOOKUP(表格1[[#This Row],[Model]],表格3[Model-Input-Ref2],表格3[Product Line])</f>
        <v>35L多功能電焗爐</v>
      </c>
      <c r="I3243" s="86" t="str">
        <f>_xlfn.XLOOKUP(表格1[[#This Row],[Model]],表格3[Model-Input-Ref2],表格3[大小電])</f>
        <v>細電</v>
      </c>
      <c r="J3243" s="86" t="str">
        <f>_xlfn.XLOOKUP(表格1[[#This Row],[Model]],表格3[Model-Input-Ref2],表格3[Code])</f>
        <v>SDA</v>
      </c>
      <c r="K3243" s="89" t="s">
        <v>1295</v>
      </c>
      <c r="L3243" s="86">
        <v>1</v>
      </c>
      <c r="M3243" s="87">
        <v>888</v>
      </c>
      <c r="N3243" s="87">
        <f>IFERROR(表格1[[#This Row],[QTY]]*表格1[[#This Row],[Unit Price]],"-")</f>
        <v>888</v>
      </c>
      <c r="O3243" s="86">
        <v>1024235</v>
      </c>
      <c r="R3243" s="86" t="str">
        <f>_xlfn.CONCAT(表格1[[#This Row],[Model]]," ",表格1[[#This Row],[inv no]])</f>
        <v>TL-MC35Z 1024235</v>
      </c>
      <c r="S3243" s="86">
        <f>_xlfn.XLOOKUP(表格1[[#This Row],[Model]],表格3[Model-Input-Ref2],表格3[SRP PRICE])</f>
        <v>1098</v>
      </c>
      <c r="T3243" s="43">
        <f>表格1[[#This Row],[Unit Price]]/表格1[[#This Row],[SRP]]</f>
        <v>0.80874316939890711</v>
      </c>
      <c r="U3243" s="86" t="str">
        <f>_xlfn.XLOOKUP(表格1[[#This Row],[Model]],表格3[Model-Input-Ref2],表格3[TOSHIBA/HIGHEST])</f>
        <v>Toshiba SRP</v>
      </c>
      <c r="W3243" s="86" t="str">
        <f>_xlfn.CONCAT(表格1[[#This Row],[欄4]],表格1[[#This Row],[inv no]])</f>
        <v>1024235</v>
      </c>
    </row>
    <row r="3244" spans="1:23" hidden="1">
      <c r="A3244" s="81">
        <v>3242</v>
      </c>
      <c r="B3244" s="86" t="s">
        <v>1477</v>
      </c>
      <c r="C3244" s="86" t="s">
        <v>1959</v>
      </c>
      <c r="D3244" s="82" t="str">
        <f ca="1">OFFSET(Roster!$A$3,MATCH(表格1[[#This Row],[Location]]&amp;" "&amp;表格1[[#This Row],[Shop]]&amp;"*",Roster!$A$4:$A$72,0),DAY(表格1[[#This Row],[date]]),1,1)</f>
        <v>Jaco</v>
      </c>
      <c r="E3244" s="86">
        <f>MONTH(表格1[[#This Row],[date]])</f>
        <v>3</v>
      </c>
      <c r="F3244" s="90">
        <v>46098</v>
      </c>
      <c r="G3244" s="86" t="str">
        <f>VLOOKUP("*"&amp;表格1[[#This Row],[Input]]&amp;"*",'Ref-List'!$B:$D,2,)</f>
        <v>MWP-MM20P(WH)</v>
      </c>
      <c r="H3244" s="86" t="str">
        <f>_xlfn.XLOOKUP(表格1[[#This Row],[Model]],表格3[Model-Input-Ref2],表格3[Product Line])</f>
        <v>旋鈕式燒烤微波爐20L</v>
      </c>
      <c r="I3244" s="86" t="str">
        <f>_xlfn.XLOOKUP(表格1[[#This Row],[Model]],表格3[Model-Input-Ref2],表格3[大小電])</f>
        <v>細電</v>
      </c>
      <c r="J3244" s="86" t="str">
        <f>_xlfn.XLOOKUP(表格1[[#This Row],[Model]],表格3[Model-Input-Ref2],表格3[Code])</f>
        <v>SDA</v>
      </c>
      <c r="K3244" s="89" t="s">
        <v>1270</v>
      </c>
      <c r="L3244" s="86">
        <v>1</v>
      </c>
      <c r="M3244" s="87">
        <v>488</v>
      </c>
      <c r="N3244" s="87">
        <f>IFERROR(表格1[[#This Row],[QTY]]*表格1[[#This Row],[Unit Price]],"-")</f>
        <v>488</v>
      </c>
      <c r="O3244" s="86">
        <v>1024195</v>
      </c>
      <c r="P3244" s="86" t="s">
        <v>1960</v>
      </c>
      <c r="R3244" s="86" t="str">
        <f>_xlfn.CONCAT(表格1[[#This Row],[Model]]," ",表格1[[#This Row],[inv no]])</f>
        <v>MWP-MM20P(WH) 1024195</v>
      </c>
      <c r="S3244" s="86">
        <f>_xlfn.XLOOKUP(表格1[[#This Row],[Model]],表格3[Model-Input-Ref2],表格3[SRP PRICE])</f>
        <v>648</v>
      </c>
      <c r="T3244" s="43">
        <f>表格1[[#This Row],[Unit Price]]/表格1[[#This Row],[SRP]]</f>
        <v>0.75308641975308643</v>
      </c>
      <c r="U3244" s="86" t="str">
        <f>_xlfn.XLOOKUP(表格1[[#This Row],[Model]],表格3[Model-Input-Ref2],表格3[TOSHIBA/HIGHEST])</f>
        <v>Toshiba SRP</v>
      </c>
      <c r="W3244" s="86" t="str">
        <f>_xlfn.CONCAT(表格1[[#This Row],[欄4]],表格1[[#This Row],[inv no]])</f>
        <v>1024195</v>
      </c>
    </row>
    <row r="3245" spans="1:23" hidden="1">
      <c r="A3245" s="81">
        <v>3243</v>
      </c>
      <c r="B3245" s="86" t="s">
        <v>1477</v>
      </c>
      <c r="C3245" s="86" t="s">
        <v>1959</v>
      </c>
      <c r="D3245" s="82" t="str">
        <f ca="1">OFFSET(Roster!$A$3,MATCH(表格1[[#This Row],[Location]]&amp;" "&amp;表格1[[#This Row],[Shop]]&amp;"*",Roster!$A$4:$A$72,0),DAY(表格1[[#This Row],[date]]),1,1)</f>
        <v>Jaco</v>
      </c>
      <c r="E3245" s="86">
        <f>MONTH(表格1[[#This Row],[date]])</f>
        <v>3</v>
      </c>
      <c r="F3245" s="90">
        <v>46098</v>
      </c>
      <c r="G3245" s="86" t="str">
        <f>VLOOKUP("*"&amp;表格1[[#This Row],[Input]]&amp;"*",'Ref-List'!$B:$D,2,)</f>
        <v>RAD-DIA17HK</v>
      </c>
      <c r="H3245" s="86" t="str">
        <f>_xlfn.XLOOKUP(表格1[[#This Row],[Model]],表格3[Model-Input-Ref2],表格3[Product Line])</f>
        <v>變頻二合一空氣淨化抽濕機 (28公升)</v>
      </c>
      <c r="I3245" s="86" t="str">
        <f>_xlfn.XLOOKUP(表格1[[#This Row],[Model]],表格3[Model-Input-Ref2],表格3[大小電])</f>
        <v>大電</v>
      </c>
      <c r="J3245" s="86" t="str">
        <f>_xlfn.XLOOKUP(表格1[[#This Row],[Model]],表格3[Model-Input-Ref2],表格3[Code])</f>
        <v>RAC</v>
      </c>
      <c r="K3245" s="89" t="s">
        <v>1480</v>
      </c>
      <c r="L3245" s="86">
        <v>1</v>
      </c>
      <c r="M3245" s="87">
        <v>3580</v>
      </c>
      <c r="N3245" s="87">
        <f>IFERROR(表格1[[#This Row],[QTY]]*表格1[[#This Row],[Unit Price]],"-")</f>
        <v>3580</v>
      </c>
      <c r="O3245" s="86">
        <v>930786</v>
      </c>
      <c r="R3245" s="86" t="str">
        <f>_xlfn.CONCAT(表格1[[#This Row],[Model]]," ",表格1[[#This Row],[inv no]])</f>
        <v>RAD-DIA17HK 930786</v>
      </c>
      <c r="S3245" s="86">
        <f>_xlfn.XLOOKUP(表格1[[#This Row],[Model]],表格3[Model-Input-Ref2],表格3[SRP PRICE])</f>
        <v>4980</v>
      </c>
      <c r="T3245" s="43">
        <f>表格1[[#This Row],[Unit Price]]/表格1[[#This Row],[SRP]]</f>
        <v>0.71887550200803207</v>
      </c>
      <c r="U3245" s="86" t="str">
        <f>_xlfn.XLOOKUP(表格1[[#This Row],[Model]],表格3[Model-Input-Ref2],表格3[TOSHIBA/HIGHEST])</f>
        <v>Toshiba SRP</v>
      </c>
      <c r="W3245" s="86" t="str">
        <f>_xlfn.CONCAT(表格1[[#This Row],[欄4]],表格1[[#This Row],[inv no]])</f>
        <v>930786</v>
      </c>
    </row>
    <row r="3246" spans="1:23" hidden="1">
      <c r="A3246" s="81">
        <v>3244</v>
      </c>
      <c r="B3246" s="86" t="s">
        <v>1477</v>
      </c>
      <c r="C3246" s="86" t="s">
        <v>1959</v>
      </c>
      <c r="D3246" s="82" t="str">
        <f ca="1">OFFSET(Roster!$A$3,MATCH(表格1[[#This Row],[Location]]&amp;" "&amp;表格1[[#This Row],[Shop]]&amp;"*",Roster!$A$4:$A$72,0),DAY(表格1[[#This Row],[date]]),1,1)</f>
        <v>Jaco</v>
      </c>
      <c r="E3246" s="86">
        <f>MONTH(表格1[[#This Row],[date]])</f>
        <v>3</v>
      </c>
      <c r="F3246" s="90">
        <v>46098</v>
      </c>
      <c r="G3246" s="86" t="str">
        <f>VLOOKUP("*"&amp;表格1[[#This Row],[Input]]&amp;"*",'Ref-List'!$B:$D,2,)</f>
        <v>MW3-SAC24SE(BK)</v>
      </c>
      <c r="H3246" s="86" t="str">
        <f>_xlfn.XLOOKUP(表格1[[#This Row],[Model]],表格3[Model-Input-Ref2],表格3[Product Line])</f>
        <v>智能氣炸烤焗爐(24公升)</v>
      </c>
      <c r="I3246" s="86" t="str">
        <f>_xlfn.XLOOKUP(表格1[[#This Row],[Model]],表格3[Model-Input-Ref2],表格3[大小電])</f>
        <v>細電</v>
      </c>
      <c r="J3246" s="86" t="str">
        <f>_xlfn.XLOOKUP(表格1[[#This Row],[Model]],表格3[Model-Input-Ref2],表格3[Code])</f>
        <v>MCA</v>
      </c>
      <c r="K3246" s="89" t="s">
        <v>1274</v>
      </c>
      <c r="L3246" s="86">
        <v>1</v>
      </c>
      <c r="M3246" s="87">
        <v>1320</v>
      </c>
      <c r="N3246" s="87">
        <f>IFERROR(表格1[[#This Row],[QTY]]*表格1[[#This Row],[Unit Price]],"-")</f>
        <v>1320</v>
      </c>
      <c r="O3246" s="86">
        <v>930898</v>
      </c>
      <c r="R3246" s="86" t="str">
        <f>_xlfn.CONCAT(表格1[[#This Row],[Model]]," ",表格1[[#This Row],[inv no]])</f>
        <v>MW3-SAC24SE(BK) 930898</v>
      </c>
      <c r="S3246" s="86">
        <f>_xlfn.XLOOKUP(表格1[[#This Row],[Model]],表格3[Model-Input-Ref2],表格3[SRP PRICE])</f>
        <v>1680</v>
      </c>
      <c r="T3246" s="43">
        <f>表格1[[#This Row],[Unit Price]]/表格1[[#This Row],[SRP]]</f>
        <v>0.7857142857142857</v>
      </c>
      <c r="U3246" s="86" t="str">
        <f>_xlfn.XLOOKUP(表格1[[#This Row],[Model]],表格3[Model-Input-Ref2],表格3[TOSHIBA/HIGHEST])</f>
        <v>Toshiba SRP</v>
      </c>
      <c r="W3246" s="86" t="str">
        <f>_xlfn.CONCAT(表格1[[#This Row],[欄4]],表格1[[#This Row],[inv no]])</f>
        <v>930898</v>
      </c>
    </row>
    <row r="3247" spans="1:23" hidden="1">
      <c r="A3247" s="81">
        <v>3245</v>
      </c>
      <c r="B3247" s="86" t="s">
        <v>1477</v>
      </c>
      <c r="C3247" s="86" t="s">
        <v>1959</v>
      </c>
      <c r="D3247" s="82" t="str">
        <f ca="1">OFFSET(Roster!$A$3,MATCH(表格1[[#This Row],[Location]]&amp;" "&amp;表格1[[#This Row],[Shop]]&amp;"*",Roster!$A$4:$A$72,0),DAY(表格1[[#This Row],[date]]),1,1)</f>
        <v>Jaco</v>
      </c>
      <c r="E3247" s="86">
        <f>MONTH(表格1[[#This Row],[date]])</f>
        <v>3</v>
      </c>
      <c r="F3247" s="90">
        <v>46101</v>
      </c>
      <c r="G3247" s="86" t="str">
        <f>VLOOKUP("*"&amp;表格1[[#This Row],[Input]]&amp;"*",'Ref-List'!$B:$D,2,)</f>
        <v>RC-10NMFIH(WT)</v>
      </c>
      <c r="H3247" s="86" t="str">
        <f>_xlfn.XLOOKUP(表格1[[#This Row],[Model]],表格3[Model-Input-Ref2],表格3[Product Line])</f>
        <v>4毫米厚釜電飯煲1L</v>
      </c>
      <c r="I3247" s="86" t="str">
        <f>_xlfn.XLOOKUP(表格1[[#This Row],[Model]],表格3[Model-Input-Ref2],表格3[大小電])</f>
        <v>細電</v>
      </c>
      <c r="J3247" s="86" t="str">
        <f>_xlfn.XLOOKUP(表格1[[#This Row],[Model]],表格3[Model-Input-Ref2],表格3[Code])</f>
        <v>SDA</v>
      </c>
      <c r="K3247" s="89" t="s">
        <v>1244</v>
      </c>
      <c r="L3247" s="86">
        <v>1</v>
      </c>
      <c r="M3247" s="87">
        <v>719</v>
      </c>
      <c r="N3247" s="87">
        <f>IFERROR(表格1[[#This Row],[QTY]]*表格1[[#This Row],[Unit Price]],"-")</f>
        <v>719</v>
      </c>
      <c r="O3247" s="86">
        <v>1024364</v>
      </c>
      <c r="R3247" s="86" t="str">
        <f>_xlfn.CONCAT(表格1[[#This Row],[Model]]," ",表格1[[#This Row],[inv no]])</f>
        <v>RC-10NMFIH(WT) 1024364</v>
      </c>
      <c r="S3247" s="86">
        <f>_xlfn.XLOOKUP(表格1[[#This Row],[Model]],表格3[Model-Input-Ref2],表格3[SRP PRICE])</f>
        <v>898</v>
      </c>
      <c r="T3247" s="43">
        <f>表格1[[#This Row],[Unit Price]]/表格1[[#This Row],[SRP]]</f>
        <v>0.80066815144766146</v>
      </c>
      <c r="U3247" s="86" t="str">
        <f>_xlfn.XLOOKUP(表格1[[#This Row],[Model]],表格3[Model-Input-Ref2],表格3[TOSHIBA/HIGHEST])</f>
        <v>Toshiba SRP</v>
      </c>
      <c r="W3247" s="86" t="str">
        <f>_xlfn.CONCAT(表格1[[#This Row],[欄4]],表格1[[#This Row],[inv no]])</f>
        <v>1024364</v>
      </c>
    </row>
    <row r="3248" spans="1:23" hidden="1">
      <c r="A3248" s="81">
        <v>3246</v>
      </c>
      <c r="B3248" s="86" t="s">
        <v>1477</v>
      </c>
      <c r="C3248" s="86" t="s">
        <v>1959</v>
      </c>
      <c r="D3248" s="82" t="str">
        <f ca="1">OFFSET(Roster!$A$3,MATCH(表格1[[#This Row],[Location]]&amp;" "&amp;表格1[[#This Row],[Shop]]&amp;"*",Roster!$A$4:$A$72,0),DAY(表格1[[#This Row],[date]]),1,1)</f>
        <v>Jaco</v>
      </c>
      <c r="E3248" s="86">
        <f>MONTH(表格1[[#This Row],[date]])</f>
        <v>3</v>
      </c>
      <c r="F3248" s="90">
        <v>46101</v>
      </c>
      <c r="G3248" s="86" t="str">
        <f>VLOOKUP("*"&amp;表格1[[#This Row],[Input]]&amp;"*",'Ref-List'!$B:$D,2,)</f>
        <v>RAD-D300H</v>
      </c>
      <c r="H3248" s="86" t="str">
        <f>_xlfn.XLOOKUP(表格1[[#This Row],[Model]],表格3[Model-Input-Ref2],表格3[Product Line])</f>
        <v>壓縮式抽濕機 (30公升)</v>
      </c>
      <c r="I3248" s="86" t="str">
        <f>_xlfn.XLOOKUP(表格1[[#This Row],[Model]],表格3[Model-Input-Ref2],表格3[大小電])</f>
        <v>細電</v>
      </c>
      <c r="J3248" s="86" t="str">
        <f>_xlfn.XLOOKUP(表格1[[#This Row],[Model]],表格3[Model-Input-Ref2],表格3[Code])</f>
        <v>RAC</v>
      </c>
      <c r="K3248" s="89" t="s">
        <v>1252</v>
      </c>
      <c r="L3248" s="86">
        <v>1</v>
      </c>
      <c r="M3248" s="87">
        <v>2280</v>
      </c>
      <c r="N3248" s="87">
        <f>IFERROR(表格1[[#This Row],[QTY]]*表格1[[#This Row],[Unit Price]],"-")</f>
        <v>2280</v>
      </c>
      <c r="O3248" s="86">
        <v>1024371</v>
      </c>
      <c r="R3248" s="86" t="str">
        <f>_xlfn.CONCAT(表格1[[#This Row],[Model]]," ",表格1[[#This Row],[inv no]])</f>
        <v>RAD-D300H 1024371</v>
      </c>
      <c r="S3248" s="86">
        <f>_xlfn.XLOOKUP(表格1[[#This Row],[Model]],表格3[Model-Input-Ref2],表格3[SRP PRICE])</f>
        <v>3380</v>
      </c>
      <c r="T3248" s="43">
        <f>表格1[[#This Row],[Unit Price]]/表格1[[#This Row],[SRP]]</f>
        <v>0.67455621301775148</v>
      </c>
      <c r="U3248" s="86" t="str">
        <f>_xlfn.XLOOKUP(表格1[[#This Row],[Model]],表格3[Model-Input-Ref2],表格3[TOSHIBA/HIGHEST])</f>
        <v>Shops Highest Price</v>
      </c>
      <c r="W3248" s="86" t="str">
        <f>_xlfn.CONCAT(表格1[[#This Row],[欄4]],表格1[[#This Row],[inv no]])</f>
        <v>1024371</v>
      </c>
    </row>
    <row r="3249" spans="1:23" hidden="1">
      <c r="A3249" s="81">
        <v>3247</v>
      </c>
      <c r="B3249" s="86" t="s">
        <v>1477</v>
      </c>
      <c r="C3249" s="86" t="s">
        <v>1959</v>
      </c>
      <c r="D3249" s="82" t="str">
        <f ca="1">OFFSET(Roster!$A$3,MATCH(表格1[[#This Row],[Location]]&amp;" "&amp;表格1[[#This Row],[Shop]]&amp;"*",Roster!$A$4:$A$72,0),DAY(表格1[[#This Row],[date]]),1,1)</f>
        <v>Jaco</v>
      </c>
      <c r="E3249" s="86">
        <f>MONTH(表格1[[#This Row],[date]])</f>
        <v>3</v>
      </c>
      <c r="F3249" s="90">
        <v>46101</v>
      </c>
      <c r="G3249" s="86" t="str">
        <f>VLOOKUP("*"&amp;表格1[[#This Row],[Input]]&amp;"*",'Ref-List'!$B:$D,2,)</f>
        <v>RC-10NMFIH(WT)</v>
      </c>
      <c r="H3249" s="86" t="str">
        <f>_xlfn.XLOOKUP(表格1[[#This Row],[Model]],表格3[Model-Input-Ref2],表格3[Product Line])</f>
        <v>4毫米厚釜電飯煲1L</v>
      </c>
      <c r="I3249" s="86" t="str">
        <f>_xlfn.XLOOKUP(表格1[[#This Row],[Model]],表格3[Model-Input-Ref2],表格3[大小電])</f>
        <v>細電</v>
      </c>
      <c r="J3249" s="86" t="str">
        <f>_xlfn.XLOOKUP(表格1[[#This Row],[Model]],表格3[Model-Input-Ref2],表格3[Code])</f>
        <v>SDA</v>
      </c>
      <c r="K3249" s="89" t="s">
        <v>1244</v>
      </c>
      <c r="L3249" s="86">
        <v>1</v>
      </c>
      <c r="M3249" s="87">
        <v>719</v>
      </c>
      <c r="N3249" s="87">
        <f>IFERROR(表格1[[#This Row],[QTY]]*表格1[[#This Row],[Unit Price]],"-")</f>
        <v>719</v>
      </c>
      <c r="O3249" s="86">
        <v>931110</v>
      </c>
      <c r="R3249" s="86" t="str">
        <f>_xlfn.CONCAT(表格1[[#This Row],[Model]]," ",表格1[[#This Row],[inv no]])</f>
        <v>RC-10NMFIH(WT) 931110</v>
      </c>
      <c r="S3249" s="86">
        <f>_xlfn.XLOOKUP(表格1[[#This Row],[Model]],表格3[Model-Input-Ref2],表格3[SRP PRICE])</f>
        <v>898</v>
      </c>
      <c r="T3249" s="43">
        <f>表格1[[#This Row],[Unit Price]]/表格1[[#This Row],[SRP]]</f>
        <v>0.80066815144766146</v>
      </c>
      <c r="U3249" s="86" t="str">
        <f>_xlfn.XLOOKUP(表格1[[#This Row],[Model]],表格3[Model-Input-Ref2],表格3[TOSHIBA/HIGHEST])</f>
        <v>Toshiba SRP</v>
      </c>
      <c r="W3249" s="86" t="str">
        <f>_xlfn.CONCAT(表格1[[#This Row],[欄4]],表格1[[#This Row],[inv no]])</f>
        <v>931110</v>
      </c>
    </row>
    <row r="3250" spans="1:23" hidden="1">
      <c r="A3250" s="81">
        <v>3248</v>
      </c>
      <c r="B3250" s="86" t="s">
        <v>1477</v>
      </c>
      <c r="C3250" s="86" t="s">
        <v>1959</v>
      </c>
      <c r="D3250" s="82" t="str">
        <f ca="1">OFFSET(Roster!$A$3,MATCH(表格1[[#This Row],[Location]]&amp;" "&amp;表格1[[#This Row],[Shop]]&amp;"*",Roster!$A$4:$A$72,0),DAY(表格1[[#This Row],[date]]),1,1)</f>
        <v>Jaco</v>
      </c>
      <c r="E3250" s="86">
        <f>MONTH(表格1[[#This Row],[date]])</f>
        <v>3</v>
      </c>
      <c r="F3250" s="90">
        <v>46101</v>
      </c>
      <c r="G3250" s="86" t="str">
        <f>VLOOKUP("*"&amp;表格1[[#This Row],[Input]]&amp;"*",'Ref-List'!$B:$D,2,)</f>
        <v>PLK-45SFIH(WT)</v>
      </c>
      <c r="H3250" s="86" t="str">
        <f>_xlfn.XLOOKUP(表格1[[#This Row],[Model]],表格3[Model-Input-Ref2],表格3[Product Line])</f>
        <v>電熱水瓶4.5L</v>
      </c>
      <c r="I3250" s="86" t="str">
        <f>_xlfn.XLOOKUP(表格1[[#This Row],[Model]],表格3[Model-Input-Ref2],表格3[大小電])</f>
        <v>細電</v>
      </c>
      <c r="J3250" s="86" t="str">
        <f>_xlfn.XLOOKUP(表格1[[#This Row],[Model]],表格3[Model-Input-Ref2],表格3[Code])</f>
        <v>SDA</v>
      </c>
      <c r="K3250" s="89" t="s">
        <v>1117</v>
      </c>
      <c r="L3250" s="86">
        <v>1</v>
      </c>
      <c r="M3250" s="87">
        <v>589</v>
      </c>
      <c r="N3250" s="87">
        <f>IFERROR(表格1[[#This Row],[QTY]]*表格1[[#This Row],[Unit Price]],"-")</f>
        <v>589</v>
      </c>
      <c r="O3250" s="86">
        <v>931142</v>
      </c>
      <c r="R3250" s="86" t="str">
        <f>_xlfn.CONCAT(表格1[[#This Row],[Model]]," ",表格1[[#This Row],[inv no]])</f>
        <v>PLK-45SFIH(WT) 931142</v>
      </c>
      <c r="S3250" s="86">
        <f>_xlfn.XLOOKUP(表格1[[#This Row],[Model]],表格3[Model-Input-Ref2],表格3[SRP PRICE])</f>
        <v>788</v>
      </c>
      <c r="T3250" s="43">
        <f>表格1[[#This Row],[Unit Price]]/表格1[[#This Row],[SRP]]</f>
        <v>0.7474619289340102</v>
      </c>
      <c r="U3250" s="86" t="str">
        <f>_xlfn.XLOOKUP(表格1[[#This Row],[Model]],表格3[Model-Input-Ref2],表格3[TOSHIBA/HIGHEST])</f>
        <v>Toshiba SRP</v>
      </c>
      <c r="W3250" s="86" t="str">
        <f>_xlfn.CONCAT(表格1[[#This Row],[欄4]],表格1[[#This Row],[inv no]])</f>
        <v>931142</v>
      </c>
    </row>
    <row r="3251" spans="1:23" hidden="1">
      <c r="A3251" s="81">
        <v>3249</v>
      </c>
      <c r="B3251" s="86" t="s">
        <v>1477</v>
      </c>
      <c r="C3251" s="86" t="s">
        <v>1959</v>
      </c>
      <c r="D3251" s="82" t="str">
        <f ca="1">OFFSET(Roster!$A$3,MATCH(表格1[[#This Row],[Location]]&amp;" "&amp;表格1[[#This Row],[Shop]]&amp;"*",Roster!$A$4:$A$72,0),DAY(表格1[[#This Row],[date]]),1,1)</f>
        <v>Jaco</v>
      </c>
      <c r="E3251" s="86">
        <f>MONTH(表格1[[#This Row],[date]])</f>
        <v>3</v>
      </c>
      <c r="F3251" s="90">
        <v>46102</v>
      </c>
      <c r="G3251" s="86" t="str">
        <f>VLOOKUP("*"&amp;表格1[[#This Row],[Input]]&amp;"*",'Ref-List'!$B:$D,2,)</f>
        <v>MX2-TT20SC(WH)</v>
      </c>
      <c r="H3251" s="86" t="str">
        <f>_xlfn.XLOOKUP(表格1[[#This Row],[Model]],表格3[Model-Input-Ref2],表格3[Product Line])</f>
        <v>3合1 微波蒸焗爐 (20公升)</v>
      </c>
      <c r="I3251" s="86" t="str">
        <f>_xlfn.XLOOKUP(表格1[[#This Row],[Model]],表格3[Model-Input-Ref2],表格3[大小電])</f>
        <v>細電</v>
      </c>
      <c r="J3251" s="86" t="str">
        <f>_xlfn.XLOOKUP(表格1[[#This Row],[Model]],表格3[Model-Input-Ref2],表格3[Code])</f>
        <v>MCA</v>
      </c>
      <c r="K3251" s="89" t="s">
        <v>1287</v>
      </c>
      <c r="L3251" s="86">
        <v>1</v>
      </c>
      <c r="M3251" s="87">
        <v>2580</v>
      </c>
      <c r="N3251" s="87">
        <f>IFERROR(表格1[[#This Row],[QTY]]*表格1[[#This Row],[Unit Price]],"-")</f>
        <v>2580</v>
      </c>
      <c r="O3251" s="86">
        <v>931126</v>
      </c>
      <c r="R3251" s="86" t="str">
        <f>_xlfn.CONCAT(表格1[[#This Row],[Model]]," ",表格1[[#This Row],[inv no]])</f>
        <v>MX2-TT20SC(WH) 931126</v>
      </c>
      <c r="S3251" s="86">
        <f>_xlfn.XLOOKUP(表格1[[#This Row],[Model]],表格3[Model-Input-Ref2],表格3[SRP PRICE])</f>
        <v>3580</v>
      </c>
      <c r="T3251" s="43">
        <f>表格1[[#This Row],[Unit Price]]/表格1[[#This Row],[SRP]]</f>
        <v>0.72067039106145248</v>
      </c>
      <c r="U3251" s="86" t="str">
        <f>_xlfn.XLOOKUP(表格1[[#This Row],[Model]],表格3[Model-Input-Ref2],表格3[TOSHIBA/HIGHEST])</f>
        <v>Toshiba SRP</v>
      </c>
      <c r="W3251" s="86" t="str">
        <f>_xlfn.CONCAT(表格1[[#This Row],[欄4]],表格1[[#This Row],[inv no]])</f>
        <v>931126</v>
      </c>
    </row>
    <row r="3252" spans="1:23" hidden="1">
      <c r="A3252" s="81">
        <v>3250</v>
      </c>
      <c r="B3252" s="86" t="s">
        <v>1477</v>
      </c>
      <c r="C3252" s="86" t="s">
        <v>1959</v>
      </c>
      <c r="D3252" s="82" t="str">
        <f ca="1">OFFSET(Roster!$A$3,MATCH(表格1[[#This Row],[Location]]&amp;" "&amp;表格1[[#This Row],[Shop]]&amp;"*",Roster!$A$4:$A$72,0),DAY(表格1[[#This Row],[date]]),1,1)</f>
        <v>Jaco</v>
      </c>
      <c r="E3252" s="86">
        <f>MONTH(表格1[[#This Row],[date]])</f>
        <v>3</v>
      </c>
      <c r="F3252" s="90">
        <v>46102</v>
      </c>
      <c r="G3252" s="86" t="str">
        <f>VLOOKUP("*"&amp;表格1[[#This Row],[Input]]&amp;"*",'Ref-List'!$B:$D,2,)</f>
        <v>RC-10IRPH</v>
      </c>
      <c r="H3252" s="86" t="str">
        <f>_xlfn.XLOOKUP(表格1[[#This Row],[Model]],表格3[Model-Input-Ref2],表格3[Product Line])</f>
        <v>低醣磁應電飯煲1L</v>
      </c>
      <c r="I3252" s="86" t="str">
        <f>_xlfn.XLOOKUP(表格1[[#This Row],[Model]],表格3[Model-Input-Ref2],表格3[大小電])</f>
        <v>細電</v>
      </c>
      <c r="J3252" s="86" t="str">
        <f>_xlfn.XLOOKUP(表格1[[#This Row],[Model]],表格3[Model-Input-Ref2],表格3[Code])</f>
        <v>SDA</v>
      </c>
      <c r="K3252" s="89" t="s">
        <v>1297</v>
      </c>
      <c r="L3252" s="86">
        <v>1</v>
      </c>
      <c r="M3252" s="87">
        <v>798</v>
      </c>
      <c r="N3252" s="87">
        <f>IFERROR(表格1[[#This Row],[QTY]]*表格1[[#This Row],[Unit Price]],"-")</f>
        <v>798</v>
      </c>
      <c r="O3252" s="86">
        <v>931155</v>
      </c>
      <c r="R3252" s="86" t="str">
        <f>_xlfn.CONCAT(表格1[[#This Row],[Model]]," ",表格1[[#This Row],[inv no]])</f>
        <v>RC-10IRPH 931155</v>
      </c>
      <c r="S3252" s="86">
        <f>_xlfn.XLOOKUP(表格1[[#This Row],[Model]],表格3[Model-Input-Ref2],表格3[SRP PRICE])</f>
        <v>1388</v>
      </c>
      <c r="T3252" s="43">
        <f>表格1[[#This Row],[Unit Price]]/表格1[[#This Row],[SRP]]</f>
        <v>0.5749279538904899</v>
      </c>
      <c r="U3252" s="86" t="str">
        <f>_xlfn.XLOOKUP(表格1[[#This Row],[Model]],表格3[Model-Input-Ref2],表格3[TOSHIBA/HIGHEST])</f>
        <v>Toshiba SRP</v>
      </c>
      <c r="W3252" s="86" t="str">
        <f>_xlfn.CONCAT(表格1[[#This Row],[欄4]],表格1[[#This Row],[inv no]])</f>
        <v>931155</v>
      </c>
    </row>
    <row r="3253" spans="1:23" hidden="1">
      <c r="A3253" s="81">
        <v>3251</v>
      </c>
      <c r="B3253" s="86" t="s">
        <v>1477</v>
      </c>
      <c r="C3253" s="86" t="s">
        <v>1959</v>
      </c>
      <c r="D3253" s="82" t="str">
        <f ca="1">OFFSET(Roster!$A$3,MATCH(表格1[[#This Row],[Location]]&amp;" "&amp;表格1[[#This Row],[Shop]]&amp;"*",Roster!$A$4:$A$72,0),DAY(表格1[[#This Row],[date]]),1,1)</f>
        <v>Jaco</v>
      </c>
      <c r="E3253" s="86">
        <f>MONTH(表格1[[#This Row],[date]])</f>
        <v>3</v>
      </c>
      <c r="F3253" s="90">
        <v>46102</v>
      </c>
      <c r="G3253" s="86" t="str">
        <f>VLOOKUP("*"&amp;表格1[[#This Row],[Input]]&amp;"*",'Ref-List'!$B:$D,2,)</f>
        <v>RC-18ISPH</v>
      </c>
      <c r="H3253" s="86" t="str">
        <f>_xlfn.XLOOKUP(表格1[[#This Row],[Model]],表格3[Model-Input-Ref2],表格3[Product Line])</f>
        <v>低醣磁應電飯煲1.8L</v>
      </c>
      <c r="I3253" s="86" t="str">
        <f>_xlfn.XLOOKUP(表格1[[#This Row],[Model]],表格3[Model-Input-Ref2],表格3[大小電])</f>
        <v>細電</v>
      </c>
      <c r="J3253" s="86" t="str">
        <f>_xlfn.XLOOKUP(表格1[[#This Row],[Model]],表格3[Model-Input-Ref2],表格3[Code])</f>
        <v>SDA</v>
      </c>
      <c r="K3253" s="89" t="s">
        <v>1281</v>
      </c>
      <c r="L3253" s="86">
        <v>1</v>
      </c>
      <c r="M3253" s="87">
        <v>898</v>
      </c>
      <c r="N3253" s="87">
        <f>IFERROR(表格1[[#This Row],[QTY]]*表格1[[#This Row],[Unit Price]],"-")</f>
        <v>898</v>
      </c>
      <c r="O3253" s="86">
        <v>931178</v>
      </c>
      <c r="R3253" s="86" t="str">
        <f>_xlfn.CONCAT(表格1[[#This Row],[Model]]," ",表格1[[#This Row],[inv no]])</f>
        <v>RC-18ISPH 931178</v>
      </c>
      <c r="S3253" s="86">
        <f>_xlfn.XLOOKUP(表格1[[#This Row],[Model]],表格3[Model-Input-Ref2],表格3[SRP PRICE])</f>
        <v>1436</v>
      </c>
      <c r="T3253" s="43">
        <f>表格1[[#This Row],[Unit Price]]/表格1[[#This Row],[SRP]]</f>
        <v>0.62534818941504178</v>
      </c>
      <c r="U3253" s="86" t="str">
        <f>_xlfn.XLOOKUP(表格1[[#This Row],[Model]],表格3[Model-Input-Ref2],表格3[TOSHIBA/HIGHEST])</f>
        <v>Shops Highest Price</v>
      </c>
      <c r="W3253" s="86" t="str">
        <f>_xlfn.CONCAT(表格1[[#This Row],[欄4]],表格1[[#This Row],[inv no]])</f>
        <v>931178</v>
      </c>
    </row>
    <row r="3254" spans="1:23" hidden="1">
      <c r="A3254" s="81">
        <v>3252</v>
      </c>
      <c r="B3254" s="86" t="s">
        <v>1477</v>
      </c>
      <c r="C3254" s="86" t="s">
        <v>1959</v>
      </c>
      <c r="D3254" s="82" t="str">
        <f ca="1">OFFSET(Roster!$A$3,MATCH(表格1[[#This Row],[Location]]&amp;" "&amp;表格1[[#This Row],[Shop]]&amp;"*",Roster!$A$4:$A$72,0),DAY(表格1[[#This Row],[date]]),1,1)</f>
        <v>Jaco</v>
      </c>
      <c r="E3254" s="86">
        <f>MONTH(表格1[[#This Row],[date]])</f>
        <v>3</v>
      </c>
      <c r="F3254" s="90">
        <v>46102</v>
      </c>
      <c r="G3254" s="86" t="str">
        <f>VLOOKUP("*"&amp;表格1[[#This Row],[Input]]&amp;"*",'Ref-List'!$B:$D,2,)</f>
        <v>KT-17DRTHK(H)</v>
      </c>
      <c r="H3254" s="86" t="str">
        <f>_xlfn.XLOOKUP(表格1[[#This Row],[Model]],表格3[Model-Input-Ref2],表格3[Product Line])</f>
        <v>無線雙層電熱水壺(1.7公升)</v>
      </c>
      <c r="I3254" s="86" t="str">
        <f>_xlfn.XLOOKUP(表格1[[#This Row],[Model]],表格3[Model-Input-Ref2],表格3[大小電])</f>
        <v>細電</v>
      </c>
      <c r="J3254" s="86" t="str">
        <f>_xlfn.XLOOKUP(表格1[[#This Row],[Model]],表格3[Model-Input-Ref2],表格3[Code])</f>
        <v>SDA</v>
      </c>
      <c r="K3254" s="89" t="s">
        <v>1271</v>
      </c>
      <c r="L3254" s="86">
        <v>1</v>
      </c>
      <c r="M3254" s="87">
        <v>388</v>
      </c>
      <c r="N3254" s="87">
        <f>IFERROR(表格1[[#This Row],[QTY]]*表格1[[#This Row],[Unit Price]],"-")</f>
        <v>388</v>
      </c>
      <c r="O3254" s="86">
        <v>1024428</v>
      </c>
      <c r="R3254" s="86" t="str">
        <f>_xlfn.CONCAT(表格1[[#This Row],[Model]]," ",表格1[[#This Row],[inv no]])</f>
        <v>KT-17DRTHK(H) 1024428</v>
      </c>
      <c r="S3254" s="86">
        <f>_xlfn.XLOOKUP(表格1[[#This Row],[Model]],表格3[Model-Input-Ref2],表格3[SRP PRICE])</f>
        <v>498</v>
      </c>
      <c r="T3254" s="43">
        <f>表格1[[#This Row],[Unit Price]]/表格1[[#This Row],[SRP]]</f>
        <v>0.77911646586345384</v>
      </c>
      <c r="U3254" s="86" t="str">
        <f>_xlfn.XLOOKUP(表格1[[#This Row],[Model]],表格3[Model-Input-Ref2],表格3[TOSHIBA/HIGHEST])</f>
        <v>Toshiba SRP</v>
      </c>
      <c r="W3254" s="86" t="str">
        <f>_xlfn.CONCAT(表格1[[#This Row],[欄4]],表格1[[#This Row],[inv no]])</f>
        <v>1024428</v>
      </c>
    </row>
    <row r="3255" spans="1:23" hidden="1">
      <c r="A3255" s="81">
        <v>3253</v>
      </c>
      <c r="B3255" s="86" t="s">
        <v>1477</v>
      </c>
      <c r="C3255" s="86" t="s">
        <v>1959</v>
      </c>
      <c r="D3255" s="82" t="str">
        <f ca="1">OFFSET(Roster!$A$3,MATCH(表格1[[#This Row],[Location]]&amp;" "&amp;表格1[[#This Row],[Shop]]&amp;"*",Roster!$A$4:$A$72,0),DAY(表格1[[#This Row],[date]]),1,1)</f>
        <v>Jaco</v>
      </c>
      <c r="E3255" s="86">
        <f>MONTH(表格1[[#This Row],[date]])</f>
        <v>3</v>
      </c>
      <c r="F3255" s="90">
        <v>46102</v>
      </c>
      <c r="G3255" s="86" t="str">
        <f>VLOOKUP("*"&amp;表格1[[#This Row],[Input]]&amp;"*",'Ref-List'!$B:$D,2,)</f>
        <v>KT-17SHNH</v>
      </c>
      <c r="H3255" s="86" t="str">
        <f>_xlfn.XLOOKUP(表格1[[#This Row],[Model]],表格3[Model-Input-Ref2],表格3[Product Line])</f>
        <v>1.7L無線雙層電熱水壺</v>
      </c>
      <c r="I3255" s="86" t="str">
        <f>_xlfn.XLOOKUP(表格1[[#This Row],[Model]],表格3[Model-Input-Ref2],表格3[大小電])</f>
        <v>細電</v>
      </c>
      <c r="J3255" s="86" t="str">
        <f>_xlfn.XLOOKUP(表格1[[#This Row],[Model]],表格3[Model-Input-Ref2],表格3[Code])</f>
        <v>SDA</v>
      </c>
      <c r="K3255" s="89" t="s">
        <v>1283</v>
      </c>
      <c r="L3255" s="86">
        <v>1</v>
      </c>
      <c r="M3255" s="87">
        <v>198</v>
      </c>
      <c r="N3255" s="87">
        <f>IFERROR(表格1[[#This Row],[QTY]]*表格1[[#This Row],[Unit Price]],"-")</f>
        <v>198</v>
      </c>
      <c r="O3255" s="86">
        <v>1024441</v>
      </c>
      <c r="R3255" s="86" t="str">
        <f>_xlfn.CONCAT(表格1[[#This Row],[Model]]," ",表格1[[#This Row],[inv no]])</f>
        <v>KT-17SHNH 1024441</v>
      </c>
      <c r="S3255" s="86">
        <f>_xlfn.XLOOKUP(表格1[[#This Row],[Model]],表格3[Model-Input-Ref2],表格3[SRP PRICE])</f>
        <v>299</v>
      </c>
      <c r="T3255" s="43">
        <f>表格1[[#This Row],[Unit Price]]/表格1[[#This Row],[SRP]]</f>
        <v>0.66220735785953178</v>
      </c>
      <c r="U3255" s="86" t="str">
        <f>_xlfn.XLOOKUP(表格1[[#This Row],[Model]],表格3[Model-Input-Ref2],表格3[TOSHIBA/HIGHEST])</f>
        <v>Shops Highest Price</v>
      </c>
      <c r="W3255" s="86" t="str">
        <f>_xlfn.CONCAT(表格1[[#This Row],[欄4]],表格1[[#This Row],[inv no]])</f>
        <v>1024441</v>
      </c>
    </row>
    <row r="3256" spans="1:23" hidden="1">
      <c r="A3256" s="81">
        <v>3254</v>
      </c>
      <c r="B3256" s="86" t="s">
        <v>1477</v>
      </c>
      <c r="C3256" s="86" t="s">
        <v>1959</v>
      </c>
      <c r="D3256" s="82" t="str">
        <f ca="1">OFFSET(Roster!$A$3,MATCH(表格1[[#This Row],[Location]]&amp;" "&amp;表格1[[#This Row],[Shop]]&amp;"*",Roster!$A$4:$A$72,0),DAY(表格1[[#This Row],[date]]),1,1)</f>
        <v>Jaco</v>
      </c>
      <c r="E3256" s="86">
        <f>MONTH(表格1[[#This Row],[date]])</f>
        <v>3</v>
      </c>
      <c r="F3256" s="90">
        <v>46102</v>
      </c>
      <c r="G3256" s="86" t="str">
        <f>VLOOKUP("*"&amp;表格1[[#This Row],[Input]]&amp;"*",'Ref-List'!$B:$D,2,)</f>
        <v>KT-17SHNH</v>
      </c>
      <c r="H3256" s="86" t="str">
        <f>_xlfn.XLOOKUP(表格1[[#This Row],[Model]],表格3[Model-Input-Ref2],表格3[Product Line])</f>
        <v>1.7L無線雙層電熱水壺</v>
      </c>
      <c r="I3256" s="86" t="str">
        <f>_xlfn.XLOOKUP(表格1[[#This Row],[Model]],表格3[Model-Input-Ref2],表格3[大小電])</f>
        <v>細電</v>
      </c>
      <c r="J3256" s="86" t="str">
        <f>_xlfn.XLOOKUP(表格1[[#This Row],[Model]],表格3[Model-Input-Ref2],表格3[Code])</f>
        <v>SDA</v>
      </c>
      <c r="K3256" s="89" t="s">
        <v>1283</v>
      </c>
      <c r="L3256" s="86">
        <v>1</v>
      </c>
      <c r="M3256" s="87">
        <v>198</v>
      </c>
      <c r="N3256" s="87">
        <f>IFERROR(表格1[[#This Row],[QTY]]*表格1[[#This Row],[Unit Price]],"-")</f>
        <v>198</v>
      </c>
      <c r="O3256" s="86">
        <v>931164</v>
      </c>
      <c r="R3256" s="86" t="str">
        <f>_xlfn.CONCAT(表格1[[#This Row],[Model]]," ",表格1[[#This Row],[inv no]])</f>
        <v>KT-17SHNH 931164</v>
      </c>
      <c r="S3256" s="86">
        <f>_xlfn.XLOOKUP(表格1[[#This Row],[Model]],表格3[Model-Input-Ref2],表格3[SRP PRICE])</f>
        <v>299</v>
      </c>
      <c r="T3256" s="43">
        <f>表格1[[#This Row],[Unit Price]]/表格1[[#This Row],[SRP]]</f>
        <v>0.66220735785953178</v>
      </c>
      <c r="U3256" s="86" t="str">
        <f>_xlfn.XLOOKUP(表格1[[#This Row],[Model]],表格3[Model-Input-Ref2],表格3[TOSHIBA/HIGHEST])</f>
        <v>Shops Highest Price</v>
      </c>
      <c r="W3256" s="86" t="str">
        <f>_xlfn.CONCAT(表格1[[#This Row],[欄4]],表格1[[#This Row],[inv no]])</f>
        <v>931164</v>
      </c>
    </row>
    <row r="3257" spans="1:23" hidden="1">
      <c r="A3257" s="81">
        <v>3255</v>
      </c>
      <c r="B3257" s="86" t="s">
        <v>1477</v>
      </c>
      <c r="C3257" s="86" t="s">
        <v>1959</v>
      </c>
      <c r="D3257" s="82" t="str">
        <f ca="1">OFFSET(Roster!$A$3,MATCH(表格1[[#This Row],[Location]]&amp;" "&amp;表格1[[#This Row],[Shop]]&amp;"*",Roster!$A$4:$A$72,0),DAY(表格1[[#This Row],[date]]),1,1)</f>
        <v>Jaco</v>
      </c>
      <c r="E3257" s="86">
        <f>MONTH(表格1[[#This Row],[date]])</f>
        <v>3</v>
      </c>
      <c r="F3257" s="90">
        <v>46102</v>
      </c>
      <c r="G3257" s="86" t="str">
        <f>VLOOKUP("*"&amp;表格1[[#This Row],[Input]]&amp;"*",'Ref-List'!$B:$D,2,)</f>
        <v>RAC-07G3CVRG-HK</v>
      </c>
      <c r="H3257" s="86" t="str">
        <f>_xlfn.XLOOKUP(表格1[[#This Row],[Model]],表格3[Model-Input-Ref2],表格3[Product Line])</f>
        <v>3/4 匹 窗口式冷氣機(remote/fortress)</v>
      </c>
      <c r="I3257" s="86" t="str">
        <f>_xlfn.XLOOKUP(表格1[[#This Row],[Model]],表格3[Model-Input-Ref2],表格3[大小電])</f>
        <v>大電</v>
      </c>
      <c r="J3257" s="86" t="str">
        <f>_xlfn.XLOOKUP(表格1[[#This Row],[Model]],表格3[Model-Input-Ref2],表格3[Code])</f>
        <v>AC</v>
      </c>
      <c r="K3257" s="89" t="s">
        <v>664</v>
      </c>
      <c r="L3257" s="86">
        <v>1</v>
      </c>
      <c r="M3257" s="87">
        <v>3880</v>
      </c>
      <c r="N3257" s="87">
        <f>IFERROR(表格1[[#This Row],[QTY]]*表格1[[#This Row],[Unit Price]],"-")</f>
        <v>3880</v>
      </c>
      <c r="O3257" s="86">
        <v>931139</v>
      </c>
      <c r="R3257" s="86" t="str">
        <f>_xlfn.CONCAT(表格1[[#This Row],[Model]]," ",表格1[[#This Row],[inv no]])</f>
        <v>RAC-07G3CVRG-HK 931139</v>
      </c>
      <c r="S3257" s="86">
        <f>_xlfn.XLOOKUP(表格1[[#This Row],[Model]],表格3[Model-Input-Ref2],表格3[SRP PRICE])</f>
        <v>5580</v>
      </c>
      <c r="T3257" s="43">
        <f>表格1[[#This Row],[Unit Price]]/表格1[[#This Row],[SRP]]</f>
        <v>0.69534050179211471</v>
      </c>
      <c r="U3257" s="86" t="str">
        <f>_xlfn.XLOOKUP(表格1[[#This Row],[Model]],表格3[Model-Input-Ref2],表格3[TOSHIBA/HIGHEST])</f>
        <v>Toshiba SRP</v>
      </c>
      <c r="W3257" s="86" t="str">
        <f>_xlfn.CONCAT(表格1[[#This Row],[欄4]],表格1[[#This Row],[inv no]])</f>
        <v>931139</v>
      </c>
    </row>
    <row r="3258" spans="1:23" hidden="1">
      <c r="A3258" s="81">
        <v>3256</v>
      </c>
      <c r="B3258" s="86" t="s">
        <v>1477</v>
      </c>
      <c r="C3258" s="86" t="s">
        <v>1959</v>
      </c>
      <c r="D3258" s="82" t="str">
        <f ca="1">OFFSET(Roster!$A$3,MATCH(表格1[[#This Row],[Location]]&amp;" "&amp;表格1[[#This Row],[Shop]]&amp;"*",Roster!$A$4:$A$72,0),DAY(表格1[[#This Row],[date]]),1,1)</f>
        <v>Jaco</v>
      </c>
      <c r="E3258" s="86">
        <f>MONTH(表格1[[#This Row],[date]])</f>
        <v>3</v>
      </c>
      <c r="F3258" s="90">
        <v>46102</v>
      </c>
      <c r="G3258" s="86" t="str">
        <f>VLOOKUP("*"&amp;表格1[[#This Row],[Input]]&amp;"*",'Ref-List'!$B:$D,2,)</f>
        <v>CFK01W80</v>
      </c>
      <c r="H3258" s="86" t="str">
        <f>_xlfn.XLOOKUP(表格1[[#This Row],[Model]],表格3[Model-Input-Ref2],表格3[Product Line])</f>
        <v>變頻頂揭式洗衣機 (8公斤)</v>
      </c>
      <c r="I3258" s="86" t="str">
        <f>_xlfn.XLOOKUP(表格1[[#This Row],[Model]],表格3[Model-Input-Ref2],表格3[大小電])</f>
        <v>大電</v>
      </c>
      <c r="J3258" s="86" t="str">
        <f>_xlfn.XLOOKUP(表格1[[#This Row],[Model]],表格3[Model-Input-Ref2],表格3[Code])</f>
        <v>LAD</v>
      </c>
      <c r="K3258" s="89" t="s">
        <v>1483</v>
      </c>
      <c r="L3258" s="86">
        <v>1</v>
      </c>
      <c r="M3258" s="87">
        <v>3690</v>
      </c>
      <c r="N3258" s="87">
        <f>IFERROR(表格1[[#This Row],[QTY]]*表格1[[#This Row],[Unit Price]],"-")</f>
        <v>3690</v>
      </c>
      <c r="O3258" s="86">
        <v>931101</v>
      </c>
      <c r="R3258" s="86" t="str">
        <f>_xlfn.CONCAT(表格1[[#This Row],[Model]]," ",表格1[[#This Row],[inv no]])</f>
        <v>CFK01W80 931101</v>
      </c>
      <c r="S3258" s="86">
        <f>_xlfn.XLOOKUP(表格1[[#This Row],[Model]],表格3[Model-Input-Ref2],表格3[SRP PRICE])</f>
        <v>3690</v>
      </c>
      <c r="T3258" s="43">
        <f>表格1[[#This Row],[Unit Price]]/表格1[[#This Row],[SRP]]</f>
        <v>1</v>
      </c>
      <c r="U3258" s="86" t="str">
        <f>_xlfn.XLOOKUP(表格1[[#This Row],[Model]],表格3[Model-Input-Ref2],表格3[TOSHIBA/HIGHEST])</f>
        <v>Shops Highest Price</v>
      </c>
      <c r="W3258" s="86" t="str">
        <f>_xlfn.CONCAT(表格1[[#This Row],[欄4]],表格1[[#This Row],[inv no]])</f>
        <v>931101</v>
      </c>
    </row>
    <row r="3259" spans="1:23" hidden="1">
      <c r="A3259" s="81">
        <v>3257</v>
      </c>
      <c r="B3259" s="86" t="s">
        <v>1477</v>
      </c>
      <c r="C3259" s="86" t="s">
        <v>1959</v>
      </c>
      <c r="D3259" s="82" t="str">
        <f ca="1">OFFSET(Roster!$A$3,MATCH(表格1[[#This Row],[Location]]&amp;" "&amp;表格1[[#This Row],[Shop]]&amp;"*",Roster!$A$4:$A$72,0),DAY(表格1[[#This Row],[date]]),1,1)</f>
        <v>Jaco</v>
      </c>
      <c r="E3259" s="86">
        <f>MONTH(表格1[[#This Row],[date]])</f>
        <v>3</v>
      </c>
      <c r="F3259" s="90">
        <v>46103</v>
      </c>
      <c r="G3259" s="86" t="str">
        <f>VLOOKUP("*"&amp;表格1[[#This Row],[Input]]&amp;"*",'Ref-List'!$B:$D,2,)</f>
        <v>GR-RM598WE-PGA(B3)</v>
      </c>
      <c r="H3259" s="86" t="str">
        <f>_xlfn.XLOOKUP(表格1[[#This Row],[Model]],表格3[Model-Input-Ref2],表格3[Product Line])</f>
        <v>變頻六門雪櫃(451L)</v>
      </c>
      <c r="I3259" s="86" t="str">
        <f>_xlfn.XLOOKUP(表格1[[#This Row],[Model]],表格3[Model-Input-Ref2],表格3[大小電])</f>
        <v>大電</v>
      </c>
      <c r="J3259" s="86" t="str">
        <f>_xlfn.XLOOKUP(表格1[[#This Row],[Model]],表格3[Model-Input-Ref2],表格3[Code])</f>
        <v>REF</v>
      </c>
      <c r="K3259" s="89" t="s">
        <v>1491</v>
      </c>
      <c r="L3259" s="86">
        <v>1</v>
      </c>
      <c r="M3259" s="87">
        <v>10990</v>
      </c>
      <c r="N3259" s="87">
        <f>IFERROR(表格1[[#This Row],[QTY]]*表格1[[#This Row],[Unit Price]],"-")</f>
        <v>10990</v>
      </c>
      <c r="O3259" s="86">
        <v>931212</v>
      </c>
      <c r="R3259" s="86" t="str">
        <f>_xlfn.CONCAT(表格1[[#This Row],[Model]]," ",表格1[[#This Row],[inv no]])</f>
        <v>GR-RM598WE-PGA(B3) 931212</v>
      </c>
      <c r="S3259" s="86">
        <f>_xlfn.XLOOKUP(表格1[[#This Row],[Model]],表格3[Model-Input-Ref2],表格3[SRP PRICE])</f>
        <v>14980</v>
      </c>
      <c r="T3259" s="43">
        <f>表格1[[#This Row],[Unit Price]]/表格1[[#This Row],[SRP]]</f>
        <v>0.73364485981308414</v>
      </c>
      <c r="U3259" s="86" t="str">
        <f>_xlfn.XLOOKUP(表格1[[#This Row],[Model]],表格3[Model-Input-Ref2],表格3[TOSHIBA/HIGHEST])</f>
        <v>Toshiba SRP</v>
      </c>
      <c r="W3259" s="86" t="str">
        <f>_xlfn.CONCAT(表格1[[#This Row],[欄4]],表格1[[#This Row],[inv no]])</f>
        <v>931212</v>
      </c>
    </row>
    <row r="3260" spans="1:23" hidden="1">
      <c r="A3260" s="81">
        <v>3258</v>
      </c>
      <c r="B3260" s="86" t="s">
        <v>1477</v>
      </c>
      <c r="C3260" s="86" t="s">
        <v>1959</v>
      </c>
      <c r="D3260" s="82" t="str">
        <f ca="1">OFFSET(Roster!$A$3,MATCH(表格1[[#This Row],[Location]]&amp;" "&amp;表格1[[#This Row],[Shop]]&amp;"*",Roster!$A$4:$A$72,0),DAY(表格1[[#This Row],[date]]),1,1)</f>
        <v>Jaco</v>
      </c>
      <c r="E3260" s="86">
        <f>MONTH(表格1[[#This Row],[date]])</f>
        <v>3</v>
      </c>
      <c r="F3260" s="90">
        <v>46103</v>
      </c>
      <c r="G3260" s="86" t="str">
        <f>VLOOKUP("*"&amp;表格1[[#This Row],[Input]]&amp;"*",'Ref-List'!$B:$D,2,)</f>
        <v>CFK01W80</v>
      </c>
      <c r="H3260" s="86" t="str">
        <f>_xlfn.XLOOKUP(表格1[[#This Row],[Model]],表格3[Model-Input-Ref2],表格3[Product Line])</f>
        <v>變頻頂揭式洗衣機 (8公斤)</v>
      </c>
      <c r="I3260" s="86" t="str">
        <f>_xlfn.XLOOKUP(表格1[[#This Row],[Model]],表格3[Model-Input-Ref2],表格3[大小電])</f>
        <v>大電</v>
      </c>
      <c r="J3260" s="86" t="str">
        <f>_xlfn.XLOOKUP(表格1[[#This Row],[Model]],表格3[Model-Input-Ref2],表格3[Code])</f>
        <v>LAD</v>
      </c>
      <c r="K3260" s="89" t="s">
        <v>1483</v>
      </c>
      <c r="L3260" s="86">
        <v>1</v>
      </c>
      <c r="M3260" s="87">
        <v>3690</v>
      </c>
      <c r="N3260" s="87">
        <f>IFERROR(表格1[[#This Row],[QTY]]*表格1[[#This Row],[Unit Price]],"-")</f>
        <v>3690</v>
      </c>
      <c r="O3260" s="86">
        <v>931208</v>
      </c>
      <c r="R3260" s="86" t="str">
        <f>_xlfn.CONCAT(表格1[[#This Row],[Model]]," ",表格1[[#This Row],[inv no]])</f>
        <v>CFK01W80 931208</v>
      </c>
      <c r="S3260" s="86">
        <f>_xlfn.XLOOKUP(表格1[[#This Row],[Model]],表格3[Model-Input-Ref2],表格3[SRP PRICE])</f>
        <v>3690</v>
      </c>
      <c r="T3260" s="43">
        <f>表格1[[#This Row],[Unit Price]]/表格1[[#This Row],[SRP]]</f>
        <v>1</v>
      </c>
      <c r="U3260" s="86" t="str">
        <f>_xlfn.XLOOKUP(表格1[[#This Row],[Model]],表格3[Model-Input-Ref2],表格3[TOSHIBA/HIGHEST])</f>
        <v>Shops Highest Price</v>
      </c>
      <c r="W3260" s="86" t="str">
        <f>_xlfn.CONCAT(表格1[[#This Row],[欄4]],表格1[[#This Row],[inv no]])</f>
        <v>931208</v>
      </c>
    </row>
    <row r="3261" spans="1:23" hidden="1">
      <c r="A3261" s="81">
        <v>3259</v>
      </c>
      <c r="B3261" s="86" t="s">
        <v>1477</v>
      </c>
      <c r="C3261" s="86" t="s">
        <v>1959</v>
      </c>
      <c r="D3261" s="82" t="str">
        <f ca="1">OFFSET(Roster!$A$3,MATCH(表格1[[#This Row],[Location]]&amp;" "&amp;表格1[[#This Row],[Shop]]&amp;"*",Roster!$A$4:$A$72,0),DAY(表格1[[#This Row],[date]]),1,1)</f>
        <v>Jaco</v>
      </c>
      <c r="E3261" s="86">
        <f>MONTH(表格1[[#This Row],[date]])</f>
        <v>3</v>
      </c>
      <c r="F3261" s="90">
        <v>46103</v>
      </c>
      <c r="G3261" s="86" t="str">
        <f>VLOOKUP("*"&amp;表格1[[#This Row],[Input]]&amp;"*",'Ref-List'!$B:$D,2,)</f>
        <v>RAC-09G3CVRGR-HK</v>
      </c>
      <c r="H3261" s="86" t="str">
        <f>_xlfn.XLOOKUP(表格1[[#This Row],[Model]],表格3[Model-Input-Ref2],表格3[Product Line])</f>
        <v>1 匹 R32變頻窗口式冷氣機 (獨立抽濕遙控</v>
      </c>
      <c r="I3261" s="86" t="str">
        <f>_xlfn.XLOOKUP(表格1[[#This Row],[Model]],表格3[Model-Input-Ref2],表格3[大小電])</f>
        <v>大電</v>
      </c>
      <c r="J3261" s="86" t="str">
        <f>_xlfn.XLOOKUP(表格1[[#This Row],[Model]],表格3[Model-Input-Ref2],表格3[Code])</f>
        <v>AC</v>
      </c>
      <c r="K3261" s="89" t="s">
        <v>1474</v>
      </c>
      <c r="L3261" s="86">
        <v>1</v>
      </c>
      <c r="M3261" s="87">
        <v>4980</v>
      </c>
      <c r="N3261" s="87">
        <f>IFERROR(表格1[[#This Row],[QTY]]*表格1[[#This Row],[Unit Price]],"-")</f>
        <v>4980</v>
      </c>
      <c r="O3261" s="86">
        <v>931208</v>
      </c>
      <c r="R3261" s="86" t="str">
        <f>_xlfn.CONCAT(表格1[[#This Row],[Model]]," ",表格1[[#This Row],[inv no]])</f>
        <v>RAC-09G3CVRGR-HK 931208</v>
      </c>
      <c r="S3261" s="86">
        <f>_xlfn.XLOOKUP(表格1[[#This Row],[Model]],表格3[Model-Input-Ref2],表格3[SRP PRICE])</f>
        <v>6980</v>
      </c>
      <c r="T3261" s="43">
        <f>表格1[[#This Row],[Unit Price]]/表格1[[#This Row],[SRP]]</f>
        <v>0.71346704871060174</v>
      </c>
      <c r="U3261" s="86" t="str">
        <f>_xlfn.XLOOKUP(表格1[[#This Row],[Model]],表格3[Model-Input-Ref2],表格3[TOSHIBA/HIGHEST])</f>
        <v>Toshiba SRP</v>
      </c>
      <c r="W3261" s="86" t="str">
        <f>_xlfn.CONCAT(表格1[[#This Row],[欄4]],表格1[[#This Row],[inv no]])</f>
        <v>931208</v>
      </c>
    </row>
    <row r="3262" spans="1:23" hidden="1">
      <c r="A3262" s="81">
        <v>3260</v>
      </c>
      <c r="B3262" s="86" t="s">
        <v>1477</v>
      </c>
      <c r="C3262" s="86" t="s">
        <v>1959</v>
      </c>
      <c r="D3262" s="82" t="str">
        <f ca="1">OFFSET(Roster!$A$3,MATCH(表格1[[#This Row],[Location]]&amp;" "&amp;表格1[[#This Row],[Shop]]&amp;"*",Roster!$A$4:$A$72,0),DAY(表格1[[#This Row],[date]]),1,1)</f>
        <v>Jaco</v>
      </c>
      <c r="E3262" s="86">
        <f>MONTH(表格1[[#This Row],[date]])</f>
        <v>3</v>
      </c>
      <c r="F3262" s="90">
        <v>46103</v>
      </c>
      <c r="G3262" s="86" t="str">
        <f>VLOOKUP("*"&amp;表格1[[#This Row],[Input]]&amp;"*",'Ref-List'!$B:$D,2,)</f>
        <v>MX2-STR25SC(WH)</v>
      </c>
      <c r="H3262" s="86" t="str">
        <f>_xlfn.XLOOKUP(表格1[[#This Row],[Model]],表格3[Model-Input-Ref2],表格3[Product Line])</f>
        <v>4合1氣炸微波蒸焗爐(25公升)</v>
      </c>
      <c r="I3262" s="86" t="str">
        <f>_xlfn.XLOOKUP(表格1[[#This Row],[Model]],表格3[Model-Input-Ref2],表格3[大小電])</f>
        <v>細電</v>
      </c>
      <c r="J3262" s="86" t="str">
        <f>_xlfn.XLOOKUP(表格1[[#This Row],[Model]],表格3[Model-Input-Ref2],表格3[Code])</f>
        <v>MCA</v>
      </c>
      <c r="K3262" s="89" t="s">
        <v>1410</v>
      </c>
      <c r="L3262" s="86">
        <v>1</v>
      </c>
      <c r="M3262" s="87">
        <v>3580</v>
      </c>
      <c r="N3262" s="87">
        <f>IFERROR(表格1[[#This Row],[QTY]]*表格1[[#This Row],[Unit Price]],"-")</f>
        <v>3580</v>
      </c>
      <c r="O3262" s="86">
        <v>1024588</v>
      </c>
      <c r="R3262" s="86" t="str">
        <f>_xlfn.CONCAT(表格1[[#This Row],[Model]]," ",表格1[[#This Row],[inv no]])</f>
        <v>MX2-STR25SC(WH) 1024588</v>
      </c>
      <c r="S3262" s="86">
        <f>_xlfn.XLOOKUP(表格1[[#This Row],[Model]],表格3[Model-Input-Ref2],表格3[SRP PRICE])</f>
        <v>4998</v>
      </c>
      <c r="T3262" s="43">
        <f>表格1[[#This Row],[Unit Price]]/表格1[[#This Row],[SRP]]</f>
        <v>0.71628651460584236</v>
      </c>
      <c r="U3262" s="86" t="str">
        <f>_xlfn.XLOOKUP(表格1[[#This Row],[Model]],表格3[Model-Input-Ref2],表格3[TOSHIBA/HIGHEST])</f>
        <v>Toshiba SRP</v>
      </c>
      <c r="W3262" s="86" t="str">
        <f>_xlfn.CONCAT(表格1[[#This Row],[欄4]],表格1[[#This Row],[inv no]])</f>
        <v>1024588</v>
      </c>
    </row>
    <row r="3263" spans="1:23" hidden="1">
      <c r="A3263" s="81">
        <v>3261</v>
      </c>
      <c r="B3263" s="86" t="s">
        <v>1477</v>
      </c>
      <c r="C3263" s="86" t="s">
        <v>1959</v>
      </c>
      <c r="D3263" s="82" t="str">
        <f ca="1">OFFSET(Roster!$A$3,MATCH(表格1[[#This Row],[Location]]&amp;" "&amp;表格1[[#This Row],[Shop]]&amp;"*",Roster!$A$4:$A$72,0),DAY(表格1[[#This Row],[date]]),1,1)</f>
        <v>Jaco</v>
      </c>
      <c r="E3263" s="86">
        <f>MONTH(表格1[[#This Row],[date]])</f>
        <v>3</v>
      </c>
      <c r="F3263" s="90">
        <v>46103</v>
      </c>
      <c r="G3263" s="86" t="str">
        <f>VLOOKUP("*"&amp;表格1[[#This Row],[Input]]&amp;"*",'Ref-List'!$B:$D,2,)</f>
        <v>MX2-TT20SC(WH)</v>
      </c>
      <c r="H3263" s="86" t="str">
        <f>_xlfn.XLOOKUP(表格1[[#This Row],[Model]],表格3[Model-Input-Ref2],表格3[Product Line])</f>
        <v>3合1 微波蒸焗爐 (20公升)</v>
      </c>
      <c r="I3263" s="86" t="str">
        <f>_xlfn.XLOOKUP(表格1[[#This Row],[Model]],表格3[Model-Input-Ref2],表格3[大小電])</f>
        <v>細電</v>
      </c>
      <c r="J3263" s="86" t="str">
        <f>_xlfn.XLOOKUP(表格1[[#This Row],[Model]],表格3[Model-Input-Ref2],表格3[Code])</f>
        <v>MCA</v>
      </c>
      <c r="K3263" s="89" t="s">
        <v>1287</v>
      </c>
      <c r="L3263" s="86">
        <v>1</v>
      </c>
      <c r="M3263" s="87">
        <v>2580</v>
      </c>
      <c r="N3263" s="87">
        <f>IFERROR(表格1[[#This Row],[QTY]]*表格1[[#This Row],[Unit Price]],"-")</f>
        <v>2580</v>
      </c>
      <c r="O3263" s="86">
        <v>931200</v>
      </c>
      <c r="R3263" s="86" t="str">
        <f>_xlfn.CONCAT(表格1[[#This Row],[Model]]," ",表格1[[#This Row],[inv no]])</f>
        <v>MX2-TT20SC(WH) 931200</v>
      </c>
      <c r="S3263" s="86">
        <f>_xlfn.XLOOKUP(表格1[[#This Row],[Model]],表格3[Model-Input-Ref2],表格3[SRP PRICE])</f>
        <v>3580</v>
      </c>
      <c r="T3263" s="43">
        <f>表格1[[#This Row],[Unit Price]]/表格1[[#This Row],[SRP]]</f>
        <v>0.72067039106145248</v>
      </c>
      <c r="U3263" s="86" t="str">
        <f>_xlfn.XLOOKUP(表格1[[#This Row],[Model]],表格3[Model-Input-Ref2],表格3[TOSHIBA/HIGHEST])</f>
        <v>Toshiba SRP</v>
      </c>
      <c r="W3263" s="86" t="str">
        <f>_xlfn.CONCAT(表格1[[#This Row],[欄4]],表格1[[#This Row],[inv no]])</f>
        <v>931200</v>
      </c>
    </row>
    <row r="3264" spans="1:23" hidden="1">
      <c r="A3264" s="81">
        <v>3262</v>
      </c>
      <c r="B3264" s="86" t="s">
        <v>1477</v>
      </c>
      <c r="C3264" s="86" t="s">
        <v>1959</v>
      </c>
      <c r="D3264" s="82" t="str">
        <f ca="1">OFFSET(Roster!$A$3,MATCH(表格1[[#This Row],[Location]]&amp;" "&amp;表格1[[#This Row],[Shop]]&amp;"*",Roster!$A$4:$A$72,0),DAY(表格1[[#This Row],[date]]),1,1)</f>
        <v>Jaco</v>
      </c>
      <c r="E3264" s="86">
        <f>MONTH(表格1[[#This Row],[date]])</f>
        <v>3</v>
      </c>
      <c r="F3264" s="90">
        <v>46103</v>
      </c>
      <c r="G3264" s="86" t="str">
        <f>VLOOKUP("*"&amp;表格1[[#This Row],[Input]]&amp;"*",'Ref-List'!$B:$D,2,)</f>
        <v>RC-10NMFIH(WT)</v>
      </c>
      <c r="H3264" s="86" t="str">
        <f>_xlfn.XLOOKUP(表格1[[#This Row],[Model]],表格3[Model-Input-Ref2],表格3[Product Line])</f>
        <v>4毫米厚釜電飯煲1L</v>
      </c>
      <c r="I3264" s="86" t="str">
        <f>_xlfn.XLOOKUP(表格1[[#This Row],[Model]],表格3[Model-Input-Ref2],表格3[大小電])</f>
        <v>細電</v>
      </c>
      <c r="J3264" s="86" t="str">
        <f>_xlfn.XLOOKUP(表格1[[#This Row],[Model]],表格3[Model-Input-Ref2],表格3[Code])</f>
        <v>SDA</v>
      </c>
      <c r="K3264" s="89" t="s">
        <v>1244</v>
      </c>
      <c r="L3264" s="86">
        <v>1</v>
      </c>
      <c r="M3264" s="87">
        <v>719</v>
      </c>
      <c r="N3264" s="87">
        <f>IFERROR(表格1[[#This Row],[QTY]]*表格1[[#This Row],[Unit Price]],"-")</f>
        <v>719</v>
      </c>
      <c r="O3264" s="86">
        <v>931257</v>
      </c>
      <c r="R3264" s="86" t="str">
        <f>_xlfn.CONCAT(表格1[[#This Row],[Model]]," ",表格1[[#This Row],[inv no]])</f>
        <v>RC-10NMFIH(WT) 931257</v>
      </c>
      <c r="S3264" s="86">
        <f>_xlfn.XLOOKUP(表格1[[#This Row],[Model]],表格3[Model-Input-Ref2],表格3[SRP PRICE])</f>
        <v>898</v>
      </c>
      <c r="T3264" s="43">
        <f>表格1[[#This Row],[Unit Price]]/表格1[[#This Row],[SRP]]</f>
        <v>0.80066815144766146</v>
      </c>
      <c r="U3264" s="86" t="str">
        <f>_xlfn.XLOOKUP(表格1[[#This Row],[Model]],表格3[Model-Input-Ref2],表格3[TOSHIBA/HIGHEST])</f>
        <v>Toshiba SRP</v>
      </c>
      <c r="W3264" s="86" t="str">
        <f>_xlfn.CONCAT(表格1[[#This Row],[欄4]],表格1[[#This Row],[inv no]])</f>
        <v>931257</v>
      </c>
    </row>
    <row r="3265" spans="1:23" hidden="1">
      <c r="A3265" s="81">
        <v>3263</v>
      </c>
      <c r="B3265" s="86" t="s">
        <v>1477</v>
      </c>
      <c r="C3265" s="86" t="s">
        <v>1959</v>
      </c>
      <c r="D3265" s="82" t="str">
        <f ca="1">OFFSET(Roster!$A$3,MATCH(表格1[[#This Row],[Location]]&amp;" "&amp;表格1[[#This Row],[Shop]]&amp;"*",Roster!$A$4:$A$72,0),DAY(表格1[[#This Row],[date]]),1,1)</f>
        <v>Jaco</v>
      </c>
      <c r="E3265" s="86">
        <f>MONTH(表格1[[#This Row],[date]])</f>
        <v>3</v>
      </c>
      <c r="F3265" s="90">
        <v>46103</v>
      </c>
      <c r="G3265" s="86" t="str">
        <f>VLOOKUP("*"&amp;表格1[[#This Row],[Input]]&amp;"*",'Ref-List'!$B:$D,2,)</f>
        <v>KT-15DRRH</v>
      </c>
      <c r="H3265" s="86" t="str">
        <f>_xlfn.XLOOKUP(表格1[[#This Row],[Model]],表格3[Model-Input-Ref2],表格3[Product Line])</f>
        <v>1.5L無線雙層電熱水壺</v>
      </c>
      <c r="I3265" s="86" t="str">
        <f>_xlfn.XLOOKUP(表格1[[#This Row],[Model]],表格3[Model-Input-Ref2],表格3[大小電])</f>
        <v>細電</v>
      </c>
      <c r="J3265" s="86" t="str">
        <f>_xlfn.XLOOKUP(表格1[[#This Row],[Model]],表格3[Model-Input-Ref2],表格3[Code])</f>
        <v>SDA</v>
      </c>
      <c r="K3265" s="89" t="s">
        <v>1488</v>
      </c>
      <c r="L3265" s="86">
        <v>1</v>
      </c>
      <c r="M3265" s="87">
        <v>298</v>
      </c>
      <c r="N3265" s="87">
        <f>IFERROR(表格1[[#This Row],[QTY]]*表格1[[#This Row],[Unit Price]],"-")</f>
        <v>298</v>
      </c>
      <c r="O3265" s="86">
        <v>1024763</v>
      </c>
      <c r="R3265" s="86" t="str">
        <f>_xlfn.CONCAT(表格1[[#This Row],[Model]]," ",表格1[[#This Row],[inv no]])</f>
        <v>KT-15DRRH 1024763</v>
      </c>
      <c r="S3265" s="86">
        <f>_xlfn.XLOOKUP(表格1[[#This Row],[Model]],表格3[Model-Input-Ref2],表格3[SRP PRICE])</f>
        <v>438</v>
      </c>
      <c r="T3265" s="43">
        <f>表格1[[#This Row],[Unit Price]]/表格1[[#This Row],[SRP]]</f>
        <v>0.68036529680365299</v>
      </c>
      <c r="U3265" s="86" t="str">
        <f>_xlfn.XLOOKUP(表格1[[#This Row],[Model]],表格3[Model-Input-Ref2],表格3[TOSHIBA/HIGHEST])</f>
        <v>Toshiba SRP</v>
      </c>
      <c r="W3265" s="86" t="str">
        <f>_xlfn.CONCAT(表格1[[#This Row],[欄4]],表格1[[#This Row],[inv no]])</f>
        <v>1024763</v>
      </c>
    </row>
    <row r="3266" spans="1:23" hidden="1">
      <c r="A3266" s="81">
        <v>3264</v>
      </c>
      <c r="B3266" s="86" t="s">
        <v>1477</v>
      </c>
      <c r="C3266" s="86" t="s">
        <v>1959</v>
      </c>
      <c r="D3266" s="82" t="str">
        <f ca="1">OFFSET(Roster!$A$3,MATCH(表格1[[#This Row],[Location]]&amp;" "&amp;表格1[[#This Row],[Shop]]&amp;"*",Roster!$A$4:$A$72,0),DAY(表格1[[#This Row],[date]]),1,1)</f>
        <v>Jaco</v>
      </c>
      <c r="E3266" s="86">
        <f>MONTH(表格1[[#This Row],[date]])</f>
        <v>3</v>
      </c>
      <c r="F3266" s="90">
        <v>46103</v>
      </c>
      <c r="G3266" s="86" t="str">
        <f>VLOOKUP("*"&amp;表格1[[#This Row],[Input]]&amp;"*",'Ref-List'!$B:$D,2,)</f>
        <v>CAF-A400HK(H)</v>
      </c>
      <c r="H3266" s="86" t="str">
        <f>_xlfn.XLOOKUP(表格1[[#This Row],[Model]],表格3[Model-Input-Ref2],表格3[Product Line])</f>
        <v>抗菌除臭空氣清淨機</v>
      </c>
      <c r="I3266" s="86" t="str">
        <f>_xlfn.XLOOKUP(表格1[[#This Row],[Model]],表格3[Model-Input-Ref2],表格3[大小電])</f>
        <v>細電</v>
      </c>
      <c r="J3266" s="86" t="str">
        <f>_xlfn.XLOOKUP(表格1[[#This Row],[Model]],表格3[Model-Input-Ref2],表格3[Code])</f>
        <v>AP</v>
      </c>
      <c r="K3266" s="89" t="s">
        <v>1476</v>
      </c>
      <c r="L3266" s="86">
        <v>1</v>
      </c>
      <c r="M3266" s="87">
        <v>888</v>
      </c>
      <c r="N3266" s="87">
        <f>IFERROR(表格1[[#This Row],[QTY]]*表格1[[#This Row],[Unit Price]],"-")</f>
        <v>888</v>
      </c>
      <c r="O3266" s="86">
        <v>1024771</v>
      </c>
      <c r="R3266" s="86" t="str">
        <f>_xlfn.CONCAT(表格1[[#This Row],[Model]]," ",表格1[[#This Row],[inv no]])</f>
        <v>CAF-A400HK(H) 1024771</v>
      </c>
      <c r="S3266" s="86">
        <f>_xlfn.XLOOKUP(表格1[[#This Row],[Model]],表格3[Model-Input-Ref2],表格3[SRP PRICE])</f>
        <v>1500</v>
      </c>
      <c r="T3266" s="43">
        <f>表格1[[#This Row],[Unit Price]]/表格1[[#This Row],[SRP]]</f>
        <v>0.59199999999999997</v>
      </c>
      <c r="U3266" s="86" t="str">
        <f>_xlfn.XLOOKUP(表格1[[#This Row],[Model]],表格3[Model-Input-Ref2],表格3[TOSHIBA/HIGHEST])</f>
        <v>Shops Highest Price</v>
      </c>
      <c r="W3266" s="86" t="str">
        <f>_xlfn.CONCAT(表格1[[#This Row],[欄4]],表格1[[#This Row],[inv no]])</f>
        <v>1024771</v>
      </c>
    </row>
    <row r="3267" spans="1:23" hidden="1">
      <c r="A3267" s="81">
        <v>3265</v>
      </c>
      <c r="B3267" s="86" t="s">
        <v>1477</v>
      </c>
      <c r="C3267" s="86" t="s">
        <v>1959</v>
      </c>
      <c r="D3267" s="82" t="str">
        <f ca="1">OFFSET(Roster!$A$3,MATCH(表格1[[#This Row],[Location]]&amp;" "&amp;表格1[[#This Row],[Shop]]&amp;"*",Roster!$A$4:$A$72,0),DAY(表格1[[#This Row],[date]]),1,1)</f>
        <v>Jaco</v>
      </c>
      <c r="E3267" s="86">
        <f>MONTH(表格1[[#This Row],[date]])</f>
        <v>3</v>
      </c>
      <c r="F3267" s="90">
        <v>46103</v>
      </c>
      <c r="G3267" s="86" t="str">
        <f>VLOOKUP("*"&amp;表格1[[#This Row],[Input]]&amp;"*",'Ref-List'!$B:$D,2,)</f>
        <v>MM2-EM20PC(WH)</v>
      </c>
      <c r="H3267" s="86" t="str">
        <f>_xlfn.XLOOKUP(表格1[[#This Row],[Model]],表格3[Model-Input-Ref2],表格3[Product Line])</f>
        <v>輕觸式微波爐 (20公升)</v>
      </c>
      <c r="I3267" s="86" t="str">
        <f>_xlfn.XLOOKUP(表格1[[#This Row],[Model]],表格3[Model-Input-Ref2],表格3[大小電])</f>
        <v>細電</v>
      </c>
      <c r="J3267" s="86" t="str">
        <f>_xlfn.XLOOKUP(表格1[[#This Row],[Model]],表格3[Model-Input-Ref2],表格3[Code])</f>
        <v>MCA</v>
      </c>
      <c r="K3267" s="89" t="s">
        <v>1276</v>
      </c>
      <c r="L3267" s="86">
        <v>1</v>
      </c>
      <c r="M3267" s="87">
        <v>598</v>
      </c>
      <c r="N3267" s="87">
        <f>IFERROR(表格1[[#This Row],[QTY]]*表格1[[#This Row],[Unit Price]],"-")</f>
        <v>598</v>
      </c>
      <c r="O3267" s="86">
        <v>931268</v>
      </c>
      <c r="R3267" s="86" t="str">
        <f>_xlfn.CONCAT(表格1[[#This Row],[Model]]," ",表格1[[#This Row],[inv no]])</f>
        <v>MM2-EM20PC(WH) 931268</v>
      </c>
      <c r="S3267" s="86">
        <f>_xlfn.XLOOKUP(表格1[[#This Row],[Model]],表格3[Model-Input-Ref2],表格3[SRP PRICE])</f>
        <v>788</v>
      </c>
      <c r="T3267" s="43">
        <f>表格1[[#This Row],[Unit Price]]/表格1[[#This Row],[SRP]]</f>
        <v>0.75888324873096447</v>
      </c>
      <c r="U3267" s="86" t="str">
        <f>_xlfn.XLOOKUP(表格1[[#This Row],[Model]],表格3[Model-Input-Ref2],表格3[TOSHIBA/HIGHEST])</f>
        <v>Toshiba SRP</v>
      </c>
      <c r="W3267" s="86" t="str">
        <f>_xlfn.CONCAT(表格1[[#This Row],[欄4]],表格1[[#This Row],[inv no]])</f>
        <v>931268</v>
      </c>
    </row>
    <row r="3268" spans="1:23" hidden="1">
      <c r="A3268" s="81">
        <v>3266</v>
      </c>
      <c r="B3268" s="86" t="s">
        <v>1477</v>
      </c>
      <c r="C3268" s="86" t="s">
        <v>1959</v>
      </c>
      <c r="D3268" s="82" t="str">
        <f ca="1">OFFSET(Roster!$A$3,MATCH(表格1[[#This Row],[Location]]&amp;" "&amp;表格1[[#This Row],[Shop]]&amp;"*",Roster!$A$4:$A$72,0),DAY(表格1[[#This Row],[date]]),1,1)</f>
        <v>Jaco</v>
      </c>
      <c r="E3268" s="86">
        <f>MONTH(表格1[[#This Row],[date]])</f>
        <v>3</v>
      </c>
      <c r="F3268" s="90">
        <v>46104</v>
      </c>
      <c r="G3268" s="86" t="str">
        <f>VLOOKUP("*"&amp;表格1[[#This Row],[Input]]&amp;"*",'Ref-List'!$B:$D,2,)</f>
        <v>RC-DS18K(N)</v>
      </c>
      <c r="H3268" s="86" t="str">
        <f>_xlfn.XLOOKUP(表格1[[#This Row],[Model]],表格3[Model-Input-Ref2],表格3[Product Line])</f>
        <v>IH磁應電飯煲</v>
      </c>
      <c r="I3268" s="86" t="str">
        <f>_xlfn.XLOOKUP(表格1[[#This Row],[Model]],表格3[Model-Input-Ref2],表格3[大小電])</f>
        <v>細電</v>
      </c>
      <c r="J3268" s="86" t="str">
        <f>_xlfn.XLOOKUP(表格1[[#This Row],[Model]],表格3[Model-Input-Ref2],表格3[Code])</f>
        <v>SDA</v>
      </c>
      <c r="K3268" s="89" t="s">
        <v>1498</v>
      </c>
      <c r="L3268" s="86">
        <v>1</v>
      </c>
      <c r="M3268" s="87">
        <v>3490</v>
      </c>
      <c r="N3268" s="87">
        <f>IFERROR(表格1[[#This Row],[QTY]]*表格1[[#This Row],[Unit Price]],"-")</f>
        <v>3490</v>
      </c>
      <c r="O3268" s="86">
        <v>1024718</v>
      </c>
      <c r="R3268" s="86" t="str">
        <f>_xlfn.CONCAT(表格1[[#This Row],[Model]]," ",表格1[[#This Row],[inv no]])</f>
        <v>RC-DS18K(N) 1024718</v>
      </c>
      <c r="S3268" s="86">
        <f>_xlfn.XLOOKUP(表格1[[#This Row],[Model]],表格3[Model-Input-Ref2],表格3[SRP PRICE])</f>
        <v>4988</v>
      </c>
      <c r="T3268" s="43">
        <f>表格1[[#This Row],[Unit Price]]/表格1[[#This Row],[SRP]]</f>
        <v>0.69967923015236566</v>
      </c>
      <c r="U3268" s="86" t="str">
        <f>_xlfn.XLOOKUP(表格1[[#This Row],[Model]],表格3[Model-Input-Ref2],表格3[TOSHIBA/HIGHEST])</f>
        <v>Toshiba SRP</v>
      </c>
      <c r="W3268" s="86" t="str">
        <f>_xlfn.CONCAT(表格1[[#This Row],[欄4]],表格1[[#This Row],[inv no]])</f>
        <v>1024718</v>
      </c>
    </row>
    <row r="3269" spans="1:23" hidden="1">
      <c r="A3269" s="81">
        <v>3267</v>
      </c>
      <c r="B3269" s="86" t="s">
        <v>1477</v>
      </c>
      <c r="C3269" s="86" t="s">
        <v>1959</v>
      </c>
      <c r="D3269" s="82" t="str">
        <f ca="1">OFFSET(Roster!$A$3,MATCH(表格1[[#This Row],[Location]]&amp;" "&amp;表格1[[#This Row],[Shop]]&amp;"*",Roster!$A$4:$A$72,0),DAY(表格1[[#This Row],[date]]),1,1)</f>
        <v>Jaco</v>
      </c>
      <c r="E3269" s="86">
        <f>MONTH(表格1[[#This Row],[date]])</f>
        <v>3</v>
      </c>
      <c r="F3269" s="90">
        <v>46104</v>
      </c>
      <c r="G3269" s="86" t="str">
        <f>VLOOKUP("*"&amp;表格1[[#This Row],[Input]]&amp;"*",'Ref-List'!$B:$D,2,)</f>
        <v>KT-17SHNH</v>
      </c>
      <c r="H3269" s="86" t="str">
        <f>_xlfn.XLOOKUP(表格1[[#This Row],[Model]],表格3[Model-Input-Ref2],表格3[Product Line])</f>
        <v>1.7L無線雙層電熱水壺</v>
      </c>
      <c r="I3269" s="86" t="str">
        <f>_xlfn.XLOOKUP(表格1[[#This Row],[Model]],表格3[Model-Input-Ref2],表格3[大小電])</f>
        <v>細電</v>
      </c>
      <c r="J3269" s="86" t="str">
        <f>_xlfn.XLOOKUP(表格1[[#This Row],[Model]],表格3[Model-Input-Ref2],表格3[Code])</f>
        <v>SDA</v>
      </c>
      <c r="K3269" s="89" t="s">
        <v>1283</v>
      </c>
      <c r="L3269" s="86">
        <v>1</v>
      </c>
      <c r="M3269" s="87">
        <v>198</v>
      </c>
      <c r="N3269" s="87">
        <f>IFERROR(表格1[[#This Row],[QTY]]*表格1[[#This Row],[Unit Price]],"-")</f>
        <v>198</v>
      </c>
      <c r="O3269" s="86">
        <v>1024738</v>
      </c>
      <c r="R3269" s="86" t="str">
        <f>_xlfn.CONCAT(表格1[[#This Row],[Model]]," ",表格1[[#This Row],[inv no]])</f>
        <v>KT-17SHNH 1024738</v>
      </c>
      <c r="S3269" s="86">
        <f>_xlfn.XLOOKUP(表格1[[#This Row],[Model]],表格3[Model-Input-Ref2],表格3[SRP PRICE])</f>
        <v>299</v>
      </c>
      <c r="T3269" s="43">
        <f>表格1[[#This Row],[Unit Price]]/表格1[[#This Row],[SRP]]</f>
        <v>0.66220735785953178</v>
      </c>
      <c r="U3269" s="86" t="str">
        <f>_xlfn.XLOOKUP(表格1[[#This Row],[Model]],表格3[Model-Input-Ref2],表格3[TOSHIBA/HIGHEST])</f>
        <v>Shops Highest Price</v>
      </c>
      <c r="W3269" s="86" t="str">
        <f>_xlfn.CONCAT(表格1[[#This Row],[欄4]],表格1[[#This Row],[inv no]])</f>
        <v>1024738</v>
      </c>
    </row>
    <row r="3270" spans="1:23" hidden="1">
      <c r="A3270" s="81">
        <v>3268</v>
      </c>
      <c r="B3270" s="86" t="s">
        <v>1477</v>
      </c>
      <c r="C3270" s="86" t="s">
        <v>1959</v>
      </c>
      <c r="D3270" s="82" t="str">
        <f ca="1">OFFSET(Roster!$A$3,MATCH(表格1[[#This Row],[Location]]&amp;" "&amp;表格1[[#This Row],[Shop]]&amp;"*",Roster!$A$4:$A$72,0),DAY(表格1[[#This Row],[date]]),1,1)</f>
        <v>Jaco</v>
      </c>
      <c r="E3270" s="86">
        <f>MONTH(表格1[[#This Row],[date]])</f>
        <v>3</v>
      </c>
      <c r="F3270" s="90">
        <v>46104</v>
      </c>
      <c r="G3270" s="86" t="str">
        <f>VLOOKUP("*"&amp;表格1[[#This Row],[Input]]&amp;"*",'Ref-List'!$B:$D,2,)</f>
        <v>ET-TD7080(PN)</v>
      </c>
      <c r="H3270" s="86" t="str">
        <f>_xlfn.XLOOKUP(表格1[[#This Row],[Model]],表格3[Model-Input-Ref2],表格3[Product Line])</f>
        <v>多士焗爐8L</v>
      </c>
      <c r="I3270" s="86" t="str">
        <f>_xlfn.XLOOKUP(表格1[[#This Row],[Model]],表格3[Model-Input-Ref2],表格3[大小電])</f>
        <v>細電</v>
      </c>
      <c r="J3270" s="86" t="str">
        <f>_xlfn.XLOOKUP(表格1[[#This Row],[Model]],表格3[Model-Input-Ref2],表格3[Code])</f>
        <v>SDA</v>
      </c>
      <c r="K3270" s="89">
        <v>7080</v>
      </c>
      <c r="L3270" s="86">
        <v>1</v>
      </c>
      <c r="M3270" s="87">
        <v>318</v>
      </c>
      <c r="N3270" s="87">
        <f>IFERROR(表格1[[#This Row],[QTY]]*表格1[[#This Row],[Unit Price]],"-")</f>
        <v>318</v>
      </c>
      <c r="O3270" s="86">
        <v>931260</v>
      </c>
      <c r="R3270" s="86" t="str">
        <f>_xlfn.CONCAT(表格1[[#This Row],[Model]]," ",表格1[[#This Row],[inv no]])</f>
        <v>ET-TD7080(PN) 931260</v>
      </c>
      <c r="S3270" s="86">
        <f>_xlfn.XLOOKUP(表格1[[#This Row],[Model]],表格3[Model-Input-Ref2],表格3[SRP PRICE])</f>
        <v>498</v>
      </c>
      <c r="T3270" s="43">
        <f>表格1[[#This Row],[Unit Price]]/表格1[[#This Row],[SRP]]</f>
        <v>0.63855421686746983</v>
      </c>
      <c r="U3270" s="86" t="str">
        <f>_xlfn.XLOOKUP(表格1[[#This Row],[Model]],表格3[Model-Input-Ref2],表格3[TOSHIBA/HIGHEST])</f>
        <v>Toshiba SRP</v>
      </c>
      <c r="W3270" s="86" t="str">
        <f>_xlfn.CONCAT(表格1[[#This Row],[欄4]],表格1[[#This Row],[inv no]])</f>
        <v>931260</v>
      </c>
    </row>
    <row r="3271" spans="1:23" hidden="1">
      <c r="A3271" s="81">
        <v>3269</v>
      </c>
      <c r="B3271" s="86" t="s">
        <v>1477</v>
      </c>
      <c r="C3271" s="86" t="s">
        <v>1959</v>
      </c>
      <c r="D3271" s="82" t="str">
        <f ca="1">OFFSET(Roster!$A$3,MATCH(表格1[[#This Row],[Location]]&amp;" "&amp;表格1[[#This Row],[Shop]]&amp;"*",Roster!$A$4:$A$72,0),DAY(表格1[[#This Row],[date]]),1,1)</f>
        <v>Jaco</v>
      </c>
      <c r="E3271" s="86">
        <f>MONTH(表格1[[#This Row],[date]])</f>
        <v>3</v>
      </c>
      <c r="F3271" s="90">
        <v>46104</v>
      </c>
      <c r="G3271" s="86" t="str">
        <f>VLOOKUP("*"&amp;表格1[[#This Row],[Input]]&amp;"*",'Ref-List'!$B:$D,2,)</f>
        <v>RAD-D300H</v>
      </c>
      <c r="H3271" s="86" t="str">
        <f>_xlfn.XLOOKUP(表格1[[#This Row],[Model]],表格3[Model-Input-Ref2],表格3[Product Line])</f>
        <v>壓縮式抽濕機 (30公升)</v>
      </c>
      <c r="I3271" s="86" t="str">
        <f>_xlfn.XLOOKUP(表格1[[#This Row],[Model]],表格3[Model-Input-Ref2],表格3[大小電])</f>
        <v>細電</v>
      </c>
      <c r="J3271" s="86" t="str">
        <f>_xlfn.XLOOKUP(表格1[[#This Row],[Model]],表格3[Model-Input-Ref2],表格3[Code])</f>
        <v>RAC</v>
      </c>
      <c r="K3271" s="89" t="s">
        <v>1252</v>
      </c>
      <c r="L3271" s="86">
        <v>1</v>
      </c>
      <c r="M3271" s="87">
        <v>2280</v>
      </c>
      <c r="N3271" s="87">
        <f>IFERROR(表格1[[#This Row],[QTY]]*表格1[[#This Row],[Unit Price]],"-")</f>
        <v>2280</v>
      </c>
      <c r="O3271" s="86">
        <v>931256</v>
      </c>
      <c r="R3271" s="86" t="str">
        <f>_xlfn.CONCAT(表格1[[#This Row],[Model]]," ",表格1[[#This Row],[inv no]])</f>
        <v>RAD-D300H 931256</v>
      </c>
      <c r="S3271" s="86">
        <f>_xlfn.XLOOKUP(表格1[[#This Row],[Model]],表格3[Model-Input-Ref2],表格3[SRP PRICE])</f>
        <v>3380</v>
      </c>
      <c r="T3271" s="43">
        <f>表格1[[#This Row],[Unit Price]]/表格1[[#This Row],[SRP]]</f>
        <v>0.67455621301775148</v>
      </c>
      <c r="U3271" s="86" t="str">
        <f>_xlfn.XLOOKUP(表格1[[#This Row],[Model]],表格3[Model-Input-Ref2],表格3[TOSHIBA/HIGHEST])</f>
        <v>Shops Highest Price</v>
      </c>
      <c r="W3271" s="86" t="str">
        <f>_xlfn.CONCAT(表格1[[#This Row],[欄4]],表格1[[#This Row],[inv no]])</f>
        <v>931256</v>
      </c>
    </row>
    <row r="3272" spans="1:23" hidden="1">
      <c r="A3272" s="81">
        <v>3270</v>
      </c>
      <c r="B3272" s="86" t="s">
        <v>1477</v>
      </c>
      <c r="C3272" s="86" t="s">
        <v>1959</v>
      </c>
      <c r="D3272" s="82" t="str">
        <f ca="1">OFFSET(Roster!$A$3,MATCH(表格1[[#This Row],[Location]]&amp;" "&amp;表格1[[#This Row],[Shop]]&amp;"*",Roster!$A$4:$A$72,0),DAY(表格1[[#This Row],[date]]),1,1)</f>
        <v>Jaco</v>
      </c>
      <c r="E3272" s="86">
        <f>MONTH(表格1[[#This Row],[date]])</f>
        <v>3</v>
      </c>
      <c r="F3272" s="90">
        <v>46104</v>
      </c>
      <c r="G3272" s="86" t="str">
        <f>VLOOKUP("*"&amp;表格1[[#This Row],[Input]]&amp;"*",'Ref-List'!$B:$D,2,)</f>
        <v>TWD-T22BU95UWH(WK)-B</v>
      </c>
      <c r="H3272" s="86" t="str">
        <f>_xlfn.XLOOKUP(表格1[[#This Row],[Model]],表格3[Model-Input-Ref2],表格3[Product Line])</f>
        <v>470MM超薄身前置式變頻洗衣乾衣機 (洗8.5公斤/乾6公斤, 可飛頂)</v>
      </c>
      <c r="I3272" s="86" t="str">
        <f>_xlfn.XLOOKUP(表格1[[#This Row],[Model]],表格3[Model-Input-Ref2],表格3[大小電])</f>
        <v>大電</v>
      </c>
      <c r="J3272" s="86" t="str">
        <f>_xlfn.XLOOKUP(表格1[[#This Row],[Model]],表格3[Model-Input-Ref2],表格3[Code])</f>
        <v>LAD</v>
      </c>
      <c r="K3272" s="89" t="s">
        <v>1421</v>
      </c>
      <c r="L3272" s="86">
        <v>1</v>
      </c>
      <c r="M3272" s="87">
        <v>4780</v>
      </c>
      <c r="N3272" s="87">
        <f>IFERROR(表格1[[#This Row],[QTY]]*表格1[[#This Row],[Unit Price]],"-")</f>
        <v>4780</v>
      </c>
      <c r="O3272" s="86">
        <v>1024867</v>
      </c>
      <c r="R3272" s="86" t="str">
        <f>_xlfn.CONCAT(表格1[[#This Row],[Model]]," ",表格1[[#This Row],[inv no]])</f>
        <v>TWD-T22BU95UWH(WK)-B 1024867</v>
      </c>
      <c r="S3272" s="86">
        <f>_xlfn.XLOOKUP(表格1[[#This Row],[Model]],表格3[Model-Input-Ref2],表格3[SRP PRICE])</f>
        <v>7480</v>
      </c>
      <c r="T3272" s="43">
        <f>表格1[[#This Row],[Unit Price]]/表格1[[#This Row],[SRP]]</f>
        <v>0.63903743315508021</v>
      </c>
      <c r="U3272" s="86" t="str">
        <f>_xlfn.XLOOKUP(表格1[[#This Row],[Model]],表格3[Model-Input-Ref2],表格3[TOSHIBA/HIGHEST])</f>
        <v>Toshiba SRP</v>
      </c>
      <c r="W3272" s="86" t="str">
        <f>_xlfn.CONCAT(表格1[[#This Row],[欄4]],表格1[[#This Row],[inv no]])</f>
        <v>1024867</v>
      </c>
    </row>
    <row r="3273" spans="1:23" hidden="1">
      <c r="A3273" s="81">
        <v>3271</v>
      </c>
      <c r="B3273" s="86" t="s">
        <v>1477</v>
      </c>
      <c r="C3273" s="86" t="s">
        <v>1959</v>
      </c>
      <c r="D3273" s="82" t="str">
        <f ca="1">OFFSET(Roster!$A$3,MATCH(表格1[[#This Row],[Location]]&amp;" "&amp;表格1[[#This Row],[Shop]]&amp;"*",Roster!$A$4:$A$72,0),DAY(表格1[[#This Row],[date]]),1,1)</f>
        <v>Jaco</v>
      </c>
      <c r="E3273" s="86">
        <f>MONTH(表格1[[#This Row],[date]])</f>
        <v>3</v>
      </c>
      <c r="F3273" s="90">
        <v>46104</v>
      </c>
      <c r="G3273" s="86" t="str">
        <f>VLOOKUP("*"&amp;表格1[[#This Row],[Input]]&amp;"*",'Ref-List'!$B:$D,2,)</f>
        <v>KT-17SHNH</v>
      </c>
      <c r="H3273" s="86" t="str">
        <f>_xlfn.XLOOKUP(表格1[[#This Row],[Model]],表格3[Model-Input-Ref2],表格3[Product Line])</f>
        <v>1.7L無線雙層電熱水壺</v>
      </c>
      <c r="I3273" s="86" t="str">
        <f>_xlfn.XLOOKUP(表格1[[#This Row],[Model]],表格3[Model-Input-Ref2],表格3[大小電])</f>
        <v>細電</v>
      </c>
      <c r="J3273" s="86" t="str">
        <f>_xlfn.XLOOKUP(表格1[[#This Row],[Model]],表格3[Model-Input-Ref2],表格3[Code])</f>
        <v>SDA</v>
      </c>
      <c r="K3273" s="89" t="s">
        <v>1283</v>
      </c>
      <c r="L3273" s="86">
        <v>1</v>
      </c>
      <c r="M3273" s="87">
        <v>198</v>
      </c>
      <c r="N3273" s="87">
        <f>IFERROR(表格1[[#This Row],[QTY]]*表格1[[#This Row],[Unit Price]],"-")</f>
        <v>198</v>
      </c>
      <c r="O3273" s="86">
        <v>931279</v>
      </c>
      <c r="R3273" s="86" t="str">
        <f>_xlfn.CONCAT(表格1[[#This Row],[Model]]," ",表格1[[#This Row],[inv no]])</f>
        <v>KT-17SHNH 931279</v>
      </c>
      <c r="S3273" s="86">
        <f>_xlfn.XLOOKUP(表格1[[#This Row],[Model]],表格3[Model-Input-Ref2],表格3[SRP PRICE])</f>
        <v>299</v>
      </c>
      <c r="T3273" s="43">
        <f>表格1[[#This Row],[Unit Price]]/表格1[[#This Row],[SRP]]</f>
        <v>0.66220735785953178</v>
      </c>
      <c r="U3273" s="86" t="str">
        <f>_xlfn.XLOOKUP(表格1[[#This Row],[Model]],表格3[Model-Input-Ref2],表格3[TOSHIBA/HIGHEST])</f>
        <v>Shops Highest Price</v>
      </c>
      <c r="W3273" s="86" t="str">
        <f>_xlfn.CONCAT(表格1[[#This Row],[欄4]],表格1[[#This Row],[inv no]])</f>
        <v>931279</v>
      </c>
    </row>
    <row r="3274" spans="1:23" hidden="1">
      <c r="A3274" s="81">
        <v>3272</v>
      </c>
      <c r="B3274" s="86" t="s">
        <v>1477</v>
      </c>
      <c r="C3274" s="86" t="s">
        <v>1959</v>
      </c>
      <c r="D3274" s="82" t="str">
        <f ca="1">OFFSET(Roster!$A$3,MATCH(表格1[[#This Row],[Location]]&amp;" "&amp;表格1[[#This Row],[Shop]]&amp;"*",Roster!$A$4:$A$72,0),DAY(表格1[[#This Row],[date]]),1,1)</f>
        <v>Jaco</v>
      </c>
      <c r="E3274" s="86">
        <f>MONTH(表格1[[#This Row],[date]])</f>
        <v>3</v>
      </c>
      <c r="F3274" s="90">
        <v>46104</v>
      </c>
      <c r="G3274" s="86" t="str">
        <f>VLOOKUP("*"&amp;表格1[[#This Row],[Input]]&amp;"*",'Ref-List'!$B:$D,2,)</f>
        <v>MWP-MG20P(BK)</v>
      </c>
      <c r="H3274" s="86" t="str">
        <f>_xlfn.XLOOKUP(表格1[[#This Row],[Model]],表格3[Model-Input-Ref2],表格3[Product Line])</f>
        <v>旋鈕式燒烤微波爐20L黑色</v>
      </c>
      <c r="I3274" s="86" t="str">
        <f>_xlfn.XLOOKUP(表格1[[#This Row],[Model]],表格3[Model-Input-Ref2],表格3[大小電])</f>
        <v>細電</v>
      </c>
      <c r="J3274" s="86" t="str">
        <f>_xlfn.XLOOKUP(表格1[[#This Row],[Model]],表格3[Model-Input-Ref2],表格3[Code])</f>
        <v>SDA</v>
      </c>
      <c r="K3274" s="89" t="s">
        <v>1485</v>
      </c>
      <c r="L3274" s="86">
        <v>1</v>
      </c>
      <c r="M3274" s="87">
        <v>579</v>
      </c>
      <c r="N3274" s="87">
        <f>IFERROR(表格1[[#This Row],[QTY]]*表格1[[#This Row],[Unit Price]],"-")</f>
        <v>579</v>
      </c>
      <c r="O3274" s="86">
        <v>1024848</v>
      </c>
      <c r="R3274" s="86" t="str">
        <f>_xlfn.CONCAT(表格1[[#This Row],[Model]]," ",表格1[[#This Row],[inv no]])</f>
        <v>MWP-MG20P(BK) 1024848</v>
      </c>
      <c r="S3274" s="86">
        <f>_xlfn.XLOOKUP(表格1[[#This Row],[Model]],表格3[Model-Input-Ref2],表格3[SRP PRICE])</f>
        <v>918</v>
      </c>
      <c r="T3274" s="43">
        <f>表格1[[#This Row],[Unit Price]]/表格1[[#This Row],[SRP]]</f>
        <v>0.63071895424836599</v>
      </c>
      <c r="U3274" s="86" t="str">
        <f>_xlfn.XLOOKUP(表格1[[#This Row],[Model]],表格3[Model-Input-Ref2],表格3[TOSHIBA/HIGHEST])</f>
        <v>Toshiba SRP</v>
      </c>
      <c r="W3274" s="86" t="str">
        <f>_xlfn.CONCAT(表格1[[#This Row],[欄4]],表格1[[#This Row],[inv no]])</f>
        <v>1024848</v>
      </c>
    </row>
    <row r="3275" spans="1:23" hidden="1">
      <c r="A3275" s="81">
        <v>3273</v>
      </c>
      <c r="B3275" s="86" t="s">
        <v>1477</v>
      </c>
      <c r="C3275" s="86" t="s">
        <v>1959</v>
      </c>
      <c r="D3275" s="82" t="str">
        <f ca="1">OFFSET(Roster!$A$3,MATCH(表格1[[#This Row],[Location]]&amp;" "&amp;表格1[[#This Row],[Shop]]&amp;"*",Roster!$A$4:$A$72,0),DAY(表格1[[#This Row],[date]]),1,1)</f>
        <v>Jaco</v>
      </c>
      <c r="E3275" s="86">
        <f>MONTH(表格1[[#This Row],[date]])</f>
        <v>3</v>
      </c>
      <c r="F3275" s="90">
        <v>46105</v>
      </c>
      <c r="G3275" s="86" t="str">
        <f>VLOOKUP("*"&amp;表格1[[#This Row],[Input]]&amp;"*",'Ref-List'!$B:$D,2,)</f>
        <v>MX2-TT20SC(WH)</v>
      </c>
      <c r="H3275" s="86" t="str">
        <f>_xlfn.XLOOKUP(表格1[[#This Row],[Model]],表格3[Model-Input-Ref2],表格3[Product Line])</f>
        <v>3合1 微波蒸焗爐 (20公升)</v>
      </c>
      <c r="I3275" s="86" t="str">
        <f>_xlfn.XLOOKUP(表格1[[#This Row],[Model]],表格3[Model-Input-Ref2],表格3[大小電])</f>
        <v>細電</v>
      </c>
      <c r="J3275" s="86" t="str">
        <f>_xlfn.XLOOKUP(表格1[[#This Row],[Model]],表格3[Model-Input-Ref2],表格3[Code])</f>
        <v>MCA</v>
      </c>
      <c r="K3275" s="89" t="s">
        <v>1287</v>
      </c>
      <c r="L3275" s="86">
        <v>1</v>
      </c>
      <c r="M3275" s="87">
        <v>2580</v>
      </c>
      <c r="N3275" s="87">
        <f>IFERROR(表格1[[#This Row],[QTY]]*表格1[[#This Row],[Unit Price]],"-")</f>
        <v>2580</v>
      </c>
      <c r="O3275" s="86">
        <v>1024988</v>
      </c>
      <c r="R3275" s="86" t="str">
        <f>_xlfn.CONCAT(表格1[[#This Row],[Model]]," ",表格1[[#This Row],[inv no]])</f>
        <v>MX2-TT20SC(WH) 1024988</v>
      </c>
      <c r="S3275" s="86">
        <f>_xlfn.XLOOKUP(表格1[[#This Row],[Model]],表格3[Model-Input-Ref2],表格3[SRP PRICE])</f>
        <v>3580</v>
      </c>
      <c r="T3275" s="43">
        <f>表格1[[#This Row],[Unit Price]]/表格1[[#This Row],[SRP]]</f>
        <v>0.72067039106145248</v>
      </c>
      <c r="U3275" s="86" t="str">
        <f>_xlfn.XLOOKUP(表格1[[#This Row],[Model]],表格3[Model-Input-Ref2],表格3[TOSHIBA/HIGHEST])</f>
        <v>Toshiba SRP</v>
      </c>
      <c r="W3275" s="86" t="str">
        <f>_xlfn.CONCAT(表格1[[#This Row],[欄4]],表格1[[#This Row],[inv no]])</f>
        <v>1024988</v>
      </c>
    </row>
    <row r="3276" spans="1:23" hidden="1">
      <c r="A3276" s="81">
        <v>3274</v>
      </c>
      <c r="B3276" s="86" t="s">
        <v>1477</v>
      </c>
      <c r="C3276" s="86" t="s">
        <v>1959</v>
      </c>
      <c r="D3276" s="82" t="str">
        <f ca="1">OFFSET(Roster!$A$3,MATCH(表格1[[#This Row],[Location]]&amp;" "&amp;表格1[[#This Row],[Shop]]&amp;"*",Roster!$A$4:$A$72,0),DAY(表格1[[#This Row],[date]]),1,1)</f>
        <v>Jaco</v>
      </c>
      <c r="E3276" s="86">
        <f>MONTH(表格1[[#This Row],[date]])</f>
        <v>3</v>
      </c>
      <c r="F3276" s="90">
        <v>46105</v>
      </c>
      <c r="G3276" s="86" t="str">
        <f>VLOOKUP("*"&amp;表格1[[#This Row],[Input]]&amp;"*",'Ref-List'!$B:$D,2,)</f>
        <v>KT-17SHNH</v>
      </c>
      <c r="H3276" s="86" t="str">
        <f>_xlfn.XLOOKUP(表格1[[#This Row],[Model]],表格3[Model-Input-Ref2],表格3[Product Line])</f>
        <v>1.7L無線雙層電熱水壺</v>
      </c>
      <c r="I3276" s="86" t="str">
        <f>_xlfn.XLOOKUP(表格1[[#This Row],[Model]],表格3[Model-Input-Ref2],表格3[大小電])</f>
        <v>細電</v>
      </c>
      <c r="J3276" s="86" t="str">
        <f>_xlfn.XLOOKUP(表格1[[#This Row],[Model]],表格3[Model-Input-Ref2],表格3[Code])</f>
        <v>SDA</v>
      </c>
      <c r="K3276" s="89" t="s">
        <v>1283</v>
      </c>
      <c r="L3276" s="86">
        <v>1</v>
      </c>
      <c r="M3276" s="87">
        <v>198</v>
      </c>
      <c r="N3276" s="87">
        <f>IFERROR(表格1[[#This Row],[QTY]]*表格1[[#This Row],[Unit Price]],"-")</f>
        <v>198</v>
      </c>
      <c r="O3276" s="86">
        <v>1024964</v>
      </c>
      <c r="R3276" s="86" t="str">
        <f>_xlfn.CONCAT(表格1[[#This Row],[Model]]," ",表格1[[#This Row],[inv no]])</f>
        <v>KT-17SHNH 1024964</v>
      </c>
      <c r="S3276" s="86">
        <f>_xlfn.XLOOKUP(表格1[[#This Row],[Model]],表格3[Model-Input-Ref2],表格3[SRP PRICE])</f>
        <v>299</v>
      </c>
      <c r="T3276" s="43">
        <f>表格1[[#This Row],[Unit Price]]/表格1[[#This Row],[SRP]]</f>
        <v>0.66220735785953178</v>
      </c>
      <c r="U3276" s="86" t="str">
        <f>_xlfn.XLOOKUP(表格1[[#This Row],[Model]],表格3[Model-Input-Ref2],表格3[TOSHIBA/HIGHEST])</f>
        <v>Shops Highest Price</v>
      </c>
      <c r="W3276" s="86" t="str">
        <f>_xlfn.CONCAT(表格1[[#This Row],[欄4]],表格1[[#This Row],[inv no]])</f>
        <v>1024964</v>
      </c>
    </row>
    <row r="3277" spans="1:23" hidden="1">
      <c r="A3277" s="81">
        <v>3275</v>
      </c>
      <c r="B3277" s="86" t="s">
        <v>1477</v>
      </c>
      <c r="C3277" s="86" t="s">
        <v>1959</v>
      </c>
      <c r="D3277" s="82" t="str">
        <f ca="1">OFFSET(Roster!$A$3,MATCH(表格1[[#This Row],[Location]]&amp;" "&amp;表格1[[#This Row],[Shop]]&amp;"*",Roster!$A$4:$A$72,0),DAY(表格1[[#This Row],[date]]),1,1)</f>
        <v>Jaco</v>
      </c>
      <c r="E3277" s="86">
        <f>MONTH(表格1[[#This Row],[date]])</f>
        <v>3</v>
      </c>
      <c r="F3277" s="90">
        <v>46105</v>
      </c>
      <c r="G3277" s="86" t="str">
        <f>VLOOKUP("*"&amp;表格1[[#This Row],[Input]]&amp;"*",'Ref-List'!$B:$D,2,)</f>
        <v>KT-17DRTHK(H)</v>
      </c>
      <c r="H3277" s="86" t="str">
        <f>_xlfn.XLOOKUP(表格1[[#This Row],[Model]],表格3[Model-Input-Ref2],表格3[Product Line])</f>
        <v>無線雙層電熱水壺(1.7公升)</v>
      </c>
      <c r="I3277" s="86" t="str">
        <f>_xlfn.XLOOKUP(表格1[[#This Row],[Model]],表格3[Model-Input-Ref2],表格3[大小電])</f>
        <v>細電</v>
      </c>
      <c r="J3277" s="86" t="str">
        <f>_xlfn.XLOOKUP(表格1[[#This Row],[Model]],表格3[Model-Input-Ref2],表格3[Code])</f>
        <v>SDA</v>
      </c>
      <c r="K3277" s="89" t="s">
        <v>1271</v>
      </c>
      <c r="L3277" s="86">
        <v>1</v>
      </c>
      <c r="M3277" s="87">
        <v>388</v>
      </c>
      <c r="N3277" s="87">
        <f>IFERROR(表格1[[#This Row],[QTY]]*表格1[[#This Row],[Unit Price]],"-")</f>
        <v>388</v>
      </c>
      <c r="O3277" s="86">
        <v>1024945</v>
      </c>
      <c r="R3277" s="86" t="str">
        <f>_xlfn.CONCAT(表格1[[#This Row],[Model]]," ",表格1[[#This Row],[inv no]])</f>
        <v>KT-17DRTHK(H) 1024945</v>
      </c>
      <c r="S3277" s="86">
        <f>_xlfn.XLOOKUP(表格1[[#This Row],[Model]],表格3[Model-Input-Ref2],表格3[SRP PRICE])</f>
        <v>498</v>
      </c>
      <c r="T3277" s="43">
        <f>表格1[[#This Row],[Unit Price]]/表格1[[#This Row],[SRP]]</f>
        <v>0.77911646586345384</v>
      </c>
      <c r="U3277" s="86" t="str">
        <f>_xlfn.XLOOKUP(表格1[[#This Row],[Model]],表格3[Model-Input-Ref2],表格3[TOSHIBA/HIGHEST])</f>
        <v>Toshiba SRP</v>
      </c>
      <c r="W3277" s="86" t="str">
        <f>_xlfn.CONCAT(表格1[[#This Row],[欄4]],表格1[[#This Row],[inv no]])</f>
        <v>1024945</v>
      </c>
    </row>
    <row r="3278" spans="1:23" hidden="1">
      <c r="A3278" s="81">
        <v>3276</v>
      </c>
      <c r="B3278" s="86" t="s">
        <v>1477</v>
      </c>
      <c r="C3278" s="86" t="s">
        <v>1959</v>
      </c>
      <c r="D3278" s="82" t="str">
        <f ca="1">OFFSET(Roster!$A$3,MATCH(表格1[[#This Row],[Location]]&amp;" "&amp;表格1[[#This Row],[Shop]]&amp;"*",Roster!$A$4:$A$72,0),DAY(表格1[[#This Row],[date]]),1,1)</f>
        <v>Jaco</v>
      </c>
      <c r="E3278" s="86">
        <f>MONTH(表格1[[#This Row],[date]])</f>
        <v>3</v>
      </c>
      <c r="F3278" s="90">
        <v>46105</v>
      </c>
      <c r="G3278" s="86" t="str">
        <f>VLOOKUP("*"&amp;表格1[[#This Row],[Input]]&amp;"*",'Ref-List'!$B:$D,2,)</f>
        <v>MW3-SAC24SE(BK)</v>
      </c>
      <c r="H3278" s="86" t="str">
        <f>_xlfn.XLOOKUP(表格1[[#This Row],[Model]],表格3[Model-Input-Ref2],表格3[Product Line])</f>
        <v>智能氣炸烤焗爐(24公升)</v>
      </c>
      <c r="I3278" s="86" t="str">
        <f>_xlfn.XLOOKUP(表格1[[#This Row],[Model]],表格3[Model-Input-Ref2],表格3[大小電])</f>
        <v>細電</v>
      </c>
      <c r="J3278" s="86" t="str">
        <f>_xlfn.XLOOKUP(表格1[[#This Row],[Model]],表格3[Model-Input-Ref2],表格3[Code])</f>
        <v>MCA</v>
      </c>
      <c r="K3278" s="89" t="s">
        <v>1274</v>
      </c>
      <c r="L3278" s="86">
        <v>1</v>
      </c>
      <c r="M3278" s="87">
        <v>1320</v>
      </c>
      <c r="N3278" s="87">
        <f>IFERROR(表格1[[#This Row],[QTY]]*表格1[[#This Row],[Unit Price]],"-")</f>
        <v>1320</v>
      </c>
      <c r="O3278" s="86">
        <v>931468</v>
      </c>
      <c r="R3278" s="86" t="str">
        <f>_xlfn.CONCAT(表格1[[#This Row],[Model]]," ",表格1[[#This Row],[inv no]])</f>
        <v>MW3-SAC24SE(BK) 931468</v>
      </c>
      <c r="S3278" s="86">
        <f>_xlfn.XLOOKUP(表格1[[#This Row],[Model]],表格3[Model-Input-Ref2],表格3[SRP PRICE])</f>
        <v>1680</v>
      </c>
      <c r="T3278" s="43">
        <f>表格1[[#This Row],[Unit Price]]/表格1[[#This Row],[SRP]]</f>
        <v>0.7857142857142857</v>
      </c>
      <c r="U3278" s="86" t="str">
        <f>_xlfn.XLOOKUP(表格1[[#This Row],[Model]],表格3[Model-Input-Ref2],表格3[TOSHIBA/HIGHEST])</f>
        <v>Toshiba SRP</v>
      </c>
      <c r="W3278" s="86" t="str">
        <f>_xlfn.CONCAT(表格1[[#This Row],[欄4]],表格1[[#This Row],[inv no]])</f>
        <v>931468</v>
      </c>
    </row>
    <row r="3279" spans="1:23" hidden="1">
      <c r="A3279" s="81">
        <v>3277</v>
      </c>
      <c r="B3279" s="86" t="s">
        <v>1477</v>
      </c>
      <c r="C3279" s="86" t="s">
        <v>1959</v>
      </c>
      <c r="D3279" s="82" t="str">
        <f ca="1">OFFSET(Roster!$A$3,MATCH(表格1[[#This Row],[Location]]&amp;" "&amp;表格1[[#This Row],[Shop]]&amp;"*",Roster!$A$4:$A$72,0),DAY(表格1[[#This Row],[date]]),1,1)</f>
        <v>Jaco</v>
      </c>
      <c r="E3279" s="86">
        <f>MONTH(表格1[[#This Row],[date]])</f>
        <v>3</v>
      </c>
      <c r="F3279" s="90">
        <v>46105</v>
      </c>
      <c r="G3279" s="86" t="str">
        <f>VLOOKUP("*"&amp;表格1[[#This Row],[Input]]&amp;"*",'Ref-List'!$B:$D,2,)</f>
        <v>MM2-EM20PC(WH)</v>
      </c>
      <c r="H3279" s="86" t="str">
        <f>_xlfn.XLOOKUP(表格1[[#This Row],[Model]],表格3[Model-Input-Ref2],表格3[Product Line])</f>
        <v>輕觸式微波爐 (20公升)</v>
      </c>
      <c r="I3279" s="86" t="str">
        <f>_xlfn.XLOOKUP(表格1[[#This Row],[Model]],表格3[Model-Input-Ref2],表格3[大小電])</f>
        <v>細電</v>
      </c>
      <c r="J3279" s="86" t="str">
        <f>_xlfn.XLOOKUP(表格1[[#This Row],[Model]],表格3[Model-Input-Ref2],表格3[Code])</f>
        <v>MCA</v>
      </c>
      <c r="K3279" s="89" t="s">
        <v>1276</v>
      </c>
      <c r="L3279" s="86">
        <v>1</v>
      </c>
      <c r="M3279" s="87">
        <v>598</v>
      </c>
      <c r="N3279" s="87">
        <f>IFERROR(表格1[[#This Row],[QTY]]*表格1[[#This Row],[Unit Price]],"-")</f>
        <v>598</v>
      </c>
      <c r="O3279" s="86">
        <v>931480</v>
      </c>
      <c r="R3279" s="86" t="str">
        <f>_xlfn.CONCAT(表格1[[#This Row],[Model]]," ",表格1[[#This Row],[inv no]])</f>
        <v>MM2-EM20PC(WH) 931480</v>
      </c>
      <c r="S3279" s="86">
        <f>_xlfn.XLOOKUP(表格1[[#This Row],[Model]],表格3[Model-Input-Ref2],表格3[SRP PRICE])</f>
        <v>788</v>
      </c>
      <c r="T3279" s="43">
        <f>表格1[[#This Row],[Unit Price]]/表格1[[#This Row],[SRP]]</f>
        <v>0.75888324873096447</v>
      </c>
      <c r="U3279" s="86" t="str">
        <f>_xlfn.XLOOKUP(表格1[[#This Row],[Model]],表格3[Model-Input-Ref2],表格3[TOSHIBA/HIGHEST])</f>
        <v>Toshiba SRP</v>
      </c>
      <c r="W3279" s="86" t="str">
        <f>_xlfn.CONCAT(表格1[[#This Row],[欄4]],表格1[[#This Row],[inv no]])</f>
        <v>931480</v>
      </c>
    </row>
    <row r="3280" spans="1:23" hidden="1">
      <c r="A3280" s="81">
        <v>3278</v>
      </c>
      <c r="B3280" s="86" t="s">
        <v>1477</v>
      </c>
      <c r="C3280" s="86" t="s">
        <v>1959</v>
      </c>
      <c r="D3280" s="82" t="str">
        <f ca="1">OFFSET(Roster!$A$3,MATCH(表格1[[#This Row],[Location]]&amp;" "&amp;表格1[[#This Row],[Shop]]&amp;"*",Roster!$A$4:$A$72,0),DAY(表格1[[#This Row],[date]]),1,1)</f>
        <v>Jaco</v>
      </c>
      <c r="E3280" s="86">
        <f>MONTH(表格1[[#This Row],[date]])</f>
        <v>3</v>
      </c>
      <c r="F3280" s="90">
        <v>46105</v>
      </c>
      <c r="G3280" s="86" t="str">
        <f>VLOOKUP("*"&amp;表格1[[#This Row],[Input]]&amp;"*",'Ref-List'!$B:$D,2,)</f>
        <v>TW-T21BU95UWH(MG)</v>
      </c>
      <c r="H3280" s="86" t="str">
        <f>_xlfn.XLOOKUP(表格1[[#This Row],[Model]],表格3[Model-Input-Ref2],表格3[Product Line])</f>
        <v>470MM超薄身前置式變頻洗衣機(8.5公斤)</v>
      </c>
      <c r="I3280" s="86" t="str">
        <f>_xlfn.XLOOKUP(表格1[[#This Row],[Model]],表格3[Model-Input-Ref2],表格3[大小電])</f>
        <v>大電</v>
      </c>
      <c r="J3280" s="86" t="str">
        <f>_xlfn.XLOOKUP(表格1[[#This Row],[Model]],表格3[Model-Input-Ref2],表格3[Code])</f>
        <v>LAD</v>
      </c>
      <c r="K3280" s="89" t="s">
        <v>1492</v>
      </c>
      <c r="L3280" s="86">
        <v>1</v>
      </c>
      <c r="M3280" s="87">
        <v>3590</v>
      </c>
      <c r="N3280" s="87">
        <f>IFERROR(表格1[[#This Row],[QTY]]*表格1[[#This Row],[Unit Price]],"-")</f>
        <v>3590</v>
      </c>
      <c r="O3280" s="86">
        <v>1025177</v>
      </c>
      <c r="R3280" s="86" t="str">
        <f>_xlfn.CONCAT(表格1[[#This Row],[Model]]," ",表格1[[#This Row],[inv no]])</f>
        <v>TW-T21BU95UWH(MG) 1025177</v>
      </c>
      <c r="S3280" s="86">
        <f>_xlfn.XLOOKUP(表格1[[#This Row],[Model]],表格3[Model-Input-Ref2],表格3[SRP PRICE])</f>
        <v>3980</v>
      </c>
      <c r="T3280" s="43">
        <f>表格1[[#This Row],[Unit Price]]/表格1[[#This Row],[SRP]]</f>
        <v>0.90201005025125625</v>
      </c>
      <c r="U3280" s="86" t="str">
        <f>_xlfn.XLOOKUP(表格1[[#This Row],[Model]],表格3[Model-Input-Ref2],表格3[TOSHIBA/HIGHEST])</f>
        <v>Shops Highest Price</v>
      </c>
      <c r="W3280" s="86" t="str">
        <f>_xlfn.CONCAT(表格1[[#This Row],[欄4]],表格1[[#This Row],[inv no]])</f>
        <v>1025177</v>
      </c>
    </row>
    <row r="3281" spans="1:23" hidden="1">
      <c r="A3281" s="81">
        <v>3279</v>
      </c>
      <c r="B3281" s="86" t="s">
        <v>1477</v>
      </c>
      <c r="C3281" s="86" t="s">
        <v>1959</v>
      </c>
      <c r="D3281" s="82" t="str">
        <f ca="1">OFFSET(Roster!$A$3,MATCH(表格1[[#This Row],[Location]]&amp;" "&amp;表格1[[#This Row],[Shop]]&amp;"*",Roster!$A$4:$A$72,0),DAY(表格1[[#This Row],[date]]),1,1)</f>
        <v>Jaco</v>
      </c>
      <c r="E3281" s="86">
        <f>MONTH(表格1[[#This Row],[date]])</f>
        <v>3</v>
      </c>
      <c r="F3281" s="90">
        <v>46105</v>
      </c>
      <c r="G3281" s="86" t="str">
        <f>VLOOKUP("*"&amp;表格1[[#This Row],[Input]]&amp;"*",'Ref-List'!$B:$D,2,)</f>
        <v>MX2-TT20SC(WH)</v>
      </c>
      <c r="H3281" s="86" t="str">
        <f>_xlfn.XLOOKUP(表格1[[#This Row],[Model]],表格3[Model-Input-Ref2],表格3[Product Line])</f>
        <v>3合1 微波蒸焗爐 (20公升)</v>
      </c>
      <c r="I3281" s="86" t="str">
        <f>_xlfn.XLOOKUP(表格1[[#This Row],[Model]],表格3[Model-Input-Ref2],表格3[大小電])</f>
        <v>細電</v>
      </c>
      <c r="J3281" s="86" t="str">
        <f>_xlfn.XLOOKUP(表格1[[#This Row],[Model]],表格3[Model-Input-Ref2],表格3[Code])</f>
        <v>MCA</v>
      </c>
      <c r="K3281" s="89" t="s">
        <v>1287</v>
      </c>
      <c r="L3281" s="86">
        <v>1</v>
      </c>
      <c r="M3281" s="87">
        <v>2580</v>
      </c>
      <c r="N3281" s="87">
        <f>IFERROR(表格1[[#This Row],[QTY]]*表格1[[#This Row],[Unit Price]],"-")</f>
        <v>2580</v>
      </c>
      <c r="O3281" s="86">
        <v>931517</v>
      </c>
      <c r="R3281" s="86" t="str">
        <f>_xlfn.CONCAT(表格1[[#This Row],[Model]]," ",表格1[[#This Row],[inv no]])</f>
        <v>MX2-TT20SC(WH) 931517</v>
      </c>
      <c r="S3281" s="86">
        <f>_xlfn.XLOOKUP(表格1[[#This Row],[Model]],表格3[Model-Input-Ref2],表格3[SRP PRICE])</f>
        <v>3580</v>
      </c>
      <c r="T3281" s="43">
        <f>表格1[[#This Row],[Unit Price]]/表格1[[#This Row],[SRP]]</f>
        <v>0.72067039106145248</v>
      </c>
      <c r="U3281" s="86" t="str">
        <f>_xlfn.XLOOKUP(表格1[[#This Row],[Model]],表格3[Model-Input-Ref2],表格3[TOSHIBA/HIGHEST])</f>
        <v>Toshiba SRP</v>
      </c>
      <c r="W3281" s="86" t="str">
        <f>_xlfn.CONCAT(表格1[[#This Row],[欄4]],表格1[[#This Row],[inv no]])</f>
        <v>931517</v>
      </c>
    </row>
    <row r="3282" spans="1:23" hidden="1">
      <c r="A3282" s="81">
        <v>3280</v>
      </c>
      <c r="B3282" s="86" t="s">
        <v>1477</v>
      </c>
      <c r="C3282" s="86" t="s">
        <v>1959</v>
      </c>
      <c r="D3282" s="82" t="str">
        <f ca="1">OFFSET(Roster!$A$3,MATCH(表格1[[#This Row],[Location]]&amp;" "&amp;表格1[[#This Row],[Shop]]&amp;"*",Roster!$A$4:$A$72,0),DAY(表格1[[#This Row],[date]]),1,1)</f>
        <v>Jaco</v>
      </c>
      <c r="E3282" s="86">
        <f>MONTH(表格1[[#This Row],[date]])</f>
        <v>3</v>
      </c>
      <c r="F3282" s="90">
        <v>46105</v>
      </c>
      <c r="G3282" s="86" t="str">
        <f>VLOOKUP("*"&amp;表格1[[#This Row],[Input]]&amp;"*",'Ref-List'!$B:$D,2,)</f>
        <v>RC-18DRNH</v>
      </c>
      <c r="H3282" s="86" t="str">
        <f>_xlfn.XLOOKUP(表格1[[#This Row],[Model]],表格3[Model-Input-Ref2],表格3[Product Line])</f>
        <v>多功能備長炭本厚釜電飯煲1.8L</v>
      </c>
      <c r="I3282" s="86" t="str">
        <f>_xlfn.XLOOKUP(表格1[[#This Row],[Model]],表格3[Model-Input-Ref2],表格3[大小電])</f>
        <v>細電</v>
      </c>
      <c r="J3282" s="86" t="str">
        <f>_xlfn.XLOOKUP(表格1[[#This Row],[Model]],表格3[Model-Input-Ref2],表格3[Code])</f>
        <v>SDA</v>
      </c>
      <c r="K3282" s="89" t="s">
        <v>1389</v>
      </c>
      <c r="L3282" s="86">
        <v>1</v>
      </c>
      <c r="M3282" s="87">
        <v>619</v>
      </c>
      <c r="N3282" s="87">
        <f>IFERROR(表格1[[#This Row],[QTY]]*表格1[[#This Row],[Unit Price]],"-")</f>
        <v>619</v>
      </c>
      <c r="O3282" s="86">
        <v>1025124</v>
      </c>
      <c r="R3282" s="86" t="str">
        <f>_xlfn.CONCAT(表格1[[#This Row],[Model]]," ",表格1[[#This Row],[inv no]])</f>
        <v>RC-18DRNH 1025124</v>
      </c>
      <c r="S3282" s="86">
        <f>_xlfn.XLOOKUP(表格1[[#This Row],[Model]],表格3[Model-Input-Ref2],表格3[SRP PRICE])</f>
        <v>898</v>
      </c>
      <c r="T3282" s="43">
        <f>表格1[[#This Row],[Unit Price]]/表格1[[#This Row],[SRP]]</f>
        <v>0.68930957683741645</v>
      </c>
      <c r="U3282" s="86" t="str">
        <f>_xlfn.XLOOKUP(表格1[[#This Row],[Model]],表格3[Model-Input-Ref2],表格3[TOSHIBA/HIGHEST])</f>
        <v>Toshiba SRP</v>
      </c>
      <c r="W3282" s="86" t="str">
        <f>_xlfn.CONCAT(表格1[[#This Row],[欄4]],表格1[[#This Row],[inv no]])</f>
        <v>1025124</v>
      </c>
    </row>
    <row r="3283" spans="1:23" hidden="1">
      <c r="A3283" s="81">
        <v>3281</v>
      </c>
      <c r="B3283" s="86" t="s">
        <v>1477</v>
      </c>
      <c r="C3283" s="86" t="s">
        <v>1959</v>
      </c>
      <c r="D3283" s="82" t="str">
        <f ca="1">OFFSET(Roster!$A$3,MATCH(表格1[[#This Row],[Location]]&amp;" "&amp;表格1[[#This Row],[Shop]]&amp;"*",Roster!$A$4:$A$72,0),DAY(表格1[[#This Row],[date]]),1,1)</f>
        <v>Jaco</v>
      </c>
      <c r="E3283" s="86">
        <f>MONTH(表格1[[#This Row],[date]])</f>
        <v>3</v>
      </c>
      <c r="F3283" s="90">
        <v>46105</v>
      </c>
      <c r="G3283" s="86" t="str">
        <f>VLOOKUP("*"&amp;表格1[[#This Row],[Input]]&amp;"*",'Ref-List'!$B:$D,2,)</f>
        <v>RC-18NMFIH(WT)</v>
      </c>
      <c r="H3283" s="86" t="str">
        <f>_xlfn.XLOOKUP(表格1[[#This Row],[Model]],表格3[Model-Input-Ref2],表格3[Product Line])</f>
        <v>4毫米厚釜電飯煲1.8L</v>
      </c>
      <c r="I3283" s="86" t="str">
        <f>_xlfn.XLOOKUP(表格1[[#This Row],[Model]],表格3[Model-Input-Ref2],表格3[大小電])</f>
        <v>細電</v>
      </c>
      <c r="J3283" s="86" t="str">
        <f>_xlfn.XLOOKUP(表格1[[#This Row],[Model]],表格3[Model-Input-Ref2],表格3[Code])</f>
        <v>SDA</v>
      </c>
      <c r="K3283" s="89" t="s">
        <v>1267</v>
      </c>
      <c r="L3283" s="86">
        <v>1</v>
      </c>
      <c r="M3283" s="87">
        <v>799</v>
      </c>
      <c r="N3283" s="87">
        <f>IFERROR(表格1[[#This Row],[QTY]]*表格1[[#This Row],[Unit Price]],"-")</f>
        <v>799</v>
      </c>
      <c r="O3283" s="86">
        <v>1025023</v>
      </c>
      <c r="R3283" s="86" t="str">
        <f>_xlfn.CONCAT(表格1[[#This Row],[Model]]," ",表格1[[#This Row],[inv no]])</f>
        <v>RC-18NMFIH(WT) 1025023</v>
      </c>
      <c r="S3283" s="86">
        <f>_xlfn.XLOOKUP(表格1[[#This Row],[Model]],表格3[Model-Input-Ref2],表格3[SRP PRICE])</f>
        <v>998</v>
      </c>
      <c r="T3283" s="43">
        <f>表格1[[#This Row],[Unit Price]]/表格1[[#This Row],[SRP]]</f>
        <v>0.80060120240480959</v>
      </c>
      <c r="U3283" s="86" t="str">
        <f>_xlfn.XLOOKUP(表格1[[#This Row],[Model]],表格3[Model-Input-Ref2],表格3[TOSHIBA/HIGHEST])</f>
        <v>Toshiba SRP</v>
      </c>
      <c r="W3283" s="86" t="str">
        <f>_xlfn.CONCAT(表格1[[#This Row],[欄4]],表格1[[#This Row],[inv no]])</f>
        <v>1025023</v>
      </c>
    </row>
    <row r="3284" spans="1:23" hidden="1">
      <c r="A3284" s="81">
        <v>3282</v>
      </c>
      <c r="B3284" s="86" t="s">
        <v>1477</v>
      </c>
      <c r="C3284" s="86" t="s">
        <v>1959</v>
      </c>
      <c r="D3284" s="82" t="str">
        <f ca="1">OFFSET(Roster!$A$3,MATCH(表格1[[#This Row],[Location]]&amp;" "&amp;表格1[[#This Row],[Shop]]&amp;"*",Roster!$A$4:$A$72,0),DAY(表格1[[#This Row],[date]]),1,1)</f>
        <v>Jaco</v>
      </c>
      <c r="E3284" s="86">
        <f>MONTH(表格1[[#This Row],[date]])</f>
        <v>3</v>
      </c>
      <c r="F3284" s="90">
        <v>46105</v>
      </c>
      <c r="G3284" s="86" t="str">
        <f>VLOOKUP("*"&amp;表格1[[#This Row],[Input]]&amp;"*",'Ref-List'!$B:$D,2,)</f>
        <v>KT-17DRTHK(H)</v>
      </c>
      <c r="H3284" s="86" t="str">
        <f>_xlfn.XLOOKUP(表格1[[#This Row],[Model]],表格3[Model-Input-Ref2],表格3[Product Line])</f>
        <v>無線雙層電熱水壺(1.7公升)</v>
      </c>
      <c r="I3284" s="86" t="str">
        <f>_xlfn.XLOOKUP(表格1[[#This Row],[Model]],表格3[Model-Input-Ref2],表格3[大小電])</f>
        <v>細電</v>
      </c>
      <c r="J3284" s="86" t="str">
        <f>_xlfn.XLOOKUP(表格1[[#This Row],[Model]],表格3[Model-Input-Ref2],表格3[Code])</f>
        <v>SDA</v>
      </c>
      <c r="K3284" s="89" t="s">
        <v>1271</v>
      </c>
      <c r="L3284" s="86">
        <v>1</v>
      </c>
      <c r="M3284" s="87">
        <v>388</v>
      </c>
      <c r="N3284" s="87">
        <f>IFERROR(表格1[[#This Row],[QTY]]*表格1[[#This Row],[Unit Price]],"-")</f>
        <v>388</v>
      </c>
      <c r="O3284" s="86">
        <v>1025135</v>
      </c>
      <c r="R3284" s="86" t="str">
        <f>_xlfn.CONCAT(表格1[[#This Row],[Model]]," ",表格1[[#This Row],[inv no]])</f>
        <v>KT-17DRTHK(H) 1025135</v>
      </c>
      <c r="S3284" s="86">
        <f>_xlfn.XLOOKUP(表格1[[#This Row],[Model]],表格3[Model-Input-Ref2],表格3[SRP PRICE])</f>
        <v>498</v>
      </c>
      <c r="T3284" s="43">
        <f>表格1[[#This Row],[Unit Price]]/表格1[[#This Row],[SRP]]</f>
        <v>0.77911646586345384</v>
      </c>
      <c r="U3284" s="86" t="str">
        <f>_xlfn.XLOOKUP(表格1[[#This Row],[Model]],表格3[Model-Input-Ref2],表格3[TOSHIBA/HIGHEST])</f>
        <v>Toshiba SRP</v>
      </c>
      <c r="W3284" s="86" t="str">
        <f>_xlfn.CONCAT(表格1[[#This Row],[欄4]],表格1[[#This Row],[inv no]])</f>
        <v>1025135</v>
      </c>
    </row>
    <row r="3285" spans="1:23" hidden="1">
      <c r="A3285" s="81">
        <v>3283</v>
      </c>
      <c r="B3285" s="86" t="s">
        <v>1477</v>
      </c>
      <c r="C3285" s="86" t="s">
        <v>1959</v>
      </c>
      <c r="D3285" s="82" t="str">
        <f ca="1">OFFSET(Roster!$A$3,MATCH(表格1[[#This Row],[Location]]&amp;" "&amp;表格1[[#This Row],[Shop]]&amp;"*",Roster!$A$4:$A$72,0),DAY(表格1[[#This Row],[date]]),1,1)</f>
        <v>Jaco</v>
      </c>
      <c r="E3285" s="86">
        <f>MONTH(表格1[[#This Row],[date]])</f>
        <v>3</v>
      </c>
      <c r="F3285" s="90">
        <v>46105</v>
      </c>
      <c r="G3285" s="86" t="str">
        <f>VLOOKUP("*"&amp;表格1[[#This Row],[Input]]&amp;"*",'Ref-List'!$B:$D,2,)</f>
        <v>CFK01W80</v>
      </c>
      <c r="H3285" s="86" t="str">
        <f>_xlfn.XLOOKUP(表格1[[#This Row],[Model]],表格3[Model-Input-Ref2],表格3[Product Line])</f>
        <v>變頻頂揭式洗衣機 (8公斤)</v>
      </c>
      <c r="I3285" s="86" t="str">
        <f>_xlfn.XLOOKUP(表格1[[#This Row],[Model]],表格3[Model-Input-Ref2],表格3[大小電])</f>
        <v>大電</v>
      </c>
      <c r="J3285" s="86" t="str">
        <f>_xlfn.XLOOKUP(表格1[[#This Row],[Model]],表格3[Model-Input-Ref2],表格3[Code])</f>
        <v>LAD</v>
      </c>
      <c r="K3285" s="89" t="s">
        <v>1483</v>
      </c>
      <c r="L3285" s="86">
        <v>1</v>
      </c>
      <c r="M3285" s="87">
        <v>3690</v>
      </c>
      <c r="N3285" s="87">
        <f>IFERROR(表格1[[#This Row],[QTY]]*表格1[[#This Row],[Unit Price]],"-")</f>
        <v>3690</v>
      </c>
      <c r="O3285" s="86">
        <v>931527</v>
      </c>
      <c r="R3285" s="86" t="str">
        <f>_xlfn.CONCAT(表格1[[#This Row],[Model]]," ",表格1[[#This Row],[inv no]])</f>
        <v>CFK01W80 931527</v>
      </c>
      <c r="S3285" s="86">
        <f>_xlfn.XLOOKUP(表格1[[#This Row],[Model]],表格3[Model-Input-Ref2],表格3[SRP PRICE])</f>
        <v>3690</v>
      </c>
      <c r="T3285" s="43">
        <f>表格1[[#This Row],[Unit Price]]/表格1[[#This Row],[SRP]]</f>
        <v>1</v>
      </c>
      <c r="U3285" s="86" t="str">
        <f>_xlfn.XLOOKUP(表格1[[#This Row],[Model]],表格3[Model-Input-Ref2],表格3[TOSHIBA/HIGHEST])</f>
        <v>Shops Highest Price</v>
      </c>
      <c r="W3285" s="86" t="str">
        <f>_xlfn.CONCAT(表格1[[#This Row],[欄4]],表格1[[#This Row],[inv no]])</f>
        <v>931527</v>
      </c>
    </row>
    <row r="3286" spans="1:23" hidden="1">
      <c r="A3286" s="81">
        <v>3284</v>
      </c>
      <c r="B3286" s="86" t="s">
        <v>1477</v>
      </c>
      <c r="C3286" s="86" t="s">
        <v>1959</v>
      </c>
      <c r="D3286" s="82" t="str">
        <f ca="1">OFFSET(Roster!$A$3,MATCH(表格1[[#This Row],[Location]]&amp;" "&amp;表格1[[#This Row],[Shop]]&amp;"*",Roster!$A$4:$A$72,0),DAY(表格1[[#This Row],[date]]),1,1)</f>
        <v>Jaco</v>
      </c>
      <c r="E3286" s="86">
        <f>MONTH(表格1[[#This Row],[date]])</f>
        <v>3</v>
      </c>
      <c r="F3286" s="90">
        <v>46105</v>
      </c>
      <c r="G3286" s="86" t="str">
        <f>VLOOKUP("*"&amp;表格1[[#This Row],[Input]]&amp;"*",'Ref-List'!$B:$D,2,)</f>
        <v>RAD-D300H</v>
      </c>
      <c r="H3286" s="86" t="str">
        <f>_xlfn.XLOOKUP(表格1[[#This Row],[Model]],表格3[Model-Input-Ref2],表格3[Product Line])</f>
        <v>壓縮式抽濕機 (30公升)</v>
      </c>
      <c r="I3286" s="86" t="str">
        <f>_xlfn.XLOOKUP(表格1[[#This Row],[Model]],表格3[Model-Input-Ref2],表格3[大小電])</f>
        <v>細電</v>
      </c>
      <c r="J3286" s="86" t="str">
        <f>_xlfn.XLOOKUP(表格1[[#This Row],[Model]],表格3[Model-Input-Ref2],表格3[Code])</f>
        <v>RAC</v>
      </c>
      <c r="K3286" s="89" t="s">
        <v>1252</v>
      </c>
      <c r="L3286" s="86">
        <v>1</v>
      </c>
      <c r="M3286" s="87">
        <v>2280</v>
      </c>
      <c r="N3286" s="87">
        <f>IFERROR(表格1[[#This Row],[QTY]]*表格1[[#This Row],[Unit Price]],"-")</f>
        <v>2280</v>
      </c>
      <c r="O3286" s="86">
        <v>931538</v>
      </c>
      <c r="R3286" s="86" t="str">
        <f>_xlfn.CONCAT(表格1[[#This Row],[Model]]," ",表格1[[#This Row],[inv no]])</f>
        <v>RAD-D300H 931538</v>
      </c>
      <c r="S3286" s="86">
        <f>_xlfn.XLOOKUP(表格1[[#This Row],[Model]],表格3[Model-Input-Ref2],表格3[SRP PRICE])</f>
        <v>3380</v>
      </c>
      <c r="T3286" s="43">
        <f>表格1[[#This Row],[Unit Price]]/表格1[[#This Row],[SRP]]</f>
        <v>0.67455621301775148</v>
      </c>
      <c r="U3286" s="86" t="str">
        <f>_xlfn.XLOOKUP(表格1[[#This Row],[Model]],表格3[Model-Input-Ref2],表格3[TOSHIBA/HIGHEST])</f>
        <v>Shops Highest Price</v>
      </c>
      <c r="W3286" s="86" t="str">
        <f>_xlfn.CONCAT(表格1[[#This Row],[欄4]],表格1[[#This Row],[inv no]])</f>
        <v>931538</v>
      </c>
    </row>
    <row r="3287" spans="1:23" hidden="1">
      <c r="A3287" s="81">
        <v>3285</v>
      </c>
      <c r="B3287" s="86" t="s">
        <v>1477</v>
      </c>
      <c r="C3287" s="86" t="s">
        <v>1959</v>
      </c>
      <c r="D3287" s="82" t="str">
        <f ca="1">OFFSET(Roster!$A$3,MATCH(表格1[[#This Row],[Location]]&amp;" "&amp;表格1[[#This Row],[Shop]]&amp;"*",Roster!$A$4:$A$72,0),DAY(表格1[[#This Row],[date]]),1,1)</f>
        <v>Jaco off</v>
      </c>
      <c r="E3287" s="86">
        <f>MONTH(表格1[[#This Row],[date]])</f>
        <v>3</v>
      </c>
      <c r="F3287" s="90">
        <v>46109</v>
      </c>
      <c r="G3287" s="86" t="str">
        <f>VLOOKUP("*"&amp;表格1[[#This Row],[Input]]&amp;"*",'Ref-List'!$B:$D,2,)</f>
        <v>GR-RB360WE-PMA(06)</v>
      </c>
      <c r="H3287" s="86" t="str">
        <f>_xlfn.XLOOKUP(表格1[[#This Row],[Model]],表格3[Model-Input-Ref2],表格3[Product Line])</f>
        <v>變頻下置式雙門雪櫃系列270L</v>
      </c>
      <c r="I3287" s="86" t="str">
        <f>_xlfn.XLOOKUP(表格1[[#This Row],[Model]],表格3[Model-Input-Ref2],表格3[大小電])</f>
        <v>大電</v>
      </c>
      <c r="J3287" s="86" t="str">
        <f>_xlfn.XLOOKUP(表格1[[#This Row],[Model]],表格3[Model-Input-Ref2],表格3[Code])</f>
        <v>REF</v>
      </c>
      <c r="K3287" s="89" t="s">
        <v>1282</v>
      </c>
      <c r="L3287" s="86">
        <v>1</v>
      </c>
      <c r="M3287" s="87">
        <v>3680</v>
      </c>
      <c r="N3287" s="87">
        <f>IFERROR(表格1[[#This Row],[QTY]]*表格1[[#This Row],[Unit Price]],"-")</f>
        <v>3680</v>
      </c>
      <c r="O3287" s="86">
        <v>931750</v>
      </c>
      <c r="R3287" s="86" t="str">
        <f>_xlfn.CONCAT(表格1[[#This Row],[Model]]," ",表格1[[#This Row],[inv no]])</f>
        <v>GR-RB360WE-PMA(06) 931750</v>
      </c>
      <c r="S3287" s="86">
        <f>_xlfn.XLOOKUP(表格1[[#This Row],[Model]],表格3[Model-Input-Ref2],表格3[SRP PRICE])</f>
        <v>5080</v>
      </c>
      <c r="T3287" s="43">
        <f>表格1[[#This Row],[Unit Price]]/表格1[[#This Row],[SRP]]</f>
        <v>0.72440944881889768</v>
      </c>
      <c r="U3287" s="86" t="str">
        <f>_xlfn.XLOOKUP(表格1[[#This Row],[Model]],表格3[Model-Input-Ref2],表格3[TOSHIBA/HIGHEST])</f>
        <v>Toshiba SRP</v>
      </c>
      <c r="W3287" s="86" t="str">
        <f>_xlfn.CONCAT(表格1[[#This Row],[欄4]],表格1[[#This Row],[inv no]])</f>
        <v>931750</v>
      </c>
    </row>
    <row r="3288" spans="1:23" hidden="1">
      <c r="A3288" s="81">
        <v>3286</v>
      </c>
      <c r="B3288" s="86" t="s">
        <v>1477</v>
      </c>
      <c r="C3288" s="86" t="s">
        <v>1959</v>
      </c>
      <c r="D3288" s="82" t="str">
        <f ca="1">OFFSET(Roster!$A$3,MATCH(表格1[[#This Row],[Location]]&amp;" "&amp;表格1[[#This Row],[Shop]]&amp;"*",Roster!$A$4:$A$72,0),DAY(表格1[[#This Row],[date]]),1,1)</f>
        <v>Jaco off</v>
      </c>
      <c r="E3288" s="86">
        <f>MONTH(表格1[[#This Row],[date]])</f>
        <v>3</v>
      </c>
      <c r="F3288" s="90">
        <v>46109</v>
      </c>
      <c r="G3288" s="86" t="str">
        <f>VLOOKUP("*"&amp;表格1[[#This Row],[Input]]&amp;"*",'Ref-List'!$B:$D,2,)</f>
        <v>RAC-07G3CVRGR-HK</v>
      </c>
      <c r="H3288" s="86" t="str">
        <f>_xlfn.XLOOKUP(表格1[[#This Row],[Model]],表格3[Model-Input-Ref2],表格3[Product Line])</f>
        <v>3/4 匹 窗口式冷氣機(remote)</v>
      </c>
      <c r="I3288" s="86" t="str">
        <f>_xlfn.XLOOKUP(表格1[[#This Row],[Model]],表格3[Model-Input-Ref2],表格3[大小電])</f>
        <v>大電</v>
      </c>
      <c r="J3288" s="86" t="str">
        <f>_xlfn.XLOOKUP(表格1[[#This Row],[Model]],表格3[Model-Input-Ref2],表格3[Code])</f>
        <v>AC</v>
      </c>
      <c r="K3288" s="89" t="s">
        <v>656</v>
      </c>
      <c r="L3288" s="86">
        <v>2</v>
      </c>
      <c r="M3288" s="87">
        <v>3880</v>
      </c>
      <c r="N3288" s="87">
        <f>IFERROR(表格1[[#This Row],[QTY]]*表格1[[#This Row],[Unit Price]],"-")</f>
        <v>7760</v>
      </c>
      <c r="O3288" s="86">
        <v>931692</v>
      </c>
      <c r="R3288" s="86" t="str">
        <f>_xlfn.CONCAT(表格1[[#This Row],[Model]]," ",表格1[[#This Row],[inv no]])</f>
        <v>RAC-07G3CVRGR-HK 931692</v>
      </c>
      <c r="S3288" s="86">
        <f>_xlfn.XLOOKUP(表格1[[#This Row],[Model]],表格3[Model-Input-Ref2],表格3[SRP PRICE])</f>
        <v>5580</v>
      </c>
      <c r="T3288" s="43">
        <f>表格1[[#This Row],[Unit Price]]/表格1[[#This Row],[SRP]]</f>
        <v>0.69534050179211471</v>
      </c>
      <c r="U3288" s="86" t="str">
        <f>_xlfn.XLOOKUP(表格1[[#This Row],[Model]],表格3[Model-Input-Ref2],表格3[TOSHIBA/HIGHEST])</f>
        <v>Toshiba SRP</v>
      </c>
      <c r="W3288" s="86" t="str">
        <f>_xlfn.CONCAT(表格1[[#This Row],[欄4]],表格1[[#This Row],[inv no]])</f>
        <v>931692</v>
      </c>
    </row>
    <row r="3289" spans="1:23" hidden="1">
      <c r="A3289" s="81">
        <v>3287</v>
      </c>
      <c r="B3289" s="86" t="s">
        <v>1477</v>
      </c>
      <c r="C3289" s="86" t="s">
        <v>1959</v>
      </c>
      <c r="D3289" s="82" t="str">
        <f ca="1">OFFSET(Roster!$A$3,MATCH(表格1[[#This Row],[Location]]&amp;" "&amp;表格1[[#This Row],[Shop]]&amp;"*",Roster!$A$4:$A$72,0),DAY(表格1[[#This Row],[date]]),1,1)</f>
        <v>Jaco off</v>
      </c>
      <c r="E3289" s="86">
        <f>MONTH(表格1[[#This Row],[date]])</f>
        <v>3</v>
      </c>
      <c r="F3289" s="90">
        <v>46109</v>
      </c>
      <c r="G3289" s="86" t="str">
        <f>VLOOKUP("*"&amp;表格1[[#This Row],[Input]]&amp;"*",'Ref-List'!$B:$D,2,)</f>
        <v>RAC-12G3CVRGR-HK</v>
      </c>
      <c r="H3289" s="86" t="str">
        <f>_xlfn.XLOOKUP(表格1[[#This Row],[Model]],表格3[Model-Input-Ref2],表格3[Product Line])</f>
        <v>R32變頻窗口式冷氣機 (獨立抽濕遙控</v>
      </c>
      <c r="I3289" s="86" t="str">
        <f>_xlfn.XLOOKUP(表格1[[#This Row],[Model]],表格3[Model-Input-Ref2],表格3[大小電])</f>
        <v>大電</v>
      </c>
      <c r="J3289" s="86" t="str">
        <f>_xlfn.XLOOKUP(表格1[[#This Row],[Model]],表格3[Model-Input-Ref2],表格3[Code])</f>
        <v>AC</v>
      </c>
      <c r="K3289" s="89" t="s">
        <v>1454</v>
      </c>
      <c r="L3289" s="86">
        <v>1</v>
      </c>
      <c r="M3289" s="87">
        <v>5980</v>
      </c>
      <c r="N3289" s="87">
        <f>IFERROR(表格1[[#This Row],[QTY]]*表格1[[#This Row],[Unit Price]],"-")</f>
        <v>5980</v>
      </c>
      <c r="O3289" s="86">
        <v>931692</v>
      </c>
      <c r="R3289" s="86" t="str">
        <f>_xlfn.CONCAT(表格1[[#This Row],[Model]]," ",表格1[[#This Row],[inv no]])</f>
        <v>RAC-12G3CVRGR-HK 931692</v>
      </c>
      <c r="S3289" s="86">
        <f>_xlfn.XLOOKUP(表格1[[#This Row],[Model]],表格3[Model-Input-Ref2],表格3[SRP PRICE])</f>
        <v>8680</v>
      </c>
      <c r="T3289" s="43">
        <f>表格1[[#This Row],[Unit Price]]/表格1[[#This Row],[SRP]]</f>
        <v>0.68894009216589858</v>
      </c>
      <c r="U3289" s="86" t="str">
        <f>_xlfn.XLOOKUP(表格1[[#This Row],[Model]],表格3[Model-Input-Ref2],表格3[TOSHIBA/HIGHEST])</f>
        <v>Toshiba SRP</v>
      </c>
      <c r="W3289" s="86" t="str">
        <f>_xlfn.CONCAT(表格1[[#This Row],[欄4]],表格1[[#This Row],[inv no]])</f>
        <v>931692</v>
      </c>
    </row>
    <row r="3290" spans="1:23" hidden="1">
      <c r="A3290" s="81">
        <v>3288</v>
      </c>
      <c r="B3290" s="86" t="s">
        <v>1477</v>
      </c>
      <c r="C3290" s="86" t="s">
        <v>1959</v>
      </c>
      <c r="D3290" s="82" t="str">
        <f ca="1">OFFSET(Roster!$A$3,MATCH(表格1[[#This Row],[Location]]&amp;" "&amp;表格1[[#This Row],[Shop]]&amp;"*",Roster!$A$4:$A$72,0),DAY(表格1[[#This Row],[date]]),1,1)</f>
        <v>Jaco off</v>
      </c>
      <c r="E3290" s="86">
        <f>MONTH(表格1[[#This Row],[date]])</f>
        <v>3</v>
      </c>
      <c r="F3290" s="90">
        <v>46109</v>
      </c>
      <c r="G3290" s="86" t="str">
        <f>VLOOKUP("*"&amp;表格1[[#This Row],[Input]]&amp;"*",'Ref-List'!$B:$D,2,)</f>
        <v>RAC-07G3CVRGR-HK</v>
      </c>
      <c r="H3290" s="86" t="str">
        <f>_xlfn.XLOOKUP(表格1[[#This Row],[Model]],表格3[Model-Input-Ref2],表格3[Product Line])</f>
        <v>3/4 匹 窗口式冷氣機(remote)</v>
      </c>
      <c r="I3290" s="86" t="str">
        <f>_xlfn.XLOOKUP(表格1[[#This Row],[Model]],表格3[Model-Input-Ref2],表格3[大小電])</f>
        <v>大電</v>
      </c>
      <c r="J3290" s="86" t="str">
        <f>_xlfn.XLOOKUP(表格1[[#This Row],[Model]],表格3[Model-Input-Ref2],表格3[Code])</f>
        <v>AC</v>
      </c>
      <c r="K3290" s="89" t="s">
        <v>656</v>
      </c>
      <c r="L3290" s="86">
        <v>2</v>
      </c>
      <c r="M3290" s="87">
        <v>3880</v>
      </c>
      <c r="N3290" s="87">
        <f>IFERROR(表格1[[#This Row],[QTY]]*表格1[[#This Row],[Unit Price]],"-")</f>
        <v>7760</v>
      </c>
      <c r="O3290" s="86">
        <v>931697</v>
      </c>
      <c r="R3290" s="86" t="str">
        <f>_xlfn.CONCAT(表格1[[#This Row],[Model]]," ",表格1[[#This Row],[inv no]])</f>
        <v>RAC-07G3CVRGR-HK 931697</v>
      </c>
      <c r="S3290" s="86">
        <f>_xlfn.XLOOKUP(表格1[[#This Row],[Model]],表格3[Model-Input-Ref2],表格3[SRP PRICE])</f>
        <v>5580</v>
      </c>
      <c r="T3290" s="43">
        <f>表格1[[#This Row],[Unit Price]]/表格1[[#This Row],[SRP]]</f>
        <v>0.69534050179211471</v>
      </c>
      <c r="U3290" s="86" t="str">
        <f>_xlfn.XLOOKUP(表格1[[#This Row],[Model]],表格3[Model-Input-Ref2],表格3[TOSHIBA/HIGHEST])</f>
        <v>Toshiba SRP</v>
      </c>
      <c r="W3290" s="86" t="str">
        <f>_xlfn.CONCAT(表格1[[#This Row],[欄4]],表格1[[#This Row],[inv no]])</f>
        <v>931697</v>
      </c>
    </row>
    <row r="3291" spans="1:23" hidden="1">
      <c r="A3291" s="81">
        <v>3289</v>
      </c>
      <c r="B3291" s="86" t="s">
        <v>1477</v>
      </c>
      <c r="C3291" s="86" t="s">
        <v>1959</v>
      </c>
      <c r="D3291" s="82" t="str">
        <f ca="1">OFFSET(Roster!$A$3,MATCH(表格1[[#This Row],[Location]]&amp;" "&amp;表格1[[#This Row],[Shop]]&amp;"*",Roster!$A$4:$A$72,0),DAY(表格1[[#This Row],[date]]),1,1)</f>
        <v>Jaco off</v>
      </c>
      <c r="E3291" s="86">
        <f>MONTH(表格1[[#This Row],[date]])</f>
        <v>3</v>
      </c>
      <c r="F3291" s="90">
        <v>46109</v>
      </c>
      <c r="G3291" s="86" t="str">
        <f>VLOOKUP("*"&amp;表格1[[#This Row],[Input]]&amp;"*",'Ref-List'!$B:$D,2,)</f>
        <v>RAC-12G3CVRGR-HK</v>
      </c>
      <c r="H3291" s="86" t="str">
        <f>_xlfn.XLOOKUP(表格1[[#This Row],[Model]],表格3[Model-Input-Ref2],表格3[Product Line])</f>
        <v>R32變頻窗口式冷氣機 (獨立抽濕遙控</v>
      </c>
      <c r="I3291" s="86" t="str">
        <f>_xlfn.XLOOKUP(表格1[[#This Row],[Model]],表格3[Model-Input-Ref2],表格3[大小電])</f>
        <v>大電</v>
      </c>
      <c r="J3291" s="86" t="str">
        <f>_xlfn.XLOOKUP(表格1[[#This Row],[Model]],表格3[Model-Input-Ref2],表格3[Code])</f>
        <v>AC</v>
      </c>
      <c r="K3291" s="89" t="s">
        <v>1454</v>
      </c>
      <c r="L3291" s="86">
        <v>1</v>
      </c>
      <c r="M3291" s="87">
        <v>5980</v>
      </c>
      <c r="N3291" s="87">
        <f>IFERROR(表格1[[#This Row],[QTY]]*表格1[[#This Row],[Unit Price]],"-")</f>
        <v>5980</v>
      </c>
      <c r="O3291" s="86">
        <v>931697</v>
      </c>
      <c r="R3291" s="86" t="str">
        <f>_xlfn.CONCAT(表格1[[#This Row],[Model]]," ",表格1[[#This Row],[inv no]])</f>
        <v>RAC-12G3CVRGR-HK 931697</v>
      </c>
      <c r="S3291" s="86">
        <f>_xlfn.XLOOKUP(表格1[[#This Row],[Model]],表格3[Model-Input-Ref2],表格3[SRP PRICE])</f>
        <v>8680</v>
      </c>
      <c r="T3291" s="43">
        <f>表格1[[#This Row],[Unit Price]]/表格1[[#This Row],[SRP]]</f>
        <v>0.68894009216589858</v>
      </c>
      <c r="U3291" s="86" t="str">
        <f>_xlfn.XLOOKUP(表格1[[#This Row],[Model]],表格3[Model-Input-Ref2],表格3[TOSHIBA/HIGHEST])</f>
        <v>Toshiba SRP</v>
      </c>
      <c r="W3291" s="86" t="str">
        <f>_xlfn.CONCAT(表格1[[#This Row],[欄4]],表格1[[#This Row],[inv no]])</f>
        <v>931697</v>
      </c>
    </row>
    <row r="3292" spans="1:23" hidden="1">
      <c r="A3292" s="81">
        <v>3290</v>
      </c>
      <c r="B3292" s="86" t="s">
        <v>1477</v>
      </c>
      <c r="C3292" s="86" t="s">
        <v>1959</v>
      </c>
      <c r="D3292" s="82" t="str">
        <f ca="1">OFFSET(Roster!$A$3,MATCH(表格1[[#This Row],[Location]]&amp;" "&amp;表格1[[#This Row],[Shop]]&amp;"*",Roster!$A$4:$A$72,0),DAY(表格1[[#This Row],[date]]),1,1)</f>
        <v>Jaco off</v>
      </c>
      <c r="E3292" s="86">
        <f>MONTH(表格1[[#This Row],[date]])</f>
        <v>3</v>
      </c>
      <c r="F3292" s="90">
        <v>46109</v>
      </c>
      <c r="G3292" s="86" t="str">
        <f>VLOOKUP("*"&amp;表格1[[#This Row],[Input]]&amp;"*",'Ref-List'!$B:$D,2,)</f>
        <v>GR-RB449WE-PMA(57)</v>
      </c>
      <c r="H3292" s="86" t="str">
        <f>_xlfn.XLOOKUP(表格1[[#This Row],[Model]],表格3[Model-Input-Ref2],表格3[Product Line])</f>
        <v>變頻下置式雙門雪櫃</v>
      </c>
      <c r="I3292" s="86" t="str">
        <f>_xlfn.XLOOKUP(表格1[[#This Row],[Model]],表格3[Model-Input-Ref2],表格3[大小電])</f>
        <v>大電</v>
      </c>
      <c r="J3292" s="86" t="str">
        <f>_xlfn.XLOOKUP(表格1[[#This Row],[Model]],表格3[Model-Input-Ref2],表格3[Code])</f>
        <v>REF</v>
      </c>
      <c r="K3292" s="89" t="s">
        <v>1484</v>
      </c>
      <c r="L3292" s="86">
        <v>1</v>
      </c>
      <c r="M3292" s="87">
        <v>4880</v>
      </c>
      <c r="N3292" s="87">
        <f>IFERROR(表格1[[#This Row],[QTY]]*表格1[[#This Row],[Unit Price]],"-")</f>
        <v>4880</v>
      </c>
      <c r="O3292" s="86">
        <v>931715</v>
      </c>
      <c r="R3292" s="86" t="str">
        <f>_xlfn.CONCAT(表格1[[#This Row],[Model]]," ",表格1[[#This Row],[inv no]])</f>
        <v>GR-RB449WE-PMA(57) 931715</v>
      </c>
      <c r="S3292" s="86">
        <f>_xlfn.XLOOKUP(表格1[[#This Row],[Model]],表格3[Model-Input-Ref2],表格3[SRP PRICE])</f>
        <v>6280</v>
      </c>
      <c r="T3292" s="43">
        <f>表格1[[#This Row],[Unit Price]]/表格1[[#This Row],[SRP]]</f>
        <v>0.77707006369426757</v>
      </c>
      <c r="U3292" s="86" t="str">
        <f>_xlfn.XLOOKUP(表格1[[#This Row],[Model]],表格3[Model-Input-Ref2],表格3[TOSHIBA/HIGHEST])</f>
        <v>Toshiba SRP</v>
      </c>
      <c r="W3292" s="86" t="str">
        <f>_xlfn.CONCAT(表格1[[#This Row],[欄4]],表格1[[#This Row],[inv no]])</f>
        <v>931715</v>
      </c>
    </row>
    <row r="3293" spans="1:23" hidden="1">
      <c r="A3293" s="81">
        <v>3291</v>
      </c>
      <c r="B3293" s="86" t="s">
        <v>1477</v>
      </c>
      <c r="C3293" s="86" t="s">
        <v>1959</v>
      </c>
      <c r="D3293" s="82" t="str">
        <f ca="1">OFFSET(Roster!$A$3,MATCH(表格1[[#This Row],[Location]]&amp;" "&amp;表格1[[#This Row],[Shop]]&amp;"*",Roster!$A$4:$A$72,0),DAY(表格1[[#This Row],[date]]),1,1)</f>
        <v>Jaco off</v>
      </c>
      <c r="E3293" s="86">
        <f>MONTH(表格1[[#This Row],[date]])</f>
        <v>3</v>
      </c>
      <c r="F3293" s="90">
        <v>46109</v>
      </c>
      <c r="G3293" s="86" t="str">
        <f>VLOOKUP("*"&amp;表格1[[#This Row],[Input]]&amp;"*",'Ref-List'!$B:$D,2,)</f>
        <v>TWD-T21BU95UWH(WW)</v>
      </c>
      <c r="H3293" s="86" t="str">
        <f>_xlfn.XLOOKUP(表格1[[#This Row],[Model]],表格3[Model-Input-Ref2],表格3[Product Line])</f>
        <v>470MM超薄身前置式變頻洗衣乾衣機 (洗8.5公斤 乾6公斤)</v>
      </c>
      <c r="I3293" s="86" t="str">
        <f>_xlfn.XLOOKUP(表格1[[#This Row],[Model]],表格3[Model-Input-Ref2],表格3[大小電])</f>
        <v>大電</v>
      </c>
      <c r="J3293" s="86" t="str">
        <f>_xlfn.XLOOKUP(表格1[[#This Row],[Model]],表格3[Model-Input-Ref2],表格3[Code])</f>
        <v>LAD</v>
      </c>
      <c r="K3293" s="89" t="s">
        <v>1461</v>
      </c>
      <c r="L3293" s="86">
        <v>1</v>
      </c>
      <c r="M3293" s="87">
        <v>4380</v>
      </c>
      <c r="N3293" s="87">
        <f>IFERROR(表格1[[#This Row],[QTY]]*表格1[[#This Row],[Unit Price]],"-")</f>
        <v>4380</v>
      </c>
      <c r="O3293" s="86">
        <v>931761</v>
      </c>
      <c r="R3293" s="86" t="str">
        <f>_xlfn.CONCAT(表格1[[#This Row],[Model]]," ",表格1[[#This Row],[inv no]])</f>
        <v>TWD-T21BU95UWH(WW) 931761</v>
      </c>
      <c r="S3293" s="86">
        <f>_xlfn.XLOOKUP(表格1[[#This Row],[Model]],表格3[Model-Input-Ref2],表格3[SRP PRICE])</f>
        <v>7280</v>
      </c>
      <c r="T3293" s="43">
        <f>表格1[[#This Row],[Unit Price]]/表格1[[#This Row],[SRP]]</f>
        <v>0.60164835164835162</v>
      </c>
      <c r="U3293" s="86" t="str">
        <f>_xlfn.XLOOKUP(表格1[[#This Row],[Model]],表格3[Model-Input-Ref2],表格3[TOSHIBA/HIGHEST])</f>
        <v>Toshiba SRP</v>
      </c>
      <c r="W3293" s="86" t="str">
        <f>_xlfn.CONCAT(表格1[[#This Row],[欄4]],表格1[[#This Row],[inv no]])</f>
        <v>931761</v>
      </c>
    </row>
    <row r="3294" spans="1:23" hidden="1">
      <c r="A3294" s="81">
        <v>3292</v>
      </c>
      <c r="B3294" s="86" t="s">
        <v>1477</v>
      </c>
      <c r="C3294" s="86" t="s">
        <v>1959</v>
      </c>
      <c r="D3294" s="82" t="str">
        <f ca="1">OFFSET(Roster!$A$3,MATCH(表格1[[#This Row],[Location]]&amp;" "&amp;表格1[[#This Row],[Shop]]&amp;"*",Roster!$A$4:$A$72,0),DAY(表格1[[#This Row],[date]]),1,1)</f>
        <v>Jaco off</v>
      </c>
      <c r="E3294" s="86">
        <f>MONTH(表格1[[#This Row],[date]])</f>
        <v>3</v>
      </c>
      <c r="F3294" s="90">
        <v>46109</v>
      </c>
      <c r="G3294" s="86" t="str">
        <f>VLOOKUP("*"&amp;表格1[[#This Row],[Input]]&amp;"*",'Ref-List'!$B:$D,2,)</f>
        <v>MX2-STR25SC(WH)</v>
      </c>
      <c r="H3294" s="86" t="str">
        <f>_xlfn.XLOOKUP(表格1[[#This Row],[Model]],表格3[Model-Input-Ref2],表格3[Product Line])</f>
        <v>4合1氣炸微波蒸焗爐(25公升)</v>
      </c>
      <c r="I3294" s="86" t="str">
        <f>_xlfn.XLOOKUP(表格1[[#This Row],[Model]],表格3[Model-Input-Ref2],表格3[大小電])</f>
        <v>細電</v>
      </c>
      <c r="J3294" s="86" t="str">
        <f>_xlfn.XLOOKUP(表格1[[#This Row],[Model]],表格3[Model-Input-Ref2],表格3[Code])</f>
        <v>MCA</v>
      </c>
      <c r="K3294" s="89" t="s">
        <v>1410</v>
      </c>
      <c r="L3294" s="86">
        <v>1</v>
      </c>
      <c r="M3294" s="87">
        <v>3580</v>
      </c>
      <c r="N3294" s="87">
        <f>IFERROR(表格1[[#This Row],[QTY]]*表格1[[#This Row],[Unit Price]],"-")</f>
        <v>3580</v>
      </c>
      <c r="O3294" s="86">
        <v>931624</v>
      </c>
      <c r="R3294" s="86" t="str">
        <f>_xlfn.CONCAT(表格1[[#This Row],[Model]]," ",表格1[[#This Row],[inv no]])</f>
        <v>MX2-STR25SC(WH) 931624</v>
      </c>
      <c r="S3294" s="86">
        <f>_xlfn.XLOOKUP(表格1[[#This Row],[Model]],表格3[Model-Input-Ref2],表格3[SRP PRICE])</f>
        <v>4998</v>
      </c>
      <c r="T3294" s="43">
        <f>表格1[[#This Row],[Unit Price]]/表格1[[#This Row],[SRP]]</f>
        <v>0.71628651460584236</v>
      </c>
      <c r="U3294" s="86" t="str">
        <f>_xlfn.XLOOKUP(表格1[[#This Row],[Model]],表格3[Model-Input-Ref2],表格3[TOSHIBA/HIGHEST])</f>
        <v>Toshiba SRP</v>
      </c>
      <c r="W3294" s="86" t="str">
        <f>_xlfn.CONCAT(表格1[[#This Row],[欄4]],表格1[[#This Row],[inv no]])</f>
        <v>931624</v>
      </c>
    </row>
    <row r="3295" spans="1:23" hidden="1">
      <c r="A3295" s="81">
        <v>3293</v>
      </c>
      <c r="B3295" s="86" t="s">
        <v>1477</v>
      </c>
      <c r="C3295" s="86" t="s">
        <v>1959</v>
      </c>
      <c r="D3295" s="82" t="str">
        <f ca="1">OFFSET(Roster!$A$3,MATCH(表格1[[#This Row],[Location]]&amp;" "&amp;表格1[[#This Row],[Shop]]&amp;"*",Roster!$A$4:$A$72,0),DAY(表格1[[#This Row],[date]]),1,1)</f>
        <v>Jaco off</v>
      </c>
      <c r="E3295" s="86">
        <f>MONTH(表格1[[#This Row],[date]])</f>
        <v>3</v>
      </c>
      <c r="F3295" s="90">
        <v>46109</v>
      </c>
      <c r="G3295" s="86" t="str">
        <f>VLOOKUP("*"&amp;表格1[[#This Row],[Input]]&amp;"*",'Ref-List'!$B:$D,2,)</f>
        <v>RC-10IRPH</v>
      </c>
      <c r="H3295" s="86" t="str">
        <f>_xlfn.XLOOKUP(表格1[[#This Row],[Model]],表格3[Model-Input-Ref2],表格3[Product Line])</f>
        <v>低醣磁應電飯煲1L</v>
      </c>
      <c r="I3295" s="86" t="str">
        <f>_xlfn.XLOOKUP(表格1[[#This Row],[Model]],表格3[Model-Input-Ref2],表格3[大小電])</f>
        <v>細電</v>
      </c>
      <c r="J3295" s="86" t="str">
        <f>_xlfn.XLOOKUP(表格1[[#This Row],[Model]],表格3[Model-Input-Ref2],表格3[Code])</f>
        <v>SDA</v>
      </c>
      <c r="K3295" s="89" t="s">
        <v>1297</v>
      </c>
      <c r="L3295" s="86">
        <v>1</v>
      </c>
      <c r="M3295" s="87">
        <v>798</v>
      </c>
      <c r="N3295" s="87">
        <f>IFERROR(表格1[[#This Row],[QTY]]*表格1[[#This Row],[Unit Price]],"-")</f>
        <v>798</v>
      </c>
      <c r="O3295" s="86">
        <v>931675</v>
      </c>
      <c r="R3295" s="86" t="str">
        <f>_xlfn.CONCAT(表格1[[#This Row],[Model]]," ",表格1[[#This Row],[inv no]])</f>
        <v>RC-10IRPH 931675</v>
      </c>
      <c r="S3295" s="86">
        <f>_xlfn.XLOOKUP(表格1[[#This Row],[Model]],表格3[Model-Input-Ref2],表格3[SRP PRICE])</f>
        <v>1388</v>
      </c>
      <c r="T3295" s="43">
        <f>表格1[[#This Row],[Unit Price]]/表格1[[#This Row],[SRP]]</f>
        <v>0.5749279538904899</v>
      </c>
      <c r="U3295" s="86" t="str">
        <f>_xlfn.XLOOKUP(表格1[[#This Row],[Model]],表格3[Model-Input-Ref2],表格3[TOSHIBA/HIGHEST])</f>
        <v>Toshiba SRP</v>
      </c>
      <c r="W3295" s="86" t="str">
        <f>_xlfn.CONCAT(表格1[[#This Row],[欄4]],表格1[[#This Row],[inv no]])</f>
        <v>931675</v>
      </c>
    </row>
    <row r="3296" spans="1:23" hidden="1">
      <c r="A3296" s="81">
        <v>3294</v>
      </c>
      <c r="B3296" s="86" t="s">
        <v>1477</v>
      </c>
      <c r="C3296" s="86" t="s">
        <v>1959</v>
      </c>
      <c r="D3296" s="82" t="str">
        <f ca="1">OFFSET(Roster!$A$3,MATCH(表格1[[#This Row],[Location]]&amp;" "&amp;表格1[[#This Row],[Shop]]&amp;"*",Roster!$A$4:$A$72,0),DAY(表格1[[#This Row],[date]]),1,1)</f>
        <v>Jaco off</v>
      </c>
      <c r="E3296" s="86">
        <f>MONTH(表格1[[#This Row],[date]])</f>
        <v>3</v>
      </c>
      <c r="F3296" s="90">
        <v>46109</v>
      </c>
      <c r="G3296" s="86" t="str">
        <f>VLOOKUP("*"&amp;表格1[[#This Row],[Input]]&amp;"*",'Ref-List'!$B:$D,2,)</f>
        <v>RC-10IRPH</v>
      </c>
      <c r="H3296" s="86" t="str">
        <f>_xlfn.XLOOKUP(表格1[[#This Row],[Model]],表格3[Model-Input-Ref2],表格3[Product Line])</f>
        <v>低醣磁應電飯煲1L</v>
      </c>
      <c r="I3296" s="86" t="str">
        <f>_xlfn.XLOOKUP(表格1[[#This Row],[Model]],表格3[Model-Input-Ref2],表格3[大小電])</f>
        <v>細電</v>
      </c>
      <c r="J3296" s="86" t="str">
        <f>_xlfn.XLOOKUP(表格1[[#This Row],[Model]],表格3[Model-Input-Ref2],表格3[Code])</f>
        <v>SDA</v>
      </c>
      <c r="K3296" s="89" t="s">
        <v>1297</v>
      </c>
      <c r="L3296" s="86">
        <v>1</v>
      </c>
      <c r="M3296" s="87">
        <v>798</v>
      </c>
      <c r="N3296" s="87">
        <f>IFERROR(表格1[[#This Row],[QTY]]*表格1[[#This Row],[Unit Price]],"-")</f>
        <v>798</v>
      </c>
      <c r="O3296" s="86">
        <v>931736</v>
      </c>
      <c r="R3296" s="86" t="str">
        <f>_xlfn.CONCAT(表格1[[#This Row],[Model]]," ",表格1[[#This Row],[inv no]])</f>
        <v>RC-10IRPH 931736</v>
      </c>
      <c r="S3296" s="86">
        <f>_xlfn.XLOOKUP(表格1[[#This Row],[Model]],表格3[Model-Input-Ref2],表格3[SRP PRICE])</f>
        <v>1388</v>
      </c>
      <c r="T3296" s="43">
        <f>表格1[[#This Row],[Unit Price]]/表格1[[#This Row],[SRP]]</f>
        <v>0.5749279538904899</v>
      </c>
      <c r="U3296" s="86" t="str">
        <f>_xlfn.XLOOKUP(表格1[[#This Row],[Model]],表格3[Model-Input-Ref2],表格3[TOSHIBA/HIGHEST])</f>
        <v>Toshiba SRP</v>
      </c>
      <c r="W3296" s="86" t="str">
        <f>_xlfn.CONCAT(表格1[[#This Row],[欄4]],表格1[[#This Row],[inv no]])</f>
        <v>931736</v>
      </c>
    </row>
    <row r="3297" spans="1:23" hidden="1">
      <c r="A3297" s="81">
        <v>3295</v>
      </c>
      <c r="B3297" s="86" t="s">
        <v>1477</v>
      </c>
      <c r="C3297" s="86" t="s">
        <v>1959</v>
      </c>
      <c r="D3297" s="82" t="str">
        <f ca="1">OFFSET(Roster!$A$3,MATCH(表格1[[#This Row],[Location]]&amp;" "&amp;表格1[[#This Row],[Shop]]&amp;"*",Roster!$A$4:$A$72,0),DAY(表格1[[#This Row],[date]]),1,1)</f>
        <v>Jaco off</v>
      </c>
      <c r="E3297" s="86">
        <f>MONTH(表格1[[#This Row],[date]])</f>
        <v>3</v>
      </c>
      <c r="F3297" s="90">
        <v>46109</v>
      </c>
      <c r="G3297" s="86" t="str">
        <f>VLOOKUP("*"&amp;表格1[[#This Row],[Input]]&amp;"*",'Ref-List'!$B:$D,2,)</f>
        <v>KT-17SHNH</v>
      </c>
      <c r="H3297" s="86" t="str">
        <f>_xlfn.XLOOKUP(表格1[[#This Row],[Model]],表格3[Model-Input-Ref2],表格3[Product Line])</f>
        <v>1.7L無線雙層電熱水壺</v>
      </c>
      <c r="I3297" s="86" t="str">
        <f>_xlfn.XLOOKUP(表格1[[#This Row],[Model]],表格3[Model-Input-Ref2],表格3[大小電])</f>
        <v>細電</v>
      </c>
      <c r="J3297" s="86" t="str">
        <f>_xlfn.XLOOKUP(表格1[[#This Row],[Model]],表格3[Model-Input-Ref2],表格3[Code])</f>
        <v>SDA</v>
      </c>
      <c r="K3297" s="89" t="s">
        <v>1283</v>
      </c>
      <c r="L3297" s="86">
        <v>1</v>
      </c>
      <c r="M3297" s="87">
        <v>198</v>
      </c>
      <c r="N3297" s="87">
        <f>IFERROR(表格1[[#This Row],[QTY]]*表格1[[#This Row],[Unit Price]],"-")</f>
        <v>198</v>
      </c>
      <c r="O3297" s="86">
        <v>931721</v>
      </c>
      <c r="R3297" s="86" t="str">
        <f>_xlfn.CONCAT(表格1[[#This Row],[Model]]," ",表格1[[#This Row],[inv no]])</f>
        <v>KT-17SHNH 931721</v>
      </c>
      <c r="S3297" s="86">
        <f>_xlfn.XLOOKUP(表格1[[#This Row],[Model]],表格3[Model-Input-Ref2],表格3[SRP PRICE])</f>
        <v>299</v>
      </c>
      <c r="T3297" s="43">
        <f>表格1[[#This Row],[Unit Price]]/表格1[[#This Row],[SRP]]</f>
        <v>0.66220735785953178</v>
      </c>
      <c r="U3297" s="86" t="str">
        <f>_xlfn.XLOOKUP(表格1[[#This Row],[Model]],表格3[Model-Input-Ref2],表格3[TOSHIBA/HIGHEST])</f>
        <v>Shops Highest Price</v>
      </c>
      <c r="W3297" s="86" t="str">
        <f>_xlfn.CONCAT(表格1[[#This Row],[欄4]],表格1[[#This Row],[inv no]])</f>
        <v>931721</v>
      </c>
    </row>
    <row r="3298" spans="1:23" hidden="1">
      <c r="A3298" s="81">
        <v>3296</v>
      </c>
      <c r="B3298" s="86" t="s">
        <v>1477</v>
      </c>
      <c r="C3298" s="86" t="s">
        <v>1959</v>
      </c>
      <c r="D3298" s="82" t="str">
        <f ca="1">OFFSET(Roster!$A$3,MATCH(表格1[[#This Row],[Location]]&amp;" "&amp;表格1[[#This Row],[Shop]]&amp;"*",Roster!$A$4:$A$72,0),DAY(表格1[[#This Row],[date]]),1,1)</f>
        <v>Jaco</v>
      </c>
      <c r="E3298" s="86">
        <f>MONTH(表格1[[#This Row],[date]])</f>
        <v>3</v>
      </c>
      <c r="F3298" s="90">
        <v>46110</v>
      </c>
      <c r="G3298" s="86" t="str">
        <f>VLOOKUP("*"&amp;表格1[[#This Row],[Input]]&amp;"*",'Ref-List'!$B:$D,2,)</f>
        <v>KT-17DRTHK(H)</v>
      </c>
      <c r="H3298" s="86" t="str">
        <f>_xlfn.XLOOKUP(表格1[[#This Row],[Model]],表格3[Model-Input-Ref2],表格3[Product Line])</f>
        <v>無線雙層電熱水壺(1.7公升)</v>
      </c>
      <c r="I3298" s="86" t="str">
        <f>_xlfn.XLOOKUP(表格1[[#This Row],[Model]],表格3[Model-Input-Ref2],表格3[大小電])</f>
        <v>細電</v>
      </c>
      <c r="J3298" s="86" t="str">
        <f>_xlfn.XLOOKUP(表格1[[#This Row],[Model]],表格3[Model-Input-Ref2],表格3[Code])</f>
        <v>SDA</v>
      </c>
      <c r="K3298" s="89" t="s">
        <v>1271</v>
      </c>
      <c r="L3298" s="86">
        <v>1</v>
      </c>
      <c r="M3298" s="87">
        <v>388</v>
      </c>
      <c r="N3298" s="87">
        <f>IFERROR(表格1[[#This Row],[QTY]]*表格1[[#This Row],[Unit Price]],"-")</f>
        <v>388</v>
      </c>
      <c r="O3298" s="86">
        <v>1025309</v>
      </c>
      <c r="R3298" s="86" t="str">
        <f>_xlfn.CONCAT(表格1[[#This Row],[Model]]," ",表格1[[#This Row],[inv no]])</f>
        <v>KT-17DRTHK(H) 1025309</v>
      </c>
      <c r="S3298" s="86">
        <f>_xlfn.XLOOKUP(表格1[[#This Row],[Model]],表格3[Model-Input-Ref2],表格3[SRP PRICE])</f>
        <v>498</v>
      </c>
      <c r="T3298" s="43">
        <f>表格1[[#This Row],[Unit Price]]/表格1[[#This Row],[SRP]]</f>
        <v>0.77911646586345384</v>
      </c>
      <c r="U3298" s="86" t="str">
        <f>_xlfn.XLOOKUP(表格1[[#This Row],[Model]],表格3[Model-Input-Ref2],表格3[TOSHIBA/HIGHEST])</f>
        <v>Toshiba SRP</v>
      </c>
      <c r="W3298" s="86" t="str">
        <f>_xlfn.CONCAT(表格1[[#This Row],[欄4]],表格1[[#This Row],[inv no]])</f>
        <v>1025309</v>
      </c>
    </row>
    <row r="3299" spans="1:23" hidden="1">
      <c r="A3299" s="81">
        <v>3297</v>
      </c>
      <c r="B3299" s="86" t="s">
        <v>1477</v>
      </c>
      <c r="C3299" s="86" t="s">
        <v>1959</v>
      </c>
      <c r="D3299" s="82" t="str">
        <f ca="1">OFFSET(Roster!$A$3,MATCH(表格1[[#This Row],[Location]]&amp;" "&amp;表格1[[#This Row],[Shop]]&amp;"*",Roster!$A$4:$A$72,0),DAY(表格1[[#This Row],[date]]),1,1)</f>
        <v>Jaco</v>
      </c>
      <c r="E3299" s="86">
        <f>MONTH(表格1[[#This Row],[date]])</f>
        <v>3</v>
      </c>
      <c r="F3299" s="90">
        <v>46110</v>
      </c>
      <c r="G3299" s="86" t="str">
        <f>VLOOKUP("*"&amp;表格1[[#This Row],[Input]]&amp;"*",'Ref-List'!$B:$D,2,)</f>
        <v>KT-17SHNH</v>
      </c>
      <c r="H3299" s="86" t="str">
        <f>_xlfn.XLOOKUP(表格1[[#This Row],[Model]],表格3[Model-Input-Ref2],表格3[Product Line])</f>
        <v>1.7L無線雙層電熱水壺</v>
      </c>
      <c r="I3299" s="86" t="str">
        <f>_xlfn.XLOOKUP(表格1[[#This Row],[Model]],表格3[Model-Input-Ref2],表格3[大小電])</f>
        <v>細電</v>
      </c>
      <c r="J3299" s="86" t="str">
        <f>_xlfn.XLOOKUP(表格1[[#This Row],[Model]],表格3[Model-Input-Ref2],表格3[Code])</f>
        <v>SDA</v>
      </c>
      <c r="K3299" s="89" t="s">
        <v>1283</v>
      </c>
      <c r="L3299" s="86">
        <v>1</v>
      </c>
      <c r="M3299" s="87">
        <v>198</v>
      </c>
      <c r="N3299" s="87">
        <f>IFERROR(表格1[[#This Row],[QTY]]*表格1[[#This Row],[Unit Price]],"-")</f>
        <v>198</v>
      </c>
      <c r="O3299" s="86">
        <v>1025240</v>
      </c>
      <c r="R3299" s="86" t="str">
        <f>_xlfn.CONCAT(表格1[[#This Row],[Model]]," ",表格1[[#This Row],[inv no]])</f>
        <v>KT-17SHNH 1025240</v>
      </c>
      <c r="S3299" s="86">
        <f>_xlfn.XLOOKUP(表格1[[#This Row],[Model]],表格3[Model-Input-Ref2],表格3[SRP PRICE])</f>
        <v>299</v>
      </c>
      <c r="T3299" s="43">
        <f>表格1[[#This Row],[Unit Price]]/表格1[[#This Row],[SRP]]</f>
        <v>0.66220735785953178</v>
      </c>
      <c r="U3299" s="86" t="str">
        <f>_xlfn.XLOOKUP(表格1[[#This Row],[Model]],表格3[Model-Input-Ref2],表格3[TOSHIBA/HIGHEST])</f>
        <v>Shops Highest Price</v>
      </c>
      <c r="W3299" s="86" t="str">
        <f>_xlfn.CONCAT(表格1[[#This Row],[欄4]],表格1[[#This Row],[inv no]])</f>
        <v>1025240</v>
      </c>
    </row>
    <row r="3300" spans="1:23" hidden="1">
      <c r="A3300" s="81">
        <v>3298</v>
      </c>
      <c r="B3300" s="86" t="s">
        <v>1477</v>
      </c>
      <c r="C3300" s="86" t="s">
        <v>1959</v>
      </c>
      <c r="D3300" s="82" t="str">
        <f ca="1">OFFSET(Roster!$A$3,MATCH(表格1[[#This Row],[Location]]&amp;" "&amp;表格1[[#This Row],[Shop]]&amp;"*",Roster!$A$4:$A$72,0),DAY(表格1[[#This Row],[date]]),1,1)</f>
        <v>Jaco</v>
      </c>
      <c r="E3300" s="86">
        <f>MONTH(表格1[[#This Row],[date]])</f>
        <v>3</v>
      </c>
      <c r="F3300" s="90">
        <v>46110</v>
      </c>
      <c r="G3300" s="86" t="str">
        <f>VLOOKUP("*"&amp;表格1[[#This Row],[Input]]&amp;"*",'Ref-List'!$B:$D,2,)</f>
        <v>RAC-09G3CVRGR-HK</v>
      </c>
      <c r="H3300" s="86" t="str">
        <f>_xlfn.XLOOKUP(表格1[[#This Row],[Model]],表格3[Model-Input-Ref2],表格3[Product Line])</f>
        <v>1 匹 R32變頻窗口式冷氣機 (獨立抽濕遙控</v>
      </c>
      <c r="I3300" s="86" t="str">
        <f>_xlfn.XLOOKUP(表格1[[#This Row],[Model]],表格3[Model-Input-Ref2],表格3[大小電])</f>
        <v>大電</v>
      </c>
      <c r="J3300" s="86" t="str">
        <f>_xlfn.XLOOKUP(表格1[[#This Row],[Model]],表格3[Model-Input-Ref2],表格3[Code])</f>
        <v>AC</v>
      </c>
      <c r="K3300" s="89" t="s">
        <v>1474</v>
      </c>
      <c r="L3300" s="86">
        <v>1</v>
      </c>
      <c r="M3300" s="87">
        <v>4980</v>
      </c>
      <c r="N3300" s="87">
        <f>IFERROR(表格1[[#This Row],[QTY]]*表格1[[#This Row],[Unit Price]],"-")</f>
        <v>4980</v>
      </c>
      <c r="O3300" s="86">
        <v>1025279</v>
      </c>
      <c r="R3300" s="86" t="str">
        <f>_xlfn.CONCAT(表格1[[#This Row],[Model]]," ",表格1[[#This Row],[inv no]])</f>
        <v>RAC-09G3CVRGR-HK 1025279</v>
      </c>
      <c r="S3300" s="86">
        <f>_xlfn.XLOOKUP(表格1[[#This Row],[Model]],表格3[Model-Input-Ref2],表格3[SRP PRICE])</f>
        <v>6980</v>
      </c>
      <c r="T3300" s="43">
        <f>表格1[[#This Row],[Unit Price]]/表格1[[#This Row],[SRP]]</f>
        <v>0.71346704871060174</v>
      </c>
      <c r="U3300" s="86" t="str">
        <f>_xlfn.XLOOKUP(表格1[[#This Row],[Model]],表格3[Model-Input-Ref2],表格3[TOSHIBA/HIGHEST])</f>
        <v>Toshiba SRP</v>
      </c>
      <c r="W3300" s="86" t="str">
        <f>_xlfn.CONCAT(表格1[[#This Row],[欄4]],表格1[[#This Row],[inv no]])</f>
        <v>1025279</v>
      </c>
    </row>
    <row r="3301" spans="1:23" hidden="1">
      <c r="A3301" s="81">
        <v>3299</v>
      </c>
      <c r="B3301" s="86" t="s">
        <v>1477</v>
      </c>
      <c r="C3301" s="86" t="s">
        <v>1959</v>
      </c>
      <c r="D3301" s="82" t="str">
        <f ca="1">OFFSET(Roster!$A$3,MATCH(表格1[[#This Row],[Location]]&amp;" "&amp;表格1[[#This Row],[Shop]]&amp;"*",Roster!$A$4:$A$72,0),DAY(表格1[[#This Row],[date]]),1,1)</f>
        <v>Jaco</v>
      </c>
      <c r="E3301" s="86">
        <f>MONTH(表格1[[#This Row],[date]])</f>
        <v>3</v>
      </c>
      <c r="F3301" s="90">
        <v>46110</v>
      </c>
      <c r="G3301" s="86" t="str">
        <f>VLOOKUP("*"&amp;表格1[[#This Row],[Input]]&amp;"*",'Ref-List'!$B:$D,2,)</f>
        <v>RAC-18G3CVRGR-HK</v>
      </c>
      <c r="H3301" s="86" t="str">
        <f>_xlfn.XLOOKUP(表格1[[#This Row],[Model]],表格3[Model-Input-Ref2],表格3[Product Line])</f>
        <v>2 匹 R32變頻窗口式冷氣機 (remote)</v>
      </c>
      <c r="I3301" s="86" t="str">
        <f>_xlfn.XLOOKUP(表格1[[#This Row],[Model]],表格3[Model-Input-Ref2],表格3[大小電])</f>
        <v>大電</v>
      </c>
      <c r="J3301" s="86" t="str">
        <f>_xlfn.XLOOKUP(表格1[[#This Row],[Model]],表格3[Model-Input-Ref2],表格3[Code])</f>
        <v>AC</v>
      </c>
      <c r="K3301" s="89" t="s">
        <v>1471</v>
      </c>
      <c r="L3301" s="86">
        <v>1</v>
      </c>
      <c r="M3301" s="87">
        <v>6980</v>
      </c>
      <c r="N3301" s="87">
        <f>IFERROR(表格1[[#This Row],[QTY]]*表格1[[#This Row],[Unit Price]],"-")</f>
        <v>6980</v>
      </c>
      <c r="O3301" s="86">
        <v>1025300</v>
      </c>
      <c r="R3301" s="86" t="str">
        <f>_xlfn.CONCAT(表格1[[#This Row],[Model]]," ",表格1[[#This Row],[inv no]])</f>
        <v>RAC-18G3CVRGR-HK 1025300</v>
      </c>
      <c r="S3301" s="86">
        <f>_xlfn.XLOOKUP(表格1[[#This Row],[Model]],表格3[Model-Input-Ref2],表格3[SRP PRICE])</f>
        <v>10380</v>
      </c>
      <c r="T3301" s="43">
        <f>表格1[[#This Row],[Unit Price]]/表格1[[#This Row],[SRP]]</f>
        <v>0.67244701348747593</v>
      </c>
      <c r="U3301" s="86" t="str">
        <f>_xlfn.XLOOKUP(表格1[[#This Row],[Model]],表格3[Model-Input-Ref2],表格3[TOSHIBA/HIGHEST])</f>
        <v>Toshiba SRP</v>
      </c>
      <c r="W3301" s="86" t="str">
        <f>_xlfn.CONCAT(表格1[[#This Row],[欄4]],表格1[[#This Row],[inv no]])</f>
        <v>1025300</v>
      </c>
    </row>
    <row r="3302" spans="1:23" hidden="1">
      <c r="A3302" s="81">
        <v>3300</v>
      </c>
      <c r="B3302" s="86" t="s">
        <v>1477</v>
      </c>
      <c r="C3302" s="86" t="s">
        <v>1959</v>
      </c>
      <c r="D3302" s="82" t="str">
        <f ca="1">OFFSET(Roster!$A$3,MATCH(表格1[[#This Row],[Location]]&amp;" "&amp;表格1[[#This Row],[Shop]]&amp;"*",Roster!$A$4:$A$72,0),DAY(表格1[[#This Row],[date]]),1,1)</f>
        <v>Jaco</v>
      </c>
      <c r="E3302" s="86">
        <f>MONTH(表格1[[#This Row],[date]])</f>
        <v>3</v>
      </c>
      <c r="F3302" s="90">
        <v>46110</v>
      </c>
      <c r="G3302" s="86" t="str">
        <f>VLOOKUP("*"&amp;表格1[[#This Row],[Input]]&amp;"*",'Ref-List'!$B:$D,2,)</f>
        <v>MX2-STR25SC(WH)</v>
      </c>
      <c r="H3302" s="86" t="str">
        <f>_xlfn.XLOOKUP(表格1[[#This Row],[Model]],表格3[Model-Input-Ref2],表格3[Product Line])</f>
        <v>4合1氣炸微波蒸焗爐(25公升)</v>
      </c>
      <c r="I3302" s="86" t="str">
        <f>_xlfn.XLOOKUP(表格1[[#This Row],[Model]],表格3[Model-Input-Ref2],表格3[大小電])</f>
        <v>細電</v>
      </c>
      <c r="J3302" s="86" t="str">
        <f>_xlfn.XLOOKUP(表格1[[#This Row],[Model]],表格3[Model-Input-Ref2],表格3[Code])</f>
        <v>MCA</v>
      </c>
      <c r="K3302" s="89" t="s">
        <v>1410</v>
      </c>
      <c r="L3302" s="86">
        <v>1</v>
      </c>
      <c r="M3302" s="87">
        <v>3580</v>
      </c>
      <c r="N3302" s="87">
        <f>IFERROR(表格1[[#This Row],[QTY]]*表格1[[#This Row],[Unit Price]],"-")</f>
        <v>3580</v>
      </c>
      <c r="O3302" s="86">
        <v>931809</v>
      </c>
      <c r="R3302" s="86" t="str">
        <f>_xlfn.CONCAT(表格1[[#This Row],[Model]]," ",表格1[[#This Row],[inv no]])</f>
        <v>MX2-STR25SC(WH) 931809</v>
      </c>
      <c r="S3302" s="86">
        <f>_xlfn.XLOOKUP(表格1[[#This Row],[Model]],表格3[Model-Input-Ref2],表格3[SRP PRICE])</f>
        <v>4998</v>
      </c>
      <c r="T3302" s="43">
        <f>表格1[[#This Row],[Unit Price]]/表格1[[#This Row],[SRP]]</f>
        <v>0.71628651460584236</v>
      </c>
      <c r="U3302" s="86" t="str">
        <f>_xlfn.XLOOKUP(表格1[[#This Row],[Model]],表格3[Model-Input-Ref2],表格3[TOSHIBA/HIGHEST])</f>
        <v>Toshiba SRP</v>
      </c>
      <c r="W3302" s="86" t="str">
        <f>_xlfn.CONCAT(表格1[[#This Row],[欄4]],表格1[[#This Row],[inv no]])</f>
        <v>931809</v>
      </c>
    </row>
    <row r="3303" spans="1:23" hidden="1">
      <c r="A3303" s="81">
        <v>3301</v>
      </c>
      <c r="B3303" s="86" t="s">
        <v>1477</v>
      </c>
      <c r="C3303" s="86" t="s">
        <v>1959</v>
      </c>
      <c r="D3303" s="82" t="str">
        <f ca="1">OFFSET(Roster!$A$3,MATCH(表格1[[#This Row],[Location]]&amp;" "&amp;表格1[[#This Row],[Shop]]&amp;"*",Roster!$A$4:$A$72,0),DAY(表格1[[#This Row],[date]]),1,1)</f>
        <v>Jaco</v>
      </c>
      <c r="E3303" s="86">
        <f>MONTH(表格1[[#This Row],[date]])</f>
        <v>3</v>
      </c>
      <c r="F3303" s="90">
        <v>46110</v>
      </c>
      <c r="G3303" s="86" t="str">
        <f>VLOOKUP("*"&amp;表格1[[#This Row],[Input]]&amp;"*",'Ref-List'!$B:$D,2,)</f>
        <v>MX2-STR25SC(WH)</v>
      </c>
      <c r="H3303" s="86" t="str">
        <f>_xlfn.XLOOKUP(表格1[[#This Row],[Model]],表格3[Model-Input-Ref2],表格3[Product Line])</f>
        <v>4合1氣炸微波蒸焗爐(25公升)</v>
      </c>
      <c r="I3303" s="86" t="str">
        <f>_xlfn.XLOOKUP(表格1[[#This Row],[Model]],表格3[Model-Input-Ref2],表格3[大小電])</f>
        <v>細電</v>
      </c>
      <c r="J3303" s="86" t="str">
        <f>_xlfn.XLOOKUP(表格1[[#This Row],[Model]],表格3[Model-Input-Ref2],表格3[Code])</f>
        <v>MCA</v>
      </c>
      <c r="K3303" s="89" t="s">
        <v>1410</v>
      </c>
      <c r="L3303" s="86">
        <v>1</v>
      </c>
      <c r="M3303" s="87">
        <v>3580</v>
      </c>
      <c r="N3303" s="87">
        <f>IFERROR(表格1[[#This Row],[QTY]]*表格1[[#This Row],[Unit Price]],"-")</f>
        <v>3580</v>
      </c>
      <c r="O3303" s="86">
        <v>931812</v>
      </c>
      <c r="R3303" s="86" t="str">
        <f>_xlfn.CONCAT(表格1[[#This Row],[Model]]," ",表格1[[#This Row],[inv no]])</f>
        <v>MX2-STR25SC(WH) 931812</v>
      </c>
      <c r="S3303" s="86">
        <f>_xlfn.XLOOKUP(表格1[[#This Row],[Model]],表格3[Model-Input-Ref2],表格3[SRP PRICE])</f>
        <v>4998</v>
      </c>
      <c r="T3303" s="43">
        <f>表格1[[#This Row],[Unit Price]]/表格1[[#This Row],[SRP]]</f>
        <v>0.71628651460584236</v>
      </c>
      <c r="U3303" s="86" t="str">
        <f>_xlfn.XLOOKUP(表格1[[#This Row],[Model]],表格3[Model-Input-Ref2],表格3[TOSHIBA/HIGHEST])</f>
        <v>Toshiba SRP</v>
      </c>
      <c r="W3303" s="86" t="str">
        <f>_xlfn.CONCAT(表格1[[#This Row],[欄4]],表格1[[#This Row],[inv no]])</f>
        <v>931812</v>
      </c>
    </row>
    <row r="3304" spans="1:23" hidden="1">
      <c r="A3304" s="81">
        <v>3302</v>
      </c>
      <c r="B3304" s="86" t="s">
        <v>1477</v>
      </c>
      <c r="C3304" s="86" t="s">
        <v>1959</v>
      </c>
      <c r="D3304" s="82" t="str">
        <f ca="1">OFFSET(Roster!$A$3,MATCH(表格1[[#This Row],[Location]]&amp;" "&amp;表格1[[#This Row],[Shop]]&amp;"*",Roster!$A$4:$A$72,0),DAY(表格1[[#This Row],[date]]),1,1)</f>
        <v>Jaco</v>
      </c>
      <c r="E3304" s="86">
        <f>MONTH(表格1[[#This Row],[date]])</f>
        <v>3</v>
      </c>
      <c r="F3304" s="90">
        <v>46110</v>
      </c>
      <c r="G3304" s="86" t="str">
        <f>VLOOKUP("*"&amp;表格1[[#This Row],[Input]]&amp;"*",'Ref-List'!$B:$D,2,)</f>
        <v>MX2-STR25SC(WH)</v>
      </c>
      <c r="H3304" s="86" t="str">
        <f>_xlfn.XLOOKUP(表格1[[#This Row],[Model]],表格3[Model-Input-Ref2],表格3[Product Line])</f>
        <v>4合1氣炸微波蒸焗爐(25公升)</v>
      </c>
      <c r="I3304" s="86" t="str">
        <f>_xlfn.XLOOKUP(表格1[[#This Row],[Model]],表格3[Model-Input-Ref2],表格3[大小電])</f>
        <v>細電</v>
      </c>
      <c r="J3304" s="86" t="str">
        <f>_xlfn.XLOOKUP(表格1[[#This Row],[Model]],表格3[Model-Input-Ref2],表格3[Code])</f>
        <v>MCA</v>
      </c>
      <c r="K3304" s="89" t="s">
        <v>1410</v>
      </c>
      <c r="L3304" s="86">
        <v>1</v>
      </c>
      <c r="M3304" s="87">
        <v>3580</v>
      </c>
      <c r="N3304" s="87">
        <f>IFERROR(表格1[[#This Row],[QTY]]*表格1[[#This Row],[Unit Price]],"-")</f>
        <v>3580</v>
      </c>
      <c r="O3304" s="86">
        <v>931872</v>
      </c>
      <c r="R3304" s="86" t="str">
        <f>_xlfn.CONCAT(表格1[[#This Row],[Model]]," ",表格1[[#This Row],[inv no]])</f>
        <v>MX2-STR25SC(WH) 931872</v>
      </c>
      <c r="S3304" s="86">
        <f>_xlfn.XLOOKUP(表格1[[#This Row],[Model]],表格3[Model-Input-Ref2],表格3[SRP PRICE])</f>
        <v>4998</v>
      </c>
      <c r="T3304" s="43">
        <f>表格1[[#This Row],[Unit Price]]/表格1[[#This Row],[SRP]]</f>
        <v>0.71628651460584236</v>
      </c>
      <c r="U3304" s="86" t="str">
        <f>_xlfn.XLOOKUP(表格1[[#This Row],[Model]],表格3[Model-Input-Ref2],表格3[TOSHIBA/HIGHEST])</f>
        <v>Toshiba SRP</v>
      </c>
      <c r="W3304" s="86" t="str">
        <f>_xlfn.CONCAT(表格1[[#This Row],[欄4]],表格1[[#This Row],[inv no]])</f>
        <v>931872</v>
      </c>
    </row>
    <row r="3305" spans="1:23" hidden="1">
      <c r="A3305" s="81">
        <v>3303</v>
      </c>
      <c r="B3305" s="86" t="s">
        <v>1477</v>
      </c>
      <c r="C3305" s="86" t="s">
        <v>1959</v>
      </c>
      <c r="D3305" s="82" t="str">
        <f ca="1">OFFSET(Roster!$A$3,MATCH(表格1[[#This Row],[Location]]&amp;" "&amp;表格1[[#This Row],[Shop]]&amp;"*",Roster!$A$4:$A$72,0),DAY(表格1[[#This Row],[date]]),1,1)</f>
        <v>Jaco</v>
      </c>
      <c r="E3305" s="86">
        <f>MONTH(表格1[[#This Row],[date]])</f>
        <v>3</v>
      </c>
      <c r="F3305" s="90">
        <v>46110</v>
      </c>
      <c r="G3305" s="86" t="str">
        <f>VLOOKUP("*"&amp;表格1[[#This Row],[Input]]&amp;"*",'Ref-List'!$B:$D,2,)</f>
        <v>MX1-TH23SC(WH)</v>
      </c>
      <c r="H3305" s="86" t="str">
        <f>_xlfn.XLOOKUP(表格1[[#This Row],[Model]],表格3[Model-Input-Ref2],表格3[Product Line])</f>
        <v>微波蒸焗爐23L</v>
      </c>
      <c r="I3305" s="86" t="str">
        <f>_xlfn.XLOOKUP(表格1[[#This Row],[Model]],表格3[Model-Input-Ref2],表格3[大小電])</f>
        <v>細電</v>
      </c>
      <c r="J3305" s="86" t="str">
        <f>_xlfn.XLOOKUP(表格1[[#This Row],[Model]],表格3[Model-Input-Ref2],表格3[Code])</f>
        <v>SDA</v>
      </c>
      <c r="K3305" s="89" t="s">
        <v>1496</v>
      </c>
      <c r="L3305" s="86">
        <v>1</v>
      </c>
      <c r="M3305" s="87">
        <v>2580</v>
      </c>
      <c r="N3305" s="87">
        <f>IFERROR(表格1[[#This Row],[QTY]]*表格1[[#This Row],[Unit Price]],"-")</f>
        <v>2580</v>
      </c>
      <c r="O3305" s="86">
        <v>1025284</v>
      </c>
      <c r="R3305" s="86" t="str">
        <f>_xlfn.CONCAT(表格1[[#This Row],[Model]]," ",表格1[[#This Row],[inv no]])</f>
        <v>MX1-TH23SC(WH) 1025284</v>
      </c>
      <c r="S3305" s="86">
        <f>_xlfn.XLOOKUP(表格1[[#This Row],[Model]],表格3[Model-Input-Ref2],表格3[SRP PRICE])</f>
        <v>3380</v>
      </c>
      <c r="T3305" s="43">
        <f>表格1[[#This Row],[Unit Price]]/表格1[[#This Row],[SRP]]</f>
        <v>0.76331360946745563</v>
      </c>
      <c r="U3305" s="86" t="str">
        <f>_xlfn.XLOOKUP(表格1[[#This Row],[Model]],表格3[Model-Input-Ref2],表格3[TOSHIBA/HIGHEST])</f>
        <v>Toshiba SRP</v>
      </c>
      <c r="W3305" s="86" t="str">
        <f>_xlfn.CONCAT(表格1[[#This Row],[欄4]],表格1[[#This Row],[inv no]])</f>
        <v>1025284</v>
      </c>
    </row>
    <row r="3306" spans="1:23" hidden="1">
      <c r="A3306" s="81">
        <v>3304</v>
      </c>
      <c r="B3306" s="86" t="s">
        <v>1477</v>
      </c>
      <c r="C3306" s="86" t="s">
        <v>1959</v>
      </c>
      <c r="D3306" s="82" t="str">
        <f ca="1">OFFSET(Roster!$A$3,MATCH(表格1[[#This Row],[Location]]&amp;" "&amp;表格1[[#This Row],[Shop]]&amp;"*",Roster!$A$4:$A$72,0),DAY(表格1[[#This Row],[date]]),1,1)</f>
        <v>Jaco</v>
      </c>
      <c r="E3306" s="86">
        <f>MONTH(表格1[[#This Row],[date]])</f>
        <v>3</v>
      </c>
      <c r="F3306" s="90">
        <v>46110</v>
      </c>
      <c r="G3306" s="86" t="str">
        <f>VLOOKUP("*"&amp;表格1[[#This Row],[Input]]&amp;"*",'Ref-List'!$B:$D,2,)</f>
        <v>MM2-EG20PC(WH)</v>
      </c>
      <c r="H3306" s="86" t="str">
        <f>_xlfn.XLOOKUP(表格1[[#This Row],[Model]],表格3[Model-Input-Ref2],表格3[Product Line])</f>
        <v>輕觸式燒烤微波爐</v>
      </c>
      <c r="I3306" s="86" t="str">
        <f>_xlfn.XLOOKUP(表格1[[#This Row],[Model]],表格3[Model-Input-Ref2],表格3[大小電])</f>
        <v>細電</v>
      </c>
      <c r="J3306" s="86" t="str">
        <f>_xlfn.XLOOKUP(表格1[[#This Row],[Model]],表格3[Model-Input-Ref2],表格3[Code])</f>
        <v>MCA</v>
      </c>
      <c r="K3306" s="89" t="s">
        <v>1273</v>
      </c>
      <c r="L3306" s="86">
        <v>1</v>
      </c>
      <c r="M3306" s="87">
        <v>698</v>
      </c>
      <c r="N3306" s="87">
        <f>IFERROR(表格1[[#This Row],[QTY]]*表格1[[#This Row],[Unit Price]],"-")</f>
        <v>698</v>
      </c>
      <c r="O3306" s="86">
        <v>931876</v>
      </c>
      <c r="R3306" s="86" t="str">
        <f>_xlfn.CONCAT(表格1[[#This Row],[Model]]," ",表格1[[#This Row],[inv no]])</f>
        <v>MM2-EG20PC(WH) 931876</v>
      </c>
      <c r="S3306" s="86">
        <f>_xlfn.XLOOKUP(表格1[[#This Row],[Model]],表格3[Model-Input-Ref2],表格3[SRP PRICE])</f>
        <v>918</v>
      </c>
      <c r="T3306" s="43">
        <f>表格1[[#This Row],[Unit Price]]/表格1[[#This Row],[SRP]]</f>
        <v>0.76034858387799564</v>
      </c>
      <c r="U3306" s="86" t="str">
        <f>_xlfn.XLOOKUP(表格1[[#This Row],[Model]],表格3[Model-Input-Ref2],表格3[TOSHIBA/HIGHEST])</f>
        <v>Shops Highest Price</v>
      </c>
      <c r="W3306" s="86" t="str">
        <f>_xlfn.CONCAT(表格1[[#This Row],[欄4]],表格1[[#This Row],[inv no]])</f>
        <v>931876</v>
      </c>
    </row>
    <row r="3307" spans="1:23" hidden="1">
      <c r="A3307" s="81">
        <v>3305</v>
      </c>
      <c r="B3307" s="86" t="s">
        <v>1477</v>
      </c>
      <c r="C3307" s="86" t="s">
        <v>1959</v>
      </c>
      <c r="D3307" s="82" t="str">
        <f ca="1">OFFSET(Roster!$A$3,MATCH(表格1[[#This Row],[Location]]&amp;" "&amp;表格1[[#This Row],[Shop]]&amp;"*",Roster!$A$4:$A$72,0),DAY(表格1[[#This Row],[date]]),1,1)</f>
        <v>Jaco</v>
      </c>
      <c r="E3307" s="86">
        <f>MONTH(表格1[[#This Row],[date]])</f>
        <v>3</v>
      </c>
      <c r="F3307" s="90">
        <v>46110</v>
      </c>
      <c r="G3307" s="86" t="str">
        <f>VLOOKUP("*"&amp;表格1[[#This Row],[Input]]&amp;"*",'Ref-List'!$B:$D,2,)</f>
        <v>MWP-MM20P(WH)</v>
      </c>
      <c r="H3307" s="86" t="str">
        <f>_xlfn.XLOOKUP(表格1[[#This Row],[Model]],表格3[Model-Input-Ref2],表格3[Product Line])</f>
        <v>旋鈕式燒烤微波爐20L</v>
      </c>
      <c r="I3307" s="86" t="str">
        <f>_xlfn.XLOOKUP(表格1[[#This Row],[Model]],表格3[Model-Input-Ref2],表格3[大小電])</f>
        <v>細電</v>
      </c>
      <c r="J3307" s="86" t="str">
        <f>_xlfn.XLOOKUP(表格1[[#This Row],[Model]],表格3[Model-Input-Ref2],表格3[Code])</f>
        <v>SDA</v>
      </c>
      <c r="K3307" s="89" t="s">
        <v>1270</v>
      </c>
      <c r="L3307" s="86">
        <v>1</v>
      </c>
      <c r="M3307" s="87">
        <v>488</v>
      </c>
      <c r="N3307" s="87">
        <f>IFERROR(表格1[[#This Row],[QTY]]*表格1[[#This Row],[Unit Price]],"-")</f>
        <v>488</v>
      </c>
      <c r="O3307" s="86">
        <v>1025195</v>
      </c>
      <c r="R3307" s="86" t="str">
        <f>_xlfn.CONCAT(表格1[[#This Row],[Model]]," ",表格1[[#This Row],[inv no]])</f>
        <v>MWP-MM20P(WH) 1025195</v>
      </c>
      <c r="S3307" s="86">
        <f>_xlfn.XLOOKUP(表格1[[#This Row],[Model]],表格3[Model-Input-Ref2],表格3[SRP PRICE])</f>
        <v>648</v>
      </c>
      <c r="T3307" s="43">
        <f>表格1[[#This Row],[Unit Price]]/表格1[[#This Row],[SRP]]</f>
        <v>0.75308641975308643</v>
      </c>
      <c r="U3307" s="86" t="str">
        <f>_xlfn.XLOOKUP(表格1[[#This Row],[Model]],表格3[Model-Input-Ref2],表格3[TOSHIBA/HIGHEST])</f>
        <v>Toshiba SRP</v>
      </c>
      <c r="W3307" s="86" t="str">
        <f>_xlfn.CONCAT(表格1[[#This Row],[欄4]],表格1[[#This Row],[inv no]])</f>
        <v>1025195</v>
      </c>
    </row>
    <row r="3308" spans="1:23" hidden="1">
      <c r="A3308" s="81">
        <v>3306</v>
      </c>
      <c r="B3308" s="86" t="s">
        <v>1477</v>
      </c>
      <c r="C3308" s="86" t="s">
        <v>1959</v>
      </c>
      <c r="D3308" s="82" t="str">
        <f ca="1">OFFSET(Roster!$A$3,MATCH(表格1[[#This Row],[Location]]&amp;" "&amp;表格1[[#This Row],[Shop]]&amp;"*",Roster!$A$4:$A$72,0),DAY(表格1[[#This Row],[date]]),1,1)</f>
        <v>Jaco</v>
      </c>
      <c r="E3308" s="86">
        <f>MONTH(表格1[[#This Row],[date]])</f>
        <v>3</v>
      </c>
      <c r="F3308" s="90">
        <v>46110</v>
      </c>
      <c r="G3308" s="86" t="str">
        <f>VLOOKUP("*"&amp;表格1[[#This Row],[Input]]&amp;"*",'Ref-List'!$B:$D,2,)</f>
        <v>RC-10NMFIH(WT)</v>
      </c>
      <c r="H3308" s="86" t="str">
        <f>_xlfn.XLOOKUP(表格1[[#This Row],[Model]],表格3[Model-Input-Ref2],表格3[Product Line])</f>
        <v>4毫米厚釜電飯煲1L</v>
      </c>
      <c r="I3308" s="86" t="str">
        <f>_xlfn.XLOOKUP(表格1[[#This Row],[Model]],表格3[Model-Input-Ref2],表格3[大小電])</f>
        <v>細電</v>
      </c>
      <c r="J3308" s="86" t="str">
        <f>_xlfn.XLOOKUP(表格1[[#This Row],[Model]],表格3[Model-Input-Ref2],表格3[Code])</f>
        <v>SDA</v>
      </c>
      <c r="K3308" s="89" t="s">
        <v>1244</v>
      </c>
      <c r="L3308" s="86">
        <v>1</v>
      </c>
      <c r="M3308" s="87">
        <v>719</v>
      </c>
      <c r="N3308" s="87">
        <f>IFERROR(表格1[[#This Row],[QTY]]*表格1[[#This Row],[Unit Price]],"-")</f>
        <v>719</v>
      </c>
      <c r="O3308" s="86">
        <v>1025202</v>
      </c>
      <c r="R3308" s="86" t="str">
        <f>_xlfn.CONCAT(表格1[[#This Row],[Model]]," ",表格1[[#This Row],[inv no]])</f>
        <v>RC-10NMFIH(WT) 1025202</v>
      </c>
      <c r="S3308" s="86">
        <f>_xlfn.XLOOKUP(表格1[[#This Row],[Model]],表格3[Model-Input-Ref2],表格3[SRP PRICE])</f>
        <v>898</v>
      </c>
      <c r="T3308" s="43">
        <f>表格1[[#This Row],[Unit Price]]/表格1[[#This Row],[SRP]]</f>
        <v>0.80066815144766146</v>
      </c>
      <c r="U3308" s="86" t="str">
        <f>_xlfn.XLOOKUP(表格1[[#This Row],[Model]],表格3[Model-Input-Ref2],表格3[TOSHIBA/HIGHEST])</f>
        <v>Toshiba SRP</v>
      </c>
      <c r="W3308" s="86" t="str">
        <f>_xlfn.CONCAT(表格1[[#This Row],[欄4]],表格1[[#This Row],[inv no]])</f>
        <v>1025202</v>
      </c>
    </row>
    <row r="3309" spans="1:23" hidden="1">
      <c r="A3309" s="81">
        <v>3307</v>
      </c>
      <c r="B3309" s="86" t="s">
        <v>1477</v>
      </c>
      <c r="C3309" s="86" t="s">
        <v>1959</v>
      </c>
      <c r="D3309" s="82" t="str">
        <f ca="1">OFFSET(Roster!$A$3,MATCH(表格1[[#This Row],[Location]]&amp;" "&amp;表格1[[#This Row],[Shop]]&amp;"*",Roster!$A$4:$A$72,0),DAY(表格1[[#This Row],[date]]),1,1)</f>
        <v>Jaco</v>
      </c>
      <c r="E3309" s="86">
        <f>MONTH(表格1[[#This Row],[date]])</f>
        <v>3</v>
      </c>
      <c r="F3309" s="90">
        <v>46110</v>
      </c>
      <c r="G3309" s="86" t="str">
        <f>VLOOKUP("*"&amp;表格1[[#This Row],[Input]]&amp;"*",'Ref-List'!$B:$D,2,)</f>
        <v>RAD-D300H</v>
      </c>
      <c r="H3309" s="86" t="str">
        <f>_xlfn.XLOOKUP(表格1[[#This Row],[Model]],表格3[Model-Input-Ref2],表格3[Product Line])</f>
        <v>壓縮式抽濕機 (30公升)</v>
      </c>
      <c r="I3309" s="86" t="str">
        <f>_xlfn.XLOOKUP(表格1[[#This Row],[Model]],表格3[Model-Input-Ref2],表格3[大小電])</f>
        <v>細電</v>
      </c>
      <c r="J3309" s="86" t="str">
        <f>_xlfn.XLOOKUP(表格1[[#This Row],[Model]],表格3[Model-Input-Ref2],表格3[Code])</f>
        <v>RAC</v>
      </c>
      <c r="K3309" s="89" t="s">
        <v>1252</v>
      </c>
      <c r="L3309" s="86">
        <v>1</v>
      </c>
      <c r="M3309" s="87">
        <v>2280</v>
      </c>
      <c r="N3309" s="87">
        <f>IFERROR(表格1[[#This Row],[QTY]]*表格1[[#This Row],[Unit Price]],"-")</f>
        <v>2280</v>
      </c>
      <c r="O3309" s="86">
        <v>931810</v>
      </c>
      <c r="R3309" s="86" t="str">
        <f>_xlfn.CONCAT(表格1[[#This Row],[Model]]," ",表格1[[#This Row],[inv no]])</f>
        <v>RAD-D300H 931810</v>
      </c>
      <c r="S3309" s="86">
        <f>_xlfn.XLOOKUP(表格1[[#This Row],[Model]],表格3[Model-Input-Ref2],表格3[SRP PRICE])</f>
        <v>3380</v>
      </c>
      <c r="T3309" s="43">
        <f>表格1[[#This Row],[Unit Price]]/表格1[[#This Row],[SRP]]</f>
        <v>0.67455621301775148</v>
      </c>
      <c r="U3309" s="86" t="str">
        <f>_xlfn.XLOOKUP(表格1[[#This Row],[Model]],表格3[Model-Input-Ref2],表格3[TOSHIBA/HIGHEST])</f>
        <v>Shops Highest Price</v>
      </c>
      <c r="W3309" s="86" t="str">
        <f>_xlfn.CONCAT(表格1[[#This Row],[欄4]],表格1[[#This Row],[inv no]])</f>
        <v>931810</v>
      </c>
    </row>
    <row r="3310" spans="1:23" hidden="1">
      <c r="A3310" s="81">
        <v>3308</v>
      </c>
      <c r="B3310" s="86" t="s">
        <v>1477</v>
      </c>
      <c r="C3310" s="86" t="s">
        <v>1959</v>
      </c>
      <c r="D3310" s="82" t="str">
        <f ca="1">OFFSET(Roster!$A$3,MATCH(表格1[[#This Row],[Location]]&amp;" "&amp;表格1[[#This Row],[Shop]]&amp;"*",Roster!$A$4:$A$72,0),DAY(表格1[[#This Row],[date]]),1,1)</f>
        <v>Jaco</v>
      </c>
      <c r="E3310" s="86">
        <f>MONTH(表格1[[#This Row],[date]])</f>
        <v>3</v>
      </c>
      <c r="F3310" s="90">
        <v>46111</v>
      </c>
      <c r="G3310" s="86" t="str">
        <f>VLOOKUP("*"&amp;表格1[[#This Row],[Input]]&amp;"*",'Ref-List'!$B:$D,2,)</f>
        <v>RC-DR10T(R)</v>
      </c>
      <c r="H3310" s="86" t="str">
        <f>_xlfn.XLOOKUP(表格1[[#This Row],[Model]],表格3[Model-Input-Ref2],表格3[Product Line])</f>
        <v>IH磁應電飯煲</v>
      </c>
      <c r="I3310" s="86" t="str">
        <f>_xlfn.XLOOKUP(表格1[[#This Row],[Model]],表格3[Model-Input-Ref2],表格3[大小電])</f>
        <v>細電</v>
      </c>
      <c r="J3310" s="86" t="str">
        <f>_xlfn.XLOOKUP(表格1[[#This Row],[Model]],表格3[Model-Input-Ref2],表格3[Code])</f>
        <v>SDA</v>
      </c>
      <c r="K3310" s="89" t="s">
        <v>1296</v>
      </c>
      <c r="L3310" s="86">
        <v>1</v>
      </c>
      <c r="M3310" s="87">
        <v>2380</v>
      </c>
      <c r="N3310" s="87">
        <f>IFERROR(表格1[[#This Row],[QTY]]*表格1[[#This Row],[Unit Price]],"-")</f>
        <v>2380</v>
      </c>
      <c r="O3310" s="86">
        <v>931922</v>
      </c>
      <c r="R3310" s="86" t="str">
        <f>_xlfn.CONCAT(表格1[[#This Row],[Model]]," ",表格1[[#This Row],[inv no]])</f>
        <v>RC-DR10T(R) 931922</v>
      </c>
      <c r="S3310" s="86">
        <f>_xlfn.XLOOKUP(表格1[[#This Row],[Model]],表格3[Model-Input-Ref2],表格3[SRP PRICE])</f>
        <v>3188</v>
      </c>
      <c r="T3310" s="43">
        <f>表格1[[#This Row],[Unit Price]]/表格1[[#This Row],[SRP]]</f>
        <v>0.74654956085319946</v>
      </c>
      <c r="U3310" s="86" t="str">
        <f>_xlfn.XLOOKUP(表格1[[#This Row],[Model]],表格3[Model-Input-Ref2],表格3[TOSHIBA/HIGHEST])</f>
        <v>Toshiba SRP</v>
      </c>
      <c r="W3310" s="86" t="str">
        <f>_xlfn.CONCAT(表格1[[#This Row],[欄4]],表格1[[#This Row],[inv no]])</f>
        <v>931922</v>
      </c>
    </row>
    <row r="3311" spans="1:23" hidden="1">
      <c r="A3311" s="81">
        <v>3309</v>
      </c>
      <c r="B3311" s="86" t="s">
        <v>1477</v>
      </c>
      <c r="C3311" s="86" t="s">
        <v>1959</v>
      </c>
      <c r="D3311" s="82" t="str">
        <f ca="1">OFFSET(Roster!$A$3,MATCH(表格1[[#This Row],[Location]]&amp;" "&amp;表格1[[#This Row],[Shop]]&amp;"*",Roster!$A$4:$A$72,0),DAY(表格1[[#This Row],[date]]),1,1)</f>
        <v>Jaco</v>
      </c>
      <c r="E3311" s="86">
        <f>MONTH(表格1[[#This Row],[date]])</f>
        <v>3</v>
      </c>
      <c r="F3311" s="90">
        <v>46111</v>
      </c>
      <c r="G3311" s="86" t="str">
        <f>VLOOKUP("*"&amp;表格1[[#This Row],[Input]]&amp;"*",'Ref-List'!$B:$D,2,)</f>
        <v>MM2-EM20PC(WH)</v>
      </c>
      <c r="H3311" s="86" t="str">
        <f>_xlfn.XLOOKUP(表格1[[#This Row],[Model]],表格3[Model-Input-Ref2],表格3[Product Line])</f>
        <v>輕觸式微波爐 (20公升)</v>
      </c>
      <c r="I3311" s="86" t="str">
        <f>_xlfn.XLOOKUP(表格1[[#This Row],[Model]],表格3[Model-Input-Ref2],表格3[大小電])</f>
        <v>細電</v>
      </c>
      <c r="J3311" s="86" t="str">
        <f>_xlfn.XLOOKUP(表格1[[#This Row],[Model]],表格3[Model-Input-Ref2],表格3[Code])</f>
        <v>MCA</v>
      </c>
      <c r="K3311" s="89" t="s">
        <v>1276</v>
      </c>
      <c r="L3311" s="86">
        <v>1</v>
      </c>
      <c r="M3311" s="87">
        <v>598</v>
      </c>
      <c r="N3311" s="87">
        <f>IFERROR(表格1[[#This Row],[QTY]]*表格1[[#This Row],[Unit Price]],"-")</f>
        <v>598</v>
      </c>
      <c r="O3311" s="86">
        <v>1025389</v>
      </c>
      <c r="R3311" s="86" t="str">
        <f>_xlfn.CONCAT(表格1[[#This Row],[Model]]," ",表格1[[#This Row],[inv no]])</f>
        <v>MM2-EM20PC(WH) 1025389</v>
      </c>
      <c r="S3311" s="86">
        <f>_xlfn.XLOOKUP(表格1[[#This Row],[Model]],表格3[Model-Input-Ref2],表格3[SRP PRICE])</f>
        <v>788</v>
      </c>
      <c r="T3311" s="43">
        <f>表格1[[#This Row],[Unit Price]]/表格1[[#This Row],[SRP]]</f>
        <v>0.75888324873096447</v>
      </c>
      <c r="U3311" s="86" t="str">
        <f>_xlfn.XLOOKUP(表格1[[#This Row],[Model]],表格3[Model-Input-Ref2],表格3[TOSHIBA/HIGHEST])</f>
        <v>Toshiba SRP</v>
      </c>
      <c r="W3311" s="86" t="str">
        <f>_xlfn.CONCAT(表格1[[#This Row],[欄4]],表格1[[#This Row],[inv no]])</f>
        <v>1025389</v>
      </c>
    </row>
    <row r="3312" spans="1:23" hidden="1">
      <c r="A3312" s="81">
        <v>3310</v>
      </c>
      <c r="B3312" s="86" t="s">
        <v>1477</v>
      </c>
      <c r="C3312" s="86" t="s">
        <v>1959</v>
      </c>
      <c r="D3312" s="82" t="str">
        <f ca="1">OFFSET(Roster!$A$3,MATCH(表格1[[#This Row],[Location]]&amp;" "&amp;表格1[[#This Row],[Shop]]&amp;"*",Roster!$A$4:$A$72,0),DAY(表格1[[#This Row],[date]]),1,1)</f>
        <v>Jaco</v>
      </c>
      <c r="E3312" s="86">
        <f>MONTH(表格1[[#This Row],[date]])</f>
        <v>3</v>
      </c>
      <c r="F3312" s="90">
        <v>46111</v>
      </c>
      <c r="G3312" s="86" t="str">
        <f>VLOOKUP("*"&amp;表格1[[#This Row],[Input]]&amp;"*",'Ref-List'!$B:$D,2,)</f>
        <v>MX2-TT20SC(WH)</v>
      </c>
      <c r="H3312" s="86" t="str">
        <f>_xlfn.XLOOKUP(表格1[[#This Row],[Model]],表格3[Model-Input-Ref2],表格3[Product Line])</f>
        <v>3合1 微波蒸焗爐 (20公升)</v>
      </c>
      <c r="I3312" s="86" t="str">
        <f>_xlfn.XLOOKUP(表格1[[#This Row],[Model]],表格3[Model-Input-Ref2],表格3[大小電])</f>
        <v>細電</v>
      </c>
      <c r="J3312" s="86" t="str">
        <f>_xlfn.XLOOKUP(表格1[[#This Row],[Model]],表格3[Model-Input-Ref2],表格3[Code])</f>
        <v>MCA</v>
      </c>
      <c r="K3312" s="89" t="s">
        <v>1287</v>
      </c>
      <c r="L3312" s="86">
        <v>1</v>
      </c>
      <c r="M3312" s="87">
        <v>2580</v>
      </c>
      <c r="N3312" s="87">
        <f>IFERROR(表格1[[#This Row],[QTY]]*表格1[[#This Row],[Unit Price]],"-")</f>
        <v>2580</v>
      </c>
      <c r="O3312" s="86">
        <v>1025356</v>
      </c>
      <c r="R3312" s="86" t="str">
        <f>_xlfn.CONCAT(表格1[[#This Row],[Model]]," ",表格1[[#This Row],[inv no]])</f>
        <v>MX2-TT20SC(WH) 1025356</v>
      </c>
      <c r="S3312" s="86">
        <f>_xlfn.XLOOKUP(表格1[[#This Row],[Model]],表格3[Model-Input-Ref2],表格3[SRP PRICE])</f>
        <v>3580</v>
      </c>
      <c r="T3312" s="43">
        <f>表格1[[#This Row],[Unit Price]]/表格1[[#This Row],[SRP]]</f>
        <v>0.72067039106145248</v>
      </c>
      <c r="U3312" s="86" t="str">
        <f>_xlfn.XLOOKUP(表格1[[#This Row],[Model]],表格3[Model-Input-Ref2],表格3[TOSHIBA/HIGHEST])</f>
        <v>Toshiba SRP</v>
      </c>
      <c r="W3312" s="86" t="str">
        <f>_xlfn.CONCAT(表格1[[#This Row],[欄4]],表格1[[#This Row],[inv no]])</f>
        <v>1025356</v>
      </c>
    </row>
    <row r="3313" spans="1:23" hidden="1">
      <c r="A3313" s="81">
        <v>3311</v>
      </c>
      <c r="B3313" s="86" t="s">
        <v>1477</v>
      </c>
      <c r="C3313" s="86" t="s">
        <v>1959</v>
      </c>
      <c r="D3313" s="82" t="str">
        <f ca="1">OFFSET(Roster!$A$3,MATCH(表格1[[#This Row],[Location]]&amp;" "&amp;表格1[[#This Row],[Shop]]&amp;"*",Roster!$A$4:$A$72,0),DAY(表格1[[#This Row],[date]]),1,1)</f>
        <v>Jaco</v>
      </c>
      <c r="E3313" s="86">
        <f>MONTH(表格1[[#This Row],[date]])</f>
        <v>3</v>
      </c>
      <c r="F3313" s="90">
        <v>46111</v>
      </c>
      <c r="G3313" s="86" t="str">
        <f>VLOOKUP("*"&amp;表格1[[#This Row],[Input]]&amp;"*",'Ref-List'!$B:$D,2,)</f>
        <v>RC-10IRPH</v>
      </c>
      <c r="H3313" s="86" t="str">
        <f>_xlfn.XLOOKUP(表格1[[#This Row],[Model]],表格3[Model-Input-Ref2],表格3[Product Line])</f>
        <v>低醣磁應電飯煲1L</v>
      </c>
      <c r="I3313" s="86" t="str">
        <f>_xlfn.XLOOKUP(表格1[[#This Row],[Model]],表格3[Model-Input-Ref2],表格3[大小電])</f>
        <v>細電</v>
      </c>
      <c r="J3313" s="86" t="str">
        <f>_xlfn.XLOOKUP(表格1[[#This Row],[Model]],表格3[Model-Input-Ref2],表格3[Code])</f>
        <v>SDA</v>
      </c>
      <c r="K3313" s="89" t="s">
        <v>1297</v>
      </c>
      <c r="L3313" s="86">
        <v>1</v>
      </c>
      <c r="M3313" s="87">
        <v>798</v>
      </c>
      <c r="N3313" s="87">
        <f>IFERROR(表格1[[#This Row],[QTY]]*表格1[[#This Row],[Unit Price]],"-")</f>
        <v>798</v>
      </c>
      <c r="O3313" s="86">
        <v>931912</v>
      </c>
      <c r="R3313" s="86" t="str">
        <f>_xlfn.CONCAT(表格1[[#This Row],[Model]]," ",表格1[[#This Row],[inv no]])</f>
        <v>RC-10IRPH 931912</v>
      </c>
      <c r="S3313" s="86">
        <f>_xlfn.XLOOKUP(表格1[[#This Row],[Model]],表格3[Model-Input-Ref2],表格3[SRP PRICE])</f>
        <v>1388</v>
      </c>
      <c r="T3313" s="43">
        <f>表格1[[#This Row],[Unit Price]]/表格1[[#This Row],[SRP]]</f>
        <v>0.5749279538904899</v>
      </c>
      <c r="U3313" s="86" t="str">
        <f>_xlfn.XLOOKUP(表格1[[#This Row],[Model]],表格3[Model-Input-Ref2],表格3[TOSHIBA/HIGHEST])</f>
        <v>Toshiba SRP</v>
      </c>
      <c r="W3313" s="86" t="str">
        <f>_xlfn.CONCAT(表格1[[#This Row],[欄4]],表格1[[#This Row],[inv no]])</f>
        <v>931912</v>
      </c>
    </row>
    <row r="3314" spans="1:23" hidden="1">
      <c r="A3314" s="81">
        <v>3312</v>
      </c>
      <c r="B3314" s="86" t="s">
        <v>1477</v>
      </c>
      <c r="C3314" s="86" t="s">
        <v>1959</v>
      </c>
      <c r="D3314" s="82" t="str">
        <f ca="1">OFFSET(Roster!$A$3,MATCH(表格1[[#This Row],[Location]]&amp;" "&amp;表格1[[#This Row],[Shop]]&amp;"*",Roster!$A$4:$A$72,0),DAY(表格1[[#This Row],[date]]),1,1)</f>
        <v>Jaco</v>
      </c>
      <c r="E3314" s="86">
        <f>MONTH(表格1[[#This Row],[date]])</f>
        <v>3</v>
      </c>
      <c r="F3314" s="90">
        <v>46111</v>
      </c>
      <c r="G3314" s="86" t="str">
        <f>VLOOKUP("*"&amp;表格1[[#This Row],[Input]]&amp;"*",'Ref-List'!$B:$D,2,)</f>
        <v>RC-7HMH</v>
      </c>
      <c r="H3314" s="86" t="str">
        <f>_xlfn.XLOOKUP(表格1[[#This Row],[Model]],表格3[Model-Input-Ref2],表格3[Product Line])</f>
        <v>備長炭本厚釜電飯煲0.7L</v>
      </c>
      <c r="I3314" s="86" t="str">
        <f>_xlfn.XLOOKUP(表格1[[#This Row],[Model]],表格3[Model-Input-Ref2],表格3[大小電])</f>
        <v>細電</v>
      </c>
      <c r="J3314" s="86" t="str">
        <f>_xlfn.XLOOKUP(表格1[[#This Row],[Model]],表格3[Model-Input-Ref2],表格3[Code])</f>
        <v>SDA</v>
      </c>
      <c r="K3314" s="89" t="s">
        <v>1284</v>
      </c>
      <c r="L3314" s="86">
        <v>1</v>
      </c>
      <c r="M3314" s="87">
        <v>838</v>
      </c>
      <c r="N3314" s="87">
        <f>IFERROR(表格1[[#This Row],[QTY]]*表格1[[#This Row],[Unit Price]],"-")</f>
        <v>838</v>
      </c>
      <c r="O3314" s="86">
        <v>931913</v>
      </c>
      <c r="R3314" s="86" t="str">
        <f>_xlfn.CONCAT(表格1[[#This Row],[Model]]," ",表格1[[#This Row],[inv no]])</f>
        <v>RC-7HMH 931913</v>
      </c>
      <c r="S3314" s="86">
        <f>_xlfn.XLOOKUP(表格1[[#This Row],[Model]],表格3[Model-Input-Ref2],表格3[SRP PRICE])</f>
        <v>1288</v>
      </c>
      <c r="T3314" s="43">
        <f>表格1[[#This Row],[Unit Price]]/表格1[[#This Row],[SRP]]</f>
        <v>0.65062111801242239</v>
      </c>
      <c r="U3314" s="86" t="str">
        <f>_xlfn.XLOOKUP(表格1[[#This Row],[Model]],表格3[Model-Input-Ref2],表格3[TOSHIBA/HIGHEST])</f>
        <v>Toshiba SRP</v>
      </c>
      <c r="W3314" s="86" t="str">
        <f>_xlfn.CONCAT(表格1[[#This Row],[欄4]],表格1[[#This Row],[inv no]])</f>
        <v>931913</v>
      </c>
    </row>
    <row r="3315" spans="1:23" hidden="1">
      <c r="A3315" s="81">
        <v>3313</v>
      </c>
      <c r="B3315" s="86" t="s">
        <v>1477</v>
      </c>
      <c r="C3315" s="86" t="s">
        <v>1959</v>
      </c>
      <c r="D3315" s="82" t="str">
        <f ca="1">OFFSET(Roster!$A$3,MATCH(表格1[[#This Row],[Location]]&amp;" "&amp;表格1[[#This Row],[Shop]]&amp;"*",Roster!$A$4:$A$72,0),DAY(表格1[[#This Row],[date]]),1,1)</f>
        <v>Jaco</v>
      </c>
      <c r="E3315" s="86">
        <f>MONTH(表格1[[#This Row],[date]])</f>
        <v>3</v>
      </c>
      <c r="F3315" s="90">
        <v>46111</v>
      </c>
      <c r="G3315" s="86" t="str">
        <f>VLOOKUP("*"&amp;表格1[[#This Row],[Input]]&amp;"*",'Ref-List'!$B:$D,2,)</f>
        <v>KT-17SHNH</v>
      </c>
      <c r="H3315" s="86" t="str">
        <f>_xlfn.XLOOKUP(表格1[[#This Row],[Model]],表格3[Model-Input-Ref2],表格3[Product Line])</f>
        <v>1.7L無線雙層電熱水壺</v>
      </c>
      <c r="I3315" s="86" t="str">
        <f>_xlfn.XLOOKUP(表格1[[#This Row],[Model]],表格3[Model-Input-Ref2],表格3[大小電])</f>
        <v>細電</v>
      </c>
      <c r="J3315" s="86" t="str">
        <f>_xlfn.XLOOKUP(表格1[[#This Row],[Model]],表格3[Model-Input-Ref2],表格3[Code])</f>
        <v>SDA</v>
      </c>
      <c r="K3315" s="89" t="s">
        <v>1283</v>
      </c>
      <c r="L3315" s="86">
        <v>1</v>
      </c>
      <c r="M3315" s="87">
        <v>198</v>
      </c>
      <c r="N3315" s="87">
        <f>IFERROR(表格1[[#This Row],[QTY]]*表格1[[#This Row],[Unit Price]],"-")</f>
        <v>198</v>
      </c>
      <c r="O3315" s="86">
        <v>1025364</v>
      </c>
      <c r="R3315" s="86" t="str">
        <f>_xlfn.CONCAT(表格1[[#This Row],[Model]]," ",表格1[[#This Row],[inv no]])</f>
        <v>KT-17SHNH 1025364</v>
      </c>
      <c r="S3315" s="86">
        <f>_xlfn.XLOOKUP(表格1[[#This Row],[Model]],表格3[Model-Input-Ref2],表格3[SRP PRICE])</f>
        <v>299</v>
      </c>
      <c r="T3315" s="43">
        <f>表格1[[#This Row],[Unit Price]]/表格1[[#This Row],[SRP]]</f>
        <v>0.66220735785953178</v>
      </c>
      <c r="U3315" s="86" t="str">
        <f>_xlfn.XLOOKUP(表格1[[#This Row],[Model]],表格3[Model-Input-Ref2],表格3[TOSHIBA/HIGHEST])</f>
        <v>Shops Highest Price</v>
      </c>
      <c r="W3315" s="86" t="str">
        <f>_xlfn.CONCAT(表格1[[#This Row],[欄4]],表格1[[#This Row],[inv no]])</f>
        <v>1025364</v>
      </c>
    </row>
    <row r="3316" spans="1:23" hidden="1">
      <c r="A3316" s="81">
        <v>3314</v>
      </c>
      <c r="B3316" s="86" t="s">
        <v>1477</v>
      </c>
      <c r="C3316" s="86" t="s">
        <v>1959</v>
      </c>
      <c r="D3316" s="82" t="str">
        <f ca="1">OFFSET(Roster!$A$3,MATCH(表格1[[#This Row],[Location]]&amp;" "&amp;表格1[[#This Row],[Shop]]&amp;"*",Roster!$A$4:$A$72,0),DAY(表格1[[#This Row],[date]]),1,1)</f>
        <v>Jaco</v>
      </c>
      <c r="E3316" s="86">
        <f>MONTH(表格1[[#This Row],[date]])</f>
        <v>3</v>
      </c>
      <c r="F3316" s="90">
        <v>46112</v>
      </c>
      <c r="G3316" s="86" t="str">
        <f>VLOOKUP("*"&amp;表格1[[#This Row],[Input]]&amp;"*",'Ref-List'!$B:$D,2,)</f>
        <v>MX2-STR25SC(WH)</v>
      </c>
      <c r="H3316" s="86" t="str">
        <f>_xlfn.XLOOKUP(表格1[[#This Row],[Model]],表格3[Model-Input-Ref2],表格3[Product Line])</f>
        <v>4合1氣炸微波蒸焗爐(25公升)</v>
      </c>
      <c r="I3316" s="86" t="str">
        <f>_xlfn.XLOOKUP(表格1[[#This Row],[Model]],表格3[Model-Input-Ref2],表格3[大小電])</f>
        <v>細電</v>
      </c>
      <c r="J3316" s="86" t="str">
        <f>_xlfn.XLOOKUP(表格1[[#This Row],[Model]],表格3[Model-Input-Ref2],表格3[Code])</f>
        <v>MCA</v>
      </c>
      <c r="K3316" s="89" t="s">
        <v>1410</v>
      </c>
      <c r="L3316" s="86">
        <v>1</v>
      </c>
      <c r="M3316" s="87">
        <v>3580</v>
      </c>
      <c r="N3316" s="87">
        <f>IFERROR(表格1[[#This Row],[QTY]]*表格1[[#This Row],[Unit Price]],"-")</f>
        <v>3580</v>
      </c>
      <c r="O3316" s="86">
        <v>1025458</v>
      </c>
      <c r="R3316" s="86" t="str">
        <f>_xlfn.CONCAT(表格1[[#This Row],[Model]]," ",表格1[[#This Row],[inv no]])</f>
        <v>MX2-STR25SC(WH) 1025458</v>
      </c>
      <c r="S3316" s="86">
        <f>_xlfn.XLOOKUP(表格1[[#This Row],[Model]],表格3[Model-Input-Ref2],表格3[SRP PRICE])</f>
        <v>4998</v>
      </c>
      <c r="T3316" s="43">
        <f>表格1[[#This Row],[Unit Price]]/表格1[[#This Row],[SRP]]</f>
        <v>0.71628651460584236</v>
      </c>
      <c r="U3316" s="86" t="str">
        <f>_xlfn.XLOOKUP(表格1[[#This Row],[Model]],表格3[Model-Input-Ref2],表格3[TOSHIBA/HIGHEST])</f>
        <v>Toshiba SRP</v>
      </c>
      <c r="W3316" s="86" t="str">
        <f>_xlfn.CONCAT(表格1[[#This Row],[欄4]],表格1[[#This Row],[inv no]])</f>
        <v>1025458</v>
      </c>
    </row>
    <row r="3317" spans="1:23" hidden="1">
      <c r="A3317" s="81">
        <v>3315</v>
      </c>
      <c r="B3317" s="86" t="s">
        <v>1477</v>
      </c>
      <c r="C3317" s="86" t="s">
        <v>1959</v>
      </c>
      <c r="D3317" s="82" t="str">
        <f ca="1">OFFSET(Roster!$A$3,MATCH(表格1[[#This Row],[Location]]&amp;" "&amp;表格1[[#This Row],[Shop]]&amp;"*",Roster!$A$4:$A$72,0),DAY(表格1[[#This Row],[date]]),1,1)</f>
        <v>Jaco</v>
      </c>
      <c r="E3317" s="86">
        <f>MONTH(表格1[[#This Row],[date]])</f>
        <v>3</v>
      </c>
      <c r="F3317" s="90">
        <v>46112</v>
      </c>
      <c r="G3317" s="86" t="str">
        <f>VLOOKUP("*"&amp;表格1[[#This Row],[Input]]&amp;"*",'Ref-List'!$B:$D,2,)</f>
        <v>MWP-MG20P(BK)</v>
      </c>
      <c r="H3317" s="86" t="str">
        <f>_xlfn.XLOOKUP(表格1[[#This Row],[Model]],表格3[Model-Input-Ref2],表格3[Product Line])</f>
        <v>旋鈕式燒烤微波爐20L黑色</v>
      </c>
      <c r="I3317" s="86" t="str">
        <f>_xlfn.XLOOKUP(表格1[[#This Row],[Model]],表格3[Model-Input-Ref2],表格3[大小電])</f>
        <v>細電</v>
      </c>
      <c r="J3317" s="86" t="str">
        <f>_xlfn.XLOOKUP(表格1[[#This Row],[Model]],表格3[Model-Input-Ref2],表格3[Code])</f>
        <v>SDA</v>
      </c>
      <c r="K3317" s="89" t="s">
        <v>1485</v>
      </c>
      <c r="L3317" s="86">
        <v>1</v>
      </c>
      <c r="M3317" s="87">
        <v>579</v>
      </c>
      <c r="N3317" s="87">
        <f>IFERROR(表格1[[#This Row],[QTY]]*表格1[[#This Row],[Unit Price]],"-")</f>
        <v>579</v>
      </c>
      <c r="O3317" s="86">
        <v>1025474</v>
      </c>
      <c r="R3317" s="86" t="str">
        <f>_xlfn.CONCAT(表格1[[#This Row],[Model]]," ",表格1[[#This Row],[inv no]])</f>
        <v>MWP-MG20P(BK) 1025474</v>
      </c>
      <c r="S3317" s="86">
        <f>_xlfn.XLOOKUP(表格1[[#This Row],[Model]],表格3[Model-Input-Ref2],表格3[SRP PRICE])</f>
        <v>918</v>
      </c>
      <c r="T3317" s="43">
        <f>表格1[[#This Row],[Unit Price]]/表格1[[#This Row],[SRP]]</f>
        <v>0.63071895424836599</v>
      </c>
      <c r="U3317" s="86" t="str">
        <f>_xlfn.XLOOKUP(表格1[[#This Row],[Model]],表格3[Model-Input-Ref2],表格3[TOSHIBA/HIGHEST])</f>
        <v>Toshiba SRP</v>
      </c>
      <c r="W3317" s="86" t="str">
        <f>_xlfn.CONCAT(表格1[[#This Row],[欄4]],表格1[[#This Row],[inv no]])</f>
        <v>1025474</v>
      </c>
    </row>
    <row r="3318" spans="1:23" hidden="1">
      <c r="A3318" s="81">
        <v>3316</v>
      </c>
      <c r="B3318" s="86" t="s">
        <v>1477</v>
      </c>
      <c r="C3318" s="86" t="s">
        <v>1959</v>
      </c>
      <c r="D3318" s="82" t="str">
        <f ca="1">OFFSET(Roster!$A$3,MATCH(表格1[[#This Row],[Location]]&amp;" "&amp;表格1[[#This Row],[Shop]]&amp;"*",Roster!$A$4:$A$72,0),DAY(表格1[[#This Row],[date]]),1,1)</f>
        <v>Jaco</v>
      </c>
      <c r="E3318" s="86">
        <f>MONTH(表格1[[#This Row],[date]])</f>
        <v>3</v>
      </c>
      <c r="F3318" s="90">
        <v>46112</v>
      </c>
      <c r="G3318" s="86" t="str">
        <f>VLOOKUP("*"&amp;表格1[[#This Row],[Input]]&amp;"*",'Ref-List'!$B:$D,2,)</f>
        <v>F-ALB60HK(B)</v>
      </c>
      <c r="H3318" s="86" t="str">
        <f>_xlfn.XLOOKUP(表格1[[#This Row],[Model]],表格3[Model-Input-Ref2],表格3[Product Line])</f>
        <v>12吋座地座檯電風扇</v>
      </c>
      <c r="I3318" s="86" t="str">
        <f>_xlfn.XLOOKUP(表格1[[#This Row],[Model]],表格3[Model-Input-Ref2],表格3[大小電])</f>
        <v>細電</v>
      </c>
      <c r="J3318" s="86" t="str">
        <f>_xlfn.XLOOKUP(表格1[[#This Row],[Model]],表格3[Model-Input-Ref2],表格3[Code])</f>
        <v>SDA</v>
      </c>
      <c r="K3318" s="89" t="s">
        <v>1490</v>
      </c>
      <c r="L3318" s="86">
        <v>1</v>
      </c>
      <c r="M3318" s="87">
        <v>499</v>
      </c>
      <c r="N3318" s="87">
        <f>IFERROR(表格1[[#This Row],[QTY]]*表格1[[#This Row],[Unit Price]],"-")</f>
        <v>499</v>
      </c>
      <c r="O3318" s="86">
        <v>1025449</v>
      </c>
      <c r="R3318" s="86" t="str">
        <f>_xlfn.CONCAT(表格1[[#This Row],[Model]]," ",表格1[[#This Row],[inv no]])</f>
        <v>F-ALB60HK(B) 1025449</v>
      </c>
      <c r="S3318" s="86">
        <f>_xlfn.XLOOKUP(表格1[[#This Row],[Model]],表格3[Model-Input-Ref2],表格3[SRP PRICE])</f>
        <v>839</v>
      </c>
      <c r="T3318" s="43">
        <f>表格1[[#This Row],[Unit Price]]/表格1[[#This Row],[SRP]]</f>
        <v>0.59475566150178782</v>
      </c>
      <c r="U3318" s="86" t="str">
        <f>_xlfn.XLOOKUP(表格1[[#This Row],[Model]],表格3[Model-Input-Ref2],表格3[TOSHIBA/HIGHEST])</f>
        <v>Shops Highest Price</v>
      </c>
      <c r="W3318" s="86" t="str">
        <f>_xlfn.CONCAT(表格1[[#This Row],[欄4]],表格1[[#This Row],[inv no]])</f>
        <v>1025449</v>
      </c>
    </row>
    <row r="3319" spans="1:23" hidden="1">
      <c r="A3319" s="81">
        <v>3317</v>
      </c>
      <c r="B3319" s="86" t="s">
        <v>1477</v>
      </c>
      <c r="C3319" s="86" t="s">
        <v>1959</v>
      </c>
      <c r="D3319" s="82" t="str">
        <f ca="1">OFFSET(Roster!$A$3,MATCH(表格1[[#This Row],[Location]]&amp;" "&amp;表格1[[#This Row],[Shop]]&amp;"*",Roster!$A$4:$A$72,0),DAY(表格1[[#This Row],[date]]),1,1)</f>
        <v>Jaco</v>
      </c>
      <c r="E3319" s="86">
        <f>MONTH(表格1[[#This Row],[date]])</f>
        <v>3</v>
      </c>
      <c r="F3319" s="90">
        <v>46112</v>
      </c>
      <c r="G3319" s="86" t="str">
        <f>VLOOKUP("*"&amp;表格1[[#This Row],[Input]]&amp;"*",'Ref-List'!$B:$D,2,)</f>
        <v>RC-10NMFIH(WT)</v>
      </c>
      <c r="H3319" s="86" t="str">
        <f>_xlfn.XLOOKUP(表格1[[#This Row],[Model]],表格3[Model-Input-Ref2],表格3[Product Line])</f>
        <v>4毫米厚釜電飯煲1L</v>
      </c>
      <c r="I3319" s="86" t="str">
        <f>_xlfn.XLOOKUP(表格1[[#This Row],[Model]],表格3[Model-Input-Ref2],表格3[大小電])</f>
        <v>細電</v>
      </c>
      <c r="J3319" s="86" t="str">
        <f>_xlfn.XLOOKUP(表格1[[#This Row],[Model]],表格3[Model-Input-Ref2],表格3[Code])</f>
        <v>SDA</v>
      </c>
      <c r="K3319" s="89" t="s">
        <v>1244</v>
      </c>
      <c r="L3319" s="86">
        <v>1</v>
      </c>
      <c r="M3319" s="87">
        <v>719</v>
      </c>
      <c r="N3319" s="87">
        <f>IFERROR(表格1[[#This Row],[QTY]]*表格1[[#This Row],[Unit Price]],"-")</f>
        <v>719</v>
      </c>
      <c r="O3319" s="86">
        <v>931963</v>
      </c>
      <c r="R3319" s="86" t="str">
        <f>_xlfn.CONCAT(表格1[[#This Row],[Model]]," ",表格1[[#This Row],[inv no]])</f>
        <v>RC-10NMFIH(WT) 931963</v>
      </c>
      <c r="S3319" s="86">
        <f>_xlfn.XLOOKUP(表格1[[#This Row],[Model]],表格3[Model-Input-Ref2],表格3[SRP PRICE])</f>
        <v>898</v>
      </c>
      <c r="T3319" s="43">
        <f>表格1[[#This Row],[Unit Price]]/表格1[[#This Row],[SRP]]</f>
        <v>0.80066815144766146</v>
      </c>
      <c r="U3319" s="86" t="str">
        <f>_xlfn.XLOOKUP(表格1[[#This Row],[Model]],表格3[Model-Input-Ref2],表格3[TOSHIBA/HIGHEST])</f>
        <v>Toshiba SRP</v>
      </c>
      <c r="W3319" s="86" t="str">
        <f>_xlfn.CONCAT(表格1[[#This Row],[欄4]],表格1[[#This Row],[inv no]])</f>
        <v>931963</v>
      </c>
    </row>
    <row r="3320" spans="1:23" hidden="1">
      <c r="A3320" s="81">
        <v>3318</v>
      </c>
      <c r="B3320" s="86" t="s">
        <v>1477</v>
      </c>
      <c r="C3320" s="86" t="s">
        <v>1959</v>
      </c>
      <c r="D3320" s="82" t="str">
        <f ca="1">OFFSET(Roster!$A$3,MATCH(表格1[[#This Row],[Location]]&amp;" "&amp;表格1[[#This Row],[Shop]]&amp;"*",Roster!$A$4:$A$72,0),DAY(表格1[[#This Row],[date]]),1,1)</f>
        <v>Jaco</v>
      </c>
      <c r="E3320" s="86">
        <f>MONTH(表格1[[#This Row],[date]])</f>
        <v>3</v>
      </c>
      <c r="F3320" s="90">
        <v>46112</v>
      </c>
      <c r="G3320" s="86" t="str">
        <f>VLOOKUP("*"&amp;表格1[[#This Row],[Input]]&amp;"*",'Ref-List'!$B:$D,2,)</f>
        <v>AW-Q800APH(WW)</v>
      </c>
      <c r="H3320" s="86" t="str">
        <f>_xlfn.XLOOKUP(表格1[[#This Row],[Model]],表格3[Model-Input-Ref2],表格3[Product Line])</f>
        <v>日式洗衣機 (7公斤 結合高低水位)</v>
      </c>
      <c r="I3320" s="86" t="str">
        <f>_xlfn.XLOOKUP(表格1[[#This Row],[Model]],表格3[Model-Input-Ref2],表格3[大小電])</f>
        <v>大電</v>
      </c>
      <c r="J3320" s="86" t="str">
        <f>_xlfn.XLOOKUP(表格1[[#This Row],[Model]],表格3[Model-Input-Ref2],表格3[Code])</f>
        <v>LAD</v>
      </c>
      <c r="K3320" s="89" t="s">
        <v>1479</v>
      </c>
      <c r="L3320" s="86">
        <v>1</v>
      </c>
      <c r="M3320" s="87">
        <v>2080</v>
      </c>
      <c r="N3320" s="87">
        <f>IFERROR(表格1[[#This Row],[QTY]]*表格1[[#This Row],[Unit Price]],"-")</f>
        <v>2080</v>
      </c>
      <c r="O3320" s="86">
        <v>1025478</v>
      </c>
      <c r="R3320" s="86" t="str">
        <f>_xlfn.CONCAT(表格1[[#This Row],[Model]]," ",表格1[[#This Row],[inv no]])</f>
        <v>AW-Q800APH(WW) 1025478</v>
      </c>
      <c r="S3320" s="86">
        <f>_xlfn.XLOOKUP(表格1[[#This Row],[Model]],表格3[Model-Input-Ref2],表格3[SRP PRICE])</f>
        <v>3580</v>
      </c>
      <c r="T3320" s="43">
        <f>表格1[[#This Row],[Unit Price]]/表格1[[#This Row],[SRP]]</f>
        <v>0.58100558659217882</v>
      </c>
      <c r="U3320" s="86" t="str">
        <f>_xlfn.XLOOKUP(表格1[[#This Row],[Model]],表格3[Model-Input-Ref2],表格3[TOSHIBA/HIGHEST])</f>
        <v>Toshiba SRP</v>
      </c>
      <c r="W3320" s="86" t="str">
        <f>_xlfn.CONCAT(表格1[[#This Row],[欄4]],表格1[[#This Row],[inv no]])</f>
        <v>1025478</v>
      </c>
    </row>
    <row r="3321" spans="1:23" hidden="1">
      <c r="A3321" s="81">
        <v>3319</v>
      </c>
      <c r="B3321" s="86" t="s">
        <v>1477</v>
      </c>
      <c r="C3321" s="86" t="s">
        <v>1959</v>
      </c>
      <c r="D3321" s="82" t="str">
        <f ca="1">OFFSET(Roster!$A$3,MATCH(表格1[[#This Row],[Location]]&amp;" "&amp;表格1[[#This Row],[Shop]]&amp;"*",Roster!$A$4:$A$72,0),DAY(表格1[[#This Row],[date]]),1,1)</f>
        <v>Jaco</v>
      </c>
      <c r="E3321" s="86">
        <f>MONTH(表格1[[#This Row],[date]])</f>
        <v>3</v>
      </c>
      <c r="F3321" s="90">
        <v>46112</v>
      </c>
      <c r="G3321" s="86" t="str">
        <f>VLOOKUP("*"&amp;表格1[[#This Row],[Input]]&amp;"*",'Ref-List'!$B:$D,2,)</f>
        <v>TL-MC35Z</v>
      </c>
      <c r="H3321" s="86" t="str">
        <f>_xlfn.XLOOKUP(表格1[[#This Row],[Model]],表格3[Model-Input-Ref2],表格3[Product Line])</f>
        <v>35L多功能電焗爐</v>
      </c>
      <c r="I3321" s="86" t="str">
        <f>_xlfn.XLOOKUP(表格1[[#This Row],[Model]],表格3[Model-Input-Ref2],表格3[大小電])</f>
        <v>細電</v>
      </c>
      <c r="J3321" s="86" t="str">
        <f>_xlfn.XLOOKUP(表格1[[#This Row],[Model]],表格3[Model-Input-Ref2],表格3[Code])</f>
        <v>SDA</v>
      </c>
      <c r="K3321" s="89" t="s">
        <v>1295</v>
      </c>
      <c r="L3321" s="86">
        <v>1</v>
      </c>
      <c r="M3321" s="87">
        <v>888</v>
      </c>
      <c r="N3321" s="87">
        <f>IFERROR(表格1[[#This Row],[QTY]]*表格1[[#This Row],[Unit Price]],"-")</f>
        <v>888</v>
      </c>
      <c r="O3321" s="86">
        <v>1025489</v>
      </c>
      <c r="R3321" s="86" t="str">
        <f>_xlfn.CONCAT(表格1[[#This Row],[Model]]," ",表格1[[#This Row],[inv no]])</f>
        <v>TL-MC35Z 1025489</v>
      </c>
      <c r="S3321" s="86">
        <f>_xlfn.XLOOKUP(表格1[[#This Row],[Model]],表格3[Model-Input-Ref2],表格3[SRP PRICE])</f>
        <v>1098</v>
      </c>
      <c r="T3321" s="43">
        <f>表格1[[#This Row],[Unit Price]]/表格1[[#This Row],[SRP]]</f>
        <v>0.80874316939890711</v>
      </c>
      <c r="U3321" s="86" t="str">
        <f>_xlfn.XLOOKUP(表格1[[#This Row],[Model]],表格3[Model-Input-Ref2],表格3[TOSHIBA/HIGHEST])</f>
        <v>Toshiba SRP</v>
      </c>
      <c r="W3321" s="86" t="str">
        <f>_xlfn.CONCAT(表格1[[#This Row],[欄4]],表格1[[#This Row],[inv no]])</f>
        <v>1025489</v>
      </c>
    </row>
    <row r="3322" spans="1:23" hidden="1">
      <c r="A3322" s="81">
        <v>3320</v>
      </c>
      <c r="B3322" s="86" t="s">
        <v>1477</v>
      </c>
      <c r="C3322" s="86" t="s">
        <v>1961</v>
      </c>
      <c r="D3322" s="82" t="str">
        <f ca="1">OFFSET(Roster!$A$3,MATCH(表格1[[#This Row],[Location]]&amp;" "&amp;表格1[[#This Row],[Shop]]&amp;"*",Roster!$A$4:$A$72,0),DAY(表格1[[#This Row],[date]]),1,1)</f>
        <v>Terence_2</v>
      </c>
      <c r="E3322" s="86">
        <f>MONTH(表格1[[#This Row],[date]])</f>
        <v>3</v>
      </c>
      <c r="F3322" s="90">
        <v>46108</v>
      </c>
      <c r="G3322" s="86" t="str">
        <f>VLOOKUP("*"&amp;表格1[[#This Row],[Input]]&amp;"*",'Ref-List'!$B:$D,2,)</f>
        <v>RC-18ISPH</v>
      </c>
      <c r="H3322" s="86" t="str">
        <f>_xlfn.XLOOKUP(表格1[[#This Row],[Model]],表格3[Model-Input-Ref2],表格3[Product Line])</f>
        <v>低醣磁應電飯煲1.8L</v>
      </c>
      <c r="I3322" s="86" t="str">
        <f>_xlfn.XLOOKUP(表格1[[#This Row],[Model]],表格3[Model-Input-Ref2],表格3[大小電])</f>
        <v>細電</v>
      </c>
      <c r="J3322" s="86" t="str">
        <f>_xlfn.XLOOKUP(表格1[[#This Row],[Model]],表格3[Model-Input-Ref2],表格3[Code])</f>
        <v>SDA</v>
      </c>
      <c r="K3322" s="89" t="s">
        <v>1281</v>
      </c>
      <c r="L3322" s="86">
        <v>1</v>
      </c>
      <c r="M3322" s="87">
        <v>880</v>
      </c>
      <c r="N3322" s="87">
        <f>IFERROR(表格1[[#This Row],[QTY]]*表格1[[#This Row],[Unit Price]],"-")</f>
        <v>880</v>
      </c>
      <c r="O3322" s="86">
        <v>2300084</v>
      </c>
      <c r="R3322" s="86" t="str">
        <f>_xlfn.CONCAT(表格1[[#This Row],[Model]]," ",表格1[[#This Row],[inv no]])</f>
        <v>RC-18ISPH 2300084</v>
      </c>
      <c r="S3322" s="86">
        <f>_xlfn.XLOOKUP(表格1[[#This Row],[Model]],表格3[Model-Input-Ref2],表格3[SRP PRICE])</f>
        <v>1436</v>
      </c>
      <c r="T3322" s="43">
        <f>表格1[[#This Row],[Unit Price]]/表格1[[#This Row],[SRP]]</f>
        <v>0.61281337047353757</v>
      </c>
      <c r="U3322" s="86" t="str">
        <f>_xlfn.XLOOKUP(表格1[[#This Row],[Model]],表格3[Model-Input-Ref2],表格3[TOSHIBA/HIGHEST])</f>
        <v>Shops Highest Price</v>
      </c>
      <c r="W3322" s="86" t="str">
        <f>_xlfn.CONCAT(表格1[[#This Row],[欄4]],表格1[[#This Row],[inv no]])</f>
        <v>2300084</v>
      </c>
    </row>
    <row r="3323" spans="1:23" hidden="1">
      <c r="A3323" s="81">
        <v>3321</v>
      </c>
      <c r="B3323" s="86" t="s">
        <v>1477</v>
      </c>
      <c r="C3323" s="86" t="s">
        <v>1961</v>
      </c>
      <c r="D3323" s="82" t="str">
        <f ca="1">OFFSET(Roster!$A$3,MATCH(表格1[[#This Row],[Location]]&amp;" "&amp;表格1[[#This Row],[Shop]]&amp;"*",Roster!$A$4:$A$72,0),DAY(表格1[[#This Row],[date]]),1,1)</f>
        <v>Terence_2</v>
      </c>
      <c r="E3323" s="86">
        <f>MONTH(表格1[[#This Row],[date]])</f>
        <v>3</v>
      </c>
      <c r="F3323" s="90">
        <v>46108</v>
      </c>
      <c r="G3323" s="86" t="str">
        <f>VLOOKUP("*"&amp;表格1[[#This Row],[Input]]&amp;"*",'Ref-List'!$B:$D,2,)</f>
        <v>RC-10JRUH(N)</v>
      </c>
      <c r="H3323" s="86" t="str">
        <f>_xlfn.XLOOKUP(表格1[[#This Row],[Model]],表格3[Model-Input-Ref2],表格3[Product Line])</f>
        <v>電飯煲</v>
      </c>
      <c r="I3323" s="86" t="str">
        <f>_xlfn.XLOOKUP(表格1[[#This Row],[Model]],表格3[Model-Input-Ref2],表格3[大小電])</f>
        <v>細電</v>
      </c>
      <c r="J3323" s="86" t="str">
        <f>_xlfn.XLOOKUP(表格1[[#This Row],[Model]],表格3[Model-Input-Ref2],表格3[Code])</f>
        <v>SDA</v>
      </c>
      <c r="K3323" s="89" t="s">
        <v>1263</v>
      </c>
      <c r="L3323" s="86">
        <v>1</v>
      </c>
      <c r="M3323" s="87">
        <v>298</v>
      </c>
      <c r="N3323" s="87">
        <f>IFERROR(表格1[[#This Row],[QTY]]*表格1[[#This Row],[Unit Price]],"-")</f>
        <v>298</v>
      </c>
      <c r="O3323" s="86">
        <v>2300089</v>
      </c>
      <c r="R3323" s="86" t="str">
        <f>_xlfn.CONCAT(表格1[[#This Row],[Model]]," ",表格1[[#This Row],[inv no]])</f>
        <v>RC-10JRUH(N) 2300089</v>
      </c>
      <c r="S3323" s="86">
        <f>_xlfn.XLOOKUP(表格1[[#This Row],[Model]],表格3[Model-Input-Ref2],表格3[SRP PRICE])</f>
        <v>398</v>
      </c>
      <c r="T3323" s="43">
        <f>表格1[[#This Row],[Unit Price]]/表格1[[#This Row],[SRP]]</f>
        <v>0.74874371859296485</v>
      </c>
      <c r="U3323" s="86" t="str">
        <f>_xlfn.XLOOKUP(表格1[[#This Row],[Model]],表格3[Model-Input-Ref2],表格3[TOSHIBA/HIGHEST])</f>
        <v>Shops Highest Price</v>
      </c>
      <c r="W3323" s="86" t="str">
        <f>_xlfn.CONCAT(表格1[[#This Row],[欄4]],表格1[[#This Row],[inv no]])</f>
        <v>2300089</v>
      </c>
    </row>
    <row r="3324" spans="1:23" hidden="1">
      <c r="A3324" s="81">
        <v>3322</v>
      </c>
      <c r="B3324" s="86" t="s">
        <v>1477</v>
      </c>
      <c r="C3324" s="86" t="s">
        <v>1961</v>
      </c>
      <c r="D3324" s="82" t="str">
        <f ca="1">OFFSET(Roster!$A$3,MATCH(表格1[[#This Row],[Location]]&amp;" "&amp;表格1[[#This Row],[Shop]]&amp;"*",Roster!$A$4:$A$72,0),DAY(表格1[[#This Row],[date]]),1,1)</f>
        <v>Terence_2</v>
      </c>
      <c r="E3324" s="86">
        <f>MONTH(表格1[[#This Row],[date]])</f>
        <v>3</v>
      </c>
      <c r="F3324" s="90">
        <v>46108</v>
      </c>
      <c r="G3324" s="86" t="str">
        <f>VLOOKUP("*"&amp;表格1[[#This Row],[Input]]&amp;"*",'Ref-List'!$B:$D,2,)</f>
        <v>RC-10IRPH</v>
      </c>
      <c r="H3324" s="86" t="str">
        <f>_xlfn.XLOOKUP(表格1[[#This Row],[Model]],表格3[Model-Input-Ref2],表格3[Product Line])</f>
        <v>低醣磁應電飯煲1L</v>
      </c>
      <c r="I3324" s="86" t="str">
        <f>_xlfn.XLOOKUP(表格1[[#This Row],[Model]],表格3[Model-Input-Ref2],表格3[大小電])</f>
        <v>細電</v>
      </c>
      <c r="J3324" s="86" t="str">
        <f>_xlfn.XLOOKUP(表格1[[#This Row],[Model]],表格3[Model-Input-Ref2],表格3[Code])</f>
        <v>SDA</v>
      </c>
      <c r="K3324" s="89" t="s">
        <v>1297</v>
      </c>
      <c r="L3324" s="86">
        <v>1</v>
      </c>
      <c r="M3324" s="87">
        <v>798</v>
      </c>
      <c r="N3324" s="87">
        <f>IFERROR(表格1[[#This Row],[QTY]]*表格1[[#This Row],[Unit Price]],"-")</f>
        <v>798</v>
      </c>
      <c r="O3324" s="86">
        <v>2300089</v>
      </c>
      <c r="R3324" s="86" t="str">
        <f>_xlfn.CONCAT(表格1[[#This Row],[Model]]," ",表格1[[#This Row],[inv no]])</f>
        <v>RC-10IRPH 2300089</v>
      </c>
      <c r="S3324" s="86">
        <f>_xlfn.XLOOKUP(表格1[[#This Row],[Model]],表格3[Model-Input-Ref2],表格3[SRP PRICE])</f>
        <v>1388</v>
      </c>
      <c r="T3324" s="43">
        <f>表格1[[#This Row],[Unit Price]]/表格1[[#This Row],[SRP]]</f>
        <v>0.5749279538904899</v>
      </c>
      <c r="U3324" s="86" t="str">
        <f>_xlfn.XLOOKUP(表格1[[#This Row],[Model]],表格3[Model-Input-Ref2],表格3[TOSHIBA/HIGHEST])</f>
        <v>Toshiba SRP</v>
      </c>
      <c r="W3324" s="86" t="str">
        <f>_xlfn.CONCAT(表格1[[#This Row],[欄4]],表格1[[#This Row],[inv no]])</f>
        <v>2300089</v>
      </c>
    </row>
    <row r="3325" spans="1:23" hidden="1">
      <c r="A3325" s="81">
        <v>3323</v>
      </c>
      <c r="B3325" s="86" t="s">
        <v>1477</v>
      </c>
      <c r="C3325" s="86" t="s">
        <v>1961</v>
      </c>
      <c r="D3325" s="82" t="str">
        <f ca="1">OFFSET(Roster!$A$3,MATCH(表格1[[#This Row],[Location]]&amp;" "&amp;表格1[[#This Row],[Shop]]&amp;"*",Roster!$A$4:$A$72,0),DAY(表格1[[#This Row],[date]]),1,1)</f>
        <v>Terence_2</v>
      </c>
      <c r="E3325" s="86">
        <f>MONTH(表格1[[#This Row],[date]])</f>
        <v>3</v>
      </c>
      <c r="F3325" s="90">
        <v>46108</v>
      </c>
      <c r="G3325" s="86" t="str">
        <f>VLOOKUP("*"&amp;表格1[[#This Row],[Input]]&amp;"*",'Ref-List'!$B:$D,2,)</f>
        <v>MS3-STQ20SC(WH)</v>
      </c>
      <c r="H3325" s="86" t="str">
        <f>_xlfn.XLOOKUP(表格1[[#This Row],[Model]],表格3[Model-Input-Ref2],表格3[Product Line])</f>
        <v>20L 智能蒸氣焗爐</v>
      </c>
      <c r="I3325" s="86" t="str">
        <f>_xlfn.XLOOKUP(表格1[[#This Row],[Model]],表格3[Model-Input-Ref2],表格3[大小電])</f>
        <v>細電</v>
      </c>
      <c r="J3325" s="86" t="str">
        <f>_xlfn.XLOOKUP(表格1[[#This Row],[Model]],表格3[Model-Input-Ref2],表格3[Code])</f>
        <v>MCA</v>
      </c>
      <c r="K3325" s="89" t="s">
        <v>1383</v>
      </c>
      <c r="L3325" s="86">
        <v>1</v>
      </c>
      <c r="M3325" s="87">
        <v>2100</v>
      </c>
      <c r="N3325" s="87">
        <f>IFERROR(表格1[[#This Row],[QTY]]*表格1[[#This Row],[Unit Price]],"-")</f>
        <v>2100</v>
      </c>
      <c r="O3325" s="86">
        <v>2300087</v>
      </c>
      <c r="R3325" s="86" t="str">
        <f>_xlfn.CONCAT(表格1[[#This Row],[Model]]," ",表格1[[#This Row],[inv no]])</f>
        <v>MS3-STQ20SC(WH) 2300087</v>
      </c>
      <c r="S3325" s="86">
        <f>_xlfn.XLOOKUP(表格1[[#This Row],[Model]],表格3[Model-Input-Ref2],表格3[SRP PRICE])</f>
        <v>2880</v>
      </c>
      <c r="T3325" s="43">
        <f>表格1[[#This Row],[Unit Price]]/表格1[[#This Row],[SRP]]</f>
        <v>0.72916666666666663</v>
      </c>
      <c r="U3325" s="86" t="str">
        <f>_xlfn.XLOOKUP(表格1[[#This Row],[Model]],表格3[Model-Input-Ref2],表格3[TOSHIBA/HIGHEST])</f>
        <v>Toshiba SRP</v>
      </c>
      <c r="W3325" s="86" t="str">
        <f>_xlfn.CONCAT(表格1[[#This Row],[欄4]],表格1[[#This Row],[inv no]])</f>
        <v>2300087</v>
      </c>
    </row>
    <row r="3326" spans="1:23" hidden="1">
      <c r="A3326" s="81">
        <v>3324</v>
      </c>
      <c r="B3326" s="86" t="s">
        <v>1477</v>
      </c>
      <c r="C3326" s="86" t="s">
        <v>1961</v>
      </c>
      <c r="D3326" s="82" t="str">
        <f ca="1">OFFSET(Roster!$A$3,MATCH(表格1[[#This Row],[Location]]&amp;" "&amp;表格1[[#This Row],[Shop]]&amp;"*",Roster!$A$4:$A$72,0),DAY(表格1[[#This Row],[date]]),1,1)</f>
        <v>Terence_2</v>
      </c>
      <c r="E3326" s="86">
        <f>MONTH(表格1[[#This Row],[date]])</f>
        <v>3</v>
      </c>
      <c r="F3326" s="90">
        <v>46108</v>
      </c>
      <c r="G3326" s="86" t="str">
        <f>VLOOKUP("*"&amp;表格1[[#This Row],[Input]]&amp;"*",'Ref-List'!$B:$D,2,)</f>
        <v>RC-10AMXH(W)</v>
      </c>
      <c r="H3326" s="86" t="str">
        <f>_xlfn.XLOOKUP(表格1[[#This Row],[Model]],表格3[Model-Input-Ref2],表格3[Product Line])</f>
        <v>酵活炊電飯煲(1.0公升)</v>
      </c>
      <c r="I3326" s="86" t="str">
        <f>_xlfn.XLOOKUP(表格1[[#This Row],[Model]],表格3[Model-Input-Ref2],表格3[大小電])</f>
        <v>細電</v>
      </c>
      <c r="J3326" s="86" t="str">
        <f>_xlfn.XLOOKUP(表格1[[#This Row],[Model]],表格3[Model-Input-Ref2],表格3[Code])</f>
        <v>SDA</v>
      </c>
      <c r="K3326" s="89" t="s">
        <v>1279</v>
      </c>
      <c r="L3326" s="86">
        <v>1</v>
      </c>
      <c r="M3326" s="87">
        <v>990</v>
      </c>
      <c r="N3326" s="87">
        <f>IFERROR(表格1[[#This Row],[QTY]]*表格1[[#This Row],[Unit Price]],"-")</f>
        <v>990</v>
      </c>
      <c r="O3326" s="86">
        <v>2300103</v>
      </c>
      <c r="R3326" s="86" t="str">
        <f>_xlfn.CONCAT(表格1[[#This Row],[Model]]," ",表格1[[#This Row],[inv no]])</f>
        <v>RC-10AMXH(W) 2300103</v>
      </c>
      <c r="S3326" s="86">
        <f>_xlfn.XLOOKUP(表格1[[#This Row],[Model]],表格3[Model-Input-Ref2],表格3[SRP PRICE])</f>
        <v>1288</v>
      </c>
      <c r="T3326" s="43">
        <f>表格1[[#This Row],[Unit Price]]/表格1[[#This Row],[SRP]]</f>
        <v>0.76863354037267084</v>
      </c>
      <c r="U3326" s="86" t="str">
        <f>_xlfn.XLOOKUP(表格1[[#This Row],[Model]],表格3[Model-Input-Ref2],表格3[TOSHIBA/HIGHEST])</f>
        <v>Toshiba SRP</v>
      </c>
      <c r="W3326" s="86" t="str">
        <f>_xlfn.CONCAT(表格1[[#This Row],[欄4]],表格1[[#This Row],[inv no]])</f>
        <v>2300103</v>
      </c>
    </row>
    <row r="3327" spans="1:23" hidden="1">
      <c r="A3327" s="81">
        <v>3325</v>
      </c>
      <c r="B3327" s="86" t="s">
        <v>1477</v>
      </c>
      <c r="C3327" s="86" t="s">
        <v>1961</v>
      </c>
      <c r="D3327" s="82" t="str">
        <f ca="1">OFFSET(Roster!$A$3,MATCH(表格1[[#This Row],[Location]]&amp;" "&amp;表格1[[#This Row],[Shop]]&amp;"*",Roster!$A$4:$A$72,0),DAY(表格1[[#This Row],[date]]),1,1)</f>
        <v>Terence_2</v>
      </c>
      <c r="E3327" s="86">
        <f>MONTH(表格1[[#This Row],[date]])</f>
        <v>3</v>
      </c>
      <c r="F3327" s="90">
        <v>46108</v>
      </c>
      <c r="G3327" s="86" t="str">
        <f>VLOOKUP("*"&amp;表格1[[#This Row],[Input]]&amp;"*",'Ref-List'!$B:$D,2,)</f>
        <v>Model-Input-Ref2</v>
      </c>
      <c r="H3327" s="86" t="e">
        <f>_xlfn.XLOOKUP(表格1[[#This Row],[Model]],表格3[Model-Input-Ref2],表格3[Product Line])</f>
        <v>#N/A</v>
      </c>
      <c r="I3327" s="86" t="e">
        <f>_xlfn.XLOOKUP(表格1[[#This Row],[Model]],表格3[Model-Input-Ref2],表格3[大小電])</f>
        <v>#N/A</v>
      </c>
      <c r="J3327" s="86" t="e">
        <f>_xlfn.XLOOKUP(表格1[[#This Row],[Model]],表格3[Model-Input-Ref2],表格3[Code])</f>
        <v>#N/A</v>
      </c>
      <c r="N3327" s="87">
        <f>IFERROR(表格1[[#This Row],[QTY]]*表格1[[#This Row],[Unit Price]],"-")</f>
        <v>0</v>
      </c>
      <c r="P3327" s="86" t="s">
        <v>1963</v>
      </c>
      <c r="R3327" s="86" t="str">
        <f>_xlfn.CONCAT(表格1[[#This Row],[Model]]," ",表格1[[#This Row],[inv no]])</f>
        <v xml:space="preserve">Model-Input-Ref2 </v>
      </c>
      <c r="S3327" s="86" t="e">
        <f>_xlfn.XLOOKUP(表格1[[#This Row],[Model]],表格3[Model-Input-Ref2],表格3[SRP PRICE])</f>
        <v>#N/A</v>
      </c>
      <c r="T3327" s="43" t="e">
        <f>表格1[[#This Row],[Unit Price]]/表格1[[#This Row],[SRP]]</f>
        <v>#N/A</v>
      </c>
      <c r="U3327" s="86" t="e">
        <f>_xlfn.XLOOKUP(表格1[[#This Row],[Model]],表格3[Model-Input-Ref2],表格3[TOSHIBA/HIGHEST])</f>
        <v>#N/A</v>
      </c>
      <c r="W3327" s="86" t="str">
        <f>_xlfn.CONCAT(表格1[[#This Row],[欄4]],表格1[[#This Row],[inv no]])</f>
        <v/>
      </c>
    </row>
    <row r="3328" spans="1:23" hidden="1">
      <c r="A3328" s="81">
        <v>3326</v>
      </c>
      <c r="B3328" s="86" t="s">
        <v>1477</v>
      </c>
      <c r="C3328" s="86" t="s">
        <v>1961</v>
      </c>
      <c r="D3328" s="82" t="str">
        <f ca="1">OFFSET(Roster!$A$3,MATCH(表格1[[#This Row],[Location]]&amp;" "&amp;表格1[[#This Row],[Shop]]&amp;"*",Roster!$A$4:$A$72,0),DAY(表格1[[#This Row],[date]]),1,1)</f>
        <v>Terence_2</v>
      </c>
      <c r="E3328" s="86">
        <f>MONTH(表格1[[#This Row],[date]])</f>
        <v>3</v>
      </c>
      <c r="F3328" s="90">
        <v>46108</v>
      </c>
      <c r="G3328" s="86" t="str">
        <f>VLOOKUP("*"&amp;表格1[[#This Row],[Input]]&amp;"*",'Ref-List'!$B:$D,2,)</f>
        <v>MX2-STR25SC(WH)</v>
      </c>
      <c r="H3328" s="86" t="str">
        <f>_xlfn.XLOOKUP(表格1[[#This Row],[Model]],表格3[Model-Input-Ref2],表格3[Product Line])</f>
        <v>4合1氣炸微波蒸焗爐(25公升)</v>
      </c>
      <c r="I3328" s="86" t="str">
        <f>_xlfn.XLOOKUP(表格1[[#This Row],[Model]],表格3[Model-Input-Ref2],表格3[大小電])</f>
        <v>細電</v>
      </c>
      <c r="J3328" s="86" t="str">
        <f>_xlfn.XLOOKUP(表格1[[#This Row],[Model]],表格3[Model-Input-Ref2],表格3[Code])</f>
        <v>MCA</v>
      </c>
      <c r="K3328" s="89" t="s">
        <v>1410</v>
      </c>
      <c r="L3328" s="86">
        <v>1</v>
      </c>
      <c r="M3328" s="87">
        <v>3580</v>
      </c>
      <c r="N3328" s="87">
        <f>IFERROR(表格1[[#This Row],[QTY]]*表格1[[#This Row],[Unit Price]],"-")</f>
        <v>3580</v>
      </c>
      <c r="O3328" s="86">
        <v>2300098</v>
      </c>
      <c r="R3328" s="86" t="str">
        <f>_xlfn.CONCAT(表格1[[#This Row],[Model]]," ",表格1[[#This Row],[inv no]])</f>
        <v>MX2-STR25SC(WH) 2300098</v>
      </c>
      <c r="S3328" s="86">
        <f>_xlfn.XLOOKUP(表格1[[#This Row],[Model]],表格3[Model-Input-Ref2],表格3[SRP PRICE])</f>
        <v>4998</v>
      </c>
      <c r="T3328" s="43">
        <f>表格1[[#This Row],[Unit Price]]/表格1[[#This Row],[SRP]]</f>
        <v>0.71628651460584236</v>
      </c>
      <c r="U3328" s="86" t="str">
        <f>_xlfn.XLOOKUP(表格1[[#This Row],[Model]],表格3[Model-Input-Ref2],表格3[TOSHIBA/HIGHEST])</f>
        <v>Toshiba SRP</v>
      </c>
      <c r="W3328" s="86" t="str">
        <f>_xlfn.CONCAT(表格1[[#This Row],[欄4]],表格1[[#This Row],[inv no]])</f>
        <v>2300098</v>
      </c>
    </row>
    <row r="3329" spans="1:23" hidden="1">
      <c r="A3329" s="81">
        <v>3327</v>
      </c>
      <c r="B3329" s="86" t="s">
        <v>1477</v>
      </c>
      <c r="C3329" s="86" t="s">
        <v>1961</v>
      </c>
      <c r="D3329" s="82" t="str">
        <f ca="1">OFFSET(Roster!$A$3,MATCH(表格1[[#This Row],[Location]]&amp;" "&amp;表格1[[#This Row],[Shop]]&amp;"*",Roster!$A$4:$A$72,0),DAY(表格1[[#This Row],[date]]),1,1)</f>
        <v>Terence_2</v>
      </c>
      <c r="E3329" s="86">
        <f>MONTH(表格1[[#This Row],[date]])</f>
        <v>3</v>
      </c>
      <c r="F3329" s="90">
        <v>46108</v>
      </c>
      <c r="G3329" s="86" t="str">
        <f>VLOOKUP("*"&amp;表格1[[#This Row],[Input]]&amp;"*",'Ref-List'!$B:$D,2,)</f>
        <v>MX2-STR25SC(WH)</v>
      </c>
      <c r="H3329" s="86" t="str">
        <f>_xlfn.XLOOKUP(表格1[[#This Row],[Model]],表格3[Model-Input-Ref2],表格3[Product Line])</f>
        <v>4合1氣炸微波蒸焗爐(25公升)</v>
      </c>
      <c r="I3329" s="86" t="str">
        <f>_xlfn.XLOOKUP(表格1[[#This Row],[Model]],表格3[Model-Input-Ref2],表格3[大小電])</f>
        <v>細電</v>
      </c>
      <c r="J3329" s="86" t="str">
        <f>_xlfn.XLOOKUP(表格1[[#This Row],[Model]],表格3[Model-Input-Ref2],表格3[Code])</f>
        <v>MCA</v>
      </c>
      <c r="K3329" s="89" t="s">
        <v>1410</v>
      </c>
      <c r="L3329" s="86">
        <v>1</v>
      </c>
      <c r="M3329" s="87">
        <v>3580</v>
      </c>
      <c r="N3329" s="87">
        <f>IFERROR(表格1[[#This Row],[QTY]]*表格1[[#This Row],[Unit Price]],"-")</f>
        <v>3580</v>
      </c>
      <c r="O3329" s="86">
        <v>2300118</v>
      </c>
      <c r="R3329" s="86" t="str">
        <f>_xlfn.CONCAT(表格1[[#This Row],[Model]]," ",表格1[[#This Row],[inv no]])</f>
        <v>MX2-STR25SC(WH) 2300118</v>
      </c>
      <c r="S3329" s="86">
        <f>_xlfn.XLOOKUP(表格1[[#This Row],[Model]],表格3[Model-Input-Ref2],表格3[SRP PRICE])</f>
        <v>4998</v>
      </c>
      <c r="T3329" s="43">
        <f>表格1[[#This Row],[Unit Price]]/表格1[[#This Row],[SRP]]</f>
        <v>0.71628651460584236</v>
      </c>
      <c r="U3329" s="86" t="str">
        <f>_xlfn.XLOOKUP(表格1[[#This Row],[Model]],表格3[Model-Input-Ref2],表格3[TOSHIBA/HIGHEST])</f>
        <v>Toshiba SRP</v>
      </c>
      <c r="W3329" s="86" t="str">
        <f>_xlfn.CONCAT(表格1[[#This Row],[欄4]],表格1[[#This Row],[inv no]])</f>
        <v>2300118</v>
      </c>
    </row>
    <row r="3330" spans="1:23" hidden="1">
      <c r="A3330" s="81">
        <v>3328</v>
      </c>
      <c r="B3330" s="86" t="s">
        <v>1477</v>
      </c>
      <c r="C3330" s="86" t="s">
        <v>1961</v>
      </c>
      <c r="D3330" s="82" t="str">
        <f ca="1">OFFSET(Roster!$A$3,MATCH(表格1[[#This Row],[Location]]&amp;" "&amp;表格1[[#This Row],[Shop]]&amp;"*",Roster!$A$4:$A$72,0),DAY(表格1[[#This Row],[date]]),1,1)</f>
        <v>Terence_2</v>
      </c>
      <c r="E3330" s="86">
        <f>MONTH(表格1[[#This Row],[date]])</f>
        <v>3</v>
      </c>
      <c r="F3330" s="90">
        <v>46108</v>
      </c>
      <c r="G3330" s="86" t="str">
        <f>VLOOKUP("*"&amp;表格1[[#This Row],[Input]]&amp;"*",'Ref-List'!$B:$D,2,)</f>
        <v>MX2-STR25SC(WH)</v>
      </c>
      <c r="H3330" s="86" t="str">
        <f>_xlfn.XLOOKUP(表格1[[#This Row],[Model]],表格3[Model-Input-Ref2],表格3[Product Line])</f>
        <v>4合1氣炸微波蒸焗爐(25公升)</v>
      </c>
      <c r="I3330" s="86" t="str">
        <f>_xlfn.XLOOKUP(表格1[[#This Row],[Model]],表格3[Model-Input-Ref2],表格3[大小電])</f>
        <v>細電</v>
      </c>
      <c r="J3330" s="86" t="str">
        <f>_xlfn.XLOOKUP(表格1[[#This Row],[Model]],表格3[Model-Input-Ref2],表格3[Code])</f>
        <v>MCA</v>
      </c>
      <c r="K3330" s="89" t="s">
        <v>1410</v>
      </c>
      <c r="L3330" s="86">
        <v>1</v>
      </c>
      <c r="M3330" s="87">
        <v>3580</v>
      </c>
      <c r="N3330" s="87">
        <f>IFERROR(表格1[[#This Row],[QTY]]*表格1[[#This Row],[Unit Price]],"-")</f>
        <v>3580</v>
      </c>
      <c r="O3330" s="86">
        <v>2300115</v>
      </c>
      <c r="R3330" s="86" t="str">
        <f>_xlfn.CONCAT(表格1[[#This Row],[Model]]," ",表格1[[#This Row],[inv no]])</f>
        <v>MX2-STR25SC(WH) 2300115</v>
      </c>
      <c r="S3330" s="86">
        <f>_xlfn.XLOOKUP(表格1[[#This Row],[Model]],表格3[Model-Input-Ref2],表格3[SRP PRICE])</f>
        <v>4998</v>
      </c>
      <c r="T3330" s="43">
        <f>表格1[[#This Row],[Unit Price]]/表格1[[#This Row],[SRP]]</f>
        <v>0.71628651460584236</v>
      </c>
      <c r="U3330" s="86" t="str">
        <f>_xlfn.XLOOKUP(表格1[[#This Row],[Model]],表格3[Model-Input-Ref2],表格3[TOSHIBA/HIGHEST])</f>
        <v>Toshiba SRP</v>
      </c>
      <c r="W3330" s="86" t="str">
        <f>_xlfn.CONCAT(表格1[[#This Row],[欄4]],表格1[[#This Row],[inv no]])</f>
        <v>2300115</v>
      </c>
    </row>
    <row r="3331" spans="1:23" hidden="1">
      <c r="A3331" s="81">
        <v>3329</v>
      </c>
      <c r="B3331" s="86" t="s">
        <v>1477</v>
      </c>
      <c r="C3331" s="86" t="s">
        <v>1961</v>
      </c>
      <c r="D3331" s="82" t="str">
        <f ca="1">OFFSET(Roster!$A$3,MATCH(表格1[[#This Row],[Location]]&amp;" "&amp;表格1[[#This Row],[Shop]]&amp;"*",Roster!$A$4:$A$72,0),DAY(表格1[[#This Row],[date]]),1,1)</f>
        <v>Terence_2</v>
      </c>
      <c r="E3331" s="86">
        <f>MONTH(表格1[[#This Row],[date]])</f>
        <v>3</v>
      </c>
      <c r="F3331" s="90">
        <v>46108</v>
      </c>
      <c r="G3331" s="86" t="str">
        <f>VLOOKUP("*"&amp;表格1[[#This Row],[Input]]&amp;"*",'Ref-List'!$B:$D,2,)</f>
        <v>MS5-STR30SC(BK)</v>
      </c>
      <c r="H3331" s="86" t="str">
        <f>_xlfn.XLOOKUP(表格1[[#This Row],[Model]],表格3[Model-Input-Ref2],表格3[Product Line])</f>
        <v>30公升蒸氣焗爐</v>
      </c>
      <c r="I3331" s="86" t="str">
        <f>_xlfn.XLOOKUP(表格1[[#This Row],[Model]],表格3[Model-Input-Ref2],表格3[大小電])</f>
        <v>細電</v>
      </c>
      <c r="J3331" s="86" t="str">
        <f>_xlfn.XLOOKUP(表格1[[#This Row],[Model]],表格3[Model-Input-Ref2],表格3[Code])</f>
        <v>MCA</v>
      </c>
      <c r="K3331" s="89" t="s">
        <v>1379</v>
      </c>
      <c r="L3331" s="86">
        <v>1</v>
      </c>
      <c r="M3331" s="87">
        <v>3980</v>
      </c>
      <c r="N3331" s="87">
        <f>IFERROR(表格1[[#This Row],[QTY]]*表格1[[#This Row],[Unit Price]],"-")</f>
        <v>3980</v>
      </c>
      <c r="O3331" s="86">
        <v>2300099</v>
      </c>
      <c r="R3331" s="86" t="str">
        <f>_xlfn.CONCAT(表格1[[#This Row],[Model]]," ",表格1[[#This Row],[inv no]])</f>
        <v>MS5-STR30SC(BK) 2300099</v>
      </c>
      <c r="S3331" s="86">
        <f>_xlfn.XLOOKUP(表格1[[#This Row],[Model]],表格3[Model-Input-Ref2],表格3[SRP PRICE])</f>
        <v>5998</v>
      </c>
      <c r="T3331" s="43">
        <f>表格1[[#This Row],[Unit Price]]/表格1[[#This Row],[SRP]]</f>
        <v>0.66355451817272426</v>
      </c>
      <c r="U3331" s="86" t="str">
        <f>_xlfn.XLOOKUP(表格1[[#This Row],[Model]],表格3[Model-Input-Ref2],表格3[TOSHIBA/HIGHEST])</f>
        <v>Shops Highest Price</v>
      </c>
      <c r="W3331" s="86" t="str">
        <f>_xlfn.CONCAT(表格1[[#This Row],[欄4]],表格1[[#This Row],[inv no]])</f>
        <v>2300099</v>
      </c>
    </row>
    <row r="3332" spans="1:23" hidden="1">
      <c r="A3332" s="81">
        <v>3330</v>
      </c>
      <c r="B3332" s="86" t="s">
        <v>1477</v>
      </c>
      <c r="C3332" s="86" t="s">
        <v>1961</v>
      </c>
      <c r="D3332" s="82" t="str">
        <f ca="1">OFFSET(Roster!$A$3,MATCH(表格1[[#This Row],[Location]]&amp;" "&amp;表格1[[#This Row],[Shop]]&amp;"*",Roster!$A$4:$A$72,0),DAY(表格1[[#This Row],[date]]),1,1)</f>
        <v>Terence_2</v>
      </c>
      <c r="E3332" s="86">
        <f>MONTH(表格1[[#This Row],[date]])</f>
        <v>3</v>
      </c>
      <c r="F3332" s="90">
        <v>46108</v>
      </c>
      <c r="G3332" s="86" t="str">
        <f>VLOOKUP("*"&amp;表格1[[#This Row],[Input]]&amp;"*",'Ref-List'!$B:$D,2,)</f>
        <v>MS5-STR30SC(BK)</v>
      </c>
      <c r="H3332" s="86" t="str">
        <f>_xlfn.XLOOKUP(表格1[[#This Row],[Model]],表格3[Model-Input-Ref2],表格3[Product Line])</f>
        <v>30公升蒸氣焗爐</v>
      </c>
      <c r="I3332" s="86" t="str">
        <f>_xlfn.XLOOKUP(表格1[[#This Row],[Model]],表格3[Model-Input-Ref2],表格3[大小電])</f>
        <v>細電</v>
      </c>
      <c r="J3332" s="86" t="str">
        <f>_xlfn.XLOOKUP(表格1[[#This Row],[Model]],表格3[Model-Input-Ref2],表格3[Code])</f>
        <v>MCA</v>
      </c>
      <c r="K3332" s="89" t="s">
        <v>1379</v>
      </c>
      <c r="L3332" s="86">
        <v>1</v>
      </c>
      <c r="M3332" s="87">
        <v>3980</v>
      </c>
      <c r="N3332" s="87">
        <f>IFERROR(表格1[[#This Row],[QTY]]*表格1[[#This Row],[Unit Price]],"-")</f>
        <v>3980</v>
      </c>
      <c r="O3332" s="86">
        <v>2300113</v>
      </c>
      <c r="R3332" s="86" t="str">
        <f>_xlfn.CONCAT(表格1[[#This Row],[Model]]," ",表格1[[#This Row],[inv no]])</f>
        <v>MS5-STR30SC(BK) 2300113</v>
      </c>
      <c r="S3332" s="86">
        <f>_xlfn.XLOOKUP(表格1[[#This Row],[Model]],表格3[Model-Input-Ref2],表格3[SRP PRICE])</f>
        <v>5998</v>
      </c>
      <c r="T3332" s="43">
        <f>表格1[[#This Row],[Unit Price]]/表格1[[#This Row],[SRP]]</f>
        <v>0.66355451817272426</v>
      </c>
      <c r="U3332" s="86" t="str">
        <f>_xlfn.XLOOKUP(表格1[[#This Row],[Model]],表格3[Model-Input-Ref2],表格3[TOSHIBA/HIGHEST])</f>
        <v>Shops Highest Price</v>
      </c>
      <c r="W3332" s="86" t="str">
        <f>_xlfn.CONCAT(表格1[[#This Row],[欄4]],表格1[[#This Row],[inv no]])</f>
        <v>2300113</v>
      </c>
    </row>
    <row r="3333" spans="1:23" hidden="1">
      <c r="A3333" s="81">
        <v>3331</v>
      </c>
      <c r="B3333" s="86" t="s">
        <v>1477</v>
      </c>
      <c r="C3333" s="86" t="s">
        <v>1961</v>
      </c>
      <c r="D3333" s="82" t="str">
        <f ca="1">OFFSET(Roster!$A$3,MATCH(表格1[[#This Row],[Location]]&amp;" "&amp;表格1[[#This Row],[Shop]]&amp;"*",Roster!$A$4:$A$72,0),DAY(表格1[[#This Row],[date]]),1,1)</f>
        <v>Terence_2</v>
      </c>
      <c r="E3333" s="86">
        <f>MONTH(表格1[[#This Row],[date]])</f>
        <v>3</v>
      </c>
      <c r="F3333" s="90">
        <v>46108</v>
      </c>
      <c r="G3333" s="86" t="str">
        <f>VLOOKUP("*"&amp;表格1[[#This Row],[Input]]&amp;"*",'Ref-List'!$B:$D,2,)</f>
        <v>GR-RB449WE-PMA(57)</v>
      </c>
      <c r="H3333" s="86" t="str">
        <f>_xlfn.XLOOKUP(表格1[[#This Row],[Model]],表格3[Model-Input-Ref2],表格3[Product Line])</f>
        <v>變頻下置式雙門雪櫃</v>
      </c>
      <c r="I3333" s="86" t="str">
        <f>_xlfn.XLOOKUP(表格1[[#This Row],[Model]],表格3[Model-Input-Ref2],表格3[大小電])</f>
        <v>大電</v>
      </c>
      <c r="J3333" s="86" t="str">
        <f>_xlfn.XLOOKUP(表格1[[#This Row],[Model]],表格3[Model-Input-Ref2],表格3[Code])</f>
        <v>REF</v>
      </c>
      <c r="K3333" s="89" t="s">
        <v>1484</v>
      </c>
      <c r="L3333" s="86">
        <v>1</v>
      </c>
      <c r="M3333" s="87">
        <v>5080</v>
      </c>
      <c r="N3333" s="87">
        <f>IFERROR(表格1[[#This Row],[QTY]]*表格1[[#This Row],[Unit Price]],"-")</f>
        <v>5080</v>
      </c>
      <c r="O3333" s="86">
        <v>2300097</v>
      </c>
      <c r="R3333" s="86" t="str">
        <f>_xlfn.CONCAT(表格1[[#This Row],[Model]]," ",表格1[[#This Row],[inv no]])</f>
        <v>GR-RB449WE-PMA(57) 2300097</v>
      </c>
      <c r="S3333" s="86">
        <f>_xlfn.XLOOKUP(表格1[[#This Row],[Model]],表格3[Model-Input-Ref2],表格3[SRP PRICE])</f>
        <v>6280</v>
      </c>
      <c r="T3333" s="43">
        <f>表格1[[#This Row],[Unit Price]]/表格1[[#This Row],[SRP]]</f>
        <v>0.80891719745222934</v>
      </c>
      <c r="U3333" s="86" t="str">
        <f>_xlfn.XLOOKUP(表格1[[#This Row],[Model]],表格3[Model-Input-Ref2],表格3[TOSHIBA/HIGHEST])</f>
        <v>Toshiba SRP</v>
      </c>
      <c r="W3333" s="86" t="str">
        <f>_xlfn.CONCAT(表格1[[#This Row],[欄4]],表格1[[#This Row],[inv no]])</f>
        <v>2300097</v>
      </c>
    </row>
    <row r="3334" spans="1:23" hidden="1">
      <c r="A3334" s="81">
        <v>3332</v>
      </c>
      <c r="B3334" s="86" t="s">
        <v>1477</v>
      </c>
      <c r="C3334" s="86" t="s">
        <v>1961</v>
      </c>
      <c r="D3334" s="82" t="str">
        <f ca="1">OFFSET(Roster!$A$3,MATCH(表格1[[#This Row],[Location]]&amp;" "&amp;表格1[[#This Row],[Shop]]&amp;"*",Roster!$A$4:$A$72,0),DAY(表格1[[#This Row],[date]]),1,1)</f>
        <v>Terence_2</v>
      </c>
      <c r="E3334" s="86">
        <f>MONTH(表格1[[#This Row],[date]])</f>
        <v>3</v>
      </c>
      <c r="F3334" s="90">
        <v>46109</v>
      </c>
      <c r="G3334" s="86" t="str">
        <f>VLOOKUP("*"&amp;表格1[[#This Row],[Input]]&amp;"*",'Ref-List'!$B:$D,2,)</f>
        <v>RC-10NMFIH(WT)</v>
      </c>
      <c r="H3334" s="86" t="str">
        <f>_xlfn.XLOOKUP(表格1[[#This Row],[Model]],表格3[Model-Input-Ref2],表格3[Product Line])</f>
        <v>4毫米厚釜電飯煲1L</v>
      </c>
      <c r="I3334" s="86" t="str">
        <f>_xlfn.XLOOKUP(表格1[[#This Row],[Model]],表格3[Model-Input-Ref2],表格3[大小電])</f>
        <v>細電</v>
      </c>
      <c r="J3334" s="86" t="str">
        <f>_xlfn.XLOOKUP(表格1[[#This Row],[Model]],表格3[Model-Input-Ref2],表格3[Code])</f>
        <v>SDA</v>
      </c>
      <c r="K3334" s="89" t="s">
        <v>1244</v>
      </c>
      <c r="L3334" s="86">
        <v>1</v>
      </c>
      <c r="M3334" s="87">
        <v>719</v>
      </c>
      <c r="N3334" s="87">
        <f>IFERROR(表格1[[#This Row],[QTY]]*表格1[[#This Row],[Unit Price]],"-")</f>
        <v>719</v>
      </c>
      <c r="O3334" s="86">
        <v>2300222</v>
      </c>
      <c r="R3334" s="86" t="str">
        <f>_xlfn.CONCAT(表格1[[#This Row],[Model]]," ",表格1[[#This Row],[inv no]])</f>
        <v>RC-10NMFIH(WT) 2300222</v>
      </c>
      <c r="S3334" s="86">
        <f>_xlfn.XLOOKUP(表格1[[#This Row],[Model]],表格3[Model-Input-Ref2],表格3[SRP PRICE])</f>
        <v>898</v>
      </c>
      <c r="T3334" s="43">
        <f>表格1[[#This Row],[Unit Price]]/表格1[[#This Row],[SRP]]</f>
        <v>0.80066815144766146</v>
      </c>
      <c r="U3334" s="86" t="str">
        <f>_xlfn.XLOOKUP(表格1[[#This Row],[Model]],表格3[Model-Input-Ref2],表格3[TOSHIBA/HIGHEST])</f>
        <v>Toshiba SRP</v>
      </c>
      <c r="W3334" s="86" t="str">
        <f>_xlfn.CONCAT(表格1[[#This Row],[欄4]],表格1[[#This Row],[inv no]])</f>
        <v>2300222</v>
      </c>
    </row>
    <row r="3335" spans="1:23" hidden="1">
      <c r="A3335" s="81">
        <v>3333</v>
      </c>
      <c r="B3335" s="86" t="s">
        <v>1477</v>
      </c>
      <c r="C3335" s="86" t="s">
        <v>1961</v>
      </c>
      <c r="D3335" s="82" t="str">
        <f ca="1">OFFSET(Roster!$A$3,MATCH(表格1[[#This Row],[Location]]&amp;" "&amp;表格1[[#This Row],[Shop]]&amp;"*",Roster!$A$4:$A$72,0),DAY(表格1[[#This Row],[date]]),1,1)</f>
        <v>Terence_2</v>
      </c>
      <c r="E3335" s="86">
        <f>MONTH(表格1[[#This Row],[date]])</f>
        <v>3</v>
      </c>
      <c r="F3335" s="90">
        <v>46109</v>
      </c>
      <c r="G3335" s="86" t="str">
        <f>VLOOKUP("*"&amp;表格1[[#This Row],[Input]]&amp;"*",'Ref-List'!$B:$D,2,)</f>
        <v>MX1-TH23SC(WH)</v>
      </c>
      <c r="H3335" s="86" t="str">
        <f>_xlfn.XLOOKUP(表格1[[#This Row],[Model]],表格3[Model-Input-Ref2],表格3[Product Line])</f>
        <v>微波蒸焗爐23L</v>
      </c>
      <c r="I3335" s="86" t="str">
        <f>_xlfn.XLOOKUP(表格1[[#This Row],[Model]],表格3[Model-Input-Ref2],表格3[大小電])</f>
        <v>細電</v>
      </c>
      <c r="J3335" s="86" t="str">
        <f>_xlfn.XLOOKUP(表格1[[#This Row],[Model]],表格3[Model-Input-Ref2],表格3[Code])</f>
        <v>SDA</v>
      </c>
      <c r="K3335" s="89" t="s">
        <v>1496</v>
      </c>
      <c r="L3335" s="86">
        <v>1</v>
      </c>
      <c r="M3335" s="87">
        <v>1999</v>
      </c>
      <c r="N3335" s="87">
        <f>IFERROR(表格1[[#This Row],[QTY]]*表格1[[#This Row],[Unit Price]],"-")</f>
        <v>1999</v>
      </c>
      <c r="O3335" s="86">
        <v>2300227</v>
      </c>
      <c r="R3335" s="86" t="str">
        <f>_xlfn.CONCAT(表格1[[#This Row],[Model]]," ",表格1[[#This Row],[inv no]])</f>
        <v>MX1-TH23SC(WH) 2300227</v>
      </c>
      <c r="S3335" s="86">
        <f>_xlfn.XLOOKUP(表格1[[#This Row],[Model]],表格3[Model-Input-Ref2],表格3[SRP PRICE])</f>
        <v>3380</v>
      </c>
      <c r="T3335" s="43">
        <f>表格1[[#This Row],[Unit Price]]/表格1[[#This Row],[SRP]]</f>
        <v>0.5914201183431953</v>
      </c>
      <c r="U3335" s="86" t="str">
        <f>_xlfn.XLOOKUP(表格1[[#This Row],[Model]],表格3[Model-Input-Ref2],表格3[TOSHIBA/HIGHEST])</f>
        <v>Toshiba SRP</v>
      </c>
      <c r="W3335" s="86" t="str">
        <f>_xlfn.CONCAT(表格1[[#This Row],[欄4]],表格1[[#This Row],[inv no]])</f>
        <v>2300227</v>
      </c>
    </row>
    <row r="3336" spans="1:23" hidden="1">
      <c r="A3336" s="81">
        <v>3334</v>
      </c>
      <c r="B3336" s="86" t="s">
        <v>1477</v>
      </c>
      <c r="C3336" s="86" t="s">
        <v>1961</v>
      </c>
      <c r="D3336" s="82" t="str">
        <f ca="1">OFFSET(Roster!$A$3,MATCH(表格1[[#This Row],[Location]]&amp;" "&amp;表格1[[#This Row],[Shop]]&amp;"*",Roster!$A$4:$A$72,0),DAY(表格1[[#This Row],[date]]),1,1)</f>
        <v>Terence_2</v>
      </c>
      <c r="E3336" s="86">
        <f>MONTH(表格1[[#This Row],[date]])</f>
        <v>3</v>
      </c>
      <c r="F3336" s="90">
        <v>46109</v>
      </c>
      <c r="G3336" s="86" t="str">
        <f>VLOOKUP("*"&amp;表格1[[#This Row],[Input]]&amp;"*",'Ref-List'!$B:$D,2,)</f>
        <v>MX1-TH23SC(WH)</v>
      </c>
      <c r="H3336" s="86" t="str">
        <f>_xlfn.XLOOKUP(表格1[[#This Row],[Model]],表格3[Model-Input-Ref2],表格3[Product Line])</f>
        <v>微波蒸焗爐23L</v>
      </c>
      <c r="I3336" s="86" t="str">
        <f>_xlfn.XLOOKUP(表格1[[#This Row],[Model]],表格3[Model-Input-Ref2],表格3[大小電])</f>
        <v>細電</v>
      </c>
      <c r="J3336" s="86" t="str">
        <f>_xlfn.XLOOKUP(表格1[[#This Row],[Model]],表格3[Model-Input-Ref2],表格3[Code])</f>
        <v>SDA</v>
      </c>
      <c r="K3336" s="89" t="s">
        <v>1496</v>
      </c>
      <c r="L3336" s="86">
        <v>1</v>
      </c>
      <c r="M3336" s="87">
        <v>1999</v>
      </c>
      <c r="N3336" s="87">
        <f>IFERROR(表格1[[#This Row],[QTY]]*表格1[[#This Row],[Unit Price]],"-")</f>
        <v>1999</v>
      </c>
      <c r="O3336" s="86">
        <v>2300202</v>
      </c>
      <c r="R3336" s="86" t="str">
        <f>_xlfn.CONCAT(表格1[[#This Row],[Model]]," ",表格1[[#This Row],[inv no]])</f>
        <v>MX1-TH23SC(WH) 2300202</v>
      </c>
      <c r="S3336" s="86">
        <f>_xlfn.XLOOKUP(表格1[[#This Row],[Model]],表格3[Model-Input-Ref2],表格3[SRP PRICE])</f>
        <v>3380</v>
      </c>
      <c r="T3336" s="43">
        <f>表格1[[#This Row],[Unit Price]]/表格1[[#This Row],[SRP]]</f>
        <v>0.5914201183431953</v>
      </c>
      <c r="U3336" s="86" t="str">
        <f>_xlfn.XLOOKUP(表格1[[#This Row],[Model]],表格3[Model-Input-Ref2],表格3[TOSHIBA/HIGHEST])</f>
        <v>Toshiba SRP</v>
      </c>
      <c r="W3336" s="86" t="str">
        <f>_xlfn.CONCAT(表格1[[#This Row],[欄4]],表格1[[#This Row],[inv no]])</f>
        <v>2300202</v>
      </c>
    </row>
    <row r="3337" spans="1:23" hidden="1">
      <c r="A3337" s="81">
        <v>3335</v>
      </c>
      <c r="B3337" s="86" t="s">
        <v>1477</v>
      </c>
      <c r="C3337" s="86" t="s">
        <v>1961</v>
      </c>
      <c r="D3337" s="82" t="str">
        <f ca="1">OFFSET(Roster!$A$3,MATCH(表格1[[#This Row],[Location]]&amp;" "&amp;表格1[[#This Row],[Shop]]&amp;"*",Roster!$A$4:$A$72,0),DAY(表格1[[#This Row],[date]]),1,1)</f>
        <v>Terence_2</v>
      </c>
      <c r="E3337" s="86">
        <f>MONTH(表格1[[#This Row],[date]])</f>
        <v>3</v>
      </c>
      <c r="F3337" s="90">
        <v>46109</v>
      </c>
      <c r="G3337" s="86" t="str">
        <f>VLOOKUP("*"&amp;表格1[[#This Row],[Input]]&amp;"*",'Ref-List'!$B:$D,2,)</f>
        <v>MX1-TH23SC(WH)</v>
      </c>
      <c r="H3337" s="86" t="str">
        <f>_xlfn.XLOOKUP(表格1[[#This Row],[Model]],表格3[Model-Input-Ref2],表格3[Product Line])</f>
        <v>微波蒸焗爐23L</v>
      </c>
      <c r="I3337" s="86" t="str">
        <f>_xlfn.XLOOKUP(表格1[[#This Row],[Model]],表格3[Model-Input-Ref2],表格3[大小電])</f>
        <v>細電</v>
      </c>
      <c r="J3337" s="86" t="str">
        <f>_xlfn.XLOOKUP(表格1[[#This Row],[Model]],表格3[Model-Input-Ref2],表格3[Code])</f>
        <v>SDA</v>
      </c>
      <c r="K3337" s="89" t="s">
        <v>1496</v>
      </c>
      <c r="L3337" s="86">
        <v>1</v>
      </c>
      <c r="M3337" s="87">
        <v>1999</v>
      </c>
      <c r="N3337" s="87">
        <f>IFERROR(表格1[[#This Row],[QTY]]*表格1[[#This Row],[Unit Price]],"-")</f>
        <v>1999</v>
      </c>
      <c r="O3337" s="86">
        <v>2300316</v>
      </c>
      <c r="R3337" s="86" t="str">
        <f>_xlfn.CONCAT(表格1[[#This Row],[Model]]," ",表格1[[#This Row],[inv no]])</f>
        <v>MX1-TH23SC(WH) 2300316</v>
      </c>
      <c r="S3337" s="86">
        <f>_xlfn.XLOOKUP(表格1[[#This Row],[Model]],表格3[Model-Input-Ref2],表格3[SRP PRICE])</f>
        <v>3380</v>
      </c>
      <c r="T3337" s="43">
        <f>表格1[[#This Row],[Unit Price]]/表格1[[#This Row],[SRP]]</f>
        <v>0.5914201183431953</v>
      </c>
      <c r="U3337" s="86" t="str">
        <f>_xlfn.XLOOKUP(表格1[[#This Row],[Model]],表格3[Model-Input-Ref2],表格3[TOSHIBA/HIGHEST])</f>
        <v>Toshiba SRP</v>
      </c>
      <c r="W3337" s="86" t="str">
        <f>_xlfn.CONCAT(表格1[[#This Row],[欄4]],表格1[[#This Row],[inv no]])</f>
        <v>2300316</v>
      </c>
    </row>
    <row r="3338" spans="1:23" hidden="1">
      <c r="A3338" s="81">
        <v>3336</v>
      </c>
      <c r="B3338" s="86" t="s">
        <v>1477</v>
      </c>
      <c r="C3338" s="86" t="s">
        <v>1961</v>
      </c>
      <c r="D3338" s="82" t="str">
        <f ca="1">OFFSET(Roster!$A$3,MATCH(表格1[[#This Row],[Location]]&amp;" "&amp;表格1[[#This Row],[Shop]]&amp;"*",Roster!$A$4:$A$72,0),DAY(表格1[[#This Row],[date]]),1,1)</f>
        <v>Terence_2</v>
      </c>
      <c r="E3338" s="86">
        <f>MONTH(表格1[[#This Row],[date]])</f>
        <v>3</v>
      </c>
      <c r="F3338" s="90">
        <v>46109</v>
      </c>
      <c r="G3338" s="86" t="str">
        <f>VLOOKUP("*"&amp;表格1[[#This Row],[Input]]&amp;"*",'Ref-List'!$B:$D,2,)</f>
        <v>TW-T21BU95UWH(MG)</v>
      </c>
      <c r="H3338" s="86" t="str">
        <f>_xlfn.XLOOKUP(表格1[[#This Row],[Model]],表格3[Model-Input-Ref2],表格3[Product Line])</f>
        <v>470MM超薄身前置式變頻洗衣機(8.5公斤)</v>
      </c>
      <c r="I3338" s="86" t="str">
        <f>_xlfn.XLOOKUP(表格1[[#This Row],[Model]],表格3[Model-Input-Ref2],表格3[大小電])</f>
        <v>大電</v>
      </c>
      <c r="J3338" s="86" t="str">
        <f>_xlfn.XLOOKUP(表格1[[#This Row],[Model]],表格3[Model-Input-Ref2],表格3[Code])</f>
        <v>LAD</v>
      </c>
      <c r="K3338" s="89" t="s">
        <v>1492</v>
      </c>
      <c r="L3338" s="86">
        <v>1</v>
      </c>
      <c r="M3338" s="87">
        <v>3580</v>
      </c>
      <c r="N3338" s="87">
        <f>IFERROR(表格1[[#This Row],[QTY]]*表格1[[#This Row],[Unit Price]],"-")</f>
        <v>3580</v>
      </c>
      <c r="O3338" s="86">
        <v>2300171</v>
      </c>
      <c r="R3338" s="86" t="str">
        <f>_xlfn.CONCAT(表格1[[#This Row],[Model]]," ",表格1[[#This Row],[inv no]])</f>
        <v>TW-T21BU95UWH(MG) 2300171</v>
      </c>
      <c r="S3338" s="86">
        <f>_xlfn.XLOOKUP(表格1[[#This Row],[Model]],表格3[Model-Input-Ref2],表格3[SRP PRICE])</f>
        <v>3980</v>
      </c>
      <c r="T3338" s="43">
        <f>表格1[[#This Row],[Unit Price]]/表格1[[#This Row],[SRP]]</f>
        <v>0.89949748743718594</v>
      </c>
      <c r="U3338" s="86" t="str">
        <f>_xlfn.XLOOKUP(表格1[[#This Row],[Model]],表格3[Model-Input-Ref2],表格3[TOSHIBA/HIGHEST])</f>
        <v>Shops Highest Price</v>
      </c>
      <c r="W3338" s="86" t="str">
        <f>_xlfn.CONCAT(表格1[[#This Row],[欄4]],表格1[[#This Row],[inv no]])</f>
        <v>2300171</v>
      </c>
    </row>
    <row r="3339" spans="1:23" hidden="1">
      <c r="A3339" s="81">
        <v>3337</v>
      </c>
      <c r="B3339" s="86" t="s">
        <v>1477</v>
      </c>
      <c r="C3339" s="86" t="s">
        <v>1961</v>
      </c>
      <c r="D3339" s="82" t="str">
        <f ca="1">OFFSET(Roster!$A$3,MATCH(表格1[[#This Row],[Location]]&amp;" "&amp;表格1[[#This Row],[Shop]]&amp;"*",Roster!$A$4:$A$72,0),DAY(表格1[[#This Row],[date]]),1,1)</f>
        <v>Terence_2</v>
      </c>
      <c r="E3339" s="86">
        <f>MONTH(表格1[[#This Row],[date]])</f>
        <v>3</v>
      </c>
      <c r="F3339" s="90">
        <v>46109</v>
      </c>
      <c r="G3339" s="86" t="str">
        <f>VLOOKUP("*"&amp;表格1[[#This Row],[Input]]&amp;"*",'Ref-List'!$B:$D,2,)</f>
        <v>MX2-STR25SC(WH)</v>
      </c>
      <c r="H3339" s="86" t="str">
        <f>_xlfn.XLOOKUP(表格1[[#This Row],[Model]],表格3[Model-Input-Ref2],表格3[Product Line])</f>
        <v>4合1氣炸微波蒸焗爐(25公升)</v>
      </c>
      <c r="I3339" s="86" t="str">
        <f>_xlfn.XLOOKUP(表格1[[#This Row],[Model]],表格3[Model-Input-Ref2],表格3[大小電])</f>
        <v>細電</v>
      </c>
      <c r="J3339" s="86" t="str">
        <f>_xlfn.XLOOKUP(表格1[[#This Row],[Model]],表格3[Model-Input-Ref2],表格3[Code])</f>
        <v>MCA</v>
      </c>
      <c r="K3339" s="89" t="s">
        <v>1410</v>
      </c>
      <c r="L3339" s="86">
        <v>1</v>
      </c>
      <c r="M3339" s="87">
        <v>3580</v>
      </c>
      <c r="N3339" s="87">
        <f>IFERROR(表格1[[#This Row],[QTY]]*表格1[[#This Row],[Unit Price]],"-")</f>
        <v>3580</v>
      </c>
      <c r="O3339" s="86">
        <v>2300244</v>
      </c>
      <c r="R3339" s="86" t="str">
        <f>_xlfn.CONCAT(表格1[[#This Row],[Model]]," ",表格1[[#This Row],[inv no]])</f>
        <v>MX2-STR25SC(WH) 2300244</v>
      </c>
      <c r="S3339" s="86">
        <f>_xlfn.XLOOKUP(表格1[[#This Row],[Model]],表格3[Model-Input-Ref2],表格3[SRP PRICE])</f>
        <v>4998</v>
      </c>
      <c r="T3339" s="43">
        <f>表格1[[#This Row],[Unit Price]]/表格1[[#This Row],[SRP]]</f>
        <v>0.71628651460584236</v>
      </c>
      <c r="U3339" s="86" t="str">
        <f>_xlfn.XLOOKUP(表格1[[#This Row],[Model]],表格3[Model-Input-Ref2],表格3[TOSHIBA/HIGHEST])</f>
        <v>Toshiba SRP</v>
      </c>
      <c r="W3339" s="86" t="str">
        <f>_xlfn.CONCAT(表格1[[#This Row],[欄4]],表格1[[#This Row],[inv no]])</f>
        <v>2300244</v>
      </c>
    </row>
    <row r="3340" spans="1:23" hidden="1">
      <c r="A3340" s="81">
        <v>3338</v>
      </c>
      <c r="B3340" s="86" t="s">
        <v>1477</v>
      </c>
      <c r="C3340" s="86" t="s">
        <v>1961</v>
      </c>
      <c r="D3340" s="82" t="str">
        <f ca="1">OFFSET(Roster!$A$3,MATCH(表格1[[#This Row],[Location]]&amp;" "&amp;表格1[[#This Row],[Shop]]&amp;"*",Roster!$A$4:$A$72,0),DAY(表格1[[#This Row],[date]]),1,1)</f>
        <v>Terence_2</v>
      </c>
      <c r="E3340" s="86">
        <f>MONTH(表格1[[#This Row],[date]])</f>
        <v>3</v>
      </c>
      <c r="F3340" s="90">
        <v>46109</v>
      </c>
      <c r="G3340" s="86" t="str">
        <f>VLOOKUP("*"&amp;表格1[[#This Row],[Input]]&amp;"*",'Ref-List'!$B:$D,2,)</f>
        <v>MX2-STR25SC(WH)</v>
      </c>
      <c r="H3340" s="86" t="str">
        <f>_xlfn.XLOOKUP(表格1[[#This Row],[Model]],表格3[Model-Input-Ref2],表格3[Product Line])</f>
        <v>4合1氣炸微波蒸焗爐(25公升)</v>
      </c>
      <c r="I3340" s="86" t="str">
        <f>_xlfn.XLOOKUP(表格1[[#This Row],[Model]],表格3[Model-Input-Ref2],表格3[大小電])</f>
        <v>細電</v>
      </c>
      <c r="J3340" s="86" t="str">
        <f>_xlfn.XLOOKUP(表格1[[#This Row],[Model]],表格3[Model-Input-Ref2],表格3[Code])</f>
        <v>MCA</v>
      </c>
      <c r="K3340" s="89" t="s">
        <v>1410</v>
      </c>
      <c r="L3340" s="86">
        <v>1</v>
      </c>
      <c r="M3340" s="87">
        <v>3580</v>
      </c>
      <c r="N3340" s="87">
        <f>IFERROR(表格1[[#This Row],[QTY]]*表格1[[#This Row],[Unit Price]],"-")</f>
        <v>3580</v>
      </c>
      <c r="O3340" s="86">
        <v>2300144</v>
      </c>
      <c r="R3340" s="86" t="str">
        <f>_xlfn.CONCAT(表格1[[#This Row],[Model]]," ",表格1[[#This Row],[inv no]])</f>
        <v>MX2-STR25SC(WH) 2300144</v>
      </c>
      <c r="S3340" s="86">
        <f>_xlfn.XLOOKUP(表格1[[#This Row],[Model]],表格3[Model-Input-Ref2],表格3[SRP PRICE])</f>
        <v>4998</v>
      </c>
      <c r="T3340" s="43">
        <f>表格1[[#This Row],[Unit Price]]/表格1[[#This Row],[SRP]]</f>
        <v>0.71628651460584236</v>
      </c>
      <c r="U3340" s="86" t="str">
        <f>_xlfn.XLOOKUP(表格1[[#This Row],[Model]],表格3[Model-Input-Ref2],表格3[TOSHIBA/HIGHEST])</f>
        <v>Toshiba SRP</v>
      </c>
      <c r="W3340" s="86" t="str">
        <f>_xlfn.CONCAT(表格1[[#This Row],[欄4]],表格1[[#This Row],[inv no]])</f>
        <v>2300144</v>
      </c>
    </row>
    <row r="3341" spans="1:23" hidden="1">
      <c r="A3341" s="81">
        <v>3339</v>
      </c>
      <c r="B3341" s="86" t="s">
        <v>1477</v>
      </c>
      <c r="C3341" s="86" t="s">
        <v>1961</v>
      </c>
      <c r="D3341" s="82" t="str">
        <f ca="1">OFFSET(Roster!$A$3,MATCH(表格1[[#This Row],[Location]]&amp;" "&amp;表格1[[#This Row],[Shop]]&amp;"*",Roster!$A$4:$A$72,0),DAY(表格1[[#This Row],[date]]),1,1)</f>
        <v>Terence_2</v>
      </c>
      <c r="E3341" s="86">
        <f>MONTH(表格1[[#This Row],[date]])</f>
        <v>3</v>
      </c>
      <c r="F3341" s="90">
        <v>46109</v>
      </c>
      <c r="G3341" s="86" t="str">
        <f>VLOOKUP("*"&amp;表格1[[#This Row],[Input]]&amp;"*",'Ref-List'!$B:$D,2,)</f>
        <v>MX2-STR25SC(WH)</v>
      </c>
      <c r="H3341" s="86" t="str">
        <f>_xlfn.XLOOKUP(表格1[[#This Row],[Model]],表格3[Model-Input-Ref2],表格3[Product Line])</f>
        <v>4合1氣炸微波蒸焗爐(25公升)</v>
      </c>
      <c r="I3341" s="86" t="str">
        <f>_xlfn.XLOOKUP(表格1[[#This Row],[Model]],表格3[Model-Input-Ref2],表格3[大小電])</f>
        <v>細電</v>
      </c>
      <c r="J3341" s="86" t="str">
        <f>_xlfn.XLOOKUP(表格1[[#This Row],[Model]],表格3[Model-Input-Ref2],表格3[Code])</f>
        <v>MCA</v>
      </c>
      <c r="K3341" s="89" t="s">
        <v>1410</v>
      </c>
      <c r="L3341" s="86">
        <v>1</v>
      </c>
      <c r="M3341" s="87">
        <v>3580</v>
      </c>
      <c r="N3341" s="87">
        <f>IFERROR(表格1[[#This Row],[QTY]]*表格1[[#This Row],[Unit Price]],"-")</f>
        <v>3580</v>
      </c>
      <c r="O3341" s="86">
        <v>2300303</v>
      </c>
      <c r="R3341" s="86" t="str">
        <f>_xlfn.CONCAT(表格1[[#This Row],[Model]]," ",表格1[[#This Row],[inv no]])</f>
        <v>MX2-STR25SC(WH) 2300303</v>
      </c>
      <c r="S3341" s="86">
        <f>_xlfn.XLOOKUP(表格1[[#This Row],[Model]],表格3[Model-Input-Ref2],表格3[SRP PRICE])</f>
        <v>4998</v>
      </c>
      <c r="T3341" s="43">
        <f>表格1[[#This Row],[Unit Price]]/表格1[[#This Row],[SRP]]</f>
        <v>0.71628651460584236</v>
      </c>
      <c r="U3341" s="86" t="str">
        <f>_xlfn.XLOOKUP(表格1[[#This Row],[Model]],表格3[Model-Input-Ref2],表格3[TOSHIBA/HIGHEST])</f>
        <v>Toshiba SRP</v>
      </c>
      <c r="W3341" s="86" t="str">
        <f>_xlfn.CONCAT(表格1[[#This Row],[欄4]],表格1[[#This Row],[inv no]])</f>
        <v>2300303</v>
      </c>
    </row>
    <row r="3342" spans="1:23" hidden="1">
      <c r="A3342" s="81">
        <v>3340</v>
      </c>
      <c r="B3342" s="86" t="s">
        <v>1477</v>
      </c>
      <c r="C3342" s="86" t="s">
        <v>1961</v>
      </c>
      <c r="D3342" s="82" t="str">
        <f ca="1">OFFSET(Roster!$A$3,MATCH(表格1[[#This Row],[Location]]&amp;" "&amp;表格1[[#This Row],[Shop]]&amp;"*",Roster!$A$4:$A$72,0),DAY(表格1[[#This Row],[date]]),1,1)</f>
        <v>Terence_2</v>
      </c>
      <c r="E3342" s="86">
        <f>MONTH(表格1[[#This Row],[date]])</f>
        <v>3</v>
      </c>
      <c r="F3342" s="90">
        <v>46109</v>
      </c>
      <c r="G3342" s="86" t="str">
        <f>VLOOKUP("*"&amp;表格1[[#This Row],[Input]]&amp;"*",'Ref-List'!$B:$D,2,)</f>
        <v>MX2-STR25SC(WH)</v>
      </c>
      <c r="H3342" s="86" t="str">
        <f>_xlfn.XLOOKUP(表格1[[#This Row],[Model]],表格3[Model-Input-Ref2],表格3[Product Line])</f>
        <v>4合1氣炸微波蒸焗爐(25公升)</v>
      </c>
      <c r="I3342" s="86" t="str">
        <f>_xlfn.XLOOKUP(表格1[[#This Row],[Model]],表格3[Model-Input-Ref2],表格3[大小電])</f>
        <v>細電</v>
      </c>
      <c r="J3342" s="86" t="str">
        <f>_xlfn.XLOOKUP(表格1[[#This Row],[Model]],表格3[Model-Input-Ref2],表格3[Code])</f>
        <v>MCA</v>
      </c>
      <c r="K3342" s="89" t="s">
        <v>1410</v>
      </c>
      <c r="L3342" s="86">
        <v>1</v>
      </c>
      <c r="M3342" s="87">
        <v>3580</v>
      </c>
      <c r="N3342" s="87">
        <f>IFERROR(表格1[[#This Row],[QTY]]*表格1[[#This Row],[Unit Price]],"-")</f>
        <v>3580</v>
      </c>
      <c r="O3342" s="86">
        <v>2300120</v>
      </c>
      <c r="R3342" s="86" t="str">
        <f>_xlfn.CONCAT(表格1[[#This Row],[Model]]," ",表格1[[#This Row],[inv no]])</f>
        <v>MX2-STR25SC(WH) 2300120</v>
      </c>
      <c r="S3342" s="86">
        <f>_xlfn.XLOOKUP(表格1[[#This Row],[Model]],表格3[Model-Input-Ref2],表格3[SRP PRICE])</f>
        <v>4998</v>
      </c>
      <c r="T3342" s="43">
        <f>表格1[[#This Row],[Unit Price]]/表格1[[#This Row],[SRP]]</f>
        <v>0.71628651460584236</v>
      </c>
      <c r="U3342" s="86" t="str">
        <f>_xlfn.XLOOKUP(表格1[[#This Row],[Model]],表格3[Model-Input-Ref2],表格3[TOSHIBA/HIGHEST])</f>
        <v>Toshiba SRP</v>
      </c>
      <c r="W3342" s="86" t="str">
        <f>_xlfn.CONCAT(表格1[[#This Row],[欄4]],表格1[[#This Row],[inv no]])</f>
        <v>2300120</v>
      </c>
    </row>
    <row r="3343" spans="1:23" hidden="1">
      <c r="A3343" s="81">
        <v>3341</v>
      </c>
      <c r="B3343" s="86" t="s">
        <v>1477</v>
      </c>
      <c r="C3343" s="86" t="s">
        <v>1961</v>
      </c>
      <c r="D3343" s="82" t="str">
        <f ca="1">OFFSET(Roster!$A$3,MATCH(表格1[[#This Row],[Location]]&amp;" "&amp;表格1[[#This Row],[Shop]]&amp;"*",Roster!$A$4:$A$72,0),DAY(表格1[[#This Row],[date]]),1,1)</f>
        <v>Terence_2</v>
      </c>
      <c r="E3343" s="86">
        <f>MONTH(表格1[[#This Row],[date]])</f>
        <v>3</v>
      </c>
      <c r="F3343" s="90">
        <v>46109</v>
      </c>
      <c r="G3343" s="86" t="str">
        <f>VLOOKUP("*"&amp;表格1[[#This Row],[Input]]&amp;"*",'Ref-List'!$B:$D,2,)</f>
        <v>DW-05T2-HK</v>
      </c>
      <c r="H3343" s="86" t="str">
        <f>_xlfn.XLOOKUP(表格1[[#This Row],[Model]],表格3[Model-Input-Ref2],表格3[Product Line])</f>
        <v>座檯式洗碗碟機</v>
      </c>
      <c r="I3343" s="86" t="str">
        <f>_xlfn.XLOOKUP(表格1[[#This Row],[Model]],表格3[Model-Input-Ref2],表格3[大小電])</f>
        <v>細電</v>
      </c>
      <c r="J3343" s="86" t="str">
        <f>_xlfn.XLOOKUP(表格1[[#This Row],[Model]],表格3[Model-Input-Ref2],表格3[Code])</f>
        <v>DW</v>
      </c>
      <c r="K3343" s="89" t="s">
        <v>1475</v>
      </c>
      <c r="L3343" s="86">
        <v>1</v>
      </c>
      <c r="M3343" s="87">
        <v>3780</v>
      </c>
      <c r="N3343" s="87">
        <f>IFERROR(表格1[[#This Row],[QTY]]*表格1[[#This Row],[Unit Price]],"-")</f>
        <v>3780</v>
      </c>
      <c r="O3343" s="86">
        <v>2300325</v>
      </c>
      <c r="R3343" s="86" t="str">
        <f>_xlfn.CONCAT(表格1[[#This Row],[Model]]," ",表格1[[#This Row],[inv no]])</f>
        <v>DW-05T2-HK 2300325</v>
      </c>
      <c r="S3343" s="86">
        <f>_xlfn.XLOOKUP(表格1[[#This Row],[Model]],表格3[Model-Input-Ref2],表格3[SRP PRICE])</f>
        <v>4580</v>
      </c>
      <c r="T3343" s="43">
        <f>表格1[[#This Row],[Unit Price]]/表格1[[#This Row],[SRP]]</f>
        <v>0.8253275109170306</v>
      </c>
      <c r="U3343" s="86" t="str">
        <f>_xlfn.XLOOKUP(表格1[[#This Row],[Model]],表格3[Model-Input-Ref2],表格3[TOSHIBA/HIGHEST])</f>
        <v>Toshiba SRP</v>
      </c>
      <c r="W3343" s="86" t="str">
        <f>_xlfn.CONCAT(表格1[[#This Row],[欄4]],表格1[[#This Row],[inv no]])</f>
        <v>2300325</v>
      </c>
    </row>
    <row r="3344" spans="1:23" hidden="1">
      <c r="A3344" s="81">
        <v>3342</v>
      </c>
      <c r="B3344" s="86" t="s">
        <v>1477</v>
      </c>
      <c r="C3344" s="86" t="s">
        <v>1961</v>
      </c>
      <c r="D3344" s="82" t="str">
        <f ca="1">OFFSET(Roster!$A$3,MATCH(表格1[[#This Row],[Location]]&amp;" "&amp;表格1[[#This Row],[Shop]]&amp;"*",Roster!$A$4:$A$72,0),DAY(表格1[[#This Row],[date]]),1,1)</f>
        <v>Terence_2</v>
      </c>
      <c r="E3344" s="86">
        <f>MONTH(表格1[[#This Row],[date]])</f>
        <v>3</v>
      </c>
      <c r="F3344" s="90">
        <v>46109</v>
      </c>
      <c r="G3344" s="86" t="str">
        <f>VLOOKUP("*"&amp;表格1[[#This Row],[Input]]&amp;"*",'Ref-List'!$B:$D,2,)</f>
        <v>GR-RB360WE-PMA(06)</v>
      </c>
      <c r="H3344" s="86" t="str">
        <f>_xlfn.XLOOKUP(表格1[[#This Row],[Model]],表格3[Model-Input-Ref2],表格3[Product Line])</f>
        <v>變頻下置式雙門雪櫃系列270L</v>
      </c>
      <c r="I3344" s="86" t="str">
        <f>_xlfn.XLOOKUP(表格1[[#This Row],[Model]],表格3[Model-Input-Ref2],表格3[大小電])</f>
        <v>大電</v>
      </c>
      <c r="J3344" s="86" t="str">
        <f>_xlfn.XLOOKUP(表格1[[#This Row],[Model]],表格3[Model-Input-Ref2],表格3[Code])</f>
        <v>REF</v>
      </c>
      <c r="K3344" s="89" t="s">
        <v>1282</v>
      </c>
      <c r="L3344" s="86">
        <v>1</v>
      </c>
      <c r="M3344" s="87">
        <v>3580</v>
      </c>
      <c r="N3344" s="87">
        <f>IFERROR(表格1[[#This Row],[QTY]]*表格1[[#This Row],[Unit Price]],"-")</f>
        <v>3580</v>
      </c>
      <c r="O3344" s="86">
        <v>2300279</v>
      </c>
      <c r="R3344" s="86" t="str">
        <f>_xlfn.CONCAT(表格1[[#This Row],[Model]]," ",表格1[[#This Row],[inv no]])</f>
        <v>GR-RB360WE-PMA(06) 2300279</v>
      </c>
      <c r="S3344" s="86">
        <f>_xlfn.XLOOKUP(表格1[[#This Row],[Model]],表格3[Model-Input-Ref2],表格3[SRP PRICE])</f>
        <v>5080</v>
      </c>
      <c r="T3344" s="43">
        <f>表格1[[#This Row],[Unit Price]]/表格1[[#This Row],[SRP]]</f>
        <v>0.70472440944881887</v>
      </c>
      <c r="U3344" s="86" t="str">
        <f>_xlfn.XLOOKUP(表格1[[#This Row],[Model]],表格3[Model-Input-Ref2],表格3[TOSHIBA/HIGHEST])</f>
        <v>Toshiba SRP</v>
      </c>
      <c r="W3344" s="86" t="str">
        <f>_xlfn.CONCAT(表格1[[#This Row],[欄4]],表格1[[#This Row],[inv no]])</f>
        <v>2300279</v>
      </c>
    </row>
    <row r="3345" spans="1:23" hidden="1">
      <c r="A3345" s="81">
        <v>3343</v>
      </c>
      <c r="B3345" s="86" t="s">
        <v>1477</v>
      </c>
      <c r="C3345" s="86" t="s">
        <v>1961</v>
      </c>
      <c r="D3345" s="82" t="str">
        <f ca="1">OFFSET(Roster!$A$3,MATCH(表格1[[#This Row],[Location]]&amp;" "&amp;表格1[[#This Row],[Shop]]&amp;"*",Roster!$A$4:$A$72,0),DAY(表格1[[#This Row],[date]]),1,1)</f>
        <v>Terence_2</v>
      </c>
      <c r="E3345" s="86">
        <f>MONTH(表格1[[#This Row],[date]])</f>
        <v>3</v>
      </c>
      <c r="F3345" s="90">
        <v>46109</v>
      </c>
      <c r="G3345" s="86" t="str">
        <f>VLOOKUP("*"&amp;表格1[[#This Row],[Input]]&amp;"*",'Ref-List'!$B:$D,2,)</f>
        <v>GR-RB360WE-PMA(06)</v>
      </c>
      <c r="H3345" s="86" t="str">
        <f>_xlfn.XLOOKUP(表格1[[#This Row],[Model]],表格3[Model-Input-Ref2],表格3[Product Line])</f>
        <v>變頻下置式雙門雪櫃系列270L</v>
      </c>
      <c r="I3345" s="86" t="str">
        <f>_xlfn.XLOOKUP(表格1[[#This Row],[Model]],表格3[Model-Input-Ref2],表格3[大小電])</f>
        <v>大電</v>
      </c>
      <c r="J3345" s="86" t="str">
        <f>_xlfn.XLOOKUP(表格1[[#This Row],[Model]],表格3[Model-Input-Ref2],表格3[Code])</f>
        <v>REF</v>
      </c>
      <c r="K3345" s="89" t="s">
        <v>1282</v>
      </c>
      <c r="L3345" s="86">
        <v>1</v>
      </c>
      <c r="M3345" s="87">
        <v>3780</v>
      </c>
      <c r="N3345" s="87">
        <f>IFERROR(表格1[[#This Row],[QTY]]*表格1[[#This Row],[Unit Price]],"-")</f>
        <v>3780</v>
      </c>
      <c r="O3345" s="86">
        <v>2300263</v>
      </c>
      <c r="R3345" s="86" t="str">
        <f>_xlfn.CONCAT(表格1[[#This Row],[Model]]," ",表格1[[#This Row],[inv no]])</f>
        <v>GR-RB360WE-PMA(06) 2300263</v>
      </c>
      <c r="S3345" s="86">
        <f>_xlfn.XLOOKUP(表格1[[#This Row],[Model]],表格3[Model-Input-Ref2],表格3[SRP PRICE])</f>
        <v>5080</v>
      </c>
      <c r="T3345" s="43">
        <f>表格1[[#This Row],[Unit Price]]/表格1[[#This Row],[SRP]]</f>
        <v>0.74409448818897639</v>
      </c>
      <c r="U3345" s="86" t="str">
        <f>_xlfn.XLOOKUP(表格1[[#This Row],[Model]],表格3[Model-Input-Ref2],表格3[TOSHIBA/HIGHEST])</f>
        <v>Toshiba SRP</v>
      </c>
      <c r="W3345" s="86" t="str">
        <f>_xlfn.CONCAT(表格1[[#This Row],[欄4]],表格1[[#This Row],[inv no]])</f>
        <v>2300263</v>
      </c>
    </row>
    <row r="3346" spans="1:23" hidden="1">
      <c r="A3346" s="81">
        <v>3344</v>
      </c>
      <c r="B3346" s="86" t="s">
        <v>1477</v>
      </c>
      <c r="C3346" s="86" t="s">
        <v>1961</v>
      </c>
      <c r="D3346" s="82" t="str">
        <f ca="1">OFFSET(Roster!$A$3,MATCH(表格1[[#This Row],[Location]]&amp;" "&amp;表格1[[#This Row],[Shop]]&amp;"*",Roster!$A$4:$A$72,0),DAY(表格1[[#This Row],[date]]),1,1)</f>
        <v>Terence_2</v>
      </c>
      <c r="E3346" s="86">
        <f>MONTH(表格1[[#This Row],[date]])</f>
        <v>3</v>
      </c>
      <c r="F3346" s="90">
        <v>46109</v>
      </c>
      <c r="G3346" s="86" t="str">
        <f>VLOOKUP("*"&amp;表格1[[#This Row],[Input]]&amp;"*",'Ref-List'!$B:$D,2,)</f>
        <v>EB-T500APW</v>
      </c>
      <c r="H3346" s="86" t="str">
        <f>_xlfn.XLOOKUP(表格1[[#This Row],[Model]],表格3[Model-Input-Ref2],表格3[Product Line])</f>
        <v>JAPANDi 嵌入式微波氣炸蒸焗爐 (45厘米)</v>
      </c>
      <c r="I3346" s="86" t="str">
        <f>_xlfn.XLOOKUP(表格1[[#This Row],[Model]],表格3[Model-Input-Ref2],表格3[大小電])</f>
        <v>大電</v>
      </c>
      <c r="J3346" s="86" t="str">
        <f>_xlfn.XLOOKUP(表格1[[#This Row],[Model]],表格3[Model-Input-Ref2],表格3[Code])</f>
        <v>MCA</v>
      </c>
      <c r="K3346" s="89" t="s">
        <v>1528</v>
      </c>
      <c r="L3346" s="86">
        <v>1</v>
      </c>
      <c r="M3346" s="87">
        <v>13800</v>
      </c>
      <c r="N3346" s="87">
        <f>IFERROR(表格1[[#This Row],[QTY]]*表格1[[#This Row],[Unit Price]],"-")</f>
        <v>13800</v>
      </c>
      <c r="O3346" s="86">
        <v>2300224</v>
      </c>
      <c r="R3346" s="86" t="str">
        <f>_xlfn.CONCAT(表格1[[#This Row],[Model]]," ",表格1[[#This Row],[inv no]])</f>
        <v>EB-T500APW 2300224</v>
      </c>
      <c r="S3346" s="86">
        <f>_xlfn.XLOOKUP(表格1[[#This Row],[Model]],表格3[Model-Input-Ref2],表格3[SRP PRICE])</f>
        <v>28800</v>
      </c>
      <c r="T3346" s="43">
        <f>表格1[[#This Row],[Unit Price]]/表格1[[#This Row],[SRP]]</f>
        <v>0.47916666666666669</v>
      </c>
      <c r="U3346" s="86" t="str">
        <f>_xlfn.XLOOKUP(表格1[[#This Row],[Model]],表格3[Model-Input-Ref2],表格3[TOSHIBA/HIGHEST])</f>
        <v>Toshiba SRP</v>
      </c>
      <c r="W3346" s="86" t="str">
        <f>_xlfn.CONCAT(表格1[[#This Row],[欄4]],表格1[[#This Row],[inv no]])</f>
        <v>2300224</v>
      </c>
    </row>
    <row r="3347" spans="1:23" hidden="1">
      <c r="A3347" s="81">
        <v>3345</v>
      </c>
      <c r="B3347" s="86" t="s">
        <v>1477</v>
      </c>
      <c r="C3347" s="86" t="s">
        <v>1961</v>
      </c>
      <c r="D3347" s="82" t="str">
        <f ca="1">OFFSET(Roster!$A$3,MATCH(表格1[[#This Row],[Location]]&amp;" "&amp;表格1[[#This Row],[Shop]]&amp;"*",Roster!$A$4:$A$72,0),DAY(表格1[[#This Row],[date]]),1,1)</f>
        <v>Terence_2</v>
      </c>
      <c r="E3347" s="86">
        <f>MONTH(表格1[[#This Row],[date]])</f>
        <v>3</v>
      </c>
      <c r="F3347" s="90">
        <v>46109</v>
      </c>
      <c r="G3347" s="86" t="str">
        <f>VLOOKUP("*"&amp;表格1[[#This Row],[Input]]&amp;"*",'Ref-List'!$B:$D,2,)</f>
        <v>GR-RB449WE-PMA(57)</v>
      </c>
      <c r="H3347" s="86" t="str">
        <f>_xlfn.XLOOKUP(表格1[[#This Row],[Model]],表格3[Model-Input-Ref2],表格3[Product Line])</f>
        <v>變頻下置式雙門雪櫃</v>
      </c>
      <c r="I3347" s="86" t="str">
        <f>_xlfn.XLOOKUP(表格1[[#This Row],[Model]],表格3[Model-Input-Ref2],表格3[大小電])</f>
        <v>大電</v>
      </c>
      <c r="J3347" s="86" t="str">
        <f>_xlfn.XLOOKUP(表格1[[#This Row],[Model]],表格3[Model-Input-Ref2],表格3[Code])</f>
        <v>REF</v>
      </c>
      <c r="K3347" s="89" t="s">
        <v>1484</v>
      </c>
      <c r="L3347" s="86">
        <v>1</v>
      </c>
      <c r="M3347" s="87">
        <v>5080</v>
      </c>
      <c r="N3347" s="87">
        <f>IFERROR(表格1[[#This Row],[QTY]]*表格1[[#This Row],[Unit Price]],"-")</f>
        <v>5080</v>
      </c>
      <c r="O3347" s="86">
        <v>2300225</v>
      </c>
      <c r="R3347" s="86" t="str">
        <f>_xlfn.CONCAT(表格1[[#This Row],[Model]]," ",表格1[[#This Row],[inv no]])</f>
        <v>GR-RB449WE-PMA(57) 2300225</v>
      </c>
      <c r="S3347" s="86">
        <f>_xlfn.XLOOKUP(表格1[[#This Row],[Model]],表格3[Model-Input-Ref2],表格3[SRP PRICE])</f>
        <v>6280</v>
      </c>
      <c r="T3347" s="43">
        <f>表格1[[#This Row],[Unit Price]]/表格1[[#This Row],[SRP]]</f>
        <v>0.80891719745222934</v>
      </c>
      <c r="U3347" s="86" t="str">
        <f>_xlfn.XLOOKUP(表格1[[#This Row],[Model]],表格3[Model-Input-Ref2],表格3[TOSHIBA/HIGHEST])</f>
        <v>Toshiba SRP</v>
      </c>
      <c r="W3347" s="86" t="str">
        <f>_xlfn.CONCAT(表格1[[#This Row],[欄4]],表格1[[#This Row],[inv no]])</f>
        <v>2300225</v>
      </c>
    </row>
    <row r="3348" spans="1:23" hidden="1">
      <c r="A3348" s="81">
        <v>3346</v>
      </c>
      <c r="B3348" s="86" t="s">
        <v>1477</v>
      </c>
      <c r="C3348" s="86" t="s">
        <v>1961</v>
      </c>
      <c r="D3348" s="82" t="str">
        <f ca="1">OFFSET(Roster!$A$3,MATCH(表格1[[#This Row],[Location]]&amp;" "&amp;表格1[[#This Row],[Shop]]&amp;"*",Roster!$A$4:$A$72,0),DAY(表格1[[#This Row],[date]]),1,1)</f>
        <v>Terence_2</v>
      </c>
      <c r="E3348" s="86">
        <f>MONTH(表格1[[#This Row],[date]])</f>
        <v>3</v>
      </c>
      <c r="F3348" s="90">
        <v>46109</v>
      </c>
      <c r="G3348" s="86" t="str">
        <f>VLOOKUP("*"&amp;表格1[[#This Row],[Input]]&amp;"*",'Ref-List'!$B:$D,2,)</f>
        <v>TW-T21BU80UWH(MG)</v>
      </c>
      <c r="H3348" s="86" t="str">
        <f>_xlfn.XLOOKUP(表格1[[#This Row],[Model]],表格3[Model-Input-Ref2],表格3[Product Line])</f>
        <v>400MM超薄身前置式變頻洗衣機(7公斤)</v>
      </c>
      <c r="I3348" s="86" t="str">
        <f>_xlfn.XLOOKUP(表格1[[#This Row],[Model]],表格3[Model-Input-Ref2],表格3[大小電])</f>
        <v>大電</v>
      </c>
      <c r="J3348" s="86" t="str">
        <f>_xlfn.XLOOKUP(表格1[[#This Row],[Model]],表格3[Model-Input-Ref2],表格3[Code])</f>
        <v>LAD</v>
      </c>
      <c r="K3348" s="89" t="s">
        <v>1280</v>
      </c>
      <c r="L3348" s="86">
        <v>1</v>
      </c>
      <c r="M3348" s="87">
        <v>3190</v>
      </c>
      <c r="N3348" s="87">
        <f>IFERROR(表格1[[#This Row],[QTY]]*表格1[[#This Row],[Unit Price]],"-")</f>
        <v>3190</v>
      </c>
      <c r="O3348" s="86">
        <v>2300323</v>
      </c>
      <c r="R3348" s="86" t="str">
        <f>_xlfn.CONCAT(表格1[[#This Row],[Model]]," ",表格1[[#This Row],[inv no]])</f>
        <v>TW-T21BU80UWH(MG) 2300323</v>
      </c>
      <c r="S3348" s="86">
        <f>_xlfn.XLOOKUP(表格1[[#This Row],[Model]],表格3[Model-Input-Ref2],表格3[SRP PRICE])</f>
        <v>5180</v>
      </c>
      <c r="T3348" s="43">
        <f>表格1[[#This Row],[Unit Price]]/表格1[[#This Row],[SRP]]</f>
        <v>0.61583011583011582</v>
      </c>
      <c r="U3348" s="86" t="str">
        <f>_xlfn.XLOOKUP(表格1[[#This Row],[Model]],表格3[Model-Input-Ref2],表格3[TOSHIBA/HIGHEST])</f>
        <v>Toshiba SRP</v>
      </c>
      <c r="W3348" s="86" t="str">
        <f>_xlfn.CONCAT(表格1[[#This Row],[欄4]],表格1[[#This Row],[inv no]])</f>
        <v>2300323</v>
      </c>
    </row>
    <row r="3349" spans="1:23" hidden="1">
      <c r="A3349" s="81">
        <v>3347</v>
      </c>
      <c r="B3349" s="86" t="s">
        <v>1477</v>
      </c>
      <c r="C3349" s="86" t="s">
        <v>1961</v>
      </c>
      <c r="D3349" s="82" t="str">
        <f ca="1">OFFSET(Roster!$A$3,MATCH(表格1[[#This Row],[Location]]&amp;" "&amp;表格1[[#This Row],[Shop]]&amp;"*",Roster!$A$4:$A$72,0),DAY(表格1[[#This Row],[date]]),1,1)</f>
        <v>Terence_2</v>
      </c>
      <c r="E3349" s="86">
        <f>MONTH(表格1[[#This Row],[date]])</f>
        <v>3</v>
      </c>
      <c r="F3349" s="90">
        <v>46109</v>
      </c>
      <c r="G3349" s="86" t="str">
        <f>VLOOKUP("*"&amp;表格1[[#This Row],[Input]]&amp;"*",'Ref-List'!$B:$D,2,)</f>
        <v>TWD-T21BU95UWH(WW)</v>
      </c>
      <c r="H3349" s="86" t="str">
        <f>_xlfn.XLOOKUP(表格1[[#This Row],[Model]],表格3[Model-Input-Ref2],表格3[Product Line])</f>
        <v>470MM超薄身前置式變頻洗衣乾衣機 (洗8.5公斤 乾6公斤)</v>
      </c>
      <c r="I3349" s="86" t="str">
        <f>_xlfn.XLOOKUP(表格1[[#This Row],[Model]],表格3[Model-Input-Ref2],表格3[大小電])</f>
        <v>大電</v>
      </c>
      <c r="J3349" s="86" t="str">
        <f>_xlfn.XLOOKUP(表格1[[#This Row],[Model]],表格3[Model-Input-Ref2],表格3[Code])</f>
        <v>LAD</v>
      </c>
      <c r="K3349" s="89" t="s">
        <v>1461</v>
      </c>
      <c r="L3349" s="86">
        <v>1</v>
      </c>
      <c r="M3349" s="87">
        <v>3999</v>
      </c>
      <c r="N3349" s="87">
        <f>IFERROR(表格1[[#This Row],[QTY]]*表格1[[#This Row],[Unit Price]],"-")</f>
        <v>3999</v>
      </c>
      <c r="O3349" s="86">
        <v>2300262</v>
      </c>
      <c r="R3349" s="86" t="str">
        <f>_xlfn.CONCAT(表格1[[#This Row],[Model]]," ",表格1[[#This Row],[inv no]])</f>
        <v>TWD-T21BU95UWH(WW) 2300262</v>
      </c>
      <c r="S3349" s="86">
        <f>_xlfn.XLOOKUP(表格1[[#This Row],[Model]],表格3[Model-Input-Ref2],表格3[SRP PRICE])</f>
        <v>7280</v>
      </c>
      <c r="T3349" s="43">
        <f>表格1[[#This Row],[Unit Price]]/表格1[[#This Row],[SRP]]</f>
        <v>0.54931318681318686</v>
      </c>
      <c r="U3349" s="86" t="str">
        <f>_xlfn.XLOOKUP(表格1[[#This Row],[Model]],表格3[Model-Input-Ref2],表格3[TOSHIBA/HIGHEST])</f>
        <v>Toshiba SRP</v>
      </c>
      <c r="W3349" s="86" t="str">
        <f>_xlfn.CONCAT(表格1[[#This Row],[欄4]],表格1[[#This Row],[inv no]])</f>
        <v>2300262</v>
      </c>
    </row>
    <row r="3350" spans="1:23" hidden="1">
      <c r="A3350" s="81">
        <v>3348</v>
      </c>
      <c r="B3350" s="86" t="s">
        <v>1477</v>
      </c>
      <c r="C3350" s="86" t="s">
        <v>1961</v>
      </c>
      <c r="D3350" s="82" t="str">
        <f ca="1">OFFSET(Roster!$A$3,MATCH(表格1[[#This Row],[Location]]&amp;" "&amp;表格1[[#This Row],[Shop]]&amp;"*",Roster!$A$4:$A$72,0),DAY(表格1[[#This Row],[date]]),1,1)</f>
        <v>Terence_2</v>
      </c>
      <c r="E3350" s="86">
        <f>MONTH(表格1[[#This Row],[date]])</f>
        <v>3</v>
      </c>
      <c r="F3350" s="90">
        <v>46109</v>
      </c>
      <c r="G3350" s="86" t="str">
        <f>VLOOKUP("*"&amp;表格1[[#This Row],[Input]]&amp;"*",'Ref-List'!$B:$D,2,)</f>
        <v>GR-RT300WE-PMA(57)</v>
      </c>
      <c r="H3350" s="86" t="str">
        <f>_xlfn.XLOOKUP(表格1[[#This Row],[Model]],表格3[Model-Input-Ref2],表格3[Product Line])</f>
        <v>變頻式環保雙門雪櫃(233L)</v>
      </c>
      <c r="I3350" s="86" t="str">
        <f>_xlfn.XLOOKUP(表格1[[#This Row],[Model]],表格3[Model-Input-Ref2],表格3[大小電])</f>
        <v>大電</v>
      </c>
      <c r="J3350" s="86" t="str">
        <f>_xlfn.XLOOKUP(表格1[[#This Row],[Model]],表格3[Model-Input-Ref2],表格3[Code])</f>
        <v>REF</v>
      </c>
      <c r="K3350" s="89" t="s">
        <v>1462</v>
      </c>
      <c r="L3350" s="86">
        <v>1</v>
      </c>
      <c r="M3350" s="87">
        <v>2780</v>
      </c>
      <c r="N3350" s="87">
        <f>IFERROR(表格1[[#This Row],[QTY]]*表格1[[#This Row],[Unit Price]],"-")</f>
        <v>2780</v>
      </c>
      <c r="O3350" s="86">
        <v>2300123</v>
      </c>
      <c r="R3350" s="86" t="str">
        <f>_xlfn.CONCAT(表格1[[#This Row],[Model]]," ",表格1[[#This Row],[inv no]])</f>
        <v>GR-RT300WE-PMA(57) 2300123</v>
      </c>
      <c r="S3350" s="86">
        <f>_xlfn.XLOOKUP(表格1[[#This Row],[Model]],表格3[Model-Input-Ref2],表格3[SRP PRICE])</f>
        <v>4280</v>
      </c>
      <c r="T3350" s="43">
        <f>表格1[[#This Row],[Unit Price]]/表格1[[#This Row],[SRP]]</f>
        <v>0.64953271028037385</v>
      </c>
      <c r="U3350" s="86" t="str">
        <f>_xlfn.XLOOKUP(表格1[[#This Row],[Model]],表格3[Model-Input-Ref2],表格3[TOSHIBA/HIGHEST])</f>
        <v>Toshiba SRP</v>
      </c>
      <c r="W3350" s="86" t="str">
        <f>_xlfn.CONCAT(表格1[[#This Row],[欄4]],表格1[[#This Row],[inv no]])</f>
        <v>2300123</v>
      </c>
    </row>
    <row r="3351" spans="1:23" hidden="1">
      <c r="A3351" s="81">
        <v>3349</v>
      </c>
      <c r="B3351" s="86" t="s">
        <v>1477</v>
      </c>
      <c r="C3351" s="86" t="s">
        <v>1961</v>
      </c>
      <c r="D3351" s="82" t="str">
        <f ca="1">OFFSET(Roster!$A$3,MATCH(表格1[[#This Row],[Location]]&amp;" "&amp;表格1[[#This Row],[Shop]]&amp;"*",Roster!$A$4:$A$72,0),DAY(表格1[[#This Row],[date]]),1,1)</f>
        <v>Terence_2</v>
      </c>
      <c r="E3351" s="86">
        <f>MONTH(表格1[[#This Row],[date]])</f>
        <v>3</v>
      </c>
      <c r="F3351" s="90">
        <v>46109</v>
      </c>
      <c r="G3351" s="86" t="str">
        <f>VLOOKUP("*"&amp;表格1[[#This Row],[Input]]&amp;"*",'Ref-List'!$B:$D,2,)</f>
        <v>RC-10AMXH(W)</v>
      </c>
      <c r="H3351" s="86" t="str">
        <f>_xlfn.XLOOKUP(表格1[[#This Row],[Model]],表格3[Model-Input-Ref2],表格3[Product Line])</f>
        <v>酵活炊電飯煲(1.0公升)</v>
      </c>
      <c r="I3351" s="86" t="str">
        <f>_xlfn.XLOOKUP(表格1[[#This Row],[Model]],表格3[Model-Input-Ref2],表格3[大小電])</f>
        <v>細電</v>
      </c>
      <c r="J3351" s="86" t="str">
        <f>_xlfn.XLOOKUP(表格1[[#This Row],[Model]],表格3[Model-Input-Ref2],表格3[Code])</f>
        <v>SDA</v>
      </c>
      <c r="K3351" s="89" t="s">
        <v>1279</v>
      </c>
      <c r="L3351" s="86">
        <v>1</v>
      </c>
      <c r="M3351" s="87">
        <v>990</v>
      </c>
      <c r="N3351" s="87">
        <f>IFERROR(表格1[[#This Row],[QTY]]*表格1[[#This Row],[Unit Price]],"-")</f>
        <v>990</v>
      </c>
      <c r="O3351" s="86">
        <v>2300185</v>
      </c>
      <c r="R3351" s="86" t="str">
        <f>_xlfn.CONCAT(表格1[[#This Row],[Model]]," ",表格1[[#This Row],[inv no]])</f>
        <v>RC-10AMXH(W) 2300185</v>
      </c>
      <c r="S3351" s="86">
        <f>_xlfn.XLOOKUP(表格1[[#This Row],[Model]],表格3[Model-Input-Ref2],表格3[SRP PRICE])</f>
        <v>1288</v>
      </c>
      <c r="T3351" s="43">
        <f>表格1[[#This Row],[Unit Price]]/表格1[[#This Row],[SRP]]</f>
        <v>0.76863354037267084</v>
      </c>
      <c r="U3351" s="86" t="str">
        <f>_xlfn.XLOOKUP(表格1[[#This Row],[Model]],表格3[Model-Input-Ref2],表格3[TOSHIBA/HIGHEST])</f>
        <v>Toshiba SRP</v>
      </c>
      <c r="W3351" s="86" t="str">
        <f>_xlfn.CONCAT(表格1[[#This Row],[欄4]],表格1[[#This Row],[inv no]])</f>
        <v>2300185</v>
      </c>
    </row>
    <row r="3352" spans="1:23" hidden="1">
      <c r="A3352" s="81">
        <v>3350</v>
      </c>
      <c r="B3352" s="86" t="s">
        <v>1477</v>
      </c>
      <c r="C3352" s="86" t="s">
        <v>1961</v>
      </c>
      <c r="D3352" s="82" t="str">
        <f ca="1">OFFSET(Roster!$A$3,MATCH(表格1[[#This Row],[Location]]&amp;" "&amp;表格1[[#This Row],[Shop]]&amp;"*",Roster!$A$4:$A$72,0),DAY(表格1[[#This Row],[date]]),1,1)</f>
        <v>Terence_2</v>
      </c>
      <c r="E3352" s="86">
        <f>MONTH(表格1[[#This Row],[date]])</f>
        <v>3</v>
      </c>
      <c r="F3352" s="90">
        <v>46109</v>
      </c>
      <c r="G3352" s="86" t="str">
        <f>VLOOKUP("*"&amp;表格1[[#This Row],[Input]]&amp;"*",'Ref-List'!$B:$D,2,)</f>
        <v>GR-RB221WE-PMA(57)</v>
      </c>
      <c r="H3352" s="86" t="str">
        <f>_xlfn.XLOOKUP(表格1[[#This Row],[Model]],表格3[Model-Input-Ref2],表格3[Product Line])</f>
        <v>變頻下置式雙門雪櫃（163L）</v>
      </c>
      <c r="I3352" s="86" t="str">
        <f>_xlfn.XLOOKUP(表格1[[#This Row],[Model]],表格3[Model-Input-Ref2],表格3[大小電])</f>
        <v>大電</v>
      </c>
      <c r="J3352" s="86" t="str">
        <f>_xlfn.XLOOKUP(表格1[[#This Row],[Model]],表格3[Model-Input-Ref2],表格3[Code])</f>
        <v>REF</v>
      </c>
      <c r="K3352" s="89" t="s">
        <v>1386</v>
      </c>
      <c r="L3352" s="86">
        <v>1</v>
      </c>
      <c r="M3352" s="87">
        <v>1880</v>
      </c>
      <c r="N3352" s="87">
        <f>IFERROR(表格1[[#This Row],[QTY]]*表格1[[#This Row],[Unit Price]],"-")</f>
        <v>1880</v>
      </c>
      <c r="O3352" s="86">
        <v>2300134</v>
      </c>
      <c r="R3352" s="86" t="str">
        <f>_xlfn.CONCAT(表格1[[#This Row],[Model]]," ",表格1[[#This Row],[inv no]])</f>
        <v>GR-RB221WE-PMA(57) 2300134</v>
      </c>
      <c r="S3352" s="86">
        <f>_xlfn.XLOOKUP(表格1[[#This Row],[Model]],表格3[Model-Input-Ref2],表格3[SRP PRICE])</f>
        <v>3480</v>
      </c>
      <c r="T3352" s="43">
        <f>表格1[[#This Row],[Unit Price]]/表格1[[#This Row],[SRP]]</f>
        <v>0.54022988505747127</v>
      </c>
      <c r="U3352" s="86" t="str">
        <f>_xlfn.XLOOKUP(表格1[[#This Row],[Model]],表格3[Model-Input-Ref2],表格3[TOSHIBA/HIGHEST])</f>
        <v>Toshiba SRP</v>
      </c>
      <c r="W3352" s="86" t="str">
        <f>_xlfn.CONCAT(表格1[[#This Row],[欄4]],表格1[[#This Row],[inv no]])</f>
        <v>2300134</v>
      </c>
    </row>
    <row r="3353" spans="1:23" hidden="1">
      <c r="A3353" s="81">
        <v>3351</v>
      </c>
      <c r="B3353" s="86" t="s">
        <v>1477</v>
      </c>
      <c r="C3353" s="86" t="s">
        <v>1961</v>
      </c>
      <c r="D3353" s="82" t="str">
        <f ca="1">OFFSET(Roster!$A$3,MATCH(表格1[[#This Row],[Location]]&amp;" "&amp;表格1[[#This Row],[Shop]]&amp;"*",Roster!$A$4:$A$72,0),DAY(表格1[[#This Row],[date]]),1,1)</f>
        <v>Terence_2</v>
      </c>
      <c r="E3353" s="86">
        <f>MONTH(表格1[[#This Row],[date]])</f>
        <v>3</v>
      </c>
      <c r="F3353" s="90">
        <v>46109</v>
      </c>
      <c r="G3353" s="86" t="str">
        <f>VLOOKUP("*"&amp;表格1[[#This Row],[Input]]&amp;"*",'Ref-List'!$B:$D,2,)</f>
        <v>GR-RB221WE-PMA(57)</v>
      </c>
      <c r="H3353" s="86" t="str">
        <f>_xlfn.XLOOKUP(表格1[[#This Row],[Model]],表格3[Model-Input-Ref2],表格3[Product Line])</f>
        <v>變頻下置式雙門雪櫃（163L）</v>
      </c>
      <c r="I3353" s="86" t="str">
        <f>_xlfn.XLOOKUP(表格1[[#This Row],[Model]],表格3[Model-Input-Ref2],表格3[大小電])</f>
        <v>大電</v>
      </c>
      <c r="J3353" s="86" t="str">
        <f>_xlfn.XLOOKUP(表格1[[#This Row],[Model]],表格3[Model-Input-Ref2],表格3[Code])</f>
        <v>REF</v>
      </c>
      <c r="K3353" s="89" t="s">
        <v>1386</v>
      </c>
      <c r="L3353" s="86">
        <v>1</v>
      </c>
      <c r="M3353" s="87">
        <v>1880</v>
      </c>
      <c r="N3353" s="87">
        <f>IFERROR(表格1[[#This Row],[QTY]]*表格1[[#This Row],[Unit Price]],"-")</f>
        <v>1880</v>
      </c>
      <c r="O3353" s="86">
        <v>2300243</v>
      </c>
      <c r="R3353" s="86" t="str">
        <f>_xlfn.CONCAT(表格1[[#This Row],[Model]]," ",表格1[[#This Row],[inv no]])</f>
        <v>GR-RB221WE-PMA(57) 2300243</v>
      </c>
      <c r="S3353" s="86">
        <f>_xlfn.XLOOKUP(表格1[[#This Row],[Model]],表格3[Model-Input-Ref2],表格3[SRP PRICE])</f>
        <v>3480</v>
      </c>
      <c r="T3353" s="43">
        <f>表格1[[#This Row],[Unit Price]]/表格1[[#This Row],[SRP]]</f>
        <v>0.54022988505747127</v>
      </c>
      <c r="U3353" s="86" t="str">
        <f>_xlfn.XLOOKUP(表格1[[#This Row],[Model]],表格3[Model-Input-Ref2],表格3[TOSHIBA/HIGHEST])</f>
        <v>Toshiba SRP</v>
      </c>
      <c r="W3353" s="86" t="str">
        <f>_xlfn.CONCAT(表格1[[#This Row],[欄4]],表格1[[#This Row],[inv no]])</f>
        <v>2300243</v>
      </c>
    </row>
    <row r="3354" spans="1:23" hidden="1">
      <c r="A3354" s="81">
        <v>3352</v>
      </c>
      <c r="B3354" s="86" t="s">
        <v>1477</v>
      </c>
      <c r="C3354" s="86" t="s">
        <v>1961</v>
      </c>
      <c r="D3354" s="82" t="str">
        <f ca="1">OFFSET(Roster!$A$3,MATCH(表格1[[#This Row],[Location]]&amp;" "&amp;表格1[[#This Row],[Shop]]&amp;"*",Roster!$A$4:$A$72,0),DAY(表格1[[#This Row],[date]]),1,1)</f>
        <v>Terence_2</v>
      </c>
      <c r="E3354" s="86">
        <f>MONTH(表格1[[#This Row],[date]])</f>
        <v>3</v>
      </c>
      <c r="F3354" s="90">
        <v>46109</v>
      </c>
      <c r="G3354" s="86" t="str">
        <f>VLOOKUP("*"&amp;表格1[[#This Row],[Input]]&amp;"*",'Ref-List'!$B:$D,2,)</f>
        <v>GR-RB221WE-PMA(57)</v>
      </c>
      <c r="H3354" s="86" t="str">
        <f>_xlfn.XLOOKUP(表格1[[#This Row],[Model]],表格3[Model-Input-Ref2],表格3[Product Line])</f>
        <v>變頻下置式雙門雪櫃（163L）</v>
      </c>
      <c r="I3354" s="86" t="str">
        <f>_xlfn.XLOOKUP(表格1[[#This Row],[Model]],表格3[Model-Input-Ref2],表格3[大小電])</f>
        <v>大電</v>
      </c>
      <c r="J3354" s="86" t="str">
        <f>_xlfn.XLOOKUP(表格1[[#This Row],[Model]],表格3[Model-Input-Ref2],表格3[Code])</f>
        <v>REF</v>
      </c>
      <c r="K3354" s="89" t="s">
        <v>1386</v>
      </c>
      <c r="L3354" s="86">
        <v>1</v>
      </c>
      <c r="M3354" s="87">
        <v>1880</v>
      </c>
      <c r="N3354" s="87">
        <f>IFERROR(表格1[[#This Row],[QTY]]*表格1[[#This Row],[Unit Price]],"-")</f>
        <v>1880</v>
      </c>
      <c r="O3354" s="86">
        <v>2300303</v>
      </c>
      <c r="R3354" s="86" t="str">
        <f>_xlfn.CONCAT(表格1[[#This Row],[Model]]," ",表格1[[#This Row],[inv no]])</f>
        <v>GR-RB221WE-PMA(57) 2300303</v>
      </c>
      <c r="S3354" s="86">
        <f>_xlfn.XLOOKUP(表格1[[#This Row],[Model]],表格3[Model-Input-Ref2],表格3[SRP PRICE])</f>
        <v>3480</v>
      </c>
      <c r="T3354" s="43">
        <f>表格1[[#This Row],[Unit Price]]/表格1[[#This Row],[SRP]]</f>
        <v>0.54022988505747127</v>
      </c>
      <c r="U3354" s="86" t="str">
        <f>_xlfn.XLOOKUP(表格1[[#This Row],[Model]],表格3[Model-Input-Ref2],表格3[TOSHIBA/HIGHEST])</f>
        <v>Toshiba SRP</v>
      </c>
      <c r="W3354" s="86" t="str">
        <f>_xlfn.CONCAT(表格1[[#This Row],[欄4]],表格1[[#This Row],[inv no]])</f>
        <v>2300303</v>
      </c>
    </row>
    <row r="3355" spans="1:23" hidden="1">
      <c r="A3355" s="81">
        <v>3353</v>
      </c>
      <c r="B3355" s="86" t="s">
        <v>1477</v>
      </c>
      <c r="C3355" s="86" t="s">
        <v>1961</v>
      </c>
      <c r="D3355" s="82" t="str">
        <f ca="1">OFFSET(Roster!$A$3,MATCH(表格1[[#This Row],[Location]]&amp;" "&amp;表格1[[#This Row],[Shop]]&amp;"*",Roster!$A$4:$A$72,0),DAY(表格1[[#This Row],[date]]),1,1)</f>
        <v>Terence_2</v>
      </c>
      <c r="E3355" s="86">
        <f>MONTH(表格1[[#This Row],[date]])</f>
        <v>3</v>
      </c>
      <c r="F3355" s="90">
        <v>46109</v>
      </c>
      <c r="G3355" s="86" t="str">
        <f>VLOOKUP("*"&amp;表格1[[#This Row],[Input]]&amp;"*",'Ref-List'!$B:$D,2,)</f>
        <v>GR-RB410WE-PMA(06)</v>
      </c>
      <c r="H3355" s="86" t="str">
        <f>_xlfn.XLOOKUP(表格1[[#This Row],[Model]],表格3[Model-Input-Ref2],表格3[Product Line])</f>
        <v>雙門雪櫃</v>
      </c>
      <c r="I3355" s="86" t="str">
        <f>_xlfn.XLOOKUP(表格1[[#This Row],[Model]],表格3[Model-Input-Ref2],表格3[大小電])</f>
        <v>大電</v>
      </c>
      <c r="J3355" s="86" t="str">
        <f>_xlfn.XLOOKUP(表格1[[#This Row],[Model]],表格3[Model-Input-Ref2],表格3[Code])</f>
        <v>REF</v>
      </c>
      <c r="K3355" s="89" t="s">
        <v>1775</v>
      </c>
      <c r="L3355" s="86">
        <v>1</v>
      </c>
      <c r="M3355" s="87">
        <v>3980</v>
      </c>
      <c r="N3355" s="87">
        <f>IFERROR(表格1[[#This Row],[QTY]]*表格1[[#This Row],[Unit Price]],"-")</f>
        <v>3980</v>
      </c>
      <c r="O3355" s="86">
        <v>2300321</v>
      </c>
      <c r="R3355" s="86" t="str">
        <f>_xlfn.CONCAT(表格1[[#This Row],[Model]]," ",表格1[[#This Row],[inv no]])</f>
        <v>GR-RB410WE-PMA(06) 2300321</v>
      </c>
      <c r="S3355" s="86">
        <f>_xlfn.XLOOKUP(表格1[[#This Row],[Model]],表格3[Model-Input-Ref2],表格3[SRP PRICE])</f>
        <v>4000</v>
      </c>
      <c r="T3355" s="43">
        <f>表格1[[#This Row],[Unit Price]]/表格1[[#This Row],[SRP]]</f>
        <v>0.995</v>
      </c>
      <c r="U3355" s="86" t="str">
        <f>_xlfn.XLOOKUP(表格1[[#This Row],[Model]],表格3[Model-Input-Ref2],表格3[TOSHIBA/HIGHEST])</f>
        <v>Shops Highest Price</v>
      </c>
      <c r="W3355" s="86" t="str">
        <f>_xlfn.CONCAT(表格1[[#This Row],[欄4]],表格1[[#This Row],[inv no]])</f>
        <v>2300321</v>
      </c>
    </row>
    <row r="3356" spans="1:23" hidden="1">
      <c r="A3356" s="81">
        <v>3354</v>
      </c>
      <c r="B3356" s="86" t="s">
        <v>1477</v>
      </c>
      <c r="C3356" s="86" t="s">
        <v>1961</v>
      </c>
      <c r="D3356" s="82" t="str">
        <f ca="1">OFFSET(Roster!$A$3,MATCH(表格1[[#This Row],[Location]]&amp;" "&amp;表格1[[#This Row],[Shop]]&amp;"*",Roster!$A$4:$A$72,0),DAY(表格1[[#This Row],[date]]),1,1)</f>
        <v>Terence_2</v>
      </c>
      <c r="E3356" s="86">
        <f>MONTH(表格1[[#This Row],[date]])</f>
        <v>3</v>
      </c>
      <c r="F3356" s="90">
        <v>46109</v>
      </c>
      <c r="G3356" s="86" t="str">
        <f>VLOOKUP("*"&amp;表格1[[#This Row],[Input]]&amp;"*",'Ref-List'!$B:$D,2,)</f>
        <v>GR-RM598WE-PGA(B3)</v>
      </c>
      <c r="H3356" s="86" t="str">
        <f>_xlfn.XLOOKUP(表格1[[#This Row],[Model]],表格3[Model-Input-Ref2],表格3[Product Line])</f>
        <v>變頻六門雪櫃(451L)</v>
      </c>
      <c r="I3356" s="86" t="str">
        <f>_xlfn.XLOOKUP(表格1[[#This Row],[Model]],表格3[Model-Input-Ref2],表格3[大小電])</f>
        <v>大電</v>
      </c>
      <c r="J3356" s="86" t="str">
        <f>_xlfn.XLOOKUP(表格1[[#This Row],[Model]],表格3[Model-Input-Ref2],表格3[Code])</f>
        <v>REF</v>
      </c>
      <c r="K3356" s="89" t="s">
        <v>1491</v>
      </c>
      <c r="L3356" s="86">
        <v>1</v>
      </c>
      <c r="M3356" s="87">
        <v>10590</v>
      </c>
      <c r="N3356" s="87">
        <f>IFERROR(表格1[[#This Row],[QTY]]*表格1[[#This Row],[Unit Price]],"-")</f>
        <v>10590</v>
      </c>
      <c r="O3356" s="86">
        <v>2300330</v>
      </c>
      <c r="R3356" s="86" t="str">
        <f>_xlfn.CONCAT(表格1[[#This Row],[Model]]," ",表格1[[#This Row],[inv no]])</f>
        <v>GR-RM598WE-PGA(B3) 2300330</v>
      </c>
      <c r="S3356" s="86">
        <f>_xlfn.XLOOKUP(表格1[[#This Row],[Model]],表格3[Model-Input-Ref2],表格3[SRP PRICE])</f>
        <v>14980</v>
      </c>
      <c r="T3356" s="43">
        <f>表格1[[#This Row],[Unit Price]]/表格1[[#This Row],[SRP]]</f>
        <v>0.70694259012016025</v>
      </c>
      <c r="U3356" s="86" t="str">
        <f>_xlfn.XLOOKUP(表格1[[#This Row],[Model]],表格3[Model-Input-Ref2],表格3[TOSHIBA/HIGHEST])</f>
        <v>Toshiba SRP</v>
      </c>
      <c r="W3356" s="86" t="str">
        <f>_xlfn.CONCAT(表格1[[#This Row],[欄4]],表格1[[#This Row],[inv no]])</f>
        <v>2300330</v>
      </c>
    </row>
    <row r="3357" spans="1:23" hidden="1">
      <c r="A3357" s="81">
        <v>3355</v>
      </c>
      <c r="B3357" s="86" t="s">
        <v>1477</v>
      </c>
      <c r="C3357" s="86" t="s">
        <v>1961</v>
      </c>
      <c r="D3357" s="82" t="str">
        <f ca="1">OFFSET(Roster!$A$3,MATCH(表格1[[#This Row],[Location]]&amp;" "&amp;表格1[[#This Row],[Shop]]&amp;"*",Roster!$A$4:$A$72,0),DAY(表格1[[#This Row],[date]]),1,1)</f>
        <v>Terence_2</v>
      </c>
      <c r="E3357" s="86">
        <f>MONTH(表格1[[#This Row],[date]])</f>
        <v>3</v>
      </c>
      <c r="F3357" s="90">
        <v>46109</v>
      </c>
      <c r="G3357" s="86" t="str">
        <f>VLOOKUP("*"&amp;表格1[[#This Row],[Input]]&amp;"*",'Ref-List'!$B:$D,2,)</f>
        <v>MX2-STR25SC(WH)</v>
      </c>
      <c r="H3357" s="86" t="str">
        <f>_xlfn.XLOOKUP(表格1[[#This Row],[Model]],表格3[Model-Input-Ref2],表格3[Product Line])</f>
        <v>4合1氣炸微波蒸焗爐(25公升)</v>
      </c>
      <c r="I3357" s="86" t="str">
        <f>_xlfn.XLOOKUP(表格1[[#This Row],[Model]],表格3[Model-Input-Ref2],表格3[大小電])</f>
        <v>細電</v>
      </c>
      <c r="J3357" s="86" t="str">
        <f>_xlfn.XLOOKUP(表格1[[#This Row],[Model]],表格3[Model-Input-Ref2],表格3[Code])</f>
        <v>MCA</v>
      </c>
      <c r="K3357" s="89" t="s">
        <v>1410</v>
      </c>
      <c r="L3357" s="86">
        <v>1</v>
      </c>
      <c r="M3357" s="87">
        <v>3580</v>
      </c>
      <c r="N3357" s="87">
        <f>IFERROR(表格1[[#This Row],[QTY]]*表格1[[#This Row],[Unit Price]],"-")</f>
        <v>3580</v>
      </c>
      <c r="O3357" s="86">
        <v>2300255</v>
      </c>
      <c r="R3357" s="86" t="str">
        <f>_xlfn.CONCAT(表格1[[#This Row],[Model]]," ",表格1[[#This Row],[inv no]])</f>
        <v>MX2-STR25SC(WH) 2300255</v>
      </c>
      <c r="S3357" s="86">
        <f>_xlfn.XLOOKUP(表格1[[#This Row],[Model]],表格3[Model-Input-Ref2],表格3[SRP PRICE])</f>
        <v>4998</v>
      </c>
      <c r="T3357" s="43">
        <f>表格1[[#This Row],[Unit Price]]/表格1[[#This Row],[SRP]]</f>
        <v>0.71628651460584236</v>
      </c>
      <c r="U3357" s="86" t="str">
        <f>_xlfn.XLOOKUP(表格1[[#This Row],[Model]],表格3[Model-Input-Ref2],表格3[TOSHIBA/HIGHEST])</f>
        <v>Toshiba SRP</v>
      </c>
      <c r="W3357" s="86" t="str">
        <f>_xlfn.CONCAT(表格1[[#This Row],[欄4]],表格1[[#This Row],[inv no]])</f>
        <v>2300255</v>
      </c>
    </row>
    <row r="3358" spans="1:23" hidden="1">
      <c r="A3358" s="81">
        <v>3356</v>
      </c>
      <c r="B3358" s="86" t="s">
        <v>1477</v>
      </c>
      <c r="C3358" s="86" t="s">
        <v>1961</v>
      </c>
      <c r="D3358" s="82" t="str">
        <f ca="1">OFFSET(Roster!$A$3,MATCH(表格1[[#This Row],[Location]]&amp;" "&amp;表格1[[#This Row],[Shop]]&amp;"*",Roster!$A$4:$A$72,0),DAY(表格1[[#This Row],[date]]),1,1)</f>
        <v>Terence_2</v>
      </c>
      <c r="E3358" s="86">
        <f>MONTH(表格1[[#This Row],[date]])</f>
        <v>3</v>
      </c>
      <c r="F3358" s="90">
        <v>46109</v>
      </c>
      <c r="G3358" s="86" t="str">
        <f>VLOOKUP("*"&amp;表格1[[#This Row],[Input]]&amp;"*",'Ref-List'!$B:$D,2,)</f>
        <v>GR-RT234WE-PMA(57)</v>
      </c>
      <c r="H3358" s="86" t="str">
        <f>_xlfn.XLOOKUP(表格1[[#This Row],[Model]],表格3[Model-Input-Ref2],表格3[Product Line])</f>
        <v>變頻式環保雙門雪櫃（179L）</v>
      </c>
      <c r="I3358" s="86" t="str">
        <f>_xlfn.XLOOKUP(表格1[[#This Row],[Model]],表格3[Model-Input-Ref2],表格3[大小電])</f>
        <v>大電</v>
      </c>
      <c r="J3358" s="86" t="str">
        <f>_xlfn.XLOOKUP(表格1[[#This Row],[Model]],表格3[Model-Input-Ref2],表格3[Code])</f>
        <v>REF</v>
      </c>
      <c r="K3358" s="89" t="s">
        <v>1423</v>
      </c>
      <c r="L3358" s="86">
        <v>1</v>
      </c>
      <c r="M3358" s="87">
        <v>1980</v>
      </c>
      <c r="N3358" s="87">
        <f>IFERROR(表格1[[#This Row],[QTY]]*表格1[[#This Row],[Unit Price]],"-")</f>
        <v>1980</v>
      </c>
      <c r="O3358" s="86">
        <v>2300179</v>
      </c>
      <c r="R3358" s="86" t="str">
        <f>_xlfn.CONCAT(表格1[[#This Row],[Model]]," ",表格1[[#This Row],[inv no]])</f>
        <v>GR-RT234WE-PMA(57) 2300179</v>
      </c>
      <c r="S3358" s="86">
        <f>_xlfn.XLOOKUP(表格1[[#This Row],[Model]],表格3[Model-Input-Ref2],表格3[SRP PRICE])</f>
        <v>3680</v>
      </c>
      <c r="T3358" s="43">
        <f>表格1[[#This Row],[Unit Price]]/表格1[[#This Row],[SRP]]</f>
        <v>0.53804347826086951</v>
      </c>
      <c r="U3358" s="86" t="str">
        <f>_xlfn.XLOOKUP(表格1[[#This Row],[Model]],表格3[Model-Input-Ref2],表格3[TOSHIBA/HIGHEST])</f>
        <v>Toshiba SRP</v>
      </c>
      <c r="W3358" s="86" t="str">
        <f>_xlfn.CONCAT(表格1[[#This Row],[欄4]],表格1[[#This Row],[inv no]])</f>
        <v>2300179</v>
      </c>
    </row>
    <row r="3359" spans="1:23" hidden="1">
      <c r="A3359" s="81">
        <v>3357</v>
      </c>
      <c r="B3359" s="86" t="s">
        <v>1477</v>
      </c>
      <c r="C3359" s="86" t="s">
        <v>1961</v>
      </c>
      <c r="D3359" s="82" t="str">
        <f ca="1">OFFSET(Roster!$A$3,MATCH(表格1[[#This Row],[Location]]&amp;" "&amp;表格1[[#This Row],[Shop]]&amp;"*",Roster!$A$4:$A$72,0),DAY(表格1[[#This Row],[date]]),1,1)</f>
        <v>Terence_2</v>
      </c>
      <c r="E3359" s="86">
        <f>MONTH(表格1[[#This Row],[date]])</f>
        <v>3</v>
      </c>
      <c r="F3359" s="90">
        <v>46109</v>
      </c>
      <c r="G3359" s="86" t="str">
        <f>VLOOKUP("*"&amp;表格1[[#This Row],[Input]]&amp;"*",'Ref-List'!$B:$D,2,)</f>
        <v>RC-10ISSHK(W)</v>
      </c>
      <c r="H3359" s="86" t="str">
        <f>_xlfn.XLOOKUP(表格1[[#This Row],[Model]],表格3[Model-Input-Ref2],表格3[Product Line])</f>
        <v>磁應電飯煲(1公升)</v>
      </c>
      <c r="I3359" s="86" t="str">
        <f>_xlfn.XLOOKUP(表格1[[#This Row],[Model]],表格3[Model-Input-Ref2],表格3[大小電])</f>
        <v>細電</v>
      </c>
      <c r="J3359" s="86" t="str">
        <f>_xlfn.XLOOKUP(表格1[[#This Row],[Model]],表格3[Model-Input-Ref2],表格3[Code])</f>
        <v>SDA</v>
      </c>
      <c r="K3359" s="89" t="s">
        <v>1286</v>
      </c>
      <c r="L3359" s="86">
        <v>1</v>
      </c>
      <c r="M3359" s="87">
        <v>938</v>
      </c>
      <c r="N3359" s="87">
        <f>IFERROR(表格1[[#This Row],[QTY]]*表格1[[#This Row],[Unit Price]],"-")</f>
        <v>938</v>
      </c>
      <c r="O3359" s="86">
        <v>2300307</v>
      </c>
      <c r="R3359" s="86" t="str">
        <f>_xlfn.CONCAT(表格1[[#This Row],[Model]]," ",表格1[[#This Row],[inv no]])</f>
        <v>RC-10ISSHK(W) 2300307</v>
      </c>
      <c r="S3359" s="86">
        <f>_xlfn.XLOOKUP(表格1[[#This Row],[Model]],表格3[Model-Input-Ref2],表格3[SRP PRICE])</f>
        <v>1188</v>
      </c>
      <c r="T3359" s="43">
        <f>表格1[[#This Row],[Unit Price]]/表格1[[#This Row],[SRP]]</f>
        <v>0.78956228956228958</v>
      </c>
      <c r="U3359" s="86" t="str">
        <f>_xlfn.XLOOKUP(表格1[[#This Row],[Model]],表格3[Model-Input-Ref2],表格3[TOSHIBA/HIGHEST])</f>
        <v>Shops Highest Price</v>
      </c>
      <c r="W3359" s="86" t="str">
        <f>_xlfn.CONCAT(表格1[[#This Row],[欄4]],表格1[[#This Row],[inv no]])</f>
        <v>2300307</v>
      </c>
    </row>
    <row r="3360" spans="1:23" hidden="1">
      <c r="A3360" s="81">
        <v>3358</v>
      </c>
      <c r="B3360" s="86" t="s">
        <v>1477</v>
      </c>
      <c r="C3360" s="86" t="s">
        <v>1961</v>
      </c>
      <c r="D3360" s="82" t="str">
        <f ca="1">OFFSET(Roster!$A$3,MATCH(表格1[[#This Row],[Location]]&amp;" "&amp;表格1[[#This Row],[Shop]]&amp;"*",Roster!$A$4:$A$72,0),DAY(表格1[[#This Row],[date]]),1,1)</f>
        <v>Terence_2</v>
      </c>
      <c r="E3360" s="86">
        <f>MONTH(表格1[[#This Row],[date]])</f>
        <v>3</v>
      </c>
      <c r="F3360" s="90">
        <v>46109</v>
      </c>
      <c r="G3360" s="86" t="str">
        <f>VLOOKUP("*"&amp;表格1[[#This Row],[Input]]&amp;"*",'Ref-List'!$B:$D,2,)</f>
        <v>RC-7HMH</v>
      </c>
      <c r="H3360" s="86" t="str">
        <f>_xlfn.XLOOKUP(表格1[[#This Row],[Model]],表格3[Model-Input-Ref2],表格3[Product Line])</f>
        <v>備長炭本厚釜電飯煲0.7L</v>
      </c>
      <c r="I3360" s="86" t="str">
        <f>_xlfn.XLOOKUP(表格1[[#This Row],[Model]],表格3[Model-Input-Ref2],表格3[大小電])</f>
        <v>細電</v>
      </c>
      <c r="J3360" s="86" t="str">
        <f>_xlfn.XLOOKUP(表格1[[#This Row],[Model]],表格3[Model-Input-Ref2],表格3[Code])</f>
        <v>SDA</v>
      </c>
      <c r="K3360" s="89" t="s">
        <v>1284</v>
      </c>
      <c r="L3360" s="86">
        <v>1</v>
      </c>
      <c r="M3360" s="87">
        <v>788</v>
      </c>
      <c r="N3360" s="87">
        <f>IFERROR(表格1[[#This Row],[QTY]]*表格1[[#This Row],[Unit Price]],"-")</f>
        <v>788</v>
      </c>
      <c r="O3360" s="86">
        <v>2300280</v>
      </c>
      <c r="R3360" s="86" t="str">
        <f>_xlfn.CONCAT(表格1[[#This Row],[Model]]," ",表格1[[#This Row],[inv no]])</f>
        <v>RC-7HMH 2300280</v>
      </c>
      <c r="S3360" s="86">
        <f>_xlfn.XLOOKUP(表格1[[#This Row],[Model]],表格3[Model-Input-Ref2],表格3[SRP PRICE])</f>
        <v>1288</v>
      </c>
      <c r="T3360" s="43">
        <f>表格1[[#This Row],[Unit Price]]/表格1[[#This Row],[SRP]]</f>
        <v>0.61180124223602483</v>
      </c>
      <c r="U3360" s="86" t="str">
        <f>_xlfn.XLOOKUP(表格1[[#This Row],[Model]],表格3[Model-Input-Ref2],表格3[TOSHIBA/HIGHEST])</f>
        <v>Toshiba SRP</v>
      </c>
      <c r="W3360" s="86" t="str">
        <f>_xlfn.CONCAT(表格1[[#This Row],[欄4]],表格1[[#This Row],[inv no]])</f>
        <v>2300280</v>
      </c>
    </row>
    <row r="3361" spans="1:23" hidden="1">
      <c r="A3361" s="81">
        <v>3359</v>
      </c>
      <c r="B3361" s="86" t="s">
        <v>1477</v>
      </c>
      <c r="C3361" s="86" t="s">
        <v>1961</v>
      </c>
      <c r="D3361" s="82" t="str">
        <f ca="1">OFFSET(Roster!$A$3,MATCH(表格1[[#This Row],[Location]]&amp;" "&amp;表格1[[#This Row],[Shop]]&amp;"*",Roster!$A$4:$A$72,0),DAY(表格1[[#This Row],[date]]),1,1)</f>
        <v>Terence_2</v>
      </c>
      <c r="E3361" s="86">
        <f>MONTH(表格1[[#This Row],[date]])</f>
        <v>3</v>
      </c>
      <c r="F3361" s="90">
        <v>46109</v>
      </c>
      <c r="G3361" s="86" t="str">
        <f>VLOOKUP("*"&amp;表格1[[#This Row],[Input]]&amp;"*",'Ref-List'!$B:$D,2,)</f>
        <v>MWP-MM20P(WH)</v>
      </c>
      <c r="H3361" s="86" t="str">
        <f>_xlfn.XLOOKUP(表格1[[#This Row],[Model]],表格3[Model-Input-Ref2],表格3[Product Line])</f>
        <v>旋鈕式燒烤微波爐20L</v>
      </c>
      <c r="I3361" s="86" t="str">
        <f>_xlfn.XLOOKUP(表格1[[#This Row],[Model]],表格3[Model-Input-Ref2],表格3[大小電])</f>
        <v>細電</v>
      </c>
      <c r="J3361" s="86" t="str">
        <f>_xlfn.XLOOKUP(表格1[[#This Row],[Model]],表格3[Model-Input-Ref2],表格3[Code])</f>
        <v>SDA</v>
      </c>
      <c r="K3361" s="89" t="s">
        <v>1270</v>
      </c>
      <c r="L3361" s="86">
        <v>1</v>
      </c>
      <c r="M3361" s="87">
        <v>488</v>
      </c>
      <c r="N3361" s="87">
        <f>IFERROR(表格1[[#This Row],[QTY]]*表格1[[#This Row],[Unit Price]],"-")</f>
        <v>488</v>
      </c>
      <c r="O3361" s="86">
        <v>2300172</v>
      </c>
      <c r="R3361" s="86" t="str">
        <f>_xlfn.CONCAT(表格1[[#This Row],[Model]]," ",表格1[[#This Row],[inv no]])</f>
        <v>MWP-MM20P(WH) 2300172</v>
      </c>
      <c r="S3361" s="86">
        <f>_xlfn.XLOOKUP(表格1[[#This Row],[Model]],表格3[Model-Input-Ref2],表格3[SRP PRICE])</f>
        <v>648</v>
      </c>
      <c r="T3361" s="43">
        <f>表格1[[#This Row],[Unit Price]]/表格1[[#This Row],[SRP]]</f>
        <v>0.75308641975308643</v>
      </c>
      <c r="U3361" s="86" t="str">
        <f>_xlfn.XLOOKUP(表格1[[#This Row],[Model]],表格3[Model-Input-Ref2],表格3[TOSHIBA/HIGHEST])</f>
        <v>Toshiba SRP</v>
      </c>
      <c r="W3361" s="86" t="str">
        <f>_xlfn.CONCAT(表格1[[#This Row],[欄4]],表格1[[#This Row],[inv no]])</f>
        <v>2300172</v>
      </c>
    </row>
    <row r="3362" spans="1:23" hidden="1">
      <c r="A3362" s="81">
        <v>3360</v>
      </c>
      <c r="B3362" s="86" t="s">
        <v>1477</v>
      </c>
      <c r="C3362" s="86" t="s">
        <v>1961</v>
      </c>
      <c r="D3362" s="82" t="str">
        <f ca="1">OFFSET(Roster!$A$3,MATCH(表格1[[#This Row],[Location]]&amp;" "&amp;表格1[[#This Row],[Shop]]&amp;"*",Roster!$A$4:$A$72,0),DAY(表格1[[#This Row],[date]]),1,1)</f>
        <v>Terence_2</v>
      </c>
      <c r="E3362" s="86">
        <f>MONTH(表格1[[#This Row],[date]])</f>
        <v>3</v>
      </c>
      <c r="F3362" s="90">
        <v>46109</v>
      </c>
      <c r="G3362" s="86" t="str">
        <f>VLOOKUP("*"&amp;表格1[[#This Row],[Input]]&amp;"*",'Ref-List'!$B:$D,2,)</f>
        <v>ET-TD7080(PN)</v>
      </c>
      <c r="H3362" s="86" t="str">
        <f>_xlfn.XLOOKUP(表格1[[#This Row],[Model]],表格3[Model-Input-Ref2],表格3[Product Line])</f>
        <v>多士焗爐8L</v>
      </c>
      <c r="I3362" s="86" t="str">
        <f>_xlfn.XLOOKUP(表格1[[#This Row],[Model]],表格3[Model-Input-Ref2],表格3[大小電])</f>
        <v>細電</v>
      </c>
      <c r="J3362" s="86" t="str">
        <f>_xlfn.XLOOKUP(表格1[[#This Row],[Model]],表格3[Model-Input-Ref2],表格3[Code])</f>
        <v>SDA</v>
      </c>
      <c r="K3362" s="89">
        <v>7080</v>
      </c>
      <c r="L3362" s="86">
        <v>1</v>
      </c>
      <c r="M3362" s="87">
        <v>358</v>
      </c>
      <c r="N3362" s="87">
        <f>IFERROR(表格1[[#This Row],[QTY]]*表格1[[#This Row],[Unit Price]],"-")</f>
        <v>358</v>
      </c>
      <c r="O3362" s="86">
        <v>2300212</v>
      </c>
      <c r="R3362" s="86" t="str">
        <f>_xlfn.CONCAT(表格1[[#This Row],[Model]]," ",表格1[[#This Row],[inv no]])</f>
        <v>ET-TD7080(PN) 2300212</v>
      </c>
      <c r="S3362" s="86">
        <f>_xlfn.XLOOKUP(表格1[[#This Row],[Model]],表格3[Model-Input-Ref2],表格3[SRP PRICE])</f>
        <v>498</v>
      </c>
      <c r="T3362" s="43">
        <f>表格1[[#This Row],[Unit Price]]/表格1[[#This Row],[SRP]]</f>
        <v>0.71887550200803207</v>
      </c>
      <c r="U3362" s="86" t="str">
        <f>_xlfn.XLOOKUP(表格1[[#This Row],[Model]],表格3[Model-Input-Ref2],表格3[TOSHIBA/HIGHEST])</f>
        <v>Toshiba SRP</v>
      </c>
      <c r="W3362" s="86" t="str">
        <f>_xlfn.CONCAT(表格1[[#This Row],[欄4]],表格1[[#This Row],[inv no]])</f>
        <v>2300212</v>
      </c>
    </row>
    <row r="3363" spans="1:23" hidden="1">
      <c r="A3363" s="81">
        <v>3361</v>
      </c>
      <c r="B3363" s="86" t="s">
        <v>1477</v>
      </c>
      <c r="C3363" s="86" t="s">
        <v>1961</v>
      </c>
      <c r="D3363" s="82" t="str">
        <f ca="1">OFFSET(Roster!$A$3,MATCH(表格1[[#This Row],[Location]]&amp;" "&amp;表格1[[#This Row],[Shop]]&amp;"*",Roster!$A$4:$A$72,0),DAY(表格1[[#This Row],[date]]),1,1)</f>
        <v>Terence_2</v>
      </c>
      <c r="E3363" s="86">
        <f>MONTH(表格1[[#This Row],[date]])</f>
        <v>3</v>
      </c>
      <c r="F3363" s="90">
        <v>46109</v>
      </c>
      <c r="G3363" s="86" t="str">
        <f>VLOOKUP("*"&amp;表格1[[#This Row],[Input]]&amp;"*",'Ref-List'!$B:$D,2,)</f>
        <v>RC-10AMXH(W)</v>
      </c>
      <c r="H3363" s="86" t="str">
        <f>_xlfn.XLOOKUP(表格1[[#This Row],[Model]],表格3[Model-Input-Ref2],表格3[Product Line])</f>
        <v>酵活炊電飯煲(1.0公升)</v>
      </c>
      <c r="I3363" s="86" t="str">
        <f>_xlfn.XLOOKUP(表格1[[#This Row],[Model]],表格3[Model-Input-Ref2],表格3[大小電])</f>
        <v>細電</v>
      </c>
      <c r="J3363" s="86" t="str">
        <f>_xlfn.XLOOKUP(表格1[[#This Row],[Model]],表格3[Model-Input-Ref2],表格3[Code])</f>
        <v>SDA</v>
      </c>
      <c r="K3363" s="89" t="s">
        <v>1279</v>
      </c>
      <c r="L3363" s="86">
        <v>1</v>
      </c>
      <c r="M3363" s="87">
        <v>990</v>
      </c>
      <c r="N3363" s="87">
        <f>IFERROR(表格1[[#This Row],[QTY]]*表格1[[#This Row],[Unit Price]],"-")</f>
        <v>990</v>
      </c>
      <c r="O3363" s="86">
        <v>2300328</v>
      </c>
      <c r="R3363" s="86" t="str">
        <f>_xlfn.CONCAT(表格1[[#This Row],[Model]]," ",表格1[[#This Row],[inv no]])</f>
        <v>RC-10AMXH(W) 2300328</v>
      </c>
      <c r="S3363" s="86">
        <f>_xlfn.XLOOKUP(表格1[[#This Row],[Model]],表格3[Model-Input-Ref2],表格3[SRP PRICE])</f>
        <v>1288</v>
      </c>
      <c r="T3363" s="43">
        <f>表格1[[#This Row],[Unit Price]]/表格1[[#This Row],[SRP]]</f>
        <v>0.76863354037267084</v>
      </c>
      <c r="U3363" s="86" t="str">
        <f>_xlfn.XLOOKUP(表格1[[#This Row],[Model]],表格3[Model-Input-Ref2],表格3[TOSHIBA/HIGHEST])</f>
        <v>Toshiba SRP</v>
      </c>
      <c r="W3363" s="86" t="str">
        <f>_xlfn.CONCAT(表格1[[#This Row],[欄4]],表格1[[#This Row],[inv no]])</f>
        <v>2300328</v>
      </c>
    </row>
    <row r="3364" spans="1:23" hidden="1">
      <c r="A3364" s="81">
        <v>3362</v>
      </c>
      <c r="B3364" s="86" t="s">
        <v>1477</v>
      </c>
      <c r="C3364" s="86" t="s">
        <v>1961</v>
      </c>
      <c r="D3364" s="82" t="str">
        <f ca="1">OFFSET(Roster!$A$3,MATCH(表格1[[#This Row],[Location]]&amp;" "&amp;表格1[[#This Row],[Shop]]&amp;"*",Roster!$A$4:$A$72,0),DAY(表格1[[#This Row],[date]]),1,1)</f>
        <v>Terence_2</v>
      </c>
      <c r="E3364" s="86">
        <f>MONTH(表格1[[#This Row],[date]])</f>
        <v>3</v>
      </c>
      <c r="F3364" s="90">
        <v>46109</v>
      </c>
      <c r="G3364" s="86" t="str">
        <f>VLOOKUP("*"&amp;表格1[[#This Row],[Input]]&amp;"*",'Ref-List'!$B:$D,2,)</f>
        <v>GR-RT234WE-PMA(57)</v>
      </c>
      <c r="H3364" s="86" t="str">
        <f>_xlfn.XLOOKUP(表格1[[#This Row],[Model]],表格3[Model-Input-Ref2],表格3[Product Line])</f>
        <v>變頻式環保雙門雪櫃（179L）</v>
      </c>
      <c r="I3364" s="86" t="str">
        <f>_xlfn.XLOOKUP(表格1[[#This Row],[Model]],表格3[Model-Input-Ref2],表格3[大小電])</f>
        <v>大電</v>
      </c>
      <c r="J3364" s="86" t="str">
        <f>_xlfn.XLOOKUP(表格1[[#This Row],[Model]],表格3[Model-Input-Ref2],表格3[Code])</f>
        <v>REF</v>
      </c>
      <c r="K3364" s="89" t="s">
        <v>1423</v>
      </c>
      <c r="L3364" s="86">
        <v>1</v>
      </c>
      <c r="M3364" s="87">
        <v>1980</v>
      </c>
      <c r="N3364" s="87">
        <f>IFERROR(表格1[[#This Row],[QTY]]*表格1[[#This Row],[Unit Price]],"-")</f>
        <v>1980</v>
      </c>
      <c r="O3364" s="86">
        <v>2300292</v>
      </c>
      <c r="R3364" s="86" t="str">
        <f>_xlfn.CONCAT(表格1[[#This Row],[Model]]," ",表格1[[#This Row],[inv no]])</f>
        <v>GR-RT234WE-PMA(57) 2300292</v>
      </c>
      <c r="S3364" s="86">
        <f>_xlfn.XLOOKUP(表格1[[#This Row],[Model]],表格3[Model-Input-Ref2],表格3[SRP PRICE])</f>
        <v>3680</v>
      </c>
      <c r="T3364" s="43">
        <f>表格1[[#This Row],[Unit Price]]/表格1[[#This Row],[SRP]]</f>
        <v>0.53804347826086951</v>
      </c>
      <c r="U3364" s="86" t="str">
        <f>_xlfn.XLOOKUP(表格1[[#This Row],[Model]],表格3[Model-Input-Ref2],表格3[TOSHIBA/HIGHEST])</f>
        <v>Toshiba SRP</v>
      </c>
      <c r="W3364" s="86" t="str">
        <f>_xlfn.CONCAT(表格1[[#This Row],[欄4]],表格1[[#This Row],[inv no]])</f>
        <v>2300292</v>
      </c>
    </row>
    <row r="3365" spans="1:23" hidden="1">
      <c r="A3365" s="81">
        <v>3363</v>
      </c>
      <c r="B3365" s="86" t="s">
        <v>1477</v>
      </c>
      <c r="C3365" s="86" t="s">
        <v>1961</v>
      </c>
      <c r="D3365" s="82" t="str">
        <f ca="1">OFFSET(Roster!$A$3,MATCH(表格1[[#This Row],[Location]]&amp;" "&amp;表格1[[#This Row],[Shop]]&amp;"*",Roster!$A$4:$A$72,0),DAY(表格1[[#This Row],[date]]),1,1)</f>
        <v>Terence_2</v>
      </c>
      <c r="E3365" s="86">
        <f>MONTH(表格1[[#This Row],[date]])</f>
        <v>3</v>
      </c>
      <c r="F3365" s="90">
        <v>46109</v>
      </c>
      <c r="G3365" s="86" t="str">
        <f>VLOOKUP("*"&amp;表格1[[#This Row],[Input]]&amp;"*",'Ref-List'!$B:$D,2,)</f>
        <v>MWP-MM20P(WH)</v>
      </c>
      <c r="H3365" s="86" t="str">
        <f>_xlfn.XLOOKUP(表格1[[#This Row],[Model]],表格3[Model-Input-Ref2],表格3[Product Line])</f>
        <v>旋鈕式燒烤微波爐20L</v>
      </c>
      <c r="I3365" s="86" t="str">
        <f>_xlfn.XLOOKUP(表格1[[#This Row],[Model]],表格3[Model-Input-Ref2],表格3[大小電])</f>
        <v>細電</v>
      </c>
      <c r="J3365" s="86" t="str">
        <f>_xlfn.XLOOKUP(表格1[[#This Row],[Model]],表格3[Model-Input-Ref2],表格3[Code])</f>
        <v>SDA</v>
      </c>
      <c r="K3365" s="89" t="s">
        <v>1270</v>
      </c>
      <c r="L3365" s="86">
        <v>1</v>
      </c>
      <c r="M3365" s="87">
        <v>488</v>
      </c>
      <c r="N3365" s="87">
        <f>IFERROR(表格1[[#This Row],[QTY]]*表格1[[#This Row],[Unit Price]],"-")</f>
        <v>488</v>
      </c>
      <c r="O3365" s="86">
        <v>2300320</v>
      </c>
      <c r="R3365" s="86" t="str">
        <f>_xlfn.CONCAT(表格1[[#This Row],[Model]]," ",表格1[[#This Row],[inv no]])</f>
        <v>MWP-MM20P(WH) 2300320</v>
      </c>
      <c r="S3365" s="86">
        <f>_xlfn.XLOOKUP(表格1[[#This Row],[Model]],表格3[Model-Input-Ref2],表格3[SRP PRICE])</f>
        <v>648</v>
      </c>
      <c r="T3365" s="43">
        <f>表格1[[#This Row],[Unit Price]]/表格1[[#This Row],[SRP]]</f>
        <v>0.75308641975308643</v>
      </c>
      <c r="U3365" s="86" t="str">
        <f>_xlfn.XLOOKUP(表格1[[#This Row],[Model]],表格3[Model-Input-Ref2],表格3[TOSHIBA/HIGHEST])</f>
        <v>Toshiba SRP</v>
      </c>
      <c r="W3365" s="86" t="str">
        <f>_xlfn.CONCAT(表格1[[#This Row],[欄4]],表格1[[#This Row],[inv no]])</f>
        <v>2300320</v>
      </c>
    </row>
    <row r="3366" spans="1:23" hidden="1">
      <c r="A3366" s="81">
        <v>3364</v>
      </c>
      <c r="B3366" s="86" t="s">
        <v>1477</v>
      </c>
      <c r="C3366" s="86" t="s">
        <v>1961</v>
      </c>
      <c r="D3366" s="82" t="str">
        <f ca="1">OFFSET(Roster!$A$3,MATCH(表格1[[#This Row],[Location]]&amp;" "&amp;表格1[[#This Row],[Shop]]&amp;"*",Roster!$A$4:$A$72,0),DAY(表格1[[#This Row],[date]]),1,1)</f>
        <v>Terence_2</v>
      </c>
      <c r="E3366" s="86">
        <f>MONTH(表格1[[#This Row],[date]])</f>
        <v>3</v>
      </c>
      <c r="F3366" s="90">
        <v>46109</v>
      </c>
      <c r="G3366" s="86" t="str">
        <f>VLOOKUP("*"&amp;表格1[[#This Row],[Input]]&amp;"*",'Ref-List'!$B:$D,2,)</f>
        <v>F-ALB60HK(B)</v>
      </c>
      <c r="H3366" s="86" t="str">
        <f>_xlfn.XLOOKUP(表格1[[#This Row],[Model]],表格3[Model-Input-Ref2],表格3[Product Line])</f>
        <v>12吋座地座檯電風扇</v>
      </c>
      <c r="I3366" s="86" t="str">
        <f>_xlfn.XLOOKUP(表格1[[#This Row],[Model]],表格3[Model-Input-Ref2],表格3[大小電])</f>
        <v>細電</v>
      </c>
      <c r="J3366" s="86" t="str">
        <f>_xlfn.XLOOKUP(表格1[[#This Row],[Model]],表格3[Model-Input-Ref2],表格3[Code])</f>
        <v>SDA</v>
      </c>
      <c r="K3366" s="89" t="s">
        <v>1490</v>
      </c>
      <c r="L3366" s="86">
        <v>1</v>
      </c>
      <c r="M3366" s="87">
        <v>499</v>
      </c>
      <c r="N3366" s="87">
        <f>IFERROR(表格1[[#This Row],[QTY]]*表格1[[#This Row],[Unit Price]],"-")</f>
        <v>499</v>
      </c>
      <c r="O3366" s="86">
        <v>2300148</v>
      </c>
      <c r="R3366" s="86" t="str">
        <f>_xlfn.CONCAT(表格1[[#This Row],[Model]]," ",表格1[[#This Row],[inv no]])</f>
        <v>F-ALB60HK(B) 2300148</v>
      </c>
      <c r="S3366" s="86">
        <f>_xlfn.XLOOKUP(表格1[[#This Row],[Model]],表格3[Model-Input-Ref2],表格3[SRP PRICE])</f>
        <v>839</v>
      </c>
      <c r="T3366" s="43">
        <f>表格1[[#This Row],[Unit Price]]/表格1[[#This Row],[SRP]]</f>
        <v>0.59475566150178782</v>
      </c>
      <c r="U3366" s="86" t="str">
        <f>_xlfn.XLOOKUP(表格1[[#This Row],[Model]],表格3[Model-Input-Ref2],表格3[TOSHIBA/HIGHEST])</f>
        <v>Shops Highest Price</v>
      </c>
      <c r="W3366" s="86" t="str">
        <f>_xlfn.CONCAT(表格1[[#This Row],[欄4]],表格1[[#This Row],[inv no]])</f>
        <v>2300148</v>
      </c>
    </row>
    <row r="3367" spans="1:23" hidden="1">
      <c r="A3367" s="81">
        <v>3365</v>
      </c>
      <c r="B3367" s="86" t="s">
        <v>1477</v>
      </c>
      <c r="C3367" s="86" t="s">
        <v>1961</v>
      </c>
      <c r="D3367" s="82" t="str">
        <f ca="1">OFFSET(Roster!$A$3,MATCH(表格1[[#This Row],[Location]]&amp;" "&amp;表格1[[#This Row],[Shop]]&amp;"*",Roster!$A$4:$A$72,0),DAY(表格1[[#This Row],[date]]),1,1)</f>
        <v>Terence_2</v>
      </c>
      <c r="E3367" s="86">
        <f>MONTH(表格1[[#This Row],[date]])</f>
        <v>3</v>
      </c>
      <c r="F3367" s="90">
        <v>46110</v>
      </c>
      <c r="G3367" s="86" t="str">
        <f>VLOOKUP("*"&amp;表格1[[#This Row],[Input]]&amp;"*",'Ref-List'!$B:$D,2,)</f>
        <v>GR-RM598WE-PGA(B3)</v>
      </c>
      <c r="H3367" s="86" t="str">
        <f>_xlfn.XLOOKUP(表格1[[#This Row],[Model]],表格3[Model-Input-Ref2],表格3[Product Line])</f>
        <v>變頻六門雪櫃(451L)</v>
      </c>
      <c r="I3367" s="86" t="str">
        <f>_xlfn.XLOOKUP(表格1[[#This Row],[Model]],表格3[Model-Input-Ref2],表格3[大小電])</f>
        <v>大電</v>
      </c>
      <c r="J3367" s="86" t="str">
        <f>_xlfn.XLOOKUP(表格1[[#This Row],[Model]],表格3[Model-Input-Ref2],表格3[Code])</f>
        <v>REF</v>
      </c>
      <c r="K3367" s="89" t="s">
        <v>1491</v>
      </c>
      <c r="L3367" s="86">
        <v>1</v>
      </c>
      <c r="M3367" s="87">
        <v>10590</v>
      </c>
      <c r="N3367" s="87">
        <f>IFERROR(表格1[[#This Row],[QTY]]*表格1[[#This Row],[Unit Price]],"-")</f>
        <v>10590</v>
      </c>
      <c r="O3367" s="86">
        <v>2300576</v>
      </c>
      <c r="R3367" s="86" t="str">
        <f>_xlfn.CONCAT(表格1[[#This Row],[Model]]," ",表格1[[#This Row],[inv no]])</f>
        <v>GR-RM598WE-PGA(B3) 2300576</v>
      </c>
      <c r="S3367" s="86">
        <f>_xlfn.XLOOKUP(表格1[[#This Row],[Model]],表格3[Model-Input-Ref2],表格3[SRP PRICE])</f>
        <v>14980</v>
      </c>
      <c r="T3367" s="43">
        <f>表格1[[#This Row],[Unit Price]]/表格1[[#This Row],[SRP]]</f>
        <v>0.70694259012016025</v>
      </c>
      <c r="U3367" s="86" t="str">
        <f>_xlfn.XLOOKUP(表格1[[#This Row],[Model]],表格3[Model-Input-Ref2],表格3[TOSHIBA/HIGHEST])</f>
        <v>Toshiba SRP</v>
      </c>
      <c r="W3367" s="86" t="str">
        <f>_xlfn.CONCAT(表格1[[#This Row],[欄4]],表格1[[#This Row],[inv no]])</f>
        <v>2300576</v>
      </c>
    </row>
    <row r="3368" spans="1:23" hidden="1">
      <c r="A3368" s="81">
        <v>3366</v>
      </c>
      <c r="B3368" s="86" t="s">
        <v>1477</v>
      </c>
      <c r="C3368" s="86" t="s">
        <v>1961</v>
      </c>
      <c r="D3368" s="82" t="str">
        <f ca="1">OFFSET(Roster!$A$3,MATCH(表格1[[#This Row],[Location]]&amp;" "&amp;表格1[[#This Row],[Shop]]&amp;"*",Roster!$A$4:$A$72,0),DAY(表格1[[#This Row],[date]]),1,1)</f>
        <v>Terence_2</v>
      </c>
      <c r="E3368" s="86">
        <f>MONTH(表格1[[#This Row],[date]])</f>
        <v>3</v>
      </c>
      <c r="F3368" s="90">
        <v>46110</v>
      </c>
      <c r="G3368" s="86" t="str">
        <f>VLOOKUP("*"&amp;表格1[[#This Row],[Input]]&amp;"*",'Ref-List'!$B:$D,2,)</f>
        <v>GR-RM598WE-PGA(B3)</v>
      </c>
      <c r="H3368" s="86" t="str">
        <f>_xlfn.XLOOKUP(表格1[[#This Row],[Model]],表格3[Model-Input-Ref2],表格3[Product Line])</f>
        <v>變頻六門雪櫃(451L)</v>
      </c>
      <c r="I3368" s="86" t="str">
        <f>_xlfn.XLOOKUP(表格1[[#This Row],[Model]],表格3[Model-Input-Ref2],表格3[大小電])</f>
        <v>大電</v>
      </c>
      <c r="J3368" s="86" t="str">
        <f>_xlfn.XLOOKUP(表格1[[#This Row],[Model]],表格3[Model-Input-Ref2],表格3[Code])</f>
        <v>REF</v>
      </c>
      <c r="K3368" s="89" t="s">
        <v>1491</v>
      </c>
      <c r="L3368" s="86">
        <v>1</v>
      </c>
      <c r="M3368" s="87">
        <v>10590</v>
      </c>
      <c r="N3368" s="87">
        <f>IFERROR(表格1[[#This Row],[QTY]]*表格1[[#This Row],[Unit Price]],"-")</f>
        <v>10590</v>
      </c>
      <c r="O3368" s="86">
        <v>2300516</v>
      </c>
      <c r="R3368" s="86" t="str">
        <f>_xlfn.CONCAT(表格1[[#This Row],[Model]]," ",表格1[[#This Row],[inv no]])</f>
        <v>GR-RM598WE-PGA(B3) 2300516</v>
      </c>
      <c r="S3368" s="86">
        <f>_xlfn.XLOOKUP(表格1[[#This Row],[Model]],表格3[Model-Input-Ref2],表格3[SRP PRICE])</f>
        <v>14980</v>
      </c>
      <c r="T3368" s="43">
        <f>表格1[[#This Row],[Unit Price]]/表格1[[#This Row],[SRP]]</f>
        <v>0.70694259012016025</v>
      </c>
      <c r="U3368" s="86" t="str">
        <f>_xlfn.XLOOKUP(表格1[[#This Row],[Model]],表格3[Model-Input-Ref2],表格3[TOSHIBA/HIGHEST])</f>
        <v>Toshiba SRP</v>
      </c>
      <c r="W3368" s="86" t="str">
        <f>_xlfn.CONCAT(表格1[[#This Row],[欄4]],表格1[[#This Row],[inv no]])</f>
        <v>2300516</v>
      </c>
    </row>
    <row r="3369" spans="1:23" hidden="1">
      <c r="A3369" s="81">
        <v>3367</v>
      </c>
      <c r="B3369" s="86" t="s">
        <v>1477</v>
      </c>
      <c r="C3369" s="86" t="s">
        <v>1961</v>
      </c>
      <c r="D3369" s="82" t="str">
        <f ca="1">OFFSET(Roster!$A$3,MATCH(表格1[[#This Row],[Location]]&amp;" "&amp;表格1[[#This Row],[Shop]]&amp;"*",Roster!$A$4:$A$72,0),DAY(表格1[[#This Row],[date]]),1,1)</f>
        <v>Terence_2</v>
      </c>
      <c r="E3369" s="86">
        <f>MONTH(表格1[[#This Row],[date]])</f>
        <v>3</v>
      </c>
      <c r="F3369" s="90">
        <v>46110</v>
      </c>
      <c r="G3369" s="86" t="str">
        <f>VLOOKUP("*"&amp;表格1[[#This Row],[Input]]&amp;"*",'Ref-List'!$B:$D,2,)</f>
        <v>GR-RM598WE-PGA(B3)</v>
      </c>
      <c r="H3369" s="86" t="str">
        <f>_xlfn.XLOOKUP(表格1[[#This Row],[Model]],表格3[Model-Input-Ref2],表格3[Product Line])</f>
        <v>變頻六門雪櫃(451L)</v>
      </c>
      <c r="I3369" s="86" t="str">
        <f>_xlfn.XLOOKUP(表格1[[#This Row],[Model]],表格3[Model-Input-Ref2],表格3[大小電])</f>
        <v>大電</v>
      </c>
      <c r="J3369" s="86" t="str">
        <f>_xlfn.XLOOKUP(表格1[[#This Row],[Model]],表格3[Model-Input-Ref2],表格3[Code])</f>
        <v>REF</v>
      </c>
      <c r="K3369" s="89" t="s">
        <v>1491</v>
      </c>
      <c r="L3369" s="86">
        <v>1</v>
      </c>
      <c r="M3369" s="87">
        <v>10590</v>
      </c>
      <c r="N3369" s="87">
        <f>IFERROR(表格1[[#This Row],[QTY]]*表格1[[#This Row],[Unit Price]],"-")</f>
        <v>10590</v>
      </c>
      <c r="O3369" s="86">
        <v>2300505</v>
      </c>
      <c r="R3369" s="86" t="str">
        <f>_xlfn.CONCAT(表格1[[#This Row],[Model]]," ",表格1[[#This Row],[inv no]])</f>
        <v>GR-RM598WE-PGA(B3) 2300505</v>
      </c>
      <c r="S3369" s="86">
        <f>_xlfn.XLOOKUP(表格1[[#This Row],[Model]],表格3[Model-Input-Ref2],表格3[SRP PRICE])</f>
        <v>14980</v>
      </c>
      <c r="T3369" s="43">
        <f>表格1[[#This Row],[Unit Price]]/表格1[[#This Row],[SRP]]</f>
        <v>0.70694259012016025</v>
      </c>
      <c r="U3369" s="86" t="str">
        <f>_xlfn.XLOOKUP(表格1[[#This Row],[Model]],表格3[Model-Input-Ref2],表格3[TOSHIBA/HIGHEST])</f>
        <v>Toshiba SRP</v>
      </c>
      <c r="W3369" s="86" t="str">
        <f>_xlfn.CONCAT(表格1[[#This Row],[欄4]],表格1[[#This Row],[inv no]])</f>
        <v>2300505</v>
      </c>
    </row>
    <row r="3370" spans="1:23" hidden="1">
      <c r="A3370" s="81">
        <v>3368</v>
      </c>
      <c r="B3370" s="86" t="s">
        <v>1477</v>
      </c>
      <c r="C3370" s="86" t="s">
        <v>1961</v>
      </c>
      <c r="D3370" s="82" t="str">
        <f ca="1">OFFSET(Roster!$A$3,MATCH(表格1[[#This Row],[Location]]&amp;" "&amp;表格1[[#This Row],[Shop]]&amp;"*",Roster!$A$4:$A$72,0),DAY(表格1[[#This Row],[date]]),1,1)</f>
        <v>Terence_2</v>
      </c>
      <c r="E3370" s="86">
        <f>MONTH(表格1[[#This Row],[date]])</f>
        <v>3</v>
      </c>
      <c r="F3370" s="90">
        <v>46110</v>
      </c>
      <c r="G3370" s="86" t="str">
        <f>VLOOKUP("*"&amp;表格1[[#This Row],[Input]]&amp;"*",'Ref-List'!$B:$D,2,)</f>
        <v>GR-RM612WE-PGA(B5)</v>
      </c>
      <c r="H3370" s="86" t="str">
        <f>_xlfn.XLOOKUP(表格1[[#This Row],[Model]],表格3[Model-Input-Ref2],表格3[Product Line])</f>
        <v>變頻五門雪櫃(375L)</v>
      </c>
      <c r="I3370" s="86" t="str">
        <f>_xlfn.XLOOKUP(表格1[[#This Row],[Model]],表格3[Model-Input-Ref2],表格3[大小電])</f>
        <v>大電</v>
      </c>
      <c r="J3370" s="86" t="str">
        <f>_xlfn.XLOOKUP(表格1[[#This Row],[Model]],表格3[Model-Input-Ref2],表格3[Code])</f>
        <v>REF</v>
      </c>
      <c r="K3370" s="89" t="s">
        <v>1257</v>
      </c>
      <c r="L3370" s="86">
        <v>1</v>
      </c>
      <c r="M3370" s="87">
        <v>9980</v>
      </c>
      <c r="N3370" s="87">
        <f>IFERROR(表格1[[#This Row],[QTY]]*表格1[[#This Row],[Unit Price]],"-")</f>
        <v>9980</v>
      </c>
      <c r="O3370" s="86">
        <v>2300381</v>
      </c>
      <c r="R3370" s="86" t="str">
        <f>_xlfn.CONCAT(表格1[[#This Row],[Model]]," ",表格1[[#This Row],[inv no]])</f>
        <v>GR-RM612WE-PGA(B5) 2300381</v>
      </c>
      <c r="S3370" s="86">
        <f>_xlfn.XLOOKUP(表格1[[#This Row],[Model]],表格3[Model-Input-Ref2],表格3[SRP PRICE])</f>
        <v>11000</v>
      </c>
      <c r="T3370" s="43">
        <f>表格1[[#This Row],[Unit Price]]/表格1[[#This Row],[SRP]]</f>
        <v>0.90727272727272723</v>
      </c>
      <c r="U3370" s="86" t="str">
        <f>_xlfn.XLOOKUP(表格1[[#This Row],[Model]],表格3[Model-Input-Ref2],表格3[TOSHIBA/HIGHEST])</f>
        <v>Shops Highest Price</v>
      </c>
      <c r="W3370" s="86" t="str">
        <f>_xlfn.CONCAT(表格1[[#This Row],[欄4]],表格1[[#This Row],[inv no]])</f>
        <v>2300381</v>
      </c>
    </row>
    <row r="3371" spans="1:23" hidden="1">
      <c r="A3371" s="81">
        <v>3369</v>
      </c>
      <c r="B3371" s="86" t="s">
        <v>1477</v>
      </c>
      <c r="C3371" s="86" t="s">
        <v>1961</v>
      </c>
      <c r="D3371" s="82" t="str">
        <f ca="1">OFFSET(Roster!$A$3,MATCH(表格1[[#This Row],[Location]]&amp;" "&amp;表格1[[#This Row],[Shop]]&amp;"*",Roster!$A$4:$A$72,0),DAY(表格1[[#This Row],[date]]),1,1)</f>
        <v>Terence_2</v>
      </c>
      <c r="E3371" s="86">
        <f>MONTH(表格1[[#This Row],[date]])</f>
        <v>3</v>
      </c>
      <c r="F3371" s="90">
        <v>46110</v>
      </c>
      <c r="G3371" s="86" t="str">
        <f>VLOOKUP("*"&amp;表格1[[#This Row],[Input]]&amp;"*",'Ref-List'!$B:$D,2,)</f>
        <v>GR-RB360WE-PMA(06)</v>
      </c>
      <c r="H3371" s="86" t="str">
        <f>_xlfn.XLOOKUP(表格1[[#This Row],[Model]],表格3[Model-Input-Ref2],表格3[Product Line])</f>
        <v>變頻下置式雙門雪櫃系列270L</v>
      </c>
      <c r="I3371" s="86" t="str">
        <f>_xlfn.XLOOKUP(表格1[[#This Row],[Model]],表格3[Model-Input-Ref2],表格3[大小電])</f>
        <v>大電</v>
      </c>
      <c r="J3371" s="86" t="str">
        <f>_xlfn.XLOOKUP(表格1[[#This Row],[Model]],表格3[Model-Input-Ref2],表格3[Code])</f>
        <v>REF</v>
      </c>
      <c r="K3371" s="89" t="s">
        <v>1282</v>
      </c>
      <c r="L3371" s="86">
        <v>1</v>
      </c>
      <c r="M3371" s="87">
        <v>3680</v>
      </c>
      <c r="N3371" s="87">
        <f>IFERROR(表格1[[#This Row],[QTY]]*表格1[[#This Row],[Unit Price]],"-")</f>
        <v>3680</v>
      </c>
      <c r="O3371" s="86">
        <v>2300580</v>
      </c>
      <c r="R3371" s="86" t="str">
        <f>_xlfn.CONCAT(表格1[[#This Row],[Model]]," ",表格1[[#This Row],[inv no]])</f>
        <v>GR-RB360WE-PMA(06) 2300580</v>
      </c>
      <c r="S3371" s="86">
        <f>_xlfn.XLOOKUP(表格1[[#This Row],[Model]],表格3[Model-Input-Ref2],表格3[SRP PRICE])</f>
        <v>5080</v>
      </c>
      <c r="T3371" s="43">
        <f>表格1[[#This Row],[Unit Price]]/表格1[[#This Row],[SRP]]</f>
        <v>0.72440944881889768</v>
      </c>
      <c r="U3371" s="86" t="str">
        <f>_xlfn.XLOOKUP(表格1[[#This Row],[Model]],表格3[Model-Input-Ref2],表格3[TOSHIBA/HIGHEST])</f>
        <v>Toshiba SRP</v>
      </c>
      <c r="W3371" s="86" t="str">
        <f>_xlfn.CONCAT(表格1[[#This Row],[欄4]],表格1[[#This Row],[inv no]])</f>
        <v>2300580</v>
      </c>
    </row>
    <row r="3372" spans="1:23" hidden="1">
      <c r="A3372" s="81">
        <v>3370</v>
      </c>
      <c r="B3372" s="86" t="s">
        <v>1477</v>
      </c>
      <c r="C3372" s="86" t="s">
        <v>1961</v>
      </c>
      <c r="D3372" s="82" t="str">
        <f ca="1">OFFSET(Roster!$A$3,MATCH(表格1[[#This Row],[Location]]&amp;" "&amp;表格1[[#This Row],[Shop]]&amp;"*",Roster!$A$4:$A$72,0),DAY(表格1[[#This Row],[date]]),1,1)</f>
        <v>Terence_2</v>
      </c>
      <c r="E3372" s="86">
        <f>MONTH(表格1[[#This Row],[date]])</f>
        <v>3</v>
      </c>
      <c r="F3372" s="90">
        <v>46110</v>
      </c>
      <c r="G3372" s="86" t="str">
        <f>VLOOKUP("*"&amp;表格1[[#This Row],[Input]]&amp;"*",'Ref-List'!$B:$D,2,)</f>
        <v>GR-RB449WE-PMA(57)</v>
      </c>
      <c r="H3372" s="86" t="str">
        <f>_xlfn.XLOOKUP(表格1[[#This Row],[Model]],表格3[Model-Input-Ref2],表格3[Product Line])</f>
        <v>變頻下置式雙門雪櫃</v>
      </c>
      <c r="I3372" s="86" t="str">
        <f>_xlfn.XLOOKUP(表格1[[#This Row],[Model]],表格3[Model-Input-Ref2],表格3[大小電])</f>
        <v>大電</v>
      </c>
      <c r="J3372" s="86" t="str">
        <f>_xlfn.XLOOKUP(表格1[[#This Row],[Model]],表格3[Model-Input-Ref2],表格3[Code])</f>
        <v>REF</v>
      </c>
      <c r="K3372" s="89" t="s">
        <v>1484</v>
      </c>
      <c r="L3372" s="86">
        <v>1</v>
      </c>
      <c r="M3372" s="87">
        <v>4880</v>
      </c>
      <c r="N3372" s="87">
        <f>IFERROR(表格1[[#This Row],[QTY]]*表格1[[#This Row],[Unit Price]],"-")</f>
        <v>4880</v>
      </c>
      <c r="O3372" s="86">
        <v>2300421</v>
      </c>
      <c r="R3372" s="86" t="str">
        <f>_xlfn.CONCAT(表格1[[#This Row],[Model]]," ",表格1[[#This Row],[inv no]])</f>
        <v>GR-RB449WE-PMA(57) 2300421</v>
      </c>
      <c r="S3372" s="86">
        <f>_xlfn.XLOOKUP(表格1[[#This Row],[Model]],表格3[Model-Input-Ref2],表格3[SRP PRICE])</f>
        <v>6280</v>
      </c>
      <c r="T3372" s="43">
        <f>表格1[[#This Row],[Unit Price]]/表格1[[#This Row],[SRP]]</f>
        <v>0.77707006369426757</v>
      </c>
      <c r="U3372" s="86" t="str">
        <f>_xlfn.XLOOKUP(表格1[[#This Row],[Model]],表格3[Model-Input-Ref2],表格3[TOSHIBA/HIGHEST])</f>
        <v>Toshiba SRP</v>
      </c>
      <c r="W3372" s="86" t="str">
        <f>_xlfn.CONCAT(表格1[[#This Row],[欄4]],表格1[[#This Row],[inv no]])</f>
        <v>2300421</v>
      </c>
    </row>
    <row r="3373" spans="1:23" hidden="1">
      <c r="A3373" s="81">
        <v>3371</v>
      </c>
      <c r="B3373" s="86" t="s">
        <v>1477</v>
      </c>
      <c r="C3373" s="86" t="s">
        <v>1961</v>
      </c>
      <c r="D3373" s="82" t="str">
        <f ca="1">OFFSET(Roster!$A$3,MATCH(表格1[[#This Row],[Location]]&amp;" "&amp;表格1[[#This Row],[Shop]]&amp;"*",Roster!$A$4:$A$72,0),DAY(表格1[[#This Row],[date]]),1,1)</f>
        <v>Terence_2</v>
      </c>
      <c r="E3373" s="86">
        <f>MONTH(表格1[[#This Row],[date]])</f>
        <v>3</v>
      </c>
      <c r="F3373" s="90">
        <v>46110</v>
      </c>
      <c r="G3373" s="86" t="str">
        <f>VLOOKUP("*"&amp;表格1[[#This Row],[Input]]&amp;"*",'Ref-List'!$B:$D,2,)</f>
        <v>GR-RB449WE-PMA(57)</v>
      </c>
      <c r="H3373" s="86" t="str">
        <f>_xlfn.XLOOKUP(表格1[[#This Row],[Model]],表格3[Model-Input-Ref2],表格3[Product Line])</f>
        <v>變頻下置式雙門雪櫃</v>
      </c>
      <c r="I3373" s="86" t="str">
        <f>_xlfn.XLOOKUP(表格1[[#This Row],[Model]],表格3[Model-Input-Ref2],表格3[大小電])</f>
        <v>大電</v>
      </c>
      <c r="J3373" s="86" t="str">
        <f>_xlfn.XLOOKUP(表格1[[#This Row],[Model]],表格3[Model-Input-Ref2],表格3[Code])</f>
        <v>REF</v>
      </c>
      <c r="K3373" s="89" t="s">
        <v>1484</v>
      </c>
      <c r="L3373" s="86">
        <v>1</v>
      </c>
      <c r="M3373" s="87">
        <v>4880</v>
      </c>
      <c r="N3373" s="87">
        <f>IFERROR(表格1[[#This Row],[QTY]]*表格1[[#This Row],[Unit Price]],"-")</f>
        <v>4880</v>
      </c>
      <c r="O3373" s="86">
        <v>2300510</v>
      </c>
      <c r="R3373" s="86" t="str">
        <f>_xlfn.CONCAT(表格1[[#This Row],[Model]]," ",表格1[[#This Row],[inv no]])</f>
        <v>GR-RB449WE-PMA(57) 2300510</v>
      </c>
      <c r="S3373" s="86">
        <f>_xlfn.XLOOKUP(表格1[[#This Row],[Model]],表格3[Model-Input-Ref2],表格3[SRP PRICE])</f>
        <v>6280</v>
      </c>
      <c r="T3373" s="43">
        <f>表格1[[#This Row],[Unit Price]]/表格1[[#This Row],[SRP]]</f>
        <v>0.77707006369426757</v>
      </c>
      <c r="U3373" s="86" t="str">
        <f>_xlfn.XLOOKUP(表格1[[#This Row],[Model]],表格3[Model-Input-Ref2],表格3[TOSHIBA/HIGHEST])</f>
        <v>Toshiba SRP</v>
      </c>
      <c r="W3373" s="86" t="str">
        <f>_xlfn.CONCAT(表格1[[#This Row],[欄4]],表格1[[#This Row],[inv no]])</f>
        <v>2300510</v>
      </c>
    </row>
    <row r="3374" spans="1:23" hidden="1">
      <c r="A3374" s="81">
        <v>3372</v>
      </c>
      <c r="B3374" s="86" t="s">
        <v>1477</v>
      </c>
      <c r="C3374" s="86" t="s">
        <v>1961</v>
      </c>
      <c r="D3374" s="82" t="str">
        <f ca="1">OFFSET(Roster!$A$3,MATCH(表格1[[#This Row],[Location]]&amp;" "&amp;表格1[[#This Row],[Shop]]&amp;"*",Roster!$A$4:$A$72,0),DAY(表格1[[#This Row],[date]]),1,1)</f>
        <v>Terence_2</v>
      </c>
      <c r="E3374" s="86">
        <f>MONTH(表格1[[#This Row],[date]])</f>
        <v>3</v>
      </c>
      <c r="F3374" s="90">
        <v>46110</v>
      </c>
      <c r="G3374" s="86" t="str">
        <f>VLOOKUP("*"&amp;表格1[[#This Row],[Input]]&amp;"*",'Ref-List'!$B:$D,2,)</f>
        <v>GR-RM469WE-PGA(B3)</v>
      </c>
      <c r="H3374" s="86" t="str">
        <f>_xlfn.XLOOKUP(表格1[[#This Row],[Model]],表格3[Model-Input-Ref2],表格3[Product Line])</f>
        <v>旗艦級變頻三門雪櫃 (300L)</v>
      </c>
      <c r="I3374" s="86" t="str">
        <f>_xlfn.XLOOKUP(表格1[[#This Row],[Model]],表格3[Model-Input-Ref2],表格3[大小電])</f>
        <v>大電</v>
      </c>
      <c r="J3374" s="86" t="str">
        <f>_xlfn.XLOOKUP(表格1[[#This Row],[Model]],表格3[Model-Input-Ref2],表格3[Code])</f>
        <v>REF</v>
      </c>
      <c r="K3374" s="89" t="s">
        <v>1460</v>
      </c>
      <c r="L3374" s="86">
        <v>1</v>
      </c>
      <c r="M3374" s="87">
        <v>6190</v>
      </c>
      <c r="N3374" s="87">
        <f>IFERROR(表格1[[#This Row],[QTY]]*表格1[[#This Row],[Unit Price]],"-")</f>
        <v>6190</v>
      </c>
      <c r="O3374" s="86">
        <v>2300393</v>
      </c>
      <c r="R3374" s="86" t="str">
        <f>_xlfn.CONCAT(表格1[[#This Row],[Model]]," ",表格1[[#This Row],[inv no]])</f>
        <v>GR-RM469WE-PGA(B3) 2300393</v>
      </c>
      <c r="S3374" s="86">
        <f>_xlfn.XLOOKUP(表格1[[#This Row],[Model]],表格3[Model-Input-Ref2],表格3[SRP PRICE])</f>
        <v>8990</v>
      </c>
      <c r="T3374" s="43">
        <f>表格1[[#This Row],[Unit Price]]/表格1[[#This Row],[SRP]]</f>
        <v>0.68854282536151279</v>
      </c>
      <c r="U3374" s="86" t="str">
        <f>_xlfn.XLOOKUP(表格1[[#This Row],[Model]],表格3[Model-Input-Ref2],表格3[TOSHIBA/HIGHEST])</f>
        <v>Toshiba SRP</v>
      </c>
      <c r="W3374" s="86" t="str">
        <f>_xlfn.CONCAT(表格1[[#This Row],[欄4]],表格1[[#This Row],[inv no]])</f>
        <v>2300393</v>
      </c>
    </row>
    <row r="3375" spans="1:23" hidden="1">
      <c r="A3375" s="81">
        <v>3373</v>
      </c>
      <c r="B3375" s="86" t="s">
        <v>1477</v>
      </c>
      <c r="C3375" s="86" t="s">
        <v>1961</v>
      </c>
      <c r="D3375" s="82" t="str">
        <f ca="1">OFFSET(Roster!$A$3,MATCH(表格1[[#This Row],[Location]]&amp;" "&amp;表格1[[#This Row],[Shop]]&amp;"*",Roster!$A$4:$A$72,0),DAY(表格1[[#This Row],[date]]),1,1)</f>
        <v>Terence_2</v>
      </c>
      <c r="E3375" s="86">
        <f>MONTH(表格1[[#This Row],[date]])</f>
        <v>3</v>
      </c>
      <c r="F3375" s="90">
        <v>46110</v>
      </c>
      <c r="G3375" s="86" t="str">
        <f>VLOOKUP("*"&amp;表格1[[#This Row],[Input]]&amp;"*",'Ref-List'!$B:$D,2,)</f>
        <v>GR-RT416WE-PMA(06)</v>
      </c>
      <c r="H3375" s="86" t="str">
        <f>_xlfn.XLOOKUP(表格1[[#This Row],[Model]],表格3[Model-Input-Ref2],表格3[Product Line])</f>
        <v xml:space="preserve">變頻上置式雙門雪櫃313L </v>
      </c>
      <c r="I3375" s="86" t="str">
        <f>_xlfn.XLOOKUP(表格1[[#This Row],[Model]],表格3[Model-Input-Ref2],表格3[大小電])</f>
        <v>大電</v>
      </c>
      <c r="J3375" s="86" t="str">
        <f>_xlfn.XLOOKUP(表格1[[#This Row],[Model]],表格3[Model-Input-Ref2],表格3[Code])</f>
        <v>REF</v>
      </c>
      <c r="K3375" s="89" t="s">
        <v>1208</v>
      </c>
      <c r="L3375" s="86">
        <v>1</v>
      </c>
      <c r="M3375" s="87">
        <v>3980</v>
      </c>
      <c r="N3375" s="87">
        <f>IFERROR(表格1[[#This Row],[QTY]]*表格1[[#This Row],[Unit Price]],"-")</f>
        <v>3980</v>
      </c>
      <c r="O3375" s="86">
        <v>2300485</v>
      </c>
      <c r="R3375" s="86" t="str">
        <f>_xlfn.CONCAT(表格1[[#This Row],[Model]]," ",表格1[[#This Row],[inv no]])</f>
        <v>GR-RT416WE-PMA(06) 2300485</v>
      </c>
      <c r="S3375" s="86">
        <f>_xlfn.XLOOKUP(表格1[[#This Row],[Model]],表格3[Model-Input-Ref2],表格3[SRP PRICE])</f>
        <v>5380</v>
      </c>
      <c r="T3375" s="43">
        <f>表格1[[#This Row],[Unit Price]]/表格1[[#This Row],[SRP]]</f>
        <v>0.7397769516728625</v>
      </c>
      <c r="U3375" s="86" t="str">
        <f>_xlfn.XLOOKUP(表格1[[#This Row],[Model]],表格3[Model-Input-Ref2],表格3[TOSHIBA/HIGHEST])</f>
        <v>Toshiba SRP</v>
      </c>
      <c r="W3375" s="86" t="str">
        <f>_xlfn.CONCAT(表格1[[#This Row],[欄4]],表格1[[#This Row],[inv no]])</f>
        <v>2300485</v>
      </c>
    </row>
    <row r="3376" spans="1:23" hidden="1">
      <c r="A3376" s="81">
        <v>3374</v>
      </c>
      <c r="B3376" s="86" t="s">
        <v>1477</v>
      </c>
      <c r="C3376" s="86" t="s">
        <v>1961</v>
      </c>
      <c r="D3376" s="82" t="str">
        <f ca="1">OFFSET(Roster!$A$3,MATCH(表格1[[#This Row],[Location]]&amp;" "&amp;表格1[[#This Row],[Shop]]&amp;"*",Roster!$A$4:$A$72,0),DAY(表格1[[#This Row],[date]]),1,1)</f>
        <v>Terence_2</v>
      </c>
      <c r="E3376" s="86">
        <f>MONTH(表格1[[#This Row],[date]])</f>
        <v>3</v>
      </c>
      <c r="F3376" s="90">
        <v>46110</v>
      </c>
      <c r="G3376" s="86" t="str">
        <f>VLOOKUP("*"&amp;表格1[[#This Row],[Input]]&amp;"*",'Ref-List'!$B:$D,2,)</f>
        <v>MS5-STR30SC(BK)</v>
      </c>
      <c r="H3376" s="86" t="str">
        <f>_xlfn.XLOOKUP(表格1[[#This Row],[Model]],表格3[Model-Input-Ref2],表格3[Product Line])</f>
        <v>30公升蒸氣焗爐</v>
      </c>
      <c r="I3376" s="86" t="str">
        <f>_xlfn.XLOOKUP(表格1[[#This Row],[Model]],表格3[Model-Input-Ref2],表格3[大小電])</f>
        <v>細電</v>
      </c>
      <c r="J3376" s="86" t="str">
        <f>_xlfn.XLOOKUP(表格1[[#This Row],[Model]],表格3[Model-Input-Ref2],表格3[Code])</f>
        <v>MCA</v>
      </c>
      <c r="K3376" s="89" t="s">
        <v>1379</v>
      </c>
      <c r="L3376" s="86">
        <v>1</v>
      </c>
      <c r="M3376" s="87">
        <v>3980</v>
      </c>
      <c r="N3376" s="87">
        <f>IFERROR(表格1[[#This Row],[QTY]]*表格1[[#This Row],[Unit Price]],"-")</f>
        <v>3980</v>
      </c>
      <c r="O3376" s="86">
        <v>2300531</v>
      </c>
      <c r="R3376" s="86" t="str">
        <f>_xlfn.CONCAT(表格1[[#This Row],[Model]]," ",表格1[[#This Row],[inv no]])</f>
        <v>MS5-STR30SC(BK) 2300531</v>
      </c>
      <c r="S3376" s="86">
        <f>_xlfn.XLOOKUP(表格1[[#This Row],[Model]],表格3[Model-Input-Ref2],表格3[SRP PRICE])</f>
        <v>5998</v>
      </c>
      <c r="T3376" s="43">
        <f>表格1[[#This Row],[Unit Price]]/表格1[[#This Row],[SRP]]</f>
        <v>0.66355451817272426</v>
      </c>
      <c r="U3376" s="86" t="str">
        <f>_xlfn.XLOOKUP(表格1[[#This Row],[Model]],表格3[Model-Input-Ref2],表格3[TOSHIBA/HIGHEST])</f>
        <v>Shops Highest Price</v>
      </c>
      <c r="W3376" s="86" t="str">
        <f>_xlfn.CONCAT(表格1[[#This Row],[欄4]],表格1[[#This Row],[inv no]])</f>
        <v>2300531</v>
      </c>
    </row>
    <row r="3377" spans="1:23" hidden="1">
      <c r="A3377" s="81">
        <v>3375</v>
      </c>
      <c r="B3377" s="86" t="s">
        <v>1477</v>
      </c>
      <c r="C3377" s="86" t="s">
        <v>1961</v>
      </c>
      <c r="D3377" s="82" t="str">
        <f ca="1">OFFSET(Roster!$A$3,MATCH(表格1[[#This Row],[Location]]&amp;" "&amp;表格1[[#This Row],[Shop]]&amp;"*",Roster!$A$4:$A$72,0),DAY(表格1[[#This Row],[date]]),1,1)</f>
        <v>Terence_2</v>
      </c>
      <c r="E3377" s="86">
        <f>MONTH(表格1[[#This Row],[date]])</f>
        <v>3</v>
      </c>
      <c r="F3377" s="90">
        <v>46110</v>
      </c>
      <c r="G3377" s="86" t="str">
        <f>VLOOKUP("*"&amp;表格1[[#This Row],[Input]]&amp;"*",'Ref-List'!$B:$D,2,)</f>
        <v>MS5-STR30SC(BK)</v>
      </c>
      <c r="H3377" s="86" t="str">
        <f>_xlfn.XLOOKUP(表格1[[#This Row],[Model]],表格3[Model-Input-Ref2],表格3[Product Line])</f>
        <v>30公升蒸氣焗爐</v>
      </c>
      <c r="I3377" s="86" t="str">
        <f>_xlfn.XLOOKUP(表格1[[#This Row],[Model]],表格3[Model-Input-Ref2],表格3[大小電])</f>
        <v>細電</v>
      </c>
      <c r="J3377" s="86" t="str">
        <f>_xlfn.XLOOKUP(表格1[[#This Row],[Model]],表格3[Model-Input-Ref2],表格3[Code])</f>
        <v>MCA</v>
      </c>
      <c r="K3377" s="89" t="s">
        <v>1379</v>
      </c>
      <c r="L3377" s="86">
        <v>1</v>
      </c>
      <c r="M3377" s="87">
        <v>3980</v>
      </c>
      <c r="N3377" s="87">
        <f>IFERROR(表格1[[#This Row],[QTY]]*表格1[[#This Row],[Unit Price]],"-")</f>
        <v>3980</v>
      </c>
      <c r="O3377" s="86">
        <v>2300488</v>
      </c>
      <c r="R3377" s="86" t="str">
        <f>_xlfn.CONCAT(表格1[[#This Row],[Model]]," ",表格1[[#This Row],[inv no]])</f>
        <v>MS5-STR30SC(BK) 2300488</v>
      </c>
      <c r="S3377" s="86">
        <f>_xlfn.XLOOKUP(表格1[[#This Row],[Model]],表格3[Model-Input-Ref2],表格3[SRP PRICE])</f>
        <v>5998</v>
      </c>
      <c r="T3377" s="43">
        <f>表格1[[#This Row],[Unit Price]]/表格1[[#This Row],[SRP]]</f>
        <v>0.66355451817272426</v>
      </c>
      <c r="U3377" s="86" t="str">
        <f>_xlfn.XLOOKUP(表格1[[#This Row],[Model]],表格3[Model-Input-Ref2],表格3[TOSHIBA/HIGHEST])</f>
        <v>Shops Highest Price</v>
      </c>
      <c r="W3377" s="86" t="str">
        <f>_xlfn.CONCAT(表格1[[#This Row],[欄4]],表格1[[#This Row],[inv no]])</f>
        <v>2300488</v>
      </c>
    </row>
    <row r="3378" spans="1:23" hidden="1">
      <c r="A3378" s="81">
        <v>3376</v>
      </c>
      <c r="B3378" s="86" t="s">
        <v>1477</v>
      </c>
      <c r="C3378" s="86" t="s">
        <v>1961</v>
      </c>
      <c r="D3378" s="82" t="str">
        <f ca="1">OFFSET(Roster!$A$3,MATCH(表格1[[#This Row],[Location]]&amp;" "&amp;表格1[[#This Row],[Shop]]&amp;"*",Roster!$A$4:$A$72,0),DAY(表格1[[#This Row],[date]]),1,1)</f>
        <v>Terence_2</v>
      </c>
      <c r="E3378" s="86">
        <f>MONTH(表格1[[#This Row],[date]])</f>
        <v>3</v>
      </c>
      <c r="F3378" s="90">
        <v>46110</v>
      </c>
      <c r="G3378" s="86" t="str">
        <f>VLOOKUP("*"&amp;表格1[[#This Row],[Input]]&amp;"*",'Ref-List'!$B:$D,2,)</f>
        <v>GR-RB360WE-PMA(06)</v>
      </c>
      <c r="H3378" s="86" t="str">
        <f>_xlfn.XLOOKUP(表格1[[#This Row],[Model]],表格3[Model-Input-Ref2],表格3[Product Line])</f>
        <v>變頻下置式雙門雪櫃系列270L</v>
      </c>
      <c r="I3378" s="86" t="str">
        <f>_xlfn.XLOOKUP(表格1[[#This Row],[Model]],表格3[Model-Input-Ref2],表格3[大小電])</f>
        <v>大電</v>
      </c>
      <c r="J3378" s="86" t="str">
        <f>_xlfn.XLOOKUP(表格1[[#This Row],[Model]],表格3[Model-Input-Ref2],表格3[Code])</f>
        <v>REF</v>
      </c>
      <c r="K3378" s="89" t="s">
        <v>1282</v>
      </c>
      <c r="L3378" s="86">
        <v>1</v>
      </c>
      <c r="M3378" s="87">
        <v>3580</v>
      </c>
      <c r="N3378" s="87">
        <f>IFERROR(表格1[[#This Row],[QTY]]*表格1[[#This Row],[Unit Price]],"-")</f>
        <v>3580</v>
      </c>
      <c r="O3378" s="86">
        <v>2300349</v>
      </c>
      <c r="R3378" s="86" t="str">
        <f>_xlfn.CONCAT(表格1[[#This Row],[Model]]," ",表格1[[#This Row],[inv no]])</f>
        <v>GR-RB360WE-PMA(06) 2300349</v>
      </c>
      <c r="S3378" s="86">
        <f>_xlfn.XLOOKUP(表格1[[#This Row],[Model]],表格3[Model-Input-Ref2],表格3[SRP PRICE])</f>
        <v>5080</v>
      </c>
      <c r="T3378" s="43">
        <f>表格1[[#This Row],[Unit Price]]/表格1[[#This Row],[SRP]]</f>
        <v>0.70472440944881887</v>
      </c>
      <c r="U3378" s="86" t="str">
        <f>_xlfn.XLOOKUP(表格1[[#This Row],[Model]],表格3[Model-Input-Ref2],表格3[TOSHIBA/HIGHEST])</f>
        <v>Toshiba SRP</v>
      </c>
      <c r="W3378" s="86" t="str">
        <f>_xlfn.CONCAT(表格1[[#This Row],[欄4]],表格1[[#This Row],[inv no]])</f>
        <v>2300349</v>
      </c>
    </row>
    <row r="3379" spans="1:23" hidden="1">
      <c r="A3379" s="81">
        <v>3377</v>
      </c>
      <c r="B3379" s="86" t="s">
        <v>1477</v>
      </c>
      <c r="C3379" s="86" t="s">
        <v>1961</v>
      </c>
      <c r="D3379" s="82" t="str">
        <f ca="1">OFFSET(Roster!$A$3,MATCH(表格1[[#This Row],[Location]]&amp;" "&amp;表格1[[#This Row],[Shop]]&amp;"*",Roster!$A$4:$A$72,0),DAY(表格1[[#This Row],[date]]),1,1)</f>
        <v>Terence_2</v>
      </c>
      <c r="E3379" s="86">
        <f>MONTH(表格1[[#This Row],[date]])</f>
        <v>3</v>
      </c>
      <c r="F3379" s="90">
        <v>46110</v>
      </c>
      <c r="G3379" s="86" t="str">
        <f>VLOOKUP("*"&amp;表格1[[#This Row],[Input]]&amp;"*",'Ref-List'!$B:$D,2,)</f>
        <v>GR-RT300WE-PMA(57)</v>
      </c>
      <c r="H3379" s="86" t="str">
        <f>_xlfn.XLOOKUP(表格1[[#This Row],[Model]],表格3[Model-Input-Ref2],表格3[Product Line])</f>
        <v>變頻式環保雙門雪櫃(233L)</v>
      </c>
      <c r="I3379" s="86" t="str">
        <f>_xlfn.XLOOKUP(表格1[[#This Row],[Model]],表格3[Model-Input-Ref2],表格3[大小電])</f>
        <v>大電</v>
      </c>
      <c r="J3379" s="86" t="str">
        <f>_xlfn.XLOOKUP(表格1[[#This Row],[Model]],表格3[Model-Input-Ref2],表格3[Code])</f>
        <v>REF</v>
      </c>
      <c r="K3379" s="89" t="s">
        <v>1462</v>
      </c>
      <c r="L3379" s="86">
        <v>1</v>
      </c>
      <c r="M3379" s="87">
        <v>2780</v>
      </c>
      <c r="N3379" s="87">
        <f>IFERROR(表格1[[#This Row],[QTY]]*表格1[[#This Row],[Unit Price]],"-")</f>
        <v>2780</v>
      </c>
      <c r="O3379" s="86">
        <v>2300373</v>
      </c>
      <c r="R3379" s="86" t="str">
        <f>_xlfn.CONCAT(表格1[[#This Row],[Model]]," ",表格1[[#This Row],[inv no]])</f>
        <v>GR-RT300WE-PMA(57) 2300373</v>
      </c>
      <c r="S3379" s="86">
        <f>_xlfn.XLOOKUP(表格1[[#This Row],[Model]],表格3[Model-Input-Ref2],表格3[SRP PRICE])</f>
        <v>4280</v>
      </c>
      <c r="T3379" s="43">
        <f>表格1[[#This Row],[Unit Price]]/表格1[[#This Row],[SRP]]</f>
        <v>0.64953271028037385</v>
      </c>
      <c r="U3379" s="86" t="str">
        <f>_xlfn.XLOOKUP(表格1[[#This Row],[Model]],表格3[Model-Input-Ref2],表格3[TOSHIBA/HIGHEST])</f>
        <v>Toshiba SRP</v>
      </c>
      <c r="W3379" s="86" t="str">
        <f>_xlfn.CONCAT(表格1[[#This Row],[欄4]],表格1[[#This Row],[inv no]])</f>
        <v>2300373</v>
      </c>
    </row>
    <row r="3380" spans="1:23" hidden="1">
      <c r="A3380" s="81">
        <v>3378</v>
      </c>
      <c r="B3380" s="86" t="s">
        <v>1477</v>
      </c>
      <c r="C3380" s="86" t="s">
        <v>1961</v>
      </c>
      <c r="D3380" s="82" t="str">
        <f ca="1">OFFSET(Roster!$A$3,MATCH(表格1[[#This Row],[Location]]&amp;" "&amp;表格1[[#This Row],[Shop]]&amp;"*",Roster!$A$4:$A$72,0),DAY(表格1[[#This Row],[date]]),1,1)</f>
        <v>Terence_2</v>
      </c>
      <c r="E3380" s="86">
        <f>MONTH(表格1[[#This Row],[date]])</f>
        <v>3</v>
      </c>
      <c r="F3380" s="90">
        <v>46110</v>
      </c>
      <c r="G3380" s="86" t="str">
        <f>VLOOKUP("*"&amp;表格1[[#This Row],[Input]]&amp;"*",'Ref-List'!$B:$D,2,)</f>
        <v>GR-RT300WE-PMA(57)</v>
      </c>
      <c r="H3380" s="86" t="str">
        <f>_xlfn.XLOOKUP(表格1[[#This Row],[Model]],表格3[Model-Input-Ref2],表格3[Product Line])</f>
        <v>變頻式環保雙門雪櫃(233L)</v>
      </c>
      <c r="I3380" s="86" t="str">
        <f>_xlfn.XLOOKUP(表格1[[#This Row],[Model]],表格3[Model-Input-Ref2],表格3[大小電])</f>
        <v>大電</v>
      </c>
      <c r="J3380" s="86" t="str">
        <f>_xlfn.XLOOKUP(表格1[[#This Row],[Model]],表格3[Model-Input-Ref2],表格3[Code])</f>
        <v>REF</v>
      </c>
      <c r="K3380" s="89" t="s">
        <v>1462</v>
      </c>
      <c r="L3380" s="86">
        <v>1</v>
      </c>
      <c r="M3380" s="87">
        <v>2780</v>
      </c>
      <c r="N3380" s="87">
        <f>IFERROR(表格1[[#This Row],[QTY]]*表格1[[#This Row],[Unit Price]],"-")</f>
        <v>2780</v>
      </c>
      <c r="O3380" s="86">
        <v>2300465</v>
      </c>
      <c r="R3380" s="86" t="str">
        <f>_xlfn.CONCAT(表格1[[#This Row],[Model]]," ",表格1[[#This Row],[inv no]])</f>
        <v>GR-RT300WE-PMA(57) 2300465</v>
      </c>
      <c r="S3380" s="86">
        <f>_xlfn.XLOOKUP(表格1[[#This Row],[Model]],表格3[Model-Input-Ref2],表格3[SRP PRICE])</f>
        <v>4280</v>
      </c>
      <c r="T3380" s="43">
        <f>表格1[[#This Row],[Unit Price]]/表格1[[#This Row],[SRP]]</f>
        <v>0.64953271028037385</v>
      </c>
      <c r="U3380" s="86" t="str">
        <f>_xlfn.XLOOKUP(表格1[[#This Row],[Model]],表格3[Model-Input-Ref2],表格3[TOSHIBA/HIGHEST])</f>
        <v>Toshiba SRP</v>
      </c>
      <c r="W3380" s="86" t="str">
        <f>_xlfn.CONCAT(表格1[[#This Row],[欄4]],表格1[[#This Row],[inv no]])</f>
        <v>2300465</v>
      </c>
    </row>
    <row r="3381" spans="1:23" hidden="1">
      <c r="A3381" s="81">
        <v>3379</v>
      </c>
      <c r="B3381" s="86" t="s">
        <v>1477</v>
      </c>
      <c r="C3381" s="86" t="s">
        <v>1961</v>
      </c>
      <c r="D3381" s="82" t="str">
        <f ca="1">OFFSET(Roster!$A$3,MATCH(表格1[[#This Row],[Location]]&amp;" "&amp;表格1[[#This Row],[Shop]]&amp;"*",Roster!$A$4:$A$72,0),DAY(表格1[[#This Row],[date]]),1,1)</f>
        <v>Terence_2</v>
      </c>
      <c r="E3381" s="86">
        <f>MONTH(表格1[[#This Row],[date]])</f>
        <v>3</v>
      </c>
      <c r="F3381" s="90">
        <v>46110</v>
      </c>
      <c r="G3381" s="86" t="str">
        <f>VLOOKUP("*"&amp;表格1[[#This Row],[Input]]&amp;"*",'Ref-List'!$B:$D,2,)</f>
        <v>GR-RB221WE-PMA(57)</v>
      </c>
      <c r="H3381" s="86" t="str">
        <f>_xlfn.XLOOKUP(表格1[[#This Row],[Model]],表格3[Model-Input-Ref2],表格3[Product Line])</f>
        <v>變頻下置式雙門雪櫃（163L）</v>
      </c>
      <c r="I3381" s="86" t="str">
        <f>_xlfn.XLOOKUP(表格1[[#This Row],[Model]],表格3[Model-Input-Ref2],表格3[大小電])</f>
        <v>大電</v>
      </c>
      <c r="J3381" s="86" t="str">
        <f>_xlfn.XLOOKUP(表格1[[#This Row],[Model]],表格3[Model-Input-Ref2],表格3[Code])</f>
        <v>REF</v>
      </c>
      <c r="K3381" s="89" t="s">
        <v>1386</v>
      </c>
      <c r="L3381" s="86">
        <v>1</v>
      </c>
      <c r="M3381" s="87">
        <v>1880</v>
      </c>
      <c r="N3381" s="87">
        <f>IFERROR(表格1[[#This Row],[QTY]]*表格1[[#This Row],[Unit Price]],"-")</f>
        <v>1880</v>
      </c>
      <c r="O3381" s="86">
        <v>2300469</v>
      </c>
      <c r="R3381" s="86" t="str">
        <f>_xlfn.CONCAT(表格1[[#This Row],[Model]]," ",表格1[[#This Row],[inv no]])</f>
        <v>GR-RB221WE-PMA(57) 2300469</v>
      </c>
      <c r="S3381" s="86">
        <f>_xlfn.XLOOKUP(表格1[[#This Row],[Model]],表格3[Model-Input-Ref2],表格3[SRP PRICE])</f>
        <v>3480</v>
      </c>
      <c r="T3381" s="43">
        <f>表格1[[#This Row],[Unit Price]]/表格1[[#This Row],[SRP]]</f>
        <v>0.54022988505747127</v>
      </c>
      <c r="U3381" s="86" t="str">
        <f>_xlfn.XLOOKUP(表格1[[#This Row],[Model]],表格3[Model-Input-Ref2],表格3[TOSHIBA/HIGHEST])</f>
        <v>Toshiba SRP</v>
      </c>
      <c r="W3381" s="86" t="str">
        <f>_xlfn.CONCAT(表格1[[#This Row],[欄4]],表格1[[#This Row],[inv no]])</f>
        <v>2300469</v>
      </c>
    </row>
    <row r="3382" spans="1:23" hidden="1">
      <c r="A3382" s="81">
        <v>3380</v>
      </c>
      <c r="B3382" s="86" t="s">
        <v>1477</v>
      </c>
      <c r="C3382" s="86" t="s">
        <v>1961</v>
      </c>
      <c r="D3382" s="82" t="str">
        <f ca="1">OFFSET(Roster!$A$3,MATCH(表格1[[#This Row],[Location]]&amp;" "&amp;表格1[[#This Row],[Shop]]&amp;"*",Roster!$A$4:$A$72,0),DAY(表格1[[#This Row],[date]]),1,1)</f>
        <v>Terence_2</v>
      </c>
      <c r="E3382" s="86">
        <f>MONTH(表格1[[#This Row],[date]])</f>
        <v>3</v>
      </c>
      <c r="F3382" s="90">
        <v>46110</v>
      </c>
      <c r="G3382" s="86" t="str">
        <f>VLOOKUP("*"&amp;表格1[[#This Row],[Input]]&amp;"*",'Ref-List'!$B:$D,2,)</f>
        <v>GR-RB221WE-PMA(57)</v>
      </c>
      <c r="H3382" s="86" t="str">
        <f>_xlfn.XLOOKUP(表格1[[#This Row],[Model]],表格3[Model-Input-Ref2],表格3[Product Line])</f>
        <v>變頻下置式雙門雪櫃（163L）</v>
      </c>
      <c r="I3382" s="86" t="str">
        <f>_xlfn.XLOOKUP(表格1[[#This Row],[Model]],表格3[Model-Input-Ref2],表格3[大小電])</f>
        <v>大電</v>
      </c>
      <c r="J3382" s="86" t="str">
        <f>_xlfn.XLOOKUP(表格1[[#This Row],[Model]],表格3[Model-Input-Ref2],表格3[Code])</f>
        <v>REF</v>
      </c>
      <c r="K3382" s="89" t="s">
        <v>1386</v>
      </c>
      <c r="L3382" s="86">
        <v>1</v>
      </c>
      <c r="M3382" s="87">
        <v>1880</v>
      </c>
      <c r="N3382" s="87">
        <f>IFERROR(表格1[[#This Row],[QTY]]*表格1[[#This Row],[Unit Price]],"-")</f>
        <v>1880</v>
      </c>
      <c r="O3382" s="86">
        <v>2300495</v>
      </c>
      <c r="R3382" s="86" t="str">
        <f>_xlfn.CONCAT(表格1[[#This Row],[Model]]," ",表格1[[#This Row],[inv no]])</f>
        <v>GR-RB221WE-PMA(57) 2300495</v>
      </c>
      <c r="S3382" s="86">
        <f>_xlfn.XLOOKUP(表格1[[#This Row],[Model]],表格3[Model-Input-Ref2],表格3[SRP PRICE])</f>
        <v>3480</v>
      </c>
      <c r="T3382" s="43">
        <f>表格1[[#This Row],[Unit Price]]/表格1[[#This Row],[SRP]]</f>
        <v>0.54022988505747127</v>
      </c>
      <c r="U3382" s="86" t="str">
        <f>_xlfn.XLOOKUP(表格1[[#This Row],[Model]],表格3[Model-Input-Ref2],表格3[TOSHIBA/HIGHEST])</f>
        <v>Toshiba SRP</v>
      </c>
      <c r="W3382" s="86" t="str">
        <f>_xlfn.CONCAT(表格1[[#This Row],[欄4]],表格1[[#This Row],[inv no]])</f>
        <v>2300495</v>
      </c>
    </row>
    <row r="3383" spans="1:23" hidden="1">
      <c r="A3383" s="81">
        <v>3381</v>
      </c>
      <c r="B3383" s="86" t="s">
        <v>1477</v>
      </c>
      <c r="C3383" s="86" t="s">
        <v>1961</v>
      </c>
      <c r="D3383" s="82" t="str">
        <f ca="1">OFFSET(Roster!$A$3,MATCH(表格1[[#This Row],[Location]]&amp;" "&amp;表格1[[#This Row],[Shop]]&amp;"*",Roster!$A$4:$A$72,0),DAY(表格1[[#This Row],[date]]),1,1)</f>
        <v>Terence_2</v>
      </c>
      <c r="E3383" s="86">
        <f>MONTH(表格1[[#This Row],[date]])</f>
        <v>3</v>
      </c>
      <c r="F3383" s="90">
        <v>46110</v>
      </c>
      <c r="G3383" s="86" t="str">
        <f>VLOOKUP("*"&amp;表格1[[#This Row],[Input]]&amp;"*",'Ref-List'!$B:$D,2,)</f>
        <v>MX1-TH23SC(WH)</v>
      </c>
      <c r="H3383" s="86" t="str">
        <f>_xlfn.XLOOKUP(表格1[[#This Row],[Model]],表格3[Model-Input-Ref2],表格3[Product Line])</f>
        <v>微波蒸焗爐23L</v>
      </c>
      <c r="I3383" s="86" t="str">
        <f>_xlfn.XLOOKUP(表格1[[#This Row],[Model]],表格3[Model-Input-Ref2],表格3[大小電])</f>
        <v>細電</v>
      </c>
      <c r="J3383" s="86" t="str">
        <f>_xlfn.XLOOKUP(表格1[[#This Row],[Model]],表格3[Model-Input-Ref2],表格3[Code])</f>
        <v>SDA</v>
      </c>
      <c r="K3383" s="89" t="s">
        <v>1496</v>
      </c>
      <c r="L3383" s="86">
        <v>1</v>
      </c>
      <c r="M3383" s="87">
        <v>1999</v>
      </c>
      <c r="N3383" s="87">
        <f>IFERROR(表格1[[#This Row],[QTY]]*表格1[[#This Row],[Unit Price]],"-")</f>
        <v>1999</v>
      </c>
      <c r="O3383" s="86">
        <v>2300587</v>
      </c>
      <c r="R3383" s="86" t="str">
        <f>_xlfn.CONCAT(表格1[[#This Row],[Model]]," ",表格1[[#This Row],[inv no]])</f>
        <v>MX1-TH23SC(WH) 2300587</v>
      </c>
      <c r="S3383" s="86">
        <f>_xlfn.XLOOKUP(表格1[[#This Row],[Model]],表格3[Model-Input-Ref2],表格3[SRP PRICE])</f>
        <v>3380</v>
      </c>
      <c r="T3383" s="43">
        <f>表格1[[#This Row],[Unit Price]]/表格1[[#This Row],[SRP]]</f>
        <v>0.5914201183431953</v>
      </c>
      <c r="U3383" s="86" t="str">
        <f>_xlfn.XLOOKUP(表格1[[#This Row],[Model]],表格3[Model-Input-Ref2],表格3[TOSHIBA/HIGHEST])</f>
        <v>Toshiba SRP</v>
      </c>
      <c r="W3383" s="86" t="str">
        <f>_xlfn.CONCAT(表格1[[#This Row],[欄4]],表格1[[#This Row],[inv no]])</f>
        <v>2300587</v>
      </c>
    </row>
    <row r="3384" spans="1:23" hidden="1">
      <c r="A3384" s="81">
        <v>3382</v>
      </c>
      <c r="B3384" s="86" t="s">
        <v>1477</v>
      </c>
      <c r="C3384" s="86" t="s">
        <v>1961</v>
      </c>
      <c r="D3384" s="82" t="str">
        <f ca="1">OFFSET(Roster!$A$3,MATCH(表格1[[#This Row],[Location]]&amp;" "&amp;表格1[[#This Row],[Shop]]&amp;"*",Roster!$A$4:$A$72,0),DAY(表格1[[#This Row],[date]]),1,1)</f>
        <v>Terence_2</v>
      </c>
      <c r="E3384" s="86">
        <f>MONTH(表格1[[#This Row],[date]])</f>
        <v>3</v>
      </c>
      <c r="F3384" s="90">
        <v>46110</v>
      </c>
      <c r="G3384" s="86" t="str">
        <f>VLOOKUP("*"&amp;表格1[[#This Row],[Input]]&amp;"*",'Ref-List'!$B:$D,2,)</f>
        <v>MX1-TH23SC(WH)</v>
      </c>
      <c r="H3384" s="86" t="str">
        <f>_xlfn.XLOOKUP(表格1[[#This Row],[Model]],表格3[Model-Input-Ref2],表格3[Product Line])</f>
        <v>微波蒸焗爐23L</v>
      </c>
      <c r="I3384" s="86" t="str">
        <f>_xlfn.XLOOKUP(表格1[[#This Row],[Model]],表格3[Model-Input-Ref2],表格3[大小電])</f>
        <v>細電</v>
      </c>
      <c r="J3384" s="86" t="str">
        <f>_xlfn.XLOOKUP(表格1[[#This Row],[Model]],表格3[Model-Input-Ref2],表格3[Code])</f>
        <v>SDA</v>
      </c>
      <c r="K3384" s="89" t="s">
        <v>1496</v>
      </c>
      <c r="L3384" s="86">
        <v>1</v>
      </c>
      <c r="M3384" s="87">
        <v>1999</v>
      </c>
      <c r="N3384" s="87">
        <f>IFERROR(表格1[[#This Row],[QTY]]*表格1[[#This Row],[Unit Price]],"-")</f>
        <v>1999</v>
      </c>
      <c r="O3384" s="86">
        <v>2300389</v>
      </c>
      <c r="R3384" s="86" t="str">
        <f>_xlfn.CONCAT(表格1[[#This Row],[Model]]," ",表格1[[#This Row],[inv no]])</f>
        <v>MX1-TH23SC(WH) 2300389</v>
      </c>
      <c r="S3384" s="86">
        <f>_xlfn.XLOOKUP(表格1[[#This Row],[Model]],表格3[Model-Input-Ref2],表格3[SRP PRICE])</f>
        <v>3380</v>
      </c>
      <c r="T3384" s="43">
        <f>表格1[[#This Row],[Unit Price]]/表格1[[#This Row],[SRP]]</f>
        <v>0.5914201183431953</v>
      </c>
      <c r="U3384" s="86" t="str">
        <f>_xlfn.XLOOKUP(表格1[[#This Row],[Model]],表格3[Model-Input-Ref2],表格3[TOSHIBA/HIGHEST])</f>
        <v>Toshiba SRP</v>
      </c>
      <c r="W3384" s="86" t="str">
        <f>_xlfn.CONCAT(表格1[[#This Row],[欄4]],表格1[[#This Row],[inv no]])</f>
        <v>2300389</v>
      </c>
    </row>
    <row r="3385" spans="1:23" hidden="1">
      <c r="A3385" s="81">
        <v>3383</v>
      </c>
      <c r="B3385" s="86" t="s">
        <v>1477</v>
      </c>
      <c r="C3385" s="86" t="s">
        <v>1961</v>
      </c>
      <c r="D3385" s="82" t="str">
        <f ca="1">OFFSET(Roster!$A$3,MATCH(表格1[[#This Row],[Location]]&amp;" "&amp;表格1[[#This Row],[Shop]]&amp;"*",Roster!$A$4:$A$72,0),DAY(表格1[[#This Row],[date]]),1,1)</f>
        <v>Terence_2</v>
      </c>
      <c r="E3385" s="86">
        <f>MONTH(表格1[[#This Row],[date]])</f>
        <v>3</v>
      </c>
      <c r="F3385" s="90">
        <v>46110</v>
      </c>
      <c r="G3385" s="86" t="str">
        <f>VLOOKUP("*"&amp;表格1[[#This Row],[Input]]&amp;"*",'Ref-List'!$B:$D,2,)</f>
        <v>MX1-TH23SC(WH)</v>
      </c>
      <c r="H3385" s="86" t="str">
        <f>_xlfn.XLOOKUP(表格1[[#This Row],[Model]],表格3[Model-Input-Ref2],表格3[Product Line])</f>
        <v>微波蒸焗爐23L</v>
      </c>
      <c r="I3385" s="86" t="str">
        <f>_xlfn.XLOOKUP(表格1[[#This Row],[Model]],表格3[Model-Input-Ref2],表格3[大小電])</f>
        <v>細電</v>
      </c>
      <c r="J3385" s="86" t="str">
        <f>_xlfn.XLOOKUP(表格1[[#This Row],[Model]],表格3[Model-Input-Ref2],表格3[Code])</f>
        <v>SDA</v>
      </c>
      <c r="K3385" s="89" t="s">
        <v>1496</v>
      </c>
      <c r="L3385" s="86">
        <v>1</v>
      </c>
      <c r="M3385" s="87">
        <v>1999</v>
      </c>
      <c r="N3385" s="87">
        <f>IFERROR(表格1[[#This Row],[QTY]]*表格1[[#This Row],[Unit Price]],"-")</f>
        <v>1999</v>
      </c>
      <c r="O3385" s="86">
        <v>2300356</v>
      </c>
      <c r="R3385" s="86" t="str">
        <f>_xlfn.CONCAT(表格1[[#This Row],[Model]]," ",表格1[[#This Row],[inv no]])</f>
        <v>MX1-TH23SC(WH) 2300356</v>
      </c>
      <c r="S3385" s="86">
        <f>_xlfn.XLOOKUP(表格1[[#This Row],[Model]],表格3[Model-Input-Ref2],表格3[SRP PRICE])</f>
        <v>3380</v>
      </c>
      <c r="T3385" s="43">
        <f>表格1[[#This Row],[Unit Price]]/表格1[[#This Row],[SRP]]</f>
        <v>0.5914201183431953</v>
      </c>
      <c r="U3385" s="86" t="str">
        <f>_xlfn.XLOOKUP(表格1[[#This Row],[Model]],表格3[Model-Input-Ref2],表格3[TOSHIBA/HIGHEST])</f>
        <v>Toshiba SRP</v>
      </c>
      <c r="W3385" s="86" t="str">
        <f>_xlfn.CONCAT(表格1[[#This Row],[欄4]],表格1[[#This Row],[inv no]])</f>
        <v>2300356</v>
      </c>
    </row>
    <row r="3386" spans="1:23" hidden="1">
      <c r="A3386" s="81">
        <v>3384</v>
      </c>
      <c r="B3386" s="86" t="s">
        <v>1477</v>
      </c>
      <c r="C3386" s="86" t="s">
        <v>1961</v>
      </c>
      <c r="D3386" s="82" t="str">
        <f ca="1">OFFSET(Roster!$A$3,MATCH(表格1[[#This Row],[Location]]&amp;" "&amp;表格1[[#This Row],[Shop]]&amp;"*",Roster!$A$4:$A$72,0),DAY(表格1[[#This Row],[date]]),1,1)</f>
        <v>Terence_2</v>
      </c>
      <c r="E3386" s="86">
        <f>MONTH(表格1[[#This Row],[date]])</f>
        <v>3</v>
      </c>
      <c r="F3386" s="90">
        <v>46110</v>
      </c>
      <c r="G3386" s="86" t="str">
        <f>VLOOKUP("*"&amp;表格1[[#This Row],[Input]]&amp;"*",'Ref-List'!$B:$D,2,)</f>
        <v>MX1-TH23SC(WH)</v>
      </c>
      <c r="H3386" s="86" t="str">
        <f>_xlfn.XLOOKUP(表格1[[#This Row],[Model]],表格3[Model-Input-Ref2],表格3[Product Line])</f>
        <v>微波蒸焗爐23L</v>
      </c>
      <c r="I3386" s="86" t="str">
        <f>_xlfn.XLOOKUP(表格1[[#This Row],[Model]],表格3[Model-Input-Ref2],表格3[大小電])</f>
        <v>細電</v>
      </c>
      <c r="J3386" s="86" t="str">
        <f>_xlfn.XLOOKUP(表格1[[#This Row],[Model]],表格3[Model-Input-Ref2],表格3[Code])</f>
        <v>SDA</v>
      </c>
      <c r="K3386" s="89" t="s">
        <v>1496</v>
      </c>
      <c r="L3386" s="86">
        <v>1</v>
      </c>
      <c r="M3386" s="87">
        <v>1999</v>
      </c>
      <c r="N3386" s="87">
        <f>IFERROR(表格1[[#This Row],[QTY]]*表格1[[#This Row],[Unit Price]],"-")</f>
        <v>1999</v>
      </c>
      <c r="O3386" s="86">
        <v>2300399</v>
      </c>
      <c r="R3386" s="86" t="str">
        <f>_xlfn.CONCAT(表格1[[#This Row],[Model]]," ",表格1[[#This Row],[inv no]])</f>
        <v>MX1-TH23SC(WH) 2300399</v>
      </c>
      <c r="S3386" s="86">
        <f>_xlfn.XLOOKUP(表格1[[#This Row],[Model]],表格3[Model-Input-Ref2],表格3[SRP PRICE])</f>
        <v>3380</v>
      </c>
      <c r="T3386" s="43">
        <f>表格1[[#This Row],[Unit Price]]/表格1[[#This Row],[SRP]]</f>
        <v>0.5914201183431953</v>
      </c>
      <c r="U3386" s="86" t="str">
        <f>_xlfn.XLOOKUP(表格1[[#This Row],[Model]],表格3[Model-Input-Ref2],表格3[TOSHIBA/HIGHEST])</f>
        <v>Toshiba SRP</v>
      </c>
      <c r="W3386" s="86" t="str">
        <f>_xlfn.CONCAT(表格1[[#This Row],[欄4]],表格1[[#This Row],[inv no]])</f>
        <v>2300399</v>
      </c>
    </row>
    <row r="3387" spans="1:23" hidden="1">
      <c r="A3387" s="81">
        <v>3385</v>
      </c>
      <c r="B3387" s="86" t="s">
        <v>1477</v>
      </c>
      <c r="C3387" s="86" t="s">
        <v>1961</v>
      </c>
      <c r="D3387" s="82" t="str">
        <f ca="1">OFFSET(Roster!$A$3,MATCH(表格1[[#This Row],[Location]]&amp;" "&amp;表格1[[#This Row],[Shop]]&amp;"*",Roster!$A$4:$A$72,0),DAY(表格1[[#This Row],[date]]),1,1)</f>
        <v>Terence_2</v>
      </c>
      <c r="E3387" s="86">
        <f>MONTH(表格1[[#This Row],[date]])</f>
        <v>3</v>
      </c>
      <c r="F3387" s="90">
        <v>46110</v>
      </c>
      <c r="G3387" s="86" t="str">
        <f>VLOOKUP("*"&amp;表格1[[#This Row],[Input]]&amp;"*",'Ref-List'!$B:$D,2,)</f>
        <v>MX2-STR25SC(WH)</v>
      </c>
      <c r="H3387" s="86" t="str">
        <f>_xlfn.XLOOKUP(表格1[[#This Row],[Model]],表格3[Model-Input-Ref2],表格3[Product Line])</f>
        <v>4合1氣炸微波蒸焗爐(25公升)</v>
      </c>
      <c r="I3387" s="86" t="str">
        <f>_xlfn.XLOOKUP(表格1[[#This Row],[Model]],表格3[Model-Input-Ref2],表格3[大小電])</f>
        <v>細電</v>
      </c>
      <c r="J3387" s="86" t="str">
        <f>_xlfn.XLOOKUP(表格1[[#This Row],[Model]],表格3[Model-Input-Ref2],表格3[Code])</f>
        <v>MCA</v>
      </c>
      <c r="K3387" s="89" t="s">
        <v>1410</v>
      </c>
      <c r="L3387" s="86">
        <v>1</v>
      </c>
      <c r="M3387" s="87">
        <v>3580</v>
      </c>
      <c r="N3387" s="87">
        <f>IFERROR(表格1[[#This Row],[QTY]]*表格1[[#This Row],[Unit Price]],"-")</f>
        <v>3580</v>
      </c>
      <c r="O3387" s="86">
        <v>2300433</v>
      </c>
      <c r="R3387" s="86" t="str">
        <f>_xlfn.CONCAT(表格1[[#This Row],[Model]]," ",表格1[[#This Row],[inv no]])</f>
        <v>MX2-STR25SC(WH) 2300433</v>
      </c>
      <c r="S3387" s="86">
        <f>_xlfn.XLOOKUP(表格1[[#This Row],[Model]],表格3[Model-Input-Ref2],表格3[SRP PRICE])</f>
        <v>4998</v>
      </c>
      <c r="T3387" s="43">
        <f>表格1[[#This Row],[Unit Price]]/表格1[[#This Row],[SRP]]</f>
        <v>0.71628651460584236</v>
      </c>
      <c r="U3387" s="86" t="str">
        <f>_xlfn.XLOOKUP(表格1[[#This Row],[Model]],表格3[Model-Input-Ref2],表格3[TOSHIBA/HIGHEST])</f>
        <v>Toshiba SRP</v>
      </c>
      <c r="W3387" s="86" t="str">
        <f>_xlfn.CONCAT(表格1[[#This Row],[欄4]],表格1[[#This Row],[inv no]])</f>
        <v>2300433</v>
      </c>
    </row>
    <row r="3388" spans="1:23" hidden="1">
      <c r="A3388" s="81">
        <v>3386</v>
      </c>
      <c r="B3388" s="86" t="s">
        <v>1477</v>
      </c>
      <c r="C3388" s="86" t="s">
        <v>1961</v>
      </c>
      <c r="D3388" s="82" t="str">
        <f ca="1">OFFSET(Roster!$A$3,MATCH(表格1[[#This Row],[Location]]&amp;" "&amp;表格1[[#This Row],[Shop]]&amp;"*",Roster!$A$4:$A$72,0),DAY(表格1[[#This Row],[date]]),1,1)</f>
        <v>Terence_2</v>
      </c>
      <c r="E3388" s="86">
        <f>MONTH(表格1[[#This Row],[date]])</f>
        <v>3</v>
      </c>
      <c r="F3388" s="90">
        <v>46110</v>
      </c>
      <c r="G3388" s="86" t="str">
        <f>VLOOKUP("*"&amp;表格1[[#This Row],[Input]]&amp;"*",'Ref-List'!$B:$D,2,)</f>
        <v>MX2-STR25SC(WH)</v>
      </c>
      <c r="H3388" s="86" t="str">
        <f>_xlfn.XLOOKUP(表格1[[#This Row],[Model]],表格3[Model-Input-Ref2],表格3[Product Line])</f>
        <v>4合1氣炸微波蒸焗爐(25公升)</v>
      </c>
      <c r="I3388" s="86" t="str">
        <f>_xlfn.XLOOKUP(表格1[[#This Row],[Model]],表格3[Model-Input-Ref2],表格3[大小電])</f>
        <v>細電</v>
      </c>
      <c r="J3388" s="86" t="str">
        <f>_xlfn.XLOOKUP(表格1[[#This Row],[Model]],表格3[Model-Input-Ref2],表格3[Code])</f>
        <v>MCA</v>
      </c>
      <c r="K3388" s="89" t="s">
        <v>1410</v>
      </c>
      <c r="L3388" s="86">
        <v>1</v>
      </c>
      <c r="M3388" s="87">
        <v>3580</v>
      </c>
      <c r="N3388" s="87">
        <f>IFERROR(表格1[[#This Row],[QTY]]*表格1[[#This Row],[Unit Price]],"-")</f>
        <v>3580</v>
      </c>
      <c r="O3388" s="86">
        <v>2300484</v>
      </c>
      <c r="R3388" s="86" t="str">
        <f>_xlfn.CONCAT(表格1[[#This Row],[Model]]," ",表格1[[#This Row],[inv no]])</f>
        <v>MX2-STR25SC(WH) 2300484</v>
      </c>
      <c r="S3388" s="86">
        <f>_xlfn.XLOOKUP(表格1[[#This Row],[Model]],表格3[Model-Input-Ref2],表格3[SRP PRICE])</f>
        <v>4998</v>
      </c>
      <c r="T3388" s="43">
        <f>表格1[[#This Row],[Unit Price]]/表格1[[#This Row],[SRP]]</f>
        <v>0.71628651460584236</v>
      </c>
      <c r="U3388" s="86" t="str">
        <f>_xlfn.XLOOKUP(表格1[[#This Row],[Model]],表格3[Model-Input-Ref2],表格3[TOSHIBA/HIGHEST])</f>
        <v>Toshiba SRP</v>
      </c>
      <c r="W3388" s="86" t="str">
        <f>_xlfn.CONCAT(表格1[[#This Row],[欄4]],表格1[[#This Row],[inv no]])</f>
        <v>2300484</v>
      </c>
    </row>
    <row r="3389" spans="1:23" hidden="1">
      <c r="A3389" s="81">
        <v>3387</v>
      </c>
      <c r="B3389" s="86" t="s">
        <v>1477</v>
      </c>
      <c r="C3389" s="86" t="s">
        <v>1961</v>
      </c>
      <c r="D3389" s="82" t="str">
        <f ca="1">OFFSET(Roster!$A$3,MATCH(表格1[[#This Row],[Location]]&amp;" "&amp;表格1[[#This Row],[Shop]]&amp;"*",Roster!$A$4:$A$72,0),DAY(表格1[[#This Row],[date]]),1,1)</f>
        <v>Terence_2</v>
      </c>
      <c r="E3389" s="86">
        <f>MONTH(表格1[[#This Row],[date]])</f>
        <v>3</v>
      </c>
      <c r="F3389" s="90">
        <v>46110</v>
      </c>
      <c r="G3389" s="86" t="str">
        <f>VLOOKUP("*"&amp;表格1[[#This Row],[Input]]&amp;"*",'Ref-List'!$B:$D,2,)</f>
        <v>MX2-STR25SC(WH)</v>
      </c>
      <c r="H3389" s="86" t="str">
        <f>_xlfn.XLOOKUP(表格1[[#This Row],[Model]],表格3[Model-Input-Ref2],表格3[Product Line])</f>
        <v>4合1氣炸微波蒸焗爐(25公升)</v>
      </c>
      <c r="I3389" s="86" t="str">
        <f>_xlfn.XLOOKUP(表格1[[#This Row],[Model]],表格3[Model-Input-Ref2],表格3[大小電])</f>
        <v>細電</v>
      </c>
      <c r="J3389" s="86" t="str">
        <f>_xlfn.XLOOKUP(表格1[[#This Row],[Model]],表格3[Model-Input-Ref2],表格3[Code])</f>
        <v>MCA</v>
      </c>
      <c r="K3389" s="89" t="s">
        <v>1410</v>
      </c>
      <c r="L3389" s="86">
        <v>1</v>
      </c>
      <c r="M3389" s="87">
        <v>3580</v>
      </c>
      <c r="N3389" s="87">
        <f>IFERROR(表格1[[#This Row],[QTY]]*表格1[[#This Row],[Unit Price]],"-")</f>
        <v>3580</v>
      </c>
      <c r="O3389" s="86">
        <v>2300439</v>
      </c>
      <c r="R3389" s="86" t="str">
        <f>_xlfn.CONCAT(表格1[[#This Row],[Model]]," ",表格1[[#This Row],[inv no]])</f>
        <v>MX2-STR25SC(WH) 2300439</v>
      </c>
      <c r="S3389" s="86">
        <f>_xlfn.XLOOKUP(表格1[[#This Row],[Model]],表格3[Model-Input-Ref2],表格3[SRP PRICE])</f>
        <v>4998</v>
      </c>
      <c r="T3389" s="43">
        <f>表格1[[#This Row],[Unit Price]]/表格1[[#This Row],[SRP]]</f>
        <v>0.71628651460584236</v>
      </c>
      <c r="U3389" s="86" t="str">
        <f>_xlfn.XLOOKUP(表格1[[#This Row],[Model]],表格3[Model-Input-Ref2],表格3[TOSHIBA/HIGHEST])</f>
        <v>Toshiba SRP</v>
      </c>
      <c r="W3389" s="86" t="str">
        <f>_xlfn.CONCAT(表格1[[#This Row],[欄4]],表格1[[#This Row],[inv no]])</f>
        <v>2300439</v>
      </c>
    </row>
    <row r="3390" spans="1:23" hidden="1">
      <c r="A3390" s="81">
        <v>3388</v>
      </c>
      <c r="B3390" s="86" t="s">
        <v>1477</v>
      </c>
      <c r="C3390" s="86" t="s">
        <v>1961</v>
      </c>
      <c r="D3390" s="82" t="str">
        <f ca="1">OFFSET(Roster!$A$3,MATCH(表格1[[#This Row],[Location]]&amp;" "&amp;表格1[[#This Row],[Shop]]&amp;"*",Roster!$A$4:$A$72,0),DAY(表格1[[#This Row],[date]]),1,1)</f>
        <v>Terence_2</v>
      </c>
      <c r="E3390" s="86">
        <f>MONTH(表格1[[#This Row],[date]])</f>
        <v>3</v>
      </c>
      <c r="F3390" s="90">
        <v>46110</v>
      </c>
      <c r="G3390" s="86" t="str">
        <f>VLOOKUP("*"&amp;表格1[[#This Row],[Input]]&amp;"*",'Ref-List'!$B:$D,2,)</f>
        <v>MX2-STR25SC(WH)</v>
      </c>
      <c r="H3390" s="86" t="str">
        <f>_xlfn.XLOOKUP(表格1[[#This Row],[Model]],表格3[Model-Input-Ref2],表格3[Product Line])</f>
        <v>4合1氣炸微波蒸焗爐(25公升)</v>
      </c>
      <c r="I3390" s="86" t="str">
        <f>_xlfn.XLOOKUP(表格1[[#This Row],[Model]],表格3[Model-Input-Ref2],表格3[大小電])</f>
        <v>細電</v>
      </c>
      <c r="J3390" s="86" t="str">
        <f>_xlfn.XLOOKUP(表格1[[#This Row],[Model]],表格3[Model-Input-Ref2],表格3[Code])</f>
        <v>MCA</v>
      </c>
      <c r="K3390" s="89" t="s">
        <v>1410</v>
      </c>
      <c r="L3390" s="86">
        <v>1</v>
      </c>
      <c r="M3390" s="87">
        <v>3580</v>
      </c>
      <c r="N3390" s="87">
        <f>IFERROR(表格1[[#This Row],[QTY]]*表格1[[#This Row],[Unit Price]],"-")</f>
        <v>3580</v>
      </c>
      <c r="O3390" s="86">
        <v>2300541</v>
      </c>
      <c r="R3390" s="86" t="str">
        <f>_xlfn.CONCAT(表格1[[#This Row],[Model]]," ",表格1[[#This Row],[inv no]])</f>
        <v>MX2-STR25SC(WH) 2300541</v>
      </c>
      <c r="S3390" s="86">
        <f>_xlfn.XLOOKUP(表格1[[#This Row],[Model]],表格3[Model-Input-Ref2],表格3[SRP PRICE])</f>
        <v>4998</v>
      </c>
      <c r="T3390" s="43">
        <f>表格1[[#This Row],[Unit Price]]/表格1[[#This Row],[SRP]]</f>
        <v>0.71628651460584236</v>
      </c>
      <c r="U3390" s="86" t="str">
        <f>_xlfn.XLOOKUP(表格1[[#This Row],[Model]],表格3[Model-Input-Ref2],表格3[TOSHIBA/HIGHEST])</f>
        <v>Toshiba SRP</v>
      </c>
      <c r="W3390" s="86" t="str">
        <f>_xlfn.CONCAT(表格1[[#This Row],[欄4]],表格1[[#This Row],[inv no]])</f>
        <v>2300541</v>
      </c>
    </row>
    <row r="3391" spans="1:23" hidden="1">
      <c r="A3391" s="81">
        <v>3389</v>
      </c>
      <c r="B3391" s="86" t="s">
        <v>1477</v>
      </c>
      <c r="C3391" s="86" t="s">
        <v>1961</v>
      </c>
      <c r="D3391" s="82" t="str">
        <f ca="1">OFFSET(Roster!$A$3,MATCH(表格1[[#This Row],[Location]]&amp;" "&amp;表格1[[#This Row],[Shop]]&amp;"*",Roster!$A$4:$A$72,0),DAY(表格1[[#This Row],[date]]),1,1)</f>
        <v>Terence_2</v>
      </c>
      <c r="E3391" s="86">
        <f>MONTH(表格1[[#This Row],[date]])</f>
        <v>3</v>
      </c>
      <c r="F3391" s="90">
        <v>46110</v>
      </c>
      <c r="G3391" s="86" t="str">
        <f>VLOOKUP("*"&amp;表格1[[#This Row],[Input]]&amp;"*",'Ref-List'!$B:$D,2,)</f>
        <v>MX2-STR25SC(WH)</v>
      </c>
      <c r="H3391" s="86" t="str">
        <f>_xlfn.XLOOKUP(表格1[[#This Row],[Model]],表格3[Model-Input-Ref2],表格3[Product Line])</f>
        <v>4合1氣炸微波蒸焗爐(25公升)</v>
      </c>
      <c r="I3391" s="86" t="str">
        <f>_xlfn.XLOOKUP(表格1[[#This Row],[Model]],表格3[Model-Input-Ref2],表格3[大小電])</f>
        <v>細電</v>
      </c>
      <c r="J3391" s="86" t="str">
        <f>_xlfn.XLOOKUP(表格1[[#This Row],[Model]],表格3[Model-Input-Ref2],表格3[Code])</f>
        <v>MCA</v>
      </c>
      <c r="K3391" s="89" t="s">
        <v>1410</v>
      </c>
      <c r="L3391" s="86">
        <v>1</v>
      </c>
      <c r="M3391" s="87">
        <v>3580</v>
      </c>
      <c r="N3391" s="87">
        <f>IFERROR(表格1[[#This Row],[QTY]]*表格1[[#This Row],[Unit Price]],"-")</f>
        <v>3580</v>
      </c>
      <c r="O3391" s="86">
        <v>2300525</v>
      </c>
      <c r="R3391" s="86" t="str">
        <f>_xlfn.CONCAT(表格1[[#This Row],[Model]]," ",表格1[[#This Row],[inv no]])</f>
        <v>MX2-STR25SC(WH) 2300525</v>
      </c>
      <c r="S3391" s="86">
        <f>_xlfn.XLOOKUP(表格1[[#This Row],[Model]],表格3[Model-Input-Ref2],表格3[SRP PRICE])</f>
        <v>4998</v>
      </c>
      <c r="T3391" s="43">
        <f>表格1[[#This Row],[Unit Price]]/表格1[[#This Row],[SRP]]</f>
        <v>0.71628651460584236</v>
      </c>
      <c r="U3391" s="86" t="str">
        <f>_xlfn.XLOOKUP(表格1[[#This Row],[Model]],表格3[Model-Input-Ref2],表格3[TOSHIBA/HIGHEST])</f>
        <v>Toshiba SRP</v>
      </c>
      <c r="W3391" s="86" t="str">
        <f>_xlfn.CONCAT(表格1[[#This Row],[欄4]],表格1[[#This Row],[inv no]])</f>
        <v>2300525</v>
      </c>
    </row>
    <row r="3392" spans="1:23" hidden="1">
      <c r="A3392" s="81">
        <v>3390</v>
      </c>
      <c r="B3392" s="86" t="s">
        <v>1477</v>
      </c>
      <c r="C3392" s="86" t="s">
        <v>1961</v>
      </c>
      <c r="D3392" s="82" t="str">
        <f ca="1">OFFSET(Roster!$A$3,MATCH(表格1[[#This Row],[Location]]&amp;" "&amp;表格1[[#This Row],[Shop]]&amp;"*",Roster!$A$4:$A$72,0),DAY(表格1[[#This Row],[date]]),1,1)</f>
        <v>Terence_2</v>
      </c>
      <c r="E3392" s="86">
        <f>MONTH(表格1[[#This Row],[date]])</f>
        <v>3</v>
      </c>
      <c r="F3392" s="90">
        <v>46110</v>
      </c>
      <c r="G3392" s="86" t="str">
        <f>VLOOKUP("*"&amp;表格1[[#This Row],[Input]]&amp;"*",'Ref-List'!$B:$D,2,)</f>
        <v>MX2-TT20SC(WH)</v>
      </c>
      <c r="H3392" s="86" t="str">
        <f>_xlfn.XLOOKUP(表格1[[#This Row],[Model]],表格3[Model-Input-Ref2],表格3[Product Line])</f>
        <v>3合1 微波蒸焗爐 (20公升)</v>
      </c>
      <c r="I3392" s="86" t="str">
        <f>_xlfn.XLOOKUP(表格1[[#This Row],[Model]],表格3[Model-Input-Ref2],表格3[大小電])</f>
        <v>細電</v>
      </c>
      <c r="J3392" s="86" t="str">
        <f>_xlfn.XLOOKUP(表格1[[#This Row],[Model]],表格3[Model-Input-Ref2],表格3[Code])</f>
        <v>MCA</v>
      </c>
      <c r="K3392" s="89" t="s">
        <v>1287</v>
      </c>
      <c r="L3392" s="86">
        <v>1</v>
      </c>
      <c r="M3392" s="87">
        <v>2580</v>
      </c>
      <c r="N3392" s="87">
        <f>IFERROR(表格1[[#This Row],[QTY]]*表格1[[#This Row],[Unit Price]],"-")</f>
        <v>2580</v>
      </c>
      <c r="O3392" s="86">
        <v>2300581</v>
      </c>
      <c r="R3392" s="86" t="str">
        <f>_xlfn.CONCAT(表格1[[#This Row],[Model]]," ",表格1[[#This Row],[inv no]])</f>
        <v>MX2-TT20SC(WH) 2300581</v>
      </c>
      <c r="S3392" s="86">
        <f>_xlfn.XLOOKUP(表格1[[#This Row],[Model]],表格3[Model-Input-Ref2],表格3[SRP PRICE])</f>
        <v>3580</v>
      </c>
      <c r="T3392" s="43">
        <f>表格1[[#This Row],[Unit Price]]/表格1[[#This Row],[SRP]]</f>
        <v>0.72067039106145248</v>
      </c>
      <c r="U3392" s="86" t="str">
        <f>_xlfn.XLOOKUP(表格1[[#This Row],[Model]],表格3[Model-Input-Ref2],表格3[TOSHIBA/HIGHEST])</f>
        <v>Toshiba SRP</v>
      </c>
      <c r="W3392" s="86" t="str">
        <f>_xlfn.CONCAT(表格1[[#This Row],[欄4]],表格1[[#This Row],[inv no]])</f>
        <v>2300581</v>
      </c>
    </row>
    <row r="3393" spans="1:23" hidden="1">
      <c r="A3393" s="81">
        <v>3391</v>
      </c>
      <c r="B3393" s="86" t="s">
        <v>1477</v>
      </c>
      <c r="C3393" s="86" t="s">
        <v>1961</v>
      </c>
      <c r="D3393" s="82" t="str">
        <f ca="1">OFFSET(Roster!$A$3,MATCH(表格1[[#This Row],[Location]]&amp;" "&amp;表格1[[#This Row],[Shop]]&amp;"*",Roster!$A$4:$A$72,0),DAY(表格1[[#This Row],[date]]),1,1)</f>
        <v>Terence_2</v>
      </c>
      <c r="E3393" s="86">
        <f>MONTH(表格1[[#This Row],[date]])</f>
        <v>3</v>
      </c>
      <c r="F3393" s="90">
        <v>46110</v>
      </c>
      <c r="G3393" s="86" t="str">
        <f>VLOOKUP("*"&amp;表格1[[#This Row],[Input]]&amp;"*",'Ref-List'!$B:$D,2,)</f>
        <v>MX2-TT20SC(WH)</v>
      </c>
      <c r="H3393" s="86" t="str">
        <f>_xlfn.XLOOKUP(表格1[[#This Row],[Model]],表格3[Model-Input-Ref2],表格3[Product Line])</f>
        <v>3合1 微波蒸焗爐 (20公升)</v>
      </c>
      <c r="I3393" s="86" t="str">
        <f>_xlfn.XLOOKUP(表格1[[#This Row],[Model]],表格3[Model-Input-Ref2],表格3[大小電])</f>
        <v>細電</v>
      </c>
      <c r="J3393" s="86" t="str">
        <f>_xlfn.XLOOKUP(表格1[[#This Row],[Model]],表格3[Model-Input-Ref2],表格3[Code])</f>
        <v>MCA</v>
      </c>
      <c r="K3393" s="89" t="s">
        <v>1287</v>
      </c>
      <c r="L3393" s="86">
        <v>1</v>
      </c>
      <c r="M3393" s="87">
        <v>2580</v>
      </c>
      <c r="N3393" s="87">
        <f>IFERROR(表格1[[#This Row],[QTY]]*表格1[[#This Row],[Unit Price]],"-")</f>
        <v>2580</v>
      </c>
      <c r="O3393" s="86">
        <v>2300352</v>
      </c>
      <c r="R3393" s="86" t="str">
        <f>_xlfn.CONCAT(表格1[[#This Row],[Model]]," ",表格1[[#This Row],[inv no]])</f>
        <v>MX2-TT20SC(WH) 2300352</v>
      </c>
      <c r="S3393" s="86">
        <f>_xlfn.XLOOKUP(表格1[[#This Row],[Model]],表格3[Model-Input-Ref2],表格3[SRP PRICE])</f>
        <v>3580</v>
      </c>
      <c r="T3393" s="43">
        <f>表格1[[#This Row],[Unit Price]]/表格1[[#This Row],[SRP]]</f>
        <v>0.72067039106145248</v>
      </c>
      <c r="U3393" s="86" t="str">
        <f>_xlfn.XLOOKUP(表格1[[#This Row],[Model]],表格3[Model-Input-Ref2],表格3[TOSHIBA/HIGHEST])</f>
        <v>Toshiba SRP</v>
      </c>
      <c r="W3393" s="86" t="str">
        <f>_xlfn.CONCAT(表格1[[#This Row],[欄4]],表格1[[#This Row],[inv no]])</f>
        <v>2300352</v>
      </c>
    </row>
    <row r="3394" spans="1:23" hidden="1">
      <c r="A3394" s="81">
        <v>3392</v>
      </c>
      <c r="B3394" s="86" t="s">
        <v>1477</v>
      </c>
      <c r="C3394" s="86" t="s">
        <v>1961</v>
      </c>
      <c r="D3394" s="82" t="str">
        <f ca="1">OFFSET(Roster!$A$3,MATCH(表格1[[#This Row],[Location]]&amp;" "&amp;表格1[[#This Row],[Shop]]&amp;"*",Roster!$A$4:$A$72,0),DAY(表格1[[#This Row],[date]]),1,1)</f>
        <v>Terence_2</v>
      </c>
      <c r="E3394" s="86">
        <f>MONTH(表格1[[#This Row],[date]])</f>
        <v>3</v>
      </c>
      <c r="F3394" s="90">
        <v>46110</v>
      </c>
      <c r="G3394" s="86" t="str">
        <f>VLOOKUP("*"&amp;表格1[[#This Row],[Input]]&amp;"*",'Ref-List'!$B:$D,2,)</f>
        <v>ER-SD99HKW</v>
      </c>
      <c r="H3394" s="86" t="str">
        <f>_xlfn.XLOOKUP(表格1[[#This Row],[Model]],表格3[Model-Input-Ref2],表格3[Product Line])</f>
        <v>智能水波爐 (26公升)</v>
      </c>
      <c r="I3394" s="86" t="str">
        <f>_xlfn.XLOOKUP(表格1[[#This Row],[Model]],表格3[Model-Input-Ref2],表格3[大小電])</f>
        <v>細電</v>
      </c>
      <c r="J3394" s="86" t="str">
        <f>_xlfn.XLOOKUP(表格1[[#This Row],[Model]],表格3[Model-Input-Ref2],表格3[Code])</f>
        <v>MCA</v>
      </c>
      <c r="K3394" s="89" t="s">
        <v>1382</v>
      </c>
      <c r="L3394" s="86">
        <v>1</v>
      </c>
      <c r="M3394" s="87">
        <v>3790</v>
      </c>
      <c r="N3394" s="87">
        <f>IFERROR(表格1[[#This Row],[QTY]]*表格1[[#This Row],[Unit Price]],"-")</f>
        <v>3790</v>
      </c>
      <c r="O3394" s="86">
        <v>2300420</v>
      </c>
      <c r="R3394" s="86" t="str">
        <f>_xlfn.CONCAT(表格1[[#This Row],[Model]]," ",表格1[[#This Row],[inv no]])</f>
        <v>ER-SD99HKW 2300420</v>
      </c>
      <c r="S3394" s="86">
        <f>_xlfn.XLOOKUP(表格1[[#This Row],[Model]],表格3[Model-Input-Ref2],表格3[SRP PRICE])</f>
        <v>5888</v>
      </c>
      <c r="T3394" s="43">
        <f>表格1[[#This Row],[Unit Price]]/表格1[[#This Row],[SRP]]</f>
        <v>0.64368206521739135</v>
      </c>
      <c r="U3394" s="86" t="str">
        <f>_xlfn.XLOOKUP(表格1[[#This Row],[Model]],表格3[Model-Input-Ref2],表格3[TOSHIBA/HIGHEST])</f>
        <v>Toshiba SRP</v>
      </c>
      <c r="W3394" s="86" t="str">
        <f>_xlfn.CONCAT(表格1[[#This Row],[欄4]],表格1[[#This Row],[inv no]])</f>
        <v>2300420</v>
      </c>
    </row>
    <row r="3395" spans="1:23" hidden="1">
      <c r="A3395" s="81">
        <v>3393</v>
      </c>
      <c r="B3395" s="86" t="s">
        <v>1477</v>
      </c>
      <c r="C3395" s="86" t="s">
        <v>1961</v>
      </c>
      <c r="D3395" s="82" t="str">
        <f ca="1">OFFSET(Roster!$A$3,MATCH(表格1[[#This Row],[Location]]&amp;" "&amp;表格1[[#This Row],[Shop]]&amp;"*",Roster!$A$4:$A$72,0),DAY(表格1[[#This Row],[date]]),1,1)</f>
        <v>Terence_2</v>
      </c>
      <c r="E3395" s="86">
        <f>MONTH(表格1[[#This Row],[date]])</f>
        <v>3</v>
      </c>
      <c r="F3395" s="90">
        <v>46110</v>
      </c>
      <c r="G3395" s="86" t="str">
        <f>VLOOKUP("*"&amp;表格1[[#This Row],[Input]]&amp;"*",'Ref-List'!$B:$D,2,)</f>
        <v>MV-AG21TF(BK)</v>
      </c>
      <c r="H3395" s="86" t="str">
        <f>_xlfn.XLOOKUP(表格1[[#This Row],[Model]],表格3[Model-Input-Ref2],表格3[Product Line])</f>
        <v>燒烤微波爐21L</v>
      </c>
      <c r="I3395" s="86" t="str">
        <f>_xlfn.XLOOKUP(表格1[[#This Row],[Model]],表格3[Model-Input-Ref2],表格3[大小電])</f>
        <v>細電</v>
      </c>
      <c r="J3395" s="86" t="str">
        <f>_xlfn.XLOOKUP(表格1[[#This Row],[Model]],表格3[Model-Input-Ref2],表格3[Code])</f>
        <v>SDA</v>
      </c>
      <c r="K3395" s="89" t="s">
        <v>1486</v>
      </c>
      <c r="L3395" s="86">
        <v>1</v>
      </c>
      <c r="M3395" s="87">
        <v>798</v>
      </c>
      <c r="N3395" s="87">
        <f>IFERROR(表格1[[#This Row],[QTY]]*表格1[[#This Row],[Unit Price]],"-")</f>
        <v>798</v>
      </c>
      <c r="O3395" s="86">
        <v>2300562</v>
      </c>
      <c r="R3395" s="86" t="str">
        <f>_xlfn.CONCAT(表格1[[#This Row],[Model]]," ",表格1[[#This Row],[inv no]])</f>
        <v>MV-AG21TF(BK) 2300562</v>
      </c>
      <c r="S3395" s="86">
        <f>_xlfn.XLOOKUP(表格1[[#This Row],[Model]],表格3[Model-Input-Ref2],表格3[SRP PRICE])</f>
        <v>1098</v>
      </c>
      <c r="T3395" s="43">
        <f>表格1[[#This Row],[Unit Price]]/表格1[[#This Row],[SRP]]</f>
        <v>0.72677595628415304</v>
      </c>
      <c r="U3395" s="86" t="str">
        <f>_xlfn.XLOOKUP(表格1[[#This Row],[Model]],表格3[Model-Input-Ref2],表格3[TOSHIBA/HIGHEST])</f>
        <v>Toshiba SRP</v>
      </c>
      <c r="W3395" s="86" t="str">
        <f>_xlfn.CONCAT(表格1[[#This Row],[欄4]],表格1[[#This Row],[inv no]])</f>
        <v>2300562</v>
      </c>
    </row>
    <row r="3396" spans="1:23" hidden="1">
      <c r="A3396" s="81">
        <v>3394</v>
      </c>
      <c r="B3396" s="86" t="s">
        <v>1477</v>
      </c>
      <c r="C3396" s="86" t="s">
        <v>1961</v>
      </c>
      <c r="D3396" s="82" t="str">
        <f ca="1">OFFSET(Roster!$A$3,MATCH(表格1[[#This Row],[Location]]&amp;" "&amp;表格1[[#This Row],[Shop]]&amp;"*",Roster!$A$4:$A$72,0),DAY(表格1[[#This Row],[date]]),1,1)</f>
        <v>Terence_2</v>
      </c>
      <c r="E3396" s="86">
        <f>MONTH(表格1[[#This Row],[date]])</f>
        <v>3</v>
      </c>
      <c r="F3396" s="90">
        <v>46110</v>
      </c>
      <c r="G3396" s="86" t="str">
        <f>VLOOKUP("*"&amp;表格1[[#This Row],[Input]]&amp;"*",'Ref-List'!$B:$D,2,)</f>
        <v>MV-AG21TF(BK)</v>
      </c>
      <c r="H3396" s="86" t="str">
        <f>_xlfn.XLOOKUP(表格1[[#This Row],[Model]],表格3[Model-Input-Ref2],表格3[Product Line])</f>
        <v>燒烤微波爐21L</v>
      </c>
      <c r="I3396" s="86" t="str">
        <f>_xlfn.XLOOKUP(表格1[[#This Row],[Model]],表格3[Model-Input-Ref2],表格3[大小電])</f>
        <v>細電</v>
      </c>
      <c r="J3396" s="86" t="str">
        <f>_xlfn.XLOOKUP(表格1[[#This Row],[Model]],表格3[Model-Input-Ref2],表格3[Code])</f>
        <v>SDA</v>
      </c>
      <c r="K3396" s="89" t="s">
        <v>1486</v>
      </c>
      <c r="L3396" s="86">
        <v>1</v>
      </c>
      <c r="M3396" s="87">
        <v>798</v>
      </c>
      <c r="N3396" s="87">
        <f>IFERROR(表格1[[#This Row],[QTY]]*表格1[[#This Row],[Unit Price]],"-")</f>
        <v>798</v>
      </c>
      <c r="O3396" s="86">
        <v>2300549</v>
      </c>
      <c r="R3396" s="86" t="str">
        <f>_xlfn.CONCAT(表格1[[#This Row],[Model]]," ",表格1[[#This Row],[inv no]])</f>
        <v>MV-AG21TF(BK) 2300549</v>
      </c>
      <c r="S3396" s="86">
        <f>_xlfn.XLOOKUP(表格1[[#This Row],[Model]],表格3[Model-Input-Ref2],表格3[SRP PRICE])</f>
        <v>1098</v>
      </c>
      <c r="T3396" s="43">
        <f>表格1[[#This Row],[Unit Price]]/表格1[[#This Row],[SRP]]</f>
        <v>0.72677595628415304</v>
      </c>
      <c r="U3396" s="86" t="str">
        <f>_xlfn.XLOOKUP(表格1[[#This Row],[Model]],表格3[Model-Input-Ref2],表格3[TOSHIBA/HIGHEST])</f>
        <v>Toshiba SRP</v>
      </c>
      <c r="W3396" s="86" t="str">
        <f>_xlfn.CONCAT(表格1[[#This Row],[欄4]],表格1[[#This Row],[inv no]])</f>
        <v>2300549</v>
      </c>
    </row>
    <row r="3397" spans="1:23" hidden="1">
      <c r="A3397" s="81">
        <v>3395</v>
      </c>
      <c r="B3397" s="86" t="s">
        <v>1477</v>
      </c>
      <c r="C3397" s="86" t="s">
        <v>1961</v>
      </c>
      <c r="D3397" s="82" t="str">
        <f ca="1">OFFSET(Roster!$A$3,MATCH(表格1[[#This Row],[Location]]&amp;" "&amp;表格1[[#This Row],[Shop]]&amp;"*",Roster!$A$4:$A$72,0),DAY(表格1[[#This Row],[date]]),1,1)</f>
        <v>Terence_2</v>
      </c>
      <c r="E3397" s="86">
        <f>MONTH(表格1[[#This Row],[date]])</f>
        <v>3</v>
      </c>
      <c r="F3397" s="90">
        <v>46110</v>
      </c>
      <c r="G3397" s="86" t="str">
        <f>VLOOKUP("*"&amp;表格1[[#This Row],[Input]]&amp;"*",'Ref-List'!$B:$D,2,)</f>
        <v>F-ALB60HK(B)</v>
      </c>
      <c r="H3397" s="86" t="str">
        <f>_xlfn.XLOOKUP(表格1[[#This Row],[Model]],表格3[Model-Input-Ref2],表格3[Product Line])</f>
        <v>12吋座地座檯電風扇</v>
      </c>
      <c r="I3397" s="86" t="str">
        <f>_xlfn.XLOOKUP(表格1[[#This Row],[Model]],表格3[Model-Input-Ref2],表格3[大小電])</f>
        <v>細電</v>
      </c>
      <c r="J3397" s="86" t="str">
        <f>_xlfn.XLOOKUP(表格1[[#This Row],[Model]],表格3[Model-Input-Ref2],表格3[Code])</f>
        <v>SDA</v>
      </c>
      <c r="K3397" s="89" t="s">
        <v>1490</v>
      </c>
      <c r="L3397" s="86">
        <v>1</v>
      </c>
      <c r="M3397" s="87">
        <v>499</v>
      </c>
      <c r="N3397" s="87">
        <f>IFERROR(表格1[[#This Row],[QTY]]*表格1[[#This Row],[Unit Price]],"-")</f>
        <v>499</v>
      </c>
      <c r="O3397" s="86">
        <v>2300433</v>
      </c>
      <c r="R3397" s="86" t="str">
        <f>_xlfn.CONCAT(表格1[[#This Row],[Model]]," ",表格1[[#This Row],[inv no]])</f>
        <v>F-ALB60HK(B) 2300433</v>
      </c>
      <c r="S3397" s="86">
        <f>_xlfn.XLOOKUP(表格1[[#This Row],[Model]],表格3[Model-Input-Ref2],表格3[SRP PRICE])</f>
        <v>839</v>
      </c>
      <c r="T3397" s="43">
        <f>表格1[[#This Row],[Unit Price]]/表格1[[#This Row],[SRP]]</f>
        <v>0.59475566150178782</v>
      </c>
      <c r="U3397" s="86" t="str">
        <f>_xlfn.XLOOKUP(表格1[[#This Row],[Model]],表格3[Model-Input-Ref2],表格3[TOSHIBA/HIGHEST])</f>
        <v>Shops Highest Price</v>
      </c>
      <c r="W3397" s="86" t="str">
        <f>_xlfn.CONCAT(表格1[[#This Row],[欄4]],表格1[[#This Row],[inv no]])</f>
        <v>2300433</v>
      </c>
    </row>
    <row r="3398" spans="1:23" hidden="1">
      <c r="A3398" s="81">
        <v>3396</v>
      </c>
      <c r="B3398" s="86" t="s">
        <v>1477</v>
      </c>
      <c r="C3398" s="86" t="s">
        <v>1961</v>
      </c>
      <c r="D3398" s="82" t="str">
        <f ca="1">OFFSET(Roster!$A$3,MATCH(表格1[[#This Row],[Location]]&amp;" "&amp;表格1[[#This Row],[Shop]]&amp;"*",Roster!$A$4:$A$72,0),DAY(表格1[[#This Row],[date]]),1,1)</f>
        <v>Terence_2</v>
      </c>
      <c r="E3398" s="86">
        <f>MONTH(表格1[[#This Row],[date]])</f>
        <v>3</v>
      </c>
      <c r="F3398" s="90">
        <v>46110</v>
      </c>
      <c r="G3398" s="86" t="str">
        <f>VLOOKUP("*"&amp;表格1[[#This Row],[Input]]&amp;"*",'Ref-List'!$B:$D,2,)</f>
        <v>F-ALB60HK(B)</v>
      </c>
      <c r="H3398" s="86" t="str">
        <f>_xlfn.XLOOKUP(表格1[[#This Row],[Model]],表格3[Model-Input-Ref2],表格3[Product Line])</f>
        <v>12吋座地座檯電風扇</v>
      </c>
      <c r="I3398" s="86" t="str">
        <f>_xlfn.XLOOKUP(表格1[[#This Row],[Model]],表格3[Model-Input-Ref2],表格3[大小電])</f>
        <v>細電</v>
      </c>
      <c r="J3398" s="86" t="str">
        <f>_xlfn.XLOOKUP(表格1[[#This Row],[Model]],表格3[Model-Input-Ref2],表格3[Code])</f>
        <v>SDA</v>
      </c>
      <c r="K3398" s="89" t="s">
        <v>1490</v>
      </c>
      <c r="L3398" s="86">
        <v>1</v>
      </c>
      <c r="M3398" s="87">
        <v>499</v>
      </c>
      <c r="N3398" s="87">
        <f>IFERROR(表格1[[#This Row],[QTY]]*表格1[[#This Row],[Unit Price]],"-")</f>
        <v>499</v>
      </c>
      <c r="O3398" s="86">
        <v>2300563</v>
      </c>
      <c r="R3398" s="86" t="str">
        <f>_xlfn.CONCAT(表格1[[#This Row],[Model]]," ",表格1[[#This Row],[inv no]])</f>
        <v>F-ALB60HK(B) 2300563</v>
      </c>
      <c r="S3398" s="86">
        <f>_xlfn.XLOOKUP(表格1[[#This Row],[Model]],表格3[Model-Input-Ref2],表格3[SRP PRICE])</f>
        <v>839</v>
      </c>
      <c r="T3398" s="43">
        <f>表格1[[#This Row],[Unit Price]]/表格1[[#This Row],[SRP]]</f>
        <v>0.59475566150178782</v>
      </c>
      <c r="U3398" s="86" t="str">
        <f>_xlfn.XLOOKUP(表格1[[#This Row],[Model]],表格3[Model-Input-Ref2],表格3[TOSHIBA/HIGHEST])</f>
        <v>Shops Highest Price</v>
      </c>
      <c r="W3398" s="86" t="str">
        <f>_xlfn.CONCAT(表格1[[#This Row],[欄4]],表格1[[#This Row],[inv no]])</f>
        <v>2300563</v>
      </c>
    </row>
    <row r="3399" spans="1:23" hidden="1">
      <c r="A3399" s="81">
        <v>3397</v>
      </c>
      <c r="B3399" s="86" t="s">
        <v>1477</v>
      </c>
      <c r="C3399" s="86" t="s">
        <v>1961</v>
      </c>
      <c r="D3399" s="82" t="str">
        <f ca="1">OFFSET(Roster!$A$3,MATCH(表格1[[#This Row],[Location]]&amp;" "&amp;表格1[[#This Row],[Shop]]&amp;"*",Roster!$A$4:$A$72,0),DAY(表格1[[#This Row],[date]]),1,1)</f>
        <v>Terence_2</v>
      </c>
      <c r="E3399" s="86">
        <f>MONTH(表格1[[#This Row],[date]])</f>
        <v>3</v>
      </c>
      <c r="F3399" s="90">
        <v>46110</v>
      </c>
      <c r="G3399" s="86" t="str">
        <f>VLOOKUP("*"&amp;表格1[[#This Row],[Input]]&amp;"*",'Ref-List'!$B:$D,2,)</f>
        <v>F-ALB60HK(B)</v>
      </c>
      <c r="H3399" s="86" t="str">
        <f>_xlfn.XLOOKUP(表格1[[#This Row],[Model]],表格3[Model-Input-Ref2],表格3[Product Line])</f>
        <v>12吋座地座檯電風扇</v>
      </c>
      <c r="I3399" s="86" t="str">
        <f>_xlfn.XLOOKUP(表格1[[#This Row],[Model]],表格3[Model-Input-Ref2],表格3[大小電])</f>
        <v>細電</v>
      </c>
      <c r="J3399" s="86" t="str">
        <f>_xlfn.XLOOKUP(表格1[[#This Row],[Model]],表格3[Model-Input-Ref2],表格3[Code])</f>
        <v>SDA</v>
      </c>
      <c r="K3399" s="89" t="s">
        <v>1490</v>
      </c>
      <c r="L3399" s="86">
        <v>1</v>
      </c>
      <c r="M3399" s="87">
        <v>499</v>
      </c>
      <c r="N3399" s="87">
        <f>IFERROR(表格1[[#This Row],[QTY]]*表格1[[#This Row],[Unit Price]],"-")</f>
        <v>499</v>
      </c>
      <c r="O3399" s="86">
        <v>2300156</v>
      </c>
      <c r="R3399" s="86" t="str">
        <f>_xlfn.CONCAT(表格1[[#This Row],[Model]]," ",表格1[[#This Row],[inv no]])</f>
        <v>F-ALB60HK(B) 2300156</v>
      </c>
      <c r="S3399" s="86">
        <f>_xlfn.XLOOKUP(表格1[[#This Row],[Model]],表格3[Model-Input-Ref2],表格3[SRP PRICE])</f>
        <v>839</v>
      </c>
      <c r="T3399" s="43">
        <f>表格1[[#This Row],[Unit Price]]/表格1[[#This Row],[SRP]]</f>
        <v>0.59475566150178782</v>
      </c>
      <c r="U3399" s="86" t="str">
        <f>_xlfn.XLOOKUP(表格1[[#This Row],[Model]],表格3[Model-Input-Ref2],表格3[TOSHIBA/HIGHEST])</f>
        <v>Shops Highest Price</v>
      </c>
      <c r="W3399" s="86" t="str">
        <f>_xlfn.CONCAT(表格1[[#This Row],[欄4]],表格1[[#This Row],[inv no]])</f>
        <v>2300156</v>
      </c>
    </row>
    <row r="3400" spans="1:23" hidden="1">
      <c r="A3400" s="81">
        <v>3398</v>
      </c>
      <c r="B3400" s="86" t="s">
        <v>1477</v>
      </c>
      <c r="C3400" s="86" t="s">
        <v>1961</v>
      </c>
      <c r="D3400" s="82" t="str">
        <f ca="1">OFFSET(Roster!$A$3,MATCH(表格1[[#This Row],[Location]]&amp;" "&amp;表格1[[#This Row],[Shop]]&amp;"*",Roster!$A$4:$A$72,0),DAY(表格1[[#This Row],[date]]),1,1)</f>
        <v>Terence_2</v>
      </c>
      <c r="E3400" s="86">
        <f>MONTH(表格1[[#This Row],[date]])</f>
        <v>3</v>
      </c>
      <c r="F3400" s="90">
        <v>46110</v>
      </c>
      <c r="G3400" s="86" t="str">
        <f>VLOOKUP("*"&amp;表格1[[#This Row],[Input]]&amp;"*",'Ref-List'!$B:$D,2,)</f>
        <v>RC-18ISPH</v>
      </c>
      <c r="H3400" s="86" t="str">
        <f>_xlfn.XLOOKUP(表格1[[#This Row],[Model]],表格3[Model-Input-Ref2],表格3[Product Line])</f>
        <v>低醣磁應電飯煲1.8L</v>
      </c>
      <c r="I3400" s="86" t="str">
        <f>_xlfn.XLOOKUP(表格1[[#This Row],[Model]],表格3[Model-Input-Ref2],表格3[大小電])</f>
        <v>細電</v>
      </c>
      <c r="J3400" s="86" t="str">
        <f>_xlfn.XLOOKUP(表格1[[#This Row],[Model]],表格3[Model-Input-Ref2],表格3[Code])</f>
        <v>SDA</v>
      </c>
      <c r="K3400" s="89" t="s">
        <v>1281</v>
      </c>
      <c r="L3400" s="86">
        <v>1</v>
      </c>
      <c r="M3400" s="87">
        <v>898</v>
      </c>
      <c r="N3400" s="87">
        <f>IFERROR(表格1[[#This Row],[QTY]]*表格1[[#This Row],[Unit Price]],"-")</f>
        <v>898</v>
      </c>
      <c r="O3400" s="86">
        <v>2300552</v>
      </c>
      <c r="R3400" s="86" t="str">
        <f>_xlfn.CONCAT(表格1[[#This Row],[Model]]," ",表格1[[#This Row],[inv no]])</f>
        <v>RC-18ISPH 2300552</v>
      </c>
      <c r="S3400" s="86">
        <f>_xlfn.XLOOKUP(表格1[[#This Row],[Model]],表格3[Model-Input-Ref2],表格3[SRP PRICE])</f>
        <v>1436</v>
      </c>
      <c r="T3400" s="43">
        <f>表格1[[#This Row],[Unit Price]]/表格1[[#This Row],[SRP]]</f>
        <v>0.62534818941504178</v>
      </c>
      <c r="U3400" s="86" t="str">
        <f>_xlfn.XLOOKUP(表格1[[#This Row],[Model]],表格3[Model-Input-Ref2],表格3[TOSHIBA/HIGHEST])</f>
        <v>Shops Highest Price</v>
      </c>
      <c r="W3400" s="86" t="str">
        <f>_xlfn.CONCAT(表格1[[#This Row],[欄4]],表格1[[#This Row],[inv no]])</f>
        <v>2300552</v>
      </c>
    </row>
    <row r="3401" spans="1:23" hidden="1">
      <c r="A3401" s="81">
        <v>3399</v>
      </c>
      <c r="B3401" s="86" t="s">
        <v>1477</v>
      </c>
      <c r="C3401" s="86" t="s">
        <v>1961</v>
      </c>
      <c r="D3401" s="82" t="str">
        <f ca="1">OFFSET(Roster!$A$3,MATCH(表格1[[#This Row],[Location]]&amp;" "&amp;表格1[[#This Row],[Shop]]&amp;"*",Roster!$A$4:$A$72,0),DAY(表格1[[#This Row],[date]]),1,1)</f>
        <v>Terence_2</v>
      </c>
      <c r="E3401" s="86">
        <f>MONTH(表格1[[#This Row],[date]])</f>
        <v>3</v>
      </c>
      <c r="F3401" s="90">
        <v>46110</v>
      </c>
      <c r="G3401" s="86" t="str">
        <f>VLOOKUP("*"&amp;表格1[[#This Row],[Input]]&amp;"*",'Ref-List'!$B:$D,2,)</f>
        <v>RC-10JRUH(N)</v>
      </c>
      <c r="H3401" s="86" t="str">
        <f>_xlfn.XLOOKUP(表格1[[#This Row],[Model]],表格3[Model-Input-Ref2],表格3[Product Line])</f>
        <v>電飯煲</v>
      </c>
      <c r="I3401" s="86" t="str">
        <f>_xlfn.XLOOKUP(表格1[[#This Row],[Model]],表格3[Model-Input-Ref2],表格3[大小電])</f>
        <v>細電</v>
      </c>
      <c r="J3401" s="86" t="str">
        <f>_xlfn.XLOOKUP(表格1[[#This Row],[Model]],表格3[Model-Input-Ref2],表格3[Code])</f>
        <v>SDA</v>
      </c>
      <c r="K3401" s="89" t="s">
        <v>1263</v>
      </c>
      <c r="L3401" s="86">
        <v>1</v>
      </c>
      <c r="M3401" s="87">
        <v>298</v>
      </c>
      <c r="N3401" s="87">
        <f>IFERROR(表格1[[#This Row],[QTY]]*表格1[[#This Row],[Unit Price]],"-")</f>
        <v>298</v>
      </c>
      <c r="O3401" s="86">
        <v>2300412</v>
      </c>
      <c r="R3401" s="86" t="str">
        <f>_xlfn.CONCAT(表格1[[#This Row],[Model]]," ",表格1[[#This Row],[inv no]])</f>
        <v>RC-10JRUH(N) 2300412</v>
      </c>
      <c r="S3401" s="86">
        <f>_xlfn.XLOOKUP(表格1[[#This Row],[Model]],表格3[Model-Input-Ref2],表格3[SRP PRICE])</f>
        <v>398</v>
      </c>
      <c r="T3401" s="43">
        <f>表格1[[#This Row],[Unit Price]]/表格1[[#This Row],[SRP]]</f>
        <v>0.74874371859296485</v>
      </c>
      <c r="U3401" s="86" t="str">
        <f>_xlfn.XLOOKUP(表格1[[#This Row],[Model]],表格3[Model-Input-Ref2],表格3[TOSHIBA/HIGHEST])</f>
        <v>Shops Highest Price</v>
      </c>
      <c r="W3401" s="86" t="str">
        <f>_xlfn.CONCAT(表格1[[#This Row],[欄4]],表格1[[#This Row],[inv no]])</f>
        <v>2300412</v>
      </c>
    </row>
    <row r="3402" spans="1:23" hidden="1">
      <c r="A3402" s="81">
        <v>3400</v>
      </c>
      <c r="B3402" s="86" t="s">
        <v>1477</v>
      </c>
      <c r="C3402" s="86" t="s">
        <v>1961</v>
      </c>
      <c r="D3402" s="82" t="str">
        <f ca="1">OFFSET(Roster!$A$3,MATCH(表格1[[#This Row],[Location]]&amp;" "&amp;表格1[[#This Row],[Shop]]&amp;"*",Roster!$A$4:$A$72,0),DAY(表格1[[#This Row],[date]]),1,1)</f>
        <v>Terence_2</v>
      </c>
      <c r="E3402" s="86">
        <f>MONTH(表格1[[#This Row],[date]])</f>
        <v>3</v>
      </c>
      <c r="F3402" s="90">
        <v>46110</v>
      </c>
      <c r="G3402" s="86" t="str">
        <f>VLOOKUP("*"&amp;表格1[[#This Row],[Input]]&amp;"*",'Ref-List'!$B:$D,2,)</f>
        <v>DW-05T2-HK</v>
      </c>
      <c r="H3402" s="86" t="str">
        <f>_xlfn.XLOOKUP(表格1[[#This Row],[Model]],表格3[Model-Input-Ref2],表格3[Product Line])</f>
        <v>座檯式洗碗碟機</v>
      </c>
      <c r="I3402" s="86" t="str">
        <f>_xlfn.XLOOKUP(表格1[[#This Row],[Model]],表格3[Model-Input-Ref2],表格3[大小電])</f>
        <v>細電</v>
      </c>
      <c r="J3402" s="86" t="str">
        <f>_xlfn.XLOOKUP(表格1[[#This Row],[Model]],表格3[Model-Input-Ref2],表格3[Code])</f>
        <v>DW</v>
      </c>
      <c r="K3402" s="89" t="s">
        <v>1475</v>
      </c>
      <c r="L3402" s="86">
        <v>1</v>
      </c>
      <c r="M3402" s="87">
        <v>3780</v>
      </c>
      <c r="N3402" s="87">
        <f>IFERROR(表格1[[#This Row],[QTY]]*表格1[[#This Row],[Unit Price]],"-")</f>
        <v>3780</v>
      </c>
      <c r="O3402" s="86">
        <v>2300417</v>
      </c>
      <c r="R3402" s="86" t="str">
        <f>_xlfn.CONCAT(表格1[[#This Row],[Model]]," ",表格1[[#This Row],[inv no]])</f>
        <v>DW-05T2-HK 2300417</v>
      </c>
      <c r="S3402" s="86">
        <f>_xlfn.XLOOKUP(表格1[[#This Row],[Model]],表格3[Model-Input-Ref2],表格3[SRP PRICE])</f>
        <v>4580</v>
      </c>
      <c r="T3402" s="43">
        <f>表格1[[#This Row],[Unit Price]]/表格1[[#This Row],[SRP]]</f>
        <v>0.8253275109170306</v>
      </c>
      <c r="U3402" s="86" t="str">
        <f>_xlfn.XLOOKUP(表格1[[#This Row],[Model]],表格3[Model-Input-Ref2],表格3[TOSHIBA/HIGHEST])</f>
        <v>Toshiba SRP</v>
      </c>
      <c r="W3402" s="86" t="str">
        <f>_xlfn.CONCAT(表格1[[#This Row],[欄4]],表格1[[#This Row],[inv no]])</f>
        <v>2300417</v>
      </c>
    </row>
    <row r="3403" spans="1:23" hidden="1">
      <c r="A3403" s="81">
        <v>3401</v>
      </c>
      <c r="B3403" s="86" t="s">
        <v>1477</v>
      </c>
      <c r="C3403" s="86" t="s">
        <v>1961</v>
      </c>
      <c r="D3403" s="82" t="str">
        <f ca="1">OFFSET(Roster!$A$3,MATCH(表格1[[#This Row],[Location]]&amp;" "&amp;表格1[[#This Row],[Shop]]&amp;"*",Roster!$A$4:$A$72,0),DAY(表格1[[#This Row],[date]]),1,1)</f>
        <v>Terence_2</v>
      </c>
      <c r="E3403" s="86">
        <f>MONTH(表格1[[#This Row],[date]])</f>
        <v>3</v>
      </c>
      <c r="F3403" s="90">
        <v>46110</v>
      </c>
      <c r="G3403" s="86" t="str">
        <f>VLOOKUP("*"&amp;表格1[[#This Row],[Input]]&amp;"*",'Ref-List'!$B:$D,2,)</f>
        <v>DW-05T2-HK</v>
      </c>
      <c r="H3403" s="86" t="str">
        <f>_xlfn.XLOOKUP(表格1[[#This Row],[Model]],表格3[Model-Input-Ref2],表格3[Product Line])</f>
        <v>座檯式洗碗碟機</v>
      </c>
      <c r="I3403" s="86" t="str">
        <f>_xlfn.XLOOKUP(表格1[[#This Row],[Model]],表格3[Model-Input-Ref2],表格3[大小電])</f>
        <v>細電</v>
      </c>
      <c r="J3403" s="86" t="str">
        <f>_xlfn.XLOOKUP(表格1[[#This Row],[Model]],表格3[Model-Input-Ref2],表格3[Code])</f>
        <v>DW</v>
      </c>
      <c r="K3403" s="89" t="s">
        <v>1475</v>
      </c>
      <c r="L3403" s="86">
        <v>1</v>
      </c>
      <c r="M3403" s="87">
        <v>3780</v>
      </c>
      <c r="N3403" s="87">
        <f>IFERROR(表格1[[#This Row],[QTY]]*表格1[[#This Row],[Unit Price]],"-")</f>
        <v>3780</v>
      </c>
      <c r="O3403" s="86">
        <v>2300518</v>
      </c>
      <c r="R3403" s="86" t="str">
        <f>_xlfn.CONCAT(表格1[[#This Row],[Model]]," ",表格1[[#This Row],[inv no]])</f>
        <v>DW-05T2-HK 2300518</v>
      </c>
      <c r="S3403" s="86">
        <f>_xlfn.XLOOKUP(表格1[[#This Row],[Model]],表格3[Model-Input-Ref2],表格3[SRP PRICE])</f>
        <v>4580</v>
      </c>
      <c r="T3403" s="43">
        <f>表格1[[#This Row],[Unit Price]]/表格1[[#This Row],[SRP]]</f>
        <v>0.8253275109170306</v>
      </c>
      <c r="U3403" s="86" t="str">
        <f>_xlfn.XLOOKUP(表格1[[#This Row],[Model]],表格3[Model-Input-Ref2],表格3[TOSHIBA/HIGHEST])</f>
        <v>Toshiba SRP</v>
      </c>
      <c r="W3403" s="86" t="str">
        <f>_xlfn.CONCAT(表格1[[#This Row],[欄4]],表格1[[#This Row],[inv no]])</f>
        <v>2300518</v>
      </c>
    </row>
    <row r="3404" spans="1:23" hidden="1">
      <c r="A3404" s="81">
        <v>3402</v>
      </c>
      <c r="B3404" s="86" t="s">
        <v>1477</v>
      </c>
      <c r="C3404" s="86" t="s">
        <v>1961</v>
      </c>
      <c r="D3404" s="82" t="str">
        <f ca="1">OFFSET(Roster!$A$3,MATCH(表格1[[#This Row],[Location]]&amp;" "&amp;表格1[[#This Row],[Shop]]&amp;"*",Roster!$A$4:$A$72,0),DAY(表格1[[#This Row],[date]]),1,1)</f>
        <v>Terence_2</v>
      </c>
      <c r="E3404" s="86">
        <f>MONTH(表格1[[#This Row],[date]])</f>
        <v>3</v>
      </c>
      <c r="F3404" s="90">
        <v>46110</v>
      </c>
      <c r="G3404" s="86" t="str">
        <f>VLOOKUP("*"&amp;表格1[[#This Row],[Input]]&amp;"*",'Ref-List'!$B:$D,2,)</f>
        <v>DW-05T2-HK</v>
      </c>
      <c r="H3404" s="86" t="str">
        <f>_xlfn.XLOOKUP(表格1[[#This Row],[Model]],表格3[Model-Input-Ref2],表格3[Product Line])</f>
        <v>座檯式洗碗碟機</v>
      </c>
      <c r="I3404" s="86" t="str">
        <f>_xlfn.XLOOKUP(表格1[[#This Row],[Model]],表格3[Model-Input-Ref2],表格3[大小電])</f>
        <v>細電</v>
      </c>
      <c r="J3404" s="86" t="str">
        <f>_xlfn.XLOOKUP(表格1[[#This Row],[Model]],表格3[Model-Input-Ref2],表格3[Code])</f>
        <v>DW</v>
      </c>
      <c r="K3404" s="89" t="s">
        <v>1475</v>
      </c>
      <c r="L3404" s="86">
        <v>1</v>
      </c>
      <c r="M3404" s="87">
        <v>3780</v>
      </c>
      <c r="N3404" s="87">
        <f>IFERROR(表格1[[#This Row],[QTY]]*表格1[[#This Row],[Unit Price]],"-")</f>
        <v>3780</v>
      </c>
      <c r="O3404" s="86">
        <v>2300501</v>
      </c>
      <c r="R3404" s="86" t="str">
        <f>_xlfn.CONCAT(表格1[[#This Row],[Model]]," ",表格1[[#This Row],[inv no]])</f>
        <v>DW-05T2-HK 2300501</v>
      </c>
      <c r="S3404" s="86">
        <f>_xlfn.XLOOKUP(表格1[[#This Row],[Model]],表格3[Model-Input-Ref2],表格3[SRP PRICE])</f>
        <v>4580</v>
      </c>
      <c r="T3404" s="43">
        <f>表格1[[#This Row],[Unit Price]]/表格1[[#This Row],[SRP]]</f>
        <v>0.8253275109170306</v>
      </c>
      <c r="U3404" s="86" t="str">
        <f>_xlfn.XLOOKUP(表格1[[#This Row],[Model]],表格3[Model-Input-Ref2],表格3[TOSHIBA/HIGHEST])</f>
        <v>Toshiba SRP</v>
      </c>
      <c r="W3404" s="86" t="str">
        <f>_xlfn.CONCAT(表格1[[#This Row],[欄4]],表格1[[#This Row],[inv no]])</f>
        <v>2300501</v>
      </c>
    </row>
    <row r="3405" spans="1:23" hidden="1">
      <c r="A3405" s="81">
        <v>3403</v>
      </c>
      <c r="B3405" s="86" t="s">
        <v>1477</v>
      </c>
      <c r="C3405" s="86" t="s">
        <v>1961</v>
      </c>
      <c r="D3405" s="82" t="str">
        <f ca="1">OFFSET(Roster!$A$3,MATCH(表格1[[#This Row],[Location]]&amp;" "&amp;表格1[[#This Row],[Shop]]&amp;"*",Roster!$A$4:$A$72,0),DAY(表格1[[#This Row],[date]]),1,1)</f>
        <v>Terence_2</v>
      </c>
      <c r="E3405" s="86">
        <f>MONTH(表格1[[#This Row],[date]])</f>
        <v>3</v>
      </c>
      <c r="F3405" s="90">
        <v>46110</v>
      </c>
      <c r="G3405" s="86" t="str">
        <f>VLOOKUP("*"&amp;表格1[[#This Row],[Input]]&amp;"*",'Ref-List'!$B:$D,2,)</f>
        <v>DW-05T2-HK</v>
      </c>
      <c r="H3405" s="86" t="str">
        <f>_xlfn.XLOOKUP(表格1[[#This Row],[Model]],表格3[Model-Input-Ref2],表格3[Product Line])</f>
        <v>座檯式洗碗碟機</v>
      </c>
      <c r="I3405" s="86" t="str">
        <f>_xlfn.XLOOKUP(表格1[[#This Row],[Model]],表格3[Model-Input-Ref2],表格3[大小電])</f>
        <v>細電</v>
      </c>
      <c r="J3405" s="86" t="str">
        <f>_xlfn.XLOOKUP(表格1[[#This Row],[Model]],表格3[Model-Input-Ref2],表格3[Code])</f>
        <v>DW</v>
      </c>
      <c r="K3405" s="89" t="s">
        <v>1475</v>
      </c>
      <c r="L3405" s="86">
        <v>1</v>
      </c>
      <c r="M3405" s="87">
        <v>3780</v>
      </c>
      <c r="N3405" s="87">
        <f>IFERROR(表格1[[#This Row],[QTY]]*表格1[[#This Row],[Unit Price]],"-")</f>
        <v>3780</v>
      </c>
      <c r="O3405" s="86">
        <v>2300577</v>
      </c>
      <c r="R3405" s="86" t="str">
        <f>_xlfn.CONCAT(表格1[[#This Row],[Model]]," ",表格1[[#This Row],[inv no]])</f>
        <v>DW-05T2-HK 2300577</v>
      </c>
      <c r="S3405" s="86">
        <f>_xlfn.XLOOKUP(表格1[[#This Row],[Model]],表格3[Model-Input-Ref2],表格3[SRP PRICE])</f>
        <v>4580</v>
      </c>
      <c r="T3405" s="43">
        <f>表格1[[#This Row],[Unit Price]]/表格1[[#This Row],[SRP]]</f>
        <v>0.8253275109170306</v>
      </c>
      <c r="U3405" s="86" t="str">
        <f>_xlfn.XLOOKUP(表格1[[#This Row],[Model]],表格3[Model-Input-Ref2],表格3[TOSHIBA/HIGHEST])</f>
        <v>Toshiba SRP</v>
      </c>
      <c r="W3405" s="86" t="str">
        <f>_xlfn.CONCAT(表格1[[#This Row],[欄4]],表格1[[#This Row],[inv no]])</f>
        <v>2300577</v>
      </c>
    </row>
    <row r="3406" spans="1:23" hidden="1">
      <c r="A3406" s="81">
        <v>3404</v>
      </c>
      <c r="B3406" s="86" t="s">
        <v>1477</v>
      </c>
      <c r="C3406" s="86" t="s">
        <v>1961</v>
      </c>
      <c r="D3406" s="82" t="str">
        <f ca="1">OFFSET(Roster!$A$3,MATCH(表格1[[#This Row],[Location]]&amp;" "&amp;表格1[[#This Row],[Shop]]&amp;"*",Roster!$A$4:$A$72,0),DAY(表格1[[#This Row],[date]]),1,1)</f>
        <v>Terence_2</v>
      </c>
      <c r="E3406" s="86">
        <f>MONTH(表格1[[#This Row],[date]])</f>
        <v>3</v>
      </c>
      <c r="F3406" s="90">
        <v>46110</v>
      </c>
      <c r="G3406" s="86" t="str">
        <f>VLOOKUP("*"&amp;表格1[[#This Row],[Input]]&amp;"*",'Ref-List'!$B:$D,2,)</f>
        <v>DW-05T2-HK</v>
      </c>
      <c r="H3406" s="86" t="str">
        <f>_xlfn.XLOOKUP(表格1[[#This Row],[Model]],表格3[Model-Input-Ref2],表格3[Product Line])</f>
        <v>座檯式洗碗碟機</v>
      </c>
      <c r="I3406" s="86" t="str">
        <f>_xlfn.XLOOKUP(表格1[[#This Row],[Model]],表格3[Model-Input-Ref2],表格3[大小電])</f>
        <v>細電</v>
      </c>
      <c r="J3406" s="86" t="str">
        <f>_xlfn.XLOOKUP(表格1[[#This Row],[Model]],表格3[Model-Input-Ref2],表格3[Code])</f>
        <v>DW</v>
      </c>
      <c r="K3406" s="89" t="s">
        <v>1475</v>
      </c>
      <c r="L3406" s="86">
        <v>1</v>
      </c>
      <c r="M3406" s="87">
        <v>3780</v>
      </c>
      <c r="N3406" s="87">
        <f>IFERROR(表格1[[#This Row],[QTY]]*表格1[[#This Row],[Unit Price]],"-")</f>
        <v>3780</v>
      </c>
      <c r="O3406" s="86">
        <v>2300550</v>
      </c>
      <c r="R3406" s="86" t="str">
        <f>_xlfn.CONCAT(表格1[[#This Row],[Model]]," ",表格1[[#This Row],[inv no]])</f>
        <v>DW-05T2-HK 2300550</v>
      </c>
      <c r="S3406" s="86">
        <f>_xlfn.XLOOKUP(表格1[[#This Row],[Model]],表格3[Model-Input-Ref2],表格3[SRP PRICE])</f>
        <v>4580</v>
      </c>
      <c r="T3406" s="43">
        <f>表格1[[#This Row],[Unit Price]]/表格1[[#This Row],[SRP]]</f>
        <v>0.8253275109170306</v>
      </c>
      <c r="U3406" s="86" t="str">
        <f>_xlfn.XLOOKUP(表格1[[#This Row],[Model]],表格3[Model-Input-Ref2],表格3[TOSHIBA/HIGHEST])</f>
        <v>Toshiba SRP</v>
      </c>
      <c r="W3406" s="86" t="str">
        <f>_xlfn.CONCAT(表格1[[#This Row],[欄4]],表格1[[#This Row],[inv no]])</f>
        <v>2300550</v>
      </c>
    </row>
    <row r="3407" spans="1:23" hidden="1">
      <c r="A3407" s="81">
        <v>3405</v>
      </c>
      <c r="B3407" s="86" t="s">
        <v>1477</v>
      </c>
      <c r="C3407" s="86" t="s">
        <v>1961</v>
      </c>
      <c r="D3407" s="82" t="str">
        <f ca="1">OFFSET(Roster!$A$3,MATCH(表格1[[#This Row],[Location]]&amp;" "&amp;表格1[[#This Row],[Shop]]&amp;"*",Roster!$A$4:$A$72,0),DAY(表格1[[#This Row],[date]]),1,1)</f>
        <v>Terence_2</v>
      </c>
      <c r="E3407" s="86">
        <f>MONTH(表格1[[#This Row],[date]])</f>
        <v>3</v>
      </c>
      <c r="F3407" s="90">
        <v>46110</v>
      </c>
      <c r="G3407" s="86" t="str">
        <f>VLOOKUP("*"&amp;表格1[[#This Row],[Input]]&amp;"*",'Ref-List'!$B:$D,2,)</f>
        <v>AW-Q800APH(WW)</v>
      </c>
      <c r="H3407" s="86" t="str">
        <f>_xlfn.XLOOKUP(表格1[[#This Row],[Model]],表格3[Model-Input-Ref2],表格3[Product Line])</f>
        <v>日式洗衣機 (7公斤 結合高低水位)</v>
      </c>
      <c r="I3407" s="86" t="str">
        <f>_xlfn.XLOOKUP(表格1[[#This Row],[Model]],表格3[Model-Input-Ref2],表格3[大小電])</f>
        <v>大電</v>
      </c>
      <c r="J3407" s="86" t="str">
        <f>_xlfn.XLOOKUP(表格1[[#This Row],[Model]],表格3[Model-Input-Ref2],表格3[Code])</f>
        <v>LAD</v>
      </c>
      <c r="K3407" s="89" t="s">
        <v>1479</v>
      </c>
      <c r="L3407" s="86">
        <v>1</v>
      </c>
      <c r="M3407" s="87">
        <v>1980</v>
      </c>
      <c r="N3407" s="87">
        <f>IFERROR(表格1[[#This Row],[QTY]]*表格1[[#This Row],[Unit Price]],"-")</f>
        <v>1980</v>
      </c>
      <c r="O3407" s="86">
        <v>2300538</v>
      </c>
      <c r="R3407" s="86" t="str">
        <f>_xlfn.CONCAT(表格1[[#This Row],[Model]]," ",表格1[[#This Row],[inv no]])</f>
        <v>AW-Q800APH(WW) 2300538</v>
      </c>
      <c r="S3407" s="86">
        <f>_xlfn.XLOOKUP(表格1[[#This Row],[Model]],表格3[Model-Input-Ref2],表格3[SRP PRICE])</f>
        <v>3580</v>
      </c>
      <c r="T3407" s="43">
        <f>表格1[[#This Row],[Unit Price]]/表格1[[#This Row],[SRP]]</f>
        <v>0.55307262569832405</v>
      </c>
      <c r="U3407" s="86" t="str">
        <f>_xlfn.XLOOKUP(表格1[[#This Row],[Model]],表格3[Model-Input-Ref2],表格3[TOSHIBA/HIGHEST])</f>
        <v>Toshiba SRP</v>
      </c>
      <c r="W3407" s="86" t="str">
        <f>_xlfn.CONCAT(表格1[[#This Row],[欄4]],表格1[[#This Row],[inv no]])</f>
        <v>2300538</v>
      </c>
    </row>
    <row r="3408" spans="1:23" hidden="1">
      <c r="A3408" s="81">
        <v>3406</v>
      </c>
      <c r="B3408" s="86" t="s">
        <v>1477</v>
      </c>
      <c r="C3408" s="86" t="s">
        <v>1961</v>
      </c>
      <c r="D3408" s="82" t="str">
        <f ca="1">OFFSET(Roster!$A$3,MATCH(表格1[[#This Row],[Location]]&amp;" "&amp;表格1[[#This Row],[Shop]]&amp;"*",Roster!$A$4:$A$72,0),DAY(表格1[[#This Row],[date]]),1,1)</f>
        <v>Terence_2</v>
      </c>
      <c r="E3408" s="86">
        <f>MONTH(表格1[[#This Row],[date]])</f>
        <v>3</v>
      </c>
      <c r="F3408" s="90">
        <v>46110</v>
      </c>
      <c r="G3408" s="86" t="str">
        <f>VLOOKUP("*"&amp;表格1[[#This Row],[Input]]&amp;"*",'Ref-List'!$B:$D,2,)</f>
        <v>AW-Q800APH(WW)</v>
      </c>
      <c r="H3408" s="86" t="str">
        <f>_xlfn.XLOOKUP(表格1[[#This Row],[Model]],表格3[Model-Input-Ref2],表格3[Product Line])</f>
        <v>日式洗衣機 (7公斤 結合高低水位)</v>
      </c>
      <c r="I3408" s="86" t="str">
        <f>_xlfn.XLOOKUP(表格1[[#This Row],[Model]],表格3[Model-Input-Ref2],表格3[大小電])</f>
        <v>大電</v>
      </c>
      <c r="J3408" s="86" t="str">
        <f>_xlfn.XLOOKUP(表格1[[#This Row],[Model]],表格3[Model-Input-Ref2],表格3[Code])</f>
        <v>LAD</v>
      </c>
      <c r="K3408" s="89" t="s">
        <v>1479</v>
      </c>
      <c r="L3408" s="86">
        <v>1</v>
      </c>
      <c r="M3408" s="87">
        <v>1980</v>
      </c>
      <c r="N3408" s="87">
        <f>IFERROR(表格1[[#This Row],[QTY]]*表格1[[#This Row],[Unit Price]],"-")</f>
        <v>1980</v>
      </c>
      <c r="O3408" s="86">
        <v>2300432</v>
      </c>
      <c r="R3408" s="86" t="str">
        <f>_xlfn.CONCAT(表格1[[#This Row],[Model]]," ",表格1[[#This Row],[inv no]])</f>
        <v>AW-Q800APH(WW) 2300432</v>
      </c>
      <c r="S3408" s="86">
        <f>_xlfn.XLOOKUP(表格1[[#This Row],[Model]],表格3[Model-Input-Ref2],表格3[SRP PRICE])</f>
        <v>3580</v>
      </c>
      <c r="T3408" s="43">
        <f>表格1[[#This Row],[Unit Price]]/表格1[[#This Row],[SRP]]</f>
        <v>0.55307262569832405</v>
      </c>
      <c r="U3408" s="86" t="str">
        <f>_xlfn.XLOOKUP(表格1[[#This Row],[Model]],表格3[Model-Input-Ref2],表格3[TOSHIBA/HIGHEST])</f>
        <v>Toshiba SRP</v>
      </c>
      <c r="W3408" s="86" t="str">
        <f>_xlfn.CONCAT(表格1[[#This Row],[欄4]],表格1[[#This Row],[inv no]])</f>
        <v>2300432</v>
      </c>
    </row>
    <row r="3409" spans="1:23" hidden="1">
      <c r="A3409" s="81">
        <v>3407</v>
      </c>
      <c r="B3409" s="86" t="s">
        <v>1477</v>
      </c>
      <c r="C3409" s="86" t="s">
        <v>1961</v>
      </c>
      <c r="D3409" s="82" t="str">
        <f ca="1">OFFSET(Roster!$A$3,MATCH(表格1[[#This Row],[Location]]&amp;" "&amp;表格1[[#This Row],[Shop]]&amp;"*",Roster!$A$4:$A$72,0),DAY(表格1[[#This Row],[date]]),1,1)</f>
        <v>Terence_2</v>
      </c>
      <c r="E3409" s="86">
        <f>MONTH(表格1[[#This Row],[date]])</f>
        <v>3</v>
      </c>
      <c r="F3409" s="90">
        <v>46110</v>
      </c>
      <c r="G3409" s="86" t="str">
        <f>VLOOKUP("*"&amp;表格1[[#This Row],[Input]]&amp;"*",'Ref-List'!$B:$D,2,)</f>
        <v>AW-Q800APH(WW)</v>
      </c>
      <c r="H3409" s="86" t="str">
        <f>_xlfn.XLOOKUP(表格1[[#This Row],[Model]],表格3[Model-Input-Ref2],表格3[Product Line])</f>
        <v>日式洗衣機 (7公斤 結合高低水位)</v>
      </c>
      <c r="I3409" s="86" t="str">
        <f>_xlfn.XLOOKUP(表格1[[#This Row],[Model]],表格3[Model-Input-Ref2],表格3[大小電])</f>
        <v>大電</v>
      </c>
      <c r="J3409" s="86" t="str">
        <f>_xlfn.XLOOKUP(表格1[[#This Row],[Model]],表格3[Model-Input-Ref2],表格3[Code])</f>
        <v>LAD</v>
      </c>
      <c r="K3409" s="89" t="s">
        <v>1479</v>
      </c>
      <c r="L3409" s="86">
        <v>1</v>
      </c>
      <c r="M3409" s="87">
        <v>1980</v>
      </c>
      <c r="N3409" s="87">
        <f>IFERROR(表格1[[#This Row],[QTY]]*表格1[[#This Row],[Unit Price]],"-")</f>
        <v>1980</v>
      </c>
      <c r="O3409" s="86">
        <v>2300530</v>
      </c>
      <c r="R3409" s="86" t="str">
        <f>_xlfn.CONCAT(表格1[[#This Row],[Model]]," ",表格1[[#This Row],[inv no]])</f>
        <v>AW-Q800APH(WW) 2300530</v>
      </c>
      <c r="S3409" s="86">
        <f>_xlfn.XLOOKUP(表格1[[#This Row],[Model]],表格3[Model-Input-Ref2],表格3[SRP PRICE])</f>
        <v>3580</v>
      </c>
      <c r="T3409" s="43">
        <f>表格1[[#This Row],[Unit Price]]/表格1[[#This Row],[SRP]]</f>
        <v>0.55307262569832405</v>
      </c>
      <c r="U3409" s="86" t="str">
        <f>_xlfn.XLOOKUP(表格1[[#This Row],[Model]],表格3[Model-Input-Ref2],表格3[TOSHIBA/HIGHEST])</f>
        <v>Toshiba SRP</v>
      </c>
      <c r="W3409" s="86" t="str">
        <f>_xlfn.CONCAT(表格1[[#This Row],[欄4]],表格1[[#This Row],[inv no]])</f>
        <v>2300530</v>
      </c>
    </row>
    <row r="3410" spans="1:23" hidden="1">
      <c r="A3410" s="81">
        <v>3408</v>
      </c>
      <c r="B3410" s="86" t="s">
        <v>1477</v>
      </c>
      <c r="C3410" s="86" t="s">
        <v>1961</v>
      </c>
      <c r="D3410" s="82" t="str">
        <f ca="1">OFFSET(Roster!$A$3,MATCH(表格1[[#This Row],[Location]]&amp;" "&amp;表格1[[#This Row],[Shop]]&amp;"*",Roster!$A$4:$A$72,0),DAY(表格1[[#This Row],[date]]),1,1)</f>
        <v>Terence_2</v>
      </c>
      <c r="E3410" s="86">
        <f>MONTH(表格1[[#This Row],[date]])</f>
        <v>3</v>
      </c>
      <c r="F3410" s="90">
        <v>46110</v>
      </c>
      <c r="G3410" s="86" t="str">
        <f>VLOOKUP("*"&amp;表格1[[#This Row],[Input]]&amp;"*",'Ref-List'!$B:$D,2,)</f>
        <v>TWD-T22BU95UWH(WK)-B</v>
      </c>
      <c r="H3410" s="86" t="str">
        <f>_xlfn.XLOOKUP(表格1[[#This Row],[Model]],表格3[Model-Input-Ref2],表格3[Product Line])</f>
        <v>470MM超薄身前置式變頻洗衣乾衣機 (洗8.5公斤/乾6公斤, 可飛頂)</v>
      </c>
      <c r="I3410" s="86" t="str">
        <f>_xlfn.XLOOKUP(表格1[[#This Row],[Model]],表格3[Model-Input-Ref2],表格3[大小電])</f>
        <v>大電</v>
      </c>
      <c r="J3410" s="86" t="str">
        <f>_xlfn.XLOOKUP(表格1[[#This Row],[Model]],表格3[Model-Input-Ref2],表格3[Code])</f>
        <v>LAD</v>
      </c>
      <c r="K3410" s="89" t="s">
        <v>1421</v>
      </c>
      <c r="L3410" s="86">
        <v>1</v>
      </c>
      <c r="M3410" s="87">
        <v>4780</v>
      </c>
      <c r="N3410" s="87">
        <f>IFERROR(表格1[[#This Row],[QTY]]*表格1[[#This Row],[Unit Price]],"-")</f>
        <v>4780</v>
      </c>
      <c r="O3410" s="86">
        <v>2300385</v>
      </c>
      <c r="R3410" s="86" t="str">
        <f>_xlfn.CONCAT(表格1[[#This Row],[Model]]," ",表格1[[#This Row],[inv no]])</f>
        <v>TWD-T22BU95UWH(WK)-B 2300385</v>
      </c>
      <c r="S3410" s="86">
        <f>_xlfn.XLOOKUP(表格1[[#This Row],[Model]],表格3[Model-Input-Ref2],表格3[SRP PRICE])</f>
        <v>7480</v>
      </c>
      <c r="T3410" s="43">
        <f>表格1[[#This Row],[Unit Price]]/表格1[[#This Row],[SRP]]</f>
        <v>0.63903743315508021</v>
      </c>
      <c r="U3410" s="86" t="str">
        <f>_xlfn.XLOOKUP(表格1[[#This Row],[Model]],表格3[Model-Input-Ref2],表格3[TOSHIBA/HIGHEST])</f>
        <v>Toshiba SRP</v>
      </c>
      <c r="W3410" s="86" t="str">
        <f>_xlfn.CONCAT(表格1[[#This Row],[欄4]],表格1[[#This Row],[inv no]])</f>
        <v>2300385</v>
      </c>
    </row>
    <row r="3411" spans="1:23" hidden="1">
      <c r="A3411" s="81">
        <v>3409</v>
      </c>
      <c r="B3411" s="86" t="s">
        <v>1477</v>
      </c>
      <c r="C3411" s="86" t="s">
        <v>1961</v>
      </c>
      <c r="D3411" s="82" t="str">
        <f ca="1">OFFSET(Roster!$A$3,MATCH(表格1[[#This Row],[Location]]&amp;" "&amp;表格1[[#This Row],[Shop]]&amp;"*",Roster!$A$4:$A$72,0),DAY(表格1[[#This Row],[date]]),1,1)</f>
        <v>Terence_2</v>
      </c>
      <c r="E3411" s="86">
        <f>MONTH(表格1[[#This Row],[date]])</f>
        <v>3</v>
      </c>
      <c r="F3411" s="90">
        <v>46110</v>
      </c>
      <c r="G3411" s="86" t="str">
        <f>VLOOKUP("*"&amp;表格1[[#This Row],[Input]]&amp;"*",'Ref-List'!$B:$D,2,)</f>
        <v>TWD-T21BU95UWH(WW)</v>
      </c>
      <c r="H3411" s="86" t="str">
        <f>_xlfn.XLOOKUP(表格1[[#This Row],[Model]],表格3[Model-Input-Ref2],表格3[Product Line])</f>
        <v>470MM超薄身前置式變頻洗衣乾衣機 (洗8.5公斤 乾6公斤)</v>
      </c>
      <c r="I3411" s="86" t="str">
        <f>_xlfn.XLOOKUP(表格1[[#This Row],[Model]],表格3[Model-Input-Ref2],表格3[大小電])</f>
        <v>大電</v>
      </c>
      <c r="J3411" s="86" t="str">
        <f>_xlfn.XLOOKUP(表格1[[#This Row],[Model]],表格3[Model-Input-Ref2],表格3[Code])</f>
        <v>LAD</v>
      </c>
      <c r="K3411" s="89" t="s">
        <v>1461</v>
      </c>
      <c r="L3411" s="86">
        <v>1</v>
      </c>
      <c r="M3411" s="87">
        <v>3999</v>
      </c>
      <c r="N3411" s="87">
        <f>IFERROR(表格1[[#This Row],[QTY]]*表格1[[#This Row],[Unit Price]],"-")</f>
        <v>3999</v>
      </c>
      <c r="O3411" s="86">
        <v>2300434</v>
      </c>
      <c r="R3411" s="86" t="str">
        <f>_xlfn.CONCAT(表格1[[#This Row],[Model]]," ",表格1[[#This Row],[inv no]])</f>
        <v>TWD-T21BU95UWH(WW) 2300434</v>
      </c>
      <c r="S3411" s="86">
        <f>_xlfn.XLOOKUP(表格1[[#This Row],[Model]],表格3[Model-Input-Ref2],表格3[SRP PRICE])</f>
        <v>7280</v>
      </c>
      <c r="T3411" s="43">
        <f>表格1[[#This Row],[Unit Price]]/表格1[[#This Row],[SRP]]</f>
        <v>0.54931318681318686</v>
      </c>
      <c r="U3411" s="86" t="str">
        <f>_xlfn.XLOOKUP(表格1[[#This Row],[Model]],表格3[Model-Input-Ref2],表格3[TOSHIBA/HIGHEST])</f>
        <v>Toshiba SRP</v>
      </c>
      <c r="W3411" s="86" t="str">
        <f>_xlfn.CONCAT(表格1[[#This Row],[欄4]],表格1[[#This Row],[inv no]])</f>
        <v>2300434</v>
      </c>
    </row>
    <row r="3412" spans="1:23" hidden="1">
      <c r="A3412" s="81">
        <v>3410</v>
      </c>
      <c r="B3412" s="86" t="s">
        <v>1477</v>
      </c>
      <c r="C3412" s="86" t="s">
        <v>1961</v>
      </c>
      <c r="D3412" s="82" t="str">
        <f ca="1">OFFSET(Roster!$A$3,MATCH(表格1[[#This Row],[Location]]&amp;" "&amp;表格1[[#This Row],[Shop]]&amp;"*",Roster!$A$4:$A$72,0),DAY(表格1[[#This Row],[date]]),1,1)</f>
        <v>Terence_2</v>
      </c>
      <c r="E3412" s="86">
        <f>MONTH(表格1[[#This Row],[date]])</f>
        <v>3</v>
      </c>
      <c r="F3412" s="90">
        <v>46110</v>
      </c>
      <c r="G3412" s="86" t="str">
        <f>VLOOKUP("*"&amp;表格1[[#This Row],[Input]]&amp;"*",'Ref-List'!$B:$D,2,)</f>
        <v>RAD-D300H</v>
      </c>
      <c r="H3412" s="86" t="str">
        <f>_xlfn.XLOOKUP(表格1[[#This Row],[Model]],表格3[Model-Input-Ref2],表格3[Product Line])</f>
        <v>壓縮式抽濕機 (30公升)</v>
      </c>
      <c r="I3412" s="86" t="str">
        <f>_xlfn.XLOOKUP(表格1[[#This Row],[Model]],表格3[Model-Input-Ref2],表格3[大小電])</f>
        <v>細電</v>
      </c>
      <c r="J3412" s="86" t="str">
        <f>_xlfn.XLOOKUP(表格1[[#This Row],[Model]],表格3[Model-Input-Ref2],表格3[Code])</f>
        <v>RAC</v>
      </c>
      <c r="K3412" s="89" t="s">
        <v>1252</v>
      </c>
      <c r="L3412" s="86">
        <v>1</v>
      </c>
      <c r="M3412" s="87">
        <v>2280</v>
      </c>
      <c r="N3412" s="87">
        <f>IFERROR(表格1[[#This Row],[QTY]]*表格1[[#This Row],[Unit Price]],"-")</f>
        <v>2280</v>
      </c>
      <c r="O3412" s="86">
        <v>2300438</v>
      </c>
      <c r="R3412" s="86" t="str">
        <f>_xlfn.CONCAT(表格1[[#This Row],[Model]]," ",表格1[[#This Row],[inv no]])</f>
        <v>RAD-D300H 2300438</v>
      </c>
      <c r="S3412" s="86">
        <f>_xlfn.XLOOKUP(表格1[[#This Row],[Model]],表格3[Model-Input-Ref2],表格3[SRP PRICE])</f>
        <v>3380</v>
      </c>
      <c r="T3412" s="43">
        <f>表格1[[#This Row],[Unit Price]]/表格1[[#This Row],[SRP]]</f>
        <v>0.67455621301775148</v>
      </c>
      <c r="U3412" s="86" t="str">
        <f>_xlfn.XLOOKUP(表格1[[#This Row],[Model]],表格3[Model-Input-Ref2],表格3[TOSHIBA/HIGHEST])</f>
        <v>Shops Highest Price</v>
      </c>
      <c r="W3412" s="86" t="str">
        <f>_xlfn.CONCAT(表格1[[#This Row],[欄4]],表格1[[#This Row],[inv no]])</f>
        <v>2300438</v>
      </c>
    </row>
    <row r="3413" spans="1:23" hidden="1">
      <c r="A3413" s="81">
        <v>3411</v>
      </c>
      <c r="B3413" s="86" t="s">
        <v>1477</v>
      </c>
      <c r="C3413" s="86" t="s">
        <v>1961</v>
      </c>
      <c r="D3413" s="82" t="str">
        <f ca="1">OFFSET(Roster!$A$3,MATCH(表格1[[#This Row],[Location]]&amp;" "&amp;表格1[[#This Row],[Shop]]&amp;"*",Roster!$A$4:$A$72,0),DAY(表格1[[#This Row],[date]]),1,1)</f>
        <v>Terence_2</v>
      </c>
      <c r="E3413" s="86">
        <f>MONTH(表格1[[#This Row],[date]])</f>
        <v>3</v>
      </c>
      <c r="F3413" s="90">
        <v>46110</v>
      </c>
      <c r="G3413" s="86" t="str">
        <f>VLOOKUP("*"&amp;表格1[[#This Row],[Input]]&amp;"*",'Ref-List'!$B:$D,2,)</f>
        <v>RAD-D300H</v>
      </c>
      <c r="H3413" s="86" t="str">
        <f>_xlfn.XLOOKUP(表格1[[#This Row],[Model]],表格3[Model-Input-Ref2],表格3[Product Line])</f>
        <v>壓縮式抽濕機 (30公升)</v>
      </c>
      <c r="I3413" s="86" t="str">
        <f>_xlfn.XLOOKUP(表格1[[#This Row],[Model]],表格3[Model-Input-Ref2],表格3[大小電])</f>
        <v>細電</v>
      </c>
      <c r="J3413" s="86" t="str">
        <f>_xlfn.XLOOKUP(表格1[[#This Row],[Model]],表格3[Model-Input-Ref2],表格3[Code])</f>
        <v>RAC</v>
      </c>
      <c r="K3413" s="89" t="s">
        <v>1252</v>
      </c>
      <c r="L3413" s="86">
        <v>1</v>
      </c>
      <c r="M3413" s="87">
        <v>2280</v>
      </c>
      <c r="N3413" s="87">
        <f>IFERROR(表格1[[#This Row],[QTY]]*表格1[[#This Row],[Unit Price]],"-")</f>
        <v>2280</v>
      </c>
      <c r="O3413" s="86">
        <v>2300376</v>
      </c>
      <c r="R3413" s="86" t="str">
        <f>_xlfn.CONCAT(表格1[[#This Row],[Model]]," ",表格1[[#This Row],[inv no]])</f>
        <v>RAD-D300H 2300376</v>
      </c>
      <c r="S3413" s="86">
        <f>_xlfn.XLOOKUP(表格1[[#This Row],[Model]],表格3[Model-Input-Ref2],表格3[SRP PRICE])</f>
        <v>3380</v>
      </c>
      <c r="T3413" s="43">
        <f>表格1[[#This Row],[Unit Price]]/表格1[[#This Row],[SRP]]</f>
        <v>0.67455621301775148</v>
      </c>
      <c r="U3413" s="86" t="str">
        <f>_xlfn.XLOOKUP(表格1[[#This Row],[Model]],表格3[Model-Input-Ref2],表格3[TOSHIBA/HIGHEST])</f>
        <v>Shops Highest Price</v>
      </c>
      <c r="W3413" s="86" t="str">
        <f>_xlfn.CONCAT(表格1[[#This Row],[欄4]],表格1[[#This Row],[inv no]])</f>
        <v>2300376</v>
      </c>
    </row>
    <row r="3414" spans="1:23" hidden="1">
      <c r="A3414" s="81">
        <v>3412</v>
      </c>
      <c r="B3414" s="86" t="s">
        <v>1477</v>
      </c>
      <c r="C3414" s="86" t="s">
        <v>1961</v>
      </c>
      <c r="D3414" s="82" t="str">
        <f ca="1">OFFSET(Roster!$A$3,MATCH(表格1[[#This Row],[Location]]&amp;" "&amp;表格1[[#This Row],[Shop]]&amp;"*",Roster!$A$4:$A$72,0),DAY(表格1[[#This Row],[date]]),1,1)</f>
        <v>Terence_2</v>
      </c>
      <c r="E3414" s="86">
        <f>MONTH(表格1[[#This Row],[date]])</f>
        <v>3</v>
      </c>
      <c r="F3414" s="90">
        <v>46110</v>
      </c>
      <c r="G3414" s="86" t="str">
        <f>VLOOKUP("*"&amp;表格1[[#This Row],[Input]]&amp;"*",'Ref-List'!$B:$D,2,)</f>
        <v>RAD-D300H</v>
      </c>
      <c r="H3414" s="86" t="str">
        <f>_xlfn.XLOOKUP(表格1[[#This Row],[Model]],表格3[Model-Input-Ref2],表格3[Product Line])</f>
        <v>壓縮式抽濕機 (30公升)</v>
      </c>
      <c r="I3414" s="86" t="str">
        <f>_xlfn.XLOOKUP(表格1[[#This Row],[Model]],表格3[Model-Input-Ref2],表格3[大小電])</f>
        <v>細電</v>
      </c>
      <c r="J3414" s="86" t="str">
        <f>_xlfn.XLOOKUP(表格1[[#This Row],[Model]],表格3[Model-Input-Ref2],表格3[Code])</f>
        <v>RAC</v>
      </c>
      <c r="K3414" s="89" t="s">
        <v>1252</v>
      </c>
      <c r="L3414" s="86">
        <v>1</v>
      </c>
      <c r="M3414" s="87">
        <v>2280</v>
      </c>
      <c r="N3414" s="87">
        <f>IFERROR(表格1[[#This Row],[QTY]]*表格1[[#This Row],[Unit Price]],"-")</f>
        <v>2280</v>
      </c>
      <c r="O3414" s="86">
        <v>2300363</v>
      </c>
      <c r="R3414" s="86" t="str">
        <f>_xlfn.CONCAT(表格1[[#This Row],[Model]]," ",表格1[[#This Row],[inv no]])</f>
        <v>RAD-D300H 2300363</v>
      </c>
      <c r="S3414" s="86">
        <f>_xlfn.XLOOKUP(表格1[[#This Row],[Model]],表格3[Model-Input-Ref2],表格3[SRP PRICE])</f>
        <v>3380</v>
      </c>
      <c r="T3414" s="43">
        <f>表格1[[#This Row],[Unit Price]]/表格1[[#This Row],[SRP]]</f>
        <v>0.67455621301775148</v>
      </c>
      <c r="U3414" s="86" t="str">
        <f>_xlfn.XLOOKUP(表格1[[#This Row],[Model]],表格3[Model-Input-Ref2],表格3[TOSHIBA/HIGHEST])</f>
        <v>Shops Highest Price</v>
      </c>
      <c r="W3414" s="86" t="str">
        <f>_xlfn.CONCAT(表格1[[#This Row],[欄4]],表格1[[#This Row],[inv no]])</f>
        <v>2300363</v>
      </c>
    </row>
    <row r="3415" spans="1:23" hidden="1">
      <c r="A3415" s="81">
        <v>3413</v>
      </c>
      <c r="B3415" s="86" t="s">
        <v>1477</v>
      </c>
      <c r="C3415" s="86" t="s">
        <v>1961</v>
      </c>
      <c r="D3415" s="82" t="str">
        <f ca="1">OFFSET(Roster!$A$3,MATCH(表格1[[#This Row],[Location]]&amp;" "&amp;表格1[[#This Row],[Shop]]&amp;"*",Roster!$A$4:$A$72,0),DAY(表格1[[#This Row],[date]]),1,1)</f>
        <v>Terence_2</v>
      </c>
      <c r="E3415" s="86">
        <f>MONTH(表格1[[#This Row],[date]])</f>
        <v>3</v>
      </c>
      <c r="F3415" s="90">
        <v>46110</v>
      </c>
      <c r="G3415" s="86" t="str">
        <f>VLOOKUP("*"&amp;表格1[[#This Row],[Input]]&amp;"*",'Ref-List'!$B:$D,2,)</f>
        <v>RC-DR18T(W)</v>
      </c>
      <c r="H3415" s="86" t="str">
        <f>_xlfn.XLOOKUP(表格1[[#This Row],[Model]],表格3[Model-Input-Ref2],表格3[Product Line])</f>
        <v>IH磁應電飯煲
鑽石銅鍋</v>
      </c>
      <c r="I3415" s="86" t="str">
        <f>_xlfn.XLOOKUP(表格1[[#This Row],[Model]],表格3[Model-Input-Ref2],表格3[大小電])</f>
        <v>細電</v>
      </c>
      <c r="J3415" s="86" t="str">
        <f>_xlfn.XLOOKUP(表格1[[#This Row],[Model]],表格3[Model-Input-Ref2],表格3[Code])</f>
        <v>SDA</v>
      </c>
      <c r="K3415" s="89" t="s">
        <v>1378</v>
      </c>
      <c r="L3415" s="86">
        <v>1</v>
      </c>
      <c r="M3415" s="87">
        <v>2800</v>
      </c>
      <c r="N3415" s="87">
        <f>IFERROR(表格1[[#This Row],[QTY]]*表格1[[#This Row],[Unit Price]],"-")</f>
        <v>2800</v>
      </c>
      <c r="O3415" s="86">
        <v>2300404</v>
      </c>
      <c r="R3415" s="86" t="str">
        <f>_xlfn.CONCAT(表格1[[#This Row],[Model]]," ",表格1[[#This Row],[inv no]])</f>
        <v>RC-DR18T(W) 2300404</v>
      </c>
      <c r="S3415" s="86">
        <f>_xlfn.XLOOKUP(表格1[[#This Row],[Model]],表格3[Model-Input-Ref2],表格3[SRP PRICE])</f>
        <v>3588</v>
      </c>
      <c r="T3415" s="43">
        <f>表格1[[#This Row],[Unit Price]]/表格1[[#This Row],[SRP]]</f>
        <v>0.78037904124860646</v>
      </c>
      <c r="U3415" s="86" t="str">
        <f>_xlfn.XLOOKUP(表格1[[#This Row],[Model]],表格3[Model-Input-Ref2],表格3[TOSHIBA/HIGHEST])</f>
        <v>Toshiba SRP</v>
      </c>
      <c r="W3415" s="86" t="str">
        <f>_xlfn.CONCAT(表格1[[#This Row],[欄4]],表格1[[#This Row],[inv no]])</f>
        <v>2300404</v>
      </c>
    </row>
    <row r="3416" spans="1:23" hidden="1">
      <c r="A3416" s="81">
        <v>3414</v>
      </c>
      <c r="B3416" s="86" t="s">
        <v>1477</v>
      </c>
      <c r="C3416" s="86" t="s">
        <v>1961</v>
      </c>
      <c r="D3416" s="82" t="str">
        <f ca="1">OFFSET(Roster!$A$3,MATCH(表格1[[#This Row],[Location]]&amp;" "&amp;表格1[[#This Row],[Shop]]&amp;"*",Roster!$A$4:$A$72,0),DAY(表格1[[#This Row],[date]]),1,1)</f>
        <v>Terence_2</v>
      </c>
      <c r="E3416" s="86">
        <f>MONTH(表格1[[#This Row],[date]])</f>
        <v>3</v>
      </c>
      <c r="F3416" s="90">
        <v>46110</v>
      </c>
      <c r="G3416" s="86" t="str">
        <f>VLOOKUP("*"&amp;表格1[[#This Row],[Input]]&amp;"*",'Ref-List'!$B:$D,2,)</f>
        <v>RC-DR10T(W)</v>
      </c>
      <c r="H3416" s="86" t="str">
        <f>_xlfn.XLOOKUP(表格1[[#This Row],[Model]],表格3[Model-Input-Ref2],表格3[Product Line])</f>
        <v>IH磁應電飯煲</v>
      </c>
      <c r="I3416" s="86" t="str">
        <f>_xlfn.XLOOKUP(表格1[[#This Row],[Model]],表格3[Model-Input-Ref2],表格3[大小電])</f>
        <v>細電</v>
      </c>
      <c r="J3416" s="86" t="str">
        <f>_xlfn.XLOOKUP(表格1[[#This Row],[Model]],表格3[Model-Input-Ref2],表格3[Code])</f>
        <v>SDA</v>
      </c>
      <c r="K3416" s="89" t="s">
        <v>1294</v>
      </c>
      <c r="L3416" s="86">
        <v>1</v>
      </c>
      <c r="M3416" s="87">
        <v>2380</v>
      </c>
      <c r="N3416" s="87">
        <f>IFERROR(表格1[[#This Row],[QTY]]*表格1[[#This Row],[Unit Price]],"-")</f>
        <v>2380</v>
      </c>
      <c r="O3416" s="86">
        <v>2300367</v>
      </c>
      <c r="R3416" s="86" t="str">
        <f>_xlfn.CONCAT(表格1[[#This Row],[Model]]," ",表格1[[#This Row],[inv no]])</f>
        <v>RC-DR10T(W) 2300367</v>
      </c>
      <c r="S3416" s="86">
        <f>_xlfn.XLOOKUP(表格1[[#This Row],[Model]],表格3[Model-Input-Ref2],表格3[SRP PRICE])</f>
        <v>3188</v>
      </c>
      <c r="T3416" s="43">
        <f>表格1[[#This Row],[Unit Price]]/表格1[[#This Row],[SRP]]</f>
        <v>0.74654956085319946</v>
      </c>
      <c r="U3416" s="86" t="str">
        <f>_xlfn.XLOOKUP(表格1[[#This Row],[Model]],表格3[Model-Input-Ref2],表格3[TOSHIBA/HIGHEST])</f>
        <v>Toshiba SRP</v>
      </c>
      <c r="W3416" s="86" t="str">
        <f>_xlfn.CONCAT(表格1[[#This Row],[欄4]],表格1[[#This Row],[inv no]])</f>
        <v>2300367</v>
      </c>
    </row>
    <row r="3417" spans="1:23" hidden="1">
      <c r="A3417" s="81">
        <v>3415</v>
      </c>
      <c r="B3417" s="86" t="s">
        <v>1477</v>
      </c>
      <c r="C3417" s="86" t="s">
        <v>1961</v>
      </c>
      <c r="D3417" s="82" t="str">
        <f ca="1">OFFSET(Roster!$A$3,MATCH(表格1[[#This Row],[Location]]&amp;" "&amp;表格1[[#This Row],[Shop]]&amp;"*",Roster!$A$4:$A$72,0),DAY(表格1[[#This Row],[date]]),1,1)</f>
        <v>Terence_2</v>
      </c>
      <c r="E3417" s="86">
        <f>MONTH(表格1[[#This Row],[date]])</f>
        <v>3</v>
      </c>
      <c r="F3417" s="90">
        <v>46110</v>
      </c>
      <c r="G3417" s="86" t="str">
        <f>VLOOKUP("*"&amp;表格1[[#This Row],[Input]]&amp;"*",'Ref-List'!$B:$D,2,)</f>
        <v>RC-DS10K(N)</v>
      </c>
      <c r="H3417" s="86" t="str">
        <f>_xlfn.XLOOKUP(表格1[[#This Row],[Model]],表格3[Model-Input-Ref2],表格3[Product Line])</f>
        <v>IH磁應電飯煲</v>
      </c>
      <c r="I3417" s="86" t="str">
        <f>_xlfn.XLOOKUP(表格1[[#This Row],[Model]],表格3[Model-Input-Ref2],表格3[大小電])</f>
        <v>細電</v>
      </c>
      <c r="J3417" s="86" t="str">
        <f>_xlfn.XLOOKUP(表格1[[#This Row],[Model]],表格3[Model-Input-Ref2],表格3[Code])</f>
        <v>SDA</v>
      </c>
      <c r="K3417" s="89" t="s">
        <v>1633</v>
      </c>
      <c r="L3417" s="86">
        <v>1</v>
      </c>
      <c r="M3417" s="87">
        <v>3150</v>
      </c>
      <c r="N3417" s="87">
        <f>IFERROR(表格1[[#This Row],[QTY]]*表格1[[#This Row],[Unit Price]],"-")</f>
        <v>3150</v>
      </c>
      <c r="O3417" s="86">
        <v>2300361</v>
      </c>
      <c r="R3417" s="86" t="str">
        <f>_xlfn.CONCAT(表格1[[#This Row],[Model]]," ",表格1[[#This Row],[inv no]])</f>
        <v>RC-DS10K(N) 2300361</v>
      </c>
      <c r="S3417" s="86">
        <f>_xlfn.XLOOKUP(表格1[[#This Row],[Model]],表格3[Model-Input-Ref2],表格3[SRP PRICE])</f>
        <v>4588</v>
      </c>
      <c r="T3417" s="43">
        <f>表格1[[#This Row],[Unit Price]]/表格1[[#This Row],[SRP]]</f>
        <v>0.68657367044463824</v>
      </c>
      <c r="U3417" s="86" t="str">
        <f>_xlfn.XLOOKUP(表格1[[#This Row],[Model]],表格3[Model-Input-Ref2],表格3[TOSHIBA/HIGHEST])</f>
        <v>Toshiba SRP</v>
      </c>
      <c r="W3417" s="86" t="str">
        <f>_xlfn.CONCAT(表格1[[#This Row],[欄4]],表格1[[#This Row],[inv no]])</f>
        <v>2300361</v>
      </c>
    </row>
    <row r="3418" spans="1:23" hidden="1">
      <c r="A3418" s="81">
        <v>3416</v>
      </c>
      <c r="B3418" s="86" t="s">
        <v>1477</v>
      </c>
      <c r="C3418" s="86" t="s">
        <v>1961</v>
      </c>
      <c r="D3418" s="82" t="str">
        <f ca="1">OFFSET(Roster!$A$3,MATCH(表格1[[#This Row],[Location]]&amp;" "&amp;表格1[[#This Row],[Shop]]&amp;"*",Roster!$A$4:$A$72,0),DAY(表格1[[#This Row],[date]]),1,1)</f>
        <v>Terence_2</v>
      </c>
      <c r="E3418" s="86">
        <f>MONTH(表格1[[#This Row],[date]])</f>
        <v>3</v>
      </c>
      <c r="F3418" s="90">
        <v>46110</v>
      </c>
      <c r="G3418" s="86" t="str">
        <f>VLOOKUP("*"&amp;表格1[[#This Row],[Input]]&amp;"*",'Ref-List'!$B:$D,2,)</f>
        <v>RC-DR10T(W)</v>
      </c>
      <c r="H3418" s="86" t="str">
        <f>_xlfn.XLOOKUP(表格1[[#This Row],[Model]],表格3[Model-Input-Ref2],表格3[Product Line])</f>
        <v>IH磁應電飯煲</v>
      </c>
      <c r="I3418" s="86" t="str">
        <f>_xlfn.XLOOKUP(表格1[[#This Row],[Model]],表格3[Model-Input-Ref2],表格3[大小電])</f>
        <v>細電</v>
      </c>
      <c r="J3418" s="86" t="str">
        <f>_xlfn.XLOOKUP(表格1[[#This Row],[Model]],表格3[Model-Input-Ref2],表格3[Code])</f>
        <v>SDA</v>
      </c>
      <c r="K3418" s="89" t="s">
        <v>1294</v>
      </c>
      <c r="L3418" s="86">
        <v>1</v>
      </c>
      <c r="M3418" s="87">
        <v>2380</v>
      </c>
      <c r="N3418" s="87">
        <f>IFERROR(表格1[[#This Row],[QTY]]*表格1[[#This Row],[Unit Price]],"-")</f>
        <v>2380</v>
      </c>
      <c r="O3418" s="86">
        <v>2300371</v>
      </c>
      <c r="R3418" s="86" t="str">
        <f>_xlfn.CONCAT(表格1[[#This Row],[Model]]," ",表格1[[#This Row],[inv no]])</f>
        <v>RC-DR10T(W) 2300371</v>
      </c>
      <c r="S3418" s="86">
        <f>_xlfn.XLOOKUP(表格1[[#This Row],[Model]],表格3[Model-Input-Ref2],表格3[SRP PRICE])</f>
        <v>3188</v>
      </c>
      <c r="T3418" s="43">
        <f>表格1[[#This Row],[Unit Price]]/表格1[[#This Row],[SRP]]</f>
        <v>0.74654956085319946</v>
      </c>
      <c r="U3418" s="86" t="str">
        <f>_xlfn.XLOOKUP(表格1[[#This Row],[Model]],表格3[Model-Input-Ref2],表格3[TOSHIBA/HIGHEST])</f>
        <v>Toshiba SRP</v>
      </c>
      <c r="W3418" s="86" t="str">
        <f>_xlfn.CONCAT(表格1[[#This Row],[欄4]],表格1[[#This Row],[inv no]])</f>
        <v>2300371</v>
      </c>
    </row>
    <row r="3419" spans="1:23" hidden="1">
      <c r="A3419" s="81">
        <v>3417</v>
      </c>
      <c r="B3419" s="86" t="s">
        <v>1477</v>
      </c>
      <c r="C3419" s="86" t="s">
        <v>1961</v>
      </c>
      <c r="D3419" s="82" t="str">
        <f ca="1">OFFSET(Roster!$A$3,MATCH(表格1[[#This Row],[Location]]&amp;" "&amp;表格1[[#This Row],[Shop]]&amp;"*",Roster!$A$4:$A$72,0),DAY(表格1[[#This Row],[date]]),1,1)</f>
        <v>Terence_2</v>
      </c>
      <c r="E3419" s="86">
        <f>MONTH(表格1[[#This Row],[date]])</f>
        <v>3</v>
      </c>
      <c r="F3419" s="90">
        <v>46110</v>
      </c>
      <c r="G3419" s="86" t="str">
        <f>VLOOKUP("*"&amp;表格1[[#This Row],[Input]]&amp;"*",'Ref-List'!$B:$D,2,)</f>
        <v>KT-14DHUHK(W)</v>
      </c>
      <c r="H3419" s="86" t="str">
        <f>_xlfn.XLOOKUP(表格1[[#This Row],[Model]],表格3[Model-Input-Ref2],表格3[Product Line])</f>
        <v>無線雙層電熱水壺(1.4公升)</v>
      </c>
      <c r="I3419" s="86" t="str">
        <f>_xlfn.XLOOKUP(表格1[[#This Row],[Model]],表格3[Model-Input-Ref2],表格3[大小電])</f>
        <v>細電</v>
      </c>
      <c r="J3419" s="86" t="str">
        <f>_xlfn.XLOOKUP(表格1[[#This Row],[Model]],表格3[Model-Input-Ref2],表格3[Code])</f>
        <v>SDA</v>
      </c>
      <c r="K3419" s="89" t="s">
        <v>1425</v>
      </c>
      <c r="L3419" s="86">
        <v>1</v>
      </c>
      <c r="M3419" s="87">
        <v>298</v>
      </c>
      <c r="N3419" s="87">
        <f>IFERROR(表格1[[#This Row],[QTY]]*表格1[[#This Row],[Unit Price]],"-")</f>
        <v>298</v>
      </c>
      <c r="O3419" s="86">
        <v>2300545</v>
      </c>
      <c r="R3419" s="86" t="str">
        <f>_xlfn.CONCAT(表格1[[#This Row],[Model]]," ",表格1[[#This Row],[inv no]])</f>
        <v>KT-14DHUHK(W) 2300545</v>
      </c>
      <c r="S3419" s="86">
        <f>_xlfn.XLOOKUP(表格1[[#This Row],[Model]],表格3[Model-Input-Ref2],表格3[SRP PRICE])</f>
        <v>458</v>
      </c>
      <c r="T3419" s="43">
        <f>表格1[[#This Row],[Unit Price]]/表格1[[#This Row],[SRP]]</f>
        <v>0.6506550218340611</v>
      </c>
      <c r="U3419" s="86" t="str">
        <f>_xlfn.XLOOKUP(表格1[[#This Row],[Model]],表格3[Model-Input-Ref2],表格3[TOSHIBA/HIGHEST])</f>
        <v>Toshiba SRP</v>
      </c>
      <c r="W3419" s="86" t="str">
        <f>_xlfn.CONCAT(表格1[[#This Row],[欄4]],表格1[[#This Row],[inv no]])</f>
        <v>2300545</v>
      </c>
    </row>
    <row r="3420" spans="1:23" hidden="1">
      <c r="A3420" s="81">
        <v>3418</v>
      </c>
      <c r="B3420" s="86" t="s">
        <v>1477</v>
      </c>
      <c r="C3420" s="86" t="s">
        <v>1961</v>
      </c>
      <c r="D3420" s="82" t="str">
        <f ca="1">OFFSET(Roster!$A$3,MATCH(表格1[[#This Row],[Location]]&amp;" "&amp;表格1[[#This Row],[Shop]]&amp;"*",Roster!$A$4:$A$72,0),DAY(表格1[[#This Row],[date]]),1,1)</f>
        <v>Terence_2</v>
      </c>
      <c r="E3420" s="86">
        <f>MONTH(表格1[[#This Row],[date]])</f>
        <v>3</v>
      </c>
      <c r="F3420" s="90">
        <v>46110</v>
      </c>
      <c r="G3420" s="86" t="str">
        <f>VLOOKUP("*"&amp;表格1[[#This Row],[Input]]&amp;"*",'Ref-List'!$B:$D,2,)</f>
        <v>RC-18AMXH(W)</v>
      </c>
      <c r="H3420" s="86" t="str">
        <f>_xlfn.XLOOKUP(表格1[[#This Row],[Model]],表格3[Model-Input-Ref2],表格3[Product Line])</f>
        <v>酵活炊電飯煲(1.8公升)</v>
      </c>
      <c r="I3420" s="86" t="str">
        <f>_xlfn.XLOOKUP(表格1[[#This Row],[Model]],表格3[Model-Input-Ref2],表格3[大小電])</f>
        <v>細電</v>
      </c>
      <c r="J3420" s="86" t="str">
        <f>_xlfn.XLOOKUP(表格1[[#This Row],[Model]],表格3[Model-Input-Ref2],表格3[Code])</f>
        <v>SDA</v>
      </c>
      <c r="K3420" s="89" t="s">
        <v>1362</v>
      </c>
      <c r="L3420" s="86">
        <v>1</v>
      </c>
      <c r="M3420" s="87">
        <v>990</v>
      </c>
      <c r="N3420" s="87">
        <f>IFERROR(表格1[[#This Row],[QTY]]*表格1[[#This Row],[Unit Price]],"-")</f>
        <v>990</v>
      </c>
      <c r="O3420" s="86">
        <v>2300545</v>
      </c>
      <c r="R3420" s="86" t="str">
        <f>_xlfn.CONCAT(表格1[[#This Row],[Model]]," ",表格1[[#This Row],[inv no]])</f>
        <v>RC-18AMXH(W) 2300545</v>
      </c>
      <c r="S3420" s="86">
        <f>_xlfn.XLOOKUP(表格1[[#This Row],[Model]],表格3[Model-Input-Ref2],表格3[SRP PRICE])</f>
        <v>1588</v>
      </c>
      <c r="T3420" s="43">
        <f>表格1[[#This Row],[Unit Price]]/表格1[[#This Row],[SRP]]</f>
        <v>0.62342569269521408</v>
      </c>
      <c r="U3420" s="86" t="str">
        <f>_xlfn.XLOOKUP(表格1[[#This Row],[Model]],表格3[Model-Input-Ref2],表格3[TOSHIBA/HIGHEST])</f>
        <v>Toshiba SRP</v>
      </c>
      <c r="W3420" s="86" t="str">
        <f>_xlfn.CONCAT(表格1[[#This Row],[欄4]],表格1[[#This Row],[inv no]])</f>
        <v>2300545</v>
      </c>
    </row>
    <row r="3421" spans="1:23" hidden="1">
      <c r="A3421" s="81">
        <v>3419</v>
      </c>
      <c r="B3421" s="86" t="s">
        <v>1477</v>
      </c>
      <c r="C3421" s="86" t="s">
        <v>1961</v>
      </c>
      <c r="D3421" s="82" t="str">
        <f ca="1">OFFSET(Roster!$A$3,MATCH(表格1[[#This Row],[Location]]&amp;" "&amp;表格1[[#This Row],[Shop]]&amp;"*",Roster!$A$4:$A$72,0),DAY(表格1[[#This Row],[date]]),1,1)</f>
        <v>Terence_2</v>
      </c>
      <c r="E3421" s="86">
        <f>MONTH(表格1[[#This Row],[date]])</f>
        <v>3</v>
      </c>
      <c r="F3421" s="90">
        <v>46110</v>
      </c>
      <c r="G3421" s="86" t="str">
        <f>VLOOKUP("*"&amp;表格1[[#This Row],[Input]]&amp;"*",'Ref-List'!$B:$D,2,)</f>
        <v>RC-18AMXH(W)</v>
      </c>
      <c r="H3421" s="86" t="str">
        <f>_xlfn.XLOOKUP(表格1[[#This Row],[Model]],表格3[Model-Input-Ref2],表格3[Product Line])</f>
        <v>酵活炊電飯煲(1.8公升)</v>
      </c>
      <c r="I3421" s="86" t="str">
        <f>_xlfn.XLOOKUP(表格1[[#This Row],[Model]],表格3[Model-Input-Ref2],表格3[大小電])</f>
        <v>細電</v>
      </c>
      <c r="J3421" s="86" t="str">
        <f>_xlfn.XLOOKUP(表格1[[#This Row],[Model]],表格3[Model-Input-Ref2],表格3[Code])</f>
        <v>SDA</v>
      </c>
      <c r="K3421" s="89" t="s">
        <v>1362</v>
      </c>
      <c r="L3421" s="86">
        <v>1</v>
      </c>
      <c r="M3421" s="87">
        <v>990</v>
      </c>
      <c r="N3421" s="87">
        <f>IFERROR(表格1[[#This Row],[QTY]]*表格1[[#This Row],[Unit Price]],"-")</f>
        <v>990</v>
      </c>
      <c r="O3421" s="86">
        <v>2300442</v>
      </c>
      <c r="R3421" s="86" t="str">
        <f>_xlfn.CONCAT(表格1[[#This Row],[Model]]," ",表格1[[#This Row],[inv no]])</f>
        <v>RC-18AMXH(W) 2300442</v>
      </c>
      <c r="S3421" s="86">
        <f>_xlfn.XLOOKUP(表格1[[#This Row],[Model]],表格3[Model-Input-Ref2],表格3[SRP PRICE])</f>
        <v>1588</v>
      </c>
      <c r="T3421" s="43">
        <f>表格1[[#This Row],[Unit Price]]/表格1[[#This Row],[SRP]]</f>
        <v>0.62342569269521408</v>
      </c>
      <c r="U3421" s="86" t="str">
        <f>_xlfn.XLOOKUP(表格1[[#This Row],[Model]],表格3[Model-Input-Ref2],表格3[TOSHIBA/HIGHEST])</f>
        <v>Toshiba SRP</v>
      </c>
      <c r="W3421" s="86" t="str">
        <f>_xlfn.CONCAT(表格1[[#This Row],[欄4]],表格1[[#This Row],[inv no]])</f>
        <v>2300442</v>
      </c>
    </row>
    <row r="3422" spans="1:23" hidden="1">
      <c r="A3422" s="81">
        <v>3420</v>
      </c>
      <c r="B3422" s="86" t="s">
        <v>1477</v>
      </c>
      <c r="C3422" s="86" t="s">
        <v>1961</v>
      </c>
      <c r="D3422" s="82" t="str">
        <f ca="1">OFFSET(Roster!$A$3,MATCH(表格1[[#This Row],[Location]]&amp;" "&amp;表格1[[#This Row],[Shop]]&amp;"*",Roster!$A$4:$A$72,0),DAY(表格1[[#This Row],[date]]),1,1)</f>
        <v>Terence_2</v>
      </c>
      <c r="E3422" s="86">
        <f>MONTH(表格1[[#This Row],[date]])</f>
        <v>3</v>
      </c>
      <c r="F3422" s="90">
        <v>46110</v>
      </c>
      <c r="G3422" s="86" t="str">
        <f>VLOOKUP("*"&amp;表格1[[#This Row],[Input]]&amp;"*",'Ref-List'!$B:$D,2,)</f>
        <v>RC-18AMXH(W)</v>
      </c>
      <c r="H3422" s="86" t="str">
        <f>_xlfn.XLOOKUP(表格1[[#This Row],[Model]],表格3[Model-Input-Ref2],表格3[Product Line])</f>
        <v>酵活炊電飯煲(1.8公升)</v>
      </c>
      <c r="I3422" s="86" t="str">
        <f>_xlfn.XLOOKUP(表格1[[#This Row],[Model]],表格3[Model-Input-Ref2],表格3[大小電])</f>
        <v>細電</v>
      </c>
      <c r="J3422" s="86" t="str">
        <f>_xlfn.XLOOKUP(表格1[[#This Row],[Model]],表格3[Model-Input-Ref2],表格3[Code])</f>
        <v>SDA</v>
      </c>
      <c r="K3422" s="89" t="s">
        <v>1362</v>
      </c>
      <c r="L3422" s="86">
        <v>1</v>
      </c>
      <c r="M3422" s="87">
        <v>990</v>
      </c>
      <c r="N3422" s="87">
        <f>IFERROR(表格1[[#This Row],[QTY]]*表格1[[#This Row],[Unit Price]],"-")</f>
        <v>990</v>
      </c>
      <c r="O3422" s="86">
        <v>2300532</v>
      </c>
      <c r="R3422" s="86" t="str">
        <f>_xlfn.CONCAT(表格1[[#This Row],[Model]]," ",表格1[[#This Row],[inv no]])</f>
        <v>RC-18AMXH(W) 2300532</v>
      </c>
      <c r="S3422" s="86">
        <f>_xlfn.XLOOKUP(表格1[[#This Row],[Model]],表格3[Model-Input-Ref2],表格3[SRP PRICE])</f>
        <v>1588</v>
      </c>
      <c r="T3422" s="43">
        <f>表格1[[#This Row],[Unit Price]]/表格1[[#This Row],[SRP]]</f>
        <v>0.62342569269521408</v>
      </c>
      <c r="U3422" s="86" t="str">
        <f>_xlfn.XLOOKUP(表格1[[#This Row],[Model]],表格3[Model-Input-Ref2],表格3[TOSHIBA/HIGHEST])</f>
        <v>Toshiba SRP</v>
      </c>
      <c r="W3422" s="86" t="str">
        <f>_xlfn.CONCAT(表格1[[#This Row],[欄4]],表格1[[#This Row],[inv no]])</f>
        <v>2300532</v>
      </c>
    </row>
    <row r="3423" spans="1:23" hidden="1">
      <c r="A3423" s="81">
        <v>3421</v>
      </c>
      <c r="B3423" s="86" t="s">
        <v>1477</v>
      </c>
      <c r="C3423" s="86" t="s">
        <v>1961</v>
      </c>
      <c r="D3423" s="82" t="str">
        <f ca="1">OFFSET(Roster!$A$3,MATCH(表格1[[#This Row],[Location]]&amp;" "&amp;表格1[[#This Row],[Shop]]&amp;"*",Roster!$A$4:$A$72,0),DAY(表格1[[#This Row],[date]]),1,1)</f>
        <v>Terence_2</v>
      </c>
      <c r="E3423" s="86">
        <f>MONTH(表格1[[#This Row],[date]])</f>
        <v>3</v>
      </c>
      <c r="F3423" s="90">
        <v>46110</v>
      </c>
      <c r="G3423" s="86" t="str">
        <f>VLOOKUP("*"&amp;表格1[[#This Row],[Input]]&amp;"*",'Ref-List'!$B:$D,2,)</f>
        <v>RC-18AMXH(W)</v>
      </c>
      <c r="H3423" s="86" t="str">
        <f>_xlfn.XLOOKUP(表格1[[#This Row],[Model]],表格3[Model-Input-Ref2],表格3[Product Line])</f>
        <v>酵活炊電飯煲(1.8公升)</v>
      </c>
      <c r="I3423" s="86" t="str">
        <f>_xlfn.XLOOKUP(表格1[[#This Row],[Model]],表格3[Model-Input-Ref2],表格3[大小電])</f>
        <v>細電</v>
      </c>
      <c r="J3423" s="86" t="str">
        <f>_xlfn.XLOOKUP(表格1[[#This Row],[Model]],表格3[Model-Input-Ref2],表格3[Code])</f>
        <v>SDA</v>
      </c>
      <c r="K3423" s="89" t="s">
        <v>1362</v>
      </c>
      <c r="L3423" s="86">
        <v>1</v>
      </c>
      <c r="M3423" s="87">
        <v>990</v>
      </c>
      <c r="N3423" s="87">
        <f>IFERROR(表格1[[#This Row],[QTY]]*表格1[[#This Row],[Unit Price]],"-")</f>
        <v>990</v>
      </c>
      <c r="O3423" s="86">
        <v>2300355</v>
      </c>
      <c r="R3423" s="86" t="str">
        <f>_xlfn.CONCAT(表格1[[#This Row],[Model]]," ",表格1[[#This Row],[inv no]])</f>
        <v>RC-18AMXH(W) 2300355</v>
      </c>
      <c r="S3423" s="86">
        <f>_xlfn.XLOOKUP(表格1[[#This Row],[Model]],表格3[Model-Input-Ref2],表格3[SRP PRICE])</f>
        <v>1588</v>
      </c>
      <c r="T3423" s="43">
        <f>表格1[[#This Row],[Unit Price]]/表格1[[#This Row],[SRP]]</f>
        <v>0.62342569269521408</v>
      </c>
      <c r="U3423" s="86" t="str">
        <f>_xlfn.XLOOKUP(表格1[[#This Row],[Model]],表格3[Model-Input-Ref2],表格3[TOSHIBA/HIGHEST])</f>
        <v>Toshiba SRP</v>
      </c>
      <c r="W3423" s="86" t="str">
        <f>_xlfn.CONCAT(表格1[[#This Row],[欄4]],表格1[[#This Row],[inv no]])</f>
        <v>2300355</v>
      </c>
    </row>
    <row r="3424" spans="1:23" hidden="1">
      <c r="A3424" s="81">
        <v>3422</v>
      </c>
      <c r="B3424" s="86" t="s">
        <v>1477</v>
      </c>
      <c r="C3424" s="86" t="s">
        <v>1961</v>
      </c>
      <c r="D3424" s="82" t="str">
        <f ca="1">OFFSET(Roster!$A$3,MATCH(表格1[[#This Row],[Location]]&amp;" "&amp;表格1[[#This Row],[Shop]]&amp;"*",Roster!$A$4:$A$72,0),DAY(表格1[[#This Row],[date]]),1,1)</f>
        <v>Terence_2</v>
      </c>
      <c r="E3424" s="86">
        <f>MONTH(表格1[[#This Row],[date]])</f>
        <v>3</v>
      </c>
      <c r="F3424" s="90">
        <v>46110</v>
      </c>
      <c r="G3424" s="86" t="str">
        <f>VLOOKUP("*"&amp;表格1[[#This Row],[Input]]&amp;"*",'Ref-List'!$B:$D,2,)</f>
        <v>RC-10AMXH(W)</v>
      </c>
      <c r="H3424" s="86" t="str">
        <f>_xlfn.XLOOKUP(表格1[[#This Row],[Model]],表格3[Model-Input-Ref2],表格3[Product Line])</f>
        <v>酵活炊電飯煲(1.0公升)</v>
      </c>
      <c r="I3424" s="86" t="str">
        <f>_xlfn.XLOOKUP(表格1[[#This Row],[Model]],表格3[Model-Input-Ref2],表格3[大小電])</f>
        <v>細電</v>
      </c>
      <c r="J3424" s="86" t="str">
        <f>_xlfn.XLOOKUP(表格1[[#This Row],[Model]],表格3[Model-Input-Ref2],表格3[Code])</f>
        <v>SDA</v>
      </c>
      <c r="K3424" s="89" t="s">
        <v>1279</v>
      </c>
      <c r="L3424" s="86">
        <v>1</v>
      </c>
      <c r="M3424" s="87">
        <v>990</v>
      </c>
      <c r="N3424" s="87">
        <f>IFERROR(表格1[[#This Row],[QTY]]*表格1[[#This Row],[Unit Price]],"-")</f>
        <v>990</v>
      </c>
      <c r="O3424" s="86">
        <v>2300504</v>
      </c>
      <c r="R3424" s="86" t="str">
        <f>_xlfn.CONCAT(表格1[[#This Row],[Model]]," ",表格1[[#This Row],[inv no]])</f>
        <v>RC-10AMXH(W) 2300504</v>
      </c>
      <c r="S3424" s="86">
        <f>_xlfn.XLOOKUP(表格1[[#This Row],[Model]],表格3[Model-Input-Ref2],表格3[SRP PRICE])</f>
        <v>1288</v>
      </c>
      <c r="T3424" s="43">
        <f>表格1[[#This Row],[Unit Price]]/表格1[[#This Row],[SRP]]</f>
        <v>0.76863354037267084</v>
      </c>
      <c r="U3424" s="86" t="str">
        <f>_xlfn.XLOOKUP(表格1[[#This Row],[Model]],表格3[Model-Input-Ref2],表格3[TOSHIBA/HIGHEST])</f>
        <v>Toshiba SRP</v>
      </c>
      <c r="W3424" s="86" t="str">
        <f>_xlfn.CONCAT(表格1[[#This Row],[欄4]],表格1[[#This Row],[inv no]])</f>
        <v>2300504</v>
      </c>
    </row>
    <row r="3425" spans="1:23" hidden="1">
      <c r="A3425" s="81">
        <v>3423</v>
      </c>
      <c r="B3425" s="86" t="s">
        <v>1477</v>
      </c>
      <c r="C3425" s="86" t="s">
        <v>1961</v>
      </c>
      <c r="D3425" s="82" t="str">
        <f ca="1">OFFSET(Roster!$A$3,MATCH(表格1[[#This Row],[Location]]&amp;" "&amp;表格1[[#This Row],[Shop]]&amp;"*",Roster!$A$4:$A$72,0),DAY(表格1[[#This Row],[date]]),1,1)</f>
        <v>Terence_2</v>
      </c>
      <c r="E3425" s="86">
        <f>MONTH(表格1[[#This Row],[date]])</f>
        <v>3</v>
      </c>
      <c r="F3425" s="90">
        <v>46110</v>
      </c>
      <c r="G3425" s="86" t="str">
        <f>VLOOKUP("*"&amp;表格1[[#This Row],[Input]]&amp;"*",'Ref-List'!$B:$D,2,)</f>
        <v>MWP-MM20P(WH)</v>
      </c>
      <c r="H3425" s="86" t="str">
        <f>_xlfn.XLOOKUP(表格1[[#This Row],[Model]],表格3[Model-Input-Ref2],表格3[Product Line])</f>
        <v>旋鈕式燒烤微波爐20L</v>
      </c>
      <c r="I3425" s="86" t="str">
        <f>_xlfn.XLOOKUP(表格1[[#This Row],[Model]],表格3[Model-Input-Ref2],表格3[大小電])</f>
        <v>細電</v>
      </c>
      <c r="J3425" s="86" t="str">
        <f>_xlfn.XLOOKUP(表格1[[#This Row],[Model]],表格3[Model-Input-Ref2],表格3[Code])</f>
        <v>SDA</v>
      </c>
      <c r="K3425" s="89" t="s">
        <v>1270</v>
      </c>
      <c r="L3425" s="86">
        <v>1</v>
      </c>
      <c r="M3425" s="87">
        <v>488</v>
      </c>
      <c r="N3425" s="87">
        <f>IFERROR(表格1[[#This Row],[QTY]]*表格1[[#This Row],[Unit Price]],"-")</f>
        <v>488</v>
      </c>
      <c r="O3425" s="86">
        <v>2300504</v>
      </c>
      <c r="R3425" s="86" t="str">
        <f>_xlfn.CONCAT(表格1[[#This Row],[Model]]," ",表格1[[#This Row],[inv no]])</f>
        <v>MWP-MM20P(WH) 2300504</v>
      </c>
      <c r="S3425" s="86">
        <f>_xlfn.XLOOKUP(表格1[[#This Row],[Model]],表格3[Model-Input-Ref2],表格3[SRP PRICE])</f>
        <v>648</v>
      </c>
      <c r="T3425" s="43">
        <f>表格1[[#This Row],[Unit Price]]/表格1[[#This Row],[SRP]]</f>
        <v>0.75308641975308643</v>
      </c>
      <c r="U3425" s="86" t="str">
        <f>_xlfn.XLOOKUP(表格1[[#This Row],[Model]],表格3[Model-Input-Ref2],表格3[TOSHIBA/HIGHEST])</f>
        <v>Toshiba SRP</v>
      </c>
      <c r="W3425" s="86" t="str">
        <f>_xlfn.CONCAT(表格1[[#This Row],[欄4]],表格1[[#This Row],[inv no]])</f>
        <v>2300504</v>
      </c>
    </row>
    <row r="3426" spans="1:23" hidden="1">
      <c r="A3426" s="81">
        <v>3424</v>
      </c>
      <c r="B3426" s="86" t="s">
        <v>1477</v>
      </c>
      <c r="C3426" s="86" t="s">
        <v>1961</v>
      </c>
      <c r="D3426" s="82" t="str">
        <f ca="1">OFFSET(Roster!$A$3,MATCH(表格1[[#This Row],[Location]]&amp;" "&amp;表格1[[#This Row],[Shop]]&amp;"*",Roster!$A$4:$A$72,0),DAY(表格1[[#This Row],[date]]),1,1)</f>
        <v>Terence_2</v>
      </c>
      <c r="E3426" s="86">
        <f>MONTH(表格1[[#This Row],[date]])</f>
        <v>3</v>
      </c>
      <c r="F3426" s="90">
        <v>46110</v>
      </c>
      <c r="G3426" s="86" t="str">
        <f>VLOOKUP("*"&amp;表格1[[#This Row],[Input]]&amp;"*",'Ref-List'!$B:$D,2,)</f>
        <v>RC-18ISPH</v>
      </c>
      <c r="H3426" s="86" t="str">
        <f>_xlfn.XLOOKUP(表格1[[#This Row],[Model]],表格3[Model-Input-Ref2],表格3[Product Line])</f>
        <v>低醣磁應電飯煲1.8L</v>
      </c>
      <c r="I3426" s="86" t="str">
        <f>_xlfn.XLOOKUP(表格1[[#This Row],[Model]],表格3[Model-Input-Ref2],表格3[大小電])</f>
        <v>細電</v>
      </c>
      <c r="J3426" s="86" t="str">
        <f>_xlfn.XLOOKUP(表格1[[#This Row],[Model]],表格3[Model-Input-Ref2],表格3[Code])</f>
        <v>SDA</v>
      </c>
      <c r="K3426" s="89" t="s">
        <v>1281</v>
      </c>
      <c r="L3426" s="86">
        <v>1</v>
      </c>
      <c r="M3426" s="87">
        <v>898</v>
      </c>
      <c r="N3426" s="87">
        <f>IFERROR(表格1[[#This Row],[QTY]]*表格1[[#This Row],[Unit Price]],"-")</f>
        <v>898</v>
      </c>
      <c r="O3426" s="86">
        <v>2300477</v>
      </c>
      <c r="R3426" s="86" t="str">
        <f>_xlfn.CONCAT(表格1[[#This Row],[Model]]," ",表格1[[#This Row],[inv no]])</f>
        <v>RC-18ISPH 2300477</v>
      </c>
      <c r="S3426" s="86">
        <f>_xlfn.XLOOKUP(表格1[[#This Row],[Model]],表格3[Model-Input-Ref2],表格3[SRP PRICE])</f>
        <v>1436</v>
      </c>
      <c r="T3426" s="43">
        <f>表格1[[#This Row],[Unit Price]]/表格1[[#This Row],[SRP]]</f>
        <v>0.62534818941504178</v>
      </c>
      <c r="U3426" s="86" t="str">
        <f>_xlfn.XLOOKUP(表格1[[#This Row],[Model]],表格3[Model-Input-Ref2],表格3[TOSHIBA/HIGHEST])</f>
        <v>Shops Highest Price</v>
      </c>
      <c r="W3426" s="86" t="str">
        <f>_xlfn.CONCAT(表格1[[#This Row],[欄4]],表格1[[#This Row],[inv no]])</f>
        <v>2300477</v>
      </c>
    </row>
    <row r="3427" spans="1:23" hidden="1">
      <c r="A3427" s="81">
        <v>3425</v>
      </c>
      <c r="B3427" s="86" t="s">
        <v>1477</v>
      </c>
      <c r="C3427" s="86" t="s">
        <v>1961</v>
      </c>
      <c r="D3427" s="82" t="str">
        <f ca="1">OFFSET(Roster!$A$3,MATCH(表格1[[#This Row],[Location]]&amp;" "&amp;表格1[[#This Row],[Shop]]&amp;"*",Roster!$A$4:$A$72,0),DAY(表格1[[#This Row],[date]]),1,1)</f>
        <v>Terence_2</v>
      </c>
      <c r="E3427" s="86">
        <f>MONTH(表格1[[#This Row],[date]])</f>
        <v>3</v>
      </c>
      <c r="F3427" s="90">
        <v>46110</v>
      </c>
      <c r="G3427" s="86" t="str">
        <f>VLOOKUP("*"&amp;表格1[[#This Row],[Input]]&amp;"*",'Ref-List'!$B:$D,2,)</f>
        <v>RC-18ISPH</v>
      </c>
      <c r="H3427" s="86" t="str">
        <f>_xlfn.XLOOKUP(表格1[[#This Row],[Model]],表格3[Model-Input-Ref2],表格3[Product Line])</f>
        <v>低醣磁應電飯煲1.8L</v>
      </c>
      <c r="I3427" s="86" t="str">
        <f>_xlfn.XLOOKUP(表格1[[#This Row],[Model]],表格3[Model-Input-Ref2],表格3[大小電])</f>
        <v>細電</v>
      </c>
      <c r="J3427" s="86" t="str">
        <f>_xlfn.XLOOKUP(表格1[[#This Row],[Model]],表格3[Model-Input-Ref2],表格3[Code])</f>
        <v>SDA</v>
      </c>
      <c r="K3427" s="89" t="s">
        <v>1281</v>
      </c>
      <c r="L3427" s="86">
        <v>1</v>
      </c>
      <c r="M3427" s="87">
        <v>898</v>
      </c>
      <c r="N3427" s="87">
        <f>IFERROR(表格1[[#This Row],[QTY]]*表格1[[#This Row],[Unit Price]],"-")</f>
        <v>898</v>
      </c>
      <c r="O3427" s="86">
        <v>2300493</v>
      </c>
      <c r="R3427" s="86" t="str">
        <f>_xlfn.CONCAT(表格1[[#This Row],[Model]]," ",表格1[[#This Row],[inv no]])</f>
        <v>RC-18ISPH 2300493</v>
      </c>
      <c r="S3427" s="86">
        <f>_xlfn.XLOOKUP(表格1[[#This Row],[Model]],表格3[Model-Input-Ref2],表格3[SRP PRICE])</f>
        <v>1436</v>
      </c>
      <c r="T3427" s="43">
        <f>表格1[[#This Row],[Unit Price]]/表格1[[#This Row],[SRP]]</f>
        <v>0.62534818941504178</v>
      </c>
      <c r="U3427" s="86" t="str">
        <f>_xlfn.XLOOKUP(表格1[[#This Row],[Model]],表格3[Model-Input-Ref2],表格3[TOSHIBA/HIGHEST])</f>
        <v>Shops Highest Price</v>
      </c>
      <c r="W3427" s="86" t="str">
        <f>_xlfn.CONCAT(表格1[[#This Row],[欄4]],表格1[[#This Row],[inv no]])</f>
        <v>2300493</v>
      </c>
    </row>
    <row r="3428" spans="1:23" hidden="1">
      <c r="A3428" s="81">
        <v>3426</v>
      </c>
      <c r="B3428" s="86" t="s">
        <v>1477</v>
      </c>
      <c r="C3428" s="86" t="s">
        <v>1961</v>
      </c>
      <c r="D3428" s="82" t="str">
        <f ca="1">OFFSET(Roster!$A$3,MATCH(表格1[[#This Row],[Location]]&amp;" "&amp;表格1[[#This Row],[Shop]]&amp;"*",Roster!$A$4:$A$72,0),DAY(表格1[[#This Row],[date]]),1,1)</f>
        <v>Terence_2</v>
      </c>
      <c r="E3428" s="86">
        <f>MONTH(表格1[[#This Row],[date]])</f>
        <v>3</v>
      </c>
      <c r="F3428" s="90">
        <v>46110</v>
      </c>
      <c r="G3428" s="86" t="str">
        <f>VLOOKUP("*"&amp;表格1[[#This Row],[Input]]&amp;"*",'Ref-List'!$B:$D,2,)</f>
        <v>RC-18ISPH</v>
      </c>
      <c r="H3428" s="86" t="str">
        <f>_xlfn.XLOOKUP(表格1[[#This Row],[Model]],表格3[Model-Input-Ref2],表格3[Product Line])</f>
        <v>低醣磁應電飯煲1.8L</v>
      </c>
      <c r="I3428" s="86" t="str">
        <f>_xlfn.XLOOKUP(表格1[[#This Row],[Model]],表格3[Model-Input-Ref2],表格3[大小電])</f>
        <v>細電</v>
      </c>
      <c r="J3428" s="86" t="str">
        <f>_xlfn.XLOOKUP(表格1[[#This Row],[Model]],表格3[Model-Input-Ref2],表格3[Code])</f>
        <v>SDA</v>
      </c>
      <c r="K3428" s="89" t="s">
        <v>1281</v>
      </c>
      <c r="L3428" s="86">
        <v>1</v>
      </c>
      <c r="M3428" s="87">
        <v>898</v>
      </c>
      <c r="N3428" s="87">
        <f>IFERROR(表格1[[#This Row],[QTY]]*表格1[[#This Row],[Unit Price]],"-")</f>
        <v>898</v>
      </c>
      <c r="O3428" s="86">
        <v>2300418</v>
      </c>
      <c r="R3428" s="86" t="str">
        <f>_xlfn.CONCAT(表格1[[#This Row],[Model]]," ",表格1[[#This Row],[inv no]])</f>
        <v>RC-18ISPH 2300418</v>
      </c>
      <c r="S3428" s="86">
        <f>_xlfn.XLOOKUP(表格1[[#This Row],[Model]],表格3[Model-Input-Ref2],表格3[SRP PRICE])</f>
        <v>1436</v>
      </c>
      <c r="T3428" s="43">
        <f>表格1[[#This Row],[Unit Price]]/表格1[[#This Row],[SRP]]</f>
        <v>0.62534818941504178</v>
      </c>
      <c r="U3428" s="86" t="str">
        <f>_xlfn.XLOOKUP(表格1[[#This Row],[Model]],表格3[Model-Input-Ref2],表格3[TOSHIBA/HIGHEST])</f>
        <v>Shops Highest Price</v>
      </c>
      <c r="W3428" s="86" t="str">
        <f>_xlfn.CONCAT(表格1[[#This Row],[欄4]],表格1[[#This Row],[inv no]])</f>
        <v>2300418</v>
      </c>
    </row>
    <row r="3429" spans="1:23" hidden="1">
      <c r="A3429" s="81">
        <v>3427</v>
      </c>
      <c r="B3429" s="86" t="s">
        <v>1477</v>
      </c>
      <c r="C3429" s="86" t="s">
        <v>1961</v>
      </c>
      <c r="D3429" s="82" t="str">
        <f ca="1">OFFSET(Roster!$A$3,MATCH(表格1[[#This Row],[Location]]&amp;" "&amp;表格1[[#This Row],[Shop]]&amp;"*",Roster!$A$4:$A$72,0),DAY(表格1[[#This Row],[date]]),1,1)</f>
        <v>Terence_2</v>
      </c>
      <c r="E3429" s="86">
        <f>MONTH(表格1[[#This Row],[date]])</f>
        <v>3</v>
      </c>
      <c r="F3429" s="90">
        <v>46110</v>
      </c>
      <c r="G3429" s="86" t="str">
        <f>VLOOKUP("*"&amp;表格1[[#This Row],[Input]]&amp;"*",'Ref-List'!$B:$D,2,)</f>
        <v>RC-7HMH</v>
      </c>
      <c r="H3429" s="86" t="str">
        <f>_xlfn.XLOOKUP(表格1[[#This Row],[Model]],表格3[Model-Input-Ref2],表格3[Product Line])</f>
        <v>備長炭本厚釜電飯煲0.7L</v>
      </c>
      <c r="I3429" s="86" t="str">
        <f>_xlfn.XLOOKUP(表格1[[#This Row],[Model]],表格3[Model-Input-Ref2],表格3[大小電])</f>
        <v>細電</v>
      </c>
      <c r="J3429" s="86" t="str">
        <f>_xlfn.XLOOKUP(表格1[[#This Row],[Model]],表格3[Model-Input-Ref2],表格3[Code])</f>
        <v>SDA</v>
      </c>
      <c r="K3429" s="89" t="s">
        <v>1284</v>
      </c>
      <c r="L3429" s="86">
        <v>1</v>
      </c>
      <c r="M3429" s="87">
        <v>838</v>
      </c>
      <c r="N3429" s="87">
        <f>IFERROR(表格1[[#This Row],[QTY]]*表格1[[#This Row],[Unit Price]],"-")</f>
        <v>838</v>
      </c>
      <c r="O3429" s="86">
        <v>2300435</v>
      </c>
      <c r="R3429" s="86" t="str">
        <f>_xlfn.CONCAT(表格1[[#This Row],[Model]]," ",表格1[[#This Row],[inv no]])</f>
        <v>RC-7HMH 2300435</v>
      </c>
      <c r="S3429" s="86">
        <f>_xlfn.XLOOKUP(表格1[[#This Row],[Model]],表格3[Model-Input-Ref2],表格3[SRP PRICE])</f>
        <v>1288</v>
      </c>
      <c r="T3429" s="43">
        <f>表格1[[#This Row],[Unit Price]]/表格1[[#This Row],[SRP]]</f>
        <v>0.65062111801242239</v>
      </c>
      <c r="U3429" s="86" t="str">
        <f>_xlfn.XLOOKUP(表格1[[#This Row],[Model]],表格3[Model-Input-Ref2],表格3[TOSHIBA/HIGHEST])</f>
        <v>Toshiba SRP</v>
      </c>
      <c r="W3429" s="86" t="str">
        <f>_xlfn.CONCAT(表格1[[#This Row],[欄4]],表格1[[#This Row],[inv no]])</f>
        <v>2300435</v>
      </c>
    </row>
    <row r="3430" spans="1:23" hidden="1">
      <c r="A3430" s="81">
        <v>3428</v>
      </c>
      <c r="B3430" s="86" t="s">
        <v>1477</v>
      </c>
      <c r="C3430" s="86" t="s">
        <v>1961</v>
      </c>
      <c r="D3430" s="82" t="str">
        <f ca="1">OFFSET(Roster!$A$3,MATCH(表格1[[#This Row],[Location]]&amp;" "&amp;表格1[[#This Row],[Shop]]&amp;"*",Roster!$A$4:$A$72,0),DAY(表格1[[#This Row],[date]]),1,1)</f>
        <v>Terence_2</v>
      </c>
      <c r="E3430" s="86">
        <f>MONTH(表格1[[#This Row],[date]])</f>
        <v>3</v>
      </c>
      <c r="F3430" s="90">
        <v>46110</v>
      </c>
      <c r="G3430" s="86" t="str">
        <f>VLOOKUP("*"&amp;表格1[[#This Row],[Input]]&amp;"*",'Ref-List'!$B:$D,2,)</f>
        <v>RC-7HMH</v>
      </c>
      <c r="H3430" s="86" t="str">
        <f>_xlfn.XLOOKUP(表格1[[#This Row],[Model]],表格3[Model-Input-Ref2],表格3[Product Line])</f>
        <v>備長炭本厚釜電飯煲0.7L</v>
      </c>
      <c r="I3430" s="86" t="str">
        <f>_xlfn.XLOOKUP(表格1[[#This Row],[Model]],表格3[Model-Input-Ref2],表格3[大小電])</f>
        <v>細電</v>
      </c>
      <c r="J3430" s="86" t="str">
        <f>_xlfn.XLOOKUP(表格1[[#This Row],[Model]],表格3[Model-Input-Ref2],表格3[Code])</f>
        <v>SDA</v>
      </c>
      <c r="K3430" s="89" t="s">
        <v>1284</v>
      </c>
      <c r="L3430" s="86">
        <v>1</v>
      </c>
      <c r="M3430" s="87">
        <v>838</v>
      </c>
      <c r="N3430" s="87">
        <f>IFERROR(表格1[[#This Row],[QTY]]*表格1[[#This Row],[Unit Price]],"-")</f>
        <v>838</v>
      </c>
      <c r="O3430" s="86">
        <v>2300455</v>
      </c>
      <c r="R3430" s="86" t="str">
        <f>_xlfn.CONCAT(表格1[[#This Row],[Model]]," ",表格1[[#This Row],[inv no]])</f>
        <v>RC-7HMH 2300455</v>
      </c>
      <c r="S3430" s="86">
        <f>_xlfn.XLOOKUP(表格1[[#This Row],[Model]],表格3[Model-Input-Ref2],表格3[SRP PRICE])</f>
        <v>1288</v>
      </c>
      <c r="T3430" s="43">
        <f>表格1[[#This Row],[Unit Price]]/表格1[[#This Row],[SRP]]</f>
        <v>0.65062111801242239</v>
      </c>
      <c r="U3430" s="86" t="str">
        <f>_xlfn.XLOOKUP(表格1[[#This Row],[Model]],表格3[Model-Input-Ref2],表格3[TOSHIBA/HIGHEST])</f>
        <v>Toshiba SRP</v>
      </c>
      <c r="W3430" s="86" t="str">
        <f>_xlfn.CONCAT(表格1[[#This Row],[欄4]],表格1[[#This Row],[inv no]])</f>
        <v>2300455</v>
      </c>
    </row>
    <row r="3431" spans="1:23" hidden="1">
      <c r="A3431" s="81">
        <v>3429</v>
      </c>
      <c r="B3431" s="86" t="s">
        <v>1477</v>
      </c>
      <c r="C3431" s="86" t="s">
        <v>1961</v>
      </c>
      <c r="D3431" s="82" t="str">
        <f ca="1">OFFSET(Roster!$A$3,MATCH(表格1[[#This Row],[Location]]&amp;" "&amp;表格1[[#This Row],[Shop]]&amp;"*",Roster!$A$4:$A$72,0),DAY(表格1[[#This Row],[date]]),1,1)</f>
        <v>Terence_2</v>
      </c>
      <c r="E3431" s="86">
        <f>MONTH(表格1[[#This Row],[date]])</f>
        <v>3</v>
      </c>
      <c r="F3431" s="90">
        <v>46110</v>
      </c>
      <c r="G3431" s="86" t="str">
        <f>VLOOKUP("*"&amp;表格1[[#This Row],[Input]]&amp;"*",'Ref-List'!$B:$D,2,)</f>
        <v>RC-10DRNH</v>
      </c>
      <c r="H3431" s="86" t="str">
        <f>_xlfn.XLOOKUP(表格1[[#This Row],[Model]],表格3[Model-Input-Ref2],表格3[Product Line])</f>
        <v>多功能備長炭本厚釜電飯煲1L</v>
      </c>
      <c r="I3431" s="86" t="str">
        <f>_xlfn.XLOOKUP(表格1[[#This Row],[Model]],表格3[Model-Input-Ref2],表格3[大小電])</f>
        <v>細電</v>
      </c>
      <c r="J3431" s="86" t="str">
        <f>_xlfn.XLOOKUP(表格1[[#This Row],[Model]],表格3[Model-Input-Ref2],表格3[Code])</f>
        <v>SDA</v>
      </c>
      <c r="K3431" s="89" t="s">
        <v>1376</v>
      </c>
      <c r="L3431" s="86">
        <v>1</v>
      </c>
      <c r="M3431" s="87">
        <v>499</v>
      </c>
      <c r="N3431" s="87">
        <f>IFERROR(表格1[[#This Row],[QTY]]*表格1[[#This Row],[Unit Price]],"-")</f>
        <v>499</v>
      </c>
      <c r="O3431" s="86">
        <v>2300549</v>
      </c>
      <c r="R3431" s="86" t="str">
        <f>_xlfn.CONCAT(表格1[[#This Row],[Model]]," ",表格1[[#This Row],[inv no]])</f>
        <v>RC-10DRNH 2300549</v>
      </c>
      <c r="S3431" s="86">
        <f>_xlfn.XLOOKUP(表格1[[#This Row],[Model]],表格3[Model-Input-Ref2],表格3[SRP PRICE])</f>
        <v>798</v>
      </c>
      <c r="T3431" s="43">
        <f>表格1[[#This Row],[Unit Price]]/表格1[[#This Row],[SRP]]</f>
        <v>0.62531328320802004</v>
      </c>
      <c r="U3431" s="86" t="str">
        <f>_xlfn.XLOOKUP(表格1[[#This Row],[Model]],表格3[Model-Input-Ref2],表格3[TOSHIBA/HIGHEST])</f>
        <v>Toshiba SRP</v>
      </c>
      <c r="W3431" s="86" t="str">
        <f>_xlfn.CONCAT(表格1[[#This Row],[欄4]],表格1[[#This Row],[inv no]])</f>
        <v>2300549</v>
      </c>
    </row>
    <row r="3432" spans="1:23" hidden="1">
      <c r="A3432" s="81">
        <v>3430</v>
      </c>
      <c r="B3432" s="86" t="s">
        <v>1477</v>
      </c>
      <c r="C3432" s="86" t="s">
        <v>1961</v>
      </c>
      <c r="D3432" s="82" t="str">
        <f ca="1">OFFSET(Roster!$A$3,MATCH(表格1[[#This Row],[Location]]&amp;" "&amp;表格1[[#This Row],[Shop]]&amp;"*",Roster!$A$4:$A$72,0),DAY(表格1[[#This Row],[date]]),1,1)</f>
        <v>Terence_2</v>
      </c>
      <c r="E3432" s="86">
        <f>MONTH(表格1[[#This Row],[date]])</f>
        <v>3</v>
      </c>
      <c r="F3432" s="90">
        <v>46110</v>
      </c>
      <c r="G3432" s="86" t="str">
        <f>VLOOKUP("*"&amp;表格1[[#This Row],[Input]]&amp;"*",'Ref-List'!$B:$D,2,)</f>
        <v>RC-10DRNH</v>
      </c>
      <c r="H3432" s="86" t="str">
        <f>_xlfn.XLOOKUP(表格1[[#This Row],[Model]],表格3[Model-Input-Ref2],表格3[Product Line])</f>
        <v>多功能備長炭本厚釜電飯煲1L</v>
      </c>
      <c r="I3432" s="86" t="str">
        <f>_xlfn.XLOOKUP(表格1[[#This Row],[Model]],表格3[Model-Input-Ref2],表格3[大小電])</f>
        <v>細電</v>
      </c>
      <c r="J3432" s="86" t="str">
        <f>_xlfn.XLOOKUP(表格1[[#This Row],[Model]],表格3[Model-Input-Ref2],表格3[Code])</f>
        <v>SDA</v>
      </c>
      <c r="K3432" s="89" t="s">
        <v>1376</v>
      </c>
      <c r="L3432" s="86">
        <v>1</v>
      </c>
      <c r="M3432" s="87">
        <v>499</v>
      </c>
      <c r="N3432" s="87">
        <f>IFERROR(表格1[[#This Row],[QTY]]*表格1[[#This Row],[Unit Price]],"-")</f>
        <v>499</v>
      </c>
      <c r="O3432" s="86">
        <v>2300595</v>
      </c>
      <c r="R3432" s="86" t="str">
        <f>_xlfn.CONCAT(表格1[[#This Row],[Model]]," ",表格1[[#This Row],[inv no]])</f>
        <v>RC-10DRNH 2300595</v>
      </c>
      <c r="S3432" s="86">
        <f>_xlfn.XLOOKUP(表格1[[#This Row],[Model]],表格3[Model-Input-Ref2],表格3[SRP PRICE])</f>
        <v>798</v>
      </c>
      <c r="T3432" s="43">
        <f>表格1[[#This Row],[Unit Price]]/表格1[[#This Row],[SRP]]</f>
        <v>0.62531328320802004</v>
      </c>
      <c r="U3432" s="86" t="str">
        <f>_xlfn.XLOOKUP(表格1[[#This Row],[Model]],表格3[Model-Input-Ref2],表格3[TOSHIBA/HIGHEST])</f>
        <v>Toshiba SRP</v>
      </c>
      <c r="W3432" s="86" t="str">
        <f>_xlfn.CONCAT(表格1[[#This Row],[欄4]],表格1[[#This Row],[inv no]])</f>
        <v>2300595</v>
      </c>
    </row>
    <row r="3433" spans="1:23" hidden="1">
      <c r="A3433" s="81">
        <v>3431</v>
      </c>
      <c r="B3433" s="86" t="s">
        <v>1477</v>
      </c>
      <c r="C3433" s="86" t="s">
        <v>1961</v>
      </c>
      <c r="D3433" s="82" t="str">
        <f ca="1">OFFSET(Roster!$A$3,MATCH(表格1[[#This Row],[Location]]&amp;" "&amp;表格1[[#This Row],[Shop]]&amp;"*",Roster!$A$4:$A$72,0),DAY(表格1[[#This Row],[date]]),1,1)</f>
        <v>Terence_2</v>
      </c>
      <c r="E3433" s="86">
        <f>MONTH(表格1[[#This Row],[date]])</f>
        <v>3</v>
      </c>
      <c r="F3433" s="90">
        <v>46110</v>
      </c>
      <c r="G3433" s="86" t="str">
        <f>VLOOKUP("*"&amp;表格1[[#This Row],[Input]]&amp;"*",'Ref-List'!$B:$D,2,)</f>
        <v>IC-S19RH</v>
      </c>
      <c r="H3433" s="86" t="str">
        <f>_xlfn.XLOOKUP(表格1[[#This Row],[Model]],表格3[Model-Input-Ref2],表格3[Product Line])</f>
        <v>輕便式電磁爐7個功能</v>
      </c>
      <c r="I3433" s="86" t="str">
        <f>_xlfn.XLOOKUP(表格1[[#This Row],[Model]],表格3[Model-Input-Ref2],表格3[大小電])</f>
        <v>細電</v>
      </c>
      <c r="J3433" s="86" t="str">
        <f>_xlfn.XLOOKUP(表格1[[#This Row],[Model]],表格3[Model-Input-Ref2],表格3[Code])</f>
        <v>SDA</v>
      </c>
      <c r="K3433" s="89" t="s">
        <v>1289</v>
      </c>
      <c r="L3433" s="86">
        <v>1</v>
      </c>
      <c r="M3433" s="87">
        <v>418</v>
      </c>
      <c r="N3433" s="87">
        <f>IFERROR(表格1[[#This Row],[QTY]]*表格1[[#This Row],[Unit Price]],"-")</f>
        <v>418</v>
      </c>
      <c r="O3433" s="86">
        <v>2300556</v>
      </c>
      <c r="R3433" s="86" t="str">
        <f>_xlfn.CONCAT(表格1[[#This Row],[Model]]," ",表格1[[#This Row],[inv no]])</f>
        <v>IC-S19RH 2300556</v>
      </c>
      <c r="S3433" s="86">
        <f>_xlfn.XLOOKUP(表格1[[#This Row],[Model]],表格3[Model-Input-Ref2],表格3[SRP PRICE])</f>
        <v>638</v>
      </c>
      <c r="T3433" s="43">
        <f>表格1[[#This Row],[Unit Price]]/表格1[[#This Row],[SRP]]</f>
        <v>0.65517241379310343</v>
      </c>
      <c r="U3433" s="86" t="str">
        <f>_xlfn.XLOOKUP(表格1[[#This Row],[Model]],表格3[Model-Input-Ref2],表格3[TOSHIBA/HIGHEST])</f>
        <v>Toshiba SRP</v>
      </c>
      <c r="W3433" s="86" t="str">
        <f>_xlfn.CONCAT(表格1[[#This Row],[欄4]],表格1[[#This Row],[inv no]])</f>
        <v>2300556</v>
      </c>
    </row>
    <row r="3434" spans="1:23" hidden="1">
      <c r="A3434" s="81">
        <v>3432</v>
      </c>
      <c r="B3434" s="86" t="s">
        <v>1477</v>
      </c>
      <c r="C3434" s="86" t="s">
        <v>1961</v>
      </c>
      <c r="D3434" s="82" t="str">
        <f ca="1">OFFSET(Roster!$A$3,MATCH(表格1[[#This Row],[Location]]&amp;" "&amp;表格1[[#This Row],[Shop]]&amp;"*",Roster!$A$4:$A$72,0),DAY(表格1[[#This Row],[date]]),1,1)</f>
        <v>Terence_2</v>
      </c>
      <c r="E3434" s="86">
        <f>MONTH(表格1[[#This Row],[date]])</f>
        <v>3</v>
      </c>
      <c r="F3434" s="90">
        <v>46110</v>
      </c>
      <c r="G3434" s="86" t="str">
        <f>VLOOKUP("*"&amp;表格1[[#This Row],[Input]]&amp;"*",'Ref-List'!$B:$D,2,)</f>
        <v>RC-10AMXH(W)</v>
      </c>
      <c r="H3434" s="86" t="str">
        <f>_xlfn.XLOOKUP(表格1[[#This Row],[Model]],表格3[Model-Input-Ref2],表格3[Product Line])</f>
        <v>酵活炊電飯煲(1.0公升)</v>
      </c>
      <c r="I3434" s="86" t="str">
        <f>_xlfn.XLOOKUP(表格1[[#This Row],[Model]],表格3[Model-Input-Ref2],表格3[大小電])</f>
        <v>細電</v>
      </c>
      <c r="J3434" s="86" t="str">
        <f>_xlfn.XLOOKUP(表格1[[#This Row],[Model]],表格3[Model-Input-Ref2],表格3[Code])</f>
        <v>SDA</v>
      </c>
      <c r="K3434" s="89" t="s">
        <v>1279</v>
      </c>
      <c r="L3434" s="86">
        <v>1</v>
      </c>
      <c r="M3434" s="87">
        <v>990</v>
      </c>
      <c r="N3434" s="87">
        <f>IFERROR(表格1[[#This Row],[QTY]]*表格1[[#This Row],[Unit Price]],"-")</f>
        <v>990</v>
      </c>
      <c r="O3434" s="86">
        <v>2300502</v>
      </c>
      <c r="R3434" s="86" t="str">
        <f>_xlfn.CONCAT(表格1[[#This Row],[Model]]," ",表格1[[#This Row],[inv no]])</f>
        <v>RC-10AMXH(W) 2300502</v>
      </c>
      <c r="S3434" s="86">
        <f>_xlfn.XLOOKUP(表格1[[#This Row],[Model]],表格3[Model-Input-Ref2],表格3[SRP PRICE])</f>
        <v>1288</v>
      </c>
      <c r="T3434" s="43">
        <f>表格1[[#This Row],[Unit Price]]/表格1[[#This Row],[SRP]]</f>
        <v>0.76863354037267084</v>
      </c>
      <c r="U3434" s="86" t="str">
        <f>_xlfn.XLOOKUP(表格1[[#This Row],[Model]],表格3[Model-Input-Ref2],表格3[TOSHIBA/HIGHEST])</f>
        <v>Toshiba SRP</v>
      </c>
      <c r="W3434" s="86" t="str">
        <f>_xlfn.CONCAT(表格1[[#This Row],[欄4]],表格1[[#This Row],[inv no]])</f>
        <v>2300502</v>
      </c>
    </row>
    <row r="3435" spans="1:23" hidden="1">
      <c r="A3435" s="81">
        <v>3433</v>
      </c>
      <c r="B3435" s="86" t="s">
        <v>1477</v>
      </c>
      <c r="C3435" s="86" t="s">
        <v>1961</v>
      </c>
      <c r="D3435" s="82" t="str">
        <f ca="1">OFFSET(Roster!$A$3,MATCH(表格1[[#This Row],[Location]]&amp;" "&amp;表格1[[#This Row],[Shop]]&amp;"*",Roster!$A$4:$A$72,0),DAY(表格1[[#This Row],[date]]),1,1)</f>
        <v>Terence_2</v>
      </c>
      <c r="E3435" s="86">
        <f>MONTH(表格1[[#This Row],[date]])</f>
        <v>3</v>
      </c>
      <c r="F3435" s="90">
        <v>46110</v>
      </c>
      <c r="G3435" s="86" t="str">
        <f>VLOOKUP("*"&amp;表格1[[#This Row],[Input]]&amp;"*",'Ref-List'!$B:$D,2,)</f>
        <v>GR-RB221WE-PMA(57)</v>
      </c>
      <c r="H3435" s="86" t="str">
        <f>_xlfn.XLOOKUP(表格1[[#This Row],[Model]],表格3[Model-Input-Ref2],表格3[Product Line])</f>
        <v>變頻下置式雙門雪櫃（163L）</v>
      </c>
      <c r="I3435" s="86" t="str">
        <f>_xlfn.XLOOKUP(表格1[[#This Row],[Model]],表格3[Model-Input-Ref2],表格3[大小電])</f>
        <v>大電</v>
      </c>
      <c r="J3435" s="86" t="str">
        <f>_xlfn.XLOOKUP(表格1[[#This Row],[Model]],表格3[Model-Input-Ref2],表格3[Code])</f>
        <v>REF</v>
      </c>
      <c r="K3435" s="89" t="s">
        <v>1386</v>
      </c>
      <c r="L3435" s="86">
        <v>1</v>
      </c>
      <c r="M3435" s="87">
        <v>1880</v>
      </c>
      <c r="N3435" s="87">
        <f>IFERROR(表格1[[#This Row],[QTY]]*表格1[[#This Row],[Unit Price]],"-")</f>
        <v>1880</v>
      </c>
      <c r="O3435" s="86">
        <v>2300514</v>
      </c>
      <c r="R3435" s="86" t="str">
        <f>_xlfn.CONCAT(表格1[[#This Row],[Model]]," ",表格1[[#This Row],[inv no]])</f>
        <v>GR-RB221WE-PMA(57) 2300514</v>
      </c>
      <c r="S3435" s="86">
        <f>_xlfn.XLOOKUP(表格1[[#This Row],[Model]],表格3[Model-Input-Ref2],表格3[SRP PRICE])</f>
        <v>3480</v>
      </c>
      <c r="T3435" s="43">
        <f>表格1[[#This Row],[Unit Price]]/表格1[[#This Row],[SRP]]</f>
        <v>0.54022988505747127</v>
      </c>
      <c r="U3435" s="86" t="str">
        <f>_xlfn.XLOOKUP(表格1[[#This Row],[Model]],表格3[Model-Input-Ref2],表格3[TOSHIBA/HIGHEST])</f>
        <v>Toshiba SRP</v>
      </c>
      <c r="W3435" s="86" t="str">
        <f>_xlfn.CONCAT(表格1[[#This Row],[欄4]],表格1[[#This Row],[inv no]])</f>
        <v>2300514</v>
      </c>
    </row>
    <row r="3436" spans="1:23" hidden="1">
      <c r="A3436" s="81">
        <v>3434</v>
      </c>
      <c r="B3436" s="86" t="s">
        <v>1477</v>
      </c>
      <c r="C3436" s="86" t="s">
        <v>1961</v>
      </c>
      <c r="D3436" s="82" t="str">
        <f ca="1">OFFSET(Roster!$A$3,MATCH(表格1[[#This Row],[Location]]&amp;" "&amp;表格1[[#This Row],[Shop]]&amp;"*",Roster!$A$4:$A$72,0),DAY(表格1[[#This Row],[date]]),1,1)</f>
        <v>Terence_2</v>
      </c>
      <c r="E3436" s="86">
        <f>MONTH(表格1[[#This Row],[date]])</f>
        <v>3</v>
      </c>
      <c r="F3436" s="90">
        <v>46110</v>
      </c>
      <c r="G3436" s="86" t="str">
        <f>VLOOKUP("*"&amp;表格1[[#This Row],[Input]]&amp;"*",'Ref-List'!$B:$D,2,)</f>
        <v>RC-18ISPH</v>
      </c>
      <c r="H3436" s="86" t="str">
        <f>_xlfn.XLOOKUP(表格1[[#This Row],[Model]],表格3[Model-Input-Ref2],表格3[Product Line])</f>
        <v>低醣磁應電飯煲1.8L</v>
      </c>
      <c r="I3436" s="86" t="str">
        <f>_xlfn.XLOOKUP(表格1[[#This Row],[Model]],表格3[Model-Input-Ref2],表格3[大小電])</f>
        <v>細電</v>
      </c>
      <c r="J3436" s="86" t="str">
        <f>_xlfn.XLOOKUP(表格1[[#This Row],[Model]],表格3[Model-Input-Ref2],表格3[Code])</f>
        <v>SDA</v>
      </c>
      <c r="K3436" s="89" t="s">
        <v>1281</v>
      </c>
      <c r="L3436" s="86">
        <v>1</v>
      </c>
      <c r="M3436" s="87">
        <v>898</v>
      </c>
      <c r="N3436" s="87">
        <f>IFERROR(表格1[[#This Row],[QTY]]*表格1[[#This Row],[Unit Price]],"-")</f>
        <v>898</v>
      </c>
      <c r="O3436" s="86">
        <v>2300528</v>
      </c>
      <c r="R3436" s="86" t="str">
        <f>_xlfn.CONCAT(表格1[[#This Row],[Model]]," ",表格1[[#This Row],[inv no]])</f>
        <v>RC-18ISPH 2300528</v>
      </c>
      <c r="S3436" s="86">
        <f>_xlfn.XLOOKUP(表格1[[#This Row],[Model]],表格3[Model-Input-Ref2],表格3[SRP PRICE])</f>
        <v>1436</v>
      </c>
      <c r="T3436" s="43">
        <f>表格1[[#This Row],[Unit Price]]/表格1[[#This Row],[SRP]]</f>
        <v>0.62534818941504178</v>
      </c>
      <c r="U3436" s="86" t="str">
        <f>_xlfn.XLOOKUP(表格1[[#This Row],[Model]],表格3[Model-Input-Ref2],表格3[TOSHIBA/HIGHEST])</f>
        <v>Shops Highest Price</v>
      </c>
      <c r="W3436" s="86" t="str">
        <f>_xlfn.CONCAT(表格1[[#This Row],[欄4]],表格1[[#This Row],[inv no]])</f>
        <v>2300528</v>
      </c>
    </row>
    <row r="3437" spans="1:23" hidden="1">
      <c r="A3437" s="81">
        <v>3435</v>
      </c>
      <c r="B3437" s="86" t="s">
        <v>1477</v>
      </c>
      <c r="C3437" s="86" t="s">
        <v>1961</v>
      </c>
      <c r="D3437" s="82" t="str">
        <f ca="1">OFFSET(Roster!$A$3,MATCH(表格1[[#This Row],[Location]]&amp;" "&amp;表格1[[#This Row],[Shop]]&amp;"*",Roster!$A$4:$A$72,0),DAY(表格1[[#This Row],[date]]),1,1)</f>
        <v>Terence_2</v>
      </c>
      <c r="E3437" s="86">
        <f>MONTH(表格1[[#This Row],[date]])</f>
        <v>3</v>
      </c>
      <c r="F3437" s="90">
        <v>46110</v>
      </c>
      <c r="G3437" s="86" t="str">
        <f>VLOOKUP("*"&amp;表格1[[#This Row],[Input]]&amp;"*",'Ref-List'!$B:$D,2,)</f>
        <v>RC-10AMXH(W)</v>
      </c>
      <c r="H3437" s="86" t="str">
        <f>_xlfn.XLOOKUP(表格1[[#This Row],[Model]],表格3[Model-Input-Ref2],表格3[Product Line])</f>
        <v>酵活炊電飯煲(1.0公升)</v>
      </c>
      <c r="I3437" s="86" t="str">
        <f>_xlfn.XLOOKUP(表格1[[#This Row],[Model]],表格3[Model-Input-Ref2],表格3[大小電])</f>
        <v>細電</v>
      </c>
      <c r="J3437" s="86" t="str">
        <f>_xlfn.XLOOKUP(表格1[[#This Row],[Model]],表格3[Model-Input-Ref2],表格3[Code])</f>
        <v>SDA</v>
      </c>
      <c r="K3437" s="89" t="s">
        <v>1279</v>
      </c>
      <c r="L3437" s="86">
        <v>1</v>
      </c>
      <c r="M3437" s="87">
        <v>990</v>
      </c>
      <c r="N3437" s="87">
        <f>IFERROR(表格1[[#This Row],[QTY]]*表格1[[#This Row],[Unit Price]],"-")</f>
        <v>990</v>
      </c>
      <c r="O3437" s="86">
        <v>2300360</v>
      </c>
      <c r="R3437" s="86" t="str">
        <f>_xlfn.CONCAT(表格1[[#This Row],[Model]]," ",表格1[[#This Row],[inv no]])</f>
        <v>RC-10AMXH(W) 2300360</v>
      </c>
      <c r="S3437" s="86">
        <f>_xlfn.XLOOKUP(表格1[[#This Row],[Model]],表格3[Model-Input-Ref2],表格3[SRP PRICE])</f>
        <v>1288</v>
      </c>
      <c r="T3437" s="43">
        <f>表格1[[#This Row],[Unit Price]]/表格1[[#This Row],[SRP]]</f>
        <v>0.76863354037267084</v>
      </c>
      <c r="U3437" s="86" t="str">
        <f>_xlfn.XLOOKUP(表格1[[#This Row],[Model]],表格3[Model-Input-Ref2],表格3[TOSHIBA/HIGHEST])</f>
        <v>Toshiba SRP</v>
      </c>
      <c r="W3437" s="86" t="str">
        <f>_xlfn.CONCAT(表格1[[#This Row],[欄4]],表格1[[#This Row],[inv no]])</f>
        <v>2300360</v>
      </c>
    </row>
    <row r="3438" spans="1:23" hidden="1">
      <c r="A3438" s="81">
        <v>3436</v>
      </c>
      <c r="B3438" s="86" t="s">
        <v>1477</v>
      </c>
      <c r="C3438" s="86" t="s">
        <v>1961</v>
      </c>
      <c r="D3438" s="82" t="str">
        <f ca="1">OFFSET(Roster!$A$3,MATCH(表格1[[#This Row],[Location]]&amp;" "&amp;表格1[[#This Row],[Shop]]&amp;"*",Roster!$A$4:$A$72,0),DAY(表格1[[#This Row],[date]]),1,1)</f>
        <v>Terence_2</v>
      </c>
      <c r="E3438" s="86">
        <f>MONTH(表格1[[#This Row],[date]])</f>
        <v>3</v>
      </c>
      <c r="F3438" s="90">
        <v>46110</v>
      </c>
      <c r="G3438" s="86" t="str">
        <f>VLOOKUP("*"&amp;表格1[[#This Row],[Input]]&amp;"*",'Ref-List'!$B:$D,2,)</f>
        <v>RC-10AMXH(W)</v>
      </c>
      <c r="H3438" s="86" t="str">
        <f>_xlfn.XLOOKUP(表格1[[#This Row],[Model]],表格3[Model-Input-Ref2],表格3[Product Line])</f>
        <v>酵活炊電飯煲(1.0公升)</v>
      </c>
      <c r="I3438" s="86" t="str">
        <f>_xlfn.XLOOKUP(表格1[[#This Row],[Model]],表格3[Model-Input-Ref2],表格3[大小電])</f>
        <v>細電</v>
      </c>
      <c r="J3438" s="86" t="str">
        <f>_xlfn.XLOOKUP(表格1[[#This Row],[Model]],表格3[Model-Input-Ref2],表格3[Code])</f>
        <v>SDA</v>
      </c>
      <c r="K3438" s="89" t="s">
        <v>1279</v>
      </c>
      <c r="L3438" s="86">
        <v>1</v>
      </c>
      <c r="M3438" s="87">
        <v>990</v>
      </c>
      <c r="N3438" s="87">
        <f>IFERROR(表格1[[#This Row],[QTY]]*表格1[[#This Row],[Unit Price]],"-")</f>
        <v>990</v>
      </c>
      <c r="O3438" s="86">
        <v>2300382</v>
      </c>
      <c r="R3438" s="86" t="str">
        <f>_xlfn.CONCAT(表格1[[#This Row],[Model]]," ",表格1[[#This Row],[inv no]])</f>
        <v>RC-10AMXH(W) 2300382</v>
      </c>
      <c r="S3438" s="86">
        <f>_xlfn.XLOOKUP(表格1[[#This Row],[Model]],表格3[Model-Input-Ref2],表格3[SRP PRICE])</f>
        <v>1288</v>
      </c>
      <c r="T3438" s="43">
        <f>表格1[[#This Row],[Unit Price]]/表格1[[#This Row],[SRP]]</f>
        <v>0.76863354037267084</v>
      </c>
      <c r="U3438" s="86" t="str">
        <f>_xlfn.XLOOKUP(表格1[[#This Row],[Model]],表格3[Model-Input-Ref2],表格3[TOSHIBA/HIGHEST])</f>
        <v>Toshiba SRP</v>
      </c>
      <c r="W3438" s="86" t="str">
        <f>_xlfn.CONCAT(表格1[[#This Row],[欄4]],表格1[[#This Row],[inv no]])</f>
        <v>2300382</v>
      </c>
    </row>
    <row r="3439" spans="1:23" hidden="1">
      <c r="A3439" s="81">
        <v>3437</v>
      </c>
      <c r="B3439" s="86" t="s">
        <v>1477</v>
      </c>
      <c r="C3439" s="86" t="s">
        <v>1961</v>
      </c>
      <c r="D3439" s="82" t="str">
        <f ca="1">OFFSET(Roster!$A$3,MATCH(表格1[[#This Row],[Location]]&amp;" "&amp;表格1[[#This Row],[Shop]]&amp;"*",Roster!$A$4:$A$72,0),DAY(表格1[[#This Row],[date]]),1,1)</f>
        <v>Terence_2</v>
      </c>
      <c r="E3439" s="86">
        <f>MONTH(表格1[[#This Row],[date]])</f>
        <v>3</v>
      </c>
      <c r="F3439" s="90">
        <v>46110</v>
      </c>
      <c r="G3439" s="86" t="str">
        <f>VLOOKUP("*"&amp;表格1[[#This Row],[Input]]&amp;"*",'Ref-List'!$B:$D,2,)</f>
        <v>RC-10AMXH(W)</v>
      </c>
      <c r="H3439" s="86" t="str">
        <f>_xlfn.XLOOKUP(表格1[[#This Row],[Model]],表格3[Model-Input-Ref2],表格3[Product Line])</f>
        <v>酵活炊電飯煲(1.0公升)</v>
      </c>
      <c r="I3439" s="86" t="str">
        <f>_xlfn.XLOOKUP(表格1[[#This Row],[Model]],表格3[Model-Input-Ref2],表格3[大小電])</f>
        <v>細電</v>
      </c>
      <c r="J3439" s="86" t="str">
        <f>_xlfn.XLOOKUP(表格1[[#This Row],[Model]],表格3[Model-Input-Ref2],表格3[Code])</f>
        <v>SDA</v>
      </c>
      <c r="K3439" s="89" t="s">
        <v>1956</v>
      </c>
      <c r="L3439" s="86">
        <v>1</v>
      </c>
      <c r="M3439" s="87">
        <v>990</v>
      </c>
      <c r="N3439" s="87">
        <f>IFERROR(表格1[[#This Row],[QTY]]*表格1[[#This Row],[Unit Price]],"-")</f>
        <v>990</v>
      </c>
      <c r="O3439" s="86">
        <v>2300395</v>
      </c>
      <c r="R3439" s="86" t="str">
        <f>_xlfn.CONCAT(表格1[[#This Row],[Model]]," ",表格1[[#This Row],[inv no]])</f>
        <v>RC-10AMXH(W) 2300395</v>
      </c>
      <c r="S3439" s="86">
        <f>_xlfn.XLOOKUP(表格1[[#This Row],[Model]],表格3[Model-Input-Ref2],表格3[SRP PRICE])</f>
        <v>1288</v>
      </c>
      <c r="T3439" s="43">
        <f>表格1[[#This Row],[Unit Price]]/表格1[[#This Row],[SRP]]</f>
        <v>0.76863354037267084</v>
      </c>
      <c r="U3439" s="86" t="str">
        <f>_xlfn.XLOOKUP(表格1[[#This Row],[Model]],表格3[Model-Input-Ref2],表格3[TOSHIBA/HIGHEST])</f>
        <v>Toshiba SRP</v>
      </c>
      <c r="W3439" s="86" t="str">
        <f>_xlfn.CONCAT(表格1[[#This Row],[欄4]],表格1[[#This Row],[inv no]])</f>
        <v>2300395</v>
      </c>
    </row>
    <row r="3440" spans="1:23" hidden="1">
      <c r="A3440" s="81">
        <v>3438</v>
      </c>
      <c r="B3440" s="86" t="s">
        <v>1477</v>
      </c>
      <c r="C3440" s="86" t="s">
        <v>1961</v>
      </c>
      <c r="D3440" s="82" t="str">
        <f ca="1">OFFSET(Roster!$A$3,MATCH(表格1[[#This Row],[Location]]&amp;" "&amp;表格1[[#This Row],[Shop]]&amp;"*",Roster!$A$4:$A$72,0),DAY(表格1[[#This Row],[date]]),1,1)</f>
        <v>Terence_2</v>
      </c>
      <c r="E3440" s="86">
        <f>MONTH(表格1[[#This Row],[date]])</f>
        <v>3</v>
      </c>
      <c r="F3440" s="90">
        <v>46110</v>
      </c>
      <c r="G3440" s="86" t="str">
        <f>VLOOKUP("*"&amp;表格1[[#This Row],[Input]]&amp;"*",'Ref-List'!$B:$D,2,)</f>
        <v>RC-10AMXH(W)</v>
      </c>
      <c r="H3440" s="86" t="str">
        <f>_xlfn.XLOOKUP(表格1[[#This Row],[Model]],表格3[Model-Input-Ref2],表格3[Product Line])</f>
        <v>酵活炊電飯煲(1.0公升)</v>
      </c>
      <c r="I3440" s="86" t="str">
        <f>_xlfn.XLOOKUP(表格1[[#This Row],[Model]],表格3[Model-Input-Ref2],表格3[大小電])</f>
        <v>細電</v>
      </c>
      <c r="J3440" s="86" t="str">
        <f>_xlfn.XLOOKUP(表格1[[#This Row],[Model]],表格3[Model-Input-Ref2],表格3[Code])</f>
        <v>SDA</v>
      </c>
      <c r="K3440" s="89" t="s">
        <v>1956</v>
      </c>
      <c r="L3440" s="86">
        <v>1</v>
      </c>
      <c r="M3440" s="87">
        <v>990</v>
      </c>
      <c r="N3440" s="87">
        <f>IFERROR(表格1[[#This Row],[QTY]]*表格1[[#This Row],[Unit Price]],"-")</f>
        <v>990</v>
      </c>
      <c r="O3440" s="86">
        <v>2300508</v>
      </c>
      <c r="R3440" s="86" t="str">
        <f>_xlfn.CONCAT(表格1[[#This Row],[Model]]," ",表格1[[#This Row],[inv no]])</f>
        <v>RC-10AMXH(W) 2300508</v>
      </c>
      <c r="S3440" s="86">
        <f>_xlfn.XLOOKUP(表格1[[#This Row],[Model]],表格3[Model-Input-Ref2],表格3[SRP PRICE])</f>
        <v>1288</v>
      </c>
      <c r="T3440" s="43">
        <f>表格1[[#This Row],[Unit Price]]/表格1[[#This Row],[SRP]]</f>
        <v>0.76863354037267084</v>
      </c>
      <c r="U3440" s="86" t="str">
        <f>_xlfn.XLOOKUP(表格1[[#This Row],[Model]],表格3[Model-Input-Ref2],表格3[TOSHIBA/HIGHEST])</f>
        <v>Toshiba SRP</v>
      </c>
      <c r="W3440" s="86" t="str">
        <f>_xlfn.CONCAT(表格1[[#This Row],[欄4]],表格1[[#This Row],[inv no]])</f>
        <v>2300508</v>
      </c>
    </row>
    <row r="3441" spans="1:23" hidden="1">
      <c r="A3441" s="81">
        <v>3439</v>
      </c>
      <c r="B3441" s="86" t="s">
        <v>1477</v>
      </c>
      <c r="C3441" s="86" t="s">
        <v>1961</v>
      </c>
      <c r="D3441" s="82" t="str">
        <f ca="1">OFFSET(Roster!$A$3,MATCH(表格1[[#This Row],[Location]]&amp;" "&amp;表格1[[#This Row],[Shop]]&amp;"*",Roster!$A$4:$A$72,0),DAY(表格1[[#This Row],[date]]),1,1)</f>
        <v>Terence_2</v>
      </c>
      <c r="E3441" s="86">
        <f>MONTH(表格1[[#This Row],[date]])</f>
        <v>3</v>
      </c>
      <c r="F3441" s="90">
        <v>46110</v>
      </c>
      <c r="G3441" s="86" t="str">
        <f>VLOOKUP("*"&amp;表格1[[#This Row],[Input]]&amp;"*",'Ref-List'!$B:$D,2,)</f>
        <v>MX1-TH23SC(WH)</v>
      </c>
      <c r="H3441" s="86" t="str">
        <f>_xlfn.XLOOKUP(表格1[[#This Row],[Model]],表格3[Model-Input-Ref2],表格3[Product Line])</f>
        <v>微波蒸焗爐23L</v>
      </c>
      <c r="I3441" s="86" t="str">
        <f>_xlfn.XLOOKUP(表格1[[#This Row],[Model]],表格3[Model-Input-Ref2],表格3[大小電])</f>
        <v>細電</v>
      </c>
      <c r="J3441" s="86" t="str">
        <f>_xlfn.XLOOKUP(表格1[[#This Row],[Model]],表格3[Model-Input-Ref2],表格3[Code])</f>
        <v>SDA</v>
      </c>
      <c r="K3441" s="89" t="s">
        <v>1496</v>
      </c>
      <c r="L3441" s="86">
        <v>1</v>
      </c>
      <c r="M3441" s="87">
        <v>1999</v>
      </c>
      <c r="N3441" s="87">
        <f>IFERROR(表格1[[#This Row],[QTY]]*表格1[[#This Row],[Unit Price]],"-")</f>
        <v>1999</v>
      </c>
      <c r="O3441" s="86">
        <v>2300437</v>
      </c>
      <c r="R3441" s="86" t="str">
        <f>_xlfn.CONCAT(表格1[[#This Row],[Model]]," ",表格1[[#This Row],[inv no]])</f>
        <v>MX1-TH23SC(WH) 2300437</v>
      </c>
      <c r="S3441" s="86">
        <f>_xlfn.XLOOKUP(表格1[[#This Row],[Model]],表格3[Model-Input-Ref2],表格3[SRP PRICE])</f>
        <v>3380</v>
      </c>
      <c r="T3441" s="43">
        <f>表格1[[#This Row],[Unit Price]]/表格1[[#This Row],[SRP]]</f>
        <v>0.5914201183431953</v>
      </c>
      <c r="U3441" s="86" t="str">
        <f>_xlfn.XLOOKUP(表格1[[#This Row],[Model]],表格3[Model-Input-Ref2],表格3[TOSHIBA/HIGHEST])</f>
        <v>Toshiba SRP</v>
      </c>
      <c r="W3441" s="86" t="str">
        <f>_xlfn.CONCAT(表格1[[#This Row],[欄4]],表格1[[#This Row],[inv no]])</f>
        <v>2300437</v>
      </c>
    </row>
    <row r="3442" spans="1:23" hidden="1">
      <c r="A3442" s="81">
        <v>3440</v>
      </c>
      <c r="B3442" s="86" t="s">
        <v>1477</v>
      </c>
      <c r="C3442" s="86" t="s">
        <v>1961</v>
      </c>
      <c r="D3442" s="82" t="str">
        <f ca="1">OFFSET(Roster!$A$3,MATCH(表格1[[#This Row],[Location]]&amp;" "&amp;表格1[[#This Row],[Shop]]&amp;"*",Roster!$A$4:$A$72,0),DAY(表格1[[#This Row],[date]]),1,1)</f>
        <v>Terence_2</v>
      </c>
      <c r="E3442" s="86">
        <f>MONTH(表格1[[#This Row],[date]])</f>
        <v>3</v>
      </c>
      <c r="F3442" s="90">
        <v>46110</v>
      </c>
      <c r="G3442" s="86" t="str">
        <f>VLOOKUP("*"&amp;表格1[[#This Row],[Input]]&amp;"*",'Ref-List'!$B:$D,2,)</f>
        <v>MX1-TH23SC(WH)</v>
      </c>
      <c r="H3442" s="86" t="str">
        <f>_xlfn.XLOOKUP(表格1[[#This Row],[Model]],表格3[Model-Input-Ref2],表格3[Product Line])</f>
        <v>微波蒸焗爐23L</v>
      </c>
      <c r="I3442" s="86" t="str">
        <f>_xlfn.XLOOKUP(表格1[[#This Row],[Model]],表格3[Model-Input-Ref2],表格3[大小電])</f>
        <v>細電</v>
      </c>
      <c r="J3442" s="86" t="str">
        <f>_xlfn.XLOOKUP(表格1[[#This Row],[Model]],表格3[Model-Input-Ref2],表格3[Code])</f>
        <v>SDA</v>
      </c>
      <c r="K3442" s="89" t="s">
        <v>1496</v>
      </c>
      <c r="L3442" s="86">
        <v>1</v>
      </c>
      <c r="M3442" s="87">
        <v>1999</v>
      </c>
      <c r="N3442" s="87">
        <f>IFERROR(表格1[[#This Row],[QTY]]*表格1[[#This Row],[Unit Price]],"-")</f>
        <v>1999</v>
      </c>
      <c r="O3442" s="86">
        <v>2300448</v>
      </c>
      <c r="R3442" s="86" t="str">
        <f>_xlfn.CONCAT(表格1[[#This Row],[Model]]," ",表格1[[#This Row],[inv no]])</f>
        <v>MX1-TH23SC(WH) 2300448</v>
      </c>
      <c r="S3442" s="86">
        <f>_xlfn.XLOOKUP(表格1[[#This Row],[Model]],表格3[Model-Input-Ref2],表格3[SRP PRICE])</f>
        <v>3380</v>
      </c>
      <c r="T3442" s="43">
        <f>表格1[[#This Row],[Unit Price]]/表格1[[#This Row],[SRP]]</f>
        <v>0.5914201183431953</v>
      </c>
      <c r="U3442" s="86" t="str">
        <f>_xlfn.XLOOKUP(表格1[[#This Row],[Model]],表格3[Model-Input-Ref2],表格3[TOSHIBA/HIGHEST])</f>
        <v>Toshiba SRP</v>
      </c>
      <c r="W3442" s="86" t="str">
        <f>_xlfn.CONCAT(表格1[[#This Row],[欄4]],表格1[[#This Row],[inv no]])</f>
        <v>2300448</v>
      </c>
    </row>
    <row r="3443" spans="1:23" hidden="1">
      <c r="A3443" s="81">
        <v>3441</v>
      </c>
      <c r="B3443" s="86" t="s">
        <v>1477</v>
      </c>
      <c r="C3443" s="86" t="s">
        <v>1961</v>
      </c>
      <c r="D3443" s="82" t="str">
        <f ca="1">OFFSET(Roster!$A$3,MATCH(表格1[[#This Row],[Location]]&amp;" "&amp;表格1[[#This Row],[Shop]]&amp;"*",Roster!$A$4:$A$72,0),DAY(表格1[[#This Row],[date]]),1,1)</f>
        <v>Terence_2</v>
      </c>
      <c r="E3443" s="86">
        <f>MONTH(表格1[[#This Row],[date]])</f>
        <v>3</v>
      </c>
      <c r="F3443" s="90">
        <v>46110</v>
      </c>
      <c r="G3443" s="86" t="str">
        <f>VLOOKUP("*"&amp;表格1[[#This Row],[Input]]&amp;"*",'Ref-List'!$B:$D,2,)</f>
        <v>MX1-TH23SC(WH)</v>
      </c>
      <c r="H3443" s="86" t="str">
        <f>_xlfn.XLOOKUP(表格1[[#This Row],[Model]],表格3[Model-Input-Ref2],表格3[Product Line])</f>
        <v>微波蒸焗爐23L</v>
      </c>
      <c r="I3443" s="86" t="str">
        <f>_xlfn.XLOOKUP(表格1[[#This Row],[Model]],表格3[Model-Input-Ref2],表格3[大小電])</f>
        <v>細電</v>
      </c>
      <c r="J3443" s="86" t="str">
        <f>_xlfn.XLOOKUP(表格1[[#This Row],[Model]],表格3[Model-Input-Ref2],表格3[Code])</f>
        <v>SDA</v>
      </c>
      <c r="K3443" s="89" t="s">
        <v>1496</v>
      </c>
      <c r="L3443" s="86">
        <v>1</v>
      </c>
      <c r="M3443" s="87">
        <v>1999</v>
      </c>
      <c r="N3443" s="87">
        <f>IFERROR(表格1[[#This Row],[QTY]]*表格1[[#This Row],[Unit Price]],"-")</f>
        <v>1999</v>
      </c>
      <c r="O3443" s="86">
        <v>2300507</v>
      </c>
      <c r="R3443" s="86" t="str">
        <f>_xlfn.CONCAT(表格1[[#This Row],[Model]]," ",表格1[[#This Row],[inv no]])</f>
        <v>MX1-TH23SC(WH) 2300507</v>
      </c>
      <c r="S3443" s="86">
        <f>_xlfn.XLOOKUP(表格1[[#This Row],[Model]],表格3[Model-Input-Ref2],表格3[SRP PRICE])</f>
        <v>3380</v>
      </c>
      <c r="T3443" s="43">
        <f>表格1[[#This Row],[Unit Price]]/表格1[[#This Row],[SRP]]</f>
        <v>0.5914201183431953</v>
      </c>
      <c r="U3443" s="86" t="str">
        <f>_xlfn.XLOOKUP(表格1[[#This Row],[Model]],表格3[Model-Input-Ref2],表格3[TOSHIBA/HIGHEST])</f>
        <v>Toshiba SRP</v>
      </c>
      <c r="W3443" s="86" t="str">
        <f>_xlfn.CONCAT(表格1[[#This Row],[欄4]],表格1[[#This Row],[inv no]])</f>
        <v>2300507</v>
      </c>
    </row>
    <row r="3444" spans="1:23" hidden="1">
      <c r="A3444" s="81">
        <v>3442</v>
      </c>
      <c r="B3444" s="86" t="s">
        <v>1477</v>
      </c>
      <c r="C3444" s="86" t="s">
        <v>1961</v>
      </c>
      <c r="D3444" s="82" t="str">
        <f ca="1">OFFSET(Roster!$A$3,MATCH(表格1[[#This Row],[Location]]&amp;" "&amp;表格1[[#This Row],[Shop]]&amp;"*",Roster!$A$4:$A$72,0),DAY(表格1[[#This Row],[date]]),1,1)</f>
        <v>Terence_2</v>
      </c>
      <c r="E3444" s="86">
        <f>MONTH(表格1[[#This Row],[date]])</f>
        <v>3</v>
      </c>
      <c r="F3444" s="90">
        <v>46110</v>
      </c>
      <c r="G3444" s="86" t="str">
        <f>VLOOKUP("*"&amp;表格1[[#This Row],[Input]]&amp;"*",'Ref-List'!$B:$D,2,)</f>
        <v>MWP-MM20P(WH)</v>
      </c>
      <c r="H3444" s="86" t="str">
        <f>_xlfn.XLOOKUP(表格1[[#This Row],[Model]],表格3[Model-Input-Ref2],表格3[Product Line])</f>
        <v>旋鈕式燒烤微波爐20L</v>
      </c>
      <c r="I3444" s="86" t="str">
        <f>_xlfn.XLOOKUP(表格1[[#This Row],[Model]],表格3[Model-Input-Ref2],表格3[大小電])</f>
        <v>細電</v>
      </c>
      <c r="J3444" s="86" t="str">
        <f>_xlfn.XLOOKUP(表格1[[#This Row],[Model]],表格3[Model-Input-Ref2],表格3[Code])</f>
        <v>SDA</v>
      </c>
      <c r="K3444" s="89" t="s">
        <v>1270</v>
      </c>
      <c r="L3444" s="86">
        <v>1</v>
      </c>
      <c r="M3444" s="87">
        <v>488</v>
      </c>
      <c r="N3444" s="87">
        <f>IFERROR(表格1[[#This Row],[QTY]]*表格1[[#This Row],[Unit Price]],"-")</f>
        <v>488</v>
      </c>
      <c r="O3444" s="86">
        <v>2300446</v>
      </c>
      <c r="R3444" s="86" t="str">
        <f>_xlfn.CONCAT(表格1[[#This Row],[Model]]," ",表格1[[#This Row],[inv no]])</f>
        <v>MWP-MM20P(WH) 2300446</v>
      </c>
      <c r="S3444" s="86">
        <f>_xlfn.XLOOKUP(表格1[[#This Row],[Model]],表格3[Model-Input-Ref2],表格3[SRP PRICE])</f>
        <v>648</v>
      </c>
      <c r="T3444" s="43">
        <f>表格1[[#This Row],[Unit Price]]/表格1[[#This Row],[SRP]]</f>
        <v>0.75308641975308643</v>
      </c>
      <c r="U3444" s="86" t="str">
        <f>_xlfn.XLOOKUP(表格1[[#This Row],[Model]],表格3[Model-Input-Ref2],表格3[TOSHIBA/HIGHEST])</f>
        <v>Toshiba SRP</v>
      </c>
      <c r="W3444" s="86" t="str">
        <f>_xlfn.CONCAT(表格1[[#This Row],[欄4]],表格1[[#This Row],[inv no]])</f>
        <v>2300446</v>
      </c>
    </row>
    <row r="3445" spans="1:23" hidden="1">
      <c r="A3445" s="81">
        <v>3443</v>
      </c>
      <c r="B3445" s="86" t="s">
        <v>1477</v>
      </c>
      <c r="C3445" s="86" t="s">
        <v>1961</v>
      </c>
      <c r="D3445" s="82" t="str">
        <f ca="1">OFFSET(Roster!$A$3,MATCH(表格1[[#This Row],[Location]]&amp;" "&amp;表格1[[#This Row],[Shop]]&amp;"*",Roster!$A$4:$A$72,0),DAY(表格1[[#This Row],[date]]),1,1)</f>
        <v>Terence_2</v>
      </c>
      <c r="E3445" s="86">
        <f>MONTH(表格1[[#This Row],[date]])</f>
        <v>3</v>
      </c>
      <c r="F3445" s="90">
        <v>46110</v>
      </c>
      <c r="G3445" s="86" t="str">
        <f>VLOOKUP("*"&amp;表格1[[#This Row],[Input]]&amp;"*",'Ref-List'!$B:$D,2,)</f>
        <v>GR-RB221WE-PMA(57)</v>
      </c>
      <c r="H3445" s="86" t="str">
        <f>_xlfn.XLOOKUP(表格1[[#This Row],[Model]],表格3[Model-Input-Ref2],表格3[Product Line])</f>
        <v>變頻下置式雙門雪櫃（163L）</v>
      </c>
      <c r="I3445" s="86" t="str">
        <f>_xlfn.XLOOKUP(表格1[[#This Row],[Model]],表格3[Model-Input-Ref2],表格3[大小電])</f>
        <v>大電</v>
      </c>
      <c r="J3445" s="86" t="str">
        <f>_xlfn.XLOOKUP(表格1[[#This Row],[Model]],表格3[Model-Input-Ref2],表格3[Code])</f>
        <v>REF</v>
      </c>
      <c r="K3445" s="89" t="s">
        <v>1386</v>
      </c>
      <c r="L3445" s="86">
        <v>1</v>
      </c>
      <c r="M3445" s="87">
        <v>1880</v>
      </c>
      <c r="N3445" s="87">
        <f>IFERROR(表格1[[#This Row],[QTY]]*表格1[[#This Row],[Unit Price]],"-")</f>
        <v>1880</v>
      </c>
      <c r="O3445" s="86">
        <v>2300524</v>
      </c>
      <c r="R3445" s="86" t="str">
        <f>_xlfn.CONCAT(表格1[[#This Row],[Model]]," ",表格1[[#This Row],[inv no]])</f>
        <v>GR-RB221WE-PMA(57) 2300524</v>
      </c>
      <c r="S3445" s="86">
        <f>_xlfn.XLOOKUP(表格1[[#This Row],[Model]],表格3[Model-Input-Ref2],表格3[SRP PRICE])</f>
        <v>3480</v>
      </c>
      <c r="T3445" s="43">
        <f>表格1[[#This Row],[Unit Price]]/表格1[[#This Row],[SRP]]</f>
        <v>0.54022988505747127</v>
      </c>
      <c r="U3445" s="86" t="str">
        <f>_xlfn.XLOOKUP(表格1[[#This Row],[Model]],表格3[Model-Input-Ref2],表格3[TOSHIBA/HIGHEST])</f>
        <v>Toshiba SRP</v>
      </c>
      <c r="W3445" s="86" t="str">
        <f>_xlfn.CONCAT(表格1[[#This Row],[欄4]],表格1[[#This Row],[inv no]])</f>
        <v>2300524</v>
      </c>
    </row>
    <row r="3446" spans="1:23" hidden="1">
      <c r="A3446" s="81">
        <v>3444</v>
      </c>
      <c r="B3446" s="86" t="s">
        <v>1477</v>
      </c>
      <c r="C3446" s="86" t="s">
        <v>1961</v>
      </c>
      <c r="D3446" s="82" t="str">
        <f ca="1">OFFSET(Roster!$A$3,MATCH(表格1[[#This Row],[Location]]&amp;" "&amp;表格1[[#This Row],[Shop]]&amp;"*",Roster!$A$4:$A$72,0),DAY(表格1[[#This Row],[date]]),1,1)</f>
        <v>Terence_2</v>
      </c>
      <c r="E3446" s="86">
        <f>MONTH(表格1[[#This Row],[date]])</f>
        <v>3</v>
      </c>
      <c r="F3446" s="90">
        <v>46110</v>
      </c>
      <c r="G3446" s="86" t="str">
        <f>VLOOKUP("*"&amp;表格1[[#This Row],[Input]]&amp;"*",'Ref-List'!$B:$D,2,)</f>
        <v>AW-Q800APH(WW)</v>
      </c>
      <c r="H3446" s="86" t="str">
        <f>_xlfn.XLOOKUP(表格1[[#This Row],[Model]],表格3[Model-Input-Ref2],表格3[Product Line])</f>
        <v>日式洗衣機 (7公斤 結合高低水位)</v>
      </c>
      <c r="I3446" s="86" t="str">
        <f>_xlfn.XLOOKUP(表格1[[#This Row],[Model]],表格3[Model-Input-Ref2],表格3[大小電])</f>
        <v>大電</v>
      </c>
      <c r="J3446" s="86" t="str">
        <f>_xlfn.XLOOKUP(表格1[[#This Row],[Model]],表格3[Model-Input-Ref2],表格3[Code])</f>
        <v>LAD</v>
      </c>
      <c r="K3446" s="89" t="s">
        <v>1479</v>
      </c>
      <c r="L3446" s="86">
        <v>1</v>
      </c>
      <c r="M3446" s="87">
        <v>1980</v>
      </c>
      <c r="N3446" s="87">
        <f>IFERROR(表格1[[#This Row],[QTY]]*表格1[[#This Row],[Unit Price]],"-")</f>
        <v>1980</v>
      </c>
      <c r="O3446" s="86">
        <v>2300441</v>
      </c>
      <c r="R3446" s="86" t="str">
        <f>_xlfn.CONCAT(表格1[[#This Row],[Model]]," ",表格1[[#This Row],[inv no]])</f>
        <v>AW-Q800APH(WW) 2300441</v>
      </c>
      <c r="S3446" s="86">
        <f>_xlfn.XLOOKUP(表格1[[#This Row],[Model]],表格3[Model-Input-Ref2],表格3[SRP PRICE])</f>
        <v>3580</v>
      </c>
      <c r="T3446" s="43">
        <f>表格1[[#This Row],[Unit Price]]/表格1[[#This Row],[SRP]]</f>
        <v>0.55307262569832405</v>
      </c>
      <c r="U3446" s="86" t="str">
        <f>_xlfn.XLOOKUP(表格1[[#This Row],[Model]],表格3[Model-Input-Ref2],表格3[TOSHIBA/HIGHEST])</f>
        <v>Toshiba SRP</v>
      </c>
      <c r="W3446" s="86" t="str">
        <f>_xlfn.CONCAT(表格1[[#This Row],[欄4]],表格1[[#This Row],[inv no]])</f>
        <v>2300441</v>
      </c>
    </row>
    <row r="3447" spans="1:23" hidden="1">
      <c r="A3447" s="81">
        <v>3445</v>
      </c>
      <c r="B3447" s="86" t="s">
        <v>1477</v>
      </c>
      <c r="C3447" s="86" t="s">
        <v>1961</v>
      </c>
      <c r="D3447" s="82" t="str">
        <f ca="1">OFFSET(Roster!$A$3,MATCH(表格1[[#This Row],[Location]]&amp;" "&amp;表格1[[#This Row],[Shop]]&amp;"*",Roster!$A$4:$A$72,0),DAY(表格1[[#This Row],[date]]),1,1)</f>
        <v>Terence_2</v>
      </c>
      <c r="E3447" s="86">
        <f>MONTH(表格1[[#This Row],[date]])</f>
        <v>3</v>
      </c>
      <c r="F3447" s="90">
        <v>46110</v>
      </c>
      <c r="G3447" s="86" t="str">
        <f>VLOOKUP("*"&amp;表格1[[#This Row],[Input]]&amp;"*",'Ref-List'!$B:$D,2,)</f>
        <v>AW-Q800APH(WW)</v>
      </c>
      <c r="H3447" s="86" t="str">
        <f>_xlfn.XLOOKUP(表格1[[#This Row],[Model]],表格3[Model-Input-Ref2],表格3[Product Line])</f>
        <v>日式洗衣機 (7公斤 結合高低水位)</v>
      </c>
      <c r="I3447" s="86" t="str">
        <f>_xlfn.XLOOKUP(表格1[[#This Row],[Model]],表格3[Model-Input-Ref2],表格3[大小電])</f>
        <v>大電</v>
      </c>
      <c r="J3447" s="86" t="str">
        <f>_xlfn.XLOOKUP(表格1[[#This Row],[Model]],表格3[Model-Input-Ref2],表格3[Code])</f>
        <v>LAD</v>
      </c>
      <c r="K3447" s="89" t="s">
        <v>1479</v>
      </c>
      <c r="L3447" s="86">
        <v>1</v>
      </c>
      <c r="M3447" s="87">
        <v>1980</v>
      </c>
      <c r="N3447" s="87">
        <f>IFERROR(表格1[[#This Row],[QTY]]*表格1[[#This Row],[Unit Price]],"-")</f>
        <v>1980</v>
      </c>
      <c r="O3447" s="86">
        <v>2300547</v>
      </c>
      <c r="R3447" s="86" t="str">
        <f>_xlfn.CONCAT(表格1[[#This Row],[Model]]," ",表格1[[#This Row],[inv no]])</f>
        <v>AW-Q800APH(WW) 2300547</v>
      </c>
      <c r="S3447" s="86">
        <f>_xlfn.XLOOKUP(表格1[[#This Row],[Model]],表格3[Model-Input-Ref2],表格3[SRP PRICE])</f>
        <v>3580</v>
      </c>
      <c r="T3447" s="43">
        <f>表格1[[#This Row],[Unit Price]]/表格1[[#This Row],[SRP]]</f>
        <v>0.55307262569832405</v>
      </c>
      <c r="U3447" s="86" t="str">
        <f>_xlfn.XLOOKUP(表格1[[#This Row],[Model]],表格3[Model-Input-Ref2],表格3[TOSHIBA/HIGHEST])</f>
        <v>Toshiba SRP</v>
      </c>
      <c r="W3447" s="86" t="str">
        <f>_xlfn.CONCAT(表格1[[#This Row],[欄4]],表格1[[#This Row],[inv no]])</f>
        <v>2300547</v>
      </c>
    </row>
    <row r="3448" spans="1:23" hidden="1">
      <c r="A3448" s="81">
        <v>3446</v>
      </c>
      <c r="B3448" s="86" t="s">
        <v>1477</v>
      </c>
      <c r="C3448" s="86" t="s">
        <v>1961</v>
      </c>
      <c r="D3448" s="82" t="str">
        <f ca="1">OFFSET(Roster!$A$3,MATCH(表格1[[#This Row],[Location]]&amp;" "&amp;表格1[[#This Row],[Shop]]&amp;"*",Roster!$A$4:$A$72,0),DAY(表格1[[#This Row],[date]]),1,1)</f>
        <v>Terence_2</v>
      </c>
      <c r="E3448" s="86">
        <f>MONTH(表格1[[#This Row],[date]])</f>
        <v>3</v>
      </c>
      <c r="F3448" s="90">
        <v>46111</v>
      </c>
      <c r="G3448" s="86" t="str">
        <f>VLOOKUP("*"&amp;表格1[[#This Row],[Input]]&amp;"*",'Ref-List'!$B:$D,2,)</f>
        <v>EB-T500APW</v>
      </c>
      <c r="H3448" s="86" t="str">
        <f>_xlfn.XLOOKUP(表格1[[#This Row],[Model]],表格3[Model-Input-Ref2],表格3[Product Line])</f>
        <v>JAPANDi 嵌入式微波氣炸蒸焗爐 (45厘米)</v>
      </c>
      <c r="I3448" s="86" t="str">
        <f>_xlfn.XLOOKUP(表格1[[#This Row],[Model]],表格3[Model-Input-Ref2],表格3[大小電])</f>
        <v>大電</v>
      </c>
      <c r="J3448" s="86" t="str">
        <f>_xlfn.XLOOKUP(表格1[[#This Row],[Model]],表格3[Model-Input-Ref2],表格3[Code])</f>
        <v>MCA</v>
      </c>
      <c r="K3448" s="89" t="s">
        <v>1528</v>
      </c>
      <c r="L3448" s="86">
        <v>1</v>
      </c>
      <c r="M3448" s="87">
        <v>13800</v>
      </c>
      <c r="N3448" s="87">
        <f>IFERROR(表格1[[#This Row],[QTY]]*表格1[[#This Row],[Unit Price]],"-")</f>
        <v>13800</v>
      </c>
      <c r="O3448" s="86">
        <v>2300728</v>
      </c>
      <c r="R3448" s="86" t="str">
        <f>_xlfn.CONCAT(表格1[[#This Row],[Model]]," ",表格1[[#This Row],[inv no]])</f>
        <v>EB-T500APW 2300728</v>
      </c>
      <c r="S3448" s="86">
        <f>_xlfn.XLOOKUP(表格1[[#This Row],[Model]],表格3[Model-Input-Ref2],表格3[SRP PRICE])</f>
        <v>28800</v>
      </c>
      <c r="T3448" s="43">
        <f>表格1[[#This Row],[Unit Price]]/表格1[[#This Row],[SRP]]</f>
        <v>0.47916666666666669</v>
      </c>
      <c r="U3448" s="86" t="str">
        <f>_xlfn.XLOOKUP(表格1[[#This Row],[Model]],表格3[Model-Input-Ref2],表格3[TOSHIBA/HIGHEST])</f>
        <v>Toshiba SRP</v>
      </c>
      <c r="W3448" s="86" t="str">
        <f>_xlfn.CONCAT(表格1[[#This Row],[欄4]],表格1[[#This Row],[inv no]])</f>
        <v>2300728</v>
      </c>
    </row>
    <row r="3449" spans="1:23" hidden="1">
      <c r="A3449" s="81">
        <v>3447</v>
      </c>
      <c r="B3449" s="86" t="s">
        <v>1477</v>
      </c>
      <c r="C3449" s="86" t="s">
        <v>1961</v>
      </c>
      <c r="D3449" s="82" t="str">
        <f ca="1">OFFSET(Roster!$A$3,MATCH(表格1[[#This Row],[Location]]&amp;" "&amp;表格1[[#This Row],[Shop]]&amp;"*",Roster!$A$4:$A$72,0),DAY(表格1[[#This Row],[date]]),1,1)</f>
        <v>Terence_2</v>
      </c>
      <c r="E3449" s="86">
        <f>MONTH(表格1[[#This Row],[date]])</f>
        <v>3</v>
      </c>
      <c r="F3449" s="90">
        <v>46111</v>
      </c>
      <c r="G3449" s="86" t="str">
        <f>VLOOKUP("*"&amp;表格1[[#This Row],[Input]]&amp;"*",'Ref-List'!$B:$D,2,)</f>
        <v>GR-RF698WI-PGA(67)</v>
      </c>
      <c r="H3449" s="86" t="str">
        <f>_xlfn.XLOOKUP(表格1[[#This Row],[Model]],表格3[Model-Input-Ref2],表格3[Product Line])</f>
        <v>JAPANDi 十字門雪櫃 (526L)</v>
      </c>
      <c r="I3449" s="86" t="str">
        <f>_xlfn.XLOOKUP(表格1[[#This Row],[Model]],表格3[Model-Input-Ref2],表格3[大小電])</f>
        <v>大電</v>
      </c>
      <c r="J3449" s="86" t="str">
        <f>_xlfn.XLOOKUP(表格1[[#This Row],[Model]],表格3[Model-Input-Ref2],表格3[Code])</f>
        <v>REF</v>
      </c>
      <c r="K3449" s="89" t="s">
        <v>1962</v>
      </c>
      <c r="L3449" s="86">
        <v>1</v>
      </c>
      <c r="M3449" s="87">
        <v>14980</v>
      </c>
      <c r="N3449" s="87">
        <f>IFERROR(表格1[[#This Row],[QTY]]*表格1[[#This Row],[Unit Price]],"-")</f>
        <v>14980</v>
      </c>
      <c r="O3449" s="86">
        <v>2300729</v>
      </c>
      <c r="R3449" s="86" t="str">
        <f>_xlfn.CONCAT(表格1[[#This Row],[Model]]," ",表格1[[#This Row],[inv no]])</f>
        <v>GR-RF698WI-PGA(67) 2300729</v>
      </c>
      <c r="S3449" s="86">
        <f>_xlfn.XLOOKUP(表格1[[#This Row],[Model]],表格3[Model-Input-Ref2],表格3[SRP PRICE])</f>
        <v>19980</v>
      </c>
      <c r="T3449" s="43">
        <f>表格1[[#This Row],[Unit Price]]/表格1[[#This Row],[SRP]]</f>
        <v>0.74974974974974973</v>
      </c>
      <c r="U3449" s="86" t="str">
        <f>_xlfn.XLOOKUP(表格1[[#This Row],[Model]],表格3[Model-Input-Ref2],表格3[TOSHIBA/HIGHEST])</f>
        <v>Toshiba SRP</v>
      </c>
      <c r="W3449" s="86" t="str">
        <f>_xlfn.CONCAT(表格1[[#This Row],[欄4]],表格1[[#This Row],[inv no]])</f>
        <v>2300729</v>
      </c>
    </row>
    <row r="3450" spans="1:23" hidden="1">
      <c r="A3450" s="81">
        <v>3448</v>
      </c>
      <c r="B3450" s="86" t="s">
        <v>1477</v>
      </c>
      <c r="C3450" s="86" t="s">
        <v>1961</v>
      </c>
      <c r="D3450" s="82" t="str">
        <f ca="1">OFFSET(Roster!$A$3,MATCH(表格1[[#This Row],[Location]]&amp;" "&amp;表格1[[#This Row],[Shop]]&amp;"*",Roster!$A$4:$A$72,0),DAY(表格1[[#This Row],[date]]),1,1)</f>
        <v>Terence_2</v>
      </c>
      <c r="E3450" s="86">
        <f>MONTH(表格1[[#This Row],[date]])</f>
        <v>3</v>
      </c>
      <c r="F3450" s="90">
        <v>46111</v>
      </c>
      <c r="G3450" s="86" t="str">
        <f>VLOOKUP("*"&amp;表格1[[#This Row],[Input]]&amp;"*",'Ref-List'!$B:$D,2,)</f>
        <v>TWD-T21BU95UWH(WW)</v>
      </c>
      <c r="H3450" s="86" t="str">
        <f>_xlfn.XLOOKUP(表格1[[#This Row],[Model]],表格3[Model-Input-Ref2],表格3[Product Line])</f>
        <v>470MM超薄身前置式變頻洗衣乾衣機 (洗8.5公斤 乾6公斤)</v>
      </c>
      <c r="I3450" s="86" t="str">
        <f>_xlfn.XLOOKUP(表格1[[#This Row],[Model]],表格3[Model-Input-Ref2],表格3[大小電])</f>
        <v>大電</v>
      </c>
      <c r="J3450" s="86" t="str">
        <f>_xlfn.XLOOKUP(表格1[[#This Row],[Model]],表格3[Model-Input-Ref2],表格3[Code])</f>
        <v>LAD</v>
      </c>
      <c r="K3450" s="89" t="s">
        <v>1461</v>
      </c>
      <c r="L3450" s="86">
        <v>1</v>
      </c>
      <c r="M3450" s="87">
        <v>3999</v>
      </c>
      <c r="N3450" s="87">
        <f>IFERROR(表格1[[#This Row],[QTY]]*表格1[[#This Row],[Unit Price]],"-")</f>
        <v>3999</v>
      </c>
      <c r="O3450" s="86">
        <v>2300783</v>
      </c>
      <c r="R3450" s="86" t="str">
        <f>_xlfn.CONCAT(表格1[[#This Row],[Model]]," ",表格1[[#This Row],[inv no]])</f>
        <v>TWD-T21BU95UWH(WW) 2300783</v>
      </c>
      <c r="S3450" s="86">
        <f>_xlfn.XLOOKUP(表格1[[#This Row],[Model]],表格3[Model-Input-Ref2],表格3[SRP PRICE])</f>
        <v>7280</v>
      </c>
      <c r="T3450" s="43">
        <f>表格1[[#This Row],[Unit Price]]/表格1[[#This Row],[SRP]]</f>
        <v>0.54931318681318686</v>
      </c>
      <c r="U3450" s="86" t="str">
        <f>_xlfn.XLOOKUP(表格1[[#This Row],[Model]],表格3[Model-Input-Ref2],表格3[TOSHIBA/HIGHEST])</f>
        <v>Toshiba SRP</v>
      </c>
      <c r="W3450" s="86" t="str">
        <f>_xlfn.CONCAT(表格1[[#This Row],[欄4]],表格1[[#This Row],[inv no]])</f>
        <v>2300783</v>
      </c>
    </row>
    <row r="3451" spans="1:23" hidden="1">
      <c r="A3451" s="81">
        <v>3449</v>
      </c>
      <c r="B3451" s="86" t="s">
        <v>1477</v>
      </c>
      <c r="C3451" s="86" t="s">
        <v>1961</v>
      </c>
      <c r="D3451" s="82" t="str">
        <f ca="1">OFFSET(Roster!$A$3,MATCH(表格1[[#This Row],[Location]]&amp;" "&amp;表格1[[#This Row],[Shop]]&amp;"*",Roster!$A$4:$A$72,0),DAY(表格1[[#This Row],[date]]),1,1)</f>
        <v>Terence_2</v>
      </c>
      <c r="E3451" s="86">
        <f>MONTH(表格1[[#This Row],[date]])</f>
        <v>3</v>
      </c>
      <c r="F3451" s="90">
        <v>46111</v>
      </c>
      <c r="G3451" s="86" t="str">
        <f>VLOOKUP("*"&amp;表格1[[#This Row],[Input]]&amp;"*",'Ref-List'!$B:$D,2,)</f>
        <v>TWD-T21BU95UWH(WW)</v>
      </c>
      <c r="H3451" s="86" t="str">
        <f>_xlfn.XLOOKUP(表格1[[#This Row],[Model]],表格3[Model-Input-Ref2],表格3[Product Line])</f>
        <v>470MM超薄身前置式變頻洗衣乾衣機 (洗8.5公斤 乾6公斤)</v>
      </c>
      <c r="I3451" s="86" t="str">
        <f>_xlfn.XLOOKUP(表格1[[#This Row],[Model]],表格3[Model-Input-Ref2],表格3[大小電])</f>
        <v>大電</v>
      </c>
      <c r="J3451" s="86" t="str">
        <f>_xlfn.XLOOKUP(表格1[[#This Row],[Model]],表格3[Model-Input-Ref2],表格3[Code])</f>
        <v>LAD</v>
      </c>
      <c r="K3451" s="89" t="s">
        <v>1461</v>
      </c>
      <c r="L3451" s="86">
        <v>1</v>
      </c>
      <c r="M3451" s="87">
        <v>4780</v>
      </c>
      <c r="N3451" s="87">
        <f>IFERROR(表格1[[#This Row],[QTY]]*表格1[[#This Row],[Unit Price]],"-")</f>
        <v>4780</v>
      </c>
      <c r="O3451" s="86">
        <v>2300846</v>
      </c>
      <c r="R3451" s="86" t="str">
        <f>_xlfn.CONCAT(表格1[[#This Row],[Model]]," ",表格1[[#This Row],[inv no]])</f>
        <v>TWD-T21BU95UWH(WW) 2300846</v>
      </c>
      <c r="S3451" s="86">
        <f>_xlfn.XLOOKUP(表格1[[#This Row],[Model]],表格3[Model-Input-Ref2],表格3[SRP PRICE])</f>
        <v>7280</v>
      </c>
      <c r="T3451" s="43">
        <f>表格1[[#This Row],[Unit Price]]/表格1[[#This Row],[SRP]]</f>
        <v>0.65659340659340659</v>
      </c>
      <c r="U3451" s="86" t="str">
        <f>_xlfn.XLOOKUP(表格1[[#This Row],[Model]],表格3[Model-Input-Ref2],表格3[TOSHIBA/HIGHEST])</f>
        <v>Toshiba SRP</v>
      </c>
      <c r="W3451" s="86" t="str">
        <f>_xlfn.CONCAT(表格1[[#This Row],[欄4]],表格1[[#This Row],[inv no]])</f>
        <v>2300846</v>
      </c>
    </row>
    <row r="3452" spans="1:23" hidden="1">
      <c r="A3452" s="81">
        <v>3450</v>
      </c>
      <c r="B3452" s="86" t="s">
        <v>1477</v>
      </c>
      <c r="C3452" s="86" t="s">
        <v>1961</v>
      </c>
      <c r="D3452" s="82" t="str">
        <f ca="1">OFFSET(Roster!$A$3,MATCH(表格1[[#This Row],[Location]]&amp;" "&amp;表格1[[#This Row],[Shop]]&amp;"*",Roster!$A$4:$A$72,0),DAY(表格1[[#This Row],[date]]),1,1)</f>
        <v>Terence_2</v>
      </c>
      <c r="E3452" s="86">
        <f>MONTH(表格1[[#This Row],[date]])</f>
        <v>3</v>
      </c>
      <c r="F3452" s="90">
        <v>46111</v>
      </c>
      <c r="G3452" s="86" t="str">
        <f>VLOOKUP("*"&amp;表格1[[#This Row],[Input]]&amp;"*",'Ref-List'!$B:$D,2,)</f>
        <v>GR-RB449WE-PMA(57)</v>
      </c>
      <c r="H3452" s="86" t="str">
        <f>_xlfn.XLOOKUP(表格1[[#This Row],[Model]],表格3[Model-Input-Ref2],表格3[Product Line])</f>
        <v>變頻下置式雙門雪櫃</v>
      </c>
      <c r="I3452" s="86" t="str">
        <f>_xlfn.XLOOKUP(表格1[[#This Row],[Model]],表格3[Model-Input-Ref2],表格3[大小電])</f>
        <v>大電</v>
      </c>
      <c r="J3452" s="86" t="str">
        <f>_xlfn.XLOOKUP(表格1[[#This Row],[Model]],表格3[Model-Input-Ref2],表格3[Code])</f>
        <v>REF</v>
      </c>
      <c r="K3452" s="89" t="s">
        <v>1484</v>
      </c>
      <c r="L3452" s="86">
        <v>1</v>
      </c>
      <c r="M3452" s="87">
        <v>5080</v>
      </c>
      <c r="N3452" s="87">
        <f>IFERROR(表格1[[#This Row],[QTY]]*表格1[[#This Row],[Unit Price]],"-")</f>
        <v>5080</v>
      </c>
      <c r="O3452" s="86">
        <v>2300845</v>
      </c>
      <c r="R3452" s="86" t="str">
        <f>_xlfn.CONCAT(表格1[[#This Row],[Model]]," ",表格1[[#This Row],[inv no]])</f>
        <v>GR-RB449WE-PMA(57) 2300845</v>
      </c>
      <c r="S3452" s="86">
        <f>_xlfn.XLOOKUP(表格1[[#This Row],[Model]],表格3[Model-Input-Ref2],表格3[SRP PRICE])</f>
        <v>6280</v>
      </c>
      <c r="T3452" s="43">
        <f>表格1[[#This Row],[Unit Price]]/表格1[[#This Row],[SRP]]</f>
        <v>0.80891719745222934</v>
      </c>
      <c r="U3452" s="86" t="str">
        <f>_xlfn.XLOOKUP(表格1[[#This Row],[Model]],表格3[Model-Input-Ref2],表格3[TOSHIBA/HIGHEST])</f>
        <v>Toshiba SRP</v>
      </c>
      <c r="W3452" s="86" t="str">
        <f>_xlfn.CONCAT(表格1[[#This Row],[欄4]],表格1[[#This Row],[inv no]])</f>
        <v>2300845</v>
      </c>
    </row>
    <row r="3453" spans="1:23" hidden="1">
      <c r="A3453" s="81">
        <v>3451</v>
      </c>
      <c r="B3453" s="86" t="s">
        <v>1477</v>
      </c>
      <c r="C3453" s="86" t="s">
        <v>1961</v>
      </c>
      <c r="D3453" s="82" t="str">
        <f ca="1">OFFSET(Roster!$A$3,MATCH(表格1[[#This Row],[Location]]&amp;" "&amp;表格1[[#This Row],[Shop]]&amp;"*",Roster!$A$4:$A$72,0),DAY(表格1[[#This Row],[date]]),1,1)</f>
        <v>Terence_2</v>
      </c>
      <c r="E3453" s="86">
        <f>MONTH(表格1[[#This Row],[date]])</f>
        <v>3</v>
      </c>
      <c r="F3453" s="90">
        <v>46111</v>
      </c>
      <c r="G3453" s="86" t="str">
        <f>VLOOKUP("*"&amp;表格1[[#This Row],[Input]]&amp;"*",'Ref-List'!$B:$D,2,)</f>
        <v>MS5-STR30SC(BK)</v>
      </c>
      <c r="H3453" s="86" t="str">
        <f>_xlfn.XLOOKUP(表格1[[#This Row],[Model]],表格3[Model-Input-Ref2],表格3[Product Line])</f>
        <v>30公升蒸氣焗爐</v>
      </c>
      <c r="I3453" s="86" t="str">
        <f>_xlfn.XLOOKUP(表格1[[#This Row],[Model]],表格3[Model-Input-Ref2],表格3[大小電])</f>
        <v>細電</v>
      </c>
      <c r="J3453" s="86" t="str">
        <f>_xlfn.XLOOKUP(表格1[[#This Row],[Model]],表格3[Model-Input-Ref2],表格3[Code])</f>
        <v>MCA</v>
      </c>
      <c r="K3453" s="89" t="s">
        <v>1379</v>
      </c>
      <c r="L3453" s="86">
        <v>1</v>
      </c>
      <c r="M3453" s="87">
        <v>3980</v>
      </c>
      <c r="N3453" s="87">
        <f>IFERROR(表格1[[#This Row],[QTY]]*表格1[[#This Row],[Unit Price]],"-")</f>
        <v>3980</v>
      </c>
      <c r="O3453" s="86">
        <v>2300844</v>
      </c>
      <c r="R3453" s="86" t="str">
        <f>_xlfn.CONCAT(表格1[[#This Row],[Model]]," ",表格1[[#This Row],[inv no]])</f>
        <v>MS5-STR30SC(BK) 2300844</v>
      </c>
      <c r="S3453" s="86">
        <f>_xlfn.XLOOKUP(表格1[[#This Row],[Model]],表格3[Model-Input-Ref2],表格3[SRP PRICE])</f>
        <v>5998</v>
      </c>
      <c r="T3453" s="43">
        <f>表格1[[#This Row],[Unit Price]]/表格1[[#This Row],[SRP]]</f>
        <v>0.66355451817272426</v>
      </c>
      <c r="U3453" s="86" t="str">
        <f>_xlfn.XLOOKUP(表格1[[#This Row],[Model]],表格3[Model-Input-Ref2],表格3[TOSHIBA/HIGHEST])</f>
        <v>Shops Highest Price</v>
      </c>
      <c r="W3453" s="86" t="str">
        <f>_xlfn.CONCAT(表格1[[#This Row],[欄4]],表格1[[#This Row],[inv no]])</f>
        <v>2300844</v>
      </c>
    </row>
    <row r="3454" spans="1:23" hidden="1">
      <c r="A3454" s="81">
        <v>3452</v>
      </c>
      <c r="B3454" s="86" t="s">
        <v>1477</v>
      </c>
      <c r="C3454" s="86" t="s">
        <v>1961</v>
      </c>
      <c r="D3454" s="82" t="str">
        <f ca="1">OFFSET(Roster!$A$3,MATCH(表格1[[#This Row],[Location]]&amp;" "&amp;表格1[[#This Row],[Shop]]&amp;"*",Roster!$A$4:$A$72,0),DAY(表格1[[#This Row],[date]]),1,1)</f>
        <v>Terence_2</v>
      </c>
      <c r="E3454" s="86">
        <f>MONTH(表格1[[#This Row],[date]])</f>
        <v>3</v>
      </c>
      <c r="F3454" s="90">
        <v>46111</v>
      </c>
      <c r="G3454" s="86" t="str">
        <f>VLOOKUP("*"&amp;表格1[[#This Row],[Input]]&amp;"*",'Ref-List'!$B:$D,2,)</f>
        <v>GR-RM469WE-PGA(B3)</v>
      </c>
      <c r="H3454" s="86" t="str">
        <f>_xlfn.XLOOKUP(表格1[[#This Row],[Model]],表格3[Model-Input-Ref2],表格3[Product Line])</f>
        <v>旗艦級變頻三門雪櫃 (300L)</v>
      </c>
      <c r="I3454" s="86" t="str">
        <f>_xlfn.XLOOKUP(表格1[[#This Row],[Model]],表格3[Model-Input-Ref2],表格3[大小電])</f>
        <v>大電</v>
      </c>
      <c r="J3454" s="86" t="str">
        <f>_xlfn.XLOOKUP(表格1[[#This Row],[Model]],表格3[Model-Input-Ref2],表格3[Code])</f>
        <v>REF</v>
      </c>
      <c r="K3454" s="89" t="s">
        <v>1460</v>
      </c>
      <c r="L3454" s="86">
        <v>1</v>
      </c>
      <c r="M3454" s="87">
        <v>6190</v>
      </c>
      <c r="N3454" s="87">
        <f>IFERROR(表格1[[#This Row],[QTY]]*表格1[[#This Row],[Unit Price]],"-")</f>
        <v>6190</v>
      </c>
      <c r="O3454" s="86">
        <v>2300788</v>
      </c>
      <c r="R3454" s="86" t="str">
        <f>_xlfn.CONCAT(表格1[[#This Row],[Model]]," ",表格1[[#This Row],[inv no]])</f>
        <v>GR-RM469WE-PGA(B3) 2300788</v>
      </c>
      <c r="S3454" s="86">
        <f>_xlfn.XLOOKUP(表格1[[#This Row],[Model]],表格3[Model-Input-Ref2],表格3[SRP PRICE])</f>
        <v>8990</v>
      </c>
      <c r="T3454" s="43">
        <f>表格1[[#This Row],[Unit Price]]/表格1[[#This Row],[SRP]]</f>
        <v>0.68854282536151279</v>
      </c>
      <c r="U3454" s="86" t="str">
        <f>_xlfn.XLOOKUP(表格1[[#This Row],[Model]],表格3[Model-Input-Ref2],表格3[TOSHIBA/HIGHEST])</f>
        <v>Toshiba SRP</v>
      </c>
      <c r="W3454" s="86" t="str">
        <f>_xlfn.CONCAT(表格1[[#This Row],[欄4]],表格1[[#This Row],[inv no]])</f>
        <v>2300788</v>
      </c>
    </row>
    <row r="3455" spans="1:23" hidden="1">
      <c r="A3455" s="81">
        <v>3453</v>
      </c>
      <c r="B3455" s="86" t="s">
        <v>1477</v>
      </c>
      <c r="C3455" s="86" t="s">
        <v>1961</v>
      </c>
      <c r="D3455" s="82" t="str">
        <f ca="1">OFFSET(Roster!$A$3,MATCH(表格1[[#This Row],[Location]]&amp;" "&amp;表格1[[#This Row],[Shop]]&amp;"*",Roster!$A$4:$A$72,0),DAY(表格1[[#This Row],[date]]),1,1)</f>
        <v>Terence_2</v>
      </c>
      <c r="E3455" s="86">
        <f>MONTH(表格1[[#This Row],[date]])</f>
        <v>3</v>
      </c>
      <c r="F3455" s="90">
        <v>46111</v>
      </c>
      <c r="G3455" s="86" t="str">
        <f>VLOOKUP("*"&amp;表格1[[#This Row],[Input]]&amp;"*",'Ref-List'!$B:$D,2,)</f>
        <v>GR-RM612WE-PGA(B5)</v>
      </c>
      <c r="H3455" s="86" t="str">
        <f>_xlfn.XLOOKUP(表格1[[#This Row],[Model]],表格3[Model-Input-Ref2],表格3[Product Line])</f>
        <v>變頻五門雪櫃(375L)</v>
      </c>
      <c r="I3455" s="86" t="str">
        <f>_xlfn.XLOOKUP(表格1[[#This Row],[Model]],表格3[Model-Input-Ref2],表格3[大小電])</f>
        <v>大電</v>
      </c>
      <c r="J3455" s="86" t="str">
        <f>_xlfn.XLOOKUP(表格1[[#This Row],[Model]],表格3[Model-Input-Ref2],表格3[Code])</f>
        <v>REF</v>
      </c>
      <c r="K3455" s="89" t="s">
        <v>1257</v>
      </c>
      <c r="L3455" s="86">
        <v>1</v>
      </c>
      <c r="M3455" s="87">
        <v>9980</v>
      </c>
      <c r="N3455" s="87">
        <f>IFERROR(表格1[[#This Row],[QTY]]*表格1[[#This Row],[Unit Price]],"-")</f>
        <v>9980</v>
      </c>
      <c r="O3455" s="86">
        <v>2300676</v>
      </c>
      <c r="R3455" s="86" t="str">
        <f>_xlfn.CONCAT(表格1[[#This Row],[Model]]," ",表格1[[#This Row],[inv no]])</f>
        <v>GR-RM612WE-PGA(B5) 2300676</v>
      </c>
      <c r="S3455" s="86">
        <f>_xlfn.XLOOKUP(表格1[[#This Row],[Model]],表格3[Model-Input-Ref2],表格3[SRP PRICE])</f>
        <v>11000</v>
      </c>
      <c r="T3455" s="43">
        <f>表格1[[#This Row],[Unit Price]]/表格1[[#This Row],[SRP]]</f>
        <v>0.90727272727272723</v>
      </c>
      <c r="U3455" s="86" t="str">
        <f>_xlfn.XLOOKUP(表格1[[#This Row],[Model]],表格3[Model-Input-Ref2],表格3[TOSHIBA/HIGHEST])</f>
        <v>Shops Highest Price</v>
      </c>
      <c r="W3455" s="86" t="str">
        <f>_xlfn.CONCAT(表格1[[#This Row],[欄4]],表格1[[#This Row],[inv no]])</f>
        <v>2300676</v>
      </c>
    </row>
    <row r="3456" spans="1:23" hidden="1">
      <c r="A3456" s="81">
        <v>3454</v>
      </c>
      <c r="B3456" s="86" t="s">
        <v>1477</v>
      </c>
      <c r="C3456" s="86" t="s">
        <v>1961</v>
      </c>
      <c r="D3456" s="82" t="str">
        <f ca="1">OFFSET(Roster!$A$3,MATCH(表格1[[#This Row],[Location]]&amp;" "&amp;表格1[[#This Row],[Shop]]&amp;"*",Roster!$A$4:$A$72,0),DAY(表格1[[#This Row],[date]]),1,1)</f>
        <v>Terence_2</v>
      </c>
      <c r="E3456" s="86">
        <f>MONTH(表格1[[#This Row],[date]])</f>
        <v>3</v>
      </c>
      <c r="F3456" s="90">
        <v>46111</v>
      </c>
      <c r="G3456" s="86" t="str">
        <f>VLOOKUP("*"&amp;表格1[[#This Row],[Input]]&amp;"*",'Ref-List'!$B:$D,2,)</f>
        <v>GR-RM598WE-PGA(B3)</v>
      </c>
      <c r="H3456" s="86" t="str">
        <f>_xlfn.XLOOKUP(表格1[[#This Row],[Model]],表格3[Model-Input-Ref2],表格3[Product Line])</f>
        <v>變頻六門雪櫃(451L)</v>
      </c>
      <c r="I3456" s="86" t="str">
        <f>_xlfn.XLOOKUP(表格1[[#This Row],[Model]],表格3[Model-Input-Ref2],表格3[大小電])</f>
        <v>大電</v>
      </c>
      <c r="J3456" s="86" t="str">
        <f>_xlfn.XLOOKUP(表格1[[#This Row],[Model]],表格3[Model-Input-Ref2],表格3[Code])</f>
        <v>REF</v>
      </c>
      <c r="K3456" s="89" t="s">
        <v>1491</v>
      </c>
      <c r="L3456" s="86">
        <v>1</v>
      </c>
      <c r="M3456" s="87">
        <v>10590</v>
      </c>
      <c r="N3456" s="87">
        <f>IFERROR(表格1[[#This Row],[QTY]]*表格1[[#This Row],[Unit Price]],"-")</f>
        <v>10590</v>
      </c>
      <c r="O3456" s="86">
        <v>2300642</v>
      </c>
      <c r="R3456" s="86" t="str">
        <f>_xlfn.CONCAT(表格1[[#This Row],[Model]]," ",表格1[[#This Row],[inv no]])</f>
        <v>GR-RM598WE-PGA(B3) 2300642</v>
      </c>
      <c r="S3456" s="86">
        <f>_xlfn.XLOOKUP(表格1[[#This Row],[Model]],表格3[Model-Input-Ref2],表格3[SRP PRICE])</f>
        <v>14980</v>
      </c>
      <c r="T3456" s="43">
        <f>表格1[[#This Row],[Unit Price]]/表格1[[#This Row],[SRP]]</f>
        <v>0.70694259012016025</v>
      </c>
      <c r="U3456" s="86" t="str">
        <f>_xlfn.XLOOKUP(表格1[[#This Row],[Model]],表格3[Model-Input-Ref2],表格3[TOSHIBA/HIGHEST])</f>
        <v>Toshiba SRP</v>
      </c>
      <c r="W3456" s="86" t="str">
        <f>_xlfn.CONCAT(表格1[[#This Row],[欄4]],表格1[[#This Row],[inv no]])</f>
        <v>2300642</v>
      </c>
    </row>
    <row r="3457" spans="1:23" hidden="1">
      <c r="A3457" s="81">
        <v>3455</v>
      </c>
      <c r="B3457" s="86" t="s">
        <v>1477</v>
      </c>
      <c r="C3457" s="86" t="s">
        <v>1961</v>
      </c>
      <c r="D3457" s="82" t="str">
        <f ca="1">OFFSET(Roster!$A$3,MATCH(表格1[[#This Row],[Location]]&amp;" "&amp;表格1[[#This Row],[Shop]]&amp;"*",Roster!$A$4:$A$72,0),DAY(表格1[[#This Row],[date]]),1,1)</f>
        <v>Terence_2</v>
      </c>
      <c r="E3457" s="86">
        <f>MONTH(表格1[[#This Row],[date]])</f>
        <v>3</v>
      </c>
      <c r="F3457" s="90">
        <v>46111</v>
      </c>
      <c r="G3457" s="86" t="str">
        <f>VLOOKUP("*"&amp;表格1[[#This Row],[Input]]&amp;"*",'Ref-List'!$B:$D,2,)</f>
        <v>TWD-T25BZU115MWH(MG)</v>
      </c>
      <c r="H3457" s="86" t="str">
        <f>_xlfn.XLOOKUP(表格1[[#This Row],[Model]],表格3[Model-Input-Ref2],表格3[Product Line])</f>
        <v>前置式變頻洗衣乾衣機 (洗10.5公斤 乾7公斤)</v>
      </c>
      <c r="I3457" s="86" t="str">
        <f>_xlfn.XLOOKUP(表格1[[#This Row],[Model]],表格3[Model-Input-Ref2],表格3[大小電])</f>
        <v>大電</v>
      </c>
      <c r="J3457" s="86" t="str">
        <f>_xlfn.XLOOKUP(表格1[[#This Row],[Model]],表格3[Model-Input-Ref2],表格3[Code])</f>
        <v>LAD</v>
      </c>
      <c r="K3457" s="89" t="s">
        <v>1098</v>
      </c>
      <c r="L3457" s="86">
        <v>1</v>
      </c>
      <c r="M3457" s="87">
        <v>5980</v>
      </c>
      <c r="N3457" s="87">
        <f>IFERROR(表格1[[#This Row],[QTY]]*表格1[[#This Row],[Unit Price]],"-")</f>
        <v>5980</v>
      </c>
      <c r="O3457" s="86">
        <v>2300750</v>
      </c>
      <c r="R3457" s="86" t="str">
        <f>_xlfn.CONCAT(表格1[[#This Row],[Model]]," ",表格1[[#This Row],[inv no]])</f>
        <v>TWD-T25BZU115MWH(MG) 2300750</v>
      </c>
      <c r="S3457" s="86">
        <f>_xlfn.XLOOKUP(表格1[[#This Row],[Model]],表格3[Model-Input-Ref2],表格3[SRP PRICE])</f>
        <v>8280</v>
      </c>
      <c r="T3457" s="43">
        <f>表格1[[#This Row],[Unit Price]]/表格1[[#This Row],[SRP]]</f>
        <v>0.72222222222222221</v>
      </c>
      <c r="U3457" s="86" t="str">
        <f>_xlfn.XLOOKUP(表格1[[#This Row],[Model]],表格3[Model-Input-Ref2],表格3[TOSHIBA/HIGHEST])</f>
        <v>Toshiba SRP</v>
      </c>
      <c r="W3457" s="86" t="str">
        <f>_xlfn.CONCAT(表格1[[#This Row],[欄4]],表格1[[#This Row],[inv no]])</f>
        <v>2300750</v>
      </c>
    </row>
    <row r="3458" spans="1:23" hidden="1">
      <c r="A3458" s="81">
        <v>3456</v>
      </c>
      <c r="B3458" s="86" t="s">
        <v>1477</v>
      </c>
      <c r="C3458" s="86" t="s">
        <v>1961</v>
      </c>
      <c r="D3458" s="82" t="str">
        <f ca="1">OFFSET(Roster!$A$3,MATCH(表格1[[#This Row],[Location]]&amp;" "&amp;表格1[[#This Row],[Shop]]&amp;"*",Roster!$A$4:$A$72,0),DAY(表格1[[#This Row],[date]]),1,1)</f>
        <v>Terence_2</v>
      </c>
      <c r="E3458" s="86">
        <f>MONTH(表格1[[#This Row],[date]])</f>
        <v>3</v>
      </c>
      <c r="F3458" s="90">
        <v>46111</v>
      </c>
      <c r="G3458" s="86" t="str">
        <f>VLOOKUP("*"&amp;表格1[[#This Row],[Input]]&amp;"*",'Ref-List'!$B:$D,2,)</f>
        <v>GR-RM612WE-PGA(B5)</v>
      </c>
      <c r="H3458" s="86" t="str">
        <f>_xlfn.XLOOKUP(表格1[[#This Row],[Model]],表格3[Model-Input-Ref2],表格3[Product Line])</f>
        <v>變頻五門雪櫃(375L)</v>
      </c>
      <c r="I3458" s="86" t="str">
        <f>_xlfn.XLOOKUP(表格1[[#This Row],[Model]],表格3[Model-Input-Ref2],表格3[大小電])</f>
        <v>大電</v>
      </c>
      <c r="J3458" s="86" t="str">
        <f>_xlfn.XLOOKUP(表格1[[#This Row],[Model]],表格3[Model-Input-Ref2],表格3[Code])</f>
        <v>REF</v>
      </c>
      <c r="K3458" s="89" t="s">
        <v>1257</v>
      </c>
      <c r="L3458" s="86">
        <v>1</v>
      </c>
      <c r="M3458" s="87">
        <v>9980</v>
      </c>
      <c r="N3458" s="87">
        <f>IFERROR(表格1[[#This Row],[QTY]]*表格1[[#This Row],[Unit Price]],"-")</f>
        <v>9980</v>
      </c>
      <c r="O3458" s="86">
        <v>2300671</v>
      </c>
      <c r="R3458" s="86" t="str">
        <f>_xlfn.CONCAT(表格1[[#This Row],[Model]]," ",表格1[[#This Row],[inv no]])</f>
        <v>GR-RM612WE-PGA(B5) 2300671</v>
      </c>
      <c r="S3458" s="86">
        <f>_xlfn.XLOOKUP(表格1[[#This Row],[Model]],表格3[Model-Input-Ref2],表格3[SRP PRICE])</f>
        <v>11000</v>
      </c>
      <c r="T3458" s="43">
        <f>表格1[[#This Row],[Unit Price]]/表格1[[#This Row],[SRP]]</f>
        <v>0.90727272727272723</v>
      </c>
      <c r="U3458" s="86" t="str">
        <f>_xlfn.XLOOKUP(表格1[[#This Row],[Model]],表格3[Model-Input-Ref2],表格3[TOSHIBA/HIGHEST])</f>
        <v>Shops Highest Price</v>
      </c>
      <c r="W3458" s="86" t="str">
        <f>_xlfn.CONCAT(表格1[[#This Row],[欄4]],表格1[[#This Row],[inv no]])</f>
        <v>2300671</v>
      </c>
    </row>
    <row r="3459" spans="1:23" hidden="1">
      <c r="A3459" s="81">
        <v>3457</v>
      </c>
      <c r="B3459" s="86" t="s">
        <v>1477</v>
      </c>
      <c r="C3459" s="86" t="s">
        <v>1961</v>
      </c>
      <c r="D3459" s="82" t="str">
        <f ca="1">OFFSET(Roster!$A$3,MATCH(表格1[[#This Row],[Location]]&amp;" "&amp;表格1[[#This Row],[Shop]]&amp;"*",Roster!$A$4:$A$72,0),DAY(表格1[[#This Row],[date]]),1,1)</f>
        <v>Terence_2</v>
      </c>
      <c r="E3459" s="86">
        <f>MONTH(表格1[[#This Row],[date]])</f>
        <v>3</v>
      </c>
      <c r="F3459" s="90">
        <v>46111</v>
      </c>
      <c r="G3459" s="86" t="str">
        <f>VLOOKUP("*"&amp;表格1[[#This Row],[Input]]&amp;"*",'Ref-List'!$B:$D,2,)</f>
        <v>TWD-T25BZU115MWH(MG)</v>
      </c>
      <c r="H3459" s="86" t="str">
        <f>_xlfn.XLOOKUP(表格1[[#This Row],[Model]],表格3[Model-Input-Ref2],表格3[Product Line])</f>
        <v>前置式變頻洗衣乾衣機 (洗10.5公斤 乾7公斤)</v>
      </c>
      <c r="I3459" s="86" t="str">
        <f>_xlfn.XLOOKUP(表格1[[#This Row],[Model]],表格3[Model-Input-Ref2],表格3[大小電])</f>
        <v>大電</v>
      </c>
      <c r="J3459" s="86" t="str">
        <f>_xlfn.XLOOKUP(表格1[[#This Row],[Model]],表格3[Model-Input-Ref2],表格3[Code])</f>
        <v>LAD</v>
      </c>
      <c r="K3459" s="89" t="s">
        <v>1098</v>
      </c>
      <c r="L3459" s="86">
        <v>1</v>
      </c>
      <c r="M3459" s="87">
        <v>5980</v>
      </c>
      <c r="N3459" s="87">
        <f>IFERROR(表格1[[#This Row],[QTY]]*表格1[[#This Row],[Unit Price]],"-")</f>
        <v>5980</v>
      </c>
      <c r="O3459" s="86">
        <v>2300646</v>
      </c>
      <c r="R3459" s="86" t="str">
        <f>_xlfn.CONCAT(表格1[[#This Row],[Model]]," ",表格1[[#This Row],[inv no]])</f>
        <v>TWD-T25BZU115MWH(MG) 2300646</v>
      </c>
      <c r="S3459" s="86">
        <f>_xlfn.XLOOKUP(表格1[[#This Row],[Model]],表格3[Model-Input-Ref2],表格3[SRP PRICE])</f>
        <v>8280</v>
      </c>
      <c r="T3459" s="43">
        <f>表格1[[#This Row],[Unit Price]]/表格1[[#This Row],[SRP]]</f>
        <v>0.72222222222222221</v>
      </c>
      <c r="U3459" s="86" t="str">
        <f>_xlfn.XLOOKUP(表格1[[#This Row],[Model]],表格3[Model-Input-Ref2],表格3[TOSHIBA/HIGHEST])</f>
        <v>Toshiba SRP</v>
      </c>
      <c r="W3459" s="86" t="str">
        <f>_xlfn.CONCAT(表格1[[#This Row],[欄4]],表格1[[#This Row],[inv no]])</f>
        <v>2300646</v>
      </c>
    </row>
    <row r="3460" spans="1:23" hidden="1">
      <c r="A3460" s="81">
        <v>3458</v>
      </c>
      <c r="B3460" s="86" t="s">
        <v>1477</v>
      </c>
      <c r="C3460" s="86" t="s">
        <v>1961</v>
      </c>
      <c r="D3460" s="82" t="str">
        <f ca="1">OFFSET(Roster!$A$3,MATCH(表格1[[#This Row],[Location]]&amp;" "&amp;表格1[[#This Row],[Shop]]&amp;"*",Roster!$A$4:$A$72,0),DAY(表格1[[#This Row],[date]]),1,1)</f>
        <v>Terence_2</v>
      </c>
      <c r="E3460" s="86">
        <f>MONTH(表格1[[#This Row],[date]])</f>
        <v>3</v>
      </c>
      <c r="F3460" s="90">
        <v>46111</v>
      </c>
      <c r="G3460" s="86" t="str">
        <f>VLOOKUP("*"&amp;表格1[[#This Row],[Input]]&amp;"*",'Ref-List'!$B:$D,2,)</f>
        <v>MX2-STR25SC(WH)</v>
      </c>
      <c r="H3460" s="86" t="str">
        <f>_xlfn.XLOOKUP(表格1[[#This Row],[Model]],表格3[Model-Input-Ref2],表格3[Product Line])</f>
        <v>4合1氣炸微波蒸焗爐(25公升)</v>
      </c>
      <c r="I3460" s="86" t="str">
        <f>_xlfn.XLOOKUP(表格1[[#This Row],[Model]],表格3[Model-Input-Ref2],表格3[大小電])</f>
        <v>細電</v>
      </c>
      <c r="J3460" s="86" t="str">
        <f>_xlfn.XLOOKUP(表格1[[#This Row],[Model]],表格3[Model-Input-Ref2],表格3[Code])</f>
        <v>MCA</v>
      </c>
      <c r="K3460" s="89" t="s">
        <v>1410</v>
      </c>
      <c r="L3460" s="86">
        <v>1</v>
      </c>
      <c r="M3460" s="87">
        <v>3580</v>
      </c>
      <c r="N3460" s="87">
        <f>IFERROR(表格1[[#This Row],[QTY]]*表格1[[#This Row],[Unit Price]],"-")</f>
        <v>3580</v>
      </c>
      <c r="O3460" s="86">
        <v>2300645</v>
      </c>
      <c r="R3460" s="86" t="str">
        <f>_xlfn.CONCAT(表格1[[#This Row],[Model]]," ",表格1[[#This Row],[inv no]])</f>
        <v>MX2-STR25SC(WH) 2300645</v>
      </c>
      <c r="S3460" s="86">
        <f>_xlfn.XLOOKUP(表格1[[#This Row],[Model]],表格3[Model-Input-Ref2],表格3[SRP PRICE])</f>
        <v>4998</v>
      </c>
      <c r="T3460" s="43">
        <f>表格1[[#This Row],[Unit Price]]/表格1[[#This Row],[SRP]]</f>
        <v>0.71628651460584236</v>
      </c>
      <c r="U3460" s="86" t="str">
        <f>_xlfn.XLOOKUP(表格1[[#This Row],[Model]],表格3[Model-Input-Ref2],表格3[TOSHIBA/HIGHEST])</f>
        <v>Toshiba SRP</v>
      </c>
      <c r="W3460" s="86" t="str">
        <f>_xlfn.CONCAT(表格1[[#This Row],[欄4]],表格1[[#This Row],[inv no]])</f>
        <v>2300645</v>
      </c>
    </row>
    <row r="3461" spans="1:23" hidden="1">
      <c r="A3461" s="81">
        <v>3459</v>
      </c>
      <c r="B3461" s="86" t="s">
        <v>1477</v>
      </c>
      <c r="C3461" s="86" t="s">
        <v>1961</v>
      </c>
      <c r="D3461" s="82" t="str">
        <f ca="1">OFFSET(Roster!$A$3,MATCH(表格1[[#This Row],[Location]]&amp;" "&amp;表格1[[#This Row],[Shop]]&amp;"*",Roster!$A$4:$A$72,0),DAY(表格1[[#This Row],[date]]),1,1)</f>
        <v>Terence_2</v>
      </c>
      <c r="E3461" s="86">
        <f>MONTH(表格1[[#This Row],[date]])</f>
        <v>3</v>
      </c>
      <c r="F3461" s="90">
        <v>46111</v>
      </c>
      <c r="G3461" s="86" t="str">
        <f>VLOOKUP("*"&amp;表格1[[#This Row],[Input]]&amp;"*",'Ref-List'!$B:$D,2,)</f>
        <v>TWD-T25BZU115MWH(MG)</v>
      </c>
      <c r="H3461" s="86" t="str">
        <f>_xlfn.XLOOKUP(表格1[[#This Row],[Model]],表格3[Model-Input-Ref2],表格3[Product Line])</f>
        <v>前置式變頻洗衣乾衣機 (洗10.5公斤 乾7公斤)</v>
      </c>
      <c r="I3461" s="86" t="str">
        <f>_xlfn.XLOOKUP(表格1[[#This Row],[Model]],表格3[Model-Input-Ref2],表格3[大小電])</f>
        <v>大電</v>
      </c>
      <c r="J3461" s="86" t="str">
        <f>_xlfn.XLOOKUP(表格1[[#This Row],[Model]],表格3[Model-Input-Ref2],表格3[Code])</f>
        <v>LAD</v>
      </c>
      <c r="K3461" s="89" t="s">
        <v>1098</v>
      </c>
      <c r="L3461" s="86">
        <v>1</v>
      </c>
      <c r="M3461" s="87">
        <v>5980</v>
      </c>
      <c r="N3461" s="87">
        <f>IFERROR(表格1[[#This Row],[QTY]]*表格1[[#This Row],[Unit Price]],"-")</f>
        <v>5980</v>
      </c>
      <c r="O3461" s="86">
        <v>2300638</v>
      </c>
      <c r="R3461" s="86" t="str">
        <f>_xlfn.CONCAT(表格1[[#This Row],[Model]]," ",表格1[[#This Row],[inv no]])</f>
        <v>TWD-T25BZU115MWH(MG) 2300638</v>
      </c>
      <c r="S3461" s="86">
        <f>_xlfn.XLOOKUP(表格1[[#This Row],[Model]],表格3[Model-Input-Ref2],表格3[SRP PRICE])</f>
        <v>8280</v>
      </c>
      <c r="T3461" s="43">
        <f>表格1[[#This Row],[Unit Price]]/表格1[[#This Row],[SRP]]</f>
        <v>0.72222222222222221</v>
      </c>
      <c r="U3461" s="86" t="str">
        <f>_xlfn.XLOOKUP(表格1[[#This Row],[Model]],表格3[Model-Input-Ref2],表格3[TOSHIBA/HIGHEST])</f>
        <v>Toshiba SRP</v>
      </c>
      <c r="W3461" s="86" t="str">
        <f>_xlfn.CONCAT(表格1[[#This Row],[欄4]],表格1[[#This Row],[inv no]])</f>
        <v>2300638</v>
      </c>
    </row>
    <row r="3462" spans="1:23" hidden="1">
      <c r="A3462" s="81">
        <v>3460</v>
      </c>
      <c r="B3462" s="86" t="s">
        <v>1477</v>
      </c>
      <c r="C3462" s="86" t="s">
        <v>1961</v>
      </c>
      <c r="D3462" s="82" t="str">
        <f ca="1">OFFSET(Roster!$A$3,MATCH(表格1[[#This Row],[Location]]&amp;" "&amp;表格1[[#This Row],[Shop]]&amp;"*",Roster!$A$4:$A$72,0),DAY(表格1[[#This Row],[date]]),1,1)</f>
        <v>Terence_2</v>
      </c>
      <c r="E3462" s="86">
        <f>MONTH(表格1[[#This Row],[date]])</f>
        <v>3</v>
      </c>
      <c r="F3462" s="90">
        <v>46111</v>
      </c>
      <c r="G3462" s="86" t="str">
        <f>VLOOKUP("*"&amp;表格1[[#This Row],[Input]]&amp;"*",'Ref-List'!$B:$D,2,)</f>
        <v>GR-RM469WE-PGA(B3)</v>
      </c>
      <c r="H3462" s="86" t="str">
        <f>_xlfn.XLOOKUP(表格1[[#This Row],[Model]],表格3[Model-Input-Ref2],表格3[Product Line])</f>
        <v>旗艦級變頻三門雪櫃 (300L)</v>
      </c>
      <c r="I3462" s="86" t="str">
        <f>_xlfn.XLOOKUP(表格1[[#This Row],[Model]],表格3[Model-Input-Ref2],表格3[大小電])</f>
        <v>大電</v>
      </c>
      <c r="J3462" s="86" t="str">
        <f>_xlfn.XLOOKUP(表格1[[#This Row],[Model]],表格3[Model-Input-Ref2],表格3[Code])</f>
        <v>REF</v>
      </c>
      <c r="K3462" s="89" t="s">
        <v>1460</v>
      </c>
      <c r="L3462" s="86">
        <v>1</v>
      </c>
      <c r="M3462" s="87">
        <v>6190</v>
      </c>
      <c r="N3462" s="87">
        <f>IFERROR(表格1[[#This Row],[QTY]]*表格1[[#This Row],[Unit Price]],"-")</f>
        <v>6190</v>
      </c>
      <c r="O3462" s="86">
        <v>2300842</v>
      </c>
      <c r="R3462" s="86" t="str">
        <f>_xlfn.CONCAT(表格1[[#This Row],[Model]]," ",表格1[[#This Row],[inv no]])</f>
        <v>GR-RM469WE-PGA(B3) 2300842</v>
      </c>
      <c r="S3462" s="86">
        <f>_xlfn.XLOOKUP(表格1[[#This Row],[Model]],表格3[Model-Input-Ref2],表格3[SRP PRICE])</f>
        <v>8990</v>
      </c>
      <c r="T3462" s="43">
        <f>表格1[[#This Row],[Unit Price]]/表格1[[#This Row],[SRP]]</f>
        <v>0.68854282536151279</v>
      </c>
      <c r="U3462" s="86" t="str">
        <f>_xlfn.XLOOKUP(表格1[[#This Row],[Model]],表格3[Model-Input-Ref2],表格3[TOSHIBA/HIGHEST])</f>
        <v>Toshiba SRP</v>
      </c>
      <c r="W3462" s="86" t="str">
        <f>_xlfn.CONCAT(表格1[[#This Row],[欄4]],表格1[[#This Row],[inv no]])</f>
        <v>2300842</v>
      </c>
    </row>
    <row r="3463" spans="1:23" hidden="1">
      <c r="A3463" s="81">
        <v>3461</v>
      </c>
      <c r="B3463" s="86" t="s">
        <v>1477</v>
      </c>
      <c r="C3463" s="86" t="s">
        <v>1961</v>
      </c>
      <c r="D3463" s="82" t="str">
        <f ca="1">OFFSET(Roster!$A$3,MATCH(表格1[[#This Row],[Location]]&amp;" "&amp;表格1[[#This Row],[Shop]]&amp;"*",Roster!$A$4:$A$72,0),DAY(表格1[[#This Row],[date]]),1,1)</f>
        <v>Terence_2</v>
      </c>
      <c r="E3463" s="86">
        <f>MONTH(表格1[[#This Row],[date]])</f>
        <v>3</v>
      </c>
      <c r="F3463" s="90">
        <v>46111</v>
      </c>
      <c r="G3463" s="86" t="str">
        <f>VLOOKUP("*"&amp;表格1[[#This Row],[Input]]&amp;"*",'Ref-List'!$B:$D,2,)</f>
        <v>GR-RB360WE-PMA(06)</v>
      </c>
      <c r="H3463" s="86" t="str">
        <f>_xlfn.XLOOKUP(表格1[[#This Row],[Model]],表格3[Model-Input-Ref2],表格3[Product Line])</f>
        <v>變頻下置式雙門雪櫃系列270L</v>
      </c>
      <c r="I3463" s="86" t="str">
        <f>_xlfn.XLOOKUP(表格1[[#This Row],[Model]],表格3[Model-Input-Ref2],表格3[大小電])</f>
        <v>大電</v>
      </c>
      <c r="J3463" s="86" t="str">
        <f>_xlfn.XLOOKUP(表格1[[#This Row],[Model]],表格3[Model-Input-Ref2],表格3[Code])</f>
        <v>REF</v>
      </c>
      <c r="K3463" s="89" t="s">
        <v>1282</v>
      </c>
      <c r="L3463" s="86">
        <v>1</v>
      </c>
      <c r="M3463" s="87">
        <v>3580</v>
      </c>
      <c r="N3463" s="87">
        <f>IFERROR(表格1[[#This Row],[QTY]]*表格1[[#This Row],[Unit Price]],"-")</f>
        <v>3580</v>
      </c>
      <c r="O3463" s="86">
        <v>2300662</v>
      </c>
      <c r="R3463" s="86" t="str">
        <f>_xlfn.CONCAT(表格1[[#This Row],[Model]]," ",表格1[[#This Row],[inv no]])</f>
        <v>GR-RB360WE-PMA(06) 2300662</v>
      </c>
      <c r="S3463" s="86">
        <f>_xlfn.XLOOKUP(表格1[[#This Row],[Model]],表格3[Model-Input-Ref2],表格3[SRP PRICE])</f>
        <v>5080</v>
      </c>
      <c r="T3463" s="43">
        <f>表格1[[#This Row],[Unit Price]]/表格1[[#This Row],[SRP]]</f>
        <v>0.70472440944881887</v>
      </c>
      <c r="U3463" s="86" t="str">
        <f>_xlfn.XLOOKUP(表格1[[#This Row],[Model]],表格3[Model-Input-Ref2],表格3[TOSHIBA/HIGHEST])</f>
        <v>Toshiba SRP</v>
      </c>
      <c r="W3463" s="86" t="str">
        <f>_xlfn.CONCAT(表格1[[#This Row],[欄4]],表格1[[#This Row],[inv no]])</f>
        <v>2300662</v>
      </c>
    </row>
    <row r="3464" spans="1:23" hidden="1">
      <c r="A3464" s="81">
        <v>3462</v>
      </c>
      <c r="B3464" s="86" t="s">
        <v>1477</v>
      </c>
      <c r="C3464" s="86" t="s">
        <v>1961</v>
      </c>
      <c r="D3464" s="82" t="str">
        <f ca="1">OFFSET(Roster!$A$3,MATCH(表格1[[#This Row],[Location]]&amp;" "&amp;表格1[[#This Row],[Shop]]&amp;"*",Roster!$A$4:$A$72,0),DAY(表格1[[#This Row],[date]]),1,1)</f>
        <v>Terence_2</v>
      </c>
      <c r="E3464" s="86">
        <f>MONTH(表格1[[#This Row],[date]])</f>
        <v>3</v>
      </c>
      <c r="F3464" s="90">
        <v>46111</v>
      </c>
      <c r="G3464" s="86" t="str">
        <f>VLOOKUP("*"&amp;表格1[[#This Row],[Input]]&amp;"*",'Ref-List'!$B:$D,2,)</f>
        <v>RC-10AMXH(W)</v>
      </c>
      <c r="H3464" s="86" t="str">
        <f>_xlfn.XLOOKUP(表格1[[#This Row],[Model]],表格3[Model-Input-Ref2],表格3[Product Line])</f>
        <v>酵活炊電飯煲(1.0公升)</v>
      </c>
      <c r="I3464" s="86" t="str">
        <f>_xlfn.XLOOKUP(表格1[[#This Row],[Model]],表格3[Model-Input-Ref2],表格3[大小電])</f>
        <v>細電</v>
      </c>
      <c r="J3464" s="86" t="str">
        <f>_xlfn.XLOOKUP(表格1[[#This Row],[Model]],表格3[Model-Input-Ref2],表格3[Code])</f>
        <v>SDA</v>
      </c>
      <c r="K3464" s="89" t="s">
        <v>1279</v>
      </c>
      <c r="L3464" s="86">
        <v>1</v>
      </c>
      <c r="M3464" s="87">
        <v>990</v>
      </c>
      <c r="N3464" s="87">
        <f>IFERROR(表格1[[#This Row],[QTY]]*表格1[[#This Row],[Unit Price]],"-")</f>
        <v>990</v>
      </c>
      <c r="O3464" s="86">
        <v>2300819</v>
      </c>
      <c r="R3464" s="86" t="str">
        <f>_xlfn.CONCAT(表格1[[#This Row],[Model]]," ",表格1[[#This Row],[inv no]])</f>
        <v>RC-10AMXH(W) 2300819</v>
      </c>
      <c r="S3464" s="86">
        <f>_xlfn.XLOOKUP(表格1[[#This Row],[Model]],表格3[Model-Input-Ref2],表格3[SRP PRICE])</f>
        <v>1288</v>
      </c>
      <c r="T3464" s="43">
        <f>表格1[[#This Row],[Unit Price]]/表格1[[#This Row],[SRP]]</f>
        <v>0.76863354037267084</v>
      </c>
      <c r="U3464" s="86" t="str">
        <f>_xlfn.XLOOKUP(表格1[[#This Row],[Model]],表格3[Model-Input-Ref2],表格3[TOSHIBA/HIGHEST])</f>
        <v>Toshiba SRP</v>
      </c>
      <c r="W3464" s="86" t="str">
        <f>_xlfn.CONCAT(表格1[[#This Row],[欄4]],表格1[[#This Row],[inv no]])</f>
        <v>2300819</v>
      </c>
    </row>
    <row r="3465" spans="1:23" hidden="1">
      <c r="A3465" s="81">
        <v>3463</v>
      </c>
      <c r="B3465" s="86" t="s">
        <v>1477</v>
      </c>
      <c r="C3465" s="86" t="s">
        <v>1961</v>
      </c>
      <c r="D3465" s="82" t="str">
        <f ca="1">OFFSET(Roster!$A$3,MATCH(表格1[[#This Row],[Location]]&amp;" "&amp;表格1[[#This Row],[Shop]]&amp;"*",Roster!$A$4:$A$72,0),DAY(表格1[[#This Row],[date]]),1,1)</f>
        <v>Terence_2</v>
      </c>
      <c r="E3465" s="86">
        <f>MONTH(表格1[[#This Row],[date]])</f>
        <v>3</v>
      </c>
      <c r="F3465" s="90">
        <v>46111</v>
      </c>
      <c r="G3465" s="86" t="str">
        <f>VLOOKUP("*"&amp;表格1[[#This Row],[Input]]&amp;"*",'Ref-List'!$B:$D,2,)</f>
        <v>MX2-STR25SC(WH)</v>
      </c>
      <c r="H3465" s="86" t="str">
        <f>_xlfn.XLOOKUP(表格1[[#This Row],[Model]],表格3[Model-Input-Ref2],表格3[Product Line])</f>
        <v>4合1氣炸微波蒸焗爐(25公升)</v>
      </c>
      <c r="I3465" s="86" t="str">
        <f>_xlfn.XLOOKUP(表格1[[#This Row],[Model]],表格3[Model-Input-Ref2],表格3[大小電])</f>
        <v>細電</v>
      </c>
      <c r="J3465" s="86" t="str">
        <f>_xlfn.XLOOKUP(表格1[[#This Row],[Model]],表格3[Model-Input-Ref2],表格3[Code])</f>
        <v>MCA</v>
      </c>
      <c r="K3465" s="89" t="s">
        <v>1410</v>
      </c>
      <c r="L3465" s="86">
        <v>1</v>
      </c>
      <c r="M3465" s="87">
        <v>3580</v>
      </c>
      <c r="N3465" s="87">
        <f>IFERROR(表格1[[#This Row],[QTY]]*表格1[[#This Row],[Unit Price]],"-")</f>
        <v>3580</v>
      </c>
      <c r="O3465" s="86">
        <v>2300777</v>
      </c>
      <c r="R3465" s="86" t="str">
        <f>_xlfn.CONCAT(表格1[[#This Row],[Model]]," ",表格1[[#This Row],[inv no]])</f>
        <v>MX2-STR25SC(WH) 2300777</v>
      </c>
      <c r="S3465" s="86">
        <f>_xlfn.XLOOKUP(表格1[[#This Row],[Model]],表格3[Model-Input-Ref2],表格3[SRP PRICE])</f>
        <v>4998</v>
      </c>
      <c r="T3465" s="43">
        <f>表格1[[#This Row],[Unit Price]]/表格1[[#This Row],[SRP]]</f>
        <v>0.71628651460584236</v>
      </c>
      <c r="U3465" s="86" t="str">
        <f>_xlfn.XLOOKUP(表格1[[#This Row],[Model]],表格3[Model-Input-Ref2],表格3[TOSHIBA/HIGHEST])</f>
        <v>Toshiba SRP</v>
      </c>
      <c r="W3465" s="86" t="str">
        <f>_xlfn.CONCAT(表格1[[#This Row],[欄4]],表格1[[#This Row],[inv no]])</f>
        <v>2300777</v>
      </c>
    </row>
    <row r="3466" spans="1:23" hidden="1">
      <c r="A3466" s="81">
        <v>3464</v>
      </c>
      <c r="B3466" s="86" t="s">
        <v>1477</v>
      </c>
      <c r="C3466" s="86" t="s">
        <v>1961</v>
      </c>
      <c r="D3466" s="82" t="str">
        <f ca="1">OFFSET(Roster!$A$3,MATCH(表格1[[#This Row],[Location]]&amp;" "&amp;表格1[[#This Row],[Shop]]&amp;"*",Roster!$A$4:$A$72,0),DAY(表格1[[#This Row],[date]]),1,1)</f>
        <v>Terence_2</v>
      </c>
      <c r="E3466" s="86">
        <f>MONTH(表格1[[#This Row],[date]])</f>
        <v>3</v>
      </c>
      <c r="F3466" s="90">
        <v>46111</v>
      </c>
      <c r="G3466" s="86" t="str">
        <f>VLOOKUP("*"&amp;表格1[[#This Row],[Input]]&amp;"*",'Ref-List'!$B:$D,2,)</f>
        <v>MX2-STR25SC(WH)</v>
      </c>
      <c r="H3466" s="86" t="str">
        <f>_xlfn.XLOOKUP(表格1[[#This Row],[Model]],表格3[Model-Input-Ref2],表格3[Product Line])</f>
        <v>4合1氣炸微波蒸焗爐(25公升)</v>
      </c>
      <c r="I3466" s="86" t="str">
        <f>_xlfn.XLOOKUP(表格1[[#This Row],[Model]],表格3[Model-Input-Ref2],表格3[大小電])</f>
        <v>細電</v>
      </c>
      <c r="J3466" s="86" t="str">
        <f>_xlfn.XLOOKUP(表格1[[#This Row],[Model]],表格3[Model-Input-Ref2],表格3[Code])</f>
        <v>MCA</v>
      </c>
      <c r="K3466" s="89" t="s">
        <v>1410</v>
      </c>
      <c r="L3466" s="86">
        <v>1</v>
      </c>
      <c r="M3466" s="87">
        <v>3580</v>
      </c>
      <c r="N3466" s="87">
        <f>IFERROR(表格1[[#This Row],[QTY]]*表格1[[#This Row],[Unit Price]],"-")</f>
        <v>3580</v>
      </c>
      <c r="O3466" s="86">
        <v>2300700</v>
      </c>
      <c r="R3466" s="86" t="str">
        <f>_xlfn.CONCAT(表格1[[#This Row],[Model]]," ",表格1[[#This Row],[inv no]])</f>
        <v>MX2-STR25SC(WH) 2300700</v>
      </c>
      <c r="S3466" s="86">
        <f>_xlfn.XLOOKUP(表格1[[#This Row],[Model]],表格3[Model-Input-Ref2],表格3[SRP PRICE])</f>
        <v>4998</v>
      </c>
      <c r="T3466" s="43">
        <f>表格1[[#This Row],[Unit Price]]/表格1[[#This Row],[SRP]]</f>
        <v>0.71628651460584236</v>
      </c>
      <c r="U3466" s="86" t="str">
        <f>_xlfn.XLOOKUP(表格1[[#This Row],[Model]],表格3[Model-Input-Ref2],表格3[TOSHIBA/HIGHEST])</f>
        <v>Toshiba SRP</v>
      </c>
      <c r="W3466" s="86" t="str">
        <f>_xlfn.CONCAT(表格1[[#This Row],[欄4]],表格1[[#This Row],[inv no]])</f>
        <v>2300700</v>
      </c>
    </row>
    <row r="3467" spans="1:23" hidden="1">
      <c r="A3467" s="81">
        <v>3465</v>
      </c>
      <c r="B3467" s="86" t="s">
        <v>1477</v>
      </c>
      <c r="C3467" s="86" t="s">
        <v>1961</v>
      </c>
      <c r="D3467" s="82" t="str">
        <f ca="1">OFFSET(Roster!$A$3,MATCH(表格1[[#This Row],[Location]]&amp;" "&amp;表格1[[#This Row],[Shop]]&amp;"*",Roster!$A$4:$A$72,0),DAY(表格1[[#This Row],[date]]),1,1)</f>
        <v>Terence_2</v>
      </c>
      <c r="E3467" s="86">
        <f>MONTH(表格1[[#This Row],[date]])</f>
        <v>3</v>
      </c>
      <c r="F3467" s="90">
        <v>46111</v>
      </c>
      <c r="G3467" s="86" t="str">
        <f>VLOOKUP("*"&amp;表格1[[#This Row],[Input]]&amp;"*",'Ref-List'!$B:$D,2,)</f>
        <v>MX2-STR25SC(WH)</v>
      </c>
      <c r="H3467" s="86" t="str">
        <f>_xlfn.XLOOKUP(表格1[[#This Row],[Model]],表格3[Model-Input-Ref2],表格3[Product Line])</f>
        <v>4合1氣炸微波蒸焗爐(25公升)</v>
      </c>
      <c r="I3467" s="86" t="str">
        <f>_xlfn.XLOOKUP(表格1[[#This Row],[Model]],表格3[Model-Input-Ref2],表格3[大小電])</f>
        <v>細電</v>
      </c>
      <c r="J3467" s="86" t="str">
        <f>_xlfn.XLOOKUP(表格1[[#This Row],[Model]],表格3[Model-Input-Ref2],表格3[Code])</f>
        <v>MCA</v>
      </c>
      <c r="K3467" s="89" t="s">
        <v>1410</v>
      </c>
      <c r="L3467" s="86">
        <v>1</v>
      </c>
      <c r="M3467" s="87">
        <v>3580</v>
      </c>
      <c r="N3467" s="87">
        <f>IFERROR(表格1[[#This Row],[QTY]]*表格1[[#This Row],[Unit Price]],"-")</f>
        <v>3580</v>
      </c>
      <c r="O3467" s="86">
        <v>2300768</v>
      </c>
      <c r="R3467" s="86" t="str">
        <f>_xlfn.CONCAT(表格1[[#This Row],[Model]]," ",表格1[[#This Row],[inv no]])</f>
        <v>MX2-STR25SC(WH) 2300768</v>
      </c>
      <c r="S3467" s="86">
        <f>_xlfn.XLOOKUP(表格1[[#This Row],[Model]],表格3[Model-Input-Ref2],表格3[SRP PRICE])</f>
        <v>4998</v>
      </c>
      <c r="T3467" s="43">
        <f>表格1[[#This Row],[Unit Price]]/表格1[[#This Row],[SRP]]</f>
        <v>0.71628651460584236</v>
      </c>
      <c r="U3467" s="86" t="str">
        <f>_xlfn.XLOOKUP(表格1[[#This Row],[Model]],表格3[Model-Input-Ref2],表格3[TOSHIBA/HIGHEST])</f>
        <v>Toshiba SRP</v>
      </c>
      <c r="W3467" s="86" t="str">
        <f>_xlfn.CONCAT(表格1[[#This Row],[欄4]],表格1[[#This Row],[inv no]])</f>
        <v>2300768</v>
      </c>
    </row>
    <row r="3468" spans="1:23" hidden="1">
      <c r="A3468" s="81">
        <v>3466</v>
      </c>
      <c r="B3468" s="86" t="s">
        <v>1477</v>
      </c>
      <c r="C3468" s="86" t="s">
        <v>1961</v>
      </c>
      <c r="D3468" s="82" t="str">
        <f ca="1">OFFSET(Roster!$A$3,MATCH(表格1[[#This Row],[Location]]&amp;" "&amp;表格1[[#This Row],[Shop]]&amp;"*",Roster!$A$4:$A$72,0),DAY(表格1[[#This Row],[date]]),1,1)</f>
        <v>Terence_2</v>
      </c>
      <c r="E3468" s="86">
        <f>MONTH(表格1[[#This Row],[date]])</f>
        <v>3</v>
      </c>
      <c r="F3468" s="90">
        <v>46111</v>
      </c>
      <c r="G3468" s="86" t="str">
        <f>VLOOKUP("*"&amp;表格1[[#This Row],[Input]]&amp;"*",'Ref-List'!$B:$D,2,)</f>
        <v>MS3-STQ20SC(WH)</v>
      </c>
      <c r="H3468" s="86" t="str">
        <f>_xlfn.XLOOKUP(表格1[[#This Row],[Model]],表格3[Model-Input-Ref2],表格3[Product Line])</f>
        <v>20L 智能蒸氣焗爐</v>
      </c>
      <c r="I3468" s="86" t="str">
        <f>_xlfn.XLOOKUP(表格1[[#This Row],[Model]],表格3[Model-Input-Ref2],表格3[大小電])</f>
        <v>細電</v>
      </c>
      <c r="J3468" s="86" t="str">
        <f>_xlfn.XLOOKUP(表格1[[#This Row],[Model]],表格3[Model-Input-Ref2],表格3[Code])</f>
        <v>MCA</v>
      </c>
      <c r="K3468" s="89" t="s">
        <v>1383</v>
      </c>
      <c r="L3468" s="86">
        <v>1</v>
      </c>
      <c r="M3468" s="87">
        <v>2100</v>
      </c>
      <c r="N3468" s="87">
        <f>IFERROR(表格1[[#This Row],[QTY]]*表格1[[#This Row],[Unit Price]],"-")</f>
        <v>2100</v>
      </c>
      <c r="O3468" s="86">
        <v>2300640</v>
      </c>
      <c r="R3468" s="86" t="str">
        <f>_xlfn.CONCAT(表格1[[#This Row],[Model]]," ",表格1[[#This Row],[inv no]])</f>
        <v>MS3-STQ20SC(WH) 2300640</v>
      </c>
      <c r="S3468" s="86">
        <f>_xlfn.XLOOKUP(表格1[[#This Row],[Model]],表格3[Model-Input-Ref2],表格3[SRP PRICE])</f>
        <v>2880</v>
      </c>
      <c r="T3468" s="43">
        <f>表格1[[#This Row],[Unit Price]]/表格1[[#This Row],[SRP]]</f>
        <v>0.72916666666666663</v>
      </c>
      <c r="U3468" s="86" t="str">
        <f>_xlfn.XLOOKUP(表格1[[#This Row],[Model]],表格3[Model-Input-Ref2],表格3[TOSHIBA/HIGHEST])</f>
        <v>Toshiba SRP</v>
      </c>
      <c r="W3468" s="86" t="str">
        <f>_xlfn.CONCAT(表格1[[#This Row],[欄4]],表格1[[#This Row],[inv no]])</f>
        <v>2300640</v>
      </c>
    </row>
    <row r="3469" spans="1:23" hidden="1">
      <c r="A3469" s="81">
        <v>3467</v>
      </c>
      <c r="B3469" s="86" t="s">
        <v>1477</v>
      </c>
      <c r="C3469" s="86" t="s">
        <v>1961</v>
      </c>
      <c r="D3469" s="82" t="str">
        <f ca="1">OFFSET(Roster!$A$3,MATCH(表格1[[#This Row],[Location]]&amp;" "&amp;表格1[[#This Row],[Shop]]&amp;"*",Roster!$A$4:$A$72,0),DAY(表格1[[#This Row],[date]]),1,1)</f>
        <v>Terence_2</v>
      </c>
      <c r="E3469" s="86">
        <f>MONTH(表格1[[#This Row],[date]])</f>
        <v>3</v>
      </c>
      <c r="F3469" s="90">
        <v>46111</v>
      </c>
      <c r="G3469" s="86" t="str">
        <f>VLOOKUP("*"&amp;表格1[[#This Row],[Input]]&amp;"*",'Ref-List'!$B:$D,2,)</f>
        <v>MX2-TT20SC(WH)</v>
      </c>
      <c r="H3469" s="86" t="str">
        <f>_xlfn.XLOOKUP(表格1[[#This Row],[Model]],表格3[Model-Input-Ref2],表格3[Product Line])</f>
        <v>3合1 微波蒸焗爐 (20公升)</v>
      </c>
      <c r="I3469" s="86" t="str">
        <f>_xlfn.XLOOKUP(表格1[[#This Row],[Model]],表格3[Model-Input-Ref2],表格3[大小電])</f>
        <v>細電</v>
      </c>
      <c r="J3469" s="86" t="str">
        <f>_xlfn.XLOOKUP(表格1[[#This Row],[Model]],表格3[Model-Input-Ref2],表格3[Code])</f>
        <v>MCA</v>
      </c>
      <c r="K3469" s="89" t="s">
        <v>1287</v>
      </c>
      <c r="L3469" s="86">
        <v>1</v>
      </c>
      <c r="M3469" s="87">
        <v>2580</v>
      </c>
      <c r="N3469" s="87">
        <f>IFERROR(表格1[[#This Row],[QTY]]*表格1[[#This Row],[Unit Price]],"-")</f>
        <v>2580</v>
      </c>
      <c r="O3469" s="86">
        <v>2300674</v>
      </c>
      <c r="R3469" s="86" t="str">
        <f>_xlfn.CONCAT(表格1[[#This Row],[Model]]," ",表格1[[#This Row],[inv no]])</f>
        <v>MX2-TT20SC(WH) 2300674</v>
      </c>
      <c r="S3469" s="86">
        <f>_xlfn.XLOOKUP(表格1[[#This Row],[Model]],表格3[Model-Input-Ref2],表格3[SRP PRICE])</f>
        <v>3580</v>
      </c>
      <c r="T3469" s="43">
        <f>表格1[[#This Row],[Unit Price]]/表格1[[#This Row],[SRP]]</f>
        <v>0.72067039106145248</v>
      </c>
      <c r="U3469" s="86" t="str">
        <f>_xlfn.XLOOKUP(表格1[[#This Row],[Model]],表格3[Model-Input-Ref2],表格3[TOSHIBA/HIGHEST])</f>
        <v>Toshiba SRP</v>
      </c>
      <c r="W3469" s="86" t="str">
        <f>_xlfn.CONCAT(表格1[[#This Row],[欄4]],表格1[[#This Row],[inv no]])</f>
        <v>2300674</v>
      </c>
    </row>
    <row r="3470" spans="1:23" hidden="1">
      <c r="A3470" s="81">
        <v>3468</v>
      </c>
      <c r="B3470" s="86" t="s">
        <v>1477</v>
      </c>
      <c r="C3470" s="86" t="s">
        <v>1961</v>
      </c>
      <c r="D3470" s="82" t="str">
        <f ca="1">OFFSET(Roster!$A$3,MATCH(表格1[[#This Row],[Location]]&amp;" "&amp;表格1[[#This Row],[Shop]]&amp;"*",Roster!$A$4:$A$72,0),DAY(表格1[[#This Row],[date]]),1,1)</f>
        <v>Terence_2</v>
      </c>
      <c r="E3470" s="86">
        <f>MONTH(表格1[[#This Row],[date]])</f>
        <v>3</v>
      </c>
      <c r="F3470" s="90">
        <v>46111</v>
      </c>
      <c r="G3470" s="86" t="str">
        <f>VLOOKUP("*"&amp;表格1[[#This Row],[Input]]&amp;"*",'Ref-List'!$B:$D,2,)</f>
        <v>MX2-TT20SC(WH)</v>
      </c>
      <c r="H3470" s="86" t="str">
        <f>_xlfn.XLOOKUP(表格1[[#This Row],[Model]],表格3[Model-Input-Ref2],表格3[Product Line])</f>
        <v>3合1 微波蒸焗爐 (20公升)</v>
      </c>
      <c r="I3470" s="86" t="str">
        <f>_xlfn.XLOOKUP(表格1[[#This Row],[Model]],表格3[Model-Input-Ref2],表格3[大小電])</f>
        <v>細電</v>
      </c>
      <c r="J3470" s="86" t="str">
        <f>_xlfn.XLOOKUP(表格1[[#This Row],[Model]],表格3[Model-Input-Ref2],表格3[Code])</f>
        <v>MCA</v>
      </c>
      <c r="K3470" s="89" t="s">
        <v>1287</v>
      </c>
      <c r="L3470" s="86">
        <v>1</v>
      </c>
      <c r="M3470" s="87">
        <v>2580</v>
      </c>
      <c r="N3470" s="87">
        <f>IFERROR(表格1[[#This Row],[QTY]]*表格1[[#This Row],[Unit Price]],"-")</f>
        <v>2580</v>
      </c>
      <c r="O3470" s="86">
        <v>2300668</v>
      </c>
      <c r="R3470" s="86" t="str">
        <f>_xlfn.CONCAT(表格1[[#This Row],[Model]]," ",表格1[[#This Row],[inv no]])</f>
        <v>MX2-TT20SC(WH) 2300668</v>
      </c>
      <c r="S3470" s="86">
        <f>_xlfn.XLOOKUP(表格1[[#This Row],[Model]],表格3[Model-Input-Ref2],表格3[SRP PRICE])</f>
        <v>3580</v>
      </c>
      <c r="T3470" s="43">
        <f>表格1[[#This Row],[Unit Price]]/表格1[[#This Row],[SRP]]</f>
        <v>0.72067039106145248</v>
      </c>
      <c r="U3470" s="86" t="str">
        <f>_xlfn.XLOOKUP(表格1[[#This Row],[Model]],表格3[Model-Input-Ref2],表格3[TOSHIBA/HIGHEST])</f>
        <v>Toshiba SRP</v>
      </c>
      <c r="W3470" s="86" t="str">
        <f>_xlfn.CONCAT(表格1[[#This Row],[欄4]],表格1[[#This Row],[inv no]])</f>
        <v>2300668</v>
      </c>
    </row>
    <row r="3471" spans="1:23" hidden="1">
      <c r="A3471" s="81">
        <v>3469</v>
      </c>
      <c r="B3471" s="86" t="s">
        <v>1477</v>
      </c>
      <c r="C3471" s="86" t="s">
        <v>1961</v>
      </c>
      <c r="D3471" s="82" t="str">
        <f ca="1">OFFSET(Roster!$A$3,MATCH(表格1[[#This Row],[Location]]&amp;" "&amp;表格1[[#This Row],[Shop]]&amp;"*",Roster!$A$4:$A$72,0),DAY(表格1[[#This Row],[date]]),1,1)</f>
        <v>Terence_2</v>
      </c>
      <c r="E3471" s="86">
        <f>MONTH(表格1[[#This Row],[date]])</f>
        <v>3</v>
      </c>
      <c r="F3471" s="90">
        <v>46111</v>
      </c>
      <c r="G3471" s="86" t="str">
        <f>VLOOKUP("*"&amp;表格1[[#This Row],[Input]]&amp;"*",'Ref-List'!$B:$D,2,)</f>
        <v>MX1-TH23SC(WH)</v>
      </c>
      <c r="H3471" s="86" t="str">
        <f>_xlfn.XLOOKUP(表格1[[#This Row],[Model]],表格3[Model-Input-Ref2],表格3[Product Line])</f>
        <v>微波蒸焗爐23L</v>
      </c>
      <c r="I3471" s="86" t="str">
        <f>_xlfn.XLOOKUP(表格1[[#This Row],[Model]],表格3[Model-Input-Ref2],表格3[大小電])</f>
        <v>細電</v>
      </c>
      <c r="J3471" s="86" t="str">
        <f>_xlfn.XLOOKUP(表格1[[#This Row],[Model]],表格3[Model-Input-Ref2],表格3[Code])</f>
        <v>SDA</v>
      </c>
      <c r="K3471" s="89" t="s">
        <v>1496</v>
      </c>
      <c r="L3471" s="86">
        <v>1</v>
      </c>
      <c r="M3471" s="87">
        <v>1999</v>
      </c>
      <c r="N3471" s="87">
        <f>IFERROR(表格1[[#This Row],[QTY]]*表格1[[#This Row],[Unit Price]],"-")</f>
        <v>1999</v>
      </c>
      <c r="O3471" s="86">
        <v>2300720</v>
      </c>
      <c r="R3471" s="86" t="str">
        <f>_xlfn.CONCAT(表格1[[#This Row],[Model]]," ",表格1[[#This Row],[inv no]])</f>
        <v>MX1-TH23SC(WH) 2300720</v>
      </c>
      <c r="S3471" s="86">
        <f>_xlfn.XLOOKUP(表格1[[#This Row],[Model]],表格3[Model-Input-Ref2],表格3[SRP PRICE])</f>
        <v>3380</v>
      </c>
      <c r="T3471" s="43">
        <f>表格1[[#This Row],[Unit Price]]/表格1[[#This Row],[SRP]]</f>
        <v>0.5914201183431953</v>
      </c>
      <c r="U3471" s="86" t="str">
        <f>_xlfn.XLOOKUP(表格1[[#This Row],[Model]],表格3[Model-Input-Ref2],表格3[TOSHIBA/HIGHEST])</f>
        <v>Toshiba SRP</v>
      </c>
      <c r="W3471" s="86" t="str">
        <f>_xlfn.CONCAT(表格1[[#This Row],[欄4]],表格1[[#This Row],[inv no]])</f>
        <v>2300720</v>
      </c>
    </row>
    <row r="3472" spans="1:23" hidden="1">
      <c r="A3472" s="81">
        <v>3470</v>
      </c>
      <c r="B3472" s="86" t="s">
        <v>1477</v>
      </c>
      <c r="C3472" s="86" t="s">
        <v>1961</v>
      </c>
      <c r="D3472" s="82" t="str">
        <f ca="1">OFFSET(Roster!$A$3,MATCH(表格1[[#This Row],[Location]]&amp;" "&amp;表格1[[#This Row],[Shop]]&amp;"*",Roster!$A$4:$A$72,0),DAY(表格1[[#This Row],[date]]),1,1)</f>
        <v>Terence_2</v>
      </c>
      <c r="E3472" s="86">
        <f>MONTH(表格1[[#This Row],[date]])</f>
        <v>3</v>
      </c>
      <c r="F3472" s="90">
        <v>46111</v>
      </c>
      <c r="G3472" s="86" t="str">
        <f>VLOOKUP("*"&amp;表格1[[#This Row],[Input]]&amp;"*",'Ref-List'!$B:$D,2,)</f>
        <v>MX2-TT20SC(WH)</v>
      </c>
      <c r="H3472" s="86" t="str">
        <f>_xlfn.XLOOKUP(表格1[[#This Row],[Model]],表格3[Model-Input-Ref2],表格3[Product Line])</f>
        <v>3合1 微波蒸焗爐 (20公升)</v>
      </c>
      <c r="I3472" s="86" t="str">
        <f>_xlfn.XLOOKUP(表格1[[#This Row],[Model]],表格3[Model-Input-Ref2],表格3[大小電])</f>
        <v>細電</v>
      </c>
      <c r="J3472" s="86" t="str">
        <f>_xlfn.XLOOKUP(表格1[[#This Row],[Model]],表格3[Model-Input-Ref2],表格3[Code])</f>
        <v>MCA</v>
      </c>
      <c r="K3472" s="89" t="s">
        <v>1287</v>
      </c>
      <c r="L3472" s="86">
        <v>1</v>
      </c>
      <c r="M3472" s="87">
        <v>2580</v>
      </c>
      <c r="N3472" s="87">
        <f>IFERROR(表格1[[#This Row],[QTY]]*表格1[[#This Row],[Unit Price]],"-")</f>
        <v>2580</v>
      </c>
      <c r="O3472" s="86">
        <v>2300746</v>
      </c>
      <c r="R3472" s="86" t="str">
        <f>_xlfn.CONCAT(表格1[[#This Row],[Model]]," ",表格1[[#This Row],[inv no]])</f>
        <v>MX2-TT20SC(WH) 2300746</v>
      </c>
      <c r="S3472" s="86">
        <f>_xlfn.XLOOKUP(表格1[[#This Row],[Model]],表格3[Model-Input-Ref2],表格3[SRP PRICE])</f>
        <v>3580</v>
      </c>
      <c r="T3472" s="43">
        <f>表格1[[#This Row],[Unit Price]]/表格1[[#This Row],[SRP]]</f>
        <v>0.72067039106145248</v>
      </c>
      <c r="U3472" s="86" t="str">
        <f>_xlfn.XLOOKUP(表格1[[#This Row],[Model]],表格3[Model-Input-Ref2],表格3[TOSHIBA/HIGHEST])</f>
        <v>Toshiba SRP</v>
      </c>
      <c r="W3472" s="86" t="str">
        <f>_xlfn.CONCAT(表格1[[#This Row],[欄4]],表格1[[#This Row],[inv no]])</f>
        <v>2300746</v>
      </c>
    </row>
    <row r="3473" spans="1:23" hidden="1">
      <c r="A3473" s="81">
        <v>3471</v>
      </c>
      <c r="B3473" s="86" t="s">
        <v>1477</v>
      </c>
      <c r="C3473" s="86" t="s">
        <v>1961</v>
      </c>
      <c r="D3473" s="82" t="str">
        <f ca="1">OFFSET(Roster!$A$3,MATCH(表格1[[#This Row],[Location]]&amp;" "&amp;表格1[[#This Row],[Shop]]&amp;"*",Roster!$A$4:$A$72,0),DAY(表格1[[#This Row],[date]]),1,1)</f>
        <v>Terence_2</v>
      </c>
      <c r="E3473" s="86">
        <f>MONTH(表格1[[#This Row],[date]])</f>
        <v>3</v>
      </c>
      <c r="F3473" s="90">
        <v>46111</v>
      </c>
      <c r="G3473" s="86" t="str">
        <f>VLOOKUP("*"&amp;表格1[[#This Row],[Input]]&amp;"*",'Ref-List'!$B:$D,2,)</f>
        <v>MX1-TH23SC(WH)</v>
      </c>
      <c r="H3473" s="86" t="str">
        <f>_xlfn.XLOOKUP(表格1[[#This Row],[Model]],表格3[Model-Input-Ref2],表格3[Product Line])</f>
        <v>微波蒸焗爐23L</v>
      </c>
      <c r="I3473" s="86" t="str">
        <f>_xlfn.XLOOKUP(表格1[[#This Row],[Model]],表格3[Model-Input-Ref2],表格3[大小電])</f>
        <v>細電</v>
      </c>
      <c r="J3473" s="86" t="str">
        <f>_xlfn.XLOOKUP(表格1[[#This Row],[Model]],表格3[Model-Input-Ref2],表格3[Code])</f>
        <v>SDA</v>
      </c>
      <c r="K3473" s="89" t="s">
        <v>1496</v>
      </c>
      <c r="L3473" s="86">
        <v>1</v>
      </c>
      <c r="M3473" s="87">
        <v>1999</v>
      </c>
      <c r="N3473" s="87">
        <f>IFERROR(表格1[[#This Row],[QTY]]*表格1[[#This Row],[Unit Price]],"-")</f>
        <v>1999</v>
      </c>
      <c r="O3473" s="86">
        <v>2300621</v>
      </c>
      <c r="R3473" s="86" t="str">
        <f>_xlfn.CONCAT(表格1[[#This Row],[Model]]," ",表格1[[#This Row],[inv no]])</f>
        <v>MX1-TH23SC(WH) 2300621</v>
      </c>
      <c r="S3473" s="86">
        <f>_xlfn.XLOOKUP(表格1[[#This Row],[Model]],表格3[Model-Input-Ref2],表格3[SRP PRICE])</f>
        <v>3380</v>
      </c>
      <c r="T3473" s="43">
        <f>表格1[[#This Row],[Unit Price]]/表格1[[#This Row],[SRP]]</f>
        <v>0.5914201183431953</v>
      </c>
      <c r="U3473" s="86" t="str">
        <f>_xlfn.XLOOKUP(表格1[[#This Row],[Model]],表格3[Model-Input-Ref2],表格3[TOSHIBA/HIGHEST])</f>
        <v>Toshiba SRP</v>
      </c>
      <c r="W3473" s="86" t="str">
        <f>_xlfn.CONCAT(表格1[[#This Row],[欄4]],表格1[[#This Row],[inv no]])</f>
        <v>2300621</v>
      </c>
    </row>
    <row r="3474" spans="1:23" hidden="1">
      <c r="A3474" s="81">
        <v>3472</v>
      </c>
      <c r="B3474" s="86" t="s">
        <v>1477</v>
      </c>
      <c r="C3474" s="86" t="s">
        <v>1961</v>
      </c>
      <c r="D3474" s="82" t="str">
        <f ca="1">OFFSET(Roster!$A$3,MATCH(表格1[[#This Row],[Location]]&amp;" "&amp;表格1[[#This Row],[Shop]]&amp;"*",Roster!$A$4:$A$72,0),DAY(表格1[[#This Row],[date]]),1,1)</f>
        <v>Terence_2</v>
      </c>
      <c r="E3474" s="86">
        <f>MONTH(表格1[[#This Row],[date]])</f>
        <v>3</v>
      </c>
      <c r="F3474" s="90">
        <v>46111</v>
      </c>
      <c r="G3474" s="86" t="str">
        <f>VLOOKUP("*"&amp;表格1[[#This Row],[Input]]&amp;"*",'Ref-List'!$B:$D,2,)</f>
        <v>TP-25DR2UHK(W)</v>
      </c>
      <c r="H3474" s="86" t="str">
        <f>_xlfn.XLOOKUP(表格1[[#This Row],[Model]],表格3[Model-Input-Ref2],表格3[Product Line])</f>
        <v>電熱水瓶 (2.5公升)</v>
      </c>
      <c r="I3474" s="86" t="str">
        <f>_xlfn.XLOOKUP(表格1[[#This Row],[Model]],表格3[Model-Input-Ref2],表格3[大小電])</f>
        <v>細電</v>
      </c>
      <c r="J3474" s="86" t="str">
        <f>_xlfn.XLOOKUP(表格1[[#This Row],[Model]],表格3[Model-Input-Ref2],表格3[Code])</f>
        <v>SDA</v>
      </c>
      <c r="K3474" s="89" t="s">
        <v>1285</v>
      </c>
      <c r="L3474" s="86">
        <v>1</v>
      </c>
      <c r="M3474" s="87">
        <v>398</v>
      </c>
      <c r="N3474" s="87">
        <f>IFERROR(表格1[[#This Row],[QTY]]*表格1[[#This Row],[Unit Price]],"-")</f>
        <v>398</v>
      </c>
      <c r="O3474" s="86">
        <v>2300621</v>
      </c>
      <c r="R3474" s="86" t="str">
        <f>_xlfn.CONCAT(表格1[[#This Row],[Model]]," ",表格1[[#This Row],[inv no]])</f>
        <v>TP-25DR2UHK(W) 2300621</v>
      </c>
      <c r="S3474" s="86">
        <f>_xlfn.XLOOKUP(表格1[[#This Row],[Model]],表格3[Model-Input-Ref2],表格3[SRP PRICE])</f>
        <v>538</v>
      </c>
      <c r="T3474" s="43">
        <f>表格1[[#This Row],[Unit Price]]/表格1[[#This Row],[SRP]]</f>
        <v>0.7397769516728625</v>
      </c>
      <c r="U3474" s="86" t="str">
        <f>_xlfn.XLOOKUP(表格1[[#This Row],[Model]],表格3[Model-Input-Ref2],表格3[TOSHIBA/HIGHEST])</f>
        <v>Toshiba SRP</v>
      </c>
      <c r="W3474" s="86" t="str">
        <f>_xlfn.CONCAT(表格1[[#This Row],[欄4]],表格1[[#This Row],[inv no]])</f>
        <v>2300621</v>
      </c>
    </row>
    <row r="3475" spans="1:23" hidden="1">
      <c r="A3475" s="81">
        <v>3473</v>
      </c>
      <c r="B3475" s="86" t="s">
        <v>1477</v>
      </c>
      <c r="C3475" s="86" t="s">
        <v>1961</v>
      </c>
      <c r="D3475" s="82" t="str">
        <f ca="1">OFFSET(Roster!$A$3,MATCH(表格1[[#This Row],[Location]]&amp;" "&amp;表格1[[#This Row],[Shop]]&amp;"*",Roster!$A$4:$A$72,0),DAY(表格1[[#This Row],[date]]),1,1)</f>
        <v>Terence_2</v>
      </c>
      <c r="E3475" s="86">
        <f>MONTH(表格1[[#This Row],[date]])</f>
        <v>3</v>
      </c>
      <c r="F3475" s="90">
        <v>46111</v>
      </c>
      <c r="G3475" s="86" t="str">
        <f>VLOOKUP("*"&amp;表格1[[#This Row],[Input]]&amp;"*",'Ref-List'!$B:$D,2,)</f>
        <v>GR-RT300WE-PMA(57)</v>
      </c>
      <c r="H3475" s="86" t="str">
        <f>_xlfn.XLOOKUP(表格1[[#This Row],[Model]],表格3[Model-Input-Ref2],表格3[Product Line])</f>
        <v>變頻式環保雙門雪櫃(233L)</v>
      </c>
      <c r="I3475" s="86" t="str">
        <f>_xlfn.XLOOKUP(表格1[[#This Row],[Model]],表格3[Model-Input-Ref2],表格3[大小電])</f>
        <v>大電</v>
      </c>
      <c r="J3475" s="86" t="str">
        <f>_xlfn.XLOOKUP(表格1[[#This Row],[Model]],表格3[Model-Input-Ref2],表格3[Code])</f>
        <v>REF</v>
      </c>
      <c r="K3475" s="89" t="s">
        <v>1462</v>
      </c>
      <c r="L3475" s="86">
        <v>1</v>
      </c>
      <c r="M3475" s="87">
        <v>2780</v>
      </c>
      <c r="N3475" s="87">
        <f>IFERROR(表格1[[#This Row],[QTY]]*表格1[[#This Row],[Unit Price]],"-")</f>
        <v>2780</v>
      </c>
      <c r="O3475" s="86">
        <v>2300675</v>
      </c>
      <c r="R3475" s="86" t="str">
        <f>_xlfn.CONCAT(表格1[[#This Row],[Model]]," ",表格1[[#This Row],[inv no]])</f>
        <v>GR-RT300WE-PMA(57) 2300675</v>
      </c>
      <c r="S3475" s="86">
        <f>_xlfn.XLOOKUP(表格1[[#This Row],[Model]],表格3[Model-Input-Ref2],表格3[SRP PRICE])</f>
        <v>4280</v>
      </c>
      <c r="T3475" s="43">
        <f>表格1[[#This Row],[Unit Price]]/表格1[[#This Row],[SRP]]</f>
        <v>0.64953271028037385</v>
      </c>
      <c r="U3475" s="86" t="str">
        <f>_xlfn.XLOOKUP(表格1[[#This Row],[Model]],表格3[Model-Input-Ref2],表格3[TOSHIBA/HIGHEST])</f>
        <v>Toshiba SRP</v>
      </c>
      <c r="W3475" s="86" t="str">
        <f>_xlfn.CONCAT(表格1[[#This Row],[欄4]],表格1[[#This Row],[inv no]])</f>
        <v>2300675</v>
      </c>
    </row>
    <row r="3476" spans="1:23" hidden="1">
      <c r="A3476" s="81">
        <v>3474</v>
      </c>
      <c r="B3476" s="86" t="s">
        <v>1477</v>
      </c>
      <c r="C3476" s="86" t="s">
        <v>1961</v>
      </c>
      <c r="D3476" s="82" t="str">
        <f ca="1">OFFSET(Roster!$A$3,MATCH(表格1[[#This Row],[Location]]&amp;" "&amp;表格1[[#This Row],[Shop]]&amp;"*",Roster!$A$4:$A$72,0),DAY(表格1[[#This Row],[date]]),1,1)</f>
        <v>Terence_2</v>
      </c>
      <c r="E3476" s="86">
        <f>MONTH(表格1[[#This Row],[date]])</f>
        <v>3</v>
      </c>
      <c r="F3476" s="90">
        <v>46111</v>
      </c>
      <c r="G3476" s="86" t="str">
        <f>VLOOKUP("*"&amp;表格1[[#This Row],[Input]]&amp;"*",'Ref-List'!$B:$D,2,)</f>
        <v>RAD-D300H</v>
      </c>
      <c r="H3476" s="86" t="str">
        <f>_xlfn.XLOOKUP(表格1[[#This Row],[Model]],表格3[Model-Input-Ref2],表格3[Product Line])</f>
        <v>壓縮式抽濕機 (30公升)</v>
      </c>
      <c r="I3476" s="86" t="str">
        <f>_xlfn.XLOOKUP(表格1[[#This Row],[Model]],表格3[Model-Input-Ref2],表格3[大小電])</f>
        <v>細電</v>
      </c>
      <c r="J3476" s="86" t="str">
        <f>_xlfn.XLOOKUP(表格1[[#This Row],[Model]],表格3[Model-Input-Ref2],表格3[Code])</f>
        <v>RAC</v>
      </c>
      <c r="K3476" s="89" t="s">
        <v>1252</v>
      </c>
      <c r="L3476" s="86">
        <v>1</v>
      </c>
      <c r="M3476" s="87">
        <v>2280</v>
      </c>
      <c r="N3476" s="87">
        <f>IFERROR(表格1[[#This Row],[QTY]]*表格1[[#This Row],[Unit Price]],"-")</f>
        <v>2280</v>
      </c>
      <c r="O3476" s="86">
        <v>2300749</v>
      </c>
      <c r="R3476" s="86" t="str">
        <f>_xlfn.CONCAT(表格1[[#This Row],[Model]]," ",表格1[[#This Row],[inv no]])</f>
        <v>RAD-D300H 2300749</v>
      </c>
      <c r="S3476" s="86">
        <f>_xlfn.XLOOKUP(表格1[[#This Row],[Model]],表格3[Model-Input-Ref2],表格3[SRP PRICE])</f>
        <v>3380</v>
      </c>
      <c r="T3476" s="43">
        <f>表格1[[#This Row],[Unit Price]]/表格1[[#This Row],[SRP]]</f>
        <v>0.67455621301775148</v>
      </c>
      <c r="U3476" s="86" t="str">
        <f>_xlfn.XLOOKUP(表格1[[#This Row],[Model]],表格3[Model-Input-Ref2],表格3[TOSHIBA/HIGHEST])</f>
        <v>Shops Highest Price</v>
      </c>
      <c r="W3476" s="86" t="str">
        <f>_xlfn.CONCAT(表格1[[#This Row],[欄4]],表格1[[#This Row],[inv no]])</f>
        <v>2300749</v>
      </c>
    </row>
    <row r="3477" spans="1:23" hidden="1">
      <c r="A3477" s="81">
        <v>3475</v>
      </c>
      <c r="B3477" s="86" t="s">
        <v>1477</v>
      </c>
      <c r="C3477" s="86" t="s">
        <v>1961</v>
      </c>
      <c r="D3477" s="82" t="str">
        <f ca="1">OFFSET(Roster!$A$3,MATCH(表格1[[#This Row],[Location]]&amp;" "&amp;表格1[[#This Row],[Shop]]&amp;"*",Roster!$A$4:$A$72,0),DAY(表格1[[#This Row],[date]]),1,1)</f>
        <v>Terence_2</v>
      </c>
      <c r="E3477" s="86">
        <f>MONTH(表格1[[#This Row],[date]])</f>
        <v>3</v>
      </c>
      <c r="F3477" s="90">
        <v>46111</v>
      </c>
      <c r="G3477" s="86" t="str">
        <f>VLOOKUP("*"&amp;表格1[[#This Row],[Input]]&amp;"*",'Ref-List'!$B:$D,2,)</f>
        <v>RAD-D300H</v>
      </c>
      <c r="H3477" s="86" t="str">
        <f>_xlfn.XLOOKUP(表格1[[#This Row],[Model]],表格3[Model-Input-Ref2],表格3[Product Line])</f>
        <v>壓縮式抽濕機 (30公升)</v>
      </c>
      <c r="I3477" s="86" t="str">
        <f>_xlfn.XLOOKUP(表格1[[#This Row],[Model]],表格3[Model-Input-Ref2],表格3[大小電])</f>
        <v>細電</v>
      </c>
      <c r="J3477" s="86" t="str">
        <f>_xlfn.XLOOKUP(表格1[[#This Row],[Model]],表格3[Model-Input-Ref2],表格3[Code])</f>
        <v>RAC</v>
      </c>
      <c r="K3477" s="89" t="s">
        <v>1252</v>
      </c>
      <c r="L3477" s="86">
        <v>1</v>
      </c>
      <c r="M3477" s="87">
        <v>2280</v>
      </c>
      <c r="N3477" s="87">
        <f>IFERROR(表格1[[#This Row],[QTY]]*表格1[[#This Row],[Unit Price]],"-")</f>
        <v>2280</v>
      </c>
      <c r="O3477" s="86">
        <v>2300726</v>
      </c>
      <c r="R3477" s="86" t="str">
        <f>_xlfn.CONCAT(表格1[[#This Row],[Model]]," ",表格1[[#This Row],[inv no]])</f>
        <v>RAD-D300H 2300726</v>
      </c>
      <c r="S3477" s="86">
        <f>_xlfn.XLOOKUP(表格1[[#This Row],[Model]],表格3[Model-Input-Ref2],表格3[SRP PRICE])</f>
        <v>3380</v>
      </c>
      <c r="T3477" s="43">
        <f>表格1[[#This Row],[Unit Price]]/表格1[[#This Row],[SRP]]</f>
        <v>0.67455621301775148</v>
      </c>
      <c r="U3477" s="86" t="str">
        <f>_xlfn.XLOOKUP(表格1[[#This Row],[Model]],表格3[Model-Input-Ref2],表格3[TOSHIBA/HIGHEST])</f>
        <v>Shops Highest Price</v>
      </c>
      <c r="W3477" s="86" t="str">
        <f>_xlfn.CONCAT(表格1[[#This Row],[欄4]],表格1[[#This Row],[inv no]])</f>
        <v>2300726</v>
      </c>
    </row>
    <row r="3478" spans="1:23" hidden="1">
      <c r="A3478" s="81">
        <v>3476</v>
      </c>
      <c r="B3478" s="86" t="s">
        <v>1477</v>
      </c>
      <c r="C3478" s="86" t="s">
        <v>1961</v>
      </c>
      <c r="D3478" s="82" t="str">
        <f ca="1">OFFSET(Roster!$A$3,MATCH(表格1[[#This Row],[Location]]&amp;" "&amp;表格1[[#This Row],[Shop]]&amp;"*",Roster!$A$4:$A$72,0),DAY(表格1[[#This Row],[date]]),1,1)</f>
        <v>Terence_2</v>
      </c>
      <c r="E3478" s="86">
        <f>MONTH(表格1[[#This Row],[date]])</f>
        <v>3</v>
      </c>
      <c r="F3478" s="90">
        <v>46111</v>
      </c>
      <c r="G3478" s="86" t="str">
        <f>VLOOKUP("*"&amp;表格1[[#This Row],[Input]]&amp;"*",'Ref-List'!$B:$D,2,)</f>
        <v>RAD-D300H</v>
      </c>
      <c r="H3478" s="86" t="str">
        <f>_xlfn.XLOOKUP(表格1[[#This Row],[Model]],表格3[Model-Input-Ref2],表格3[Product Line])</f>
        <v>壓縮式抽濕機 (30公升)</v>
      </c>
      <c r="I3478" s="86" t="str">
        <f>_xlfn.XLOOKUP(表格1[[#This Row],[Model]],表格3[Model-Input-Ref2],表格3[大小電])</f>
        <v>細電</v>
      </c>
      <c r="J3478" s="86" t="str">
        <f>_xlfn.XLOOKUP(表格1[[#This Row],[Model]],表格3[Model-Input-Ref2],表格3[Code])</f>
        <v>RAC</v>
      </c>
      <c r="K3478" s="89" t="s">
        <v>1252</v>
      </c>
      <c r="L3478" s="86">
        <v>1</v>
      </c>
      <c r="M3478" s="87">
        <v>2280</v>
      </c>
      <c r="N3478" s="87">
        <f>IFERROR(表格1[[#This Row],[QTY]]*表格1[[#This Row],[Unit Price]],"-")</f>
        <v>2280</v>
      </c>
      <c r="O3478" s="86">
        <v>2300626</v>
      </c>
      <c r="R3478" s="86" t="str">
        <f>_xlfn.CONCAT(表格1[[#This Row],[Model]]," ",表格1[[#This Row],[inv no]])</f>
        <v>RAD-D300H 2300626</v>
      </c>
      <c r="S3478" s="86">
        <f>_xlfn.XLOOKUP(表格1[[#This Row],[Model]],表格3[Model-Input-Ref2],表格3[SRP PRICE])</f>
        <v>3380</v>
      </c>
      <c r="T3478" s="43">
        <f>表格1[[#This Row],[Unit Price]]/表格1[[#This Row],[SRP]]</f>
        <v>0.67455621301775148</v>
      </c>
      <c r="U3478" s="86" t="str">
        <f>_xlfn.XLOOKUP(表格1[[#This Row],[Model]],表格3[Model-Input-Ref2],表格3[TOSHIBA/HIGHEST])</f>
        <v>Shops Highest Price</v>
      </c>
      <c r="W3478" s="86" t="str">
        <f>_xlfn.CONCAT(表格1[[#This Row],[欄4]],表格1[[#This Row],[inv no]])</f>
        <v>2300626</v>
      </c>
    </row>
    <row r="3479" spans="1:23" hidden="1">
      <c r="A3479" s="81">
        <v>3477</v>
      </c>
      <c r="B3479" s="86" t="s">
        <v>1477</v>
      </c>
      <c r="C3479" s="86" t="s">
        <v>1961</v>
      </c>
      <c r="D3479" s="82" t="str">
        <f ca="1">OFFSET(Roster!$A$3,MATCH(表格1[[#This Row],[Location]]&amp;" "&amp;表格1[[#This Row],[Shop]]&amp;"*",Roster!$A$4:$A$72,0),DAY(表格1[[#This Row],[date]]),1,1)</f>
        <v>Terence_2</v>
      </c>
      <c r="E3479" s="86">
        <f>MONTH(表格1[[#This Row],[date]])</f>
        <v>3</v>
      </c>
      <c r="F3479" s="90">
        <v>46111</v>
      </c>
      <c r="G3479" s="86" t="str">
        <f>VLOOKUP("*"&amp;表格1[[#This Row],[Input]]&amp;"*",'Ref-List'!$B:$D,2,)</f>
        <v>DW-05T2-HK</v>
      </c>
      <c r="H3479" s="86" t="str">
        <f>_xlfn.XLOOKUP(表格1[[#This Row],[Model]],表格3[Model-Input-Ref2],表格3[Product Line])</f>
        <v>座檯式洗碗碟機</v>
      </c>
      <c r="I3479" s="86" t="str">
        <f>_xlfn.XLOOKUP(表格1[[#This Row],[Model]],表格3[Model-Input-Ref2],表格3[大小電])</f>
        <v>細電</v>
      </c>
      <c r="J3479" s="86" t="str">
        <f>_xlfn.XLOOKUP(表格1[[#This Row],[Model]],表格3[Model-Input-Ref2],表格3[Code])</f>
        <v>DW</v>
      </c>
      <c r="K3479" s="89" t="s">
        <v>1475</v>
      </c>
      <c r="L3479" s="86">
        <v>1</v>
      </c>
      <c r="M3479" s="87">
        <v>3780</v>
      </c>
      <c r="N3479" s="87">
        <f>IFERROR(表格1[[#This Row],[QTY]]*表格1[[#This Row],[Unit Price]],"-")</f>
        <v>3780</v>
      </c>
      <c r="O3479" s="86">
        <v>2300815</v>
      </c>
      <c r="R3479" s="86" t="str">
        <f>_xlfn.CONCAT(表格1[[#This Row],[Model]]," ",表格1[[#This Row],[inv no]])</f>
        <v>DW-05T2-HK 2300815</v>
      </c>
      <c r="S3479" s="86">
        <f>_xlfn.XLOOKUP(表格1[[#This Row],[Model]],表格3[Model-Input-Ref2],表格3[SRP PRICE])</f>
        <v>4580</v>
      </c>
      <c r="T3479" s="43">
        <f>表格1[[#This Row],[Unit Price]]/表格1[[#This Row],[SRP]]</f>
        <v>0.8253275109170306</v>
      </c>
      <c r="U3479" s="86" t="str">
        <f>_xlfn.XLOOKUP(表格1[[#This Row],[Model]],表格3[Model-Input-Ref2],表格3[TOSHIBA/HIGHEST])</f>
        <v>Toshiba SRP</v>
      </c>
      <c r="W3479" s="86" t="str">
        <f>_xlfn.CONCAT(表格1[[#This Row],[欄4]],表格1[[#This Row],[inv no]])</f>
        <v>2300815</v>
      </c>
    </row>
    <row r="3480" spans="1:23" hidden="1">
      <c r="A3480" s="81">
        <v>3478</v>
      </c>
      <c r="B3480" s="86" t="s">
        <v>1477</v>
      </c>
      <c r="C3480" s="86" t="s">
        <v>1961</v>
      </c>
      <c r="D3480" s="82" t="str">
        <f ca="1">OFFSET(Roster!$A$3,MATCH(表格1[[#This Row],[Location]]&amp;" "&amp;表格1[[#This Row],[Shop]]&amp;"*",Roster!$A$4:$A$72,0),DAY(表格1[[#This Row],[date]]),1,1)</f>
        <v>Terence_2</v>
      </c>
      <c r="E3480" s="86">
        <f>MONTH(表格1[[#This Row],[date]])</f>
        <v>3</v>
      </c>
      <c r="F3480" s="90">
        <v>46111</v>
      </c>
      <c r="G3480" s="86" t="str">
        <f>VLOOKUP("*"&amp;表格1[[#This Row],[Input]]&amp;"*",'Ref-List'!$B:$D,2,)</f>
        <v>DW-05T2-HK</v>
      </c>
      <c r="H3480" s="86" t="str">
        <f>_xlfn.XLOOKUP(表格1[[#This Row],[Model]],表格3[Model-Input-Ref2],表格3[Product Line])</f>
        <v>座檯式洗碗碟機</v>
      </c>
      <c r="I3480" s="86" t="str">
        <f>_xlfn.XLOOKUP(表格1[[#This Row],[Model]],表格3[Model-Input-Ref2],表格3[大小電])</f>
        <v>細電</v>
      </c>
      <c r="J3480" s="86" t="str">
        <f>_xlfn.XLOOKUP(表格1[[#This Row],[Model]],表格3[Model-Input-Ref2],表格3[Code])</f>
        <v>DW</v>
      </c>
      <c r="K3480" s="89" t="s">
        <v>1475</v>
      </c>
      <c r="L3480" s="86">
        <v>1</v>
      </c>
      <c r="M3480" s="87">
        <v>3780</v>
      </c>
      <c r="N3480" s="87">
        <f>IFERROR(表格1[[#This Row],[QTY]]*表格1[[#This Row],[Unit Price]],"-")</f>
        <v>3780</v>
      </c>
      <c r="O3480" s="86">
        <v>2300663</v>
      </c>
      <c r="R3480" s="86" t="str">
        <f>_xlfn.CONCAT(表格1[[#This Row],[Model]]," ",表格1[[#This Row],[inv no]])</f>
        <v>DW-05T2-HK 2300663</v>
      </c>
      <c r="S3480" s="86">
        <f>_xlfn.XLOOKUP(表格1[[#This Row],[Model]],表格3[Model-Input-Ref2],表格3[SRP PRICE])</f>
        <v>4580</v>
      </c>
      <c r="T3480" s="43">
        <f>表格1[[#This Row],[Unit Price]]/表格1[[#This Row],[SRP]]</f>
        <v>0.8253275109170306</v>
      </c>
      <c r="U3480" s="86" t="str">
        <f>_xlfn.XLOOKUP(表格1[[#This Row],[Model]],表格3[Model-Input-Ref2],表格3[TOSHIBA/HIGHEST])</f>
        <v>Toshiba SRP</v>
      </c>
      <c r="W3480" s="86" t="str">
        <f>_xlfn.CONCAT(表格1[[#This Row],[欄4]],表格1[[#This Row],[inv no]])</f>
        <v>2300663</v>
      </c>
    </row>
    <row r="3481" spans="1:23" hidden="1">
      <c r="A3481" s="81">
        <v>3479</v>
      </c>
      <c r="B3481" s="86" t="s">
        <v>1477</v>
      </c>
      <c r="C3481" s="86" t="s">
        <v>1961</v>
      </c>
      <c r="D3481" s="82" t="str">
        <f ca="1">OFFSET(Roster!$A$3,MATCH(表格1[[#This Row],[Location]]&amp;" "&amp;表格1[[#This Row],[Shop]]&amp;"*",Roster!$A$4:$A$72,0),DAY(表格1[[#This Row],[date]]),1,1)</f>
        <v>Terence_2</v>
      </c>
      <c r="E3481" s="86">
        <f>MONTH(表格1[[#This Row],[date]])</f>
        <v>3</v>
      </c>
      <c r="F3481" s="90">
        <v>46111</v>
      </c>
      <c r="G3481" s="86" t="str">
        <f>VLOOKUP("*"&amp;表格1[[#This Row],[Input]]&amp;"*",'Ref-List'!$B:$D,2,)</f>
        <v>DW-05T2-HK</v>
      </c>
      <c r="H3481" s="86" t="str">
        <f>_xlfn.XLOOKUP(表格1[[#This Row],[Model]],表格3[Model-Input-Ref2],表格3[Product Line])</f>
        <v>座檯式洗碗碟機</v>
      </c>
      <c r="I3481" s="86" t="str">
        <f>_xlfn.XLOOKUP(表格1[[#This Row],[Model]],表格3[Model-Input-Ref2],表格3[大小電])</f>
        <v>細電</v>
      </c>
      <c r="J3481" s="86" t="str">
        <f>_xlfn.XLOOKUP(表格1[[#This Row],[Model]],表格3[Model-Input-Ref2],表格3[Code])</f>
        <v>DW</v>
      </c>
      <c r="K3481" s="89" t="s">
        <v>1948</v>
      </c>
      <c r="L3481" s="86">
        <v>1</v>
      </c>
      <c r="M3481" s="87">
        <v>3780</v>
      </c>
      <c r="N3481" s="87">
        <f>IFERROR(表格1[[#This Row],[QTY]]*表格1[[#This Row],[Unit Price]],"-")</f>
        <v>3780</v>
      </c>
      <c r="O3481" s="86">
        <v>2300667</v>
      </c>
      <c r="R3481" s="86" t="str">
        <f>_xlfn.CONCAT(表格1[[#This Row],[Model]]," ",表格1[[#This Row],[inv no]])</f>
        <v>DW-05T2-HK 2300667</v>
      </c>
      <c r="S3481" s="86">
        <f>_xlfn.XLOOKUP(表格1[[#This Row],[Model]],表格3[Model-Input-Ref2],表格3[SRP PRICE])</f>
        <v>4580</v>
      </c>
      <c r="T3481" s="43">
        <f>表格1[[#This Row],[Unit Price]]/表格1[[#This Row],[SRP]]</f>
        <v>0.8253275109170306</v>
      </c>
      <c r="U3481" s="86" t="str">
        <f>_xlfn.XLOOKUP(表格1[[#This Row],[Model]],表格3[Model-Input-Ref2],表格3[TOSHIBA/HIGHEST])</f>
        <v>Toshiba SRP</v>
      </c>
      <c r="W3481" s="86" t="str">
        <f>_xlfn.CONCAT(表格1[[#This Row],[欄4]],表格1[[#This Row],[inv no]])</f>
        <v>2300667</v>
      </c>
    </row>
    <row r="3482" spans="1:23" hidden="1">
      <c r="A3482" s="81">
        <v>3480</v>
      </c>
      <c r="B3482" s="86" t="s">
        <v>1477</v>
      </c>
      <c r="C3482" s="86" t="s">
        <v>1961</v>
      </c>
      <c r="D3482" s="82" t="str">
        <f ca="1">OFFSET(Roster!$A$3,MATCH(表格1[[#This Row],[Location]]&amp;" "&amp;表格1[[#This Row],[Shop]]&amp;"*",Roster!$A$4:$A$72,0),DAY(表格1[[#This Row],[date]]),1,1)</f>
        <v>Terence_2</v>
      </c>
      <c r="E3482" s="86">
        <f>MONTH(表格1[[#This Row],[date]])</f>
        <v>3</v>
      </c>
      <c r="F3482" s="90">
        <v>46111</v>
      </c>
      <c r="G3482" s="86" t="str">
        <f>VLOOKUP("*"&amp;表格1[[#This Row],[Input]]&amp;"*",'Ref-List'!$B:$D,2,)</f>
        <v>DW-05T2-HK</v>
      </c>
      <c r="H3482" s="86" t="str">
        <f>_xlfn.XLOOKUP(表格1[[#This Row],[Model]],表格3[Model-Input-Ref2],表格3[Product Line])</f>
        <v>座檯式洗碗碟機</v>
      </c>
      <c r="I3482" s="86" t="str">
        <f>_xlfn.XLOOKUP(表格1[[#This Row],[Model]],表格3[Model-Input-Ref2],表格3[大小電])</f>
        <v>細電</v>
      </c>
      <c r="J3482" s="86" t="str">
        <f>_xlfn.XLOOKUP(表格1[[#This Row],[Model]],表格3[Model-Input-Ref2],表格3[Code])</f>
        <v>DW</v>
      </c>
      <c r="K3482" s="89" t="s">
        <v>1948</v>
      </c>
      <c r="L3482" s="86">
        <v>1</v>
      </c>
      <c r="M3482" s="87">
        <v>3780</v>
      </c>
      <c r="N3482" s="87">
        <f>IFERROR(表格1[[#This Row],[QTY]]*表格1[[#This Row],[Unit Price]],"-")</f>
        <v>3780</v>
      </c>
      <c r="O3482" s="86">
        <v>2300669</v>
      </c>
      <c r="R3482" s="86" t="str">
        <f>_xlfn.CONCAT(表格1[[#This Row],[Model]]," ",表格1[[#This Row],[inv no]])</f>
        <v>DW-05T2-HK 2300669</v>
      </c>
      <c r="S3482" s="86">
        <f>_xlfn.XLOOKUP(表格1[[#This Row],[Model]],表格3[Model-Input-Ref2],表格3[SRP PRICE])</f>
        <v>4580</v>
      </c>
      <c r="T3482" s="43">
        <f>表格1[[#This Row],[Unit Price]]/表格1[[#This Row],[SRP]]</f>
        <v>0.8253275109170306</v>
      </c>
      <c r="U3482" s="86" t="str">
        <f>_xlfn.XLOOKUP(表格1[[#This Row],[Model]],表格3[Model-Input-Ref2],表格3[TOSHIBA/HIGHEST])</f>
        <v>Toshiba SRP</v>
      </c>
      <c r="W3482" s="86" t="str">
        <f>_xlfn.CONCAT(表格1[[#This Row],[欄4]],表格1[[#This Row],[inv no]])</f>
        <v>2300669</v>
      </c>
    </row>
    <row r="3483" spans="1:23" hidden="1">
      <c r="A3483" s="81">
        <v>3481</v>
      </c>
      <c r="B3483" s="86" t="s">
        <v>1477</v>
      </c>
      <c r="C3483" s="86" t="s">
        <v>1961</v>
      </c>
      <c r="D3483" s="82" t="str">
        <f ca="1">OFFSET(Roster!$A$3,MATCH(表格1[[#This Row],[Location]]&amp;" "&amp;表格1[[#This Row],[Shop]]&amp;"*",Roster!$A$4:$A$72,0),DAY(表格1[[#This Row],[date]]),1,1)</f>
        <v>Terence_2</v>
      </c>
      <c r="E3483" s="86">
        <f>MONTH(表格1[[#This Row],[date]])</f>
        <v>3</v>
      </c>
      <c r="F3483" s="90">
        <v>46111</v>
      </c>
      <c r="G3483" s="86" t="str">
        <f>VLOOKUP("*"&amp;表格1[[#This Row],[Input]]&amp;"*",'Ref-List'!$B:$D,2,)</f>
        <v>DW-05T2-HK</v>
      </c>
      <c r="H3483" s="86" t="str">
        <f>_xlfn.XLOOKUP(表格1[[#This Row],[Model]],表格3[Model-Input-Ref2],表格3[Product Line])</f>
        <v>座檯式洗碗碟機</v>
      </c>
      <c r="I3483" s="86" t="str">
        <f>_xlfn.XLOOKUP(表格1[[#This Row],[Model]],表格3[Model-Input-Ref2],表格3[大小電])</f>
        <v>細電</v>
      </c>
      <c r="J3483" s="86" t="str">
        <f>_xlfn.XLOOKUP(表格1[[#This Row],[Model]],表格3[Model-Input-Ref2],表格3[Code])</f>
        <v>DW</v>
      </c>
      <c r="K3483" s="89" t="s">
        <v>1948</v>
      </c>
      <c r="L3483" s="86">
        <v>1</v>
      </c>
      <c r="M3483" s="87">
        <v>3780</v>
      </c>
      <c r="N3483" s="87">
        <f>IFERROR(表格1[[#This Row],[QTY]]*表格1[[#This Row],[Unit Price]],"-")</f>
        <v>3780</v>
      </c>
      <c r="O3483" s="86">
        <v>2300659</v>
      </c>
      <c r="R3483" s="86" t="str">
        <f>_xlfn.CONCAT(表格1[[#This Row],[Model]]," ",表格1[[#This Row],[inv no]])</f>
        <v>DW-05T2-HK 2300659</v>
      </c>
      <c r="S3483" s="86">
        <f>_xlfn.XLOOKUP(表格1[[#This Row],[Model]],表格3[Model-Input-Ref2],表格3[SRP PRICE])</f>
        <v>4580</v>
      </c>
      <c r="T3483" s="43">
        <f>表格1[[#This Row],[Unit Price]]/表格1[[#This Row],[SRP]]</f>
        <v>0.8253275109170306</v>
      </c>
      <c r="U3483" s="86" t="str">
        <f>_xlfn.XLOOKUP(表格1[[#This Row],[Model]],表格3[Model-Input-Ref2],表格3[TOSHIBA/HIGHEST])</f>
        <v>Toshiba SRP</v>
      </c>
      <c r="W3483" s="86" t="str">
        <f>_xlfn.CONCAT(表格1[[#This Row],[欄4]],表格1[[#This Row],[inv no]])</f>
        <v>2300659</v>
      </c>
    </row>
    <row r="3484" spans="1:23" hidden="1">
      <c r="A3484" s="81">
        <v>3482</v>
      </c>
      <c r="B3484" s="86" t="s">
        <v>1477</v>
      </c>
      <c r="C3484" s="86" t="s">
        <v>1961</v>
      </c>
      <c r="D3484" s="82" t="str">
        <f ca="1">OFFSET(Roster!$A$3,MATCH(表格1[[#This Row],[Location]]&amp;" "&amp;表格1[[#This Row],[Shop]]&amp;"*",Roster!$A$4:$A$72,0),DAY(表格1[[#This Row],[date]]),1,1)</f>
        <v>Terence_2</v>
      </c>
      <c r="E3484" s="86">
        <f>MONTH(表格1[[#This Row],[date]])</f>
        <v>3</v>
      </c>
      <c r="F3484" s="90">
        <v>46111</v>
      </c>
      <c r="G3484" s="86" t="str">
        <f>VLOOKUP("*"&amp;表格1[[#This Row],[Input]]&amp;"*",'Ref-List'!$B:$D,2,)</f>
        <v>DW-05T2-HK</v>
      </c>
      <c r="H3484" s="86" t="str">
        <f>_xlfn.XLOOKUP(表格1[[#This Row],[Model]],表格3[Model-Input-Ref2],表格3[Product Line])</f>
        <v>座檯式洗碗碟機</v>
      </c>
      <c r="I3484" s="86" t="str">
        <f>_xlfn.XLOOKUP(表格1[[#This Row],[Model]],表格3[Model-Input-Ref2],表格3[大小電])</f>
        <v>細電</v>
      </c>
      <c r="J3484" s="86" t="str">
        <f>_xlfn.XLOOKUP(表格1[[#This Row],[Model]],表格3[Model-Input-Ref2],表格3[Code])</f>
        <v>DW</v>
      </c>
      <c r="K3484" s="89" t="s">
        <v>1948</v>
      </c>
      <c r="L3484" s="86">
        <v>1</v>
      </c>
      <c r="M3484" s="87">
        <v>3780</v>
      </c>
      <c r="N3484" s="87">
        <f>IFERROR(表格1[[#This Row],[QTY]]*表格1[[#This Row],[Unit Price]],"-")</f>
        <v>3780</v>
      </c>
      <c r="O3484" s="86">
        <v>2300724</v>
      </c>
      <c r="R3484" s="86" t="str">
        <f>_xlfn.CONCAT(表格1[[#This Row],[Model]]," ",表格1[[#This Row],[inv no]])</f>
        <v>DW-05T2-HK 2300724</v>
      </c>
      <c r="S3484" s="86">
        <f>_xlfn.XLOOKUP(表格1[[#This Row],[Model]],表格3[Model-Input-Ref2],表格3[SRP PRICE])</f>
        <v>4580</v>
      </c>
      <c r="T3484" s="43">
        <f>表格1[[#This Row],[Unit Price]]/表格1[[#This Row],[SRP]]</f>
        <v>0.8253275109170306</v>
      </c>
      <c r="U3484" s="86" t="str">
        <f>_xlfn.XLOOKUP(表格1[[#This Row],[Model]],表格3[Model-Input-Ref2],表格3[TOSHIBA/HIGHEST])</f>
        <v>Toshiba SRP</v>
      </c>
      <c r="W3484" s="86" t="str">
        <f>_xlfn.CONCAT(表格1[[#This Row],[欄4]],表格1[[#This Row],[inv no]])</f>
        <v>2300724</v>
      </c>
    </row>
    <row r="3485" spans="1:23" hidden="1">
      <c r="A3485" s="81">
        <v>3483</v>
      </c>
      <c r="B3485" s="86" t="s">
        <v>1477</v>
      </c>
      <c r="C3485" s="86" t="s">
        <v>1961</v>
      </c>
      <c r="D3485" s="82" t="str">
        <f ca="1">OFFSET(Roster!$A$3,MATCH(表格1[[#This Row],[Location]]&amp;" "&amp;表格1[[#This Row],[Shop]]&amp;"*",Roster!$A$4:$A$72,0),DAY(表格1[[#This Row],[date]]),1,1)</f>
        <v>Terence_2</v>
      </c>
      <c r="E3485" s="86">
        <f>MONTH(表格1[[#This Row],[date]])</f>
        <v>3</v>
      </c>
      <c r="F3485" s="90">
        <v>46111</v>
      </c>
      <c r="G3485" s="86" t="str">
        <f>VLOOKUP("*"&amp;表格1[[#This Row],[Input]]&amp;"*",'Ref-List'!$B:$D,2,)</f>
        <v>DW-05T2-HK</v>
      </c>
      <c r="H3485" s="86" t="str">
        <f>_xlfn.XLOOKUP(表格1[[#This Row],[Model]],表格3[Model-Input-Ref2],表格3[Product Line])</f>
        <v>座檯式洗碗碟機</v>
      </c>
      <c r="I3485" s="86" t="str">
        <f>_xlfn.XLOOKUP(表格1[[#This Row],[Model]],表格3[Model-Input-Ref2],表格3[大小電])</f>
        <v>細電</v>
      </c>
      <c r="J3485" s="86" t="str">
        <f>_xlfn.XLOOKUP(表格1[[#This Row],[Model]],表格3[Model-Input-Ref2],表格3[Code])</f>
        <v>DW</v>
      </c>
      <c r="K3485" s="89" t="s">
        <v>1948</v>
      </c>
      <c r="L3485" s="86">
        <v>1</v>
      </c>
      <c r="M3485" s="87">
        <v>3780</v>
      </c>
      <c r="N3485" s="87">
        <f>IFERROR(表格1[[#This Row],[QTY]]*表格1[[#This Row],[Unit Price]],"-")</f>
        <v>3780</v>
      </c>
      <c r="O3485" s="86">
        <v>2300672</v>
      </c>
      <c r="R3485" s="86" t="str">
        <f>_xlfn.CONCAT(表格1[[#This Row],[Model]]," ",表格1[[#This Row],[inv no]])</f>
        <v>DW-05T2-HK 2300672</v>
      </c>
      <c r="S3485" s="86">
        <f>_xlfn.XLOOKUP(表格1[[#This Row],[Model]],表格3[Model-Input-Ref2],表格3[SRP PRICE])</f>
        <v>4580</v>
      </c>
      <c r="T3485" s="43">
        <f>表格1[[#This Row],[Unit Price]]/表格1[[#This Row],[SRP]]</f>
        <v>0.8253275109170306</v>
      </c>
      <c r="U3485" s="86" t="str">
        <f>_xlfn.XLOOKUP(表格1[[#This Row],[Model]],表格3[Model-Input-Ref2],表格3[TOSHIBA/HIGHEST])</f>
        <v>Toshiba SRP</v>
      </c>
      <c r="W3485" s="86" t="str">
        <f>_xlfn.CONCAT(表格1[[#This Row],[欄4]],表格1[[#This Row],[inv no]])</f>
        <v>2300672</v>
      </c>
    </row>
    <row r="3486" spans="1:23" hidden="1">
      <c r="A3486" s="81">
        <v>3484</v>
      </c>
      <c r="B3486" s="86" t="s">
        <v>1477</v>
      </c>
      <c r="C3486" s="86" t="s">
        <v>1961</v>
      </c>
      <c r="D3486" s="82" t="str">
        <f ca="1">OFFSET(Roster!$A$3,MATCH(表格1[[#This Row],[Location]]&amp;" "&amp;表格1[[#This Row],[Shop]]&amp;"*",Roster!$A$4:$A$72,0),DAY(表格1[[#This Row],[date]]),1,1)</f>
        <v>Terence_2</v>
      </c>
      <c r="E3486" s="86">
        <f>MONTH(表格1[[#This Row],[date]])</f>
        <v>3</v>
      </c>
      <c r="F3486" s="90">
        <v>46111</v>
      </c>
      <c r="G3486" s="86" t="str">
        <f>VLOOKUP("*"&amp;表格1[[#This Row],[Input]]&amp;"*",'Ref-List'!$B:$D,2,)</f>
        <v>DW-05T2-HK</v>
      </c>
      <c r="H3486" s="86" t="str">
        <f>_xlfn.XLOOKUP(表格1[[#This Row],[Model]],表格3[Model-Input-Ref2],表格3[Product Line])</f>
        <v>座檯式洗碗碟機</v>
      </c>
      <c r="I3486" s="86" t="str">
        <f>_xlfn.XLOOKUP(表格1[[#This Row],[Model]],表格3[Model-Input-Ref2],表格3[大小電])</f>
        <v>細電</v>
      </c>
      <c r="J3486" s="86" t="str">
        <f>_xlfn.XLOOKUP(表格1[[#This Row],[Model]],表格3[Model-Input-Ref2],表格3[Code])</f>
        <v>DW</v>
      </c>
      <c r="K3486" s="89" t="s">
        <v>1948</v>
      </c>
      <c r="L3486" s="86">
        <v>1</v>
      </c>
      <c r="M3486" s="87">
        <v>3780</v>
      </c>
      <c r="N3486" s="87">
        <f>IFERROR(表格1[[#This Row],[QTY]]*表格1[[#This Row],[Unit Price]],"-")</f>
        <v>3780</v>
      </c>
      <c r="O3486" s="86">
        <v>2300688</v>
      </c>
      <c r="R3486" s="86" t="str">
        <f>_xlfn.CONCAT(表格1[[#This Row],[Model]]," ",表格1[[#This Row],[inv no]])</f>
        <v>DW-05T2-HK 2300688</v>
      </c>
      <c r="S3486" s="86">
        <f>_xlfn.XLOOKUP(表格1[[#This Row],[Model]],表格3[Model-Input-Ref2],表格3[SRP PRICE])</f>
        <v>4580</v>
      </c>
      <c r="T3486" s="43">
        <f>表格1[[#This Row],[Unit Price]]/表格1[[#This Row],[SRP]]</f>
        <v>0.8253275109170306</v>
      </c>
      <c r="U3486" s="86" t="str">
        <f>_xlfn.XLOOKUP(表格1[[#This Row],[Model]],表格3[Model-Input-Ref2],表格3[TOSHIBA/HIGHEST])</f>
        <v>Toshiba SRP</v>
      </c>
      <c r="W3486" s="86" t="str">
        <f>_xlfn.CONCAT(表格1[[#This Row],[欄4]],表格1[[#This Row],[inv no]])</f>
        <v>2300688</v>
      </c>
    </row>
    <row r="3487" spans="1:23" hidden="1">
      <c r="A3487" s="81">
        <v>3485</v>
      </c>
      <c r="B3487" s="86" t="s">
        <v>1477</v>
      </c>
      <c r="C3487" s="86" t="s">
        <v>1961</v>
      </c>
      <c r="D3487" s="82" t="str">
        <f ca="1">OFFSET(Roster!$A$3,MATCH(表格1[[#This Row],[Location]]&amp;" "&amp;表格1[[#This Row],[Shop]]&amp;"*",Roster!$A$4:$A$72,0),DAY(表格1[[#This Row],[date]]),1,1)</f>
        <v>Terence_2</v>
      </c>
      <c r="E3487" s="86">
        <f>MONTH(表格1[[#This Row],[date]])</f>
        <v>3</v>
      </c>
      <c r="F3487" s="90">
        <v>46111</v>
      </c>
      <c r="G3487" s="86" t="str">
        <f>VLOOKUP("*"&amp;表格1[[#This Row],[Input]]&amp;"*",'Ref-List'!$B:$D,2,)</f>
        <v>DW-05T2-HK</v>
      </c>
      <c r="H3487" s="86" t="str">
        <f>_xlfn.XLOOKUP(表格1[[#This Row],[Model]],表格3[Model-Input-Ref2],表格3[Product Line])</f>
        <v>座檯式洗碗碟機</v>
      </c>
      <c r="I3487" s="86" t="str">
        <f>_xlfn.XLOOKUP(表格1[[#This Row],[Model]],表格3[Model-Input-Ref2],表格3[大小電])</f>
        <v>細電</v>
      </c>
      <c r="J3487" s="86" t="str">
        <f>_xlfn.XLOOKUP(表格1[[#This Row],[Model]],表格3[Model-Input-Ref2],表格3[Code])</f>
        <v>DW</v>
      </c>
      <c r="K3487" s="89" t="s">
        <v>1948</v>
      </c>
      <c r="L3487" s="86">
        <v>1</v>
      </c>
      <c r="M3487" s="87">
        <v>3780</v>
      </c>
      <c r="N3487" s="87">
        <f>IFERROR(表格1[[#This Row],[QTY]]*表格1[[#This Row],[Unit Price]],"-")</f>
        <v>3780</v>
      </c>
      <c r="O3487" s="86">
        <v>2300847</v>
      </c>
      <c r="R3487" s="86" t="str">
        <f>_xlfn.CONCAT(表格1[[#This Row],[Model]]," ",表格1[[#This Row],[inv no]])</f>
        <v>DW-05T2-HK 2300847</v>
      </c>
      <c r="S3487" s="86">
        <f>_xlfn.XLOOKUP(表格1[[#This Row],[Model]],表格3[Model-Input-Ref2],表格3[SRP PRICE])</f>
        <v>4580</v>
      </c>
      <c r="T3487" s="43">
        <f>表格1[[#This Row],[Unit Price]]/表格1[[#This Row],[SRP]]</f>
        <v>0.8253275109170306</v>
      </c>
      <c r="U3487" s="86" t="str">
        <f>_xlfn.XLOOKUP(表格1[[#This Row],[Model]],表格3[Model-Input-Ref2],表格3[TOSHIBA/HIGHEST])</f>
        <v>Toshiba SRP</v>
      </c>
      <c r="W3487" s="86" t="str">
        <f>_xlfn.CONCAT(表格1[[#This Row],[欄4]],表格1[[#This Row],[inv no]])</f>
        <v>2300847</v>
      </c>
    </row>
    <row r="3488" spans="1:23" hidden="1">
      <c r="A3488" s="81">
        <v>3486</v>
      </c>
      <c r="B3488" s="86" t="s">
        <v>1477</v>
      </c>
      <c r="C3488" s="86" t="s">
        <v>1961</v>
      </c>
      <c r="D3488" s="82" t="str">
        <f ca="1">OFFSET(Roster!$A$3,MATCH(表格1[[#This Row],[Location]]&amp;" "&amp;表格1[[#This Row],[Shop]]&amp;"*",Roster!$A$4:$A$72,0),DAY(表格1[[#This Row],[date]]),1,1)</f>
        <v>Terence_2</v>
      </c>
      <c r="E3488" s="86">
        <f>MONTH(表格1[[#This Row],[date]])</f>
        <v>3</v>
      </c>
      <c r="F3488" s="90">
        <v>46111</v>
      </c>
      <c r="G3488" s="86" t="str">
        <f>VLOOKUP("*"&amp;表格1[[#This Row],[Input]]&amp;"*",'Ref-List'!$B:$D,2,)</f>
        <v>GR-RB221WE-PMA(57)</v>
      </c>
      <c r="H3488" s="86" t="str">
        <f>_xlfn.XLOOKUP(表格1[[#This Row],[Model]],表格3[Model-Input-Ref2],表格3[Product Line])</f>
        <v>變頻下置式雙門雪櫃（163L）</v>
      </c>
      <c r="I3488" s="86" t="str">
        <f>_xlfn.XLOOKUP(表格1[[#This Row],[Model]],表格3[Model-Input-Ref2],表格3[大小電])</f>
        <v>大電</v>
      </c>
      <c r="J3488" s="86" t="str">
        <f>_xlfn.XLOOKUP(表格1[[#This Row],[Model]],表格3[Model-Input-Ref2],表格3[Code])</f>
        <v>REF</v>
      </c>
      <c r="K3488" s="89" t="s">
        <v>1386</v>
      </c>
      <c r="L3488" s="86">
        <v>1</v>
      </c>
      <c r="M3488" s="87">
        <v>1880</v>
      </c>
      <c r="N3488" s="87">
        <f>IFERROR(表格1[[#This Row],[QTY]]*表格1[[#This Row],[Unit Price]],"-")</f>
        <v>1880</v>
      </c>
      <c r="O3488" s="86">
        <v>2300655</v>
      </c>
      <c r="R3488" s="86" t="str">
        <f>_xlfn.CONCAT(表格1[[#This Row],[Model]]," ",表格1[[#This Row],[inv no]])</f>
        <v>GR-RB221WE-PMA(57) 2300655</v>
      </c>
      <c r="S3488" s="86">
        <f>_xlfn.XLOOKUP(表格1[[#This Row],[Model]],表格3[Model-Input-Ref2],表格3[SRP PRICE])</f>
        <v>3480</v>
      </c>
      <c r="T3488" s="43">
        <f>表格1[[#This Row],[Unit Price]]/表格1[[#This Row],[SRP]]</f>
        <v>0.54022988505747127</v>
      </c>
      <c r="U3488" s="86" t="str">
        <f>_xlfn.XLOOKUP(表格1[[#This Row],[Model]],表格3[Model-Input-Ref2],表格3[TOSHIBA/HIGHEST])</f>
        <v>Toshiba SRP</v>
      </c>
      <c r="W3488" s="86" t="str">
        <f>_xlfn.CONCAT(表格1[[#This Row],[欄4]],表格1[[#This Row],[inv no]])</f>
        <v>2300655</v>
      </c>
    </row>
    <row r="3489" spans="1:23" hidden="1">
      <c r="A3489" s="81">
        <v>3487</v>
      </c>
      <c r="B3489" s="86" t="s">
        <v>1477</v>
      </c>
      <c r="C3489" s="86" t="s">
        <v>1961</v>
      </c>
      <c r="D3489" s="82" t="str">
        <f ca="1">OFFSET(Roster!$A$3,MATCH(表格1[[#This Row],[Location]]&amp;" "&amp;表格1[[#This Row],[Shop]]&amp;"*",Roster!$A$4:$A$72,0),DAY(表格1[[#This Row],[date]]),1,1)</f>
        <v>Terence_2</v>
      </c>
      <c r="E3489" s="86">
        <f>MONTH(表格1[[#This Row],[date]])</f>
        <v>3</v>
      </c>
      <c r="F3489" s="90">
        <v>46111</v>
      </c>
      <c r="G3489" s="86" t="str">
        <f>VLOOKUP("*"&amp;表格1[[#This Row],[Input]]&amp;"*",'Ref-List'!$B:$D,2,)</f>
        <v>GR-RB221WE-PMA(57)</v>
      </c>
      <c r="H3489" s="86" t="str">
        <f>_xlfn.XLOOKUP(表格1[[#This Row],[Model]],表格3[Model-Input-Ref2],表格3[Product Line])</f>
        <v>變頻下置式雙門雪櫃（163L）</v>
      </c>
      <c r="I3489" s="86" t="str">
        <f>_xlfn.XLOOKUP(表格1[[#This Row],[Model]],表格3[Model-Input-Ref2],表格3[大小電])</f>
        <v>大電</v>
      </c>
      <c r="J3489" s="86" t="str">
        <f>_xlfn.XLOOKUP(表格1[[#This Row],[Model]],表格3[Model-Input-Ref2],表格3[Code])</f>
        <v>REF</v>
      </c>
      <c r="K3489" s="89" t="s">
        <v>1386</v>
      </c>
      <c r="L3489" s="86">
        <v>1</v>
      </c>
      <c r="M3489" s="87">
        <v>1880</v>
      </c>
      <c r="N3489" s="87">
        <f>IFERROR(表格1[[#This Row],[QTY]]*表格1[[#This Row],[Unit Price]],"-")</f>
        <v>1880</v>
      </c>
      <c r="O3489" s="86">
        <v>2300763</v>
      </c>
      <c r="R3489" s="86" t="str">
        <f>_xlfn.CONCAT(表格1[[#This Row],[Model]]," ",表格1[[#This Row],[inv no]])</f>
        <v>GR-RB221WE-PMA(57) 2300763</v>
      </c>
      <c r="S3489" s="86">
        <f>_xlfn.XLOOKUP(表格1[[#This Row],[Model]],表格3[Model-Input-Ref2],表格3[SRP PRICE])</f>
        <v>3480</v>
      </c>
      <c r="T3489" s="43">
        <f>表格1[[#This Row],[Unit Price]]/表格1[[#This Row],[SRP]]</f>
        <v>0.54022988505747127</v>
      </c>
      <c r="U3489" s="86" t="str">
        <f>_xlfn.XLOOKUP(表格1[[#This Row],[Model]],表格3[Model-Input-Ref2],表格3[TOSHIBA/HIGHEST])</f>
        <v>Toshiba SRP</v>
      </c>
      <c r="W3489" s="86" t="str">
        <f>_xlfn.CONCAT(表格1[[#This Row],[欄4]],表格1[[#This Row],[inv no]])</f>
        <v>2300763</v>
      </c>
    </row>
    <row r="3490" spans="1:23" hidden="1">
      <c r="A3490" s="81">
        <v>3488</v>
      </c>
      <c r="B3490" s="86" t="s">
        <v>1477</v>
      </c>
      <c r="C3490" s="86" t="s">
        <v>1961</v>
      </c>
      <c r="D3490" s="82" t="str">
        <f ca="1">OFFSET(Roster!$A$3,MATCH(表格1[[#This Row],[Location]]&amp;" "&amp;表格1[[#This Row],[Shop]]&amp;"*",Roster!$A$4:$A$72,0),DAY(表格1[[#This Row],[date]]),1,1)</f>
        <v>Terence_2</v>
      </c>
      <c r="E3490" s="86">
        <f>MONTH(表格1[[#This Row],[date]])</f>
        <v>3</v>
      </c>
      <c r="F3490" s="90">
        <v>46111</v>
      </c>
      <c r="G3490" s="86" t="str">
        <f>VLOOKUP("*"&amp;表格1[[#This Row],[Input]]&amp;"*",'Ref-List'!$B:$D,2,)</f>
        <v>RC-18NMFIH(WT)</v>
      </c>
      <c r="H3490" s="86" t="str">
        <f>_xlfn.XLOOKUP(表格1[[#This Row],[Model]],表格3[Model-Input-Ref2],表格3[Product Line])</f>
        <v>4毫米厚釜電飯煲1.8L</v>
      </c>
      <c r="I3490" s="86" t="str">
        <f>_xlfn.XLOOKUP(表格1[[#This Row],[Model]],表格3[Model-Input-Ref2],表格3[大小電])</f>
        <v>細電</v>
      </c>
      <c r="J3490" s="86" t="str">
        <f>_xlfn.XLOOKUP(表格1[[#This Row],[Model]],表格3[Model-Input-Ref2],表格3[Code])</f>
        <v>SDA</v>
      </c>
      <c r="K3490" s="89" t="s">
        <v>1267</v>
      </c>
      <c r="L3490" s="86">
        <v>1</v>
      </c>
      <c r="M3490" s="87">
        <v>799</v>
      </c>
      <c r="N3490" s="87">
        <f>IFERROR(表格1[[#This Row],[QTY]]*表格1[[#This Row],[Unit Price]],"-")</f>
        <v>799</v>
      </c>
      <c r="O3490" s="86">
        <v>2300801</v>
      </c>
      <c r="R3490" s="86" t="str">
        <f>_xlfn.CONCAT(表格1[[#This Row],[Model]]," ",表格1[[#This Row],[inv no]])</f>
        <v>RC-18NMFIH(WT) 2300801</v>
      </c>
      <c r="S3490" s="86">
        <f>_xlfn.XLOOKUP(表格1[[#This Row],[Model]],表格3[Model-Input-Ref2],表格3[SRP PRICE])</f>
        <v>998</v>
      </c>
      <c r="T3490" s="43">
        <f>表格1[[#This Row],[Unit Price]]/表格1[[#This Row],[SRP]]</f>
        <v>0.80060120240480959</v>
      </c>
      <c r="U3490" s="86" t="str">
        <f>_xlfn.XLOOKUP(表格1[[#This Row],[Model]],表格3[Model-Input-Ref2],表格3[TOSHIBA/HIGHEST])</f>
        <v>Toshiba SRP</v>
      </c>
      <c r="W3490" s="86" t="str">
        <f>_xlfn.CONCAT(表格1[[#This Row],[欄4]],表格1[[#This Row],[inv no]])</f>
        <v>2300801</v>
      </c>
    </row>
    <row r="3491" spans="1:23" hidden="1">
      <c r="A3491" s="81">
        <v>3489</v>
      </c>
      <c r="B3491" s="86" t="s">
        <v>1477</v>
      </c>
      <c r="C3491" s="86" t="s">
        <v>1961</v>
      </c>
      <c r="D3491" s="82" t="str">
        <f ca="1">OFFSET(Roster!$A$3,MATCH(表格1[[#This Row],[Location]]&amp;" "&amp;表格1[[#This Row],[Shop]]&amp;"*",Roster!$A$4:$A$72,0),DAY(表格1[[#This Row],[date]]),1,1)</f>
        <v>Terence_2</v>
      </c>
      <c r="E3491" s="86">
        <f>MONTH(表格1[[#This Row],[date]])</f>
        <v>3</v>
      </c>
      <c r="F3491" s="90">
        <v>46111</v>
      </c>
      <c r="G3491" s="86" t="str">
        <f>VLOOKUP("*"&amp;表格1[[#This Row],[Input]]&amp;"*",'Ref-List'!$B:$D,2,)</f>
        <v>RC-18NMFIH(WT)</v>
      </c>
      <c r="H3491" s="86" t="str">
        <f>_xlfn.XLOOKUP(表格1[[#This Row],[Model]],表格3[Model-Input-Ref2],表格3[Product Line])</f>
        <v>4毫米厚釜電飯煲1.8L</v>
      </c>
      <c r="I3491" s="86" t="str">
        <f>_xlfn.XLOOKUP(表格1[[#This Row],[Model]],表格3[Model-Input-Ref2],表格3[大小電])</f>
        <v>細電</v>
      </c>
      <c r="J3491" s="86" t="str">
        <f>_xlfn.XLOOKUP(表格1[[#This Row],[Model]],表格3[Model-Input-Ref2],表格3[Code])</f>
        <v>SDA</v>
      </c>
      <c r="K3491" s="89" t="s">
        <v>1267</v>
      </c>
      <c r="L3491" s="86">
        <v>1</v>
      </c>
      <c r="M3491" s="87">
        <v>799</v>
      </c>
      <c r="N3491" s="87">
        <f>IFERROR(表格1[[#This Row],[QTY]]*表格1[[#This Row],[Unit Price]],"-")</f>
        <v>799</v>
      </c>
      <c r="O3491" s="86">
        <v>2300751</v>
      </c>
      <c r="R3491" s="86" t="str">
        <f>_xlfn.CONCAT(表格1[[#This Row],[Model]]," ",表格1[[#This Row],[inv no]])</f>
        <v>RC-18NMFIH(WT) 2300751</v>
      </c>
      <c r="S3491" s="86">
        <f>_xlfn.XLOOKUP(表格1[[#This Row],[Model]],表格3[Model-Input-Ref2],表格3[SRP PRICE])</f>
        <v>998</v>
      </c>
      <c r="T3491" s="43">
        <f>表格1[[#This Row],[Unit Price]]/表格1[[#This Row],[SRP]]</f>
        <v>0.80060120240480959</v>
      </c>
      <c r="U3491" s="86" t="str">
        <f>_xlfn.XLOOKUP(表格1[[#This Row],[Model]],表格3[Model-Input-Ref2],表格3[TOSHIBA/HIGHEST])</f>
        <v>Toshiba SRP</v>
      </c>
      <c r="W3491" s="86" t="str">
        <f>_xlfn.CONCAT(表格1[[#This Row],[欄4]],表格1[[#This Row],[inv no]])</f>
        <v>2300751</v>
      </c>
    </row>
    <row r="3492" spans="1:23" hidden="1">
      <c r="A3492" s="81">
        <v>3490</v>
      </c>
      <c r="B3492" s="86" t="s">
        <v>1477</v>
      </c>
      <c r="C3492" s="86" t="s">
        <v>1961</v>
      </c>
      <c r="D3492" s="82" t="str">
        <f ca="1">OFFSET(Roster!$A$3,MATCH(表格1[[#This Row],[Location]]&amp;" "&amp;表格1[[#This Row],[Shop]]&amp;"*",Roster!$A$4:$A$72,0),DAY(表格1[[#This Row],[date]]),1,1)</f>
        <v>Terence_2</v>
      </c>
      <c r="E3492" s="86">
        <f>MONTH(表格1[[#This Row],[date]])</f>
        <v>3</v>
      </c>
      <c r="F3492" s="90">
        <v>46111</v>
      </c>
      <c r="G3492" s="86" t="str">
        <f>VLOOKUP("*"&amp;表格1[[#This Row],[Input]]&amp;"*",'Ref-List'!$B:$D,2,)</f>
        <v>RC-7HMH</v>
      </c>
      <c r="H3492" s="86" t="str">
        <f>_xlfn.XLOOKUP(表格1[[#This Row],[Model]],表格3[Model-Input-Ref2],表格3[Product Line])</f>
        <v>備長炭本厚釜電飯煲0.7L</v>
      </c>
      <c r="I3492" s="86" t="str">
        <f>_xlfn.XLOOKUP(表格1[[#This Row],[Model]],表格3[Model-Input-Ref2],表格3[大小電])</f>
        <v>細電</v>
      </c>
      <c r="J3492" s="86" t="str">
        <f>_xlfn.XLOOKUP(表格1[[#This Row],[Model]],表格3[Model-Input-Ref2],表格3[Code])</f>
        <v>SDA</v>
      </c>
      <c r="K3492" s="89" t="s">
        <v>1284</v>
      </c>
      <c r="L3492" s="86">
        <v>1</v>
      </c>
      <c r="M3492" s="87">
        <v>838</v>
      </c>
      <c r="N3492" s="87">
        <f>IFERROR(表格1[[#This Row],[QTY]]*表格1[[#This Row],[Unit Price]],"-")</f>
        <v>838</v>
      </c>
      <c r="O3492" s="86">
        <v>2300796</v>
      </c>
      <c r="R3492" s="86" t="str">
        <f>_xlfn.CONCAT(表格1[[#This Row],[Model]]," ",表格1[[#This Row],[inv no]])</f>
        <v>RC-7HMH 2300796</v>
      </c>
      <c r="S3492" s="86">
        <f>_xlfn.XLOOKUP(表格1[[#This Row],[Model]],表格3[Model-Input-Ref2],表格3[SRP PRICE])</f>
        <v>1288</v>
      </c>
      <c r="T3492" s="43">
        <f>表格1[[#This Row],[Unit Price]]/表格1[[#This Row],[SRP]]</f>
        <v>0.65062111801242239</v>
      </c>
      <c r="U3492" s="86" t="str">
        <f>_xlfn.XLOOKUP(表格1[[#This Row],[Model]],表格3[Model-Input-Ref2],表格3[TOSHIBA/HIGHEST])</f>
        <v>Toshiba SRP</v>
      </c>
      <c r="W3492" s="86" t="str">
        <f>_xlfn.CONCAT(表格1[[#This Row],[欄4]],表格1[[#This Row],[inv no]])</f>
        <v>2300796</v>
      </c>
    </row>
    <row r="3493" spans="1:23" hidden="1">
      <c r="A3493" s="81">
        <v>3491</v>
      </c>
      <c r="B3493" s="86" t="s">
        <v>1477</v>
      </c>
      <c r="C3493" s="86" t="s">
        <v>1961</v>
      </c>
      <c r="D3493" s="82" t="str">
        <f ca="1">OFFSET(Roster!$A$3,MATCH(表格1[[#This Row],[Location]]&amp;" "&amp;表格1[[#This Row],[Shop]]&amp;"*",Roster!$A$4:$A$72,0),DAY(表格1[[#This Row],[date]]),1,1)</f>
        <v>Terence_2</v>
      </c>
      <c r="E3493" s="86">
        <f>MONTH(表格1[[#This Row],[date]])</f>
        <v>3</v>
      </c>
      <c r="F3493" s="90">
        <v>46111</v>
      </c>
      <c r="G3493" s="86" t="str">
        <f>VLOOKUP("*"&amp;表格1[[#This Row],[Input]]&amp;"*",'Ref-List'!$B:$D,2,)</f>
        <v>TP-50DRUHK(W)</v>
      </c>
      <c r="H3493" s="86" t="str">
        <f>_xlfn.XLOOKUP(表格1[[#This Row],[Model]],表格3[Model-Input-Ref2],表格3[Product Line])</f>
        <v>電熱水瓶 (5公升)</v>
      </c>
      <c r="I3493" s="86" t="str">
        <f>_xlfn.XLOOKUP(表格1[[#This Row],[Model]],表格3[Model-Input-Ref2],表格3[大小電])</f>
        <v>細電</v>
      </c>
      <c r="J3493" s="86" t="str">
        <f>_xlfn.XLOOKUP(表格1[[#This Row],[Model]],表格3[Model-Input-Ref2],表格3[Code])</f>
        <v>SDA</v>
      </c>
      <c r="K3493" s="89" t="s">
        <v>1277</v>
      </c>
      <c r="L3493" s="86">
        <v>1</v>
      </c>
      <c r="M3493" s="87">
        <v>598</v>
      </c>
      <c r="N3493" s="87">
        <f>IFERROR(表格1[[#This Row],[QTY]]*表格1[[#This Row],[Unit Price]],"-")</f>
        <v>598</v>
      </c>
      <c r="O3493" s="86">
        <v>2300357</v>
      </c>
      <c r="R3493" s="86" t="str">
        <f>_xlfn.CONCAT(表格1[[#This Row],[Model]]," ",表格1[[#This Row],[inv no]])</f>
        <v>TP-50DRUHK(W) 2300357</v>
      </c>
      <c r="S3493" s="86">
        <f>_xlfn.XLOOKUP(表格1[[#This Row],[Model]],表格3[Model-Input-Ref2],表格3[SRP PRICE])</f>
        <v>718</v>
      </c>
      <c r="T3493" s="43">
        <f>表格1[[#This Row],[Unit Price]]/表格1[[#This Row],[SRP]]</f>
        <v>0.83286908077994426</v>
      </c>
      <c r="U3493" s="86" t="str">
        <f>_xlfn.XLOOKUP(表格1[[#This Row],[Model]],表格3[Model-Input-Ref2],表格3[TOSHIBA/HIGHEST])</f>
        <v>Toshiba SRP</v>
      </c>
      <c r="W3493" s="86" t="str">
        <f>_xlfn.CONCAT(表格1[[#This Row],[欄4]],表格1[[#This Row],[inv no]])</f>
        <v>2300357</v>
      </c>
    </row>
    <row r="3494" spans="1:23" hidden="1">
      <c r="A3494" s="81">
        <v>3492</v>
      </c>
      <c r="B3494" s="86" t="s">
        <v>1477</v>
      </c>
      <c r="C3494" s="86" t="s">
        <v>1961</v>
      </c>
      <c r="D3494" s="82" t="str">
        <f ca="1">OFFSET(Roster!$A$3,MATCH(表格1[[#This Row],[Location]]&amp;" "&amp;表格1[[#This Row],[Shop]]&amp;"*",Roster!$A$4:$A$72,0),DAY(表格1[[#This Row],[date]]),1,1)</f>
        <v>Terence_2</v>
      </c>
      <c r="E3494" s="86">
        <f>MONTH(表格1[[#This Row],[date]])</f>
        <v>3</v>
      </c>
      <c r="F3494" s="90">
        <v>46111</v>
      </c>
      <c r="G3494" s="86" t="str">
        <f>VLOOKUP("*"&amp;表格1[[#This Row],[Input]]&amp;"*",'Ref-List'!$B:$D,2,)</f>
        <v>ET-TD7080(PN)</v>
      </c>
      <c r="H3494" s="86" t="str">
        <f>_xlfn.XLOOKUP(表格1[[#This Row],[Model]],表格3[Model-Input-Ref2],表格3[Product Line])</f>
        <v>多士焗爐8L</v>
      </c>
      <c r="I3494" s="86" t="str">
        <f>_xlfn.XLOOKUP(表格1[[#This Row],[Model]],表格3[Model-Input-Ref2],表格3[大小電])</f>
        <v>細電</v>
      </c>
      <c r="J3494" s="86" t="str">
        <f>_xlfn.XLOOKUP(表格1[[#This Row],[Model]],表格3[Model-Input-Ref2],表格3[Code])</f>
        <v>SDA</v>
      </c>
      <c r="K3494" s="89">
        <v>7080</v>
      </c>
      <c r="L3494" s="86">
        <v>1</v>
      </c>
      <c r="M3494" s="87">
        <v>358</v>
      </c>
      <c r="N3494" s="87">
        <f>IFERROR(表格1[[#This Row],[QTY]]*表格1[[#This Row],[Unit Price]],"-")</f>
        <v>358</v>
      </c>
      <c r="O3494" s="86">
        <v>2300647</v>
      </c>
      <c r="R3494" s="86" t="str">
        <f>_xlfn.CONCAT(表格1[[#This Row],[Model]]," ",表格1[[#This Row],[inv no]])</f>
        <v>ET-TD7080(PN) 2300647</v>
      </c>
      <c r="S3494" s="86">
        <f>_xlfn.XLOOKUP(表格1[[#This Row],[Model]],表格3[Model-Input-Ref2],表格3[SRP PRICE])</f>
        <v>498</v>
      </c>
      <c r="T3494" s="43">
        <f>表格1[[#This Row],[Unit Price]]/表格1[[#This Row],[SRP]]</f>
        <v>0.71887550200803207</v>
      </c>
      <c r="U3494" s="86" t="str">
        <f>_xlfn.XLOOKUP(表格1[[#This Row],[Model]],表格3[Model-Input-Ref2],表格3[TOSHIBA/HIGHEST])</f>
        <v>Toshiba SRP</v>
      </c>
      <c r="W3494" s="86" t="str">
        <f>_xlfn.CONCAT(表格1[[#This Row],[欄4]],表格1[[#This Row],[inv no]])</f>
        <v>2300647</v>
      </c>
    </row>
    <row r="3495" spans="1:23" hidden="1">
      <c r="A3495" s="81">
        <v>3493</v>
      </c>
      <c r="B3495" s="86" t="s">
        <v>1477</v>
      </c>
      <c r="C3495" s="86" t="s">
        <v>1961</v>
      </c>
      <c r="D3495" s="82" t="str">
        <f ca="1">OFFSET(Roster!$A$3,MATCH(表格1[[#This Row],[Location]]&amp;" "&amp;表格1[[#This Row],[Shop]]&amp;"*",Roster!$A$4:$A$72,0),DAY(表格1[[#This Row],[date]]),1,1)</f>
        <v>Terence_2</v>
      </c>
      <c r="E3495" s="86">
        <f>MONTH(表格1[[#This Row],[date]])</f>
        <v>3</v>
      </c>
      <c r="F3495" s="90">
        <v>46111</v>
      </c>
      <c r="G3495" s="86" t="str">
        <f>VLOOKUP("*"&amp;表格1[[#This Row],[Input]]&amp;"*",'Ref-List'!$B:$D,2,)</f>
        <v>RAC-07G3CVRG-HK</v>
      </c>
      <c r="H3495" s="86" t="str">
        <f>_xlfn.XLOOKUP(表格1[[#This Row],[Model]],表格3[Model-Input-Ref2],表格3[Product Line])</f>
        <v>3/4 匹 窗口式冷氣機(remote/fortress)</v>
      </c>
      <c r="I3495" s="86" t="str">
        <f>_xlfn.XLOOKUP(表格1[[#This Row],[Model]],表格3[Model-Input-Ref2],表格3[大小電])</f>
        <v>大電</v>
      </c>
      <c r="J3495" s="86" t="str">
        <f>_xlfn.XLOOKUP(表格1[[#This Row],[Model]],表格3[Model-Input-Ref2],表格3[Code])</f>
        <v>AC</v>
      </c>
      <c r="K3495" s="89" t="s">
        <v>664</v>
      </c>
      <c r="L3495" s="86">
        <v>1</v>
      </c>
      <c r="M3495" s="87">
        <v>3880</v>
      </c>
      <c r="N3495" s="87">
        <f>IFERROR(表格1[[#This Row],[QTY]]*表格1[[#This Row],[Unit Price]],"-")</f>
        <v>3880</v>
      </c>
      <c r="O3495" s="86">
        <v>2300765</v>
      </c>
      <c r="R3495" s="86" t="str">
        <f>_xlfn.CONCAT(表格1[[#This Row],[Model]]," ",表格1[[#This Row],[inv no]])</f>
        <v>RAC-07G3CVRG-HK 2300765</v>
      </c>
      <c r="S3495" s="86">
        <f>_xlfn.XLOOKUP(表格1[[#This Row],[Model]],表格3[Model-Input-Ref2],表格3[SRP PRICE])</f>
        <v>5580</v>
      </c>
      <c r="T3495" s="43">
        <f>表格1[[#This Row],[Unit Price]]/表格1[[#This Row],[SRP]]</f>
        <v>0.69534050179211471</v>
      </c>
      <c r="U3495" s="86" t="str">
        <f>_xlfn.XLOOKUP(表格1[[#This Row],[Model]],表格3[Model-Input-Ref2],表格3[TOSHIBA/HIGHEST])</f>
        <v>Toshiba SRP</v>
      </c>
      <c r="W3495" s="86" t="str">
        <f>_xlfn.CONCAT(表格1[[#This Row],[欄4]],表格1[[#This Row],[inv no]])</f>
        <v>2300765</v>
      </c>
    </row>
    <row r="3496" spans="1:23" hidden="1">
      <c r="A3496" s="81">
        <v>3494</v>
      </c>
      <c r="B3496" s="86" t="s">
        <v>1477</v>
      </c>
      <c r="C3496" s="86" t="s">
        <v>1961</v>
      </c>
      <c r="D3496" s="82" t="str">
        <f ca="1">OFFSET(Roster!$A$3,MATCH(表格1[[#This Row],[Location]]&amp;" "&amp;表格1[[#This Row],[Shop]]&amp;"*",Roster!$A$4:$A$72,0),DAY(表格1[[#This Row],[date]]),1,1)</f>
        <v>Terence_2</v>
      </c>
      <c r="E3496" s="86">
        <f>MONTH(表格1[[#This Row],[date]])</f>
        <v>3</v>
      </c>
      <c r="F3496" s="90">
        <v>46111</v>
      </c>
      <c r="G3496" s="86" t="str">
        <f>VLOOKUP("*"&amp;表格1[[#This Row],[Input]]&amp;"*",'Ref-List'!$B:$D,2,)</f>
        <v>RC-10AMXH(W)</v>
      </c>
      <c r="H3496" s="86" t="str">
        <f>_xlfn.XLOOKUP(表格1[[#This Row],[Model]],表格3[Model-Input-Ref2],表格3[Product Line])</f>
        <v>酵活炊電飯煲(1.0公升)</v>
      </c>
      <c r="I3496" s="86" t="str">
        <f>_xlfn.XLOOKUP(表格1[[#This Row],[Model]],表格3[Model-Input-Ref2],表格3[大小電])</f>
        <v>細電</v>
      </c>
      <c r="J3496" s="86" t="str">
        <f>_xlfn.XLOOKUP(表格1[[#This Row],[Model]],表格3[Model-Input-Ref2],表格3[Code])</f>
        <v>SDA</v>
      </c>
      <c r="K3496" s="89" t="s">
        <v>1279</v>
      </c>
      <c r="L3496" s="86">
        <v>1</v>
      </c>
      <c r="M3496" s="87">
        <v>990</v>
      </c>
      <c r="N3496" s="87">
        <f>IFERROR(表格1[[#This Row],[QTY]]*表格1[[#This Row],[Unit Price]],"-")</f>
        <v>990</v>
      </c>
      <c r="O3496" s="86">
        <v>2300772</v>
      </c>
      <c r="R3496" s="86" t="str">
        <f>_xlfn.CONCAT(表格1[[#This Row],[Model]]," ",表格1[[#This Row],[inv no]])</f>
        <v>RC-10AMXH(W) 2300772</v>
      </c>
      <c r="S3496" s="86">
        <f>_xlfn.XLOOKUP(表格1[[#This Row],[Model]],表格3[Model-Input-Ref2],表格3[SRP PRICE])</f>
        <v>1288</v>
      </c>
      <c r="T3496" s="43">
        <f>表格1[[#This Row],[Unit Price]]/表格1[[#This Row],[SRP]]</f>
        <v>0.76863354037267084</v>
      </c>
      <c r="U3496" s="86" t="str">
        <f>_xlfn.XLOOKUP(表格1[[#This Row],[Model]],表格3[Model-Input-Ref2],表格3[TOSHIBA/HIGHEST])</f>
        <v>Toshiba SRP</v>
      </c>
      <c r="W3496" s="86" t="str">
        <f>_xlfn.CONCAT(表格1[[#This Row],[欄4]],表格1[[#This Row],[inv no]])</f>
        <v>2300772</v>
      </c>
    </row>
    <row r="3497" spans="1:23" hidden="1">
      <c r="A3497" s="81">
        <v>3495</v>
      </c>
      <c r="B3497" s="86" t="s">
        <v>1477</v>
      </c>
      <c r="C3497" s="86" t="s">
        <v>1961</v>
      </c>
      <c r="D3497" s="82" t="str">
        <f ca="1">OFFSET(Roster!$A$3,MATCH(表格1[[#This Row],[Location]]&amp;" "&amp;表格1[[#This Row],[Shop]]&amp;"*",Roster!$A$4:$A$72,0),DAY(表格1[[#This Row],[date]]),1,1)</f>
        <v>Terence_2</v>
      </c>
      <c r="E3497" s="86">
        <f>MONTH(表格1[[#This Row],[date]])</f>
        <v>3</v>
      </c>
      <c r="F3497" s="90">
        <v>46111</v>
      </c>
      <c r="G3497" s="86" t="str">
        <f>VLOOKUP("*"&amp;表格1[[#This Row],[Input]]&amp;"*",'Ref-List'!$B:$D,2,)</f>
        <v>RC-10AMXH(W)</v>
      </c>
      <c r="H3497" s="86" t="str">
        <f>_xlfn.XLOOKUP(表格1[[#This Row],[Model]],表格3[Model-Input-Ref2],表格3[Product Line])</f>
        <v>酵活炊電飯煲(1.0公升)</v>
      </c>
      <c r="I3497" s="86" t="str">
        <f>_xlfn.XLOOKUP(表格1[[#This Row],[Model]],表格3[Model-Input-Ref2],表格3[大小電])</f>
        <v>細電</v>
      </c>
      <c r="J3497" s="86" t="str">
        <f>_xlfn.XLOOKUP(表格1[[#This Row],[Model]],表格3[Model-Input-Ref2],表格3[Code])</f>
        <v>SDA</v>
      </c>
      <c r="K3497" s="89" t="s">
        <v>1279</v>
      </c>
      <c r="L3497" s="86">
        <v>1</v>
      </c>
      <c r="M3497" s="87">
        <v>990</v>
      </c>
      <c r="N3497" s="87">
        <f>IFERROR(表格1[[#This Row],[QTY]]*表格1[[#This Row],[Unit Price]],"-")</f>
        <v>990</v>
      </c>
      <c r="O3497" s="86">
        <v>2300812</v>
      </c>
      <c r="R3497" s="86" t="str">
        <f>_xlfn.CONCAT(表格1[[#This Row],[Model]]," ",表格1[[#This Row],[inv no]])</f>
        <v>RC-10AMXH(W) 2300812</v>
      </c>
      <c r="S3497" s="86">
        <f>_xlfn.XLOOKUP(表格1[[#This Row],[Model]],表格3[Model-Input-Ref2],表格3[SRP PRICE])</f>
        <v>1288</v>
      </c>
      <c r="T3497" s="43">
        <f>表格1[[#This Row],[Unit Price]]/表格1[[#This Row],[SRP]]</f>
        <v>0.76863354037267084</v>
      </c>
      <c r="U3497" s="86" t="str">
        <f>_xlfn.XLOOKUP(表格1[[#This Row],[Model]],表格3[Model-Input-Ref2],表格3[TOSHIBA/HIGHEST])</f>
        <v>Toshiba SRP</v>
      </c>
      <c r="W3497" s="86" t="str">
        <f>_xlfn.CONCAT(表格1[[#This Row],[欄4]],表格1[[#This Row],[inv no]])</f>
        <v>2300812</v>
      </c>
    </row>
    <row r="3498" spans="1:23" hidden="1">
      <c r="A3498" s="81">
        <v>3496</v>
      </c>
      <c r="B3498" s="86" t="s">
        <v>1477</v>
      </c>
      <c r="C3498" s="86" t="s">
        <v>1961</v>
      </c>
      <c r="D3498" s="82" t="str">
        <f ca="1">OFFSET(Roster!$A$3,MATCH(表格1[[#This Row],[Location]]&amp;" "&amp;表格1[[#This Row],[Shop]]&amp;"*",Roster!$A$4:$A$72,0),DAY(表格1[[#This Row],[date]]),1,1)</f>
        <v>Terence_2</v>
      </c>
      <c r="E3498" s="86">
        <f>MONTH(表格1[[#This Row],[date]])</f>
        <v>3</v>
      </c>
      <c r="F3498" s="90">
        <v>46111</v>
      </c>
      <c r="G3498" s="86" t="str">
        <f>VLOOKUP("*"&amp;表格1[[#This Row],[Input]]&amp;"*",'Ref-List'!$B:$D,2,)</f>
        <v>RC-7HMH</v>
      </c>
      <c r="H3498" s="86" t="str">
        <f>_xlfn.XLOOKUP(表格1[[#This Row],[Model]],表格3[Model-Input-Ref2],表格3[Product Line])</f>
        <v>備長炭本厚釜電飯煲0.7L</v>
      </c>
      <c r="I3498" s="86" t="str">
        <f>_xlfn.XLOOKUP(表格1[[#This Row],[Model]],表格3[Model-Input-Ref2],表格3[大小電])</f>
        <v>細電</v>
      </c>
      <c r="J3498" s="86" t="str">
        <f>_xlfn.XLOOKUP(表格1[[#This Row],[Model]],表格3[Model-Input-Ref2],表格3[Code])</f>
        <v>SDA</v>
      </c>
      <c r="K3498" s="89" t="s">
        <v>1284</v>
      </c>
      <c r="L3498" s="86">
        <v>1</v>
      </c>
      <c r="M3498" s="87">
        <v>838</v>
      </c>
      <c r="N3498" s="87">
        <f>IFERROR(表格1[[#This Row],[QTY]]*表格1[[#This Row],[Unit Price]],"-")</f>
        <v>838</v>
      </c>
      <c r="O3498" s="86">
        <v>2300677</v>
      </c>
      <c r="R3498" s="86" t="str">
        <f>_xlfn.CONCAT(表格1[[#This Row],[Model]]," ",表格1[[#This Row],[inv no]])</f>
        <v>RC-7HMH 2300677</v>
      </c>
      <c r="S3498" s="86">
        <f>_xlfn.XLOOKUP(表格1[[#This Row],[Model]],表格3[Model-Input-Ref2],表格3[SRP PRICE])</f>
        <v>1288</v>
      </c>
      <c r="T3498" s="43">
        <f>表格1[[#This Row],[Unit Price]]/表格1[[#This Row],[SRP]]</f>
        <v>0.65062111801242239</v>
      </c>
      <c r="U3498" s="86" t="str">
        <f>_xlfn.XLOOKUP(表格1[[#This Row],[Model]],表格3[Model-Input-Ref2],表格3[TOSHIBA/HIGHEST])</f>
        <v>Toshiba SRP</v>
      </c>
      <c r="W3498" s="86" t="str">
        <f>_xlfn.CONCAT(表格1[[#This Row],[欄4]],表格1[[#This Row],[inv no]])</f>
        <v>2300677</v>
      </c>
    </row>
    <row r="3499" spans="1:23" hidden="1">
      <c r="A3499" s="81">
        <v>3497</v>
      </c>
      <c r="B3499" s="86" t="s">
        <v>1477</v>
      </c>
      <c r="C3499" s="86" t="s">
        <v>1961</v>
      </c>
      <c r="D3499" s="82" t="str">
        <f ca="1">OFFSET(Roster!$A$3,MATCH(表格1[[#This Row],[Location]]&amp;" "&amp;表格1[[#This Row],[Shop]]&amp;"*",Roster!$A$4:$A$72,0),DAY(表格1[[#This Row],[date]]),1,1)</f>
        <v>Terence_2</v>
      </c>
      <c r="E3499" s="86">
        <f>MONTH(表格1[[#This Row],[date]])</f>
        <v>3</v>
      </c>
      <c r="F3499" s="90">
        <v>46111</v>
      </c>
      <c r="G3499" s="86" t="str">
        <f>VLOOKUP("*"&amp;表格1[[#This Row],[Input]]&amp;"*",'Ref-List'!$B:$D,2,)</f>
        <v>RC-18AMXH(W)</v>
      </c>
      <c r="H3499" s="86" t="str">
        <f>_xlfn.XLOOKUP(表格1[[#This Row],[Model]],表格3[Model-Input-Ref2],表格3[Product Line])</f>
        <v>酵活炊電飯煲(1.8公升)</v>
      </c>
      <c r="I3499" s="86" t="str">
        <f>_xlfn.XLOOKUP(表格1[[#This Row],[Model]],表格3[Model-Input-Ref2],表格3[大小電])</f>
        <v>細電</v>
      </c>
      <c r="J3499" s="86" t="str">
        <f>_xlfn.XLOOKUP(表格1[[#This Row],[Model]],表格3[Model-Input-Ref2],表格3[Code])</f>
        <v>SDA</v>
      </c>
      <c r="K3499" s="89" t="s">
        <v>1362</v>
      </c>
      <c r="L3499" s="86">
        <v>1</v>
      </c>
      <c r="M3499" s="87">
        <v>990</v>
      </c>
      <c r="N3499" s="87">
        <f>IFERROR(表格1[[#This Row],[QTY]]*表格1[[#This Row],[Unit Price]],"-")</f>
        <v>990</v>
      </c>
      <c r="O3499" s="86">
        <v>2300744</v>
      </c>
      <c r="R3499" s="86" t="str">
        <f>_xlfn.CONCAT(表格1[[#This Row],[Model]]," ",表格1[[#This Row],[inv no]])</f>
        <v>RC-18AMXH(W) 2300744</v>
      </c>
      <c r="S3499" s="86">
        <f>_xlfn.XLOOKUP(表格1[[#This Row],[Model]],表格3[Model-Input-Ref2],表格3[SRP PRICE])</f>
        <v>1588</v>
      </c>
      <c r="T3499" s="43">
        <f>表格1[[#This Row],[Unit Price]]/表格1[[#This Row],[SRP]]</f>
        <v>0.62342569269521408</v>
      </c>
      <c r="U3499" s="86" t="str">
        <f>_xlfn.XLOOKUP(表格1[[#This Row],[Model]],表格3[Model-Input-Ref2],表格3[TOSHIBA/HIGHEST])</f>
        <v>Toshiba SRP</v>
      </c>
      <c r="W3499" s="86" t="str">
        <f>_xlfn.CONCAT(表格1[[#This Row],[欄4]],表格1[[#This Row],[inv no]])</f>
        <v>2300744</v>
      </c>
    </row>
    <row r="3500" spans="1:23" hidden="1">
      <c r="A3500" s="81">
        <v>3498</v>
      </c>
      <c r="B3500" s="86" t="s">
        <v>1477</v>
      </c>
      <c r="C3500" s="86" t="s">
        <v>1961</v>
      </c>
      <c r="D3500" s="82" t="str">
        <f ca="1">OFFSET(Roster!$A$3,MATCH(表格1[[#This Row],[Location]]&amp;" "&amp;表格1[[#This Row],[Shop]]&amp;"*",Roster!$A$4:$A$72,0),DAY(表格1[[#This Row],[date]]),1,1)</f>
        <v>Terence_2</v>
      </c>
      <c r="E3500" s="86">
        <f>MONTH(表格1[[#This Row],[date]])</f>
        <v>3</v>
      </c>
      <c r="F3500" s="90">
        <v>46111</v>
      </c>
      <c r="G3500" s="86" t="str">
        <f>VLOOKUP("*"&amp;表格1[[#This Row],[Input]]&amp;"*",'Ref-List'!$B:$D,2,)</f>
        <v>MX1-TH23SC(WH)</v>
      </c>
      <c r="H3500" s="86" t="str">
        <f>_xlfn.XLOOKUP(表格1[[#This Row],[Model]],表格3[Model-Input-Ref2],表格3[Product Line])</f>
        <v>微波蒸焗爐23L</v>
      </c>
      <c r="I3500" s="86" t="str">
        <f>_xlfn.XLOOKUP(表格1[[#This Row],[Model]],表格3[Model-Input-Ref2],表格3[大小電])</f>
        <v>細電</v>
      </c>
      <c r="J3500" s="86" t="str">
        <f>_xlfn.XLOOKUP(表格1[[#This Row],[Model]],表格3[Model-Input-Ref2],表格3[Code])</f>
        <v>SDA</v>
      </c>
      <c r="K3500" s="89" t="s">
        <v>1496</v>
      </c>
      <c r="L3500" s="86">
        <v>1</v>
      </c>
      <c r="M3500" s="87">
        <v>1999</v>
      </c>
      <c r="N3500" s="87">
        <f>IFERROR(表格1[[#This Row],[QTY]]*表格1[[#This Row],[Unit Price]],"-")</f>
        <v>1999</v>
      </c>
      <c r="O3500" s="86">
        <v>2300692</v>
      </c>
      <c r="R3500" s="86" t="str">
        <f>_xlfn.CONCAT(表格1[[#This Row],[Model]]," ",表格1[[#This Row],[inv no]])</f>
        <v>MX1-TH23SC(WH) 2300692</v>
      </c>
      <c r="S3500" s="86">
        <f>_xlfn.XLOOKUP(表格1[[#This Row],[Model]],表格3[Model-Input-Ref2],表格3[SRP PRICE])</f>
        <v>3380</v>
      </c>
      <c r="T3500" s="43">
        <f>表格1[[#This Row],[Unit Price]]/表格1[[#This Row],[SRP]]</f>
        <v>0.5914201183431953</v>
      </c>
      <c r="U3500" s="86" t="str">
        <f>_xlfn.XLOOKUP(表格1[[#This Row],[Model]],表格3[Model-Input-Ref2],表格3[TOSHIBA/HIGHEST])</f>
        <v>Toshiba SRP</v>
      </c>
      <c r="W3500" s="86" t="str">
        <f>_xlfn.CONCAT(表格1[[#This Row],[欄4]],表格1[[#This Row],[inv no]])</f>
        <v>2300692</v>
      </c>
    </row>
    <row r="3501" spans="1:23" hidden="1">
      <c r="A3501" s="81">
        <v>3499</v>
      </c>
      <c r="B3501" s="86" t="s">
        <v>1477</v>
      </c>
      <c r="C3501" s="86" t="s">
        <v>1961</v>
      </c>
      <c r="D3501" s="82" t="str">
        <f ca="1">OFFSET(Roster!$A$3,MATCH(表格1[[#This Row],[Location]]&amp;" "&amp;表格1[[#This Row],[Shop]]&amp;"*",Roster!$A$4:$A$72,0),DAY(表格1[[#This Row],[date]]),1,1)</f>
        <v>Terence_2</v>
      </c>
      <c r="E3501" s="86">
        <f>MONTH(表格1[[#This Row],[date]])</f>
        <v>3</v>
      </c>
      <c r="F3501" s="90">
        <v>46111</v>
      </c>
      <c r="G3501" s="86" t="str">
        <f>VLOOKUP("*"&amp;表格1[[#This Row],[Input]]&amp;"*",'Ref-List'!$B:$D,2,)</f>
        <v>GR-RT234WE-PMA(57)</v>
      </c>
      <c r="H3501" s="86" t="str">
        <f>_xlfn.XLOOKUP(表格1[[#This Row],[Model]],表格3[Model-Input-Ref2],表格3[Product Line])</f>
        <v>變頻式環保雙門雪櫃（179L）</v>
      </c>
      <c r="I3501" s="86" t="str">
        <f>_xlfn.XLOOKUP(表格1[[#This Row],[Model]],表格3[Model-Input-Ref2],表格3[大小電])</f>
        <v>大電</v>
      </c>
      <c r="J3501" s="86" t="str">
        <f>_xlfn.XLOOKUP(表格1[[#This Row],[Model]],表格3[Model-Input-Ref2],表格3[Code])</f>
        <v>REF</v>
      </c>
      <c r="K3501" s="89" t="s">
        <v>1423</v>
      </c>
      <c r="L3501" s="86">
        <v>1</v>
      </c>
      <c r="M3501" s="87">
        <v>1980</v>
      </c>
      <c r="N3501" s="87">
        <f>IFERROR(表格1[[#This Row],[QTY]]*表格1[[#This Row],[Unit Price]],"-")</f>
        <v>1980</v>
      </c>
      <c r="O3501" s="86">
        <v>2300770</v>
      </c>
      <c r="R3501" s="86" t="str">
        <f>_xlfn.CONCAT(表格1[[#This Row],[Model]]," ",表格1[[#This Row],[inv no]])</f>
        <v>GR-RT234WE-PMA(57) 2300770</v>
      </c>
      <c r="S3501" s="86">
        <f>_xlfn.XLOOKUP(表格1[[#This Row],[Model]],表格3[Model-Input-Ref2],表格3[SRP PRICE])</f>
        <v>3680</v>
      </c>
      <c r="T3501" s="43">
        <f>表格1[[#This Row],[Unit Price]]/表格1[[#This Row],[SRP]]</f>
        <v>0.53804347826086951</v>
      </c>
      <c r="U3501" s="86" t="str">
        <f>_xlfn.XLOOKUP(表格1[[#This Row],[Model]],表格3[Model-Input-Ref2],表格3[TOSHIBA/HIGHEST])</f>
        <v>Toshiba SRP</v>
      </c>
      <c r="W3501" s="86" t="str">
        <f>_xlfn.CONCAT(表格1[[#This Row],[欄4]],表格1[[#This Row],[inv no]])</f>
        <v>2300770</v>
      </c>
    </row>
    <row r="3502" spans="1:23" hidden="1">
      <c r="A3502" s="81">
        <v>3500</v>
      </c>
      <c r="B3502" s="86" t="s">
        <v>1477</v>
      </c>
      <c r="C3502" s="86" t="s">
        <v>1961</v>
      </c>
      <c r="D3502" s="82" t="str">
        <f ca="1">OFFSET(Roster!$A$3,MATCH(表格1[[#This Row],[Location]]&amp;" "&amp;表格1[[#This Row],[Shop]]&amp;"*",Roster!$A$4:$A$72,0),DAY(表格1[[#This Row],[date]]),1,1)</f>
        <v>Terence_2</v>
      </c>
      <c r="E3502" s="86">
        <f>MONTH(表格1[[#This Row],[date]])</f>
        <v>3</v>
      </c>
      <c r="F3502" s="90">
        <v>46111</v>
      </c>
      <c r="G3502" s="86" t="str">
        <f>VLOOKUP("*"&amp;表格1[[#This Row],[Input]]&amp;"*",'Ref-List'!$B:$D,2,)</f>
        <v>F-ALB60HK(B)</v>
      </c>
      <c r="H3502" s="86" t="str">
        <f>_xlfn.XLOOKUP(表格1[[#This Row],[Model]],表格3[Model-Input-Ref2],表格3[Product Line])</f>
        <v>12吋座地座檯電風扇</v>
      </c>
      <c r="I3502" s="86" t="str">
        <f>_xlfn.XLOOKUP(表格1[[#This Row],[Model]],表格3[Model-Input-Ref2],表格3[大小電])</f>
        <v>細電</v>
      </c>
      <c r="J3502" s="86" t="str">
        <f>_xlfn.XLOOKUP(表格1[[#This Row],[Model]],表格3[Model-Input-Ref2],表格3[Code])</f>
        <v>SDA</v>
      </c>
      <c r="K3502" s="89" t="s">
        <v>1490</v>
      </c>
      <c r="L3502" s="86">
        <v>1</v>
      </c>
      <c r="M3502" s="87">
        <v>499</v>
      </c>
      <c r="N3502" s="87">
        <f>IFERROR(表格1[[#This Row],[QTY]]*表格1[[#This Row],[Unit Price]],"-")</f>
        <v>499</v>
      </c>
      <c r="O3502" s="86">
        <v>2300635</v>
      </c>
      <c r="R3502" s="86" t="str">
        <f>_xlfn.CONCAT(表格1[[#This Row],[Model]]," ",表格1[[#This Row],[inv no]])</f>
        <v>F-ALB60HK(B) 2300635</v>
      </c>
      <c r="S3502" s="86">
        <f>_xlfn.XLOOKUP(表格1[[#This Row],[Model]],表格3[Model-Input-Ref2],表格3[SRP PRICE])</f>
        <v>839</v>
      </c>
      <c r="T3502" s="43">
        <f>表格1[[#This Row],[Unit Price]]/表格1[[#This Row],[SRP]]</f>
        <v>0.59475566150178782</v>
      </c>
      <c r="U3502" s="86" t="str">
        <f>_xlfn.XLOOKUP(表格1[[#This Row],[Model]],表格3[Model-Input-Ref2],表格3[TOSHIBA/HIGHEST])</f>
        <v>Shops Highest Price</v>
      </c>
      <c r="W3502" s="86" t="str">
        <f>_xlfn.CONCAT(表格1[[#This Row],[欄4]],表格1[[#This Row],[inv no]])</f>
        <v>2300635</v>
      </c>
    </row>
    <row r="3503" spans="1:23" hidden="1">
      <c r="A3503" s="81">
        <v>3501</v>
      </c>
      <c r="B3503" s="86" t="s">
        <v>1477</v>
      </c>
      <c r="C3503" s="86" t="s">
        <v>1961</v>
      </c>
      <c r="D3503" s="82" t="str">
        <f ca="1">OFFSET(Roster!$A$3,MATCH(表格1[[#This Row],[Location]]&amp;" "&amp;表格1[[#This Row],[Shop]]&amp;"*",Roster!$A$4:$A$72,0),DAY(表格1[[#This Row],[date]]),1,1)</f>
        <v>Terence_2</v>
      </c>
      <c r="E3503" s="86">
        <f>MONTH(表格1[[#This Row],[date]])</f>
        <v>3</v>
      </c>
      <c r="F3503" s="90">
        <v>46111</v>
      </c>
      <c r="G3503" s="86" t="str">
        <f>VLOOKUP("*"&amp;表格1[[#This Row],[Input]]&amp;"*",'Ref-List'!$B:$D,2,)</f>
        <v>DW-05T2-HK</v>
      </c>
      <c r="H3503" s="86" t="str">
        <f>_xlfn.XLOOKUP(表格1[[#This Row],[Model]],表格3[Model-Input-Ref2],表格3[Product Line])</f>
        <v>座檯式洗碗碟機</v>
      </c>
      <c r="I3503" s="86" t="str">
        <f>_xlfn.XLOOKUP(表格1[[#This Row],[Model]],表格3[Model-Input-Ref2],表格3[大小電])</f>
        <v>細電</v>
      </c>
      <c r="J3503" s="86" t="str">
        <f>_xlfn.XLOOKUP(表格1[[#This Row],[Model]],表格3[Model-Input-Ref2],表格3[Code])</f>
        <v>DW</v>
      </c>
      <c r="K3503" s="89" t="s">
        <v>1475</v>
      </c>
      <c r="L3503" s="86">
        <v>1</v>
      </c>
      <c r="M3503" s="87">
        <v>3780</v>
      </c>
      <c r="N3503" s="87">
        <f>IFERROR(表格1[[#This Row],[QTY]]*表格1[[#This Row],[Unit Price]],"-")</f>
        <v>3780</v>
      </c>
      <c r="O3503" s="86">
        <v>2300838</v>
      </c>
      <c r="R3503" s="86" t="str">
        <f>_xlfn.CONCAT(表格1[[#This Row],[Model]]," ",表格1[[#This Row],[inv no]])</f>
        <v>DW-05T2-HK 2300838</v>
      </c>
      <c r="S3503" s="86">
        <f>_xlfn.XLOOKUP(表格1[[#This Row],[Model]],表格3[Model-Input-Ref2],表格3[SRP PRICE])</f>
        <v>4580</v>
      </c>
      <c r="T3503" s="43">
        <f>表格1[[#This Row],[Unit Price]]/表格1[[#This Row],[SRP]]</f>
        <v>0.8253275109170306</v>
      </c>
      <c r="U3503" s="86" t="str">
        <f>_xlfn.XLOOKUP(表格1[[#This Row],[Model]],表格3[Model-Input-Ref2],表格3[TOSHIBA/HIGHEST])</f>
        <v>Toshiba SRP</v>
      </c>
      <c r="W3503" s="86" t="str">
        <f>_xlfn.CONCAT(表格1[[#This Row],[欄4]],表格1[[#This Row],[inv no]])</f>
        <v>2300838</v>
      </c>
    </row>
    <row r="3504" spans="1:23" hidden="1">
      <c r="A3504" s="81">
        <v>3502</v>
      </c>
      <c r="B3504" s="86" t="s">
        <v>1203</v>
      </c>
      <c r="C3504" s="86" t="s">
        <v>1965</v>
      </c>
      <c r="D3504" s="82" t="str">
        <f ca="1">OFFSET(Roster!$A$3,MATCH(表格1[[#This Row],[Location]]&amp;" "&amp;表格1[[#This Row],[Shop]]&amp;"*",Roster!$A$4:$A$72,0),DAY(表格1[[#This Row],[date]]),1,1)</f>
        <v>Lily Hon</v>
      </c>
      <c r="E3504" s="86">
        <f>MONTH(表格1[[#This Row],[date]])</f>
        <v>3</v>
      </c>
      <c r="F3504" s="90">
        <v>46082</v>
      </c>
      <c r="G3504" s="86" t="str">
        <f>VLOOKUP("*"&amp;表格1[[#This Row],[Input]]&amp;"*",'Ref-List'!$B:$D,2,)</f>
        <v>CWF-12CRFN8-AD5</v>
      </c>
      <c r="H3504" s="86" t="str">
        <f>_xlfn.XLOOKUP(表格1[[#This Row],[Model]],表格3[Model-Input-Ref2],表格3[Product Line])</f>
        <v>Comfee 1.5匹變頻窗口式冷氣機</v>
      </c>
      <c r="I3504" s="86" t="str">
        <f>_xlfn.XLOOKUP(表格1[[#This Row],[Model]],表格3[Model-Input-Ref2],表格3[大小電])</f>
        <v>大電</v>
      </c>
      <c r="J3504" s="86" t="str">
        <f>_xlfn.XLOOKUP(表格1[[#This Row],[Model]],表格3[Model-Input-Ref2],表格3[Code])</f>
        <v>RAC</v>
      </c>
      <c r="K3504" s="89" t="s">
        <v>1966</v>
      </c>
      <c r="L3504" s="86">
        <v>1</v>
      </c>
      <c r="M3504" s="87">
        <v>3528</v>
      </c>
      <c r="N3504" s="174">
        <f>IFERROR(表格1[[#This Row],[QTY]]*表格1[[#This Row],[Unit Price]],"-")</f>
        <v>3528</v>
      </c>
      <c r="O3504" s="175">
        <v>6157370</v>
      </c>
      <c r="R3504" s="86" t="str">
        <f>_xlfn.CONCAT(表格1[[#This Row],[Model]]," ",表格1[[#This Row],[inv no]])</f>
        <v>CWF-12CRFN8-AD5 6157370</v>
      </c>
      <c r="S3504" s="86">
        <f>_xlfn.XLOOKUP(表格1[[#This Row],[Model]],表格3[Model-Input-Ref2],表格3[SRP PRICE])</f>
        <v>5200</v>
      </c>
      <c r="T3504" s="43">
        <f>表格1[[#This Row],[Unit Price]]/表格1[[#This Row],[SRP]]</f>
        <v>0.67846153846153845</v>
      </c>
      <c r="U3504" s="86" t="str">
        <f>_xlfn.XLOOKUP(表格1[[#This Row],[Model]],表格3[Model-Input-Ref2],表格3[TOSHIBA/HIGHEST])</f>
        <v>Shops Highest Price</v>
      </c>
      <c r="W3504" s="86" t="str">
        <f>_xlfn.CONCAT(表格1[[#This Row],[欄4]],表格1[[#This Row],[inv no]])</f>
        <v>6157370</v>
      </c>
    </row>
    <row r="3505" spans="1:23" hidden="1">
      <c r="A3505" s="81">
        <v>3503</v>
      </c>
      <c r="B3505" s="86" t="s">
        <v>1203</v>
      </c>
      <c r="C3505" s="86" t="s">
        <v>1965</v>
      </c>
      <c r="D3505" s="82" t="str">
        <f ca="1">OFFSET(Roster!$A$3,MATCH(表格1[[#This Row],[Location]]&amp;" "&amp;表格1[[#This Row],[Shop]]&amp;"*",Roster!$A$4:$A$72,0),DAY(表格1[[#This Row],[date]]),1,1)</f>
        <v>Lily Hon</v>
      </c>
      <c r="E3505" s="86">
        <f>MONTH(表格1[[#This Row],[date]])</f>
        <v>3</v>
      </c>
      <c r="F3505" s="90">
        <v>46082</v>
      </c>
      <c r="G3505" s="86" t="str">
        <f>VLOOKUP("*"&amp;表格1[[#This Row],[Input]]&amp;"*",'Ref-List'!$B:$D,2,)</f>
        <v>GR-RT416WE-PMA(06)</v>
      </c>
      <c r="H3505" s="86" t="str">
        <f>_xlfn.XLOOKUP(表格1[[#This Row],[Model]],表格3[Model-Input-Ref2],表格3[Product Line])</f>
        <v xml:space="preserve">變頻上置式雙門雪櫃313L </v>
      </c>
      <c r="I3505" s="86" t="str">
        <f>_xlfn.XLOOKUP(表格1[[#This Row],[Model]],表格3[Model-Input-Ref2],表格3[大小電])</f>
        <v>大電</v>
      </c>
      <c r="J3505" s="86" t="str">
        <f>_xlfn.XLOOKUP(表格1[[#This Row],[Model]],表格3[Model-Input-Ref2],表格3[Code])</f>
        <v>REF</v>
      </c>
      <c r="K3505" s="89" t="s">
        <v>1208</v>
      </c>
      <c r="L3505" s="86">
        <v>1</v>
      </c>
      <c r="M3505" s="87">
        <v>2888</v>
      </c>
      <c r="N3505" s="174">
        <f>IFERROR(表格1[[#This Row],[QTY]]*表格1[[#This Row],[Unit Price]],"-")</f>
        <v>2888</v>
      </c>
      <c r="O3505" s="175">
        <v>6091572</v>
      </c>
      <c r="R3505" s="86" t="str">
        <f>_xlfn.CONCAT(表格1[[#This Row],[Model]]," ",表格1[[#This Row],[inv no]])</f>
        <v>GR-RT416WE-PMA(06) 6091572</v>
      </c>
      <c r="S3505" s="86">
        <f>_xlfn.XLOOKUP(表格1[[#This Row],[Model]],表格3[Model-Input-Ref2],表格3[SRP PRICE])</f>
        <v>5380</v>
      </c>
      <c r="T3505" s="43">
        <f>表格1[[#This Row],[Unit Price]]/表格1[[#This Row],[SRP]]</f>
        <v>0.53680297397769516</v>
      </c>
      <c r="U3505" s="86" t="str">
        <f>_xlfn.XLOOKUP(表格1[[#This Row],[Model]],表格3[Model-Input-Ref2],表格3[TOSHIBA/HIGHEST])</f>
        <v>Toshiba SRP</v>
      </c>
      <c r="W3505" s="86" t="str">
        <f>_xlfn.CONCAT(表格1[[#This Row],[欄4]],表格1[[#This Row],[inv no]])</f>
        <v>6091572</v>
      </c>
    </row>
    <row r="3506" spans="1:23" hidden="1">
      <c r="A3506" s="81">
        <v>3504</v>
      </c>
      <c r="B3506" s="86" t="s">
        <v>1203</v>
      </c>
      <c r="C3506" s="86" t="s">
        <v>1965</v>
      </c>
      <c r="D3506" s="82" t="str">
        <f ca="1">OFFSET(Roster!$A$3,MATCH(表格1[[#This Row],[Location]]&amp;" "&amp;表格1[[#This Row],[Shop]]&amp;"*",Roster!$A$4:$A$72,0),DAY(表格1[[#This Row],[date]]),1,1)</f>
        <v>Lily Hon</v>
      </c>
      <c r="E3506" s="86">
        <f>MONTH(表格1[[#This Row],[date]])</f>
        <v>3</v>
      </c>
      <c r="F3506" s="90">
        <v>46082</v>
      </c>
      <c r="G3506" s="86" t="str">
        <f>VLOOKUP("*"&amp;表格1[[#This Row],[Input]]&amp;"*",'Ref-List'!$B:$D,2,)</f>
        <v>AW-M901BPH(WW)</v>
      </c>
      <c r="H3506" s="86" t="str">
        <f>_xlfn.XLOOKUP(表格1[[#This Row],[Model]],表格3[Model-Input-Ref2],表格3[Product Line])</f>
        <v>全自動洗衣機 (8公斤 結合高低水位)</v>
      </c>
      <c r="I3506" s="86" t="str">
        <f>_xlfn.XLOOKUP(表格1[[#This Row],[Model]],表格3[Model-Input-Ref2],表格3[大小電])</f>
        <v>大電</v>
      </c>
      <c r="J3506" s="86" t="str">
        <f>_xlfn.XLOOKUP(表格1[[#This Row],[Model]],表格3[Model-Input-Ref2],表格3[Code])</f>
        <v>WM</v>
      </c>
      <c r="K3506" s="89" t="s">
        <v>1202</v>
      </c>
      <c r="L3506" s="86">
        <v>1</v>
      </c>
      <c r="M3506" s="87">
        <v>1500</v>
      </c>
      <c r="N3506" s="174">
        <f>IFERROR(表格1[[#This Row],[QTY]]*表格1[[#This Row],[Unit Price]],"-")</f>
        <v>1500</v>
      </c>
      <c r="O3506" s="175">
        <v>6091571</v>
      </c>
      <c r="R3506" s="86" t="str">
        <f>_xlfn.CONCAT(表格1[[#This Row],[Model]]," ",表格1[[#This Row],[inv no]])</f>
        <v>AW-M901BPH(WW) 6091571</v>
      </c>
      <c r="S3506" s="86">
        <f>_xlfn.XLOOKUP(表格1[[#This Row],[Model]],表格3[Model-Input-Ref2],表格3[SRP PRICE])</f>
        <v>3580</v>
      </c>
      <c r="T3506" s="43">
        <f>表格1[[#This Row],[Unit Price]]/表格1[[#This Row],[SRP]]</f>
        <v>0.41899441340782123</v>
      </c>
      <c r="U3506" s="86" t="str">
        <f>_xlfn.XLOOKUP(表格1[[#This Row],[Model]],表格3[Model-Input-Ref2],表格3[TOSHIBA/HIGHEST])</f>
        <v>Toshiba SRP</v>
      </c>
      <c r="W3506" s="86" t="str">
        <f>_xlfn.CONCAT(表格1[[#This Row],[欄4]],表格1[[#This Row],[inv no]])</f>
        <v>6091571</v>
      </c>
    </row>
    <row r="3507" spans="1:23" hidden="1">
      <c r="A3507" s="81">
        <v>3505</v>
      </c>
      <c r="B3507" s="86" t="s">
        <v>1203</v>
      </c>
      <c r="C3507" s="86" t="s">
        <v>1965</v>
      </c>
      <c r="D3507" s="82" t="str">
        <f ca="1">OFFSET(Roster!$A$3,MATCH(表格1[[#This Row],[Location]]&amp;" "&amp;表格1[[#This Row],[Shop]]&amp;"*",Roster!$A$4:$A$72,0),DAY(表格1[[#This Row],[date]]),1,1)</f>
        <v>Lily Hon</v>
      </c>
      <c r="E3507" s="86">
        <f>MONTH(表格1[[#This Row],[date]])</f>
        <v>3</v>
      </c>
      <c r="F3507" s="90">
        <v>46082</v>
      </c>
      <c r="G3507" s="86" t="str">
        <f>VLOOKUP("*"&amp;表格1[[#This Row],[Input]]&amp;"*",'Ref-List'!$B:$D,2,)</f>
        <v>AW-M901BPH(WW)</v>
      </c>
      <c r="H3507" s="86" t="str">
        <f>_xlfn.XLOOKUP(表格1[[#This Row],[Model]],表格3[Model-Input-Ref2],表格3[Product Line])</f>
        <v>全自動洗衣機 (8公斤 結合高低水位)</v>
      </c>
      <c r="I3507" s="86" t="str">
        <f>_xlfn.XLOOKUP(表格1[[#This Row],[Model]],表格3[Model-Input-Ref2],表格3[大小電])</f>
        <v>大電</v>
      </c>
      <c r="J3507" s="86" t="str">
        <f>_xlfn.XLOOKUP(表格1[[#This Row],[Model]],表格3[Model-Input-Ref2],表格3[Code])</f>
        <v>WM</v>
      </c>
      <c r="K3507" s="89" t="s">
        <v>1202</v>
      </c>
      <c r="L3507" s="86">
        <v>1</v>
      </c>
      <c r="M3507" s="87">
        <v>1500</v>
      </c>
      <c r="N3507" s="174">
        <f>IFERROR(表格1[[#This Row],[QTY]]*表格1[[#This Row],[Unit Price]],"-")</f>
        <v>1500</v>
      </c>
      <c r="O3507" s="175">
        <v>6091575</v>
      </c>
      <c r="R3507" s="86" t="str">
        <f>_xlfn.CONCAT(表格1[[#This Row],[Model]]," ",表格1[[#This Row],[inv no]])</f>
        <v>AW-M901BPH(WW) 6091575</v>
      </c>
      <c r="S3507" s="86">
        <f>_xlfn.XLOOKUP(表格1[[#This Row],[Model]],表格3[Model-Input-Ref2],表格3[SRP PRICE])</f>
        <v>3580</v>
      </c>
      <c r="T3507" s="43">
        <f>表格1[[#This Row],[Unit Price]]/表格1[[#This Row],[SRP]]</f>
        <v>0.41899441340782123</v>
      </c>
      <c r="U3507" s="86" t="str">
        <f>_xlfn.XLOOKUP(表格1[[#This Row],[Model]],表格3[Model-Input-Ref2],表格3[TOSHIBA/HIGHEST])</f>
        <v>Toshiba SRP</v>
      </c>
      <c r="W3507" s="86" t="str">
        <f>_xlfn.CONCAT(表格1[[#This Row],[欄4]],表格1[[#This Row],[inv no]])</f>
        <v>6091575</v>
      </c>
    </row>
    <row r="3508" spans="1:23" hidden="1">
      <c r="A3508" s="81">
        <v>3506</v>
      </c>
      <c r="B3508" s="86" t="s">
        <v>1203</v>
      </c>
      <c r="C3508" s="86" t="s">
        <v>1965</v>
      </c>
      <c r="D3508" s="82" t="str">
        <f ca="1">OFFSET(Roster!$A$3,MATCH(表格1[[#This Row],[Location]]&amp;" "&amp;表格1[[#This Row],[Shop]]&amp;"*",Roster!$A$4:$A$72,0),DAY(表格1[[#This Row],[date]]),1,1)</f>
        <v>Lily Hon</v>
      </c>
      <c r="E3508" s="86">
        <f>MONTH(表格1[[#This Row],[date]])</f>
        <v>3</v>
      </c>
      <c r="F3508" s="90">
        <v>46082</v>
      </c>
      <c r="G3508" s="86" t="str">
        <f>VLOOKUP("*"&amp;表格1[[#This Row],[Input]]&amp;"*",'Ref-List'!$B:$D,2,)</f>
        <v>AW-M901BPH(WW)</v>
      </c>
      <c r="H3508" s="86" t="str">
        <f>_xlfn.XLOOKUP(表格1[[#This Row],[Model]],表格3[Model-Input-Ref2],表格3[Product Line])</f>
        <v>全自動洗衣機 (8公斤 結合高低水位)</v>
      </c>
      <c r="I3508" s="86" t="str">
        <f>_xlfn.XLOOKUP(表格1[[#This Row],[Model]],表格3[Model-Input-Ref2],表格3[大小電])</f>
        <v>大電</v>
      </c>
      <c r="J3508" s="86" t="str">
        <f>_xlfn.XLOOKUP(表格1[[#This Row],[Model]],表格3[Model-Input-Ref2],表格3[Code])</f>
        <v>WM</v>
      </c>
      <c r="K3508" s="89" t="s">
        <v>1967</v>
      </c>
      <c r="L3508" s="86">
        <v>1</v>
      </c>
      <c r="M3508" s="87">
        <v>1500</v>
      </c>
      <c r="N3508" s="174">
        <f>IFERROR(表格1[[#This Row],[QTY]]*表格1[[#This Row],[Unit Price]],"-")</f>
        <v>1500</v>
      </c>
      <c r="O3508" s="175">
        <v>6091825</v>
      </c>
      <c r="R3508" s="86" t="str">
        <f>_xlfn.CONCAT(表格1[[#This Row],[Model]]," ",表格1[[#This Row],[inv no]])</f>
        <v>AW-M901BPH(WW) 6091825</v>
      </c>
      <c r="S3508" s="86">
        <f>_xlfn.XLOOKUP(表格1[[#This Row],[Model]],表格3[Model-Input-Ref2],表格3[SRP PRICE])</f>
        <v>3580</v>
      </c>
      <c r="T3508" s="43">
        <f>表格1[[#This Row],[Unit Price]]/表格1[[#This Row],[SRP]]</f>
        <v>0.41899441340782123</v>
      </c>
      <c r="U3508" s="86" t="str">
        <f>_xlfn.XLOOKUP(表格1[[#This Row],[Model]],表格3[Model-Input-Ref2],表格3[TOSHIBA/HIGHEST])</f>
        <v>Toshiba SRP</v>
      </c>
      <c r="W3508" s="86" t="str">
        <f>_xlfn.CONCAT(表格1[[#This Row],[欄4]],表格1[[#This Row],[inv no]])</f>
        <v>6091825</v>
      </c>
    </row>
    <row r="3509" spans="1:23" hidden="1">
      <c r="A3509" s="81">
        <v>3507</v>
      </c>
      <c r="B3509" s="86" t="s">
        <v>1203</v>
      </c>
      <c r="C3509" s="86" t="s">
        <v>1965</v>
      </c>
      <c r="D3509" s="82" t="str">
        <f ca="1">OFFSET(Roster!$A$3,MATCH(表格1[[#This Row],[Location]]&amp;" "&amp;表格1[[#This Row],[Shop]]&amp;"*",Roster!$A$4:$A$72,0),DAY(表格1[[#This Row],[date]]),1,1)</f>
        <v>Lily Hon</v>
      </c>
      <c r="E3509" s="86">
        <f>MONTH(表格1[[#This Row],[date]])</f>
        <v>3</v>
      </c>
      <c r="F3509" s="90">
        <v>46082</v>
      </c>
      <c r="G3509" s="86" t="str">
        <f>VLOOKUP("*"&amp;表格1[[#This Row],[Input]]&amp;"*",'Ref-List'!$B:$D,2,)</f>
        <v>AW-M901BPH(WW)</v>
      </c>
      <c r="H3509" s="86" t="str">
        <f>_xlfn.XLOOKUP(表格1[[#This Row],[Model]],表格3[Model-Input-Ref2],表格3[Product Line])</f>
        <v>全自動洗衣機 (8公斤 結合高低水位)</v>
      </c>
      <c r="I3509" s="86" t="str">
        <f>_xlfn.XLOOKUP(表格1[[#This Row],[Model]],表格3[Model-Input-Ref2],表格3[大小電])</f>
        <v>大電</v>
      </c>
      <c r="J3509" s="86" t="str">
        <f>_xlfn.XLOOKUP(表格1[[#This Row],[Model]],表格3[Model-Input-Ref2],表格3[Code])</f>
        <v>WM</v>
      </c>
      <c r="K3509" s="89" t="s">
        <v>1967</v>
      </c>
      <c r="L3509" s="86">
        <v>1</v>
      </c>
      <c r="M3509" s="87">
        <v>1500</v>
      </c>
      <c r="N3509" s="174">
        <f>IFERROR(表格1[[#This Row],[QTY]]*表格1[[#This Row],[Unit Price]],"-")</f>
        <v>1500</v>
      </c>
      <c r="O3509" s="175">
        <v>6091794</v>
      </c>
      <c r="R3509" s="86" t="str">
        <f>_xlfn.CONCAT(表格1[[#This Row],[Model]]," ",表格1[[#This Row],[inv no]])</f>
        <v>AW-M901BPH(WW) 6091794</v>
      </c>
      <c r="S3509" s="86">
        <f>_xlfn.XLOOKUP(表格1[[#This Row],[Model]],表格3[Model-Input-Ref2],表格3[SRP PRICE])</f>
        <v>3580</v>
      </c>
      <c r="T3509" s="43">
        <f>表格1[[#This Row],[Unit Price]]/表格1[[#This Row],[SRP]]</f>
        <v>0.41899441340782123</v>
      </c>
      <c r="U3509" s="86" t="str">
        <f>_xlfn.XLOOKUP(表格1[[#This Row],[Model]],表格3[Model-Input-Ref2],表格3[TOSHIBA/HIGHEST])</f>
        <v>Toshiba SRP</v>
      </c>
      <c r="W3509" s="86" t="str">
        <f>_xlfn.CONCAT(表格1[[#This Row],[欄4]],表格1[[#This Row],[inv no]])</f>
        <v>6091794</v>
      </c>
    </row>
    <row r="3510" spans="1:23" hidden="1">
      <c r="A3510" s="81">
        <v>3508</v>
      </c>
      <c r="B3510" s="86" t="s">
        <v>1203</v>
      </c>
      <c r="C3510" s="86" t="s">
        <v>1965</v>
      </c>
      <c r="D3510" s="82" t="str">
        <f ca="1">OFFSET(Roster!$A$3,MATCH(表格1[[#This Row],[Location]]&amp;" "&amp;表格1[[#This Row],[Shop]]&amp;"*",Roster!$A$4:$A$72,0),DAY(表格1[[#This Row],[date]]),1,1)</f>
        <v>Lily Hon</v>
      </c>
      <c r="E3510" s="86">
        <f>MONTH(表格1[[#This Row],[date]])</f>
        <v>3</v>
      </c>
      <c r="F3510" s="90">
        <v>46082</v>
      </c>
      <c r="G3510" s="86" t="str">
        <f>VLOOKUP("*"&amp;表格1[[#This Row],[Input]]&amp;"*",'Ref-List'!$B:$D,2,)</f>
        <v>AW-M901BPH(WW)</v>
      </c>
      <c r="H3510" s="86" t="str">
        <f>_xlfn.XLOOKUP(表格1[[#This Row],[Model]],表格3[Model-Input-Ref2],表格3[Product Line])</f>
        <v>全自動洗衣機 (8公斤 結合高低水位)</v>
      </c>
      <c r="I3510" s="86" t="str">
        <f>_xlfn.XLOOKUP(表格1[[#This Row],[Model]],表格3[Model-Input-Ref2],表格3[大小電])</f>
        <v>大電</v>
      </c>
      <c r="J3510" s="86" t="str">
        <f>_xlfn.XLOOKUP(表格1[[#This Row],[Model]],表格3[Model-Input-Ref2],表格3[Code])</f>
        <v>WM</v>
      </c>
      <c r="K3510" s="89" t="s">
        <v>1967</v>
      </c>
      <c r="L3510" s="86">
        <v>1</v>
      </c>
      <c r="M3510" s="87">
        <v>1500</v>
      </c>
      <c r="N3510" s="174">
        <f>IFERROR(表格1[[#This Row],[QTY]]*表格1[[#This Row],[Unit Price]],"-")</f>
        <v>1500</v>
      </c>
      <c r="O3510" s="175">
        <v>6091829</v>
      </c>
      <c r="R3510" s="86" t="str">
        <f>_xlfn.CONCAT(表格1[[#This Row],[Model]]," ",表格1[[#This Row],[inv no]])</f>
        <v>AW-M901BPH(WW) 6091829</v>
      </c>
      <c r="S3510" s="86">
        <f>_xlfn.XLOOKUP(表格1[[#This Row],[Model]],表格3[Model-Input-Ref2],表格3[SRP PRICE])</f>
        <v>3580</v>
      </c>
      <c r="T3510" s="43">
        <f>表格1[[#This Row],[Unit Price]]/表格1[[#This Row],[SRP]]</f>
        <v>0.41899441340782123</v>
      </c>
      <c r="U3510" s="86" t="str">
        <f>_xlfn.XLOOKUP(表格1[[#This Row],[Model]],表格3[Model-Input-Ref2],表格3[TOSHIBA/HIGHEST])</f>
        <v>Toshiba SRP</v>
      </c>
      <c r="W3510" s="86" t="str">
        <f>_xlfn.CONCAT(表格1[[#This Row],[欄4]],表格1[[#This Row],[inv no]])</f>
        <v>6091829</v>
      </c>
    </row>
    <row r="3511" spans="1:23" hidden="1">
      <c r="A3511" s="81">
        <v>3509</v>
      </c>
      <c r="B3511" s="86" t="s">
        <v>1203</v>
      </c>
      <c r="C3511" s="86" t="s">
        <v>1965</v>
      </c>
      <c r="D3511" s="82" t="str">
        <f ca="1">OFFSET(Roster!$A$3,MATCH(表格1[[#This Row],[Location]]&amp;" "&amp;表格1[[#This Row],[Shop]]&amp;"*",Roster!$A$4:$A$72,0),DAY(表格1[[#This Row],[date]]),1,1)</f>
        <v>Lily Hon</v>
      </c>
      <c r="E3511" s="86">
        <f>MONTH(表格1[[#This Row],[date]])</f>
        <v>3</v>
      </c>
      <c r="F3511" s="90">
        <v>46082</v>
      </c>
      <c r="G3511" s="86" t="str">
        <f>VLOOKUP("*"&amp;表格1[[#This Row],[Input]]&amp;"*",'Ref-List'!$B:$D,2,)</f>
        <v>AW-M901BPH(WW)</v>
      </c>
      <c r="H3511" s="86" t="str">
        <f>_xlfn.XLOOKUP(表格1[[#This Row],[Model]],表格3[Model-Input-Ref2],表格3[Product Line])</f>
        <v>全自動洗衣機 (8公斤 結合高低水位)</v>
      </c>
      <c r="I3511" s="86" t="str">
        <f>_xlfn.XLOOKUP(表格1[[#This Row],[Model]],表格3[Model-Input-Ref2],表格3[大小電])</f>
        <v>大電</v>
      </c>
      <c r="J3511" s="86" t="str">
        <f>_xlfn.XLOOKUP(表格1[[#This Row],[Model]],表格3[Model-Input-Ref2],表格3[Code])</f>
        <v>WM</v>
      </c>
      <c r="K3511" s="89" t="s">
        <v>1967</v>
      </c>
      <c r="L3511" s="86">
        <v>1</v>
      </c>
      <c r="M3511" s="87">
        <v>1500</v>
      </c>
      <c r="N3511" s="174">
        <f>IFERROR(表格1[[#This Row],[QTY]]*表格1[[#This Row],[Unit Price]],"-")</f>
        <v>1500</v>
      </c>
      <c r="O3511" s="175">
        <v>6091653</v>
      </c>
      <c r="R3511" s="86" t="str">
        <f>_xlfn.CONCAT(表格1[[#This Row],[Model]]," ",表格1[[#This Row],[inv no]])</f>
        <v>AW-M901BPH(WW) 6091653</v>
      </c>
      <c r="S3511" s="86">
        <f>_xlfn.XLOOKUP(表格1[[#This Row],[Model]],表格3[Model-Input-Ref2],表格3[SRP PRICE])</f>
        <v>3580</v>
      </c>
      <c r="T3511" s="43">
        <f>表格1[[#This Row],[Unit Price]]/表格1[[#This Row],[SRP]]</f>
        <v>0.41899441340782123</v>
      </c>
      <c r="U3511" s="86" t="str">
        <f>_xlfn.XLOOKUP(表格1[[#This Row],[Model]],表格3[Model-Input-Ref2],表格3[TOSHIBA/HIGHEST])</f>
        <v>Toshiba SRP</v>
      </c>
      <c r="W3511" s="86" t="str">
        <f>_xlfn.CONCAT(表格1[[#This Row],[欄4]],表格1[[#This Row],[inv no]])</f>
        <v>6091653</v>
      </c>
    </row>
    <row r="3512" spans="1:23" hidden="1">
      <c r="A3512" s="81">
        <v>3510</v>
      </c>
      <c r="B3512" s="86" t="s">
        <v>1203</v>
      </c>
      <c r="C3512" s="86" t="s">
        <v>1965</v>
      </c>
      <c r="D3512" s="82" t="str">
        <f ca="1">OFFSET(Roster!$A$3,MATCH(表格1[[#This Row],[Location]]&amp;" "&amp;表格1[[#This Row],[Shop]]&amp;"*",Roster!$A$4:$A$72,0),DAY(表格1[[#This Row],[date]]),1,1)</f>
        <v>Lily Hon</v>
      </c>
      <c r="E3512" s="86">
        <f>MONTH(表格1[[#This Row],[date]])</f>
        <v>3</v>
      </c>
      <c r="F3512" s="90">
        <v>46082</v>
      </c>
      <c r="G3512" s="86" t="str">
        <f>VLOOKUP("*"&amp;表格1[[#This Row],[Input]]&amp;"*",'Ref-List'!$B:$D,2,)</f>
        <v>AW-M901BPH(WW)</v>
      </c>
      <c r="H3512" s="86" t="str">
        <f>_xlfn.XLOOKUP(表格1[[#This Row],[Model]],表格3[Model-Input-Ref2],表格3[Product Line])</f>
        <v>全自動洗衣機 (8公斤 結合高低水位)</v>
      </c>
      <c r="I3512" s="86" t="str">
        <f>_xlfn.XLOOKUP(表格1[[#This Row],[Model]],表格3[Model-Input-Ref2],表格3[大小電])</f>
        <v>大電</v>
      </c>
      <c r="J3512" s="86" t="str">
        <f>_xlfn.XLOOKUP(表格1[[#This Row],[Model]],表格3[Model-Input-Ref2],表格3[Code])</f>
        <v>WM</v>
      </c>
      <c r="K3512" s="89" t="s">
        <v>1967</v>
      </c>
      <c r="L3512" s="86">
        <v>1</v>
      </c>
      <c r="M3512" s="87">
        <v>1500</v>
      </c>
      <c r="N3512" s="174">
        <f>IFERROR(表格1[[#This Row],[QTY]]*表格1[[#This Row],[Unit Price]],"-")</f>
        <v>1500</v>
      </c>
      <c r="O3512" s="175">
        <v>6091559</v>
      </c>
      <c r="R3512" s="86" t="str">
        <f>_xlfn.CONCAT(表格1[[#This Row],[Model]]," ",表格1[[#This Row],[inv no]])</f>
        <v>AW-M901BPH(WW) 6091559</v>
      </c>
      <c r="S3512" s="86">
        <f>_xlfn.XLOOKUP(表格1[[#This Row],[Model]],表格3[Model-Input-Ref2],表格3[SRP PRICE])</f>
        <v>3580</v>
      </c>
      <c r="T3512" s="43">
        <f>表格1[[#This Row],[Unit Price]]/表格1[[#This Row],[SRP]]</f>
        <v>0.41899441340782123</v>
      </c>
      <c r="U3512" s="86" t="str">
        <f>_xlfn.XLOOKUP(表格1[[#This Row],[Model]],表格3[Model-Input-Ref2],表格3[TOSHIBA/HIGHEST])</f>
        <v>Toshiba SRP</v>
      </c>
      <c r="W3512" s="86" t="str">
        <f>_xlfn.CONCAT(表格1[[#This Row],[欄4]],表格1[[#This Row],[inv no]])</f>
        <v>6091559</v>
      </c>
    </row>
    <row r="3513" spans="1:23" hidden="1">
      <c r="A3513" s="81">
        <v>3511</v>
      </c>
      <c r="B3513" s="86" t="s">
        <v>1203</v>
      </c>
      <c r="C3513" s="86" t="s">
        <v>1965</v>
      </c>
      <c r="D3513" s="82" t="str">
        <f ca="1">OFFSET(Roster!$A$3,MATCH(表格1[[#This Row],[Location]]&amp;" "&amp;表格1[[#This Row],[Shop]]&amp;"*",Roster!$A$4:$A$72,0),DAY(表格1[[#This Row],[date]]),1,1)</f>
        <v>Lily Hon</v>
      </c>
      <c r="E3513" s="86">
        <f>MONTH(表格1[[#This Row],[date]])</f>
        <v>3</v>
      </c>
      <c r="F3513" s="90">
        <v>46082</v>
      </c>
      <c r="G3513" s="86" t="str">
        <f>VLOOKUP("*"&amp;表格1[[#This Row],[Input]]&amp;"*",'Ref-List'!$B:$D,2,)</f>
        <v>AW-M901BPH(WW)</v>
      </c>
      <c r="H3513" s="86" t="str">
        <f>_xlfn.XLOOKUP(表格1[[#This Row],[Model]],表格3[Model-Input-Ref2],表格3[Product Line])</f>
        <v>全自動洗衣機 (8公斤 結合高低水位)</v>
      </c>
      <c r="I3513" s="86" t="str">
        <f>_xlfn.XLOOKUP(表格1[[#This Row],[Model]],表格3[Model-Input-Ref2],表格3[大小電])</f>
        <v>大電</v>
      </c>
      <c r="J3513" s="86" t="str">
        <f>_xlfn.XLOOKUP(表格1[[#This Row],[Model]],表格3[Model-Input-Ref2],表格3[Code])</f>
        <v>WM</v>
      </c>
      <c r="K3513" s="89" t="s">
        <v>1967</v>
      </c>
      <c r="L3513" s="86">
        <v>1</v>
      </c>
      <c r="M3513" s="87">
        <v>1500</v>
      </c>
      <c r="N3513" s="174">
        <f>IFERROR(表格1[[#This Row],[QTY]]*表格1[[#This Row],[Unit Price]],"-")</f>
        <v>1500</v>
      </c>
      <c r="O3513" s="175">
        <v>6091609</v>
      </c>
      <c r="R3513" s="86" t="str">
        <f>_xlfn.CONCAT(表格1[[#This Row],[Model]]," ",表格1[[#This Row],[inv no]])</f>
        <v>AW-M901BPH(WW) 6091609</v>
      </c>
      <c r="S3513" s="86">
        <f>_xlfn.XLOOKUP(表格1[[#This Row],[Model]],表格3[Model-Input-Ref2],表格3[SRP PRICE])</f>
        <v>3580</v>
      </c>
      <c r="T3513" s="43">
        <f>表格1[[#This Row],[Unit Price]]/表格1[[#This Row],[SRP]]</f>
        <v>0.41899441340782123</v>
      </c>
      <c r="U3513" s="86" t="str">
        <f>_xlfn.XLOOKUP(表格1[[#This Row],[Model]],表格3[Model-Input-Ref2],表格3[TOSHIBA/HIGHEST])</f>
        <v>Toshiba SRP</v>
      </c>
      <c r="W3513" s="86" t="str">
        <f>_xlfn.CONCAT(表格1[[#This Row],[欄4]],表格1[[#This Row],[inv no]])</f>
        <v>6091609</v>
      </c>
    </row>
    <row r="3514" spans="1:23" hidden="1">
      <c r="A3514" s="81">
        <v>3512</v>
      </c>
      <c r="B3514" s="86" t="s">
        <v>1203</v>
      </c>
      <c r="C3514" s="86" t="s">
        <v>1965</v>
      </c>
      <c r="D3514" s="82" t="str">
        <f ca="1">OFFSET(Roster!$A$3,MATCH(表格1[[#This Row],[Location]]&amp;" "&amp;表格1[[#This Row],[Shop]]&amp;"*",Roster!$A$4:$A$72,0),DAY(表格1[[#This Row],[date]]),1,1)</f>
        <v>Lily Hon</v>
      </c>
      <c r="E3514" s="86">
        <f>MONTH(表格1[[#This Row],[date]])</f>
        <v>3</v>
      </c>
      <c r="F3514" s="90">
        <v>46082</v>
      </c>
      <c r="G3514" s="86" t="str">
        <f>VLOOKUP("*"&amp;表格1[[#This Row],[Input]]&amp;"*",'Ref-List'!$B:$D,2,)</f>
        <v>AW-M901BPH(WW)</v>
      </c>
      <c r="H3514" s="86" t="str">
        <f>_xlfn.XLOOKUP(表格1[[#This Row],[Model]],表格3[Model-Input-Ref2],表格3[Product Line])</f>
        <v>全自動洗衣機 (8公斤 結合高低水位)</v>
      </c>
      <c r="I3514" s="86" t="str">
        <f>_xlfn.XLOOKUP(表格1[[#This Row],[Model]],表格3[Model-Input-Ref2],表格3[大小電])</f>
        <v>大電</v>
      </c>
      <c r="J3514" s="86" t="str">
        <f>_xlfn.XLOOKUP(表格1[[#This Row],[Model]],表格3[Model-Input-Ref2],表格3[Code])</f>
        <v>WM</v>
      </c>
      <c r="K3514" s="89" t="s">
        <v>1967</v>
      </c>
      <c r="L3514" s="86">
        <v>1</v>
      </c>
      <c r="M3514" s="87">
        <v>1500</v>
      </c>
      <c r="N3514" s="174">
        <f>IFERROR(表格1[[#This Row],[QTY]]*表格1[[#This Row],[Unit Price]],"-")</f>
        <v>1500</v>
      </c>
      <c r="O3514" s="175">
        <v>6091611</v>
      </c>
      <c r="R3514" s="86" t="str">
        <f>_xlfn.CONCAT(表格1[[#This Row],[Model]]," ",表格1[[#This Row],[inv no]])</f>
        <v>AW-M901BPH(WW) 6091611</v>
      </c>
      <c r="S3514" s="86">
        <f>_xlfn.XLOOKUP(表格1[[#This Row],[Model]],表格3[Model-Input-Ref2],表格3[SRP PRICE])</f>
        <v>3580</v>
      </c>
      <c r="T3514" s="43">
        <f>表格1[[#This Row],[Unit Price]]/表格1[[#This Row],[SRP]]</f>
        <v>0.41899441340782123</v>
      </c>
      <c r="U3514" s="86" t="str">
        <f>_xlfn.XLOOKUP(表格1[[#This Row],[Model]],表格3[Model-Input-Ref2],表格3[TOSHIBA/HIGHEST])</f>
        <v>Toshiba SRP</v>
      </c>
      <c r="W3514" s="86" t="str">
        <f>_xlfn.CONCAT(表格1[[#This Row],[欄4]],表格1[[#This Row],[inv no]])</f>
        <v>6091611</v>
      </c>
    </row>
    <row r="3515" spans="1:23" hidden="1">
      <c r="A3515" s="81">
        <v>3513</v>
      </c>
      <c r="B3515" s="86" t="s">
        <v>1203</v>
      </c>
      <c r="C3515" s="86" t="s">
        <v>1965</v>
      </c>
      <c r="D3515" s="82" t="str">
        <f ca="1">OFFSET(Roster!$A$3,MATCH(表格1[[#This Row],[Location]]&amp;" "&amp;表格1[[#This Row],[Shop]]&amp;"*",Roster!$A$4:$A$72,0),DAY(表格1[[#This Row],[date]]),1,1)</f>
        <v>Lily Hon</v>
      </c>
      <c r="E3515" s="86">
        <f>MONTH(表格1[[#This Row],[date]])</f>
        <v>3</v>
      </c>
      <c r="F3515" s="90">
        <v>46082</v>
      </c>
      <c r="G3515" s="86" t="str">
        <f>VLOOKUP("*"&amp;表格1[[#This Row],[Input]]&amp;"*",'Ref-List'!$B:$D,2,)</f>
        <v>AW-M901BPH(WW)</v>
      </c>
      <c r="H3515" s="86" t="str">
        <f>_xlfn.XLOOKUP(表格1[[#This Row],[Model]],表格3[Model-Input-Ref2],表格3[Product Line])</f>
        <v>全自動洗衣機 (8公斤 結合高低水位)</v>
      </c>
      <c r="I3515" s="86" t="str">
        <f>_xlfn.XLOOKUP(表格1[[#This Row],[Model]],表格3[Model-Input-Ref2],表格3[大小電])</f>
        <v>大電</v>
      </c>
      <c r="J3515" s="86" t="str">
        <f>_xlfn.XLOOKUP(表格1[[#This Row],[Model]],表格3[Model-Input-Ref2],表格3[Code])</f>
        <v>WM</v>
      </c>
      <c r="K3515" s="89" t="s">
        <v>1967</v>
      </c>
      <c r="L3515" s="86">
        <v>1</v>
      </c>
      <c r="M3515" s="87">
        <v>1500</v>
      </c>
      <c r="N3515" s="174">
        <f>IFERROR(表格1[[#This Row],[QTY]]*表格1[[#This Row],[Unit Price]],"-")</f>
        <v>1500</v>
      </c>
      <c r="O3515" s="175">
        <v>6091601</v>
      </c>
      <c r="R3515" s="86" t="str">
        <f>_xlfn.CONCAT(表格1[[#This Row],[Model]]," ",表格1[[#This Row],[inv no]])</f>
        <v>AW-M901BPH(WW) 6091601</v>
      </c>
      <c r="S3515" s="86">
        <f>_xlfn.XLOOKUP(表格1[[#This Row],[Model]],表格3[Model-Input-Ref2],表格3[SRP PRICE])</f>
        <v>3580</v>
      </c>
      <c r="T3515" s="43">
        <f>表格1[[#This Row],[Unit Price]]/表格1[[#This Row],[SRP]]</f>
        <v>0.41899441340782123</v>
      </c>
      <c r="U3515" s="86" t="str">
        <f>_xlfn.XLOOKUP(表格1[[#This Row],[Model]],表格3[Model-Input-Ref2],表格3[TOSHIBA/HIGHEST])</f>
        <v>Toshiba SRP</v>
      </c>
      <c r="W3515" s="86" t="str">
        <f>_xlfn.CONCAT(表格1[[#This Row],[欄4]],表格1[[#This Row],[inv no]])</f>
        <v>6091601</v>
      </c>
    </row>
    <row r="3516" spans="1:23" hidden="1">
      <c r="A3516" s="81">
        <v>3514</v>
      </c>
      <c r="B3516" s="86" t="s">
        <v>1203</v>
      </c>
      <c r="C3516" s="86" t="s">
        <v>1965</v>
      </c>
      <c r="D3516" s="82" t="str">
        <f ca="1">OFFSET(Roster!$A$3,MATCH(表格1[[#This Row],[Location]]&amp;" "&amp;表格1[[#This Row],[Shop]]&amp;"*",Roster!$A$4:$A$72,0),DAY(表格1[[#This Row],[date]]),1,1)</f>
        <v>Lily Hon</v>
      </c>
      <c r="E3516" s="86">
        <f>MONTH(表格1[[#This Row],[date]])</f>
        <v>3</v>
      </c>
      <c r="F3516" s="90">
        <v>46082</v>
      </c>
      <c r="G3516" s="86" t="str">
        <f>VLOOKUP("*"&amp;表格1[[#This Row],[Input]]&amp;"*",'Ref-List'!$B:$D,2,)</f>
        <v>DWS-34AHK</v>
      </c>
      <c r="H3516" s="86" t="str">
        <f>_xlfn.XLOOKUP(表格1[[#This Row],[Model]],表格3[Model-Input-Ref2],表格3[Product Line])</f>
        <v>獨立式免安裝洗碗碟機</v>
      </c>
      <c r="I3516" s="86" t="str">
        <f>_xlfn.XLOOKUP(表格1[[#This Row],[Model]],表格3[Model-Input-Ref2],表格3[大小電])</f>
        <v>細電</v>
      </c>
      <c r="J3516" s="86" t="str">
        <f>_xlfn.XLOOKUP(表格1[[#This Row],[Model]],表格3[Model-Input-Ref2],表格3[Code])</f>
        <v>DM</v>
      </c>
      <c r="K3516" s="89" t="s">
        <v>1240</v>
      </c>
      <c r="L3516" s="86">
        <v>1</v>
      </c>
      <c r="M3516" s="87">
        <v>1500</v>
      </c>
      <c r="N3516" s="174">
        <f>IFERROR(表格1[[#This Row],[QTY]]*表格1[[#This Row],[Unit Price]],"-")</f>
        <v>1500</v>
      </c>
      <c r="O3516" s="175">
        <v>6157385</v>
      </c>
      <c r="R3516" s="86" t="str">
        <f>_xlfn.CONCAT(表格1[[#This Row],[Model]]," ",表格1[[#This Row],[inv no]])</f>
        <v>DWS-34AHK 6157385</v>
      </c>
      <c r="S3516" s="86">
        <f>_xlfn.XLOOKUP(表格1[[#This Row],[Model]],表格3[Model-Input-Ref2],表格3[SRP PRICE])</f>
        <v>3999</v>
      </c>
      <c r="T3516" s="43">
        <f>表格1[[#This Row],[Unit Price]]/表格1[[#This Row],[SRP]]</f>
        <v>0.37509377344336087</v>
      </c>
      <c r="U3516" s="86" t="str">
        <f>_xlfn.XLOOKUP(表格1[[#This Row],[Model]],表格3[Model-Input-Ref2],表格3[TOSHIBA/HIGHEST])</f>
        <v>Web SRP</v>
      </c>
      <c r="W3516" s="86" t="str">
        <f>_xlfn.CONCAT(表格1[[#This Row],[欄4]],表格1[[#This Row],[inv no]])</f>
        <v>6157385</v>
      </c>
    </row>
    <row r="3517" spans="1:23" hidden="1">
      <c r="A3517" s="81">
        <v>3515</v>
      </c>
      <c r="B3517" s="86" t="s">
        <v>1203</v>
      </c>
      <c r="C3517" s="86" t="s">
        <v>1965</v>
      </c>
      <c r="D3517" s="82" t="str">
        <f ca="1">OFFSET(Roster!$A$3,MATCH(表格1[[#This Row],[Location]]&amp;" "&amp;表格1[[#This Row],[Shop]]&amp;"*",Roster!$A$4:$A$72,0),DAY(表格1[[#This Row],[date]]),1,1)</f>
        <v>Lily Hon</v>
      </c>
      <c r="E3517" s="86">
        <f>MONTH(表格1[[#This Row],[date]])</f>
        <v>3</v>
      </c>
      <c r="F3517" s="90">
        <v>46082</v>
      </c>
      <c r="G3517" s="86" t="str">
        <f>VLOOKUP("*"&amp;表格1[[#This Row],[Input]]&amp;"*",'Ref-List'!$B:$D,2,)</f>
        <v>DWS-34AHK</v>
      </c>
      <c r="H3517" s="86" t="str">
        <f>_xlfn.XLOOKUP(表格1[[#This Row],[Model]],表格3[Model-Input-Ref2],表格3[Product Line])</f>
        <v>獨立式免安裝洗碗碟機</v>
      </c>
      <c r="I3517" s="86" t="str">
        <f>_xlfn.XLOOKUP(表格1[[#This Row],[Model]],表格3[Model-Input-Ref2],表格3[大小電])</f>
        <v>細電</v>
      </c>
      <c r="J3517" s="86" t="str">
        <f>_xlfn.XLOOKUP(表格1[[#This Row],[Model]],表格3[Model-Input-Ref2],表格3[Code])</f>
        <v>DM</v>
      </c>
      <c r="K3517" s="89" t="s">
        <v>1240</v>
      </c>
      <c r="L3517" s="86">
        <v>1</v>
      </c>
      <c r="M3517" s="87">
        <v>1500</v>
      </c>
      <c r="N3517" s="174">
        <f>IFERROR(表格1[[#This Row],[QTY]]*表格1[[#This Row],[Unit Price]],"-")</f>
        <v>1500</v>
      </c>
      <c r="O3517" s="175">
        <v>6091521</v>
      </c>
      <c r="R3517" s="86" t="str">
        <f>_xlfn.CONCAT(表格1[[#This Row],[Model]]," ",表格1[[#This Row],[inv no]])</f>
        <v>DWS-34AHK 6091521</v>
      </c>
      <c r="S3517" s="86">
        <f>_xlfn.XLOOKUP(表格1[[#This Row],[Model]],表格3[Model-Input-Ref2],表格3[SRP PRICE])</f>
        <v>3999</v>
      </c>
      <c r="T3517" s="43">
        <f>表格1[[#This Row],[Unit Price]]/表格1[[#This Row],[SRP]]</f>
        <v>0.37509377344336087</v>
      </c>
      <c r="U3517" s="86" t="str">
        <f>_xlfn.XLOOKUP(表格1[[#This Row],[Model]],表格3[Model-Input-Ref2],表格3[TOSHIBA/HIGHEST])</f>
        <v>Web SRP</v>
      </c>
      <c r="W3517" s="86" t="str">
        <f>_xlfn.CONCAT(表格1[[#This Row],[欄4]],表格1[[#This Row],[inv no]])</f>
        <v>6091521</v>
      </c>
    </row>
    <row r="3518" spans="1:23" hidden="1">
      <c r="A3518" s="81">
        <v>3516</v>
      </c>
      <c r="B3518" s="86" t="s">
        <v>1203</v>
      </c>
      <c r="C3518" s="86" t="s">
        <v>1965</v>
      </c>
      <c r="D3518" s="82" t="str">
        <f ca="1">OFFSET(Roster!$A$3,MATCH(表格1[[#This Row],[Location]]&amp;" "&amp;表格1[[#This Row],[Shop]]&amp;"*",Roster!$A$4:$A$72,0),DAY(表格1[[#This Row],[date]]),1,1)</f>
        <v>Lily Hon</v>
      </c>
      <c r="E3518" s="86">
        <f>MONTH(表格1[[#This Row],[date]])</f>
        <v>3</v>
      </c>
      <c r="F3518" s="90">
        <v>46082</v>
      </c>
      <c r="G3518" s="86" t="str">
        <f>VLOOKUP("*"&amp;表格1[[#This Row],[Input]]&amp;"*",'Ref-List'!$B:$D,2,)</f>
        <v>RAD-Y200H</v>
      </c>
      <c r="H3518" s="86" t="str">
        <f>_xlfn.XLOOKUP(表格1[[#This Row],[Model]],表格3[Model-Input-Ref2],表格3[Product Line])</f>
        <v>21L壓縮式抽濕機</v>
      </c>
      <c r="I3518" s="86" t="str">
        <f>_xlfn.XLOOKUP(表格1[[#This Row],[Model]],表格3[Model-Input-Ref2],表格3[大小電])</f>
        <v>大電</v>
      </c>
      <c r="J3518" s="86" t="str">
        <f>_xlfn.XLOOKUP(表格1[[#This Row],[Model]],表格3[Model-Input-Ref2],表格3[Code])</f>
        <v>RAC</v>
      </c>
      <c r="K3518" s="89" t="s">
        <v>1241</v>
      </c>
      <c r="L3518" s="86">
        <v>1</v>
      </c>
      <c r="M3518" s="87">
        <v>1500</v>
      </c>
      <c r="N3518" s="174">
        <f>IFERROR(表格1[[#This Row],[QTY]]*表格1[[#This Row],[Unit Price]],"-")</f>
        <v>1500</v>
      </c>
      <c r="O3518" s="175">
        <v>6091808</v>
      </c>
      <c r="R3518" s="86" t="str">
        <f>_xlfn.CONCAT(表格1[[#This Row],[Model]]," ",表格1[[#This Row],[inv no]])</f>
        <v>RAD-Y200H 6091808</v>
      </c>
      <c r="S3518" s="86">
        <f>_xlfn.XLOOKUP(表格1[[#This Row],[Model]],表格3[Model-Input-Ref2],表格3[SRP PRICE])</f>
        <v>3280</v>
      </c>
      <c r="T3518" s="43">
        <f>表格1[[#This Row],[Unit Price]]/表格1[[#This Row],[SRP]]</f>
        <v>0.45731707317073172</v>
      </c>
      <c r="U3518" s="86" t="str">
        <f>_xlfn.XLOOKUP(表格1[[#This Row],[Model]],表格3[Model-Input-Ref2],表格3[TOSHIBA/HIGHEST])</f>
        <v>Toshiba SRP</v>
      </c>
      <c r="W3518" s="86" t="str">
        <f>_xlfn.CONCAT(表格1[[#This Row],[欄4]],表格1[[#This Row],[inv no]])</f>
        <v>6091808</v>
      </c>
    </row>
    <row r="3519" spans="1:23" hidden="1">
      <c r="A3519" s="81">
        <v>3517</v>
      </c>
      <c r="B3519" s="86" t="s">
        <v>1203</v>
      </c>
      <c r="C3519" s="86" t="s">
        <v>1965</v>
      </c>
      <c r="D3519" s="82" t="str">
        <f ca="1">OFFSET(Roster!$A$3,MATCH(表格1[[#This Row],[Location]]&amp;" "&amp;表格1[[#This Row],[Shop]]&amp;"*",Roster!$A$4:$A$72,0),DAY(表格1[[#This Row],[date]]),1,1)</f>
        <v>Lily Hon</v>
      </c>
      <c r="E3519" s="86">
        <f>MONTH(表格1[[#This Row],[date]])</f>
        <v>3</v>
      </c>
      <c r="F3519" s="90">
        <v>46082</v>
      </c>
      <c r="G3519" s="86" t="str">
        <f>VLOOKUP("*"&amp;表格1[[#This Row],[Input]]&amp;"*",'Ref-List'!$B:$D,2,)</f>
        <v>RAD-Y200H</v>
      </c>
      <c r="H3519" s="86" t="str">
        <f>_xlfn.XLOOKUP(表格1[[#This Row],[Model]],表格3[Model-Input-Ref2],表格3[Product Line])</f>
        <v>21L壓縮式抽濕機</v>
      </c>
      <c r="I3519" s="86" t="str">
        <f>_xlfn.XLOOKUP(表格1[[#This Row],[Model]],表格3[Model-Input-Ref2],表格3[大小電])</f>
        <v>大電</v>
      </c>
      <c r="J3519" s="86" t="str">
        <f>_xlfn.XLOOKUP(表格1[[#This Row],[Model]],表格3[Model-Input-Ref2],表格3[Code])</f>
        <v>RAC</v>
      </c>
      <c r="K3519" s="89" t="s">
        <v>1241</v>
      </c>
      <c r="L3519" s="86">
        <v>1</v>
      </c>
      <c r="M3519" s="87">
        <v>1500</v>
      </c>
      <c r="N3519" s="174">
        <f>IFERROR(表格1[[#This Row],[QTY]]*表格1[[#This Row],[Unit Price]],"-")</f>
        <v>1500</v>
      </c>
      <c r="O3519" s="175">
        <v>6091576</v>
      </c>
      <c r="R3519" s="86" t="str">
        <f>_xlfn.CONCAT(表格1[[#This Row],[Model]]," ",表格1[[#This Row],[inv no]])</f>
        <v>RAD-Y200H 6091576</v>
      </c>
      <c r="S3519" s="86">
        <f>_xlfn.XLOOKUP(表格1[[#This Row],[Model]],表格3[Model-Input-Ref2],表格3[SRP PRICE])</f>
        <v>3280</v>
      </c>
      <c r="T3519" s="43">
        <f>表格1[[#This Row],[Unit Price]]/表格1[[#This Row],[SRP]]</f>
        <v>0.45731707317073172</v>
      </c>
      <c r="U3519" s="86" t="str">
        <f>_xlfn.XLOOKUP(表格1[[#This Row],[Model]],表格3[Model-Input-Ref2],表格3[TOSHIBA/HIGHEST])</f>
        <v>Toshiba SRP</v>
      </c>
      <c r="W3519" s="86" t="str">
        <f>_xlfn.CONCAT(表格1[[#This Row],[欄4]],表格1[[#This Row],[inv no]])</f>
        <v>6091576</v>
      </c>
    </row>
    <row r="3520" spans="1:23" hidden="1">
      <c r="A3520" s="81">
        <v>3518</v>
      </c>
      <c r="B3520" s="86" t="s">
        <v>1203</v>
      </c>
      <c r="C3520" s="86" t="s">
        <v>1965</v>
      </c>
      <c r="D3520" s="82" t="str">
        <f ca="1">OFFSET(Roster!$A$3,MATCH(表格1[[#This Row],[Location]]&amp;" "&amp;表格1[[#This Row],[Shop]]&amp;"*",Roster!$A$4:$A$72,0),DAY(表格1[[#This Row],[date]]),1,1)</f>
        <v>Lily Hon</v>
      </c>
      <c r="E3520" s="86">
        <f>MONTH(表格1[[#This Row],[date]])</f>
        <v>3</v>
      </c>
      <c r="F3520" s="90">
        <v>46082</v>
      </c>
      <c r="G3520" s="86" t="str">
        <f>VLOOKUP("*"&amp;表格1[[#This Row],[Input]]&amp;"*",'Ref-List'!$B:$D,2,)</f>
        <v>RAD-Y200H</v>
      </c>
      <c r="H3520" s="86" t="str">
        <f>_xlfn.XLOOKUP(表格1[[#This Row],[Model]],表格3[Model-Input-Ref2],表格3[Product Line])</f>
        <v>21L壓縮式抽濕機</v>
      </c>
      <c r="I3520" s="86" t="str">
        <f>_xlfn.XLOOKUP(表格1[[#This Row],[Model]],表格3[Model-Input-Ref2],表格3[大小電])</f>
        <v>大電</v>
      </c>
      <c r="J3520" s="86" t="str">
        <f>_xlfn.XLOOKUP(表格1[[#This Row],[Model]],表格3[Model-Input-Ref2],表格3[Code])</f>
        <v>RAC</v>
      </c>
      <c r="K3520" s="89" t="s">
        <v>1241</v>
      </c>
      <c r="L3520" s="86">
        <v>1</v>
      </c>
      <c r="M3520" s="87">
        <v>1500</v>
      </c>
      <c r="N3520" s="174">
        <f>IFERROR(表格1[[#This Row],[QTY]]*表格1[[#This Row],[Unit Price]],"-")</f>
        <v>1500</v>
      </c>
      <c r="O3520" s="175">
        <v>6091294</v>
      </c>
      <c r="R3520" s="86" t="str">
        <f>_xlfn.CONCAT(表格1[[#This Row],[Model]]," ",表格1[[#This Row],[inv no]])</f>
        <v>RAD-Y200H 6091294</v>
      </c>
      <c r="S3520" s="86">
        <f>_xlfn.XLOOKUP(表格1[[#This Row],[Model]],表格3[Model-Input-Ref2],表格3[SRP PRICE])</f>
        <v>3280</v>
      </c>
      <c r="T3520" s="43">
        <f>表格1[[#This Row],[Unit Price]]/表格1[[#This Row],[SRP]]</f>
        <v>0.45731707317073172</v>
      </c>
      <c r="U3520" s="86" t="str">
        <f>_xlfn.XLOOKUP(表格1[[#This Row],[Model]],表格3[Model-Input-Ref2],表格3[TOSHIBA/HIGHEST])</f>
        <v>Toshiba SRP</v>
      </c>
      <c r="W3520" s="86" t="str">
        <f>_xlfn.CONCAT(表格1[[#This Row],[欄4]],表格1[[#This Row],[inv no]])</f>
        <v>6091294</v>
      </c>
    </row>
    <row r="3521" spans="1:23" hidden="1">
      <c r="A3521" s="81">
        <v>3519</v>
      </c>
      <c r="B3521" s="86" t="s">
        <v>1203</v>
      </c>
      <c r="C3521" s="86" t="s">
        <v>1965</v>
      </c>
      <c r="D3521" s="82" t="str">
        <f ca="1">OFFSET(Roster!$A$3,MATCH(表格1[[#This Row],[Location]]&amp;" "&amp;表格1[[#This Row],[Shop]]&amp;"*",Roster!$A$4:$A$72,0),DAY(表格1[[#This Row],[date]]),1,1)</f>
        <v>Lily Hon</v>
      </c>
      <c r="E3521" s="86">
        <f>MONTH(表格1[[#This Row],[date]])</f>
        <v>3</v>
      </c>
      <c r="F3521" s="90">
        <v>46082</v>
      </c>
      <c r="G3521" s="86" t="str">
        <f>VLOOKUP("*"&amp;表格1[[#This Row],[Input]]&amp;"*",'Ref-List'!$B:$D,2,)</f>
        <v>RAD-Y200H</v>
      </c>
      <c r="H3521" s="86" t="str">
        <f>_xlfn.XLOOKUP(表格1[[#This Row],[Model]],表格3[Model-Input-Ref2],表格3[Product Line])</f>
        <v>21L壓縮式抽濕機</v>
      </c>
      <c r="I3521" s="86" t="str">
        <f>_xlfn.XLOOKUP(表格1[[#This Row],[Model]],表格3[Model-Input-Ref2],表格3[大小電])</f>
        <v>大電</v>
      </c>
      <c r="J3521" s="86" t="str">
        <f>_xlfn.XLOOKUP(表格1[[#This Row],[Model]],表格3[Model-Input-Ref2],表格3[Code])</f>
        <v>RAC</v>
      </c>
      <c r="K3521" s="89" t="s">
        <v>1241</v>
      </c>
      <c r="L3521" s="86">
        <v>1</v>
      </c>
      <c r="M3521" s="87">
        <v>1500</v>
      </c>
      <c r="N3521" s="174">
        <f>IFERROR(表格1[[#This Row],[QTY]]*表格1[[#This Row],[Unit Price]],"-")</f>
        <v>1500</v>
      </c>
      <c r="O3521" s="175">
        <v>6091809</v>
      </c>
      <c r="R3521" s="86" t="str">
        <f>_xlfn.CONCAT(表格1[[#This Row],[Model]]," ",表格1[[#This Row],[inv no]])</f>
        <v>RAD-Y200H 6091809</v>
      </c>
      <c r="S3521" s="86">
        <f>_xlfn.XLOOKUP(表格1[[#This Row],[Model]],表格3[Model-Input-Ref2],表格3[SRP PRICE])</f>
        <v>3280</v>
      </c>
      <c r="T3521" s="43">
        <f>表格1[[#This Row],[Unit Price]]/表格1[[#This Row],[SRP]]</f>
        <v>0.45731707317073172</v>
      </c>
      <c r="U3521" s="86" t="str">
        <f>_xlfn.XLOOKUP(表格1[[#This Row],[Model]],表格3[Model-Input-Ref2],表格3[TOSHIBA/HIGHEST])</f>
        <v>Toshiba SRP</v>
      </c>
      <c r="W3521" s="86" t="str">
        <f>_xlfn.CONCAT(表格1[[#This Row],[欄4]],表格1[[#This Row],[inv no]])</f>
        <v>6091809</v>
      </c>
    </row>
    <row r="3522" spans="1:23" hidden="1">
      <c r="A3522" s="81">
        <v>3520</v>
      </c>
      <c r="B3522" s="86" t="s">
        <v>1203</v>
      </c>
      <c r="C3522" s="86" t="s">
        <v>1965</v>
      </c>
      <c r="D3522" s="82" t="str">
        <f ca="1">OFFSET(Roster!$A$3,MATCH(表格1[[#This Row],[Location]]&amp;" "&amp;表格1[[#This Row],[Shop]]&amp;"*",Roster!$A$4:$A$72,0),DAY(表格1[[#This Row],[date]]),1,1)</f>
        <v>Lily Hon</v>
      </c>
      <c r="E3522" s="86">
        <f>MONTH(表格1[[#This Row],[date]])</f>
        <v>3</v>
      </c>
      <c r="F3522" s="90">
        <v>46082</v>
      </c>
      <c r="G3522" s="86" t="str">
        <f>VLOOKUP("*"&amp;表格1[[#This Row],[Input]]&amp;"*",'Ref-List'!$B:$D,2,)</f>
        <v>RAD-Y200H</v>
      </c>
      <c r="H3522" s="86" t="str">
        <f>_xlfn.XLOOKUP(表格1[[#This Row],[Model]],表格3[Model-Input-Ref2],表格3[Product Line])</f>
        <v>21L壓縮式抽濕機</v>
      </c>
      <c r="I3522" s="86" t="str">
        <f>_xlfn.XLOOKUP(表格1[[#This Row],[Model]],表格3[Model-Input-Ref2],表格3[大小電])</f>
        <v>大電</v>
      </c>
      <c r="J3522" s="86" t="str">
        <f>_xlfn.XLOOKUP(表格1[[#This Row],[Model]],表格3[Model-Input-Ref2],表格3[Code])</f>
        <v>RAC</v>
      </c>
      <c r="K3522" s="89" t="s">
        <v>1241</v>
      </c>
      <c r="L3522" s="86">
        <v>1</v>
      </c>
      <c r="M3522" s="87">
        <v>1500</v>
      </c>
      <c r="N3522" s="174">
        <f>IFERROR(表格1[[#This Row],[QTY]]*表格1[[#This Row],[Unit Price]],"-")</f>
        <v>1500</v>
      </c>
      <c r="O3522" s="175">
        <v>6091573</v>
      </c>
      <c r="R3522" s="86" t="str">
        <f>_xlfn.CONCAT(表格1[[#This Row],[Model]]," ",表格1[[#This Row],[inv no]])</f>
        <v>RAD-Y200H 6091573</v>
      </c>
      <c r="S3522" s="86">
        <f>_xlfn.XLOOKUP(表格1[[#This Row],[Model]],表格3[Model-Input-Ref2],表格3[SRP PRICE])</f>
        <v>3280</v>
      </c>
      <c r="T3522" s="43">
        <f>表格1[[#This Row],[Unit Price]]/表格1[[#This Row],[SRP]]</f>
        <v>0.45731707317073172</v>
      </c>
      <c r="U3522" s="86" t="str">
        <f>_xlfn.XLOOKUP(表格1[[#This Row],[Model]],表格3[Model-Input-Ref2],表格3[TOSHIBA/HIGHEST])</f>
        <v>Toshiba SRP</v>
      </c>
      <c r="W3522" s="86" t="str">
        <f>_xlfn.CONCAT(表格1[[#This Row],[欄4]],表格1[[#This Row],[inv no]])</f>
        <v>6091573</v>
      </c>
    </row>
    <row r="3523" spans="1:23" hidden="1">
      <c r="A3523" s="81">
        <v>3521</v>
      </c>
      <c r="B3523" s="86" t="s">
        <v>1203</v>
      </c>
      <c r="C3523" s="86" t="s">
        <v>1965</v>
      </c>
      <c r="D3523" s="82" t="str">
        <f ca="1">OFFSET(Roster!$A$3,MATCH(表格1[[#This Row],[Location]]&amp;" "&amp;表格1[[#This Row],[Shop]]&amp;"*",Roster!$A$4:$A$72,0),DAY(表格1[[#This Row],[date]]),1,1)</f>
        <v>Lily Hon</v>
      </c>
      <c r="E3523" s="86">
        <f>MONTH(表格1[[#This Row],[date]])</f>
        <v>3</v>
      </c>
      <c r="F3523" s="90">
        <v>46082</v>
      </c>
      <c r="G3523" s="86" t="str">
        <f>VLOOKUP("*"&amp;表格1[[#This Row],[Input]]&amp;"*",'Ref-List'!$B:$D,2,)</f>
        <v>TWP-TSR76THK(W)</v>
      </c>
      <c r="H3523" s="86" t="str">
        <f>_xlfn.XLOOKUP(表格1[[#This Row],[Model]],表格3[Model-Input-Ref2],表格3[Product Line])</f>
        <v>RO座檯式飲水機</v>
      </c>
      <c r="I3523" s="86" t="str">
        <f>_xlfn.XLOOKUP(表格1[[#This Row],[Model]],表格3[Model-Input-Ref2],表格3[大小電])</f>
        <v>細電</v>
      </c>
      <c r="J3523" s="86" t="str">
        <f>_xlfn.XLOOKUP(表格1[[#This Row],[Model]],表格3[Model-Input-Ref2],表格3[Code])</f>
        <v>KWH</v>
      </c>
      <c r="K3523" s="89" t="s">
        <v>1197</v>
      </c>
      <c r="L3523" s="86">
        <v>1</v>
      </c>
      <c r="M3523" s="87">
        <v>1500</v>
      </c>
      <c r="N3523" s="174">
        <f>IFERROR(表格1[[#This Row],[QTY]]*表格1[[#This Row],[Unit Price]],"-")</f>
        <v>1500</v>
      </c>
      <c r="O3523" s="175">
        <v>6091602</v>
      </c>
      <c r="R3523" s="86" t="str">
        <f>_xlfn.CONCAT(表格1[[#This Row],[Model]]," ",表格1[[#This Row],[inv no]])</f>
        <v>TWP-TSR76THK(W) 6091602</v>
      </c>
      <c r="S3523" s="86">
        <f>_xlfn.XLOOKUP(表格1[[#This Row],[Model]],表格3[Model-Input-Ref2],表格3[SRP PRICE])</f>
        <v>2680</v>
      </c>
      <c r="T3523" s="43">
        <f>表格1[[#This Row],[Unit Price]]/表格1[[#This Row],[SRP]]</f>
        <v>0.55970149253731338</v>
      </c>
      <c r="U3523" s="86" t="str">
        <f>_xlfn.XLOOKUP(表格1[[#This Row],[Model]],表格3[Model-Input-Ref2],表格3[TOSHIBA/HIGHEST])</f>
        <v>Toshiba SRP</v>
      </c>
      <c r="W3523" s="86" t="str">
        <f>_xlfn.CONCAT(表格1[[#This Row],[欄4]],表格1[[#This Row],[inv no]])</f>
        <v>6091602</v>
      </c>
    </row>
    <row r="3524" spans="1:23" hidden="1">
      <c r="A3524" s="81">
        <v>3522</v>
      </c>
      <c r="B3524" s="86" t="s">
        <v>1203</v>
      </c>
      <c r="C3524" s="86" t="s">
        <v>1965</v>
      </c>
      <c r="D3524" s="82" t="str">
        <f ca="1">OFFSET(Roster!$A$3,MATCH(表格1[[#This Row],[Location]]&amp;" "&amp;表格1[[#This Row],[Shop]]&amp;"*",Roster!$A$4:$A$72,0),DAY(表格1[[#This Row],[date]]),1,1)</f>
        <v>Lily Hon</v>
      </c>
      <c r="E3524" s="86">
        <f>MONTH(表格1[[#This Row],[date]])</f>
        <v>3</v>
      </c>
      <c r="F3524" s="90">
        <v>46082</v>
      </c>
      <c r="G3524" s="86" t="str">
        <f>VLOOKUP("*"&amp;表格1[[#This Row],[Input]]&amp;"*",'Ref-List'!$B:$D,2,)</f>
        <v>TWP-TSR76THK(W)</v>
      </c>
      <c r="H3524" s="86" t="str">
        <f>_xlfn.XLOOKUP(表格1[[#This Row],[Model]],表格3[Model-Input-Ref2],表格3[Product Line])</f>
        <v>RO座檯式飲水機</v>
      </c>
      <c r="I3524" s="86" t="str">
        <f>_xlfn.XLOOKUP(表格1[[#This Row],[Model]],表格3[Model-Input-Ref2],表格3[大小電])</f>
        <v>細電</v>
      </c>
      <c r="J3524" s="86" t="str">
        <f>_xlfn.XLOOKUP(表格1[[#This Row],[Model]],表格3[Model-Input-Ref2],表格3[Code])</f>
        <v>KWH</v>
      </c>
      <c r="K3524" s="89" t="s">
        <v>1197</v>
      </c>
      <c r="L3524" s="86">
        <v>1</v>
      </c>
      <c r="M3524" s="87">
        <v>1500</v>
      </c>
      <c r="N3524" s="174">
        <f>IFERROR(表格1[[#This Row],[QTY]]*表格1[[#This Row],[Unit Price]],"-")</f>
        <v>1500</v>
      </c>
      <c r="O3524" s="175">
        <v>6091806</v>
      </c>
      <c r="R3524" s="86" t="str">
        <f>_xlfn.CONCAT(表格1[[#This Row],[Model]]," ",表格1[[#This Row],[inv no]])</f>
        <v>TWP-TSR76THK(W) 6091806</v>
      </c>
      <c r="S3524" s="86">
        <f>_xlfn.XLOOKUP(表格1[[#This Row],[Model]],表格3[Model-Input-Ref2],表格3[SRP PRICE])</f>
        <v>2680</v>
      </c>
      <c r="T3524" s="43">
        <f>表格1[[#This Row],[Unit Price]]/表格1[[#This Row],[SRP]]</f>
        <v>0.55970149253731338</v>
      </c>
      <c r="U3524" s="86" t="str">
        <f>_xlfn.XLOOKUP(表格1[[#This Row],[Model]],表格3[Model-Input-Ref2],表格3[TOSHIBA/HIGHEST])</f>
        <v>Toshiba SRP</v>
      </c>
      <c r="W3524" s="86" t="str">
        <f>_xlfn.CONCAT(表格1[[#This Row],[欄4]],表格1[[#This Row],[inv no]])</f>
        <v>6091806</v>
      </c>
    </row>
    <row r="3525" spans="1:23" hidden="1">
      <c r="A3525" s="81">
        <v>3523</v>
      </c>
      <c r="B3525" s="86" t="s">
        <v>1203</v>
      </c>
      <c r="C3525" s="86" t="s">
        <v>1965</v>
      </c>
      <c r="D3525" s="82" t="str">
        <f ca="1">OFFSET(Roster!$A$3,MATCH(表格1[[#This Row],[Location]]&amp;" "&amp;表格1[[#This Row],[Shop]]&amp;"*",Roster!$A$4:$A$72,0),DAY(表格1[[#This Row],[date]]),1,1)</f>
        <v>Lily Hon</v>
      </c>
      <c r="E3525" s="86">
        <f>MONTH(表格1[[#This Row],[date]])</f>
        <v>3</v>
      </c>
      <c r="F3525" s="90">
        <v>46082</v>
      </c>
      <c r="G3525" s="86" t="str">
        <f>VLOOKUP("*"&amp;表格1[[#This Row],[Input]]&amp;"*",'Ref-List'!$B:$D,2,)</f>
        <v>TWP-TSR76THK(W)</v>
      </c>
      <c r="H3525" s="86" t="str">
        <f>_xlfn.XLOOKUP(表格1[[#This Row],[Model]],表格3[Model-Input-Ref2],表格3[Product Line])</f>
        <v>RO座檯式飲水機</v>
      </c>
      <c r="I3525" s="86" t="str">
        <f>_xlfn.XLOOKUP(表格1[[#This Row],[Model]],表格3[Model-Input-Ref2],表格3[大小電])</f>
        <v>細電</v>
      </c>
      <c r="J3525" s="86" t="str">
        <f>_xlfn.XLOOKUP(表格1[[#This Row],[Model]],表格3[Model-Input-Ref2],表格3[Code])</f>
        <v>KWH</v>
      </c>
      <c r="K3525" s="89" t="s">
        <v>1197</v>
      </c>
      <c r="L3525" s="86">
        <v>1</v>
      </c>
      <c r="M3525" s="87">
        <v>1500</v>
      </c>
      <c r="N3525" s="174">
        <f>IFERROR(表格1[[#This Row],[QTY]]*表格1[[#This Row],[Unit Price]],"-")</f>
        <v>1500</v>
      </c>
      <c r="O3525" s="175">
        <v>6091831</v>
      </c>
      <c r="R3525" s="86" t="str">
        <f>_xlfn.CONCAT(表格1[[#This Row],[Model]]," ",表格1[[#This Row],[inv no]])</f>
        <v>TWP-TSR76THK(W) 6091831</v>
      </c>
      <c r="S3525" s="86">
        <f>_xlfn.XLOOKUP(表格1[[#This Row],[Model]],表格3[Model-Input-Ref2],表格3[SRP PRICE])</f>
        <v>2680</v>
      </c>
      <c r="T3525" s="43">
        <f>表格1[[#This Row],[Unit Price]]/表格1[[#This Row],[SRP]]</f>
        <v>0.55970149253731338</v>
      </c>
      <c r="U3525" s="86" t="str">
        <f>_xlfn.XLOOKUP(表格1[[#This Row],[Model]],表格3[Model-Input-Ref2],表格3[TOSHIBA/HIGHEST])</f>
        <v>Toshiba SRP</v>
      </c>
      <c r="W3525" s="86" t="str">
        <f>_xlfn.CONCAT(表格1[[#This Row],[欄4]],表格1[[#This Row],[inv no]])</f>
        <v>6091831</v>
      </c>
    </row>
    <row r="3526" spans="1:23" hidden="1">
      <c r="A3526" s="81">
        <v>3524</v>
      </c>
      <c r="B3526" s="86" t="s">
        <v>1203</v>
      </c>
      <c r="C3526" s="86" t="s">
        <v>1965</v>
      </c>
      <c r="D3526" s="82" t="str">
        <f ca="1">OFFSET(Roster!$A$3,MATCH(表格1[[#This Row],[Location]]&amp;" "&amp;表格1[[#This Row],[Shop]]&amp;"*",Roster!$A$4:$A$72,0),DAY(表格1[[#This Row],[date]]),1,1)</f>
        <v>Lily Hon</v>
      </c>
      <c r="E3526" s="86">
        <f>MONTH(表格1[[#This Row],[date]])</f>
        <v>3</v>
      </c>
      <c r="F3526" s="90">
        <v>46082</v>
      </c>
      <c r="G3526" s="86" t="str">
        <f>VLOOKUP("*"&amp;表格1[[#This Row],[Input]]&amp;"*",'Ref-List'!$B:$D,2,)</f>
        <v>RC-15ISTHK(W)</v>
      </c>
      <c r="H3526" s="86" t="str">
        <f>_xlfn.XLOOKUP(表格1[[#This Row],[Model]],表格3[Model-Input-Ref2],表格3[Product Line])</f>
        <v>磁應電飯煲(1.5公升)</v>
      </c>
      <c r="I3526" s="86" t="str">
        <f>_xlfn.XLOOKUP(表格1[[#This Row],[Model]],表格3[Model-Input-Ref2],表格3[大小電])</f>
        <v>細電</v>
      </c>
      <c r="J3526" s="86" t="str">
        <f>_xlfn.XLOOKUP(表格1[[#This Row],[Model]],表格3[Model-Input-Ref2],表格3[Code])</f>
        <v>SDA</v>
      </c>
      <c r="K3526" s="89" t="s">
        <v>1204</v>
      </c>
      <c r="L3526" s="86">
        <v>1</v>
      </c>
      <c r="M3526" s="87">
        <v>500</v>
      </c>
      <c r="N3526" s="174">
        <f>IFERROR(表格1[[#This Row],[QTY]]*表格1[[#This Row],[Unit Price]],"-")</f>
        <v>500</v>
      </c>
      <c r="O3526" s="175">
        <v>6091547</v>
      </c>
      <c r="R3526" s="86" t="str">
        <f>_xlfn.CONCAT(表格1[[#This Row],[Model]]," ",表格1[[#This Row],[inv no]])</f>
        <v>RC-15ISTHK(W) 6091547</v>
      </c>
      <c r="S3526" s="86">
        <f>_xlfn.XLOOKUP(表格1[[#This Row],[Model]],表格3[Model-Input-Ref2],表格3[SRP PRICE])</f>
        <v>1688</v>
      </c>
      <c r="T3526" s="43">
        <f>表格1[[#This Row],[Unit Price]]/表格1[[#This Row],[SRP]]</f>
        <v>0.29620853080568721</v>
      </c>
      <c r="U3526" s="86" t="str">
        <f>_xlfn.XLOOKUP(表格1[[#This Row],[Model]],表格3[Model-Input-Ref2],表格3[TOSHIBA/HIGHEST])</f>
        <v>Toshiba SRP</v>
      </c>
      <c r="W3526" s="86" t="str">
        <f>_xlfn.CONCAT(表格1[[#This Row],[欄4]],表格1[[#This Row],[inv no]])</f>
        <v>6091547</v>
      </c>
    </row>
    <row r="3527" spans="1:23" hidden="1">
      <c r="A3527" s="81">
        <v>3525</v>
      </c>
      <c r="B3527" s="86" t="s">
        <v>1203</v>
      </c>
      <c r="C3527" s="86" t="s">
        <v>1965</v>
      </c>
      <c r="D3527" s="82" t="str">
        <f ca="1">OFFSET(Roster!$A$3,MATCH(表格1[[#This Row],[Location]]&amp;" "&amp;表格1[[#This Row],[Shop]]&amp;"*",Roster!$A$4:$A$72,0),DAY(表格1[[#This Row],[date]]),1,1)</f>
        <v>Lily Hon</v>
      </c>
      <c r="E3527" s="86">
        <f>MONTH(表格1[[#This Row],[date]])</f>
        <v>3</v>
      </c>
      <c r="F3527" s="90">
        <v>46082</v>
      </c>
      <c r="G3527" s="86" t="str">
        <f>VLOOKUP("*"&amp;表格1[[#This Row],[Input]]&amp;"*",'Ref-List'!$B:$D,2,)</f>
        <v>RC-15ISTHK(W)</v>
      </c>
      <c r="H3527" s="86" t="str">
        <f>_xlfn.XLOOKUP(表格1[[#This Row],[Model]],表格3[Model-Input-Ref2],表格3[Product Line])</f>
        <v>磁應電飯煲(1.5公升)</v>
      </c>
      <c r="I3527" s="86" t="str">
        <f>_xlfn.XLOOKUP(表格1[[#This Row],[Model]],表格3[Model-Input-Ref2],表格3[大小電])</f>
        <v>細電</v>
      </c>
      <c r="J3527" s="86" t="str">
        <f>_xlfn.XLOOKUP(表格1[[#This Row],[Model]],表格3[Model-Input-Ref2],表格3[Code])</f>
        <v>SDA</v>
      </c>
      <c r="K3527" s="89" t="s">
        <v>1204</v>
      </c>
      <c r="L3527" s="86">
        <v>1</v>
      </c>
      <c r="M3527" s="87">
        <v>500</v>
      </c>
      <c r="N3527" s="174">
        <f>IFERROR(表格1[[#This Row],[QTY]]*表格1[[#This Row],[Unit Price]],"-")</f>
        <v>500</v>
      </c>
      <c r="O3527" s="175">
        <v>6091842</v>
      </c>
      <c r="R3527" s="86" t="str">
        <f>_xlfn.CONCAT(表格1[[#This Row],[Model]]," ",表格1[[#This Row],[inv no]])</f>
        <v>RC-15ISTHK(W) 6091842</v>
      </c>
      <c r="S3527" s="86">
        <f>_xlfn.XLOOKUP(表格1[[#This Row],[Model]],表格3[Model-Input-Ref2],表格3[SRP PRICE])</f>
        <v>1688</v>
      </c>
      <c r="T3527" s="43">
        <f>表格1[[#This Row],[Unit Price]]/表格1[[#This Row],[SRP]]</f>
        <v>0.29620853080568721</v>
      </c>
      <c r="U3527" s="86" t="str">
        <f>_xlfn.XLOOKUP(表格1[[#This Row],[Model]],表格3[Model-Input-Ref2],表格3[TOSHIBA/HIGHEST])</f>
        <v>Toshiba SRP</v>
      </c>
      <c r="W3527" s="86" t="str">
        <f>_xlfn.CONCAT(表格1[[#This Row],[欄4]],表格1[[#This Row],[inv no]])</f>
        <v>6091842</v>
      </c>
    </row>
    <row r="3528" spans="1:23" hidden="1">
      <c r="A3528" s="81">
        <v>3526</v>
      </c>
      <c r="B3528" s="86" t="s">
        <v>1203</v>
      </c>
      <c r="C3528" s="86" t="s">
        <v>1965</v>
      </c>
      <c r="D3528" s="82" t="str">
        <f ca="1">OFFSET(Roster!$A$3,MATCH(表格1[[#This Row],[Location]]&amp;" "&amp;表格1[[#This Row],[Shop]]&amp;"*",Roster!$A$4:$A$72,0),DAY(表格1[[#This Row],[date]]),1,1)</f>
        <v>Lily Hon</v>
      </c>
      <c r="E3528" s="86">
        <f>MONTH(表格1[[#This Row],[date]])</f>
        <v>3</v>
      </c>
      <c r="F3528" s="90">
        <v>46082</v>
      </c>
      <c r="G3528" s="86" t="str">
        <f>VLOOKUP("*"&amp;表格1[[#This Row],[Input]]&amp;"*",'Ref-List'!$B:$D,2,)</f>
        <v>RC-15ISTHK(W)</v>
      </c>
      <c r="H3528" s="86" t="str">
        <f>_xlfn.XLOOKUP(表格1[[#This Row],[Model]],表格3[Model-Input-Ref2],表格3[Product Line])</f>
        <v>磁應電飯煲(1.5公升)</v>
      </c>
      <c r="I3528" s="86" t="str">
        <f>_xlfn.XLOOKUP(表格1[[#This Row],[Model]],表格3[Model-Input-Ref2],表格3[大小電])</f>
        <v>細電</v>
      </c>
      <c r="J3528" s="86" t="str">
        <f>_xlfn.XLOOKUP(表格1[[#This Row],[Model]],表格3[Model-Input-Ref2],表格3[Code])</f>
        <v>SDA</v>
      </c>
      <c r="K3528" s="89" t="s">
        <v>1204</v>
      </c>
      <c r="L3528" s="86">
        <v>1</v>
      </c>
      <c r="M3528" s="87">
        <v>500</v>
      </c>
      <c r="N3528" s="174">
        <f>IFERROR(表格1[[#This Row],[QTY]]*表格1[[#This Row],[Unit Price]],"-")</f>
        <v>500</v>
      </c>
      <c r="O3528" s="175">
        <v>6091551</v>
      </c>
      <c r="R3528" s="86" t="str">
        <f>_xlfn.CONCAT(表格1[[#This Row],[Model]]," ",表格1[[#This Row],[inv no]])</f>
        <v>RC-15ISTHK(W) 6091551</v>
      </c>
      <c r="S3528" s="86">
        <f>_xlfn.XLOOKUP(表格1[[#This Row],[Model]],表格3[Model-Input-Ref2],表格3[SRP PRICE])</f>
        <v>1688</v>
      </c>
      <c r="T3528" s="43">
        <f>表格1[[#This Row],[Unit Price]]/表格1[[#This Row],[SRP]]</f>
        <v>0.29620853080568721</v>
      </c>
      <c r="U3528" s="86" t="str">
        <f>_xlfn.XLOOKUP(表格1[[#This Row],[Model]],表格3[Model-Input-Ref2],表格3[TOSHIBA/HIGHEST])</f>
        <v>Toshiba SRP</v>
      </c>
      <c r="W3528" s="86" t="str">
        <f>_xlfn.CONCAT(表格1[[#This Row],[欄4]],表格1[[#This Row],[inv no]])</f>
        <v>6091551</v>
      </c>
    </row>
    <row r="3529" spans="1:23" hidden="1">
      <c r="A3529" s="81">
        <v>3527</v>
      </c>
      <c r="B3529" s="86" t="s">
        <v>1203</v>
      </c>
      <c r="C3529" s="86" t="s">
        <v>1965</v>
      </c>
      <c r="D3529" s="82" t="str">
        <f ca="1">OFFSET(Roster!$A$3,MATCH(表格1[[#This Row],[Location]]&amp;" "&amp;表格1[[#This Row],[Shop]]&amp;"*",Roster!$A$4:$A$72,0),DAY(表格1[[#This Row],[date]]),1,1)</f>
        <v>Lily Hon</v>
      </c>
      <c r="E3529" s="86">
        <f>MONTH(表格1[[#This Row],[date]])</f>
        <v>3</v>
      </c>
      <c r="F3529" s="90">
        <v>46082</v>
      </c>
      <c r="G3529" s="86" t="str">
        <f>VLOOKUP("*"&amp;表格1[[#This Row],[Input]]&amp;"*",'Ref-List'!$B:$D,2,)</f>
        <v>RC-15ISTHK(W)</v>
      </c>
      <c r="H3529" s="86" t="str">
        <f>_xlfn.XLOOKUP(表格1[[#This Row],[Model]],表格3[Model-Input-Ref2],表格3[Product Line])</f>
        <v>磁應電飯煲(1.5公升)</v>
      </c>
      <c r="I3529" s="86" t="str">
        <f>_xlfn.XLOOKUP(表格1[[#This Row],[Model]],表格3[Model-Input-Ref2],表格3[大小電])</f>
        <v>細電</v>
      </c>
      <c r="J3529" s="86" t="str">
        <f>_xlfn.XLOOKUP(表格1[[#This Row],[Model]],表格3[Model-Input-Ref2],表格3[Code])</f>
        <v>SDA</v>
      </c>
      <c r="K3529" s="89" t="s">
        <v>1204</v>
      </c>
      <c r="L3529" s="86">
        <v>1</v>
      </c>
      <c r="M3529" s="87">
        <v>500</v>
      </c>
      <c r="N3529" s="174">
        <f>IFERROR(表格1[[#This Row],[QTY]]*表格1[[#This Row],[Unit Price]],"-")</f>
        <v>500</v>
      </c>
      <c r="O3529" s="175">
        <v>6091574</v>
      </c>
      <c r="R3529" s="86" t="str">
        <f>_xlfn.CONCAT(表格1[[#This Row],[Model]]," ",表格1[[#This Row],[inv no]])</f>
        <v>RC-15ISTHK(W) 6091574</v>
      </c>
      <c r="S3529" s="86">
        <f>_xlfn.XLOOKUP(表格1[[#This Row],[Model]],表格3[Model-Input-Ref2],表格3[SRP PRICE])</f>
        <v>1688</v>
      </c>
      <c r="T3529" s="43">
        <f>表格1[[#This Row],[Unit Price]]/表格1[[#This Row],[SRP]]</f>
        <v>0.29620853080568721</v>
      </c>
      <c r="U3529" s="86" t="str">
        <f>_xlfn.XLOOKUP(表格1[[#This Row],[Model]],表格3[Model-Input-Ref2],表格3[TOSHIBA/HIGHEST])</f>
        <v>Toshiba SRP</v>
      </c>
      <c r="W3529" s="86" t="str">
        <f>_xlfn.CONCAT(表格1[[#This Row],[欄4]],表格1[[#This Row],[inv no]])</f>
        <v>6091574</v>
      </c>
    </row>
    <row r="3530" spans="1:23" hidden="1">
      <c r="A3530" s="81">
        <v>3528</v>
      </c>
      <c r="B3530" s="86" t="s">
        <v>1203</v>
      </c>
      <c r="C3530" s="86" t="s">
        <v>1965</v>
      </c>
      <c r="D3530" s="82" t="str">
        <f ca="1">OFFSET(Roster!$A$3,MATCH(表格1[[#This Row],[Location]]&amp;" "&amp;表格1[[#This Row],[Shop]]&amp;"*",Roster!$A$4:$A$72,0),DAY(表格1[[#This Row],[date]]),1,1)</f>
        <v>Lily Hon</v>
      </c>
      <c r="E3530" s="86">
        <f>MONTH(表格1[[#This Row],[date]])</f>
        <v>3</v>
      </c>
      <c r="F3530" s="90">
        <v>46082</v>
      </c>
      <c r="G3530" s="86" t="str">
        <f>VLOOKUP("*"&amp;表格1[[#This Row],[Input]]&amp;"*",'Ref-List'!$B:$D,2,)</f>
        <v>RC-15ISTHK(W)</v>
      </c>
      <c r="H3530" s="86" t="str">
        <f>_xlfn.XLOOKUP(表格1[[#This Row],[Model]],表格3[Model-Input-Ref2],表格3[Product Line])</f>
        <v>磁應電飯煲(1.5公升)</v>
      </c>
      <c r="I3530" s="86" t="str">
        <f>_xlfn.XLOOKUP(表格1[[#This Row],[Model]],表格3[Model-Input-Ref2],表格3[大小電])</f>
        <v>細電</v>
      </c>
      <c r="J3530" s="86" t="str">
        <f>_xlfn.XLOOKUP(表格1[[#This Row],[Model]],表格3[Model-Input-Ref2],表格3[Code])</f>
        <v>SDA</v>
      </c>
      <c r="K3530" s="89" t="s">
        <v>1204</v>
      </c>
      <c r="L3530" s="86">
        <v>1</v>
      </c>
      <c r="M3530" s="87">
        <v>500</v>
      </c>
      <c r="N3530" s="174">
        <f>IFERROR(表格1[[#This Row],[QTY]]*表格1[[#This Row],[Unit Price]],"-")</f>
        <v>500</v>
      </c>
      <c r="O3530" s="175">
        <v>6091813</v>
      </c>
      <c r="R3530" s="86" t="str">
        <f>_xlfn.CONCAT(表格1[[#This Row],[Model]]," ",表格1[[#This Row],[inv no]])</f>
        <v>RC-15ISTHK(W) 6091813</v>
      </c>
      <c r="S3530" s="86">
        <f>_xlfn.XLOOKUP(表格1[[#This Row],[Model]],表格3[Model-Input-Ref2],表格3[SRP PRICE])</f>
        <v>1688</v>
      </c>
      <c r="T3530" s="43">
        <f>表格1[[#This Row],[Unit Price]]/表格1[[#This Row],[SRP]]</f>
        <v>0.29620853080568721</v>
      </c>
      <c r="U3530" s="86" t="str">
        <f>_xlfn.XLOOKUP(表格1[[#This Row],[Model]],表格3[Model-Input-Ref2],表格3[TOSHIBA/HIGHEST])</f>
        <v>Toshiba SRP</v>
      </c>
      <c r="W3530" s="86" t="str">
        <f>_xlfn.CONCAT(表格1[[#This Row],[欄4]],表格1[[#This Row],[inv no]])</f>
        <v>6091813</v>
      </c>
    </row>
    <row r="3531" spans="1:23" hidden="1">
      <c r="A3531" s="81">
        <v>3529</v>
      </c>
      <c r="B3531" s="86" t="s">
        <v>1203</v>
      </c>
      <c r="C3531" s="86" t="s">
        <v>1965</v>
      </c>
      <c r="D3531" s="82" t="str">
        <f ca="1">OFFSET(Roster!$A$3,MATCH(表格1[[#This Row],[Location]]&amp;" "&amp;表格1[[#This Row],[Shop]]&amp;"*",Roster!$A$4:$A$72,0),DAY(表格1[[#This Row],[date]]),1,1)</f>
        <v>Lily Hon</v>
      </c>
      <c r="E3531" s="86">
        <f>MONTH(表格1[[#This Row],[date]])</f>
        <v>3</v>
      </c>
      <c r="F3531" s="90">
        <v>46082</v>
      </c>
      <c r="G3531" s="86" t="str">
        <f>VLOOKUP("*"&amp;表格1[[#This Row],[Input]]&amp;"*",'Ref-List'!$B:$D,2,)</f>
        <v>RC-15ISTHK(W)</v>
      </c>
      <c r="H3531" s="86" t="str">
        <f>_xlfn.XLOOKUP(表格1[[#This Row],[Model]],表格3[Model-Input-Ref2],表格3[Product Line])</f>
        <v>磁應電飯煲(1.5公升)</v>
      </c>
      <c r="I3531" s="86" t="str">
        <f>_xlfn.XLOOKUP(表格1[[#This Row],[Model]],表格3[Model-Input-Ref2],表格3[大小電])</f>
        <v>細電</v>
      </c>
      <c r="J3531" s="86" t="str">
        <f>_xlfn.XLOOKUP(表格1[[#This Row],[Model]],表格3[Model-Input-Ref2],表格3[Code])</f>
        <v>SDA</v>
      </c>
      <c r="K3531" s="89" t="s">
        <v>1204</v>
      </c>
      <c r="L3531" s="86">
        <v>1</v>
      </c>
      <c r="M3531" s="87">
        <v>500</v>
      </c>
      <c r="N3531" s="174">
        <f>IFERROR(表格1[[#This Row],[QTY]]*表格1[[#This Row],[Unit Price]],"-")</f>
        <v>500</v>
      </c>
      <c r="O3531" s="175">
        <v>6091608</v>
      </c>
      <c r="R3531" s="86" t="str">
        <f>_xlfn.CONCAT(表格1[[#This Row],[Model]]," ",表格1[[#This Row],[inv no]])</f>
        <v>RC-15ISTHK(W) 6091608</v>
      </c>
      <c r="S3531" s="86">
        <f>_xlfn.XLOOKUP(表格1[[#This Row],[Model]],表格3[Model-Input-Ref2],表格3[SRP PRICE])</f>
        <v>1688</v>
      </c>
      <c r="T3531" s="43">
        <f>表格1[[#This Row],[Unit Price]]/表格1[[#This Row],[SRP]]</f>
        <v>0.29620853080568721</v>
      </c>
      <c r="U3531" s="86" t="str">
        <f>_xlfn.XLOOKUP(表格1[[#This Row],[Model]],表格3[Model-Input-Ref2],表格3[TOSHIBA/HIGHEST])</f>
        <v>Toshiba SRP</v>
      </c>
      <c r="W3531" s="86" t="str">
        <f>_xlfn.CONCAT(表格1[[#This Row],[欄4]],表格1[[#This Row],[inv no]])</f>
        <v>6091608</v>
      </c>
    </row>
    <row r="3532" spans="1:23" hidden="1">
      <c r="A3532" s="81">
        <v>3530</v>
      </c>
      <c r="B3532" s="86" t="s">
        <v>1203</v>
      </c>
      <c r="C3532" s="86" t="s">
        <v>1965</v>
      </c>
      <c r="D3532" s="82" t="str">
        <f ca="1">OFFSET(Roster!$A$3,MATCH(表格1[[#This Row],[Location]]&amp;" "&amp;表格1[[#This Row],[Shop]]&amp;"*",Roster!$A$4:$A$72,0),DAY(表格1[[#This Row],[date]]),1,1)</f>
        <v>Lily Hon</v>
      </c>
      <c r="E3532" s="86">
        <f>MONTH(表格1[[#This Row],[date]])</f>
        <v>3</v>
      </c>
      <c r="F3532" s="90">
        <v>46082</v>
      </c>
      <c r="G3532" s="86" t="str">
        <f>VLOOKUP("*"&amp;表格1[[#This Row],[Input]]&amp;"*",'Ref-List'!$B:$D,2,)</f>
        <v>RC-15ISTHK(W)</v>
      </c>
      <c r="H3532" s="86" t="str">
        <f>_xlfn.XLOOKUP(表格1[[#This Row],[Model]],表格3[Model-Input-Ref2],表格3[Product Line])</f>
        <v>磁應電飯煲(1.5公升)</v>
      </c>
      <c r="I3532" s="86" t="str">
        <f>_xlfn.XLOOKUP(表格1[[#This Row],[Model]],表格3[Model-Input-Ref2],表格3[大小電])</f>
        <v>細電</v>
      </c>
      <c r="J3532" s="86" t="str">
        <f>_xlfn.XLOOKUP(表格1[[#This Row],[Model]],表格3[Model-Input-Ref2],表格3[Code])</f>
        <v>SDA</v>
      </c>
      <c r="K3532" s="89" t="s">
        <v>1204</v>
      </c>
      <c r="L3532" s="86">
        <v>1</v>
      </c>
      <c r="M3532" s="87">
        <v>500</v>
      </c>
      <c r="N3532" s="174">
        <f>IFERROR(表格1[[#This Row],[QTY]]*表格1[[#This Row],[Unit Price]],"-")</f>
        <v>500</v>
      </c>
      <c r="O3532" s="175">
        <v>6091603</v>
      </c>
      <c r="R3532" s="86" t="str">
        <f>_xlfn.CONCAT(表格1[[#This Row],[Model]]," ",表格1[[#This Row],[inv no]])</f>
        <v>RC-15ISTHK(W) 6091603</v>
      </c>
      <c r="S3532" s="86">
        <f>_xlfn.XLOOKUP(表格1[[#This Row],[Model]],表格3[Model-Input-Ref2],表格3[SRP PRICE])</f>
        <v>1688</v>
      </c>
      <c r="T3532" s="43">
        <f>表格1[[#This Row],[Unit Price]]/表格1[[#This Row],[SRP]]</f>
        <v>0.29620853080568721</v>
      </c>
      <c r="U3532" s="86" t="str">
        <f>_xlfn.XLOOKUP(表格1[[#This Row],[Model]],表格3[Model-Input-Ref2],表格3[TOSHIBA/HIGHEST])</f>
        <v>Toshiba SRP</v>
      </c>
      <c r="W3532" s="86" t="str">
        <f>_xlfn.CONCAT(表格1[[#This Row],[欄4]],表格1[[#This Row],[inv no]])</f>
        <v>6091603</v>
      </c>
    </row>
    <row r="3533" spans="1:23" hidden="1">
      <c r="A3533" s="81">
        <v>3531</v>
      </c>
      <c r="B3533" s="86" t="s">
        <v>1203</v>
      </c>
      <c r="C3533" s="86" t="s">
        <v>1964</v>
      </c>
      <c r="D3533" s="82" t="str">
        <f ca="1">OFFSET(Roster!$A$3,MATCH(表格1[[#This Row],[Location]]&amp;" "&amp;表格1[[#This Row],[Shop]]&amp;"*",Roster!$A$4:$A$72,0),DAY(表格1[[#This Row],[date]]),1,1)</f>
        <v>Lily Hon</v>
      </c>
      <c r="E3533" s="86">
        <f>MONTH(表格1[[#This Row],[date]])</f>
        <v>3</v>
      </c>
      <c r="F3533" s="90">
        <v>46082</v>
      </c>
      <c r="G3533" s="86" t="str">
        <f>VLOOKUP("*"&amp;表格1[[#This Row],[Input]]&amp;"*",'Ref-List'!$B:$D,2,)</f>
        <v>IC-21TSHK</v>
      </c>
      <c r="H3533" s="86" t="str">
        <f>_xlfn.XLOOKUP(表格1[[#This Row],[Model]],表格3[Model-Input-Ref2],表格3[Product Line])</f>
        <v>Induction Cooker</v>
      </c>
      <c r="I3533" s="86" t="str">
        <f>_xlfn.XLOOKUP(表格1[[#This Row],[Model]],表格3[Model-Input-Ref2],表格3[大小電])</f>
        <v>細電</v>
      </c>
      <c r="J3533" s="86" t="str">
        <f>_xlfn.XLOOKUP(表格1[[#This Row],[Model]],表格3[Model-Input-Ref2],表格3[Code])</f>
        <v>SDA</v>
      </c>
      <c r="K3533" s="89" t="s">
        <v>1242</v>
      </c>
      <c r="L3533" s="86">
        <v>1</v>
      </c>
      <c r="M3533" s="87">
        <v>500</v>
      </c>
      <c r="N3533" s="174">
        <f>IFERROR(表格1[[#This Row],[QTY]]*表格1[[#This Row],[Unit Price]],"-")</f>
        <v>500</v>
      </c>
      <c r="O3533" s="175">
        <v>6091523</v>
      </c>
      <c r="R3533" s="86" t="str">
        <f>_xlfn.CONCAT(表格1[[#This Row],[Model]]," ",表格1[[#This Row],[inv no]])</f>
        <v>IC-21TSHK 6091523</v>
      </c>
      <c r="S3533" s="86">
        <f>_xlfn.XLOOKUP(表格1[[#This Row],[Model]],表格3[Model-Input-Ref2],表格3[SRP PRICE])</f>
        <v>998</v>
      </c>
      <c r="T3533" s="43">
        <f>表格1[[#This Row],[Unit Price]]/表格1[[#This Row],[SRP]]</f>
        <v>0.50100200400801598</v>
      </c>
      <c r="U3533" s="86" t="str">
        <f>_xlfn.XLOOKUP(表格1[[#This Row],[Model]],表格3[Model-Input-Ref2],表格3[TOSHIBA/HIGHEST])</f>
        <v>web SRP</v>
      </c>
      <c r="W3533" s="86" t="str">
        <f>_xlfn.CONCAT(表格1[[#This Row],[欄4]],表格1[[#This Row],[inv no]])</f>
        <v>6091523</v>
      </c>
    </row>
    <row r="3534" spans="1:23" hidden="1">
      <c r="A3534" s="81">
        <v>3532</v>
      </c>
      <c r="B3534" s="86" t="s">
        <v>1203</v>
      </c>
      <c r="C3534" s="86" t="s">
        <v>1964</v>
      </c>
      <c r="D3534" s="82" t="str">
        <f ca="1">OFFSET(Roster!$A$3,MATCH(表格1[[#This Row],[Location]]&amp;" "&amp;表格1[[#This Row],[Shop]]&amp;"*",Roster!$A$4:$A$72,0),DAY(表格1[[#This Row],[date]]),1,1)</f>
        <v>Lily Hon</v>
      </c>
      <c r="E3534" s="86">
        <f>MONTH(表格1[[#This Row],[date]])</f>
        <v>3</v>
      </c>
      <c r="F3534" s="90">
        <v>46082</v>
      </c>
      <c r="G3534" s="86" t="str">
        <f>VLOOKUP("*"&amp;表格1[[#This Row],[Input]]&amp;"*",'Ref-List'!$B:$D,2,)</f>
        <v>IC-21TSHK</v>
      </c>
      <c r="H3534" s="86" t="str">
        <f>_xlfn.XLOOKUP(表格1[[#This Row],[Model]],表格3[Model-Input-Ref2],表格3[Product Line])</f>
        <v>Induction Cooker</v>
      </c>
      <c r="I3534" s="86" t="str">
        <f>_xlfn.XLOOKUP(表格1[[#This Row],[Model]],表格3[Model-Input-Ref2],表格3[大小電])</f>
        <v>細電</v>
      </c>
      <c r="J3534" s="86" t="str">
        <f>_xlfn.XLOOKUP(表格1[[#This Row],[Model]],表格3[Model-Input-Ref2],表格3[Code])</f>
        <v>SDA</v>
      </c>
      <c r="K3534" s="89" t="s">
        <v>1242</v>
      </c>
      <c r="L3534" s="86">
        <v>1</v>
      </c>
      <c r="M3534" s="87">
        <v>500</v>
      </c>
      <c r="N3534" s="174">
        <f>IFERROR(表格1[[#This Row],[QTY]]*表格1[[#This Row],[Unit Price]],"-")</f>
        <v>500</v>
      </c>
      <c r="O3534" s="175">
        <v>6091554</v>
      </c>
      <c r="R3534" s="86" t="str">
        <f>_xlfn.CONCAT(表格1[[#This Row],[Model]]," ",表格1[[#This Row],[inv no]])</f>
        <v>IC-21TSHK 6091554</v>
      </c>
      <c r="S3534" s="86">
        <f>_xlfn.XLOOKUP(表格1[[#This Row],[Model]],表格3[Model-Input-Ref2],表格3[SRP PRICE])</f>
        <v>998</v>
      </c>
      <c r="T3534" s="43">
        <f>表格1[[#This Row],[Unit Price]]/表格1[[#This Row],[SRP]]</f>
        <v>0.50100200400801598</v>
      </c>
      <c r="U3534" s="86" t="str">
        <f>_xlfn.XLOOKUP(表格1[[#This Row],[Model]],表格3[Model-Input-Ref2],表格3[TOSHIBA/HIGHEST])</f>
        <v>web SRP</v>
      </c>
      <c r="W3534" s="86" t="str">
        <f>_xlfn.CONCAT(表格1[[#This Row],[欄4]],表格1[[#This Row],[inv no]])</f>
        <v>6091554</v>
      </c>
    </row>
    <row r="3535" spans="1:23" hidden="1">
      <c r="A3535" s="81">
        <v>3533</v>
      </c>
      <c r="B3535" s="86" t="s">
        <v>1203</v>
      </c>
      <c r="C3535" s="86" t="s">
        <v>1964</v>
      </c>
      <c r="D3535" s="82" t="str">
        <f ca="1">OFFSET(Roster!$A$3,MATCH(表格1[[#This Row],[Location]]&amp;" "&amp;表格1[[#This Row],[Shop]]&amp;"*",Roster!$A$4:$A$72,0),DAY(表格1[[#This Row],[date]]),1,1)</f>
        <v>Lily Hon</v>
      </c>
      <c r="E3535" s="86">
        <f>MONTH(表格1[[#This Row],[date]])</f>
        <v>3</v>
      </c>
      <c r="F3535" s="90">
        <v>46082</v>
      </c>
      <c r="G3535" s="86" t="str">
        <f>VLOOKUP("*"&amp;表格1[[#This Row],[Input]]&amp;"*",'Ref-List'!$B:$D,2,)</f>
        <v>IC-21TSHK</v>
      </c>
      <c r="H3535" s="86" t="str">
        <f>_xlfn.XLOOKUP(表格1[[#This Row],[Model]],表格3[Model-Input-Ref2],表格3[Product Line])</f>
        <v>Induction Cooker</v>
      </c>
      <c r="I3535" s="86" t="str">
        <f>_xlfn.XLOOKUP(表格1[[#This Row],[Model]],表格3[Model-Input-Ref2],表格3[大小電])</f>
        <v>細電</v>
      </c>
      <c r="J3535" s="86" t="str">
        <f>_xlfn.XLOOKUP(表格1[[#This Row],[Model]],表格3[Model-Input-Ref2],表格3[Code])</f>
        <v>SDA</v>
      </c>
      <c r="K3535" s="89" t="s">
        <v>1242</v>
      </c>
      <c r="L3535" s="86">
        <v>1</v>
      </c>
      <c r="M3535" s="87">
        <v>500</v>
      </c>
      <c r="N3535" s="174">
        <f>IFERROR(表格1[[#This Row],[QTY]]*表格1[[#This Row],[Unit Price]],"-")</f>
        <v>500</v>
      </c>
      <c r="O3535" s="175">
        <v>6091807</v>
      </c>
      <c r="R3535" s="86" t="str">
        <f>_xlfn.CONCAT(表格1[[#This Row],[Model]]," ",表格1[[#This Row],[inv no]])</f>
        <v>IC-21TSHK 6091807</v>
      </c>
      <c r="S3535" s="86">
        <f>_xlfn.XLOOKUP(表格1[[#This Row],[Model]],表格3[Model-Input-Ref2],表格3[SRP PRICE])</f>
        <v>998</v>
      </c>
      <c r="T3535" s="43">
        <f>表格1[[#This Row],[Unit Price]]/表格1[[#This Row],[SRP]]</f>
        <v>0.50100200400801598</v>
      </c>
      <c r="U3535" s="86" t="str">
        <f>_xlfn.XLOOKUP(表格1[[#This Row],[Model]],表格3[Model-Input-Ref2],表格3[TOSHIBA/HIGHEST])</f>
        <v>web SRP</v>
      </c>
      <c r="W3535" s="86" t="str">
        <f>_xlfn.CONCAT(表格1[[#This Row],[欄4]],表格1[[#This Row],[inv no]])</f>
        <v>6091807</v>
      </c>
    </row>
    <row r="3536" spans="1:23" hidden="1">
      <c r="A3536" s="81">
        <v>3534</v>
      </c>
      <c r="B3536" s="86" t="s">
        <v>1203</v>
      </c>
      <c r="C3536" s="86" t="s">
        <v>1964</v>
      </c>
      <c r="D3536" s="82" t="str">
        <f ca="1">OFFSET(Roster!$A$3,MATCH(表格1[[#This Row],[Location]]&amp;" "&amp;表格1[[#This Row],[Shop]]&amp;"*",Roster!$A$4:$A$72,0),DAY(表格1[[#This Row],[date]]),1,1)</f>
        <v>Lily Hon</v>
      </c>
      <c r="E3536" s="86">
        <f>MONTH(表格1[[#This Row],[date]])</f>
        <v>3</v>
      </c>
      <c r="F3536" s="90">
        <v>46082</v>
      </c>
      <c r="G3536" s="86" t="str">
        <f>VLOOKUP("*"&amp;表格1[[#This Row],[Input]]&amp;"*",'Ref-List'!$B:$D,2,)</f>
        <v>IC-21TSHK</v>
      </c>
      <c r="H3536" s="86" t="str">
        <f>_xlfn.XLOOKUP(表格1[[#This Row],[Model]],表格3[Model-Input-Ref2],表格3[Product Line])</f>
        <v>Induction Cooker</v>
      </c>
      <c r="I3536" s="86" t="str">
        <f>_xlfn.XLOOKUP(表格1[[#This Row],[Model]],表格3[Model-Input-Ref2],表格3[大小電])</f>
        <v>細電</v>
      </c>
      <c r="J3536" s="86" t="str">
        <f>_xlfn.XLOOKUP(表格1[[#This Row],[Model]],表格3[Model-Input-Ref2],表格3[Code])</f>
        <v>SDA</v>
      </c>
      <c r="K3536" s="89" t="s">
        <v>1242</v>
      </c>
      <c r="L3536" s="86">
        <v>1</v>
      </c>
      <c r="M3536" s="87">
        <v>500</v>
      </c>
      <c r="N3536" s="174">
        <f>IFERROR(表格1[[#This Row],[QTY]]*表格1[[#This Row],[Unit Price]],"-")</f>
        <v>500</v>
      </c>
      <c r="O3536" s="175">
        <v>6091646</v>
      </c>
      <c r="R3536" s="86" t="str">
        <f>_xlfn.CONCAT(表格1[[#This Row],[Model]]," ",表格1[[#This Row],[inv no]])</f>
        <v>IC-21TSHK 6091646</v>
      </c>
      <c r="S3536" s="86">
        <f>_xlfn.XLOOKUP(表格1[[#This Row],[Model]],表格3[Model-Input-Ref2],表格3[SRP PRICE])</f>
        <v>998</v>
      </c>
      <c r="T3536" s="43">
        <f>表格1[[#This Row],[Unit Price]]/表格1[[#This Row],[SRP]]</f>
        <v>0.50100200400801598</v>
      </c>
      <c r="U3536" s="86" t="str">
        <f>_xlfn.XLOOKUP(表格1[[#This Row],[Model]],表格3[Model-Input-Ref2],表格3[TOSHIBA/HIGHEST])</f>
        <v>web SRP</v>
      </c>
      <c r="W3536" s="86" t="str">
        <f>_xlfn.CONCAT(表格1[[#This Row],[欄4]],表格1[[#This Row],[inv no]])</f>
        <v>6091646</v>
      </c>
    </row>
    <row r="3537" spans="1:23" hidden="1">
      <c r="A3537" s="81">
        <v>3535</v>
      </c>
      <c r="B3537" s="86" t="s">
        <v>1203</v>
      </c>
      <c r="C3537" s="86" t="s">
        <v>1964</v>
      </c>
      <c r="D3537" s="82" t="str">
        <f ca="1">OFFSET(Roster!$A$3,MATCH(表格1[[#This Row],[Location]]&amp;" "&amp;表格1[[#This Row],[Shop]]&amp;"*",Roster!$A$4:$A$72,0),DAY(表格1[[#This Row],[date]]),1,1)</f>
        <v>Lily Hon</v>
      </c>
      <c r="E3537" s="86">
        <f>MONTH(表格1[[#This Row],[date]])</f>
        <v>3</v>
      </c>
      <c r="F3537" s="90">
        <v>46082</v>
      </c>
      <c r="G3537" s="86" t="str">
        <f>VLOOKUP("*"&amp;表格1[[#This Row],[Input]]&amp;"*",'Ref-List'!$B:$D,2,)</f>
        <v>IC-21TSHK</v>
      </c>
      <c r="H3537" s="86" t="str">
        <f>_xlfn.XLOOKUP(表格1[[#This Row],[Model]],表格3[Model-Input-Ref2],表格3[Product Line])</f>
        <v>Induction Cooker</v>
      </c>
      <c r="I3537" s="86" t="str">
        <f>_xlfn.XLOOKUP(表格1[[#This Row],[Model]],表格3[Model-Input-Ref2],表格3[大小電])</f>
        <v>細電</v>
      </c>
      <c r="J3537" s="86" t="str">
        <f>_xlfn.XLOOKUP(表格1[[#This Row],[Model]],表格3[Model-Input-Ref2],表格3[Code])</f>
        <v>SDA</v>
      </c>
      <c r="K3537" s="89" t="s">
        <v>1242</v>
      </c>
      <c r="L3537" s="86">
        <v>1</v>
      </c>
      <c r="M3537" s="87">
        <v>500</v>
      </c>
      <c r="N3537" s="174">
        <f>IFERROR(表格1[[#This Row],[QTY]]*表格1[[#This Row],[Unit Price]],"-")</f>
        <v>500</v>
      </c>
      <c r="O3537" s="175">
        <v>6091610</v>
      </c>
      <c r="R3537" s="86" t="str">
        <f>_xlfn.CONCAT(表格1[[#This Row],[Model]]," ",表格1[[#This Row],[inv no]])</f>
        <v>IC-21TSHK 6091610</v>
      </c>
      <c r="S3537" s="86">
        <f>_xlfn.XLOOKUP(表格1[[#This Row],[Model]],表格3[Model-Input-Ref2],表格3[SRP PRICE])</f>
        <v>998</v>
      </c>
      <c r="T3537" s="43">
        <f>表格1[[#This Row],[Unit Price]]/表格1[[#This Row],[SRP]]</f>
        <v>0.50100200400801598</v>
      </c>
      <c r="U3537" s="86" t="str">
        <f>_xlfn.XLOOKUP(表格1[[#This Row],[Model]],表格3[Model-Input-Ref2],表格3[TOSHIBA/HIGHEST])</f>
        <v>web SRP</v>
      </c>
      <c r="W3537" s="86" t="str">
        <f>_xlfn.CONCAT(表格1[[#This Row],[欄4]],表格1[[#This Row],[inv no]])</f>
        <v>6091610</v>
      </c>
    </row>
    <row r="3538" spans="1:23" hidden="1">
      <c r="A3538" s="81">
        <v>3536</v>
      </c>
      <c r="B3538" s="86" t="s">
        <v>1203</v>
      </c>
      <c r="C3538" s="86" t="s">
        <v>1964</v>
      </c>
      <c r="D3538" s="82" t="str">
        <f ca="1">OFFSET(Roster!$A$3,MATCH(表格1[[#This Row],[Location]]&amp;" "&amp;表格1[[#This Row],[Shop]]&amp;"*",Roster!$A$4:$A$72,0),DAY(表格1[[#This Row],[date]]),1,1)</f>
        <v>Lily Hon</v>
      </c>
      <c r="E3538" s="86">
        <f>MONTH(表格1[[#This Row],[date]])</f>
        <v>3</v>
      </c>
      <c r="F3538" s="90">
        <v>46082</v>
      </c>
      <c r="G3538" s="86" t="str">
        <f>VLOOKUP("*"&amp;表格1[[#This Row],[Input]]&amp;"*",'Ref-List'!$B:$D,2,)</f>
        <v>PLK-45SFIH(WT)</v>
      </c>
      <c r="H3538" s="86" t="str">
        <f>_xlfn.XLOOKUP(表格1[[#This Row],[Model]],表格3[Model-Input-Ref2],表格3[Product Line])</f>
        <v>電熱水瓶4.5L</v>
      </c>
      <c r="I3538" s="86" t="str">
        <f>_xlfn.XLOOKUP(表格1[[#This Row],[Model]],表格3[Model-Input-Ref2],表格3[大小電])</f>
        <v>細電</v>
      </c>
      <c r="J3538" s="86" t="str">
        <f>_xlfn.XLOOKUP(表格1[[#This Row],[Model]],表格3[Model-Input-Ref2],表格3[Code])</f>
        <v>SDA</v>
      </c>
      <c r="K3538" s="89" t="s">
        <v>1117</v>
      </c>
      <c r="L3538" s="86">
        <v>1</v>
      </c>
      <c r="M3538" s="87">
        <v>500</v>
      </c>
      <c r="N3538" s="174">
        <f>IFERROR(表格1[[#This Row],[QTY]]*表格1[[#This Row],[Unit Price]],"-")</f>
        <v>500</v>
      </c>
      <c r="O3538" s="175">
        <v>6091606</v>
      </c>
      <c r="R3538" s="86" t="str">
        <f>_xlfn.CONCAT(表格1[[#This Row],[Model]]," ",表格1[[#This Row],[inv no]])</f>
        <v>PLK-45SFIH(WT) 6091606</v>
      </c>
      <c r="S3538" s="86">
        <f>_xlfn.XLOOKUP(表格1[[#This Row],[Model]],表格3[Model-Input-Ref2],表格3[SRP PRICE])</f>
        <v>788</v>
      </c>
      <c r="T3538" s="43">
        <f>表格1[[#This Row],[Unit Price]]/表格1[[#This Row],[SRP]]</f>
        <v>0.63451776649746194</v>
      </c>
      <c r="U3538" s="86" t="str">
        <f>_xlfn.XLOOKUP(表格1[[#This Row],[Model]],表格3[Model-Input-Ref2],表格3[TOSHIBA/HIGHEST])</f>
        <v>Toshiba SRP</v>
      </c>
      <c r="W3538" s="86" t="str">
        <f>_xlfn.CONCAT(表格1[[#This Row],[欄4]],表格1[[#This Row],[inv no]])</f>
        <v>6091606</v>
      </c>
    </row>
    <row r="3539" spans="1:23" hidden="1">
      <c r="A3539" s="81">
        <v>3537</v>
      </c>
      <c r="B3539" s="86" t="s">
        <v>1203</v>
      </c>
      <c r="C3539" s="86" t="s">
        <v>1964</v>
      </c>
      <c r="D3539" s="82" t="str">
        <f ca="1">OFFSET(Roster!$A$3,MATCH(表格1[[#This Row],[Location]]&amp;" "&amp;表格1[[#This Row],[Shop]]&amp;"*",Roster!$A$4:$A$72,0),DAY(表格1[[#This Row],[date]]),1,1)</f>
        <v>Lily Hon</v>
      </c>
      <c r="E3539" s="86">
        <f>MONTH(表格1[[#This Row],[date]])</f>
        <v>3</v>
      </c>
      <c r="F3539" s="90">
        <v>46083</v>
      </c>
      <c r="G3539" s="86" t="str">
        <f>VLOOKUP("*"&amp;表格1[[#This Row],[Input]]&amp;"*",'Ref-List'!$B:$D,2,)</f>
        <v>GR-A26HSZ(DS)</v>
      </c>
      <c r="H3539" s="86" t="str">
        <f>_xlfn.XLOOKUP(表格1[[#This Row],[Model]],表格3[Model-Input-Ref2],表格3[Product Line])</f>
        <v>雙門變頻式環保雪櫃</v>
      </c>
      <c r="I3539" s="86" t="str">
        <f>_xlfn.XLOOKUP(表格1[[#This Row],[Model]],表格3[Model-Input-Ref2],表格3[大小電])</f>
        <v>大電</v>
      </c>
      <c r="J3539" s="86" t="str">
        <f>_xlfn.XLOOKUP(表格1[[#This Row],[Model]],表格3[Model-Input-Ref2],表格3[Code])</f>
        <v>AC</v>
      </c>
      <c r="K3539" s="89" t="s">
        <v>1207</v>
      </c>
      <c r="L3539" s="86">
        <v>1</v>
      </c>
      <c r="M3539" s="87">
        <v>1500</v>
      </c>
      <c r="N3539" s="174">
        <f>IFERROR(表格1[[#This Row],[QTY]]*表格1[[#This Row],[Unit Price]],"-")</f>
        <v>1500</v>
      </c>
      <c r="O3539" s="175">
        <v>6091668</v>
      </c>
      <c r="R3539" s="86" t="str">
        <f>_xlfn.CONCAT(表格1[[#This Row],[Model]]," ",表格1[[#This Row],[inv no]])</f>
        <v>GR-A26HSZ(DS) 6091668</v>
      </c>
      <c r="S3539" s="86">
        <f>_xlfn.XLOOKUP(表格1[[#This Row],[Model]],表格3[Model-Input-Ref2],表格3[SRP PRICE])</f>
        <v>3780</v>
      </c>
      <c r="T3539" s="43">
        <f>表格1[[#This Row],[Unit Price]]/表格1[[#This Row],[SRP]]</f>
        <v>0.3968253968253968</v>
      </c>
      <c r="U3539" s="86" t="str">
        <f>_xlfn.XLOOKUP(表格1[[#This Row],[Model]],表格3[Model-Input-Ref2],表格3[TOSHIBA/HIGHEST])</f>
        <v>Toshiba SRP</v>
      </c>
      <c r="W3539" s="86" t="str">
        <f>_xlfn.CONCAT(表格1[[#This Row],[欄4]],表格1[[#This Row],[inv no]])</f>
        <v>6091668</v>
      </c>
    </row>
    <row r="3540" spans="1:23" hidden="1">
      <c r="A3540" s="81">
        <v>3538</v>
      </c>
      <c r="B3540" s="86" t="s">
        <v>1203</v>
      </c>
      <c r="C3540" s="86" t="s">
        <v>1964</v>
      </c>
      <c r="D3540" s="82" t="str">
        <f ca="1">OFFSET(Roster!$A$3,MATCH(表格1[[#This Row],[Location]]&amp;" "&amp;表格1[[#This Row],[Shop]]&amp;"*",Roster!$A$4:$A$72,0),DAY(表格1[[#This Row],[date]]),1,1)</f>
        <v>Lily Hon</v>
      </c>
      <c r="E3540" s="86">
        <f>MONTH(表格1[[#This Row],[date]])</f>
        <v>3</v>
      </c>
      <c r="F3540" s="90">
        <v>46083</v>
      </c>
      <c r="G3540" s="86" t="str">
        <f>VLOOKUP("*"&amp;表格1[[#This Row],[Input]]&amp;"*",'Ref-List'!$B:$D,2,)</f>
        <v>RC-15ISTHK(W)</v>
      </c>
      <c r="H3540" s="86" t="str">
        <f>_xlfn.XLOOKUP(表格1[[#This Row],[Model]],表格3[Model-Input-Ref2],表格3[Product Line])</f>
        <v>磁應電飯煲(1.5公升)</v>
      </c>
      <c r="I3540" s="86" t="str">
        <f>_xlfn.XLOOKUP(表格1[[#This Row],[Model]],表格3[Model-Input-Ref2],表格3[大小電])</f>
        <v>細電</v>
      </c>
      <c r="J3540" s="86" t="str">
        <f>_xlfn.XLOOKUP(表格1[[#This Row],[Model]],表格3[Model-Input-Ref2],表格3[Code])</f>
        <v>SDA</v>
      </c>
      <c r="K3540" s="89" t="s">
        <v>1204</v>
      </c>
      <c r="L3540" s="86">
        <v>1</v>
      </c>
      <c r="M3540" s="87">
        <v>500</v>
      </c>
      <c r="N3540" s="174">
        <f>IFERROR(表格1[[#This Row],[QTY]]*表格1[[#This Row],[Unit Price]],"-")</f>
        <v>500</v>
      </c>
      <c r="O3540" s="175">
        <v>6091641</v>
      </c>
      <c r="R3540" s="86" t="str">
        <f>_xlfn.CONCAT(表格1[[#This Row],[Model]]," ",表格1[[#This Row],[inv no]])</f>
        <v>RC-15ISTHK(W) 6091641</v>
      </c>
      <c r="S3540" s="86">
        <f>_xlfn.XLOOKUP(表格1[[#This Row],[Model]],表格3[Model-Input-Ref2],表格3[SRP PRICE])</f>
        <v>1688</v>
      </c>
      <c r="T3540" s="43">
        <f>表格1[[#This Row],[Unit Price]]/表格1[[#This Row],[SRP]]</f>
        <v>0.29620853080568721</v>
      </c>
      <c r="U3540" s="86" t="str">
        <f>_xlfn.XLOOKUP(表格1[[#This Row],[Model]],表格3[Model-Input-Ref2],表格3[TOSHIBA/HIGHEST])</f>
        <v>Toshiba SRP</v>
      </c>
      <c r="W3540" s="86" t="str">
        <f>_xlfn.CONCAT(表格1[[#This Row],[欄4]],表格1[[#This Row],[inv no]])</f>
        <v>6091641</v>
      </c>
    </row>
    <row r="3541" spans="1:23" hidden="1">
      <c r="A3541" s="81">
        <v>3539</v>
      </c>
      <c r="B3541" s="86" t="s">
        <v>1203</v>
      </c>
      <c r="C3541" s="86" t="s">
        <v>1964</v>
      </c>
      <c r="D3541" s="82" t="str">
        <f ca="1">OFFSET(Roster!$A$3,MATCH(表格1[[#This Row],[Location]]&amp;" "&amp;表格1[[#This Row],[Shop]]&amp;"*",Roster!$A$4:$A$72,0),DAY(表格1[[#This Row],[date]]),1,1)</f>
        <v>Lily Hon</v>
      </c>
      <c r="E3541" s="86">
        <f>MONTH(表格1[[#This Row],[date]])</f>
        <v>3</v>
      </c>
      <c r="F3541" s="90">
        <v>46083</v>
      </c>
      <c r="G3541" s="86" t="str">
        <f>VLOOKUP("*"&amp;表格1[[#This Row],[Input]]&amp;"*",'Ref-List'!$B:$D,2,)</f>
        <v>RC-15ISTHK(W)</v>
      </c>
      <c r="H3541" s="86" t="str">
        <f>_xlfn.XLOOKUP(表格1[[#This Row],[Model]],表格3[Model-Input-Ref2],表格3[Product Line])</f>
        <v>磁應電飯煲(1.5公升)</v>
      </c>
      <c r="I3541" s="86" t="str">
        <f>_xlfn.XLOOKUP(表格1[[#This Row],[Model]],表格3[Model-Input-Ref2],表格3[大小電])</f>
        <v>細電</v>
      </c>
      <c r="J3541" s="86" t="str">
        <f>_xlfn.XLOOKUP(表格1[[#This Row],[Model]],表格3[Model-Input-Ref2],表格3[Code])</f>
        <v>SDA</v>
      </c>
      <c r="K3541" s="89" t="s">
        <v>1204</v>
      </c>
      <c r="L3541" s="86">
        <v>1</v>
      </c>
      <c r="M3541" s="87">
        <v>500</v>
      </c>
      <c r="N3541" s="174">
        <f>IFERROR(表格1[[#This Row],[QTY]]*表格1[[#This Row],[Unit Price]],"-")</f>
        <v>500</v>
      </c>
      <c r="O3541" s="175">
        <v>6091665</v>
      </c>
      <c r="R3541" s="86" t="str">
        <f>_xlfn.CONCAT(表格1[[#This Row],[Model]]," ",表格1[[#This Row],[inv no]])</f>
        <v>RC-15ISTHK(W) 6091665</v>
      </c>
      <c r="S3541" s="86">
        <f>_xlfn.XLOOKUP(表格1[[#This Row],[Model]],表格3[Model-Input-Ref2],表格3[SRP PRICE])</f>
        <v>1688</v>
      </c>
      <c r="T3541" s="43">
        <f>表格1[[#This Row],[Unit Price]]/表格1[[#This Row],[SRP]]</f>
        <v>0.29620853080568721</v>
      </c>
      <c r="U3541" s="86" t="str">
        <f>_xlfn.XLOOKUP(表格1[[#This Row],[Model]],表格3[Model-Input-Ref2],表格3[TOSHIBA/HIGHEST])</f>
        <v>Toshiba SRP</v>
      </c>
      <c r="W3541" s="86" t="str">
        <f>_xlfn.CONCAT(表格1[[#This Row],[欄4]],表格1[[#This Row],[inv no]])</f>
        <v>6091665</v>
      </c>
    </row>
    <row r="3542" spans="1:23" hidden="1">
      <c r="A3542" s="81">
        <v>3540</v>
      </c>
      <c r="B3542" s="86" t="s">
        <v>1203</v>
      </c>
      <c r="C3542" s="86" t="s">
        <v>1964</v>
      </c>
      <c r="D3542" s="82" t="str">
        <f ca="1">OFFSET(Roster!$A$3,MATCH(表格1[[#This Row],[Location]]&amp;" "&amp;表格1[[#This Row],[Shop]]&amp;"*",Roster!$A$4:$A$72,0),DAY(表格1[[#This Row],[date]]),1,1)</f>
        <v>Lily Hon</v>
      </c>
      <c r="E3542" s="86">
        <f>MONTH(表格1[[#This Row],[date]])</f>
        <v>3</v>
      </c>
      <c r="F3542" s="90">
        <v>46083</v>
      </c>
      <c r="G3542" s="86" t="str">
        <f>VLOOKUP("*"&amp;表格1[[#This Row],[Input]]&amp;"*",'Ref-List'!$B:$D,2,)</f>
        <v>RC-15ISTHK(W)</v>
      </c>
      <c r="H3542" s="86" t="str">
        <f>_xlfn.XLOOKUP(表格1[[#This Row],[Model]],表格3[Model-Input-Ref2],表格3[Product Line])</f>
        <v>磁應電飯煲(1.5公升)</v>
      </c>
      <c r="I3542" s="86" t="str">
        <f>_xlfn.XLOOKUP(表格1[[#This Row],[Model]],表格3[Model-Input-Ref2],表格3[大小電])</f>
        <v>細電</v>
      </c>
      <c r="J3542" s="86" t="str">
        <f>_xlfn.XLOOKUP(表格1[[#This Row],[Model]],表格3[Model-Input-Ref2],表格3[Code])</f>
        <v>SDA</v>
      </c>
      <c r="K3542" s="89" t="s">
        <v>1204</v>
      </c>
      <c r="L3542" s="86">
        <v>1</v>
      </c>
      <c r="M3542" s="87">
        <v>500</v>
      </c>
      <c r="N3542" s="174">
        <f>IFERROR(表格1[[#This Row],[QTY]]*表格1[[#This Row],[Unit Price]],"-")</f>
        <v>500</v>
      </c>
      <c r="O3542" s="175">
        <v>6091856</v>
      </c>
      <c r="R3542" s="86" t="str">
        <f>_xlfn.CONCAT(表格1[[#This Row],[Model]]," ",表格1[[#This Row],[inv no]])</f>
        <v>RC-15ISTHK(W) 6091856</v>
      </c>
      <c r="S3542" s="86">
        <f>_xlfn.XLOOKUP(表格1[[#This Row],[Model]],表格3[Model-Input-Ref2],表格3[SRP PRICE])</f>
        <v>1688</v>
      </c>
      <c r="T3542" s="43">
        <f>表格1[[#This Row],[Unit Price]]/表格1[[#This Row],[SRP]]</f>
        <v>0.29620853080568721</v>
      </c>
      <c r="U3542" s="86" t="str">
        <f>_xlfn.XLOOKUP(表格1[[#This Row],[Model]],表格3[Model-Input-Ref2],表格3[TOSHIBA/HIGHEST])</f>
        <v>Toshiba SRP</v>
      </c>
      <c r="W3542" s="86" t="str">
        <f>_xlfn.CONCAT(表格1[[#This Row],[欄4]],表格1[[#This Row],[inv no]])</f>
        <v>6091856</v>
      </c>
    </row>
    <row r="3543" spans="1:23" hidden="1">
      <c r="A3543" s="81">
        <v>3541</v>
      </c>
      <c r="B3543" s="86" t="s">
        <v>1203</v>
      </c>
      <c r="C3543" s="86" t="s">
        <v>1964</v>
      </c>
      <c r="D3543" s="82" t="str">
        <f ca="1">OFFSET(Roster!$A$3,MATCH(表格1[[#This Row],[Location]]&amp;" "&amp;表格1[[#This Row],[Shop]]&amp;"*",Roster!$A$4:$A$72,0),DAY(表格1[[#This Row],[date]]),1,1)</f>
        <v>Lily Hon</v>
      </c>
      <c r="E3543" s="86">
        <f>MONTH(表格1[[#This Row],[date]])</f>
        <v>3</v>
      </c>
      <c r="F3543" s="90">
        <v>46083</v>
      </c>
      <c r="G3543" s="86" t="str">
        <f>VLOOKUP("*"&amp;表格1[[#This Row],[Input]]&amp;"*",'Ref-List'!$B:$D,2,)</f>
        <v>MW2-MM24PC(BK)</v>
      </c>
      <c r="H3543" s="86" t="str">
        <f>_xlfn.XLOOKUP(表格1[[#This Row],[Model]],表格3[Model-Input-Ref2],表格3[Product Line])</f>
        <v>旋鈕式微波爐24L</v>
      </c>
      <c r="I3543" s="86" t="str">
        <f>_xlfn.XLOOKUP(表格1[[#This Row],[Model]],表格3[Model-Input-Ref2],表格3[大小電])</f>
        <v>細電</v>
      </c>
      <c r="J3543" s="86" t="str">
        <f>_xlfn.XLOOKUP(表格1[[#This Row],[Model]],表格3[Model-Input-Ref2],表格3[Code])</f>
        <v>SDA</v>
      </c>
      <c r="K3543" s="89" t="s">
        <v>1196</v>
      </c>
      <c r="L3543" s="86">
        <v>1</v>
      </c>
      <c r="M3543" s="87">
        <v>500</v>
      </c>
      <c r="N3543" s="174">
        <f>IFERROR(表格1[[#This Row],[QTY]]*表格1[[#This Row],[Unit Price]],"-")</f>
        <v>500</v>
      </c>
      <c r="O3543" s="175">
        <v>6091862</v>
      </c>
      <c r="R3543" s="86" t="str">
        <f>_xlfn.CONCAT(表格1[[#This Row],[Model]]," ",表格1[[#This Row],[inv no]])</f>
        <v>MW2-MM24PC(BK) 6091862</v>
      </c>
      <c r="S3543" s="86">
        <f>_xlfn.XLOOKUP(表格1[[#This Row],[Model]],表格3[Model-Input-Ref2],表格3[SRP PRICE])</f>
        <v>848</v>
      </c>
      <c r="T3543" s="43">
        <f>表格1[[#This Row],[Unit Price]]/表格1[[#This Row],[SRP]]</f>
        <v>0.589622641509434</v>
      </c>
      <c r="U3543" s="86" t="str">
        <f>_xlfn.XLOOKUP(表格1[[#This Row],[Model]],表格3[Model-Input-Ref2],表格3[TOSHIBA/HIGHEST])</f>
        <v>Toshiba SRP</v>
      </c>
      <c r="W3543" s="86" t="str">
        <f>_xlfn.CONCAT(表格1[[#This Row],[欄4]],表格1[[#This Row],[inv no]])</f>
        <v>6091862</v>
      </c>
    </row>
    <row r="3544" spans="1:23" hidden="1">
      <c r="A3544" s="81">
        <v>3542</v>
      </c>
      <c r="B3544" s="86" t="s">
        <v>1203</v>
      </c>
      <c r="C3544" s="86" t="s">
        <v>1964</v>
      </c>
      <c r="D3544" s="82" t="str">
        <f ca="1">OFFSET(Roster!$A$3,MATCH(表格1[[#This Row],[Location]]&amp;" "&amp;表格1[[#This Row],[Shop]]&amp;"*",Roster!$A$4:$A$72,0),DAY(表格1[[#This Row],[date]]),1,1)</f>
        <v>Lily Hon off</v>
      </c>
      <c r="E3544" s="86">
        <f>MONTH(表格1[[#This Row],[date]])</f>
        <v>3</v>
      </c>
      <c r="F3544" s="90">
        <v>46084</v>
      </c>
      <c r="G3544" s="86" t="str">
        <f>VLOOKUP("*"&amp;表格1[[#This Row],[Input]]&amp;"*",'Ref-List'!$B:$D,2,)</f>
        <v>AW-M901BPH(WW)</v>
      </c>
      <c r="H3544" s="86" t="str">
        <f>_xlfn.XLOOKUP(表格1[[#This Row],[Model]],表格3[Model-Input-Ref2],表格3[Product Line])</f>
        <v>全自動洗衣機 (8公斤 結合高低水位)</v>
      </c>
      <c r="I3544" s="86" t="str">
        <f>_xlfn.XLOOKUP(表格1[[#This Row],[Model]],表格3[Model-Input-Ref2],表格3[大小電])</f>
        <v>大電</v>
      </c>
      <c r="J3544" s="86" t="str">
        <f>_xlfn.XLOOKUP(表格1[[#This Row],[Model]],表格3[Model-Input-Ref2],表格3[Code])</f>
        <v>WM</v>
      </c>
      <c r="K3544" s="89" t="s">
        <v>1202</v>
      </c>
      <c r="L3544" s="86">
        <v>1</v>
      </c>
      <c r="M3544" s="87">
        <v>1500</v>
      </c>
      <c r="N3544" s="174">
        <f>IFERROR(表格1[[#This Row],[QTY]]*表格1[[#This Row],[Unit Price]],"-")</f>
        <v>1500</v>
      </c>
      <c r="O3544" s="175">
        <v>6138116</v>
      </c>
      <c r="R3544" s="86" t="str">
        <f>_xlfn.CONCAT(表格1[[#This Row],[Model]]," ",表格1[[#This Row],[inv no]])</f>
        <v>AW-M901BPH(WW) 6138116</v>
      </c>
      <c r="S3544" s="86">
        <f>_xlfn.XLOOKUP(表格1[[#This Row],[Model]],表格3[Model-Input-Ref2],表格3[SRP PRICE])</f>
        <v>3580</v>
      </c>
      <c r="T3544" s="43">
        <f>表格1[[#This Row],[Unit Price]]/表格1[[#This Row],[SRP]]</f>
        <v>0.41899441340782123</v>
      </c>
      <c r="U3544" s="86" t="str">
        <f>_xlfn.XLOOKUP(表格1[[#This Row],[Model]],表格3[Model-Input-Ref2],表格3[TOSHIBA/HIGHEST])</f>
        <v>Toshiba SRP</v>
      </c>
      <c r="W3544" s="86" t="str">
        <f>_xlfn.CONCAT(表格1[[#This Row],[欄4]],表格1[[#This Row],[inv no]])</f>
        <v>6138116</v>
      </c>
    </row>
    <row r="3545" spans="1:23" hidden="1">
      <c r="A3545" s="81">
        <v>3543</v>
      </c>
      <c r="B3545" s="86" t="s">
        <v>1203</v>
      </c>
      <c r="C3545" s="86" t="s">
        <v>1964</v>
      </c>
      <c r="D3545" s="82" t="str">
        <f ca="1">OFFSET(Roster!$A$3,MATCH(表格1[[#This Row],[Location]]&amp;" "&amp;表格1[[#This Row],[Shop]]&amp;"*",Roster!$A$4:$A$72,0),DAY(表格1[[#This Row],[date]]),1,1)</f>
        <v>Lily Hon off</v>
      </c>
      <c r="E3545" s="86">
        <f>MONTH(表格1[[#This Row],[date]])</f>
        <v>3</v>
      </c>
      <c r="F3545" s="90">
        <v>46084</v>
      </c>
      <c r="G3545" s="86" t="str">
        <f>VLOOKUP("*"&amp;表格1[[#This Row],[Input]]&amp;"*",'Ref-List'!$B:$D,2,)</f>
        <v>AW-M901BPH(WW)</v>
      </c>
      <c r="H3545" s="86" t="str">
        <f>_xlfn.XLOOKUP(表格1[[#This Row],[Model]],表格3[Model-Input-Ref2],表格3[Product Line])</f>
        <v>全自動洗衣機 (8公斤 結合高低水位)</v>
      </c>
      <c r="I3545" s="86" t="str">
        <f>_xlfn.XLOOKUP(表格1[[#This Row],[Model]],表格3[Model-Input-Ref2],表格3[大小電])</f>
        <v>大電</v>
      </c>
      <c r="J3545" s="86" t="str">
        <f>_xlfn.XLOOKUP(表格1[[#This Row],[Model]],表格3[Model-Input-Ref2],表格3[Code])</f>
        <v>WM</v>
      </c>
      <c r="K3545" s="89" t="s">
        <v>1202</v>
      </c>
      <c r="L3545" s="86">
        <v>1</v>
      </c>
      <c r="M3545" s="87">
        <v>1500</v>
      </c>
      <c r="N3545" s="174">
        <f>IFERROR(表格1[[#This Row],[QTY]]*表格1[[#This Row],[Unit Price]],"-")</f>
        <v>1500</v>
      </c>
      <c r="O3545" s="175">
        <v>6091679</v>
      </c>
      <c r="R3545" s="86" t="str">
        <f>_xlfn.CONCAT(表格1[[#This Row],[Model]]," ",表格1[[#This Row],[inv no]])</f>
        <v>AW-M901BPH(WW) 6091679</v>
      </c>
      <c r="S3545" s="86">
        <f>_xlfn.XLOOKUP(表格1[[#This Row],[Model]],表格3[Model-Input-Ref2],表格3[SRP PRICE])</f>
        <v>3580</v>
      </c>
      <c r="T3545" s="43">
        <f>表格1[[#This Row],[Unit Price]]/表格1[[#This Row],[SRP]]</f>
        <v>0.41899441340782123</v>
      </c>
      <c r="U3545" s="86" t="str">
        <f>_xlfn.XLOOKUP(表格1[[#This Row],[Model]],表格3[Model-Input-Ref2],表格3[TOSHIBA/HIGHEST])</f>
        <v>Toshiba SRP</v>
      </c>
      <c r="W3545" s="86" t="str">
        <f>_xlfn.CONCAT(表格1[[#This Row],[欄4]],表格1[[#This Row],[inv no]])</f>
        <v>6091679</v>
      </c>
    </row>
    <row r="3546" spans="1:23" hidden="1">
      <c r="A3546" s="81">
        <v>3544</v>
      </c>
      <c r="B3546" s="86" t="s">
        <v>1203</v>
      </c>
      <c r="C3546" s="86" t="s">
        <v>1964</v>
      </c>
      <c r="D3546" s="82" t="str">
        <f ca="1">OFFSET(Roster!$A$3,MATCH(表格1[[#This Row],[Location]]&amp;" "&amp;表格1[[#This Row],[Shop]]&amp;"*",Roster!$A$4:$A$72,0),DAY(表格1[[#This Row],[date]]),1,1)</f>
        <v>Lily Hon off</v>
      </c>
      <c r="E3546" s="86">
        <f>MONTH(表格1[[#This Row],[date]])</f>
        <v>3</v>
      </c>
      <c r="F3546" s="90">
        <v>46084</v>
      </c>
      <c r="G3546" s="86" t="str">
        <f>VLOOKUP("*"&amp;表格1[[#This Row],[Input]]&amp;"*",'Ref-List'!$B:$D,2,)</f>
        <v>RC-15ISTHK(W)</v>
      </c>
      <c r="H3546" s="86" t="str">
        <f>_xlfn.XLOOKUP(表格1[[#This Row],[Model]],表格3[Model-Input-Ref2],表格3[Product Line])</f>
        <v>磁應電飯煲(1.5公升)</v>
      </c>
      <c r="I3546" s="86" t="str">
        <f>_xlfn.XLOOKUP(表格1[[#This Row],[Model]],表格3[Model-Input-Ref2],表格3[大小電])</f>
        <v>細電</v>
      </c>
      <c r="J3546" s="86" t="str">
        <f>_xlfn.XLOOKUP(表格1[[#This Row],[Model]],表格3[Model-Input-Ref2],表格3[Code])</f>
        <v>SDA</v>
      </c>
      <c r="K3546" s="89" t="s">
        <v>1204</v>
      </c>
      <c r="L3546" s="86">
        <v>1</v>
      </c>
      <c r="M3546" s="87">
        <v>500</v>
      </c>
      <c r="N3546" s="174">
        <f>IFERROR(表格1[[#This Row],[QTY]]*表格1[[#This Row],[Unit Price]],"-")</f>
        <v>500</v>
      </c>
      <c r="O3546" s="175">
        <v>6138112</v>
      </c>
      <c r="R3546" s="86" t="str">
        <f>_xlfn.CONCAT(表格1[[#This Row],[Model]]," ",表格1[[#This Row],[inv no]])</f>
        <v>RC-15ISTHK(W) 6138112</v>
      </c>
      <c r="S3546" s="86">
        <f>_xlfn.XLOOKUP(表格1[[#This Row],[Model]],表格3[Model-Input-Ref2],表格3[SRP PRICE])</f>
        <v>1688</v>
      </c>
      <c r="T3546" s="43">
        <f>表格1[[#This Row],[Unit Price]]/表格1[[#This Row],[SRP]]</f>
        <v>0.29620853080568721</v>
      </c>
      <c r="U3546" s="86" t="str">
        <f>_xlfn.XLOOKUP(表格1[[#This Row],[Model]],表格3[Model-Input-Ref2],表格3[TOSHIBA/HIGHEST])</f>
        <v>Toshiba SRP</v>
      </c>
      <c r="W3546" s="86" t="str">
        <f>_xlfn.CONCAT(表格1[[#This Row],[欄4]],表格1[[#This Row],[inv no]])</f>
        <v>6138112</v>
      </c>
    </row>
    <row r="3547" spans="1:23" hidden="1">
      <c r="A3547" s="81">
        <v>3545</v>
      </c>
      <c r="B3547" s="86" t="s">
        <v>1203</v>
      </c>
      <c r="C3547" s="86" t="s">
        <v>1964</v>
      </c>
      <c r="D3547" s="82" t="str">
        <f ca="1">OFFSET(Roster!$A$3,MATCH(表格1[[#This Row],[Location]]&amp;" "&amp;表格1[[#This Row],[Shop]]&amp;"*",Roster!$A$4:$A$72,0),DAY(表格1[[#This Row],[date]]),1,1)</f>
        <v>Lily Hon</v>
      </c>
      <c r="E3547" s="86">
        <f>MONTH(表格1[[#This Row],[date]])</f>
        <v>3</v>
      </c>
      <c r="F3547" s="90">
        <v>46085</v>
      </c>
      <c r="G3547" s="86" t="str">
        <f>VLOOKUP("*"&amp;表格1[[#This Row],[Input]]&amp;"*",'Ref-List'!$B:$D,2,)</f>
        <v>RAD-Y200H</v>
      </c>
      <c r="H3547" s="86" t="str">
        <f>_xlfn.XLOOKUP(表格1[[#This Row],[Model]],表格3[Model-Input-Ref2],表格3[Product Line])</f>
        <v>21L壓縮式抽濕機</v>
      </c>
      <c r="I3547" s="86" t="str">
        <f>_xlfn.XLOOKUP(表格1[[#This Row],[Model]],表格3[Model-Input-Ref2],表格3[大小電])</f>
        <v>大電</v>
      </c>
      <c r="J3547" s="86" t="str">
        <f>_xlfn.XLOOKUP(表格1[[#This Row],[Model]],表格3[Model-Input-Ref2],表格3[Code])</f>
        <v>RAC</v>
      </c>
      <c r="K3547" s="89" t="s">
        <v>1241</v>
      </c>
      <c r="L3547" s="86">
        <v>1</v>
      </c>
      <c r="M3547" s="87">
        <v>1500</v>
      </c>
      <c r="N3547" s="174">
        <f>IFERROR(表格1[[#This Row],[QTY]]*表格1[[#This Row],[Unit Price]],"-")</f>
        <v>1500</v>
      </c>
      <c r="O3547" s="175">
        <v>6138134</v>
      </c>
      <c r="R3547" s="86" t="str">
        <f>_xlfn.CONCAT(表格1[[#This Row],[Model]]," ",表格1[[#This Row],[inv no]])</f>
        <v>RAD-Y200H 6138134</v>
      </c>
      <c r="S3547" s="86">
        <f>_xlfn.XLOOKUP(表格1[[#This Row],[Model]],表格3[Model-Input-Ref2],表格3[SRP PRICE])</f>
        <v>3280</v>
      </c>
      <c r="T3547" s="43">
        <f>表格1[[#This Row],[Unit Price]]/表格1[[#This Row],[SRP]]</f>
        <v>0.45731707317073172</v>
      </c>
      <c r="U3547" s="86" t="str">
        <f>_xlfn.XLOOKUP(表格1[[#This Row],[Model]],表格3[Model-Input-Ref2],表格3[TOSHIBA/HIGHEST])</f>
        <v>Toshiba SRP</v>
      </c>
      <c r="W3547" s="86" t="str">
        <f>_xlfn.CONCAT(表格1[[#This Row],[欄4]],表格1[[#This Row],[inv no]])</f>
        <v>6138134</v>
      </c>
    </row>
    <row r="3548" spans="1:23" hidden="1">
      <c r="A3548" s="81">
        <v>3546</v>
      </c>
      <c r="B3548" s="86" t="s">
        <v>1203</v>
      </c>
      <c r="C3548" s="86" t="s">
        <v>1964</v>
      </c>
      <c r="D3548" s="82" t="str">
        <f ca="1">OFFSET(Roster!$A$3,MATCH(表格1[[#This Row],[Location]]&amp;" "&amp;表格1[[#This Row],[Shop]]&amp;"*",Roster!$A$4:$A$72,0),DAY(表格1[[#This Row],[date]]),1,1)</f>
        <v>Lily Hon</v>
      </c>
      <c r="E3548" s="86">
        <f>MONTH(表格1[[#This Row],[date]])</f>
        <v>3</v>
      </c>
      <c r="F3548" s="90">
        <v>46085</v>
      </c>
      <c r="G3548" s="86" t="str">
        <f>VLOOKUP("*"&amp;表格1[[#This Row],[Input]]&amp;"*",'Ref-List'!$B:$D,2,)</f>
        <v>AW-M901BPH(WW)</v>
      </c>
      <c r="H3548" s="86" t="str">
        <f>_xlfn.XLOOKUP(表格1[[#This Row],[Model]],表格3[Model-Input-Ref2],表格3[Product Line])</f>
        <v>全自動洗衣機 (8公斤 結合高低水位)</v>
      </c>
      <c r="I3548" s="86" t="str">
        <f>_xlfn.XLOOKUP(表格1[[#This Row],[Model]],表格3[Model-Input-Ref2],表格3[大小電])</f>
        <v>大電</v>
      </c>
      <c r="J3548" s="86" t="str">
        <f>_xlfn.XLOOKUP(表格1[[#This Row],[Model]],表格3[Model-Input-Ref2],表格3[Code])</f>
        <v>WM</v>
      </c>
      <c r="K3548" s="89" t="s">
        <v>1202</v>
      </c>
      <c r="L3548" s="86">
        <v>1</v>
      </c>
      <c r="M3548" s="87">
        <v>1500</v>
      </c>
      <c r="N3548" s="174">
        <f>IFERROR(表格1[[#This Row],[QTY]]*表格1[[#This Row],[Unit Price]],"-")</f>
        <v>1500</v>
      </c>
      <c r="O3548" s="175">
        <v>6138176</v>
      </c>
      <c r="R3548" s="86" t="str">
        <f>_xlfn.CONCAT(表格1[[#This Row],[Model]]," ",表格1[[#This Row],[inv no]])</f>
        <v>AW-M901BPH(WW) 6138176</v>
      </c>
      <c r="S3548" s="86">
        <f>_xlfn.XLOOKUP(表格1[[#This Row],[Model]],表格3[Model-Input-Ref2],表格3[SRP PRICE])</f>
        <v>3580</v>
      </c>
      <c r="T3548" s="43">
        <f>表格1[[#This Row],[Unit Price]]/表格1[[#This Row],[SRP]]</f>
        <v>0.41899441340782123</v>
      </c>
      <c r="U3548" s="86" t="str">
        <f>_xlfn.XLOOKUP(表格1[[#This Row],[Model]],表格3[Model-Input-Ref2],表格3[TOSHIBA/HIGHEST])</f>
        <v>Toshiba SRP</v>
      </c>
      <c r="W3548" s="86" t="str">
        <f>_xlfn.CONCAT(表格1[[#This Row],[欄4]],表格1[[#This Row],[inv no]])</f>
        <v>6138176</v>
      </c>
    </row>
    <row r="3549" spans="1:23" hidden="1">
      <c r="A3549" s="81">
        <v>3547</v>
      </c>
      <c r="B3549" s="86" t="s">
        <v>1203</v>
      </c>
      <c r="C3549" s="86" t="s">
        <v>1964</v>
      </c>
      <c r="D3549" s="82" t="str">
        <f ca="1">OFFSET(Roster!$A$3,MATCH(表格1[[#This Row],[Location]]&amp;" "&amp;表格1[[#This Row],[Shop]]&amp;"*",Roster!$A$4:$A$72,0),DAY(表格1[[#This Row],[date]]),1,1)</f>
        <v>Lily Hon</v>
      </c>
      <c r="E3549" s="86">
        <f>MONTH(表格1[[#This Row],[date]])</f>
        <v>3</v>
      </c>
      <c r="F3549" s="90">
        <v>46085</v>
      </c>
      <c r="G3549" s="86" t="str">
        <f>VLOOKUP("*"&amp;表格1[[#This Row],[Input]]&amp;"*",'Ref-List'!$B:$D,2,)</f>
        <v>AW-M901BPH(WW)</v>
      </c>
      <c r="H3549" s="86" t="str">
        <f>_xlfn.XLOOKUP(表格1[[#This Row],[Model]],表格3[Model-Input-Ref2],表格3[Product Line])</f>
        <v>全自動洗衣機 (8公斤 結合高低水位)</v>
      </c>
      <c r="I3549" s="86" t="str">
        <f>_xlfn.XLOOKUP(表格1[[#This Row],[Model]],表格3[Model-Input-Ref2],表格3[大小電])</f>
        <v>大電</v>
      </c>
      <c r="J3549" s="86" t="str">
        <f>_xlfn.XLOOKUP(表格1[[#This Row],[Model]],表格3[Model-Input-Ref2],表格3[Code])</f>
        <v>WM</v>
      </c>
      <c r="K3549" s="89" t="s">
        <v>1202</v>
      </c>
      <c r="L3549" s="86">
        <v>1</v>
      </c>
      <c r="M3549" s="87">
        <v>1500</v>
      </c>
      <c r="N3549" s="174">
        <f>IFERROR(表格1[[#This Row],[QTY]]*表格1[[#This Row],[Unit Price]],"-")</f>
        <v>1500</v>
      </c>
      <c r="O3549" s="175">
        <v>6138177</v>
      </c>
      <c r="R3549" s="86" t="str">
        <f>_xlfn.CONCAT(表格1[[#This Row],[Model]]," ",表格1[[#This Row],[inv no]])</f>
        <v>AW-M901BPH(WW) 6138177</v>
      </c>
      <c r="S3549" s="86">
        <f>_xlfn.XLOOKUP(表格1[[#This Row],[Model]],表格3[Model-Input-Ref2],表格3[SRP PRICE])</f>
        <v>3580</v>
      </c>
      <c r="T3549" s="43">
        <f>表格1[[#This Row],[Unit Price]]/表格1[[#This Row],[SRP]]</f>
        <v>0.41899441340782123</v>
      </c>
      <c r="U3549" s="86" t="str">
        <f>_xlfn.XLOOKUP(表格1[[#This Row],[Model]],表格3[Model-Input-Ref2],表格3[TOSHIBA/HIGHEST])</f>
        <v>Toshiba SRP</v>
      </c>
      <c r="W3549" s="86" t="str">
        <f>_xlfn.CONCAT(表格1[[#This Row],[欄4]],表格1[[#This Row],[inv no]])</f>
        <v>6138177</v>
      </c>
    </row>
    <row r="3550" spans="1:23" hidden="1">
      <c r="A3550" s="81">
        <v>3548</v>
      </c>
      <c r="B3550" s="86" t="s">
        <v>1203</v>
      </c>
      <c r="C3550" s="86" t="s">
        <v>1964</v>
      </c>
      <c r="D3550" s="82" t="str">
        <f ca="1">OFFSET(Roster!$A$3,MATCH(表格1[[#This Row],[Location]]&amp;" "&amp;表格1[[#This Row],[Shop]]&amp;"*",Roster!$A$4:$A$72,0),DAY(表格1[[#This Row],[date]]),1,1)</f>
        <v>Lily Hon</v>
      </c>
      <c r="E3550" s="86">
        <f>MONTH(表格1[[#This Row],[date]])</f>
        <v>3</v>
      </c>
      <c r="F3550" s="90">
        <v>46085</v>
      </c>
      <c r="G3550" s="86" t="str">
        <f>VLOOKUP("*"&amp;表格1[[#This Row],[Input]]&amp;"*",'Ref-List'!$B:$D,2,)</f>
        <v>GR-A26HSZ(DS)</v>
      </c>
      <c r="H3550" s="86" t="str">
        <f>_xlfn.XLOOKUP(表格1[[#This Row],[Model]],表格3[Model-Input-Ref2],表格3[Product Line])</f>
        <v>雙門變頻式環保雪櫃</v>
      </c>
      <c r="I3550" s="86" t="str">
        <f>_xlfn.XLOOKUP(表格1[[#This Row],[Model]],表格3[Model-Input-Ref2],表格3[大小電])</f>
        <v>大電</v>
      </c>
      <c r="J3550" s="86" t="str">
        <f>_xlfn.XLOOKUP(表格1[[#This Row],[Model]],表格3[Model-Input-Ref2],表格3[Code])</f>
        <v>AC</v>
      </c>
      <c r="K3550" s="89" t="s">
        <v>1207</v>
      </c>
      <c r="L3550" s="86">
        <v>1</v>
      </c>
      <c r="M3550" s="87">
        <v>1500</v>
      </c>
      <c r="N3550" s="174">
        <f>IFERROR(表格1[[#This Row],[QTY]]*表格1[[#This Row],[Unit Price]],"-")</f>
        <v>1500</v>
      </c>
      <c r="O3550" s="175">
        <v>6091699</v>
      </c>
      <c r="R3550" s="86" t="str">
        <f>_xlfn.CONCAT(表格1[[#This Row],[Model]]," ",表格1[[#This Row],[inv no]])</f>
        <v>GR-A26HSZ(DS) 6091699</v>
      </c>
      <c r="S3550" s="86">
        <f>_xlfn.XLOOKUP(表格1[[#This Row],[Model]],表格3[Model-Input-Ref2],表格3[SRP PRICE])</f>
        <v>3780</v>
      </c>
      <c r="T3550" s="43">
        <f>表格1[[#This Row],[Unit Price]]/表格1[[#This Row],[SRP]]</f>
        <v>0.3968253968253968</v>
      </c>
      <c r="U3550" s="86" t="str">
        <f>_xlfn.XLOOKUP(表格1[[#This Row],[Model]],表格3[Model-Input-Ref2],表格3[TOSHIBA/HIGHEST])</f>
        <v>Toshiba SRP</v>
      </c>
      <c r="W3550" s="86" t="str">
        <f>_xlfn.CONCAT(表格1[[#This Row],[欄4]],表格1[[#This Row],[inv no]])</f>
        <v>6091699</v>
      </c>
    </row>
    <row r="3551" spans="1:23" hidden="1">
      <c r="A3551" s="81">
        <v>3549</v>
      </c>
      <c r="B3551" s="86" t="s">
        <v>1203</v>
      </c>
      <c r="C3551" s="86" t="s">
        <v>1964</v>
      </c>
      <c r="D3551" s="82" t="str">
        <f ca="1">OFFSET(Roster!$A$3,MATCH(表格1[[#This Row],[Location]]&amp;" "&amp;表格1[[#This Row],[Shop]]&amp;"*",Roster!$A$4:$A$72,0),DAY(表格1[[#This Row],[date]]),1,1)</f>
        <v>Lily Hon</v>
      </c>
      <c r="E3551" s="86">
        <f>MONTH(表格1[[#This Row],[date]])</f>
        <v>3</v>
      </c>
      <c r="F3551" s="90">
        <v>46085</v>
      </c>
      <c r="G3551" s="86" t="str">
        <f>VLOOKUP("*"&amp;表格1[[#This Row],[Input]]&amp;"*",'Ref-List'!$B:$D,2,)</f>
        <v>RC-15ISTHK(W)</v>
      </c>
      <c r="H3551" s="86" t="str">
        <f>_xlfn.XLOOKUP(表格1[[#This Row],[Model]],表格3[Model-Input-Ref2],表格3[Product Line])</f>
        <v>磁應電飯煲(1.5公升)</v>
      </c>
      <c r="I3551" s="86" t="str">
        <f>_xlfn.XLOOKUP(表格1[[#This Row],[Model]],表格3[Model-Input-Ref2],表格3[大小電])</f>
        <v>細電</v>
      </c>
      <c r="J3551" s="86" t="str">
        <f>_xlfn.XLOOKUP(表格1[[#This Row],[Model]],表格3[Model-Input-Ref2],表格3[Code])</f>
        <v>SDA</v>
      </c>
      <c r="K3551" s="89" t="s">
        <v>1204</v>
      </c>
      <c r="L3551" s="86">
        <v>1</v>
      </c>
      <c r="M3551" s="87">
        <v>500</v>
      </c>
      <c r="N3551" s="174">
        <f>IFERROR(表格1[[#This Row],[QTY]]*表格1[[#This Row],[Unit Price]],"-")</f>
        <v>500</v>
      </c>
      <c r="O3551" s="175">
        <v>6091695</v>
      </c>
      <c r="R3551" s="86" t="str">
        <f>_xlfn.CONCAT(表格1[[#This Row],[Model]]," ",表格1[[#This Row],[inv no]])</f>
        <v>RC-15ISTHK(W) 6091695</v>
      </c>
      <c r="S3551" s="86">
        <f>_xlfn.XLOOKUP(表格1[[#This Row],[Model]],表格3[Model-Input-Ref2],表格3[SRP PRICE])</f>
        <v>1688</v>
      </c>
      <c r="T3551" s="43">
        <f>表格1[[#This Row],[Unit Price]]/表格1[[#This Row],[SRP]]</f>
        <v>0.29620853080568721</v>
      </c>
      <c r="U3551" s="86" t="str">
        <f>_xlfn.XLOOKUP(表格1[[#This Row],[Model]],表格3[Model-Input-Ref2],表格3[TOSHIBA/HIGHEST])</f>
        <v>Toshiba SRP</v>
      </c>
      <c r="W3551" s="86" t="str">
        <f>_xlfn.CONCAT(表格1[[#This Row],[欄4]],表格1[[#This Row],[inv no]])</f>
        <v>6091695</v>
      </c>
    </row>
    <row r="3552" spans="1:23" hidden="1">
      <c r="A3552" s="81">
        <v>3550</v>
      </c>
      <c r="B3552" s="86" t="s">
        <v>1203</v>
      </c>
      <c r="C3552" s="86" t="s">
        <v>1964</v>
      </c>
      <c r="D3552" s="82" t="str">
        <f ca="1">OFFSET(Roster!$A$3,MATCH(表格1[[#This Row],[Location]]&amp;" "&amp;表格1[[#This Row],[Shop]]&amp;"*",Roster!$A$4:$A$72,0),DAY(表格1[[#This Row],[date]]),1,1)</f>
        <v>Lily Hon</v>
      </c>
      <c r="E3552" s="86">
        <f>MONTH(表格1[[#This Row],[date]])</f>
        <v>3</v>
      </c>
      <c r="F3552" s="90">
        <v>46085</v>
      </c>
      <c r="G3552" s="86" t="str">
        <f>VLOOKUP("*"&amp;表格1[[#This Row],[Input]]&amp;"*",'Ref-List'!$B:$D,2,)</f>
        <v>RC-15ISTHK(W)</v>
      </c>
      <c r="H3552" s="86" t="str">
        <f>_xlfn.XLOOKUP(表格1[[#This Row],[Model]],表格3[Model-Input-Ref2],表格3[Product Line])</f>
        <v>磁應電飯煲(1.5公升)</v>
      </c>
      <c r="I3552" s="86" t="str">
        <f>_xlfn.XLOOKUP(表格1[[#This Row],[Model]],表格3[Model-Input-Ref2],表格3[大小電])</f>
        <v>細電</v>
      </c>
      <c r="J3552" s="86" t="str">
        <f>_xlfn.XLOOKUP(表格1[[#This Row],[Model]],表格3[Model-Input-Ref2],表格3[Code])</f>
        <v>SDA</v>
      </c>
      <c r="K3552" s="89" t="s">
        <v>1204</v>
      </c>
      <c r="L3552" s="86">
        <v>1</v>
      </c>
      <c r="M3552" s="87">
        <v>500</v>
      </c>
      <c r="N3552" s="174">
        <f>IFERROR(表格1[[#This Row],[QTY]]*表格1[[#This Row],[Unit Price]],"-")</f>
        <v>500</v>
      </c>
      <c r="O3552" s="175">
        <v>6138121</v>
      </c>
      <c r="R3552" s="86" t="str">
        <f>_xlfn.CONCAT(表格1[[#This Row],[Model]]," ",表格1[[#This Row],[inv no]])</f>
        <v>RC-15ISTHK(W) 6138121</v>
      </c>
      <c r="S3552" s="86">
        <f>_xlfn.XLOOKUP(表格1[[#This Row],[Model]],表格3[Model-Input-Ref2],表格3[SRP PRICE])</f>
        <v>1688</v>
      </c>
      <c r="T3552" s="43">
        <f>表格1[[#This Row],[Unit Price]]/表格1[[#This Row],[SRP]]</f>
        <v>0.29620853080568721</v>
      </c>
      <c r="U3552" s="86" t="str">
        <f>_xlfn.XLOOKUP(表格1[[#This Row],[Model]],表格3[Model-Input-Ref2],表格3[TOSHIBA/HIGHEST])</f>
        <v>Toshiba SRP</v>
      </c>
      <c r="W3552" s="86" t="str">
        <f>_xlfn.CONCAT(表格1[[#This Row],[欄4]],表格1[[#This Row],[inv no]])</f>
        <v>6138121</v>
      </c>
    </row>
    <row r="3553" spans="1:23" hidden="1">
      <c r="A3553" s="81">
        <v>3551</v>
      </c>
      <c r="B3553" s="86" t="s">
        <v>1203</v>
      </c>
      <c r="C3553" s="86" t="s">
        <v>1964</v>
      </c>
      <c r="D3553" s="82" t="str">
        <f ca="1">OFFSET(Roster!$A$3,MATCH(表格1[[#This Row],[Location]]&amp;" "&amp;表格1[[#This Row],[Shop]]&amp;"*",Roster!$A$4:$A$72,0),DAY(表格1[[#This Row],[date]]),1,1)</f>
        <v>Lily Hon</v>
      </c>
      <c r="E3553" s="86">
        <f>MONTH(表格1[[#This Row],[date]])</f>
        <v>3</v>
      </c>
      <c r="F3553" s="90">
        <v>46085</v>
      </c>
      <c r="G3553" s="86" t="str">
        <f>VLOOKUP("*"&amp;表格1[[#This Row],[Input]]&amp;"*",'Ref-List'!$B:$D,2,)</f>
        <v>RC-15ISTHK(W)</v>
      </c>
      <c r="H3553" s="86" t="str">
        <f>_xlfn.XLOOKUP(表格1[[#This Row],[Model]],表格3[Model-Input-Ref2],表格3[Product Line])</f>
        <v>磁應電飯煲(1.5公升)</v>
      </c>
      <c r="I3553" s="86" t="str">
        <f>_xlfn.XLOOKUP(表格1[[#This Row],[Model]],表格3[Model-Input-Ref2],表格3[大小電])</f>
        <v>細電</v>
      </c>
      <c r="J3553" s="86" t="str">
        <f>_xlfn.XLOOKUP(表格1[[#This Row],[Model]],表格3[Model-Input-Ref2],表格3[Code])</f>
        <v>SDA</v>
      </c>
      <c r="K3553" s="89" t="s">
        <v>1204</v>
      </c>
      <c r="L3553" s="86">
        <v>1</v>
      </c>
      <c r="M3553" s="87">
        <v>500</v>
      </c>
      <c r="N3553" s="174">
        <f>IFERROR(表格1[[#This Row],[QTY]]*表格1[[#This Row],[Unit Price]],"-")</f>
        <v>500</v>
      </c>
      <c r="O3553" s="175">
        <v>6138173</v>
      </c>
      <c r="R3553" s="86" t="str">
        <f>_xlfn.CONCAT(表格1[[#This Row],[Model]]," ",表格1[[#This Row],[inv no]])</f>
        <v>RC-15ISTHK(W) 6138173</v>
      </c>
      <c r="S3553" s="86">
        <f>_xlfn.XLOOKUP(表格1[[#This Row],[Model]],表格3[Model-Input-Ref2],表格3[SRP PRICE])</f>
        <v>1688</v>
      </c>
      <c r="T3553" s="43">
        <f>表格1[[#This Row],[Unit Price]]/表格1[[#This Row],[SRP]]</f>
        <v>0.29620853080568721</v>
      </c>
      <c r="U3553" s="86" t="str">
        <f>_xlfn.XLOOKUP(表格1[[#This Row],[Model]],表格3[Model-Input-Ref2],表格3[TOSHIBA/HIGHEST])</f>
        <v>Toshiba SRP</v>
      </c>
      <c r="W3553" s="86" t="str">
        <f>_xlfn.CONCAT(表格1[[#This Row],[欄4]],表格1[[#This Row],[inv no]])</f>
        <v>6138173</v>
      </c>
    </row>
    <row r="3554" spans="1:23" hidden="1">
      <c r="A3554" s="81">
        <v>3552</v>
      </c>
      <c r="B3554" s="86" t="s">
        <v>1203</v>
      </c>
      <c r="C3554" s="86" t="s">
        <v>1964</v>
      </c>
      <c r="D3554" s="82" t="str">
        <f ca="1">OFFSET(Roster!$A$3,MATCH(表格1[[#This Row],[Location]]&amp;" "&amp;表格1[[#This Row],[Shop]]&amp;"*",Roster!$A$4:$A$72,0),DAY(表格1[[#This Row],[date]]),1,1)</f>
        <v>Lily Hon</v>
      </c>
      <c r="E3554" s="86">
        <f>MONTH(表格1[[#This Row],[date]])</f>
        <v>3</v>
      </c>
      <c r="F3554" s="90">
        <v>46085</v>
      </c>
      <c r="G3554" s="86" t="str">
        <f>VLOOKUP("*"&amp;表格1[[#This Row],[Input]]&amp;"*",'Ref-List'!$B:$D,2,)</f>
        <v>RC-15ISTHK(W)</v>
      </c>
      <c r="H3554" s="86" t="str">
        <f>_xlfn.XLOOKUP(表格1[[#This Row],[Model]],表格3[Model-Input-Ref2],表格3[Product Line])</f>
        <v>磁應電飯煲(1.5公升)</v>
      </c>
      <c r="I3554" s="86" t="str">
        <f>_xlfn.XLOOKUP(表格1[[#This Row],[Model]],表格3[Model-Input-Ref2],表格3[大小電])</f>
        <v>細電</v>
      </c>
      <c r="J3554" s="86" t="str">
        <f>_xlfn.XLOOKUP(表格1[[#This Row],[Model]],表格3[Model-Input-Ref2],表格3[Code])</f>
        <v>SDA</v>
      </c>
      <c r="K3554" s="89" t="s">
        <v>1204</v>
      </c>
      <c r="L3554" s="86">
        <v>1</v>
      </c>
      <c r="M3554" s="87">
        <v>500</v>
      </c>
      <c r="N3554" s="174">
        <f>IFERROR(表格1[[#This Row],[QTY]]*表格1[[#This Row],[Unit Price]],"-")</f>
        <v>500</v>
      </c>
      <c r="O3554" s="175">
        <v>6138138</v>
      </c>
      <c r="R3554" s="86" t="str">
        <f>_xlfn.CONCAT(表格1[[#This Row],[Model]]," ",表格1[[#This Row],[inv no]])</f>
        <v>RC-15ISTHK(W) 6138138</v>
      </c>
      <c r="S3554" s="86">
        <f>_xlfn.XLOOKUP(表格1[[#This Row],[Model]],表格3[Model-Input-Ref2],表格3[SRP PRICE])</f>
        <v>1688</v>
      </c>
      <c r="T3554" s="43">
        <f>表格1[[#This Row],[Unit Price]]/表格1[[#This Row],[SRP]]</f>
        <v>0.29620853080568721</v>
      </c>
      <c r="U3554" s="86" t="str">
        <f>_xlfn.XLOOKUP(表格1[[#This Row],[Model]],表格3[Model-Input-Ref2],表格3[TOSHIBA/HIGHEST])</f>
        <v>Toshiba SRP</v>
      </c>
      <c r="W3554" s="86" t="str">
        <f>_xlfn.CONCAT(表格1[[#This Row],[欄4]],表格1[[#This Row],[inv no]])</f>
        <v>6138138</v>
      </c>
    </row>
    <row r="3555" spans="1:23" hidden="1">
      <c r="A3555" s="81">
        <v>3553</v>
      </c>
      <c r="B3555" s="86" t="s">
        <v>1203</v>
      </c>
      <c r="C3555" s="86" t="s">
        <v>1964</v>
      </c>
      <c r="D3555" s="82" t="str">
        <f ca="1">OFFSET(Roster!$A$3,MATCH(表格1[[#This Row],[Location]]&amp;" "&amp;表格1[[#This Row],[Shop]]&amp;"*",Roster!$A$4:$A$72,0),DAY(表格1[[#This Row],[date]]),1,1)</f>
        <v>Lily Hon</v>
      </c>
      <c r="E3555" s="86">
        <f>MONTH(表格1[[#This Row],[date]])</f>
        <v>3</v>
      </c>
      <c r="F3555" s="90">
        <v>46085</v>
      </c>
      <c r="G3555" s="86" t="str">
        <f>VLOOKUP("*"&amp;表格1[[#This Row],[Input]]&amp;"*",'Ref-List'!$B:$D,2,)</f>
        <v>RC-15ISTHK(W)</v>
      </c>
      <c r="H3555" s="86" t="str">
        <f>_xlfn.XLOOKUP(表格1[[#This Row],[Model]],表格3[Model-Input-Ref2],表格3[Product Line])</f>
        <v>磁應電飯煲(1.5公升)</v>
      </c>
      <c r="I3555" s="86" t="str">
        <f>_xlfn.XLOOKUP(表格1[[#This Row],[Model]],表格3[Model-Input-Ref2],表格3[大小電])</f>
        <v>細電</v>
      </c>
      <c r="J3555" s="86" t="str">
        <f>_xlfn.XLOOKUP(表格1[[#This Row],[Model]],表格3[Model-Input-Ref2],表格3[Code])</f>
        <v>SDA</v>
      </c>
      <c r="K3555" s="89" t="s">
        <v>1204</v>
      </c>
      <c r="L3555" s="86">
        <v>1</v>
      </c>
      <c r="M3555" s="87">
        <v>500</v>
      </c>
      <c r="N3555" s="174">
        <f>IFERROR(表格1[[#This Row],[QTY]]*表格1[[#This Row],[Unit Price]],"-")</f>
        <v>500</v>
      </c>
      <c r="O3555" s="175">
        <v>6091906</v>
      </c>
      <c r="R3555" s="86" t="str">
        <f>_xlfn.CONCAT(表格1[[#This Row],[Model]]," ",表格1[[#This Row],[inv no]])</f>
        <v>RC-15ISTHK(W) 6091906</v>
      </c>
      <c r="S3555" s="86">
        <f>_xlfn.XLOOKUP(表格1[[#This Row],[Model]],表格3[Model-Input-Ref2],表格3[SRP PRICE])</f>
        <v>1688</v>
      </c>
      <c r="T3555" s="43">
        <f>表格1[[#This Row],[Unit Price]]/表格1[[#This Row],[SRP]]</f>
        <v>0.29620853080568721</v>
      </c>
      <c r="U3555" s="86" t="str">
        <f>_xlfn.XLOOKUP(表格1[[#This Row],[Model]],表格3[Model-Input-Ref2],表格3[TOSHIBA/HIGHEST])</f>
        <v>Toshiba SRP</v>
      </c>
      <c r="W3555" s="86" t="str">
        <f>_xlfn.CONCAT(表格1[[#This Row],[欄4]],表格1[[#This Row],[inv no]])</f>
        <v>6091906</v>
      </c>
    </row>
    <row r="3556" spans="1:23" hidden="1">
      <c r="A3556" s="81">
        <v>3554</v>
      </c>
      <c r="B3556" s="86" t="s">
        <v>1203</v>
      </c>
      <c r="C3556" s="86" t="s">
        <v>1964</v>
      </c>
      <c r="D3556" s="82" t="str">
        <f ca="1">OFFSET(Roster!$A$3,MATCH(表格1[[#This Row],[Location]]&amp;" "&amp;表格1[[#This Row],[Shop]]&amp;"*",Roster!$A$4:$A$72,0),DAY(表格1[[#This Row],[date]]),1,1)</f>
        <v>Lily Hon off</v>
      </c>
      <c r="E3556" s="86">
        <f>MONTH(表格1[[#This Row],[date]])</f>
        <v>3</v>
      </c>
      <c r="F3556" s="90">
        <v>46086</v>
      </c>
      <c r="G3556" s="86" t="str">
        <f>VLOOKUP("*"&amp;表格1[[#This Row],[Input]]&amp;"*",'Ref-List'!$B:$D,2,)</f>
        <v>GR-A26HSZ(DS)</v>
      </c>
      <c r="H3556" s="86" t="str">
        <f>_xlfn.XLOOKUP(表格1[[#This Row],[Model]],表格3[Model-Input-Ref2],表格3[Product Line])</f>
        <v>雙門變頻式環保雪櫃</v>
      </c>
      <c r="I3556" s="86" t="str">
        <f>_xlfn.XLOOKUP(表格1[[#This Row],[Model]],表格3[Model-Input-Ref2],表格3[大小電])</f>
        <v>大電</v>
      </c>
      <c r="J3556" s="86" t="str">
        <f>_xlfn.XLOOKUP(表格1[[#This Row],[Model]],表格3[Model-Input-Ref2],表格3[Code])</f>
        <v>AC</v>
      </c>
      <c r="K3556" s="89" t="s">
        <v>1207</v>
      </c>
      <c r="L3556" s="86">
        <v>1</v>
      </c>
      <c r="M3556" s="87">
        <v>1500</v>
      </c>
      <c r="N3556" s="174">
        <f>IFERROR(表格1[[#This Row],[QTY]]*表格1[[#This Row],[Unit Price]],"-")</f>
        <v>1500</v>
      </c>
      <c r="O3556" s="175">
        <v>6091880</v>
      </c>
      <c r="R3556" s="86" t="str">
        <f>_xlfn.CONCAT(表格1[[#This Row],[Model]]," ",表格1[[#This Row],[inv no]])</f>
        <v>GR-A26HSZ(DS) 6091880</v>
      </c>
      <c r="S3556" s="86">
        <f>_xlfn.XLOOKUP(表格1[[#This Row],[Model]],表格3[Model-Input-Ref2],表格3[SRP PRICE])</f>
        <v>3780</v>
      </c>
      <c r="T3556" s="43">
        <f>表格1[[#This Row],[Unit Price]]/表格1[[#This Row],[SRP]]</f>
        <v>0.3968253968253968</v>
      </c>
      <c r="U3556" s="86" t="str">
        <f>_xlfn.XLOOKUP(表格1[[#This Row],[Model]],表格3[Model-Input-Ref2],表格3[TOSHIBA/HIGHEST])</f>
        <v>Toshiba SRP</v>
      </c>
      <c r="W3556" s="86" t="str">
        <f>_xlfn.CONCAT(表格1[[#This Row],[欄4]],表格1[[#This Row],[inv no]])</f>
        <v>6091880</v>
      </c>
    </row>
    <row r="3557" spans="1:23" hidden="1">
      <c r="A3557" s="81">
        <v>3555</v>
      </c>
      <c r="B3557" s="86" t="s">
        <v>1203</v>
      </c>
      <c r="C3557" s="86" t="s">
        <v>1964</v>
      </c>
      <c r="D3557" s="82" t="str">
        <f ca="1">OFFSET(Roster!$A$3,MATCH(表格1[[#This Row],[Location]]&amp;" "&amp;表格1[[#This Row],[Shop]]&amp;"*",Roster!$A$4:$A$72,0),DAY(表格1[[#This Row],[date]]),1,1)</f>
        <v>Lily Hon off</v>
      </c>
      <c r="E3557" s="86">
        <f>MONTH(表格1[[#This Row],[date]])</f>
        <v>3</v>
      </c>
      <c r="F3557" s="90">
        <v>46086</v>
      </c>
      <c r="G3557" s="86" t="str">
        <f>VLOOKUP("*"&amp;表格1[[#This Row],[Input]]&amp;"*",'Ref-List'!$B:$D,2,)</f>
        <v>RC-15ISTHK(W)</v>
      </c>
      <c r="H3557" s="86" t="str">
        <f>_xlfn.XLOOKUP(表格1[[#This Row],[Model]],表格3[Model-Input-Ref2],表格3[Product Line])</f>
        <v>磁應電飯煲(1.5公升)</v>
      </c>
      <c r="I3557" s="86" t="str">
        <f>_xlfn.XLOOKUP(表格1[[#This Row],[Model]],表格3[Model-Input-Ref2],表格3[大小電])</f>
        <v>細電</v>
      </c>
      <c r="J3557" s="86" t="str">
        <f>_xlfn.XLOOKUP(表格1[[#This Row],[Model]],表格3[Model-Input-Ref2],表格3[Code])</f>
        <v>SDA</v>
      </c>
      <c r="K3557" s="89" t="s">
        <v>1204</v>
      </c>
      <c r="L3557" s="86">
        <v>1</v>
      </c>
      <c r="M3557" s="87">
        <v>500</v>
      </c>
      <c r="N3557" s="174">
        <f>IFERROR(表格1[[#This Row],[QTY]]*表格1[[#This Row],[Unit Price]],"-")</f>
        <v>500</v>
      </c>
      <c r="O3557" s="175">
        <v>6091916</v>
      </c>
      <c r="R3557" s="86" t="str">
        <f>_xlfn.CONCAT(表格1[[#This Row],[Model]]," ",表格1[[#This Row],[inv no]])</f>
        <v>RC-15ISTHK(W) 6091916</v>
      </c>
      <c r="S3557" s="86">
        <f>_xlfn.XLOOKUP(表格1[[#This Row],[Model]],表格3[Model-Input-Ref2],表格3[SRP PRICE])</f>
        <v>1688</v>
      </c>
      <c r="T3557" s="43">
        <f>表格1[[#This Row],[Unit Price]]/表格1[[#This Row],[SRP]]</f>
        <v>0.29620853080568721</v>
      </c>
      <c r="U3557" s="86" t="str">
        <f>_xlfn.XLOOKUP(表格1[[#This Row],[Model]],表格3[Model-Input-Ref2],表格3[TOSHIBA/HIGHEST])</f>
        <v>Toshiba SRP</v>
      </c>
      <c r="W3557" s="86" t="str">
        <f>_xlfn.CONCAT(表格1[[#This Row],[欄4]],表格1[[#This Row],[inv no]])</f>
        <v>6091916</v>
      </c>
    </row>
    <row r="3558" spans="1:23" hidden="1">
      <c r="A3558" s="81">
        <v>3556</v>
      </c>
      <c r="B3558" s="86" t="s">
        <v>1203</v>
      </c>
      <c r="C3558" s="86" t="s">
        <v>1964</v>
      </c>
      <c r="D3558" s="82" t="str">
        <f ca="1">OFFSET(Roster!$A$3,MATCH(表格1[[#This Row],[Location]]&amp;" "&amp;表格1[[#This Row],[Shop]]&amp;"*",Roster!$A$4:$A$72,0),DAY(表格1[[#This Row],[date]]),1,1)</f>
        <v>Lily Hon off</v>
      </c>
      <c r="E3558" s="86">
        <f>MONTH(表格1[[#This Row],[date]])</f>
        <v>3</v>
      </c>
      <c r="F3558" s="90">
        <v>46086</v>
      </c>
      <c r="G3558" s="86" t="str">
        <f>VLOOKUP("*"&amp;表格1[[#This Row],[Input]]&amp;"*",'Ref-List'!$B:$D,2,)</f>
        <v>RC-15ISTHK(W)</v>
      </c>
      <c r="H3558" s="86" t="str">
        <f>_xlfn.XLOOKUP(表格1[[#This Row],[Model]],表格3[Model-Input-Ref2],表格3[Product Line])</f>
        <v>磁應電飯煲(1.5公升)</v>
      </c>
      <c r="I3558" s="86" t="str">
        <f>_xlfn.XLOOKUP(表格1[[#This Row],[Model]],表格3[Model-Input-Ref2],表格3[大小電])</f>
        <v>細電</v>
      </c>
      <c r="J3558" s="86" t="str">
        <f>_xlfn.XLOOKUP(表格1[[#This Row],[Model]],表格3[Model-Input-Ref2],表格3[Code])</f>
        <v>SDA</v>
      </c>
      <c r="K3558" s="89" t="s">
        <v>1204</v>
      </c>
      <c r="L3558" s="86">
        <v>1</v>
      </c>
      <c r="M3558" s="87">
        <v>500</v>
      </c>
      <c r="N3558" s="174">
        <f>IFERROR(表格1[[#This Row],[QTY]]*表格1[[#This Row],[Unit Price]],"-")</f>
        <v>500</v>
      </c>
      <c r="O3558" s="175">
        <v>6091923</v>
      </c>
      <c r="R3558" s="86" t="str">
        <f>_xlfn.CONCAT(表格1[[#This Row],[Model]]," ",表格1[[#This Row],[inv no]])</f>
        <v>RC-15ISTHK(W) 6091923</v>
      </c>
      <c r="S3558" s="86">
        <f>_xlfn.XLOOKUP(表格1[[#This Row],[Model]],表格3[Model-Input-Ref2],表格3[SRP PRICE])</f>
        <v>1688</v>
      </c>
      <c r="T3558" s="43">
        <f>表格1[[#This Row],[Unit Price]]/表格1[[#This Row],[SRP]]</f>
        <v>0.29620853080568721</v>
      </c>
      <c r="U3558" s="86" t="str">
        <f>_xlfn.XLOOKUP(表格1[[#This Row],[Model]],表格3[Model-Input-Ref2],表格3[TOSHIBA/HIGHEST])</f>
        <v>Toshiba SRP</v>
      </c>
      <c r="W3558" s="86" t="str">
        <f>_xlfn.CONCAT(表格1[[#This Row],[欄4]],表格1[[#This Row],[inv no]])</f>
        <v>6091923</v>
      </c>
    </row>
    <row r="3559" spans="1:23" hidden="1">
      <c r="A3559" s="81">
        <v>3557</v>
      </c>
      <c r="B3559" s="86" t="s">
        <v>1203</v>
      </c>
      <c r="C3559" s="86" t="s">
        <v>1964</v>
      </c>
      <c r="D3559" s="82" t="str">
        <f ca="1">OFFSET(Roster!$A$3,MATCH(表格1[[#This Row],[Location]]&amp;" "&amp;表格1[[#This Row],[Shop]]&amp;"*",Roster!$A$4:$A$72,0),DAY(表格1[[#This Row],[date]]),1,1)</f>
        <v>Lily Hon off</v>
      </c>
      <c r="E3559" s="86">
        <f>MONTH(表格1[[#This Row],[date]])</f>
        <v>3</v>
      </c>
      <c r="F3559" s="90">
        <v>46086</v>
      </c>
      <c r="G3559" s="86" t="str">
        <f>VLOOKUP("*"&amp;表格1[[#This Row],[Input]]&amp;"*",'Ref-List'!$B:$D,2,)</f>
        <v>RC-15ISTHK(W)</v>
      </c>
      <c r="H3559" s="86" t="str">
        <f>_xlfn.XLOOKUP(表格1[[#This Row],[Model]],表格3[Model-Input-Ref2],表格3[Product Line])</f>
        <v>磁應電飯煲(1.5公升)</v>
      </c>
      <c r="I3559" s="86" t="str">
        <f>_xlfn.XLOOKUP(表格1[[#This Row],[Model]],表格3[Model-Input-Ref2],表格3[大小電])</f>
        <v>細電</v>
      </c>
      <c r="J3559" s="86" t="str">
        <f>_xlfn.XLOOKUP(表格1[[#This Row],[Model]],表格3[Model-Input-Ref2],表格3[Code])</f>
        <v>SDA</v>
      </c>
      <c r="K3559" s="89" t="s">
        <v>1204</v>
      </c>
      <c r="L3559" s="86">
        <v>1</v>
      </c>
      <c r="M3559" s="87">
        <v>500</v>
      </c>
      <c r="N3559" s="174">
        <f>IFERROR(表格1[[#This Row],[QTY]]*表格1[[#This Row],[Unit Price]],"-")</f>
        <v>500</v>
      </c>
      <c r="O3559" s="175">
        <v>6091921</v>
      </c>
      <c r="R3559" s="86" t="str">
        <f>_xlfn.CONCAT(表格1[[#This Row],[Model]]," ",表格1[[#This Row],[inv no]])</f>
        <v>RC-15ISTHK(W) 6091921</v>
      </c>
      <c r="S3559" s="86">
        <f>_xlfn.XLOOKUP(表格1[[#This Row],[Model]],表格3[Model-Input-Ref2],表格3[SRP PRICE])</f>
        <v>1688</v>
      </c>
      <c r="T3559" s="43">
        <f>表格1[[#This Row],[Unit Price]]/表格1[[#This Row],[SRP]]</f>
        <v>0.29620853080568721</v>
      </c>
      <c r="U3559" s="86" t="str">
        <f>_xlfn.XLOOKUP(表格1[[#This Row],[Model]],表格3[Model-Input-Ref2],表格3[TOSHIBA/HIGHEST])</f>
        <v>Toshiba SRP</v>
      </c>
      <c r="W3559" s="86" t="str">
        <f>_xlfn.CONCAT(表格1[[#This Row],[欄4]],表格1[[#This Row],[inv no]])</f>
        <v>6091921</v>
      </c>
    </row>
    <row r="3560" spans="1:23" hidden="1">
      <c r="A3560" s="81">
        <v>3558</v>
      </c>
      <c r="B3560" s="86" t="s">
        <v>1203</v>
      </c>
      <c r="C3560" s="86" t="s">
        <v>1964</v>
      </c>
      <c r="D3560" s="82" t="str">
        <f ca="1">OFFSET(Roster!$A$3,MATCH(表格1[[#This Row],[Location]]&amp;" "&amp;表格1[[#This Row],[Shop]]&amp;"*",Roster!$A$4:$A$72,0),DAY(表格1[[#This Row],[date]]),1,1)</f>
        <v>Lily Hon off</v>
      </c>
      <c r="E3560" s="86">
        <f>MONTH(表格1[[#This Row],[date]])</f>
        <v>3</v>
      </c>
      <c r="F3560" s="90">
        <v>46086</v>
      </c>
      <c r="G3560" s="86" t="str">
        <f>VLOOKUP("*"&amp;表格1[[#This Row],[Input]]&amp;"*",'Ref-List'!$B:$D,2,)</f>
        <v>RC-15ISTHK(W)</v>
      </c>
      <c r="H3560" s="86" t="str">
        <f>_xlfn.XLOOKUP(表格1[[#This Row],[Model]],表格3[Model-Input-Ref2],表格3[Product Line])</f>
        <v>磁應電飯煲(1.5公升)</v>
      </c>
      <c r="I3560" s="86" t="str">
        <f>_xlfn.XLOOKUP(表格1[[#This Row],[Model]],表格3[Model-Input-Ref2],表格3[大小電])</f>
        <v>細電</v>
      </c>
      <c r="J3560" s="86" t="str">
        <f>_xlfn.XLOOKUP(表格1[[#This Row],[Model]],表格3[Model-Input-Ref2],表格3[Code])</f>
        <v>SDA</v>
      </c>
      <c r="K3560" s="89" t="s">
        <v>1204</v>
      </c>
      <c r="L3560" s="86">
        <v>1</v>
      </c>
      <c r="M3560" s="87">
        <v>500</v>
      </c>
      <c r="N3560" s="174">
        <f>IFERROR(表格1[[#This Row],[QTY]]*表格1[[#This Row],[Unit Price]],"-")</f>
        <v>500</v>
      </c>
      <c r="O3560" s="175">
        <v>6138141</v>
      </c>
      <c r="R3560" s="86" t="str">
        <f>_xlfn.CONCAT(表格1[[#This Row],[Model]]," ",表格1[[#This Row],[inv no]])</f>
        <v>RC-15ISTHK(W) 6138141</v>
      </c>
      <c r="S3560" s="86">
        <f>_xlfn.XLOOKUP(表格1[[#This Row],[Model]],表格3[Model-Input-Ref2],表格3[SRP PRICE])</f>
        <v>1688</v>
      </c>
      <c r="T3560" s="43">
        <f>表格1[[#This Row],[Unit Price]]/表格1[[#This Row],[SRP]]</f>
        <v>0.29620853080568721</v>
      </c>
      <c r="U3560" s="86" t="str">
        <f>_xlfn.XLOOKUP(表格1[[#This Row],[Model]],表格3[Model-Input-Ref2],表格3[TOSHIBA/HIGHEST])</f>
        <v>Toshiba SRP</v>
      </c>
      <c r="W3560" s="86" t="str">
        <f>_xlfn.CONCAT(表格1[[#This Row],[欄4]],表格1[[#This Row],[inv no]])</f>
        <v>6138141</v>
      </c>
    </row>
    <row r="3561" spans="1:23" hidden="1">
      <c r="A3561" s="81">
        <v>3559</v>
      </c>
      <c r="B3561" s="86" t="s">
        <v>1203</v>
      </c>
      <c r="C3561" s="86" t="s">
        <v>1964</v>
      </c>
      <c r="D3561" s="82" t="str">
        <f ca="1">OFFSET(Roster!$A$3,MATCH(表格1[[#This Row],[Location]]&amp;" "&amp;表格1[[#This Row],[Shop]]&amp;"*",Roster!$A$4:$A$72,0),DAY(表格1[[#This Row],[date]]),1,1)</f>
        <v>Lily Hon off</v>
      </c>
      <c r="E3561" s="86">
        <f>MONTH(表格1[[#This Row],[date]])</f>
        <v>3</v>
      </c>
      <c r="F3561" s="90">
        <v>46086</v>
      </c>
      <c r="G3561" s="86" t="str">
        <f>VLOOKUP("*"&amp;表格1[[#This Row],[Input]]&amp;"*",'Ref-List'!$B:$D,2,)</f>
        <v>MW2-MM24PC(BK)</v>
      </c>
      <c r="H3561" s="86" t="str">
        <f>_xlfn.XLOOKUP(表格1[[#This Row],[Model]],表格3[Model-Input-Ref2],表格3[Product Line])</f>
        <v>旋鈕式微波爐24L</v>
      </c>
      <c r="I3561" s="86" t="str">
        <f>_xlfn.XLOOKUP(表格1[[#This Row],[Model]],表格3[Model-Input-Ref2],表格3[大小電])</f>
        <v>細電</v>
      </c>
      <c r="J3561" s="86" t="str">
        <f>_xlfn.XLOOKUP(表格1[[#This Row],[Model]],表格3[Model-Input-Ref2],表格3[Code])</f>
        <v>SDA</v>
      </c>
      <c r="K3561" s="89" t="s">
        <v>1196</v>
      </c>
      <c r="L3561" s="86">
        <v>1</v>
      </c>
      <c r="M3561" s="87">
        <v>500</v>
      </c>
      <c r="N3561" s="174">
        <f>IFERROR(表格1[[#This Row],[QTY]]*表格1[[#This Row],[Unit Price]],"-")</f>
        <v>500</v>
      </c>
      <c r="O3561" s="175">
        <v>6091884</v>
      </c>
      <c r="R3561" s="86" t="str">
        <f>_xlfn.CONCAT(表格1[[#This Row],[Model]]," ",表格1[[#This Row],[inv no]])</f>
        <v>MW2-MM24PC(BK) 6091884</v>
      </c>
      <c r="S3561" s="86">
        <f>_xlfn.XLOOKUP(表格1[[#This Row],[Model]],表格3[Model-Input-Ref2],表格3[SRP PRICE])</f>
        <v>848</v>
      </c>
      <c r="T3561" s="43">
        <f>表格1[[#This Row],[Unit Price]]/表格1[[#This Row],[SRP]]</f>
        <v>0.589622641509434</v>
      </c>
      <c r="U3561" s="86" t="str">
        <f>_xlfn.XLOOKUP(表格1[[#This Row],[Model]],表格3[Model-Input-Ref2],表格3[TOSHIBA/HIGHEST])</f>
        <v>Toshiba SRP</v>
      </c>
      <c r="W3561" s="86" t="str">
        <f>_xlfn.CONCAT(表格1[[#This Row],[欄4]],表格1[[#This Row],[inv no]])</f>
        <v>6091884</v>
      </c>
    </row>
    <row r="3562" spans="1:23" hidden="1">
      <c r="A3562" s="81">
        <v>3560</v>
      </c>
      <c r="B3562" s="86" t="s">
        <v>1203</v>
      </c>
      <c r="C3562" s="86" t="s">
        <v>1964</v>
      </c>
      <c r="D3562" s="82" t="str">
        <f ca="1">OFFSET(Roster!$A$3,MATCH(表格1[[#This Row],[Location]]&amp;" "&amp;表格1[[#This Row],[Shop]]&amp;"*",Roster!$A$4:$A$72,0),DAY(表格1[[#This Row],[date]]),1,1)</f>
        <v>Lily Hon</v>
      </c>
      <c r="E3562" s="86">
        <f>MONTH(表格1[[#This Row],[date]])</f>
        <v>3</v>
      </c>
      <c r="F3562" s="90">
        <v>46087</v>
      </c>
      <c r="G3562" s="86" t="str">
        <f>VLOOKUP("*"&amp;表格1[[#This Row],[Input]]&amp;"*",'Ref-List'!$B:$D,2,)</f>
        <v>GR-A26HSZ(DS)</v>
      </c>
      <c r="H3562" s="86" t="str">
        <f>_xlfn.XLOOKUP(表格1[[#This Row],[Model]],表格3[Model-Input-Ref2],表格3[Product Line])</f>
        <v>雙門變頻式環保雪櫃</v>
      </c>
      <c r="I3562" s="86" t="str">
        <f>_xlfn.XLOOKUP(表格1[[#This Row],[Model]],表格3[Model-Input-Ref2],表格3[大小電])</f>
        <v>大電</v>
      </c>
      <c r="J3562" s="86" t="str">
        <f>_xlfn.XLOOKUP(表格1[[#This Row],[Model]],表格3[Model-Input-Ref2],表格3[Code])</f>
        <v>AC</v>
      </c>
      <c r="K3562" s="89" t="s">
        <v>1207</v>
      </c>
      <c r="L3562" s="86">
        <v>1</v>
      </c>
      <c r="M3562" s="87">
        <v>1500</v>
      </c>
      <c r="N3562" s="174">
        <f>IFERROR(表格1[[#This Row],[QTY]]*表格1[[#This Row],[Unit Price]],"-")</f>
        <v>1500</v>
      </c>
      <c r="O3562" s="175">
        <v>6091889</v>
      </c>
      <c r="R3562" s="86" t="str">
        <f>_xlfn.CONCAT(表格1[[#This Row],[Model]]," ",表格1[[#This Row],[inv no]])</f>
        <v>GR-A26HSZ(DS) 6091889</v>
      </c>
      <c r="S3562" s="86">
        <f>_xlfn.XLOOKUP(表格1[[#This Row],[Model]],表格3[Model-Input-Ref2],表格3[SRP PRICE])</f>
        <v>3780</v>
      </c>
      <c r="T3562" s="43">
        <f>表格1[[#This Row],[Unit Price]]/表格1[[#This Row],[SRP]]</f>
        <v>0.3968253968253968</v>
      </c>
      <c r="U3562" s="86" t="str">
        <f>_xlfn.XLOOKUP(表格1[[#This Row],[Model]],表格3[Model-Input-Ref2],表格3[TOSHIBA/HIGHEST])</f>
        <v>Toshiba SRP</v>
      </c>
      <c r="W3562" s="86" t="str">
        <f>_xlfn.CONCAT(表格1[[#This Row],[欄4]],表格1[[#This Row],[inv no]])</f>
        <v>6091889</v>
      </c>
    </row>
    <row r="3563" spans="1:23" hidden="1">
      <c r="A3563" s="81">
        <v>3561</v>
      </c>
      <c r="B3563" s="86" t="s">
        <v>1203</v>
      </c>
      <c r="C3563" s="86" t="s">
        <v>1964</v>
      </c>
      <c r="D3563" s="82" t="str">
        <f ca="1">OFFSET(Roster!$A$3,MATCH(表格1[[#This Row],[Location]]&amp;" "&amp;表格1[[#This Row],[Shop]]&amp;"*",Roster!$A$4:$A$72,0),DAY(表格1[[#This Row],[date]]),1,1)</f>
        <v>Lily Hon</v>
      </c>
      <c r="E3563" s="86">
        <f>MONTH(表格1[[#This Row],[date]])</f>
        <v>3</v>
      </c>
      <c r="F3563" s="90">
        <v>46087</v>
      </c>
      <c r="G3563" s="86" t="str">
        <f>VLOOKUP("*"&amp;表格1[[#This Row],[Input]]&amp;"*",'Ref-List'!$B:$D,2,)</f>
        <v>GR-A26HSZ(DS)</v>
      </c>
      <c r="H3563" s="86" t="str">
        <f>_xlfn.XLOOKUP(表格1[[#This Row],[Model]],表格3[Model-Input-Ref2],表格3[Product Line])</f>
        <v>雙門變頻式環保雪櫃</v>
      </c>
      <c r="I3563" s="86" t="str">
        <f>_xlfn.XLOOKUP(表格1[[#This Row],[Model]],表格3[Model-Input-Ref2],表格3[大小電])</f>
        <v>大電</v>
      </c>
      <c r="J3563" s="86" t="str">
        <f>_xlfn.XLOOKUP(表格1[[#This Row],[Model]],表格3[Model-Input-Ref2],表格3[Code])</f>
        <v>AC</v>
      </c>
      <c r="K3563" s="89" t="s">
        <v>1207</v>
      </c>
      <c r="L3563" s="86">
        <v>1</v>
      </c>
      <c r="M3563" s="87">
        <v>1500</v>
      </c>
      <c r="N3563" s="174">
        <f>IFERROR(表格1[[#This Row],[QTY]]*表格1[[#This Row],[Unit Price]],"-")</f>
        <v>1500</v>
      </c>
      <c r="O3563" s="175">
        <v>6091944</v>
      </c>
      <c r="R3563" s="86" t="str">
        <f>_xlfn.CONCAT(表格1[[#This Row],[Model]]," ",表格1[[#This Row],[inv no]])</f>
        <v>GR-A26HSZ(DS) 6091944</v>
      </c>
      <c r="S3563" s="86">
        <f>_xlfn.XLOOKUP(表格1[[#This Row],[Model]],表格3[Model-Input-Ref2],表格3[SRP PRICE])</f>
        <v>3780</v>
      </c>
      <c r="T3563" s="43">
        <f>表格1[[#This Row],[Unit Price]]/表格1[[#This Row],[SRP]]</f>
        <v>0.3968253968253968</v>
      </c>
      <c r="U3563" s="86" t="str">
        <f>_xlfn.XLOOKUP(表格1[[#This Row],[Model]],表格3[Model-Input-Ref2],表格3[TOSHIBA/HIGHEST])</f>
        <v>Toshiba SRP</v>
      </c>
      <c r="W3563" s="86" t="str">
        <f>_xlfn.CONCAT(表格1[[#This Row],[欄4]],表格1[[#This Row],[inv no]])</f>
        <v>6091944</v>
      </c>
    </row>
    <row r="3564" spans="1:23" hidden="1">
      <c r="A3564" s="81">
        <v>3562</v>
      </c>
      <c r="B3564" s="86" t="s">
        <v>1203</v>
      </c>
      <c r="C3564" s="86" t="s">
        <v>1964</v>
      </c>
      <c r="D3564" s="82" t="str">
        <f ca="1">OFFSET(Roster!$A$3,MATCH(表格1[[#This Row],[Location]]&amp;" "&amp;表格1[[#This Row],[Shop]]&amp;"*",Roster!$A$4:$A$72,0),DAY(表格1[[#This Row],[date]]),1,1)</f>
        <v>Lily Hon</v>
      </c>
      <c r="E3564" s="86">
        <f>MONTH(表格1[[#This Row],[date]])</f>
        <v>3</v>
      </c>
      <c r="F3564" s="90">
        <v>46087</v>
      </c>
      <c r="G3564" s="86" t="str">
        <f>VLOOKUP("*"&amp;表格1[[#This Row],[Input]]&amp;"*",'Ref-List'!$B:$D,2,)</f>
        <v>DWS-34AHK</v>
      </c>
      <c r="H3564" s="86" t="str">
        <f>_xlfn.XLOOKUP(表格1[[#This Row],[Model]],表格3[Model-Input-Ref2],表格3[Product Line])</f>
        <v>獨立式免安裝洗碗碟機</v>
      </c>
      <c r="I3564" s="86" t="str">
        <f>_xlfn.XLOOKUP(表格1[[#This Row],[Model]],表格3[Model-Input-Ref2],表格3[大小電])</f>
        <v>細電</v>
      </c>
      <c r="J3564" s="86" t="str">
        <f>_xlfn.XLOOKUP(表格1[[#This Row],[Model]],表格3[Model-Input-Ref2],表格3[Code])</f>
        <v>DM</v>
      </c>
      <c r="K3564" s="89" t="s">
        <v>1240</v>
      </c>
      <c r="L3564" s="86">
        <v>1</v>
      </c>
      <c r="M3564" s="87">
        <v>1500</v>
      </c>
      <c r="N3564" s="174">
        <f>IFERROR(表格1[[#This Row],[QTY]]*表格1[[#This Row],[Unit Price]],"-")</f>
        <v>1500</v>
      </c>
      <c r="O3564" s="175">
        <v>6091941</v>
      </c>
      <c r="R3564" s="86" t="str">
        <f>_xlfn.CONCAT(表格1[[#This Row],[Model]]," ",表格1[[#This Row],[inv no]])</f>
        <v>DWS-34AHK 6091941</v>
      </c>
      <c r="S3564" s="86">
        <f>_xlfn.XLOOKUP(表格1[[#This Row],[Model]],表格3[Model-Input-Ref2],表格3[SRP PRICE])</f>
        <v>3999</v>
      </c>
      <c r="T3564" s="43">
        <f>表格1[[#This Row],[Unit Price]]/表格1[[#This Row],[SRP]]</f>
        <v>0.37509377344336087</v>
      </c>
      <c r="U3564" s="86" t="str">
        <f>_xlfn.XLOOKUP(表格1[[#This Row],[Model]],表格3[Model-Input-Ref2],表格3[TOSHIBA/HIGHEST])</f>
        <v>Web SRP</v>
      </c>
      <c r="W3564" s="86" t="str">
        <f>_xlfn.CONCAT(表格1[[#This Row],[欄4]],表格1[[#This Row],[inv no]])</f>
        <v>6091941</v>
      </c>
    </row>
    <row r="3565" spans="1:23" hidden="1">
      <c r="A3565" s="81">
        <v>3563</v>
      </c>
      <c r="B3565" s="86" t="s">
        <v>1203</v>
      </c>
      <c r="C3565" s="86" t="s">
        <v>1964</v>
      </c>
      <c r="D3565" s="82" t="str">
        <f ca="1">OFFSET(Roster!$A$3,MATCH(表格1[[#This Row],[Location]]&amp;" "&amp;表格1[[#This Row],[Shop]]&amp;"*",Roster!$A$4:$A$72,0),DAY(表格1[[#This Row],[date]]),1,1)</f>
        <v>Lily Hon</v>
      </c>
      <c r="E3565" s="86">
        <f>MONTH(表格1[[#This Row],[date]])</f>
        <v>3</v>
      </c>
      <c r="F3565" s="90">
        <v>46087</v>
      </c>
      <c r="G3565" s="86" t="str">
        <f>VLOOKUP("*"&amp;表格1[[#This Row],[Input]]&amp;"*",'Ref-List'!$B:$D,2,)</f>
        <v>RC-15ISTHK(W)</v>
      </c>
      <c r="H3565" s="86" t="str">
        <f>_xlfn.XLOOKUP(表格1[[#This Row],[Model]],表格3[Model-Input-Ref2],表格3[Product Line])</f>
        <v>磁應電飯煲(1.5公升)</v>
      </c>
      <c r="I3565" s="86" t="str">
        <f>_xlfn.XLOOKUP(表格1[[#This Row],[Model]],表格3[Model-Input-Ref2],表格3[大小電])</f>
        <v>細電</v>
      </c>
      <c r="J3565" s="86" t="str">
        <f>_xlfn.XLOOKUP(表格1[[#This Row],[Model]],表格3[Model-Input-Ref2],表格3[Code])</f>
        <v>SDA</v>
      </c>
      <c r="K3565" s="89" t="s">
        <v>1204</v>
      </c>
      <c r="L3565" s="86">
        <v>1</v>
      </c>
      <c r="M3565" s="87">
        <v>500</v>
      </c>
      <c r="N3565" s="174">
        <f>IFERROR(表格1[[#This Row],[QTY]]*表格1[[#This Row],[Unit Price]],"-")</f>
        <v>500</v>
      </c>
      <c r="O3565" s="175">
        <v>6091950</v>
      </c>
      <c r="R3565" s="86" t="str">
        <f>_xlfn.CONCAT(表格1[[#This Row],[Model]]," ",表格1[[#This Row],[inv no]])</f>
        <v>RC-15ISTHK(W) 6091950</v>
      </c>
      <c r="S3565" s="86">
        <f>_xlfn.XLOOKUP(表格1[[#This Row],[Model]],表格3[Model-Input-Ref2],表格3[SRP PRICE])</f>
        <v>1688</v>
      </c>
      <c r="T3565" s="43">
        <f>表格1[[#This Row],[Unit Price]]/表格1[[#This Row],[SRP]]</f>
        <v>0.29620853080568721</v>
      </c>
      <c r="U3565" s="86" t="str">
        <f>_xlfn.XLOOKUP(表格1[[#This Row],[Model]],表格3[Model-Input-Ref2],表格3[TOSHIBA/HIGHEST])</f>
        <v>Toshiba SRP</v>
      </c>
      <c r="W3565" s="86" t="str">
        <f>_xlfn.CONCAT(表格1[[#This Row],[欄4]],表格1[[#This Row],[inv no]])</f>
        <v>6091950</v>
      </c>
    </row>
    <row r="3566" spans="1:23" hidden="1">
      <c r="A3566" s="81">
        <v>3564</v>
      </c>
      <c r="B3566" s="86" t="s">
        <v>1203</v>
      </c>
      <c r="C3566" s="86" t="s">
        <v>1964</v>
      </c>
      <c r="D3566" s="82" t="str">
        <f ca="1">OFFSET(Roster!$A$3,MATCH(表格1[[#This Row],[Location]]&amp;" "&amp;表格1[[#This Row],[Shop]]&amp;"*",Roster!$A$4:$A$72,0),DAY(表格1[[#This Row],[date]]),1,1)</f>
        <v>Lily Hon</v>
      </c>
      <c r="E3566" s="86">
        <f>MONTH(表格1[[#This Row],[date]])</f>
        <v>3</v>
      </c>
      <c r="F3566" s="90">
        <v>46087</v>
      </c>
      <c r="G3566" s="86" t="str">
        <f>VLOOKUP("*"&amp;表格1[[#This Row],[Input]]&amp;"*",'Ref-List'!$B:$D,2,)</f>
        <v>RC-15ISTHK(W)</v>
      </c>
      <c r="H3566" s="86" t="str">
        <f>_xlfn.XLOOKUP(表格1[[#This Row],[Model]],表格3[Model-Input-Ref2],表格3[Product Line])</f>
        <v>磁應電飯煲(1.5公升)</v>
      </c>
      <c r="I3566" s="86" t="str">
        <f>_xlfn.XLOOKUP(表格1[[#This Row],[Model]],表格3[Model-Input-Ref2],表格3[大小電])</f>
        <v>細電</v>
      </c>
      <c r="J3566" s="86" t="str">
        <f>_xlfn.XLOOKUP(表格1[[#This Row],[Model]],表格3[Model-Input-Ref2],表格3[Code])</f>
        <v>SDA</v>
      </c>
      <c r="K3566" s="89" t="s">
        <v>1204</v>
      </c>
      <c r="L3566" s="86">
        <v>1</v>
      </c>
      <c r="M3566" s="87">
        <v>500</v>
      </c>
      <c r="N3566" s="174">
        <f>IFERROR(表格1[[#This Row],[QTY]]*表格1[[#This Row],[Unit Price]],"-")</f>
        <v>500</v>
      </c>
      <c r="O3566" s="175">
        <v>6091939</v>
      </c>
      <c r="R3566" s="86" t="str">
        <f>_xlfn.CONCAT(表格1[[#This Row],[Model]]," ",表格1[[#This Row],[inv no]])</f>
        <v>RC-15ISTHK(W) 6091939</v>
      </c>
      <c r="S3566" s="86">
        <f>_xlfn.XLOOKUP(表格1[[#This Row],[Model]],表格3[Model-Input-Ref2],表格3[SRP PRICE])</f>
        <v>1688</v>
      </c>
      <c r="T3566" s="43">
        <f>表格1[[#This Row],[Unit Price]]/表格1[[#This Row],[SRP]]</f>
        <v>0.29620853080568721</v>
      </c>
      <c r="U3566" s="86" t="str">
        <f>_xlfn.XLOOKUP(表格1[[#This Row],[Model]],表格3[Model-Input-Ref2],表格3[TOSHIBA/HIGHEST])</f>
        <v>Toshiba SRP</v>
      </c>
      <c r="W3566" s="86" t="str">
        <f>_xlfn.CONCAT(表格1[[#This Row],[欄4]],表格1[[#This Row],[inv no]])</f>
        <v>6091939</v>
      </c>
    </row>
    <row r="3567" spans="1:23" hidden="1">
      <c r="A3567" s="81">
        <v>3565</v>
      </c>
      <c r="B3567" s="86" t="s">
        <v>1203</v>
      </c>
      <c r="C3567" s="86" t="s">
        <v>1964</v>
      </c>
      <c r="D3567" s="82" t="str">
        <f ca="1">OFFSET(Roster!$A$3,MATCH(表格1[[#This Row],[Location]]&amp;" "&amp;表格1[[#This Row],[Shop]]&amp;"*",Roster!$A$4:$A$72,0),DAY(表格1[[#This Row],[date]]),1,1)</f>
        <v>Lily Hon</v>
      </c>
      <c r="E3567" s="86">
        <f>MONTH(表格1[[#This Row],[date]])</f>
        <v>3</v>
      </c>
      <c r="F3567" s="90">
        <v>46087</v>
      </c>
      <c r="G3567" s="86" t="str">
        <f>VLOOKUP("*"&amp;表格1[[#This Row],[Input]]&amp;"*",'Ref-List'!$B:$D,2,)</f>
        <v>RC-15ISTHK(W)</v>
      </c>
      <c r="H3567" s="86" t="str">
        <f>_xlfn.XLOOKUP(表格1[[#This Row],[Model]],表格3[Model-Input-Ref2],表格3[Product Line])</f>
        <v>磁應電飯煲(1.5公升)</v>
      </c>
      <c r="I3567" s="86" t="str">
        <f>_xlfn.XLOOKUP(表格1[[#This Row],[Model]],表格3[Model-Input-Ref2],表格3[大小電])</f>
        <v>細電</v>
      </c>
      <c r="J3567" s="86" t="str">
        <f>_xlfn.XLOOKUP(表格1[[#This Row],[Model]],表格3[Model-Input-Ref2],表格3[Code])</f>
        <v>SDA</v>
      </c>
      <c r="K3567" s="89" t="s">
        <v>1204</v>
      </c>
      <c r="L3567" s="86">
        <v>1</v>
      </c>
      <c r="M3567" s="87">
        <v>500</v>
      </c>
      <c r="N3567" s="174">
        <f>IFERROR(表格1[[#This Row],[QTY]]*表格1[[#This Row],[Unit Price]],"-")</f>
        <v>500</v>
      </c>
      <c r="O3567" s="175">
        <v>6091945</v>
      </c>
      <c r="R3567" s="86" t="str">
        <f>_xlfn.CONCAT(表格1[[#This Row],[Model]]," ",表格1[[#This Row],[inv no]])</f>
        <v>RC-15ISTHK(W) 6091945</v>
      </c>
      <c r="S3567" s="86">
        <f>_xlfn.XLOOKUP(表格1[[#This Row],[Model]],表格3[Model-Input-Ref2],表格3[SRP PRICE])</f>
        <v>1688</v>
      </c>
      <c r="T3567" s="43">
        <f>表格1[[#This Row],[Unit Price]]/表格1[[#This Row],[SRP]]</f>
        <v>0.29620853080568721</v>
      </c>
      <c r="U3567" s="86" t="str">
        <f>_xlfn.XLOOKUP(表格1[[#This Row],[Model]],表格3[Model-Input-Ref2],表格3[TOSHIBA/HIGHEST])</f>
        <v>Toshiba SRP</v>
      </c>
      <c r="W3567" s="86" t="str">
        <f>_xlfn.CONCAT(表格1[[#This Row],[欄4]],表格1[[#This Row],[inv no]])</f>
        <v>6091945</v>
      </c>
    </row>
    <row r="3568" spans="1:23" hidden="1">
      <c r="A3568" s="81">
        <v>3566</v>
      </c>
      <c r="B3568" s="86" t="s">
        <v>1203</v>
      </c>
      <c r="C3568" s="86" t="s">
        <v>1964</v>
      </c>
      <c r="D3568" s="82" t="str">
        <f ca="1">OFFSET(Roster!$A$3,MATCH(表格1[[#This Row],[Location]]&amp;" "&amp;表格1[[#This Row],[Shop]]&amp;"*",Roster!$A$4:$A$72,0),DAY(表格1[[#This Row],[date]]),1,1)</f>
        <v>Lily Hon</v>
      </c>
      <c r="E3568" s="86">
        <f>MONTH(表格1[[#This Row],[date]])</f>
        <v>3</v>
      </c>
      <c r="F3568" s="90">
        <v>46087</v>
      </c>
      <c r="G3568" s="86" t="str">
        <f>VLOOKUP("*"&amp;表格1[[#This Row],[Input]]&amp;"*",'Ref-List'!$B:$D,2,)</f>
        <v>RC-15ISTHK(W)</v>
      </c>
      <c r="H3568" s="86" t="str">
        <f>_xlfn.XLOOKUP(表格1[[#This Row],[Model]],表格3[Model-Input-Ref2],表格3[Product Line])</f>
        <v>磁應電飯煲(1.5公升)</v>
      </c>
      <c r="I3568" s="86" t="str">
        <f>_xlfn.XLOOKUP(表格1[[#This Row],[Model]],表格3[Model-Input-Ref2],表格3[大小電])</f>
        <v>細電</v>
      </c>
      <c r="J3568" s="86" t="str">
        <f>_xlfn.XLOOKUP(表格1[[#This Row],[Model]],表格3[Model-Input-Ref2],表格3[Code])</f>
        <v>SDA</v>
      </c>
      <c r="K3568" s="89" t="s">
        <v>1204</v>
      </c>
      <c r="L3568" s="86">
        <v>1</v>
      </c>
      <c r="M3568" s="87">
        <v>500</v>
      </c>
      <c r="N3568" s="174">
        <f>IFERROR(表格1[[#This Row],[QTY]]*表格1[[#This Row],[Unit Price]],"-")</f>
        <v>500</v>
      </c>
      <c r="O3568" s="175">
        <v>6091893</v>
      </c>
      <c r="R3568" s="86" t="str">
        <f>_xlfn.CONCAT(表格1[[#This Row],[Model]]," ",表格1[[#This Row],[inv no]])</f>
        <v>RC-15ISTHK(W) 6091893</v>
      </c>
      <c r="S3568" s="86">
        <f>_xlfn.XLOOKUP(表格1[[#This Row],[Model]],表格3[Model-Input-Ref2],表格3[SRP PRICE])</f>
        <v>1688</v>
      </c>
      <c r="T3568" s="43">
        <f>表格1[[#This Row],[Unit Price]]/表格1[[#This Row],[SRP]]</f>
        <v>0.29620853080568721</v>
      </c>
      <c r="U3568" s="86" t="str">
        <f>_xlfn.XLOOKUP(表格1[[#This Row],[Model]],表格3[Model-Input-Ref2],表格3[TOSHIBA/HIGHEST])</f>
        <v>Toshiba SRP</v>
      </c>
      <c r="W3568" s="86" t="str">
        <f>_xlfn.CONCAT(表格1[[#This Row],[欄4]],表格1[[#This Row],[inv no]])</f>
        <v>6091893</v>
      </c>
    </row>
    <row r="3569" spans="1:23" hidden="1">
      <c r="A3569" s="81">
        <v>3567</v>
      </c>
      <c r="B3569" s="86" t="s">
        <v>1203</v>
      </c>
      <c r="C3569" s="86" t="s">
        <v>1964</v>
      </c>
      <c r="D3569" s="82" t="str">
        <f ca="1">OFFSET(Roster!$A$3,MATCH(表格1[[#This Row],[Location]]&amp;" "&amp;表格1[[#This Row],[Shop]]&amp;"*",Roster!$A$4:$A$72,0),DAY(表格1[[#This Row],[date]]),1,1)</f>
        <v>Lily Hon</v>
      </c>
      <c r="E3569" s="86">
        <f>MONTH(表格1[[#This Row],[date]])</f>
        <v>3</v>
      </c>
      <c r="F3569" s="90">
        <v>46087</v>
      </c>
      <c r="G3569" s="86" t="str">
        <f>VLOOKUP("*"&amp;表格1[[#This Row],[Input]]&amp;"*",'Ref-List'!$B:$D,2,)</f>
        <v>IC-21TSHK</v>
      </c>
      <c r="H3569" s="86" t="str">
        <f>_xlfn.XLOOKUP(表格1[[#This Row],[Model]],表格3[Model-Input-Ref2],表格3[Product Line])</f>
        <v>Induction Cooker</v>
      </c>
      <c r="I3569" s="86" t="str">
        <f>_xlfn.XLOOKUP(表格1[[#This Row],[Model]],表格3[Model-Input-Ref2],表格3[大小電])</f>
        <v>細電</v>
      </c>
      <c r="J3569" s="86" t="str">
        <f>_xlfn.XLOOKUP(表格1[[#This Row],[Model]],表格3[Model-Input-Ref2],表格3[Code])</f>
        <v>SDA</v>
      </c>
      <c r="K3569" s="89" t="s">
        <v>1242</v>
      </c>
      <c r="L3569" s="86">
        <v>1</v>
      </c>
      <c r="M3569" s="87">
        <v>500</v>
      </c>
      <c r="N3569" s="174">
        <f>IFERROR(表格1[[#This Row],[QTY]]*表格1[[#This Row],[Unit Price]],"-")</f>
        <v>500</v>
      </c>
      <c r="O3569" s="175">
        <v>6091886</v>
      </c>
      <c r="R3569" s="86" t="str">
        <f>_xlfn.CONCAT(表格1[[#This Row],[Model]]," ",表格1[[#This Row],[inv no]])</f>
        <v>IC-21TSHK 6091886</v>
      </c>
      <c r="S3569" s="86">
        <f>_xlfn.XLOOKUP(表格1[[#This Row],[Model]],表格3[Model-Input-Ref2],表格3[SRP PRICE])</f>
        <v>998</v>
      </c>
      <c r="T3569" s="43">
        <f>表格1[[#This Row],[Unit Price]]/表格1[[#This Row],[SRP]]</f>
        <v>0.50100200400801598</v>
      </c>
      <c r="U3569" s="86" t="str">
        <f>_xlfn.XLOOKUP(表格1[[#This Row],[Model]],表格3[Model-Input-Ref2],表格3[TOSHIBA/HIGHEST])</f>
        <v>web SRP</v>
      </c>
      <c r="W3569" s="86" t="str">
        <f>_xlfn.CONCAT(表格1[[#This Row],[欄4]],表格1[[#This Row],[inv no]])</f>
        <v>6091886</v>
      </c>
    </row>
    <row r="3570" spans="1:23" hidden="1">
      <c r="A3570" s="81">
        <v>3568</v>
      </c>
      <c r="B3570" s="86" t="s">
        <v>1203</v>
      </c>
      <c r="C3570" s="86" t="s">
        <v>1964</v>
      </c>
      <c r="D3570" s="82" t="str">
        <f ca="1">OFFSET(Roster!$A$3,MATCH(表格1[[#This Row],[Location]]&amp;" "&amp;表格1[[#This Row],[Shop]]&amp;"*",Roster!$A$4:$A$72,0),DAY(表格1[[#This Row],[date]]),1,1)</f>
        <v>Lily Hon</v>
      </c>
      <c r="E3570" s="86">
        <f>MONTH(表格1[[#This Row],[date]])</f>
        <v>3</v>
      </c>
      <c r="F3570" s="90">
        <v>46087</v>
      </c>
      <c r="G3570" s="86" t="str">
        <f>VLOOKUP("*"&amp;表格1[[#This Row],[Input]]&amp;"*",'Ref-List'!$B:$D,2,)</f>
        <v>IC-21TSHK</v>
      </c>
      <c r="H3570" s="86" t="str">
        <f>_xlfn.XLOOKUP(表格1[[#This Row],[Model]],表格3[Model-Input-Ref2],表格3[Product Line])</f>
        <v>Induction Cooker</v>
      </c>
      <c r="I3570" s="86" t="str">
        <f>_xlfn.XLOOKUP(表格1[[#This Row],[Model]],表格3[Model-Input-Ref2],表格3[大小電])</f>
        <v>細電</v>
      </c>
      <c r="J3570" s="86" t="str">
        <f>_xlfn.XLOOKUP(表格1[[#This Row],[Model]],表格3[Model-Input-Ref2],表格3[Code])</f>
        <v>SDA</v>
      </c>
      <c r="K3570" s="89" t="s">
        <v>1242</v>
      </c>
      <c r="L3570" s="86">
        <v>1</v>
      </c>
      <c r="M3570" s="87">
        <v>500</v>
      </c>
      <c r="N3570" s="174">
        <f>IFERROR(表格1[[#This Row],[QTY]]*表格1[[#This Row],[Unit Price]],"-")</f>
        <v>500</v>
      </c>
      <c r="O3570" s="175">
        <v>6091936</v>
      </c>
      <c r="R3570" s="86" t="str">
        <f>_xlfn.CONCAT(表格1[[#This Row],[Model]]," ",表格1[[#This Row],[inv no]])</f>
        <v>IC-21TSHK 6091936</v>
      </c>
      <c r="S3570" s="86">
        <f>_xlfn.XLOOKUP(表格1[[#This Row],[Model]],表格3[Model-Input-Ref2],表格3[SRP PRICE])</f>
        <v>998</v>
      </c>
      <c r="T3570" s="43">
        <f>表格1[[#This Row],[Unit Price]]/表格1[[#This Row],[SRP]]</f>
        <v>0.50100200400801598</v>
      </c>
      <c r="U3570" s="86" t="str">
        <f>_xlfn.XLOOKUP(表格1[[#This Row],[Model]],表格3[Model-Input-Ref2],表格3[TOSHIBA/HIGHEST])</f>
        <v>web SRP</v>
      </c>
      <c r="W3570" s="86" t="str">
        <f>_xlfn.CONCAT(表格1[[#This Row],[欄4]],表格1[[#This Row],[inv no]])</f>
        <v>6091936</v>
      </c>
    </row>
    <row r="3571" spans="1:23" hidden="1">
      <c r="A3571" s="81">
        <v>3569</v>
      </c>
      <c r="B3571" s="86" t="s">
        <v>1203</v>
      </c>
      <c r="C3571" s="86" t="s">
        <v>1964</v>
      </c>
      <c r="D3571" s="82" t="str">
        <f ca="1">OFFSET(Roster!$A$3,MATCH(表格1[[#This Row],[Location]]&amp;" "&amp;表格1[[#This Row],[Shop]]&amp;"*",Roster!$A$4:$A$72,0),DAY(表格1[[#This Row],[date]]),1,1)</f>
        <v>Lily Hon</v>
      </c>
      <c r="E3571" s="86">
        <f>MONTH(表格1[[#This Row],[date]])</f>
        <v>3</v>
      </c>
      <c r="F3571" s="90">
        <v>46087</v>
      </c>
      <c r="G3571" s="86" t="str">
        <f>VLOOKUP("*"&amp;表格1[[#This Row],[Input]]&amp;"*",'Ref-List'!$B:$D,2,)</f>
        <v>MW2-MM24PC(BK)</v>
      </c>
      <c r="H3571" s="86" t="str">
        <f>_xlfn.XLOOKUP(表格1[[#This Row],[Model]],表格3[Model-Input-Ref2],表格3[Product Line])</f>
        <v>旋鈕式微波爐24L</v>
      </c>
      <c r="I3571" s="86" t="str">
        <f>_xlfn.XLOOKUP(表格1[[#This Row],[Model]],表格3[Model-Input-Ref2],表格3[大小電])</f>
        <v>細電</v>
      </c>
      <c r="J3571" s="86" t="str">
        <f>_xlfn.XLOOKUP(表格1[[#This Row],[Model]],表格3[Model-Input-Ref2],表格3[Code])</f>
        <v>SDA</v>
      </c>
      <c r="K3571" s="89" t="s">
        <v>1196</v>
      </c>
      <c r="L3571" s="86">
        <v>1</v>
      </c>
      <c r="M3571" s="87">
        <v>500</v>
      </c>
      <c r="N3571" s="174">
        <f>IFERROR(表格1[[#This Row],[QTY]]*表格1[[#This Row],[Unit Price]],"-")</f>
        <v>500</v>
      </c>
      <c r="O3571" s="175">
        <v>6091890</v>
      </c>
      <c r="R3571" s="86" t="str">
        <f>_xlfn.CONCAT(表格1[[#This Row],[Model]]," ",表格1[[#This Row],[inv no]])</f>
        <v>MW2-MM24PC(BK) 6091890</v>
      </c>
      <c r="S3571" s="86">
        <f>_xlfn.XLOOKUP(表格1[[#This Row],[Model]],表格3[Model-Input-Ref2],表格3[SRP PRICE])</f>
        <v>848</v>
      </c>
      <c r="T3571" s="43">
        <f>表格1[[#This Row],[Unit Price]]/表格1[[#This Row],[SRP]]</f>
        <v>0.589622641509434</v>
      </c>
      <c r="U3571" s="86" t="str">
        <f>_xlfn.XLOOKUP(表格1[[#This Row],[Model]],表格3[Model-Input-Ref2],表格3[TOSHIBA/HIGHEST])</f>
        <v>Toshiba SRP</v>
      </c>
      <c r="W3571" s="86" t="str">
        <f>_xlfn.CONCAT(表格1[[#This Row],[欄4]],表格1[[#This Row],[inv no]])</f>
        <v>6091890</v>
      </c>
    </row>
    <row r="3572" spans="1:23" hidden="1">
      <c r="A3572" s="81">
        <v>3570</v>
      </c>
      <c r="B3572" s="86" t="s">
        <v>1203</v>
      </c>
      <c r="C3572" s="86" t="s">
        <v>1964</v>
      </c>
      <c r="D3572" s="82" t="str">
        <f ca="1">OFFSET(Roster!$A$3,MATCH(表格1[[#This Row],[Location]]&amp;" "&amp;表格1[[#This Row],[Shop]]&amp;"*",Roster!$A$4:$A$72,0),DAY(表格1[[#This Row],[date]]),1,1)</f>
        <v>Lily Hon</v>
      </c>
      <c r="E3572" s="86">
        <f>MONTH(表格1[[#This Row],[date]])</f>
        <v>3</v>
      </c>
      <c r="F3572" s="90">
        <v>46087</v>
      </c>
      <c r="G3572" s="86" t="str">
        <f>VLOOKUP("*"&amp;表格1[[#This Row],[Input]]&amp;"*",'Ref-List'!$B:$D,2,)</f>
        <v>PLK-45SFIH(WT)</v>
      </c>
      <c r="H3572" s="86" t="str">
        <f>_xlfn.XLOOKUP(表格1[[#This Row],[Model]],表格3[Model-Input-Ref2],表格3[Product Line])</f>
        <v>電熱水瓶4.5L</v>
      </c>
      <c r="I3572" s="86" t="str">
        <f>_xlfn.XLOOKUP(表格1[[#This Row],[Model]],表格3[Model-Input-Ref2],表格3[大小電])</f>
        <v>細電</v>
      </c>
      <c r="J3572" s="86" t="str">
        <f>_xlfn.XLOOKUP(表格1[[#This Row],[Model]],表格3[Model-Input-Ref2],表格3[Code])</f>
        <v>SDA</v>
      </c>
      <c r="K3572" s="89" t="s">
        <v>1117</v>
      </c>
      <c r="L3572" s="86">
        <v>1</v>
      </c>
      <c r="M3572" s="87">
        <v>500</v>
      </c>
      <c r="N3572" s="174">
        <f>IFERROR(表格1[[#This Row],[QTY]]*表格1[[#This Row],[Unit Price]],"-")</f>
        <v>500</v>
      </c>
      <c r="O3572" s="175">
        <v>6091943</v>
      </c>
      <c r="R3572" s="86" t="str">
        <f>_xlfn.CONCAT(表格1[[#This Row],[Model]]," ",表格1[[#This Row],[inv no]])</f>
        <v>PLK-45SFIH(WT) 6091943</v>
      </c>
      <c r="S3572" s="86">
        <f>_xlfn.XLOOKUP(表格1[[#This Row],[Model]],表格3[Model-Input-Ref2],表格3[SRP PRICE])</f>
        <v>788</v>
      </c>
      <c r="T3572" s="43">
        <f>表格1[[#This Row],[Unit Price]]/表格1[[#This Row],[SRP]]</f>
        <v>0.63451776649746194</v>
      </c>
      <c r="U3572" s="86" t="str">
        <f>_xlfn.XLOOKUP(表格1[[#This Row],[Model]],表格3[Model-Input-Ref2],表格3[TOSHIBA/HIGHEST])</f>
        <v>Toshiba SRP</v>
      </c>
      <c r="W3572" s="86" t="str">
        <f>_xlfn.CONCAT(表格1[[#This Row],[欄4]],表格1[[#This Row],[inv no]])</f>
        <v>6091943</v>
      </c>
    </row>
    <row r="3573" spans="1:23" hidden="1">
      <c r="A3573" s="81">
        <v>3571</v>
      </c>
      <c r="B3573" s="86" t="s">
        <v>1203</v>
      </c>
      <c r="C3573" s="86" t="s">
        <v>1964</v>
      </c>
      <c r="D3573" s="82" t="str">
        <f ca="1">OFFSET(Roster!$A$3,MATCH(表格1[[#This Row],[Location]]&amp;" "&amp;表格1[[#This Row],[Shop]]&amp;"*",Roster!$A$4:$A$72,0),DAY(表格1[[#This Row],[date]]),1,1)</f>
        <v>Lily Hon off</v>
      </c>
      <c r="E3573" s="86">
        <f>MONTH(表格1[[#This Row],[date]])</f>
        <v>3</v>
      </c>
      <c r="F3573" s="90">
        <v>46088</v>
      </c>
      <c r="G3573" s="86" t="str">
        <f>VLOOKUP("*"&amp;表格1[[#This Row],[Input]]&amp;"*",'Ref-List'!$B:$D,2,)</f>
        <v>CWF-09CRFN8-AD5</v>
      </c>
      <c r="H3573" s="86" t="str">
        <f>_xlfn.XLOOKUP(表格1[[#This Row],[Model]],表格3[Model-Input-Ref2],表格3[Product Line])</f>
        <v>Comfee 1匹變頻窗口式冷氣機</v>
      </c>
      <c r="I3573" s="86" t="str">
        <f>_xlfn.XLOOKUP(表格1[[#This Row],[Model]],表格3[Model-Input-Ref2],表格3[大小電])</f>
        <v>大電</v>
      </c>
      <c r="J3573" s="86" t="str">
        <f>_xlfn.XLOOKUP(表格1[[#This Row],[Model]],表格3[Model-Input-Ref2],表格3[Code])</f>
        <v>RAC</v>
      </c>
      <c r="K3573" s="89" t="s">
        <v>1768</v>
      </c>
      <c r="L3573" s="86">
        <v>1</v>
      </c>
      <c r="M3573" s="87">
        <v>3128</v>
      </c>
      <c r="N3573" s="174">
        <f>IFERROR(表格1[[#This Row],[QTY]]*表格1[[#This Row],[Unit Price]],"-")</f>
        <v>3128</v>
      </c>
      <c r="O3573" s="175">
        <v>6091977</v>
      </c>
      <c r="R3573" s="86" t="str">
        <f>_xlfn.CONCAT(表格1[[#This Row],[Model]]," ",表格1[[#This Row],[inv no]])</f>
        <v>CWF-09CRFN8-AD5 6091977</v>
      </c>
      <c r="S3573" s="86">
        <f>_xlfn.XLOOKUP(表格1[[#This Row],[Model]],表格3[Model-Input-Ref2],表格3[SRP PRICE])</f>
        <v>4600</v>
      </c>
      <c r="T3573" s="43">
        <f>表格1[[#This Row],[Unit Price]]/表格1[[#This Row],[SRP]]</f>
        <v>0.68</v>
      </c>
      <c r="U3573" s="86" t="str">
        <f>_xlfn.XLOOKUP(表格1[[#This Row],[Model]],表格3[Model-Input-Ref2],表格3[TOSHIBA/HIGHEST])</f>
        <v>Shops Highest Price</v>
      </c>
      <c r="W3573" s="86" t="str">
        <f>_xlfn.CONCAT(表格1[[#This Row],[欄4]],表格1[[#This Row],[inv no]])</f>
        <v>6091977</v>
      </c>
    </row>
    <row r="3574" spans="1:23" hidden="1">
      <c r="A3574" s="81">
        <v>3572</v>
      </c>
      <c r="B3574" s="86" t="s">
        <v>1203</v>
      </c>
      <c r="C3574" s="86" t="s">
        <v>1964</v>
      </c>
      <c r="D3574" s="82" t="str">
        <f ca="1">OFFSET(Roster!$A$3,MATCH(表格1[[#This Row],[Location]]&amp;" "&amp;表格1[[#This Row],[Shop]]&amp;"*",Roster!$A$4:$A$72,0),DAY(表格1[[#This Row],[date]]),1,1)</f>
        <v>Lily Hon off</v>
      </c>
      <c r="E3574" s="86">
        <f>MONTH(表格1[[#This Row],[date]])</f>
        <v>3</v>
      </c>
      <c r="F3574" s="90">
        <v>46088</v>
      </c>
      <c r="G3574" s="86" t="str">
        <f>VLOOKUP("*"&amp;表格1[[#This Row],[Input]]&amp;"*",'Ref-List'!$B:$D,2,)</f>
        <v>DWS-34AHK</v>
      </c>
      <c r="H3574" s="86" t="str">
        <f>_xlfn.XLOOKUP(表格1[[#This Row],[Model]],表格3[Model-Input-Ref2],表格3[Product Line])</f>
        <v>獨立式免安裝洗碗碟機</v>
      </c>
      <c r="I3574" s="86" t="str">
        <f>_xlfn.XLOOKUP(表格1[[#This Row],[Model]],表格3[Model-Input-Ref2],表格3[大小電])</f>
        <v>細電</v>
      </c>
      <c r="J3574" s="86" t="str">
        <f>_xlfn.XLOOKUP(表格1[[#This Row],[Model]],表格3[Model-Input-Ref2],表格3[Code])</f>
        <v>DM</v>
      </c>
      <c r="K3574" s="89" t="s">
        <v>1240</v>
      </c>
      <c r="L3574" s="86">
        <v>1</v>
      </c>
      <c r="M3574" s="87">
        <v>1500</v>
      </c>
      <c r="N3574" s="174">
        <f>IFERROR(表格1[[#This Row],[QTY]]*表格1[[#This Row],[Unit Price]],"-")</f>
        <v>1500</v>
      </c>
      <c r="O3574" s="175">
        <v>6091978</v>
      </c>
      <c r="R3574" s="86" t="str">
        <f>_xlfn.CONCAT(表格1[[#This Row],[Model]]," ",表格1[[#This Row],[inv no]])</f>
        <v>DWS-34AHK 6091978</v>
      </c>
      <c r="S3574" s="86">
        <f>_xlfn.XLOOKUP(表格1[[#This Row],[Model]],表格3[Model-Input-Ref2],表格3[SRP PRICE])</f>
        <v>3999</v>
      </c>
      <c r="T3574" s="43">
        <f>表格1[[#This Row],[Unit Price]]/表格1[[#This Row],[SRP]]</f>
        <v>0.37509377344336087</v>
      </c>
      <c r="U3574" s="86" t="str">
        <f>_xlfn.XLOOKUP(表格1[[#This Row],[Model]],表格3[Model-Input-Ref2],表格3[TOSHIBA/HIGHEST])</f>
        <v>Web SRP</v>
      </c>
      <c r="W3574" s="86" t="str">
        <f>_xlfn.CONCAT(表格1[[#This Row],[欄4]],表格1[[#This Row],[inv no]])</f>
        <v>6091978</v>
      </c>
    </row>
    <row r="3575" spans="1:23" hidden="1">
      <c r="A3575" s="81">
        <v>3573</v>
      </c>
      <c r="B3575" s="86" t="s">
        <v>1203</v>
      </c>
      <c r="C3575" s="86" t="s">
        <v>1964</v>
      </c>
      <c r="D3575" s="82" t="str">
        <f ca="1">OFFSET(Roster!$A$3,MATCH(表格1[[#This Row],[Location]]&amp;" "&amp;表格1[[#This Row],[Shop]]&amp;"*",Roster!$A$4:$A$72,0),DAY(表格1[[#This Row],[date]]),1,1)</f>
        <v>Lily Hon off</v>
      </c>
      <c r="E3575" s="86">
        <f>MONTH(表格1[[#This Row],[date]])</f>
        <v>3</v>
      </c>
      <c r="F3575" s="90">
        <v>46088</v>
      </c>
      <c r="G3575" s="86" t="str">
        <f>VLOOKUP("*"&amp;表格1[[#This Row],[Input]]&amp;"*",'Ref-List'!$B:$D,2,)</f>
        <v>DWS-34AHK</v>
      </c>
      <c r="H3575" s="86" t="str">
        <f>_xlfn.XLOOKUP(表格1[[#This Row],[Model]],表格3[Model-Input-Ref2],表格3[Product Line])</f>
        <v>獨立式免安裝洗碗碟機</v>
      </c>
      <c r="I3575" s="86" t="str">
        <f>_xlfn.XLOOKUP(表格1[[#This Row],[Model]],表格3[Model-Input-Ref2],表格3[大小電])</f>
        <v>細電</v>
      </c>
      <c r="J3575" s="86" t="str">
        <f>_xlfn.XLOOKUP(表格1[[#This Row],[Model]],表格3[Model-Input-Ref2],表格3[Code])</f>
        <v>DM</v>
      </c>
      <c r="K3575" s="89" t="s">
        <v>1240</v>
      </c>
      <c r="L3575" s="86">
        <v>1</v>
      </c>
      <c r="M3575" s="87">
        <v>1500</v>
      </c>
      <c r="N3575" s="174">
        <f>IFERROR(表格1[[#This Row],[QTY]]*表格1[[#This Row],[Unit Price]],"-")</f>
        <v>1500</v>
      </c>
      <c r="O3575" s="175">
        <v>6091985</v>
      </c>
      <c r="R3575" s="86" t="str">
        <f>_xlfn.CONCAT(表格1[[#This Row],[Model]]," ",表格1[[#This Row],[inv no]])</f>
        <v>DWS-34AHK 6091985</v>
      </c>
      <c r="S3575" s="86">
        <f>_xlfn.XLOOKUP(表格1[[#This Row],[Model]],表格3[Model-Input-Ref2],表格3[SRP PRICE])</f>
        <v>3999</v>
      </c>
      <c r="T3575" s="43">
        <f>表格1[[#This Row],[Unit Price]]/表格1[[#This Row],[SRP]]</f>
        <v>0.37509377344336087</v>
      </c>
      <c r="U3575" s="86" t="str">
        <f>_xlfn.XLOOKUP(表格1[[#This Row],[Model]],表格3[Model-Input-Ref2],表格3[TOSHIBA/HIGHEST])</f>
        <v>Web SRP</v>
      </c>
      <c r="W3575" s="86" t="str">
        <f>_xlfn.CONCAT(表格1[[#This Row],[欄4]],表格1[[#This Row],[inv no]])</f>
        <v>6091985</v>
      </c>
    </row>
    <row r="3576" spans="1:23" hidden="1">
      <c r="A3576" s="81">
        <v>3574</v>
      </c>
      <c r="B3576" s="86" t="s">
        <v>1203</v>
      </c>
      <c r="C3576" s="86" t="s">
        <v>1964</v>
      </c>
      <c r="D3576" s="82" t="str">
        <f ca="1">OFFSET(Roster!$A$3,MATCH(表格1[[#This Row],[Location]]&amp;" "&amp;表格1[[#This Row],[Shop]]&amp;"*",Roster!$A$4:$A$72,0),DAY(表格1[[#This Row],[date]]),1,1)</f>
        <v>Lily Hon off</v>
      </c>
      <c r="E3576" s="86">
        <f>MONTH(表格1[[#This Row],[date]])</f>
        <v>3</v>
      </c>
      <c r="F3576" s="90">
        <v>46088</v>
      </c>
      <c r="G3576" s="86" t="str">
        <f>VLOOKUP("*"&amp;表格1[[#This Row],[Input]]&amp;"*",'Ref-List'!$B:$D,2,)</f>
        <v>RC-15ISTHK(W)</v>
      </c>
      <c r="H3576" s="86" t="str">
        <f>_xlfn.XLOOKUP(表格1[[#This Row],[Model]],表格3[Model-Input-Ref2],表格3[Product Line])</f>
        <v>磁應電飯煲(1.5公升)</v>
      </c>
      <c r="I3576" s="86" t="str">
        <f>_xlfn.XLOOKUP(表格1[[#This Row],[Model]],表格3[Model-Input-Ref2],表格3[大小電])</f>
        <v>細電</v>
      </c>
      <c r="J3576" s="86" t="str">
        <f>_xlfn.XLOOKUP(表格1[[#This Row],[Model]],表格3[Model-Input-Ref2],表格3[Code])</f>
        <v>SDA</v>
      </c>
      <c r="K3576" s="89" t="s">
        <v>1204</v>
      </c>
      <c r="L3576" s="86">
        <v>1</v>
      </c>
      <c r="M3576" s="87">
        <v>500</v>
      </c>
      <c r="N3576" s="174">
        <f>IFERROR(表格1[[#This Row],[QTY]]*表格1[[#This Row],[Unit Price]],"-")</f>
        <v>500</v>
      </c>
      <c r="O3576" s="175">
        <v>6091979</v>
      </c>
      <c r="R3576" s="86" t="str">
        <f>_xlfn.CONCAT(表格1[[#This Row],[Model]]," ",表格1[[#This Row],[inv no]])</f>
        <v>RC-15ISTHK(W) 6091979</v>
      </c>
      <c r="S3576" s="86">
        <f>_xlfn.XLOOKUP(表格1[[#This Row],[Model]],表格3[Model-Input-Ref2],表格3[SRP PRICE])</f>
        <v>1688</v>
      </c>
      <c r="T3576" s="43">
        <f>表格1[[#This Row],[Unit Price]]/表格1[[#This Row],[SRP]]</f>
        <v>0.29620853080568721</v>
      </c>
      <c r="U3576" s="86" t="str">
        <f>_xlfn.XLOOKUP(表格1[[#This Row],[Model]],表格3[Model-Input-Ref2],表格3[TOSHIBA/HIGHEST])</f>
        <v>Toshiba SRP</v>
      </c>
      <c r="W3576" s="86" t="str">
        <f>_xlfn.CONCAT(表格1[[#This Row],[欄4]],表格1[[#This Row],[inv no]])</f>
        <v>6091979</v>
      </c>
    </row>
    <row r="3577" spans="1:23" hidden="1">
      <c r="A3577" s="81">
        <v>3575</v>
      </c>
      <c r="B3577" s="86" t="s">
        <v>1203</v>
      </c>
      <c r="C3577" s="86" t="s">
        <v>1964</v>
      </c>
      <c r="D3577" s="82" t="str">
        <f ca="1">OFFSET(Roster!$A$3,MATCH(表格1[[#This Row],[Location]]&amp;" "&amp;表格1[[#This Row],[Shop]]&amp;"*",Roster!$A$4:$A$72,0),DAY(表格1[[#This Row],[date]]),1,1)</f>
        <v>Lily Hon off</v>
      </c>
      <c r="E3577" s="86">
        <f>MONTH(表格1[[#This Row],[date]])</f>
        <v>3</v>
      </c>
      <c r="F3577" s="90">
        <v>46088</v>
      </c>
      <c r="G3577" s="86" t="str">
        <f>VLOOKUP("*"&amp;表格1[[#This Row],[Input]]&amp;"*",'Ref-List'!$B:$D,2,)</f>
        <v>PLK-45SFIH(WT)</v>
      </c>
      <c r="H3577" s="86" t="str">
        <f>_xlfn.XLOOKUP(表格1[[#This Row],[Model]],表格3[Model-Input-Ref2],表格3[Product Line])</f>
        <v>電熱水瓶4.5L</v>
      </c>
      <c r="I3577" s="86" t="str">
        <f>_xlfn.XLOOKUP(表格1[[#This Row],[Model]],表格3[Model-Input-Ref2],表格3[大小電])</f>
        <v>細電</v>
      </c>
      <c r="J3577" s="86" t="str">
        <f>_xlfn.XLOOKUP(表格1[[#This Row],[Model]],表格3[Model-Input-Ref2],表格3[Code])</f>
        <v>SDA</v>
      </c>
      <c r="K3577" s="89" t="s">
        <v>1117</v>
      </c>
      <c r="L3577" s="86">
        <v>1</v>
      </c>
      <c r="M3577" s="87">
        <v>500</v>
      </c>
      <c r="N3577" s="174">
        <f>IFERROR(表格1[[#This Row],[QTY]]*表格1[[#This Row],[Unit Price]],"-")</f>
        <v>500</v>
      </c>
      <c r="O3577" s="175">
        <v>6091976</v>
      </c>
      <c r="R3577" s="86" t="str">
        <f>_xlfn.CONCAT(表格1[[#This Row],[Model]]," ",表格1[[#This Row],[inv no]])</f>
        <v>PLK-45SFIH(WT) 6091976</v>
      </c>
      <c r="S3577" s="86">
        <f>_xlfn.XLOOKUP(表格1[[#This Row],[Model]],表格3[Model-Input-Ref2],表格3[SRP PRICE])</f>
        <v>788</v>
      </c>
      <c r="T3577" s="43">
        <f>表格1[[#This Row],[Unit Price]]/表格1[[#This Row],[SRP]]</f>
        <v>0.63451776649746194</v>
      </c>
      <c r="U3577" s="86" t="str">
        <f>_xlfn.XLOOKUP(表格1[[#This Row],[Model]],表格3[Model-Input-Ref2],表格3[TOSHIBA/HIGHEST])</f>
        <v>Toshiba SRP</v>
      </c>
      <c r="W3577" s="86" t="str">
        <f>_xlfn.CONCAT(表格1[[#This Row],[欄4]],表格1[[#This Row],[inv no]])</f>
        <v>6091976</v>
      </c>
    </row>
    <row r="3578" spans="1:23" hidden="1">
      <c r="A3578" s="81">
        <v>3576</v>
      </c>
      <c r="B3578" s="86" t="s">
        <v>1203</v>
      </c>
      <c r="C3578" s="86" t="s">
        <v>1964</v>
      </c>
      <c r="D3578" s="82" t="str">
        <f ca="1">OFFSET(Roster!$A$3,MATCH(表格1[[#This Row],[Location]]&amp;" "&amp;表格1[[#This Row],[Shop]]&amp;"*",Roster!$A$4:$A$72,0),DAY(表格1[[#This Row],[date]]),1,1)</f>
        <v>Lily Hon</v>
      </c>
      <c r="E3578" s="86">
        <f>MONTH(表格1[[#This Row],[date]])</f>
        <v>3</v>
      </c>
      <c r="F3578" s="90">
        <v>46089</v>
      </c>
      <c r="G3578" s="86" t="str">
        <f>VLOOKUP("*"&amp;表格1[[#This Row],[Input]]&amp;"*",'Ref-List'!$B:$D,2,)</f>
        <v>TW-BL85A2H(WW)</v>
      </c>
      <c r="H3578" s="86" t="str">
        <f>_xlfn.XLOOKUP(表格1[[#This Row],[Model]],表格3[Model-Input-Ref2],表格3[Product Line])</f>
        <v>7.5KG超薄身前置式變頻洗衣機</v>
      </c>
      <c r="I3578" s="86" t="str">
        <f>_xlfn.XLOOKUP(表格1[[#This Row],[Model]],表格3[Model-Input-Ref2],表格3[大小電])</f>
        <v>大電</v>
      </c>
      <c r="J3578" s="86" t="str">
        <f>_xlfn.XLOOKUP(表格1[[#This Row],[Model]],表格3[Model-Input-Ref2],表格3[Code])</f>
        <v>WM</v>
      </c>
      <c r="K3578" s="89" t="s">
        <v>1206</v>
      </c>
      <c r="L3578" s="86">
        <v>1</v>
      </c>
      <c r="M3578" s="87">
        <v>2588</v>
      </c>
      <c r="N3578" s="174">
        <f>IFERROR(表格1[[#This Row],[QTY]]*表格1[[#This Row],[Unit Price]],"-")</f>
        <v>2588</v>
      </c>
      <c r="O3578" s="175">
        <v>6138656</v>
      </c>
      <c r="R3578" s="86" t="str">
        <f>_xlfn.CONCAT(表格1[[#This Row],[Model]]," ",表格1[[#This Row],[inv no]])</f>
        <v>TW-BL85A2H(WW) 6138656</v>
      </c>
      <c r="S3578" s="86">
        <f>_xlfn.XLOOKUP(表格1[[#This Row],[Model]],表格3[Model-Input-Ref2],表格3[SRP PRICE])</f>
        <v>5080</v>
      </c>
      <c r="T3578" s="43">
        <f>表格1[[#This Row],[Unit Price]]/表格1[[#This Row],[SRP]]</f>
        <v>0.50944881889763782</v>
      </c>
      <c r="U3578" s="86" t="str">
        <f>_xlfn.XLOOKUP(表格1[[#This Row],[Model]],表格3[Model-Input-Ref2],表格3[TOSHIBA/HIGHEST])</f>
        <v>Toshiba SRP</v>
      </c>
      <c r="W3578" s="86" t="str">
        <f>_xlfn.CONCAT(表格1[[#This Row],[欄4]],表格1[[#This Row],[inv no]])</f>
        <v>6138656</v>
      </c>
    </row>
    <row r="3579" spans="1:23" hidden="1">
      <c r="A3579" s="81">
        <v>3577</v>
      </c>
      <c r="B3579" s="86" t="s">
        <v>1203</v>
      </c>
      <c r="C3579" s="86" t="s">
        <v>1964</v>
      </c>
      <c r="D3579" s="82" t="str">
        <f ca="1">OFFSET(Roster!$A$3,MATCH(表格1[[#This Row],[Location]]&amp;" "&amp;表格1[[#This Row],[Shop]]&amp;"*",Roster!$A$4:$A$72,0),DAY(表格1[[#This Row],[date]]),1,1)</f>
        <v>Lily Hon</v>
      </c>
      <c r="E3579" s="86">
        <f>MONTH(表格1[[#This Row],[date]])</f>
        <v>3</v>
      </c>
      <c r="F3579" s="90">
        <v>46089</v>
      </c>
      <c r="G3579" s="86" t="str">
        <f>VLOOKUP("*"&amp;表格1[[#This Row],[Input]]&amp;"*",'Ref-List'!$B:$D,2,)</f>
        <v>GR-A26HSZ(DS)</v>
      </c>
      <c r="H3579" s="86" t="str">
        <f>_xlfn.XLOOKUP(表格1[[#This Row],[Model]],表格3[Model-Input-Ref2],表格3[Product Line])</f>
        <v>雙門變頻式環保雪櫃</v>
      </c>
      <c r="I3579" s="86" t="str">
        <f>_xlfn.XLOOKUP(表格1[[#This Row],[Model]],表格3[Model-Input-Ref2],表格3[大小電])</f>
        <v>大電</v>
      </c>
      <c r="J3579" s="86" t="str">
        <f>_xlfn.XLOOKUP(表格1[[#This Row],[Model]],表格3[Model-Input-Ref2],表格3[Code])</f>
        <v>AC</v>
      </c>
      <c r="K3579" s="89" t="s">
        <v>1207</v>
      </c>
      <c r="L3579" s="86">
        <v>1</v>
      </c>
      <c r="M3579" s="87">
        <v>1500</v>
      </c>
      <c r="N3579" s="174">
        <f>IFERROR(表格1[[#This Row],[QTY]]*表格1[[#This Row],[Unit Price]],"-")</f>
        <v>1500</v>
      </c>
      <c r="O3579" s="175">
        <v>6157112</v>
      </c>
      <c r="R3579" s="86" t="str">
        <f>_xlfn.CONCAT(表格1[[#This Row],[Model]]," ",表格1[[#This Row],[inv no]])</f>
        <v>GR-A26HSZ(DS) 6157112</v>
      </c>
      <c r="S3579" s="86">
        <f>_xlfn.XLOOKUP(表格1[[#This Row],[Model]],表格3[Model-Input-Ref2],表格3[SRP PRICE])</f>
        <v>3780</v>
      </c>
      <c r="T3579" s="43">
        <f>表格1[[#This Row],[Unit Price]]/表格1[[#This Row],[SRP]]</f>
        <v>0.3968253968253968</v>
      </c>
      <c r="U3579" s="86" t="str">
        <f>_xlfn.XLOOKUP(表格1[[#This Row],[Model]],表格3[Model-Input-Ref2],表格3[TOSHIBA/HIGHEST])</f>
        <v>Toshiba SRP</v>
      </c>
      <c r="W3579" s="86" t="str">
        <f>_xlfn.CONCAT(表格1[[#This Row],[欄4]],表格1[[#This Row],[inv no]])</f>
        <v>6157112</v>
      </c>
    </row>
    <row r="3580" spans="1:23" hidden="1">
      <c r="A3580" s="81">
        <v>3578</v>
      </c>
      <c r="B3580" s="86" t="s">
        <v>1203</v>
      </c>
      <c r="C3580" s="86" t="s">
        <v>1964</v>
      </c>
      <c r="D3580" s="82" t="str">
        <f ca="1">OFFSET(Roster!$A$3,MATCH(表格1[[#This Row],[Location]]&amp;" "&amp;表格1[[#This Row],[Shop]]&amp;"*",Roster!$A$4:$A$72,0),DAY(表格1[[#This Row],[date]]),1,1)</f>
        <v>Lily Hon</v>
      </c>
      <c r="E3580" s="86">
        <f>MONTH(表格1[[#This Row],[date]])</f>
        <v>3</v>
      </c>
      <c r="F3580" s="90">
        <v>46089</v>
      </c>
      <c r="G3580" s="86" t="str">
        <f>VLOOKUP("*"&amp;表格1[[#This Row],[Input]]&amp;"*",'Ref-List'!$B:$D,2,)</f>
        <v>DWS-34AHK</v>
      </c>
      <c r="H3580" s="86" t="str">
        <f>_xlfn.XLOOKUP(表格1[[#This Row],[Model]],表格3[Model-Input-Ref2],表格3[Product Line])</f>
        <v>獨立式免安裝洗碗碟機</v>
      </c>
      <c r="I3580" s="86" t="str">
        <f>_xlfn.XLOOKUP(表格1[[#This Row],[Model]],表格3[Model-Input-Ref2],表格3[大小電])</f>
        <v>細電</v>
      </c>
      <c r="J3580" s="86" t="str">
        <f>_xlfn.XLOOKUP(表格1[[#This Row],[Model]],表格3[Model-Input-Ref2],表格3[Code])</f>
        <v>DM</v>
      </c>
      <c r="K3580" s="89" t="s">
        <v>1240</v>
      </c>
      <c r="L3580" s="86">
        <v>1</v>
      </c>
      <c r="M3580" s="87">
        <v>1500</v>
      </c>
      <c r="N3580" s="174">
        <f>IFERROR(表格1[[#This Row],[QTY]]*表格1[[#This Row],[Unit Price]],"-")</f>
        <v>1500</v>
      </c>
      <c r="O3580" s="175">
        <v>6157427</v>
      </c>
      <c r="R3580" s="86" t="str">
        <f>_xlfn.CONCAT(表格1[[#This Row],[Model]]," ",表格1[[#This Row],[inv no]])</f>
        <v>DWS-34AHK 6157427</v>
      </c>
      <c r="S3580" s="86">
        <f>_xlfn.XLOOKUP(表格1[[#This Row],[Model]],表格3[Model-Input-Ref2],表格3[SRP PRICE])</f>
        <v>3999</v>
      </c>
      <c r="T3580" s="43">
        <f>表格1[[#This Row],[Unit Price]]/表格1[[#This Row],[SRP]]</f>
        <v>0.37509377344336087</v>
      </c>
      <c r="U3580" s="86" t="str">
        <f>_xlfn.XLOOKUP(表格1[[#This Row],[Model]],表格3[Model-Input-Ref2],表格3[TOSHIBA/HIGHEST])</f>
        <v>Web SRP</v>
      </c>
      <c r="W3580" s="86" t="str">
        <f>_xlfn.CONCAT(表格1[[#This Row],[欄4]],表格1[[#This Row],[inv no]])</f>
        <v>6157427</v>
      </c>
    </row>
    <row r="3581" spans="1:23" hidden="1">
      <c r="A3581" s="81">
        <v>3579</v>
      </c>
      <c r="B3581" s="86" t="s">
        <v>1203</v>
      </c>
      <c r="C3581" s="86" t="s">
        <v>1964</v>
      </c>
      <c r="D3581" s="82" t="str">
        <f ca="1">OFFSET(Roster!$A$3,MATCH(表格1[[#This Row],[Location]]&amp;" "&amp;表格1[[#This Row],[Shop]]&amp;"*",Roster!$A$4:$A$72,0),DAY(表格1[[#This Row],[date]]),1,1)</f>
        <v>Lily Hon</v>
      </c>
      <c r="E3581" s="86">
        <f>MONTH(表格1[[#This Row],[date]])</f>
        <v>3</v>
      </c>
      <c r="F3581" s="90">
        <v>46089</v>
      </c>
      <c r="G3581" s="86" t="str">
        <f>VLOOKUP("*"&amp;表格1[[#This Row],[Input]]&amp;"*",'Ref-List'!$B:$D,2,)</f>
        <v>DWS-34AHK</v>
      </c>
      <c r="H3581" s="86" t="str">
        <f>_xlfn.XLOOKUP(表格1[[#This Row],[Model]],表格3[Model-Input-Ref2],表格3[Product Line])</f>
        <v>獨立式免安裝洗碗碟機</v>
      </c>
      <c r="I3581" s="86" t="str">
        <f>_xlfn.XLOOKUP(表格1[[#This Row],[Model]],表格3[Model-Input-Ref2],表格3[大小電])</f>
        <v>細電</v>
      </c>
      <c r="J3581" s="86" t="str">
        <f>_xlfn.XLOOKUP(表格1[[#This Row],[Model]],表格3[Model-Input-Ref2],表格3[Code])</f>
        <v>DM</v>
      </c>
      <c r="K3581" s="89" t="s">
        <v>1240</v>
      </c>
      <c r="L3581" s="86">
        <v>1</v>
      </c>
      <c r="M3581" s="87">
        <v>1500</v>
      </c>
      <c r="N3581" s="174">
        <f>IFERROR(表格1[[#This Row],[QTY]]*表格1[[#This Row],[Unit Price]],"-")</f>
        <v>1500</v>
      </c>
      <c r="O3581" s="175">
        <v>6157420</v>
      </c>
      <c r="R3581" s="86" t="str">
        <f>_xlfn.CONCAT(表格1[[#This Row],[Model]]," ",表格1[[#This Row],[inv no]])</f>
        <v>DWS-34AHK 6157420</v>
      </c>
      <c r="S3581" s="86">
        <f>_xlfn.XLOOKUP(表格1[[#This Row],[Model]],表格3[Model-Input-Ref2],表格3[SRP PRICE])</f>
        <v>3999</v>
      </c>
      <c r="T3581" s="43">
        <f>表格1[[#This Row],[Unit Price]]/表格1[[#This Row],[SRP]]</f>
        <v>0.37509377344336087</v>
      </c>
      <c r="U3581" s="86" t="str">
        <f>_xlfn.XLOOKUP(表格1[[#This Row],[Model]],表格3[Model-Input-Ref2],表格3[TOSHIBA/HIGHEST])</f>
        <v>Web SRP</v>
      </c>
      <c r="W3581" s="86" t="str">
        <f>_xlfn.CONCAT(表格1[[#This Row],[欄4]],表格1[[#This Row],[inv no]])</f>
        <v>6157420</v>
      </c>
    </row>
    <row r="3582" spans="1:23" hidden="1">
      <c r="A3582" s="81">
        <v>3580</v>
      </c>
      <c r="B3582" s="86" t="s">
        <v>1203</v>
      </c>
      <c r="C3582" s="86" t="s">
        <v>1964</v>
      </c>
      <c r="D3582" s="82" t="str">
        <f ca="1">OFFSET(Roster!$A$3,MATCH(表格1[[#This Row],[Location]]&amp;" "&amp;表格1[[#This Row],[Shop]]&amp;"*",Roster!$A$4:$A$72,0),DAY(表格1[[#This Row],[date]]),1,1)</f>
        <v>Lily Hon</v>
      </c>
      <c r="E3582" s="86">
        <f>MONTH(表格1[[#This Row],[date]])</f>
        <v>3</v>
      </c>
      <c r="F3582" s="90">
        <v>46089</v>
      </c>
      <c r="G3582" s="86" t="str">
        <f>VLOOKUP("*"&amp;表格1[[#This Row],[Input]]&amp;"*",'Ref-List'!$B:$D,2,)</f>
        <v>RC-15ISTHK(W)</v>
      </c>
      <c r="H3582" s="86" t="str">
        <f>_xlfn.XLOOKUP(表格1[[#This Row],[Model]],表格3[Model-Input-Ref2],表格3[Product Line])</f>
        <v>磁應電飯煲(1.5公升)</v>
      </c>
      <c r="I3582" s="86" t="str">
        <f>_xlfn.XLOOKUP(表格1[[#This Row],[Model]],表格3[Model-Input-Ref2],表格3[大小電])</f>
        <v>細電</v>
      </c>
      <c r="J3582" s="86" t="str">
        <f>_xlfn.XLOOKUP(表格1[[#This Row],[Model]],表格3[Model-Input-Ref2],表格3[Code])</f>
        <v>SDA</v>
      </c>
      <c r="K3582" s="89" t="s">
        <v>1204</v>
      </c>
      <c r="L3582" s="86">
        <v>1</v>
      </c>
      <c r="M3582" s="87">
        <v>500</v>
      </c>
      <c r="N3582" s="174">
        <f>IFERROR(表格1[[#This Row],[QTY]]*表格1[[#This Row],[Unit Price]],"-")</f>
        <v>500</v>
      </c>
      <c r="O3582" s="175">
        <v>6157121</v>
      </c>
      <c r="R3582" s="86" t="str">
        <f>_xlfn.CONCAT(表格1[[#This Row],[Model]]," ",表格1[[#This Row],[inv no]])</f>
        <v>RC-15ISTHK(W) 6157121</v>
      </c>
      <c r="S3582" s="86">
        <f>_xlfn.XLOOKUP(表格1[[#This Row],[Model]],表格3[Model-Input-Ref2],表格3[SRP PRICE])</f>
        <v>1688</v>
      </c>
      <c r="T3582" s="43">
        <f>表格1[[#This Row],[Unit Price]]/表格1[[#This Row],[SRP]]</f>
        <v>0.29620853080568721</v>
      </c>
      <c r="U3582" s="86" t="str">
        <f>_xlfn.XLOOKUP(表格1[[#This Row],[Model]],表格3[Model-Input-Ref2],表格3[TOSHIBA/HIGHEST])</f>
        <v>Toshiba SRP</v>
      </c>
      <c r="W3582" s="86" t="str">
        <f>_xlfn.CONCAT(表格1[[#This Row],[欄4]],表格1[[#This Row],[inv no]])</f>
        <v>6157121</v>
      </c>
    </row>
    <row r="3583" spans="1:23" hidden="1">
      <c r="A3583" s="81">
        <v>3581</v>
      </c>
      <c r="B3583" s="86" t="s">
        <v>1203</v>
      </c>
      <c r="C3583" s="86" t="s">
        <v>1964</v>
      </c>
      <c r="D3583" s="82" t="str">
        <f ca="1">OFFSET(Roster!$A$3,MATCH(表格1[[#This Row],[Location]]&amp;" "&amp;表格1[[#This Row],[Shop]]&amp;"*",Roster!$A$4:$A$72,0),DAY(表格1[[#This Row],[date]]),1,1)</f>
        <v>Lily Hon</v>
      </c>
      <c r="E3583" s="86">
        <f>MONTH(表格1[[#This Row],[date]])</f>
        <v>3</v>
      </c>
      <c r="F3583" s="90">
        <v>46089</v>
      </c>
      <c r="G3583" s="86" t="str">
        <f>VLOOKUP("*"&amp;表格1[[#This Row],[Input]]&amp;"*",'Ref-List'!$B:$D,2,)</f>
        <v>RC-15ISTHK(W)</v>
      </c>
      <c r="H3583" s="86" t="str">
        <f>_xlfn.XLOOKUP(表格1[[#This Row],[Model]],表格3[Model-Input-Ref2],表格3[Product Line])</f>
        <v>磁應電飯煲(1.5公升)</v>
      </c>
      <c r="I3583" s="86" t="str">
        <f>_xlfn.XLOOKUP(表格1[[#This Row],[Model]],表格3[Model-Input-Ref2],表格3[大小電])</f>
        <v>細電</v>
      </c>
      <c r="J3583" s="86" t="str">
        <f>_xlfn.XLOOKUP(表格1[[#This Row],[Model]],表格3[Model-Input-Ref2],表格3[Code])</f>
        <v>SDA</v>
      </c>
      <c r="K3583" s="89" t="s">
        <v>1204</v>
      </c>
      <c r="L3583" s="86">
        <v>1</v>
      </c>
      <c r="M3583" s="87">
        <v>500</v>
      </c>
      <c r="N3583" s="174">
        <f>IFERROR(表格1[[#This Row],[QTY]]*表格1[[#This Row],[Unit Price]],"-")</f>
        <v>500</v>
      </c>
      <c r="O3583" s="175">
        <v>6157430</v>
      </c>
      <c r="R3583" s="86" t="str">
        <f>_xlfn.CONCAT(表格1[[#This Row],[Model]]," ",表格1[[#This Row],[inv no]])</f>
        <v>RC-15ISTHK(W) 6157430</v>
      </c>
      <c r="S3583" s="86">
        <f>_xlfn.XLOOKUP(表格1[[#This Row],[Model]],表格3[Model-Input-Ref2],表格3[SRP PRICE])</f>
        <v>1688</v>
      </c>
      <c r="T3583" s="43">
        <f>表格1[[#This Row],[Unit Price]]/表格1[[#This Row],[SRP]]</f>
        <v>0.29620853080568721</v>
      </c>
      <c r="U3583" s="86" t="str">
        <f>_xlfn.XLOOKUP(表格1[[#This Row],[Model]],表格3[Model-Input-Ref2],表格3[TOSHIBA/HIGHEST])</f>
        <v>Toshiba SRP</v>
      </c>
      <c r="W3583" s="86" t="str">
        <f>_xlfn.CONCAT(表格1[[#This Row],[欄4]],表格1[[#This Row],[inv no]])</f>
        <v>6157430</v>
      </c>
    </row>
    <row r="3584" spans="1:23" hidden="1">
      <c r="A3584" s="81">
        <v>3582</v>
      </c>
      <c r="B3584" s="86" t="s">
        <v>1203</v>
      </c>
      <c r="C3584" s="86" t="s">
        <v>1964</v>
      </c>
      <c r="D3584" s="82" t="str">
        <f ca="1">OFFSET(Roster!$A$3,MATCH(表格1[[#This Row],[Location]]&amp;" "&amp;表格1[[#This Row],[Shop]]&amp;"*",Roster!$A$4:$A$72,0),DAY(表格1[[#This Row],[date]]),1,1)</f>
        <v>Lily Hon</v>
      </c>
      <c r="E3584" s="86">
        <f>MONTH(表格1[[#This Row],[date]])</f>
        <v>3</v>
      </c>
      <c r="F3584" s="90">
        <v>46089</v>
      </c>
      <c r="G3584" s="86" t="str">
        <f>VLOOKUP("*"&amp;表格1[[#This Row],[Input]]&amp;"*",'Ref-List'!$B:$D,2,)</f>
        <v>RC-15ISTHK(W)</v>
      </c>
      <c r="H3584" s="86" t="str">
        <f>_xlfn.XLOOKUP(表格1[[#This Row],[Model]],表格3[Model-Input-Ref2],表格3[Product Line])</f>
        <v>磁應電飯煲(1.5公升)</v>
      </c>
      <c r="I3584" s="86" t="str">
        <f>_xlfn.XLOOKUP(表格1[[#This Row],[Model]],表格3[Model-Input-Ref2],表格3[大小電])</f>
        <v>細電</v>
      </c>
      <c r="J3584" s="86" t="str">
        <f>_xlfn.XLOOKUP(表格1[[#This Row],[Model]],表格3[Model-Input-Ref2],表格3[Code])</f>
        <v>SDA</v>
      </c>
      <c r="K3584" s="89" t="s">
        <v>1238</v>
      </c>
      <c r="L3584" s="86">
        <v>1</v>
      </c>
      <c r="M3584" s="87">
        <v>500</v>
      </c>
      <c r="N3584" s="174">
        <f>IFERROR(表格1[[#This Row],[QTY]]*表格1[[#This Row],[Unit Price]],"-")</f>
        <v>500</v>
      </c>
      <c r="O3584" s="175">
        <v>6157968</v>
      </c>
      <c r="R3584" s="86" t="str">
        <f>_xlfn.CONCAT(表格1[[#This Row],[Model]]," ",表格1[[#This Row],[inv no]])</f>
        <v>RC-15ISTHK(W) 6157968</v>
      </c>
      <c r="S3584" s="86">
        <f>_xlfn.XLOOKUP(表格1[[#This Row],[Model]],表格3[Model-Input-Ref2],表格3[SRP PRICE])</f>
        <v>1688</v>
      </c>
      <c r="T3584" s="43">
        <f>表格1[[#This Row],[Unit Price]]/表格1[[#This Row],[SRP]]</f>
        <v>0.29620853080568721</v>
      </c>
      <c r="U3584" s="86" t="str">
        <f>_xlfn.XLOOKUP(表格1[[#This Row],[Model]],表格3[Model-Input-Ref2],表格3[TOSHIBA/HIGHEST])</f>
        <v>Toshiba SRP</v>
      </c>
      <c r="W3584" s="86" t="str">
        <f>_xlfn.CONCAT(表格1[[#This Row],[欄4]],表格1[[#This Row],[inv no]])</f>
        <v>6157968</v>
      </c>
    </row>
    <row r="3585" spans="1:23" hidden="1">
      <c r="A3585" s="81">
        <v>3583</v>
      </c>
      <c r="B3585" s="86" t="s">
        <v>1203</v>
      </c>
      <c r="C3585" s="86" t="s">
        <v>1964</v>
      </c>
      <c r="D3585" s="82" t="str">
        <f ca="1">OFFSET(Roster!$A$3,MATCH(表格1[[#This Row],[Location]]&amp;" "&amp;表格1[[#This Row],[Shop]]&amp;"*",Roster!$A$4:$A$72,0),DAY(表格1[[#This Row],[date]]),1,1)</f>
        <v>Lily Hon</v>
      </c>
      <c r="E3585" s="86">
        <f>MONTH(表格1[[#This Row],[date]])</f>
        <v>3</v>
      </c>
      <c r="F3585" s="90">
        <v>46089</v>
      </c>
      <c r="G3585" s="86" t="str">
        <f>VLOOKUP("*"&amp;表格1[[#This Row],[Input]]&amp;"*",'Ref-List'!$B:$D,2,)</f>
        <v>RC-15ISTHK(W)</v>
      </c>
      <c r="H3585" s="86" t="str">
        <f>_xlfn.XLOOKUP(表格1[[#This Row],[Model]],表格3[Model-Input-Ref2],表格3[Product Line])</f>
        <v>磁應電飯煲(1.5公升)</v>
      </c>
      <c r="I3585" s="86" t="str">
        <f>_xlfn.XLOOKUP(表格1[[#This Row],[Model]],表格3[Model-Input-Ref2],表格3[大小電])</f>
        <v>細電</v>
      </c>
      <c r="J3585" s="86" t="str">
        <f>_xlfn.XLOOKUP(表格1[[#This Row],[Model]],表格3[Model-Input-Ref2],表格3[Code])</f>
        <v>SDA</v>
      </c>
      <c r="K3585" s="89" t="s">
        <v>1238</v>
      </c>
      <c r="L3585" s="86">
        <v>1</v>
      </c>
      <c r="M3585" s="87">
        <v>500</v>
      </c>
      <c r="N3585" s="174">
        <f>IFERROR(表格1[[#This Row],[QTY]]*表格1[[#This Row],[Unit Price]],"-")</f>
        <v>500</v>
      </c>
      <c r="O3585" s="175">
        <v>6138673</v>
      </c>
      <c r="R3585" s="86" t="str">
        <f>_xlfn.CONCAT(表格1[[#This Row],[Model]]," ",表格1[[#This Row],[inv no]])</f>
        <v>RC-15ISTHK(W) 6138673</v>
      </c>
      <c r="S3585" s="86">
        <f>_xlfn.XLOOKUP(表格1[[#This Row],[Model]],表格3[Model-Input-Ref2],表格3[SRP PRICE])</f>
        <v>1688</v>
      </c>
      <c r="T3585" s="43">
        <f>表格1[[#This Row],[Unit Price]]/表格1[[#This Row],[SRP]]</f>
        <v>0.29620853080568721</v>
      </c>
      <c r="U3585" s="86" t="str">
        <f>_xlfn.XLOOKUP(表格1[[#This Row],[Model]],表格3[Model-Input-Ref2],表格3[TOSHIBA/HIGHEST])</f>
        <v>Toshiba SRP</v>
      </c>
      <c r="W3585" s="86" t="str">
        <f>_xlfn.CONCAT(表格1[[#This Row],[欄4]],表格1[[#This Row],[inv no]])</f>
        <v>6138673</v>
      </c>
    </row>
    <row r="3586" spans="1:23" hidden="1">
      <c r="A3586" s="81">
        <v>3584</v>
      </c>
      <c r="B3586" s="86" t="s">
        <v>1203</v>
      </c>
      <c r="C3586" s="86" t="s">
        <v>1964</v>
      </c>
      <c r="D3586" s="82" t="str">
        <f ca="1">OFFSET(Roster!$A$3,MATCH(表格1[[#This Row],[Location]]&amp;" "&amp;表格1[[#This Row],[Shop]]&amp;"*",Roster!$A$4:$A$72,0),DAY(表格1[[#This Row],[date]]),1,1)</f>
        <v>Lily Hon</v>
      </c>
      <c r="E3586" s="86">
        <f>MONTH(表格1[[#This Row],[date]])</f>
        <v>3</v>
      </c>
      <c r="F3586" s="90">
        <v>46089</v>
      </c>
      <c r="G3586" s="86" t="str">
        <f>VLOOKUP("*"&amp;表格1[[#This Row],[Input]]&amp;"*",'Ref-List'!$B:$D,2,)</f>
        <v>RC-15ISTHK(W)</v>
      </c>
      <c r="H3586" s="86" t="str">
        <f>_xlfn.XLOOKUP(表格1[[#This Row],[Model]],表格3[Model-Input-Ref2],表格3[Product Line])</f>
        <v>磁應電飯煲(1.5公升)</v>
      </c>
      <c r="I3586" s="86" t="str">
        <f>_xlfn.XLOOKUP(表格1[[#This Row],[Model]],表格3[Model-Input-Ref2],表格3[大小電])</f>
        <v>細電</v>
      </c>
      <c r="J3586" s="86" t="str">
        <f>_xlfn.XLOOKUP(表格1[[#This Row],[Model]],表格3[Model-Input-Ref2],表格3[Code])</f>
        <v>SDA</v>
      </c>
      <c r="K3586" s="89" t="s">
        <v>1238</v>
      </c>
      <c r="L3586" s="86">
        <v>1</v>
      </c>
      <c r="M3586" s="87">
        <v>500</v>
      </c>
      <c r="N3586" s="174">
        <f>IFERROR(表格1[[#This Row],[QTY]]*表格1[[#This Row],[Unit Price]],"-")</f>
        <v>500</v>
      </c>
      <c r="O3586" s="175">
        <v>6138170</v>
      </c>
      <c r="R3586" s="86" t="str">
        <f>_xlfn.CONCAT(表格1[[#This Row],[Model]]," ",表格1[[#This Row],[inv no]])</f>
        <v>RC-15ISTHK(W) 6138170</v>
      </c>
      <c r="S3586" s="86">
        <f>_xlfn.XLOOKUP(表格1[[#This Row],[Model]],表格3[Model-Input-Ref2],表格3[SRP PRICE])</f>
        <v>1688</v>
      </c>
      <c r="T3586" s="43">
        <f>表格1[[#This Row],[Unit Price]]/表格1[[#This Row],[SRP]]</f>
        <v>0.29620853080568721</v>
      </c>
      <c r="U3586" s="86" t="str">
        <f>_xlfn.XLOOKUP(表格1[[#This Row],[Model]],表格3[Model-Input-Ref2],表格3[TOSHIBA/HIGHEST])</f>
        <v>Toshiba SRP</v>
      </c>
      <c r="W3586" s="86" t="str">
        <f>_xlfn.CONCAT(表格1[[#This Row],[欄4]],表格1[[#This Row],[inv no]])</f>
        <v>6138170</v>
      </c>
    </row>
    <row r="3587" spans="1:23" hidden="1">
      <c r="A3587" s="81">
        <v>3585</v>
      </c>
      <c r="B3587" s="86" t="s">
        <v>1203</v>
      </c>
      <c r="C3587" s="86" t="s">
        <v>1964</v>
      </c>
      <c r="D3587" s="82" t="str">
        <f ca="1">OFFSET(Roster!$A$3,MATCH(表格1[[#This Row],[Location]]&amp;" "&amp;表格1[[#This Row],[Shop]]&amp;"*",Roster!$A$4:$A$72,0),DAY(表格1[[#This Row],[date]]),1,1)</f>
        <v>Lily Hon</v>
      </c>
      <c r="E3587" s="86">
        <f>MONTH(表格1[[#This Row],[date]])</f>
        <v>3</v>
      </c>
      <c r="F3587" s="90">
        <v>46089</v>
      </c>
      <c r="G3587" s="86" t="str">
        <f>VLOOKUP("*"&amp;表格1[[#This Row],[Input]]&amp;"*",'Ref-List'!$B:$D,2,)</f>
        <v>RC-15ISTHK(W)</v>
      </c>
      <c r="H3587" s="86" t="str">
        <f>_xlfn.XLOOKUP(表格1[[#This Row],[Model]],表格3[Model-Input-Ref2],表格3[Product Line])</f>
        <v>磁應電飯煲(1.5公升)</v>
      </c>
      <c r="I3587" s="86" t="str">
        <f>_xlfn.XLOOKUP(表格1[[#This Row],[Model]],表格3[Model-Input-Ref2],表格3[大小電])</f>
        <v>細電</v>
      </c>
      <c r="J3587" s="86" t="str">
        <f>_xlfn.XLOOKUP(表格1[[#This Row],[Model]],表格3[Model-Input-Ref2],表格3[Code])</f>
        <v>SDA</v>
      </c>
      <c r="K3587" s="89" t="s">
        <v>1238</v>
      </c>
      <c r="L3587" s="86">
        <v>1</v>
      </c>
      <c r="M3587" s="87">
        <v>500</v>
      </c>
      <c r="N3587" s="174">
        <f>IFERROR(表格1[[#This Row],[QTY]]*表格1[[#This Row],[Unit Price]],"-")</f>
        <v>500</v>
      </c>
      <c r="O3587" s="175">
        <v>6157110</v>
      </c>
      <c r="R3587" s="86" t="str">
        <f>_xlfn.CONCAT(表格1[[#This Row],[Model]]," ",表格1[[#This Row],[inv no]])</f>
        <v>RC-15ISTHK(W) 6157110</v>
      </c>
      <c r="S3587" s="86">
        <f>_xlfn.XLOOKUP(表格1[[#This Row],[Model]],表格3[Model-Input-Ref2],表格3[SRP PRICE])</f>
        <v>1688</v>
      </c>
      <c r="T3587" s="43">
        <f>表格1[[#This Row],[Unit Price]]/表格1[[#This Row],[SRP]]</f>
        <v>0.29620853080568721</v>
      </c>
      <c r="U3587" s="86" t="str">
        <f>_xlfn.XLOOKUP(表格1[[#This Row],[Model]],表格3[Model-Input-Ref2],表格3[TOSHIBA/HIGHEST])</f>
        <v>Toshiba SRP</v>
      </c>
      <c r="W3587" s="86" t="str">
        <f>_xlfn.CONCAT(表格1[[#This Row],[欄4]],表格1[[#This Row],[inv no]])</f>
        <v>6157110</v>
      </c>
    </row>
    <row r="3588" spans="1:23" hidden="1">
      <c r="A3588" s="81">
        <v>3586</v>
      </c>
      <c r="B3588" s="86" t="s">
        <v>1203</v>
      </c>
      <c r="C3588" s="86" t="s">
        <v>1964</v>
      </c>
      <c r="D3588" s="82" t="str">
        <f ca="1">OFFSET(Roster!$A$3,MATCH(表格1[[#This Row],[Location]]&amp;" "&amp;表格1[[#This Row],[Shop]]&amp;"*",Roster!$A$4:$A$72,0),DAY(表格1[[#This Row],[date]]),1,1)</f>
        <v>Lily Hon</v>
      </c>
      <c r="E3588" s="86">
        <f>MONTH(表格1[[#This Row],[date]])</f>
        <v>3</v>
      </c>
      <c r="F3588" s="90">
        <v>46089</v>
      </c>
      <c r="G3588" s="86" t="str">
        <f>VLOOKUP("*"&amp;表格1[[#This Row],[Input]]&amp;"*",'Ref-List'!$B:$D,2,)</f>
        <v>RC-15ISTHK(W)</v>
      </c>
      <c r="H3588" s="86" t="str">
        <f>_xlfn.XLOOKUP(表格1[[#This Row],[Model]],表格3[Model-Input-Ref2],表格3[Product Line])</f>
        <v>磁應電飯煲(1.5公升)</v>
      </c>
      <c r="I3588" s="86" t="str">
        <f>_xlfn.XLOOKUP(表格1[[#This Row],[Model]],表格3[Model-Input-Ref2],表格3[大小電])</f>
        <v>細電</v>
      </c>
      <c r="J3588" s="86" t="str">
        <f>_xlfn.XLOOKUP(表格1[[#This Row],[Model]],表格3[Model-Input-Ref2],表格3[Code])</f>
        <v>SDA</v>
      </c>
      <c r="K3588" s="89" t="s">
        <v>1238</v>
      </c>
      <c r="L3588" s="86">
        <v>1</v>
      </c>
      <c r="M3588" s="87">
        <v>500</v>
      </c>
      <c r="N3588" s="174">
        <f>IFERROR(表格1[[#This Row],[QTY]]*表格1[[#This Row],[Unit Price]],"-")</f>
        <v>500</v>
      </c>
      <c r="O3588" s="175">
        <v>6157421</v>
      </c>
      <c r="R3588" s="86" t="str">
        <f>_xlfn.CONCAT(表格1[[#This Row],[Model]]," ",表格1[[#This Row],[inv no]])</f>
        <v>RC-15ISTHK(W) 6157421</v>
      </c>
      <c r="S3588" s="86">
        <f>_xlfn.XLOOKUP(表格1[[#This Row],[Model]],表格3[Model-Input-Ref2],表格3[SRP PRICE])</f>
        <v>1688</v>
      </c>
      <c r="T3588" s="43">
        <f>表格1[[#This Row],[Unit Price]]/表格1[[#This Row],[SRP]]</f>
        <v>0.29620853080568721</v>
      </c>
      <c r="U3588" s="86" t="str">
        <f>_xlfn.XLOOKUP(表格1[[#This Row],[Model]],表格3[Model-Input-Ref2],表格3[TOSHIBA/HIGHEST])</f>
        <v>Toshiba SRP</v>
      </c>
      <c r="W3588" s="86" t="str">
        <f>_xlfn.CONCAT(表格1[[#This Row],[欄4]],表格1[[#This Row],[inv no]])</f>
        <v>6157421</v>
      </c>
    </row>
    <row r="3589" spans="1:23" hidden="1">
      <c r="A3589" s="81">
        <v>3587</v>
      </c>
      <c r="B3589" s="86" t="s">
        <v>1203</v>
      </c>
      <c r="C3589" s="86" t="s">
        <v>1964</v>
      </c>
      <c r="D3589" s="82" t="str">
        <f ca="1">OFFSET(Roster!$A$3,MATCH(表格1[[#This Row],[Location]]&amp;" "&amp;表格1[[#This Row],[Shop]]&amp;"*",Roster!$A$4:$A$72,0),DAY(表格1[[#This Row],[date]]),1,1)</f>
        <v>Lily Hon</v>
      </c>
      <c r="E3589" s="86">
        <f>MONTH(表格1[[#This Row],[date]])</f>
        <v>3</v>
      </c>
      <c r="F3589" s="90">
        <v>46089</v>
      </c>
      <c r="G3589" s="86" t="str">
        <f>VLOOKUP("*"&amp;表格1[[#This Row],[Input]]&amp;"*",'Ref-List'!$B:$D,2,)</f>
        <v>RC-15ISTHK(W)</v>
      </c>
      <c r="H3589" s="86" t="str">
        <f>_xlfn.XLOOKUP(表格1[[#This Row],[Model]],表格3[Model-Input-Ref2],表格3[Product Line])</f>
        <v>磁應電飯煲(1.5公升)</v>
      </c>
      <c r="I3589" s="86" t="str">
        <f>_xlfn.XLOOKUP(表格1[[#This Row],[Model]],表格3[Model-Input-Ref2],表格3[大小電])</f>
        <v>細電</v>
      </c>
      <c r="J3589" s="86" t="str">
        <f>_xlfn.XLOOKUP(表格1[[#This Row],[Model]],表格3[Model-Input-Ref2],表格3[Code])</f>
        <v>SDA</v>
      </c>
      <c r="K3589" s="89" t="s">
        <v>1238</v>
      </c>
      <c r="L3589" s="86">
        <v>1</v>
      </c>
      <c r="M3589" s="87">
        <v>500</v>
      </c>
      <c r="N3589" s="174">
        <f>IFERROR(表格1[[#This Row],[QTY]]*表格1[[#This Row],[Unit Price]],"-")</f>
        <v>500</v>
      </c>
      <c r="O3589" s="175">
        <v>6157417</v>
      </c>
      <c r="R3589" s="86" t="str">
        <f>_xlfn.CONCAT(表格1[[#This Row],[Model]]," ",表格1[[#This Row],[inv no]])</f>
        <v>RC-15ISTHK(W) 6157417</v>
      </c>
      <c r="S3589" s="86">
        <f>_xlfn.XLOOKUP(表格1[[#This Row],[Model]],表格3[Model-Input-Ref2],表格3[SRP PRICE])</f>
        <v>1688</v>
      </c>
      <c r="T3589" s="43">
        <f>表格1[[#This Row],[Unit Price]]/表格1[[#This Row],[SRP]]</f>
        <v>0.29620853080568721</v>
      </c>
      <c r="U3589" s="86" t="str">
        <f>_xlfn.XLOOKUP(表格1[[#This Row],[Model]],表格3[Model-Input-Ref2],表格3[TOSHIBA/HIGHEST])</f>
        <v>Toshiba SRP</v>
      </c>
      <c r="W3589" s="86" t="str">
        <f>_xlfn.CONCAT(表格1[[#This Row],[欄4]],表格1[[#This Row],[inv no]])</f>
        <v>6157417</v>
      </c>
    </row>
    <row r="3590" spans="1:23" hidden="1">
      <c r="A3590" s="81">
        <v>3588</v>
      </c>
      <c r="B3590" s="86" t="s">
        <v>1203</v>
      </c>
      <c r="C3590" s="86" t="s">
        <v>1964</v>
      </c>
      <c r="D3590" s="82" t="str">
        <f ca="1">OFFSET(Roster!$A$3,MATCH(表格1[[#This Row],[Location]]&amp;" "&amp;表格1[[#This Row],[Shop]]&amp;"*",Roster!$A$4:$A$72,0),DAY(表格1[[#This Row],[date]]),1,1)</f>
        <v>Lily Hon</v>
      </c>
      <c r="E3590" s="86">
        <f>MONTH(表格1[[#This Row],[date]])</f>
        <v>3</v>
      </c>
      <c r="F3590" s="90">
        <v>46089</v>
      </c>
      <c r="G3590" s="86" t="str">
        <f>VLOOKUP("*"&amp;表格1[[#This Row],[Input]]&amp;"*",'Ref-List'!$B:$D,2,)</f>
        <v>PLK-45SFIH(WT)</v>
      </c>
      <c r="H3590" s="86" t="str">
        <f>_xlfn.XLOOKUP(表格1[[#This Row],[Model]],表格3[Model-Input-Ref2],表格3[Product Line])</f>
        <v>電熱水瓶4.5L</v>
      </c>
      <c r="I3590" s="86" t="str">
        <f>_xlfn.XLOOKUP(表格1[[#This Row],[Model]],表格3[Model-Input-Ref2],表格3[大小電])</f>
        <v>細電</v>
      </c>
      <c r="J3590" s="86" t="str">
        <f>_xlfn.XLOOKUP(表格1[[#This Row],[Model]],表格3[Model-Input-Ref2],表格3[Code])</f>
        <v>SDA</v>
      </c>
      <c r="K3590" s="89" t="s">
        <v>1117</v>
      </c>
      <c r="L3590" s="86">
        <v>1</v>
      </c>
      <c r="M3590" s="87">
        <v>500</v>
      </c>
      <c r="N3590" s="174">
        <f>IFERROR(表格1[[#This Row],[QTY]]*表格1[[#This Row],[Unit Price]],"-")</f>
        <v>500</v>
      </c>
      <c r="O3590" s="175">
        <v>6138655</v>
      </c>
      <c r="R3590" s="86" t="str">
        <f>_xlfn.CONCAT(表格1[[#This Row],[Model]]," ",表格1[[#This Row],[inv no]])</f>
        <v>PLK-45SFIH(WT) 6138655</v>
      </c>
      <c r="S3590" s="86">
        <f>_xlfn.XLOOKUP(表格1[[#This Row],[Model]],表格3[Model-Input-Ref2],表格3[SRP PRICE])</f>
        <v>788</v>
      </c>
      <c r="T3590" s="43">
        <f>表格1[[#This Row],[Unit Price]]/表格1[[#This Row],[SRP]]</f>
        <v>0.63451776649746194</v>
      </c>
      <c r="U3590" s="86" t="str">
        <f>_xlfn.XLOOKUP(表格1[[#This Row],[Model]],表格3[Model-Input-Ref2],表格3[TOSHIBA/HIGHEST])</f>
        <v>Toshiba SRP</v>
      </c>
      <c r="W3590" s="86" t="str">
        <f>_xlfn.CONCAT(表格1[[#This Row],[欄4]],表格1[[#This Row],[inv no]])</f>
        <v>6138655</v>
      </c>
    </row>
    <row r="3591" spans="1:23" hidden="1">
      <c r="A3591" s="81">
        <v>3589</v>
      </c>
      <c r="B3591" s="86" t="s">
        <v>1203</v>
      </c>
      <c r="C3591" s="86" t="s">
        <v>1964</v>
      </c>
      <c r="D3591" s="82" t="str">
        <f ca="1">OFFSET(Roster!$A$3,MATCH(表格1[[#This Row],[Location]]&amp;" "&amp;表格1[[#This Row],[Shop]]&amp;"*",Roster!$A$4:$A$72,0),DAY(表格1[[#This Row],[date]]),1,1)</f>
        <v>Lily Hon</v>
      </c>
      <c r="E3591" s="86">
        <f>MONTH(表格1[[#This Row],[date]])</f>
        <v>3</v>
      </c>
      <c r="F3591" s="90">
        <v>46090</v>
      </c>
      <c r="G3591" s="86" t="str">
        <f>VLOOKUP("*"&amp;表格1[[#This Row],[Input]]&amp;"*",'Ref-List'!$B:$D,2,)</f>
        <v>AW-M901BPH(WW)</v>
      </c>
      <c r="H3591" s="86" t="str">
        <f>_xlfn.XLOOKUP(表格1[[#This Row],[Model]],表格3[Model-Input-Ref2],表格3[Product Line])</f>
        <v>全自動洗衣機 (8公斤 結合高低水位)</v>
      </c>
      <c r="I3591" s="86" t="str">
        <f>_xlfn.XLOOKUP(表格1[[#This Row],[Model]],表格3[Model-Input-Ref2],表格3[大小電])</f>
        <v>大電</v>
      </c>
      <c r="J3591" s="86" t="str">
        <f>_xlfn.XLOOKUP(表格1[[#This Row],[Model]],表格3[Model-Input-Ref2],表格3[Code])</f>
        <v>WM</v>
      </c>
      <c r="K3591" s="89" t="s">
        <v>1202</v>
      </c>
      <c r="L3591" s="86">
        <v>1</v>
      </c>
      <c r="M3591" s="87">
        <v>1500</v>
      </c>
      <c r="N3591" s="174">
        <f>IFERROR(表格1[[#This Row],[QTY]]*表格1[[#This Row],[Unit Price]],"-")</f>
        <v>1500</v>
      </c>
      <c r="O3591" s="175">
        <v>6138683</v>
      </c>
      <c r="R3591" s="86" t="str">
        <f>_xlfn.CONCAT(表格1[[#This Row],[Model]]," ",表格1[[#This Row],[inv no]])</f>
        <v>AW-M901BPH(WW) 6138683</v>
      </c>
      <c r="S3591" s="86">
        <f>_xlfn.XLOOKUP(表格1[[#This Row],[Model]],表格3[Model-Input-Ref2],表格3[SRP PRICE])</f>
        <v>3580</v>
      </c>
      <c r="T3591" s="43">
        <f>表格1[[#This Row],[Unit Price]]/表格1[[#This Row],[SRP]]</f>
        <v>0.41899441340782123</v>
      </c>
      <c r="U3591" s="86" t="str">
        <f>_xlfn.XLOOKUP(表格1[[#This Row],[Model]],表格3[Model-Input-Ref2],表格3[TOSHIBA/HIGHEST])</f>
        <v>Toshiba SRP</v>
      </c>
      <c r="W3591" s="86" t="str">
        <f>_xlfn.CONCAT(表格1[[#This Row],[欄4]],表格1[[#This Row],[inv no]])</f>
        <v>6138683</v>
      </c>
    </row>
    <row r="3592" spans="1:23" hidden="1">
      <c r="A3592" s="81">
        <v>3590</v>
      </c>
      <c r="B3592" s="86" t="s">
        <v>1203</v>
      </c>
      <c r="C3592" s="86" t="s">
        <v>1964</v>
      </c>
      <c r="D3592" s="82" t="str">
        <f ca="1">OFFSET(Roster!$A$3,MATCH(表格1[[#This Row],[Location]]&amp;" "&amp;表格1[[#This Row],[Shop]]&amp;"*",Roster!$A$4:$A$72,0),DAY(表格1[[#This Row],[date]]),1,1)</f>
        <v>Lily Hon</v>
      </c>
      <c r="E3592" s="86">
        <f>MONTH(表格1[[#This Row],[date]])</f>
        <v>3</v>
      </c>
      <c r="F3592" s="90">
        <v>46090</v>
      </c>
      <c r="G3592" s="86" t="str">
        <f>VLOOKUP("*"&amp;表格1[[#This Row],[Input]]&amp;"*",'Ref-List'!$B:$D,2,)</f>
        <v>RAD-Y200H</v>
      </c>
      <c r="H3592" s="86" t="str">
        <f>_xlfn.XLOOKUP(表格1[[#This Row],[Model]],表格3[Model-Input-Ref2],表格3[Product Line])</f>
        <v>21L壓縮式抽濕機</v>
      </c>
      <c r="I3592" s="86" t="str">
        <f>_xlfn.XLOOKUP(表格1[[#This Row],[Model]],表格3[Model-Input-Ref2],表格3[大小電])</f>
        <v>大電</v>
      </c>
      <c r="J3592" s="86" t="str">
        <f>_xlfn.XLOOKUP(表格1[[#This Row],[Model]],表格3[Model-Input-Ref2],表格3[Code])</f>
        <v>RAC</v>
      </c>
      <c r="K3592" s="89" t="s">
        <v>1241</v>
      </c>
      <c r="L3592" s="86">
        <v>1</v>
      </c>
      <c r="M3592" s="87">
        <v>1500</v>
      </c>
      <c r="N3592" s="174">
        <f>IFERROR(表格1[[#This Row],[QTY]]*表格1[[#This Row],[Unit Price]],"-")</f>
        <v>1500</v>
      </c>
      <c r="O3592" s="175">
        <v>6138659</v>
      </c>
      <c r="R3592" s="86" t="str">
        <f>_xlfn.CONCAT(表格1[[#This Row],[Model]]," ",表格1[[#This Row],[inv no]])</f>
        <v>RAD-Y200H 6138659</v>
      </c>
      <c r="S3592" s="86">
        <f>_xlfn.XLOOKUP(表格1[[#This Row],[Model]],表格3[Model-Input-Ref2],表格3[SRP PRICE])</f>
        <v>3280</v>
      </c>
      <c r="T3592" s="43">
        <f>表格1[[#This Row],[Unit Price]]/表格1[[#This Row],[SRP]]</f>
        <v>0.45731707317073172</v>
      </c>
      <c r="U3592" s="86" t="str">
        <f>_xlfn.XLOOKUP(表格1[[#This Row],[Model]],表格3[Model-Input-Ref2],表格3[TOSHIBA/HIGHEST])</f>
        <v>Toshiba SRP</v>
      </c>
      <c r="W3592" s="86" t="str">
        <f>_xlfn.CONCAT(表格1[[#This Row],[欄4]],表格1[[#This Row],[inv no]])</f>
        <v>6138659</v>
      </c>
    </row>
    <row r="3593" spans="1:23" hidden="1">
      <c r="A3593" s="81">
        <v>3591</v>
      </c>
      <c r="B3593" s="86" t="s">
        <v>1203</v>
      </c>
      <c r="C3593" s="86" t="s">
        <v>1964</v>
      </c>
      <c r="D3593" s="82" t="str">
        <f ca="1">OFFSET(Roster!$A$3,MATCH(表格1[[#This Row],[Location]]&amp;" "&amp;表格1[[#This Row],[Shop]]&amp;"*",Roster!$A$4:$A$72,0),DAY(表格1[[#This Row],[date]]),1,1)</f>
        <v>Lily Hon</v>
      </c>
      <c r="E3593" s="86">
        <f>MONTH(表格1[[#This Row],[date]])</f>
        <v>3</v>
      </c>
      <c r="F3593" s="90">
        <v>46090</v>
      </c>
      <c r="G3593" s="86" t="str">
        <f>VLOOKUP("*"&amp;表格1[[#This Row],[Input]]&amp;"*",'Ref-List'!$B:$D,2,)</f>
        <v>DWS-34AHK</v>
      </c>
      <c r="H3593" s="86" t="str">
        <f>_xlfn.XLOOKUP(表格1[[#This Row],[Model]],表格3[Model-Input-Ref2],表格3[Product Line])</f>
        <v>獨立式免安裝洗碗碟機</v>
      </c>
      <c r="I3593" s="86" t="str">
        <f>_xlfn.XLOOKUP(表格1[[#This Row],[Model]],表格3[Model-Input-Ref2],表格3[大小電])</f>
        <v>細電</v>
      </c>
      <c r="J3593" s="86" t="str">
        <f>_xlfn.XLOOKUP(表格1[[#This Row],[Model]],表格3[Model-Input-Ref2],表格3[Code])</f>
        <v>DM</v>
      </c>
      <c r="K3593" s="89" t="s">
        <v>1240</v>
      </c>
      <c r="L3593" s="86">
        <v>1</v>
      </c>
      <c r="M3593" s="87">
        <v>1500</v>
      </c>
      <c r="N3593" s="174">
        <f>IFERROR(表格1[[#This Row],[QTY]]*表格1[[#This Row],[Unit Price]],"-")</f>
        <v>1500</v>
      </c>
      <c r="O3593" s="175">
        <v>6138692</v>
      </c>
      <c r="R3593" s="86" t="str">
        <f>_xlfn.CONCAT(表格1[[#This Row],[Model]]," ",表格1[[#This Row],[inv no]])</f>
        <v>DWS-34AHK 6138692</v>
      </c>
      <c r="S3593" s="86">
        <f>_xlfn.XLOOKUP(表格1[[#This Row],[Model]],表格3[Model-Input-Ref2],表格3[SRP PRICE])</f>
        <v>3999</v>
      </c>
      <c r="T3593" s="43">
        <f>表格1[[#This Row],[Unit Price]]/表格1[[#This Row],[SRP]]</f>
        <v>0.37509377344336087</v>
      </c>
      <c r="U3593" s="86" t="str">
        <f>_xlfn.XLOOKUP(表格1[[#This Row],[Model]],表格3[Model-Input-Ref2],表格3[TOSHIBA/HIGHEST])</f>
        <v>Web SRP</v>
      </c>
      <c r="W3593" s="86" t="str">
        <f>_xlfn.CONCAT(表格1[[#This Row],[欄4]],表格1[[#This Row],[inv no]])</f>
        <v>6138692</v>
      </c>
    </row>
    <row r="3594" spans="1:23" hidden="1">
      <c r="A3594" s="81">
        <v>3592</v>
      </c>
      <c r="B3594" s="86" t="s">
        <v>1203</v>
      </c>
      <c r="C3594" s="86" t="s">
        <v>1964</v>
      </c>
      <c r="D3594" s="82" t="str">
        <f ca="1">OFFSET(Roster!$A$3,MATCH(表格1[[#This Row],[Location]]&amp;" "&amp;表格1[[#This Row],[Shop]]&amp;"*",Roster!$A$4:$A$72,0),DAY(表格1[[#This Row],[date]]),1,1)</f>
        <v>Lily Hon</v>
      </c>
      <c r="E3594" s="86">
        <f>MONTH(表格1[[#This Row],[date]])</f>
        <v>3</v>
      </c>
      <c r="F3594" s="90">
        <v>46090</v>
      </c>
      <c r="G3594" s="86" t="str">
        <f>VLOOKUP("*"&amp;表格1[[#This Row],[Input]]&amp;"*",'Ref-List'!$B:$D,2,)</f>
        <v>RC-15ISTHK(W)</v>
      </c>
      <c r="H3594" s="86" t="str">
        <f>_xlfn.XLOOKUP(表格1[[#This Row],[Model]],表格3[Model-Input-Ref2],表格3[Product Line])</f>
        <v>磁應電飯煲(1.5公升)</v>
      </c>
      <c r="I3594" s="86" t="str">
        <f>_xlfn.XLOOKUP(表格1[[#This Row],[Model]],表格3[Model-Input-Ref2],表格3[大小電])</f>
        <v>細電</v>
      </c>
      <c r="J3594" s="86" t="str">
        <f>_xlfn.XLOOKUP(表格1[[#This Row],[Model]],表格3[Model-Input-Ref2],表格3[Code])</f>
        <v>SDA</v>
      </c>
      <c r="K3594" s="89" t="s">
        <v>1204</v>
      </c>
      <c r="L3594" s="86">
        <v>1</v>
      </c>
      <c r="M3594" s="87">
        <v>500</v>
      </c>
      <c r="N3594" s="174">
        <f>IFERROR(表格1[[#This Row],[QTY]]*表格1[[#This Row],[Unit Price]],"-")</f>
        <v>500</v>
      </c>
      <c r="O3594" s="175">
        <v>6138687</v>
      </c>
      <c r="R3594" s="86" t="str">
        <f>_xlfn.CONCAT(表格1[[#This Row],[Model]]," ",表格1[[#This Row],[inv no]])</f>
        <v>RC-15ISTHK(W) 6138687</v>
      </c>
      <c r="S3594" s="86">
        <f>_xlfn.XLOOKUP(表格1[[#This Row],[Model]],表格3[Model-Input-Ref2],表格3[SRP PRICE])</f>
        <v>1688</v>
      </c>
      <c r="T3594" s="43">
        <f>表格1[[#This Row],[Unit Price]]/表格1[[#This Row],[SRP]]</f>
        <v>0.29620853080568721</v>
      </c>
      <c r="U3594" s="86" t="str">
        <f>_xlfn.XLOOKUP(表格1[[#This Row],[Model]],表格3[Model-Input-Ref2],表格3[TOSHIBA/HIGHEST])</f>
        <v>Toshiba SRP</v>
      </c>
      <c r="W3594" s="86" t="str">
        <f>_xlfn.CONCAT(表格1[[#This Row],[欄4]],表格1[[#This Row],[inv no]])</f>
        <v>6138687</v>
      </c>
    </row>
    <row r="3595" spans="1:23" hidden="1">
      <c r="A3595" s="81">
        <v>3593</v>
      </c>
      <c r="B3595" s="86" t="s">
        <v>1203</v>
      </c>
      <c r="C3595" s="86" t="s">
        <v>1964</v>
      </c>
      <c r="D3595" s="82" t="str">
        <f ca="1">OFFSET(Roster!$A$3,MATCH(表格1[[#This Row],[Location]]&amp;" "&amp;表格1[[#This Row],[Shop]]&amp;"*",Roster!$A$4:$A$72,0),DAY(表格1[[#This Row],[date]]),1,1)</f>
        <v>Lily Hon</v>
      </c>
      <c r="E3595" s="86">
        <f>MONTH(表格1[[#This Row],[date]])</f>
        <v>3</v>
      </c>
      <c r="F3595" s="90">
        <v>46090</v>
      </c>
      <c r="G3595" s="86" t="str">
        <f>VLOOKUP("*"&amp;表格1[[#This Row],[Input]]&amp;"*",'Ref-List'!$B:$D,2,)</f>
        <v>RC-15ISTHK(W)</v>
      </c>
      <c r="H3595" s="86" t="str">
        <f>_xlfn.XLOOKUP(表格1[[#This Row],[Model]],表格3[Model-Input-Ref2],表格3[Product Line])</f>
        <v>磁應電飯煲(1.5公升)</v>
      </c>
      <c r="I3595" s="86" t="str">
        <f>_xlfn.XLOOKUP(表格1[[#This Row],[Model]],表格3[Model-Input-Ref2],表格3[大小電])</f>
        <v>細電</v>
      </c>
      <c r="J3595" s="86" t="str">
        <f>_xlfn.XLOOKUP(表格1[[#This Row],[Model]],表格3[Model-Input-Ref2],表格3[Code])</f>
        <v>SDA</v>
      </c>
      <c r="K3595" s="89" t="s">
        <v>1204</v>
      </c>
      <c r="L3595" s="86">
        <v>1</v>
      </c>
      <c r="M3595" s="87">
        <v>500</v>
      </c>
      <c r="N3595" s="174">
        <f>IFERROR(表格1[[#This Row],[QTY]]*表格1[[#This Row],[Unit Price]],"-")</f>
        <v>500</v>
      </c>
      <c r="O3595" s="175">
        <v>6138674</v>
      </c>
      <c r="R3595" s="86" t="str">
        <f>_xlfn.CONCAT(表格1[[#This Row],[Model]]," ",表格1[[#This Row],[inv no]])</f>
        <v>RC-15ISTHK(W) 6138674</v>
      </c>
      <c r="S3595" s="86">
        <f>_xlfn.XLOOKUP(表格1[[#This Row],[Model]],表格3[Model-Input-Ref2],表格3[SRP PRICE])</f>
        <v>1688</v>
      </c>
      <c r="T3595" s="43">
        <f>表格1[[#This Row],[Unit Price]]/表格1[[#This Row],[SRP]]</f>
        <v>0.29620853080568721</v>
      </c>
      <c r="U3595" s="86" t="str">
        <f>_xlfn.XLOOKUP(表格1[[#This Row],[Model]],表格3[Model-Input-Ref2],表格3[TOSHIBA/HIGHEST])</f>
        <v>Toshiba SRP</v>
      </c>
      <c r="W3595" s="86" t="str">
        <f>_xlfn.CONCAT(表格1[[#This Row],[欄4]],表格1[[#This Row],[inv no]])</f>
        <v>6138674</v>
      </c>
    </row>
    <row r="3596" spans="1:23" hidden="1">
      <c r="A3596" s="81">
        <v>3594</v>
      </c>
      <c r="B3596" s="86" t="s">
        <v>1203</v>
      </c>
      <c r="C3596" s="86" t="s">
        <v>1964</v>
      </c>
      <c r="D3596" s="82" t="str">
        <f ca="1">OFFSET(Roster!$A$3,MATCH(表格1[[#This Row],[Location]]&amp;" "&amp;表格1[[#This Row],[Shop]]&amp;"*",Roster!$A$4:$A$72,0),DAY(表格1[[#This Row],[date]]),1,1)</f>
        <v>Lily Hon</v>
      </c>
      <c r="E3596" s="86">
        <f>MONTH(表格1[[#This Row],[date]])</f>
        <v>3</v>
      </c>
      <c r="F3596" s="90">
        <v>46090</v>
      </c>
      <c r="G3596" s="86" t="str">
        <f>VLOOKUP("*"&amp;表格1[[#This Row],[Input]]&amp;"*",'Ref-List'!$B:$D,2,)</f>
        <v>IC-21TSHK</v>
      </c>
      <c r="H3596" s="86" t="str">
        <f>_xlfn.XLOOKUP(表格1[[#This Row],[Model]],表格3[Model-Input-Ref2],表格3[Product Line])</f>
        <v>Induction Cooker</v>
      </c>
      <c r="I3596" s="86" t="str">
        <f>_xlfn.XLOOKUP(表格1[[#This Row],[Model]],表格3[Model-Input-Ref2],表格3[大小電])</f>
        <v>細電</v>
      </c>
      <c r="J3596" s="86" t="str">
        <f>_xlfn.XLOOKUP(表格1[[#This Row],[Model]],表格3[Model-Input-Ref2],表格3[Code])</f>
        <v>SDA</v>
      </c>
      <c r="K3596" s="89" t="s">
        <v>1242</v>
      </c>
      <c r="L3596" s="86">
        <v>1</v>
      </c>
      <c r="M3596" s="87">
        <v>500</v>
      </c>
      <c r="N3596" s="174">
        <f>IFERROR(表格1[[#This Row],[QTY]]*表格1[[#This Row],[Unit Price]],"-")</f>
        <v>500</v>
      </c>
      <c r="O3596" s="175">
        <v>6138684</v>
      </c>
      <c r="R3596" s="86" t="str">
        <f>_xlfn.CONCAT(表格1[[#This Row],[Model]]," ",表格1[[#This Row],[inv no]])</f>
        <v>IC-21TSHK 6138684</v>
      </c>
      <c r="S3596" s="86">
        <f>_xlfn.XLOOKUP(表格1[[#This Row],[Model]],表格3[Model-Input-Ref2],表格3[SRP PRICE])</f>
        <v>998</v>
      </c>
      <c r="T3596" s="43">
        <f>表格1[[#This Row],[Unit Price]]/表格1[[#This Row],[SRP]]</f>
        <v>0.50100200400801598</v>
      </c>
      <c r="U3596" s="86" t="str">
        <f>_xlfn.XLOOKUP(表格1[[#This Row],[Model]],表格3[Model-Input-Ref2],表格3[TOSHIBA/HIGHEST])</f>
        <v>web SRP</v>
      </c>
      <c r="W3596" s="86" t="str">
        <f>_xlfn.CONCAT(表格1[[#This Row],[欄4]],表格1[[#This Row],[inv no]])</f>
        <v>6138684</v>
      </c>
    </row>
    <row r="3597" spans="1:23" hidden="1">
      <c r="A3597" s="81">
        <v>3595</v>
      </c>
      <c r="B3597" s="86" t="s">
        <v>1203</v>
      </c>
      <c r="C3597" s="86" t="s">
        <v>1964</v>
      </c>
      <c r="D3597" s="82" t="str">
        <f ca="1">OFFSET(Roster!$A$3,MATCH(表格1[[#This Row],[Location]]&amp;" "&amp;表格1[[#This Row],[Shop]]&amp;"*",Roster!$A$4:$A$72,0),DAY(表格1[[#This Row],[date]]),1,1)</f>
        <v>Lily Hon off</v>
      </c>
      <c r="E3597" s="86">
        <f>MONTH(表格1[[#This Row],[date]])</f>
        <v>3</v>
      </c>
      <c r="F3597" s="90">
        <v>46091</v>
      </c>
      <c r="G3597" s="86" t="str">
        <f>VLOOKUP("*"&amp;表格1[[#This Row],[Input]]&amp;"*",'Ref-List'!$B:$D,2,)</f>
        <v>AW-M901BPH(WW)</v>
      </c>
      <c r="H3597" s="86" t="str">
        <f>_xlfn.XLOOKUP(表格1[[#This Row],[Model]],表格3[Model-Input-Ref2],表格3[Product Line])</f>
        <v>全自動洗衣機 (8公斤 結合高低水位)</v>
      </c>
      <c r="I3597" s="86" t="str">
        <f>_xlfn.XLOOKUP(表格1[[#This Row],[Model]],表格3[Model-Input-Ref2],表格3[大小電])</f>
        <v>大電</v>
      </c>
      <c r="J3597" s="86" t="str">
        <f>_xlfn.XLOOKUP(表格1[[#This Row],[Model]],表格3[Model-Input-Ref2],表格3[Code])</f>
        <v>WM</v>
      </c>
      <c r="K3597" s="89" t="s">
        <v>1202</v>
      </c>
      <c r="L3597" s="86">
        <v>1</v>
      </c>
      <c r="M3597" s="87">
        <v>1500</v>
      </c>
      <c r="N3597" s="174">
        <f>IFERROR(表格1[[#This Row],[QTY]]*表格1[[#This Row],[Unit Price]],"-")</f>
        <v>1500</v>
      </c>
      <c r="O3597" s="175">
        <v>6157981</v>
      </c>
      <c r="R3597" s="86" t="str">
        <f>_xlfn.CONCAT(表格1[[#This Row],[Model]]," ",表格1[[#This Row],[inv no]])</f>
        <v>AW-M901BPH(WW) 6157981</v>
      </c>
      <c r="S3597" s="86">
        <f>_xlfn.XLOOKUP(表格1[[#This Row],[Model]],表格3[Model-Input-Ref2],表格3[SRP PRICE])</f>
        <v>3580</v>
      </c>
      <c r="T3597" s="43">
        <f>表格1[[#This Row],[Unit Price]]/表格1[[#This Row],[SRP]]</f>
        <v>0.41899441340782123</v>
      </c>
      <c r="U3597" s="86" t="str">
        <f>_xlfn.XLOOKUP(表格1[[#This Row],[Model]],表格3[Model-Input-Ref2],表格3[TOSHIBA/HIGHEST])</f>
        <v>Toshiba SRP</v>
      </c>
      <c r="W3597" s="86" t="str">
        <f>_xlfn.CONCAT(表格1[[#This Row],[欄4]],表格1[[#This Row],[inv no]])</f>
        <v>6157981</v>
      </c>
    </row>
    <row r="3598" spans="1:23" hidden="1">
      <c r="A3598" s="81">
        <v>3596</v>
      </c>
      <c r="B3598" s="86" t="s">
        <v>1203</v>
      </c>
      <c r="C3598" s="86" t="s">
        <v>1964</v>
      </c>
      <c r="D3598" s="82" t="str">
        <f ca="1">OFFSET(Roster!$A$3,MATCH(表格1[[#This Row],[Location]]&amp;" "&amp;表格1[[#This Row],[Shop]]&amp;"*",Roster!$A$4:$A$72,0),DAY(表格1[[#This Row],[date]]),1,1)</f>
        <v>Lily Hon off</v>
      </c>
      <c r="E3598" s="86">
        <f>MONTH(表格1[[#This Row],[date]])</f>
        <v>3</v>
      </c>
      <c r="F3598" s="90">
        <v>46091</v>
      </c>
      <c r="G3598" s="86" t="str">
        <f>VLOOKUP("*"&amp;表格1[[#This Row],[Input]]&amp;"*",'Ref-List'!$B:$D,2,)</f>
        <v>AW-M901BPH(WW)</v>
      </c>
      <c r="H3598" s="86" t="str">
        <f>_xlfn.XLOOKUP(表格1[[#This Row],[Model]],表格3[Model-Input-Ref2],表格3[Product Line])</f>
        <v>全自動洗衣機 (8公斤 結合高低水位)</v>
      </c>
      <c r="I3598" s="86" t="str">
        <f>_xlfn.XLOOKUP(表格1[[#This Row],[Model]],表格3[Model-Input-Ref2],表格3[大小電])</f>
        <v>大電</v>
      </c>
      <c r="J3598" s="86" t="str">
        <f>_xlfn.XLOOKUP(表格1[[#This Row],[Model]],表格3[Model-Input-Ref2],表格3[Code])</f>
        <v>WM</v>
      </c>
      <c r="K3598" s="89" t="s">
        <v>1202</v>
      </c>
      <c r="L3598" s="86">
        <v>1</v>
      </c>
      <c r="M3598" s="87">
        <v>1500</v>
      </c>
      <c r="N3598" s="174">
        <f>IFERROR(表格1[[#This Row],[QTY]]*表格1[[#This Row],[Unit Price]],"-")</f>
        <v>1500</v>
      </c>
      <c r="O3598" s="175">
        <v>6138707</v>
      </c>
      <c r="R3598" s="86" t="str">
        <f>_xlfn.CONCAT(表格1[[#This Row],[Model]]," ",表格1[[#This Row],[inv no]])</f>
        <v>AW-M901BPH(WW) 6138707</v>
      </c>
      <c r="S3598" s="86">
        <f>_xlfn.XLOOKUP(表格1[[#This Row],[Model]],表格3[Model-Input-Ref2],表格3[SRP PRICE])</f>
        <v>3580</v>
      </c>
      <c r="T3598" s="43">
        <f>表格1[[#This Row],[Unit Price]]/表格1[[#This Row],[SRP]]</f>
        <v>0.41899441340782123</v>
      </c>
      <c r="U3598" s="86" t="str">
        <f>_xlfn.XLOOKUP(表格1[[#This Row],[Model]],表格3[Model-Input-Ref2],表格3[TOSHIBA/HIGHEST])</f>
        <v>Toshiba SRP</v>
      </c>
      <c r="W3598" s="86" t="str">
        <f>_xlfn.CONCAT(表格1[[#This Row],[欄4]],表格1[[#This Row],[inv no]])</f>
        <v>6138707</v>
      </c>
    </row>
    <row r="3599" spans="1:23" hidden="1">
      <c r="A3599" s="81">
        <v>3597</v>
      </c>
      <c r="B3599" s="86" t="s">
        <v>1203</v>
      </c>
      <c r="C3599" s="86" t="s">
        <v>1964</v>
      </c>
      <c r="D3599" s="82" t="str">
        <f ca="1">OFFSET(Roster!$A$3,MATCH(表格1[[#This Row],[Location]]&amp;" "&amp;表格1[[#This Row],[Shop]]&amp;"*",Roster!$A$4:$A$72,0),DAY(表格1[[#This Row],[date]]),1,1)</f>
        <v>Lily Hon off</v>
      </c>
      <c r="E3599" s="86">
        <f>MONTH(表格1[[#This Row],[date]])</f>
        <v>3</v>
      </c>
      <c r="F3599" s="90">
        <v>46091</v>
      </c>
      <c r="G3599" s="86" t="str">
        <f>VLOOKUP("*"&amp;表格1[[#This Row],[Input]]&amp;"*",'Ref-List'!$B:$D,2,)</f>
        <v>DWS-34AHK</v>
      </c>
      <c r="H3599" s="86" t="str">
        <f>_xlfn.XLOOKUP(表格1[[#This Row],[Model]],表格3[Model-Input-Ref2],表格3[Product Line])</f>
        <v>獨立式免安裝洗碗碟機</v>
      </c>
      <c r="I3599" s="86" t="str">
        <f>_xlfn.XLOOKUP(表格1[[#This Row],[Model]],表格3[Model-Input-Ref2],表格3[大小電])</f>
        <v>細電</v>
      </c>
      <c r="J3599" s="86" t="str">
        <f>_xlfn.XLOOKUP(表格1[[#This Row],[Model]],表格3[Model-Input-Ref2],表格3[Code])</f>
        <v>DM</v>
      </c>
      <c r="K3599" s="89" t="s">
        <v>1240</v>
      </c>
      <c r="L3599" s="86">
        <v>1</v>
      </c>
      <c r="M3599" s="87">
        <v>1500</v>
      </c>
      <c r="N3599" s="174">
        <f>IFERROR(表格1[[#This Row],[QTY]]*表格1[[#This Row],[Unit Price]],"-")</f>
        <v>1500</v>
      </c>
      <c r="O3599" s="175">
        <v>6157201</v>
      </c>
      <c r="R3599" s="86" t="str">
        <f>_xlfn.CONCAT(表格1[[#This Row],[Model]]," ",表格1[[#This Row],[inv no]])</f>
        <v>DWS-34AHK 6157201</v>
      </c>
      <c r="S3599" s="86">
        <f>_xlfn.XLOOKUP(表格1[[#This Row],[Model]],表格3[Model-Input-Ref2],表格3[SRP PRICE])</f>
        <v>3999</v>
      </c>
      <c r="T3599" s="43">
        <f>表格1[[#This Row],[Unit Price]]/表格1[[#This Row],[SRP]]</f>
        <v>0.37509377344336087</v>
      </c>
      <c r="U3599" s="86" t="str">
        <f>_xlfn.XLOOKUP(表格1[[#This Row],[Model]],表格3[Model-Input-Ref2],表格3[TOSHIBA/HIGHEST])</f>
        <v>Web SRP</v>
      </c>
      <c r="W3599" s="86" t="str">
        <f>_xlfn.CONCAT(表格1[[#This Row],[欄4]],表格1[[#This Row],[inv no]])</f>
        <v>6157201</v>
      </c>
    </row>
    <row r="3600" spans="1:23" hidden="1">
      <c r="A3600" s="81">
        <v>3598</v>
      </c>
      <c r="B3600" s="86" t="s">
        <v>1203</v>
      </c>
      <c r="C3600" s="86" t="s">
        <v>1964</v>
      </c>
      <c r="D3600" s="82" t="str">
        <f ca="1">OFFSET(Roster!$A$3,MATCH(表格1[[#This Row],[Location]]&amp;" "&amp;表格1[[#This Row],[Shop]]&amp;"*",Roster!$A$4:$A$72,0),DAY(表格1[[#This Row],[date]]),1,1)</f>
        <v>Lily Hon off</v>
      </c>
      <c r="E3600" s="86">
        <f>MONTH(表格1[[#This Row],[date]])</f>
        <v>3</v>
      </c>
      <c r="F3600" s="90">
        <v>46091</v>
      </c>
      <c r="G3600" s="86" t="str">
        <f>VLOOKUP("*"&amp;表格1[[#This Row],[Input]]&amp;"*",'Ref-List'!$B:$D,2,)</f>
        <v>GR-A26HSZ(DS)</v>
      </c>
      <c r="H3600" s="86" t="str">
        <f>_xlfn.XLOOKUP(表格1[[#This Row],[Model]],表格3[Model-Input-Ref2],表格3[Product Line])</f>
        <v>雙門變頻式環保雪櫃</v>
      </c>
      <c r="I3600" s="86" t="str">
        <f>_xlfn.XLOOKUP(表格1[[#This Row],[Model]],表格3[Model-Input-Ref2],表格3[大小電])</f>
        <v>大電</v>
      </c>
      <c r="J3600" s="86" t="str">
        <f>_xlfn.XLOOKUP(表格1[[#This Row],[Model]],表格3[Model-Input-Ref2],表格3[Code])</f>
        <v>AC</v>
      </c>
      <c r="K3600" s="89" t="s">
        <v>1207</v>
      </c>
      <c r="L3600" s="86">
        <v>1</v>
      </c>
      <c r="M3600" s="87">
        <v>1500</v>
      </c>
      <c r="N3600" s="174">
        <f>IFERROR(表格1[[#This Row],[QTY]]*表格1[[#This Row],[Unit Price]],"-")</f>
        <v>1500</v>
      </c>
      <c r="O3600" s="175">
        <v>6138715</v>
      </c>
      <c r="R3600" s="86" t="str">
        <f>_xlfn.CONCAT(表格1[[#This Row],[Model]]," ",表格1[[#This Row],[inv no]])</f>
        <v>GR-A26HSZ(DS) 6138715</v>
      </c>
      <c r="S3600" s="86">
        <f>_xlfn.XLOOKUP(表格1[[#This Row],[Model]],表格3[Model-Input-Ref2],表格3[SRP PRICE])</f>
        <v>3780</v>
      </c>
      <c r="T3600" s="43">
        <f>表格1[[#This Row],[Unit Price]]/表格1[[#This Row],[SRP]]</f>
        <v>0.3968253968253968</v>
      </c>
      <c r="U3600" s="86" t="str">
        <f>_xlfn.XLOOKUP(表格1[[#This Row],[Model]],表格3[Model-Input-Ref2],表格3[TOSHIBA/HIGHEST])</f>
        <v>Toshiba SRP</v>
      </c>
      <c r="W3600" s="86" t="str">
        <f>_xlfn.CONCAT(表格1[[#This Row],[欄4]],表格1[[#This Row],[inv no]])</f>
        <v>6138715</v>
      </c>
    </row>
    <row r="3601" spans="1:23" hidden="1">
      <c r="A3601" s="81">
        <v>3599</v>
      </c>
      <c r="B3601" s="86" t="s">
        <v>1203</v>
      </c>
      <c r="C3601" s="86" t="s">
        <v>1964</v>
      </c>
      <c r="D3601" s="82" t="str">
        <f ca="1">OFFSET(Roster!$A$3,MATCH(表格1[[#This Row],[Location]]&amp;" "&amp;表格1[[#This Row],[Shop]]&amp;"*",Roster!$A$4:$A$72,0),DAY(表格1[[#This Row],[date]]),1,1)</f>
        <v>Lily Hon off</v>
      </c>
      <c r="E3601" s="86">
        <f>MONTH(表格1[[#This Row],[date]])</f>
        <v>3</v>
      </c>
      <c r="F3601" s="90">
        <v>46091</v>
      </c>
      <c r="G3601" s="86" t="str">
        <f>VLOOKUP("*"&amp;表格1[[#This Row],[Input]]&amp;"*",'Ref-List'!$B:$D,2,)</f>
        <v>TWP-TSR76THK(W)</v>
      </c>
      <c r="H3601" s="86" t="str">
        <f>_xlfn.XLOOKUP(表格1[[#This Row],[Model]],表格3[Model-Input-Ref2],表格3[Product Line])</f>
        <v>RO座檯式飲水機</v>
      </c>
      <c r="I3601" s="86" t="str">
        <f>_xlfn.XLOOKUP(表格1[[#This Row],[Model]],表格3[Model-Input-Ref2],表格3[大小電])</f>
        <v>細電</v>
      </c>
      <c r="J3601" s="86" t="str">
        <f>_xlfn.XLOOKUP(表格1[[#This Row],[Model]],表格3[Model-Input-Ref2],表格3[Code])</f>
        <v>KWH</v>
      </c>
      <c r="K3601" s="89" t="s">
        <v>1197</v>
      </c>
      <c r="L3601" s="86">
        <v>1</v>
      </c>
      <c r="M3601" s="87">
        <v>1500</v>
      </c>
      <c r="N3601" s="174">
        <f>IFERROR(表格1[[#This Row],[QTY]]*表格1[[#This Row],[Unit Price]],"-")</f>
        <v>1500</v>
      </c>
      <c r="O3601" s="175">
        <v>6157998</v>
      </c>
      <c r="R3601" s="86" t="str">
        <f>_xlfn.CONCAT(表格1[[#This Row],[Model]]," ",表格1[[#This Row],[inv no]])</f>
        <v>TWP-TSR76THK(W) 6157998</v>
      </c>
      <c r="S3601" s="86">
        <f>_xlfn.XLOOKUP(表格1[[#This Row],[Model]],表格3[Model-Input-Ref2],表格3[SRP PRICE])</f>
        <v>2680</v>
      </c>
      <c r="T3601" s="43">
        <f>表格1[[#This Row],[Unit Price]]/表格1[[#This Row],[SRP]]</f>
        <v>0.55970149253731338</v>
      </c>
      <c r="U3601" s="86" t="str">
        <f>_xlfn.XLOOKUP(表格1[[#This Row],[Model]],表格3[Model-Input-Ref2],表格3[TOSHIBA/HIGHEST])</f>
        <v>Toshiba SRP</v>
      </c>
      <c r="W3601" s="86" t="str">
        <f>_xlfn.CONCAT(表格1[[#This Row],[欄4]],表格1[[#This Row],[inv no]])</f>
        <v>6157998</v>
      </c>
    </row>
    <row r="3602" spans="1:23" hidden="1">
      <c r="A3602" s="81">
        <v>3600</v>
      </c>
      <c r="B3602" s="86" t="s">
        <v>1203</v>
      </c>
      <c r="C3602" s="86" t="s">
        <v>1964</v>
      </c>
      <c r="D3602" s="82" t="str">
        <f ca="1">OFFSET(Roster!$A$3,MATCH(表格1[[#This Row],[Location]]&amp;" "&amp;表格1[[#This Row],[Shop]]&amp;"*",Roster!$A$4:$A$72,0),DAY(表格1[[#This Row],[date]]),1,1)</f>
        <v>Lily Hon off</v>
      </c>
      <c r="E3602" s="86">
        <f>MONTH(表格1[[#This Row],[date]])</f>
        <v>3</v>
      </c>
      <c r="F3602" s="90">
        <v>46091</v>
      </c>
      <c r="G3602" s="86" t="str">
        <f>VLOOKUP("*"&amp;表格1[[#This Row],[Input]]&amp;"*",'Ref-List'!$B:$D,2,)</f>
        <v>RC-15ISTHK(W)</v>
      </c>
      <c r="H3602" s="86" t="str">
        <f>_xlfn.XLOOKUP(表格1[[#This Row],[Model]],表格3[Model-Input-Ref2],表格3[Product Line])</f>
        <v>磁應電飯煲(1.5公升)</v>
      </c>
      <c r="I3602" s="86" t="str">
        <f>_xlfn.XLOOKUP(表格1[[#This Row],[Model]],表格3[Model-Input-Ref2],表格3[大小電])</f>
        <v>細電</v>
      </c>
      <c r="J3602" s="86" t="str">
        <f>_xlfn.XLOOKUP(表格1[[#This Row],[Model]],表格3[Model-Input-Ref2],表格3[Code])</f>
        <v>SDA</v>
      </c>
      <c r="K3602" s="89" t="s">
        <v>1204</v>
      </c>
      <c r="L3602" s="86">
        <v>1</v>
      </c>
      <c r="M3602" s="87">
        <v>500</v>
      </c>
      <c r="N3602" s="174">
        <f>IFERROR(表格1[[#This Row],[QTY]]*表格1[[#This Row],[Unit Price]],"-")</f>
        <v>500</v>
      </c>
      <c r="O3602" s="175">
        <v>6157434</v>
      </c>
      <c r="R3602" s="86" t="str">
        <f>_xlfn.CONCAT(表格1[[#This Row],[Model]]," ",表格1[[#This Row],[inv no]])</f>
        <v>RC-15ISTHK(W) 6157434</v>
      </c>
      <c r="S3602" s="86">
        <f>_xlfn.XLOOKUP(表格1[[#This Row],[Model]],表格3[Model-Input-Ref2],表格3[SRP PRICE])</f>
        <v>1688</v>
      </c>
      <c r="T3602" s="43">
        <f>表格1[[#This Row],[Unit Price]]/表格1[[#This Row],[SRP]]</f>
        <v>0.29620853080568721</v>
      </c>
      <c r="U3602" s="86" t="str">
        <f>_xlfn.XLOOKUP(表格1[[#This Row],[Model]],表格3[Model-Input-Ref2],表格3[TOSHIBA/HIGHEST])</f>
        <v>Toshiba SRP</v>
      </c>
      <c r="W3602" s="86" t="str">
        <f>_xlfn.CONCAT(表格1[[#This Row],[欄4]],表格1[[#This Row],[inv no]])</f>
        <v>6157434</v>
      </c>
    </row>
    <row r="3603" spans="1:23" hidden="1">
      <c r="A3603" s="81">
        <v>3601</v>
      </c>
      <c r="B3603" s="86" t="s">
        <v>1203</v>
      </c>
      <c r="C3603" s="86" t="s">
        <v>1964</v>
      </c>
      <c r="D3603" s="82" t="str">
        <f ca="1">OFFSET(Roster!$A$3,MATCH(表格1[[#This Row],[Location]]&amp;" "&amp;表格1[[#This Row],[Shop]]&amp;"*",Roster!$A$4:$A$72,0),DAY(表格1[[#This Row],[date]]),1,1)</f>
        <v>Lily Hon off</v>
      </c>
      <c r="E3603" s="86">
        <f>MONTH(表格1[[#This Row],[date]])</f>
        <v>3</v>
      </c>
      <c r="F3603" s="90">
        <v>46091</v>
      </c>
      <c r="G3603" s="86" t="str">
        <f>VLOOKUP("*"&amp;表格1[[#This Row],[Input]]&amp;"*",'Ref-List'!$B:$D,2,)</f>
        <v>RC-15ISTHK(W)</v>
      </c>
      <c r="H3603" s="86" t="str">
        <f>_xlfn.XLOOKUP(表格1[[#This Row],[Model]],表格3[Model-Input-Ref2],表格3[Product Line])</f>
        <v>磁應電飯煲(1.5公升)</v>
      </c>
      <c r="I3603" s="86" t="str">
        <f>_xlfn.XLOOKUP(表格1[[#This Row],[Model]],表格3[Model-Input-Ref2],表格3[大小電])</f>
        <v>細電</v>
      </c>
      <c r="J3603" s="86" t="str">
        <f>_xlfn.XLOOKUP(表格1[[#This Row],[Model]],表格3[Model-Input-Ref2],表格3[Code])</f>
        <v>SDA</v>
      </c>
      <c r="K3603" s="89" t="s">
        <v>1204</v>
      </c>
      <c r="L3603" s="86">
        <v>1</v>
      </c>
      <c r="M3603" s="87">
        <v>500</v>
      </c>
      <c r="N3603" s="174">
        <f>IFERROR(表格1[[#This Row],[QTY]]*表格1[[#This Row],[Unit Price]],"-")</f>
        <v>500</v>
      </c>
      <c r="O3603" s="175">
        <v>6157145</v>
      </c>
      <c r="R3603" s="86" t="str">
        <f>_xlfn.CONCAT(表格1[[#This Row],[Model]]," ",表格1[[#This Row],[inv no]])</f>
        <v>RC-15ISTHK(W) 6157145</v>
      </c>
      <c r="S3603" s="86">
        <f>_xlfn.XLOOKUP(表格1[[#This Row],[Model]],表格3[Model-Input-Ref2],表格3[SRP PRICE])</f>
        <v>1688</v>
      </c>
      <c r="T3603" s="43">
        <f>表格1[[#This Row],[Unit Price]]/表格1[[#This Row],[SRP]]</f>
        <v>0.29620853080568721</v>
      </c>
      <c r="U3603" s="86" t="str">
        <f>_xlfn.XLOOKUP(表格1[[#This Row],[Model]],表格3[Model-Input-Ref2],表格3[TOSHIBA/HIGHEST])</f>
        <v>Toshiba SRP</v>
      </c>
      <c r="W3603" s="86" t="str">
        <f>_xlfn.CONCAT(表格1[[#This Row],[欄4]],表格1[[#This Row],[inv no]])</f>
        <v>6157145</v>
      </c>
    </row>
    <row r="3604" spans="1:23" hidden="1">
      <c r="A3604" s="81">
        <v>3602</v>
      </c>
      <c r="B3604" s="86" t="s">
        <v>1203</v>
      </c>
      <c r="C3604" s="86" t="s">
        <v>1964</v>
      </c>
      <c r="D3604" s="82" t="str">
        <f ca="1">OFFSET(Roster!$A$3,MATCH(表格1[[#This Row],[Location]]&amp;" "&amp;表格1[[#This Row],[Shop]]&amp;"*",Roster!$A$4:$A$72,0),DAY(表格1[[#This Row],[date]]),1,1)</f>
        <v>Lily Hon off</v>
      </c>
      <c r="E3604" s="86">
        <f>MONTH(表格1[[#This Row],[date]])</f>
        <v>3</v>
      </c>
      <c r="F3604" s="90">
        <v>46091</v>
      </c>
      <c r="G3604" s="86" t="str">
        <f>VLOOKUP("*"&amp;表格1[[#This Row],[Input]]&amp;"*",'Ref-List'!$B:$D,2,)</f>
        <v>RC-15ISTHK(W)</v>
      </c>
      <c r="H3604" s="86" t="str">
        <f>_xlfn.XLOOKUP(表格1[[#This Row],[Model]],表格3[Model-Input-Ref2],表格3[Product Line])</f>
        <v>磁應電飯煲(1.5公升)</v>
      </c>
      <c r="I3604" s="86" t="str">
        <f>_xlfn.XLOOKUP(表格1[[#This Row],[Model]],表格3[Model-Input-Ref2],表格3[大小電])</f>
        <v>細電</v>
      </c>
      <c r="J3604" s="86" t="str">
        <f>_xlfn.XLOOKUP(表格1[[#This Row],[Model]],表格3[Model-Input-Ref2],表格3[Code])</f>
        <v>SDA</v>
      </c>
      <c r="K3604" s="89" t="s">
        <v>1204</v>
      </c>
      <c r="L3604" s="86">
        <v>1</v>
      </c>
      <c r="M3604" s="87">
        <v>500</v>
      </c>
      <c r="N3604" s="174">
        <f>IFERROR(表格1[[#This Row],[QTY]]*表格1[[#This Row],[Unit Price]],"-")</f>
        <v>500</v>
      </c>
      <c r="O3604" s="175">
        <v>6138721</v>
      </c>
      <c r="R3604" s="86" t="str">
        <f>_xlfn.CONCAT(表格1[[#This Row],[Model]]," ",表格1[[#This Row],[inv no]])</f>
        <v>RC-15ISTHK(W) 6138721</v>
      </c>
      <c r="S3604" s="86">
        <f>_xlfn.XLOOKUP(表格1[[#This Row],[Model]],表格3[Model-Input-Ref2],表格3[SRP PRICE])</f>
        <v>1688</v>
      </c>
      <c r="T3604" s="43">
        <f>表格1[[#This Row],[Unit Price]]/表格1[[#This Row],[SRP]]</f>
        <v>0.29620853080568721</v>
      </c>
      <c r="U3604" s="86" t="str">
        <f>_xlfn.XLOOKUP(表格1[[#This Row],[Model]],表格3[Model-Input-Ref2],表格3[TOSHIBA/HIGHEST])</f>
        <v>Toshiba SRP</v>
      </c>
      <c r="W3604" s="86" t="str">
        <f>_xlfn.CONCAT(表格1[[#This Row],[欄4]],表格1[[#This Row],[inv no]])</f>
        <v>6138721</v>
      </c>
    </row>
    <row r="3605" spans="1:23" hidden="1">
      <c r="A3605" s="81">
        <v>3603</v>
      </c>
      <c r="B3605" s="86" t="s">
        <v>1203</v>
      </c>
      <c r="C3605" s="86" t="s">
        <v>1964</v>
      </c>
      <c r="D3605" s="82" t="str">
        <f ca="1">OFFSET(Roster!$A$3,MATCH(表格1[[#This Row],[Location]]&amp;" "&amp;表格1[[#This Row],[Shop]]&amp;"*",Roster!$A$4:$A$72,0),DAY(表格1[[#This Row],[date]]),1,1)</f>
        <v>Lily Hon</v>
      </c>
      <c r="E3605" s="86">
        <f>MONTH(表格1[[#This Row],[date]])</f>
        <v>3</v>
      </c>
      <c r="F3605" s="90">
        <v>46092</v>
      </c>
      <c r="G3605" s="86" t="str">
        <f>VLOOKUP("*"&amp;表格1[[#This Row],[Input]]&amp;"*",'Ref-List'!$B:$D,2,)</f>
        <v>GR-A26HSZ(DS)</v>
      </c>
      <c r="H3605" s="86" t="str">
        <f>_xlfn.XLOOKUP(表格1[[#This Row],[Model]],表格3[Model-Input-Ref2],表格3[Product Line])</f>
        <v>雙門變頻式環保雪櫃</v>
      </c>
      <c r="I3605" s="86" t="str">
        <f>_xlfn.XLOOKUP(表格1[[#This Row],[Model]],表格3[Model-Input-Ref2],表格3[大小電])</f>
        <v>大電</v>
      </c>
      <c r="J3605" s="86" t="str">
        <f>_xlfn.XLOOKUP(表格1[[#This Row],[Model]],表格3[Model-Input-Ref2],表格3[Code])</f>
        <v>AC</v>
      </c>
      <c r="K3605" s="89" t="s">
        <v>1207</v>
      </c>
      <c r="L3605" s="86">
        <v>1</v>
      </c>
      <c r="M3605" s="87">
        <v>1500</v>
      </c>
      <c r="N3605" s="174">
        <f>IFERROR(表格1[[#This Row],[QTY]]*表格1[[#This Row],[Unit Price]],"-")</f>
        <v>1500</v>
      </c>
      <c r="O3605" s="175">
        <v>6157210</v>
      </c>
      <c r="R3605" s="86" t="str">
        <f>_xlfn.CONCAT(表格1[[#This Row],[Model]]," ",表格1[[#This Row],[inv no]])</f>
        <v>GR-A26HSZ(DS) 6157210</v>
      </c>
      <c r="S3605" s="86">
        <f>_xlfn.XLOOKUP(表格1[[#This Row],[Model]],表格3[Model-Input-Ref2],表格3[SRP PRICE])</f>
        <v>3780</v>
      </c>
      <c r="T3605" s="43">
        <f>表格1[[#This Row],[Unit Price]]/表格1[[#This Row],[SRP]]</f>
        <v>0.3968253968253968</v>
      </c>
      <c r="U3605" s="86" t="str">
        <f>_xlfn.XLOOKUP(表格1[[#This Row],[Model]],表格3[Model-Input-Ref2],表格3[TOSHIBA/HIGHEST])</f>
        <v>Toshiba SRP</v>
      </c>
      <c r="W3605" s="86" t="str">
        <f>_xlfn.CONCAT(表格1[[#This Row],[欄4]],表格1[[#This Row],[inv no]])</f>
        <v>6157210</v>
      </c>
    </row>
    <row r="3606" spans="1:23" hidden="1">
      <c r="A3606" s="81">
        <v>3604</v>
      </c>
      <c r="B3606" s="86" t="s">
        <v>1203</v>
      </c>
      <c r="C3606" s="86" t="s">
        <v>1964</v>
      </c>
      <c r="D3606" s="82" t="str">
        <f ca="1">OFFSET(Roster!$A$3,MATCH(表格1[[#This Row],[Location]]&amp;" "&amp;表格1[[#This Row],[Shop]]&amp;"*",Roster!$A$4:$A$72,0),DAY(表格1[[#This Row],[date]]),1,1)</f>
        <v>Lily Hon</v>
      </c>
      <c r="E3606" s="86">
        <f>MONTH(表格1[[#This Row],[date]])</f>
        <v>3</v>
      </c>
      <c r="F3606" s="90">
        <v>46092</v>
      </c>
      <c r="G3606" s="86" t="str">
        <f>VLOOKUP("*"&amp;表格1[[#This Row],[Input]]&amp;"*",'Ref-List'!$B:$D,2,)</f>
        <v>RC-15ISTHK(W)</v>
      </c>
      <c r="H3606" s="86" t="str">
        <f>_xlfn.XLOOKUP(表格1[[#This Row],[Model]],表格3[Model-Input-Ref2],表格3[Product Line])</f>
        <v>磁應電飯煲(1.5公升)</v>
      </c>
      <c r="I3606" s="86" t="str">
        <f>_xlfn.XLOOKUP(表格1[[#This Row],[Model]],表格3[Model-Input-Ref2],表格3[大小電])</f>
        <v>細電</v>
      </c>
      <c r="J3606" s="86" t="str">
        <f>_xlfn.XLOOKUP(表格1[[#This Row],[Model]],表格3[Model-Input-Ref2],表格3[Code])</f>
        <v>SDA</v>
      </c>
      <c r="K3606" s="89" t="s">
        <v>1204</v>
      </c>
      <c r="L3606" s="86">
        <v>1</v>
      </c>
      <c r="M3606" s="87">
        <v>500</v>
      </c>
      <c r="N3606" s="174">
        <f>IFERROR(表格1[[#This Row],[QTY]]*表格1[[#This Row],[Unit Price]],"-")</f>
        <v>500</v>
      </c>
      <c r="O3606" s="175">
        <v>6157152</v>
      </c>
      <c r="R3606" s="86" t="str">
        <f>_xlfn.CONCAT(表格1[[#This Row],[Model]]," ",表格1[[#This Row],[inv no]])</f>
        <v>RC-15ISTHK(W) 6157152</v>
      </c>
      <c r="S3606" s="86">
        <f>_xlfn.XLOOKUP(表格1[[#This Row],[Model]],表格3[Model-Input-Ref2],表格3[SRP PRICE])</f>
        <v>1688</v>
      </c>
      <c r="T3606" s="43">
        <f>表格1[[#This Row],[Unit Price]]/表格1[[#This Row],[SRP]]</f>
        <v>0.29620853080568721</v>
      </c>
      <c r="U3606" s="86" t="str">
        <f>_xlfn.XLOOKUP(表格1[[#This Row],[Model]],表格3[Model-Input-Ref2],表格3[TOSHIBA/HIGHEST])</f>
        <v>Toshiba SRP</v>
      </c>
      <c r="W3606" s="86" t="str">
        <f>_xlfn.CONCAT(表格1[[#This Row],[欄4]],表格1[[#This Row],[inv no]])</f>
        <v>6157152</v>
      </c>
    </row>
    <row r="3607" spans="1:23" hidden="1">
      <c r="A3607" s="81">
        <v>3605</v>
      </c>
      <c r="B3607" s="86" t="s">
        <v>1203</v>
      </c>
      <c r="C3607" s="86" t="s">
        <v>1964</v>
      </c>
      <c r="D3607" s="82" t="str">
        <f ca="1">OFFSET(Roster!$A$3,MATCH(表格1[[#This Row],[Location]]&amp;" "&amp;表格1[[#This Row],[Shop]]&amp;"*",Roster!$A$4:$A$72,0),DAY(表格1[[#This Row],[date]]),1,1)</f>
        <v>Lily Hon</v>
      </c>
      <c r="E3607" s="86">
        <f>MONTH(表格1[[#This Row],[date]])</f>
        <v>3</v>
      </c>
      <c r="F3607" s="90">
        <v>46092</v>
      </c>
      <c r="G3607" s="86" t="str">
        <f>VLOOKUP("*"&amp;表格1[[#This Row],[Input]]&amp;"*",'Ref-List'!$B:$D,2,)</f>
        <v>RC-15ISTHK(W)</v>
      </c>
      <c r="H3607" s="86" t="str">
        <f>_xlfn.XLOOKUP(表格1[[#This Row],[Model]],表格3[Model-Input-Ref2],表格3[Product Line])</f>
        <v>磁應電飯煲(1.5公升)</v>
      </c>
      <c r="I3607" s="86" t="str">
        <f>_xlfn.XLOOKUP(表格1[[#This Row],[Model]],表格3[Model-Input-Ref2],表格3[大小電])</f>
        <v>細電</v>
      </c>
      <c r="J3607" s="86" t="str">
        <f>_xlfn.XLOOKUP(表格1[[#This Row],[Model]],表格3[Model-Input-Ref2],表格3[Code])</f>
        <v>SDA</v>
      </c>
      <c r="K3607" s="89" t="s">
        <v>1204</v>
      </c>
      <c r="L3607" s="86">
        <v>1</v>
      </c>
      <c r="M3607" s="87">
        <v>500</v>
      </c>
      <c r="N3607" s="174">
        <f>IFERROR(表格1[[#This Row],[QTY]]*表格1[[#This Row],[Unit Price]],"-")</f>
        <v>500</v>
      </c>
      <c r="O3607" s="175">
        <v>6157160</v>
      </c>
      <c r="R3607" s="86" t="str">
        <f>_xlfn.CONCAT(表格1[[#This Row],[Model]]," ",表格1[[#This Row],[inv no]])</f>
        <v>RC-15ISTHK(W) 6157160</v>
      </c>
      <c r="S3607" s="86">
        <f>_xlfn.XLOOKUP(表格1[[#This Row],[Model]],表格3[Model-Input-Ref2],表格3[SRP PRICE])</f>
        <v>1688</v>
      </c>
      <c r="T3607" s="43">
        <f>表格1[[#This Row],[Unit Price]]/表格1[[#This Row],[SRP]]</f>
        <v>0.29620853080568721</v>
      </c>
      <c r="U3607" s="86" t="str">
        <f>_xlfn.XLOOKUP(表格1[[#This Row],[Model]],表格3[Model-Input-Ref2],表格3[TOSHIBA/HIGHEST])</f>
        <v>Toshiba SRP</v>
      </c>
      <c r="W3607" s="86" t="str">
        <f>_xlfn.CONCAT(表格1[[#This Row],[欄4]],表格1[[#This Row],[inv no]])</f>
        <v>6157160</v>
      </c>
    </row>
    <row r="3608" spans="1:23" hidden="1">
      <c r="A3608" s="81">
        <v>3606</v>
      </c>
      <c r="B3608" s="86" t="s">
        <v>1203</v>
      </c>
      <c r="C3608" s="86" t="s">
        <v>1964</v>
      </c>
      <c r="D3608" s="82" t="str">
        <f ca="1">OFFSET(Roster!$A$3,MATCH(表格1[[#This Row],[Location]]&amp;" "&amp;表格1[[#This Row],[Shop]]&amp;"*",Roster!$A$4:$A$72,0),DAY(表格1[[#This Row],[date]]),1,1)</f>
        <v>Lily Hon</v>
      </c>
      <c r="E3608" s="86">
        <f>MONTH(表格1[[#This Row],[date]])</f>
        <v>3</v>
      </c>
      <c r="F3608" s="90">
        <v>46092</v>
      </c>
      <c r="G3608" s="86" t="str">
        <f>VLOOKUP("*"&amp;表格1[[#This Row],[Input]]&amp;"*",'Ref-List'!$B:$D,2,)</f>
        <v>RC-15ISTHK(W)</v>
      </c>
      <c r="H3608" s="86" t="str">
        <f>_xlfn.XLOOKUP(表格1[[#This Row],[Model]],表格3[Model-Input-Ref2],表格3[Product Line])</f>
        <v>磁應電飯煲(1.5公升)</v>
      </c>
      <c r="I3608" s="86" t="str">
        <f>_xlfn.XLOOKUP(表格1[[#This Row],[Model]],表格3[Model-Input-Ref2],表格3[大小電])</f>
        <v>細電</v>
      </c>
      <c r="J3608" s="86" t="str">
        <f>_xlfn.XLOOKUP(表格1[[#This Row],[Model]],表格3[Model-Input-Ref2],表格3[Code])</f>
        <v>SDA</v>
      </c>
      <c r="K3608" s="89" t="s">
        <v>1204</v>
      </c>
      <c r="L3608" s="86">
        <v>1</v>
      </c>
      <c r="M3608" s="87">
        <v>500</v>
      </c>
      <c r="N3608" s="174">
        <f>IFERROR(表格1[[#This Row],[QTY]]*表格1[[#This Row],[Unit Price]],"-")</f>
        <v>500</v>
      </c>
      <c r="O3608" s="175">
        <v>6157211</v>
      </c>
      <c r="R3608" s="86" t="str">
        <f>_xlfn.CONCAT(表格1[[#This Row],[Model]]," ",表格1[[#This Row],[inv no]])</f>
        <v>RC-15ISTHK(W) 6157211</v>
      </c>
      <c r="S3608" s="86">
        <f>_xlfn.XLOOKUP(表格1[[#This Row],[Model]],表格3[Model-Input-Ref2],表格3[SRP PRICE])</f>
        <v>1688</v>
      </c>
      <c r="T3608" s="43">
        <f>表格1[[#This Row],[Unit Price]]/表格1[[#This Row],[SRP]]</f>
        <v>0.29620853080568721</v>
      </c>
      <c r="U3608" s="86" t="str">
        <f>_xlfn.XLOOKUP(表格1[[#This Row],[Model]],表格3[Model-Input-Ref2],表格3[TOSHIBA/HIGHEST])</f>
        <v>Toshiba SRP</v>
      </c>
      <c r="W3608" s="86" t="str">
        <f>_xlfn.CONCAT(表格1[[#This Row],[欄4]],表格1[[#This Row],[inv no]])</f>
        <v>6157211</v>
      </c>
    </row>
    <row r="3609" spans="1:23" hidden="1">
      <c r="A3609" s="81">
        <v>3607</v>
      </c>
      <c r="B3609" s="86" t="s">
        <v>1203</v>
      </c>
      <c r="C3609" s="86" t="s">
        <v>1964</v>
      </c>
      <c r="D3609" s="82" t="str">
        <f ca="1">OFFSET(Roster!$A$3,MATCH(表格1[[#This Row],[Location]]&amp;" "&amp;表格1[[#This Row],[Shop]]&amp;"*",Roster!$A$4:$A$72,0),DAY(表格1[[#This Row],[date]]),1,1)</f>
        <v>Lily Hon off</v>
      </c>
      <c r="E3609" s="86">
        <f>MONTH(表格1[[#This Row],[date]])</f>
        <v>3</v>
      </c>
      <c r="F3609" s="90">
        <v>46093</v>
      </c>
      <c r="G3609" s="86" t="str">
        <f>VLOOKUP("*"&amp;表格1[[#This Row],[Input]]&amp;"*",'Ref-List'!$B:$D,2,)</f>
        <v>IC-21TSHK</v>
      </c>
      <c r="H3609" s="86" t="str">
        <f>_xlfn.XLOOKUP(表格1[[#This Row],[Model]],表格3[Model-Input-Ref2],表格3[Product Line])</f>
        <v>Induction Cooker</v>
      </c>
      <c r="I3609" s="86" t="str">
        <f>_xlfn.XLOOKUP(表格1[[#This Row],[Model]],表格3[Model-Input-Ref2],表格3[大小電])</f>
        <v>細電</v>
      </c>
      <c r="J3609" s="86" t="str">
        <f>_xlfn.XLOOKUP(表格1[[#This Row],[Model]],表格3[Model-Input-Ref2],表格3[Code])</f>
        <v>SDA</v>
      </c>
      <c r="K3609" s="89" t="s">
        <v>1242</v>
      </c>
      <c r="L3609" s="86">
        <v>1</v>
      </c>
      <c r="M3609" s="87">
        <v>500</v>
      </c>
      <c r="N3609" s="174">
        <f>IFERROR(表格1[[#This Row],[QTY]]*表格1[[#This Row],[Unit Price]],"-")</f>
        <v>500</v>
      </c>
      <c r="O3609" s="175">
        <v>6138733</v>
      </c>
      <c r="R3609" s="86" t="str">
        <f>_xlfn.CONCAT(表格1[[#This Row],[Model]]," ",表格1[[#This Row],[inv no]])</f>
        <v>IC-21TSHK 6138733</v>
      </c>
      <c r="S3609" s="86">
        <f>_xlfn.XLOOKUP(表格1[[#This Row],[Model]],表格3[Model-Input-Ref2],表格3[SRP PRICE])</f>
        <v>998</v>
      </c>
      <c r="T3609" s="43">
        <f>表格1[[#This Row],[Unit Price]]/表格1[[#This Row],[SRP]]</f>
        <v>0.50100200400801598</v>
      </c>
      <c r="U3609" s="86" t="str">
        <f>_xlfn.XLOOKUP(表格1[[#This Row],[Model]],表格3[Model-Input-Ref2],表格3[TOSHIBA/HIGHEST])</f>
        <v>web SRP</v>
      </c>
      <c r="W3609" s="86" t="str">
        <f>_xlfn.CONCAT(表格1[[#This Row],[欄4]],表格1[[#This Row],[inv no]])</f>
        <v>6138733</v>
      </c>
    </row>
    <row r="3610" spans="1:23" hidden="1">
      <c r="A3610" s="81">
        <v>3608</v>
      </c>
      <c r="B3610" s="86" t="s">
        <v>1203</v>
      </c>
      <c r="C3610" s="86" t="s">
        <v>1964</v>
      </c>
      <c r="D3610" s="82" t="str">
        <f ca="1">OFFSET(Roster!$A$3,MATCH(表格1[[#This Row],[Location]]&amp;" "&amp;表格1[[#This Row],[Shop]]&amp;"*",Roster!$A$4:$A$72,0),DAY(表格1[[#This Row],[date]]),1,1)</f>
        <v>Lily Hon off</v>
      </c>
      <c r="E3610" s="86">
        <f>MONTH(表格1[[#This Row],[date]])</f>
        <v>3</v>
      </c>
      <c r="F3610" s="90">
        <v>46093</v>
      </c>
      <c r="G3610" s="86" t="str">
        <f>VLOOKUP("*"&amp;表格1[[#This Row],[Input]]&amp;"*",'Ref-List'!$B:$D,2,)</f>
        <v>RC-15ISTHK(W)</v>
      </c>
      <c r="H3610" s="86" t="str">
        <f>_xlfn.XLOOKUP(表格1[[#This Row],[Model]],表格3[Model-Input-Ref2],表格3[Product Line])</f>
        <v>磁應電飯煲(1.5公升)</v>
      </c>
      <c r="I3610" s="86" t="str">
        <f>_xlfn.XLOOKUP(表格1[[#This Row],[Model]],表格3[Model-Input-Ref2],表格3[大小電])</f>
        <v>細電</v>
      </c>
      <c r="J3610" s="86" t="str">
        <f>_xlfn.XLOOKUP(表格1[[#This Row],[Model]],表格3[Model-Input-Ref2],表格3[Code])</f>
        <v>SDA</v>
      </c>
      <c r="K3610" s="89" t="s">
        <v>1204</v>
      </c>
      <c r="L3610" s="86">
        <v>1</v>
      </c>
      <c r="M3610" s="87">
        <v>500</v>
      </c>
      <c r="N3610" s="174">
        <f>IFERROR(表格1[[#This Row],[QTY]]*表格1[[#This Row],[Unit Price]],"-")</f>
        <v>500</v>
      </c>
      <c r="O3610" s="175">
        <v>6157441</v>
      </c>
      <c r="R3610" s="86" t="str">
        <f>_xlfn.CONCAT(表格1[[#This Row],[Model]]," ",表格1[[#This Row],[inv no]])</f>
        <v>RC-15ISTHK(W) 6157441</v>
      </c>
      <c r="S3610" s="86">
        <f>_xlfn.XLOOKUP(表格1[[#This Row],[Model]],表格3[Model-Input-Ref2],表格3[SRP PRICE])</f>
        <v>1688</v>
      </c>
      <c r="T3610" s="43">
        <f>表格1[[#This Row],[Unit Price]]/表格1[[#This Row],[SRP]]</f>
        <v>0.29620853080568721</v>
      </c>
      <c r="U3610" s="86" t="str">
        <f>_xlfn.XLOOKUP(表格1[[#This Row],[Model]],表格3[Model-Input-Ref2],表格3[TOSHIBA/HIGHEST])</f>
        <v>Toshiba SRP</v>
      </c>
      <c r="W3610" s="86" t="str">
        <f>_xlfn.CONCAT(表格1[[#This Row],[欄4]],表格1[[#This Row],[inv no]])</f>
        <v>6157441</v>
      </c>
    </row>
    <row r="3611" spans="1:23" hidden="1">
      <c r="A3611" s="81">
        <v>3609</v>
      </c>
      <c r="B3611" s="86" t="s">
        <v>1203</v>
      </c>
      <c r="C3611" s="86" t="s">
        <v>1964</v>
      </c>
      <c r="D3611" s="82" t="str">
        <f ca="1">OFFSET(Roster!$A$3,MATCH(表格1[[#This Row],[Location]]&amp;" "&amp;表格1[[#This Row],[Shop]]&amp;"*",Roster!$A$4:$A$72,0),DAY(表格1[[#This Row],[date]]),1,1)</f>
        <v>Lily Hon off</v>
      </c>
      <c r="E3611" s="86">
        <f>MONTH(表格1[[#This Row],[date]])</f>
        <v>3</v>
      </c>
      <c r="F3611" s="90">
        <v>46093</v>
      </c>
      <c r="G3611" s="86" t="str">
        <f>VLOOKUP("*"&amp;表格1[[#This Row],[Input]]&amp;"*",'Ref-List'!$B:$D,2,)</f>
        <v>MW2-MM24PC(BK)</v>
      </c>
      <c r="H3611" s="86" t="str">
        <f>_xlfn.XLOOKUP(表格1[[#This Row],[Model]],表格3[Model-Input-Ref2],表格3[Product Line])</f>
        <v>旋鈕式微波爐24L</v>
      </c>
      <c r="I3611" s="86" t="str">
        <f>_xlfn.XLOOKUP(表格1[[#This Row],[Model]],表格3[Model-Input-Ref2],表格3[大小電])</f>
        <v>細電</v>
      </c>
      <c r="J3611" s="86" t="str">
        <f>_xlfn.XLOOKUP(表格1[[#This Row],[Model]],表格3[Model-Input-Ref2],表格3[Code])</f>
        <v>SDA</v>
      </c>
      <c r="K3611" s="89" t="s">
        <v>1196</v>
      </c>
      <c r="L3611" s="86">
        <v>1</v>
      </c>
      <c r="M3611" s="87">
        <v>500</v>
      </c>
      <c r="N3611" s="174">
        <f>IFERROR(表格1[[#This Row],[QTY]]*表格1[[#This Row],[Unit Price]],"-")</f>
        <v>500</v>
      </c>
      <c r="O3611" s="175"/>
      <c r="R3611" s="86" t="str">
        <f>_xlfn.CONCAT(表格1[[#This Row],[Model]]," ",表格1[[#This Row],[inv no]])</f>
        <v xml:space="preserve">MW2-MM24PC(BK) </v>
      </c>
      <c r="S3611" s="86">
        <f>_xlfn.XLOOKUP(表格1[[#This Row],[Model]],表格3[Model-Input-Ref2],表格3[SRP PRICE])</f>
        <v>848</v>
      </c>
      <c r="T3611" s="43">
        <f>表格1[[#This Row],[Unit Price]]/表格1[[#This Row],[SRP]]</f>
        <v>0.589622641509434</v>
      </c>
      <c r="U3611" s="86" t="str">
        <f>_xlfn.XLOOKUP(表格1[[#This Row],[Model]],表格3[Model-Input-Ref2],表格3[TOSHIBA/HIGHEST])</f>
        <v>Toshiba SRP</v>
      </c>
      <c r="W3611" s="86" t="str">
        <f>_xlfn.CONCAT(表格1[[#This Row],[欄4]],表格1[[#This Row],[inv no]])</f>
        <v/>
      </c>
    </row>
    <row r="3612" spans="1:23" hidden="1">
      <c r="A3612" s="81">
        <v>3610</v>
      </c>
      <c r="B3612" s="86" t="s">
        <v>1203</v>
      </c>
      <c r="C3612" s="86" t="s">
        <v>1964</v>
      </c>
      <c r="D3612" s="82" t="str">
        <f ca="1">OFFSET(Roster!$A$3,MATCH(表格1[[#This Row],[Location]]&amp;" "&amp;表格1[[#This Row],[Shop]]&amp;"*",Roster!$A$4:$A$72,0),DAY(表格1[[#This Row],[date]]),1,1)</f>
        <v>Lily Hon</v>
      </c>
      <c r="E3612" s="86">
        <f>MONTH(表格1[[#This Row],[date]])</f>
        <v>3</v>
      </c>
      <c r="F3612" s="90">
        <v>46094</v>
      </c>
      <c r="G3612" s="86" t="str">
        <f>VLOOKUP("*"&amp;表格1[[#This Row],[Input]]&amp;"*",'Ref-List'!$B:$D,2,)</f>
        <v>TWD-BN90GF4H(WK)</v>
      </c>
      <c r="H3612" s="86" t="str">
        <f>_xlfn.XLOOKUP(表格1[[#This Row],[Model]],表格3[Model-Input-Ref2],表格3[Product Line])</f>
        <v>超薄身前置式洗衣乾衣機 (洗8公斤 乾5公斤)</v>
      </c>
      <c r="I3612" s="86" t="str">
        <f>_xlfn.XLOOKUP(表格1[[#This Row],[Model]],表格3[Model-Input-Ref2],表格3[大小電])</f>
        <v>大電</v>
      </c>
      <c r="J3612" s="86" t="str">
        <f>_xlfn.XLOOKUP(表格1[[#This Row],[Model]],表格3[Model-Input-Ref2],表格3[Code])</f>
        <v>WM</v>
      </c>
      <c r="K3612" s="89" t="s">
        <v>1199</v>
      </c>
      <c r="L3612" s="86">
        <v>1</v>
      </c>
      <c r="M3612" s="87">
        <v>3588</v>
      </c>
      <c r="N3612" s="174">
        <f>IFERROR(表格1[[#This Row],[QTY]]*表格1[[#This Row],[Unit Price]],"-")</f>
        <v>3588</v>
      </c>
      <c r="O3612" s="175">
        <v>6157026</v>
      </c>
      <c r="R3612" s="86" t="str">
        <f>_xlfn.CONCAT(表格1[[#This Row],[Model]]," ",表格1[[#This Row],[inv no]])</f>
        <v>TWD-BN90GF4H(WK) 6157026</v>
      </c>
      <c r="S3612" s="86">
        <f>_xlfn.XLOOKUP(表格1[[#This Row],[Model]],表格3[Model-Input-Ref2],表格3[SRP PRICE])</f>
        <v>5980</v>
      </c>
      <c r="T3612" s="43">
        <f>表格1[[#This Row],[Unit Price]]/表格1[[#This Row],[SRP]]</f>
        <v>0.6</v>
      </c>
      <c r="U3612" s="86" t="str">
        <f>_xlfn.XLOOKUP(表格1[[#This Row],[Model]],表格3[Model-Input-Ref2],表格3[TOSHIBA/HIGHEST])</f>
        <v>Toshiba SRP</v>
      </c>
      <c r="W3612" s="86" t="str">
        <f>_xlfn.CONCAT(表格1[[#This Row],[欄4]],表格1[[#This Row],[inv no]])</f>
        <v>6157026</v>
      </c>
    </row>
    <row r="3613" spans="1:23" hidden="1">
      <c r="A3613" s="81">
        <v>3611</v>
      </c>
      <c r="B3613" s="86" t="s">
        <v>1203</v>
      </c>
      <c r="C3613" s="86" t="s">
        <v>1964</v>
      </c>
      <c r="D3613" s="82" t="str">
        <f ca="1">OFFSET(Roster!$A$3,MATCH(表格1[[#This Row],[Location]]&amp;" "&amp;表格1[[#This Row],[Shop]]&amp;"*",Roster!$A$4:$A$72,0),DAY(表格1[[#This Row],[date]]),1,1)</f>
        <v>Lily Hon</v>
      </c>
      <c r="E3613" s="86">
        <f>MONTH(表格1[[#This Row],[date]])</f>
        <v>3</v>
      </c>
      <c r="F3613" s="90">
        <v>46094</v>
      </c>
      <c r="G3613" s="86" t="str">
        <f>VLOOKUP("*"&amp;表格1[[#This Row],[Input]]&amp;"*",'Ref-List'!$B:$D,2,)</f>
        <v>DWS-34AHK</v>
      </c>
      <c r="H3613" s="86" t="str">
        <f>_xlfn.XLOOKUP(表格1[[#This Row],[Model]],表格3[Model-Input-Ref2],表格3[Product Line])</f>
        <v>獨立式免安裝洗碗碟機</v>
      </c>
      <c r="I3613" s="86" t="str">
        <f>_xlfn.XLOOKUP(表格1[[#This Row],[Model]],表格3[Model-Input-Ref2],表格3[大小電])</f>
        <v>細電</v>
      </c>
      <c r="J3613" s="86" t="str">
        <f>_xlfn.XLOOKUP(表格1[[#This Row],[Model]],表格3[Model-Input-Ref2],表格3[Code])</f>
        <v>DM</v>
      </c>
      <c r="K3613" s="89" t="s">
        <v>1240</v>
      </c>
      <c r="L3613" s="86">
        <v>1</v>
      </c>
      <c r="M3613" s="87">
        <v>1500</v>
      </c>
      <c r="N3613" s="174">
        <f>IFERROR(表格1[[#This Row],[QTY]]*表格1[[#This Row],[Unit Price]],"-")</f>
        <v>1500</v>
      </c>
      <c r="O3613" s="175">
        <v>6138775</v>
      </c>
      <c r="R3613" s="86" t="str">
        <f>_xlfn.CONCAT(表格1[[#This Row],[Model]]," ",表格1[[#This Row],[inv no]])</f>
        <v>DWS-34AHK 6138775</v>
      </c>
      <c r="S3613" s="86">
        <f>_xlfn.XLOOKUP(表格1[[#This Row],[Model]],表格3[Model-Input-Ref2],表格3[SRP PRICE])</f>
        <v>3999</v>
      </c>
      <c r="T3613" s="43">
        <f>表格1[[#This Row],[Unit Price]]/表格1[[#This Row],[SRP]]</f>
        <v>0.37509377344336087</v>
      </c>
      <c r="U3613" s="86" t="str">
        <f>_xlfn.XLOOKUP(表格1[[#This Row],[Model]],表格3[Model-Input-Ref2],表格3[TOSHIBA/HIGHEST])</f>
        <v>Web SRP</v>
      </c>
      <c r="W3613" s="86" t="str">
        <f>_xlfn.CONCAT(表格1[[#This Row],[欄4]],表格1[[#This Row],[inv no]])</f>
        <v>6138775</v>
      </c>
    </row>
    <row r="3614" spans="1:23" hidden="1">
      <c r="A3614" s="81">
        <v>3612</v>
      </c>
      <c r="B3614" s="86" t="s">
        <v>1203</v>
      </c>
      <c r="C3614" s="86" t="s">
        <v>1964</v>
      </c>
      <c r="D3614" s="82" t="str">
        <f ca="1">OFFSET(Roster!$A$3,MATCH(表格1[[#This Row],[Location]]&amp;" "&amp;表格1[[#This Row],[Shop]]&amp;"*",Roster!$A$4:$A$72,0),DAY(表格1[[#This Row],[date]]),1,1)</f>
        <v>Lily Hon</v>
      </c>
      <c r="E3614" s="86">
        <f>MONTH(表格1[[#This Row],[date]])</f>
        <v>3</v>
      </c>
      <c r="F3614" s="90">
        <v>46094</v>
      </c>
      <c r="G3614" s="86" t="str">
        <f>VLOOKUP("*"&amp;表格1[[#This Row],[Input]]&amp;"*",'Ref-List'!$B:$D,2,)</f>
        <v>AW-M901BPH(WW)</v>
      </c>
      <c r="H3614" s="86" t="str">
        <f>_xlfn.XLOOKUP(表格1[[#This Row],[Model]],表格3[Model-Input-Ref2],表格3[Product Line])</f>
        <v>全自動洗衣機 (8公斤 結合高低水位)</v>
      </c>
      <c r="I3614" s="86" t="str">
        <f>_xlfn.XLOOKUP(表格1[[#This Row],[Model]],表格3[Model-Input-Ref2],表格3[大小電])</f>
        <v>大電</v>
      </c>
      <c r="J3614" s="86" t="str">
        <f>_xlfn.XLOOKUP(表格1[[#This Row],[Model]],表格3[Model-Input-Ref2],表格3[Code])</f>
        <v>WM</v>
      </c>
      <c r="K3614" s="89" t="s">
        <v>1202</v>
      </c>
      <c r="L3614" s="86">
        <v>1</v>
      </c>
      <c r="M3614" s="87">
        <v>1500</v>
      </c>
      <c r="N3614" s="174">
        <f>IFERROR(表格1[[#This Row],[QTY]]*表格1[[#This Row],[Unit Price]],"-")</f>
        <v>1500</v>
      </c>
      <c r="O3614" s="175">
        <v>6138759</v>
      </c>
      <c r="R3614" s="86" t="str">
        <f>_xlfn.CONCAT(表格1[[#This Row],[Model]]," ",表格1[[#This Row],[inv no]])</f>
        <v>AW-M901BPH(WW) 6138759</v>
      </c>
      <c r="S3614" s="86">
        <f>_xlfn.XLOOKUP(表格1[[#This Row],[Model]],表格3[Model-Input-Ref2],表格3[SRP PRICE])</f>
        <v>3580</v>
      </c>
      <c r="T3614" s="43">
        <f>表格1[[#This Row],[Unit Price]]/表格1[[#This Row],[SRP]]</f>
        <v>0.41899441340782123</v>
      </c>
      <c r="U3614" s="86" t="str">
        <f>_xlfn.XLOOKUP(表格1[[#This Row],[Model]],表格3[Model-Input-Ref2],表格3[TOSHIBA/HIGHEST])</f>
        <v>Toshiba SRP</v>
      </c>
      <c r="W3614" s="86" t="str">
        <f>_xlfn.CONCAT(表格1[[#This Row],[欄4]],表格1[[#This Row],[inv no]])</f>
        <v>6138759</v>
      </c>
    </row>
    <row r="3615" spans="1:23" hidden="1">
      <c r="A3615" s="81">
        <v>3613</v>
      </c>
      <c r="B3615" s="86" t="s">
        <v>1203</v>
      </c>
      <c r="C3615" s="86" t="s">
        <v>1964</v>
      </c>
      <c r="D3615" s="82" t="str">
        <f ca="1">OFFSET(Roster!$A$3,MATCH(表格1[[#This Row],[Location]]&amp;" "&amp;表格1[[#This Row],[Shop]]&amp;"*",Roster!$A$4:$A$72,0),DAY(表格1[[#This Row],[date]]),1,1)</f>
        <v>Lily Hon</v>
      </c>
      <c r="E3615" s="86">
        <f>MONTH(表格1[[#This Row],[date]])</f>
        <v>3</v>
      </c>
      <c r="F3615" s="90">
        <v>46094</v>
      </c>
      <c r="G3615" s="86" t="str">
        <f>VLOOKUP("*"&amp;表格1[[#This Row],[Input]]&amp;"*",'Ref-List'!$B:$D,2,)</f>
        <v>GR-A26HSZ(DS)</v>
      </c>
      <c r="H3615" s="86" t="str">
        <f>_xlfn.XLOOKUP(表格1[[#This Row],[Model]],表格3[Model-Input-Ref2],表格3[Product Line])</f>
        <v>雙門變頻式環保雪櫃</v>
      </c>
      <c r="I3615" s="86" t="str">
        <f>_xlfn.XLOOKUP(表格1[[#This Row],[Model]],表格3[Model-Input-Ref2],表格3[大小電])</f>
        <v>大電</v>
      </c>
      <c r="J3615" s="86" t="str">
        <f>_xlfn.XLOOKUP(表格1[[#This Row],[Model]],表格3[Model-Input-Ref2],表格3[Code])</f>
        <v>AC</v>
      </c>
      <c r="K3615" s="89" t="s">
        <v>1207</v>
      </c>
      <c r="L3615" s="86">
        <v>1</v>
      </c>
      <c r="M3615" s="87">
        <v>1500</v>
      </c>
      <c r="N3615" s="174">
        <f>IFERROR(表格1[[#This Row],[QTY]]*表格1[[#This Row],[Unit Price]],"-")</f>
        <v>1500</v>
      </c>
      <c r="O3615" s="175">
        <v>6157450</v>
      </c>
      <c r="R3615" s="86" t="str">
        <f>_xlfn.CONCAT(表格1[[#This Row],[Model]]," ",表格1[[#This Row],[inv no]])</f>
        <v>GR-A26HSZ(DS) 6157450</v>
      </c>
      <c r="S3615" s="86">
        <f>_xlfn.XLOOKUP(表格1[[#This Row],[Model]],表格3[Model-Input-Ref2],表格3[SRP PRICE])</f>
        <v>3780</v>
      </c>
      <c r="T3615" s="43">
        <f>表格1[[#This Row],[Unit Price]]/表格1[[#This Row],[SRP]]</f>
        <v>0.3968253968253968</v>
      </c>
      <c r="U3615" s="86" t="str">
        <f>_xlfn.XLOOKUP(表格1[[#This Row],[Model]],表格3[Model-Input-Ref2],表格3[TOSHIBA/HIGHEST])</f>
        <v>Toshiba SRP</v>
      </c>
      <c r="W3615" s="86" t="str">
        <f>_xlfn.CONCAT(表格1[[#This Row],[欄4]],表格1[[#This Row],[inv no]])</f>
        <v>6157450</v>
      </c>
    </row>
    <row r="3616" spans="1:23" hidden="1">
      <c r="A3616" s="81">
        <v>3614</v>
      </c>
      <c r="B3616" s="86" t="s">
        <v>1203</v>
      </c>
      <c r="C3616" s="86" t="s">
        <v>1964</v>
      </c>
      <c r="D3616" s="82" t="str">
        <f ca="1">OFFSET(Roster!$A$3,MATCH(表格1[[#This Row],[Location]]&amp;" "&amp;表格1[[#This Row],[Shop]]&amp;"*",Roster!$A$4:$A$72,0),DAY(表格1[[#This Row],[date]]),1,1)</f>
        <v>Lily Hon</v>
      </c>
      <c r="E3616" s="86">
        <f>MONTH(表格1[[#This Row],[date]])</f>
        <v>3</v>
      </c>
      <c r="F3616" s="90">
        <v>46094</v>
      </c>
      <c r="G3616" s="86" t="str">
        <f>VLOOKUP("*"&amp;表格1[[#This Row],[Input]]&amp;"*",'Ref-List'!$B:$D,2,)</f>
        <v>GR-A26HSZ(DS)</v>
      </c>
      <c r="H3616" s="86" t="str">
        <f>_xlfn.XLOOKUP(表格1[[#This Row],[Model]],表格3[Model-Input-Ref2],表格3[Product Line])</f>
        <v>雙門變頻式環保雪櫃</v>
      </c>
      <c r="I3616" s="86" t="str">
        <f>_xlfn.XLOOKUP(表格1[[#This Row],[Model]],表格3[Model-Input-Ref2],表格3[大小電])</f>
        <v>大電</v>
      </c>
      <c r="J3616" s="86" t="str">
        <f>_xlfn.XLOOKUP(表格1[[#This Row],[Model]],表格3[Model-Input-Ref2],表格3[Code])</f>
        <v>AC</v>
      </c>
      <c r="K3616" s="89" t="s">
        <v>1207</v>
      </c>
      <c r="L3616" s="86">
        <v>1</v>
      </c>
      <c r="M3616" s="87">
        <v>1500</v>
      </c>
      <c r="N3616" s="174">
        <f>IFERROR(表格1[[#This Row],[QTY]]*表格1[[#This Row],[Unit Price]],"-")</f>
        <v>1500</v>
      </c>
      <c r="O3616" s="175">
        <v>6138751</v>
      </c>
      <c r="R3616" s="86" t="str">
        <f>_xlfn.CONCAT(表格1[[#This Row],[Model]]," ",表格1[[#This Row],[inv no]])</f>
        <v>GR-A26HSZ(DS) 6138751</v>
      </c>
      <c r="S3616" s="86">
        <f>_xlfn.XLOOKUP(表格1[[#This Row],[Model]],表格3[Model-Input-Ref2],表格3[SRP PRICE])</f>
        <v>3780</v>
      </c>
      <c r="T3616" s="43">
        <f>表格1[[#This Row],[Unit Price]]/表格1[[#This Row],[SRP]]</f>
        <v>0.3968253968253968</v>
      </c>
      <c r="U3616" s="86" t="str">
        <f>_xlfn.XLOOKUP(表格1[[#This Row],[Model]],表格3[Model-Input-Ref2],表格3[TOSHIBA/HIGHEST])</f>
        <v>Toshiba SRP</v>
      </c>
      <c r="W3616" s="86" t="str">
        <f>_xlfn.CONCAT(表格1[[#This Row],[欄4]],表格1[[#This Row],[inv no]])</f>
        <v>6138751</v>
      </c>
    </row>
    <row r="3617" spans="1:23" hidden="1">
      <c r="A3617" s="81">
        <v>3615</v>
      </c>
      <c r="B3617" s="86" t="s">
        <v>1203</v>
      </c>
      <c r="C3617" s="86" t="s">
        <v>1964</v>
      </c>
      <c r="D3617" s="82" t="str">
        <f ca="1">OFFSET(Roster!$A$3,MATCH(表格1[[#This Row],[Location]]&amp;" "&amp;表格1[[#This Row],[Shop]]&amp;"*",Roster!$A$4:$A$72,0),DAY(表格1[[#This Row],[date]]),1,1)</f>
        <v>Lily Hon</v>
      </c>
      <c r="E3617" s="86">
        <f>MONTH(表格1[[#This Row],[date]])</f>
        <v>3</v>
      </c>
      <c r="F3617" s="90">
        <v>46094</v>
      </c>
      <c r="G3617" s="86" t="str">
        <f>VLOOKUP("*"&amp;表格1[[#This Row],[Input]]&amp;"*",'Ref-List'!$B:$D,2,)</f>
        <v>RC-15ISTHK(W)</v>
      </c>
      <c r="H3617" s="86" t="str">
        <f>_xlfn.XLOOKUP(表格1[[#This Row],[Model]],表格3[Model-Input-Ref2],表格3[Product Line])</f>
        <v>磁應電飯煲(1.5公升)</v>
      </c>
      <c r="I3617" s="86" t="str">
        <f>_xlfn.XLOOKUP(表格1[[#This Row],[Model]],表格3[Model-Input-Ref2],表格3[大小電])</f>
        <v>細電</v>
      </c>
      <c r="J3617" s="86" t="str">
        <f>_xlfn.XLOOKUP(表格1[[#This Row],[Model]],表格3[Model-Input-Ref2],表格3[Code])</f>
        <v>SDA</v>
      </c>
      <c r="K3617" s="89" t="s">
        <v>1204</v>
      </c>
      <c r="L3617" s="86">
        <v>1</v>
      </c>
      <c r="M3617" s="87">
        <v>500</v>
      </c>
      <c r="N3617" s="174">
        <f>IFERROR(表格1[[#This Row],[QTY]]*表格1[[#This Row],[Unit Price]],"-")</f>
        <v>500</v>
      </c>
      <c r="O3617" s="175">
        <v>6138766</v>
      </c>
      <c r="R3617" s="86" t="str">
        <f>_xlfn.CONCAT(表格1[[#This Row],[Model]]," ",表格1[[#This Row],[inv no]])</f>
        <v>RC-15ISTHK(W) 6138766</v>
      </c>
      <c r="S3617" s="86">
        <f>_xlfn.XLOOKUP(表格1[[#This Row],[Model]],表格3[Model-Input-Ref2],表格3[SRP PRICE])</f>
        <v>1688</v>
      </c>
      <c r="T3617" s="43">
        <f>表格1[[#This Row],[Unit Price]]/表格1[[#This Row],[SRP]]</f>
        <v>0.29620853080568721</v>
      </c>
      <c r="U3617" s="86" t="str">
        <f>_xlfn.XLOOKUP(表格1[[#This Row],[Model]],表格3[Model-Input-Ref2],表格3[TOSHIBA/HIGHEST])</f>
        <v>Toshiba SRP</v>
      </c>
      <c r="W3617" s="86" t="str">
        <f>_xlfn.CONCAT(表格1[[#This Row],[欄4]],表格1[[#This Row],[inv no]])</f>
        <v>6138766</v>
      </c>
    </row>
    <row r="3618" spans="1:23" hidden="1">
      <c r="A3618" s="81">
        <v>3616</v>
      </c>
      <c r="B3618" s="86" t="s">
        <v>1203</v>
      </c>
      <c r="C3618" s="86" t="s">
        <v>1964</v>
      </c>
      <c r="D3618" s="82" t="str">
        <f ca="1">OFFSET(Roster!$A$3,MATCH(表格1[[#This Row],[Location]]&amp;" "&amp;表格1[[#This Row],[Shop]]&amp;"*",Roster!$A$4:$A$72,0),DAY(表格1[[#This Row],[date]]),1,1)</f>
        <v>Lily Hon</v>
      </c>
      <c r="E3618" s="86">
        <f>MONTH(表格1[[#This Row],[date]])</f>
        <v>3</v>
      </c>
      <c r="F3618" s="90">
        <v>46094</v>
      </c>
      <c r="G3618" s="86" t="str">
        <f>VLOOKUP("*"&amp;表格1[[#This Row],[Input]]&amp;"*",'Ref-List'!$B:$D,2,)</f>
        <v>RC-15ISTHK(W)</v>
      </c>
      <c r="H3618" s="86" t="str">
        <f>_xlfn.XLOOKUP(表格1[[#This Row],[Model]],表格3[Model-Input-Ref2],表格3[Product Line])</f>
        <v>磁應電飯煲(1.5公升)</v>
      </c>
      <c r="I3618" s="86" t="str">
        <f>_xlfn.XLOOKUP(表格1[[#This Row],[Model]],表格3[Model-Input-Ref2],表格3[大小電])</f>
        <v>細電</v>
      </c>
      <c r="J3618" s="86" t="str">
        <f>_xlfn.XLOOKUP(表格1[[#This Row],[Model]],表格3[Model-Input-Ref2],表格3[Code])</f>
        <v>SDA</v>
      </c>
      <c r="K3618" s="89" t="s">
        <v>1204</v>
      </c>
      <c r="L3618" s="86">
        <v>1</v>
      </c>
      <c r="M3618" s="87">
        <v>500</v>
      </c>
      <c r="N3618" s="174">
        <f>IFERROR(表格1[[#This Row],[QTY]]*表格1[[#This Row],[Unit Price]],"-")</f>
        <v>500</v>
      </c>
      <c r="O3618" s="175">
        <v>6157005</v>
      </c>
      <c r="R3618" s="86" t="str">
        <f>_xlfn.CONCAT(表格1[[#This Row],[Model]]," ",表格1[[#This Row],[inv no]])</f>
        <v>RC-15ISTHK(W) 6157005</v>
      </c>
      <c r="S3618" s="86">
        <f>_xlfn.XLOOKUP(表格1[[#This Row],[Model]],表格3[Model-Input-Ref2],表格3[SRP PRICE])</f>
        <v>1688</v>
      </c>
      <c r="T3618" s="43">
        <f>表格1[[#This Row],[Unit Price]]/表格1[[#This Row],[SRP]]</f>
        <v>0.29620853080568721</v>
      </c>
      <c r="U3618" s="86" t="str">
        <f>_xlfn.XLOOKUP(表格1[[#This Row],[Model]],表格3[Model-Input-Ref2],表格3[TOSHIBA/HIGHEST])</f>
        <v>Toshiba SRP</v>
      </c>
      <c r="W3618" s="86" t="str">
        <f>_xlfn.CONCAT(表格1[[#This Row],[欄4]],表格1[[#This Row],[inv no]])</f>
        <v>6157005</v>
      </c>
    </row>
    <row r="3619" spans="1:23" hidden="1">
      <c r="A3619" s="81">
        <v>3617</v>
      </c>
      <c r="B3619" s="86" t="s">
        <v>1203</v>
      </c>
      <c r="C3619" s="86" t="s">
        <v>1964</v>
      </c>
      <c r="D3619" s="82" t="str">
        <f ca="1">OFFSET(Roster!$A$3,MATCH(表格1[[#This Row],[Location]]&amp;" "&amp;表格1[[#This Row],[Shop]]&amp;"*",Roster!$A$4:$A$72,0),DAY(表格1[[#This Row],[date]]),1,1)</f>
        <v>Lily Hon</v>
      </c>
      <c r="E3619" s="86">
        <f>MONTH(表格1[[#This Row],[date]])</f>
        <v>3</v>
      </c>
      <c r="F3619" s="90">
        <v>46094</v>
      </c>
      <c r="G3619" s="86" t="str">
        <f>VLOOKUP("*"&amp;表格1[[#This Row],[Input]]&amp;"*",'Ref-List'!$B:$D,2,)</f>
        <v>IC-21TSHK</v>
      </c>
      <c r="H3619" s="86" t="str">
        <f>_xlfn.XLOOKUP(表格1[[#This Row],[Model]],表格3[Model-Input-Ref2],表格3[Product Line])</f>
        <v>Induction Cooker</v>
      </c>
      <c r="I3619" s="86" t="str">
        <f>_xlfn.XLOOKUP(表格1[[#This Row],[Model]],表格3[Model-Input-Ref2],表格3[大小電])</f>
        <v>細電</v>
      </c>
      <c r="J3619" s="86" t="str">
        <f>_xlfn.XLOOKUP(表格1[[#This Row],[Model]],表格3[Model-Input-Ref2],表格3[Code])</f>
        <v>SDA</v>
      </c>
      <c r="K3619" s="89" t="s">
        <v>1242</v>
      </c>
      <c r="L3619" s="86">
        <v>1</v>
      </c>
      <c r="M3619" s="87">
        <v>500</v>
      </c>
      <c r="N3619" s="174">
        <f>IFERROR(表格1[[#This Row],[QTY]]*表格1[[#This Row],[Unit Price]],"-")</f>
        <v>500</v>
      </c>
      <c r="O3619" s="175">
        <v>6157449</v>
      </c>
      <c r="R3619" s="86" t="str">
        <f>_xlfn.CONCAT(表格1[[#This Row],[Model]]," ",表格1[[#This Row],[inv no]])</f>
        <v>IC-21TSHK 6157449</v>
      </c>
      <c r="S3619" s="86">
        <f>_xlfn.XLOOKUP(表格1[[#This Row],[Model]],表格3[Model-Input-Ref2],表格3[SRP PRICE])</f>
        <v>998</v>
      </c>
      <c r="T3619" s="43">
        <f>表格1[[#This Row],[Unit Price]]/表格1[[#This Row],[SRP]]</f>
        <v>0.50100200400801598</v>
      </c>
      <c r="U3619" s="86" t="str">
        <f>_xlfn.XLOOKUP(表格1[[#This Row],[Model]],表格3[Model-Input-Ref2],表格3[TOSHIBA/HIGHEST])</f>
        <v>web SRP</v>
      </c>
      <c r="W3619" s="86" t="str">
        <f>_xlfn.CONCAT(表格1[[#This Row],[欄4]],表格1[[#This Row],[inv no]])</f>
        <v>6157449</v>
      </c>
    </row>
    <row r="3620" spans="1:23" hidden="1">
      <c r="A3620" s="81">
        <v>3618</v>
      </c>
      <c r="B3620" s="86" t="s">
        <v>1203</v>
      </c>
      <c r="C3620" s="86" t="s">
        <v>1964</v>
      </c>
      <c r="D3620" s="82" t="str">
        <f ca="1">OFFSET(Roster!$A$3,MATCH(表格1[[#This Row],[Location]]&amp;" "&amp;表格1[[#This Row],[Shop]]&amp;"*",Roster!$A$4:$A$72,0),DAY(表格1[[#This Row],[date]]),1,1)</f>
        <v>Lily Hon</v>
      </c>
      <c r="E3620" s="86">
        <f>MONTH(表格1[[#This Row],[date]])</f>
        <v>3</v>
      </c>
      <c r="F3620" s="90">
        <v>46094</v>
      </c>
      <c r="G3620" s="86" t="str">
        <f>VLOOKUP("*"&amp;表格1[[#This Row],[Input]]&amp;"*",'Ref-List'!$B:$D,2,)</f>
        <v>IC-21TSHK</v>
      </c>
      <c r="H3620" s="86" t="str">
        <f>_xlfn.XLOOKUP(表格1[[#This Row],[Model]],表格3[Model-Input-Ref2],表格3[Product Line])</f>
        <v>Induction Cooker</v>
      </c>
      <c r="I3620" s="86" t="str">
        <f>_xlfn.XLOOKUP(表格1[[#This Row],[Model]],表格3[Model-Input-Ref2],表格3[大小電])</f>
        <v>細電</v>
      </c>
      <c r="J3620" s="86" t="str">
        <f>_xlfn.XLOOKUP(表格1[[#This Row],[Model]],表格3[Model-Input-Ref2],表格3[Code])</f>
        <v>SDA</v>
      </c>
      <c r="K3620" s="89" t="s">
        <v>1242</v>
      </c>
      <c r="L3620" s="86">
        <v>1</v>
      </c>
      <c r="M3620" s="87">
        <v>500</v>
      </c>
      <c r="N3620" s="174">
        <f>IFERROR(表格1[[#This Row],[QTY]]*表格1[[#This Row],[Unit Price]],"-")</f>
        <v>500</v>
      </c>
      <c r="O3620" s="175">
        <v>6157197</v>
      </c>
      <c r="R3620" s="86" t="str">
        <f>_xlfn.CONCAT(表格1[[#This Row],[Model]]," ",表格1[[#This Row],[inv no]])</f>
        <v>IC-21TSHK 6157197</v>
      </c>
      <c r="S3620" s="86">
        <f>_xlfn.XLOOKUP(表格1[[#This Row],[Model]],表格3[Model-Input-Ref2],表格3[SRP PRICE])</f>
        <v>998</v>
      </c>
      <c r="T3620" s="43">
        <f>表格1[[#This Row],[Unit Price]]/表格1[[#This Row],[SRP]]</f>
        <v>0.50100200400801598</v>
      </c>
      <c r="U3620" s="86" t="str">
        <f>_xlfn.XLOOKUP(表格1[[#This Row],[Model]],表格3[Model-Input-Ref2],表格3[TOSHIBA/HIGHEST])</f>
        <v>web SRP</v>
      </c>
      <c r="W3620" s="86" t="str">
        <f>_xlfn.CONCAT(表格1[[#This Row],[欄4]],表格1[[#This Row],[inv no]])</f>
        <v>6157197</v>
      </c>
    </row>
    <row r="3621" spans="1:23" hidden="1">
      <c r="A3621" s="81">
        <v>3619</v>
      </c>
      <c r="B3621" s="86" t="s">
        <v>1203</v>
      </c>
      <c r="C3621" s="86" t="s">
        <v>1964</v>
      </c>
      <c r="D3621" s="82" t="str">
        <f ca="1">OFFSET(Roster!$A$3,MATCH(表格1[[#This Row],[Location]]&amp;" "&amp;表格1[[#This Row],[Shop]]&amp;"*",Roster!$A$4:$A$72,0),DAY(表格1[[#This Row],[date]]),1,1)</f>
        <v>Lily Hon</v>
      </c>
      <c r="E3621" s="86">
        <f>MONTH(表格1[[#This Row],[date]])</f>
        <v>3</v>
      </c>
      <c r="F3621" s="90">
        <v>46094</v>
      </c>
      <c r="G3621" s="86" t="str">
        <f>VLOOKUP("*"&amp;表格1[[#This Row],[Input]]&amp;"*",'Ref-List'!$B:$D,2,)</f>
        <v>IC-21TSHK</v>
      </c>
      <c r="H3621" s="86" t="str">
        <f>_xlfn.XLOOKUP(表格1[[#This Row],[Model]],表格3[Model-Input-Ref2],表格3[Product Line])</f>
        <v>Induction Cooker</v>
      </c>
      <c r="I3621" s="86" t="str">
        <f>_xlfn.XLOOKUP(表格1[[#This Row],[Model]],表格3[Model-Input-Ref2],表格3[大小電])</f>
        <v>細電</v>
      </c>
      <c r="J3621" s="86" t="str">
        <f>_xlfn.XLOOKUP(表格1[[#This Row],[Model]],表格3[Model-Input-Ref2],表格3[Code])</f>
        <v>SDA</v>
      </c>
      <c r="K3621" s="89" t="s">
        <v>1242</v>
      </c>
      <c r="L3621" s="86">
        <v>1</v>
      </c>
      <c r="M3621" s="87">
        <v>500</v>
      </c>
      <c r="N3621" s="174">
        <f>IFERROR(表格1[[#This Row],[QTY]]*表格1[[#This Row],[Unit Price]],"-")</f>
        <v>500</v>
      </c>
      <c r="O3621" s="175">
        <v>6157013</v>
      </c>
      <c r="R3621" s="86" t="str">
        <f>_xlfn.CONCAT(表格1[[#This Row],[Model]]," ",表格1[[#This Row],[inv no]])</f>
        <v>IC-21TSHK 6157013</v>
      </c>
      <c r="S3621" s="86">
        <f>_xlfn.XLOOKUP(表格1[[#This Row],[Model]],表格3[Model-Input-Ref2],表格3[SRP PRICE])</f>
        <v>998</v>
      </c>
      <c r="T3621" s="43">
        <f>表格1[[#This Row],[Unit Price]]/表格1[[#This Row],[SRP]]</f>
        <v>0.50100200400801598</v>
      </c>
      <c r="U3621" s="86" t="str">
        <f>_xlfn.XLOOKUP(表格1[[#This Row],[Model]],表格3[Model-Input-Ref2],表格3[TOSHIBA/HIGHEST])</f>
        <v>web SRP</v>
      </c>
      <c r="W3621" s="86" t="str">
        <f>_xlfn.CONCAT(表格1[[#This Row],[欄4]],表格1[[#This Row],[inv no]])</f>
        <v>6157013</v>
      </c>
    </row>
    <row r="3622" spans="1:23" hidden="1">
      <c r="A3622" s="81">
        <v>3620</v>
      </c>
      <c r="B3622" s="86" t="s">
        <v>1203</v>
      </c>
      <c r="C3622" s="86" t="s">
        <v>1964</v>
      </c>
      <c r="D3622" s="82" t="str">
        <f ca="1">OFFSET(Roster!$A$3,MATCH(表格1[[#This Row],[Location]]&amp;" "&amp;表格1[[#This Row],[Shop]]&amp;"*",Roster!$A$4:$A$72,0),DAY(表格1[[#This Row],[date]]),1,1)</f>
        <v>Lily Hon</v>
      </c>
      <c r="E3622" s="86">
        <f>MONTH(表格1[[#This Row],[date]])</f>
        <v>3</v>
      </c>
      <c r="F3622" s="90">
        <v>46094</v>
      </c>
      <c r="G3622" s="86" t="str">
        <f>VLOOKUP("*"&amp;表格1[[#This Row],[Input]]&amp;"*",'Ref-List'!$B:$D,2,)</f>
        <v>MW2-MM24PC(BK)</v>
      </c>
      <c r="H3622" s="86" t="str">
        <f>_xlfn.XLOOKUP(表格1[[#This Row],[Model]],表格3[Model-Input-Ref2],表格3[Product Line])</f>
        <v>旋鈕式微波爐24L</v>
      </c>
      <c r="I3622" s="86" t="str">
        <f>_xlfn.XLOOKUP(表格1[[#This Row],[Model]],表格3[Model-Input-Ref2],表格3[大小電])</f>
        <v>細電</v>
      </c>
      <c r="J3622" s="86" t="str">
        <f>_xlfn.XLOOKUP(表格1[[#This Row],[Model]],表格3[Model-Input-Ref2],表格3[Code])</f>
        <v>SDA</v>
      </c>
      <c r="K3622" s="89" t="s">
        <v>1196</v>
      </c>
      <c r="L3622" s="86">
        <v>1</v>
      </c>
      <c r="M3622" s="87">
        <v>500</v>
      </c>
      <c r="N3622" s="174">
        <f>IFERROR(表格1[[#This Row],[QTY]]*表格1[[#This Row],[Unit Price]],"-")</f>
        <v>500</v>
      </c>
      <c r="O3622" s="175">
        <v>6138758</v>
      </c>
      <c r="R3622" s="86" t="str">
        <f>_xlfn.CONCAT(表格1[[#This Row],[Model]]," ",表格1[[#This Row],[inv no]])</f>
        <v>MW2-MM24PC(BK) 6138758</v>
      </c>
      <c r="S3622" s="86">
        <f>_xlfn.XLOOKUP(表格1[[#This Row],[Model]],表格3[Model-Input-Ref2],表格3[SRP PRICE])</f>
        <v>848</v>
      </c>
      <c r="T3622" s="43">
        <f>表格1[[#This Row],[Unit Price]]/表格1[[#This Row],[SRP]]</f>
        <v>0.589622641509434</v>
      </c>
      <c r="U3622" s="86" t="str">
        <f>_xlfn.XLOOKUP(表格1[[#This Row],[Model]],表格3[Model-Input-Ref2],表格3[TOSHIBA/HIGHEST])</f>
        <v>Toshiba SRP</v>
      </c>
      <c r="W3622" s="86" t="str">
        <f>_xlfn.CONCAT(表格1[[#This Row],[欄4]],表格1[[#This Row],[inv no]])</f>
        <v>6138758</v>
      </c>
    </row>
    <row r="3623" spans="1:23" hidden="1">
      <c r="A3623" s="81">
        <v>3621</v>
      </c>
      <c r="B3623" s="86" t="s">
        <v>1203</v>
      </c>
      <c r="C3623" s="86" t="s">
        <v>1964</v>
      </c>
      <c r="D3623" s="82" t="str">
        <f ca="1">OFFSET(Roster!$A$3,MATCH(表格1[[#This Row],[Location]]&amp;" "&amp;表格1[[#This Row],[Shop]]&amp;"*",Roster!$A$4:$A$72,0),DAY(表格1[[#This Row],[date]]),1,1)</f>
        <v>Lily Hon</v>
      </c>
      <c r="E3623" s="86">
        <f>MONTH(表格1[[#This Row],[date]])</f>
        <v>3</v>
      </c>
      <c r="F3623" s="90">
        <v>46094</v>
      </c>
      <c r="G3623" s="86" t="str">
        <f>VLOOKUP("*"&amp;表格1[[#This Row],[Input]]&amp;"*",'Ref-List'!$B:$D,2,)</f>
        <v>MW2-MM24PC(BK)</v>
      </c>
      <c r="H3623" s="86" t="str">
        <f>_xlfn.XLOOKUP(表格1[[#This Row],[Model]],表格3[Model-Input-Ref2],表格3[Product Line])</f>
        <v>旋鈕式微波爐24L</v>
      </c>
      <c r="I3623" s="86" t="str">
        <f>_xlfn.XLOOKUP(表格1[[#This Row],[Model]],表格3[Model-Input-Ref2],表格3[大小電])</f>
        <v>細電</v>
      </c>
      <c r="J3623" s="86" t="str">
        <f>_xlfn.XLOOKUP(表格1[[#This Row],[Model]],表格3[Model-Input-Ref2],表格3[Code])</f>
        <v>SDA</v>
      </c>
      <c r="K3623" s="89" t="s">
        <v>1196</v>
      </c>
      <c r="L3623" s="86">
        <v>1</v>
      </c>
      <c r="M3623" s="87">
        <v>500</v>
      </c>
      <c r="N3623" s="174">
        <f>IFERROR(表格1[[#This Row],[QTY]]*表格1[[#This Row],[Unit Price]],"-")</f>
        <v>500</v>
      </c>
      <c r="O3623" s="175">
        <v>6157195</v>
      </c>
      <c r="R3623" s="86" t="str">
        <f>_xlfn.CONCAT(表格1[[#This Row],[Model]]," ",表格1[[#This Row],[inv no]])</f>
        <v>MW2-MM24PC(BK) 6157195</v>
      </c>
      <c r="S3623" s="86">
        <f>_xlfn.XLOOKUP(表格1[[#This Row],[Model]],表格3[Model-Input-Ref2],表格3[SRP PRICE])</f>
        <v>848</v>
      </c>
      <c r="T3623" s="43">
        <f>表格1[[#This Row],[Unit Price]]/表格1[[#This Row],[SRP]]</f>
        <v>0.589622641509434</v>
      </c>
      <c r="U3623" s="86" t="str">
        <f>_xlfn.XLOOKUP(表格1[[#This Row],[Model]],表格3[Model-Input-Ref2],表格3[TOSHIBA/HIGHEST])</f>
        <v>Toshiba SRP</v>
      </c>
      <c r="W3623" s="86" t="str">
        <f>_xlfn.CONCAT(表格1[[#This Row],[欄4]],表格1[[#This Row],[inv no]])</f>
        <v>6157195</v>
      </c>
    </row>
    <row r="3624" spans="1:23" hidden="1">
      <c r="A3624" s="81">
        <v>3622</v>
      </c>
      <c r="B3624" s="86" t="s">
        <v>1203</v>
      </c>
      <c r="C3624" s="86" t="s">
        <v>1964</v>
      </c>
      <c r="D3624" s="82" t="str">
        <f ca="1">OFFSET(Roster!$A$3,MATCH(表格1[[#This Row],[Location]]&amp;" "&amp;表格1[[#This Row],[Shop]]&amp;"*",Roster!$A$4:$A$72,0),DAY(表格1[[#This Row],[date]]),1,1)</f>
        <v>Lily Hon</v>
      </c>
      <c r="E3624" s="86">
        <f>MONTH(表格1[[#This Row],[date]])</f>
        <v>3</v>
      </c>
      <c r="F3624" s="90">
        <v>46094</v>
      </c>
      <c r="G3624" s="86" t="str">
        <f>VLOOKUP("*"&amp;表格1[[#This Row],[Input]]&amp;"*",'Ref-List'!$B:$D,2,)</f>
        <v>PLK-45SFIH(WT)</v>
      </c>
      <c r="H3624" s="86" t="str">
        <f>_xlfn.XLOOKUP(表格1[[#This Row],[Model]],表格3[Model-Input-Ref2],表格3[Product Line])</f>
        <v>電熱水瓶4.5L</v>
      </c>
      <c r="I3624" s="86" t="str">
        <f>_xlfn.XLOOKUP(表格1[[#This Row],[Model]],表格3[Model-Input-Ref2],表格3[大小電])</f>
        <v>細電</v>
      </c>
      <c r="J3624" s="86" t="str">
        <f>_xlfn.XLOOKUP(表格1[[#This Row],[Model]],表格3[Model-Input-Ref2],表格3[Code])</f>
        <v>SDA</v>
      </c>
      <c r="K3624" s="89" t="s">
        <v>1117</v>
      </c>
      <c r="L3624" s="86">
        <v>1</v>
      </c>
      <c r="M3624" s="87">
        <v>500</v>
      </c>
      <c r="N3624" s="174">
        <f>IFERROR(表格1[[#This Row],[QTY]]*表格1[[#This Row],[Unit Price]],"-")</f>
        <v>500</v>
      </c>
      <c r="O3624" s="175">
        <v>6157002</v>
      </c>
      <c r="R3624" s="86" t="str">
        <f>_xlfn.CONCAT(表格1[[#This Row],[Model]]," ",表格1[[#This Row],[inv no]])</f>
        <v>PLK-45SFIH(WT) 6157002</v>
      </c>
      <c r="S3624" s="86">
        <f>_xlfn.XLOOKUP(表格1[[#This Row],[Model]],表格3[Model-Input-Ref2],表格3[SRP PRICE])</f>
        <v>788</v>
      </c>
      <c r="T3624" s="43">
        <f>表格1[[#This Row],[Unit Price]]/表格1[[#This Row],[SRP]]</f>
        <v>0.63451776649746194</v>
      </c>
      <c r="U3624" s="86" t="str">
        <f>_xlfn.XLOOKUP(表格1[[#This Row],[Model]],表格3[Model-Input-Ref2],表格3[TOSHIBA/HIGHEST])</f>
        <v>Toshiba SRP</v>
      </c>
      <c r="W3624" s="86" t="str">
        <f>_xlfn.CONCAT(表格1[[#This Row],[欄4]],表格1[[#This Row],[inv no]])</f>
        <v>6157002</v>
      </c>
    </row>
    <row r="3625" spans="1:23" hidden="1">
      <c r="A3625" s="81">
        <v>3623</v>
      </c>
      <c r="B3625" s="86" t="s">
        <v>1203</v>
      </c>
      <c r="C3625" s="86" t="s">
        <v>1964</v>
      </c>
      <c r="D3625" s="82" t="str">
        <f ca="1">OFFSET(Roster!$A$3,MATCH(表格1[[#This Row],[Location]]&amp;" "&amp;表格1[[#This Row],[Shop]]&amp;"*",Roster!$A$4:$A$72,0),DAY(表格1[[#This Row],[date]]),1,1)</f>
        <v>Lily Hon off</v>
      </c>
      <c r="E3625" s="86">
        <f>MONTH(表格1[[#This Row],[date]])</f>
        <v>3</v>
      </c>
      <c r="F3625" s="90">
        <v>46095</v>
      </c>
      <c r="G3625" s="86" t="str">
        <f>VLOOKUP("*"&amp;表格1[[#This Row],[Input]]&amp;"*",'Ref-List'!$B:$D,2,)</f>
        <v>TW-BL85A2H(WW)</v>
      </c>
      <c r="H3625" s="86" t="str">
        <f>_xlfn.XLOOKUP(表格1[[#This Row],[Model]],表格3[Model-Input-Ref2],表格3[Product Line])</f>
        <v>7.5KG超薄身前置式變頻洗衣機</v>
      </c>
      <c r="I3625" s="86" t="str">
        <f>_xlfn.XLOOKUP(表格1[[#This Row],[Model]],表格3[Model-Input-Ref2],表格3[大小電])</f>
        <v>大電</v>
      </c>
      <c r="J3625" s="86" t="str">
        <f>_xlfn.XLOOKUP(表格1[[#This Row],[Model]],表格3[Model-Input-Ref2],表格3[Code])</f>
        <v>WM</v>
      </c>
      <c r="K3625" s="89" t="s">
        <v>1206</v>
      </c>
      <c r="L3625" s="86">
        <v>1</v>
      </c>
      <c r="M3625" s="87">
        <v>2588</v>
      </c>
      <c r="N3625" s="174">
        <f>IFERROR(表格1[[#This Row],[QTY]]*表格1[[#This Row],[Unit Price]],"-")</f>
        <v>2588</v>
      </c>
      <c r="O3625" s="175">
        <v>6157044</v>
      </c>
      <c r="R3625" s="86" t="str">
        <f>_xlfn.CONCAT(表格1[[#This Row],[Model]]," ",表格1[[#This Row],[inv no]])</f>
        <v>TW-BL85A2H(WW) 6157044</v>
      </c>
      <c r="S3625" s="86">
        <f>_xlfn.XLOOKUP(表格1[[#This Row],[Model]],表格3[Model-Input-Ref2],表格3[SRP PRICE])</f>
        <v>5080</v>
      </c>
      <c r="T3625" s="43">
        <f>表格1[[#This Row],[Unit Price]]/表格1[[#This Row],[SRP]]</f>
        <v>0.50944881889763782</v>
      </c>
      <c r="U3625" s="86" t="str">
        <f>_xlfn.XLOOKUP(表格1[[#This Row],[Model]],表格3[Model-Input-Ref2],表格3[TOSHIBA/HIGHEST])</f>
        <v>Toshiba SRP</v>
      </c>
      <c r="W3625" s="86" t="str">
        <f>_xlfn.CONCAT(表格1[[#This Row],[欄4]],表格1[[#This Row],[inv no]])</f>
        <v>6157044</v>
      </c>
    </row>
    <row r="3626" spans="1:23" hidden="1">
      <c r="A3626" s="81">
        <v>3624</v>
      </c>
      <c r="B3626" s="86" t="s">
        <v>1203</v>
      </c>
      <c r="C3626" s="86" t="s">
        <v>1964</v>
      </c>
      <c r="D3626" s="82" t="str">
        <f ca="1">OFFSET(Roster!$A$3,MATCH(表格1[[#This Row],[Location]]&amp;" "&amp;表格1[[#This Row],[Shop]]&amp;"*",Roster!$A$4:$A$72,0),DAY(表格1[[#This Row],[date]]),1,1)</f>
        <v>Lily Hon off</v>
      </c>
      <c r="E3626" s="86">
        <f>MONTH(表格1[[#This Row],[date]])</f>
        <v>3</v>
      </c>
      <c r="F3626" s="90">
        <v>46095</v>
      </c>
      <c r="G3626" s="86" t="str">
        <f>VLOOKUP("*"&amp;表格1[[#This Row],[Input]]&amp;"*",'Ref-List'!$B:$D,2,)</f>
        <v>AW-M901BPH(WW)</v>
      </c>
      <c r="H3626" s="86" t="str">
        <f>_xlfn.XLOOKUP(表格1[[#This Row],[Model]],表格3[Model-Input-Ref2],表格3[Product Line])</f>
        <v>全自動洗衣機 (8公斤 結合高低水位)</v>
      </c>
      <c r="I3626" s="86" t="str">
        <f>_xlfn.XLOOKUP(表格1[[#This Row],[Model]],表格3[Model-Input-Ref2],表格3[大小電])</f>
        <v>大電</v>
      </c>
      <c r="J3626" s="86" t="str">
        <f>_xlfn.XLOOKUP(表格1[[#This Row],[Model]],表格3[Model-Input-Ref2],表格3[Code])</f>
        <v>WM</v>
      </c>
      <c r="K3626" s="89" t="s">
        <v>1202</v>
      </c>
      <c r="L3626" s="86">
        <v>1</v>
      </c>
      <c r="M3626" s="87">
        <v>1500</v>
      </c>
      <c r="N3626" s="174">
        <f>IFERROR(表格1[[#This Row],[QTY]]*表格1[[#This Row],[Unit Price]],"-")</f>
        <v>1500</v>
      </c>
      <c r="O3626" s="175">
        <v>6138879</v>
      </c>
      <c r="R3626" s="86" t="str">
        <f>_xlfn.CONCAT(表格1[[#This Row],[Model]]," ",表格1[[#This Row],[inv no]])</f>
        <v>AW-M901BPH(WW) 6138879</v>
      </c>
      <c r="S3626" s="86">
        <f>_xlfn.XLOOKUP(表格1[[#This Row],[Model]],表格3[Model-Input-Ref2],表格3[SRP PRICE])</f>
        <v>3580</v>
      </c>
      <c r="T3626" s="43">
        <f>表格1[[#This Row],[Unit Price]]/表格1[[#This Row],[SRP]]</f>
        <v>0.41899441340782123</v>
      </c>
      <c r="U3626" s="86" t="str">
        <f>_xlfn.XLOOKUP(表格1[[#This Row],[Model]],表格3[Model-Input-Ref2],表格3[TOSHIBA/HIGHEST])</f>
        <v>Toshiba SRP</v>
      </c>
      <c r="W3626" s="86" t="str">
        <f>_xlfn.CONCAT(表格1[[#This Row],[欄4]],表格1[[#This Row],[inv no]])</f>
        <v>6138879</v>
      </c>
    </row>
    <row r="3627" spans="1:23" hidden="1">
      <c r="A3627" s="81">
        <v>3625</v>
      </c>
      <c r="B3627" s="86" t="s">
        <v>1203</v>
      </c>
      <c r="C3627" s="86" t="s">
        <v>1964</v>
      </c>
      <c r="D3627" s="82" t="str">
        <f ca="1">OFFSET(Roster!$A$3,MATCH(表格1[[#This Row],[Location]]&amp;" "&amp;表格1[[#This Row],[Shop]]&amp;"*",Roster!$A$4:$A$72,0),DAY(表格1[[#This Row],[date]]),1,1)</f>
        <v>Lily Hon off</v>
      </c>
      <c r="E3627" s="86">
        <f>MONTH(表格1[[#This Row],[date]])</f>
        <v>3</v>
      </c>
      <c r="F3627" s="90">
        <v>46095</v>
      </c>
      <c r="G3627" s="86" t="str">
        <f>VLOOKUP("*"&amp;表格1[[#This Row],[Input]]&amp;"*",'Ref-List'!$B:$D,2,)</f>
        <v>AW-M901BPH(WW)</v>
      </c>
      <c r="H3627" s="86" t="str">
        <f>_xlfn.XLOOKUP(表格1[[#This Row],[Model]],表格3[Model-Input-Ref2],表格3[Product Line])</f>
        <v>全自動洗衣機 (8公斤 結合高低水位)</v>
      </c>
      <c r="I3627" s="86" t="str">
        <f>_xlfn.XLOOKUP(表格1[[#This Row],[Model]],表格3[Model-Input-Ref2],表格3[大小電])</f>
        <v>大電</v>
      </c>
      <c r="J3627" s="86" t="str">
        <f>_xlfn.XLOOKUP(表格1[[#This Row],[Model]],表格3[Model-Input-Ref2],表格3[Code])</f>
        <v>WM</v>
      </c>
      <c r="K3627" s="89" t="s">
        <v>1202</v>
      </c>
      <c r="L3627" s="86">
        <v>1</v>
      </c>
      <c r="M3627" s="87">
        <v>1500</v>
      </c>
      <c r="N3627" s="174">
        <f>IFERROR(表格1[[#This Row],[QTY]]*表格1[[#This Row],[Unit Price]],"-")</f>
        <v>1500</v>
      </c>
      <c r="O3627" s="175">
        <v>6157087</v>
      </c>
      <c r="R3627" s="86" t="str">
        <f>_xlfn.CONCAT(表格1[[#This Row],[Model]]," ",表格1[[#This Row],[inv no]])</f>
        <v>AW-M901BPH(WW) 6157087</v>
      </c>
      <c r="S3627" s="86">
        <f>_xlfn.XLOOKUP(表格1[[#This Row],[Model]],表格3[Model-Input-Ref2],表格3[SRP PRICE])</f>
        <v>3580</v>
      </c>
      <c r="T3627" s="43">
        <f>表格1[[#This Row],[Unit Price]]/表格1[[#This Row],[SRP]]</f>
        <v>0.41899441340782123</v>
      </c>
      <c r="U3627" s="86" t="str">
        <f>_xlfn.XLOOKUP(表格1[[#This Row],[Model]],表格3[Model-Input-Ref2],表格3[TOSHIBA/HIGHEST])</f>
        <v>Toshiba SRP</v>
      </c>
      <c r="W3627" s="86" t="str">
        <f>_xlfn.CONCAT(表格1[[#This Row],[欄4]],表格1[[#This Row],[inv no]])</f>
        <v>6157087</v>
      </c>
    </row>
    <row r="3628" spans="1:23" hidden="1">
      <c r="A3628" s="81">
        <v>3626</v>
      </c>
      <c r="B3628" s="86" t="s">
        <v>1203</v>
      </c>
      <c r="C3628" s="86" t="s">
        <v>1964</v>
      </c>
      <c r="D3628" s="82" t="str">
        <f ca="1">OFFSET(Roster!$A$3,MATCH(表格1[[#This Row],[Location]]&amp;" "&amp;表格1[[#This Row],[Shop]]&amp;"*",Roster!$A$4:$A$72,0),DAY(表格1[[#This Row],[date]]),1,1)</f>
        <v>Lily Hon off</v>
      </c>
      <c r="E3628" s="86">
        <f>MONTH(表格1[[#This Row],[date]])</f>
        <v>3</v>
      </c>
      <c r="F3628" s="90">
        <v>46095</v>
      </c>
      <c r="G3628" s="86" t="str">
        <f>VLOOKUP("*"&amp;表格1[[#This Row],[Input]]&amp;"*",'Ref-List'!$B:$D,2,)</f>
        <v>AW-M901BPH(WW)</v>
      </c>
      <c r="H3628" s="86" t="str">
        <f>_xlfn.XLOOKUP(表格1[[#This Row],[Model]],表格3[Model-Input-Ref2],表格3[Product Line])</f>
        <v>全自動洗衣機 (8公斤 結合高低水位)</v>
      </c>
      <c r="I3628" s="86" t="str">
        <f>_xlfn.XLOOKUP(表格1[[#This Row],[Model]],表格3[Model-Input-Ref2],表格3[大小電])</f>
        <v>大電</v>
      </c>
      <c r="J3628" s="86" t="str">
        <f>_xlfn.XLOOKUP(表格1[[#This Row],[Model]],表格3[Model-Input-Ref2],表格3[Code])</f>
        <v>WM</v>
      </c>
      <c r="K3628" s="89" t="s">
        <v>1202</v>
      </c>
      <c r="L3628" s="86">
        <v>1</v>
      </c>
      <c r="M3628" s="87">
        <v>1500</v>
      </c>
      <c r="N3628" s="174">
        <f>IFERROR(表格1[[#This Row],[QTY]]*表格1[[#This Row],[Unit Price]],"-")</f>
        <v>1500</v>
      </c>
      <c r="O3628" s="175">
        <v>6157075</v>
      </c>
      <c r="R3628" s="86" t="str">
        <f>_xlfn.CONCAT(表格1[[#This Row],[Model]]," ",表格1[[#This Row],[inv no]])</f>
        <v>AW-M901BPH(WW) 6157075</v>
      </c>
      <c r="S3628" s="86">
        <f>_xlfn.XLOOKUP(表格1[[#This Row],[Model]],表格3[Model-Input-Ref2],表格3[SRP PRICE])</f>
        <v>3580</v>
      </c>
      <c r="T3628" s="43">
        <f>表格1[[#This Row],[Unit Price]]/表格1[[#This Row],[SRP]]</f>
        <v>0.41899441340782123</v>
      </c>
      <c r="U3628" s="86" t="str">
        <f>_xlfn.XLOOKUP(表格1[[#This Row],[Model]],表格3[Model-Input-Ref2],表格3[TOSHIBA/HIGHEST])</f>
        <v>Toshiba SRP</v>
      </c>
      <c r="W3628" s="86" t="str">
        <f>_xlfn.CONCAT(表格1[[#This Row],[欄4]],表格1[[#This Row],[inv no]])</f>
        <v>6157075</v>
      </c>
    </row>
    <row r="3629" spans="1:23" hidden="1">
      <c r="A3629" s="81">
        <v>3627</v>
      </c>
      <c r="B3629" s="86" t="s">
        <v>1203</v>
      </c>
      <c r="C3629" s="86" t="s">
        <v>1964</v>
      </c>
      <c r="D3629" s="82" t="str">
        <f ca="1">OFFSET(Roster!$A$3,MATCH(表格1[[#This Row],[Location]]&amp;" "&amp;表格1[[#This Row],[Shop]]&amp;"*",Roster!$A$4:$A$72,0),DAY(表格1[[#This Row],[date]]),1,1)</f>
        <v>Lily Hon off</v>
      </c>
      <c r="E3629" s="86">
        <f>MONTH(表格1[[#This Row],[date]])</f>
        <v>3</v>
      </c>
      <c r="F3629" s="90">
        <v>46095</v>
      </c>
      <c r="G3629" s="86" t="str">
        <f>VLOOKUP("*"&amp;表格1[[#This Row],[Input]]&amp;"*",'Ref-List'!$B:$D,2,)</f>
        <v>AW-M901BPH(WW)</v>
      </c>
      <c r="H3629" s="86" t="str">
        <f>_xlfn.XLOOKUP(表格1[[#This Row],[Model]],表格3[Model-Input-Ref2],表格3[Product Line])</f>
        <v>全自動洗衣機 (8公斤 結合高低水位)</v>
      </c>
      <c r="I3629" s="86" t="str">
        <f>_xlfn.XLOOKUP(表格1[[#This Row],[Model]],表格3[Model-Input-Ref2],表格3[大小電])</f>
        <v>大電</v>
      </c>
      <c r="J3629" s="86" t="str">
        <f>_xlfn.XLOOKUP(表格1[[#This Row],[Model]],表格3[Model-Input-Ref2],表格3[Code])</f>
        <v>WM</v>
      </c>
      <c r="K3629" s="89" t="s">
        <v>1202</v>
      </c>
      <c r="L3629" s="86">
        <v>1</v>
      </c>
      <c r="M3629" s="87">
        <v>1500</v>
      </c>
      <c r="N3629" s="174">
        <f>IFERROR(表格1[[#This Row],[QTY]]*表格1[[#This Row],[Unit Price]],"-")</f>
        <v>1500</v>
      </c>
      <c r="O3629" s="175">
        <v>6138858</v>
      </c>
      <c r="R3629" s="86" t="str">
        <f>_xlfn.CONCAT(表格1[[#This Row],[Model]]," ",表格1[[#This Row],[inv no]])</f>
        <v>AW-M901BPH(WW) 6138858</v>
      </c>
      <c r="S3629" s="86">
        <f>_xlfn.XLOOKUP(表格1[[#This Row],[Model]],表格3[Model-Input-Ref2],表格3[SRP PRICE])</f>
        <v>3580</v>
      </c>
      <c r="T3629" s="43">
        <f>表格1[[#This Row],[Unit Price]]/表格1[[#This Row],[SRP]]</f>
        <v>0.41899441340782123</v>
      </c>
      <c r="U3629" s="86" t="str">
        <f>_xlfn.XLOOKUP(表格1[[#This Row],[Model]],表格3[Model-Input-Ref2],表格3[TOSHIBA/HIGHEST])</f>
        <v>Toshiba SRP</v>
      </c>
      <c r="W3629" s="86" t="str">
        <f>_xlfn.CONCAT(表格1[[#This Row],[欄4]],表格1[[#This Row],[inv no]])</f>
        <v>6138858</v>
      </c>
    </row>
    <row r="3630" spans="1:23" hidden="1">
      <c r="A3630" s="81">
        <v>3628</v>
      </c>
      <c r="B3630" s="86" t="s">
        <v>1203</v>
      </c>
      <c r="C3630" s="86" t="s">
        <v>1964</v>
      </c>
      <c r="D3630" s="82" t="str">
        <f ca="1">OFFSET(Roster!$A$3,MATCH(表格1[[#This Row],[Location]]&amp;" "&amp;表格1[[#This Row],[Shop]]&amp;"*",Roster!$A$4:$A$72,0),DAY(表格1[[#This Row],[date]]),1,1)</f>
        <v>Lily Hon off</v>
      </c>
      <c r="E3630" s="86">
        <f>MONTH(表格1[[#This Row],[date]])</f>
        <v>3</v>
      </c>
      <c r="F3630" s="90">
        <v>46095</v>
      </c>
      <c r="G3630" s="86" t="str">
        <f>VLOOKUP("*"&amp;表格1[[#This Row],[Input]]&amp;"*",'Ref-List'!$B:$D,2,)</f>
        <v>GR-RT416WE-PMA(06)</v>
      </c>
      <c r="H3630" s="86" t="str">
        <f>_xlfn.XLOOKUP(表格1[[#This Row],[Model]],表格3[Model-Input-Ref2],表格3[Product Line])</f>
        <v xml:space="preserve">變頻上置式雙門雪櫃313L </v>
      </c>
      <c r="I3630" s="86" t="str">
        <f>_xlfn.XLOOKUP(表格1[[#This Row],[Model]],表格3[Model-Input-Ref2],表格3[大小電])</f>
        <v>大電</v>
      </c>
      <c r="J3630" s="86" t="str">
        <f>_xlfn.XLOOKUP(表格1[[#This Row],[Model]],表格3[Model-Input-Ref2],表格3[Code])</f>
        <v>REF</v>
      </c>
      <c r="K3630" s="89" t="s">
        <v>1208</v>
      </c>
      <c r="L3630" s="86">
        <v>1</v>
      </c>
      <c r="M3630" s="87">
        <v>2888</v>
      </c>
      <c r="N3630" s="174">
        <f>IFERROR(表格1[[#This Row],[QTY]]*表格1[[#This Row],[Unit Price]],"-")</f>
        <v>2888</v>
      </c>
      <c r="O3630" s="175">
        <v>6138895</v>
      </c>
      <c r="R3630" s="86" t="str">
        <f>_xlfn.CONCAT(表格1[[#This Row],[Model]]," ",表格1[[#This Row],[inv no]])</f>
        <v>GR-RT416WE-PMA(06) 6138895</v>
      </c>
      <c r="S3630" s="86">
        <f>_xlfn.XLOOKUP(表格1[[#This Row],[Model]],表格3[Model-Input-Ref2],表格3[SRP PRICE])</f>
        <v>5380</v>
      </c>
      <c r="T3630" s="43">
        <f>表格1[[#This Row],[Unit Price]]/表格1[[#This Row],[SRP]]</f>
        <v>0.53680297397769516</v>
      </c>
      <c r="U3630" s="86" t="str">
        <f>_xlfn.XLOOKUP(表格1[[#This Row],[Model]],表格3[Model-Input-Ref2],表格3[TOSHIBA/HIGHEST])</f>
        <v>Toshiba SRP</v>
      </c>
      <c r="W3630" s="86" t="str">
        <f>_xlfn.CONCAT(表格1[[#This Row],[欄4]],表格1[[#This Row],[inv no]])</f>
        <v>6138895</v>
      </c>
    </row>
    <row r="3631" spans="1:23" hidden="1">
      <c r="A3631" s="81">
        <v>3629</v>
      </c>
      <c r="B3631" s="86" t="s">
        <v>1203</v>
      </c>
      <c r="C3631" s="86" t="s">
        <v>1964</v>
      </c>
      <c r="D3631" s="82" t="str">
        <f ca="1">OFFSET(Roster!$A$3,MATCH(表格1[[#This Row],[Location]]&amp;" "&amp;表格1[[#This Row],[Shop]]&amp;"*",Roster!$A$4:$A$72,0),DAY(表格1[[#This Row],[date]]),1,1)</f>
        <v>Lily Hon off</v>
      </c>
      <c r="E3631" s="86">
        <f>MONTH(表格1[[#This Row],[date]])</f>
        <v>3</v>
      </c>
      <c r="F3631" s="90">
        <v>46095</v>
      </c>
      <c r="G3631" s="86" t="str">
        <f>VLOOKUP("*"&amp;表格1[[#This Row],[Input]]&amp;"*",'Ref-List'!$B:$D,2,)</f>
        <v>CWF-12CRFN8-AD5</v>
      </c>
      <c r="H3631" s="86" t="str">
        <f>_xlfn.XLOOKUP(表格1[[#This Row],[Model]],表格3[Model-Input-Ref2],表格3[Product Line])</f>
        <v>Comfee 1.5匹變頻窗口式冷氣機</v>
      </c>
      <c r="I3631" s="86" t="str">
        <f>_xlfn.XLOOKUP(表格1[[#This Row],[Model]],表格3[Model-Input-Ref2],表格3[大小電])</f>
        <v>大電</v>
      </c>
      <c r="J3631" s="86" t="str">
        <f>_xlfn.XLOOKUP(表格1[[#This Row],[Model]],表格3[Model-Input-Ref2],表格3[Code])</f>
        <v>RAC</v>
      </c>
      <c r="K3631" s="89" t="s">
        <v>1966</v>
      </c>
      <c r="L3631" s="86">
        <v>1</v>
      </c>
      <c r="M3631" s="87">
        <v>3528</v>
      </c>
      <c r="N3631" s="174">
        <f>IFERROR(表格1[[#This Row],[QTY]]*表格1[[#This Row],[Unit Price]],"-")</f>
        <v>3528</v>
      </c>
      <c r="O3631" s="175">
        <v>6138889</v>
      </c>
      <c r="R3631" s="86" t="str">
        <f>_xlfn.CONCAT(表格1[[#This Row],[Model]]," ",表格1[[#This Row],[inv no]])</f>
        <v>CWF-12CRFN8-AD5 6138889</v>
      </c>
      <c r="S3631" s="86">
        <f>_xlfn.XLOOKUP(表格1[[#This Row],[Model]],表格3[Model-Input-Ref2],表格3[SRP PRICE])</f>
        <v>5200</v>
      </c>
      <c r="T3631" s="43">
        <f>表格1[[#This Row],[Unit Price]]/表格1[[#This Row],[SRP]]</f>
        <v>0.67846153846153845</v>
      </c>
      <c r="U3631" s="86" t="str">
        <f>_xlfn.XLOOKUP(表格1[[#This Row],[Model]],表格3[Model-Input-Ref2],表格3[TOSHIBA/HIGHEST])</f>
        <v>Shops Highest Price</v>
      </c>
      <c r="W3631" s="86" t="str">
        <f>_xlfn.CONCAT(表格1[[#This Row],[欄4]],表格1[[#This Row],[inv no]])</f>
        <v>6138889</v>
      </c>
    </row>
    <row r="3632" spans="1:23" hidden="1">
      <c r="A3632" s="81">
        <v>3630</v>
      </c>
      <c r="B3632" s="86" t="s">
        <v>1203</v>
      </c>
      <c r="C3632" s="86" t="s">
        <v>1964</v>
      </c>
      <c r="D3632" s="82" t="str">
        <f ca="1">OFFSET(Roster!$A$3,MATCH(表格1[[#This Row],[Location]]&amp;" "&amp;表格1[[#This Row],[Shop]]&amp;"*",Roster!$A$4:$A$72,0),DAY(表格1[[#This Row],[date]]),1,1)</f>
        <v>Lily Hon off</v>
      </c>
      <c r="E3632" s="86">
        <f>MONTH(表格1[[#This Row],[date]])</f>
        <v>3</v>
      </c>
      <c r="F3632" s="90">
        <v>46095</v>
      </c>
      <c r="G3632" s="86" t="str">
        <f>VLOOKUP("*"&amp;表格1[[#This Row],[Input]]&amp;"*",'Ref-List'!$B:$D,2,)</f>
        <v>TWP-TSR76THK(W)</v>
      </c>
      <c r="H3632" s="86" t="str">
        <f>_xlfn.XLOOKUP(表格1[[#This Row],[Model]],表格3[Model-Input-Ref2],表格3[Product Line])</f>
        <v>RO座檯式飲水機</v>
      </c>
      <c r="I3632" s="86" t="str">
        <f>_xlfn.XLOOKUP(表格1[[#This Row],[Model]],表格3[Model-Input-Ref2],表格3[大小電])</f>
        <v>細電</v>
      </c>
      <c r="J3632" s="86" t="str">
        <f>_xlfn.XLOOKUP(表格1[[#This Row],[Model]],表格3[Model-Input-Ref2],表格3[Code])</f>
        <v>KWH</v>
      </c>
      <c r="K3632" s="89" t="s">
        <v>1197</v>
      </c>
      <c r="L3632" s="86">
        <v>1</v>
      </c>
      <c r="M3632" s="87">
        <v>1500</v>
      </c>
      <c r="N3632" s="174">
        <f>IFERROR(表格1[[#This Row],[QTY]]*表格1[[#This Row],[Unit Price]],"-")</f>
        <v>1500</v>
      </c>
      <c r="O3632" s="175">
        <v>6157055</v>
      </c>
      <c r="R3632" s="86" t="str">
        <f>_xlfn.CONCAT(表格1[[#This Row],[Model]]," ",表格1[[#This Row],[inv no]])</f>
        <v>TWP-TSR76THK(W) 6157055</v>
      </c>
      <c r="S3632" s="86">
        <f>_xlfn.XLOOKUP(表格1[[#This Row],[Model]],表格3[Model-Input-Ref2],表格3[SRP PRICE])</f>
        <v>2680</v>
      </c>
      <c r="T3632" s="43">
        <f>表格1[[#This Row],[Unit Price]]/表格1[[#This Row],[SRP]]</f>
        <v>0.55970149253731338</v>
      </c>
      <c r="U3632" s="86" t="str">
        <f>_xlfn.XLOOKUP(表格1[[#This Row],[Model]],表格3[Model-Input-Ref2],表格3[TOSHIBA/HIGHEST])</f>
        <v>Toshiba SRP</v>
      </c>
      <c r="W3632" s="86" t="str">
        <f>_xlfn.CONCAT(表格1[[#This Row],[欄4]],表格1[[#This Row],[inv no]])</f>
        <v>6157055</v>
      </c>
    </row>
    <row r="3633" spans="1:23" hidden="1">
      <c r="A3633" s="81">
        <v>3631</v>
      </c>
      <c r="B3633" s="86" t="s">
        <v>1203</v>
      </c>
      <c r="C3633" s="86" t="s">
        <v>1964</v>
      </c>
      <c r="D3633" s="82" t="str">
        <f ca="1">OFFSET(Roster!$A$3,MATCH(表格1[[#This Row],[Location]]&amp;" "&amp;表格1[[#This Row],[Shop]]&amp;"*",Roster!$A$4:$A$72,0),DAY(表格1[[#This Row],[date]]),1,1)</f>
        <v>Lily Hon off</v>
      </c>
      <c r="E3633" s="86">
        <f>MONTH(表格1[[#This Row],[date]])</f>
        <v>3</v>
      </c>
      <c r="F3633" s="90">
        <v>46095</v>
      </c>
      <c r="G3633" s="86" t="str">
        <f>VLOOKUP("*"&amp;表格1[[#This Row],[Input]]&amp;"*",'Ref-List'!$B:$D,2,)</f>
        <v>GR-A26HSZ(DS)</v>
      </c>
      <c r="H3633" s="86" t="str">
        <f>_xlfn.XLOOKUP(表格1[[#This Row],[Model]],表格3[Model-Input-Ref2],表格3[Product Line])</f>
        <v>雙門變頻式環保雪櫃</v>
      </c>
      <c r="I3633" s="86" t="str">
        <f>_xlfn.XLOOKUP(表格1[[#This Row],[Model]],表格3[Model-Input-Ref2],表格3[大小電])</f>
        <v>大電</v>
      </c>
      <c r="J3633" s="86" t="str">
        <f>_xlfn.XLOOKUP(表格1[[#This Row],[Model]],表格3[Model-Input-Ref2],表格3[Code])</f>
        <v>AC</v>
      </c>
      <c r="K3633" s="89" t="s">
        <v>1207</v>
      </c>
      <c r="L3633" s="86">
        <v>1</v>
      </c>
      <c r="M3633" s="87">
        <v>1500</v>
      </c>
      <c r="N3633" s="174">
        <f>IFERROR(表格1[[#This Row],[QTY]]*表格1[[#This Row],[Unit Price]],"-")</f>
        <v>1500</v>
      </c>
      <c r="O3633" s="175">
        <v>6157053</v>
      </c>
      <c r="R3633" s="86" t="str">
        <f>_xlfn.CONCAT(表格1[[#This Row],[Model]]," ",表格1[[#This Row],[inv no]])</f>
        <v>GR-A26HSZ(DS) 6157053</v>
      </c>
      <c r="S3633" s="86">
        <f>_xlfn.XLOOKUP(表格1[[#This Row],[Model]],表格3[Model-Input-Ref2],表格3[SRP PRICE])</f>
        <v>3780</v>
      </c>
      <c r="T3633" s="43">
        <f>表格1[[#This Row],[Unit Price]]/表格1[[#This Row],[SRP]]</f>
        <v>0.3968253968253968</v>
      </c>
      <c r="U3633" s="86" t="str">
        <f>_xlfn.XLOOKUP(表格1[[#This Row],[Model]],表格3[Model-Input-Ref2],表格3[TOSHIBA/HIGHEST])</f>
        <v>Toshiba SRP</v>
      </c>
      <c r="W3633" s="86" t="str">
        <f>_xlfn.CONCAT(表格1[[#This Row],[欄4]],表格1[[#This Row],[inv no]])</f>
        <v>6157053</v>
      </c>
    </row>
    <row r="3634" spans="1:23" hidden="1">
      <c r="A3634" s="81">
        <v>3632</v>
      </c>
      <c r="B3634" s="86" t="s">
        <v>1203</v>
      </c>
      <c r="C3634" s="86" t="s">
        <v>1964</v>
      </c>
      <c r="D3634" s="82" t="str">
        <f ca="1">OFFSET(Roster!$A$3,MATCH(表格1[[#This Row],[Location]]&amp;" "&amp;表格1[[#This Row],[Shop]]&amp;"*",Roster!$A$4:$A$72,0),DAY(表格1[[#This Row],[date]]),1,1)</f>
        <v>Lily Hon off</v>
      </c>
      <c r="E3634" s="86">
        <f>MONTH(表格1[[#This Row],[date]])</f>
        <v>3</v>
      </c>
      <c r="F3634" s="90">
        <v>46095</v>
      </c>
      <c r="G3634" s="86" t="str">
        <f>VLOOKUP("*"&amp;表格1[[#This Row],[Input]]&amp;"*",'Ref-List'!$B:$D,2,)</f>
        <v>PLK-45SFIH(WT)</v>
      </c>
      <c r="H3634" s="86" t="str">
        <f>_xlfn.XLOOKUP(表格1[[#This Row],[Model]],表格3[Model-Input-Ref2],表格3[Product Line])</f>
        <v>電熱水瓶4.5L</v>
      </c>
      <c r="I3634" s="86" t="str">
        <f>_xlfn.XLOOKUP(表格1[[#This Row],[Model]],表格3[Model-Input-Ref2],表格3[大小電])</f>
        <v>細電</v>
      </c>
      <c r="J3634" s="86" t="str">
        <f>_xlfn.XLOOKUP(表格1[[#This Row],[Model]],表格3[Model-Input-Ref2],表格3[Code])</f>
        <v>SDA</v>
      </c>
      <c r="K3634" s="89" t="s">
        <v>1117</v>
      </c>
      <c r="L3634" s="86">
        <v>1</v>
      </c>
      <c r="M3634" s="87">
        <v>500</v>
      </c>
      <c r="N3634" s="174">
        <f>IFERROR(表格1[[#This Row],[QTY]]*表格1[[#This Row],[Unit Price]],"-")</f>
        <v>500</v>
      </c>
      <c r="O3634" s="175">
        <v>6157062</v>
      </c>
      <c r="R3634" s="86" t="str">
        <f>_xlfn.CONCAT(表格1[[#This Row],[Model]]," ",表格1[[#This Row],[inv no]])</f>
        <v>PLK-45SFIH(WT) 6157062</v>
      </c>
      <c r="S3634" s="86">
        <f>_xlfn.XLOOKUP(表格1[[#This Row],[Model]],表格3[Model-Input-Ref2],表格3[SRP PRICE])</f>
        <v>788</v>
      </c>
      <c r="T3634" s="43">
        <f>表格1[[#This Row],[Unit Price]]/表格1[[#This Row],[SRP]]</f>
        <v>0.63451776649746194</v>
      </c>
      <c r="U3634" s="86" t="str">
        <f>_xlfn.XLOOKUP(表格1[[#This Row],[Model]],表格3[Model-Input-Ref2],表格3[TOSHIBA/HIGHEST])</f>
        <v>Toshiba SRP</v>
      </c>
      <c r="W3634" s="86" t="str">
        <f>_xlfn.CONCAT(表格1[[#This Row],[欄4]],表格1[[#This Row],[inv no]])</f>
        <v>6157062</v>
      </c>
    </row>
    <row r="3635" spans="1:23" hidden="1">
      <c r="A3635" s="81">
        <v>3633</v>
      </c>
      <c r="B3635" s="86" t="s">
        <v>1203</v>
      </c>
      <c r="C3635" s="86" t="s">
        <v>1964</v>
      </c>
      <c r="D3635" s="82" t="str">
        <f ca="1">OFFSET(Roster!$A$3,MATCH(表格1[[#This Row],[Location]]&amp;" "&amp;表格1[[#This Row],[Shop]]&amp;"*",Roster!$A$4:$A$72,0),DAY(表格1[[#This Row],[date]]),1,1)</f>
        <v>Lily Hon off</v>
      </c>
      <c r="E3635" s="86">
        <f>MONTH(表格1[[#This Row],[date]])</f>
        <v>3</v>
      </c>
      <c r="F3635" s="90">
        <v>46095</v>
      </c>
      <c r="G3635" s="86" t="str">
        <f>VLOOKUP("*"&amp;表格1[[#This Row],[Input]]&amp;"*",'Ref-List'!$B:$D,2,)</f>
        <v>RC-15ISTHK(W)</v>
      </c>
      <c r="H3635" s="86" t="str">
        <f>_xlfn.XLOOKUP(表格1[[#This Row],[Model]],表格3[Model-Input-Ref2],表格3[Product Line])</f>
        <v>磁應電飯煲(1.5公升)</v>
      </c>
      <c r="I3635" s="86" t="str">
        <f>_xlfn.XLOOKUP(表格1[[#This Row],[Model]],表格3[Model-Input-Ref2],表格3[大小電])</f>
        <v>細電</v>
      </c>
      <c r="J3635" s="86" t="str">
        <f>_xlfn.XLOOKUP(表格1[[#This Row],[Model]],表格3[Model-Input-Ref2],表格3[Code])</f>
        <v>SDA</v>
      </c>
      <c r="K3635" s="89" t="s">
        <v>1204</v>
      </c>
      <c r="L3635" s="86">
        <v>1</v>
      </c>
      <c r="M3635" s="87">
        <v>500</v>
      </c>
      <c r="N3635" s="174">
        <f>IFERROR(表格1[[#This Row],[QTY]]*表格1[[#This Row],[Unit Price]],"-")</f>
        <v>500</v>
      </c>
      <c r="O3635" s="175">
        <v>6138856</v>
      </c>
      <c r="R3635" s="86" t="str">
        <f>_xlfn.CONCAT(表格1[[#This Row],[Model]]," ",表格1[[#This Row],[inv no]])</f>
        <v>RC-15ISTHK(W) 6138856</v>
      </c>
      <c r="S3635" s="86">
        <f>_xlfn.XLOOKUP(表格1[[#This Row],[Model]],表格3[Model-Input-Ref2],表格3[SRP PRICE])</f>
        <v>1688</v>
      </c>
      <c r="T3635" s="43">
        <f>表格1[[#This Row],[Unit Price]]/表格1[[#This Row],[SRP]]</f>
        <v>0.29620853080568721</v>
      </c>
      <c r="U3635" s="86" t="str">
        <f>_xlfn.XLOOKUP(表格1[[#This Row],[Model]],表格3[Model-Input-Ref2],表格3[TOSHIBA/HIGHEST])</f>
        <v>Toshiba SRP</v>
      </c>
      <c r="W3635" s="86" t="str">
        <f>_xlfn.CONCAT(表格1[[#This Row],[欄4]],表格1[[#This Row],[inv no]])</f>
        <v>6138856</v>
      </c>
    </row>
    <row r="3636" spans="1:23" hidden="1">
      <c r="A3636" s="81">
        <v>3634</v>
      </c>
      <c r="B3636" s="86" t="s">
        <v>1203</v>
      </c>
      <c r="C3636" s="86" t="s">
        <v>1964</v>
      </c>
      <c r="D3636" s="82" t="str">
        <f ca="1">OFFSET(Roster!$A$3,MATCH(表格1[[#This Row],[Location]]&amp;" "&amp;表格1[[#This Row],[Shop]]&amp;"*",Roster!$A$4:$A$72,0),DAY(表格1[[#This Row],[date]]),1,1)</f>
        <v>Lily Hon off</v>
      </c>
      <c r="E3636" s="86">
        <f>MONTH(表格1[[#This Row],[date]])</f>
        <v>3</v>
      </c>
      <c r="F3636" s="90">
        <v>46095</v>
      </c>
      <c r="G3636" s="86" t="str">
        <f>VLOOKUP("*"&amp;表格1[[#This Row],[Input]]&amp;"*",'Ref-List'!$B:$D,2,)</f>
        <v>RC-15ISTHK(W)</v>
      </c>
      <c r="H3636" s="86" t="str">
        <f>_xlfn.XLOOKUP(表格1[[#This Row],[Model]],表格3[Model-Input-Ref2],表格3[Product Line])</f>
        <v>磁應電飯煲(1.5公升)</v>
      </c>
      <c r="I3636" s="86" t="str">
        <f>_xlfn.XLOOKUP(表格1[[#This Row],[Model]],表格3[Model-Input-Ref2],表格3[大小電])</f>
        <v>細電</v>
      </c>
      <c r="J3636" s="86" t="str">
        <f>_xlfn.XLOOKUP(表格1[[#This Row],[Model]],表格3[Model-Input-Ref2],表格3[Code])</f>
        <v>SDA</v>
      </c>
      <c r="K3636" s="89" t="s">
        <v>1204</v>
      </c>
      <c r="L3636" s="86">
        <v>1</v>
      </c>
      <c r="M3636" s="87">
        <v>500</v>
      </c>
      <c r="N3636" s="174">
        <f>IFERROR(表格1[[#This Row],[QTY]]*表格1[[#This Row],[Unit Price]],"-")</f>
        <v>500</v>
      </c>
      <c r="O3636" s="175">
        <v>6157093</v>
      </c>
      <c r="R3636" s="86" t="str">
        <f>_xlfn.CONCAT(表格1[[#This Row],[Model]]," ",表格1[[#This Row],[inv no]])</f>
        <v>RC-15ISTHK(W) 6157093</v>
      </c>
      <c r="S3636" s="86">
        <f>_xlfn.XLOOKUP(表格1[[#This Row],[Model]],表格3[Model-Input-Ref2],表格3[SRP PRICE])</f>
        <v>1688</v>
      </c>
      <c r="T3636" s="43">
        <f>表格1[[#This Row],[Unit Price]]/表格1[[#This Row],[SRP]]</f>
        <v>0.29620853080568721</v>
      </c>
      <c r="U3636" s="86" t="str">
        <f>_xlfn.XLOOKUP(表格1[[#This Row],[Model]],表格3[Model-Input-Ref2],表格3[TOSHIBA/HIGHEST])</f>
        <v>Toshiba SRP</v>
      </c>
      <c r="W3636" s="86" t="str">
        <f>_xlfn.CONCAT(表格1[[#This Row],[欄4]],表格1[[#This Row],[inv no]])</f>
        <v>6157093</v>
      </c>
    </row>
    <row r="3637" spans="1:23" hidden="1">
      <c r="A3637" s="81">
        <v>3635</v>
      </c>
      <c r="B3637" s="86" t="s">
        <v>1203</v>
      </c>
      <c r="C3637" s="86" t="s">
        <v>1964</v>
      </c>
      <c r="D3637" s="82" t="str">
        <f ca="1">OFFSET(Roster!$A$3,MATCH(表格1[[#This Row],[Location]]&amp;" "&amp;表格1[[#This Row],[Shop]]&amp;"*",Roster!$A$4:$A$72,0),DAY(表格1[[#This Row],[date]]),1,1)</f>
        <v>Lily Hon off</v>
      </c>
      <c r="E3637" s="86">
        <f>MONTH(表格1[[#This Row],[date]])</f>
        <v>3</v>
      </c>
      <c r="F3637" s="90">
        <v>46095</v>
      </c>
      <c r="G3637" s="86" t="str">
        <f>VLOOKUP("*"&amp;表格1[[#This Row],[Input]]&amp;"*",'Ref-List'!$B:$D,2,)</f>
        <v>RC-15ISTHK(W)</v>
      </c>
      <c r="H3637" s="86" t="str">
        <f>_xlfn.XLOOKUP(表格1[[#This Row],[Model]],表格3[Model-Input-Ref2],表格3[Product Line])</f>
        <v>磁應電飯煲(1.5公升)</v>
      </c>
      <c r="I3637" s="86" t="str">
        <f>_xlfn.XLOOKUP(表格1[[#This Row],[Model]],表格3[Model-Input-Ref2],表格3[大小電])</f>
        <v>細電</v>
      </c>
      <c r="J3637" s="86" t="str">
        <f>_xlfn.XLOOKUP(表格1[[#This Row],[Model]],表格3[Model-Input-Ref2],表格3[Code])</f>
        <v>SDA</v>
      </c>
      <c r="K3637" s="89" t="s">
        <v>1204</v>
      </c>
      <c r="L3637" s="86">
        <v>1</v>
      </c>
      <c r="M3637" s="87">
        <v>500</v>
      </c>
      <c r="N3637" s="174">
        <f>IFERROR(表格1[[#This Row],[QTY]]*表格1[[#This Row],[Unit Price]],"-")</f>
        <v>500</v>
      </c>
      <c r="O3637" s="175">
        <v>6138859</v>
      </c>
      <c r="R3637" s="86" t="str">
        <f>_xlfn.CONCAT(表格1[[#This Row],[Model]]," ",表格1[[#This Row],[inv no]])</f>
        <v>RC-15ISTHK(W) 6138859</v>
      </c>
      <c r="S3637" s="86">
        <f>_xlfn.XLOOKUP(表格1[[#This Row],[Model]],表格3[Model-Input-Ref2],表格3[SRP PRICE])</f>
        <v>1688</v>
      </c>
      <c r="T3637" s="43">
        <f>表格1[[#This Row],[Unit Price]]/表格1[[#This Row],[SRP]]</f>
        <v>0.29620853080568721</v>
      </c>
      <c r="U3637" s="86" t="str">
        <f>_xlfn.XLOOKUP(表格1[[#This Row],[Model]],表格3[Model-Input-Ref2],表格3[TOSHIBA/HIGHEST])</f>
        <v>Toshiba SRP</v>
      </c>
      <c r="W3637" s="86" t="str">
        <f>_xlfn.CONCAT(表格1[[#This Row],[欄4]],表格1[[#This Row],[inv no]])</f>
        <v>6138859</v>
      </c>
    </row>
    <row r="3638" spans="1:23" hidden="1">
      <c r="A3638" s="81">
        <v>3636</v>
      </c>
      <c r="B3638" s="86" t="s">
        <v>1203</v>
      </c>
      <c r="C3638" s="86" t="s">
        <v>1964</v>
      </c>
      <c r="D3638" s="82" t="str">
        <f ca="1">OFFSET(Roster!$A$3,MATCH(表格1[[#This Row],[Location]]&amp;" "&amp;表格1[[#This Row],[Shop]]&amp;"*",Roster!$A$4:$A$72,0),DAY(表格1[[#This Row],[date]]),1,1)</f>
        <v>Lily Hon off</v>
      </c>
      <c r="E3638" s="86">
        <f>MONTH(表格1[[#This Row],[date]])</f>
        <v>3</v>
      </c>
      <c r="F3638" s="90">
        <v>46095</v>
      </c>
      <c r="G3638" s="86" t="str">
        <f>VLOOKUP("*"&amp;表格1[[#This Row],[Input]]&amp;"*",'Ref-List'!$B:$D,2,)</f>
        <v>RC-15ISTHK(W)</v>
      </c>
      <c r="H3638" s="86" t="str">
        <f>_xlfn.XLOOKUP(表格1[[#This Row],[Model]],表格3[Model-Input-Ref2],表格3[Product Line])</f>
        <v>磁應電飯煲(1.5公升)</v>
      </c>
      <c r="I3638" s="86" t="str">
        <f>_xlfn.XLOOKUP(表格1[[#This Row],[Model]],表格3[Model-Input-Ref2],表格3[大小電])</f>
        <v>細電</v>
      </c>
      <c r="J3638" s="86" t="str">
        <f>_xlfn.XLOOKUP(表格1[[#This Row],[Model]],表格3[Model-Input-Ref2],表格3[Code])</f>
        <v>SDA</v>
      </c>
      <c r="K3638" s="89" t="s">
        <v>1204</v>
      </c>
      <c r="L3638" s="86">
        <v>1</v>
      </c>
      <c r="M3638" s="87">
        <v>500</v>
      </c>
      <c r="N3638" s="174">
        <f>IFERROR(表格1[[#This Row],[QTY]]*表格1[[#This Row],[Unit Price]],"-")</f>
        <v>500</v>
      </c>
      <c r="O3638" s="175">
        <v>6157259</v>
      </c>
      <c r="R3638" s="86" t="str">
        <f>_xlfn.CONCAT(表格1[[#This Row],[Model]]," ",表格1[[#This Row],[inv no]])</f>
        <v>RC-15ISTHK(W) 6157259</v>
      </c>
      <c r="S3638" s="86">
        <f>_xlfn.XLOOKUP(表格1[[#This Row],[Model]],表格3[Model-Input-Ref2],表格3[SRP PRICE])</f>
        <v>1688</v>
      </c>
      <c r="T3638" s="43">
        <f>表格1[[#This Row],[Unit Price]]/表格1[[#This Row],[SRP]]</f>
        <v>0.29620853080568721</v>
      </c>
      <c r="U3638" s="86" t="str">
        <f>_xlfn.XLOOKUP(表格1[[#This Row],[Model]],表格3[Model-Input-Ref2],表格3[TOSHIBA/HIGHEST])</f>
        <v>Toshiba SRP</v>
      </c>
      <c r="W3638" s="86" t="str">
        <f>_xlfn.CONCAT(表格1[[#This Row],[欄4]],表格1[[#This Row],[inv no]])</f>
        <v>6157259</v>
      </c>
    </row>
    <row r="3639" spans="1:23" hidden="1">
      <c r="A3639" s="81">
        <v>3637</v>
      </c>
      <c r="B3639" s="86" t="s">
        <v>1203</v>
      </c>
      <c r="C3639" s="86" t="s">
        <v>1964</v>
      </c>
      <c r="D3639" s="82" t="str">
        <f ca="1">OFFSET(Roster!$A$3,MATCH(表格1[[#This Row],[Location]]&amp;" "&amp;表格1[[#This Row],[Shop]]&amp;"*",Roster!$A$4:$A$72,0),DAY(表格1[[#This Row],[date]]),1,1)</f>
        <v>Lily Hon off</v>
      </c>
      <c r="E3639" s="86">
        <f>MONTH(表格1[[#This Row],[date]])</f>
        <v>3</v>
      </c>
      <c r="F3639" s="90">
        <v>46095</v>
      </c>
      <c r="G3639" s="86" t="str">
        <f>VLOOKUP("*"&amp;表格1[[#This Row],[Input]]&amp;"*",'Ref-List'!$B:$D,2,)</f>
        <v>RC-15ISTHK(W)</v>
      </c>
      <c r="H3639" s="86" t="str">
        <f>_xlfn.XLOOKUP(表格1[[#This Row],[Model]],表格3[Model-Input-Ref2],表格3[Product Line])</f>
        <v>磁應電飯煲(1.5公升)</v>
      </c>
      <c r="I3639" s="86" t="str">
        <f>_xlfn.XLOOKUP(表格1[[#This Row],[Model]],表格3[Model-Input-Ref2],表格3[大小電])</f>
        <v>細電</v>
      </c>
      <c r="J3639" s="86" t="str">
        <f>_xlfn.XLOOKUP(表格1[[#This Row],[Model]],表格3[Model-Input-Ref2],表格3[Code])</f>
        <v>SDA</v>
      </c>
      <c r="K3639" s="89" t="s">
        <v>1204</v>
      </c>
      <c r="L3639" s="86">
        <v>1</v>
      </c>
      <c r="M3639" s="87">
        <v>500</v>
      </c>
      <c r="N3639" s="174">
        <f>IFERROR(表格1[[#This Row],[QTY]]*表格1[[#This Row],[Unit Price]],"-")</f>
        <v>500</v>
      </c>
      <c r="O3639" s="175">
        <v>6138880</v>
      </c>
      <c r="R3639" s="86" t="str">
        <f>_xlfn.CONCAT(表格1[[#This Row],[Model]]," ",表格1[[#This Row],[inv no]])</f>
        <v>RC-15ISTHK(W) 6138880</v>
      </c>
      <c r="S3639" s="86">
        <f>_xlfn.XLOOKUP(表格1[[#This Row],[Model]],表格3[Model-Input-Ref2],表格3[SRP PRICE])</f>
        <v>1688</v>
      </c>
      <c r="T3639" s="43">
        <f>表格1[[#This Row],[Unit Price]]/表格1[[#This Row],[SRP]]</f>
        <v>0.29620853080568721</v>
      </c>
      <c r="U3639" s="86" t="str">
        <f>_xlfn.XLOOKUP(表格1[[#This Row],[Model]],表格3[Model-Input-Ref2],表格3[TOSHIBA/HIGHEST])</f>
        <v>Toshiba SRP</v>
      </c>
      <c r="W3639" s="86" t="str">
        <f>_xlfn.CONCAT(表格1[[#This Row],[欄4]],表格1[[#This Row],[inv no]])</f>
        <v>6138880</v>
      </c>
    </row>
    <row r="3640" spans="1:23" hidden="1">
      <c r="A3640" s="81">
        <v>3638</v>
      </c>
      <c r="B3640" s="86" t="s">
        <v>1203</v>
      </c>
      <c r="C3640" s="86" t="s">
        <v>1964</v>
      </c>
      <c r="D3640" s="82" t="str">
        <f ca="1">OFFSET(Roster!$A$3,MATCH(表格1[[#This Row],[Location]]&amp;" "&amp;表格1[[#This Row],[Shop]]&amp;"*",Roster!$A$4:$A$72,0),DAY(表格1[[#This Row],[date]]),1,1)</f>
        <v>Lily Hon off</v>
      </c>
      <c r="E3640" s="86">
        <f>MONTH(表格1[[#This Row],[date]])</f>
        <v>3</v>
      </c>
      <c r="F3640" s="90">
        <v>46095</v>
      </c>
      <c r="G3640" s="86" t="str">
        <f>VLOOKUP("*"&amp;表格1[[#This Row],[Input]]&amp;"*",'Ref-List'!$B:$D,2,)</f>
        <v>RC-15ISTHK(W)</v>
      </c>
      <c r="H3640" s="86" t="str">
        <f>_xlfn.XLOOKUP(表格1[[#This Row],[Model]],表格3[Model-Input-Ref2],表格3[Product Line])</f>
        <v>磁應電飯煲(1.5公升)</v>
      </c>
      <c r="I3640" s="86" t="str">
        <f>_xlfn.XLOOKUP(表格1[[#This Row],[Model]],表格3[Model-Input-Ref2],表格3[大小電])</f>
        <v>細電</v>
      </c>
      <c r="J3640" s="86" t="str">
        <f>_xlfn.XLOOKUP(表格1[[#This Row],[Model]],表格3[Model-Input-Ref2],表格3[Code])</f>
        <v>SDA</v>
      </c>
      <c r="K3640" s="89" t="s">
        <v>1204</v>
      </c>
      <c r="L3640" s="86">
        <v>1</v>
      </c>
      <c r="M3640" s="87">
        <v>500</v>
      </c>
      <c r="N3640" s="174">
        <f>IFERROR(表格1[[#This Row],[QTY]]*表格1[[#This Row],[Unit Price]],"-")</f>
        <v>500</v>
      </c>
      <c r="O3640" s="175">
        <v>6157043</v>
      </c>
      <c r="R3640" s="86" t="str">
        <f>_xlfn.CONCAT(表格1[[#This Row],[Model]]," ",表格1[[#This Row],[inv no]])</f>
        <v>RC-15ISTHK(W) 6157043</v>
      </c>
      <c r="S3640" s="86">
        <f>_xlfn.XLOOKUP(表格1[[#This Row],[Model]],表格3[Model-Input-Ref2],表格3[SRP PRICE])</f>
        <v>1688</v>
      </c>
      <c r="T3640" s="43">
        <f>表格1[[#This Row],[Unit Price]]/表格1[[#This Row],[SRP]]</f>
        <v>0.29620853080568721</v>
      </c>
      <c r="U3640" s="86" t="str">
        <f>_xlfn.XLOOKUP(表格1[[#This Row],[Model]],表格3[Model-Input-Ref2],表格3[TOSHIBA/HIGHEST])</f>
        <v>Toshiba SRP</v>
      </c>
      <c r="W3640" s="86" t="str">
        <f>_xlfn.CONCAT(表格1[[#This Row],[欄4]],表格1[[#This Row],[inv no]])</f>
        <v>6157043</v>
      </c>
    </row>
    <row r="3641" spans="1:23" hidden="1">
      <c r="A3641" s="81">
        <v>3639</v>
      </c>
      <c r="B3641" s="86" t="s">
        <v>1203</v>
      </c>
      <c r="C3641" s="86" t="s">
        <v>1964</v>
      </c>
      <c r="D3641" s="82" t="str">
        <f ca="1">OFFSET(Roster!$A$3,MATCH(表格1[[#This Row],[Location]]&amp;" "&amp;表格1[[#This Row],[Shop]]&amp;"*",Roster!$A$4:$A$72,0),DAY(表格1[[#This Row],[date]]),1,1)</f>
        <v>Lily Hon off</v>
      </c>
      <c r="E3641" s="86">
        <f>MONTH(表格1[[#This Row],[date]])</f>
        <v>3</v>
      </c>
      <c r="F3641" s="90">
        <v>46095</v>
      </c>
      <c r="G3641" s="86" t="str">
        <f>VLOOKUP("*"&amp;表格1[[#This Row],[Input]]&amp;"*",'Ref-List'!$B:$D,2,)</f>
        <v>MW2-MM24PC(BK)</v>
      </c>
      <c r="H3641" s="86" t="str">
        <f>_xlfn.XLOOKUP(表格1[[#This Row],[Model]],表格3[Model-Input-Ref2],表格3[Product Line])</f>
        <v>旋鈕式微波爐24L</v>
      </c>
      <c r="I3641" s="86" t="str">
        <f>_xlfn.XLOOKUP(表格1[[#This Row],[Model]],表格3[Model-Input-Ref2],表格3[大小電])</f>
        <v>細電</v>
      </c>
      <c r="J3641" s="86" t="str">
        <f>_xlfn.XLOOKUP(表格1[[#This Row],[Model]],表格3[Model-Input-Ref2],表格3[Code])</f>
        <v>SDA</v>
      </c>
      <c r="K3641" s="89" t="s">
        <v>1196</v>
      </c>
      <c r="L3641" s="86">
        <v>1</v>
      </c>
      <c r="M3641" s="87">
        <v>500</v>
      </c>
      <c r="N3641" s="174">
        <f>IFERROR(表格1[[#This Row],[QTY]]*表格1[[#This Row],[Unit Price]],"-")</f>
        <v>500</v>
      </c>
      <c r="O3641" s="175">
        <v>6157076</v>
      </c>
      <c r="R3641" s="86" t="str">
        <f>_xlfn.CONCAT(表格1[[#This Row],[Model]]," ",表格1[[#This Row],[inv no]])</f>
        <v>MW2-MM24PC(BK) 6157076</v>
      </c>
      <c r="S3641" s="86">
        <f>_xlfn.XLOOKUP(表格1[[#This Row],[Model]],表格3[Model-Input-Ref2],表格3[SRP PRICE])</f>
        <v>848</v>
      </c>
      <c r="T3641" s="43">
        <f>表格1[[#This Row],[Unit Price]]/表格1[[#This Row],[SRP]]</f>
        <v>0.589622641509434</v>
      </c>
      <c r="U3641" s="86" t="str">
        <f>_xlfn.XLOOKUP(表格1[[#This Row],[Model]],表格3[Model-Input-Ref2],表格3[TOSHIBA/HIGHEST])</f>
        <v>Toshiba SRP</v>
      </c>
      <c r="W3641" s="86" t="str">
        <f>_xlfn.CONCAT(表格1[[#This Row],[欄4]],表格1[[#This Row],[inv no]])</f>
        <v>6157076</v>
      </c>
    </row>
    <row r="3642" spans="1:23" hidden="1">
      <c r="A3642" s="81">
        <v>3640</v>
      </c>
      <c r="B3642" s="86" t="s">
        <v>1203</v>
      </c>
      <c r="C3642" s="86" t="s">
        <v>1964</v>
      </c>
      <c r="D3642" s="82" t="str">
        <f ca="1">OFFSET(Roster!$A$3,MATCH(表格1[[#This Row],[Location]]&amp;" "&amp;表格1[[#This Row],[Shop]]&amp;"*",Roster!$A$4:$A$72,0),DAY(表格1[[#This Row],[date]]),1,1)</f>
        <v>Lily Hon off</v>
      </c>
      <c r="E3642" s="86">
        <f>MONTH(表格1[[#This Row],[date]])</f>
        <v>3</v>
      </c>
      <c r="F3642" s="90">
        <v>46095</v>
      </c>
      <c r="G3642" s="86" t="str">
        <f>VLOOKUP("*"&amp;表格1[[#This Row],[Input]]&amp;"*",'Ref-List'!$B:$D,2,)</f>
        <v>RC-15ISTHK(W)</v>
      </c>
      <c r="H3642" s="86" t="str">
        <f>_xlfn.XLOOKUP(表格1[[#This Row],[Model]],表格3[Model-Input-Ref2],表格3[Product Line])</f>
        <v>磁應電飯煲(1.5公升)</v>
      </c>
      <c r="I3642" s="86" t="str">
        <f>_xlfn.XLOOKUP(表格1[[#This Row],[Model]],表格3[Model-Input-Ref2],表格3[大小電])</f>
        <v>細電</v>
      </c>
      <c r="J3642" s="86" t="str">
        <f>_xlfn.XLOOKUP(表格1[[#This Row],[Model]],表格3[Model-Input-Ref2],表格3[Code])</f>
        <v>SDA</v>
      </c>
      <c r="K3642" s="89" t="s">
        <v>1204</v>
      </c>
      <c r="L3642" s="86">
        <v>1</v>
      </c>
      <c r="M3642" s="87">
        <v>500</v>
      </c>
      <c r="N3642" s="174">
        <f>IFERROR(表格1[[#This Row],[QTY]]*表格1[[#This Row],[Unit Price]],"-")</f>
        <v>500</v>
      </c>
      <c r="O3642" s="175">
        <v>6157098</v>
      </c>
      <c r="R3642" s="86" t="str">
        <f>_xlfn.CONCAT(表格1[[#This Row],[Model]]," ",表格1[[#This Row],[inv no]])</f>
        <v>RC-15ISTHK(W) 6157098</v>
      </c>
      <c r="S3642" s="86">
        <f>_xlfn.XLOOKUP(表格1[[#This Row],[Model]],表格3[Model-Input-Ref2],表格3[SRP PRICE])</f>
        <v>1688</v>
      </c>
      <c r="T3642" s="43">
        <f>表格1[[#This Row],[Unit Price]]/表格1[[#This Row],[SRP]]</f>
        <v>0.29620853080568721</v>
      </c>
      <c r="U3642" s="86" t="str">
        <f>_xlfn.XLOOKUP(表格1[[#This Row],[Model]],表格3[Model-Input-Ref2],表格3[TOSHIBA/HIGHEST])</f>
        <v>Toshiba SRP</v>
      </c>
      <c r="W3642" s="86" t="str">
        <f>_xlfn.CONCAT(表格1[[#This Row],[欄4]],表格1[[#This Row],[inv no]])</f>
        <v>6157098</v>
      </c>
    </row>
    <row r="3643" spans="1:23" hidden="1">
      <c r="A3643" s="81">
        <v>3641</v>
      </c>
      <c r="B3643" s="86" t="s">
        <v>1203</v>
      </c>
      <c r="C3643" s="86" t="s">
        <v>1964</v>
      </c>
      <c r="D3643" s="82" t="str">
        <f ca="1">OFFSET(Roster!$A$3,MATCH(表格1[[#This Row],[Location]]&amp;" "&amp;表格1[[#This Row],[Shop]]&amp;"*",Roster!$A$4:$A$72,0),DAY(表格1[[#This Row],[date]]),1,1)</f>
        <v>Lily Hon off</v>
      </c>
      <c r="E3643" s="86">
        <f>MONTH(表格1[[#This Row],[date]])</f>
        <v>3</v>
      </c>
      <c r="F3643" s="90">
        <v>46096</v>
      </c>
      <c r="G3643" s="86" t="str">
        <f>VLOOKUP("*"&amp;表格1[[#This Row],[Input]]&amp;"*",'Ref-List'!$B:$D,2,)</f>
        <v>Model-Input-Ref2</v>
      </c>
      <c r="H3643" s="86" t="e">
        <f>_xlfn.XLOOKUP(表格1[[#This Row],[Model]],表格3[Model-Input-Ref2],表格3[Product Line])</f>
        <v>#N/A</v>
      </c>
      <c r="I3643" s="86" t="e">
        <f>_xlfn.XLOOKUP(表格1[[#This Row],[Model]],表格3[Model-Input-Ref2],表格3[大小電])</f>
        <v>#N/A</v>
      </c>
      <c r="J3643" s="86" t="e">
        <f>_xlfn.XLOOKUP(表格1[[#This Row],[Model]],表格3[Model-Input-Ref2],表格3[Code])</f>
        <v>#N/A</v>
      </c>
      <c r="N3643" s="174">
        <f>IFERROR(表格1[[#This Row],[QTY]]*表格1[[#This Row],[Unit Price]],"-")</f>
        <v>0</v>
      </c>
      <c r="O3643" s="175"/>
      <c r="P3643" s="86" t="s">
        <v>2100</v>
      </c>
      <c r="R3643" s="86" t="str">
        <f>_xlfn.CONCAT(表格1[[#This Row],[Model]]," ",表格1[[#This Row],[inv no]])</f>
        <v xml:space="preserve">Model-Input-Ref2 </v>
      </c>
      <c r="S3643" s="86" t="e">
        <f>_xlfn.XLOOKUP(表格1[[#This Row],[Model]],表格3[Model-Input-Ref2],表格3[SRP PRICE])</f>
        <v>#N/A</v>
      </c>
      <c r="T3643" s="43" t="e">
        <f>表格1[[#This Row],[Unit Price]]/表格1[[#This Row],[SRP]]</f>
        <v>#N/A</v>
      </c>
      <c r="U3643" s="86" t="e">
        <f>_xlfn.XLOOKUP(表格1[[#This Row],[Model]],表格3[Model-Input-Ref2],表格3[TOSHIBA/HIGHEST])</f>
        <v>#N/A</v>
      </c>
      <c r="W3643" s="86" t="str">
        <f>_xlfn.CONCAT(表格1[[#This Row],[欄4]],表格1[[#This Row],[inv no]])</f>
        <v/>
      </c>
    </row>
    <row r="3644" spans="1:23" hidden="1">
      <c r="A3644" s="81">
        <v>3642</v>
      </c>
      <c r="B3644" s="86" t="s">
        <v>1203</v>
      </c>
      <c r="C3644" s="86" t="s">
        <v>1964</v>
      </c>
      <c r="D3644" s="82" t="str">
        <f ca="1">OFFSET(Roster!$A$3,MATCH(表格1[[#This Row],[Location]]&amp;" "&amp;表格1[[#This Row],[Shop]]&amp;"*",Roster!$A$4:$A$72,0),DAY(表格1[[#This Row],[date]]),1,1)</f>
        <v>Lily Hon off</v>
      </c>
      <c r="E3644" s="86">
        <f>MONTH(表格1[[#This Row],[date]])</f>
        <v>3</v>
      </c>
      <c r="F3644" s="90">
        <v>46096</v>
      </c>
      <c r="G3644" s="86" t="str">
        <f>VLOOKUP("*"&amp;表格1[[#This Row],[Input]]&amp;"*",'Ref-List'!$B:$D,2,)</f>
        <v>DWS-34AHK</v>
      </c>
      <c r="H3644" s="86" t="str">
        <f>_xlfn.XLOOKUP(表格1[[#This Row],[Model]],表格3[Model-Input-Ref2],表格3[Product Line])</f>
        <v>獨立式免安裝洗碗碟機</v>
      </c>
      <c r="I3644" s="86" t="str">
        <f>_xlfn.XLOOKUP(表格1[[#This Row],[Model]],表格3[Model-Input-Ref2],表格3[大小電])</f>
        <v>細電</v>
      </c>
      <c r="J3644" s="86" t="str">
        <f>_xlfn.XLOOKUP(表格1[[#This Row],[Model]],表格3[Model-Input-Ref2],表格3[Code])</f>
        <v>DM</v>
      </c>
      <c r="K3644" s="89" t="s">
        <v>1240</v>
      </c>
      <c r="L3644" s="86">
        <v>1</v>
      </c>
      <c r="M3644" s="87">
        <v>1500</v>
      </c>
      <c r="N3644" s="174">
        <f>IFERROR(表格1[[#This Row],[QTY]]*表格1[[#This Row],[Unit Price]],"-")</f>
        <v>1500</v>
      </c>
      <c r="O3644" s="175">
        <v>6138829</v>
      </c>
      <c r="R3644" s="86" t="str">
        <f>_xlfn.CONCAT(表格1[[#This Row],[Model]]," ",表格1[[#This Row],[inv no]])</f>
        <v>DWS-34AHK 6138829</v>
      </c>
      <c r="S3644" s="86">
        <f>_xlfn.XLOOKUP(表格1[[#This Row],[Model]],表格3[Model-Input-Ref2],表格3[SRP PRICE])</f>
        <v>3999</v>
      </c>
      <c r="T3644" s="43">
        <f>表格1[[#This Row],[Unit Price]]/表格1[[#This Row],[SRP]]</f>
        <v>0.37509377344336087</v>
      </c>
      <c r="U3644" s="86" t="str">
        <f>_xlfn.XLOOKUP(表格1[[#This Row],[Model]],表格3[Model-Input-Ref2],表格3[TOSHIBA/HIGHEST])</f>
        <v>Web SRP</v>
      </c>
      <c r="W3644" s="86" t="str">
        <f>_xlfn.CONCAT(表格1[[#This Row],[欄4]],表格1[[#This Row],[inv no]])</f>
        <v>6138829</v>
      </c>
    </row>
    <row r="3645" spans="1:23" hidden="1">
      <c r="A3645" s="81">
        <v>3643</v>
      </c>
      <c r="B3645" s="86" t="s">
        <v>1203</v>
      </c>
      <c r="C3645" s="86" t="s">
        <v>1964</v>
      </c>
      <c r="D3645" s="82" t="str">
        <f ca="1">OFFSET(Roster!$A$3,MATCH(表格1[[#This Row],[Location]]&amp;" "&amp;表格1[[#This Row],[Shop]]&amp;"*",Roster!$A$4:$A$72,0),DAY(表格1[[#This Row],[date]]),1,1)</f>
        <v>Lily Hon off</v>
      </c>
      <c r="E3645" s="86">
        <f>MONTH(表格1[[#This Row],[date]])</f>
        <v>3</v>
      </c>
      <c r="F3645" s="90">
        <v>46096</v>
      </c>
      <c r="G3645" s="86" t="str">
        <f>VLOOKUP("*"&amp;表格1[[#This Row],[Input]]&amp;"*",'Ref-List'!$B:$D,2,)</f>
        <v>GR-A26HSZ(DS)</v>
      </c>
      <c r="H3645" s="86" t="str">
        <f>_xlfn.XLOOKUP(表格1[[#This Row],[Model]],表格3[Model-Input-Ref2],表格3[Product Line])</f>
        <v>雙門變頻式環保雪櫃</v>
      </c>
      <c r="I3645" s="86" t="str">
        <f>_xlfn.XLOOKUP(表格1[[#This Row],[Model]],表格3[Model-Input-Ref2],表格3[大小電])</f>
        <v>大電</v>
      </c>
      <c r="J3645" s="86" t="str">
        <f>_xlfn.XLOOKUP(表格1[[#This Row],[Model]],表格3[Model-Input-Ref2],表格3[Code])</f>
        <v>AC</v>
      </c>
      <c r="K3645" s="89" t="s">
        <v>1207</v>
      </c>
      <c r="L3645" s="86">
        <v>1</v>
      </c>
      <c r="M3645" s="87">
        <v>1500</v>
      </c>
      <c r="N3645" s="174">
        <f>IFERROR(表格1[[#This Row],[QTY]]*表格1[[#This Row],[Unit Price]],"-")</f>
        <v>1500</v>
      </c>
      <c r="O3645" s="175">
        <v>6157469</v>
      </c>
      <c r="R3645" s="86" t="str">
        <f>_xlfn.CONCAT(表格1[[#This Row],[Model]]," ",表格1[[#This Row],[inv no]])</f>
        <v>GR-A26HSZ(DS) 6157469</v>
      </c>
      <c r="S3645" s="86">
        <f>_xlfn.XLOOKUP(表格1[[#This Row],[Model]],表格3[Model-Input-Ref2],表格3[SRP PRICE])</f>
        <v>3780</v>
      </c>
      <c r="T3645" s="43">
        <f>表格1[[#This Row],[Unit Price]]/表格1[[#This Row],[SRP]]</f>
        <v>0.3968253968253968</v>
      </c>
      <c r="U3645" s="86" t="str">
        <f>_xlfn.XLOOKUP(表格1[[#This Row],[Model]],表格3[Model-Input-Ref2],表格3[TOSHIBA/HIGHEST])</f>
        <v>Toshiba SRP</v>
      </c>
      <c r="W3645" s="86" t="str">
        <f>_xlfn.CONCAT(表格1[[#This Row],[欄4]],表格1[[#This Row],[inv no]])</f>
        <v>6157469</v>
      </c>
    </row>
    <row r="3646" spans="1:23" hidden="1">
      <c r="A3646" s="81">
        <v>3644</v>
      </c>
      <c r="B3646" s="86" t="s">
        <v>1203</v>
      </c>
      <c r="C3646" s="86" t="s">
        <v>1964</v>
      </c>
      <c r="D3646" s="82" t="str">
        <f ca="1">OFFSET(Roster!$A$3,MATCH(表格1[[#This Row],[Location]]&amp;" "&amp;表格1[[#This Row],[Shop]]&amp;"*",Roster!$A$4:$A$72,0),DAY(表格1[[#This Row],[date]]),1,1)</f>
        <v>Lily Hon off</v>
      </c>
      <c r="E3646" s="86">
        <f>MONTH(表格1[[#This Row],[date]])</f>
        <v>3</v>
      </c>
      <c r="F3646" s="90">
        <v>46096</v>
      </c>
      <c r="G3646" s="86" t="str">
        <f>VLOOKUP("*"&amp;表格1[[#This Row],[Input]]&amp;"*",'Ref-List'!$B:$D,2,)</f>
        <v>GR-A26HSZ(DS)</v>
      </c>
      <c r="H3646" s="86" t="str">
        <f>_xlfn.XLOOKUP(表格1[[#This Row],[Model]],表格3[Model-Input-Ref2],表格3[Product Line])</f>
        <v>雙門變頻式環保雪櫃</v>
      </c>
      <c r="I3646" s="86" t="str">
        <f>_xlfn.XLOOKUP(表格1[[#This Row],[Model]],表格3[Model-Input-Ref2],表格3[大小電])</f>
        <v>大電</v>
      </c>
      <c r="J3646" s="86" t="str">
        <f>_xlfn.XLOOKUP(表格1[[#This Row],[Model]],表格3[Model-Input-Ref2],表格3[Code])</f>
        <v>AC</v>
      </c>
      <c r="K3646" s="89" t="s">
        <v>1207</v>
      </c>
      <c r="L3646" s="86">
        <v>1</v>
      </c>
      <c r="M3646" s="87">
        <v>1500</v>
      </c>
      <c r="N3646" s="174">
        <f>IFERROR(表格1[[#This Row],[QTY]]*表格1[[#This Row],[Unit Price]],"-")</f>
        <v>1500</v>
      </c>
      <c r="O3646" s="175">
        <v>6138814</v>
      </c>
      <c r="R3646" s="86" t="str">
        <f>_xlfn.CONCAT(表格1[[#This Row],[Model]]," ",表格1[[#This Row],[inv no]])</f>
        <v>GR-A26HSZ(DS) 6138814</v>
      </c>
      <c r="S3646" s="86">
        <f>_xlfn.XLOOKUP(表格1[[#This Row],[Model]],表格3[Model-Input-Ref2],表格3[SRP PRICE])</f>
        <v>3780</v>
      </c>
      <c r="T3646" s="43">
        <f>表格1[[#This Row],[Unit Price]]/表格1[[#This Row],[SRP]]</f>
        <v>0.3968253968253968</v>
      </c>
      <c r="U3646" s="86" t="str">
        <f>_xlfn.XLOOKUP(表格1[[#This Row],[Model]],表格3[Model-Input-Ref2],表格3[TOSHIBA/HIGHEST])</f>
        <v>Toshiba SRP</v>
      </c>
      <c r="W3646" s="86" t="str">
        <f>_xlfn.CONCAT(表格1[[#This Row],[欄4]],表格1[[#This Row],[inv no]])</f>
        <v>6138814</v>
      </c>
    </row>
    <row r="3647" spans="1:23" hidden="1">
      <c r="A3647" s="81">
        <v>3645</v>
      </c>
      <c r="B3647" s="86" t="s">
        <v>1203</v>
      </c>
      <c r="C3647" s="86" t="s">
        <v>1964</v>
      </c>
      <c r="D3647" s="82" t="str">
        <f ca="1">OFFSET(Roster!$A$3,MATCH(表格1[[#This Row],[Location]]&amp;" "&amp;表格1[[#This Row],[Shop]]&amp;"*",Roster!$A$4:$A$72,0),DAY(表格1[[#This Row],[date]]),1,1)</f>
        <v>Lily Hon off</v>
      </c>
      <c r="E3647" s="86">
        <f>MONTH(表格1[[#This Row],[date]])</f>
        <v>3</v>
      </c>
      <c r="F3647" s="90">
        <v>46096</v>
      </c>
      <c r="G3647" s="86" t="str">
        <f>VLOOKUP("*"&amp;表格1[[#This Row],[Input]]&amp;"*",'Ref-List'!$B:$D,2,)</f>
        <v>RC-15ISTHK(W)</v>
      </c>
      <c r="H3647" s="86" t="str">
        <f>_xlfn.XLOOKUP(表格1[[#This Row],[Model]],表格3[Model-Input-Ref2],表格3[Product Line])</f>
        <v>磁應電飯煲(1.5公升)</v>
      </c>
      <c r="I3647" s="86" t="str">
        <f>_xlfn.XLOOKUP(表格1[[#This Row],[Model]],表格3[Model-Input-Ref2],表格3[大小電])</f>
        <v>細電</v>
      </c>
      <c r="J3647" s="86" t="str">
        <f>_xlfn.XLOOKUP(表格1[[#This Row],[Model]],表格3[Model-Input-Ref2],表格3[Code])</f>
        <v>SDA</v>
      </c>
      <c r="K3647" s="89" t="s">
        <v>1204</v>
      </c>
      <c r="L3647" s="86">
        <v>1</v>
      </c>
      <c r="M3647" s="87">
        <v>500</v>
      </c>
      <c r="N3647" s="174">
        <f>IFERROR(表格1[[#This Row],[QTY]]*表格1[[#This Row],[Unit Price]],"-")</f>
        <v>500</v>
      </c>
      <c r="O3647" s="175">
        <v>5923465</v>
      </c>
      <c r="R3647" s="86" t="str">
        <f>_xlfn.CONCAT(表格1[[#This Row],[Model]]," ",表格1[[#This Row],[inv no]])</f>
        <v>RC-15ISTHK(W) 5923465</v>
      </c>
      <c r="S3647" s="86">
        <f>_xlfn.XLOOKUP(表格1[[#This Row],[Model]],表格3[Model-Input-Ref2],表格3[SRP PRICE])</f>
        <v>1688</v>
      </c>
      <c r="T3647" s="43">
        <f>表格1[[#This Row],[Unit Price]]/表格1[[#This Row],[SRP]]</f>
        <v>0.29620853080568721</v>
      </c>
      <c r="U3647" s="86" t="str">
        <f>_xlfn.XLOOKUP(表格1[[#This Row],[Model]],表格3[Model-Input-Ref2],表格3[TOSHIBA/HIGHEST])</f>
        <v>Toshiba SRP</v>
      </c>
      <c r="W3647" s="86" t="str">
        <f>_xlfn.CONCAT(表格1[[#This Row],[欄4]],表格1[[#This Row],[inv no]])</f>
        <v>5923465</v>
      </c>
    </row>
    <row r="3648" spans="1:23" hidden="1">
      <c r="A3648" s="81">
        <v>3646</v>
      </c>
      <c r="B3648" s="86" t="s">
        <v>1203</v>
      </c>
      <c r="C3648" s="86" t="s">
        <v>1964</v>
      </c>
      <c r="D3648" s="82" t="str">
        <f ca="1">OFFSET(Roster!$A$3,MATCH(表格1[[#This Row],[Location]]&amp;" "&amp;表格1[[#This Row],[Shop]]&amp;"*",Roster!$A$4:$A$72,0),DAY(表格1[[#This Row],[date]]),1,1)</f>
        <v>Lily Hon off</v>
      </c>
      <c r="E3648" s="86">
        <f>MONTH(表格1[[#This Row],[date]])</f>
        <v>3</v>
      </c>
      <c r="F3648" s="90">
        <v>46096</v>
      </c>
      <c r="G3648" s="86" t="str">
        <f>VLOOKUP("*"&amp;表格1[[#This Row],[Input]]&amp;"*",'Ref-List'!$B:$D,2,)</f>
        <v>RC-15ISTHK(W)</v>
      </c>
      <c r="H3648" s="86" t="str">
        <f>_xlfn.XLOOKUP(表格1[[#This Row],[Model]],表格3[Model-Input-Ref2],表格3[Product Line])</f>
        <v>磁應電飯煲(1.5公升)</v>
      </c>
      <c r="I3648" s="86" t="str">
        <f>_xlfn.XLOOKUP(表格1[[#This Row],[Model]],表格3[Model-Input-Ref2],表格3[大小電])</f>
        <v>細電</v>
      </c>
      <c r="J3648" s="86" t="str">
        <f>_xlfn.XLOOKUP(表格1[[#This Row],[Model]],表格3[Model-Input-Ref2],表格3[Code])</f>
        <v>SDA</v>
      </c>
      <c r="K3648" s="89" t="s">
        <v>1204</v>
      </c>
      <c r="L3648" s="86">
        <v>1</v>
      </c>
      <c r="M3648" s="87">
        <v>500</v>
      </c>
      <c r="N3648" s="174">
        <f>IFERROR(表格1[[#This Row],[QTY]]*表格1[[#This Row],[Unit Price]],"-")</f>
        <v>500</v>
      </c>
      <c r="O3648" s="175">
        <v>5923389</v>
      </c>
      <c r="R3648" s="86" t="str">
        <f>_xlfn.CONCAT(表格1[[#This Row],[Model]]," ",表格1[[#This Row],[inv no]])</f>
        <v>RC-15ISTHK(W) 5923389</v>
      </c>
      <c r="S3648" s="86">
        <f>_xlfn.XLOOKUP(表格1[[#This Row],[Model]],表格3[Model-Input-Ref2],表格3[SRP PRICE])</f>
        <v>1688</v>
      </c>
      <c r="T3648" s="43">
        <f>表格1[[#This Row],[Unit Price]]/表格1[[#This Row],[SRP]]</f>
        <v>0.29620853080568721</v>
      </c>
      <c r="U3648" s="86" t="str">
        <f>_xlfn.XLOOKUP(表格1[[#This Row],[Model]],表格3[Model-Input-Ref2],表格3[TOSHIBA/HIGHEST])</f>
        <v>Toshiba SRP</v>
      </c>
      <c r="W3648" s="86" t="str">
        <f>_xlfn.CONCAT(表格1[[#This Row],[欄4]],表格1[[#This Row],[inv no]])</f>
        <v>5923389</v>
      </c>
    </row>
    <row r="3649" spans="1:23" hidden="1">
      <c r="A3649" s="81">
        <v>3647</v>
      </c>
      <c r="B3649" s="86" t="s">
        <v>1203</v>
      </c>
      <c r="C3649" s="86" t="s">
        <v>1964</v>
      </c>
      <c r="D3649" s="82" t="str">
        <f ca="1">OFFSET(Roster!$A$3,MATCH(表格1[[#This Row],[Location]]&amp;" "&amp;表格1[[#This Row],[Shop]]&amp;"*",Roster!$A$4:$A$72,0),DAY(表格1[[#This Row],[date]]),1,1)</f>
        <v>Lily Hon off</v>
      </c>
      <c r="E3649" s="86">
        <f>MONTH(表格1[[#This Row],[date]])</f>
        <v>3</v>
      </c>
      <c r="F3649" s="90">
        <v>46096</v>
      </c>
      <c r="G3649" s="86" t="str">
        <f>VLOOKUP("*"&amp;表格1[[#This Row],[Input]]&amp;"*",'Ref-List'!$B:$D,2,)</f>
        <v>RC-15ISTHK(W)</v>
      </c>
      <c r="H3649" s="86" t="str">
        <f>_xlfn.XLOOKUP(表格1[[#This Row],[Model]],表格3[Model-Input-Ref2],表格3[Product Line])</f>
        <v>磁應電飯煲(1.5公升)</v>
      </c>
      <c r="I3649" s="86" t="str">
        <f>_xlfn.XLOOKUP(表格1[[#This Row],[Model]],表格3[Model-Input-Ref2],表格3[大小電])</f>
        <v>細電</v>
      </c>
      <c r="J3649" s="86" t="str">
        <f>_xlfn.XLOOKUP(表格1[[#This Row],[Model]],表格3[Model-Input-Ref2],表格3[Code])</f>
        <v>SDA</v>
      </c>
      <c r="K3649" s="89" t="s">
        <v>1204</v>
      </c>
      <c r="L3649" s="86">
        <v>1</v>
      </c>
      <c r="M3649" s="87">
        <v>500</v>
      </c>
      <c r="N3649" s="174">
        <f>IFERROR(表格1[[#This Row],[QTY]]*表格1[[#This Row],[Unit Price]],"-")</f>
        <v>500</v>
      </c>
      <c r="O3649" s="175">
        <v>5923484</v>
      </c>
      <c r="R3649" s="86" t="str">
        <f>_xlfn.CONCAT(表格1[[#This Row],[Model]]," ",表格1[[#This Row],[inv no]])</f>
        <v>RC-15ISTHK(W) 5923484</v>
      </c>
      <c r="S3649" s="86">
        <f>_xlfn.XLOOKUP(表格1[[#This Row],[Model]],表格3[Model-Input-Ref2],表格3[SRP PRICE])</f>
        <v>1688</v>
      </c>
      <c r="T3649" s="43">
        <f>表格1[[#This Row],[Unit Price]]/表格1[[#This Row],[SRP]]</f>
        <v>0.29620853080568721</v>
      </c>
      <c r="U3649" s="86" t="str">
        <f>_xlfn.XLOOKUP(表格1[[#This Row],[Model]],表格3[Model-Input-Ref2],表格3[TOSHIBA/HIGHEST])</f>
        <v>Toshiba SRP</v>
      </c>
      <c r="W3649" s="86" t="str">
        <f>_xlfn.CONCAT(表格1[[#This Row],[欄4]],表格1[[#This Row],[inv no]])</f>
        <v>5923484</v>
      </c>
    </row>
    <row r="3650" spans="1:23" hidden="1">
      <c r="A3650" s="81">
        <v>3648</v>
      </c>
      <c r="B3650" s="86" t="s">
        <v>1203</v>
      </c>
      <c r="C3650" s="86" t="s">
        <v>1964</v>
      </c>
      <c r="D3650" s="82" t="str">
        <f ca="1">OFFSET(Roster!$A$3,MATCH(表格1[[#This Row],[Location]]&amp;" "&amp;表格1[[#This Row],[Shop]]&amp;"*",Roster!$A$4:$A$72,0),DAY(表格1[[#This Row],[date]]),1,1)</f>
        <v>Lily Hon off</v>
      </c>
      <c r="E3650" s="86">
        <f>MONTH(表格1[[#This Row],[date]])</f>
        <v>3</v>
      </c>
      <c r="F3650" s="90">
        <v>46096</v>
      </c>
      <c r="G3650" s="86" t="str">
        <f>VLOOKUP("*"&amp;表格1[[#This Row],[Input]]&amp;"*",'Ref-List'!$B:$D,2,)</f>
        <v>RC-15ISTHK(W)</v>
      </c>
      <c r="H3650" s="86" t="str">
        <f>_xlfn.XLOOKUP(表格1[[#This Row],[Model]],表格3[Model-Input-Ref2],表格3[Product Line])</f>
        <v>磁應電飯煲(1.5公升)</v>
      </c>
      <c r="I3650" s="86" t="str">
        <f>_xlfn.XLOOKUP(表格1[[#This Row],[Model]],表格3[Model-Input-Ref2],表格3[大小電])</f>
        <v>細電</v>
      </c>
      <c r="J3650" s="86" t="str">
        <f>_xlfn.XLOOKUP(表格1[[#This Row],[Model]],表格3[Model-Input-Ref2],表格3[Code])</f>
        <v>SDA</v>
      </c>
      <c r="K3650" s="89" t="s">
        <v>1204</v>
      </c>
      <c r="L3650" s="86">
        <v>1</v>
      </c>
      <c r="M3650" s="87">
        <v>500</v>
      </c>
      <c r="N3650" s="174">
        <f>IFERROR(表格1[[#This Row],[QTY]]*表格1[[#This Row],[Unit Price]],"-")</f>
        <v>500</v>
      </c>
      <c r="O3650" s="175">
        <v>5923437</v>
      </c>
      <c r="R3650" s="86" t="str">
        <f>_xlfn.CONCAT(表格1[[#This Row],[Model]]," ",表格1[[#This Row],[inv no]])</f>
        <v>RC-15ISTHK(W) 5923437</v>
      </c>
      <c r="S3650" s="86">
        <f>_xlfn.XLOOKUP(表格1[[#This Row],[Model]],表格3[Model-Input-Ref2],表格3[SRP PRICE])</f>
        <v>1688</v>
      </c>
      <c r="T3650" s="43">
        <f>表格1[[#This Row],[Unit Price]]/表格1[[#This Row],[SRP]]</f>
        <v>0.29620853080568721</v>
      </c>
      <c r="U3650" s="86" t="str">
        <f>_xlfn.XLOOKUP(表格1[[#This Row],[Model]],表格3[Model-Input-Ref2],表格3[TOSHIBA/HIGHEST])</f>
        <v>Toshiba SRP</v>
      </c>
      <c r="W3650" s="86" t="str">
        <f>_xlfn.CONCAT(表格1[[#This Row],[欄4]],表格1[[#This Row],[inv no]])</f>
        <v>5923437</v>
      </c>
    </row>
    <row r="3651" spans="1:23" hidden="1">
      <c r="A3651" s="81">
        <v>3649</v>
      </c>
      <c r="B3651" s="86" t="s">
        <v>1203</v>
      </c>
      <c r="C3651" s="86" t="s">
        <v>1964</v>
      </c>
      <c r="D3651" s="82" t="str">
        <f ca="1">OFFSET(Roster!$A$3,MATCH(表格1[[#This Row],[Location]]&amp;" "&amp;表格1[[#This Row],[Shop]]&amp;"*",Roster!$A$4:$A$72,0),DAY(表格1[[#This Row],[date]]),1,1)</f>
        <v>Lily Hon off</v>
      </c>
      <c r="E3651" s="86">
        <f>MONTH(表格1[[#This Row],[date]])</f>
        <v>3</v>
      </c>
      <c r="F3651" s="90">
        <v>46096</v>
      </c>
      <c r="G3651" s="86" t="str">
        <f>VLOOKUP("*"&amp;表格1[[#This Row],[Input]]&amp;"*",'Ref-List'!$B:$D,2,)</f>
        <v>RC-15ISTHK(W)</v>
      </c>
      <c r="H3651" s="86" t="str">
        <f>_xlfn.XLOOKUP(表格1[[#This Row],[Model]],表格3[Model-Input-Ref2],表格3[Product Line])</f>
        <v>磁應電飯煲(1.5公升)</v>
      </c>
      <c r="I3651" s="86" t="str">
        <f>_xlfn.XLOOKUP(表格1[[#This Row],[Model]],表格3[Model-Input-Ref2],表格3[大小電])</f>
        <v>細電</v>
      </c>
      <c r="J3651" s="86" t="str">
        <f>_xlfn.XLOOKUP(表格1[[#This Row],[Model]],表格3[Model-Input-Ref2],表格3[Code])</f>
        <v>SDA</v>
      </c>
      <c r="K3651" s="89" t="s">
        <v>1204</v>
      </c>
      <c r="L3651" s="86">
        <v>1</v>
      </c>
      <c r="M3651" s="87">
        <v>500</v>
      </c>
      <c r="N3651" s="174">
        <f>IFERROR(表格1[[#This Row],[QTY]]*表格1[[#This Row],[Unit Price]],"-")</f>
        <v>500</v>
      </c>
      <c r="O3651" s="175">
        <v>6157481</v>
      </c>
      <c r="R3651" s="86" t="str">
        <f>_xlfn.CONCAT(表格1[[#This Row],[Model]]," ",表格1[[#This Row],[inv no]])</f>
        <v>RC-15ISTHK(W) 6157481</v>
      </c>
      <c r="S3651" s="86">
        <f>_xlfn.XLOOKUP(表格1[[#This Row],[Model]],表格3[Model-Input-Ref2],表格3[SRP PRICE])</f>
        <v>1688</v>
      </c>
      <c r="T3651" s="43">
        <f>表格1[[#This Row],[Unit Price]]/表格1[[#This Row],[SRP]]</f>
        <v>0.29620853080568721</v>
      </c>
      <c r="U3651" s="86" t="str">
        <f>_xlfn.XLOOKUP(表格1[[#This Row],[Model]],表格3[Model-Input-Ref2],表格3[TOSHIBA/HIGHEST])</f>
        <v>Toshiba SRP</v>
      </c>
      <c r="W3651" s="86" t="str">
        <f>_xlfn.CONCAT(表格1[[#This Row],[欄4]],表格1[[#This Row],[inv no]])</f>
        <v>6157481</v>
      </c>
    </row>
    <row r="3652" spans="1:23" hidden="1">
      <c r="A3652" s="81">
        <v>3650</v>
      </c>
      <c r="B3652" s="86" t="s">
        <v>1203</v>
      </c>
      <c r="C3652" s="86" t="s">
        <v>1964</v>
      </c>
      <c r="D3652" s="82" t="str">
        <f ca="1">OFFSET(Roster!$A$3,MATCH(表格1[[#This Row],[Location]]&amp;" "&amp;表格1[[#This Row],[Shop]]&amp;"*",Roster!$A$4:$A$72,0),DAY(表格1[[#This Row],[date]]),1,1)</f>
        <v>Lily Hon off</v>
      </c>
      <c r="E3652" s="86">
        <f>MONTH(表格1[[#This Row],[date]])</f>
        <v>3</v>
      </c>
      <c r="F3652" s="90">
        <v>46096</v>
      </c>
      <c r="G3652" s="86" t="str">
        <f>VLOOKUP("*"&amp;表格1[[#This Row],[Input]]&amp;"*",'Ref-List'!$B:$D,2,)</f>
        <v>RC-15ISTHK(W)</v>
      </c>
      <c r="H3652" s="86" t="str">
        <f>_xlfn.XLOOKUP(表格1[[#This Row],[Model]],表格3[Model-Input-Ref2],表格3[Product Line])</f>
        <v>磁應電飯煲(1.5公升)</v>
      </c>
      <c r="I3652" s="86" t="str">
        <f>_xlfn.XLOOKUP(表格1[[#This Row],[Model]],表格3[Model-Input-Ref2],表格3[大小電])</f>
        <v>細電</v>
      </c>
      <c r="J3652" s="86" t="str">
        <f>_xlfn.XLOOKUP(表格1[[#This Row],[Model]],表格3[Model-Input-Ref2],表格3[Code])</f>
        <v>SDA</v>
      </c>
      <c r="K3652" s="89" t="s">
        <v>1204</v>
      </c>
      <c r="L3652" s="86">
        <v>1</v>
      </c>
      <c r="M3652" s="87">
        <v>500</v>
      </c>
      <c r="N3652" s="174">
        <f>IFERROR(表格1[[#This Row],[QTY]]*表格1[[#This Row],[Unit Price]],"-")</f>
        <v>500</v>
      </c>
      <c r="O3652" s="175">
        <v>5923479</v>
      </c>
      <c r="R3652" s="86" t="str">
        <f>_xlfn.CONCAT(表格1[[#This Row],[Model]]," ",表格1[[#This Row],[inv no]])</f>
        <v>RC-15ISTHK(W) 5923479</v>
      </c>
      <c r="S3652" s="86">
        <f>_xlfn.XLOOKUP(表格1[[#This Row],[Model]],表格3[Model-Input-Ref2],表格3[SRP PRICE])</f>
        <v>1688</v>
      </c>
      <c r="T3652" s="43">
        <f>表格1[[#This Row],[Unit Price]]/表格1[[#This Row],[SRP]]</f>
        <v>0.29620853080568721</v>
      </c>
      <c r="U3652" s="86" t="str">
        <f>_xlfn.XLOOKUP(表格1[[#This Row],[Model]],表格3[Model-Input-Ref2],表格3[TOSHIBA/HIGHEST])</f>
        <v>Toshiba SRP</v>
      </c>
      <c r="W3652" s="86" t="str">
        <f>_xlfn.CONCAT(表格1[[#This Row],[欄4]],表格1[[#This Row],[inv no]])</f>
        <v>5923479</v>
      </c>
    </row>
    <row r="3653" spans="1:23" hidden="1">
      <c r="A3653" s="81">
        <v>3651</v>
      </c>
      <c r="B3653" s="86" t="s">
        <v>1203</v>
      </c>
      <c r="C3653" s="86" t="s">
        <v>1964</v>
      </c>
      <c r="D3653" s="82" t="str">
        <f ca="1">OFFSET(Roster!$A$3,MATCH(表格1[[#This Row],[Location]]&amp;" "&amp;表格1[[#This Row],[Shop]]&amp;"*",Roster!$A$4:$A$72,0),DAY(表格1[[#This Row],[date]]),1,1)</f>
        <v>Lily Hon off</v>
      </c>
      <c r="E3653" s="86">
        <f>MONTH(表格1[[#This Row],[date]])</f>
        <v>3</v>
      </c>
      <c r="F3653" s="90">
        <v>46096</v>
      </c>
      <c r="G3653" s="86" t="str">
        <f>VLOOKUP("*"&amp;表格1[[#This Row],[Input]]&amp;"*",'Ref-List'!$B:$D,2,)</f>
        <v>RC-15ISTHK(W)</v>
      </c>
      <c r="H3653" s="86" t="str">
        <f>_xlfn.XLOOKUP(表格1[[#This Row],[Model]],表格3[Model-Input-Ref2],表格3[Product Line])</f>
        <v>磁應電飯煲(1.5公升)</v>
      </c>
      <c r="I3653" s="86" t="str">
        <f>_xlfn.XLOOKUP(表格1[[#This Row],[Model]],表格3[Model-Input-Ref2],表格3[大小電])</f>
        <v>細電</v>
      </c>
      <c r="J3653" s="86" t="str">
        <f>_xlfn.XLOOKUP(表格1[[#This Row],[Model]],表格3[Model-Input-Ref2],表格3[Code])</f>
        <v>SDA</v>
      </c>
      <c r="K3653" s="89" t="s">
        <v>1204</v>
      </c>
      <c r="L3653" s="86">
        <v>1</v>
      </c>
      <c r="M3653" s="87">
        <v>500</v>
      </c>
      <c r="N3653" s="174">
        <f>IFERROR(表格1[[#This Row],[QTY]]*表格1[[#This Row],[Unit Price]],"-")</f>
        <v>500</v>
      </c>
      <c r="O3653" s="175">
        <v>6138830</v>
      </c>
      <c r="R3653" s="86" t="str">
        <f>_xlfn.CONCAT(表格1[[#This Row],[Model]]," ",表格1[[#This Row],[inv no]])</f>
        <v>RC-15ISTHK(W) 6138830</v>
      </c>
      <c r="S3653" s="86">
        <f>_xlfn.XLOOKUP(表格1[[#This Row],[Model]],表格3[Model-Input-Ref2],表格3[SRP PRICE])</f>
        <v>1688</v>
      </c>
      <c r="T3653" s="43">
        <f>表格1[[#This Row],[Unit Price]]/表格1[[#This Row],[SRP]]</f>
        <v>0.29620853080568721</v>
      </c>
      <c r="U3653" s="86" t="str">
        <f>_xlfn.XLOOKUP(表格1[[#This Row],[Model]],表格3[Model-Input-Ref2],表格3[TOSHIBA/HIGHEST])</f>
        <v>Toshiba SRP</v>
      </c>
      <c r="W3653" s="86" t="str">
        <f>_xlfn.CONCAT(表格1[[#This Row],[欄4]],表格1[[#This Row],[inv no]])</f>
        <v>6138830</v>
      </c>
    </row>
    <row r="3654" spans="1:23" hidden="1">
      <c r="A3654" s="81">
        <v>3652</v>
      </c>
      <c r="B3654" s="86" t="s">
        <v>1203</v>
      </c>
      <c r="C3654" s="86" t="s">
        <v>1964</v>
      </c>
      <c r="D3654" s="82" t="str">
        <f ca="1">OFFSET(Roster!$A$3,MATCH(表格1[[#This Row],[Location]]&amp;" "&amp;表格1[[#This Row],[Shop]]&amp;"*",Roster!$A$4:$A$72,0),DAY(表格1[[#This Row],[date]]),1,1)</f>
        <v>Lily Hon off</v>
      </c>
      <c r="E3654" s="86">
        <f>MONTH(表格1[[#This Row],[date]])</f>
        <v>3</v>
      </c>
      <c r="F3654" s="90">
        <v>46096</v>
      </c>
      <c r="G3654" s="86" t="str">
        <f>VLOOKUP("*"&amp;表格1[[#This Row],[Input]]&amp;"*",'Ref-List'!$B:$D,2,)</f>
        <v>RC-15ISTHK(W)</v>
      </c>
      <c r="H3654" s="86" t="str">
        <f>_xlfn.XLOOKUP(表格1[[#This Row],[Model]],表格3[Model-Input-Ref2],表格3[Product Line])</f>
        <v>磁應電飯煲(1.5公升)</v>
      </c>
      <c r="I3654" s="86" t="str">
        <f>_xlfn.XLOOKUP(表格1[[#This Row],[Model]],表格3[Model-Input-Ref2],表格3[大小電])</f>
        <v>細電</v>
      </c>
      <c r="J3654" s="86" t="str">
        <f>_xlfn.XLOOKUP(表格1[[#This Row],[Model]],表格3[Model-Input-Ref2],表格3[Code])</f>
        <v>SDA</v>
      </c>
      <c r="K3654" s="89" t="s">
        <v>1204</v>
      </c>
      <c r="L3654" s="86">
        <v>1</v>
      </c>
      <c r="M3654" s="87">
        <v>500</v>
      </c>
      <c r="N3654" s="174">
        <f>IFERROR(表格1[[#This Row],[QTY]]*表格1[[#This Row],[Unit Price]],"-")</f>
        <v>500</v>
      </c>
      <c r="O3654" s="175">
        <v>6138867</v>
      </c>
      <c r="R3654" s="86" t="str">
        <f>_xlfn.CONCAT(表格1[[#This Row],[Model]]," ",表格1[[#This Row],[inv no]])</f>
        <v>RC-15ISTHK(W) 6138867</v>
      </c>
      <c r="S3654" s="86">
        <f>_xlfn.XLOOKUP(表格1[[#This Row],[Model]],表格3[Model-Input-Ref2],表格3[SRP PRICE])</f>
        <v>1688</v>
      </c>
      <c r="T3654" s="43">
        <f>表格1[[#This Row],[Unit Price]]/表格1[[#This Row],[SRP]]</f>
        <v>0.29620853080568721</v>
      </c>
      <c r="U3654" s="86" t="str">
        <f>_xlfn.XLOOKUP(表格1[[#This Row],[Model]],表格3[Model-Input-Ref2],表格3[TOSHIBA/HIGHEST])</f>
        <v>Toshiba SRP</v>
      </c>
      <c r="W3654" s="86" t="str">
        <f>_xlfn.CONCAT(表格1[[#This Row],[欄4]],表格1[[#This Row],[inv no]])</f>
        <v>6138867</v>
      </c>
    </row>
    <row r="3655" spans="1:23" hidden="1">
      <c r="A3655" s="81">
        <v>3653</v>
      </c>
      <c r="B3655" s="86" t="s">
        <v>1203</v>
      </c>
      <c r="C3655" s="86" t="s">
        <v>1964</v>
      </c>
      <c r="D3655" s="82" t="str">
        <f ca="1">OFFSET(Roster!$A$3,MATCH(表格1[[#This Row],[Location]]&amp;" "&amp;表格1[[#This Row],[Shop]]&amp;"*",Roster!$A$4:$A$72,0),DAY(表格1[[#This Row],[date]]),1,1)</f>
        <v>Lily Hon off</v>
      </c>
      <c r="E3655" s="86">
        <f>MONTH(表格1[[#This Row],[date]])</f>
        <v>3</v>
      </c>
      <c r="F3655" s="90">
        <v>46096</v>
      </c>
      <c r="G3655" s="86" t="str">
        <f>VLOOKUP("*"&amp;表格1[[#This Row],[Input]]&amp;"*",'Ref-List'!$B:$D,2,)</f>
        <v>RC-15ISTHK(W)</v>
      </c>
      <c r="H3655" s="86" t="str">
        <f>_xlfn.XLOOKUP(表格1[[#This Row],[Model]],表格3[Model-Input-Ref2],表格3[Product Line])</f>
        <v>磁應電飯煲(1.5公升)</v>
      </c>
      <c r="I3655" s="86" t="str">
        <f>_xlfn.XLOOKUP(表格1[[#This Row],[Model]],表格3[Model-Input-Ref2],表格3[大小電])</f>
        <v>細電</v>
      </c>
      <c r="J3655" s="86" t="str">
        <f>_xlfn.XLOOKUP(表格1[[#This Row],[Model]],表格3[Model-Input-Ref2],表格3[Code])</f>
        <v>SDA</v>
      </c>
      <c r="K3655" s="89" t="s">
        <v>1204</v>
      </c>
      <c r="L3655" s="86">
        <v>1</v>
      </c>
      <c r="M3655" s="87">
        <v>500</v>
      </c>
      <c r="N3655" s="174">
        <f>IFERROR(表格1[[#This Row],[QTY]]*表格1[[#This Row],[Unit Price]],"-")</f>
        <v>500</v>
      </c>
      <c r="O3655" s="175">
        <v>6157280</v>
      </c>
      <c r="R3655" s="86" t="str">
        <f>_xlfn.CONCAT(表格1[[#This Row],[Model]]," ",表格1[[#This Row],[inv no]])</f>
        <v>RC-15ISTHK(W) 6157280</v>
      </c>
      <c r="S3655" s="86">
        <f>_xlfn.XLOOKUP(表格1[[#This Row],[Model]],表格3[Model-Input-Ref2],表格3[SRP PRICE])</f>
        <v>1688</v>
      </c>
      <c r="T3655" s="43">
        <f>表格1[[#This Row],[Unit Price]]/表格1[[#This Row],[SRP]]</f>
        <v>0.29620853080568721</v>
      </c>
      <c r="U3655" s="86" t="str">
        <f>_xlfn.XLOOKUP(表格1[[#This Row],[Model]],表格3[Model-Input-Ref2],表格3[TOSHIBA/HIGHEST])</f>
        <v>Toshiba SRP</v>
      </c>
      <c r="W3655" s="86" t="str">
        <f>_xlfn.CONCAT(表格1[[#This Row],[欄4]],表格1[[#This Row],[inv no]])</f>
        <v>6157280</v>
      </c>
    </row>
    <row r="3656" spans="1:23" hidden="1">
      <c r="A3656" s="81">
        <v>3654</v>
      </c>
      <c r="B3656" s="86" t="s">
        <v>1203</v>
      </c>
      <c r="C3656" s="86" t="s">
        <v>1964</v>
      </c>
      <c r="D3656" s="82" t="str">
        <f ca="1">OFFSET(Roster!$A$3,MATCH(表格1[[#This Row],[Location]]&amp;" "&amp;表格1[[#This Row],[Shop]]&amp;"*",Roster!$A$4:$A$72,0),DAY(表格1[[#This Row],[date]]),1,1)</f>
        <v>Lily Hon off</v>
      </c>
      <c r="E3656" s="86">
        <f>MONTH(表格1[[#This Row],[date]])</f>
        <v>3</v>
      </c>
      <c r="F3656" s="90">
        <v>46096</v>
      </c>
      <c r="G3656" s="86" t="str">
        <f>VLOOKUP("*"&amp;表格1[[#This Row],[Input]]&amp;"*",'Ref-List'!$B:$D,2,)</f>
        <v>RC-15ISTHK(W)</v>
      </c>
      <c r="H3656" s="86" t="str">
        <f>_xlfn.XLOOKUP(表格1[[#This Row],[Model]],表格3[Model-Input-Ref2],表格3[Product Line])</f>
        <v>磁應電飯煲(1.5公升)</v>
      </c>
      <c r="I3656" s="86" t="str">
        <f>_xlfn.XLOOKUP(表格1[[#This Row],[Model]],表格3[Model-Input-Ref2],表格3[大小電])</f>
        <v>細電</v>
      </c>
      <c r="J3656" s="86" t="str">
        <f>_xlfn.XLOOKUP(表格1[[#This Row],[Model]],表格3[Model-Input-Ref2],表格3[Code])</f>
        <v>SDA</v>
      </c>
      <c r="K3656" s="89" t="s">
        <v>1204</v>
      </c>
      <c r="L3656" s="86">
        <v>1</v>
      </c>
      <c r="M3656" s="87">
        <v>500</v>
      </c>
      <c r="N3656" s="174">
        <f>IFERROR(表格1[[#This Row],[QTY]]*表格1[[#This Row],[Unit Price]],"-")</f>
        <v>500</v>
      </c>
      <c r="O3656" s="175">
        <v>6157293</v>
      </c>
      <c r="R3656" s="86" t="str">
        <f>_xlfn.CONCAT(表格1[[#This Row],[Model]]," ",表格1[[#This Row],[inv no]])</f>
        <v>RC-15ISTHK(W) 6157293</v>
      </c>
      <c r="S3656" s="86">
        <f>_xlfn.XLOOKUP(表格1[[#This Row],[Model]],表格3[Model-Input-Ref2],表格3[SRP PRICE])</f>
        <v>1688</v>
      </c>
      <c r="T3656" s="43">
        <f>表格1[[#This Row],[Unit Price]]/表格1[[#This Row],[SRP]]</f>
        <v>0.29620853080568721</v>
      </c>
      <c r="U3656" s="86" t="str">
        <f>_xlfn.XLOOKUP(表格1[[#This Row],[Model]],表格3[Model-Input-Ref2],表格3[TOSHIBA/HIGHEST])</f>
        <v>Toshiba SRP</v>
      </c>
      <c r="W3656" s="86" t="str">
        <f>_xlfn.CONCAT(表格1[[#This Row],[欄4]],表格1[[#This Row],[inv no]])</f>
        <v>6157293</v>
      </c>
    </row>
    <row r="3657" spans="1:23" hidden="1">
      <c r="A3657" s="81">
        <v>3655</v>
      </c>
      <c r="B3657" s="86" t="s">
        <v>1203</v>
      </c>
      <c r="C3657" s="86" t="s">
        <v>1964</v>
      </c>
      <c r="D3657" s="82" t="str">
        <f ca="1">OFFSET(Roster!$A$3,MATCH(表格1[[#This Row],[Location]]&amp;" "&amp;表格1[[#This Row],[Shop]]&amp;"*",Roster!$A$4:$A$72,0),DAY(表格1[[#This Row],[date]]),1,1)</f>
        <v>Lily Hon off</v>
      </c>
      <c r="E3657" s="86">
        <f>MONTH(表格1[[#This Row],[date]])</f>
        <v>3</v>
      </c>
      <c r="F3657" s="90">
        <v>46096</v>
      </c>
      <c r="G3657" s="86" t="str">
        <f>VLOOKUP("*"&amp;表格1[[#This Row],[Input]]&amp;"*",'Ref-List'!$B:$D,2,)</f>
        <v>Model-Input-Ref2</v>
      </c>
      <c r="H3657" s="86" t="e">
        <f>_xlfn.XLOOKUP(表格1[[#This Row],[Model]],表格3[Model-Input-Ref2],表格3[Product Line])</f>
        <v>#N/A</v>
      </c>
      <c r="I3657" s="86" t="e">
        <f>_xlfn.XLOOKUP(表格1[[#This Row],[Model]],表格3[Model-Input-Ref2],表格3[大小電])</f>
        <v>#N/A</v>
      </c>
      <c r="J3657" s="86" t="e">
        <f>_xlfn.XLOOKUP(表格1[[#This Row],[Model]],表格3[Model-Input-Ref2],表格3[Code])</f>
        <v>#N/A</v>
      </c>
      <c r="N3657" s="174">
        <f>IFERROR(表格1[[#This Row],[QTY]]*表格1[[#This Row],[Unit Price]],"-")</f>
        <v>0</v>
      </c>
      <c r="O3657" s="175"/>
      <c r="P3657" s="86" t="s">
        <v>2102</v>
      </c>
      <c r="R3657" s="86" t="str">
        <f>_xlfn.CONCAT(表格1[[#This Row],[Model]]," ",表格1[[#This Row],[inv no]])</f>
        <v xml:space="preserve">Model-Input-Ref2 </v>
      </c>
      <c r="S3657" s="86" t="e">
        <f>_xlfn.XLOOKUP(表格1[[#This Row],[Model]],表格3[Model-Input-Ref2],表格3[SRP PRICE])</f>
        <v>#N/A</v>
      </c>
      <c r="T3657" s="43" t="e">
        <f>表格1[[#This Row],[Unit Price]]/表格1[[#This Row],[SRP]]</f>
        <v>#N/A</v>
      </c>
      <c r="U3657" s="86" t="e">
        <f>_xlfn.XLOOKUP(表格1[[#This Row],[Model]],表格3[Model-Input-Ref2],表格3[TOSHIBA/HIGHEST])</f>
        <v>#N/A</v>
      </c>
      <c r="W3657" s="86" t="str">
        <f>_xlfn.CONCAT(表格1[[#This Row],[欄4]],表格1[[#This Row],[inv no]])</f>
        <v/>
      </c>
    </row>
    <row r="3658" spans="1:23" hidden="1">
      <c r="A3658" s="81">
        <v>3656</v>
      </c>
      <c r="B3658" s="86" t="s">
        <v>1203</v>
      </c>
      <c r="C3658" s="86" t="s">
        <v>1964</v>
      </c>
      <c r="D3658" s="82" t="str">
        <f ca="1">OFFSET(Roster!$A$3,MATCH(表格1[[#This Row],[Location]]&amp;" "&amp;表格1[[#This Row],[Shop]]&amp;"*",Roster!$A$4:$A$72,0),DAY(表格1[[#This Row],[date]]),1,1)</f>
        <v>Lily Hon off</v>
      </c>
      <c r="E3658" s="86">
        <f>MONTH(表格1[[#This Row],[date]])</f>
        <v>3</v>
      </c>
      <c r="F3658" s="90">
        <v>46096</v>
      </c>
      <c r="G3658" s="86" t="str">
        <f>VLOOKUP("*"&amp;表格1[[#This Row],[Input]]&amp;"*",'Ref-List'!$B:$D,2,)</f>
        <v>IC-21TSHK</v>
      </c>
      <c r="H3658" s="86" t="str">
        <f>_xlfn.XLOOKUP(表格1[[#This Row],[Model]],表格3[Model-Input-Ref2],表格3[Product Line])</f>
        <v>Induction Cooker</v>
      </c>
      <c r="I3658" s="86" t="str">
        <f>_xlfn.XLOOKUP(表格1[[#This Row],[Model]],表格3[Model-Input-Ref2],表格3[大小電])</f>
        <v>細電</v>
      </c>
      <c r="J3658" s="86" t="str">
        <f>_xlfn.XLOOKUP(表格1[[#This Row],[Model]],表格3[Model-Input-Ref2],表格3[Code])</f>
        <v>SDA</v>
      </c>
      <c r="K3658" s="89" t="s">
        <v>1242</v>
      </c>
      <c r="L3658" s="86">
        <v>1</v>
      </c>
      <c r="M3658" s="87">
        <v>500</v>
      </c>
      <c r="N3658" s="174">
        <f>IFERROR(表格1[[#This Row],[QTY]]*表格1[[#This Row],[Unit Price]],"-")</f>
        <v>500</v>
      </c>
      <c r="O3658" s="175">
        <v>5423481</v>
      </c>
      <c r="R3658" s="86" t="str">
        <f>_xlfn.CONCAT(表格1[[#This Row],[Model]]," ",表格1[[#This Row],[inv no]])</f>
        <v>IC-21TSHK 5423481</v>
      </c>
      <c r="S3658" s="86">
        <f>_xlfn.XLOOKUP(表格1[[#This Row],[Model]],表格3[Model-Input-Ref2],表格3[SRP PRICE])</f>
        <v>998</v>
      </c>
      <c r="T3658" s="43">
        <f>表格1[[#This Row],[Unit Price]]/表格1[[#This Row],[SRP]]</f>
        <v>0.50100200400801598</v>
      </c>
      <c r="U3658" s="86" t="str">
        <f>_xlfn.XLOOKUP(表格1[[#This Row],[Model]],表格3[Model-Input-Ref2],表格3[TOSHIBA/HIGHEST])</f>
        <v>web SRP</v>
      </c>
      <c r="W3658" s="86" t="str">
        <f>_xlfn.CONCAT(表格1[[#This Row],[欄4]],表格1[[#This Row],[inv no]])</f>
        <v>5423481</v>
      </c>
    </row>
    <row r="3659" spans="1:23" hidden="1">
      <c r="A3659" s="81">
        <v>3657</v>
      </c>
      <c r="B3659" s="86" t="s">
        <v>1203</v>
      </c>
      <c r="C3659" s="86" t="s">
        <v>1964</v>
      </c>
      <c r="D3659" s="82" t="str">
        <f ca="1">OFFSET(Roster!$A$3,MATCH(表格1[[#This Row],[Location]]&amp;" "&amp;表格1[[#This Row],[Shop]]&amp;"*",Roster!$A$4:$A$72,0),DAY(表格1[[#This Row],[date]]),1,1)</f>
        <v>Lily Hon off</v>
      </c>
      <c r="E3659" s="86">
        <f>MONTH(表格1[[#This Row],[date]])</f>
        <v>3</v>
      </c>
      <c r="F3659" s="90">
        <v>46096</v>
      </c>
      <c r="G3659" s="86" t="str">
        <f>VLOOKUP("*"&amp;表格1[[#This Row],[Input]]&amp;"*",'Ref-List'!$B:$D,2,)</f>
        <v>IC-21TSHK</v>
      </c>
      <c r="H3659" s="86" t="str">
        <f>_xlfn.XLOOKUP(表格1[[#This Row],[Model]],表格3[Model-Input-Ref2],表格3[Product Line])</f>
        <v>Induction Cooker</v>
      </c>
      <c r="I3659" s="86" t="str">
        <f>_xlfn.XLOOKUP(表格1[[#This Row],[Model]],表格3[Model-Input-Ref2],表格3[大小電])</f>
        <v>細電</v>
      </c>
      <c r="J3659" s="86" t="str">
        <f>_xlfn.XLOOKUP(表格1[[#This Row],[Model]],表格3[Model-Input-Ref2],表格3[Code])</f>
        <v>SDA</v>
      </c>
      <c r="K3659" s="89" t="s">
        <v>1242</v>
      </c>
      <c r="L3659" s="86">
        <v>1</v>
      </c>
      <c r="M3659" s="87">
        <v>500</v>
      </c>
      <c r="N3659" s="174">
        <f>IFERROR(表格1[[#This Row],[QTY]]*表格1[[#This Row],[Unit Price]],"-")</f>
        <v>500</v>
      </c>
      <c r="O3659" s="175">
        <v>5923403</v>
      </c>
      <c r="R3659" s="86" t="str">
        <f>_xlfn.CONCAT(表格1[[#This Row],[Model]]," ",表格1[[#This Row],[inv no]])</f>
        <v>IC-21TSHK 5923403</v>
      </c>
      <c r="S3659" s="86">
        <f>_xlfn.XLOOKUP(表格1[[#This Row],[Model]],表格3[Model-Input-Ref2],表格3[SRP PRICE])</f>
        <v>998</v>
      </c>
      <c r="T3659" s="43">
        <f>表格1[[#This Row],[Unit Price]]/表格1[[#This Row],[SRP]]</f>
        <v>0.50100200400801598</v>
      </c>
      <c r="U3659" s="86" t="str">
        <f>_xlfn.XLOOKUP(表格1[[#This Row],[Model]],表格3[Model-Input-Ref2],表格3[TOSHIBA/HIGHEST])</f>
        <v>web SRP</v>
      </c>
      <c r="W3659" s="86" t="str">
        <f>_xlfn.CONCAT(表格1[[#This Row],[欄4]],表格1[[#This Row],[inv no]])</f>
        <v>5923403</v>
      </c>
    </row>
    <row r="3660" spans="1:23" hidden="1">
      <c r="A3660" s="81">
        <v>3658</v>
      </c>
      <c r="B3660" s="86" t="s">
        <v>1203</v>
      </c>
      <c r="C3660" s="86" t="s">
        <v>1964</v>
      </c>
      <c r="D3660" s="82" t="str">
        <f ca="1">OFFSET(Roster!$A$3,MATCH(表格1[[#This Row],[Location]]&amp;" "&amp;表格1[[#This Row],[Shop]]&amp;"*",Roster!$A$4:$A$72,0),DAY(表格1[[#This Row],[date]]),1,1)</f>
        <v>Lily Hon off</v>
      </c>
      <c r="E3660" s="86">
        <f>MONTH(表格1[[#This Row],[date]])</f>
        <v>3</v>
      </c>
      <c r="F3660" s="90">
        <v>46096</v>
      </c>
      <c r="G3660" s="86" t="str">
        <f>VLOOKUP("*"&amp;表格1[[#This Row],[Input]]&amp;"*",'Ref-List'!$B:$D,2,)</f>
        <v>CWF-18CRFN8-AD5</v>
      </c>
      <c r="H3660" s="86" t="str">
        <f>_xlfn.XLOOKUP(表格1[[#This Row],[Model]],表格3[Model-Input-Ref2],表格3[Product Line])</f>
        <v>Comfee 2匹變頻窗口式冷氣機</v>
      </c>
      <c r="I3660" s="86" t="str">
        <f>_xlfn.XLOOKUP(表格1[[#This Row],[Model]],表格3[Model-Input-Ref2],表格3[大小電])</f>
        <v>大電</v>
      </c>
      <c r="J3660" s="86" t="str">
        <f>_xlfn.XLOOKUP(表格1[[#This Row],[Model]],表格3[Model-Input-Ref2],表格3[Code])</f>
        <v>RAC</v>
      </c>
      <c r="K3660" s="89" t="s">
        <v>1970</v>
      </c>
      <c r="L3660" s="86">
        <v>1</v>
      </c>
      <c r="M3660" s="87">
        <v>4028</v>
      </c>
      <c r="N3660" s="174">
        <f>IFERROR(表格1[[#This Row],[QTY]]*表格1[[#This Row],[Unit Price]],"-")</f>
        <v>4028</v>
      </c>
      <c r="O3660" s="175">
        <v>5923402</v>
      </c>
      <c r="R3660" s="86" t="str">
        <f>_xlfn.CONCAT(表格1[[#This Row],[Model]]," ",表格1[[#This Row],[inv no]])</f>
        <v>CWF-18CRFN8-AD5 5923402</v>
      </c>
      <c r="S3660" s="86">
        <f>_xlfn.XLOOKUP(表格1[[#This Row],[Model]],表格3[Model-Input-Ref2],表格3[SRP PRICE])</f>
        <v>6600</v>
      </c>
      <c r="T3660" s="43">
        <f>表格1[[#This Row],[Unit Price]]/表格1[[#This Row],[SRP]]</f>
        <v>0.61030303030303035</v>
      </c>
      <c r="U3660" s="86" t="str">
        <f>_xlfn.XLOOKUP(表格1[[#This Row],[Model]],表格3[Model-Input-Ref2],表格3[TOSHIBA/HIGHEST])</f>
        <v>Shops Highest Price</v>
      </c>
      <c r="W3660" s="86" t="str">
        <f>_xlfn.CONCAT(表格1[[#This Row],[欄4]],表格1[[#This Row],[inv no]])</f>
        <v>5923402</v>
      </c>
    </row>
    <row r="3661" spans="1:23" hidden="1">
      <c r="A3661" s="81">
        <v>3659</v>
      </c>
      <c r="B3661" s="86" t="s">
        <v>1203</v>
      </c>
      <c r="C3661" s="86" t="s">
        <v>1964</v>
      </c>
      <c r="D3661" s="82" t="str">
        <f ca="1">OFFSET(Roster!$A$3,MATCH(表格1[[#This Row],[Location]]&amp;" "&amp;表格1[[#This Row],[Shop]]&amp;"*",Roster!$A$4:$A$72,0),DAY(表格1[[#This Row],[date]]),1,1)</f>
        <v>Lily Hon off</v>
      </c>
      <c r="E3661" s="86">
        <f>MONTH(表格1[[#This Row],[date]])</f>
        <v>3</v>
      </c>
      <c r="F3661" s="90">
        <v>46097</v>
      </c>
      <c r="G3661" s="86" t="str">
        <f>VLOOKUP("*"&amp;表格1[[#This Row],[Input]]&amp;"*",'Ref-List'!$B:$D,2,)</f>
        <v>Model-Input-Ref2</v>
      </c>
      <c r="H3661" s="86" t="e">
        <f>_xlfn.XLOOKUP(表格1[[#This Row],[Model]],表格3[Model-Input-Ref2],表格3[Product Line])</f>
        <v>#N/A</v>
      </c>
      <c r="I3661" s="86" t="e">
        <f>_xlfn.XLOOKUP(表格1[[#This Row],[Model]],表格3[Model-Input-Ref2],表格3[大小電])</f>
        <v>#N/A</v>
      </c>
      <c r="J3661" s="86" t="e">
        <f>_xlfn.XLOOKUP(表格1[[#This Row],[Model]],表格3[Model-Input-Ref2],表格3[Code])</f>
        <v>#N/A</v>
      </c>
      <c r="N3661" s="174">
        <f>IFERROR(表格1[[#This Row],[QTY]]*表格1[[#This Row],[Unit Price]],"-")</f>
        <v>0</v>
      </c>
      <c r="O3661" s="175"/>
      <c r="P3661" s="86" t="s">
        <v>2101</v>
      </c>
      <c r="R3661" s="86" t="str">
        <f>_xlfn.CONCAT(表格1[[#This Row],[Model]]," ",表格1[[#This Row],[inv no]])</f>
        <v xml:space="preserve">Model-Input-Ref2 </v>
      </c>
      <c r="S3661" s="86" t="e">
        <f>_xlfn.XLOOKUP(表格1[[#This Row],[Model]],表格3[Model-Input-Ref2],表格3[SRP PRICE])</f>
        <v>#N/A</v>
      </c>
      <c r="T3661" s="43" t="e">
        <f>表格1[[#This Row],[Unit Price]]/表格1[[#This Row],[SRP]]</f>
        <v>#N/A</v>
      </c>
      <c r="U3661" s="86" t="e">
        <f>_xlfn.XLOOKUP(表格1[[#This Row],[Model]],表格3[Model-Input-Ref2],表格3[TOSHIBA/HIGHEST])</f>
        <v>#N/A</v>
      </c>
      <c r="W3661" s="86" t="str">
        <f>_xlfn.CONCAT(表格1[[#This Row],[欄4]],表格1[[#This Row],[inv no]])</f>
        <v/>
      </c>
    </row>
    <row r="3662" spans="1:23" hidden="1">
      <c r="A3662" s="81">
        <v>3660</v>
      </c>
      <c r="B3662" s="86" t="s">
        <v>1203</v>
      </c>
      <c r="C3662" s="86" t="s">
        <v>1964</v>
      </c>
      <c r="D3662" s="82" t="str">
        <f ca="1">OFFSET(Roster!$A$3,MATCH(表格1[[#This Row],[Location]]&amp;" "&amp;表格1[[#This Row],[Shop]]&amp;"*",Roster!$A$4:$A$72,0),DAY(表格1[[#This Row],[date]]),1,1)</f>
        <v>Lily Hon</v>
      </c>
      <c r="E3662" s="86">
        <f>MONTH(表格1[[#This Row],[date]])</f>
        <v>3</v>
      </c>
      <c r="F3662" s="90">
        <v>46082</v>
      </c>
      <c r="G3662" s="86" t="str">
        <f>VLOOKUP("*"&amp;表格1[[#This Row],[Input]]&amp;"*",'Ref-List'!$B:$D,2,)</f>
        <v>AW-Q801APH(WW)</v>
      </c>
      <c r="H3662" s="86" t="str">
        <f>_xlfn.XLOOKUP(表格1[[#This Row],[Model]],表格3[Model-Input-Ref2],表格3[Product Line])</f>
        <v>日式洗衣機 (7公斤 結合高低水位)</v>
      </c>
      <c r="I3662" s="86" t="str">
        <f>_xlfn.XLOOKUP(表格1[[#This Row],[Model]],表格3[Model-Input-Ref2],表格3[大小電])</f>
        <v>大電</v>
      </c>
      <c r="J3662" s="86" t="str">
        <f>_xlfn.XLOOKUP(表格1[[#This Row],[Model]],表格3[Model-Input-Ref2],表格3[Code])</f>
        <v>LAD</v>
      </c>
      <c r="K3662" s="89" t="s">
        <v>1420</v>
      </c>
      <c r="L3662" s="86">
        <v>1</v>
      </c>
      <c r="M3662" s="87">
        <v>1980</v>
      </c>
      <c r="N3662" s="174">
        <f>IFERROR(表格1[[#This Row],[QTY]]*表格1[[#This Row],[Unit Price]],"-")</f>
        <v>1980</v>
      </c>
      <c r="O3662" s="175">
        <v>5973813</v>
      </c>
      <c r="R3662" s="86" t="str">
        <f>_xlfn.CONCAT(表格1[[#This Row],[Model]]," ",表格1[[#This Row],[inv no]])</f>
        <v>AW-Q801APH(WW) 5973813</v>
      </c>
      <c r="S3662" s="86">
        <f>_xlfn.XLOOKUP(表格1[[#This Row],[Model]],表格3[Model-Input-Ref2],表格3[SRP PRICE])</f>
        <v>3380</v>
      </c>
      <c r="T3662" s="43">
        <f>表格1[[#This Row],[Unit Price]]/表格1[[#This Row],[SRP]]</f>
        <v>0.58579881656804733</v>
      </c>
      <c r="U3662" s="86" t="str">
        <f>_xlfn.XLOOKUP(表格1[[#This Row],[Model]],表格3[Model-Input-Ref2],表格3[TOSHIBA/HIGHEST])</f>
        <v>Toshiba SRP</v>
      </c>
      <c r="W3662" s="86" t="str">
        <f>_xlfn.CONCAT(表格1[[#This Row],[欄4]],表格1[[#This Row],[inv no]])</f>
        <v>5973813</v>
      </c>
    </row>
    <row r="3663" spans="1:23" hidden="1">
      <c r="A3663" s="81">
        <v>3661</v>
      </c>
      <c r="B3663" s="86" t="s">
        <v>1203</v>
      </c>
      <c r="C3663" s="86" t="s">
        <v>1964</v>
      </c>
      <c r="D3663" s="82" t="str">
        <f ca="1">OFFSET(Roster!$A$3,MATCH(表格1[[#This Row],[Location]]&amp;" "&amp;表格1[[#This Row],[Shop]]&amp;"*",Roster!$A$4:$A$72,0),DAY(表格1[[#This Row],[date]]),1,1)</f>
        <v>Lily Hon</v>
      </c>
      <c r="E3663" s="86">
        <f>MONTH(表格1[[#This Row],[date]])</f>
        <v>3</v>
      </c>
      <c r="F3663" s="90">
        <v>46082</v>
      </c>
      <c r="G3663" s="86" t="str">
        <f>VLOOKUP("*"&amp;表格1[[#This Row],[Input]]&amp;"*",'Ref-List'!$B:$D,2,)</f>
        <v>AW-Q901BPH(WW)</v>
      </c>
      <c r="H3663" s="86" t="str">
        <f>_xlfn.XLOOKUP(表格1[[#This Row],[Model]],表格3[Model-Input-Ref2],表格3[Product Line])</f>
        <v>日式洗衣機 (8公斤 結合高低水位)</v>
      </c>
      <c r="I3663" s="86" t="str">
        <f>_xlfn.XLOOKUP(表格1[[#This Row],[Model]],表格3[Model-Input-Ref2],表格3[大小電])</f>
        <v>大電</v>
      </c>
      <c r="J3663" s="86" t="str">
        <f>_xlfn.XLOOKUP(表格1[[#This Row],[Model]],表格3[Model-Input-Ref2],表格3[Code])</f>
        <v>LAD</v>
      </c>
      <c r="K3663" s="89" t="s">
        <v>1411</v>
      </c>
      <c r="L3663" s="86">
        <v>1</v>
      </c>
      <c r="M3663" s="87">
        <v>2166</v>
      </c>
      <c r="N3663" s="174">
        <f>IFERROR(表格1[[#This Row],[QTY]]*表格1[[#This Row],[Unit Price]],"-")</f>
        <v>2166</v>
      </c>
      <c r="O3663" s="175">
        <v>5973814</v>
      </c>
      <c r="R3663" s="86" t="str">
        <f>_xlfn.CONCAT(表格1[[#This Row],[Model]]," ",表格1[[#This Row],[inv no]])</f>
        <v>AW-Q901BPH(WW) 5973814</v>
      </c>
      <c r="S3663" s="86">
        <f>_xlfn.XLOOKUP(表格1[[#This Row],[Model]],表格3[Model-Input-Ref2],表格3[SRP PRICE])</f>
        <v>3780</v>
      </c>
      <c r="T3663" s="43">
        <f>表格1[[#This Row],[Unit Price]]/表格1[[#This Row],[SRP]]</f>
        <v>0.57301587301587298</v>
      </c>
      <c r="U3663" s="86" t="str">
        <f>_xlfn.XLOOKUP(表格1[[#This Row],[Model]],表格3[Model-Input-Ref2],表格3[TOSHIBA/HIGHEST])</f>
        <v>Toshiba SRP</v>
      </c>
      <c r="W3663" s="86" t="str">
        <f>_xlfn.CONCAT(表格1[[#This Row],[欄4]],表格1[[#This Row],[inv no]])</f>
        <v>5973814</v>
      </c>
    </row>
    <row r="3664" spans="1:23" hidden="1">
      <c r="A3664" s="81">
        <v>3662</v>
      </c>
      <c r="B3664" s="86" t="s">
        <v>1203</v>
      </c>
      <c r="C3664" s="86" t="s">
        <v>1964</v>
      </c>
      <c r="D3664" s="82" t="str">
        <f ca="1">OFFSET(Roster!$A$3,MATCH(表格1[[#This Row],[Location]]&amp;" "&amp;表格1[[#This Row],[Shop]]&amp;"*",Roster!$A$4:$A$72,0),DAY(表格1[[#This Row],[date]]),1,1)</f>
        <v>Lily Hon</v>
      </c>
      <c r="E3664" s="86">
        <f>MONTH(表格1[[#This Row],[date]])</f>
        <v>3</v>
      </c>
      <c r="F3664" s="90">
        <v>46085</v>
      </c>
      <c r="G3664" s="86" t="str">
        <f>VLOOKUP("*"&amp;表格1[[#This Row],[Input]]&amp;"*",'Ref-List'!$B:$D,2,)</f>
        <v>GR-RT234WE-PMA(57)</v>
      </c>
      <c r="H3664" s="86" t="str">
        <f>_xlfn.XLOOKUP(表格1[[#This Row],[Model]],表格3[Model-Input-Ref2],表格3[Product Line])</f>
        <v>變頻式環保雙門雪櫃（179L）</v>
      </c>
      <c r="I3664" s="86" t="str">
        <f>_xlfn.XLOOKUP(表格1[[#This Row],[Model]],表格3[Model-Input-Ref2],表格3[大小電])</f>
        <v>大電</v>
      </c>
      <c r="J3664" s="86" t="str">
        <f>_xlfn.XLOOKUP(表格1[[#This Row],[Model]],表格3[Model-Input-Ref2],表格3[Code])</f>
        <v>REF</v>
      </c>
      <c r="K3664" s="89" t="s">
        <v>1423</v>
      </c>
      <c r="L3664" s="86">
        <v>1</v>
      </c>
      <c r="M3664" s="87">
        <v>1980</v>
      </c>
      <c r="N3664" s="174">
        <f>IFERROR(表格1[[#This Row],[QTY]]*表格1[[#This Row],[Unit Price]],"-")</f>
        <v>1980</v>
      </c>
      <c r="O3664" s="175">
        <v>6138136</v>
      </c>
      <c r="R3664" s="86" t="str">
        <f>_xlfn.CONCAT(表格1[[#This Row],[Model]]," ",表格1[[#This Row],[inv no]])</f>
        <v>GR-RT234WE-PMA(57) 6138136</v>
      </c>
      <c r="S3664" s="86">
        <f>_xlfn.XLOOKUP(表格1[[#This Row],[Model]],表格3[Model-Input-Ref2],表格3[SRP PRICE])</f>
        <v>3680</v>
      </c>
      <c r="T3664" s="43">
        <f>表格1[[#This Row],[Unit Price]]/表格1[[#This Row],[SRP]]</f>
        <v>0.53804347826086951</v>
      </c>
      <c r="U3664" s="86" t="str">
        <f>_xlfn.XLOOKUP(表格1[[#This Row],[Model]],表格3[Model-Input-Ref2],表格3[TOSHIBA/HIGHEST])</f>
        <v>Toshiba SRP</v>
      </c>
      <c r="W3664" s="86" t="str">
        <f>_xlfn.CONCAT(表格1[[#This Row],[欄4]],表格1[[#This Row],[inv no]])</f>
        <v>6138136</v>
      </c>
    </row>
    <row r="3665" spans="1:23" hidden="1">
      <c r="A3665" s="81">
        <v>3663</v>
      </c>
      <c r="B3665" s="86" t="s">
        <v>1203</v>
      </c>
      <c r="C3665" s="86" t="s">
        <v>1964</v>
      </c>
      <c r="D3665" s="82" t="str">
        <f ca="1">OFFSET(Roster!$A$3,MATCH(表格1[[#This Row],[Location]]&amp;" "&amp;表格1[[#This Row],[Shop]]&amp;"*",Roster!$A$4:$A$72,0),DAY(表格1[[#This Row],[date]]),1,1)</f>
        <v>Lily Hon off</v>
      </c>
      <c r="E3665" s="86">
        <f>MONTH(表格1[[#This Row],[date]])</f>
        <v>3</v>
      </c>
      <c r="F3665" s="90">
        <v>46086</v>
      </c>
      <c r="G3665" s="86" t="str">
        <f>VLOOKUP("*"&amp;表格1[[#This Row],[Input]]&amp;"*",'Ref-List'!$B:$D,2,)</f>
        <v>TW-T22BU85UWH(WK)-B</v>
      </c>
      <c r="H3665" s="86" t="str">
        <f>_xlfn.XLOOKUP(表格1[[#This Row],[Model]],表格3[Model-Input-Ref2],表格3[Product Line])</f>
        <v>470MM超薄身前置式變頻洗衣機(7.5公斤, 可飛頂)</v>
      </c>
      <c r="I3665" s="86" t="str">
        <f>_xlfn.XLOOKUP(表格1[[#This Row],[Model]],表格3[Model-Input-Ref2],表格3[大小電])</f>
        <v>大電</v>
      </c>
      <c r="J3665" s="86" t="str">
        <f>_xlfn.XLOOKUP(表格1[[#This Row],[Model]],表格3[Model-Input-Ref2],表格3[Code])</f>
        <v>LAD</v>
      </c>
      <c r="K3665" s="89" t="s">
        <v>972</v>
      </c>
      <c r="L3665" s="86">
        <v>1</v>
      </c>
      <c r="M3665" s="87">
        <v>3306</v>
      </c>
      <c r="N3665" s="174">
        <f>IFERROR(表格1[[#This Row],[QTY]]*表格1[[#This Row],[Unit Price]],"-")</f>
        <v>3306</v>
      </c>
      <c r="O3665" s="175">
        <v>5973815</v>
      </c>
      <c r="R3665" s="86" t="str">
        <f>_xlfn.CONCAT(表格1[[#This Row],[Model]]," ",表格1[[#This Row],[inv no]])</f>
        <v>TW-T22BU85UWH(WK)-B 5973815</v>
      </c>
      <c r="S3665" s="86">
        <f>_xlfn.XLOOKUP(表格1[[#This Row],[Model]],表格3[Model-Input-Ref2],表格3[SRP PRICE])</f>
        <v>5480</v>
      </c>
      <c r="T3665" s="43">
        <f>表格1[[#This Row],[Unit Price]]/表格1[[#This Row],[SRP]]</f>
        <v>0.60328467153284671</v>
      </c>
      <c r="U3665" s="86" t="str">
        <f>_xlfn.XLOOKUP(表格1[[#This Row],[Model]],表格3[Model-Input-Ref2],表格3[TOSHIBA/HIGHEST])</f>
        <v>Toshiba SRP</v>
      </c>
      <c r="W3665" s="86" t="str">
        <f>_xlfn.CONCAT(表格1[[#This Row],[欄4]],表格1[[#This Row],[inv no]])</f>
        <v>5973815</v>
      </c>
    </row>
    <row r="3666" spans="1:23" hidden="1">
      <c r="A3666" s="81">
        <v>3664</v>
      </c>
      <c r="B3666" s="86" t="s">
        <v>1203</v>
      </c>
      <c r="C3666" s="86" t="s">
        <v>1964</v>
      </c>
      <c r="D3666" s="82" t="str">
        <f ca="1">OFFSET(Roster!$A$3,MATCH(表格1[[#This Row],[Location]]&amp;" "&amp;表格1[[#This Row],[Shop]]&amp;"*",Roster!$A$4:$A$72,0),DAY(表格1[[#This Row],[date]]),1,1)</f>
        <v>Lily Hon</v>
      </c>
      <c r="E3666" s="86">
        <f>MONTH(表格1[[#This Row],[date]])</f>
        <v>3</v>
      </c>
      <c r="F3666" s="90">
        <v>46087</v>
      </c>
      <c r="G3666" s="86" t="str">
        <f>VLOOKUP("*"&amp;表格1[[#This Row],[Input]]&amp;"*",'Ref-List'!$B:$D,2,)</f>
        <v>GR-RB221WE-PMA(57)</v>
      </c>
      <c r="H3666" s="86" t="str">
        <f>_xlfn.XLOOKUP(表格1[[#This Row],[Model]],表格3[Model-Input-Ref2],表格3[Product Line])</f>
        <v>變頻下置式雙門雪櫃（163L）</v>
      </c>
      <c r="I3666" s="86" t="str">
        <f>_xlfn.XLOOKUP(表格1[[#This Row],[Model]],表格3[Model-Input-Ref2],表格3[大小電])</f>
        <v>大電</v>
      </c>
      <c r="J3666" s="86" t="str">
        <f>_xlfn.XLOOKUP(表格1[[#This Row],[Model]],表格3[Model-Input-Ref2],表格3[Code])</f>
        <v>REF</v>
      </c>
      <c r="K3666" s="89" t="s">
        <v>1386</v>
      </c>
      <c r="L3666" s="86">
        <v>1</v>
      </c>
      <c r="M3666" s="87">
        <v>2080</v>
      </c>
      <c r="N3666" s="174">
        <f>IFERROR(表格1[[#This Row],[QTY]]*表格1[[#This Row],[Unit Price]],"-")</f>
        <v>2080</v>
      </c>
      <c r="O3666" s="175">
        <v>5970431</v>
      </c>
      <c r="R3666" s="86" t="str">
        <f>_xlfn.CONCAT(表格1[[#This Row],[Model]]," ",表格1[[#This Row],[inv no]])</f>
        <v>GR-RB221WE-PMA(57) 5970431</v>
      </c>
      <c r="S3666" s="86">
        <f>_xlfn.XLOOKUP(表格1[[#This Row],[Model]],表格3[Model-Input-Ref2],表格3[SRP PRICE])</f>
        <v>3480</v>
      </c>
      <c r="T3666" s="43">
        <f>表格1[[#This Row],[Unit Price]]/表格1[[#This Row],[SRP]]</f>
        <v>0.5977011494252874</v>
      </c>
      <c r="U3666" s="86" t="str">
        <f>_xlfn.XLOOKUP(表格1[[#This Row],[Model]],表格3[Model-Input-Ref2],表格3[TOSHIBA/HIGHEST])</f>
        <v>Toshiba SRP</v>
      </c>
      <c r="W3666" s="86" t="str">
        <f>_xlfn.CONCAT(表格1[[#This Row],[欄4]],表格1[[#This Row],[inv no]])</f>
        <v>5970431</v>
      </c>
    </row>
    <row r="3667" spans="1:23" hidden="1">
      <c r="A3667" s="81">
        <v>3665</v>
      </c>
      <c r="B3667" s="86" t="s">
        <v>1203</v>
      </c>
      <c r="C3667" s="86" t="s">
        <v>1964</v>
      </c>
      <c r="D3667" s="82" t="str">
        <f ca="1">OFFSET(Roster!$A$3,MATCH(表格1[[#This Row],[Location]]&amp;" "&amp;表格1[[#This Row],[Shop]]&amp;"*",Roster!$A$4:$A$72,0),DAY(表格1[[#This Row],[date]]),1,1)</f>
        <v>Lily Hon</v>
      </c>
      <c r="E3667" s="86">
        <f>MONTH(表格1[[#This Row],[date]])</f>
        <v>3</v>
      </c>
      <c r="F3667" s="90">
        <v>46089</v>
      </c>
      <c r="G3667" s="86" t="str">
        <f>VLOOKUP("*"&amp;表格1[[#This Row],[Input]]&amp;"*",'Ref-List'!$B:$D,2,)</f>
        <v>GR-RT300WE-PMA(57)</v>
      </c>
      <c r="H3667" s="86" t="str">
        <f>_xlfn.XLOOKUP(表格1[[#This Row],[Model]],表格3[Model-Input-Ref2],表格3[Product Line])</f>
        <v>變頻式環保雙門雪櫃(233L)</v>
      </c>
      <c r="I3667" s="86" t="str">
        <f>_xlfn.XLOOKUP(表格1[[#This Row],[Model]],表格3[Model-Input-Ref2],表格3[大小電])</f>
        <v>大電</v>
      </c>
      <c r="J3667" s="86" t="str">
        <f>_xlfn.XLOOKUP(表格1[[#This Row],[Model]],表格3[Model-Input-Ref2],表格3[Code])</f>
        <v>REF</v>
      </c>
      <c r="K3667" s="89" t="s">
        <v>1462</v>
      </c>
      <c r="L3667" s="86">
        <v>1</v>
      </c>
      <c r="M3667" s="87">
        <v>2780</v>
      </c>
      <c r="N3667" s="174">
        <f>IFERROR(表格1[[#This Row],[QTY]]*表格1[[#This Row],[Unit Price]],"-")</f>
        <v>2780</v>
      </c>
      <c r="O3667" s="175">
        <v>6091129</v>
      </c>
      <c r="R3667" s="86" t="str">
        <f>_xlfn.CONCAT(表格1[[#This Row],[Model]]," ",表格1[[#This Row],[inv no]])</f>
        <v>GR-RT300WE-PMA(57) 6091129</v>
      </c>
      <c r="S3667" s="86">
        <f>_xlfn.XLOOKUP(表格1[[#This Row],[Model]],表格3[Model-Input-Ref2],表格3[SRP PRICE])</f>
        <v>4280</v>
      </c>
      <c r="T3667" s="43">
        <f>表格1[[#This Row],[Unit Price]]/表格1[[#This Row],[SRP]]</f>
        <v>0.64953271028037385</v>
      </c>
      <c r="U3667" s="86" t="str">
        <f>_xlfn.XLOOKUP(表格1[[#This Row],[Model]],表格3[Model-Input-Ref2],表格3[TOSHIBA/HIGHEST])</f>
        <v>Toshiba SRP</v>
      </c>
      <c r="W3667" s="86" t="str">
        <f>_xlfn.CONCAT(表格1[[#This Row],[欄4]],表格1[[#This Row],[inv no]])</f>
        <v>6091129</v>
      </c>
    </row>
    <row r="3668" spans="1:23" hidden="1">
      <c r="A3668" s="81">
        <v>3666</v>
      </c>
      <c r="B3668" s="86" t="s">
        <v>1203</v>
      </c>
      <c r="C3668" s="86" t="s">
        <v>1964</v>
      </c>
      <c r="D3668" s="82" t="str">
        <f ca="1">OFFSET(Roster!$A$3,MATCH(表格1[[#This Row],[Location]]&amp;" "&amp;表格1[[#This Row],[Shop]]&amp;"*",Roster!$A$4:$A$72,0),DAY(表格1[[#This Row],[date]]),1,1)</f>
        <v>Lily Hon</v>
      </c>
      <c r="E3668" s="86">
        <f>MONTH(表格1[[#This Row],[date]])</f>
        <v>3</v>
      </c>
      <c r="F3668" s="90">
        <v>46090</v>
      </c>
      <c r="G3668" s="86" t="str">
        <f>VLOOKUP("*"&amp;表格1[[#This Row],[Input]]&amp;"*",'Ref-List'!$B:$D,2,)</f>
        <v>TW-T21BU80UWH(MG)</v>
      </c>
      <c r="H3668" s="86" t="str">
        <f>_xlfn.XLOOKUP(表格1[[#This Row],[Model]],表格3[Model-Input-Ref2],表格3[Product Line])</f>
        <v>400MM超薄身前置式變頻洗衣機(7公斤)</v>
      </c>
      <c r="I3668" s="86" t="str">
        <f>_xlfn.XLOOKUP(表格1[[#This Row],[Model]],表格3[Model-Input-Ref2],表格3[大小電])</f>
        <v>大電</v>
      </c>
      <c r="J3668" s="86" t="str">
        <f>_xlfn.XLOOKUP(表格1[[#This Row],[Model]],表格3[Model-Input-Ref2],表格3[Code])</f>
        <v>LAD</v>
      </c>
      <c r="K3668" s="89" t="s">
        <v>1280</v>
      </c>
      <c r="L3668" s="86">
        <v>1</v>
      </c>
      <c r="M3668" s="87">
        <v>3021</v>
      </c>
      <c r="N3668" s="174">
        <f>IFERROR(表格1[[#This Row],[QTY]]*表格1[[#This Row],[Unit Price]],"-")</f>
        <v>3021</v>
      </c>
      <c r="O3668" s="175">
        <v>5973818</v>
      </c>
      <c r="R3668" s="86" t="str">
        <f>_xlfn.CONCAT(表格1[[#This Row],[Model]]," ",表格1[[#This Row],[inv no]])</f>
        <v>TW-T21BU80UWH(MG) 5973818</v>
      </c>
      <c r="S3668" s="86">
        <f>_xlfn.XLOOKUP(表格1[[#This Row],[Model]],表格3[Model-Input-Ref2],表格3[SRP PRICE])</f>
        <v>5180</v>
      </c>
      <c r="T3668" s="43">
        <f>表格1[[#This Row],[Unit Price]]/表格1[[#This Row],[SRP]]</f>
        <v>0.58320463320463323</v>
      </c>
      <c r="U3668" s="86" t="str">
        <f>_xlfn.XLOOKUP(表格1[[#This Row],[Model]],表格3[Model-Input-Ref2],表格3[TOSHIBA/HIGHEST])</f>
        <v>Toshiba SRP</v>
      </c>
      <c r="W3668" s="86" t="str">
        <f>_xlfn.CONCAT(表格1[[#This Row],[欄4]],表格1[[#This Row],[inv no]])</f>
        <v>5973818</v>
      </c>
    </row>
    <row r="3669" spans="1:23" hidden="1">
      <c r="A3669" s="81">
        <v>3667</v>
      </c>
      <c r="B3669" s="86" t="s">
        <v>1203</v>
      </c>
      <c r="C3669" s="86" t="s">
        <v>1964</v>
      </c>
      <c r="D3669" s="82" t="str">
        <f ca="1">OFFSET(Roster!$A$3,MATCH(表格1[[#This Row],[Location]]&amp;" "&amp;表格1[[#This Row],[Shop]]&amp;"*",Roster!$A$4:$A$72,0),DAY(表格1[[#This Row],[date]]),1,1)</f>
        <v>Lily Hon</v>
      </c>
      <c r="E3669" s="86">
        <f>MONTH(表格1[[#This Row],[date]])</f>
        <v>3</v>
      </c>
      <c r="F3669" s="90">
        <v>46090</v>
      </c>
      <c r="G3669" s="86" t="str">
        <f>VLOOKUP("*"&amp;表格1[[#This Row],[Input]]&amp;"*",'Ref-List'!$B:$D,2,)</f>
        <v>GR-RB221WE-PMA(57)</v>
      </c>
      <c r="H3669" s="86" t="str">
        <f>_xlfn.XLOOKUP(表格1[[#This Row],[Model]],表格3[Model-Input-Ref2],表格3[Product Line])</f>
        <v>變頻下置式雙門雪櫃（163L）</v>
      </c>
      <c r="I3669" s="86" t="str">
        <f>_xlfn.XLOOKUP(表格1[[#This Row],[Model]],表格3[Model-Input-Ref2],表格3[大小電])</f>
        <v>大電</v>
      </c>
      <c r="J3669" s="86" t="str">
        <f>_xlfn.XLOOKUP(表格1[[#This Row],[Model]],表格3[Model-Input-Ref2],表格3[Code])</f>
        <v>REF</v>
      </c>
      <c r="K3669" s="89" t="s">
        <v>1386</v>
      </c>
      <c r="L3669" s="86">
        <v>1</v>
      </c>
      <c r="M3669" s="87">
        <v>2080</v>
      </c>
      <c r="N3669" s="174">
        <f>IFERROR(表格1[[#This Row],[QTY]]*表格1[[#This Row],[Unit Price]],"-")</f>
        <v>2080</v>
      </c>
      <c r="O3669" s="175">
        <v>6991130</v>
      </c>
      <c r="R3669" s="86" t="str">
        <f>_xlfn.CONCAT(表格1[[#This Row],[Model]]," ",表格1[[#This Row],[inv no]])</f>
        <v>GR-RB221WE-PMA(57) 6991130</v>
      </c>
      <c r="S3669" s="86">
        <f>_xlfn.XLOOKUP(表格1[[#This Row],[Model]],表格3[Model-Input-Ref2],表格3[SRP PRICE])</f>
        <v>3480</v>
      </c>
      <c r="T3669" s="43">
        <f>表格1[[#This Row],[Unit Price]]/表格1[[#This Row],[SRP]]</f>
        <v>0.5977011494252874</v>
      </c>
      <c r="U3669" s="86" t="str">
        <f>_xlfn.XLOOKUP(表格1[[#This Row],[Model]],表格3[Model-Input-Ref2],表格3[TOSHIBA/HIGHEST])</f>
        <v>Toshiba SRP</v>
      </c>
      <c r="W3669" s="86" t="str">
        <f>_xlfn.CONCAT(表格1[[#This Row],[欄4]],表格1[[#This Row],[inv no]])</f>
        <v>6991130</v>
      </c>
    </row>
    <row r="3670" spans="1:23" hidden="1">
      <c r="A3670" s="81">
        <v>3668</v>
      </c>
      <c r="B3670" s="86" t="s">
        <v>1203</v>
      </c>
      <c r="C3670" s="86" t="s">
        <v>1964</v>
      </c>
      <c r="D3670" s="82" t="str">
        <f ca="1">OFFSET(Roster!$A$3,MATCH(表格1[[#This Row],[Location]]&amp;" "&amp;表格1[[#This Row],[Shop]]&amp;"*",Roster!$A$4:$A$72,0),DAY(表格1[[#This Row],[date]]),1,1)</f>
        <v>Lily Hon off</v>
      </c>
      <c r="E3670" s="86">
        <f>MONTH(表格1[[#This Row],[date]])</f>
        <v>3</v>
      </c>
      <c r="F3670" s="90">
        <v>46095</v>
      </c>
      <c r="G3670" s="86" t="str">
        <f>VLOOKUP("*"&amp;表格1[[#This Row],[Input]]&amp;"*",'Ref-List'!$B:$D,2,)</f>
        <v>GR-RT300WE-PMA(57)</v>
      </c>
      <c r="H3670" s="86" t="str">
        <f>_xlfn.XLOOKUP(表格1[[#This Row],[Model]],表格3[Model-Input-Ref2],表格3[Product Line])</f>
        <v>變頻式環保雙門雪櫃(233L)</v>
      </c>
      <c r="I3670" s="86" t="str">
        <f>_xlfn.XLOOKUP(表格1[[#This Row],[Model]],表格3[Model-Input-Ref2],表格3[大小電])</f>
        <v>大電</v>
      </c>
      <c r="J3670" s="86" t="str">
        <f>_xlfn.XLOOKUP(表格1[[#This Row],[Model]],表格3[Model-Input-Ref2],表格3[Code])</f>
        <v>REF</v>
      </c>
      <c r="K3670" s="89" t="s">
        <v>1462</v>
      </c>
      <c r="L3670" s="86">
        <v>1</v>
      </c>
      <c r="M3670" s="87">
        <v>2641</v>
      </c>
      <c r="N3670" s="174">
        <f>IFERROR(表格1[[#This Row],[QTY]]*表格1[[#This Row],[Unit Price]],"-")</f>
        <v>2641</v>
      </c>
      <c r="O3670" s="175">
        <v>6091135</v>
      </c>
      <c r="R3670" s="86" t="str">
        <f>_xlfn.CONCAT(表格1[[#This Row],[Model]]," ",表格1[[#This Row],[inv no]])</f>
        <v>GR-RT300WE-PMA(57) 6091135</v>
      </c>
      <c r="S3670" s="86">
        <f>_xlfn.XLOOKUP(表格1[[#This Row],[Model]],表格3[Model-Input-Ref2],表格3[SRP PRICE])</f>
        <v>4280</v>
      </c>
      <c r="T3670" s="43">
        <f>表格1[[#This Row],[Unit Price]]/表格1[[#This Row],[SRP]]</f>
        <v>0.61705607476635516</v>
      </c>
      <c r="U3670" s="86" t="str">
        <f>_xlfn.XLOOKUP(表格1[[#This Row],[Model]],表格3[Model-Input-Ref2],表格3[TOSHIBA/HIGHEST])</f>
        <v>Toshiba SRP</v>
      </c>
      <c r="W3670" s="86" t="str">
        <f>_xlfn.CONCAT(表格1[[#This Row],[欄4]],表格1[[#This Row],[inv no]])</f>
        <v>6091135</v>
      </c>
    </row>
    <row r="3671" spans="1:23" hidden="1">
      <c r="A3671" s="81">
        <v>3669</v>
      </c>
      <c r="B3671" s="86" t="s">
        <v>1203</v>
      </c>
      <c r="C3671" s="86" t="s">
        <v>1964</v>
      </c>
      <c r="D3671" s="82" t="str">
        <f ca="1">OFFSET(Roster!$A$3,MATCH(表格1[[#This Row],[Location]]&amp;" "&amp;表格1[[#This Row],[Shop]]&amp;"*",Roster!$A$4:$A$72,0),DAY(表格1[[#This Row],[date]]),1,1)</f>
        <v>Lily Hon off</v>
      </c>
      <c r="E3671" s="86">
        <f>MONTH(表格1[[#This Row],[date]])</f>
        <v>3</v>
      </c>
      <c r="F3671" s="90">
        <v>46101</v>
      </c>
      <c r="G3671" s="86" t="str">
        <f>VLOOKUP("*"&amp;表格1[[#This Row],[Input]]&amp;"*",'Ref-List'!$B:$D,2,)</f>
        <v>GR-RT300WE-PMA(57)</v>
      </c>
      <c r="H3671" s="86" t="str">
        <f>_xlfn.XLOOKUP(表格1[[#This Row],[Model]],表格3[Model-Input-Ref2],表格3[Product Line])</f>
        <v>變頻式環保雙門雪櫃(233L)</v>
      </c>
      <c r="I3671" s="86" t="str">
        <f>_xlfn.XLOOKUP(表格1[[#This Row],[Model]],表格3[Model-Input-Ref2],表格3[大小電])</f>
        <v>大電</v>
      </c>
      <c r="J3671" s="86" t="str">
        <f>_xlfn.XLOOKUP(表格1[[#This Row],[Model]],表格3[Model-Input-Ref2],表格3[Code])</f>
        <v>REF</v>
      </c>
      <c r="K3671" s="89" t="s">
        <v>1462</v>
      </c>
      <c r="L3671" s="86">
        <v>1</v>
      </c>
      <c r="M3671" s="87">
        <v>2641</v>
      </c>
      <c r="N3671" s="174">
        <f>IFERROR(表格1[[#This Row],[QTY]]*表格1[[#This Row],[Unit Price]],"-")</f>
        <v>2641</v>
      </c>
      <c r="O3671" s="175">
        <v>6091141</v>
      </c>
      <c r="R3671" s="86" t="str">
        <f>_xlfn.CONCAT(表格1[[#This Row],[Model]]," ",表格1[[#This Row],[inv no]])</f>
        <v>GR-RT300WE-PMA(57) 6091141</v>
      </c>
      <c r="S3671" s="86">
        <f>_xlfn.XLOOKUP(表格1[[#This Row],[Model]],表格3[Model-Input-Ref2],表格3[SRP PRICE])</f>
        <v>4280</v>
      </c>
      <c r="T3671" s="43">
        <f>表格1[[#This Row],[Unit Price]]/表格1[[#This Row],[SRP]]</f>
        <v>0.61705607476635516</v>
      </c>
      <c r="U3671" s="86" t="str">
        <f>_xlfn.XLOOKUP(表格1[[#This Row],[Model]],表格3[Model-Input-Ref2],表格3[TOSHIBA/HIGHEST])</f>
        <v>Toshiba SRP</v>
      </c>
      <c r="W3671" s="86" t="str">
        <f>_xlfn.CONCAT(表格1[[#This Row],[欄4]],表格1[[#This Row],[inv no]])</f>
        <v>6091141</v>
      </c>
    </row>
    <row r="3672" spans="1:23" hidden="1">
      <c r="A3672" s="81">
        <v>3670</v>
      </c>
      <c r="B3672" s="86" t="s">
        <v>1203</v>
      </c>
      <c r="C3672" s="86" t="s">
        <v>1964</v>
      </c>
      <c r="D3672" s="82" t="str">
        <f ca="1">OFFSET(Roster!$A$3,MATCH(表格1[[#This Row],[Location]]&amp;" "&amp;表格1[[#This Row],[Shop]]&amp;"*",Roster!$A$4:$A$72,0),DAY(表格1[[#This Row],[date]]),1,1)</f>
        <v>Lily Hon</v>
      </c>
      <c r="E3672" s="86">
        <f>MONTH(表格1[[#This Row],[date]])</f>
        <v>3</v>
      </c>
      <c r="F3672" s="90">
        <v>46105</v>
      </c>
      <c r="G3672" s="86" t="str">
        <f>VLOOKUP("*"&amp;表格1[[#This Row],[Input]]&amp;"*",'Ref-List'!$B:$D,2,)</f>
        <v>GR-RT234WE-PMA(57)</v>
      </c>
      <c r="H3672" s="86" t="str">
        <f>_xlfn.XLOOKUP(表格1[[#This Row],[Model]],表格3[Model-Input-Ref2],表格3[Product Line])</f>
        <v>變頻式環保雙門雪櫃（179L）</v>
      </c>
      <c r="I3672" s="86" t="str">
        <f>_xlfn.XLOOKUP(表格1[[#This Row],[Model]],表格3[Model-Input-Ref2],表格3[大小電])</f>
        <v>大電</v>
      </c>
      <c r="J3672" s="86" t="str">
        <f>_xlfn.XLOOKUP(表格1[[#This Row],[Model]],表格3[Model-Input-Ref2],表格3[Code])</f>
        <v>REF</v>
      </c>
      <c r="K3672" s="89" t="s">
        <v>1423</v>
      </c>
      <c r="L3672" s="86">
        <v>1</v>
      </c>
      <c r="M3672" s="87">
        <v>1980</v>
      </c>
      <c r="N3672" s="174">
        <f>IFERROR(表格1[[#This Row],[QTY]]*表格1[[#This Row],[Unit Price]],"-")</f>
        <v>1980</v>
      </c>
      <c r="O3672" s="175">
        <v>6083356</v>
      </c>
      <c r="R3672" s="86" t="str">
        <f>_xlfn.CONCAT(表格1[[#This Row],[Model]]," ",表格1[[#This Row],[inv no]])</f>
        <v>GR-RT234WE-PMA(57) 6083356</v>
      </c>
      <c r="S3672" s="86">
        <f>_xlfn.XLOOKUP(表格1[[#This Row],[Model]],表格3[Model-Input-Ref2],表格3[SRP PRICE])</f>
        <v>3680</v>
      </c>
      <c r="T3672" s="43">
        <f>表格1[[#This Row],[Unit Price]]/表格1[[#This Row],[SRP]]</f>
        <v>0.53804347826086951</v>
      </c>
      <c r="U3672" s="86" t="str">
        <f>_xlfn.XLOOKUP(表格1[[#This Row],[Model]],表格3[Model-Input-Ref2],表格3[TOSHIBA/HIGHEST])</f>
        <v>Toshiba SRP</v>
      </c>
      <c r="W3672" s="86" t="str">
        <f>_xlfn.CONCAT(表格1[[#This Row],[欄4]],表格1[[#This Row],[inv no]])</f>
        <v>6083356</v>
      </c>
    </row>
    <row r="3673" spans="1:23" hidden="1">
      <c r="A3673" s="81">
        <v>3671</v>
      </c>
      <c r="B3673" s="86" t="s">
        <v>1203</v>
      </c>
      <c r="C3673" s="86" t="s">
        <v>1964</v>
      </c>
      <c r="D3673" s="82" t="str">
        <f ca="1">OFFSET(Roster!$A$3,MATCH(表格1[[#This Row],[Location]]&amp;" "&amp;表格1[[#This Row],[Shop]]&amp;"*",Roster!$A$4:$A$72,0),DAY(表格1[[#This Row],[date]]),1,1)</f>
        <v>Lily Hon</v>
      </c>
      <c r="E3673" s="86">
        <f>MONTH(表格1[[#This Row],[date]])</f>
        <v>3</v>
      </c>
      <c r="F3673" s="90">
        <v>46105</v>
      </c>
      <c r="G3673" s="86" t="str">
        <f>VLOOKUP("*"&amp;表格1[[#This Row],[Input]]&amp;"*",'Ref-List'!$B:$D,2,)</f>
        <v>GR-RT234WE-PMA(57)</v>
      </c>
      <c r="H3673" s="86" t="str">
        <f>_xlfn.XLOOKUP(表格1[[#This Row],[Model]],表格3[Model-Input-Ref2],表格3[Product Line])</f>
        <v>變頻式環保雙門雪櫃（179L）</v>
      </c>
      <c r="I3673" s="86" t="str">
        <f>_xlfn.XLOOKUP(表格1[[#This Row],[Model]],表格3[Model-Input-Ref2],表格3[大小電])</f>
        <v>大電</v>
      </c>
      <c r="J3673" s="86" t="str">
        <f>_xlfn.XLOOKUP(表格1[[#This Row],[Model]],表格3[Model-Input-Ref2],表格3[Code])</f>
        <v>REF</v>
      </c>
      <c r="K3673" s="89" t="s">
        <v>1423</v>
      </c>
      <c r="L3673" s="86">
        <v>1</v>
      </c>
      <c r="M3673" s="87">
        <v>1881</v>
      </c>
      <c r="N3673" s="174">
        <f>IFERROR(表格1[[#This Row],[QTY]]*表格1[[#This Row],[Unit Price]],"-")</f>
        <v>1881</v>
      </c>
      <c r="O3673" s="175">
        <v>6083353</v>
      </c>
      <c r="R3673" s="86" t="str">
        <f>_xlfn.CONCAT(表格1[[#This Row],[Model]]," ",表格1[[#This Row],[inv no]])</f>
        <v>GR-RT234WE-PMA(57) 6083353</v>
      </c>
      <c r="S3673" s="86">
        <f>_xlfn.XLOOKUP(表格1[[#This Row],[Model]],表格3[Model-Input-Ref2],表格3[SRP PRICE])</f>
        <v>3680</v>
      </c>
      <c r="T3673" s="43">
        <f>表格1[[#This Row],[Unit Price]]/表格1[[#This Row],[SRP]]</f>
        <v>0.51114130434782612</v>
      </c>
      <c r="U3673" s="86" t="str">
        <f>_xlfn.XLOOKUP(表格1[[#This Row],[Model]],表格3[Model-Input-Ref2],表格3[TOSHIBA/HIGHEST])</f>
        <v>Toshiba SRP</v>
      </c>
      <c r="W3673" s="86" t="str">
        <f>_xlfn.CONCAT(表格1[[#This Row],[欄4]],表格1[[#This Row],[inv no]])</f>
        <v>6083353</v>
      </c>
    </row>
    <row r="3674" spans="1:23" hidden="1">
      <c r="A3674" s="81">
        <v>3672</v>
      </c>
      <c r="B3674" s="86" t="s">
        <v>1203</v>
      </c>
      <c r="C3674" s="86" t="s">
        <v>1964</v>
      </c>
      <c r="D3674" s="82" t="str">
        <f ca="1">OFFSET(Roster!$A$3,MATCH(表格1[[#This Row],[Location]]&amp;" "&amp;表格1[[#This Row],[Shop]]&amp;"*",Roster!$A$4:$A$72,0),DAY(表格1[[#This Row],[date]]),1,1)</f>
        <v>Lily Hon</v>
      </c>
      <c r="E3674" s="86">
        <f>MONTH(表格1[[#This Row],[date]])</f>
        <v>3</v>
      </c>
      <c r="F3674" s="90">
        <v>46106</v>
      </c>
      <c r="G3674" s="86" t="str">
        <f>VLOOKUP("*"&amp;表格1[[#This Row],[Input]]&amp;"*",'Ref-List'!$B:$D,2,)</f>
        <v>AW-Q801APH(WW)</v>
      </c>
      <c r="H3674" s="86" t="str">
        <f>_xlfn.XLOOKUP(表格1[[#This Row],[Model]],表格3[Model-Input-Ref2],表格3[Product Line])</f>
        <v>日式洗衣機 (7公斤 結合高低水位)</v>
      </c>
      <c r="I3674" s="86" t="str">
        <f>_xlfn.XLOOKUP(表格1[[#This Row],[Model]],表格3[Model-Input-Ref2],表格3[大小電])</f>
        <v>大電</v>
      </c>
      <c r="J3674" s="86" t="str">
        <f>_xlfn.XLOOKUP(表格1[[#This Row],[Model]],表格3[Model-Input-Ref2],表格3[Code])</f>
        <v>LAD</v>
      </c>
      <c r="K3674" s="89" t="s">
        <v>1420</v>
      </c>
      <c r="L3674" s="86">
        <v>1</v>
      </c>
      <c r="M3674" s="87">
        <v>1980</v>
      </c>
      <c r="N3674" s="174">
        <f>IFERROR(表格1[[#This Row],[QTY]]*表格1[[#This Row],[Unit Price]],"-")</f>
        <v>1980</v>
      </c>
      <c r="O3674" s="175">
        <v>5973822</v>
      </c>
      <c r="R3674" s="86" t="str">
        <f>_xlfn.CONCAT(表格1[[#This Row],[Model]]," ",表格1[[#This Row],[inv no]])</f>
        <v>AW-Q801APH(WW) 5973822</v>
      </c>
      <c r="S3674" s="86">
        <f>_xlfn.XLOOKUP(表格1[[#This Row],[Model]],表格3[Model-Input-Ref2],表格3[SRP PRICE])</f>
        <v>3380</v>
      </c>
      <c r="T3674" s="43">
        <f>表格1[[#This Row],[Unit Price]]/表格1[[#This Row],[SRP]]</f>
        <v>0.58579881656804733</v>
      </c>
      <c r="U3674" s="86" t="str">
        <f>_xlfn.XLOOKUP(表格1[[#This Row],[Model]],表格3[Model-Input-Ref2],表格3[TOSHIBA/HIGHEST])</f>
        <v>Toshiba SRP</v>
      </c>
      <c r="W3674" s="86" t="str">
        <f>_xlfn.CONCAT(表格1[[#This Row],[欄4]],表格1[[#This Row],[inv no]])</f>
        <v>5973822</v>
      </c>
    </row>
    <row r="3675" spans="1:23" hidden="1">
      <c r="A3675" s="81">
        <v>3673</v>
      </c>
      <c r="B3675" s="86" t="s">
        <v>1203</v>
      </c>
      <c r="C3675" s="86" t="s">
        <v>1964</v>
      </c>
      <c r="D3675" s="82" t="str">
        <f ca="1">OFFSET(Roster!$A$3,MATCH(表格1[[#This Row],[Location]]&amp;" "&amp;表格1[[#This Row],[Shop]]&amp;"*",Roster!$A$4:$A$72,0),DAY(表格1[[#This Row],[date]]),1,1)</f>
        <v>Lily Hon</v>
      </c>
      <c r="E3675" s="86">
        <f>MONTH(表格1[[#This Row],[date]])</f>
        <v>3</v>
      </c>
      <c r="F3675" s="90">
        <v>46082</v>
      </c>
      <c r="G3675" s="86" t="str">
        <f>VLOOKUP("*"&amp;表格1[[#This Row],[Input]]&amp;"*",'Ref-List'!$B:$D,2,)</f>
        <v>KT-17SHNH</v>
      </c>
      <c r="H3675" s="86" t="str">
        <f>_xlfn.XLOOKUP(表格1[[#This Row],[Model]],表格3[Model-Input-Ref2],表格3[Product Line])</f>
        <v>1.7L無線雙層電熱水壺</v>
      </c>
      <c r="I3675" s="86" t="str">
        <f>_xlfn.XLOOKUP(表格1[[#This Row],[Model]],表格3[Model-Input-Ref2],表格3[大小電])</f>
        <v>細電</v>
      </c>
      <c r="J3675" s="86" t="str">
        <f>_xlfn.XLOOKUP(表格1[[#This Row],[Model]],表格3[Model-Input-Ref2],表格3[Code])</f>
        <v>SDA</v>
      </c>
      <c r="K3675" s="89" t="s">
        <v>1283</v>
      </c>
      <c r="L3675" s="86">
        <v>1</v>
      </c>
      <c r="M3675" s="87">
        <v>180.5</v>
      </c>
      <c r="N3675" s="174">
        <f>IFERROR(表格1[[#This Row],[QTY]]*表格1[[#This Row],[Unit Price]],"-")</f>
        <v>180.5</v>
      </c>
      <c r="O3675" s="175"/>
      <c r="R3675" s="86" t="str">
        <f>_xlfn.CONCAT(表格1[[#This Row],[Model]]," ",表格1[[#This Row],[inv no]])</f>
        <v xml:space="preserve">KT-17SHNH </v>
      </c>
      <c r="S3675" s="86">
        <f>_xlfn.XLOOKUP(表格1[[#This Row],[Model]],表格3[Model-Input-Ref2],表格3[SRP PRICE])</f>
        <v>299</v>
      </c>
      <c r="T3675" s="43">
        <f>表格1[[#This Row],[Unit Price]]/表格1[[#This Row],[SRP]]</f>
        <v>0.60367892976588633</v>
      </c>
      <c r="U3675" s="86" t="str">
        <f>_xlfn.XLOOKUP(表格1[[#This Row],[Model]],表格3[Model-Input-Ref2],表格3[TOSHIBA/HIGHEST])</f>
        <v>Shops Highest Price</v>
      </c>
      <c r="W3675" s="86" t="str">
        <f>_xlfn.CONCAT(表格1[[#This Row],[欄4]],表格1[[#This Row],[inv no]])</f>
        <v/>
      </c>
    </row>
    <row r="3676" spans="1:23" hidden="1">
      <c r="A3676" s="81">
        <v>3674</v>
      </c>
      <c r="B3676" s="86" t="s">
        <v>1203</v>
      </c>
      <c r="C3676" s="86" t="s">
        <v>1964</v>
      </c>
      <c r="D3676" s="82" t="str">
        <f ca="1">OFFSET(Roster!$A$3,MATCH(表格1[[#This Row],[Location]]&amp;" "&amp;表格1[[#This Row],[Shop]]&amp;"*",Roster!$A$4:$A$72,0),DAY(表格1[[#This Row],[date]]),1,1)</f>
        <v>Lily Hon</v>
      </c>
      <c r="E3676" s="86">
        <f>MONTH(表格1[[#This Row],[date]])</f>
        <v>3</v>
      </c>
      <c r="F3676" s="90">
        <v>46082</v>
      </c>
      <c r="G3676" s="86" t="str">
        <f>VLOOKUP("*"&amp;表格1[[#This Row],[Input]]&amp;"*",'Ref-List'!$B:$D,2,)</f>
        <v>MW3-SAC24SE(BK)</v>
      </c>
      <c r="H3676" s="86" t="str">
        <f>_xlfn.XLOOKUP(表格1[[#This Row],[Model]],表格3[Model-Input-Ref2],表格3[Product Line])</f>
        <v>智能氣炸烤焗爐(24公升)</v>
      </c>
      <c r="I3676" s="86" t="str">
        <f>_xlfn.XLOOKUP(表格1[[#This Row],[Model]],表格3[Model-Input-Ref2],表格3[大小電])</f>
        <v>細電</v>
      </c>
      <c r="J3676" s="86" t="str">
        <f>_xlfn.XLOOKUP(表格1[[#This Row],[Model]],表格3[Model-Input-Ref2],表格3[Code])</f>
        <v>MCA</v>
      </c>
      <c r="K3676" s="89" t="s">
        <v>1274</v>
      </c>
      <c r="L3676" s="86">
        <v>1</v>
      </c>
      <c r="M3676" s="87">
        <v>1320.5</v>
      </c>
      <c r="N3676" s="174">
        <f>IFERROR(表格1[[#This Row],[QTY]]*表格1[[#This Row],[Unit Price]],"-")</f>
        <v>1320.5</v>
      </c>
      <c r="O3676" s="175"/>
      <c r="R3676" s="86" t="str">
        <f>_xlfn.CONCAT(表格1[[#This Row],[Model]]," ",表格1[[#This Row],[inv no]])</f>
        <v xml:space="preserve">MW3-SAC24SE(BK) </v>
      </c>
      <c r="S3676" s="86">
        <f>_xlfn.XLOOKUP(表格1[[#This Row],[Model]],表格3[Model-Input-Ref2],表格3[SRP PRICE])</f>
        <v>1680</v>
      </c>
      <c r="T3676" s="43">
        <f>表格1[[#This Row],[Unit Price]]/表格1[[#This Row],[SRP]]</f>
        <v>0.78601190476190474</v>
      </c>
      <c r="U3676" s="86" t="str">
        <f>_xlfn.XLOOKUP(表格1[[#This Row],[Model]],表格3[Model-Input-Ref2],表格3[TOSHIBA/HIGHEST])</f>
        <v>Toshiba SRP</v>
      </c>
      <c r="W3676" s="86" t="str">
        <f>_xlfn.CONCAT(表格1[[#This Row],[欄4]],表格1[[#This Row],[inv no]])</f>
        <v/>
      </c>
    </row>
    <row r="3677" spans="1:23" hidden="1">
      <c r="A3677" s="81">
        <v>3675</v>
      </c>
      <c r="B3677" s="86" t="s">
        <v>1203</v>
      </c>
      <c r="C3677" s="86" t="s">
        <v>1964</v>
      </c>
      <c r="D3677" s="82" t="str">
        <f ca="1">OFFSET(Roster!$A$3,MATCH(表格1[[#This Row],[Location]]&amp;" "&amp;表格1[[#This Row],[Shop]]&amp;"*",Roster!$A$4:$A$72,0),DAY(表格1[[#This Row],[date]]),1,1)</f>
        <v>Lily Hon</v>
      </c>
      <c r="E3677" s="86">
        <f>MONTH(表格1[[#This Row],[date]])</f>
        <v>3</v>
      </c>
      <c r="F3677" s="90">
        <v>46082</v>
      </c>
      <c r="G3677" s="86" t="str">
        <f>VLOOKUP("*"&amp;表格1[[#This Row],[Input]]&amp;"*",'Ref-List'!$B:$D,2,)</f>
        <v>RC-10JRUH(N)</v>
      </c>
      <c r="H3677" s="86" t="str">
        <f>_xlfn.XLOOKUP(表格1[[#This Row],[Model]],表格3[Model-Input-Ref2],表格3[Product Line])</f>
        <v>電飯煲</v>
      </c>
      <c r="I3677" s="86" t="str">
        <f>_xlfn.XLOOKUP(表格1[[#This Row],[Model]],表格3[Model-Input-Ref2],表格3[大小電])</f>
        <v>細電</v>
      </c>
      <c r="J3677" s="86" t="str">
        <f>_xlfn.XLOOKUP(表格1[[#This Row],[Model]],表格3[Model-Input-Ref2],表格3[Code])</f>
        <v>SDA</v>
      </c>
      <c r="K3677" s="89" t="s">
        <v>1263</v>
      </c>
      <c r="L3677" s="86">
        <v>1</v>
      </c>
      <c r="M3677" s="87">
        <v>237.5</v>
      </c>
      <c r="N3677" s="174">
        <f>IFERROR(表格1[[#This Row],[QTY]]*表格1[[#This Row],[Unit Price]],"-")</f>
        <v>237.5</v>
      </c>
      <c r="O3677" s="175"/>
      <c r="R3677" s="86" t="str">
        <f>_xlfn.CONCAT(表格1[[#This Row],[Model]]," ",表格1[[#This Row],[inv no]])</f>
        <v xml:space="preserve">RC-10JRUH(N) </v>
      </c>
      <c r="S3677" s="86">
        <f>_xlfn.XLOOKUP(表格1[[#This Row],[Model]],表格3[Model-Input-Ref2],表格3[SRP PRICE])</f>
        <v>398</v>
      </c>
      <c r="T3677" s="43">
        <f>表格1[[#This Row],[Unit Price]]/表格1[[#This Row],[SRP]]</f>
        <v>0.59673366834170849</v>
      </c>
      <c r="U3677" s="86" t="str">
        <f>_xlfn.XLOOKUP(表格1[[#This Row],[Model]],表格3[Model-Input-Ref2],表格3[TOSHIBA/HIGHEST])</f>
        <v>Shops Highest Price</v>
      </c>
      <c r="W3677" s="86" t="str">
        <f>_xlfn.CONCAT(表格1[[#This Row],[欄4]],表格1[[#This Row],[inv no]])</f>
        <v/>
      </c>
    </row>
    <row r="3678" spans="1:23" hidden="1">
      <c r="A3678" s="81">
        <v>3676</v>
      </c>
      <c r="B3678" s="86" t="s">
        <v>1203</v>
      </c>
      <c r="C3678" s="86" t="s">
        <v>1964</v>
      </c>
      <c r="D3678" s="82" t="str">
        <f ca="1">OFFSET(Roster!$A$3,MATCH(表格1[[#This Row],[Location]]&amp;" "&amp;表格1[[#This Row],[Shop]]&amp;"*",Roster!$A$4:$A$72,0),DAY(表格1[[#This Row],[date]]),1,1)</f>
        <v>Lily Hon</v>
      </c>
      <c r="E3678" s="86">
        <f>MONTH(表格1[[#This Row],[date]])</f>
        <v>3</v>
      </c>
      <c r="F3678" s="90">
        <v>46082</v>
      </c>
      <c r="G3678" s="86" t="str">
        <f>VLOOKUP("*"&amp;表格1[[#This Row],[Input]]&amp;"*",'Ref-List'!$B:$D,2,)</f>
        <v>RAD-D200H</v>
      </c>
      <c r="H3678" s="86" t="str">
        <f>_xlfn.XLOOKUP(表格1[[#This Row],[Model]],表格3[Model-Input-Ref2],表格3[Product Line])</f>
        <v>壓縮式抽濕機 (22公升)</v>
      </c>
      <c r="I3678" s="86" t="str">
        <f>_xlfn.XLOOKUP(表格1[[#This Row],[Model]],表格3[Model-Input-Ref2],表格3[大小電])</f>
        <v>細電</v>
      </c>
      <c r="J3678" s="86" t="str">
        <f>_xlfn.XLOOKUP(表格1[[#This Row],[Model]],表格3[Model-Input-Ref2],表格3[Code])</f>
        <v>RAC</v>
      </c>
      <c r="K3678" s="89" t="s">
        <v>1250</v>
      </c>
      <c r="L3678" s="86">
        <v>2</v>
      </c>
      <c r="M3678" s="87">
        <v>2111.5</v>
      </c>
      <c r="N3678" s="174">
        <f>IFERROR(表格1[[#This Row],[QTY]]*表格1[[#This Row],[Unit Price]],"-")</f>
        <v>4223</v>
      </c>
      <c r="O3678" s="175"/>
      <c r="R3678" s="86" t="str">
        <f>_xlfn.CONCAT(表格1[[#This Row],[Model]]," ",表格1[[#This Row],[inv no]])</f>
        <v xml:space="preserve">RAD-D200H </v>
      </c>
      <c r="S3678" s="86">
        <f>_xlfn.XLOOKUP(表格1[[#This Row],[Model]],表格3[Model-Input-Ref2],表格3[SRP PRICE])</f>
        <v>2880</v>
      </c>
      <c r="T3678" s="43">
        <f>表格1[[#This Row],[Unit Price]]/表格1[[#This Row],[SRP]]</f>
        <v>0.73315972222222225</v>
      </c>
      <c r="U3678" s="86" t="str">
        <f>_xlfn.XLOOKUP(表格1[[#This Row],[Model]],表格3[Model-Input-Ref2],表格3[TOSHIBA/HIGHEST])</f>
        <v>Shops Highest Price</v>
      </c>
      <c r="W3678" s="86" t="str">
        <f>_xlfn.CONCAT(表格1[[#This Row],[欄4]],表格1[[#This Row],[inv no]])</f>
        <v/>
      </c>
    </row>
    <row r="3679" spans="1:23" hidden="1">
      <c r="A3679" s="81">
        <v>3677</v>
      </c>
      <c r="B3679" s="86" t="s">
        <v>1203</v>
      </c>
      <c r="C3679" s="86" t="s">
        <v>1964</v>
      </c>
      <c r="D3679" s="82" t="str">
        <f ca="1">OFFSET(Roster!$A$3,MATCH(表格1[[#This Row],[Location]]&amp;" "&amp;表格1[[#This Row],[Shop]]&amp;"*",Roster!$A$4:$A$72,0),DAY(表格1[[#This Row],[date]]),1,1)</f>
        <v>Lily Hon</v>
      </c>
      <c r="E3679" s="86">
        <f>MONTH(表格1[[#This Row],[date]])</f>
        <v>3</v>
      </c>
      <c r="F3679" s="90">
        <v>46083</v>
      </c>
      <c r="G3679" s="86" t="str">
        <f>VLOOKUP("*"&amp;表格1[[#This Row],[Input]]&amp;"*",'Ref-List'!$B:$D,2,)</f>
        <v>RC-10NMFIH(WT)</v>
      </c>
      <c r="H3679" s="86" t="str">
        <f>_xlfn.XLOOKUP(表格1[[#This Row],[Model]],表格3[Model-Input-Ref2],表格3[Product Line])</f>
        <v>4毫米厚釜電飯煲1L</v>
      </c>
      <c r="I3679" s="86" t="str">
        <f>_xlfn.XLOOKUP(表格1[[#This Row],[Model]],表格3[Model-Input-Ref2],表格3[大小電])</f>
        <v>細電</v>
      </c>
      <c r="J3679" s="86" t="str">
        <f>_xlfn.XLOOKUP(表格1[[#This Row],[Model]],表格3[Model-Input-Ref2],表格3[Code])</f>
        <v>SDA</v>
      </c>
      <c r="K3679" s="89" t="s">
        <v>1244</v>
      </c>
      <c r="L3679" s="86">
        <v>1</v>
      </c>
      <c r="M3679" s="87">
        <v>684</v>
      </c>
      <c r="N3679" s="174">
        <f>IFERROR(表格1[[#This Row],[QTY]]*表格1[[#This Row],[Unit Price]],"-")</f>
        <v>684</v>
      </c>
      <c r="O3679" s="175"/>
      <c r="R3679" s="86" t="str">
        <f>_xlfn.CONCAT(表格1[[#This Row],[Model]]," ",表格1[[#This Row],[inv no]])</f>
        <v xml:space="preserve">RC-10NMFIH(WT) </v>
      </c>
      <c r="S3679" s="86">
        <f>_xlfn.XLOOKUP(表格1[[#This Row],[Model]],表格3[Model-Input-Ref2],表格3[SRP PRICE])</f>
        <v>898</v>
      </c>
      <c r="T3679" s="43">
        <f>表格1[[#This Row],[Unit Price]]/表格1[[#This Row],[SRP]]</f>
        <v>0.76169265033407574</v>
      </c>
      <c r="U3679" s="86" t="str">
        <f>_xlfn.XLOOKUP(表格1[[#This Row],[Model]],表格3[Model-Input-Ref2],表格3[TOSHIBA/HIGHEST])</f>
        <v>Toshiba SRP</v>
      </c>
      <c r="W3679" s="86" t="str">
        <f>_xlfn.CONCAT(表格1[[#This Row],[欄4]],表格1[[#This Row],[inv no]])</f>
        <v/>
      </c>
    </row>
    <row r="3680" spans="1:23" hidden="1">
      <c r="A3680" s="81">
        <v>3678</v>
      </c>
      <c r="B3680" s="86" t="s">
        <v>1203</v>
      </c>
      <c r="C3680" s="86" t="s">
        <v>1964</v>
      </c>
      <c r="D3680" s="82" t="str">
        <f ca="1">OFFSET(Roster!$A$3,MATCH(表格1[[#This Row],[Location]]&amp;" "&amp;表格1[[#This Row],[Shop]]&amp;"*",Roster!$A$4:$A$72,0),DAY(表格1[[#This Row],[date]]),1,1)</f>
        <v>Lily Hon</v>
      </c>
      <c r="E3680" s="86">
        <f>MONTH(表格1[[#This Row],[date]])</f>
        <v>3</v>
      </c>
      <c r="F3680" s="90">
        <v>46083</v>
      </c>
      <c r="G3680" s="86" t="str">
        <f>VLOOKUP("*"&amp;表格1[[#This Row],[Input]]&amp;"*",'Ref-List'!$B:$D,2,)</f>
        <v>KT-17SHNH</v>
      </c>
      <c r="H3680" s="86" t="str">
        <f>_xlfn.XLOOKUP(表格1[[#This Row],[Model]],表格3[Model-Input-Ref2],表格3[Product Line])</f>
        <v>1.7L無線雙層電熱水壺</v>
      </c>
      <c r="I3680" s="86" t="str">
        <f>_xlfn.XLOOKUP(表格1[[#This Row],[Model]],表格3[Model-Input-Ref2],表格3[大小電])</f>
        <v>細電</v>
      </c>
      <c r="J3680" s="86" t="str">
        <f>_xlfn.XLOOKUP(表格1[[#This Row],[Model]],表格3[Model-Input-Ref2],表格3[Code])</f>
        <v>SDA</v>
      </c>
      <c r="K3680" s="89" t="s">
        <v>1283</v>
      </c>
      <c r="L3680" s="86">
        <v>1</v>
      </c>
      <c r="M3680" s="87">
        <v>190</v>
      </c>
      <c r="N3680" s="174">
        <f>IFERROR(表格1[[#This Row],[QTY]]*表格1[[#This Row],[Unit Price]],"-")</f>
        <v>190</v>
      </c>
      <c r="O3680" s="175"/>
      <c r="R3680" s="86" t="str">
        <f>_xlfn.CONCAT(表格1[[#This Row],[Model]]," ",表格1[[#This Row],[inv no]])</f>
        <v xml:space="preserve">KT-17SHNH </v>
      </c>
      <c r="S3680" s="86">
        <f>_xlfn.XLOOKUP(表格1[[#This Row],[Model]],表格3[Model-Input-Ref2],表格3[SRP PRICE])</f>
        <v>299</v>
      </c>
      <c r="T3680" s="43">
        <f>表格1[[#This Row],[Unit Price]]/表格1[[#This Row],[SRP]]</f>
        <v>0.63545150501672243</v>
      </c>
      <c r="U3680" s="86" t="str">
        <f>_xlfn.XLOOKUP(表格1[[#This Row],[Model]],表格3[Model-Input-Ref2],表格3[TOSHIBA/HIGHEST])</f>
        <v>Shops Highest Price</v>
      </c>
      <c r="W3680" s="86" t="str">
        <f>_xlfn.CONCAT(表格1[[#This Row],[欄4]],表格1[[#This Row],[inv no]])</f>
        <v/>
      </c>
    </row>
    <row r="3681" spans="1:23" hidden="1">
      <c r="A3681" s="81">
        <v>3679</v>
      </c>
      <c r="B3681" s="86" t="s">
        <v>1203</v>
      </c>
      <c r="C3681" s="86" t="s">
        <v>1964</v>
      </c>
      <c r="D3681" s="82" t="str">
        <f ca="1">OFFSET(Roster!$A$3,MATCH(表格1[[#This Row],[Location]]&amp;" "&amp;表格1[[#This Row],[Shop]]&amp;"*",Roster!$A$4:$A$72,0),DAY(表格1[[#This Row],[date]]),1,1)</f>
        <v>Lily Hon</v>
      </c>
      <c r="E3681" s="86">
        <f>MONTH(表格1[[#This Row],[date]])</f>
        <v>3</v>
      </c>
      <c r="F3681" s="90">
        <v>46083</v>
      </c>
      <c r="G3681" s="86" t="str">
        <f>VLOOKUP("*"&amp;表格1[[#This Row],[Input]]&amp;"*",'Ref-List'!$B:$D,2,)</f>
        <v>KT-15DRTHK(W)</v>
      </c>
      <c r="H3681" s="86" t="str">
        <f>_xlfn.XLOOKUP(表格1[[#This Row],[Model]],表格3[Model-Input-Ref2],表格3[Product Line])</f>
        <v>無線雙層電熱水壺-附可鎖壺蓋</v>
      </c>
      <c r="I3681" s="86" t="str">
        <f>_xlfn.XLOOKUP(表格1[[#This Row],[Model]],表格3[Model-Input-Ref2],表格3[大小電])</f>
        <v>細電</v>
      </c>
      <c r="J3681" s="86" t="str">
        <f>_xlfn.XLOOKUP(表格1[[#This Row],[Model]],表格3[Model-Input-Ref2],表格3[Code])</f>
        <v>SDA</v>
      </c>
      <c r="K3681" s="89" t="s">
        <v>1278</v>
      </c>
      <c r="L3681" s="86">
        <v>1</v>
      </c>
      <c r="M3681" s="87">
        <v>490</v>
      </c>
      <c r="N3681" s="174">
        <f>IFERROR(表格1[[#This Row],[QTY]]*表格1[[#This Row],[Unit Price]],"-")</f>
        <v>490</v>
      </c>
      <c r="O3681" s="175"/>
      <c r="R3681" s="86" t="str">
        <f>_xlfn.CONCAT(表格1[[#This Row],[Model]]," ",表格1[[#This Row],[inv no]])</f>
        <v xml:space="preserve">KT-15DRTHK(W) </v>
      </c>
      <c r="S3681" s="86">
        <f>_xlfn.XLOOKUP(表格1[[#This Row],[Model]],表格3[Model-Input-Ref2],表格3[SRP PRICE])</f>
        <v>598</v>
      </c>
      <c r="T3681" s="43">
        <f>表格1[[#This Row],[Unit Price]]/表格1[[#This Row],[SRP]]</f>
        <v>0.8193979933110368</v>
      </c>
      <c r="U3681" s="86" t="str">
        <f>_xlfn.XLOOKUP(表格1[[#This Row],[Model]],表格3[Model-Input-Ref2],表格3[TOSHIBA/HIGHEST])</f>
        <v>Toshiba SRP</v>
      </c>
      <c r="W3681" s="86" t="str">
        <f>_xlfn.CONCAT(表格1[[#This Row],[欄4]],表格1[[#This Row],[inv no]])</f>
        <v/>
      </c>
    </row>
    <row r="3682" spans="1:23" hidden="1">
      <c r="A3682" s="81">
        <v>3680</v>
      </c>
      <c r="B3682" s="86" t="s">
        <v>1203</v>
      </c>
      <c r="C3682" s="86" t="s">
        <v>1964</v>
      </c>
      <c r="D3682" s="82" t="str">
        <f ca="1">OFFSET(Roster!$A$3,MATCH(表格1[[#This Row],[Location]]&amp;" "&amp;表格1[[#This Row],[Shop]]&amp;"*",Roster!$A$4:$A$72,0),DAY(表格1[[#This Row],[date]]),1,1)</f>
        <v>Lily Hon</v>
      </c>
      <c r="E3682" s="86">
        <f>MONTH(表格1[[#This Row],[date]])</f>
        <v>3</v>
      </c>
      <c r="F3682" s="90">
        <v>46083</v>
      </c>
      <c r="G3682" s="86" t="str">
        <f>VLOOKUP("*"&amp;表格1[[#This Row],[Input]]&amp;"*",'Ref-List'!$B:$D,2,)</f>
        <v>RC-10JRUH(N)</v>
      </c>
      <c r="H3682" s="86" t="str">
        <f>_xlfn.XLOOKUP(表格1[[#This Row],[Model]],表格3[Model-Input-Ref2],表格3[Product Line])</f>
        <v>電飯煲</v>
      </c>
      <c r="I3682" s="86" t="str">
        <f>_xlfn.XLOOKUP(表格1[[#This Row],[Model]],表格3[Model-Input-Ref2],表格3[大小電])</f>
        <v>細電</v>
      </c>
      <c r="J3682" s="86" t="str">
        <f>_xlfn.XLOOKUP(表格1[[#This Row],[Model]],表格3[Model-Input-Ref2],表格3[Code])</f>
        <v>SDA</v>
      </c>
      <c r="K3682" s="89" t="s">
        <v>1263</v>
      </c>
      <c r="L3682" s="86">
        <v>1</v>
      </c>
      <c r="M3682" s="87">
        <v>237.5</v>
      </c>
      <c r="N3682" s="174">
        <f>IFERROR(表格1[[#This Row],[QTY]]*表格1[[#This Row],[Unit Price]],"-")</f>
        <v>237.5</v>
      </c>
      <c r="O3682" s="175"/>
      <c r="R3682" s="86" t="str">
        <f>_xlfn.CONCAT(表格1[[#This Row],[Model]]," ",表格1[[#This Row],[inv no]])</f>
        <v xml:space="preserve">RC-10JRUH(N) </v>
      </c>
      <c r="S3682" s="86">
        <f>_xlfn.XLOOKUP(表格1[[#This Row],[Model]],表格3[Model-Input-Ref2],表格3[SRP PRICE])</f>
        <v>398</v>
      </c>
      <c r="T3682" s="43">
        <f>表格1[[#This Row],[Unit Price]]/表格1[[#This Row],[SRP]]</f>
        <v>0.59673366834170849</v>
      </c>
      <c r="U3682" s="86" t="str">
        <f>_xlfn.XLOOKUP(表格1[[#This Row],[Model]],表格3[Model-Input-Ref2],表格3[TOSHIBA/HIGHEST])</f>
        <v>Shops Highest Price</v>
      </c>
      <c r="W3682" s="86" t="str">
        <f>_xlfn.CONCAT(表格1[[#This Row],[欄4]],表格1[[#This Row],[inv no]])</f>
        <v/>
      </c>
    </row>
    <row r="3683" spans="1:23" hidden="1">
      <c r="A3683" s="81">
        <v>3681</v>
      </c>
      <c r="B3683" s="86" t="s">
        <v>1203</v>
      </c>
      <c r="C3683" s="86" t="s">
        <v>1964</v>
      </c>
      <c r="D3683" s="82" t="str">
        <f ca="1">OFFSET(Roster!$A$3,MATCH(表格1[[#This Row],[Location]]&amp;" "&amp;表格1[[#This Row],[Shop]]&amp;"*",Roster!$A$4:$A$72,0),DAY(表格1[[#This Row],[date]]),1,1)</f>
        <v>Lily Hon off</v>
      </c>
      <c r="E3683" s="86">
        <f>MONTH(表格1[[#This Row],[date]])</f>
        <v>3</v>
      </c>
      <c r="F3683" s="90">
        <v>46084</v>
      </c>
      <c r="G3683" s="86" t="str">
        <f>VLOOKUP("*"&amp;表格1[[#This Row],[Input]]&amp;"*",'Ref-List'!$B:$D,2,)</f>
        <v>RC-7HMH</v>
      </c>
      <c r="H3683" s="86" t="str">
        <f>_xlfn.XLOOKUP(表格1[[#This Row],[Model]],表格3[Model-Input-Ref2],表格3[Product Line])</f>
        <v>備長炭本厚釜電飯煲0.7L</v>
      </c>
      <c r="I3683" s="86" t="str">
        <f>_xlfn.XLOOKUP(表格1[[#This Row],[Model]],表格3[Model-Input-Ref2],表格3[大小電])</f>
        <v>細電</v>
      </c>
      <c r="J3683" s="86" t="str">
        <f>_xlfn.XLOOKUP(表格1[[#This Row],[Model]],表格3[Model-Input-Ref2],表格3[Code])</f>
        <v>SDA</v>
      </c>
      <c r="K3683" s="89" t="s">
        <v>1284</v>
      </c>
      <c r="L3683" s="86">
        <v>1</v>
      </c>
      <c r="M3683" s="87">
        <v>780</v>
      </c>
      <c r="N3683" s="174">
        <f>IFERROR(表格1[[#This Row],[QTY]]*表格1[[#This Row],[Unit Price]],"-")</f>
        <v>780</v>
      </c>
      <c r="O3683" s="175"/>
      <c r="R3683" s="86" t="str">
        <f>_xlfn.CONCAT(表格1[[#This Row],[Model]]," ",表格1[[#This Row],[inv no]])</f>
        <v xml:space="preserve">RC-7HMH </v>
      </c>
      <c r="S3683" s="86">
        <f>_xlfn.XLOOKUP(表格1[[#This Row],[Model]],表格3[Model-Input-Ref2],表格3[SRP PRICE])</f>
        <v>1288</v>
      </c>
      <c r="T3683" s="43">
        <f>表格1[[#This Row],[Unit Price]]/表格1[[#This Row],[SRP]]</f>
        <v>0.60559006211180122</v>
      </c>
      <c r="U3683" s="86" t="str">
        <f>_xlfn.XLOOKUP(表格1[[#This Row],[Model]],表格3[Model-Input-Ref2],表格3[TOSHIBA/HIGHEST])</f>
        <v>Toshiba SRP</v>
      </c>
      <c r="W3683" s="86" t="str">
        <f>_xlfn.CONCAT(表格1[[#This Row],[欄4]],表格1[[#This Row],[inv no]])</f>
        <v/>
      </c>
    </row>
    <row r="3684" spans="1:23" hidden="1">
      <c r="A3684" s="81">
        <v>3682</v>
      </c>
      <c r="B3684" s="86" t="s">
        <v>1203</v>
      </c>
      <c r="C3684" s="86" t="s">
        <v>1964</v>
      </c>
      <c r="D3684" s="82" t="str">
        <f ca="1">OFFSET(Roster!$A$3,MATCH(表格1[[#This Row],[Location]]&amp;" "&amp;表格1[[#This Row],[Shop]]&amp;"*",Roster!$A$4:$A$72,0),DAY(表格1[[#This Row],[date]]),1,1)</f>
        <v>Lily Hon off</v>
      </c>
      <c r="E3684" s="86">
        <f>MONTH(表格1[[#This Row],[date]])</f>
        <v>3</v>
      </c>
      <c r="F3684" s="90">
        <v>46084</v>
      </c>
      <c r="G3684" s="86" t="str">
        <f>VLOOKUP("*"&amp;表格1[[#This Row],[Input]]&amp;"*",'Ref-List'!$B:$D,2,)</f>
        <v>KT-17DRTHK(H)</v>
      </c>
      <c r="H3684" s="86" t="str">
        <f>_xlfn.XLOOKUP(表格1[[#This Row],[Model]],表格3[Model-Input-Ref2],表格3[Product Line])</f>
        <v>無線雙層電熱水壺(1.7公升)</v>
      </c>
      <c r="I3684" s="86" t="str">
        <f>_xlfn.XLOOKUP(表格1[[#This Row],[Model]],表格3[Model-Input-Ref2],表格3[大小電])</f>
        <v>細電</v>
      </c>
      <c r="J3684" s="86" t="str">
        <f>_xlfn.XLOOKUP(表格1[[#This Row],[Model]],表格3[Model-Input-Ref2],表格3[Code])</f>
        <v>SDA</v>
      </c>
      <c r="K3684" s="89" t="s">
        <v>1271</v>
      </c>
      <c r="L3684" s="86">
        <v>1</v>
      </c>
      <c r="M3684" s="87">
        <v>350</v>
      </c>
      <c r="N3684" s="174">
        <f>IFERROR(表格1[[#This Row],[QTY]]*表格1[[#This Row],[Unit Price]],"-")</f>
        <v>350</v>
      </c>
      <c r="O3684" s="175"/>
      <c r="R3684" s="86" t="str">
        <f>_xlfn.CONCAT(表格1[[#This Row],[Model]]," ",表格1[[#This Row],[inv no]])</f>
        <v xml:space="preserve">KT-17DRTHK(H) </v>
      </c>
      <c r="S3684" s="86">
        <f>_xlfn.XLOOKUP(表格1[[#This Row],[Model]],表格3[Model-Input-Ref2],表格3[SRP PRICE])</f>
        <v>498</v>
      </c>
      <c r="T3684" s="43">
        <f>表格1[[#This Row],[Unit Price]]/表格1[[#This Row],[SRP]]</f>
        <v>0.70281124497991965</v>
      </c>
      <c r="U3684" s="86" t="str">
        <f>_xlfn.XLOOKUP(表格1[[#This Row],[Model]],表格3[Model-Input-Ref2],表格3[TOSHIBA/HIGHEST])</f>
        <v>Toshiba SRP</v>
      </c>
      <c r="W3684" s="86" t="str">
        <f>_xlfn.CONCAT(表格1[[#This Row],[欄4]],表格1[[#This Row],[inv no]])</f>
        <v/>
      </c>
    </row>
    <row r="3685" spans="1:23" hidden="1">
      <c r="A3685" s="81">
        <v>3683</v>
      </c>
      <c r="B3685" s="86" t="s">
        <v>1203</v>
      </c>
      <c r="C3685" s="86" t="s">
        <v>1964</v>
      </c>
      <c r="D3685" s="82" t="str">
        <f ca="1">OFFSET(Roster!$A$3,MATCH(表格1[[#This Row],[Location]]&amp;" "&amp;表格1[[#This Row],[Shop]]&amp;"*",Roster!$A$4:$A$72,0),DAY(表格1[[#This Row],[date]]),1,1)</f>
        <v>Lily Hon</v>
      </c>
      <c r="E3685" s="86">
        <f>MONTH(表格1[[#This Row],[date]])</f>
        <v>3</v>
      </c>
      <c r="F3685" s="90">
        <v>46085</v>
      </c>
      <c r="G3685" s="86" t="str">
        <f>VLOOKUP("*"&amp;表格1[[#This Row],[Input]]&amp;"*",'Ref-List'!$B:$D,2,)</f>
        <v>KT-17SHNH</v>
      </c>
      <c r="H3685" s="86" t="str">
        <f>_xlfn.XLOOKUP(表格1[[#This Row],[Model]],表格3[Model-Input-Ref2],表格3[Product Line])</f>
        <v>1.7L無線雙層電熱水壺</v>
      </c>
      <c r="I3685" s="86" t="str">
        <f>_xlfn.XLOOKUP(表格1[[#This Row],[Model]],表格3[Model-Input-Ref2],表格3[大小電])</f>
        <v>細電</v>
      </c>
      <c r="J3685" s="86" t="str">
        <f>_xlfn.XLOOKUP(表格1[[#This Row],[Model]],表格3[Model-Input-Ref2],表格3[Code])</f>
        <v>SDA</v>
      </c>
      <c r="K3685" s="89" t="s">
        <v>1283</v>
      </c>
      <c r="L3685" s="86">
        <v>1</v>
      </c>
      <c r="M3685" s="87">
        <v>190</v>
      </c>
      <c r="N3685" s="174">
        <f>IFERROR(表格1[[#This Row],[QTY]]*表格1[[#This Row],[Unit Price]],"-")</f>
        <v>190</v>
      </c>
      <c r="O3685" s="175"/>
      <c r="R3685" s="86" t="str">
        <f>_xlfn.CONCAT(表格1[[#This Row],[Model]]," ",表格1[[#This Row],[inv no]])</f>
        <v xml:space="preserve">KT-17SHNH </v>
      </c>
      <c r="S3685" s="86">
        <f>_xlfn.XLOOKUP(表格1[[#This Row],[Model]],表格3[Model-Input-Ref2],表格3[SRP PRICE])</f>
        <v>299</v>
      </c>
      <c r="T3685" s="43">
        <f>表格1[[#This Row],[Unit Price]]/表格1[[#This Row],[SRP]]</f>
        <v>0.63545150501672243</v>
      </c>
      <c r="U3685" s="86" t="str">
        <f>_xlfn.XLOOKUP(表格1[[#This Row],[Model]],表格3[Model-Input-Ref2],表格3[TOSHIBA/HIGHEST])</f>
        <v>Shops Highest Price</v>
      </c>
      <c r="W3685" s="86" t="str">
        <f>_xlfn.CONCAT(表格1[[#This Row],[欄4]],表格1[[#This Row],[inv no]])</f>
        <v/>
      </c>
    </row>
    <row r="3686" spans="1:23" hidden="1">
      <c r="A3686" s="81">
        <v>3684</v>
      </c>
      <c r="B3686" s="86" t="s">
        <v>1203</v>
      </c>
      <c r="C3686" s="86" t="s">
        <v>1964</v>
      </c>
      <c r="D3686" s="82" t="str">
        <f ca="1">OFFSET(Roster!$A$3,MATCH(表格1[[#This Row],[Location]]&amp;" "&amp;表格1[[#This Row],[Shop]]&amp;"*",Roster!$A$4:$A$72,0),DAY(表格1[[#This Row],[date]]),1,1)</f>
        <v>Lily Hon</v>
      </c>
      <c r="E3686" s="86">
        <f>MONTH(表格1[[#This Row],[date]])</f>
        <v>3</v>
      </c>
      <c r="F3686" s="90">
        <v>46085</v>
      </c>
      <c r="G3686" s="86" t="str">
        <f>VLOOKUP("*"&amp;表格1[[#This Row],[Input]]&amp;"*",'Ref-List'!$B:$D,2,)</f>
        <v>MM-2MM20PC(WH)</v>
      </c>
      <c r="H3686" s="86" t="str">
        <f>_xlfn.XLOOKUP(表格1[[#This Row],[Model]],表格3[Model-Input-Ref2],表格3[Product Line])</f>
        <v>旋鈕式微波爐 (20公升)</v>
      </c>
      <c r="I3686" s="86" t="str">
        <f>_xlfn.XLOOKUP(表格1[[#This Row],[Model]],表格3[Model-Input-Ref2],表格3[大小電])</f>
        <v>細電</v>
      </c>
      <c r="J3686" s="86" t="str">
        <f>_xlfn.XLOOKUP(表格1[[#This Row],[Model]],表格3[Model-Input-Ref2],表格3[Code])</f>
        <v>MCA</v>
      </c>
      <c r="K3686" s="89" t="s">
        <v>1388</v>
      </c>
      <c r="L3686" s="86">
        <v>1</v>
      </c>
      <c r="M3686" s="87">
        <v>620</v>
      </c>
      <c r="N3686" s="174">
        <f>IFERROR(表格1[[#This Row],[QTY]]*表格1[[#This Row],[Unit Price]],"-")</f>
        <v>620</v>
      </c>
      <c r="O3686" s="175"/>
      <c r="R3686" s="86" t="str">
        <f>_xlfn.CONCAT(表格1[[#This Row],[Model]]," ",表格1[[#This Row],[inv no]])</f>
        <v xml:space="preserve">MM-2MM20PC(WH) </v>
      </c>
      <c r="S3686" s="86">
        <f>_xlfn.XLOOKUP(表格1[[#This Row],[Model]],表格3[Model-Input-Ref2],表格3[SRP PRICE])</f>
        <v>738</v>
      </c>
      <c r="T3686" s="43">
        <f>表格1[[#This Row],[Unit Price]]/表格1[[#This Row],[SRP]]</f>
        <v>0.84010840108401086</v>
      </c>
      <c r="U3686" s="86" t="str">
        <f>_xlfn.XLOOKUP(表格1[[#This Row],[Model]],表格3[Model-Input-Ref2],表格3[TOSHIBA/HIGHEST])</f>
        <v>Toshiba SRP</v>
      </c>
      <c r="W3686" s="86" t="str">
        <f>_xlfn.CONCAT(表格1[[#This Row],[欄4]],表格1[[#This Row],[inv no]])</f>
        <v/>
      </c>
    </row>
    <row r="3687" spans="1:23" hidden="1">
      <c r="A3687" s="81">
        <v>3685</v>
      </c>
      <c r="B3687" s="86" t="s">
        <v>1203</v>
      </c>
      <c r="C3687" s="86" t="s">
        <v>1964</v>
      </c>
      <c r="D3687" s="82" t="str">
        <f ca="1">OFFSET(Roster!$A$3,MATCH(表格1[[#This Row],[Location]]&amp;" "&amp;表格1[[#This Row],[Shop]]&amp;"*",Roster!$A$4:$A$72,0),DAY(表格1[[#This Row],[date]]),1,1)</f>
        <v>Lily Hon</v>
      </c>
      <c r="E3687" s="86">
        <f>MONTH(表格1[[#This Row],[date]])</f>
        <v>3</v>
      </c>
      <c r="F3687" s="90">
        <v>46085</v>
      </c>
      <c r="G3687" s="86" t="str">
        <f>VLOOKUP("*"&amp;表格1[[#This Row],[Input]]&amp;"*",'Ref-List'!$B:$D,2,)</f>
        <v>IC-20R1THK</v>
      </c>
      <c r="H3687" s="86" t="str">
        <f>_xlfn.XLOOKUP(表格1[[#This Row],[Model]],表格3[Model-Input-Ref2],表格3[Product Line])</f>
        <v>輕便式電磁爐</v>
      </c>
      <c r="I3687" s="86" t="str">
        <f>_xlfn.XLOOKUP(表格1[[#This Row],[Model]],表格3[Model-Input-Ref2],表格3[大小電])</f>
        <v>細電</v>
      </c>
      <c r="J3687" s="86" t="str">
        <f>_xlfn.XLOOKUP(表格1[[#This Row],[Model]],表格3[Model-Input-Ref2],表格3[Code])</f>
        <v>SDA</v>
      </c>
      <c r="K3687" s="89" t="s">
        <v>1243</v>
      </c>
      <c r="L3687" s="86">
        <v>2</v>
      </c>
      <c r="M3687" s="87">
        <v>290</v>
      </c>
      <c r="N3687" s="174">
        <f>IFERROR(表格1[[#This Row],[QTY]]*表格1[[#This Row],[Unit Price]],"-")</f>
        <v>580</v>
      </c>
      <c r="O3687" s="175"/>
      <c r="R3687" s="86" t="str">
        <f>_xlfn.CONCAT(表格1[[#This Row],[Model]]," ",表格1[[#This Row],[inv no]])</f>
        <v xml:space="preserve">IC-20R1THK </v>
      </c>
      <c r="S3687" s="86">
        <f>_xlfn.XLOOKUP(表格1[[#This Row],[Model]],表格3[Model-Input-Ref2],表格3[SRP PRICE])</f>
        <v>438</v>
      </c>
      <c r="T3687" s="43">
        <f>表格1[[#This Row],[Unit Price]]/表格1[[#This Row],[SRP]]</f>
        <v>0.66210045662100458</v>
      </c>
      <c r="U3687" s="86" t="str">
        <f>_xlfn.XLOOKUP(表格1[[#This Row],[Model]],表格3[Model-Input-Ref2],表格3[TOSHIBA/HIGHEST])</f>
        <v>Shops Highest Price</v>
      </c>
      <c r="W3687" s="86" t="str">
        <f>_xlfn.CONCAT(表格1[[#This Row],[欄4]],表格1[[#This Row],[inv no]])</f>
        <v/>
      </c>
    </row>
    <row r="3688" spans="1:23" hidden="1">
      <c r="A3688" s="81">
        <v>3686</v>
      </c>
      <c r="B3688" s="86" t="s">
        <v>1203</v>
      </c>
      <c r="C3688" s="86" t="s">
        <v>1964</v>
      </c>
      <c r="D3688" s="82" t="str">
        <f ca="1">OFFSET(Roster!$A$3,MATCH(表格1[[#This Row],[Location]]&amp;" "&amp;表格1[[#This Row],[Shop]]&amp;"*",Roster!$A$4:$A$72,0),DAY(表格1[[#This Row],[date]]),1,1)</f>
        <v>Lily Hon off</v>
      </c>
      <c r="E3688" s="86">
        <f>MONTH(表格1[[#This Row],[date]])</f>
        <v>3</v>
      </c>
      <c r="F3688" s="90">
        <v>46086</v>
      </c>
      <c r="G3688" s="86" t="str">
        <f>VLOOKUP("*"&amp;表格1[[#This Row],[Input]]&amp;"*",'Ref-List'!$B:$D,2,)</f>
        <v>RC-10NMFIH(WT)</v>
      </c>
      <c r="H3688" s="86" t="str">
        <f>_xlfn.XLOOKUP(表格1[[#This Row],[Model]],表格3[Model-Input-Ref2],表格3[Product Line])</f>
        <v>4毫米厚釜電飯煲1L</v>
      </c>
      <c r="I3688" s="86" t="str">
        <f>_xlfn.XLOOKUP(表格1[[#This Row],[Model]],表格3[Model-Input-Ref2],表格3[大小電])</f>
        <v>細電</v>
      </c>
      <c r="J3688" s="86" t="str">
        <f>_xlfn.XLOOKUP(表格1[[#This Row],[Model]],表格3[Model-Input-Ref2],表格3[Code])</f>
        <v>SDA</v>
      </c>
      <c r="K3688" s="89" t="s">
        <v>1244</v>
      </c>
      <c r="L3688" s="86">
        <v>1</v>
      </c>
      <c r="M3688" s="87">
        <v>720</v>
      </c>
      <c r="N3688" s="174">
        <f>IFERROR(表格1[[#This Row],[QTY]]*表格1[[#This Row],[Unit Price]],"-")</f>
        <v>720</v>
      </c>
      <c r="O3688" s="175"/>
      <c r="R3688" s="86" t="str">
        <f>_xlfn.CONCAT(表格1[[#This Row],[Model]]," ",表格1[[#This Row],[inv no]])</f>
        <v xml:space="preserve">RC-10NMFIH(WT) </v>
      </c>
      <c r="S3688" s="86">
        <f>_xlfn.XLOOKUP(表格1[[#This Row],[Model]],表格3[Model-Input-Ref2],表格3[SRP PRICE])</f>
        <v>898</v>
      </c>
      <c r="T3688" s="43">
        <f>表格1[[#This Row],[Unit Price]]/表格1[[#This Row],[SRP]]</f>
        <v>0.80178173719376389</v>
      </c>
      <c r="U3688" s="86" t="str">
        <f>_xlfn.XLOOKUP(表格1[[#This Row],[Model]],表格3[Model-Input-Ref2],表格3[TOSHIBA/HIGHEST])</f>
        <v>Toshiba SRP</v>
      </c>
      <c r="W3688" s="86" t="str">
        <f>_xlfn.CONCAT(表格1[[#This Row],[欄4]],表格1[[#This Row],[inv no]])</f>
        <v/>
      </c>
    </row>
    <row r="3689" spans="1:23" hidden="1">
      <c r="A3689" s="81">
        <v>3687</v>
      </c>
      <c r="B3689" s="86" t="s">
        <v>1203</v>
      </c>
      <c r="C3689" s="86" t="s">
        <v>1964</v>
      </c>
      <c r="D3689" s="82" t="str">
        <f ca="1">OFFSET(Roster!$A$3,MATCH(表格1[[#This Row],[Location]]&amp;" "&amp;表格1[[#This Row],[Shop]]&amp;"*",Roster!$A$4:$A$72,0),DAY(表格1[[#This Row],[date]]),1,1)</f>
        <v>Lily Hon off</v>
      </c>
      <c r="E3689" s="86">
        <f>MONTH(表格1[[#This Row],[date]])</f>
        <v>3</v>
      </c>
      <c r="F3689" s="90">
        <v>46086</v>
      </c>
      <c r="G3689" s="86" t="str">
        <f>VLOOKUP("*"&amp;表格1[[#This Row],[Input]]&amp;"*",'Ref-List'!$B:$D,2,)</f>
        <v>IC-20R1THK</v>
      </c>
      <c r="H3689" s="86" t="str">
        <f>_xlfn.XLOOKUP(表格1[[#This Row],[Model]],表格3[Model-Input-Ref2],表格3[Product Line])</f>
        <v>輕便式電磁爐</v>
      </c>
      <c r="I3689" s="86" t="str">
        <f>_xlfn.XLOOKUP(表格1[[#This Row],[Model]],表格3[Model-Input-Ref2],表格3[大小電])</f>
        <v>細電</v>
      </c>
      <c r="J3689" s="86" t="str">
        <f>_xlfn.XLOOKUP(表格1[[#This Row],[Model]],表格3[Model-Input-Ref2],表格3[Code])</f>
        <v>SDA</v>
      </c>
      <c r="K3689" s="89" t="s">
        <v>1243</v>
      </c>
      <c r="L3689" s="86">
        <v>1</v>
      </c>
      <c r="M3689" s="87">
        <v>280</v>
      </c>
      <c r="N3689" s="174">
        <f>IFERROR(表格1[[#This Row],[QTY]]*表格1[[#This Row],[Unit Price]],"-")</f>
        <v>280</v>
      </c>
      <c r="O3689" s="175"/>
      <c r="R3689" s="86" t="str">
        <f>_xlfn.CONCAT(表格1[[#This Row],[Model]]," ",表格1[[#This Row],[inv no]])</f>
        <v xml:space="preserve">IC-20R1THK </v>
      </c>
      <c r="S3689" s="86">
        <f>_xlfn.XLOOKUP(表格1[[#This Row],[Model]],表格3[Model-Input-Ref2],表格3[SRP PRICE])</f>
        <v>438</v>
      </c>
      <c r="T3689" s="43">
        <f>表格1[[#This Row],[Unit Price]]/表格1[[#This Row],[SRP]]</f>
        <v>0.63926940639269403</v>
      </c>
      <c r="U3689" s="86" t="str">
        <f>_xlfn.XLOOKUP(表格1[[#This Row],[Model]],表格3[Model-Input-Ref2],表格3[TOSHIBA/HIGHEST])</f>
        <v>Shops Highest Price</v>
      </c>
      <c r="W3689" s="86" t="str">
        <f>_xlfn.CONCAT(表格1[[#This Row],[欄4]],表格1[[#This Row],[inv no]])</f>
        <v/>
      </c>
    </row>
    <row r="3690" spans="1:23" hidden="1">
      <c r="A3690" s="81">
        <v>3688</v>
      </c>
      <c r="B3690" s="86" t="s">
        <v>1203</v>
      </c>
      <c r="C3690" s="86" t="s">
        <v>1964</v>
      </c>
      <c r="D3690" s="82" t="str">
        <f ca="1">OFFSET(Roster!$A$3,MATCH(表格1[[#This Row],[Location]]&amp;" "&amp;表格1[[#This Row],[Shop]]&amp;"*",Roster!$A$4:$A$72,0),DAY(表格1[[#This Row],[date]]),1,1)</f>
        <v>Lily Hon off</v>
      </c>
      <c r="E3690" s="86">
        <f>MONTH(表格1[[#This Row],[date]])</f>
        <v>3</v>
      </c>
      <c r="F3690" s="90">
        <v>46086</v>
      </c>
      <c r="G3690" s="86" t="str">
        <f>VLOOKUP("*"&amp;表格1[[#This Row],[Input]]&amp;"*",'Ref-List'!$B:$D,2,)</f>
        <v>RAD-D300H</v>
      </c>
      <c r="H3690" s="86" t="str">
        <f>_xlfn.XLOOKUP(表格1[[#This Row],[Model]],表格3[Model-Input-Ref2],表格3[Product Line])</f>
        <v>壓縮式抽濕機 (30公升)</v>
      </c>
      <c r="I3690" s="86" t="str">
        <f>_xlfn.XLOOKUP(表格1[[#This Row],[Model]],表格3[Model-Input-Ref2],表格3[大小電])</f>
        <v>細電</v>
      </c>
      <c r="J3690" s="86" t="str">
        <f>_xlfn.XLOOKUP(表格1[[#This Row],[Model]],表格3[Model-Input-Ref2],表格3[Code])</f>
        <v>RAC</v>
      </c>
      <c r="K3690" s="89" t="s">
        <v>1252</v>
      </c>
      <c r="L3690" s="86">
        <v>1</v>
      </c>
      <c r="M3690" s="87">
        <v>2451</v>
      </c>
      <c r="N3690" s="174">
        <f>IFERROR(表格1[[#This Row],[QTY]]*表格1[[#This Row],[Unit Price]],"-")</f>
        <v>2451</v>
      </c>
      <c r="O3690" s="175"/>
      <c r="R3690" s="86" t="str">
        <f>_xlfn.CONCAT(表格1[[#This Row],[Model]]," ",表格1[[#This Row],[inv no]])</f>
        <v xml:space="preserve">RAD-D300H </v>
      </c>
      <c r="S3690" s="86">
        <f>_xlfn.XLOOKUP(表格1[[#This Row],[Model]],表格3[Model-Input-Ref2],表格3[SRP PRICE])</f>
        <v>3380</v>
      </c>
      <c r="T3690" s="43">
        <f>表格1[[#This Row],[Unit Price]]/表格1[[#This Row],[SRP]]</f>
        <v>0.72514792899408287</v>
      </c>
      <c r="U3690" s="86" t="str">
        <f>_xlfn.XLOOKUP(表格1[[#This Row],[Model]],表格3[Model-Input-Ref2],表格3[TOSHIBA/HIGHEST])</f>
        <v>Shops Highest Price</v>
      </c>
      <c r="W3690" s="86" t="str">
        <f>_xlfn.CONCAT(表格1[[#This Row],[欄4]],表格1[[#This Row],[inv no]])</f>
        <v/>
      </c>
    </row>
    <row r="3691" spans="1:23" hidden="1">
      <c r="A3691" s="81">
        <v>3689</v>
      </c>
      <c r="B3691" s="86" t="s">
        <v>1203</v>
      </c>
      <c r="C3691" s="86" t="s">
        <v>1964</v>
      </c>
      <c r="D3691" s="82" t="str">
        <f ca="1">OFFSET(Roster!$A$3,MATCH(表格1[[#This Row],[Location]]&amp;" "&amp;表格1[[#This Row],[Shop]]&amp;"*",Roster!$A$4:$A$72,0),DAY(表格1[[#This Row],[date]]),1,1)</f>
        <v>Lily Hon off</v>
      </c>
      <c r="E3691" s="86">
        <f>MONTH(表格1[[#This Row],[date]])</f>
        <v>3</v>
      </c>
      <c r="F3691" s="90">
        <v>46088</v>
      </c>
      <c r="G3691" s="86" t="str">
        <f>VLOOKUP("*"&amp;表格1[[#This Row],[Input]]&amp;"*",'Ref-List'!$B:$D,2,)</f>
        <v>KT-17SHNH</v>
      </c>
      <c r="H3691" s="86" t="str">
        <f>_xlfn.XLOOKUP(表格1[[#This Row],[Model]],表格3[Model-Input-Ref2],表格3[Product Line])</f>
        <v>1.7L無線雙層電熱水壺</v>
      </c>
      <c r="I3691" s="86" t="str">
        <f>_xlfn.XLOOKUP(表格1[[#This Row],[Model]],表格3[Model-Input-Ref2],表格3[大小電])</f>
        <v>細電</v>
      </c>
      <c r="J3691" s="86" t="str">
        <f>_xlfn.XLOOKUP(表格1[[#This Row],[Model]],表格3[Model-Input-Ref2],表格3[Code])</f>
        <v>SDA</v>
      </c>
      <c r="K3691" s="89" t="s">
        <v>1283</v>
      </c>
      <c r="L3691" s="86">
        <v>3</v>
      </c>
      <c r="M3691" s="87">
        <v>190</v>
      </c>
      <c r="N3691" s="174">
        <f>IFERROR(表格1[[#This Row],[QTY]]*表格1[[#This Row],[Unit Price]],"-")</f>
        <v>570</v>
      </c>
      <c r="O3691" s="175"/>
      <c r="R3691" s="86" t="str">
        <f>_xlfn.CONCAT(表格1[[#This Row],[Model]]," ",表格1[[#This Row],[inv no]])</f>
        <v xml:space="preserve">KT-17SHNH </v>
      </c>
      <c r="S3691" s="86">
        <f>_xlfn.XLOOKUP(表格1[[#This Row],[Model]],表格3[Model-Input-Ref2],表格3[SRP PRICE])</f>
        <v>299</v>
      </c>
      <c r="T3691" s="43">
        <f>表格1[[#This Row],[Unit Price]]/表格1[[#This Row],[SRP]]</f>
        <v>0.63545150501672243</v>
      </c>
      <c r="U3691" s="86" t="str">
        <f>_xlfn.XLOOKUP(表格1[[#This Row],[Model]],表格3[Model-Input-Ref2],表格3[TOSHIBA/HIGHEST])</f>
        <v>Shops Highest Price</v>
      </c>
      <c r="W3691" s="86" t="str">
        <f>_xlfn.CONCAT(表格1[[#This Row],[欄4]],表格1[[#This Row],[inv no]])</f>
        <v/>
      </c>
    </row>
    <row r="3692" spans="1:23" hidden="1">
      <c r="A3692" s="81">
        <v>3690</v>
      </c>
      <c r="B3692" s="86" t="s">
        <v>1203</v>
      </c>
      <c r="C3692" s="86" t="s">
        <v>1964</v>
      </c>
      <c r="D3692" s="82" t="str">
        <f ca="1">OFFSET(Roster!$A$3,MATCH(表格1[[#This Row],[Location]]&amp;" "&amp;表格1[[#This Row],[Shop]]&amp;"*",Roster!$A$4:$A$72,0),DAY(表格1[[#This Row],[date]]),1,1)</f>
        <v>Lily Hon</v>
      </c>
      <c r="E3692" s="86">
        <f>MONTH(表格1[[#This Row],[date]])</f>
        <v>3</v>
      </c>
      <c r="F3692" s="90">
        <v>46089</v>
      </c>
      <c r="G3692" s="86" t="str">
        <f>VLOOKUP("*"&amp;表格1[[#This Row],[Input]]&amp;"*",'Ref-List'!$B:$D,2,)</f>
        <v>RC-7HMH</v>
      </c>
      <c r="H3692" s="86" t="str">
        <f>_xlfn.XLOOKUP(表格1[[#This Row],[Model]],表格3[Model-Input-Ref2],表格3[Product Line])</f>
        <v>備長炭本厚釜電飯煲0.7L</v>
      </c>
      <c r="I3692" s="86" t="str">
        <f>_xlfn.XLOOKUP(表格1[[#This Row],[Model]],表格3[Model-Input-Ref2],表格3[大小電])</f>
        <v>細電</v>
      </c>
      <c r="J3692" s="86" t="str">
        <f>_xlfn.XLOOKUP(表格1[[#This Row],[Model]],表格3[Model-Input-Ref2],表格3[Code])</f>
        <v>SDA</v>
      </c>
      <c r="K3692" s="89" t="s">
        <v>1284</v>
      </c>
      <c r="L3692" s="86">
        <v>1</v>
      </c>
      <c r="M3692" s="87">
        <v>780</v>
      </c>
      <c r="N3692" s="174">
        <f>IFERROR(表格1[[#This Row],[QTY]]*表格1[[#This Row],[Unit Price]],"-")</f>
        <v>780</v>
      </c>
      <c r="O3692" s="175"/>
      <c r="R3692" s="86" t="str">
        <f>_xlfn.CONCAT(表格1[[#This Row],[Model]]," ",表格1[[#This Row],[inv no]])</f>
        <v xml:space="preserve">RC-7HMH </v>
      </c>
      <c r="S3692" s="86">
        <f>_xlfn.XLOOKUP(表格1[[#This Row],[Model]],表格3[Model-Input-Ref2],表格3[SRP PRICE])</f>
        <v>1288</v>
      </c>
      <c r="T3692" s="43">
        <f>表格1[[#This Row],[Unit Price]]/表格1[[#This Row],[SRP]]</f>
        <v>0.60559006211180122</v>
      </c>
      <c r="U3692" s="86" t="str">
        <f>_xlfn.XLOOKUP(表格1[[#This Row],[Model]],表格3[Model-Input-Ref2],表格3[TOSHIBA/HIGHEST])</f>
        <v>Toshiba SRP</v>
      </c>
      <c r="W3692" s="86" t="str">
        <f>_xlfn.CONCAT(表格1[[#This Row],[欄4]],表格1[[#This Row],[inv no]])</f>
        <v/>
      </c>
    </row>
    <row r="3693" spans="1:23" hidden="1">
      <c r="A3693" s="81">
        <v>3691</v>
      </c>
      <c r="B3693" s="86" t="s">
        <v>1203</v>
      </c>
      <c r="C3693" s="86" t="s">
        <v>1964</v>
      </c>
      <c r="D3693" s="82" t="str">
        <f ca="1">OFFSET(Roster!$A$3,MATCH(表格1[[#This Row],[Location]]&amp;" "&amp;表格1[[#This Row],[Shop]]&amp;"*",Roster!$A$4:$A$72,0),DAY(表格1[[#This Row],[date]]),1,1)</f>
        <v>Lily Hon</v>
      </c>
      <c r="E3693" s="86">
        <f>MONTH(表格1[[#This Row],[date]])</f>
        <v>3</v>
      </c>
      <c r="F3693" s="90">
        <v>46089</v>
      </c>
      <c r="G3693" s="86" t="str">
        <f>VLOOKUP("*"&amp;表格1[[#This Row],[Input]]&amp;"*",'Ref-List'!$B:$D,2,)</f>
        <v>MM-2MM20PC(WH)</v>
      </c>
      <c r="H3693" s="86" t="str">
        <f>_xlfn.XLOOKUP(表格1[[#This Row],[Model]],表格3[Model-Input-Ref2],表格3[Product Line])</f>
        <v>旋鈕式微波爐 (20公升)</v>
      </c>
      <c r="I3693" s="86" t="str">
        <f>_xlfn.XLOOKUP(表格1[[#This Row],[Model]],表格3[Model-Input-Ref2],表格3[大小電])</f>
        <v>細電</v>
      </c>
      <c r="J3693" s="86" t="str">
        <f>_xlfn.XLOOKUP(表格1[[#This Row],[Model]],表格3[Model-Input-Ref2],表格3[Code])</f>
        <v>MCA</v>
      </c>
      <c r="K3693" s="89" t="s">
        <v>1388</v>
      </c>
      <c r="L3693" s="86">
        <v>1</v>
      </c>
      <c r="M3693" s="87">
        <v>620</v>
      </c>
      <c r="N3693" s="174">
        <f>IFERROR(表格1[[#This Row],[QTY]]*表格1[[#This Row],[Unit Price]],"-")</f>
        <v>620</v>
      </c>
      <c r="O3693" s="175"/>
      <c r="R3693" s="86" t="str">
        <f>_xlfn.CONCAT(表格1[[#This Row],[Model]]," ",表格1[[#This Row],[inv no]])</f>
        <v xml:space="preserve">MM-2MM20PC(WH) </v>
      </c>
      <c r="S3693" s="86">
        <f>_xlfn.XLOOKUP(表格1[[#This Row],[Model]],表格3[Model-Input-Ref2],表格3[SRP PRICE])</f>
        <v>738</v>
      </c>
      <c r="T3693" s="43">
        <f>表格1[[#This Row],[Unit Price]]/表格1[[#This Row],[SRP]]</f>
        <v>0.84010840108401086</v>
      </c>
      <c r="U3693" s="86" t="str">
        <f>_xlfn.XLOOKUP(表格1[[#This Row],[Model]],表格3[Model-Input-Ref2],表格3[TOSHIBA/HIGHEST])</f>
        <v>Toshiba SRP</v>
      </c>
      <c r="W3693" s="86" t="str">
        <f>_xlfn.CONCAT(表格1[[#This Row],[欄4]],表格1[[#This Row],[inv no]])</f>
        <v/>
      </c>
    </row>
    <row r="3694" spans="1:23" hidden="1">
      <c r="A3694" s="81">
        <v>3692</v>
      </c>
      <c r="B3694" s="86" t="s">
        <v>1203</v>
      </c>
      <c r="C3694" s="86" t="s">
        <v>1964</v>
      </c>
      <c r="D3694" s="82" t="str">
        <f ca="1">OFFSET(Roster!$A$3,MATCH(表格1[[#This Row],[Location]]&amp;" "&amp;表格1[[#This Row],[Shop]]&amp;"*",Roster!$A$4:$A$72,0),DAY(表格1[[#This Row],[date]]),1,1)</f>
        <v>Lily Hon</v>
      </c>
      <c r="E3694" s="86">
        <f>MONTH(表格1[[#This Row],[date]])</f>
        <v>3</v>
      </c>
      <c r="F3694" s="90">
        <v>46089</v>
      </c>
      <c r="G3694" s="86" t="str">
        <f>VLOOKUP("*"&amp;表格1[[#This Row],[Input]]&amp;"*",'Ref-List'!$B:$D,2,)</f>
        <v>KT-15DRTHK(W)</v>
      </c>
      <c r="H3694" s="86" t="str">
        <f>_xlfn.XLOOKUP(表格1[[#This Row],[Model]],表格3[Model-Input-Ref2],表格3[Product Line])</f>
        <v>無線雙層電熱水壺-附可鎖壺蓋</v>
      </c>
      <c r="I3694" s="86" t="str">
        <f>_xlfn.XLOOKUP(表格1[[#This Row],[Model]],表格3[Model-Input-Ref2],表格3[大小電])</f>
        <v>細電</v>
      </c>
      <c r="J3694" s="86" t="str">
        <f>_xlfn.XLOOKUP(表格1[[#This Row],[Model]],表格3[Model-Input-Ref2],表格3[Code])</f>
        <v>SDA</v>
      </c>
      <c r="K3694" s="89" t="s">
        <v>1278</v>
      </c>
      <c r="L3694" s="86">
        <v>1</v>
      </c>
      <c r="M3694" s="87">
        <v>490</v>
      </c>
      <c r="N3694" s="174">
        <f>IFERROR(表格1[[#This Row],[QTY]]*表格1[[#This Row],[Unit Price]],"-")</f>
        <v>490</v>
      </c>
      <c r="O3694" s="175"/>
      <c r="R3694" s="86" t="str">
        <f>_xlfn.CONCAT(表格1[[#This Row],[Model]]," ",表格1[[#This Row],[inv no]])</f>
        <v xml:space="preserve">KT-15DRTHK(W) </v>
      </c>
      <c r="S3694" s="86">
        <f>_xlfn.XLOOKUP(表格1[[#This Row],[Model]],表格3[Model-Input-Ref2],表格3[SRP PRICE])</f>
        <v>598</v>
      </c>
      <c r="T3694" s="43">
        <f>表格1[[#This Row],[Unit Price]]/表格1[[#This Row],[SRP]]</f>
        <v>0.8193979933110368</v>
      </c>
      <c r="U3694" s="86" t="str">
        <f>_xlfn.XLOOKUP(表格1[[#This Row],[Model]],表格3[Model-Input-Ref2],表格3[TOSHIBA/HIGHEST])</f>
        <v>Toshiba SRP</v>
      </c>
      <c r="W3694" s="86" t="str">
        <f>_xlfn.CONCAT(表格1[[#This Row],[欄4]],表格1[[#This Row],[inv no]])</f>
        <v/>
      </c>
    </row>
    <row r="3695" spans="1:23" hidden="1">
      <c r="A3695" s="81">
        <v>3693</v>
      </c>
      <c r="B3695" s="86" t="s">
        <v>1203</v>
      </c>
      <c r="C3695" s="86" t="s">
        <v>1964</v>
      </c>
      <c r="D3695" s="82" t="str">
        <f ca="1">OFFSET(Roster!$A$3,MATCH(表格1[[#This Row],[Location]]&amp;" "&amp;表格1[[#This Row],[Shop]]&amp;"*",Roster!$A$4:$A$72,0),DAY(表格1[[#This Row],[date]]),1,1)</f>
        <v>Lily Hon</v>
      </c>
      <c r="E3695" s="86">
        <f>MONTH(表格1[[#This Row],[date]])</f>
        <v>3</v>
      </c>
      <c r="F3695" s="90">
        <v>46089</v>
      </c>
      <c r="G3695" s="86" t="str">
        <f>VLOOKUP("*"&amp;表格1[[#This Row],[Input]]&amp;"*",'Ref-List'!$B:$D,2,)</f>
        <v>IC-20R1THK</v>
      </c>
      <c r="H3695" s="86" t="str">
        <f>_xlfn.XLOOKUP(表格1[[#This Row],[Model]],表格3[Model-Input-Ref2],表格3[Product Line])</f>
        <v>輕便式電磁爐</v>
      </c>
      <c r="I3695" s="86" t="str">
        <f>_xlfn.XLOOKUP(表格1[[#This Row],[Model]],表格3[Model-Input-Ref2],表格3[大小電])</f>
        <v>細電</v>
      </c>
      <c r="J3695" s="86" t="str">
        <f>_xlfn.XLOOKUP(表格1[[#This Row],[Model]],表格3[Model-Input-Ref2],表格3[Code])</f>
        <v>SDA</v>
      </c>
      <c r="K3695" s="89" t="s">
        <v>1243</v>
      </c>
      <c r="L3695" s="86">
        <v>1</v>
      </c>
      <c r="M3695" s="87">
        <v>290</v>
      </c>
      <c r="N3695" s="174">
        <f>IFERROR(表格1[[#This Row],[QTY]]*表格1[[#This Row],[Unit Price]],"-")</f>
        <v>290</v>
      </c>
      <c r="O3695" s="175"/>
      <c r="R3695" s="86" t="str">
        <f>_xlfn.CONCAT(表格1[[#This Row],[Model]]," ",表格1[[#This Row],[inv no]])</f>
        <v xml:space="preserve">IC-20R1THK </v>
      </c>
      <c r="S3695" s="86">
        <f>_xlfn.XLOOKUP(表格1[[#This Row],[Model]],表格3[Model-Input-Ref2],表格3[SRP PRICE])</f>
        <v>438</v>
      </c>
      <c r="T3695" s="43">
        <f>表格1[[#This Row],[Unit Price]]/表格1[[#This Row],[SRP]]</f>
        <v>0.66210045662100458</v>
      </c>
      <c r="U3695" s="86" t="str">
        <f>_xlfn.XLOOKUP(表格1[[#This Row],[Model]],表格3[Model-Input-Ref2],表格3[TOSHIBA/HIGHEST])</f>
        <v>Shops Highest Price</v>
      </c>
      <c r="W3695" s="86" t="str">
        <f>_xlfn.CONCAT(表格1[[#This Row],[欄4]],表格1[[#This Row],[inv no]])</f>
        <v/>
      </c>
    </row>
    <row r="3696" spans="1:23" hidden="1">
      <c r="A3696" s="81">
        <v>3694</v>
      </c>
      <c r="B3696" s="86" t="s">
        <v>1203</v>
      </c>
      <c r="C3696" s="86" t="s">
        <v>1964</v>
      </c>
      <c r="D3696" s="82" t="str">
        <f ca="1">OFFSET(Roster!$A$3,MATCH(表格1[[#This Row],[Location]]&amp;" "&amp;表格1[[#This Row],[Shop]]&amp;"*",Roster!$A$4:$A$72,0),DAY(表格1[[#This Row],[date]]),1,1)</f>
        <v>Lily Hon</v>
      </c>
      <c r="E3696" s="86">
        <f>MONTH(表格1[[#This Row],[date]])</f>
        <v>3</v>
      </c>
      <c r="F3696" s="90">
        <v>46090</v>
      </c>
      <c r="G3696" s="86" t="str">
        <f>VLOOKUP("*"&amp;表格1[[#This Row],[Input]]&amp;"*",'Ref-List'!$B:$D,2,)</f>
        <v>KT-17SHNH</v>
      </c>
      <c r="H3696" s="86" t="str">
        <f>_xlfn.XLOOKUP(表格1[[#This Row],[Model]],表格3[Model-Input-Ref2],表格3[Product Line])</f>
        <v>1.7L無線雙層電熱水壺</v>
      </c>
      <c r="I3696" s="86" t="str">
        <f>_xlfn.XLOOKUP(表格1[[#This Row],[Model]],表格3[Model-Input-Ref2],表格3[大小電])</f>
        <v>細電</v>
      </c>
      <c r="J3696" s="86" t="str">
        <f>_xlfn.XLOOKUP(表格1[[#This Row],[Model]],表格3[Model-Input-Ref2],表格3[Code])</f>
        <v>SDA</v>
      </c>
      <c r="K3696" s="89" t="s">
        <v>1283</v>
      </c>
      <c r="L3696" s="86">
        <v>1</v>
      </c>
      <c r="M3696" s="87">
        <v>190</v>
      </c>
      <c r="N3696" s="174">
        <f>IFERROR(表格1[[#This Row],[QTY]]*表格1[[#This Row],[Unit Price]],"-")</f>
        <v>190</v>
      </c>
      <c r="O3696" s="175"/>
      <c r="R3696" s="86" t="str">
        <f>_xlfn.CONCAT(表格1[[#This Row],[Model]]," ",表格1[[#This Row],[inv no]])</f>
        <v xml:space="preserve">KT-17SHNH </v>
      </c>
      <c r="S3696" s="86">
        <f>_xlfn.XLOOKUP(表格1[[#This Row],[Model]],表格3[Model-Input-Ref2],表格3[SRP PRICE])</f>
        <v>299</v>
      </c>
      <c r="T3696" s="43">
        <f>表格1[[#This Row],[Unit Price]]/表格1[[#This Row],[SRP]]</f>
        <v>0.63545150501672243</v>
      </c>
      <c r="U3696" s="86" t="str">
        <f>_xlfn.XLOOKUP(表格1[[#This Row],[Model]],表格3[Model-Input-Ref2],表格3[TOSHIBA/HIGHEST])</f>
        <v>Shops Highest Price</v>
      </c>
      <c r="W3696" s="86" t="str">
        <f>_xlfn.CONCAT(表格1[[#This Row],[欄4]],表格1[[#This Row],[inv no]])</f>
        <v/>
      </c>
    </row>
    <row r="3697" spans="1:23" hidden="1">
      <c r="A3697" s="81">
        <v>3695</v>
      </c>
      <c r="B3697" s="86" t="s">
        <v>1203</v>
      </c>
      <c r="C3697" s="86" t="s">
        <v>1964</v>
      </c>
      <c r="D3697" s="82" t="str">
        <f ca="1">OFFSET(Roster!$A$3,MATCH(表格1[[#This Row],[Location]]&amp;" "&amp;表格1[[#This Row],[Shop]]&amp;"*",Roster!$A$4:$A$72,0),DAY(表格1[[#This Row],[date]]),1,1)</f>
        <v>Lily Hon</v>
      </c>
      <c r="E3697" s="86">
        <f>MONTH(表格1[[#This Row],[date]])</f>
        <v>3</v>
      </c>
      <c r="F3697" s="90">
        <v>46090</v>
      </c>
      <c r="G3697" s="86" t="str">
        <f>VLOOKUP("*"&amp;表格1[[#This Row],[Input]]&amp;"*",'Ref-List'!$B:$D,2,)</f>
        <v>KT-17DRTHK(H)</v>
      </c>
      <c r="H3697" s="86" t="str">
        <f>_xlfn.XLOOKUP(表格1[[#This Row],[Model]],表格3[Model-Input-Ref2],表格3[Product Line])</f>
        <v>無線雙層電熱水壺(1.7公升)</v>
      </c>
      <c r="I3697" s="86" t="str">
        <f>_xlfn.XLOOKUP(表格1[[#This Row],[Model]],表格3[Model-Input-Ref2],表格3[大小電])</f>
        <v>細電</v>
      </c>
      <c r="J3697" s="86" t="str">
        <f>_xlfn.XLOOKUP(表格1[[#This Row],[Model]],表格3[Model-Input-Ref2],表格3[Code])</f>
        <v>SDA</v>
      </c>
      <c r="K3697" s="89" t="s">
        <v>1271</v>
      </c>
      <c r="L3697" s="86">
        <v>1</v>
      </c>
      <c r="M3697" s="87">
        <v>332.5</v>
      </c>
      <c r="N3697" s="174">
        <f>IFERROR(表格1[[#This Row],[QTY]]*表格1[[#This Row],[Unit Price]],"-")</f>
        <v>332.5</v>
      </c>
      <c r="O3697" s="175"/>
      <c r="R3697" s="86" t="str">
        <f>_xlfn.CONCAT(表格1[[#This Row],[Model]]," ",表格1[[#This Row],[inv no]])</f>
        <v xml:space="preserve">KT-17DRTHK(H) </v>
      </c>
      <c r="S3697" s="86">
        <f>_xlfn.XLOOKUP(表格1[[#This Row],[Model]],表格3[Model-Input-Ref2],表格3[SRP PRICE])</f>
        <v>498</v>
      </c>
      <c r="T3697" s="43">
        <f>表格1[[#This Row],[Unit Price]]/表格1[[#This Row],[SRP]]</f>
        <v>0.66767068273092367</v>
      </c>
      <c r="U3697" s="86" t="str">
        <f>_xlfn.XLOOKUP(表格1[[#This Row],[Model]],表格3[Model-Input-Ref2],表格3[TOSHIBA/HIGHEST])</f>
        <v>Toshiba SRP</v>
      </c>
      <c r="W3697" s="86" t="str">
        <f>_xlfn.CONCAT(表格1[[#This Row],[欄4]],表格1[[#This Row],[inv no]])</f>
        <v/>
      </c>
    </row>
    <row r="3698" spans="1:23" hidden="1">
      <c r="A3698" s="81">
        <v>3696</v>
      </c>
      <c r="B3698" s="86" t="s">
        <v>1203</v>
      </c>
      <c r="C3698" s="86" t="s">
        <v>1964</v>
      </c>
      <c r="D3698" s="89" t="str">
        <f ca="1">OFFSET(Roster!$A$3,MATCH(表格1[[#This Row],[Location]]&amp;" "&amp;表格1[[#This Row],[Shop]]&amp;"*",Roster!$A$4:$A$72,0),DAY(表格1[[#This Row],[date]]),1,1)</f>
        <v>Lily Hon off</v>
      </c>
      <c r="E3698" s="86">
        <f>MONTH(表格1[[#This Row],[date]])</f>
        <v>3</v>
      </c>
      <c r="F3698" s="90">
        <v>46091</v>
      </c>
      <c r="G3698" s="86" t="str">
        <f>VLOOKUP("*"&amp;表格1[[#This Row],[Input]]&amp;"*",'Ref-List'!$B:$D,2,)</f>
        <v>KT-17SHNH</v>
      </c>
      <c r="H3698" s="86" t="str">
        <f>_xlfn.XLOOKUP(表格1[[#This Row],[Model]],表格3[Model-Input-Ref2],表格3[Product Line])</f>
        <v>1.7L無線雙層電熱水壺</v>
      </c>
      <c r="I3698" s="86" t="str">
        <f>_xlfn.XLOOKUP(表格1[[#This Row],[Model]],表格3[Model-Input-Ref2],表格3[大小電])</f>
        <v>細電</v>
      </c>
      <c r="J3698" s="86" t="str">
        <f>_xlfn.XLOOKUP(表格1[[#This Row],[Model]],表格3[Model-Input-Ref2],表格3[Code])</f>
        <v>SDA</v>
      </c>
      <c r="K3698" s="89" t="s">
        <v>1283</v>
      </c>
      <c r="L3698" s="86">
        <v>1</v>
      </c>
      <c r="M3698" s="87">
        <v>190</v>
      </c>
      <c r="N3698" s="174">
        <f>IFERROR(表格1[[#This Row],[QTY]]*表格1[[#This Row],[Unit Price]],"-")</f>
        <v>190</v>
      </c>
      <c r="O3698" s="175"/>
      <c r="R3698" s="86" t="str">
        <f>_xlfn.CONCAT(表格1[[#This Row],[Model]]," ",表格1[[#This Row],[inv no]])</f>
        <v xml:space="preserve">KT-17SHNH </v>
      </c>
      <c r="S3698" s="86">
        <f>_xlfn.XLOOKUP(表格1[[#This Row],[Model]],表格3[Model-Input-Ref2],表格3[SRP PRICE])</f>
        <v>299</v>
      </c>
      <c r="T3698" s="43">
        <f>表格1[[#This Row],[Unit Price]]/表格1[[#This Row],[SRP]]</f>
        <v>0.63545150501672243</v>
      </c>
      <c r="U3698" s="86" t="str">
        <f>_xlfn.XLOOKUP(表格1[[#This Row],[Model]],表格3[Model-Input-Ref2],表格3[TOSHIBA/HIGHEST])</f>
        <v>Shops Highest Price</v>
      </c>
      <c r="W3698" s="86" t="str">
        <f>_xlfn.CONCAT(表格1[[#This Row],[欄4]],表格1[[#This Row],[inv no]])</f>
        <v/>
      </c>
    </row>
    <row r="3699" spans="1:23" hidden="1">
      <c r="A3699" s="81">
        <v>3697</v>
      </c>
      <c r="B3699" s="86" t="s">
        <v>1203</v>
      </c>
      <c r="C3699" s="86" t="s">
        <v>1964</v>
      </c>
      <c r="D3699" s="89" t="str">
        <f ca="1">OFFSET(Roster!$A$3,MATCH(表格1[[#This Row],[Location]]&amp;" "&amp;表格1[[#This Row],[Shop]]&amp;"*",Roster!$A$4:$A$72,0),DAY(表格1[[#This Row],[date]]),1,1)</f>
        <v>Lily Hon</v>
      </c>
      <c r="E3699" s="86">
        <f>MONTH(表格1[[#This Row],[date]])</f>
        <v>3</v>
      </c>
      <c r="F3699" s="90">
        <v>46092</v>
      </c>
      <c r="G3699" s="86" t="str">
        <f>VLOOKUP("*"&amp;表格1[[#This Row],[Input]]&amp;"*",'Ref-List'!$B:$D,2,)</f>
        <v>MM-2MM20PC(WH)</v>
      </c>
      <c r="H3699" s="86" t="str">
        <f>_xlfn.XLOOKUP(表格1[[#This Row],[Model]],表格3[Model-Input-Ref2],表格3[Product Line])</f>
        <v>旋鈕式微波爐 (20公升)</v>
      </c>
      <c r="I3699" s="86" t="str">
        <f>_xlfn.XLOOKUP(表格1[[#This Row],[Model]],表格3[Model-Input-Ref2],表格3[大小電])</f>
        <v>細電</v>
      </c>
      <c r="J3699" s="86" t="str">
        <f>_xlfn.XLOOKUP(表格1[[#This Row],[Model]],表格3[Model-Input-Ref2],表格3[Code])</f>
        <v>MCA</v>
      </c>
      <c r="K3699" s="89" t="s">
        <v>1388</v>
      </c>
      <c r="L3699" s="86">
        <v>1</v>
      </c>
      <c r="M3699" s="87">
        <v>620</v>
      </c>
      <c r="N3699" s="174">
        <f>IFERROR(表格1[[#This Row],[QTY]]*表格1[[#This Row],[Unit Price]],"-")</f>
        <v>620</v>
      </c>
      <c r="O3699" s="175"/>
      <c r="R3699" s="86" t="str">
        <f>_xlfn.CONCAT(表格1[[#This Row],[Model]]," ",表格1[[#This Row],[inv no]])</f>
        <v xml:space="preserve">MM-2MM20PC(WH) </v>
      </c>
      <c r="S3699" s="86">
        <f>_xlfn.XLOOKUP(表格1[[#This Row],[Model]],表格3[Model-Input-Ref2],表格3[SRP PRICE])</f>
        <v>738</v>
      </c>
      <c r="T3699" s="43">
        <f>表格1[[#This Row],[Unit Price]]/表格1[[#This Row],[SRP]]</f>
        <v>0.84010840108401086</v>
      </c>
      <c r="U3699" s="86" t="str">
        <f>_xlfn.XLOOKUP(表格1[[#This Row],[Model]],表格3[Model-Input-Ref2],表格3[TOSHIBA/HIGHEST])</f>
        <v>Toshiba SRP</v>
      </c>
      <c r="W3699" s="86" t="str">
        <f>_xlfn.CONCAT(表格1[[#This Row],[欄4]],表格1[[#This Row],[inv no]])</f>
        <v/>
      </c>
    </row>
    <row r="3700" spans="1:23" hidden="1">
      <c r="A3700" s="81">
        <v>3698</v>
      </c>
      <c r="B3700" s="86" t="s">
        <v>1203</v>
      </c>
      <c r="C3700" s="86" t="s">
        <v>1964</v>
      </c>
      <c r="D3700" s="89" t="str">
        <f ca="1">OFFSET(Roster!$A$3,MATCH(表格1[[#This Row],[Location]]&amp;" "&amp;表格1[[#This Row],[Shop]]&amp;"*",Roster!$A$4:$A$72,0),DAY(表格1[[#This Row],[date]]),1,1)</f>
        <v>Lily Hon</v>
      </c>
      <c r="E3700" s="86">
        <f>MONTH(表格1[[#This Row],[date]])</f>
        <v>3</v>
      </c>
      <c r="F3700" s="90">
        <v>46092</v>
      </c>
      <c r="G3700" s="86" t="str">
        <f>VLOOKUP("*"&amp;表格1[[#This Row],[Input]]&amp;"*",'Ref-List'!$B:$D,2,)</f>
        <v>IC-20R1THK</v>
      </c>
      <c r="H3700" s="86" t="str">
        <f>_xlfn.XLOOKUP(表格1[[#This Row],[Model]],表格3[Model-Input-Ref2],表格3[Product Line])</f>
        <v>輕便式電磁爐</v>
      </c>
      <c r="I3700" s="86" t="str">
        <f>_xlfn.XLOOKUP(表格1[[#This Row],[Model]],表格3[Model-Input-Ref2],表格3[大小電])</f>
        <v>細電</v>
      </c>
      <c r="J3700" s="86" t="str">
        <f>_xlfn.XLOOKUP(表格1[[#This Row],[Model]],表格3[Model-Input-Ref2],表格3[Code])</f>
        <v>SDA</v>
      </c>
      <c r="K3700" s="89" t="s">
        <v>1243</v>
      </c>
      <c r="L3700" s="86">
        <v>1</v>
      </c>
      <c r="M3700" s="87">
        <v>275.5</v>
      </c>
      <c r="N3700" s="174">
        <f>IFERROR(表格1[[#This Row],[QTY]]*表格1[[#This Row],[Unit Price]],"-")</f>
        <v>275.5</v>
      </c>
      <c r="O3700" s="175"/>
      <c r="R3700" s="86" t="str">
        <f>_xlfn.CONCAT(表格1[[#This Row],[Model]]," ",表格1[[#This Row],[inv no]])</f>
        <v xml:space="preserve">IC-20R1THK </v>
      </c>
      <c r="S3700" s="86">
        <f>_xlfn.XLOOKUP(表格1[[#This Row],[Model]],表格3[Model-Input-Ref2],表格3[SRP PRICE])</f>
        <v>438</v>
      </c>
      <c r="T3700" s="43">
        <f>表格1[[#This Row],[Unit Price]]/表格1[[#This Row],[SRP]]</f>
        <v>0.62899543378995437</v>
      </c>
      <c r="U3700" s="86" t="str">
        <f>_xlfn.XLOOKUP(表格1[[#This Row],[Model]],表格3[Model-Input-Ref2],表格3[TOSHIBA/HIGHEST])</f>
        <v>Shops Highest Price</v>
      </c>
      <c r="W3700" s="86" t="str">
        <f>_xlfn.CONCAT(表格1[[#This Row],[欄4]],表格1[[#This Row],[inv no]])</f>
        <v/>
      </c>
    </row>
    <row r="3701" spans="1:23" hidden="1">
      <c r="A3701" s="81">
        <v>3699</v>
      </c>
      <c r="B3701" s="86" t="s">
        <v>1203</v>
      </c>
      <c r="C3701" s="86" t="s">
        <v>1964</v>
      </c>
      <c r="D3701" s="89" t="str">
        <f ca="1">OFFSET(Roster!$A$3,MATCH(表格1[[#This Row],[Location]]&amp;" "&amp;表格1[[#This Row],[Shop]]&amp;"*",Roster!$A$4:$A$72,0),DAY(表格1[[#This Row],[date]]),1,1)</f>
        <v>Lily Hon off</v>
      </c>
      <c r="E3701" s="86">
        <f>MONTH(表格1[[#This Row],[date]])</f>
        <v>3</v>
      </c>
      <c r="F3701" s="90">
        <v>46093</v>
      </c>
      <c r="G3701" s="86" t="str">
        <f>VLOOKUP("*"&amp;表格1[[#This Row],[Input]]&amp;"*",'Ref-List'!$B:$D,2,)</f>
        <v>RC-18NMFIH(WT)</v>
      </c>
      <c r="H3701" s="86" t="str">
        <f>_xlfn.XLOOKUP(表格1[[#This Row],[Model]],表格3[Model-Input-Ref2],表格3[Product Line])</f>
        <v>4毫米厚釜電飯煲1.8L</v>
      </c>
      <c r="I3701" s="86" t="str">
        <f>_xlfn.XLOOKUP(表格1[[#This Row],[Model]],表格3[Model-Input-Ref2],表格3[大小電])</f>
        <v>細電</v>
      </c>
      <c r="J3701" s="86" t="str">
        <f>_xlfn.XLOOKUP(表格1[[#This Row],[Model]],表格3[Model-Input-Ref2],表格3[Code])</f>
        <v>SDA</v>
      </c>
      <c r="K3701" s="89" t="s">
        <v>1267</v>
      </c>
      <c r="L3701" s="86">
        <v>1</v>
      </c>
      <c r="M3701" s="87">
        <v>800</v>
      </c>
      <c r="N3701" s="174">
        <f>IFERROR(表格1[[#This Row],[QTY]]*表格1[[#This Row],[Unit Price]],"-")</f>
        <v>800</v>
      </c>
      <c r="O3701" s="175"/>
      <c r="R3701" s="86" t="str">
        <f>_xlfn.CONCAT(表格1[[#This Row],[Model]]," ",表格1[[#This Row],[inv no]])</f>
        <v xml:space="preserve">RC-18NMFIH(WT) </v>
      </c>
      <c r="S3701" s="86">
        <f>_xlfn.XLOOKUP(表格1[[#This Row],[Model]],表格3[Model-Input-Ref2],表格3[SRP PRICE])</f>
        <v>998</v>
      </c>
      <c r="T3701" s="43">
        <f>表格1[[#This Row],[Unit Price]]/表格1[[#This Row],[SRP]]</f>
        <v>0.80160320641282568</v>
      </c>
      <c r="U3701" s="86" t="str">
        <f>_xlfn.XLOOKUP(表格1[[#This Row],[Model]],表格3[Model-Input-Ref2],表格3[TOSHIBA/HIGHEST])</f>
        <v>Toshiba SRP</v>
      </c>
      <c r="W3701" s="86" t="str">
        <f>_xlfn.CONCAT(表格1[[#This Row],[欄4]],表格1[[#This Row],[inv no]])</f>
        <v/>
      </c>
    </row>
    <row r="3702" spans="1:23" hidden="1">
      <c r="A3702" s="81">
        <v>3700</v>
      </c>
      <c r="B3702" s="86" t="s">
        <v>1203</v>
      </c>
      <c r="C3702" s="86" t="s">
        <v>1964</v>
      </c>
      <c r="D3702" s="89" t="str">
        <f ca="1">OFFSET(Roster!$A$3,MATCH(表格1[[#This Row],[Location]]&amp;" "&amp;表格1[[#This Row],[Shop]]&amp;"*",Roster!$A$4:$A$72,0),DAY(表格1[[#This Row],[date]]),1,1)</f>
        <v>Lily Hon</v>
      </c>
      <c r="E3702" s="86">
        <f>MONTH(表格1[[#This Row],[date]])</f>
        <v>3</v>
      </c>
      <c r="F3702" s="90">
        <v>46094</v>
      </c>
      <c r="G3702" s="86" t="str">
        <f>VLOOKUP("*"&amp;表格1[[#This Row],[Input]]&amp;"*",'Ref-List'!$B:$D,2,)</f>
        <v>KT-17SHNH</v>
      </c>
      <c r="H3702" s="86" t="str">
        <f>_xlfn.XLOOKUP(表格1[[#This Row],[Model]],表格3[Model-Input-Ref2],表格3[Product Line])</f>
        <v>1.7L無線雙層電熱水壺</v>
      </c>
      <c r="I3702" s="86" t="str">
        <f>_xlfn.XLOOKUP(表格1[[#This Row],[Model]],表格3[Model-Input-Ref2],表格3[大小電])</f>
        <v>細電</v>
      </c>
      <c r="J3702" s="86" t="str">
        <f>_xlfn.XLOOKUP(表格1[[#This Row],[Model]],表格3[Model-Input-Ref2],表格3[Code])</f>
        <v>SDA</v>
      </c>
      <c r="K3702" s="89" t="s">
        <v>1283</v>
      </c>
      <c r="L3702" s="86">
        <v>1</v>
      </c>
      <c r="M3702" s="87">
        <v>190</v>
      </c>
      <c r="N3702" s="174">
        <f>IFERROR(表格1[[#This Row],[QTY]]*表格1[[#This Row],[Unit Price]],"-")</f>
        <v>190</v>
      </c>
      <c r="O3702" s="175"/>
      <c r="R3702" s="86" t="str">
        <f>_xlfn.CONCAT(表格1[[#This Row],[Model]]," ",表格1[[#This Row],[inv no]])</f>
        <v xml:space="preserve">KT-17SHNH </v>
      </c>
      <c r="S3702" s="86">
        <f>_xlfn.XLOOKUP(表格1[[#This Row],[Model]],表格3[Model-Input-Ref2],表格3[SRP PRICE])</f>
        <v>299</v>
      </c>
      <c r="T3702" s="43">
        <f>表格1[[#This Row],[Unit Price]]/表格1[[#This Row],[SRP]]</f>
        <v>0.63545150501672243</v>
      </c>
      <c r="U3702" s="86" t="str">
        <f>_xlfn.XLOOKUP(表格1[[#This Row],[Model]],表格3[Model-Input-Ref2],表格3[TOSHIBA/HIGHEST])</f>
        <v>Shops Highest Price</v>
      </c>
      <c r="W3702" s="86" t="str">
        <f>_xlfn.CONCAT(表格1[[#This Row],[欄4]],表格1[[#This Row],[inv no]])</f>
        <v/>
      </c>
    </row>
    <row r="3703" spans="1:23" hidden="1">
      <c r="A3703" s="81">
        <v>3701</v>
      </c>
      <c r="B3703" s="86" t="s">
        <v>1203</v>
      </c>
      <c r="C3703" s="86" t="s">
        <v>1964</v>
      </c>
      <c r="D3703" s="89" t="str">
        <f ca="1">OFFSET(Roster!$A$3,MATCH(表格1[[#This Row],[Location]]&amp;" "&amp;表格1[[#This Row],[Shop]]&amp;"*",Roster!$A$4:$A$72,0),DAY(表格1[[#This Row],[date]]),1,1)</f>
        <v>Lily Hon</v>
      </c>
      <c r="E3703" s="86">
        <f>MONTH(表格1[[#This Row],[date]])</f>
        <v>3</v>
      </c>
      <c r="F3703" s="90">
        <v>46094</v>
      </c>
      <c r="G3703" s="86" t="str">
        <f>VLOOKUP("*"&amp;表格1[[#This Row],[Input]]&amp;"*",'Ref-List'!$B:$D,2,)</f>
        <v>F-LYA20(W)HKG</v>
      </c>
      <c r="H3703" s="86" t="str">
        <f>_xlfn.XLOOKUP(表格1[[#This Row],[Model]],表格3[Model-Input-Ref2],表格3[Product Line])</f>
        <v>12吋2合1座地座檯電風扇連遙控</v>
      </c>
      <c r="I3703" s="86" t="str">
        <f>_xlfn.XLOOKUP(表格1[[#This Row],[Model]],表格3[Model-Input-Ref2],表格3[大小電])</f>
        <v>細電</v>
      </c>
      <c r="J3703" s="86" t="str">
        <f>_xlfn.XLOOKUP(表格1[[#This Row],[Model]],表格3[Model-Input-Ref2],表格3[Code])</f>
        <v>EAD</v>
      </c>
      <c r="K3703" s="89" t="s">
        <v>1391</v>
      </c>
      <c r="L3703" s="86">
        <v>1</v>
      </c>
      <c r="M3703" s="87">
        <v>390</v>
      </c>
      <c r="N3703" s="174">
        <f>IFERROR(表格1[[#This Row],[QTY]]*表格1[[#This Row],[Unit Price]],"-")</f>
        <v>390</v>
      </c>
      <c r="O3703" s="175"/>
      <c r="R3703" s="86" t="str">
        <f>_xlfn.CONCAT(表格1[[#This Row],[Model]]," ",表格1[[#This Row],[inv no]])</f>
        <v xml:space="preserve">F-LYA20(W)HKG </v>
      </c>
      <c r="S3703" s="86">
        <f>_xlfn.XLOOKUP(表格1[[#This Row],[Model]],表格3[Model-Input-Ref2],表格3[SRP PRICE])</f>
        <v>988</v>
      </c>
      <c r="T3703" s="43">
        <f>表格1[[#This Row],[Unit Price]]/表格1[[#This Row],[SRP]]</f>
        <v>0.39473684210526316</v>
      </c>
      <c r="U3703" s="86" t="str">
        <f>_xlfn.XLOOKUP(表格1[[#This Row],[Model]],表格3[Model-Input-Ref2],表格3[TOSHIBA/HIGHEST])</f>
        <v>Toshiba SRP</v>
      </c>
      <c r="W3703" s="86" t="str">
        <f>_xlfn.CONCAT(表格1[[#This Row],[欄4]],表格1[[#This Row],[inv no]])</f>
        <v/>
      </c>
    </row>
    <row r="3704" spans="1:23" hidden="1">
      <c r="A3704" s="81">
        <v>3702</v>
      </c>
      <c r="B3704" s="86" t="s">
        <v>1203</v>
      </c>
      <c r="C3704" s="86" t="s">
        <v>1964</v>
      </c>
      <c r="D3704" s="89" t="str">
        <f ca="1">OFFSET(Roster!$A$3,MATCH(表格1[[#This Row],[Location]]&amp;" "&amp;表格1[[#This Row],[Shop]]&amp;"*",Roster!$A$4:$A$72,0),DAY(表格1[[#This Row],[date]]),1,1)</f>
        <v>Lily Hon off</v>
      </c>
      <c r="E3704" s="86">
        <f>MONTH(表格1[[#This Row],[date]])</f>
        <v>3</v>
      </c>
      <c r="F3704" s="90">
        <v>46095</v>
      </c>
      <c r="G3704" s="86" t="str">
        <f>VLOOKUP("*"&amp;表格1[[#This Row],[Input]]&amp;"*",'Ref-List'!$B:$D,2,)</f>
        <v>F-LYA20(W)HKG</v>
      </c>
      <c r="H3704" s="86" t="str">
        <f>_xlfn.XLOOKUP(表格1[[#This Row],[Model]],表格3[Model-Input-Ref2],表格3[Product Line])</f>
        <v>12吋2合1座地座檯電風扇連遙控</v>
      </c>
      <c r="I3704" s="86" t="str">
        <f>_xlfn.XLOOKUP(表格1[[#This Row],[Model]],表格3[Model-Input-Ref2],表格3[大小電])</f>
        <v>細電</v>
      </c>
      <c r="J3704" s="86" t="str">
        <f>_xlfn.XLOOKUP(表格1[[#This Row],[Model]],表格3[Model-Input-Ref2],表格3[Code])</f>
        <v>EAD</v>
      </c>
      <c r="K3704" s="89" t="s">
        <v>1391</v>
      </c>
      <c r="L3704" s="86">
        <v>1</v>
      </c>
      <c r="M3704" s="87">
        <v>370.5</v>
      </c>
      <c r="N3704" s="174">
        <f>IFERROR(表格1[[#This Row],[QTY]]*表格1[[#This Row],[Unit Price]],"-")</f>
        <v>370.5</v>
      </c>
      <c r="O3704" s="175"/>
      <c r="R3704" s="86" t="str">
        <f>_xlfn.CONCAT(表格1[[#This Row],[Model]]," ",表格1[[#This Row],[inv no]])</f>
        <v xml:space="preserve">F-LYA20(W)HKG </v>
      </c>
      <c r="S3704" s="86">
        <f>_xlfn.XLOOKUP(表格1[[#This Row],[Model]],表格3[Model-Input-Ref2],表格3[SRP PRICE])</f>
        <v>988</v>
      </c>
      <c r="T3704" s="43">
        <f>表格1[[#This Row],[Unit Price]]/表格1[[#This Row],[SRP]]</f>
        <v>0.375</v>
      </c>
      <c r="U3704" s="86" t="str">
        <f>_xlfn.XLOOKUP(表格1[[#This Row],[Model]],表格3[Model-Input-Ref2],表格3[TOSHIBA/HIGHEST])</f>
        <v>Toshiba SRP</v>
      </c>
      <c r="W3704" s="86" t="str">
        <f>_xlfn.CONCAT(表格1[[#This Row],[欄4]],表格1[[#This Row],[inv no]])</f>
        <v/>
      </c>
    </row>
    <row r="3705" spans="1:23" hidden="1">
      <c r="A3705" s="81">
        <v>3703</v>
      </c>
      <c r="B3705" s="86" t="s">
        <v>1203</v>
      </c>
      <c r="C3705" s="86" t="s">
        <v>1964</v>
      </c>
      <c r="D3705" s="89" t="str">
        <f ca="1">OFFSET(Roster!$A$3,MATCH(表格1[[#This Row],[Location]]&amp;" "&amp;表格1[[#This Row],[Shop]]&amp;"*",Roster!$A$4:$A$72,0),DAY(表格1[[#This Row],[date]]),1,1)</f>
        <v>Lily Hon off</v>
      </c>
      <c r="E3705" s="86">
        <f>MONTH(表格1[[#This Row],[date]])</f>
        <v>3</v>
      </c>
      <c r="F3705" s="90">
        <v>46096</v>
      </c>
      <c r="G3705" s="86" t="str">
        <f>VLOOKUP("*"&amp;表格1[[#This Row],[Input]]&amp;"*",'Ref-List'!$B:$D,2,)</f>
        <v>RC-7HMH</v>
      </c>
      <c r="H3705" s="86" t="str">
        <f>_xlfn.XLOOKUP(表格1[[#This Row],[Model]],表格3[Model-Input-Ref2],表格3[Product Line])</f>
        <v>備長炭本厚釜電飯煲0.7L</v>
      </c>
      <c r="I3705" s="86" t="str">
        <f>_xlfn.XLOOKUP(表格1[[#This Row],[Model]],表格3[Model-Input-Ref2],表格3[大小電])</f>
        <v>細電</v>
      </c>
      <c r="J3705" s="86" t="str">
        <f>_xlfn.XLOOKUP(表格1[[#This Row],[Model]],表格3[Model-Input-Ref2],表格3[Code])</f>
        <v>SDA</v>
      </c>
      <c r="K3705" s="89" t="s">
        <v>1284</v>
      </c>
      <c r="L3705" s="86">
        <v>1</v>
      </c>
      <c r="M3705" s="87">
        <v>780</v>
      </c>
      <c r="N3705" s="174">
        <f>IFERROR(表格1[[#This Row],[QTY]]*表格1[[#This Row],[Unit Price]],"-")</f>
        <v>780</v>
      </c>
      <c r="O3705" s="175"/>
      <c r="R3705" s="86" t="str">
        <f>_xlfn.CONCAT(表格1[[#This Row],[Model]]," ",表格1[[#This Row],[inv no]])</f>
        <v xml:space="preserve">RC-7HMH </v>
      </c>
      <c r="S3705" s="86">
        <f>_xlfn.XLOOKUP(表格1[[#This Row],[Model]],表格3[Model-Input-Ref2],表格3[SRP PRICE])</f>
        <v>1288</v>
      </c>
      <c r="T3705" s="43">
        <f>表格1[[#This Row],[Unit Price]]/表格1[[#This Row],[SRP]]</f>
        <v>0.60559006211180122</v>
      </c>
      <c r="U3705" s="86" t="str">
        <f>_xlfn.XLOOKUP(表格1[[#This Row],[Model]],表格3[Model-Input-Ref2],表格3[TOSHIBA/HIGHEST])</f>
        <v>Toshiba SRP</v>
      </c>
      <c r="W3705" s="86" t="str">
        <f>_xlfn.CONCAT(表格1[[#This Row],[欄4]],表格1[[#This Row],[inv no]])</f>
        <v/>
      </c>
    </row>
    <row r="3706" spans="1:23" hidden="1">
      <c r="A3706" s="81">
        <v>3704</v>
      </c>
      <c r="B3706" s="86" t="s">
        <v>1203</v>
      </c>
      <c r="C3706" s="86" t="s">
        <v>1964</v>
      </c>
      <c r="D3706" s="89" t="str">
        <f ca="1">OFFSET(Roster!$A$3,MATCH(表格1[[#This Row],[Location]]&amp;" "&amp;表格1[[#This Row],[Shop]]&amp;"*",Roster!$A$4:$A$72,0),DAY(表格1[[#This Row],[date]]),1,1)</f>
        <v>Lily Hon off</v>
      </c>
      <c r="E3706" s="86">
        <f>MONTH(表格1[[#This Row],[date]])</f>
        <v>3</v>
      </c>
      <c r="F3706" s="90">
        <v>46096</v>
      </c>
      <c r="G3706" s="86" t="str">
        <f>VLOOKUP("*"&amp;表格1[[#This Row],[Input]]&amp;"*",'Ref-List'!$B:$D,2,)</f>
        <v>IC-20R1THK</v>
      </c>
      <c r="H3706" s="86" t="str">
        <f>_xlfn.XLOOKUP(表格1[[#This Row],[Model]],表格3[Model-Input-Ref2],表格3[Product Line])</f>
        <v>輕便式電磁爐</v>
      </c>
      <c r="I3706" s="86" t="str">
        <f>_xlfn.XLOOKUP(表格1[[#This Row],[Model]],表格3[Model-Input-Ref2],表格3[大小電])</f>
        <v>細電</v>
      </c>
      <c r="J3706" s="86" t="str">
        <f>_xlfn.XLOOKUP(表格1[[#This Row],[Model]],表格3[Model-Input-Ref2],表格3[Code])</f>
        <v>SDA</v>
      </c>
      <c r="K3706" s="89" t="s">
        <v>1243</v>
      </c>
      <c r="L3706" s="86">
        <v>2</v>
      </c>
      <c r="M3706" s="87">
        <v>290</v>
      </c>
      <c r="N3706" s="174">
        <f>IFERROR(表格1[[#This Row],[QTY]]*表格1[[#This Row],[Unit Price]],"-")</f>
        <v>580</v>
      </c>
      <c r="O3706" s="175"/>
      <c r="R3706" s="86" t="str">
        <f>_xlfn.CONCAT(表格1[[#This Row],[Model]]," ",表格1[[#This Row],[inv no]])</f>
        <v xml:space="preserve">IC-20R1THK </v>
      </c>
      <c r="S3706" s="86">
        <f>_xlfn.XLOOKUP(表格1[[#This Row],[Model]],表格3[Model-Input-Ref2],表格3[SRP PRICE])</f>
        <v>438</v>
      </c>
      <c r="T3706" s="43">
        <f>表格1[[#This Row],[Unit Price]]/表格1[[#This Row],[SRP]]</f>
        <v>0.66210045662100458</v>
      </c>
      <c r="U3706" s="86" t="str">
        <f>_xlfn.XLOOKUP(表格1[[#This Row],[Model]],表格3[Model-Input-Ref2],表格3[TOSHIBA/HIGHEST])</f>
        <v>Shops Highest Price</v>
      </c>
      <c r="W3706" s="86" t="str">
        <f>_xlfn.CONCAT(表格1[[#This Row],[欄4]],表格1[[#This Row],[inv no]])</f>
        <v/>
      </c>
    </row>
    <row r="3707" spans="1:23" hidden="1">
      <c r="A3707" s="81">
        <v>3705</v>
      </c>
      <c r="B3707" s="86" t="s">
        <v>1203</v>
      </c>
      <c r="C3707" s="86" t="s">
        <v>1964</v>
      </c>
      <c r="D3707" s="89" t="str">
        <f ca="1">OFFSET(Roster!$A$3,MATCH(表格1[[#This Row],[Location]]&amp;" "&amp;表格1[[#This Row],[Shop]]&amp;"*",Roster!$A$4:$A$72,0),DAY(表格1[[#This Row],[date]]),1,1)</f>
        <v>Lily Hon off</v>
      </c>
      <c r="E3707" s="86">
        <f>MONTH(表格1[[#This Row],[date]])</f>
        <v>3</v>
      </c>
      <c r="F3707" s="90">
        <v>46096</v>
      </c>
      <c r="G3707" s="86" t="str">
        <f>VLOOKUP("*"&amp;表格1[[#This Row],[Input]]&amp;"*",'Ref-List'!$B:$D,2,)</f>
        <v>RC-18AMXH(W)</v>
      </c>
      <c r="H3707" s="86" t="str">
        <f>_xlfn.XLOOKUP(表格1[[#This Row],[Model]],表格3[Model-Input-Ref2],表格3[Product Line])</f>
        <v>酵活炊電飯煲(1.8公升)</v>
      </c>
      <c r="I3707" s="86" t="str">
        <f>_xlfn.XLOOKUP(表格1[[#This Row],[Model]],表格3[Model-Input-Ref2],表格3[大小電])</f>
        <v>細電</v>
      </c>
      <c r="J3707" s="86" t="str">
        <f>_xlfn.XLOOKUP(表格1[[#This Row],[Model]],表格3[Model-Input-Ref2],表格3[Code])</f>
        <v>SDA</v>
      </c>
      <c r="K3707" s="89" t="s">
        <v>1362</v>
      </c>
      <c r="L3707" s="86">
        <v>1</v>
      </c>
      <c r="M3707" s="87">
        <v>990</v>
      </c>
      <c r="N3707" s="174">
        <f>IFERROR(表格1[[#This Row],[QTY]]*表格1[[#This Row],[Unit Price]],"-")</f>
        <v>990</v>
      </c>
      <c r="O3707" s="175"/>
      <c r="R3707" s="86" t="str">
        <f>_xlfn.CONCAT(表格1[[#This Row],[Model]]," ",表格1[[#This Row],[inv no]])</f>
        <v xml:space="preserve">RC-18AMXH(W) </v>
      </c>
      <c r="S3707" s="86">
        <f>_xlfn.XLOOKUP(表格1[[#This Row],[Model]],表格3[Model-Input-Ref2],表格3[SRP PRICE])</f>
        <v>1588</v>
      </c>
      <c r="T3707" s="43">
        <f>表格1[[#This Row],[Unit Price]]/表格1[[#This Row],[SRP]]</f>
        <v>0.62342569269521408</v>
      </c>
      <c r="U3707" s="86" t="str">
        <f>_xlfn.XLOOKUP(表格1[[#This Row],[Model]],表格3[Model-Input-Ref2],表格3[TOSHIBA/HIGHEST])</f>
        <v>Toshiba SRP</v>
      </c>
      <c r="W3707" s="86" t="str">
        <f>_xlfn.CONCAT(表格1[[#This Row],[欄4]],表格1[[#This Row],[inv no]])</f>
        <v/>
      </c>
    </row>
    <row r="3708" spans="1:23" hidden="1">
      <c r="A3708" s="81">
        <v>3706</v>
      </c>
      <c r="B3708" s="86" t="s">
        <v>1203</v>
      </c>
      <c r="C3708" s="86" t="s">
        <v>1964</v>
      </c>
      <c r="D3708" s="89" t="str">
        <f ca="1">OFFSET(Roster!$A$3,MATCH(表格1[[#This Row],[Location]]&amp;" "&amp;表格1[[#This Row],[Shop]]&amp;"*",Roster!$A$4:$A$72,0),DAY(表格1[[#This Row],[date]]),1,1)</f>
        <v>Lily Hon off</v>
      </c>
      <c r="E3708" s="86">
        <f>MONTH(表格1[[#This Row],[date]])</f>
        <v>3</v>
      </c>
      <c r="F3708" s="90">
        <v>46096</v>
      </c>
      <c r="G3708" s="86" t="str">
        <f>VLOOKUP("*"&amp;表格1[[#This Row],[Input]]&amp;"*",'Ref-List'!$B:$D,2,)</f>
        <v>RC-10JRUH(N)</v>
      </c>
      <c r="H3708" s="86" t="str">
        <f>_xlfn.XLOOKUP(表格1[[#This Row],[Model]],表格3[Model-Input-Ref2],表格3[Product Line])</f>
        <v>電飯煲</v>
      </c>
      <c r="I3708" s="86" t="str">
        <f>_xlfn.XLOOKUP(表格1[[#This Row],[Model]],表格3[Model-Input-Ref2],表格3[大小電])</f>
        <v>細電</v>
      </c>
      <c r="J3708" s="86" t="str">
        <f>_xlfn.XLOOKUP(表格1[[#This Row],[Model]],表格3[Model-Input-Ref2],表格3[Code])</f>
        <v>SDA</v>
      </c>
      <c r="K3708" s="89" t="s">
        <v>1263</v>
      </c>
      <c r="L3708" s="86">
        <v>1</v>
      </c>
      <c r="M3708" s="87">
        <v>250</v>
      </c>
      <c r="N3708" s="174">
        <f>IFERROR(表格1[[#This Row],[QTY]]*表格1[[#This Row],[Unit Price]],"-")</f>
        <v>250</v>
      </c>
      <c r="O3708" s="175"/>
      <c r="R3708" s="86" t="str">
        <f>_xlfn.CONCAT(表格1[[#This Row],[Model]]," ",表格1[[#This Row],[inv no]])</f>
        <v xml:space="preserve">RC-10JRUH(N) </v>
      </c>
      <c r="S3708" s="86">
        <f>_xlfn.XLOOKUP(表格1[[#This Row],[Model]],表格3[Model-Input-Ref2],表格3[SRP PRICE])</f>
        <v>398</v>
      </c>
      <c r="T3708" s="43">
        <f>表格1[[#This Row],[Unit Price]]/表格1[[#This Row],[SRP]]</f>
        <v>0.62814070351758799</v>
      </c>
      <c r="U3708" s="86" t="str">
        <f>_xlfn.XLOOKUP(表格1[[#This Row],[Model]],表格3[Model-Input-Ref2],表格3[TOSHIBA/HIGHEST])</f>
        <v>Shops Highest Price</v>
      </c>
      <c r="W3708" s="86" t="str">
        <f>_xlfn.CONCAT(表格1[[#This Row],[欄4]],表格1[[#This Row],[inv no]])</f>
        <v/>
      </c>
    </row>
    <row r="3709" spans="1:23" hidden="1">
      <c r="A3709" s="81">
        <v>3707</v>
      </c>
      <c r="B3709" s="86" t="s">
        <v>1203</v>
      </c>
      <c r="C3709" s="86" t="s">
        <v>1964</v>
      </c>
      <c r="D3709" s="89" t="str">
        <f ca="1">OFFSET(Roster!$A$3,MATCH(表格1[[#This Row],[Location]]&amp;" "&amp;表格1[[#This Row],[Shop]]&amp;"*",Roster!$A$4:$A$72,0),DAY(表格1[[#This Row],[date]]),1,1)</f>
        <v>Lily Hon off</v>
      </c>
      <c r="E3709" s="86">
        <f>MONTH(表格1[[#This Row],[date]])</f>
        <v>3</v>
      </c>
      <c r="F3709" s="90">
        <v>46097</v>
      </c>
      <c r="G3709" s="86" t="str">
        <f>VLOOKUP("*"&amp;表格1[[#This Row],[Input]]&amp;"*",'Ref-List'!$B:$D,2,)</f>
        <v>MM-2MM20PC(WH)</v>
      </c>
      <c r="H3709" s="86" t="str">
        <f>_xlfn.XLOOKUP(表格1[[#This Row],[Model]],表格3[Model-Input-Ref2],表格3[Product Line])</f>
        <v>旋鈕式微波爐 (20公升)</v>
      </c>
      <c r="I3709" s="86" t="str">
        <f>_xlfn.XLOOKUP(表格1[[#This Row],[Model]],表格3[Model-Input-Ref2],表格3[大小電])</f>
        <v>細電</v>
      </c>
      <c r="J3709" s="86" t="str">
        <f>_xlfn.XLOOKUP(表格1[[#This Row],[Model]],表格3[Model-Input-Ref2],表格3[Code])</f>
        <v>MCA</v>
      </c>
      <c r="K3709" s="89" t="s">
        <v>1388</v>
      </c>
      <c r="L3709" s="86">
        <v>1</v>
      </c>
      <c r="M3709" s="87">
        <v>620</v>
      </c>
      <c r="N3709" s="174">
        <f>IFERROR(表格1[[#This Row],[QTY]]*表格1[[#This Row],[Unit Price]],"-")</f>
        <v>620</v>
      </c>
      <c r="O3709" s="175"/>
      <c r="R3709" s="86" t="str">
        <f>_xlfn.CONCAT(表格1[[#This Row],[Model]]," ",表格1[[#This Row],[inv no]])</f>
        <v xml:space="preserve">MM-2MM20PC(WH) </v>
      </c>
      <c r="S3709" s="86">
        <f>_xlfn.XLOOKUP(表格1[[#This Row],[Model]],表格3[Model-Input-Ref2],表格3[SRP PRICE])</f>
        <v>738</v>
      </c>
      <c r="T3709" s="43">
        <f>表格1[[#This Row],[Unit Price]]/表格1[[#This Row],[SRP]]</f>
        <v>0.84010840108401086</v>
      </c>
      <c r="U3709" s="86" t="str">
        <f>_xlfn.XLOOKUP(表格1[[#This Row],[Model]],表格3[Model-Input-Ref2],表格3[TOSHIBA/HIGHEST])</f>
        <v>Toshiba SRP</v>
      </c>
      <c r="W3709" s="86" t="str">
        <f>_xlfn.CONCAT(表格1[[#This Row],[欄4]],表格1[[#This Row],[inv no]])</f>
        <v/>
      </c>
    </row>
    <row r="3710" spans="1:23" hidden="1">
      <c r="A3710" s="81">
        <v>3708</v>
      </c>
      <c r="B3710" s="86" t="s">
        <v>1203</v>
      </c>
      <c r="C3710" s="86" t="s">
        <v>1964</v>
      </c>
      <c r="D3710" s="89" t="str">
        <f ca="1">OFFSET(Roster!$A$3,MATCH(表格1[[#This Row],[Location]]&amp;" "&amp;表格1[[#This Row],[Shop]]&amp;"*",Roster!$A$4:$A$72,0),DAY(表格1[[#This Row],[date]]),1,1)</f>
        <v>Lily Hon off</v>
      </c>
      <c r="E3710" s="86">
        <f>MONTH(表格1[[#This Row],[date]])</f>
        <v>3</v>
      </c>
      <c r="F3710" s="90">
        <v>46097</v>
      </c>
      <c r="G3710" s="86" t="str">
        <f>VLOOKUP("*"&amp;表格1[[#This Row],[Input]]&amp;"*",'Ref-List'!$B:$D,2,)</f>
        <v>F-LYA20(W)HKG</v>
      </c>
      <c r="H3710" s="86" t="str">
        <f>_xlfn.XLOOKUP(表格1[[#This Row],[Model]],表格3[Model-Input-Ref2],表格3[Product Line])</f>
        <v>12吋2合1座地座檯電風扇連遙控</v>
      </c>
      <c r="I3710" s="86" t="str">
        <f>_xlfn.XLOOKUP(表格1[[#This Row],[Model]],表格3[Model-Input-Ref2],表格3[大小電])</f>
        <v>細電</v>
      </c>
      <c r="J3710" s="86" t="str">
        <f>_xlfn.XLOOKUP(表格1[[#This Row],[Model]],表格3[Model-Input-Ref2],表格3[Code])</f>
        <v>EAD</v>
      </c>
      <c r="K3710" s="89" t="s">
        <v>1391</v>
      </c>
      <c r="L3710" s="86">
        <v>1</v>
      </c>
      <c r="M3710" s="87">
        <v>390</v>
      </c>
      <c r="N3710" s="174">
        <f>IFERROR(表格1[[#This Row],[QTY]]*表格1[[#This Row],[Unit Price]],"-")</f>
        <v>390</v>
      </c>
      <c r="O3710" s="175"/>
      <c r="R3710" s="86" t="str">
        <f>_xlfn.CONCAT(表格1[[#This Row],[Model]]," ",表格1[[#This Row],[inv no]])</f>
        <v xml:space="preserve">F-LYA20(W)HKG </v>
      </c>
      <c r="S3710" s="86">
        <f>_xlfn.XLOOKUP(表格1[[#This Row],[Model]],表格3[Model-Input-Ref2],表格3[SRP PRICE])</f>
        <v>988</v>
      </c>
      <c r="T3710" s="43">
        <f>表格1[[#This Row],[Unit Price]]/表格1[[#This Row],[SRP]]</f>
        <v>0.39473684210526316</v>
      </c>
      <c r="U3710" s="86" t="str">
        <f>_xlfn.XLOOKUP(表格1[[#This Row],[Model]],表格3[Model-Input-Ref2],表格3[TOSHIBA/HIGHEST])</f>
        <v>Toshiba SRP</v>
      </c>
      <c r="W3710" s="86" t="str">
        <f>_xlfn.CONCAT(表格1[[#This Row],[欄4]],表格1[[#This Row],[inv no]])</f>
        <v/>
      </c>
    </row>
    <row r="3711" spans="1:23" hidden="1">
      <c r="A3711" s="81">
        <v>3709</v>
      </c>
      <c r="B3711" s="86" t="s">
        <v>1203</v>
      </c>
      <c r="C3711" s="86" t="s">
        <v>1964</v>
      </c>
      <c r="D3711" s="89" t="str">
        <f ca="1">OFFSET(Roster!$A$3,MATCH(表格1[[#This Row],[Location]]&amp;" "&amp;表格1[[#This Row],[Shop]]&amp;"*",Roster!$A$4:$A$72,0),DAY(表格1[[#This Row],[date]]),1,1)</f>
        <v>Lily Hon off</v>
      </c>
      <c r="E3711" s="86">
        <f>MONTH(表格1[[#This Row],[date]])</f>
        <v>3</v>
      </c>
      <c r="F3711" s="90">
        <v>46100</v>
      </c>
      <c r="G3711" s="86" t="str">
        <f>VLOOKUP("*"&amp;表格1[[#This Row],[Input]]&amp;"*",'Ref-List'!$B:$D,2,)</f>
        <v>RC-5SLIH(W)</v>
      </c>
      <c r="H3711" s="86" t="str">
        <f>_xlfn.XLOOKUP(表格1[[#This Row],[Model]],表格3[Model-Input-Ref2],表格3[Product Line])</f>
        <v>微型電腦珍珠飯煲</v>
      </c>
      <c r="I3711" s="86" t="str">
        <f>_xlfn.XLOOKUP(表格1[[#This Row],[Model]],表格3[Model-Input-Ref2],表格3[大小電])</f>
        <v>細電</v>
      </c>
      <c r="J3711" s="86" t="str">
        <f>_xlfn.XLOOKUP(表格1[[#This Row],[Model]],表格3[Model-Input-Ref2],表格3[Code])</f>
        <v>SDA</v>
      </c>
      <c r="K3711" s="89" t="s">
        <v>1264</v>
      </c>
      <c r="L3711" s="86">
        <v>1</v>
      </c>
      <c r="M3711" s="87">
        <v>590</v>
      </c>
      <c r="N3711" s="174">
        <f>IFERROR(表格1[[#This Row],[QTY]]*表格1[[#This Row],[Unit Price]],"-")</f>
        <v>590</v>
      </c>
      <c r="O3711" s="175"/>
      <c r="R3711" s="86" t="str">
        <f>_xlfn.CONCAT(表格1[[#This Row],[Model]]," ",表格1[[#This Row],[inv no]])</f>
        <v xml:space="preserve">RC-5SLIH(W) </v>
      </c>
      <c r="S3711" s="86">
        <f>_xlfn.XLOOKUP(表格1[[#This Row],[Model]],表格3[Model-Input-Ref2],表格3[SRP PRICE])</f>
        <v>658</v>
      </c>
      <c r="T3711" s="43">
        <f>表格1[[#This Row],[Unit Price]]/表格1[[#This Row],[SRP]]</f>
        <v>0.89665653495440734</v>
      </c>
      <c r="U3711" s="86" t="str">
        <f>_xlfn.XLOOKUP(表格1[[#This Row],[Model]],表格3[Model-Input-Ref2],表格3[TOSHIBA/HIGHEST])</f>
        <v>Toshiba SRP</v>
      </c>
      <c r="W3711" s="86" t="str">
        <f>_xlfn.CONCAT(表格1[[#This Row],[欄4]],表格1[[#This Row],[inv no]])</f>
        <v/>
      </c>
    </row>
    <row r="3712" spans="1:23" hidden="1">
      <c r="A3712" s="81">
        <v>3710</v>
      </c>
      <c r="B3712" s="86" t="s">
        <v>1203</v>
      </c>
      <c r="C3712" s="86" t="s">
        <v>1964</v>
      </c>
      <c r="D3712" s="89" t="str">
        <f ca="1">OFFSET(Roster!$A$3,MATCH(表格1[[#This Row],[Location]]&amp;" "&amp;表格1[[#This Row],[Shop]]&amp;"*",Roster!$A$4:$A$72,0),DAY(表格1[[#This Row],[date]]),1,1)</f>
        <v>Lily Hon off</v>
      </c>
      <c r="E3712" s="86">
        <f>MONTH(表格1[[#This Row],[date]])</f>
        <v>3</v>
      </c>
      <c r="F3712" s="90">
        <v>46101</v>
      </c>
      <c r="G3712" s="86" t="str">
        <f>VLOOKUP("*"&amp;表格1[[#This Row],[Input]]&amp;"*",'Ref-List'!$B:$D,2,)</f>
        <v>KT-17DRTHK(H)</v>
      </c>
      <c r="H3712" s="86" t="str">
        <f>_xlfn.XLOOKUP(表格1[[#This Row],[Model]],表格3[Model-Input-Ref2],表格3[Product Line])</f>
        <v>無線雙層電熱水壺(1.7公升)</v>
      </c>
      <c r="I3712" s="86" t="str">
        <f>_xlfn.XLOOKUP(表格1[[#This Row],[Model]],表格3[Model-Input-Ref2],表格3[大小電])</f>
        <v>細電</v>
      </c>
      <c r="J3712" s="86" t="str">
        <f>_xlfn.XLOOKUP(表格1[[#This Row],[Model]],表格3[Model-Input-Ref2],表格3[Code])</f>
        <v>SDA</v>
      </c>
      <c r="K3712" s="89" t="s">
        <v>1271</v>
      </c>
      <c r="L3712" s="86">
        <v>1</v>
      </c>
      <c r="M3712" s="87">
        <v>332.5</v>
      </c>
      <c r="N3712" s="174">
        <f>IFERROR(表格1[[#This Row],[QTY]]*表格1[[#This Row],[Unit Price]],"-")</f>
        <v>332.5</v>
      </c>
      <c r="O3712" s="175"/>
      <c r="R3712" s="86" t="str">
        <f>_xlfn.CONCAT(表格1[[#This Row],[Model]]," ",表格1[[#This Row],[inv no]])</f>
        <v xml:space="preserve">KT-17DRTHK(H) </v>
      </c>
      <c r="S3712" s="86">
        <f>_xlfn.XLOOKUP(表格1[[#This Row],[Model]],表格3[Model-Input-Ref2],表格3[SRP PRICE])</f>
        <v>498</v>
      </c>
      <c r="T3712" s="43">
        <f>表格1[[#This Row],[Unit Price]]/表格1[[#This Row],[SRP]]</f>
        <v>0.66767068273092367</v>
      </c>
      <c r="U3712" s="86" t="str">
        <f>_xlfn.XLOOKUP(表格1[[#This Row],[Model]],表格3[Model-Input-Ref2],表格3[TOSHIBA/HIGHEST])</f>
        <v>Toshiba SRP</v>
      </c>
      <c r="W3712" s="86" t="str">
        <f>_xlfn.CONCAT(表格1[[#This Row],[欄4]],表格1[[#This Row],[inv no]])</f>
        <v/>
      </c>
    </row>
    <row r="3713" spans="1:23" hidden="1">
      <c r="A3713" s="81">
        <v>3711</v>
      </c>
      <c r="B3713" s="86" t="s">
        <v>1203</v>
      </c>
      <c r="C3713" s="86" t="s">
        <v>1964</v>
      </c>
      <c r="D3713" s="89" t="str">
        <f ca="1">OFFSET(Roster!$A$3,MATCH(表格1[[#This Row],[Location]]&amp;" "&amp;表格1[[#This Row],[Shop]]&amp;"*",Roster!$A$4:$A$72,0),DAY(表格1[[#This Row],[date]]),1,1)</f>
        <v>Lily Hon off</v>
      </c>
      <c r="E3713" s="86">
        <f>MONTH(表格1[[#This Row],[date]])</f>
        <v>3</v>
      </c>
      <c r="F3713" s="90">
        <v>46101</v>
      </c>
      <c r="G3713" s="86" t="str">
        <f>VLOOKUP("*"&amp;表格1[[#This Row],[Input]]&amp;"*",'Ref-List'!$B:$D,2,)</f>
        <v>IC-20R1THK</v>
      </c>
      <c r="H3713" s="86" t="str">
        <f>_xlfn.XLOOKUP(表格1[[#This Row],[Model]],表格3[Model-Input-Ref2],表格3[Product Line])</f>
        <v>輕便式電磁爐</v>
      </c>
      <c r="I3713" s="86" t="str">
        <f>_xlfn.XLOOKUP(表格1[[#This Row],[Model]],表格3[Model-Input-Ref2],表格3[大小電])</f>
        <v>細電</v>
      </c>
      <c r="J3713" s="86" t="str">
        <f>_xlfn.XLOOKUP(表格1[[#This Row],[Model]],表格3[Model-Input-Ref2],表格3[Code])</f>
        <v>SDA</v>
      </c>
      <c r="K3713" s="89" t="s">
        <v>1243</v>
      </c>
      <c r="L3713" s="86">
        <v>1</v>
      </c>
      <c r="M3713" s="87">
        <v>275.5</v>
      </c>
      <c r="N3713" s="174">
        <f>IFERROR(表格1[[#This Row],[QTY]]*表格1[[#This Row],[Unit Price]],"-")</f>
        <v>275.5</v>
      </c>
      <c r="O3713" s="175"/>
      <c r="R3713" s="86" t="str">
        <f>_xlfn.CONCAT(表格1[[#This Row],[Model]]," ",表格1[[#This Row],[inv no]])</f>
        <v xml:space="preserve">IC-20R1THK </v>
      </c>
      <c r="S3713" s="86">
        <f>_xlfn.XLOOKUP(表格1[[#This Row],[Model]],表格3[Model-Input-Ref2],表格3[SRP PRICE])</f>
        <v>438</v>
      </c>
      <c r="T3713" s="43">
        <f>表格1[[#This Row],[Unit Price]]/表格1[[#This Row],[SRP]]</f>
        <v>0.62899543378995437</v>
      </c>
      <c r="U3713" s="86" t="str">
        <f>_xlfn.XLOOKUP(表格1[[#This Row],[Model]],表格3[Model-Input-Ref2],表格3[TOSHIBA/HIGHEST])</f>
        <v>Shops Highest Price</v>
      </c>
      <c r="W3713" s="86" t="str">
        <f>_xlfn.CONCAT(表格1[[#This Row],[欄4]],表格1[[#This Row],[inv no]])</f>
        <v/>
      </c>
    </row>
    <row r="3714" spans="1:23" hidden="1">
      <c r="A3714" s="81">
        <v>3712</v>
      </c>
      <c r="B3714" s="86" t="s">
        <v>1203</v>
      </c>
      <c r="C3714" s="86" t="s">
        <v>1964</v>
      </c>
      <c r="D3714" s="89" t="str">
        <f ca="1">OFFSET(Roster!$A$3,MATCH(表格1[[#This Row],[Location]]&amp;" "&amp;表格1[[#This Row],[Shop]]&amp;"*",Roster!$A$4:$A$72,0),DAY(表格1[[#This Row],[date]]),1,1)</f>
        <v>Lily Hon off</v>
      </c>
      <c r="E3714" s="86">
        <f>MONTH(表格1[[#This Row],[date]])</f>
        <v>3</v>
      </c>
      <c r="F3714" s="90">
        <v>46102</v>
      </c>
      <c r="G3714" s="86" t="str">
        <f>VLOOKUP("*"&amp;表格1[[#This Row],[Input]]&amp;"*",'Ref-List'!$B:$D,2,)</f>
        <v>RC-5MMIH(WT)</v>
      </c>
      <c r="H3714" s="86" t="str">
        <f>_xlfn.XLOOKUP(表格1[[#This Row],[Model]],表格3[Model-Input-Ref2],表格3[Product Line])</f>
        <v>4毫米厚釜電飯煲0.54L</v>
      </c>
      <c r="I3714" s="86" t="str">
        <f>_xlfn.XLOOKUP(表格1[[#This Row],[Model]],表格3[Model-Input-Ref2],表格3[大小電])</f>
        <v>細電</v>
      </c>
      <c r="J3714" s="86" t="str">
        <f>_xlfn.XLOOKUP(表格1[[#This Row],[Model]],表格3[Model-Input-Ref2],表格3[Code])</f>
        <v>SDA</v>
      </c>
      <c r="K3714" s="89" t="s">
        <v>1195</v>
      </c>
      <c r="L3714" s="86">
        <v>1</v>
      </c>
      <c r="M3714" s="87">
        <v>465.5</v>
      </c>
      <c r="N3714" s="174">
        <f>IFERROR(表格1[[#This Row],[QTY]]*表格1[[#This Row],[Unit Price]],"-")</f>
        <v>465.5</v>
      </c>
      <c r="O3714" s="175"/>
      <c r="R3714" s="86" t="str">
        <f>_xlfn.CONCAT(表格1[[#This Row],[Model]]," ",表格1[[#This Row],[inv no]])</f>
        <v xml:space="preserve">RC-5MMIH(WT) </v>
      </c>
      <c r="S3714" s="86">
        <f>_xlfn.XLOOKUP(表格1[[#This Row],[Model]],表格3[Model-Input-Ref2],表格3[SRP PRICE])</f>
        <v>618</v>
      </c>
      <c r="T3714" s="43">
        <f>表格1[[#This Row],[Unit Price]]/表格1[[#This Row],[SRP]]</f>
        <v>0.75323624595469252</v>
      </c>
      <c r="U3714" s="86" t="str">
        <f>_xlfn.XLOOKUP(表格1[[#This Row],[Model]],表格3[Model-Input-Ref2],表格3[TOSHIBA/HIGHEST])</f>
        <v>Toshiba SRP</v>
      </c>
      <c r="W3714" s="86" t="str">
        <f>_xlfn.CONCAT(表格1[[#This Row],[欄4]],表格1[[#This Row],[inv no]])</f>
        <v/>
      </c>
    </row>
    <row r="3715" spans="1:23" hidden="1">
      <c r="A3715" s="81">
        <v>3713</v>
      </c>
      <c r="B3715" s="86" t="s">
        <v>1203</v>
      </c>
      <c r="C3715" s="86" t="s">
        <v>1964</v>
      </c>
      <c r="D3715" s="89" t="str">
        <f ca="1">OFFSET(Roster!$A$3,MATCH(表格1[[#This Row],[Location]]&amp;" "&amp;表格1[[#This Row],[Shop]]&amp;"*",Roster!$A$4:$A$72,0),DAY(表格1[[#This Row],[date]]),1,1)</f>
        <v>Lily Hon off</v>
      </c>
      <c r="E3715" s="86">
        <f>MONTH(表格1[[#This Row],[date]])</f>
        <v>3</v>
      </c>
      <c r="F3715" s="90">
        <v>46102</v>
      </c>
      <c r="G3715" s="86" t="str">
        <f>VLOOKUP("*"&amp;表格1[[#This Row],[Input]]&amp;"*",'Ref-List'!$B:$D,2,)</f>
        <v>RC-10ISSHK(W)</v>
      </c>
      <c r="H3715" s="86" t="str">
        <f>_xlfn.XLOOKUP(表格1[[#This Row],[Model]],表格3[Model-Input-Ref2],表格3[Product Line])</f>
        <v>磁應電飯煲(1公升)</v>
      </c>
      <c r="I3715" s="86" t="str">
        <f>_xlfn.XLOOKUP(表格1[[#This Row],[Model]],表格3[Model-Input-Ref2],表格3[大小電])</f>
        <v>細電</v>
      </c>
      <c r="J3715" s="86" t="str">
        <f>_xlfn.XLOOKUP(表格1[[#This Row],[Model]],表格3[Model-Input-Ref2],表格3[Code])</f>
        <v>SDA</v>
      </c>
      <c r="K3715" s="89" t="s">
        <v>1286</v>
      </c>
      <c r="L3715" s="86">
        <v>1</v>
      </c>
      <c r="M3715" s="87">
        <v>930</v>
      </c>
      <c r="N3715" s="174">
        <f>IFERROR(表格1[[#This Row],[QTY]]*表格1[[#This Row],[Unit Price]],"-")</f>
        <v>930</v>
      </c>
      <c r="O3715" s="175"/>
      <c r="R3715" s="86" t="str">
        <f>_xlfn.CONCAT(表格1[[#This Row],[Model]]," ",表格1[[#This Row],[inv no]])</f>
        <v xml:space="preserve">RC-10ISSHK(W) </v>
      </c>
      <c r="S3715" s="86">
        <f>_xlfn.XLOOKUP(表格1[[#This Row],[Model]],表格3[Model-Input-Ref2],表格3[SRP PRICE])</f>
        <v>1188</v>
      </c>
      <c r="T3715" s="43">
        <f>表格1[[#This Row],[Unit Price]]/表格1[[#This Row],[SRP]]</f>
        <v>0.78282828282828287</v>
      </c>
      <c r="U3715" s="86" t="str">
        <f>_xlfn.XLOOKUP(表格1[[#This Row],[Model]],表格3[Model-Input-Ref2],表格3[TOSHIBA/HIGHEST])</f>
        <v>Shops Highest Price</v>
      </c>
      <c r="W3715" s="86" t="str">
        <f>_xlfn.CONCAT(表格1[[#This Row],[欄4]],表格1[[#This Row],[inv no]])</f>
        <v/>
      </c>
    </row>
    <row r="3716" spans="1:23" hidden="1">
      <c r="A3716" s="81">
        <v>3714</v>
      </c>
      <c r="B3716" s="86" t="s">
        <v>1203</v>
      </c>
      <c r="C3716" s="86" t="s">
        <v>1964</v>
      </c>
      <c r="D3716" s="89" t="str">
        <f ca="1">OFFSET(Roster!$A$3,MATCH(表格1[[#This Row],[Location]]&amp;" "&amp;表格1[[#This Row],[Shop]]&amp;"*",Roster!$A$4:$A$72,0),DAY(表格1[[#This Row],[date]]),1,1)</f>
        <v>Lily Hon off</v>
      </c>
      <c r="E3716" s="86">
        <f>MONTH(表格1[[#This Row],[date]])</f>
        <v>3</v>
      </c>
      <c r="F3716" s="90">
        <v>46102</v>
      </c>
      <c r="G3716" s="86" t="str">
        <f>VLOOKUP("*"&amp;表格1[[#This Row],[Input]]&amp;"*",'Ref-List'!$B:$D,2,)</f>
        <v>IC-20R1THK</v>
      </c>
      <c r="H3716" s="86" t="str">
        <f>_xlfn.XLOOKUP(表格1[[#This Row],[Model]],表格3[Model-Input-Ref2],表格3[Product Line])</f>
        <v>輕便式電磁爐</v>
      </c>
      <c r="I3716" s="86" t="str">
        <f>_xlfn.XLOOKUP(表格1[[#This Row],[Model]],表格3[Model-Input-Ref2],表格3[大小電])</f>
        <v>細電</v>
      </c>
      <c r="J3716" s="86" t="str">
        <f>_xlfn.XLOOKUP(表格1[[#This Row],[Model]],表格3[Model-Input-Ref2],表格3[Code])</f>
        <v>SDA</v>
      </c>
      <c r="K3716" s="89" t="s">
        <v>1243</v>
      </c>
      <c r="L3716" s="86">
        <v>1</v>
      </c>
      <c r="M3716" s="87">
        <v>290</v>
      </c>
      <c r="N3716" s="174">
        <f>IFERROR(表格1[[#This Row],[QTY]]*表格1[[#This Row],[Unit Price]],"-")</f>
        <v>290</v>
      </c>
      <c r="O3716" s="175"/>
      <c r="R3716" s="86" t="str">
        <f>_xlfn.CONCAT(表格1[[#This Row],[Model]]," ",表格1[[#This Row],[inv no]])</f>
        <v xml:space="preserve">IC-20R1THK </v>
      </c>
      <c r="S3716" s="86">
        <f>_xlfn.XLOOKUP(表格1[[#This Row],[Model]],表格3[Model-Input-Ref2],表格3[SRP PRICE])</f>
        <v>438</v>
      </c>
      <c r="T3716" s="43">
        <f>表格1[[#This Row],[Unit Price]]/表格1[[#This Row],[SRP]]</f>
        <v>0.66210045662100458</v>
      </c>
      <c r="U3716" s="86" t="str">
        <f>_xlfn.XLOOKUP(表格1[[#This Row],[Model]],表格3[Model-Input-Ref2],表格3[TOSHIBA/HIGHEST])</f>
        <v>Shops Highest Price</v>
      </c>
      <c r="W3716" s="86" t="str">
        <f>_xlfn.CONCAT(表格1[[#This Row],[欄4]],表格1[[#This Row],[inv no]])</f>
        <v/>
      </c>
    </row>
    <row r="3717" spans="1:23" hidden="1">
      <c r="A3717" s="81">
        <v>3715</v>
      </c>
      <c r="B3717" s="86" t="s">
        <v>1203</v>
      </c>
      <c r="C3717" s="86" t="s">
        <v>1964</v>
      </c>
      <c r="D3717" s="89" t="str">
        <f ca="1">OFFSET(Roster!$A$3,MATCH(表格1[[#This Row],[Location]]&amp;" "&amp;表格1[[#This Row],[Shop]]&amp;"*",Roster!$A$4:$A$72,0),DAY(表格1[[#This Row],[date]]),1,1)</f>
        <v>Lily Hon</v>
      </c>
      <c r="E3717" s="86">
        <f>MONTH(表格1[[#This Row],[date]])</f>
        <v>3</v>
      </c>
      <c r="F3717" s="90">
        <v>46103</v>
      </c>
      <c r="G3717" s="86" t="str">
        <f>VLOOKUP("*"&amp;表格1[[#This Row],[Input]]&amp;"*",'Ref-List'!$B:$D,2,)</f>
        <v>F-LYA20(W)HKG</v>
      </c>
      <c r="H3717" s="86" t="str">
        <f>_xlfn.XLOOKUP(表格1[[#This Row],[Model]],表格3[Model-Input-Ref2],表格3[Product Line])</f>
        <v>12吋2合1座地座檯電風扇連遙控</v>
      </c>
      <c r="I3717" s="86" t="str">
        <f>_xlfn.XLOOKUP(表格1[[#This Row],[Model]],表格3[Model-Input-Ref2],表格3[大小電])</f>
        <v>細電</v>
      </c>
      <c r="J3717" s="86" t="str">
        <f>_xlfn.XLOOKUP(表格1[[#This Row],[Model]],表格3[Model-Input-Ref2],表格3[Code])</f>
        <v>EAD</v>
      </c>
      <c r="K3717" s="89" t="s">
        <v>1391</v>
      </c>
      <c r="L3717" s="86">
        <v>1</v>
      </c>
      <c r="M3717" s="87">
        <v>370.5</v>
      </c>
      <c r="N3717" s="174">
        <f>IFERROR(表格1[[#This Row],[QTY]]*表格1[[#This Row],[Unit Price]],"-")</f>
        <v>370.5</v>
      </c>
      <c r="O3717" s="175"/>
      <c r="R3717" s="86" t="str">
        <f>_xlfn.CONCAT(表格1[[#This Row],[Model]]," ",表格1[[#This Row],[inv no]])</f>
        <v xml:space="preserve">F-LYA20(W)HKG </v>
      </c>
      <c r="S3717" s="86">
        <f>_xlfn.XLOOKUP(表格1[[#This Row],[Model]],表格3[Model-Input-Ref2],表格3[SRP PRICE])</f>
        <v>988</v>
      </c>
      <c r="T3717" s="43">
        <f>表格1[[#This Row],[Unit Price]]/表格1[[#This Row],[SRP]]</f>
        <v>0.375</v>
      </c>
      <c r="U3717" s="86" t="str">
        <f>_xlfn.XLOOKUP(表格1[[#This Row],[Model]],表格3[Model-Input-Ref2],表格3[TOSHIBA/HIGHEST])</f>
        <v>Toshiba SRP</v>
      </c>
      <c r="W3717" s="86" t="str">
        <f>_xlfn.CONCAT(表格1[[#This Row],[欄4]],表格1[[#This Row],[inv no]])</f>
        <v/>
      </c>
    </row>
    <row r="3718" spans="1:23" hidden="1">
      <c r="A3718" s="81">
        <v>3716</v>
      </c>
      <c r="B3718" s="86" t="s">
        <v>1203</v>
      </c>
      <c r="C3718" s="86" t="s">
        <v>1964</v>
      </c>
      <c r="D3718" s="89" t="str">
        <f ca="1">OFFSET(Roster!$A$3,MATCH(表格1[[#This Row],[Location]]&amp;" "&amp;表格1[[#This Row],[Shop]]&amp;"*",Roster!$A$4:$A$72,0),DAY(表格1[[#This Row],[date]]),1,1)</f>
        <v>Lily Hon</v>
      </c>
      <c r="E3718" s="86">
        <f>MONTH(表格1[[#This Row],[date]])</f>
        <v>3</v>
      </c>
      <c r="F3718" s="90">
        <v>46104</v>
      </c>
      <c r="G3718" s="86" t="str">
        <f>VLOOKUP("*"&amp;表格1[[#This Row],[Input]]&amp;"*",'Ref-List'!$B:$D,2,)</f>
        <v>RC-10NMFIH(WT)</v>
      </c>
      <c r="H3718" s="86" t="str">
        <f>_xlfn.XLOOKUP(表格1[[#This Row],[Model]],表格3[Model-Input-Ref2],表格3[Product Line])</f>
        <v>4毫米厚釜電飯煲1L</v>
      </c>
      <c r="I3718" s="86" t="str">
        <f>_xlfn.XLOOKUP(表格1[[#This Row],[Model]],表格3[Model-Input-Ref2],表格3[大小電])</f>
        <v>細電</v>
      </c>
      <c r="J3718" s="86" t="str">
        <f>_xlfn.XLOOKUP(表格1[[#This Row],[Model]],表格3[Model-Input-Ref2],表格3[Code])</f>
        <v>SDA</v>
      </c>
      <c r="K3718" s="89" t="s">
        <v>1244</v>
      </c>
      <c r="L3718" s="86">
        <v>1</v>
      </c>
      <c r="M3718" s="87">
        <v>684</v>
      </c>
      <c r="N3718" s="174">
        <f>IFERROR(表格1[[#This Row],[QTY]]*表格1[[#This Row],[Unit Price]],"-")</f>
        <v>684</v>
      </c>
      <c r="O3718" s="175"/>
      <c r="R3718" s="86" t="str">
        <f>_xlfn.CONCAT(表格1[[#This Row],[Model]]," ",表格1[[#This Row],[inv no]])</f>
        <v xml:space="preserve">RC-10NMFIH(WT) </v>
      </c>
      <c r="S3718" s="86">
        <f>_xlfn.XLOOKUP(表格1[[#This Row],[Model]],表格3[Model-Input-Ref2],表格3[SRP PRICE])</f>
        <v>898</v>
      </c>
      <c r="T3718" s="43">
        <f>表格1[[#This Row],[Unit Price]]/表格1[[#This Row],[SRP]]</f>
        <v>0.76169265033407574</v>
      </c>
      <c r="U3718" s="86" t="str">
        <f>_xlfn.XLOOKUP(表格1[[#This Row],[Model]],表格3[Model-Input-Ref2],表格3[TOSHIBA/HIGHEST])</f>
        <v>Toshiba SRP</v>
      </c>
      <c r="W3718" s="86" t="str">
        <f>_xlfn.CONCAT(表格1[[#This Row],[欄4]],表格1[[#This Row],[inv no]])</f>
        <v/>
      </c>
    </row>
    <row r="3719" spans="1:23" hidden="1">
      <c r="A3719" s="81">
        <v>3717</v>
      </c>
      <c r="B3719" s="86" t="s">
        <v>1203</v>
      </c>
      <c r="C3719" s="86" t="s">
        <v>1964</v>
      </c>
      <c r="D3719" s="89" t="str">
        <f ca="1">OFFSET(Roster!$A$3,MATCH(表格1[[#This Row],[Location]]&amp;" "&amp;表格1[[#This Row],[Shop]]&amp;"*",Roster!$A$4:$A$72,0),DAY(表格1[[#This Row],[date]]),1,1)</f>
        <v>Lily Hon</v>
      </c>
      <c r="E3719" s="86">
        <f>MONTH(表格1[[#This Row],[date]])</f>
        <v>3</v>
      </c>
      <c r="F3719" s="90">
        <v>46104</v>
      </c>
      <c r="G3719" s="86" t="str">
        <f>VLOOKUP("*"&amp;表格1[[#This Row],[Input]]&amp;"*",'Ref-List'!$B:$D,2,)</f>
        <v>IC-20R1THK</v>
      </c>
      <c r="H3719" s="86" t="str">
        <f>_xlfn.XLOOKUP(表格1[[#This Row],[Model]],表格3[Model-Input-Ref2],表格3[Product Line])</f>
        <v>輕便式電磁爐</v>
      </c>
      <c r="I3719" s="86" t="str">
        <f>_xlfn.XLOOKUP(表格1[[#This Row],[Model]],表格3[Model-Input-Ref2],表格3[大小電])</f>
        <v>細電</v>
      </c>
      <c r="J3719" s="86" t="str">
        <f>_xlfn.XLOOKUP(表格1[[#This Row],[Model]],表格3[Model-Input-Ref2],表格3[Code])</f>
        <v>SDA</v>
      </c>
      <c r="K3719" s="89" t="s">
        <v>1243</v>
      </c>
      <c r="L3719" s="86">
        <v>1</v>
      </c>
      <c r="M3719" s="87">
        <v>275.5</v>
      </c>
      <c r="N3719" s="174">
        <f>IFERROR(表格1[[#This Row],[QTY]]*表格1[[#This Row],[Unit Price]],"-")</f>
        <v>275.5</v>
      </c>
      <c r="O3719" s="175"/>
      <c r="R3719" s="86" t="str">
        <f>_xlfn.CONCAT(表格1[[#This Row],[Model]]," ",表格1[[#This Row],[inv no]])</f>
        <v xml:space="preserve">IC-20R1THK </v>
      </c>
      <c r="S3719" s="86">
        <f>_xlfn.XLOOKUP(表格1[[#This Row],[Model]],表格3[Model-Input-Ref2],表格3[SRP PRICE])</f>
        <v>438</v>
      </c>
      <c r="T3719" s="43">
        <f>表格1[[#This Row],[Unit Price]]/表格1[[#This Row],[SRP]]</f>
        <v>0.62899543378995437</v>
      </c>
      <c r="U3719" s="86" t="str">
        <f>_xlfn.XLOOKUP(表格1[[#This Row],[Model]],表格3[Model-Input-Ref2],表格3[TOSHIBA/HIGHEST])</f>
        <v>Shops Highest Price</v>
      </c>
      <c r="W3719" s="86" t="str">
        <f>_xlfn.CONCAT(表格1[[#This Row],[欄4]],表格1[[#This Row],[inv no]])</f>
        <v/>
      </c>
    </row>
    <row r="3720" spans="1:23" hidden="1">
      <c r="A3720" s="81">
        <v>3718</v>
      </c>
      <c r="B3720" s="86" t="s">
        <v>1203</v>
      </c>
      <c r="C3720" s="86" t="s">
        <v>1964</v>
      </c>
      <c r="D3720" s="89" t="str">
        <f ca="1">OFFSET(Roster!$A$3,MATCH(表格1[[#This Row],[Location]]&amp;" "&amp;表格1[[#This Row],[Shop]]&amp;"*",Roster!$A$4:$A$72,0),DAY(表格1[[#This Row],[date]]),1,1)</f>
        <v>Lily Hon</v>
      </c>
      <c r="E3720" s="86">
        <f>MONTH(表格1[[#This Row],[date]])</f>
        <v>3</v>
      </c>
      <c r="F3720" s="90">
        <v>46104</v>
      </c>
      <c r="G3720" s="86" t="str">
        <f>VLOOKUP("*"&amp;表格1[[#This Row],[Input]]&amp;"*",'Ref-List'!$B:$D,2,)</f>
        <v>F-LYA20(W)HKG</v>
      </c>
      <c r="H3720" s="86" t="str">
        <f>_xlfn.XLOOKUP(表格1[[#This Row],[Model]],表格3[Model-Input-Ref2],表格3[Product Line])</f>
        <v>12吋2合1座地座檯電風扇連遙控</v>
      </c>
      <c r="I3720" s="86" t="str">
        <f>_xlfn.XLOOKUP(表格1[[#This Row],[Model]],表格3[Model-Input-Ref2],表格3[大小電])</f>
        <v>細電</v>
      </c>
      <c r="J3720" s="86" t="str">
        <f>_xlfn.XLOOKUP(表格1[[#This Row],[Model]],表格3[Model-Input-Ref2],表格3[Code])</f>
        <v>EAD</v>
      </c>
      <c r="K3720" s="89" t="s">
        <v>1391</v>
      </c>
      <c r="L3720" s="86">
        <v>2</v>
      </c>
      <c r="M3720" s="87">
        <v>390</v>
      </c>
      <c r="N3720" s="174">
        <f>IFERROR(表格1[[#This Row],[QTY]]*表格1[[#This Row],[Unit Price]],"-")</f>
        <v>780</v>
      </c>
      <c r="O3720" s="175"/>
      <c r="R3720" s="86" t="str">
        <f>_xlfn.CONCAT(表格1[[#This Row],[Model]]," ",表格1[[#This Row],[inv no]])</f>
        <v xml:space="preserve">F-LYA20(W)HKG </v>
      </c>
      <c r="S3720" s="86">
        <f>_xlfn.XLOOKUP(表格1[[#This Row],[Model]],表格3[Model-Input-Ref2],表格3[SRP PRICE])</f>
        <v>988</v>
      </c>
      <c r="T3720" s="43">
        <f>表格1[[#This Row],[Unit Price]]/表格1[[#This Row],[SRP]]</f>
        <v>0.39473684210526316</v>
      </c>
      <c r="U3720" s="86" t="str">
        <f>_xlfn.XLOOKUP(表格1[[#This Row],[Model]],表格3[Model-Input-Ref2],表格3[TOSHIBA/HIGHEST])</f>
        <v>Toshiba SRP</v>
      </c>
      <c r="W3720" s="86" t="str">
        <f>_xlfn.CONCAT(表格1[[#This Row],[欄4]],表格1[[#This Row],[inv no]])</f>
        <v/>
      </c>
    </row>
    <row r="3721" spans="1:23" hidden="1">
      <c r="A3721" s="81">
        <v>3719</v>
      </c>
      <c r="B3721" s="86" t="s">
        <v>1203</v>
      </c>
      <c r="C3721" s="86" t="s">
        <v>1964</v>
      </c>
      <c r="D3721" s="89" t="str">
        <f ca="1">OFFSET(Roster!$A$3,MATCH(表格1[[#This Row],[Location]]&amp;" "&amp;表格1[[#This Row],[Shop]]&amp;"*",Roster!$A$4:$A$72,0),DAY(表格1[[#This Row],[date]]),1,1)</f>
        <v>Lily Hon</v>
      </c>
      <c r="E3721" s="86">
        <f>MONTH(表格1[[#This Row],[date]])</f>
        <v>3</v>
      </c>
      <c r="F3721" s="90">
        <v>46105</v>
      </c>
      <c r="G3721" s="86" t="str">
        <f>VLOOKUP("*"&amp;表格1[[#This Row],[Input]]&amp;"*",'Ref-List'!$B:$D,2,)</f>
        <v>RC-10IRPH</v>
      </c>
      <c r="H3721" s="86" t="str">
        <f>_xlfn.XLOOKUP(表格1[[#This Row],[Model]],表格3[Model-Input-Ref2],表格3[Product Line])</f>
        <v>低醣磁應電飯煲1L</v>
      </c>
      <c r="I3721" s="86" t="str">
        <f>_xlfn.XLOOKUP(表格1[[#This Row],[Model]],表格3[Model-Input-Ref2],表格3[大小電])</f>
        <v>細電</v>
      </c>
      <c r="J3721" s="86" t="str">
        <f>_xlfn.XLOOKUP(表格1[[#This Row],[Model]],表格3[Model-Input-Ref2],表格3[Code])</f>
        <v>SDA</v>
      </c>
      <c r="K3721" s="89" t="s">
        <v>1297</v>
      </c>
      <c r="L3721" s="86">
        <v>1</v>
      </c>
      <c r="M3721" s="87">
        <v>750.5</v>
      </c>
      <c r="N3721" s="174">
        <f>IFERROR(表格1[[#This Row],[QTY]]*表格1[[#This Row],[Unit Price]],"-")</f>
        <v>750.5</v>
      </c>
      <c r="O3721" s="175"/>
      <c r="R3721" s="86" t="str">
        <f>_xlfn.CONCAT(表格1[[#This Row],[Model]]," ",表格1[[#This Row],[inv no]])</f>
        <v xml:space="preserve">RC-10IRPH </v>
      </c>
      <c r="S3721" s="86">
        <f>_xlfn.XLOOKUP(表格1[[#This Row],[Model]],表格3[Model-Input-Ref2],表格3[SRP PRICE])</f>
        <v>1388</v>
      </c>
      <c r="T3721" s="43">
        <f>表格1[[#This Row],[Unit Price]]/表格1[[#This Row],[SRP]]</f>
        <v>0.54070605187319887</v>
      </c>
      <c r="U3721" s="86" t="str">
        <f>_xlfn.XLOOKUP(表格1[[#This Row],[Model]],表格3[Model-Input-Ref2],表格3[TOSHIBA/HIGHEST])</f>
        <v>Toshiba SRP</v>
      </c>
      <c r="W3721" s="86" t="str">
        <f>_xlfn.CONCAT(表格1[[#This Row],[欄4]],表格1[[#This Row],[inv no]])</f>
        <v/>
      </c>
    </row>
    <row r="3722" spans="1:23" hidden="1">
      <c r="A3722" s="81">
        <v>3720</v>
      </c>
      <c r="B3722" s="86" t="s">
        <v>1203</v>
      </c>
      <c r="C3722" s="86" t="s">
        <v>1964</v>
      </c>
      <c r="D3722" s="89" t="str">
        <f ca="1">OFFSET(Roster!$A$3,MATCH(表格1[[#This Row],[Location]]&amp;" "&amp;表格1[[#This Row],[Shop]]&amp;"*",Roster!$A$4:$A$72,0),DAY(表格1[[#This Row],[date]]),1,1)</f>
        <v>Lily Hon</v>
      </c>
      <c r="E3722" s="86">
        <f>MONTH(表格1[[#This Row],[date]])</f>
        <v>3</v>
      </c>
      <c r="F3722" s="90">
        <v>46105</v>
      </c>
      <c r="G3722" s="86" t="str">
        <f>VLOOKUP("*"&amp;表格1[[#This Row],[Input]]&amp;"*",'Ref-List'!$B:$D,2,)</f>
        <v>F-LYA20(W)HKG</v>
      </c>
      <c r="H3722" s="86" t="str">
        <f>_xlfn.XLOOKUP(表格1[[#This Row],[Model]],表格3[Model-Input-Ref2],表格3[Product Line])</f>
        <v>12吋2合1座地座檯電風扇連遙控</v>
      </c>
      <c r="I3722" s="86" t="str">
        <f>_xlfn.XLOOKUP(表格1[[#This Row],[Model]],表格3[Model-Input-Ref2],表格3[大小電])</f>
        <v>細電</v>
      </c>
      <c r="J3722" s="86" t="str">
        <f>_xlfn.XLOOKUP(表格1[[#This Row],[Model]],表格3[Model-Input-Ref2],表格3[Code])</f>
        <v>EAD</v>
      </c>
      <c r="K3722" s="89" t="s">
        <v>1391</v>
      </c>
      <c r="L3722" s="86">
        <v>1</v>
      </c>
      <c r="M3722" s="87">
        <v>370.5</v>
      </c>
      <c r="N3722" s="174">
        <f>IFERROR(表格1[[#This Row],[QTY]]*表格1[[#This Row],[Unit Price]],"-")</f>
        <v>370.5</v>
      </c>
      <c r="O3722" s="175"/>
      <c r="R3722" s="86" t="str">
        <f>_xlfn.CONCAT(表格1[[#This Row],[Model]]," ",表格1[[#This Row],[inv no]])</f>
        <v xml:space="preserve">F-LYA20(W)HKG </v>
      </c>
      <c r="S3722" s="86">
        <f>_xlfn.XLOOKUP(表格1[[#This Row],[Model]],表格3[Model-Input-Ref2],表格3[SRP PRICE])</f>
        <v>988</v>
      </c>
      <c r="T3722" s="43">
        <f>表格1[[#This Row],[Unit Price]]/表格1[[#This Row],[SRP]]</f>
        <v>0.375</v>
      </c>
      <c r="U3722" s="86" t="str">
        <f>_xlfn.XLOOKUP(表格1[[#This Row],[Model]],表格3[Model-Input-Ref2],表格3[TOSHIBA/HIGHEST])</f>
        <v>Toshiba SRP</v>
      </c>
      <c r="W3722" s="86" t="str">
        <f>_xlfn.CONCAT(表格1[[#This Row],[欄4]],表格1[[#This Row],[inv no]])</f>
        <v/>
      </c>
    </row>
    <row r="3723" spans="1:23" hidden="1">
      <c r="A3723" s="81">
        <v>3721</v>
      </c>
      <c r="B3723" s="86" t="s">
        <v>1203</v>
      </c>
      <c r="C3723" s="86" t="s">
        <v>1964</v>
      </c>
      <c r="D3723" s="89" t="str">
        <f ca="1">OFFSET(Roster!$A$3,MATCH(表格1[[#This Row],[Location]]&amp;" "&amp;表格1[[#This Row],[Shop]]&amp;"*",Roster!$A$4:$A$72,0),DAY(表格1[[#This Row],[date]]),1,1)</f>
        <v>Lily Hon</v>
      </c>
      <c r="E3723" s="86">
        <f>MONTH(表格1[[#This Row],[date]])</f>
        <v>3</v>
      </c>
      <c r="F3723" s="90">
        <v>46105</v>
      </c>
      <c r="G3723" s="86" t="str">
        <f>VLOOKUP("*"&amp;表格1[[#This Row],[Input]]&amp;"*",'Ref-List'!$B:$D,2,)</f>
        <v>F-DSB35HK(W)</v>
      </c>
      <c r="H3723" s="86" t="str">
        <f>_xlfn.XLOOKUP(表格1[[#This Row],[Model]],表格3[Model-Input-Ref2],表格3[Product Line])</f>
        <v>Electric Fan</v>
      </c>
      <c r="I3723" s="86" t="str">
        <f>_xlfn.XLOOKUP(表格1[[#This Row],[Model]],表格3[Model-Input-Ref2],表格3[大小電])</f>
        <v>細電</v>
      </c>
      <c r="J3723" s="86" t="str">
        <f>_xlfn.XLOOKUP(表格1[[#This Row],[Model]],表格3[Model-Input-Ref2],表格3[Code])</f>
        <v>SDA</v>
      </c>
      <c r="K3723" s="89" t="s">
        <v>1453</v>
      </c>
      <c r="L3723" s="86">
        <v>1</v>
      </c>
      <c r="M3723" s="87">
        <v>522.5</v>
      </c>
      <c r="N3723" s="174">
        <f>IFERROR(表格1[[#This Row],[QTY]]*表格1[[#This Row],[Unit Price]],"-")</f>
        <v>522.5</v>
      </c>
      <c r="O3723" s="175"/>
      <c r="R3723" s="86" t="str">
        <f>_xlfn.CONCAT(表格1[[#This Row],[Model]]," ",表格1[[#This Row],[inv no]])</f>
        <v xml:space="preserve">F-DSB35HK(W) </v>
      </c>
      <c r="S3723" s="86">
        <f>_xlfn.XLOOKUP(表格1[[#This Row],[Model]],表格3[Model-Input-Ref2],表格3[SRP PRICE])</f>
        <v>1088</v>
      </c>
      <c r="T3723" s="43">
        <f>表格1[[#This Row],[Unit Price]]/表格1[[#This Row],[SRP]]</f>
        <v>0.48023897058823528</v>
      </c>
      <c r="U3723" s="86" t="str">
        <f>_xlfn.XLOOKUP(表格1[[#This Row],[Model]],表格3[Model-Input-Ref2],表格3[TOSHIBA/HIGHEST])</f>
        <v>Toshiba SRP</v>
      </c>
      <c r="W3723" s="86" t="str">
        <f>_xlfn.CONCAT(表格1[[#This Row],[欄4]],表格1[[#This Row],[inv no]])</f>
        <v/>
      </c>
    </row>
    <row r="3724" spans="1:23" hidden="1">
      <c r="A3724" s="81">
        <v>3722</v>
      </c>
      <c r="B3724" s="86" t="s">
        <v>1203</v>
      </c>
      <c r="C3724" s="86" t="s">
        <v>1964</v>
      </c>
      <c r="D3724" s="89" t="str">
        <f ca="1">OFFSET(Roster!$A$3,MATCH(表格1[[#This Row],[Location]]&amp;" "&amp;表格1[[#This Row],[Shop]]&amp;"*",Roster!$A$4:$A$72,0),DAY(表格1[[#This Row],[date]]),1,1)</f>
        <v>Lily Hon</v>
      </c>
      <c r="E3724" s="86">
        <f>MONTH(表格1[[#This Row],[date]])</f>
        <v>3</v>
      </c>
      <c r="F3724" s="90">
        <v>46106</v>
      </c>
      <c r="G3724" s="86" t="str">
        <f>VLOOKUP("*"&amp;表格1[[#This Row],[Input]]&amp;"*",'Ref-List'!$B:$D,2,)</f>
        <v>RC-10NMFIH(WT)</v>
      </c>
      <c r="H3724" s="86" t="str">
        <f>_xlfn.XLOOKUP(表格1[[#This Row],[Model]],表格3[Model-Input-Ref2],表格3[Product Line])</f>
        <v>4毫米厚釜電飯煲1L</v>
      </c>
      <c r="I3724" s="86" t="str">
        <f>_xlfn.XLOOKUP(表格1[[#This Row],[Model]],表格3[Model-Input-Ref2],表格3[大小電])</f>
        <v>細電</v>
      </c>
      <c r="J3724" s="86" t="str">
        <f>_xlfn.XLOOKUP(表格1[[#This Row],[Model]],表格3[Model-Input-Ref2],表格3[Code])</f>
        <v>SDA</v>
      </c>
      <c r="K3724" s="89" t="s">
        <v>1244</v>
      </c>
      <c r="L3724" s="86">
        <v>1</v>
      </c>
      <c r="M3724" s="87">
        <v>684</v>
      </c>
      <c r="N3724" s="174">
        <f>IFERROR(表格1[[#This Row],[QTY]]*表格1[[#This Row],[Unit Price]],"-")</f>
        <v>684</v>
      </c>
      <c r="O3724" s="175"/>
      <c r="R3724" s="86" t="str">
        <f>_xlfn.CONCAT(表格1[[#This Row],[Model]]," ",表格1[[#This Row],[inv no]])</f>
        <v xml:space="preserve">RC-10NMFIH(WT) </v>
      </c>
      <c r="S3724" s="86">
        <f>_xlfn.XLOOKUP(表格1[[#This Row],[Model]],表格3[Model-Input-Ref2],表格3[SRP PRICE])</f>
        <v>898</v>
      </c>
      <c r="T3724" s="43">
        <f>表格1[[#This Row],[Unit Price]]/表格1[[#This Row],[SRP]]</f>
        <v>0.76169265033407574</v>
      </c>
      <c r="U3724" s="86" t="str">
        <f>_xlfn.XLOOKUP(表格1[[#This Row],[Model]],表格3[Model-Input-Ref2],表格3[TOSHIBA/HIGHEST])</f>
        <v>Toshiba SRP</v>
      </c>
      <c r="W3724" s="86" t="str">
        <f>_xlfn.CONCAT(表格1[[#This Row],[欄4]],表格1[[#This Row],[inv no]])</f>
        <v/>
      </c>
    </row>
    <row r="3725" spans="1:23" hidden="1">
      <c r="A3725" s="81">
        <v>3723</v>
      </c>
      <c r="B3725" s="86" t="s">
        <v>1203</v>
      </c>
      <c r="C3725" s="86" t="s">
        <v>1964</v>
      </c>
      <c r="D3725" s="89" t="str">
        <f ca="1">OFFSET(Roster!$A$3,MATCH(表格1[[#This Row],[Location]]&amp;" "&amp;表格1[[#This Row],[Shop]]&amp;"*",Roster!$A$4:$A$72,0),DAY(表格1[[#This Row],[date]]),1,1)</f>
        <v>Lily Hon</v>
      </c>
      <c r="E3725" s="86">
        <f>MONTH(表格1[[#This Row],[date]])</f>
        <v>3</v>
      </c>
      <c r="F3725" s="90">
        <v>46106</v>
      </c>
      <c r="G3725" s="86" t="str">
        <f>VLOOKUP("*"&amp;表格1[[#This Row],[Input]]&amp;"*",'Ref-List'!$B:$D,2,)</f>
        <v>KT-17SHNH</v>
      </c>
      <c r="H3725" s="86" t="str">
        <f>_xlfn.XLOOKUP(表格1[[#This Row],[Model]],表格3[Model-Input-Ref2],表格3[Product Line])</f>
        <v>1.7L無線雙層電熱水壺</v>
      </c>
      <c r="I3725" s="86" t="str">
        <f>_xlfn.XLOOKUP(表格1[[#This Row],[Model]],表格3[Model-Input-Ref2],表格3[大小電])</f>
        <v>細電</v>
      </c>
      <c r="J3725" s="86" t="str">
        <f>_xlfn.XLOOKUP(表格1[[#This Row],[Model]],表格3[Model-Input-Ref2],表格3[Code])</f>
        <v>SDA</v>
      </c>
      <c r="K3725" s="89" t="s">
        <v>1283</v>
      </c>
      <c r="L3725" s="86">
        <v>1</v>
      </c>
      <c r="M3725" s="87">
        <v>190</v>
      </c>
      <c r="N3725" s="174">
        <f>IFERROR(表格1[[#This Row],[QTY]]*表格1[[#This Row],[Unit Price]],"-")</f>
        <v>190</v>
      </c>
      <c r="O3725" s="175"/>
      <c r="R3725" s="86" t="str">
        <f>_xlfn.CONCAT(表格1[[#This Row],[Model]]," ",表格1[[#This Row],[inv no]])</f>
        <v xml:space="preserve">KT-17SHNH </v>
      </c>
      <c r="S3725" s="86">
        <f>_xlfn.XLOOKUP(表格1[[#This Row],[Model]],表格3[Model-Input-Ref2],表格3[SRP PRICE])</f>
        <v>299</v>
      </c>
      <c r="T3725" s="43">
        <f>表格1[[#This Row],[Unit Price]]/表格1[[#This Row],[SRP]]</f>
        <v>0.63545150501672243</v>
      </c>
      <c r="U3725" s="86" t="str">
        <f>_xlfn.XLOOKUP(表格1[[#This Row],[Model]],表格3[Model-Input-Ref2],表格3[TOSHIBA/HIGHEST])</f>
        <v>Shops Highest Price</v>
      </c>
      <c r="W3725" s="86" t="str">
        <f>_xlfn.CONCAT(表格1[[#This Row],[欄4]],表格1[[#This Row],[inv no]])</f>
        <v/>
      </c>
    </row>
    <row r="3726" spans="1:23" hidden="1">
      <c r="A3726" s="81">
        <v>3724</v>
      </c>
      <c r="B3726" s="86" t="s">
        <v>1203</v>
      </c>
      <c r="C3726" s="86" t="s">
        <v>1964</v>
      </c>
      <c r="D3726" s="89" t="str">
        <f ca="1">OFFSET(Roster!$A$3,MATCH(表格1[[#This Row],[Location]]&amp;" "&amp;表格1[[#This Row],[Shop]]&amp;"*",Roster!$A$4:$A$72,0),DAY(表格1[[#This Row],[date]]),1,1)</f>
        <v>Lily Hon</v>
      </c>
      <c r="E3726" s="86">
        <f>MONTH(表格1[[#This Row],[date]])</f>
        <v>3</v>
      </c>
      <c r="F3726" s="90">
        <v>46108</v>
      </c>
      <c r="G3726" s="86" t="str">
        <f>VLOOKUP("*"&amp;表格1[[#This Row],[Input]]&amp;"*",'Ref-List'!$B:$D,2,)</f>
        <v>F-LYA20(W)HKG</v>
      </c>
      <c r="H3726" s="86" t="str">
        <f>_xlfn.XLOOKUP(表格1[[#This Row],[Model]],表格3[Model-Input-Ref2],表格3[Product Line])</f>
        <v>12吋2合1座地座檯電風扇連遙控</v>
      </c>
      <c r="I3726" s="86" t="str">
        <f>_xlfn.XLOOKUP(表格1[[#This Row],[Model]],表格3[Model-Input-Ref2],表格3[大小電])</f>
        <v>細電</v>
      </c>
      <c r="J3726" s="86" t="str">
        <f>_xlfn.XLOOKUP(表格1[[#This Row],[Model]],表格3[Model-Input-Ref2],表格3[Code])</f>
        <v>EAD</v>
      </c>
      <c r="K3726" s="89" t="s">
        <v>1391</v>
      </c>
      <c r="L3726" s="86">
        <v>2</v>
      </c>
      <c r="M3726" s="87">
        <v>370</v>
      </c>
      <c r="N3726" s="174">
        <f>IFERROR(表格1[[#This Row],[QTY]]*表格1[[#This Row],[Unit Price]],"-")</f>
        <v>740</v>
      </c>
      <c r="O3726" s="175"/>
      <c r="R3726" s="86" t="str">
        <f>_xlfn.CONCAT(表格1[[#This Row],[Model]]," ",表格1[[#This Row],[inv no]])</f>
        <v xml:space="preserve">F-LYA20(W)HKG </v>
      </c>
      <c r="S3726" s="86">
        <f>_xlfn.XLOOKUP(表格1[[#This Row],[Model]],表格3[Model-Input-Ref2],表格3[SRP PRICE])</f>
        <v>988</v>
      </c>
      <c r="T3726" s="43">
        <f>表格1[[#This Row],[Unit Price]]/表格1[[#This Row],[SRP]]</f>
        <v>0.37449392712550605</v>
      </c>
      <c r="U3726" s="86" t="str">
        <f>_xlfn.XLOOKUP(表格1[[#This Row],[Model]],表格3[Model-Input-Ref2],表格3[TOSHIBA/HIGHEST])</f>
        <v>Toshiba SRP</v>
      </c>
      <c r="W3726" s="86" t="str">
        <f>_xlfn.CONCAT(表格1[[#This Row],[欄4]],表格1[[#This Row],[inv no]])</f>
        <v/>
      </c>
    </row>
    <row r="3727" spans="1:23" hidden="1">
      <c r="A3727" s="81">
        <v>3725</v>
      </c>
      <c r="B3727" s="86" t="s">
        <v>1203</v>
      </c>
      <c r="C3727" s="86" t="s">
        <v>1964</v>
      </c>
      <c r="D3727" s="89" t="str">
        <f ca="1">OFFSET(Roster!$A$3,MATCH(表格1[[#This Row],[Location]]&amp;" "&amp;表格1[[#This Row],[Shop]]&amp;"*",Roster!$A$4:$A$72,0),DAY(表格1[[#This Row],[date]]),1,1)</f>
        <v>Lily Hon</v>
      </c>
      <c r="E3727" s="86">
        <f>MONTH(表格1[[#This Row],[date]])</f>
        <v>3</v>
      </c>
      <c r="F3727" s="90">
        <v>46109</v>
      </c>
      <c r="G3727" s="86" t="str">
        <f>VLOOKUP("*"&amp;表格1[[#This Row],[Input]]&amp;"*",'Ref-List'!$B:$D,2,)</f>
        <v>RC-10JRUH(N)</v>
      </c>
      <c r="H3727" s="86" t="str">
        <f>_xlfn.XLOOKUP(表格1[[#This Row],[Model]],表格3[Model-Input-Ref2],表格3[Product Line])</f>
        <v>電飯煲</v>
      </c>
      <c r="I3727" s="86" t="str">
        <f>_xlfn.XLOOKUP(表格1[[#This Row],[Model]],表格3[Model-Input-Ref2],表格3[大小電])</f>
        <v>細電</v>
      </c>
      <c r="J3727" s="86" t="str">
        <f>_xlfn.XLOOKUP(表格1[[#This Row],[Model]],表格3[Model-Input-Ref2],表格3[Code])</f>
        <v>SDA</v>
      </c>
      <c r="K3727" s="89" t="s">
        <v>1263</v>
      </c>
      <c r="L3727" s="86">
        <v>1</v>
      </c>
      <c r="M3727" s="87">
        <v>250</v>
      </c>
      <c r="N3727" s="174">
        <f>IFERROR(表格1[[#This Row],[QTY]]*表格1[[#This Row],[Unit Price]],"-")</f>
        <v>250</v>
      </c>
      <c r="O3727" s="175"/>
      <c r="R3727" s="86" t="str">
        <f>_xlfn.CONCAT(表格1[[#This Row],[Model]]," ",表格1[[#This Row],[inv no]])</f>
        <v xml:space="preserve">RC-10JRUH(N) </v>
      </c>
      <c r="S3727" s="86">
        <f>_xlfn.XLOOKUP(表格1[[#This Row],[Model]],表格3[Model-Input-Ref2],表格3[SRP PRICE])</f>
        <v>398</v>
      </c>
      <c r="T3727" s="43">
        <f>表格1[[#This Row],[Unit Price]]/表格1[[#This Row],[SRP]]</f>
        <v>0.62814070351758799</v>
      </c>
      <c r="U3727" s="86" t="str">
        <f>_xlfn.XLOOKUP(表格1[[#This Row],[Model]],表格3[Model-Input-Ref2],表格3[TOSHIBA/HIGHEST])</f>
        <v>Shops Highest Price</v>
      </c>
      <c r="W3727" s="86" t="str">
        <f>_xlfn.CONCAT(表格1[[#This Row],[欄4]],表格1[[#This Row],[inv no]])</f>
        <v/>
      </c>
    </row>
    <row r="3728" spans="1:23" hidden="1">
      <c r="A3728" s="81">
        <v>3726</v>
      </c>
      <c r="B3728" s="86" t="s">
        <v>1203</v>
      </c>
      <c r="C3728" s="86" t="s">
        <v>1964</v>
      </c>
      <c r="D3728" s="89" t="str">
        <f ca="1">OFFSET(Roster!$A$3,MATCH(表格1[[#This Row],[Location]]&amp;" "&amp;表格1[[#This Row],[Shop]]&amp;"*",Roster!$A$4:$A$72,0),DAY(表格1[[#This Row],[date]]),1,1)</f>
        <v>Lily Hon</v>
      </c>
      <c r="E3728" s="86">
        <f>MONTH(表格1[[#This Row],[date]])</f>
        <v>3</v>
      </c>
      <c r="F3728" s="90">
        <v>46109</v>
      </c>
      <c r="G3728" s="86" t="str">
        <f>VLOOKUP("*"&amp;表格1[[#This Row],[Input]]&amp;"*",'Ref-List'!$B:$D,2,)</f>
        <v>F-LYA20(W)HKG</v>
      </c>
      <c r="H3728" s="86" t="str">
        <f>_xlfn.XLOOKUP(表格1[[#This Row],[Model]],表格3[Model-Input-Ref2],表格3[Product Line])</f>
        <v>12吋2合1座地座檯電風扇連遙控</v>
      </c>
      <c r="I3728" s="86" t="str">
        <f>_xlfn.XLOOKUP(表格1[[#This Row],[Model]],表格3[Model-Input-Ref2],表格3[大小電])</f>
        <v>細電</v>
      </c>
      <c r="J3728" s="86" t="str">
        <f>_xlfn.XLOOKUP(表格1[[#This Row],[Model]],表格3[Model-Input-Ref2],表格3[Code])</f>
        <v>EAD</v>
      </c>
      <c r="K3728" s="89" t="s">
        <v>1391</v>
      </c>
      <c r="L3728" s="86">
        <v>1</v>
      </c>
      <c r="M3728" s="87">
        <v>351.5</v>
      </c>
      <c r="N3728" s="174">
        <f>IFERROR(表格1[[#This Row],[QTY]]*表格1[[#This Row],[Unit Price]],"-")</f>
        <v>351.5</v>
      </c>
      <c r="O3728" s="175"/>
      <c r="R3728" s="86" t="str">
        <f>_xlfn.CONCAT(表格1[[#This Row],[Model]]," ",表格1[[#This Row],[inv no]])</f>
        <v xml:space="preserve">F-LYA20(W)HKG </v>
      </c>
      <c r="S3728" s="86">
        <f>_xlfn.XLOOKUP(表格1[[#This Row],[Model]],表格3[Model-Input-Ref2],表格3[SRP PRICE])</f>
        <v>988</v>
      </c>
      <c r="T3728" s="43">
        <f>表格1[[#This Row],[Unit Price]]/表格1[[#This Row],[SRP]]</f>
        <v>0.35576923076923078</v>
      </c>
      <c r="U3728" s="86" t="str">
        <f>_xlfn.XLOOKUP(表格1[[#This Row],[Model]],表格3[Model-Input-Ref2],表格3[TOSHIBA/HIGHEST])</f>
        <v>Toshiba SRP</v>
      </c>
      <c r="W3728" s="86" t="str">
        <f>_xlfn.CONCAT(表格1[[#This Row],[欄4]],表格1[[#This Row],[inv no]])</f>
        <v/>
      </c>
    </row>
    <row r="3729" spans="1:23" hidden="1">
      <c r="A3729" s="81">
        <v>3727</v>
      </c>
      <c r="B3729" s="86" t="s">
        <v>1203</v>
      </c>
      <c r="C3729" s="86" t="s">
        <v>1964</v>
      </c>
      <c r="D3729" s="89" t="str">
        <f ca="1">OFFSET(Roster!$A$3,MATCH(表格1[[#This Row],[Location]]&amp;" "&amp;表格1[[#This Row],[Shop]]&amp;"*",Roster!$A$4:$A$72,0),DAY(表格1[[#This Row],[date]]),1,1)</f>
        <v>Lily Hon</v>
      </c>
      <c r="E3729" s="86">
        <f>MONTH(表格1[[#This Row],[date]])</f>
        <v>3</v>
      </c>
      <c r="F3729" s="90">
        <v>46109</v>
      </c>
      <c r="G3729" s="86" t="str">
        <f>VLOOKUP("*"&amp;表格1[[#This Row],[Input]]&amp;"*",'Ref-List'!$B:$D,2,)</f>
        <v>CFS-09PGR0A0</v>
      </c>
      <c r="H3729" s="86" t="str">
        <f>_xlfn.XLOOKUP(表格1[[#This Row],[Model]],表格3[Model-Input-Ref2],表格3[Product Line])</f>
        <v>9吋座檯座地循環扇連遙控</v>
      </c>
      <c r="I3729" s="86" t="str">
        <f>_xlfn.XLOOKUP(表格1[[#This Row],[Model]],表格3[Model-Input-Ref2],表格3[大小電])</f>
        <v>細電</v>
      </c>
      <c r="J3729" s="86" t="str">
        <f>_xlfn.XLOOKUP(表格1[[#This Row],[Model]],表格3[Model-Input-Ref2],表格3[Code])</f>
        <v>SDA</v>
      </c>
      <c r="K3729" s="89" t="s">
        <v>1457</v>
      </c>
      <c r="L3729" s="86">
        <v>1</v>
      </c>
      <c r="M3729" s="87">
        <v>285</v>
      </c>
      <c r="N3729" s="174">
        <f>IFERROR(表格1[[#This Row],[QTY]]*表格1[[#This Row],[Unit Price]],"-")</f>
        <v>285</v>
      </c>
      <c r="O3729" s="175"/>
      <c r="R3729" s="86" t="str">
        <f>_xlfn.CONCAT(表格1[[#This Row],[Model]]," ",表格1[[#This Row],[inv no]])</f>
        <v xml:space="preserve">CFS-09PGR0A0 </v>
      </c>
      <c r="S3729" s="86">
        <f>_xlfn.XLOOKUP(表格1[[#This Row],[Model]],表格3[Model-Input-Ref2],表格3[SRP PRICE])</f>
        <v>350</v>
      </c>
      <c r="T3729" s="43">
        <f>表格1[[#This Row],[Unit Price]]/表格1[[#This Row],[SRP]]</f>
        <v>0.81428571428571428</v>
      </c>
      <c r="U3729" s="86">
        <f>_xlfn.XLOOKUP(表格1[[#This Row],[Model]],表格3[Model-Input-Ref2],表格3[TOSHIBA/HIGHEST])</f>
        <v>0</v>
      </c>
      <c r="W3729" s="86" t="str">
        <f>_xlfn.CONCAT(表格1[[#This Row],[欄4]],表格1[[#This Row],[inv no]])</f>
        <v/>
      </c>
    </row>
    <row r="3730" spans="1:23" hidden="1">
      <c r="A3730" s="81">
        <v>3728</v>
      </c>
      <c r="B3730" s="86" t="s">
        <v>1203</v>
      </c>
      <c r="C3730" s="86" t="s">
        <v>1964</v>
      </c>
      <c r="D3730" s="89" t="str">
        <f ca="1">OFFSET(Roster!$A$3,MATCH(表格1[[#This Row],[Location]]&amp;" "&amp;表格1[[#This Row],[Shop]]&amp;"*",Roster!$A$4:$A$72,0),DAY(表格1[[#This Row],[date]]),1,1)</f>
        <v>Lily Hon</v>
      </c>
      <c r="E3730" s="86">
        <f>MONTH(表格1[[#This Row],[date]])</f>
        <v>3</v>
      </c>
      <c r="F3730" s="90">
        <v>46110</v>
      </c>
      <c r="G3730" s="86" t="str">
        <f>VLOOKUP("*"&amp;表格1[[#This Row],[Input]]&amp;"*",'Ref-List'!$B:$D,2,)</f>
        <v>IC-S19RH</v>
      </c>
      <c r="H3730" s="86" t="str">
        <f>_xlfn.XLOOKUP(表格1[[#This Row],[Model]],表格3[Model-Input-Ref2],表格3[Product Line])</f>
        <v>輕便式電磁爐7個功能</v>
      </c>
      <c r="I3730" s="86" t="str">
        <f>_xlfn.XLOOKUP(表格1[[#This Row],[Model]],表格3[Model-Input-Ref2],表格3[大小電])</f>
        <v>細電</v>
      </c>
      <c r="J3730" s="86" t="str">
        <f>_xlfn.XLOOKUP(表格1[[#This Row],[Model]],表格3[Model-Input-Ref2],表格3[Code])</f>
        <v>SDA</v>
      </c>
      <c r="K3730" s="89" t="s">
        <v>1289</v>
      </c>
      <c r="L3730" s="86">
        <v>1</v>
      </c>
      <c r="M3730" s="87">
        <v>550</v>
      </c>
      <c r="N3730" s="174">
        <f>IFERROR(表格1[[#This Row],[QTY]]*表格1[[#This Row],[Unit Price]],"-")</f>
        <v>550</v>
      </c>
      <c r="O3730" s="175"/>
      <c r="R3730" s="86" t="str">
        <f>_xlfn.CONCAT(表格1[[#This Row],[Model]]," ",表格1[[#This Row],[inv no]])</f>
        <v xml:space="preserve">IC-S19RH </v>
      </c>
      <c r="S3730" s="86">
        <f>_xlfn.XLOOKUP(表格1[[#This Row],[Model]],表格3[Model-Input-Ref2],表格3[SRP PRICE])</f>
        <v>638</v>
      </c>
      <c r="T3730" s="43">
        <f>表格1[[#This Row],[Unit Price]]/表格1[[#This Row],[SRP]]</f>
        <v>0.86206896551724133</v>
      </c>
      <c r="U3730" s="86" t="str">
        <f>_xlfn.XLOOKUP(表格1[[#This Row],[Model]],表格3[Model-Input-Ref2],表格3[TOSHIBA/HIGHEST])</f>
        <v>Toshiba SRP</v>
      </c>
      <c r="W3730" s="86" t="str">
        <f>_xlfn.CONCAT(表格1[[#This Row],[欄4]],表格1[[#This Row],[inv no]])</f>
        <v/>
      </c>
    </row>
    <row r="3731" spans="1:23" hidden="1">
      <c r="A3731" s="81">
        <v>3729</v>
      </c>
      <c r="B3731" s="86" t="s">
        <v>1203</v>
      </c>
      <c r="C3731" s="86" t="s">
        <v>1964</v>
      </c>
      <c r="D3731" s="89" t="str">
        <f ca="1">OFFSET(Roster!$A$3,MATCH(表格1[[#This Row],[Location]]&amp;" "&amp;表格1[[#This Row],[Shop]]&amp;"*",Roster!$A$4:$A$72,0),DAY(表格1[[#This Row],[date]]),1,1)</f>
        <v>Lily Hon</v>
      </c>
      <c r="E3731" s="86">
        <f>MONTH(表格1[[#This Row],[date]])</f>
        <v>3</v>
      </c>
      <c r="F3731" s="90">
        <v>46110</v>
      </c>
      <c r="G3731" s="86" t="str">
        <f>VLOOKUP("*"&amp;表格1[[#This Row],[Input]]&amp;"*",'Ref-List'!$B:$D,2,)</f>
        <v>IC-20R1THK</v>
      </c>
      <c r="H3731" s="86" t="str">
        <f>_xlfn.XLOOKUP(表格1[[#This Row],[Model]],表格3[Model-Input-Ref2],表格3[Product Line])</f>
        <v>輕便式電磁爐</v>
      </c>
      <c r="I3731" s="86" t="str">
        <f>_xlfn.XLOOKUP(表格1[[#This Row],[Model]],表格3[Model-Input-Ref2],表格3[大小電])</f>
        <v>細電</v>
      </c>
      <c r="J3731" s="86" t="str">
        <f>_xlfn.XLOOKUP(表格1[[#This Row],[Model]],表格3[Model-Input-Ref2],表格3[Code])</f>
        <v>SDA</v>
      </c>
      <c r="K3731" s="89" t="s">
        <v>1243</v>
      </c>
      <c r="L3731" s="86">
        <v>1</v>
      </c>
      <c r="M3731" s="87">
        <v>290</v>
      </c>
      <c r="N3731" s="174">
        <f>IFERROR(表格1[[#This Row],[QTY]]*表格1[[#This Row],[Unit Price]],"-")</f>
        <v>290</v>
      </c>
      <c r="O3731" s="175"/>
      <c r="R3731" s="86" t="str">
        <f>_xlfn.CONCAT(表格1[[#This Row],[Model]]," ",表格1[[#This Row],[inv no]])</f>
        <v xml:space="preserve">IC-20R1THK </v>
      </c>
      <c r="S3731" s="86">
        <f>_xlfn.XLOOKUP(表格1[[#This Row],[Model]],表格3[Model-Input-Ref2],表格3[SRP PRICE])</f>
        <v>438</v>
      </c>
      <c r="T3731" s="43">
        <f>表格1[[#This Row],[Unit Price]]/表格1[[#This Row],[SRP]]</f>
        <v>0.66210045662100458</v>
      </c>
      <c r="U3731" s="86" t="str">
        <f>_xlfn.XLOOKUP(表格1[[#This Row],[Model]],表格3[Model-Input-Ref2],表格3[TOSHIBA/HIGHEST])</f>
        <v>Shops Highest Price</v>
      </c>
      <c r="W3731" s="86" t="str">
        <f>_xlfn.CONCAT(表格1[[#This Row],[欄4]],表格1[[#This Row],[inv no]])</f>
        <v/>
      </c>
    </row>
    <row r="3732" spans="1:23" hidden="1">
      <c r="A3732" s="81">
        <v>3730</v>
      </c>
      <c r="B3732" s="86" t="s">
        <v>1203</v>
      </c>
      <c r="C3732" s="86" t="s">
        <v>1964</v>
      </c>
      <c r="D3732" s="89" t="str">
        <f ca="1">OFFSET(Roster!$A$3,MATCH(表格1[[#This Row],[Location]]&amp;" "&amp;表格1[[#This Row],[Shop]]&amp;"*",Roster!$A$4:$A$72,0),DAY(表格1[[#This Row],[date]]),1,1)</f>
        <v>Lily Hon</v>
      </c>
      <c r="E3732" s="86">
        <f>MONTH(表格1[[#This Row],[date]])</f>
        <v>3</v>
      </c>
      <c r="F3732" s="90">
        <v>46110</v>
      </c>
      <c r="G3732" s="86" t="str">
        <f>VLOOKUP("*"&amp;表格1[[#This Row],[Input]]&amp;"*",'Ref-List'!$B:$D,2,)</f>
        <v>RC-10AMXH(W)</v>
      </c>
      <c r="H3732" s="86" t="str">
        <f>_xlfn.XLOOKUP(表格1[[#This Row],[Model]],表格3[Model-Input-Ref2],表格3[Product Line])</f>
        <v>酵活炊電飯煲(1.0公升)</v>
      </c>
      <c r="I3732" s="86" t="str">
        <f>_xlfn.XLOOKUP(表格1[[#This Row],[Model]],表格3[Model-Input-Ref2],表格3[大小電])</f>
        <v>細電</v>
      </c>
      <c r="J3732" s="86" t="str">
        <f>_xlfn.XLOOKUP(表格1[[#This Row],[Model]],表格3[Model-Input-Ref2],表格3[Code])</f>
        <v>SDA</v>
      </c>
      <c r="K3732" s="89" t="s">
        <v>1279</v>
      </c>
      <c r="L3732" s="86">
        <v>1</v>
      </c>
      <c r="M3732" s="87">
        <v>990</v>
      </c>
      <c r="N3732" s="174">
        <f>IFERROR(表格1[[#This Row],[QTY]]*表格1[[#This Row],[Unit Price]],"-")</f>
        <v>990</v>
      </c>
      <c r="O3732" s="175"/>
      <c r="R3732" s="86" t="str">
        <f>_xlfn.CONCAT(表格1[[#This Row],[Model]]," ",表格1[[#This Row],[inv no]])</f>
        <v xml:space="preserve">RC-10AMXH(W) </v>
      </c>
      <c r="S3732" s="86">
        <f>_xlfn.XLOOKUP(表格1[[#This Row],[Model]],表格3[Model-Input-Ref2],表格3[SRP PRICE])</f>
        <v>1288</v>
      </c>
      <c r="T3732" s="43">
        <f>表格1[[#This Row],[Unit Price]]/表格1[[#This Row],[SRP]]</f>
        <v>0.76863354037267084</v>
      </c>
      <c r="U3732" s="86" t="str">
        <f>_xlfn.XLOOKUP(表格1[[#This Row],[Model]],表格3[Model-Input-Ref2],表格3[TOSHIBA/HIGHEST])</f>
        <v>Toshiba SRP</v>
      </c>
      <c r="W3732" s="86" t="str">
        <f>_xlfn.CONCAT(表格1[[#This Row],[欄4]],表格1[[#This Row],[inv no]])</f>
        <v/>
      </c>
    </row>
    <row r="3733" spans="1:23" hidden="1">
      <c r="A3733" s="81">
        <v>3731</v>
      </c>
      <c r="B3733" s="86" t="s">
        <v>1203</v>
      </c>
      <c r="C3733" s="86" t="s">
        <v>1964</v>
      </c>
      <c r="D3733" s="89" t="str">
        <f ca="1">OFFSET(Roster!$A$3,MATCH(表格1[[#This Row],[Location]]&amp;" "&amp;表格1[[#This Row],[Shop]]&amp;"*",Roster!$A$4:$A$72,0),DAY(表格1[[#This Row],[date]]),1,1)</f>
        <v>Lily Hon</v>
      </c>
      <c r="E3733" s="86">
        <f>MONTH(表格1[[#This Row],[date]])</f>
        <v>3</v>
      </c>
      <c r="F3733" s="90">
        <v>46110</v>
      </c>
      <c r="G3733" s="86" t="str">
        <f>VLOOKUP("*"&amp;表格1[[#This Row],[Input]]&amp;"*",'Ref-List'!$B:$D,2,)</f>
        <v>F-LYA20(W)HKG</v>
      </c>
      <c r="H3733" s="86" t="str">
        <f>_xlfn.XLOOKUP(表格1[[#This Row],[Model]],表格3[Model-Input-Ref2],表格3[Product Line])</f>
        <v>12吋2合1座地座檯電風扇連遙控</v>
      </c>
      <c r="I3733" s="86" t="str">
        <f>_xlfn.XLOOKUP(表格1[[#This Row],[Model]],表格3[Model-Input-Ref2],表格3[大小電])</f>
        <v>細電</v>
      </c>
      <c r="J3733" s="86" t="str">
        <f>_xlfn.XLOOKUP(表格1[[#This Row],[Model]],表格3[Model-Input-Ref2],表格3[Code])</f>
        <v>EAD</v>
      </c>
      <c r="K3733" s="89" t="s">
        <v>1391</v>
      </c>
      <c r="L3733" s="86">
        <v>2</v>
      </c>
      <c r="M3733" s="87">
        <v>360.5</v>
      </c>
      <c r="N3733" s="174">
        <f>IFERROR(表格1[[#This Row],[QTY]]*表格1[[#This Row],[Unit Price]],"-")</f>
        <v>721</v>
      </c>
      <c r="O3733" s="175"/>
      <c r="R3733" s="86" t="str">
        <f>_xlfn.CONCAT(表格1[[#This Row],[Model]]," ",表格1[[#This Row],[inv no]])</f>
        <v xml:space="preserve">F-LYA20(W)HKG </v>
      </c>
      <c r="S3733" s="86">
        <f>_xlfn.XLOOKUP(表格1[[#This Row],[Model]],表格3[Model-Input-Ref2],表格3[SRP PRICE])</f>
        <v>988</v>
      </c>
      <c r="T3733" s="43">
        <f>表格1[[#This Row],[Unit Price]]/表格1[[#This Row],[SRP]]</f>
        <v>0.36487854251012147</v>
      </c>
      <c r="U3733" s="86" t="str">
        <f>_xlfn.XLOOKUP(表格1[[#This Row],[Model]],表格3[Model-Input-Ref2],表格3[TOSHIBA/HIGHEST])</f>
        <v>Toshiba SRP</v>
      </c>
      <c r="W3733" s="86" t="str">
        <f>_xlfn.CONCAT(表格1[[#This Row],[欄4]],表格1[[#This Row],[inv no]])</f>
        <v/>
      </c>
    </row>
    <row r="3734" spans="1:23" hidden="1">
      <c r="A3734" s="81">
        <v>3732</v>
      </c>
      <c r="B3734" s="86" t="s">
        <v>1203</v>
      </c>
      <c r="C3734" s="86" t="s">
        <v>1964</v>
      </c>
      <c r="D3734" s="89" t="str">
        <f ca="1">OFFSET(Roster!$A$3,MATCH(表格1[[#This Row],[Location]]&amp;" "&amp;表格1[[#This Row],[Shop]]&amp;"*",Roster!$A$4:$A$72,0),DAY(表格1[[#This Row],[date]]),1,1)</f>
        <v>Lily Hon</v>
      </c>
      <c r="E3734" s="86">
        <f>MONTH(表格1[[#This Row],[date]])</f>
        <v>3</v>
      </c>
      <c r="F3734" s="90">
        <v>46110</v>
      </c>
      <c r="G3734" s="86" t="str">
        <f>VLOOKUP("*"&amp;表格1[[#This Row],[Input]]&amp;"*",'Ref-List'!$B:$D,2,)</f>
        <v>CFS-09PGR0A0</v>
      </c>
      <c r="H3734" s="86" t="str">
        <f>_xlfn.XLOOKUP(表格1[[#This Row],[Model]],表格3[Model-Input-Ref2],表格3[Product Line])</f>
        <v>9吋座檯座地循環扇連遙控</v>
      </c>
      <c r="I3734" s="86" t="str">
        <f>_xlfn.XLOOKUP(表格1[[#This Row],[Model]],表格3[Model-Input-Ref2],表格3[大小電])</f>
        <v>細電</v>
      </c>
      <c r="J3734" s="86" t="str">
        <f>_xlfn.XLOOKUP(表格1[[#This Row],[Model]],表格3[Model-Input-Ref2],表格3[Code])</f>
        <v>SDA</v>
      </c>
      <c r="K3734" s="89" t="s">
        <v>1457</v>
      </c>
      <c r="L3734" s="86">
        <v>1</v>
      </c>
      <c r="M3734" s="87">
        <v>285</v>
      </c>
      <c r="N3734" s="174">
        <f>IFERROR(表格1[[#This Row],[QTY]]*表格1[[#This Row],[Unit Price]],"-")</f>
        <v>285</v>
      </c>
      <c r="O3734" s="175"/>
      <c r="R3734" s="86" t="str">
        <f>_xlfn.CONCAT(表格1[[#This Row],[Model]]," ",表格1[[#This Row],[inv no]])</f>
        <v xml:space="preserve">CFS-09PGR0A0 </v>
      </c>
      <c r="S3734" s="86">
        <f>_xlfn.XLOOKUP(表格1[[#This Row],[Model]],表格3[Model-Input-Ref2],表格3[SRP PRICE])</f>
        <v>350</v>
      </c>
      <c r="T3734" s="43">
        <f>表格1[[#This Row],[Unit Price]]/表格1[[#This Row],[SRP]]</f>
        <v>0.81428571428571428</v>
      </c>
      <c r="U3734" s="86">
        <f>_xlfn.XLOOKUP(表格1[[#This Row],[Model]],表格3[Model-Input-Ref2],表格3[TOSHIBA/HIGHEST])</f>
        <v>0</v>
      </c>
      <c r="W3734" s="86" t="str">
        <f>_xlfn.CONCAT(表格1[[#This Row],[欄4]],表格1[[#This Row],[inv no]])</f>
        <v/>
      </c>
    </row>
    <row r="3735" spans="1:23" hidden="1">
      <c r="A3735" s="81">
        <v>3733</v>
      </c>
      <c r="B3735" s="86" t="s">
        <v>1203</v>
      </c>
      <c r="C3735" s="86" t="s">
        <v>1964</v>
      </c>
      <c r="D3735" s="89" t="str">
        <f ca="1">OFFSET(Roster!$A$3,MATCH(表格1[[#This Row],[Location]]&amp;" "&amp;表格1[[#This Row],[Shop]]&amp;"*",Roster!$A$4:$A$72,0),DAY(表格1[[#This Row],[date]]),1,1)</f>
        <v>Lily Hon</v>
      </c>
      <c r="E3735" s="86">
        <f>MONTH(表格1[[#This Row],[date]])</f>
        <v>3</v>
      </c>
      <c r="F3735" s="90">
        <v>46112</v>
      </c>
      <c r="G3735" s="86" t="str">
        <f>VLOOKUP("*"&amp;表格1[[#This Row],[Input]]&amp;"*",'Ref-List'!$B:$D,2,)</f>
        <v>RC-5MMIH(WT)</v>
      </c>
      <c r="H3735" s="86" t="str">
        <f>_xlfn.XLOOKUP(表格1[[#This Row],[Model]],表格3[Model-Input-Ref2],表格3[Product Line])</f>
        <v>4毫米厚釜電飯煲0.54L</v>
      </c>
      <c r="I3735" s="86" t="str">
        <f>_xlfn.XLOOKUP(表格1[[#This Row],[Model]],表格3[Model-Input-Ref2],表格3[大小電])</f>
        <v>細電</v>
      </c>
      <c r="J3735" s="86" t="str">
        <f>_xlfn.XLOOKUP(表格1[[#This Row],[Model]],表格3[Model-Input-Ref2],表格3[Code])</f>
        <v>SDA</v>
      </c>
      <c r="K3735" s="89" t="s">
        <v>1195</v>
      </c>
      <c r="L3735" s="86">
        <v>1</v>
      </c>
      <c r="M3735" s="87">
        <v>490</v>
      </c>
      <c r="N3735" s="174">
        <f>IFERROR(表格1[[#This Row],[QTY]]*表格1[[#This Row],[Unit Price]],"-")</f>
        <v>490</v>
      </c>
      <c r="O3735" s="175"/>
      <c r="R3735" s="86" t="str">
        <f>_xlfn.CONCAT(表格1[[#This Row],[Model]]," ",表格1[[#This Row],[inv no]])</f>
        <v xml:space="preserve">RC-5MMIH(WT) </v>
      </c>
      <c r="S3735" s="86">
        <f>_xlfn.XLOOKUP(表格1[[#This Row],[Model]],表格3[Model-Input-Ref2],表格3[SRP PRICE])</f>
        <v>618</v>
      </c>
      <c r="T3735" s="43">
        <f>表格1[[#This Row],[Unit Price]]/表格1[[#This Row],[SRP]]</f>
        <v>0.79288025889967639</v>
      </c>
      <c r="U3735" s="86" t="str">
        <f>_xlfn.XLOOKUP(表格1[[#This Row],[Model]],表格3[Model-Input-Ref2],表格3[TOSHIBA/HIGHEST])</f>
        <v>Toshiba SRP</v>
      </c>
      <c r="W3735" s="86" t="str">
        <f>_xlfn.CONCAT(表格1[[#This Row],[欄4]],表格1[[#This Row],[inv no]])</f>
        <v/>
      </c>
    </row>
    <row r="3736" spans="1:23" hidden="1">
      <c r="A3736" s="81">
        <v>3734</v>
      </c>
      <c r="B3736" s="86" t="s">
        <v>1203</v>
      </c>
      <c r="C3736" s="86" t="s">
        <v>1964</v>
      </c>
      <c r="D3736" s="89" t="str">
        <f ca="1">OFFSET(Roster!$A$3,MATCH(表格1[[#This Row],[Location]]&amp;" "&amp;表格1[[#This Row],[Shop]]&amp;"*",Roster!$A$4:$A$72,0),DAY(表格1[[#This Row],[date]]),1,1)</f>
        <v>Lily Hon</v>
      </c>
      <c r="E3736" s="86">
        <f>MONTH(表格1[[#This Row],[date]])</f>
        <v>3</v>
      </c>
      <c r="F3736" s="90">
        <v>46112</v>
      </c>
      <c r="G3736" s="86" t="str">
        <f>VLOOKUP("*"&amp;表格1[[#This Row],[Input]]&amp;"*",'Ref-List'!$B:$D,2,)</f>
        <v>MM-2MM20PC(WH)</v>
      </c>
      <c r="H3736" s="86" t="str">
        <f>_xlfn.XLOOKUP(表格1[[#This Row],[Model]],表格3[Model-Input-Ref2],表格3[Product Line])</f>
        <v>旋鈕式微波爐 (20公升)</v>
      </c>
      <c r="I3736" s="86" t="str">
        <f>_xlfn.XLOOKUP(表格1[[#This Row],[Model]],表格3[Model-Input-Ref2],表格3[大小電])</f>
        <v>細電</v>
      </c>
      <c r="J3736" s="86" t="str">
        <f>_xlfn.XLOOKUP(表格1[[#This Row],[Model]],表格3[Model-Input-Ref2],表格3[Code])</f>
        <v>MCA</v>
      </c>
      <c r="K3736" s="89" t="s">
        <v>1388</v>
      </c>
      <c r="L3736" s="86">
        <v>1</v>
      </c>
      <c r="M3736" s="87">
        <v>620</v>
      </c>
      <c r="N3736" s="174">
        <f>IFERROR(表格1[[#This Row],[QTY]]*表格1[[#This Row],[Unit Price]],"-")</f>
        <v>620</v>
      </c>
      <c r="O3736" s="175"/>
      <c r="R3736" s="86" t="str">
        <f>_xlfn.CONCAT(表格1[[#This Row],[Model]]," ",表格1[[#This Row],[inv no]])</f>
        <v xml:space="preserve">MM-2MM20PC(WH) </v>
      </c>
      <c r="S3736" s="86">
        <f>_xlfn.XLOOKUP(表格1[[#This Row],[Model]],表格3[Model-Input-Ref2],表格3[SRP PRICE])</f>
        <v>738</v>
      </c>
      <c r="T3736" s="43">
        <f>表格1[[#This Row],[Unit Price]]/表格1[[#This Row],[SRP]]</f>
        <v>0.84010840108401086</v>
      </c>
      <c r="U3736" s="86" t="str">
        <f>_xlfn.XLOOKUP(表格1[[#This Row],[Model]],表格3[Model-Input-Ref2],表格3[TOSHIBA/HIGHEST])</f>
        <v>Toshiba SRP</v>
      </c>
      <c r="W3736" s="86" t="str">
        <f>_xlfn.CONCAT(表格1[[#This Row],[欄4]],表格1[[#This Row],[inv no]])</f>
        <v/>
      </c>
    </row>
    <row r="3737" spans="1:23" hidden="1">
      <c r="A3737" s="81">
        <v>3735</v>
      </c>
      <c r="B3737" s="86" t="s">
        <v>1203</v>
      </c>
      <c r="C3737" s="86" t="s">
        <v>1964</v>
      </c>
      <c r="D3737" s="89" t="str">
        <f ca="1">OFFSET(Roster!$A$3,MATCH(表格1[[#This Row],[Location]]&amp;" "&amp;表格1[[#This Row],[Shop]]&amp;"*",Roster!$A$4:$A$72,0),DAY(表格1[[#This Row],[date]]),1,1)</f>
        <v>Lily Hon</v>
      </c>
      <c r="E3737" s="86">
        <f>MONTH(表格1[[#This Row],[date]])</f>
        <v>3</v>
      </c>
      <c r="F3737" s="90">
        <v>46112</v>
      </c>
      <c r="G3737" s="86" t="str">
        <f>VLOOKUP("*"&amp;表格1[[#This Row],[Input]]&amp;"*",'Ref-List'!$B:$D,2,)</f>
        <v>MW3-SAC24SE(BK)</v>
      </c>
      <c r="H3737" s="86" t="str">
        <f>_xlfn.XLOOKUP(表格1[[#This Row],[Model]],表格3[Model-Input-Ref2],表格3[Product Line])</f>
        <v>智能氣炸烤焗爐(24公升)</v>
      </c>
      <c r="I3737" s="86" t="str">
        <f>_xlfn.XLOOKUP(表格1[[#This Row],[Model]],表格3[Model-Input-Ref2],表格3[大小電])</f>
        <v>細電</v>
      </c>
      <c r="J3737" s="86" t="str">
        <f>_xlfn.XLOOKUP(表格1[[#This Row],[Model]],表格3[Model-Input-Ref2],表格3[Code])</f>
        <v>MCA</v>
      </c>
      <c r="K3737" s="89" t="s">
        <v>1274</v>
      </c>
      <c r="L3737" s="86">
        <v>1</v>
      </c>
      <c r="M3737" s="87">
        <v>1390</v>
      </c>
      <c r="N3737" s="174">
        <f>IFERROR(表格1[[#This Row],[QTY]]*表格1[[#This Row],[Unit Price]],"-")</f>
        <v>1390</v>
      </c>
      <c r="O3737" s="175"/>
      <c r="R3737" s="86" t="str">
        <f>_xlfn.CONCAT(表格1[[#This Row],[Model]]," ",表格1[[#This Row],[inv no]])</f>
        <v xml:space="preserve">MW3-SAC24SE(BK) </v>
      </c>
      <c r="S3737" s="86">
        <f>_xlfn.XLOOKUP(表格1[[#This Row],[Model]],表格3[Model-Input-Ref2],表格3[SRP PRICE])</f>
        <v>1680</v>
      </c>
      <c r="T3737" s="43">
        <f>表格1[[#This Row],[Unit Price]]/表格1[[#This Row],[SRP]]</f>
        <v>0.82738095238095233</v>
      </c>
      <c r="U3737" s="86" t="str">
        <f>_xlfn.XLOOKUP(表格1[[#This Row],[Model]],表格3[Model-Input-Ref2],表格3[TOSHIBA/HIGHEST])</f>
        <v>Toshiba SRP</v>
      </c>
      <c r="W3737" s="86" t="str">
        <f>_xlfn.CONCAT(表格1[[#This Row],[欄4]],表格1[[#This Row],[inv no]])</f>
        <v/>
      </c>
    </row>
    <row r="3738" spans="1:23" hidden="1">
      <c r="A3738" s="81">
        <v>3736</v>
      </c>
      <c r="B3738" s="86" t="s">
        <v>1203</v>
      </c>
      <c r="C3738" s="86" t="s">
        <v>1964</v>
      </c>
      <c r="D3738" s="89" t="str">
        <f ca="1">OFFSET(Roster!$A$3,MATCH(表格1[[#This Row],[Location]]&amp;" "&amp;表格1[[#This Row],[Shop]]&amp;"*",Roster!$A$4:$A$72,0),DAY(表格1[[#This Row],[date]]),1,1)</f>
        <v>Lily Hon</v>
      </c>
      <c r="E3738" s="86">
        <f>MONTH(表格1[[#This Row],[date]])</f>
        <v>3</v>
      </c>
      <c r="F3738" s="90">
        <v>46112</v>
      </c>
      <c r="G3738" s="86" t="str">
        <f>VLOOKUP("*"&amp;表格1[[#This Row],[Input]]&amp;"*",'Ref-List'!$B:$D,2,)</f>
        <v>IC-20R1THK</v>
      </c>
      <c r="H3738" s="86" t="str">
        <f>_xlfn.XLOOKUP(表格1[[#This Row],[Model]],表格3[Model-Input-Ref2],表格3[Product Line])</f>
        <v>輕便式電磁爐</v>
      </c>
      <c r="I3738" s="86" t="str">
        <f>_xlfn.XLOOKUP(表格1[[#This Row],[Model]],表格3[Model-Input-Ref2],表格3[大小電])</f>
        <v>細電</v>
      </c>
      <c r="J3738" s="86" t="str">
        <f>_xlfn.XLOOKUP(表格1[[#This Row],[Model]],表格3[Model-Input-Ref2],表格3[Code])</f>
        <v>SDA</v>
      </c>
      <c r="K3738" s="89" t="s">
        <v>1243</v>
      </c>
      <c r="L3738" s="86">
        <v>1</v>
      </c>
      <c r="M3738" s="87">
        <v>290</v>
      </c>
      <c r="N3738" s="174">
        <f>IFERROR(表格1[[#This Row],[QTY]]*表格1[[#This Row],[Unit Price]],"-")</f>
        <v>290</v>
      </c>
      <c r="O3738" s="175"/>
      <c r="R3738" s="86" t="str">
        <f>_xlfn.CONCAT(表格1[[#This Row],[Model]]," ",表格1[[#This Row],[inv no]])</f>
        <v xml:space="preserve">IC-20R1THK </v>
      </c>
      <c r="S3738" s="86">
        <f>_xlfn.XLOOKUP(表格1[[#This Row],[Model]],表格3[Model-Input-Ref2],表格3[SRP PRICE])</f>
        <v>438</v>
      </c>
      <c r="T3738" s="43">
        <f>表格1[[#This Row],[Unit Price]]/表格1[[#This Row],[SRP]]</f>
        <v>0.66210045662100458</v>
      </c>
      <c r="U3738" s="86" t="str">
        <f>_xlfn.XLOOKUP(表格1[[#This Row],[Model]],表格3[Model-Input-Ref2],表格3[TOSHIBA/HIGHEST])</f>
        <v>Shops Highest Price</v>
      </c>
      <c r="W3738" s="86" t="str">
        <f>_xlfn.CONCAT(表格1[[#This Row],[欄4]],表格1[[#This Row],[inv no]])</f>
        <v/>
      </c>
    </row>
    <row r="3739" spans="1:23" hidden="1">
      <c r="A3739" s="81">
        <v>3737</v>
      </c>
      <c r="B3739" s="86" t="s">
        <v>1203</v>
      </c>
      <c r="C3739" s="86" t="s">
        <v>1964</v>
      </c>
      <c r="D3739" s="89" t="str">
        <f ca="1">OFFSET(Roster!$A$3,MATCH(表格1[[#This Row],[Location]]&amp;" "&amp;表格1[[#This Row],[Shop]]&amp;"*",Roster!$A$4:$A$72,0),DAY(表格1[[#This Row],[date]]),1,1)</f>
        <v>Lily Hon</v>
      </c>
      <c r="E3739" s="86">
        <f>MONTH(表格1[[#This Row],[date]])</f>
        <v>3</v>
      </c>
      <c r="F3739" s="90">
        <v>46112</v>
      </c>
      <c r="G3739" s="86" t="str">
        <f>VLOOKUP("*"&amp;表格1[[#This Row],[Input]]&amp;"*",'Ref-List'!$B:$D,2,)</f>
        <v>F-LYA20(W)HKG</v>
      </c>
      <c r="H3739" s="86" t="str">
        <f>_xlfn.XLOOKUP(表格1[[#This Row],[Model]],表格3[Model-Input-Ref2],表格3[Product Line])</f>
        <v>12吋2合1座地座檯電風扇連遙控</v>
      </c>
      <c r="I3739" s="86" t="str">
        <f>_xlfn.XLOOKUP(表格1[[#This Row],[Model]],表格3[Model-Input-Ref2],表格3[大小電])</f>
        <v>細電</v>
      </c>
      <c r="J3739" s="86" t="str">
        <f>_xlfn.XLOOKUP(表格1[[#This Row],[Model]],表格3[Model-Input-Ref2],表格3[Code])</f>
        <v>EAD</v>
      </c>
      <c r="K3739" s="89" t="s">
        <v>1391</v>
      </c>
      <c r="L3739" s="86">
        <v>1</v>
      </c>
      <c r="M3739" s="87">
        <v>351.5</v>
      </c>
      <c r="N3739" s="174">
        <f>IFERROR(表格1[[#This Row],[QTY]]*表格1[[#This Row],[Unit Price]],"-")</f>
        <v>351.5</v>
      </c>
      <c r="O3739" s="175"/>
      <c r="R3739" s="86" t="str">
        <f>_xlfn.CONCAT(表格1[[#This Row],[Model]]," ",表格1[[#This Row],[inv no]])</f>
        <v xml:space="preserve">F-LYA20(W)HKG </v>
      </c>
      <c r="S3739" s="86">
        <f>_xlfn.XLOOKUP(表格1[[#This Row],[Model]],表格3[Model-Input-Ref2],表格3[SRP PRICE])</f>
        <v>988</v>
      </c>
      <c r="T3739" s="43">
        <f>表格1[[#This Row],[Unit Price]]/表格1[[#This Row],[SRP]]</f>
        <v>0.35576923076923078</v>
      </c>
      <c r="U3739" s="86" t="str">
        <f>_xlfn.XLOOKUP(表格1[[#This Row],[Model]],表格3[Model-Input-Ref2],表格3[TOSHIBA/HIGHEST])</f>
        <v>Toshiba SRP</v>
      </c>
      <c r="W3739" s="86" t="str">
        <f>_xlfn.CONCAT(表格1[[#This Row],[欄4]],表格1[[#This Row],[inv no]])</f>
        <v/>
      </c>
    </row>
    <row r="3740" spans="1:23" hidden="1">
      <c r="A3740" s="81">
        <v>3738</v>
      </c>
      <c r="B3740" s="86" t="s">
        <v>1403</v>
      </c>
      <c r="C3740" s="86" t="s">
        <v>1973</v>
      </c>
      <c r="D3740" s="89" t="str">
        <f ca="1">OFFSET(Roster!$A$3,MATCH(表格1[[#This Row],[Location]]&amp;" "&amp;表格1[[#This Row],[Shop]]&amp;"*",Roster!$A$4:$A$72,0),DAY(表格1[[#This Row],[date]]),1,1)</f>
        <v>Happy</v>
      </c>
      <c r="E3740" s="86">
        <f>MONTH(表格1[[#This Row],[date]])</f>
        <v>3</v>
      </c>
      <c r="F3740" s="90">
        <v>46082</v>
      </c>
      <c r="G3740" s="86" t="str">
        <f>VLOOKUP("*"&amp;表格1[[#This Row],[Input]]&amp;"*",'Ref-List'!$B:$D,2,)</f>
        <v>MM-2MM20PC(WH)</v>
      </c>
      <c r="H3740" s="86" t="str">
        <f>_xlfn.XLOOKUP(表格1[[#This Row],[Model]],表格3[Model-Input-Ref2],表格3[Product Line])</f>
        <v>旋鈕式微波爐 (20公升)</v>
      </c>
      <c r="I3740" s="86" t="str">
        <f>_xlfn.XLOOKUP(表格1[[#This Row],[Model]],表格3[Model-Input-Ref2],表格3[大小電])</f>
        <v>細電</v>
      </c>
      <c r="J3740" s="86" t="str">
        <f>_xlfn.XLOOKUP(表格1[[#This Row],[Model]],表格3[Model-Input-Ref2],表格3[Code])</f>
        <v>MCA</v>
      </c>
      <c r="K3740" s="89" t="s">
        <v>1388</v>
      </c>
      <c r="L3740" s="86">
        <v>1</v>
      </c>
      <c r="M3740" s="87">
        <v>598</v>
      </c>
      <c r="N3740" s="87">
        <f>IFERROR(表格1[[#This Row],[QTY]]*表格1[[#This Row],[Unit Price]],"-")</f>
        <v>598</v>
      </c>
      <c r="O3740" s="86">
        <v>238369</v>
      </c>
      <c r="R3740" s="86" t="str">
        <f>_xlfn.CONCAT(表格1[[#This Row],[Model]]," ",表格1[[#This Row],[inv no]])</f>
        <v>MM-2MM20PC(WH) 238369</v>
      </c>
      <c r="S3740" s="86">
        <f>_xlfn.XLOOKUP(表格1[[#This Row],[Model]],表格3[Model-Input-Ref2],表格3[SRP PRICE])</f>
        <v>738</v>
      </c>
      <c r="T3740" s="43">
        <f>表格1[[#This Row],[Unit Price]]/表格1[[#This Row],[SRP]]</f>
        <v>0.81029810298102978</v>
      </c>
      <c r="U3740" s="86" t="str">
        <f>_xlfn.XLOOKUP(表格1[[#This Row],[Model]],表格3[Model-Input-Ref2],表格3[TOSHIBA/HIGHEST])</f>
        <v>Toshiba SRP</v>
      </c>
      <c r="W3740" s="86" t="str">
        <f>_xlfn.CONCAT(表格1[[#This Row],[欄4]],表格1[[#This Row],[inv no]])</f>
        <v>238369</v>
      </c>
    </row>
    <row r="3741" spans="1:23" hidden="1">
      <c r="A3741" s="81">
        <v>3739</v>
      </c>
      <c r="B3741" s="86" t="s">
        <v>1403</v>
      </c>
      <c r="C3741" s="86" t="s">
        <v>1973</v>
      </c>
      <c r="D3741" s="89" t="str">
        <f ca="1">OFFSET(Roster!$A$3,MATCH(表格1[[#This Row],[Location]]&amp;" "&amp;表格1[[#This Row],[Shop]]&amp;"*",Roster!$A$4:$A$72,0),DAY(表格1[[#This Row],[date]]),1,1)</f>
        <v>Happy</v>
      </c>
      <c r="E3741" s="86">
        <f>MONTH(表格1[[#This Row],[date]])</f>
        <v>3</v>
      </c>
      <c r="F3741" s="90">
        <v>46082</v>
      </c>
      <c r="G3741" s="86" t="str">
        <f>VLOOKUP("*"&amp;表格1[[#This Row],[Input]]&amp;"*",'Ref-List'!$B:$D,2,)</f>
        <v>AW-Q901BPH(WW)</v>
      </c>
      <c r="H3741" s="86" t="str">
        <f>_xlfn.XLOOKUP(表格1[[#This Row],[Model]],表格3[Model-Input-Ref2],表格3[Product Line])</f>
        <v>日式洗衣機 (8公斤 結合高低水位)</v>
      </c>
      <c r="I3741" s="86" t="str">
        <f>_xlfn.XLOOKUP(表格1[[#This Row],[Model]],表格3[Model-Input-Ref2],表格3[大小電])</f>
        <v>大電</v>
      </c>
      <c r="J3741" s="86" t="str">
        <f>_xlfn.XLOOKUP(表格1[[#This Row],[Model]],表格3[Model-Input-Ref2],表格3[Code])</f>
        <v>LAD</v>
      </c>
      <c r="K3741" s="89" t="s">
        <v>1411</v>
      </c>
      <c r="L3741" s="86">
        <v>1</v>
      </c>
      <c r="M3741" s="87">
        <v>2380</v>
      </c>
      <c r="N3741" s="87">
        <f>IFERROR(表格1[[#This Row],[QTY]]*表格1[[#This Row],[Unit Price]],"-")</f>
        <v>2380</v>
      </c>
      <c r="O3741" s="86">
        <v>238374</v>
      </c>
      <c r="R3741" s="86" t="str">
        <f>_xlfn.CONCAT(表格1[[#This Row],[Model]]," ",表格1[[#This Row],[inv no]])</f>
        <v>AW-Q901BPH(WW) 238374</v>
      </c>
      <c r="S3741" s="86">
        <f>_xlfn.XLOOKUP(表格1[[#This Row],[Model]],表格3[Model-Input-Ref2],表格3[SRP PRICE])</f>
        <v>3780</v>
      </c>
      <c r="T3741" s="43">
        <f>表格1[[#This Row],[Unit Price]]/表格1[[#This Row],[SRP]]</f>
        <v>0.62962962962962965</v>
      </c>
      <c r="U3741" s="86" t="str">
        <f>_xlfn.XLOOKUP(表格1[[#This Row],[Model]],表格3[Model-Input-Ref2],表格3[TOSHIBA/HIGHEST])</f>
        <v>Toshiba SRP</v>
      </c>
      <c r="W3741" s="86" t="str">
        <f>_xlfn.CONCAT(表格1[[#This Row],[欄4]],表格1[[#This Row],[inv no]])</f>
        <v>238374</v>
      </c>
    </row>
    <row r="3742" spans="1:23" hidden="1">
      <c r="A3742" s="81">
        <v>3740</v>
      </c>
      <c r="B3742" s="86" t="s">
        <v>1403</v>
      </c>
      <c r="C3742" s="86" t="s">
        <v>1973</v>
      </c>
      <c r="D3742" s="89" t="str">
        <f ca="1">OFFSET(Roster!$A$3,MATCH(表格1[[#This Row],[Location]]&amp;" "&amp;表格1[[#This Row],[Shop]]&amp;"*",Roster!$A$4:$A$72,0),DAY(表格1[[#This Row],[date]]),1,1)</f>
        <v>Happy</v>
      </c>
      <c r="E3742" s="86">
        <f>MONTH(表格1[[#This Row],[date]])</f>
        <v>3</v>
      </c>
      <c r="F3742" s="90">
        <v>46082</v>
      </c>
      <c r="G3742" s="86" t="str">
        <f>VLOOKUP("*"&amp;表格1[[#This Row],[Input]]&amp;"*",'Ref-List'!$B:$D,2,)</f>
        <v>CFK01W75</v>
      </c>
      <c r="H3742" s="86" t="str">
        <f>_xlfn.XLOOKUP(表格1[[#This Row],[Model]],表格3[Model-Input-Ref2],表格3[Product Line])</f>
        <v>變頻頂揭式洗衣機 (7.5公斤)</v>
      </c>
      <c r="I3742" s="86" t="str">
        <f>_xlfn.XLOOKUP(表格1[[#This Row],[Model]],表格3[Model-Input-Ref2],表格3[大小電])</f>
        <v>大電</v>
      </c>
      <c r="J3742" s="86" t="str">
        <f>_xlfn.XLOOKUP(表格1[[#This Row],[Model]],表格3[Model-Input-Ref2],表格3[Code])</f>
        <v>LAD</v>
      </c>
      <c r="K3742" s="89" t="s">
        <v>1266</v>
      </c>
      <c r="L3742" s="86">
        <v>1</v>
      </c>
      <c r="M3742" s="87">
        <v>3580</v>
      </c>
      <c r="N3742" s="87">
        <f>IFERROR(表格1[[#This Row],[QTY]]*表格1[[#This Row],[Unit Price]],"-")</f>
        <v>3580</v>
      </c>
      <c r="O3742" s="86">
        <v>238383</v>
      </c>
      <c r="R3742" s="86" t="str">
        <f>_xlfn.CONCAT(表格1[[#This Row],[Model]]," ",表格1[[#This Row],[inv no]])</f>
        <v>CFK01W75 238383</v>
      </c>
      <c r="S3742" s="86">
        <f>_xlfn.XLOOKUP(表格1[[#This Row],[Model]],表格3[Model-Input-Ref2],表格3[SRP PRICE])</f>
        <v>3888</v>
      </c>
      <c r="T3742" s="43">
        <f>表格1[[#This Row],[Unit Price]]/表格1[[#This Row],[SRP]]</f>
        <v>0.92078189300411528</v>
      </c>
      <c r="U3742" s="86" t="str">
        <f>_xlfn.XLOOKUP(表格1[[#This Row],[Model]],表格3[Model-Input-Ref2],表格3[TOSHIBA/HIGHEST])</f>
        <v>Shops Highest Price</v>
      </c>
      <c r="W3742" s="86" t="str">
        <f>_xlfn.CONCAT(表格1[[#This Row],[欄4]],表格1[[#This Row],[inv no]])</f>
        <v>238383</v>
      </c>
    </row>
    <row r="3743" spans="1:23" hidden="1">
      <c r="A3743" s="81">
        <v>3741</v>
      </c>
      <c r="B3743" s="86" t="s">
        <v>1403</v>
      </c>
      <c r="C3743" s="86" t="s">
        <v>1973</v>
      </c>
      <c r="D3743" s="89" t="str">
        <f ca="1">OFFSET(Roster!$A$3,MATCH(表格1[[#This Row],[Location]]&amp;" "&amp;表格1[[#This Row],[Shop]]&amp;"*",Roster!$A$4:$A$72,0),DAY(表格1[[#This Row],[date]]),1,1)</f>
        <v>Happy</v>
      </c>
      <c r="E3743" s="86">
        <f>MONTH(表格1[[#This Row],[date]])</f>
        <v>3</v>
      </c>
      <c r="F3743" s="90">
        <v>46082</v>
      </c>
      <c r="G3743" s="86" t="str">
        <f>VLOOKUP("*"&amp;表格1[[#This Row],[Input]]&amp;"*",'Ref-List'!$B:$D,2,)</f>
        <v>RC-10ISSHK(W)</v>
      </c>
      <c r="H3743" s="86" t="str">
        <f>_xlfn.XLOOKUP(表格1[[#This Row],[Model]],表格3[Model-Input-Ref2],表格3[Product Line])</f>
        <v>磁應電飯煲(1公升)</v>
      </c>
      <c r="I3743" s="86" t="str">
        <f>_xlfn.XLOOKUP(表格1[[#This Row],[Model]],表格3[Model-Input-Ref2],表格3[大小電])</f>
        <v>細電</v>
      </c>
      <c r="J3743" s="86" t="str">
        <f>_xlfn.XLOOKUP(表格1[[#This Row],[Model]],表格3[Model-Input-Ref2],表格3[Code])</f>
        <v>SDA</v>
      </c>
      <c r="K3743" s="89" t="s">
        <v>1286</v>
      </c>
      <c r="L3743" s="86">
        <v>1</v>
      </c>
      <c r="M3743" s="87">
        <v>938</v>
      </c>
      <c r="N3743" s="87">
        <f>IFERROR(表格1[[#This Row],[QTY]]*表格1[[#This Row],[Unit Price]],"-")</f>
        <v>938</v>
      </c>
      <c r="O3743" s="86">
        <v>13955</v>
      </c>
      <c r="R3743" s="86" t="str">
        <f>_xlfn.CONCAT(表格1[[#This Row],[Model]]," ",表格1[[#This Row],[inv no]])</f>
        <v>RC-10ISSHK(W) 13955</v>
      </c>
      <c r="S3743" s="86">
        <f>_xlfn.XLOOKUP(表格1[[#This Row],[Model]],表格3[Model-Input-Ref2],表格3[SRP PRICE])</f>
        <v>1188</v>
      </c>
      <c r="T3743" s="43">
        <f>表格1[[#This Row],[Unit Price]]/表格1[[#This Row],[SRP]]</f>
        <v>0.78956228956228958</v>
      </c>
      <c r="U3743" s="86" t="str">
        <f>_xlfn.XLOOKUP(表格1[[#This Row],[Model]],表格3[Model-Input-Ref2],表格3[TOSHIBA/HIGHEST])</f>
        <v>Shops Highest Price</v>
      </c>
      <c r="W3743" s="86" t="str">
        <f>_xlfn.CONCAT(表格1[[#This Row],[欄4]],表格1[[#This Row],[inv no]])</f>
        <v>13955</v>
      </c>
    </row>
    <row r="3744" spans="1:23" hidden="1">
      <c r="A3744" s="81">
        <v>3742</v>
      </c>
      <c r="B3744" s="86" t="s">
        <v>1403</v>
      </c>
      <c r="C3744" s="86" t="s">
        <v>1973</v>
      </c>
      <c r="D3744" s="89" t="str">
        <f ca="1">OFFSET(Roster!$A$3,MATCH(表格1[[#This Row],[Location]]&amp;" "&amp;表格1[[#This Row],[Shop]]&amp;"*",Roster!$A$4:$A$72,0),DAY(表格1[[#This Row],[date]]),1,1)</f>
        <v>Happy</v>
      </c>
      <c r="E3744" s="86">
        <f>MONTH(表格1[[#This Row],[date]])</f>
        <v>3</v>
      </c>
      <c r="F3744" s="90">
        <v>46082</v>
      </c>
      <c r="G3744" s="86" t="str">
        <f>VLOOKUP("*"&amp;表格1[[#This Row],[Input]]&amp;"*",'Ref-List'!$B:$D,2,)</f>
        <v>RAD-D250H</v>
      </c>
      <c r="H3744" s="86" t="str">
        <f>_xlfn.XLOOKUP(表格1[[#This Row],[Model]],表格3[Model-Input-Ref2],表格3[Product Line])</f>
        <v>壓縮式抽濕機 (25公升)</v>
      </c>
      <c r="I3744" s="86" t="str">
        <f>_xlfn.XLOOKUP(表格1[[#This Row],[Model]],表格3[Model-Input-Ref2],表格3[大小電])</f>
        <v>細電</v>
      </c>
      <c r="J3744" s="86" t="str">
        <f>_xlfn.XLOOKUP(表格1[[#This Row],[Model]],表格3[Model-Input-Ref2],表格3[Code])</f>
        <v>RAC</v>
      </c>
      <c r="K3744" s="89" t="s">
        <v>1407</v>
      </c>
      <c r="L3744" s="86">
        <v>1</v>
      </c>
      <c r="M3744" s="87">
        <v>2080</v>
      </c>
      <c r="N3744" s="87">
        <f>IFERROR(表格1[[#This Row],[QTY]]*表格1[[#This Row],[Unit Price]],"-")</f>
        <v>2080</v>
      </c>
      <c r="O3744" s="86">
        <v>238413</v>
      </c>
      <c r="R3744" s="86" t="str">
        <f>_xlfn.CONCAT(表格1[[#This Row],[Model]]," ",表格1[[#This Row],[inv no]])</f>
        <v>RAD-D250H 238413</v>
      </c>
      <c r="S3744" s="86">
        <f>_xlfn.XLOOKUP(表格1[[#This Row],[Model]],表格3[Model-Input-Ref2],表格3[SRP PRICE])</f>
        <v>3380</v>
      </c>
      <c r="T3744" s="43">
        <f>表格1[[#This Row],[Unit Price]]/表格1[[#This Row],[SRP]]</f>
        <v>0.61538461538461542</v>
      </c>
      <c r="U3744" s="86" t="str">
        <f>_xlfn.XLOOKUP(表格1[[#This Row],[Model]],表格3[Model-Input-Ref2],表格3[TOSHIBA/HIGHEST])</f>
        <v>Shops Highest Price</v>
      </c>
      <c r="W3744" s="86" t="str">
        <f>_xlfn.CONCAT(表格1[[#This Row],[欄4]],表格1[[#This Row],[inv no]])</f>
        <v>238413</v>
      </c>
    </row>
    <row r="3745" spans="1:23" hidden="1">
      <c r="A3745" s="81">
        <v>3743</v>
      </c>
      <c r="B3745" s="86" t="s">
        <v>1403</v>
      </c>
      <c r="C3745" s="86" t="s">
        <v>1973</v>
      </c>
      <c r="D3745" s="89" t="str">
        <f ca="1">OFFSET(Roster!$A$3,MATCH(表格1[[#This Row],[Location]]&amp;" "&amp;表格1[[#This Row],[Shop]]&amp;"*",Roster!$A$4:$A$72,0),DAY(表格1[[#This Row],[date]]),1,1)</f>
        <v>Happy</v>
      </c>
      <c r="E3745" s="86">
        <f>MONTH(表格1[[#This Row],[date]])</f>
        <v>3</v>
      </c>
      <c r="F3745" s="90">
        <v>46082</v>
      </c>
      <c r="G3745" s="86" t="str">
        <f>VLOOKUP("*"&amp;表格1[[#This Row],[Input]]&amp;"*",'Ref-List'!$B:$D,2,)</f>
        <v>TW-T21BU80UWH(MG)</v>
      </c>
      <c r="H3745" s="86" t="str">
        <f>_xlfn.XLOOKUP(表格1[[#This Row],[Model]],表格3[Model-Input-Ref2],表格3[Product Line])</f>
        <v>400MM超薄身前置式變頻洗衣機(7公斤)</v>
      </c>
      <c r="I3745" s="86" t="str">
        <f>_xlfn.XLOOKUP(表格1[[#This Row],[Model]],表格3[Model-Input-Ref2],表格3[大小電])</f>
        <v>大電</v>
      </c>
      <c r="J3745" s="86" t="str">
        <f>_xlfn.XLOOKUP(表格1[[#This Row],[Model]],表格3[Model-Input-Ref2],表格3[Code])</f>
        <v>LAD</v>
      </c>
      <c r="K3745" s="89" t="s">
        <v>1280</v>
      </c>
      <c r="L3745" s="86">
        <v>1</v>
      </c>
      <c r="M3745" s="87">
        <v>3180</v>
      </c>
      <c r="N3745" s="87">
        <f>IFERROR(表格1[[#This Row],[QTY]]*表格1[[#This Row],[Unit Price]],"-")</f>
        <v>3180</v>
      </c>
      <c r="O3745" s="86">
        <v>238391</v>
      </c>
      <c r="R3745" s="86" t="str">
        <f>_xlfn.CONCAT(表格1[[#This Row],[Model]]," ",表格1[[#This Row],[inv no]])</f>
        <v>TW-T21BU80UWH(MG) 238391</v>
      </c>
      <c r="S3745" s="86">
        <f>_xlfn.XLOOKUP(表格1[[#This Row],[Model]],表格3[Model-Input-Ref2],表格3[SRP PRICE])</f>
        <v>5180</v>
      </c>
      <c r="T3745" s="43">
        <f>表格1[[#This Row],[Unit Price]]/表格1[[#This Row],[SRP]]</f>
        <v>0.61389961389961389</v>
      </c>
      <c r="U3745" s="86" t="str">
        <f>_xlfn.XLOOKUP(表格1[[#This Row],[Model]],表格3[Model-Input-Ref2],表格3[TOSHIBA/HIGHEST])</f>
        <v>Toshiba SRP</v>
      </c>
      <c r="W3745" s="86" t="str">
        <f>_xlfn.CONCAT(表格1[[#This Row],[欄4]],表格1[[#This Row],[inv no]])</f>
        <v>238391</v>
      </c>
    </row>
    <row r="3746" spans="1:23" hidden="1">
      <c r="A3746" s="81">
        <v>3744</v>
      </c>
      <c r="B3746" s="86" t="s">
        <v>1403</v>
      </c>
      <c r="C3746" s="86" t="s">
        <v>1973</v>
      </c>
      <c r="D3746" s="89" t="str">
        <f ca="1">OFFSET(Roster!$A$3,MATCH(表格1[[#This Row],[Location]]&amp;" "&amp;表格1[[#This Row],[Shop]]&amp;"*",Roster!$A$4:$A$72,0),DAY(表格1[[#This Row],[date]]),1,1)</f>
        <v>Happy</v>
      </c>
      <c r="E3746" s="86">
        <f>MONTH(表格1[[#This Row],[date]])</f>
        <v>3</v>
      </c>
      <c r="F3746" s="90">
        <v>46082</v>
      </c>
      <c r="G3746" s="86" t="str">
        <f>VLOOKUP("*"&amp;表格1[[#This Row],[Input]]&amp;"*",'Ref-List'!$B:$D,2,)</f>
        <v>KT-17DRTHK(H)</v>
      </c>
      <c r="H3746" s="86" t="str">
        <f>_xlfn.XLOOKUP(表格1[[#This Row],[Model]],表格3[Model-Input-Ref2],表格3[Product Line])</f>
        <v>無線雙層電熱水壺(1.7公升)</v>
      </c>
      <c r="I3746" s="86" t="str">
        <f>_xlfn.XLOOKUP(表格1[[#This Row],[Model]],表格3[Model-Input-Ref2],表格3[大小電])</f>
        <v>細電</v>
      </c>
      <c r="J3746" s="86" t="str">
        <f>_xlfn.XLOOKUP(表格1[[#This Row],[Model]],表格3[Model-Input-Ref2],表格3[Code])</f>
        <v>SDA</v>
      </c>
      <c r="K3746" s="89" t="s">
        <v>1271</v>
      </c>
      <c r="L3746" s="86">
        <v>1</v>
      </c>
      <c r="M3746" s="87">
        <v>388</v>
      </c>
      <c r="N3746" s="87">
        <f>IFERROR(表格1[[#This Row],[QTY]]*表格1[[#This Row],[Unit Price]],"-")</f>
        <v>388</v>
      </c>
      <c r="O3746" s="86">
        <v>13959</v>
      </c>
      <c r="R3746" s="86" t="str">
        <f>_xlfn.CONCAT(表格1[[#This Row],[Model]]," ",表格1[[#This Row],[inv no]])</f>
        <v>KT-17DRTHK(H) 13959</v>
      </c>
      <c r="S3746" s="86">
        <f>_xlfn.XLOOKUP(表格1[[#This Row],[Model]],表格3[Model-Input-Ref2],表格3[SRP PRICE])</f>
        <v>498</v>
      </c>
      <c r="T3746" s="43">
        <f>表格1[[#This Row],[Unit Price]]/表格1[[#This Row],[SRP]]</f>
        <v>0.77911646586345384</v>
      </c>
      <c r="U3746" s="86" t="str">
        <f>_xlfn.XLOOKUP(表格1[[#This Row],[Model]],表格3[Model-Input-Ref2],表格3[TOSHIBA/HIGHEST])</f>
        <v>Toshiba SRP</v>
      </c>
      <c r="W3746" s="86" t="str">
        <f>_xlfn.CONCAT(表格1[[#This Row],[欄4]],表格1[[#This Row],[inv no]])</f>
        <v>13959</v>
      </c>
    </row>
    <row r="3747" spans="1:23" hidden="1">
      <c r="A3747" s="81">
        <v>3745</v>
      </c>
      <c r="B3747" s="86" t="s">
        <v>1403</v>
      </c>
      <c r="C3747" s="86" t="s">
        <v>1973</v>
      </c>
      <c r="D3747" s="89" t="str">
        <f ca="1">OFFSET(Roster!$A$3,MATCH(表格1[[#This Row],[Location]]&amp;" "&amp;表格1[[#This Row],[Shop]]&amp;"*",Roster!$A$4:$A$72,0),DAY(表格1[[#This Row],[date]]),1,1)</f>
        <v>Happy</v>
      </c>
      <c r="E3747" s="86">
        <f>MONTH(表格1[[#This Row],[date]])</f>
        <v>3</v>
      </c>
      <c r="F3747" s="90">
        <v>46082</v>
      </c>
      <c r="G3747" s="86" t="str">
        <f>VLOOKUP("*"&amp;表格1[[#This Row],[Input]]&amp;"*",'Ref-List'!$B:$D,2,)</f>
        <v>RAD-D250H</v>
      </c>
      <c r="H3747" s="86" t="str">
        <f>_xlfn.XLOOKUP(表格1[[#This Row],[Model]],表格3[Model-Input-Ref2],表格3[Product Line])</f>
        <v>壓縮式抽濕機 (25公升)</v>
      </c>
      <c r="I3747" s="86" t="str">
        <f>_xlfn.XLOOKUP(表格1[[#This Row],[Model]],表格3[Model-Input-Ref2],表格3[大小電])</f>
        <v>細電</v>
      </c>
      <c r="J3747" s="86" t="str">
        <f>_xlfn.XLOOKUP(表格1[[#This Row],[Model]],表格3[Model-Input-Ref2],表格3[Code])</f>
        <v>RAC</v>
      </c>
      <c r="K3747" s="89" t="s">
        <v>1407</v>
      </c>
      <c r="L3747" s="86">
        <v>1</v>
      </c>
      <c r="M3747" s="87">
        <v>2180</v>
      </c>
      <c r="N3747" s="87">
        <f>IFERROR(表格1[[#This Row],[QTY]]*表格1[[#This Row],[Unit Price]],"-")</f>
        <v>2180</v>
      </c>
      <c r="O3747" s="86">
        <v>238402</v>
      </c>
      <c r="R3747" s="86" t="str">
        <f>_xlfn.CONCAT(表格1[[#This Row],[Model]]," ",表格1[[#This Row],[inv no]])</f>
        <v>RAD-D250H 238402</v>
      </c>
      <c r="S3747" s="86">
        <f>_xlfn.XLOOKUP(表格1[[#This Row],[Model]],表格3[Model-Input-Ref2],表格3[SRP PRICE])</f>
        <v>3380</v>
      </c>
      <c r="T3747" s="43">
        <f>表格1[[#This Row],[Unit Price]]/表格1[[#This Row],[SRP]]</f>
        <v>0.6449704142011834</v>
      </c>
      <c r="U3747" s="86" t="str">
        <f>_xlfn.XLOOKUP(表格1[[#This Row],[Model]],表格3[Model-Input-Ref2],表格3[TOSHIBA/HIGHEST])</f>
        <v>Shops Highest Price</v>
      </c>
      <c r="W3747" s="86" t="str">
        <f>_xlfn.CONCAT(表格1[[#This Row],[欄4]],表格1[[#This Row],[inv no]])</f>
        <v>238402</v>
      </c>
    </row>
    <row r="3748" spans="1:23" hidden="1">
      <c r="A3748" s="81">
        <v>3746</v>
      </c>
      <c r="B3748" s="86" t="s">
        <v>1403</v>
      </c>
      <c r="C3748" s="86" t="s">
        <v>1973</v>
      </c>
      <c r="D3748" s="89" t="str">
        <f ca="1">OFFSET(Roster!$A$3,MATCH(表格1[[#This Row],[Location]]&amp;" "&amp;表格1[[#This Row],[Shop]]&amp;"*",Roster!$A$4:$A$72,0),DAY(表格1[[#This Row],[date]]),1,1)</f>
        <v>Happy</v>
      </c>
      <c r="E3748" s="86">
        <f>MONTH(表格1[[#This Row],[date]])</f>
        <v>3</v>
      </c>
      <c r="F3748" s="90">
        <v>46082</v>
      </c>
      <c r="G3748" s="86" t="str">
        <f>VLOOKUP("*"&amp;表格1[[#This Row],[Input]]&amp;"*",'Ref-List'!$B:$D,2,)</f>
        <v>GR-RB221WE-PMA(57)</v>
      </c>
      <c r="H3748" s="86" t="str">
        <f>_xlfn.XLOOKUP(表格1[[#This Row],[Model]],表格3[Model-Input-Ref2],表格3[Product Line])</f>
        <v>變頻下置式雙門雪櫃（163L）</v>
      </c>
      <c r="I3748" s="86" t="str">
        <f>_xlfn.XLOOKUP(表格1[[#This Row],[Model]],表格3[Model-Input-Ref2],表格3[大小電])</f>
        <v>大電</v>
      </c>
      <c r="J3748" s="86" t="str">
        <f>_xlfn.XLOOKUP(表格1[[#This Row],[Model]],表格3[Model-Input-Ref2],表格3[Code])</f>
        <v>REF</v>
      </c>
      <c r="K3748" s="89" t="s">
        <v>1386</v>
      </c>
      <c r="L3748" s="86">
        <v>1</v>
      </c>
      <c r="M3748" s="87">
        <v>2380</v>
      </c>
      <c r="N3748" s="87">
        <f>IFERROR(表格1[[#This Row],[QTY]]*表格1[[#This Row],[Unit Price]],"-")</f>
        <v>2380</v>
      </c>
      <c r="O3748" s="86">
        <v>238397</v>
      </c>
      <c r="R3748" s="86" t="str">
        <f>_xlfn.CONCAT(表格1[[#This Row],[Model]]," ",表格1[[#This Row],[inv no]])</f>
        <v>GR-RB221WE-PMA(57) 238397</v>
      </c>
      <c r="S3748" s="86">
        <f>_xlfn.XLOOKUP(表格1[[#This Row],[Model]],表格3[Model-Input-Ref2],表格3[SRP PRICE])</f>
        <v>3480</v>
      </c>
      <c r="T3748" s="43">
        <f>表格1[[#This Row],[Unit Price]]/表格1[[#This Row],[SRP]]</f>
        <v>0.68390804597701149</v>
      </c>
      <c r="U3748" s="86" t="str">
        <f>_xlfn.XLOOKUP(表格1[[#This Row],[Model]],表格3[Model-Input-Ref2],表格3[TOSHIBA/HIGHEST])</f>
        <v>Toshiba SRP</v>
      </c>
      <c r="W3748" s="86" t="str">
        <f>_xlfn.CONCAT(表格1[[#This Row],[欄4]],表格1[[#This Row],[inv no]])</f>
        <v>238397</v>
      </c>
    </row>
    <row r="3749" spans="1:23" hidden="1">
      <c r="A3749" s="81">
        <v>3747</v>
      </c>
      <c r="B3749" s="86" t="s">
        <v>1403</v>
      </c>
      <c r="C3749" s="86" t="s">
        <v>1973</v>
      </c>
      <c r="D3749" s="89" t="str">
        <f ca="1">OFFSET(Roster!$A$3,MATCH(表格1[[#This Row],[Location]]&amp;" "&amp;表格1[[#This Row],[Shop]]&amp;"*",Roster!$A$4:$A$72,0),DAY(表格1[[#This Row],[date]]),1,1)</f>
        <v>Happy</v>
      </c>
      <c r="E3749" s="86">
        <f>MONTH(表格1[[#This Row],[date]])</f>
        <v>3</v>
      </c>
      <c r="F3749" s="90">
        <v>46082</v>
      </c>
      <c r="G3749" s="86" t="str">
        <f>VLOOKUP("*"&amp;表格1[[#This Row],[Input]]&amp;"*",'Ref-List'!$B:$D,2,)</f>
        <v>MX2-STR25SC(WH)</v>
      </c>
      <c r="H3749" s="86" t="str">
        <f>_xlfn.XLOOKUP(表格1[[#This Row],[Model]],表格3[Model-Input-Ref2],表格3[Product Line])</f>
        <v>4合1氣炸微波蒸焗爐(25公升)</v>
      </c>
      <c r="I3749" s="86" t="str">
        <f>_xlfn.XLOOKUP(表格1[[#This Row],[Model]],表格3[Model-Input-Ref2],表格3[大小電])</f>
        <v>細電</v>
      </c>
      <c r="J3749" s="86" t="str">
        <f>_xlfn.XLOOKUP(表格1[[#This Row],[Model]],表格3[Model-Input-Ref2],表格3[Code])</f>
        <v>MCA</v>
      </c>
      <c r="K3749" s="89" t="s">
        <v>1410</v>
      </c>
      <c r="L3749" s="86">
        <v>1</v>
      </c>
      <c r="M3749" s="87">
        <v>3478</v>
      </c>
      <c r="N3749" s="87">
        <f>IFERROR(表格1[[#This Row],[QTY]]*表格1[[#This Row],[Unit Price]],"-")</f>
        <v>3478</v>
      </c>
      <c r="O3749" s="86">
        <v>238416</v>
      </c>
      <c r="R3749" s="86" t="str">
        <f>_xlfn.CONCAT(表格1[[#This Row],[Model]]," ",表格1[[#This Row],[inv no]])</f>
        <v>MX2-STR25SC(WH) 238416</v>
      </c>
      <c r="S3749" s="86">
        <f>_xlfn.XLOOKUP(表格1[[#This Row],[Model]],表格3[Model-Input-Ref2],表格3[SRP PRICE])</f>
        <v>4998</v>
      </c>
      <c r="T3749" s="43">
        <f>表格1[[#This Row],[Unit Price]]/表格1[[#This Row],[SRP]]</f>
        <v>0.69587835134053622</v>
      </c>
      <c r="U3749" s="86" t="str">
        <f>_xlfn.XLOOKUP(表格1[[#This Row],[Model]],表格3[Model-Input-Ref2],表格3[TOSHIBA/HIGHEST])</f>
        <v>Toshiba SRP</v>
      </c>
      <c r="W3749" s="86" t="str">
        <f>_xlfn.CONCAT(表格1[[#This Row],[欄4]],表格1[[#This Row],[inv no]])</f>
        <v>238416</v>
      </c>
    </row>
    <row r="3750" spans="1:23" hidden="1">
      <c r="A3750" s="81">
        <v>3748</v>
      </c>
      <c r="B3750" s="86" t="s">
        <v>1403</v>
      </c>
      <c r="C3750" s="86" t="s">
        <v>1973</v>
      </c>
      <c r="D3750" s="89" t="str">
        <f ca="1">OFFSET(Roster!$A$3,MATCH(表格1[[#This Row],[Location]]&amp;" "&amp;表格1[[#This Row],[Shop]]&amp;"*",Roster!$A$4:$A$72,0),DAY(表格1[[#This Row],[date]]),1,1)</f>
        <v>Happy</v>
      </c>
      <c r="E3750" s="86">
        <f>MONTH(表格1[[#This Row],[date]])</f>
        <v>3</v>
      </c>
      <c r="F3750" s="90">
        <v>46082</v>
      </c>
      <c r="G3750" s="86" t="str">
        <f>VLOOKUP("*"&amp;表格1[[#This Row],[Input]]&amp;"*",'Ref-List'!$B:$D,2,)</f>
        <v>RAD-D250H</v>
      </c>
      <c r="H3750" s="86" t="str">
        <f>_xlfn.XLOOKUP(表格1[[#This Row],[Model]],表格3[Model-Input-Ref2],表格3[Product Line])</f>
        <v>壓縮式抽濕機 (25公升)</v>
      </c>
      <c r="I3750" s="86" t="str">
        <f>_xlfn.XLOOKUP(表格1[[#This Row],[Model]],表格3[Model-Input-Ref2],表格3[大小電])</f>
        <v>細電</v>
      </c>
      <c r="J3750" s="86" t="str">
        <f>_xlfn.XLOOKUP(表格1[[#This Row],[Model]],表格3[Model-Input-Ref2],表格3[Code])</f>
        <v>RAC</v>
      </c>
      <c r="K3750" s="89" t="s">
        <v>1407</v>
      </c>
      <c r="L3750" s="86">
        <v>1</v>
      </c>
      <c r="M3750" s="87">
        <v>2080</v>
      </c>
      <c r="N3750" s="87">
        <f>IFERROR(表格1[[#This Row],[QTY]]*表格1[[#This Row],[Unit Price]],"-")</f>
        <v>2080</v>
      </c>
      <c r="O3750" s="86">
        <v>238378</v>
      </c>
      <c r="R3750" s="86" t="str">
        <f>_xlfn.CONCAT(表格1[[#This Row],[Model]]," ",表格1[[#This Row],[inv no]])</f>
        <v>RAD-D250H 238378</v>
      </c>
      <c r="S3750" s="86">
        <f>_xlfn.XLOOKUP(表格1[[#This Row],[Model]],表格3[Model-Input-Ref2],表格3[SRP PRICE])</f>
        <v>3380</v>
      </c>
      <c r="T3750" s="43">
        <f>表格1[[#This Row],[Unit Price]]/表格1[[#This Row],[SRP]]</f>
        <v>0.61538461538461542</v>
      </c>
      <c r="U3750" s="86" t="str">
        <f>_xlfn.XLOOKUP(表格1[[#This Row],[Model]],表格3[Model-Input-Ref2],表格3[TOSHIBA/HIGHEST])</f>
        <v>Shops Highest Price</v>
      </c>
      <c r="W3750" s="86" t="str">
        <f>_xlfn.CONCAT(表格1[[#This Row],[欄4]],表格1[[#This Row],[inv no]])</f>
        <v>238378</v>
      </c>
    </row>
    <row r="3751" spans="1:23" hidden="1">
      <c r="A3751" s="81">
        <v>3749</v>
      </c>
      <c r="B3751" s="86" t="s">
        <v>1403</v>
      </c>
      <c r="C3751" s="86" t="s">
        <v>1973</v>
      </c>
      <c r="D3751" s="89" t="str">
        <f ca="1">OFFSET(Roster!$A$3,MATCH(表格1[[#This Row],[Location]]&amp;" "&amp;表格1[[#This Row],[Shop]]&amp;"*",Roster!$A$4:$A$72,0),DAY(表格1[[#This Row],[date]]),1,1)</f>
        <v>Happy</v>
      </c>
      <c r="E3751" s="86">
        <f>MONTH(表格1[[#This Row],[date]])</f>
        <v>3</v>
      </c>
      <c r="F3751" s="90">
        <v>46084</v>
      </c>
      <c r="G3751" s="86" t="str">
        <f>VLOOKUP("*"&amp;表格1[[#This Row],[Input]]&amp;"*",'Ref-List'!$B:$D,2,)</f>
        <v>RAD-D250H</v>
      </c>
      <c r="H3751" s="86" t="str">
        <f>_xlfn.XLOOKUP(表格1[[#This Row],[Model]],表格3[Model-Input-Ref2],表格3[Product Line])</f>
        <v>壓縮式抽濕機 (25公升)</v>
      </c>
      <c r="I3751" s="86" t="str">
        <f>_xlfn.XLOOKUP(表格1[[#This Row],[Model]],表格3[Model-Input-Ref2],表格3[大小電])</f>
        <v>細電</v>
      </c>
      <c r="J3751" s="86" t="str">
        <f>_xlfn.XLOOKUP(表格1[[#This Row],[Model]],表格3[Model-Input-Ref2],表格3[Code])</f>
        <v>RAC</v>
      </c>
      <c r="K3751" s="89" t="s">
        <v>1407</v>
      </c>
      <c r="L3751" s="86">
        <v>1</v>
      </c>
      <c r="M3751" s="87">
        <v>2080</v>
      </c>
      <c r="N3751" s="87">
        <f>IFERROR(表格1[[#This Row],[QTY]]*表格1[[#This Row],[Unit Price]],"-")</f>
        <v>2080</v>
      </c>
      <c r="O3751" s="86">
        <v>238434</v>
      </c>
      <c r="R3751" s="86" t="str">
        <f>_xlfn.CONCAT(表格1[[#This Row],[Model]]," ",表格1[[#This Row],[inv no]])</f>
        <v>RAD-D250H 238434</v>
      </c>
      <c r="S3751" s="86">
        <f>_xlfn.XLOOKUP(表格1[[#This Row],[Model]],表格3[Model-Input-Ref2],表格3[SRP PRICE])</f>
        <v>3380</v>
      </c>
      <c r="T3751" s="43">
        <f>表格1[[#This Row],[Unit Price]]/表格1[[#This Row],[SRP]]</f>
        <v>0.61538461538461542</v>
      </c>
      <c r="U3751" s="86" t="str">
        <f>_xlfn.XLOOKUP(表格1[[#This Row],[Model]],表格3[Model-Input-Ref2],表格3[TOSHIBA/HIGHEST])</f>
        <v>Shops Highest Price</v>
      </c>
      <c r="W3751" s="86" t="str">
        <f>_xlfn.CONCAT(表格1[[#This Row],[欄4]],表格1[[#This Row],[inv no]])</f>
        <v>238434</v>
      </c>
    </row>
    <row r="3752" spans="1:23" hidden="1">
      <c r="A3752" s="81">
        <v>3750</v>
      </c>
      <c r="B3752" s="86" t="s">
        <v>1403</v>
      </c>
      <c r="C3752" s="86" t="s">
        <v>1973</v>
      </c>
      <c r="D3752" s="89" t="str">
        <f ca="1">OFFSET(Roster!$A$3,MATCH(表格1[[#This Row],[Location]]&amp;" "&amp;表格1[[#This Row],[Shop]]&amp;"*",Roster!$A$4:$A$72,0),DAY(表格1[[#This Row],[date]]),1,1)</f>
        <v>Happy</v>
      </c>
      <c r="E3752" s="86">
        <f>MONTH(表格1[[#This Row],[date]])</f>
        <v>3</v>
      </c>
      <c r="F3752" s="90">
        <v>46084</v>
      </c>
      <c r="G3752" s="86" t="str">
        <f>VLOOKUP("*"&amp;表格1[[#This Row],[Input]]&amp;"*",'Ref-List'!$B:$D,2,)</f>
        <v>MM2-EG20PC(WH)</v>
      </c>
      <c r="H3752" s="86" t="str">
        <f>_xlfn.XLOOKUP(表格1[[#This Row],[Model]],表格3[Model-Input-Ref2],表格3[Product Line])</f>
        <v>輕觸式燒烤微波爐</v>
      </c>
      <c r="I3752" s="86" t="str">
        <f>_xlfn.XLOOKUP(表格1[[#This Row],[Model]],表格3[Model-Input-Ref2],表格3[大小電])</f>
        <v>細電</v>
      </c>
      <c r="J3752" s="86" t="str">
        <f>_xlfn.XLOOKUP(表格1[[#This Row],[Model]],表格3[Model-Input-Ref2],表格3[Code])</f>
        <v>MCA</v>
      </c>
      <c r="K3752" s="89" t="s">
        <v>1273</v>
      </c>
      <c r="L3752" s="86">
        <v>1</v>
      </c>
      <c r="M3752" s="87">
        <v>698</v>
      </c>
      <c r="N3752" s="87">
        <f>IFERROR(表格1[[#This Row],[QTY]]*表格1[[#This Row],[Unit Price]],"-")</f>
        <v>698</v>
      </c>
      <c r="O3752" s="86">
        <v>238454</v>
      </c>
      <c r="R3752" s="86" t="str">
        <f>_xlfn.CONCAT(表格1[[#This Row],[Model]]," ",表格1[[#This Row],[inv no]])</f>
        <v>MM2-EG20PC(WH) 238454</v>
      </c>
      <c r="S3752" s="86">
        <f>_xlfn.XLOOKUP(表格1[[#This Row],[Model]],表格3[Model-Input-Ref2],表格3[SRP PRICE])</f>
        <v>918</v>
      </c>
      <c r="T3752" s="43">
        <f>表格1[[#This Row],[Unit Price]]/表格1[[#This Row],[SRP]]</f>
        <v>0.76034858387799564</v>
      </c>
      <c r="U3752" s="86" t="str">
        <f>_xlfn.XLOOKUP(表格1[[#This Row],[Model]],表格3[Model-Input-Ref2],表格3[TOSHIBA/HIGHEST])</f>
        <v>Shops Highest Price</v>
      </c>
      <c r="W3752" s="86" t="str">
        <f>_xlfn.CONCAT(表格1[[#This Row],[欄4]],表格1[[#This Row],[inv no]])</f>
        <v>238454</v>
      </c>
    </row>
    <row r="3753" spans="1:23" hidden="1">
      <c r="A3753" s="81">
        <v>3751</v>
      </c>
      <c r="B3753" s="86" t="s">
        <v>1403</v>
      </c>
      <c r="C3753" s="86" t="s">
        <v>1973</v>
      </c>
      <c r="D3753" s="89" t="str">
        <f ca="1">OFFSET(Roster!$A$3,MATCH(表格1[[#This Row],[Location]]&amp;" "&amp;表格1[[#This Row],[Shop]]&amp;"*",Roster!$A$4:$A$72,0),DAY(表格1[[#This Row],[date]]),1,1)</f>
        <v>Happy</v>
      </c>
      <c r="E3753" s="86">
        <f>MONTH(表格1[[#This Row],[date]])</f>
        <v>3</v>
      </c>
      <c r="F3753" s="90">
        <v>46084</v>
      </c>
      <c r="G3753" s="86" t="str">
        <f>VLOOKUP("*"&amp;表格1[[#This Row],[Input]]&amp;"*",'Ref-List'!$B:$D,2,)</f>
        <v>RAD-D250H</v>
      </c>
      <c r="H3753" s="86" t="str">
        <f>_xlfn.XLOOKUP(表格1[[#This Row],[Model]],表格3[Model-Input-Ref2],表格3[Product Line])</f>
        <v>壓縮式抽濕機 (25公升)</v>
      </c>
      <c r="I3753" s="86" t="str">
        <f>_xlfn.XLOOKUP(表格1[[#This Row],[Model]],表格3[Model-Input-Ref2],表格3[大小電])</f>
        <v>細電</v>
      </c>
      <c r="J3753" s="86" t="str">
        <f>_xlfn.XLOOKUP(表格1[[#This Row],[Model]],表格3[Model-Input-Ref2],表格3[Code])</f>
        <v>RAC</v>
      </c>
      <c r="K3753" s="89" t="s">
        <v>1407</v>
      </c>
      <c r="L3753" s="86">
        <v>1</v>
      </c>
      <c r="M3753" s="87">
        <v>2080</v>
      </c>
      <c r="N3753" s="87">
        <f>IFERROR(表格1[[#This Row],[QTY]]*表格1[[#This Row],[Unit Price]],"-")</f>
        <v>2080</v>
      </c>
      <c r="O3753" s="86">
        <v>112</v>
      </c>
      <c r="R3753" s="86" t="str">
        <f>_xlfn.CONCAT(表格1[[#This Row],[Model]]," ",表格1[[#This Row],[inv no]])</f>
        <v>RAD-D250H 112</v>
      </c>
      <c r="S3753" s="86">
        <f>_xlfn.XLOOKUP(表格1[[#This Row],[Model]],表格3[Model-Input-Ref2],表格3[SRP PRICE])</f>
        <v>3380</v>
      </c>
      <c r="T3753" s="43">
        <f>表格1[[#This Row],[Unit Price]]/表格1[[#This Row],[SRP]]</f>
        <v>0.61538461538461542</v>
      </c>
      <c r="U3753" s="86" t="str">
        <f>_xlfn.XLOOKUP(表格1[[#This Row],[Model]],表格3[Model-Input-Ref2],表格3[TOSHIBA/HIGHEST])</f>
        <v>Shops Highest Price</v>
      </c>
      <c r="W3753" s="86" t="str">
        <f>_xlfn.CONCAT(表格1[[#This Row],[欄4]],表格1[[#This Row],[inv no]])</f>
        <v>112</v>
      </c>
    </row>
    <row r="3754" spans="1:23" hidden="1">
      <c r="A3754" s="81">
        <v>3752</v>
      </c>
      <c r="B3754" s="86" t="s">
        <v>1403</v>
      </c>
      <c r="C3754" s="86" t="s">
        <v>1973</v>
      </c>
      <c r="D3754" s="89" t="str">
        <f ca="1">OFFSET(Roster!$A$3,MATCH(表格1[[#This Row],[Location]]&amp;" "&amp;表格1[[#This Row],[Shop]]&amp;"*",Roster!$A$4:$A$72,0),DAY(表格1[[#This Row],[date]]),1,1)</f>
        <v>Happy</v>
      </c>
      <c r="E3754" s="86">
        <f>MONTH(表格1[[#This Row],[date]])</f>
        <v>3</v>
      </c>
      <c r="F3754" s="90">
        <v>46084</v>
      </c>
      <c r="G3754" s="86" t="str">
        <f>VLOOKUP("*"&amp;表格1[[#This Row],[Input]]&amp;"*",'Ref-List'!$B:$D,2,)</f>
        <v>MM-2MM20PC(WH)</v>
      </c>
      <c r="H3754" s="86" t="str">
        <f>_xlfn.XLOOKUP(表格1[[#This Row],[Model]],表格3[Model-Input-Ref2],表格3[Product Line])</f>
        <v>旋鈕式微波爐 (20公升)</v>
      </c>
      <c r="I3754" s="86" t="str">
        <f>_xlfn.XLOOKUP(表格1[[#This Row],[Model]],表格3[Model-Input-Ref2],表格3[大小電])</f>
        <v>細電</v>
      </c>
      <c r="J3754" s="86" t="str">
        <f>_xlfn.XLOOKUP(表格1[[#This Row],[Model]],表格3[Model-Input-Ref2],表格3[Code])</f>
        <v>MCA</v>
      </c>
      <c r="K3754" s="89" t="s">
        <v>1388</v>
      </c>
      <c r="L3754" s="86">
        <v>1</v>
      </c>
      <c r="M3754" s="87">
        <v>598</v>
      </c>
      <c r="N3754" s="87">
        <f>IFERROR(表格1[[#This Row],[QTY]]*表格1[[#This Row],[Unit Price]],"-")</f>
        <v>598</v>
      </c>
      <c r="O3754" s="86">
        <v>1034</v>
      </c>
      <c r="R3754" s="86" t="str">
        <f>_xlfn.CONCAT(表格1[[#This Row],[Model]]," ",表格1[[#This Row],[inv no]])</f>
        <v>MM-2MM20PC(WH) 1034</v>
      </c>
      <c r="S3754" s="86">
        <f>_xlfn.XLOOKUP(表格1[[#This Row],[Model]],表格3[Model-Input-Ref2],表格3[SRP PRICE])</f>
        <v>738</v>
      </c>
      <c r="T3754" s="43">
        <f>表格1[[#This Row],[Unit Price]]/表格1[[#This Row],[SRP]]</f>
        <v>0.81029810298102978</v>
      </c>
      <c r="U3754" s="86" t="str">
        <f>_xlfn.XLOOKUP(表格1[[#This Row],[Model]],表格3[Model-Input-Ref2],表格3[TOSHIBA/HIGHEST])</f>
        <v>Toshiba SRP</v>
      </c>
      <c r="W3754" s="86" t="str">
        <f>_xlfn.CONCAT(表格1[[#This Row],[欄4]],表格1[[#This Row],[inv no]])</f>
        <v>1034</v>
      </c>
    </row>
    <row r="3755" spans="1:23" hidden="1">
      <c r="A3755" s="81">
        <v>3753</v>
      </c>
      <c r="B3755" s="86" t="s">
        <v>1403</v>
      </c>
      <c r="C3755" s="86" t="s">
        <v>1973</v>
      </c>
      <c r="D3755" s="89" t="str">
        <f ca="1">OFFSET(Roster!$A$3,MATCH(表格1[[#This Row],[Location]]&amp;" "&amp;表格1[[#This Row],[Shop]]&amp;"*",Roster!$A$4:$A$72,0),DAY(表格1[[#This Row],[date]]),1,1)</f>
        <v>Happy</v>
      </c>
      <c r="E3755" s="86">
        <f>MONTH(表格1[[#This Row],[date]])</f>
        <v>3</v>
      </c>
      <c r="F3755" s="90">
        <v>46084</v>
      </c>
      <c r="G3755" s="86" t="str">
        <f>VLOOKUP("*"&amp;表格1[[#This Row],[Input]]&amp;"*",'Ref-List'!$B:$D,2,)</f>
        <v>RAD-D250H</v>
      </c>
      <c r="H3755" s="86" t="str">
        <f>_xlfn.XLOOKUP(表格1[[#This Row],[Model]],表格3[Model-Input-Ref2],表格3[Product Line])</f>
        <v>壓縮式抽濕機 (25公升)</v>
      </c>
      <c r="I3755" s="86" t="str">
        <f>_xlfn.XLOOKUP(表格1[[#This Row],[Model]],表格3[Model-Input-Ref2],表格3[大小電])</f>
        <v>細電</v>
      </c>
      <c r="J3755" s="86" t="str">
        <f>_xlfn.XLOOKUP(表格1[[#This Row],[Model]],表格3[Model-Input-Ref2],表格3[Code])</f>
        <v>RAC</v>
      </c>
      <c r="K3755" s="89" t="s">
        <v>1407</v>
      </c>
      <c r="L3755" s="86">
        <v>1</v>
      </c>
      <c r="M3755" s="87">
        <v>2080</v>
      </c>
      <c r="N3755" s="87">
        <f>IFERROR(表格1[[#This Row],[QTY]]*表格1[[#This Row],[Unit Price]],"-")</f>
        <v>2080</v>
      </c>
      <c r="O3755" s="86">
        <v>1002</v>
      </c>
      <c r="R3755" s="86" t="str">
        <f>_xlfn.CONCAT(表格1[[#This Row],[Model]]," ",表格1[[#This Row],[inv no]])</f>
        <v>RAD-D250H 1002</v>
      </c>
      <c r="S3755" s="86">
        <f>_xlfn.XLOOKUP(表格1[[#This Row],[Model]],表格3[Model-Input-Ref2],表格3[SRP PRICE])</f>
        <v>3380</v>
      </c>
      <c r="T3755" s="43">
        <f>表格1[[#This Row],[Unit Price]]/表格1[[#This Row],[SRP]]</f>
        <v>0.61538461538461542</v>
      </c>
      <c r="U3755" s="86" t="str">
        <f>_xlfn.XLOOKUP(表格1[[#This Row],[Model]],表格3[Model-Input-Ref2],表格3[TOSHIBA/HIGHEST])</f>
        <v>Shops Highest Price</v>
      </c>
      <c r="W3755" s="86" t="str">
        <f>_xlfn.CONCAT(表格1[[#This Row],[欄4]],表格1[[#This Row],[inv no]])</f>
        <v>1002</v>
      </c>
    </row>
    <row r="3756" spans="1:23" hidden="1">
      <c r="A3756" s="81">
        <v>3754</v>
      </c>
      <c r="B3756" s="86" t="s">
        <v>1403</v>
      </c>
      <c r="C3756" s="86" t="s">
        <v>1973</v>
      </c>
      <c r="D3756" s="89" t="str">
        <f ca="1">OFFSET(Roster!$A$3,MATCH(表格1[[#This Row],[Location]]&amp;" "&amp;表格1[[#This Row],[Shop]]&amp;"*",Roster!$A$4:$A$72,0),DAY(表格1[[#This Row],[date]]),1,1)</f>
        <v>Happy</v>
      </c>
      <c r="E3756" s="86">
        <f>MONTH(表格1[[#This Row],[date]])</f>
        <v>3</v>
      </c>
      <c r="F3756" s="90">
        <v>46084</v>
      </c>
      <c r="G3756" s="86" t="str">
        <f>VLOOKUP("*"&amp;表格1[[#This Row],[Input]]&amp;"*",'Ref-List'!$B:$D,2,)</f>
        <v>RC-10ISSHK(W)</v>
      </c>
      <c r="H3756" s="86" t="str">
        <f>_xlfn.XLOOKUP(表格1[[#This Row],[Model]],表格3[Model-Input-Ref2],表格3[Product Line])</f>
        <v>磁應電飯煲(1公升)</v>
      </c>
      <c r="I3756" s="86" t="str">
        <f>_xlfn.XLOOKUP(表格1[[#This Row],[Model]],表格3[Model-Input-Ref2],表格3[大小電])</f>
        <v>細電</v>
      </c>
      <c r="J3756" s="86" t="str">
        <f>_xlfn.XLOOKUP(表格1[[#This Row],[Model]],表格3[Model-Input-Ref2],表格3[Code])</f>
        <v>SDA</v>
      </c>
      <c r="K3756" s="89" t="s">
        <v>1286</v>
      </c>
      <c r="L3756" s="86">
        <v>1</v>
      </c>
      <c r="M3756" s="87">
        <v>938</v>
      </c>
      <c r="N3756" s="87">
        <f>IFERROR(表格1[[#This Row],[QTY]]*表格1[[#This Row],[Unit Price]],"-")</f>
        <v>938</v>
      </c>
      <c r="O3756" s="86">
        <v>3296</v>
      </c>
      <c r="R3756" s="86" t="str">
        <f>_xlfn.CONCAT(表格1[[#This Row],[Model]]," ",表格1[[#This Row],[inv no]])</f>
        <v>RC-10ISSHK(W) 3296</v>
      </c>
      <c r="S3756" s="86">
        <f>_xlfn.XLOOKUP(表格1[[#This Row],[Model]],表格3[Model-Input-Ref2],表格3[SRP PRICE])</f>
        <v>1188</v>
      </c>
      <c r="T3756" s="43">
        <f>表格1[[#This Row],[Unit Price]]/表格1[[#This Row],[SRP]]</f>
        <v>0.78956228956228958</v>
      </c>
      <c r="U3756" s="86" t="str">
        <f>_xlfn.XLOOKUP(表格1[[#This Row],[Model]],表格3[Model-Input-Ref2],表格3[TOSHIBA/HIGHEST])</f>
        <v>Shops Highest Price</v>
      </c>
      <c r="W3756" s="86" t="str">
        <f>_xlfn.CONCAT(表格1[[#This Row],[欄4]],表格1[[#This Row],[inv no]])</f>
        <v>3296</v>
      </c>
    </row>
    <row r="3757" spans="1:23" hidden="1">
      <c r="A3757" s="81">
        <v>3755</v>
      </c>
      <c r="B3757" s="86" t="s">
        <v>1403</v>
      </c>
      <c r="C3757" s="86" t="s">
        <v>1973</v>
      </c>
      <c r="D3757" s="89" t="str">
        <f ca="1">OFFSET(Roster!$A$3,MATCH(表格1[[#This Row],[Location]]&amp;" "&amp;表格1[[#This Row],[Shop]]&amp;"*",Roster!$A$4:$A$72,0),DAY(表格1[[#This Row],[date]]),1,1)</f>
        <v>Happy</v>
      </c>
      <c r="E3757" s="86">
        <f>MONTH(表格1[[#This Row],[date]])</f>
        <v>3</v>
      </c>
      <c r="F3757" s="90">
        <v>46084</v>
      </c>
      <c r="G3757" s="86" t="str">
        <f>VLOOKUP("*"&amp;表格1[[#This Row],[Input]]&amp;"*",'Ref-List'!$B:$D,2,)</f>
        <v>TW-T21BU80UWH(MG)</v>
      </c>
      <c r="H3757" s="86" t="str">
        <f>_xlfn.XLOOKUP(表格1[[#This Row],[Model]],表格3[Model-Input-Ref2],表格3[Product Line])</f>
        <v>400MM超薄身前置式變頻洗衣機(7公斤)</v>
      </c>
      <c r="I3757" s="86" t="str">
        <f>_xlfn.XLOOKUP(表格1[[#This Row],[Model]],表格3[Model-Input-Ref2],表格3[大小電])</f>
        <v>大電</v>
      </c>
      <c r="J3757" s="86" t="str">
        <f>_xlfn.XLOOKUP(表格1[[#This Row],[Model]],表格3[Model-Input-Ref2],表格3[Code])</f>
        <v>LAD</v>
      </c>
      <c r="K3757" s="89" t="s">
        <v>1280</v>
      </c>
      <c r="L3757" s="86">
        <v>1</v>
      </c>
      <c r="M3757" s="87">
        <v>3180</v>
      </c>
      <c r="N3757" s="87">
        <f>IFERROR(表格1[[#This Row],[QTY]]*表格1[[#This Row],[Unit Price]],"-")</f>
        <v>3180</v>
      </c>
      <c r="O3757" s="86">
        <v>238433</v>
      </c>
      <c r="R3757" s="86" t="str">
        <f>_xlfn.CONCAT(表格1[[#This Row],[Model]]," ",表格1[[#This Row],[inv no]])</f>
        <v>TW-T21BU80UWH(MG) 238433</v>
      </c>
      <c r="S3757" s="86">
        <f>_xlfn.XLOOKUP(表格1[[#This Row],[Model]],表格3[Model-Input-Ref2],表格3[SRP PRICE])</f>
        <v>5180</v>
      </c>
      <c r="T3757" s="43">
        <f>表格1[[#This Row],[Unit Price]]/表格1[[#This Row],[SRP]]</f>
        <v>0.61389961389961389</v>
      </c>
      <c r="U3757" s="86" t="str">
        <f>_xlfn.XLOOKUP(表格1[[#This Row],[Model]],表格3[Model-Input-Ref2],表格3[TOSHIBA/HIGHEST])</f>
        <v>Toshiba SRP</v>
      </c>
      <c r="W3757" s="86" t="str">
        <f>_xlfn.CONCAT(表格1[[#This Row],[欄4]],表格1[[#This Row],[inv no]])</f>
        <v>238433</v>
      </c>
    </row>
    <row r="3758" spans="1:23" hidden="1">
      <c r="A3758" s="81">
        <v>3756</v>
      </c>
      <c r="B3758" s="86" t="s">
        <v>1403</v>
      </c>
      <c r="C3758" s="86" t="s">
        <v>1973</v>
      </c>
      <c r="D3758" s="89" t="str">
        <f ca="1">OFFSET(Roster!$A$3,MATCH(表格1[[#This Row],[Location]]&amp;" "&amp;表格1[[#This Row],[Shop]]&amp;"*",Roster!$A$4:$A$72,0),DAY(表格1[[#This Row],[date]]),1,1)</f>
        <v>Happy</v>
      </c>
      <c r="E3758" s="86">
        <f>MONTH(表格1[[#This Row],[date]])</f>
        <v>3</v>
      </c>
      <c r="F3758" s="90">
        <v>46084</v>
      </c>
      <c r="G3758" s="86" t="str">
        <f>VLOOKUP("*"&amp;表格1[[#This Row],[Input]]&amp;"*",'Ref-List'!$B:$D,2,)</f>
        <v>GR-RB221WE-PMA(57)</v>
      </c>
      <c r="H3758" s="86" t="str">
        <f>_xlfn.XLOOKUP(表格1[[#This Row],[Model]],表格3[Model-Input-Ref2],表格3[Product Line])</f>
        <v>變頻下置式雙門雪櫃（163L）</v>
      </c>
      <c r="I3758" s="86" t="str">
        <f>_xlfn.XLOOKUP(表格1[[#This Row],[Model]],表格3[Model-Input-Ref2],表格3[大小電])</f>
        <v>大電</v>
      </c>
      <c r="J3758" s="86" t="str">
        <f>_xlfn.XLOOKUP(表格1[[#This Row],[Model]],表格3[Model-Input-Ref2],表格3[Code])</f>
        <v>REF</v>
      </c>
      <c r="K3758" s="89" t="s">
        <v>1386</v>
      </c>
      <c r="L3758" s="86">
        <v>1</v>
      </c>
      <c r="M3758" s="87">
        <v>2280</v>
      </c>
      <c r="N3758" s="87">
        <f>IFERROR(表格1[[#This Row],[QTY]]*表格1[[#This Row],[Unit Price]],"-")</f>
        <v>2280</v>
      </c>
      <c r="O3758" s="86">
        <v>238433</v>
      </c>
      <c r="R3758" s="86" t="str">
        <f>_xlfn.CONCAT(表格1[[#This Row],[Model]]," ",表格1[[#This Row],[inv no]])</f>
        <v>GR-RB221WE-PMA(57) 238433</v>
      </c>
      <c r="S3758" s="86">
        <f>_xlfn.XLOOKUP(表格1[[#This Row],[Model]],表格3[Model-Input-Ref2],表格3[SRP PRICE])</f>
        <v>3480</v>
      </c>
      <c r="T3758" s="43">
        <f>表格1[[#This Row],[Unit Price]]/表格1[[#This Row],[SRP]]</f>
        <v>0.65517241379310343</v>
      </c>
      <c r="U3758" s="86" t="str">
        <f>_xlfn.XLOOKUP(表格1[[#This Row],[Model]],表格3[Model-Input-Ref2],表格3[TOSHIBA/HIGHEST])</f>
        <v>Toshiba SRP</v>
      </c>
      <c r="W3758" s="86" t="str">
        <f>_xlfn.CONCAT(表格1[[#This Row],[欄4]],表格1[[#This Row],[inv no]])</f>
        <v>238433</v>
      </c>
    </row>
    <row r="3759" spans="1:23" hidden="1">
      <c r="A3759" s="81">
        <v>3757</v>
      </c>
      <c r="B3759" s="86" t="s">
        <v>1403</v>
      </c>
      <c r="C3759" s="86" t="s">
        <v>1973</v>
      </c>
      <c r="D3759" s="89" t="str">
        <f ca="1">OFFSET(Roster!$A$3,MATCH(表格1[[#This Row],[Location]]&amp;" "&amp;表格1[[#This Row],[Shop]]&amp;"*",Roster!$A$4:$A$72,0),DAY(表格1[[#This Row],[date]]),1,1)</f>
        <v>Happy</v>
      </c>
      <c r="E3759" s="86">
        <f>MONTH(表格1[[#This Row],[date]])</f>
        <v>3</v>
      </c>
      <c r="F3759" s="90">
        <v>46084</v>
      </c>
      <c r="G3759" s="86" t="str">
        <f>VLOOKUP("*"&amp;表格1[[#This Row],[Input]]&amp;"*",'Ref-List'!$B:$D,2,)</f>
        <v>RAD-D250H</v>
      </c>
      <c r="H3759" s="86" t="str">
        <f>_xlfn.XLOOKUP(表格1[[#This Row],[Model]],表格3[Model-Input-Ref2],表格3[Product Line])</f>
        <v>壓縮式抽濕機 (25公升)</v>
      </c>
      <c r="I3759" s="86" t="str">
        <f>_xlfn.XLOOKUP(表格1[[#This Row],[Model]],表格3[Model-Input-Ref2],表格3[大小電])</f>
        <v>細電</v>
      </c>
      <c r="J3759" s="86" t="str">
        <f>_xlfn.XLOOKUP(表格1[[#This Row],[Model]],表格3[Model-Input-Ref2],表格3[Code])</f>
        <v>RAC</v>
      </c>
      <c r="K3759" s="89" t="s">
        <v>1407</v>
      </c>
      <c r="L3759" s="86">
        <v>1</v>
      </c>
      <c r="M3759" s="87">
        <v>2080</v>
      </c>
      <c r="N3759" s="87">
        <f>IFERROR(表格1[[#This Row],[QTY]]*表格1[[#This Row],[Unit Price]],"-")</f>
        <v>2080</v>
      </c>
      <c r="O3759" s="86">
        <v>238443</v>
      </c>
      <c r="R3759" s="86" t="str">
        <f>_xlfn.CONCAT(表格1[[#This Row],[Model]]," ",表格1[[#This Row],[inv no]])</f>
        <v>RAD-D250H 238443</v>
      </c>
      <c r="S3759" s="86">
        <f>_xlfn.XLOOKUP(表格1[[#This Row],[Model]],表格3[Model-Input-Ref2],表格3[SRP PRICE])</f>
        <v>3380</v>
      </c>
      <c r="T3759" s="43">
        <f>表格1[[#This Row],[Unit Price]]/表格1[[#This Row],[SRP]]</f>
        <v>0.61538461538461542</v>
      </c>
      <c r="U3759" s="86" t="str">
        <f>_xlfn.XLOOKUP(表格1[[#This Row],[Model]],表格3[Model-Input-Ref2],表格3[TOSHIBA/HIGHEST])</f>
        <v>Shops Highest Price</v>
      </c>
      <c r="W3759" s="86" t="str">
        <f>_xlfn.CONCAT(表格1[[#This Row],[欄4]],表格1[[#This Row],[inv no]])</f>
        <v>238443</v>
      </c>
    </row>
    <row r="3760" spans="1:23" hidden="1">
      <c r="A3760" s="81">
        <v>3758</v>
      </c>
      <c r="B3760" s="86" t="s">
        <v>1403</v>
      </c>
      <c r="C3760" s="86" t="s">
        <v>1973</v>
      </c>
      <c r="D3760" s="89" t="str">
        <f ca="1">OFFSET(Roster!$A$3,MATCH(表格1[[#This Row],[Location]]&amp;" "&amp;表格1[[#This Row],[Shop]]&amp;"*",Roster!$A$4:$A$72,0),DAY(表格1[[#This Row],[date]]),1,1)</f>
        <v>Happy</v>
      </c>
      <c r="E3760" s="86">
        <f>MONTH(表格1[[#This Row],[date]])</f>
        <v>3</v>
      </c>
      <c r="F3760" s="90">
        <v>46084</v>
      </c>
      <c r="G3760" s="86" t="str">
        <f>VLOOKUP("*"&amp;表格1[[#This Row],[Input]]&amp;"*",'Ref-List'!$B:$D,2,)</f>
        <v>RAD-D250H</v>
      </c>
      <c r="H3760" s="86" t="str">
        <f>_xlfn.XLOOKUP(表格1[[#This Row],[Model]],表格3[Model-Input-Ref2],表格3[Product Line])</f>
        <v>壓縮式抽濕機 (25公升)</v>
      </c>
      <c r="I3760" s="86" t="str">
        <f>_xlfn.XLOOKUP(表格1[[#This Row],[Model]],表格3[Model-Input-Ref2],表格3[大小電])</f>
        <v>細電</v>
      </c>
      <c r="J3760" s="86" t="str">
        <f>_xlfn.XLOOKUP(表格1[[#This Row],[Model]],表格3[Model-Input-Ref2],表格3[Code])</f>
        <v>RAC</v>
      </c>
      <c r="K3760" s="89" t="s">
        <v>1407</v>
      </c>
      <c r="L3760" s="86">
        <v>1</v>
      </c>
      <c r="M3760" s="87">
        <v>2080</v>
      </c>
      <c r="N3760" s="87">
        <f>IFERROR(表格1[[#This Row],[QTY]]*表格1[[#This Row],[Unit Price]],"-")</f>
        <v>2080</v>
      </c>
      <c r="O3760" s="86">
        <v>238461</v>
      </c>
      <c r="R3760" s="86" t="str">
        <f>_xlfn.CONCAT(表格1[[#This Row],[Model]]," ",表格1[[#This Row],[inv no]])</f>
        <v>RAD-D250H 238461</v>
      </c>
      <c r="S3760" s="86">
        <f>_xlfn.XLOOKUP(表格1[[#This Row],[Model]],表格3[Model-Input-Ref2],表格3[SRP PRICE])</f>
        <v>3380</v>
      </c>
      <c r="T3760" s="43">
        <f>表格1[[#This Row],[Unit Price]]/表格1[[#This Row],[SRP]]</f>
        <v>0.61538461538461542</v>
      </c>
      <c r="U3760" s="86" t="str">
        <f>_xlfn.XLOOKUP(表格1[[#This Row],[Model]],表格3[Model-Input-Ref2],表格3[TOSHIBA/HIGHEST])</f>
        <v>Shops Highest Price</v>
      </c>
      <c r="W3760" s="86" t="str">
        <f>_xlfn.CONCAT(表格1[[#This Row],[欄4]],表格1[[#This Row],[inv no]])</f>
        <v>238461</v>
      </c>
    </row>
    <row r="3761" spans="1:23" hidden="1">
      <c r="A3761" s="81">
        <v>3759</v>
      </c>
      <c r="B3761" s="86" t="s">
        <v>1403</v>
      </c>
      <c r="C3761" s="86" t="s">
        <v>1973</v>
      </c>
      <c r="D3761" s="89" t="str">
        <f ca="1">OFFSET(Roster!$A$3,MATCH(表格1[[#This Row],[Location]]&amp;" "&amp;表格1[[#This Row],[Shop]]&amp;"*",Roster!$A$4:$A$72,0),DAY(表格1[[#This Row],[date]]),1,1)</f>
        <v>Happy</v>
      </c>
      <c r="E3761" s="86">
        <f>MONTH(表格1[[#This Row],[date]])</f>
        <v>3</v>
      </c>
      <c r="F3761" s="90">
        <v>46084</v>
      </c>
      <c r="G3761" s="86" t="str">
        <f>VLOOKUP("*"&amp;表格1[[#This Row],[Input]]&amp;"*",'Ref-List'!$B:$D,2,)</f>
        <v>RAD-D250H</v>
      </c>
      <c r="H3761" s="86" t="str">
        <f>_xlfn.XLOOKUP(表格1[[#This Row],[Model]],表格3[Model-Input-Ref2],表格3[Product Line])</f>
        <v>壓縮式抽濕機 (25公升)</v>
      </c>
      <c r="I3761" s="86" t="str">
        <f>_xlfn.XLOOKUP(表格1[[#This Row],[Model]],表格3[Model-Input-Ref2],表格3[大小電])</f>
        <v>細電</v>
      </c>
      <c r="J3761" s="86" t="str">
        <f>_xlfn.XLOOKUP(表格1[[#This Row],[Model]],表格3[Model-Input-Ref2],表格3[Code])</f>
        <v>RAC</v>
      </c>
      <c r="K3761" s="89" t="s">
        <v>1407</v>
      </c>
      <c r="L3761" s="86">
        <v>1</v>
      </c>
      <c r="M3761" s="87">
        <v>2080</v>
      </c>
      <c r="N3761" s="87">
        <f>IFERROR(表格1[[#This Row],[QTY]]*表格1[[#This Row],[Unit Price]],"-")</f>
        <v>2080</v>
      </c>
      <c r="O3761" s="86">
        <v>238439</v>
      </c>
      <c r="R3761" s="86" t="str">
        <f>_xlfn.CONCAT(表格1[[#This Row],[Model]]," ",表格1[[#This Row],[inv no]])</f>
        <v>RAD-D250H 238439</v>
      </c>
      <c r="S3761" s="86">
        <f>_xlfn.XLOOKUP(表格1[[#This Row],[Model]],表格3[Model-Input-Ref2],表格3[SRP PRICE])</f>
        <v>3380</v>
      </c>
      <c r="T3761" s="43">
        <f>表格1[[#This Row],[Unit Price]]/表格1[[#This Row],[SRP]]</f>
        <v>0.61538461538461542</v>
      </c>
      <c r="U3761" s="86" t="str">
        <f>_xlfn.XLOOKUP(表格1[[#This Row],[Model]],表格3[Model-Input-Ref2],表格3[TOSHIBA/HIGHEST])</f>
        <v>Shops Highest Price</v>
      </c>
      <c r="W3761" s="86" t="str">
        <f>_xlfn.CONCAT(表格1[[#This Row],[欄4]],表格1[[#This Row],[inv no]])</f>
        <v>238439</v>
      </c>
    </row>
    <row r="3762" spans="1:23" hidden="1">
      <c r="A3762" s="81">
        <v>3760</v>
      </c>
      <c r="B3762" s="86" t="s">
        <v>1403</v>
      </c>
      <c r="C3762" s="86" t="s">
        <v>1973</v>
      </c>
      <c r="D3762" s="89" t="str">
        <f ca="1">OFFSET(Roster!$A$3,MATCH(表格1[[#This Row],[Location]]&amp;" "&amp;表格1[[#This Row],[Shop]]&amp;"*",Roster!$A$4:$A$72,0),DAY(表格1[[#This Row],[date]]),1,1)</f>
        <v>Happy</v>
      </c>
      <c r="E3762" s="86">
        <f>MONTH(表格1[[#This Row],[date]])</f>
        <v>3</v>
      </c>
      <c r="F3762" s="90">
        <v>46084</v>
      </c>
      <c r="G3762" s="86" t="str">
        <f>VLOOKUP("*"&amp;表格1[[#This Row],[Input]]&amp;"*",'Ref-List'!$B:$D,2,)</f>
        <v>KT-17DRTHK(H)</v>
      </c>
      <c r="H3762" s="86" t="str">
        <f>_xlfn.XLOOKUP(表格1[[#This Row],[Model]],表格3[Model-Input-Ref2],表格3[Product Line])</f>
        <v>無線雙層電熱水壺(1.7公升)</v>
      </c>
      <c r="I3762" s="86" t="str">
        <f>_xlfn.XLOOKUP(表格1[[#This Row],[Model]],表格3[Model-Input-Ref2],表格3[大小電])</f>
        <v>細電</v>
      </c>
      <c r="J3762" s="86" t="str">
        <f>_xlfn.XLOOKUP(表格1[[#This Row],[Model]],表格3[Model-Input-Ref2],表格3[Code])</f>
        <v>SDA</v>
      </c>
      <c r="K3762" s="89" t="s">
        <v>1271</v>
      </c>
      <c r="L3762" s="86">
        <v>1</v>
      </c>
      <c r="M3762" s="87">
        <v>388</v>
      </c>
      <c r="N3762" s="87">
        <f>IFERROR(表格1[[#This Row],[QTY]]*表格1[[#This Row],[Unit Price]],"-")</f>
        <v>388</v>
      </c>
      <c r="O3762" s="86">
        <v>1126</v>
      </c>
      <c r="R3762" s="86" t="str">
        <f>_xlfn.CONCAT(表格1[[#This Row],[Model]]," ",表格1[[#This Row],[inv no]])</f>
        <v>KT-17DRTHK(H) 1126</v>
      </c>
      <c r="S3762" s="86">
        <f>_xlfn.XLOOKUP(表格1[[#This Row],[Model]],表格3[Model-Input-Ref2],表格3[SRP PRICE])</f>
        <v>498</v>
      </c>
      <c r="T3762" s="43">
        <f>表格1[[#This Row],[Unit Price]]/表格1[[#This Row],[SRP]]</f>
        <v>0.77911646586345384</v>
      </c>
      <c r="U3762" s="86" t="str">
        <f>_xlfn.XLOOKUP(表格1[[#This Row],[Model]],表格3[Model-Input-Ref2],表格3[TOSHIBA/HIGHEST])</f>
        <v>Toshiba SRP</v>
      </c>
      <c r="W3762" s="86" t="str">
        <f>_xlfn.CONCAT(表格1[[#This Row],[欄4]],表格1[[#This Row],[inv no]])</f>
        <v>1126</v>
      </c>
    </row>
    <row r="3763" spans="1:23" hidden="1">
      <c r="A3763" s="81">
        <v>3761</v>
      </c>
      <c r="B3763" s="86" t="s">
        <v>1403</v>
      </c>
      <c r="C3763" s="86" t="s">
        <v>1973</v>
      </c>
      <c r="D3763" s="89" t="str">
        <f ca="1">OFFSET(Roster!$A$3,MATCH(表格1[[#This Row],[Location]]&amp;" "&amp;表格1[[#This Row],[Shop]]&amp;"*",Roster!$A$4:$A$72,0),DAY(表格1[[#This Row],[date]]),1,1)</f>
        <v>Happy</v>
      </c>
      <c r="E3763" s="86">
        <f>MONTH(表格1[[#This Row],[date]])</f>
        <v>3</v>
      </c>
      <c r="F3763" s="90">
        <v>46084</v>
      </c>
      <c r="G3763" s="86" t="str">
        <f>VLOOKUP("*"&amp;表格1[[#This Row],[Input]]&amp;"*",'Ref-List'!$B:$D,2,)</f>
        <v>CFK01W75</v>
      </c>
      <c r="H3763" s="86" t="str">
        <f>_xlfn.XLOOKUP(表格1[[#This Row],[Model]],表格3[Model-Input-Ref2],表格3[Product Line])</f>
        <v>變頻頂揭式洗衣機 (7.5公斤)</v>
      </c>
      <c r="I3763" s="86" t="str">
        <f>_xlfn.XLOOKUP(表格1[[#This Row],[Model]],表格3[Model-Input-Ref2],表格3[大小電])</f>
        <v>大電</v>
      </c>
      <c r="J3763" s="86" t="str">
        <f>_xlfn.XLOOKUP(表格1[[#This Row],[Model]],表格3[Model-Input-Ref2],表格3[Code])</f>
        <v>LAD</v>
      </c>
      <c r="K3763" s="89" t="s">
        <v>1266</v>
      </c>
      <c r="L3763" s="86">
        <v>1</v>
      </c>
      <c r="M3763" s="87">
        <v>3580</v>
      </c>
      <c r="N3763" s="87">
        <f>IFERROR(表格1[[#This Row],[QTY]]*表格1[[#This Row],[Unit Price]],"-")</f>
        <v>3580</v>
      </c>
      <c r="O3763" s="86">
        <v>238478</v>
      </c>
      <c r="R3763" s="86" t="str">
        <f>_xlfn.CONCAT(表格1[[#This Row],[Model]]," ",表格1[[#This Row],[inv no]])</f>
        <v>CFK01W75 238478</v>
      </c>
      <c r="S3763" s="86">
        <f>_xlfn.XLOOKUP(表格1[[#This Row],[Model]],表格3[Model-Input-Ref2],表格3[SRP PRICE])</f>
        <v>3888</v>
      </c>
      <c r="T3763" s="43">
        <f>表格1[[#This Row],[Unit Price]]/表格1[[#This Row],[SRP]]</f>
        <v>0.92078189300411528</v>
      </c>
      <c r="U3763" s="86" t="str">
        <f>_xlfn.XLOOKUP(表格1[[#This Row],[Model]],表格3[Model-Input-Ref2],表格3[TOSHIBA/HIGHEST])</f>
        <v>Shops Highest Price</v>
      </c>
      <c r="W3763" s="86" t="str">
        <f>_xlfn.CONCAT(表格1[[#This Row],[欄4]],表格1[[#This Row],[inv no]])</f>
        <v>238478</v>
      </c>
    </row>
    <row r="3764" spans="1:23" hidden="1">
      <c r="A3764" s="81">
        <v>3762</v>
      </c>
      <c r="B3764" s="86" t="s">
        <v>1403</v>
      </c>
      <c r="C3764" s="86" t="s">
        <v>1973</v>
      </c>
      <c r="D3764" s="89" t="str">
        <f ca="1">OFFSET(Roster!$A$3,MATCH(表格1[[#This Row],[Location]]&amp;" "&amp;表格1[[#This Row],[Shop]]&amp;"*",Roster!$A$4:$A$72,0),DAY(表格1[[#This Row],[date]]),1,1)</f>
        <v>Happy</v>
      </c>
      <c r="E3764" s="86">
        <f>MONTH(表格1[[#This Row],[date]])</f>
        <v>3</v>
      </c>
      <c r="F3764" s="90">
        <v>46084</v>
      </c>
      <c r="G3764" s="86" t="str">
        <f>VLOOKUP("*"&amp;表格1[[#This Row],[Input]]&amp;"*",'Ref-List'!$B:$D,2,)</f>
        <v>TWD-T22BU95UWH(WK)-B</v>
      </c>
      <c r="H3764" s="86" t="str">
        <f>_xlfn.XLOOKUP(表格1[[#This Row],[Model]],表格3[Model-Input-Ref2],表格3[Product Line])</f>
        <v>470MM超薄身前置式變頻洗衣乾衣機 (洗8.5公斤/乾6公斤, 可飛頂)</v>
      </c>
      <c r="I3764" s="86" t="str">
        <f>_xlfn.XLOOKUP(表格1[[#This Row],[Model]],表格3[Model-Input-Ref2],表格3[大小電])</f>
        <v>大電</v>
      </c>
      <c r="J3764" s="86" t="str">
        <f>_xlfn.XLOOKUP(表格1[[#This Row],[Model]],表格3[Model-Input-Ref2],表格3[Code])</f>
        <v>LAD</v>
      </c>
      <c r="K3764" s="89" t="s">
        <v>1421</v>
      </c>
      <c r="L3764" s="86">
        <v>1</v>
      </c>
      <c r="M3764" s="87">
        <v>4780</v>
      </c>
      <c r="N3764" s="87">
        <f>IFERROR(表格1[[#This Row],[QTY]]*表格1[[#This Row],[Unit Price]],"-")</f>
        <v>4780</v>
      </c>
      <c r="O3764" s="86">
        <v>238480</v>
      </c>
      <c r="R3764" s="86" t="str">
        <f>_xlfn.CONCAT(表格1[[#This Row],[Model]]," ",表格1[[#This Row],[inv no]])</f>
        <v>TWD-T22BU95UWH(WK)-B 238480</v>
      </c>
      <c r="S3764" s="86">
        <f>_xlfn.XLOOKUP(表格1[[#This Row],[Model]],表格3[Model-Input-Ref2],表格3[SRP PRICE])</f>
        <v>7480</v>
      </c>
      <c r="T3764" s="43">
        <f>表格1[[#This Row],[Unit Price]]/表格1[[#This Row],[SRP]]</f>
        <v>0.63903743315508021</v>
      </c>
      <c r="U3764" s="86" t="str">
        <f>_xlfn.XLOOKUP(表格1[[#This Row],[Model]],表格3[Model-Input-Ref2],表格3[TOSHIBA/HIGHEST])</f>
        <v>Toshiba SRP</v>
      </c>
      <c r="W3764" s="86" t="str">
        <f>_xlfn.CONCAT(表格1[[#This Row],[欄4]],表格1[[#This Row],[inv no]])</f>
        <v>238480</v>
      </c>
    </row>
    <row r="3765" spans="1:23" hidden="1">
      <c r="A3765" s="81">
        <v>3763</v>
      </c>
      <c r="B3765" s="86" t="s">
        <v>1403</v>
      </c>
      <c r="C3765" s="86" t="s">
        <v>1973</v>
      </c>
      <c r="D3765" s="89" t="str">
        <f ca="1">OFFSET(Roster!$A$3,MATCH(表格1[[#This Row],[Location]]&amp;" "&amp;表格1[[#This Row],[Shop]]&amp;"*",Roster!$A$4:$A$72,0),DAY(表格1[[#This Row],[date]]),1,1)</f>
        <v>Happy</v>
      </c>
      <c r="E3765" s="86">
        <f>MONTH(表格1[[#This Row],[date]])</f>
        <v>3</v>
      </c>
      <c r="F3765" s="90">
        <v>46084</v>
      </c>
      <c r="G3765" s="86" t="str">
        <f>VLOOKUP("*"&amp;表格1[[#This Row],[Input]]&amp;"*",'Ref-List'!$B:$D,2,)</f>
        <v>RAD-D250H</v>
      </c>
      <c r="H3765" s="86" t="str">
        <f>_xlfn.XLOOKUP(表格1[[#This Row],[Model]],表格3[Model-Input-Ref2],表格3[Product Line])</f>
        <v>壓縮式抽濕機 (25公升)</v>
      </c>
      <c r="I3765" s="86" t="str">
        <f>_xlfn.XLOOKUP(表格1[[#This Row],[Model]],表格3[Model-Input-Ref2],表格3[大小電])</f>
        <v>細電</v>
      </c>
      <c r="J3765" s="86" t="str">
        <f>_xlfn.XLOOKUP(表格1[[#This Row],[Model]],表格3[Model-Input-Ref2],表格3[Code])</f>
        <v>RAC</v>
      </c>
      <c r="K3765" s="89" t="s">
        <v>1407</v>
      </c>
      <c r="L3765" s="86">
        <v>1</v>
      </c>
      <c r="M3765" s="87">
        <v>2080</v>
      </c>
      <c r="N3765" s="87">
        <f>IFERROR(表格1[[#This Row],[QTY]]*表格1[[#This Row],[Unit Price]],"-")</f>
        <v>2080</v>
      </c>
      <c r="O3765" s="86">
        <v>238487</v>
      </c>
      <c r="R3765" s="86" t="str">
        <f>_xlfn.CONCAT(表格1[[#This Row],[Model]]," ",表格1[[#This Row],[inv no]])</f>
        <v>RAD-D250H 238487</v>
      </c>
      <c r="S3765" s="86">
        <f>_xlfn.XLOOKUP(表格1[[#This Row],[Model]],表格3[Model-Input-Ref2],表格3[SRP PRICE])</f>
        <v>3380</v>
      </c>
      <c r="T3765" s="43">
        <f>表格1[[#This Row],[Unit Price]]/表格1[[#This Row],[SRP]]</f>
        <v>0.61538461538461542</v>
      </c>
      <c r="U3765" s="86" t="str">
        <f>_xlfn.XLOOKUP(表格1[[#This Row],[Model]],表格3[Model-Input-Ref2],表格3[TOSHIBA/HIGHEST])</f>
        <v>Shops Highest Price</v>
      </c>
      <c r="W3765" s="86" t="str">
        <f>_xlfn.CONCAT(表格1[[#This Row],[欄4]],表格1[[#This Row],[inv no]])</f>
        <v>238487</v>
      </c>
    </row>
    <row r="3766" spans="1:23" hidden="1">
      <c r="A3766" s="81">
        <v>3764</v>
      </c>
      <c r="B3766" s="86" t="s">
        <v>1403</v>
      </c>
      <c r="C3766" s="86" t="s">
        <v>1973</v>
      </c>
      <c r="D3766" s="89" t="str">
        <f ca="1">OFFSET(Roster!$A$3,MATCH(表格1[[#This Row],[Location]]&amp;" "&amp;表格1[[#This Row],[Shop]]&amp;"*",Roster!$A$4:$A$72,0),DAY(表格1[[#This Row],[date]]),1,1)</f>
        <v>Happy</v>
      </c>
      <c r="E3766" s="86">
        <f>MONTH(表格1[[#This Row],[date]])</f>
        <v>3</v>
      </c>
      <c r="F3766" s="90">
        <v>46084</v>
      </c>
      <c r="G3766" s="86" t="str">
        <f>VLOOKUP("*"&amp;表格1[[#This Row],[Input]]&amp;"*",'Ref-List'!$B:$D,2,)</f>
        <v>AW-Q901BPH(WW)</v>
      </c>
      <c r="H3766" s="86" t="str">
        <f>_xlfn.XLOOKUP(表格1[[#This Row],[Model]],表格3[Model-Input-Ref2],表格3[Product Line])</f>
        <v>日式洗衣機 (8公斤 結合高低水位)</v>
      </c>
      <c r="I3766" s="86" t="str">
        <f>_xlfn.XLOOKUP(表格1[[#This Row],[Model]],表格3[Model-Input-Ref2],表格3[大小電])</f>
        <v>大電</v>
      </c>
      <c r="J3766" s="86" t="str">
        <f>_xlfn.XLOOKUP(表格1[[#This Row],[Model]],表格3[Model-Input-Ref2],表格3[Code])</f>
        <v>LAD</v>
      </c>
      <c r="K3766" s="89" t="s">
        <v>1411</v>
      </c>
      <c r="L3766" s="86">
        <v>1</v>
      </c>
      <c r="M3766" s="87">
        <v>2280</v>
      </c>
      <c r="N3766" s="87">
        <f>IFERROR(表格1[[#This Row],[QTY]]*表格1[[#This Row],[Unit Price]],"-")</f>
        <v>2280</v>
      </c>
      <c r="O3766" s="86">
        <v>238490</v>
      </c>
      <c r="R3766" s="86" t="str">
        <f>_xlfn.CONCAT(表格1[[#This Row],[Model]]," ",表格1[[#This Row],[inv no]])</f>
        <v>AW-Q901BPH(WW) 238490</v>
      </c>
      <c r="S3766" s="86">
        <f>_xlfn.XLOOKUP(表格1[[#This Row],[Model]],表格3[Model-Input-Ref2],表格3[SRP PRICE])</f>
        <v>3780</v>
      </c>
      <c r="T3766" s="43">
        <f>表格1[[#This Row],[Unit Price]]/表格1[[#This Row],[SRP]]</f>
        <v>0.60317460317460314</v>
      </c>
      <c r="U3766" s="86" t="str">
        <f>_xlfn.XLOOKUP(表格1[[#This Row],[Model]],表格3[Model-Input-Ref2],表格3[TOSHIBA/HIGHEST])</f>
        <v>Toshiba SRP</v>
      </c>
      <c r="W3766" s="86" t="str">
        <f>_xlfn.CONCAT(表格1[[#This Row],[欄4]],表格1[[#This Row],[inv no]])</f>
        <v>238490</v>
      </c>
    </row>
    <row r="3767" spans="1:23" hidden="1">
      <c r="A3767" s="81">
        <v>3765</v>
      </c>
      <c r="B3767" s="86" t="s">
        <v>1403</v>
      </c>
      <c r="C3767" s="86" t="s">
        <v>1973</v>
      </c>
      <c r="D3767" s="89" t="str">
        <f ca="1">OFFSET(Roster!$A$3,MATCH(表格1[[#This Row],[Location]]&amp;" "&amp;表格1[[#This Row],[Shop]]&amp;"*",Roster!$A$4:$A$72,0),DAY(表格1[[#This Row],[date]]),1,1)</f>
        <v>Happy</v>
      </c>
      <c r="E3767" s="86">
        <f>MONTH(表格1[[#This Row],[date]])</f>
        <v>3</v>
      </c>
      <c r="F3767" s="90">
        <v>46084</v>
      </c>
      <c r="G3767" s="86" t="str">
        <f>VLOOKUP("*"&amp;表格1[[#This Row],[Input]]&amp;"*",'Ref-List'!$B:$D,2,)</f>
        <v>RAD-D250H</v>
      </c>
      <c r="H3767" s="86" t="str">
        <f>_xlfn.XLOOKUP(表格1[[#This Row],[Model]],表格3[Model-Input-Ref2],表格3[Product Line])</f>
        <v>壓縮式抽濕機 (25公升)</v>
      </c>
      <c r="I3767" s="86" t="str">
        <f>_xlfn.XLOOKUP(表格1[[#This Row],[Model]],表格3[Model-Input-Ref2],表格3[大小電])</f>
        <v>細電</v>
      </c>
      <c r="J3767" s="86" t="str">
        <f>_xlfn.XLOOKUP(表格1[[#This Row],[Model]],表格3[Model-Input-Ref2],表格3[Code])</f>
        <v>RAC</v>
      </c>
      <c r="K3767" s="89" t="s">
        <v>1407</v>
      </c>
      <c r="L3767" s="86">
        <v>1</v>
      </c>
      <c r="M3767" s="87">
        <v>2080</v>
      </c>
      <c r="N3767" s="87">
        <f>IFERROR(表格1[[#This Row],[QTY]]*表格1[[#This Row],[Unit Price]],"-")</f>
        <v>2080</v>
      </c>
      <c r="O3767" s="86">
        <v>13980</v>
      </c>
      <c r="R3767" s="86" t="str">
        <f>_xlfn.CONCAT(表格1[[#This Row],[Model]]," ",表格1[[#This Row],[inv no]])</f>
        <v>RAD-D250H 13980</v>
      </c>
      <c r="S3767" s="86">
        <f>_xlfn.XLOOKUP(表格1[[#This Row],[Model]],表格3[Model-Input-Ref2],表格3[SRP PRICE])</f>
        <v>3380</v>
      </c>
      <c r="T3767" s="43">
        <f>表格1[[#This Row],[Unit Price]]/表格1[[#This Row],[SRP]]</f>
        <v>0.61538461538461542</v>
      </c>
      <c r="U3767" s="86" t="str">
        <f>_xlfn.XLOOKUP(表格1[[#This Row],[Model]],表格3[Model-Input-Ref2],表格3[TOSHIBA/HIGHEST])</f>
        <v>Shops Highest Price</v>
      </c>
      <c r="W3767" s="86" t="str">
        <f>_xlfn.CONCAT(表格1[[#This Row],[欄4]],表格1[[#This Row],[inv no]])</f>
        <v>13980</v>
      </c>
    </row>
    <row r="3768" spans="1:23" hidden="1">
      <c r="A3768" s="81">
        <v>3766</v>
      </c>
      <c r="B3768" s="86" t="s">
        <v>1403</v>
      </c>
      <c r="C3768" s="86" t="s">
        <v>1973</v>
      </c>
      <c r="D3768" s="89" t="str">
        <f ca="1">OFFSET(Roster!$A$3,MATCH(表格1[[#This Row],[Location]]&amp;" "&amp;表格1[[#This Row],[Shop]]&amp;"*",Roster!$A$4:$A$72,0),DAY(表格1[[#This Row],[date]]),1,1)</f>
        <v>Happy</v>
      </c>
      <c r="E3768" s="86">
        <f>MONTH(表格1[[#This Row],[date]])</f>
        <v>3</v>
      </c>
      <c r="F3768" s="90">
        <v>46084</v>
      </c>
      <c r="G3768" s="86" t="str">
        <f>VLOOKUP("*"&amp;表格1[[#This Row],[Input]]&amp;"*",'Ref-List'!$B:$D,2,)</f>
        <v>AW-Q901BPH(WW)</v>
      </c>
      <c r="H3768" s="86" t="str">
        <f>_xlfn.XLOOKUP(表格1[[#This Row],[Model]],表格3[Model-Input-Ref2],表格3[Product Line])</f>
        <v>日式洗衣機 (8公斤 結合高低水位)</v>
      </c>
      <c r="I3768" s="86" t="str">
        <f>_xlfn.XLOOKUP(表格1[[#This Row],[Model]],表格3[Model-Input-Ref2],表格3[大小電])</f>
        <v>大電</v>
      </c>
      <c r="J3768" s="86" t="str">
        <f>_xlfn.XLOOKUP(表格1[[#This Row],[Model]],表格3[Model-Input-Ref2],表格3[Code])</f>
        <v>LAD</v>
      </c>
      <c r="K3768" s="89" t="s">
        <v>1411</v>
      </c>
      <c r="L3768" s="86">
        <v>1</v>
      </c>
      <c r="M3768" s="87">
        <v>2280</v>
      </c>
      <c r="N3768" s="87">
        <f>IFERROR(表格1[[#This Row],[QTY]]*表格1[[#This Row],[Unit Price]],"-")</f>
        <v>2280</v>
      </c>
      <c r="O3768" s="86">
        <v>238496</v>
      </c>
      <c r="R3768" s="86" t="str">
        <f>_xlfn.CONCAT(表格1[[#This Row],[Model]]," ",表格1[[#This Row],[inv no]])</f>
        <v>AW-Q901BPH(WW) 238496</v>
      </c>
      <c r="S3768" s="86">
        <f>_xlfn.XLOOKUP(表格1[[#This Row],[Model]],表格3[Model-Input-Ref2],表格3[SRP PRICE])</f>
        <v>3780</v>
      </c>
      <c r="T3768" s="43">
        <f>表格1[[#This Row],[Unit Price]]/表格1[[#This Row],[SRP]]</f>
        <v>0.60317460317460314</v>
      </c>
      <c r="U3768" s="86" t="str">
        <f>_xlfn.XLOOKUP(表格1[[#This Row],[Model]],表格3[Model-Input-Ref2],表格3[TOSHIBA/HIGHEST])</f>
        <v>Toshiba SRP</v>
      </c>
      <c r="W3768" s="86" t="str">
        <f>_xlfn.CONCAT(表格1[[#This Row],[欄4]],表格1[[#This Row],[inv no]])</f>
        <v>238496</v>
      </c>
    </row>
    <row r="3769" spans="1:23" hidden="1">
      <c r="A3769" s="81">
        <v>3767</v>
      </c>
      <c r="B3769" s="86" t="s">
        <v>1403</v>
      </c>
      <c r="C3769" s="86" t="s">
        <v>1973</v>
      </c>
      <c r="D3769" s="89" t="str">
        <f ca="1">OFFSET(Roster!$A$3,MATCH(表格1[[#This Row],[Location]]&amp;" "&amp;表格1[[#This Row],[Shop]]&amp;"*",Roster!$A$4:$A$72,0),DAY(表格1[[#This Row],[date]]),1,1)</f>
        <v>Happy</v>
      </c>
      <c r="E3769" s="86">
        <f>MONTH(表格1[[#This Row],[date]])</f>
        <v>3</v>
      </c>
      <c r="F3769" s="90">
        <v>46084</v>
      </c>
      <c r="G3769" s="86" t="str">
        <f>VLOOKUP("*"&amp;表格1[[#This Row],[Input]]&amp;"*",'Ref-List'!$B:$D,2,)</f>
        <v>RAD-D250H</v>
      </c>
      <c r="H3769" s="86" t="str">
        <f>_xlfn.XLOOKUP(表格1[[#This Row],[Model]],表格3[Model-Input-Ref2],表格3[Product Line])</f>
        <v>壓縮式抽濕機 (25公升)</v>
      </c>
      <c r="I3769" s="86" t="str">
        <f>_xlfn.XLOOKUP(表格1[[#This Row],[Model]],表格3[Model-Input-Ref2],表格3[大小電])</f>
        <v>細電</v>
      </c>
      <c r="J3769" s="86" t="str">
        <f>_xlfn.XLOOKUP(表格1[[#This Row],[Model]],表格3[Model-Input-Ref2],表格3[Code])</f>
        <v>RAC</v>
      </c>
      <c r="K3769" s="89" t="s">
        <v>1407</v>
      </c>
      <c r="L3769" s="86">
        <v>1</v>
      </c>
      <c r="M3769" s="87">
        <v>2080</v>
      </c>
      <c r="N3769" s="87">
        <f>IFERROR(表格1[[#This Row],[QTY]]*表格1[[#This Row],[Unit Price]],"-")</f>
        <v>2080</v>
      </c>
      <c r="O3769" s="86">
        <v>10157</v>
      </c>
      <c r="R3769" s="86" t="str">
        <f>_xlfn.CONCAT(表格1[[#This Row],[Model]]," ",表格1[[#This Row],[inv no]])</f>
        <v>RAD-D250H 10157</v>
      </c>
      <c r="S3769" s="86">
        <f>_xlfn.XLOOKUP(表格1[[#This Row],[Model]],表格3[Model-Input-Ref2],表格3[SRP PRICE])</f>
        <v>3380</v>
      </c>
      <c r="T3769" s="43">
        <f>表格1[[#This Row],[Unit Price]]/表格1[[#This Row],[SRP]]</f>
        <v>0.61538461538461542</v>
      </c>
      <c r="U3769" s="86" t="str">
        <f>_xlfn.XLOOKUP(表格1[[#This Row],[Model]],表格3[Model-Input-Ref2],表格3[TOSHIBA/HIGHEST])</f>
        <v>Shops Highest Price</v>
      </c>
      <c r="W3769" s="86" t="str">
        <f>_xlfn.CONCAT(表格1[[#This Row],[欄4]],表格1[[#This Row],[inv no]])</f>
        <v>10157</v>
      </c>
    </row>
    <row r="3770" spans="1:23" hidden="1">
      <c r="A3770" s="81">
        <v>3768</v>
      </c>
      <c r="B3770" s="86" t="s">
        <v>1403</v>
      </c>
      <c r="C3770" s="86" t="s">
        <v>1973</v>
      </c>
      <c r="D3770" s="89" t="str">
        <f ca="1">OFFSET(Roster!$A$3,MATCH(表格1[[#This Row],[Location]]&amp;" "&amp;表格1[[#This Row],[Shop]]&amp;"*",Roster!$A$4:$A$72,0),DAY(表格1[[#This Row],[date]]),1,1)</f>
        <v>Happy</v>
      </c>
      <c r="E3770" s="86">
        <f>MONTH(表格1[[#This Row],[date]])</f>
        <v>3</v>
      </c>
      <c r="F3770" s="90">
        <v>46084</v>
      </c>
      <c r="G3770" s="86" t="str">
        <f>VLOOKUP("*"&amp;表格1[[#This Row],[Input]]&amp;"*",'Ref-List'!$B:$D,2,)</f>
        <v>MM2-EG20PC(WH)</v>
      </c>
      <c r="H3770" s="86" t="str">
        <f>_xlfn.XLOOKUP(表格1[[#This Row],[Model]],表格3[Model-Input-Ref2],表格3[Product Line])</f>
        <v>輕觸式燒烤微波爐</v>
      </c>
      <c r="I3770" s="86" t="str">
        <f>_xlfn.XLOOKUP(表格1[[#This Row],[Model]],表格3[Model-Input-Ref2],表格3[大小電])</f>
        <v>細電</v>
      </c>
      <c r="J3770" s="86" t="str">
        <f>_xlfn.XLOOKUP(表格1[[#This Row],[Model]],表格3[Model-Input-Ref2],表格3[Code])</f>
        <v>MCA</v>
      </c>
      <c r="K3770" s="89" t="s">
        <v>1273</v>
      </c>
      <c r="L3770" s="86">
        <v>1</v>
      </c>
      <c r="M3770" s="87">
        <v>698</v>
      </c>
      <c r="N3770" s="87">
        <f>IFERROR(表格1[[#This Row],[QTY]]*表格1[[#This Row],[Unit Price]],"-")</f>
        <v>698</v>
      </c>
      <c r="O3770" s="86">
        <v>238504</v>
      </c>
      <c r="R3770" s="86" t="str">
        <f>_xlfn.CONCAT(表格1[[#This Row],[Model]]," ",表格1[[#This Row],[inv no]])</f>
        <v>MM2-EG20PC(WH) 238504</v>
      </c>
      <c r="S3770" s="86">
        <f>_xlfn.XLOOKUP(表格1[[#This Row],[Model]],表格3[Model-Input-Ref2],表格3[SRP PRICE])</f>
        <v>918</v>
      </c>
      <c r="T3770" s="43">
        <f>表格1[[#This Row],[Unit Price]]/表格1[[#This Row],[SRP]]</f>
        <v>0.76034858387799564</v>
      </c>
      <c r="U3770" s="86" t="str">
        <f>_xlfn.XLOOKUP(表格1[[#This Row],[Model]],表格3[Model-Input-Ref2],表格3[TOSHIBA/HIGHEST])</f>
        <v>Shops Highest Price</v>
      </c>
      <c r="W3770" s="86" t="str">
        <f>_xlfn.CONCAT(表格1[[#This Row],[欄4]],表格1[[#This Row],[inv no]])</f>
        <v>238504</v>
      </c>
    </row>
    <row r="3771" spans="1:23" hidden="1">
      <c r="A3771" s="81">
        <v>3769</v>
      </c>
      <c r="B3771" s="86" t="s">
        <v>1403</v>
      </c>
      <c r="C3771" s="86" t="s">
        <v>1973</v>
      </c>
      <c r="D3771" s="89" t="str">
        <f ca="1">OFFSET(Roster!$A$3,MATCH(表格1[[#This Row],[Location]]&amp;" "&amp;表格1[[#This Row],[Shop]]&amp;"*",Roster!$A$4:$A$72,0),DAY(表格1[[#This Row],[date]]),1,1)</f>
        <v>Happy</v>
      </c>
      <c r="E3771" s="86">
        <f>MONTH(表格1[[#This Row],[date]])</f>
        <v>3</v>
      </c>
      <c r="F3771" s="90">
        <v>46084</v>
      </c>
      <c r="G3771" s="86" t="str">
        <f>VLOOKUP("*"&amp;表格1[[#This Row],[Input]]&amp;"*",'Ref-List'!$B:$D,2,)</f>
        <v>IC-21TSHK</v>
      </c>
      <c r="H3771" s="86" t="str">
        <f>_xlfn.XLOOKUP(表格1[[#This Row],[Model]],表格3[Model-Input-Ref2],表格3[Product Line])</f>
        <v>Induction Cooker</v>
      </c>
      <c r="I3771" s="86" t="str">
        <f>_xlfn.XLOOKUP(表格1[[#This Row],[Model]],表格3[Model-Input-Ref2],表格3[大小電])</f>
        <v>細電</v>
      </c>
      <c r="J3771" s="86" t="str">
        <f>_xlfn.XLOOKUP(表格1[[#This Row],[Model]],表格3[Model-Input-Ref2],表格3[Code])</f>
        <v>SDA</v>
      </c>
      <c r="K3771" s="89" t="s">
        <v>1242</v>
      </c>
      <c r="L3771" s="86">
        <v>1</v>
      </c>
      <c r="M3771" s="87">
        <v>798</v>
      </c>
      <c r="N3771" s="87">
        <f>IFERROR(表格1[[#This Row],[QTY]]*表格1[[#This Row],[Unit Price]],"-")</f>
        <v>798</v>
      </c>
      <c r="O3771" s="86">
        <v>238504</v>
      </c>
      <c r="R3771" s="86" t="str">
        <f>_xlfn.CONCAT(表格1[[#This Row],[Model]]," ",表格1[[#This Row],[inv no]])</f>
        <v>IC-21TSHK 238504</v>
      </c>
      <c r="S3771" s="86">
        <f>_xlfn.XLOOKUP(表格1[[#This Row],[Model]],表格3[Model-Input-Ref2],表格3[SRP PRICE])</f>
        <v>998</v>
      </c>
      <c r="T3771" s="43">
        <f>表格1[[#This Row],[Unit Price]]/表格1[[#This Row],[SRP]]</f>
        <v>0.79959919839679361</v>
      </c>
      <c r="U3771" s="86" t="str">
        <f>_xlfn.XLOOKUP(表格1[[#This Row],[Model]],表格3[Model-Input-Ref2],表格3[TOSHIBA/HIGHEST])</f>
        <v>web SRP</v>
      </c>
      <c r="W3771" s="86" t="str">
        <f>_xlfn.CONCAT(表格1[[#This Row],[欄4]],表格1[[#This Row],[inv no]])</f>
        <v>238504</v>
      </c>
    </row>
    <row r="3772" spans="1:23" hidden="1">
      <c r="A3772" s="81">
        <v>3770</v>
      </c>
      <c r="B3772" s="86" t="s">
        <v>1403</v>
      </c>
      <c r="C3772" s="86" t="s">
        <v>1973</v>
      </c>
      <c r="D3772" s="89" t="str">
        <f ca="1">OFFSET(Roster!$A$3,MATCH(表格1[[#This Row],[Location]]&amp;" "&amp;表格1[[#This Row],[Shop]]&amp;"*",Roster!$A$4:$A$72,0),DAY(表格1[[#This Row],[date]]),1,1)</f>
        <v>Happy</v>
      </c>
      <c r="E3772" s="86">
        <f>MONTH(表格1[[#This Row],[date]])</f>
        <v>3</v>
      </c>
      <c r="F3772" s="90">
        <v>46084</v>
      </c>
      <c r="G3772" s="86" t="str">
        <f>VLOOKUP("*"&amp;表格1[[#This Row],[Input]]&amp;"*",'Ref-List'!$B:$D,2,)</f>
        <v>MX2-STR25SC(WH)</v>
      </c>
      <c r="H3772" s="86" t="str">
        <f>_xlfn.XLOOKUP(表格1[[#This Row],[Model]],表格3[Model-Input-Ref2],表格3[Product Line])</f>
        <v>4合1氣炸微波蒸焗爐(25公升)</v>
      </c>
      <c r="I3772" s="86" t="str">
        <f>_xlfn.XLOOKUP(表格1[[#This Row],[Model]],表格3[Model-Input-Ref2],表格3[大小電])</f>
        <v>細電</v>
      </c>
      <c r="J3772" s="86" t="str">
        <f>_xlfn.XLOOKUP(表格1[[#This Row],[Model]],表格3[Model-Input-Ref2],表格3[Code])</f>
        <v>MCA</v>
      </c>
      <c r="K3772" s="89" t="s">
        <v>1410</v>
      </c>
      <c r="L3772" s="86">
        <v>1</v>
      </c>
      <c r="M3772" s="87">
        <v>3478</v>
      </c>
      <c r="N3772" s="87">
        <f>IFERROR(表格1[[#This Row],[QTY]]*表格1[[#This Row],[Unit Price]],"-")</f>
        <v>3478</v>
      </c>
      <c r="O3772" s="86">
        <v>238509</v>
      </c>
      <c r="R3772" s="86" t="str">
        <f>_xlfn.CONCAT(表格1[[#This Row],[Model]]," ",表格1[[#This Row],[inv no]])</f>
        <v>MX2-STR25SC(WH) 238509</v>
      </c>
      <c r="S3772" s="86">
        <f>_xlfn.XLOOKUP(表格1[[#This Row],[Model]],表格3[Model-Input-Ref2],表格3[SRP PRICE])</f>
        <v>4998</v>
      </c>
      <c r="T3772" s="43">
        <f>表格1[[#This Row],[Unit Price]]/表格1[[#This Row],[SRP]]</f>
        <v>0.69587835134053622</v>
      </c>
      <c r="U3772" s="86" t="str">
        <f>_xlfn.XLOOKUP(表格1[[#This Row],[Model]],表格3[Model-Input-Ref2],表格3[TOSHIBA/HIGHEST])</f>
        <v>Toshiba SRP</v>
      </c>
      <c r="W3772" s="86" t="str">
        <f>_xlfn.CONCAT(表格1[[#This Row],[欄4]],表格1[[#This Row],[inv no]])</f>
        <v>238509</v>
      </c>
    </row>
    <row r="3773" spans="1:23" hidden="1">
      <c r="A3773" s="81">
        <v>3771</v>
      </c>
      <c r="B3773" s="86" t="s">
        <v>1403</v>
      </c>
      <c r="C3773" s="86" t="s">
        <v>1973</v>
      </c>
      <c r="D3773" s="89" t="str">
        <f ca="1">OFFSET(Roster!$A$3,MATCH(表格1[[#This Row],[Location]]&amp;" "&amp;表格1[[#This Row],[Shop]]&amp;"*",Roster!$A$4:$A$72,0),DAY(表格1[[#This Row],[date]]),1,1)</f>
        <v>Happy</v>
      </c>
      <c r="E3773" s="86">
        <f>MONTH(表格1[[#This Row],[date]])</f>
        <v>3</v>
      </c>
      <c r="F3773" s="90">
        <v>46084</v>
      </c>
      <c r="G3773" s="86" t="str">
        <f>VLOOKUP("*"&amp;表格1[[#This Row],[Input]]&amp;"*",'Ref-List'!$B:$D,2,)</f>
        <v>RAD-D250H</v>
      </c>
      <c r="H3773" s="86" t="str">
        <f>_xlfn.XLOOKUP(表格1[[#This Row],[Model]],表格3[Model-Input-Ref2],表格3[Product Line])</f>
        <v>壓縮式抽濕機 (25公升)</v>
      </c>
      <c r="I3773" s="86" t="str">
        <f>_xlfn.XLOOKUP(表格1[[#This Row],[Model]],表格3[Model-Input-Ref2],表格3[大小電])</f>
        <v>細電</v>
      </c>
      <c r="J3773" s="86" t="str">
        <f>_xlfn.XLOOKUP(表格1[[#This Row],[Model]],表格3[Model-Input-Ref2],表格3[Code])</f>
        <v>RAC</v>
      </c>
      <c r="K3773" s="89" t="s">
        <v>1407</v>
      </c>
      <c r="L3773" s="86">
        <v>1</v>
      </c>
      <c r="M3773" s="87">
        <v>2080</v>
      </c>
      <c r="N3773" s="87">
        <f>IFERROR(表格1[[#This Row],[QTY]]*表格1[[#This Row],[Unit Price]],"-")</f>
        <v>2080</v>
      </c>
      <c r="O3773" s="86">
        <v>238501</v>
      </c>
      <c r="R3773" s="86" t="str">
        <f>_xlfn.CONCAT(表格1[[#This Row],[Model]]," ",表格1[[#This Row],[inv no]])</f>
        <v>RAD-D250H 238501</v>
      </c>
      <c r="S3773" s="86">
        <f>_xlfn.XLOOKUP(表格1[[#This Row],[Model]],表格3[Model-Input-Ref2],表格3[SRP PRICE])</f>
        <v>3380</v>
      </c>
      <c r="T3773" s="43">
        <f>表格1[[#This Row],[Unit Price]]/表格1[[#This Row],[SRP]]</f>
        <v>0.61538461538461542</v>
      </c>
      <c r="U3773" s="86" t="str">
        <f>_xlfn.XLOOKUP(表格1[[#This Row],[Model]],表格3[Model-Input-Ref2],表格3[TOSHIBA/HIGHEST])</f>
        <v>Shops Highest Price</v>
      </c>
      <c r="W3773" s="86" t="str">
        <f>_xlfn.CONCAT(表格1[[#This Row],[欄4]],表格1[[#This Row],[inv no]])</f>
        <v>238501</v>
      </c>
    </row>
    <row r="3774" spans="1:23" hidden="1">
      <c r="A3774" s="81">
        <v>3772</v>
      </c>
      <c r="B3774" s="86" t="s">
        <v>1403</v>
      </c>
      <c r="C3774" s="86" t="s">
        <v>1973</v>
      </c>
      <c r="D3774" s="89" t="str">
        <f ca="1">OFFSET(Roster!$A$3,MATCH(表格1[[#This Row],[Location]]&amp;" "&amp;表格1[[#This Row],[Shop]]&amp;"*",Roster!$A$4:$A$72,0),DAY(表格1[[#This Row],[date]]),1,1)</f>
        <v>Happy</v>
      </c>
      <c r="E3774" s="86">
        <f>MONTH(表格1[[#This Row],[date]])</f>
        <v>3</v>
      </c>
      <c r="F3774" s="90">
        <v>46084</v>
      </c>
      <c r="G3774" s="86" t="str">
        <f>VLOOKUP("*"&amp;表格1[[#This Row],[Input]]&amp;"*",'Ref-List'!$B:$D,2,)</f>
        <v>AW-Q801APH(WW)</v>
      </c>
      <c r="H3774" s="86" t="str">
        <f>_xlfn.XLOOKUP(表格1[[#This Row],[Model]],表格3[Model-Input-Ref2],表格3[Product Line])</f>
        <v>日式洗衣機 (7公斤 結合高低水位)</v>
      </c>
      <c r="I3774" s="86" t="str">
        <f>_xlfn.XLOOKUP(表格1[[#This Row],[Model]],表格3[Model-Input-Ref2],表格3[大小電])</f>
        <v>大電</v>
      </c>
      <c r="J3774" s="86" t="str">
        <f>_xlfn.XLOOKUP(表格1[[#This Row],[Model]],表格3[Model-Input-Ref2],表格3[Code])</f>
        <v>LAD</v>
      </c>
      <c r="K3774" s="89" t="s">
        <v>1420</v>
      </c>
      <c r="L3774" s="86">
        <v>1</v>
      </c>
      <c r="M3774" s="87">
        <v>2080</v>
      </c>
      <c r="N3774" s="87">
        <f>IFERROR(表格1[[#This Row],[QTY]]*表格1[[#This Row],[Unit Price]],"-")</f>
        <v>2080</v>
      </c>
      <c r="O3774" s="86">
        <v>238519</v>
      </c>
      <c r="R3774" s="86" t="str">
        <f>_xlfn.CONCAT(表格1[[#This Row],[Model]]," ",表格1[[#This Row],[inv no]])</f>
        <v>AW-Q801APH(WW) 238519</v>
      </c>
      <c r="S3774" s="86">
        <f>_xlfn.XLOOKUP(表格1[[#This Row],[Model]],表格3[Model-Input-Ref2],表格3[SRP PRICE])</f>
        <v>3380</v>
      </c>
      <c r="T3774" s="43">
        <f>表格1[[#This Row],[Unit Price]]/表格1[[#This Row],[SRP]]</f>
        <v>0.61538461538461542</v>
      </c>
      <c r="U3774" s="86" t="str">
        <f>_xlfn.XLOOKUP(表格1[[#This Row],[Model]],表格3[Model-Input-Ref2],表格3[TOSHIBA/HIGHEST])</f>
        <v>Toshiba SRP</v>
      </c>
      <c r="W3774" s="86" t="str">
        <f>_xlfn.CONCAT(表格1[[#This Row],[欄4]],表格1[[#This Row],[inv no]])</f>
        <v>238519</v>
      </c>
    </row>
    <row r="3775" spans="1:23" hidden="1">
      <c r="A3775" s="81">
        <v>3773</v>
      </c>
      <c r="B3775" s="86" t="s">
        <v>1403</v>
      </c>
      <c r="C3775" s="86" t="s">
        <v>1973</v>
      </c>
      <c r="D3775" s="89" t="str">
        <f ca="1">OFFSET(Roster!$A$3,MATCH(表格1[[#This Row],[Location]]&amp;" "&amp;表格1[[#This Row],[Shop]]&amp;"*",Roster!$A$4:$A$72,0),DAY(表格1[[#This Row],[date]]),1,1)</f>
        <v>Happy</v>
      </c>
      <c r="E3775" s="86">
        <f>MONTH(表格1[[#This Row],[date]])</f>
        <v>3</v>
      </c>
      <c r="F3775" s="90">
        <v>46084</v>
      </c>
      <c r="G3775" s="86" t="str">
        <f>VLOOKUP("*"&amp;表格1[[#This Row],[Input]]&amp;"*",'Ref-List'!$B:$D,2,)</f>
        <v>RAD-D250H</v>
      </c>
      <c r="H3775" s="86" t="str">
        <f>_xlfn.XLOOKUP(表格1[[#This Row],[Model]],表格3[Model-Input-Ref2],表格3[Product Line])</f>
        <v>壓縮式抽濕機 (25公升)</v>
      </c>
      <c r="I3775" s="86" t="str">
        <f>_xlfn.XLOOKUP(表格1[[#This Row],[Model]],表格3[Model-Input-Ref2],表格3[大小電])</f>
        <v>細電</v>
      </c>
      <c r="J3775" s="86" t="str">
        <f>_xlfn.XLOOKUP(表格1[[#This Row],[Model]],表格3[Model-Input-Ref2],表格3[Code])</f>
        <v>RAC</v>
      </c>
      <c r="K3775" s="89" t="s">
        <v>1407</v>
      </c>
      <c r="L3775" s="86">
        <v>1</v>
      </c>
      <c r="M3775" s="87">
        <v>2180</v>
      </c>
      <c r="N3775" s="87">
        <f>IFERROR(表格1[[#This Row],[QTY]]*表格1[[#This Row],[Unit Price]],"-")</f>
        <v>2180</v>
      </c>
      <c r="O3775" s="86">
        <v>459</v>
      </c>
      <c r="R3775" s="86" t="str">
        <f>_xlfn.CONCAT(表格1[[#This Row],[Model]]," ",表格1[[#This Row],[inv no]])</f>
        <v>RAD-D250H 459</v>
      </c>
      <c r="S3775" s="86">
        <f>_xlfn.XLOOKUP(表格1[[#This Row],[Model]],表格3[Model-Input-Ref2],表格3[SRP PRICE])</f>
        <v>3380</v>
      </c>
      <c r="T3775" s="43">
        <f>表格1[[#This Row],[Unit Price]]/表格1[[#This Row],[SRP]]</f>
        <v>0.6449704142011834</v>
      </c>
      <c r="U3775" s="86" t="str">
        <f>_xlfn.XLOOKUP(表格1[[#This Row],[Model]],表格3[Model-Input-Ref2],表格3[TOSHIBA/HIGHEST])</f>
        <v>Shops Highest Price</v>
      </c>
      <c r="W3775" s="86" t="str">
        <f>_xlfn.CONCAT(表格1[[#This Row],[欄4]],表格1[[#This Row],[inv no]])</f>
        <v>459</v>
      </c>
    </row>
    <row r="3776" spans="1:23" hidden="1">
      <c r="A3776" s="81">
        <v>3774</v>
      </c>
      <c r="B3776" s="86" t="s">
        <v>1403</v>
      </c>
      <c r="C3776" s="86" t="s">
        <v>1973</v>
      </c>
      <c r="D3776" s="89" t="str">
        <f ca="1">OFFSET(Roster!$A$3,MATCH(表格1[[#This Row],[Location]]&amp;" "&amp;表格1[[#This Row],[Shop]]&amp;"*",Roster!$A$4:$A$72,0),DAY(表格1[[#This Row],[date]]),1,1)</f>
        <v>Happy</v>
      </c>
      <c r="E3776" s="86">
        <f>MONTH(表格1[[#This Row],[date]])</f>
        <v>3</v>
      </c>
      <c r="F3776" s="90">
        <v>46084</v>
      </c>
      <c r="G3776" s="86" t="str">
        <f>VLOOKUP("*"&amp;表格1[[#This Row],[Input]]&amp;"*",'Ref-List'!$B:$D,2,)</f>
        <v>RC-10ISSHK(W)</v>
      </c>
      <c r="H3776" s="86" t="str">
        <f>_xlfn.XLOOKUP(表格1[[#This Row],[Model]],表格3[Model-Input-Ref2],表格3[Product Line])</f>
        <v>磁應電飯煲(1公升)</v>
      </c>
      <c r="I3776" s="86" t="str">
        <f>_xlfn.XLOOKUP(表格1[[#This Row],[Model]],表格3[Model-Input-Ref2],表格3[大小電])</f>
        <v>細電</v>
      </c>
      <c r="J3776" s="86" t="str">
        <f>_xlfn.XLOOKUP(表格1[[#This Row],[Model]],表格3[Model-Input-Ref2],表格3[Code])</f>
        <v>SDA</v>
      </c>
      <c r="K3776" s="89" t="s">
        <v>1286</v>
      </c>
      <c r="L3776" s="86">
        <v>1</v>
      </c>
      <c r="M3776" s="87">
        <v>938</v>
      </c>
      <c r="N3776" s="87">
        <f>IFERROR(表格1[[#This Row],[QTY]]*表格1[[#This Row],[Unit Price]],"-")</f>
        <v>938</v>
      </c>
      <c r="O3776" s="86">
        <v>1138</v>
      </c>
      <c r="R3776" s="86" t="str">
        <f>_xlfn.CONCAT(表格1[[#This Row],[Model]]," ",表格1[[#This Row],[inv no]])</f>
        <v>RC-10ISSHK(W) 1138</v>
      </c>
      <c r="S3776" s="86">
        <f>_xlfn.XLOOKUP(表格1[[#This Row],[Model]],表格3[Model-Input-Ref2],表格3[SRP PRICE])</f>
        <v>1188</v>
      </c>
      <c r="T3776" s="43">
        <f>表格1[[#This Row],[Unit Price]]/表格1[[#This Row],[SRP]]</f>
        <v>0.78956228956228958</v>
      </c>
      <c r="U3776" s="86" t="str">
        <f>_xlfn.XLOOKUP(表格1[[#This Row],[Model]],表格3[Model-Input-Ref2],表格3[TOSHIBA/HIGHEST])</f>
        <v>Shops Highest Price</v>
      </c>
      <c r="W3776" s="86" t="str">
        <f>_xlfn.CONCAT(表格1[[#This Row],[欄4]],表格1[[#This Row],[inv no]])</f>
        <v>1138</v>
      </c>
    </row>
    <row r="3777" spans="1:23" hidden="1">
      <c r="A3777" s="81">
        <v>3775</v>
      </c>
      <c r="B3777" s="86" t="s">
        <v>1403</v>
      </c>
      <c r="C3777" s="86" t="s">
        <v>1973</v>
      </c>
      <c r="D3777" s="89" t="str">
        <f ca="1">OFFSET(Roster!$A$3,MATCH(表格1[[#This Row],[Location]]&amp;" "&amp;表格1[[#This Row],[Shop]]&amp;"*",Roster!$A$4:$A$72,0),DAY(表格1[[#This Row],[date]]),1,1)</f>
        <v>Happy</v>
      </c>
      <c r="E3777" s="86">
        <f>MONTH(表格1[[#This Row],[date]])</f>
        <v>3</v>
      </c>
      <c r="F3777" s="90">
        <v>46084</v>
      </c>
      <c r="G3777" s="86" t="str">
        <f>VLOOKUP("*"&amp;表格1[[#This Row],[Input]]&amp;"*",'Ref-List'!$B:$D,2,)</f>
        <v>RAD-D250H</v>
      </c>
      <c r="H3777" s="86" t="str">
        <f>_xlfn.XLOOKUP(表格1[[#This Row],[Model]],表格3[Model-Input-Ref2],表格3[Product Line])</f>
        <v>壓縮式抽濕機 (25公升)</v>
      </c>
      <c r="I3777" s="86" t="str">
        <f>_xlfn.XLOOKUP(表格1[[#This Row],[Model]],表格3[Model-Input-Ref2],表格3[大小電])</f>
        <v>細電</v>
      </c>
      <c r="J3777" s="86" t="str">
        <f>_xlfn.XLOOKUP(表格1[[#This Row],[Model]],表格3[Model-Input-Ref2],表格3[Code])</f>
        <v>RAC</v>
      </c>
      <c r="K3777" s="89" t="s">
        <v>1407</v>
      </c>
      <c r="L3777" s="86">
        <v>1</v>
      </c>
      <c r="M3777" s="87">
        <v>2080</v>
      </c>
      <c r="N3777" s="87">
        <f>IFERROR(表格1[[#This Row],[QTY]]*表格1[[#This Row],[Unit Price]],"-")</f>
        <v>2080</v>
      </c>
      <c r="O3777" s="86">
        <v>460</v>
      </c>
      <c r="R3777" s="86" t="str">
        <f>_xlfn.CONCAT(表格1[[#This Row],[Model]]," ",表格1[[#This Row],[inv no]])</f>
        <v>RAD-D250H 460</v>
      </c>
      <c r="S3777" s="86">
        <f>_xlfn.XLOOKUP(表格1[[#This Row],[Model]],表格3[Model-Input-Ref2],表格3[SRP PRICE])</f>
        <v>3380</v>
      </c>
      <c r="T3777" s="43">
        <f>表格1[[#This Row],[Unit Price]]/表格1[[#This Row],[SRP]]</f>
        <v>0.61538461538461542</v>
      </c>
      <c r="U3777" s="86" t="str">
        <f>_xlfn.XLOOKUP(表格1[[#This Row],[Model]],表格3[Model-Input-Ref2],表格3[TOSHIBA/HIGHEST])</f>
        <v>Shops Highest Price</v>
      </c>
      <c r="W3777" s="86" t="str">
        <f>_xlfn.CONCAT(表格1[[#This Row],[欄4]],表格1[[#This Row],[inv no]])</f>
        <v>460</v>
      </c>
    </row>
    <row r="3778" spans="1:23" hidden="1">
      <c r="A3778" s="81">
        <v>3776</v>
      </c>
      <c r="B3778" s="86" t="s">
        <v>1403</v>
      </c>
      <c r="C3778" s="86" t="s">
        <v>1973</v>
      </c>
      <c r="D3778" s="89" t="str">
        <f ca="1">OFFSET(Roster!$A$3,MATCH(表格1[[#This Row],[Location]]&amp;" "&amp;表格1[[#This Row],[Shop]]&amp;"*",Roster!$A$4:$A$72,0),DAY(表格1[[#This Row],[date]]),1,1)</f>
        <v>Happy</v>
      </c>
      <c r="E3778" s="86">
        <f>MONTH(表格1[[#This Row],[date]])</f>
        <v>3</v>
      </c>
      <c r="F3778" s="90">
        <v>46084</v>
      </c>
      <c r="G3778" s="86" t="str">
        <f>VLOOKUP("*"&amp;表格1[[#This Row],[Input]]&amp;"*",'Ref-List'!$B:$D,2,)</f>
        <v>RAD-D250H</v>
      </c>
      <c r="H3778" s="86" t="str">
        <f>_xlfn.XLOOKUP(表格1[[#This Row],[Model]],表格3[Model-Input-Ref2],表格3[Product Line])</f>
        <v>壓縮式抽濕機 (25公升)</v>
      </c>
      <c r="I3778" s="86" t="str">
        <f>_xlfn.XLOOKUP(表格1[[#This Row],[Model]],表格3[Model-Input-Ref2],表格3[大小電])</f>
        <v>細電</v>
      </c>
      <c r="J3778" s="86" t="str">
        <f>_xlfn.XLOOKUP(表格1[[#This Row],[Model]],表格3[Model-Input-Ref2],表格3[Code])</f>
        <v>RAC</v>
      </c>
      <c r="K3778" s="89" t="s">
        <v>1407</v>
      </c>
      <c r="L3778" s="86">
        <v>1</v>
      </c>
      <c r="M3778" s="87">
        <v>2080</v>
      </c>
      <c r="N3778" s="87">
        <f>IFERROR(表格1[[#This Row],[QTY]]*表格1[[#This Row],[Unit Price]],"-")</f>
        <v>2080</v>
      </c>
      <c r="O3778" s="86">
        <v>827</v>
      </c>
      <c r="R3778" s="86" t="str">
        <f>_xlfn.CONCAT(表格1[[#This Row],[Model]]," ",表格1[[#This Row],[inv no]])</f>
        <v>RAD-D250H 827</v>
      </c>
      <c r="S3778" s="86">
        <f>_xlfn.XLOOKUP(表格1[[#This Row],[Model]],表格3[Model-Input-Ref2],表格3[SRP PRICE])</f>
        <v>3380</v>
      </c>
      <c r="T3778" s="43">
        <f>表格1[[#This Row],[Unit Price]]/表格1[[#This Row],[SRP]]</f>
        <v>0.61538461538461542</v>
      </c>
      <c r="U3778" s="86" t="str">
        <f>_xlfn.XLOOKUP(表格1[[#This Row],[Model]],表格3[Model-Input-Ref2],表格3[TOSHIBA/HIGHEST])</f>
        <v>Shops Highest Price</v>
      </c>
      <c r="W3778" s="86" t="str">
        <f>_xlfn.CONCAT(表格1[[#This Row],[欄4]],表格1[[#This Row],[inv no]])</f>
        <v>827</v>
      </c>
    </row>
    <row r="3779" spans="1:23" hidden="1">
      <c r="A3779" s="81">
        <v>3777</v>
      </c>
      <c r="B3779" s="86" t="s">
        <v>1403</v>
      </c>
      <c r="C3779" s="86" t="s">
        <v>1973</v>
      </c>
      <c r="D3779" s="89" t="str">
        <f ca="1">OFFSET(Roster!$A$3,MATCH(表格1[[#This Row],[Location]]&amp;" "&amp;表格1[[#This Row],[Shop]]&amp;"*",Roster!$A$4:$A$72,0),DAY(表格1[[#This Row],[date]]),1,1)</f>
        <v>Happy</v>
      </c>
      <c r="E3779" s="86">
        <f>MONTH(表格1[[#This Row],[date]])</f>
        <v>3</v>
      </c>
      <c r="F3779" s="90">
        <v>46084</v>
      </c>
      <c r="G3779" s="86" t="str">
        <f>VLOOKUP("*"&amp;表格1[[#This Row],[Input]]&amp;"*",'Ref-List'!$B:$D,2,)</f>
        <v>RAD-D250H</v>
      </c>
      <c r="H3779" s="86" t="str">
        <f>_xlfn.XLOOKUP(表格1[[#This Row],[Model]],表格3[Model-Input-Ref2],表格3[Product Line])</f>
        <v>壓縮式抽濕機 (25公升)</v>
      </c>
      <c r="I3779" s="86" t="str">
        <f>_xlfn.XLOOKUP(表格1[[#This Row],[Model]],表格3[Model-Input-Ref2],表格3[大小電])</f>
        <v>細電</v>
      </c>
      <c r="J3779" s="86" t="str">
        <f>_xlfn.XLOOKUP(表格1[[#This Row],[Model]],表格3[Model-Input-Ref2],表格3[Code])</f>
        <v>RAC</v>
      </c>
      <c r="K3779" s="89" t="s">
        <v>1407</v>
      </c>
      <c r="L3779" s="86">
        <v>1</v>
      </c>
      <c r="M3779" s="87">
        <v>2080</v>
      </c>
      <c r="N3779" s="87">
        <f>IFERROR(表格1[[#This Row],[QTY]]*表格1[[#This Row],[Unit Price]],"-")</f>
        <v>2080</v>
      </c>
      <c r="O3779" s="86">
        <v>238518</v>
      </c>
      <c r="R3779" s="86" t="str">
        <f>_xlfn.CONCAT(表格1[[#This Row],[Model]]," ",表格1[[#This Row],[inv no]])</f>
        <v>RAD-D250H 238518</v>
      </c>
      <c r="S3779" s="86">
        <f>_xlfn.XLOOKUP(表格1[[#This Row],[Model]],表格3[Model-Input-Ref2],表格3[SRP PRICE])</f>
        <v>3380</v>
      </c>
      <c r="T3779" s="43">
        <f>表格1[[#This Row],[Unit Price]]/表格1[[#This Row],[SRP]]</f>
        <v>0.61538461538461542</v>
      </c>
      <c r="U3779" s="86" t="str">
        <f>_xlfn.XLOOKUP(表格1[[#This Row],[Model]],表格3[Model-Input-Ref2],表格3[TOSHIBA/HIGHEST])</f>
        <v>Shops Highest Price</v>
      </c>
      <c r="W3779" s="86" t="str">
        <f>_xlfn.CONCAT(表格1[[#This Row],[欄4]],表格1[[#This Row],[inv no]])</f>
        <v>238518</v>
      </c>
    </row>
    <row r="3780" spans="1:23" hidden="1">
      <c r="A3780" s="81">
        <v>3778</v>
      </c>
      <c r="B3780" s="86" t="s">
        <v>1403</v>
      </c>
      <c r="C3780" s="86" t="s">
        <v>1973</v>
      </c>
      <c r="D3780" s="89" t="str">
        <f ca="1">OFFSET(Roster!$A$3,MATCH(表格1[[#This Row],[Location]]&amp;" "&amp;表格1[[#This Row],[Shop]]&amp;"*",Roster!$A$4:$A$72,0),DAY(表格1[[#This Row],[date]]),1,1)</f>
        <v>Happy</v>
      </c>
      <c r="E3780" s="86">
        <f>MONTH(表格1[[#This Row],[date]])</f>
        <v>3</v>
      </c>
      <c r="F3780" s="90">
        <v>46085</v>
      </c>
      <c r="G3780" s="86" t="str">
        <f>VLOOKUP("*"&amp;表格1[[#This Row],[Input]]&amp;"*",'Ref-List'!$B:$D,2,)</f>
        <v>RC-10BHH(W)</v>
      </c>
      <c r="H3780" s="86" t="str">
        <f>_xlfn.XLOOKUP(表格1[[#This Row],[Model]],表格3[Model-Input-Ref2],表格3[Product Line])</f>
        <v>酵活炊磁應電飯煲</v>
      </c>
      <c r="I3780" s="86" t="str">
        <f>_xlfn.XLOOKUP(表格1[[#This Row],[Model]],表格3[Model-Input-Ref2],表格3[大小電])</f>
        <v>細電</v>
      </c>
      <c r="J3780" s="86" t="str">
        <f>_xlfn.XLOOKUP(表格1[[#This Row],[Model]],表格3[Model-Input-Ref2],表格3[Code])</f>
        <v>SDA</v>
      </c>
      <c r="K3780" s="89" t="s">
        <v>1269</v>
      </c>
      <c r="L3780" s="86">
        <v>1</v>
      </c>
      <c r="M3780" s="87">
        <v>1688</v>
      </c>
      <c r="N3780" s="87">
        <f>IFERROR(表格1[[#This Row],[QTY]]*表格1[[#This Row],[Unit Price]],"-")</f>
        <v>1688</v>
      </c>
      <c r="O3780" s="86">
        <v>8663</v>
      </c>
      <c r="R3780" s="86" t="str">
        <f>_xlfn.CONCAT(表格1[[#This Row],[Model]]," ",表格1[[#This Row],[inv no]])</f>
        <v>RC-10BHH(W) 8663</v>
      </c>
      <c r="S3780" s="86">
        <f>_xlfn.XLOOKUP(表格1[[#This Row],[Model]],表格3[Model-Input-Ref2],表格3[SRP PRICE])</f>
        <v>2088</v>
      </c>
      <c r="T3780" s="43">
        <f>表格1[[#This Row],[Unit Price]]/表格1[[#This Row],[SRP]]</f>
        <v>0.80842911877394641</v>
      </c>
      <c r="U3780" s="86" t="str">
        <f>_xlfn.XLOOKUP(表格1[[#This Row],[Model]],表格3[Model-Input-Ref2],表格3[TOSHIBA/HIGHEST])</f>
        <v>Shops Highest Price</v>
      </c>
      <c r="W3780" s="86" t="str">
        <f>_xlfn.CONCAT(表格1[[#This Row],[欄4]],表格1[[#This Row],[inv no]])</f>
        <v>8663</v>
      </c>
    </row>
    <row r="3781" spans="1:23" hidden="1">
      <c r="A3781" s="81">
        <v>3779</v>
      </c>
      <c r="B3781" s="86" t="s">
        <v>1403</v>
      </c>
      <c r="C3781" s="86" t="s">
        <v>1973</v>
      </c>
      <c r="D3781" s="89" t="str">
        <f ca="1">OFFSET(Roster!$A$3,MATCH(表格1[[#This Row],[Location]]&amp;" "&amp;表格1[[#This Row],[Shop]]&amp;"*",Roster!$A$4:$A$72,0),DAY(表格1[[#This Row],[date]]),1,1)</f>
        <v>Happy</v>
      </c>
      <c r="E3781" s="86">
        <f>MONTH(表格1[[#This Row],[date]])</f>
        <v>3</v>
      </c>
      <c r="F3781" s="90">
        <v>46085</v>
      </c>
      <c r="G3781" s="86" t="str">
        <f>VLOOKUP("*"&amp;表格1[[#This Row],[Input]]&amp;"*",'Ref-List'!$B:$D,2,)</f>
        <v>RC-18NMFIH(WT)</v>
      </c>
      <c r="H3781" s="86" t="str">
        <f>_xlfn.XLOOKUP(表格1[[#This Row],[Model]],表格3[Model-Input-Ref2],表格3[Product Line])</f>
        <v>4毫米厚釜電飯煲1.8L</v>
      </c>
      <c r="I3781" s="86" t="str">
        <f>_xlfn.XLOOKUP(表格1[[#This Row],[Model]],表格3[Model-Input-Ref2],表格3[大小電])</f>
        <v>細電</v>
      </c>
      <c r="J3781" s="86" t="str">
        <f>_xlfn.XLOOKUP(表格1[[#This Row],[Model]],表格3[Model-Input-Ref2],表格3[Code])</f>
        <v>SDA</v>
      </c>
      <c r="K3781" s="89" t="s">
        <v>1267</v>
      </c>
      <c r="L3781" s="86">
        <v>1</v>
      </c>
      <c r="M3781" s="87">
        <v>798</v>
      </c>
      <c r="N3781" s="87">
        <f>IFERROR(表格1[[#This Row],[QTY]]*表格1[[#This Row],[Unit Price]],"-")</f>
        <v>798</v>
      </c>
      <c r="O3781" s="86">
        <v>13989</v>
      </c>
      <c r="R3781" s="86" t="str">
        <f>_xlfn.CONCAT(表格1[[#This Row],[Model]]," ",表格1[[#This Row],[inv no]])</f>
        <v>RC-18NMFIH(WT) 13989</v>
      </c>
      <c r="S3781" s="86">
        <f>_xlfn.XLOOKUP(表格1[[#This Row],[Model]],表格3[Model-Input-Ref2],表格3[SRP PRICE])</f>
        <v>998</v>
      </c>
      <c r="T3781" s="43">
        <f>表格1[[#This Row],[Unit Price]]/表格1[[#This Row],[SRP]]</f>
        <v>0.79959919839679361</v>
      </c>
      <c r="U3781" s="86" t="str">
        <f>_xlfn.XLOOKUP(表格1[[#This Row],[Model]],表格3[Model-Input-Ref2],表格3[TOSHIBA/HIGHEST])</f>
        <v>Toshiba SRP</v>
      </c>
      <c r="W3781" s="86" t="str">
        <f>_xlfn.CONCAT(表格1[[#This Row],[欄4]],表格1[[#This Row],[inv no]])</f>
        <v>13989</v>
      </c>
    </row>
    <row r="3782" spans="1:23" hidden="1">
      <c r="A3782" s="81">
        <v>3780</v>
      </c>
      <c r="B3782" s="86" t="s">
        <v>1403</v>
      </c>
      <c r="C3782" s="86" t="s">
        <v>1973</v>
      </c>
      <c r="D3782" s="89" t="str">
        <f ca="1">OFFSET(Roster!$A$3,MATCH(表格1[[#This Row],[Location]]&amp;" "&amp;表格1[[#This Row],[Shop]]&amp;"*",Roster!$A$4:$A$72,0),DAY(表格1[[#This Row],[date]]),1,1)</f>
        <v>Happy</v>
      </c>
      <c r="E3782" s="86">
        <f>MONTH(表格1[[#This Row],[date]])</f>
        <v>3</v>
      </c>
      <c r="F3782" s="90">
        <v>46085</v>
      </c>
      <c r="G3782" s="86" t="str">
        <f>VLOOKUP("*"&amp;表格1[[#This Row],[Input]]&amp;"*",'Ref-List'!$B:$D,2,)</f>
        <v>RAD-D250H</v>
      </c>
      <c r="H3782" s="86" t="str">
        <f>_xlfn.XLOOKUP(表格1[[#This Row],[Model]],表格3[Model-Input-Ref2],表格3[Product Line])</f>
        <v>壓縮式抽濕機 (25公升)</v>
      </c>
      <c r="I3782" s="86" t="str">
        <f>_xlfn.XLOOKUP(表格1[[#This Row],[Model]],表格3[Model-Input-Ref2],表格3[大小電])</f>
        <v>細電</v>
      </c>
      <c r="J3782" s="86" t="str">
        <f>_xlfn.XLOOKUP(表格1[[#This Row],[Model]],表格3[Model-Input-Ref2],表格3[Code])</f>
        <v>RAC</v>
      </c>
      <c r="K3782" s="89" t="s">
        <v>1407</v>
      </c>
      <c r="L3782" s="86">
        <v>1</v>
      </c>
      <c r="M3782" s="87">
        <v>2080</v>
      </c>
      <c r="N3782" s="87">
        <f>IFERROR(表格1[[#This Row],[QTY]]*表格1[[#This Row],[Unit Price]],"-")</f>
        <v>2080</v>
      </c>
      <c r="O3782" s="86">
        <v>466</v>
      </c>
      <c r="R3782" s="86" t="str">
        <f>_xlfn.CONCAT(表格1[[#This Row],[Model]]," ",表格1[[#This Row],[inv no]])</f>
        <v>RAD-D250H 466</v>
      </c>
      <c r="S3782" s="86">
        <f>_xlfn.XLOOKUP(表格1[[#This Row],[Model]],表格3[Model-Input-Ref2],表格3[SRP PRICE])</f>
        <v>3380</v>
      </c>
      <c r="T3782" s="43">
        <f>表格1[[#This Row],[Unit Price]]/表格1[[#This Row],[SRP]]</f>
        <v>0.61538461538461542</v>
      </c>
      <c r="U3782" s="86" t="str">
        <f>_xlfn.XLOOKUP(表格1[[#This Row],[Model]],表格3[Model-Input-Ref2],表格3[TOSHIBA/HIGHEST])</f>
        <v>Shops Highest Price</v>
      </c>
      <c r="W3782" s="86" t="str">
        <f>_xlfn.CONCAT(表格1[[#This Row],[欄4]],表格1[[#This Row],[inv no]])</f>
        <v>466</v>
      </c>
    </row>
    <row r="3783" spans="1:23" hidden="1">
      <c r="A3783" s="81">
        <v>3781</v>
      </c>
      <c r="B3783" s="86" t="s">
        <v>1403</v>
      </c>
      <c r="C3783" s="86" t="s">
        <v>1973</v>
      </c>
      <c r="D3783" s="89" t="str">
        <f ca="1">OFFSET(Roster!$A$3,MATCH(表格1[[#This Row],[Location]]&amp;" "&amp;表格1[[#This Row],[Shop]]&amp;"*",Roster!$A$4:$A$72,0),DAY(表格1[[#This Row],[date]]),1,1)</f>
        <v>Happy</v>
      </c>
      <c r="E3783" s="86">
        <f>MONTH(表格1[[#This Row],[date]])</f>
        <v>3</v>
      </c>
      <c r="F3783" s="90">
        <v>46085</v>
      </c>
      <c r="G3783" s="86" t="str">
        <f>VLOOKUP("*"&amp;表格1[[#This Row],[Input]]&amp;"*",'Ref-List'!$B:$D,2,)</f>
        <v>ER-VD7000HK(XK)</v>
      </c>
      <c r="H3783" s="86" t="str">
        <f>_xlfn.XLOOKUP(表格1[[#This Row],[Model]],表格3[Model-Input-Ref2],表格3[Product Line])</f>
        <v>水波爐</v>
      </c>
      <c r="I3783" s="86" t="str">
        <f>_xlfn.XLOOKUP(表格1[[#This Row],[Model]],表格3[Model-Input-Ref2],表格3[大小電])</f>
        <v>細電</v>
      </c>
      <c r="J3783" s="86" t="str">
        <f>_xlfn.XLOOKUP(表格1[[#This Row],[Model]],表格3[Model-Input-Ref2],表格3[Code])</f>
        <v>MCA</v>
      </c>
      <c r="K3783" s="89" t="s">
        <v>1469</v>
      </c>
      <c r="L3783" s="86">
        <v>1</v>
      </c>
      <c r="M3783" s="87">
        <v>6060</v>
      </c>
      <c r="N3783" s="87">
        <f>IFERROR(表格1[[#This Row],[QTY]]*表格1[[#This Row],[Unit Price]],"-")</f>
        <v>6060</v>
      </c>
      <c r="O3783" s="86">
        <v>238535</v>
      </c>
      <c r="R3783" s="86" t="str">
        <f>_xlfn.CONCAT(表格1[[#This Row],[Model]]," ",表格1[[#This Row],[inv no]])</f>
        <v>ER-VD7000HK(XK) 238535</v>
      </c>
      <c r="S3783" s="86">
        <f>_xlfn.XLOOKUP(表格1[[#This Row],[Model]],表格3[Model-Input-Ref2],表格3[SRP PRICE])</f>
        <v>8998</v>
      </c>
      <c r="T3783" s="43">
        <f>表格1[[#This Row],[Unit Price]]/表格1[[#This Row],[SRP]]</f>
        <v>0.67348299622138252</v>
      </c>
      <c r="U3783" s="86" t="str">
        <f>_xlfn.XLOOKUP(表格1[[#This Row],[Model]],表格3[Model-Input-Ref2],表格3[TOSHIBA/HIGHEST])</f>
        <v>Toshiba SRP</v>
      </c>
      <c r="W3783" s="86" t="str">
        <f>_xlfn.CONCAT(表格1[[#This Row],[欄4]],表格1[[#This Row],[inv no]])</f>
        <v>238535</v>
      </c>
    </row>
    <row r="3784" spans="1:23" hidden="1">
      <c r="A3784" s="81">
        <v>3782</v>
      </c>
      <c r="B3784" s="86" t="s">
        <v>1403</v>
      </c>
      <c r="C3784" s="86" t="s">
        <v>1973</v>
      </c>
      <c r="D3784" s="89" t="str">
        <f ca="1">OFFSET(Roster!$A$3,MATCH(表格1[[#This Row],[Location]]&amp;" "&amp;表格1[[#This Row],[Shop]]&amp;"*",Roster!$A$4:$A$72,0),DAY(表格1[[#This Row],[date]]),1,1)</f>
        <v>Happy</v>
      </c>
      <c r="E3784" s="86">
        <f>MONTH(表格1[[#This Row],[date]])</f>
        <v>3</v>
      </c>
      <c r="F3784" s="90">
        <v>46085</v>
      </c>
      <c r="G3784" s="86" t="str">
        <f>VLOOKUP("*"&amp;表格1[[#This Row],[Input]]&amp;"*",'Ref-List'!$B:$D,2,)</f>
        <v>RAC-07G3CVG-HK</v>
      </c>
      <c r="H3784" s="86" t="str">
        <f>_xlfn.XLOOKUP(表格1[[#This Row],[Model]],表格3[Model-Input-Ref2],表格3[Product Line])</f>
        <v>3/4 匹 R32變頻窗口式冷氣機</v>
      </c>
      <c r="I3784" s="86" t="str">
        <f>_xlfn.XLOOKUP(表格1[[#This Row],[Model]],表格3[Model-Input-Ref2],表格3[大小電])</f>
        <v>大電</v>
      </c>
      <c r="J3784" s="86" t="str">
        <f>_xlfn.XLOOKUP(表格1[[#This Row],[Model]],表格3[Model-Input-Ref2],表格3[Code])</f>
        <v>AC</v>
      </c>
      <c r="K3784" s="89" t="s">
        <v>1473</v>
      </c>
      <c r="L3784" s="86">
        <v>1</v>
      </c>
      <c r="M3784" s="87">
        <v>3930</v>
      </c>
      <c r="N3784" s="87">
        <f>IFERROR(表格1[[#This Row],[QTY]]*表格1[[#This Row],[Unit Price]],"-")</f>
        <v>3930</v>
      </c>
      <c r="O3784" s="86">
        <v>238538</v>
      </c>
      <c r="R3784" s="86" t="str">
        <f>_xlfn.CONCAT(表格1[[#This Row],[Model]]," ",表格1[[#This Row],[inv no]])</f>
        <v>RAC-07G3CVG-HK 238538</v>
      </c>
      <c r="S3784" s="86">
        <f>_xlfn.XLOOKUP(表格1[[#This Row],[Model]],表格3[Model-Input-Ref2],表格3[SRP PRICE])</f>
        <v>4980</v>
      </c>
      <c r="T3784" s="43">
        <f>表格1[[#This Row],[Unit Price]]/表格1[[#This Row],[SRP]]</f>
        <v>0.78915662650602414</v>
      </c>
      <c r="U3784" s="86" t="str">
        <f>_xlfn.XLOOKUP(表格1[[#This Row],[Model]],表格3[Model-Input-Ref2],表格3[TOSHIBA/HIGHEST])</f>
        <v>Toshiba SRP</v>
      </c>
      <c r="W3784" s="86" t="str">
        <f>_xlfn.CONCAT(表格1[[#This Row],[欄4]],表格1[[#This Row],[inv no]])</f>
        <v>238538</v>
      </c>
    </row>
    <row r="3785" spans="1:23" hidden="1">
      <c r="A3785" s="81">
        <v>3783</v>
      </c>
      <c r="B3785" s="86" t="s">
        <v>1403</v>
      </c>
      <c r="C3785" s="86" t="s">
        <v>1973</v>
      </c>
      <c r="D3785" s="89" t="str">
        <f ca="1">OFFSET(Roster!$A$3,MATCH(表格1[[#This Row],[Location]]&amp;" "&amp;表格1[[#This Row],[Shop]]&amp;"*",Roster!$A$4:$A$72,0),DAY(表格1[[#This Row],[date]]),1,1)</f>
        <v>Happy</v>
      </c>
      <c r="E3785" s="86">
        <f>MONTH(表格1[[#This Row],[date]])</f>
        <v>3</v>
      </c>
      <c r="F3785" s="90">
        <v>46086</v>
      </c>
      <c r="G3785" s="86" t="str">
        <f>VLOOKUP("*"&amp;表格1[[#This Row],[Input]]&amp;"*",'Ref-List'!$B:$D,2,)</f>
        <v>RAD-D250H</v>
      </c>
      <c r="H3785" s="86" t="str">
        <f>_xlfn.XLOOKUP(表格1[[#This Row],[Model]],表格3[Model-Input-Ref2],表格3[Product Line])</f>
        <v>壓縮式抽濕機 (25公升)</v>
      </c>
      <c r="I3785" s="86" t="str">
        <f>_xlfn.XLOOKUP(表格1[[#This Row],[Model]],表格3[Model-Input-Ref2],表格3[大小電])</f>
        <v>細電</v>
      </c>
      <c r="J3785" s="86" t="str">
        <f>_xlfn.XLOOKUP(表格1[[#This Row],[Model]],表格3[Model-Input-Ref2],表格3[Code])</f>
        <v>RAC</v>
      </c>
      <c r="K3785" s="89" t="s">
        <v>1407</v>
      </c>
      <c r="L3785" s="86">
        <v>1</v>
      </c>
      <c r="M3785" s="87">
        <v>2080</v>
      </c>
      <c r="N3785" s="87">
        <f>IFERROR(表格1[[#This Row],[QTY]]*表格1[[#This Row],[Unit Price]],"-")</f>
        <v>2080</v>
      </c>
      <c r="O3785" s="86">
        <v>3335</v>
      </c>
      <c r="R3785" s="86" t="str">
        <f>_xlfn.CONCAT(表格1[[#This Row],[Model]]," ",表格1[[#This Row],[inv no]])</f>
        <v>RAD-D250H 3335</v>
      </c>
      <c r="S3785" s="86">
        <f>_xlfn.XLOOKUP(表格1[[#This Row],[Model]],表格3[Model-Input-Ref2],表格3[SRP PRICE])</f>
        <v>3380</v>
      </c>
      <c r="T3785" s="43">
        <f>表格1[[#This Row],[Unit Price]]/表格1[[#This Row],[SRP]]</f>
        <v>0.61538461538461542</v>
      </c>
      <c r="U3785" s="86" t="str">
        <f>_xlfn.XLOOKUP(表格1[[#This Row],[Model]],表格3[Model-Input-Ref2],表格3[TOSHIBA/HIGHEST])</f>
        <v>Shops Highest Price</v>
      </c>
      <c r="W3785" s="86" t="str">
        <f>_xlfn.CONCAT(表格1[[#This Row],[欄4]],表格1[[#This Row],[inv no]])</f>
        <v>3335</v>
      </c>
    </row>
    <row r="3786" spans="1:23" hidden="1">
      <c r="A3786" s="81">
        <v>3784</v>
      </c>
      <c r="B3786" s="86" t="s">
        <v>1403</v>
      </c>
      <c r="C3786" s="86" t="s">
        <v>1973</v>
      </c>
      <c r="D3786" s="89" t="str">
        <f ca="1">OFFSET(Roster!$A$3,MATCH(表格1[[#This Row],[Location]]&amp;" "&amp;表格1[[#This Row],[Shop]]&amp;"*",Roster!$A$4:$A$72,0),DAY(表格1[[#This Row],[date]]),1,1)</f>
        <v>Happy</v>
      </c>
      <c r="E3786" s="86">
        <f>MONTH(表格1[[#This Row],[date]])</f>
        <v>3</v>
      </c>
      <c r="F3786" s="90">
        <v>46086</v>
      </c>
      <c r="G3786" s="86" t="str">
        <f>VLOOKUP("*"&amp;表格1[[#This Row],[Input]]&amp;"*",'Ref-List'!$B:$D,2,)</f>
        <v>KT-17DRTHK(H)</v>
      </c>
      <c r="H3786" s="86" t="str">
        <f>_xlfn.XLOOKUP(表格1[[#This Row],[Model]],表格3[Model-Input-Ref2],表格3[Product Line])</f>
        <v>無線雙層電熱水壺(1.7公升)</v>
      </c>
      <c r="I3786" s="86" t="str">
        <f>_xlfn.XLOOKUP(表格1[[#This Row],[Model]],表格3[Model-Input-Ref2],表格3[大小電])</f>
        <v>細電</v>
      </c>
      <c r="J3786" s="86" t="str">
        <f>_xlfn.XLOOKUP(表格1[[#This Row],[Model]],表格3[Model-Input-Ref2],表格3[Code])</f>
        <v>SDA</v>
      </c>
      <c r="K3786" s="89" t="s">
        <v>1271</v>
      </c>
      <c r="L3786" s="86">
        <v>1</v>
      </c>
      <c r="M3786" s="87">
        <v>388</v>
      </c>
      <c r="N3786" s="87">
        <f>IFERROR(表格1[[#This Row],[QTY]]*表格1[[#This Row],[Unit Price]],"-")</f>
        <v>388</v>
      </c>
      <c r="O3786" s="86">
        <v>8676</v>
      </c>
      <c r="R3786" s="86" t="str">
        <f>_xlfn.CONCAT(表格1[[#This Row],[Model]]," ",表格1[[#This Row],[inv no]])</f>
        <v>KT-17DRTHK(H) 8676</v>
      </c>
      <c r="S3786" s="86">
        <f>_xlfn.XLOOKUP(表格1[[#This Row],[Model]],表格3[Model-Input-Ref2],表格3[SRP PRICE])</f>
        <v>498</v>
      </c>
      <c r="T3786" s="43">
        <f>表格1[[#This Row],[Unit Price]]/表格1[[#This Row],[SRP]]</f>
        <v>0.77911646586345384</v>
      </c>
      <c r="U3786" s="86" t="str">
        <f>_xlfn.XLOOKUP(表格1[[#This Row],[Model]],表格3[Model-Input-Ref2],表格3[TOSHIBA/HIGHEST])</f>
        <v>Toshiba SRP</v>
      </c>
      <c r="W3786" s="86" t="str">
        <f>_xlfn.CONCAT(表格1[[#This Row],[欄4]],表格1[[#This Row],[inv no]])</f>
        <v>8676</v>
      </c>
    </row>
    <row r="3787" spans="1:23" hidden="1">
      <c r="A3787" s="81">
        <v>3785</v>
      </c>
      <c r="B3787" s="86" t="s">
        <v>1403</v>
      </c>
      <c r="C3787" s="86" t="s">
        <v>1973</v>
      </c>
      <c r="D3787" s="89" t="str">
        <f ca="1">OFFSET(Roster!$A$3,MATCH(表格1[[#This Row],[Location]]&amp;" "&amp;表格1[[#This Row],[Shop]]&amp;"*",Roster!$A$4:$A$72,0),DAY(表格1[[#This Row],[date]]),1,1)</f>
        <v>Happy</v>
      </c>
      <c r="E3787" s="86">
        <f>MONTH(表格1[[#This Row],[date]])</f>
        <v>3</v>
      </c>
      <c r="F3787" s="90">
        <v>46086</v>
      </c>
      <c r="G3787" s="86" t="str">
        <f>VLOOKUP("*"&amp;表格1[[#This Row],[Input]]&amp;"*",'Ref-List'!$B:$D,2,)</f>
        <v>CFK01W75</v>
      </c>
      <c r="H3787" s="86" t="str">
        <f>_xlfn.XLOOKUP(表格1[[#This Row],[Model]],表格3[Model-Input-Ref2],表格3[Product Line])</f>
        <v>變頻頂揭式洗衣機 (7.5公斤)</v>
      </c>
      <c r="I3787" s="86" t="str">
        <f>_xlfn.XLOOKUP(表格1[[#This Row],[Model]],表格3[Model-Input-Ref2],表格3[大小電])</f>
        <v>大電</v>
      </c>
      <c r="J3787" s="86" t="str">
        <f>_xlfn.XLOOKUP(表格1[[#This Row],[Model]],表格3[Model-Input-Ref2],表格3[Code])</f>
        <v>LAD</v>
      </c>
      <c r="K3787" s="89" t="s">
        <v>1266</v>
      </c>
      <c r="L3787" s="86">
        <v>1</v>
      </c>
      <c r="M3787" s="87">
        <v>3580</v>
      </c>
      <c r="N3787" s="87">
        <f>IFERROR(表格1[[#This Row],[QTY]]*表格1[[#This Row],[Unit Price]],"-")</f>
        <v>3580</v>
      </c>
      <c r="O3787" s="86">
        <v>238565</v>
      </c>
      <c r="R3787" s="86" t="str">
        <f>_xlfn.CONCAT(表格1[[#This Row],[Model]]," ",表格1[[#This Row],[inv no]])</f>
        <v>CFK01W75 238565</v>
      </c>
      <c r="S3787" s="86">
        <f>_xlfn.XLOOKUP(表格1[[#This Row],[Model]],表格3[Model-Input-Ref2],表格3[SRP PRICE])</f>
        <v>3888</v>
      </c>
      <c r="T3787" s="43">
        <f>表格1[[#This Row],[Unit Price]]/表格1[[#This Row],[SRP]]</f>
        <v>0.92078189300411528</v>
      </c>
      <c r="U3787" s="86" t="str">
        <f>_xlfn.XLOOKUP(表格1[[#This Row],[Model]],表格3[Model-Input-Ref2],表格3[TOSHIBA/HIGHEST])</f>
        <v>Shops Highest Price</v>
      </c>
      <c r="W3787" s="86" t="str">
        <f>_xlfn.CONCAT(表格1[[#This Row],[欄4]],表格1[[#This Row],[inv no]])</f>
        <v>238565</v>
      </c>
    </row>
    <row r="3788" spans="1:23" hidden="1">
      <c r="A3788" s="81">
        <v>3786</v>
      </c>
      <c r="B3788" s="86" t="s">
        <v>1403</v>
      </c>
      <c r="C3788" s="86" t="s">
        <v>1973</v>
      </c>
      <c r="D3788" s="89" t="str">
        <f ca="1">OFFSET(Roster!$A$3,MATCH(表格1[[#This Row],[Location]]&amp;" "&amp;表格1[[#This Row],[Shop]]&amp;"*",Roster!$A$4:$A$72,0),DAY(表格1[[#This Row],[date]]),1,1)</f>
        <v>Happy</v>
      </c>
      <c r="E3788" s="86">
        <f>MONTH(表格1[[#This Row],[date]])</f>
        <v>3</v>
      </c>
      <c r="F3788" s="90">
        <v>46086</v>
      </c>
      <c r="G3788" s="86" t="str">
        <f>VLOOKUP("*"&amp;表格1[[#This Row],[Input]]&amp;"*",'Ref-List'!$B:$D,2,)</f>
        <v>RAD-D250H</v>
      </c>
      <c r="H3788" s="86" t="str">
        <f>_xlfn.XLOOKUP(表格1[[#This Row],[Model]],表格3[Model-Input-Ref2],表格3[Product Line])</f>
        <v>壓縮式抽濕機 (25公升)</v>
      </c>
      <c r="I3788" s="86" t="str">
        <f>_xlfn.XLOOKUP(表格1[[#This Row],[Model]],表格3[Model-Input-Ref2],表格3[大小電])</f>
        <v>細電</v>
      </c>
      <c r="J3788" s="86" t="str">
        <f>_xlfn.XLOOKUP(表格1[[#This Row],[Model]],表格3[Model-Input-Ref2],表格3[Code])</f>
        <v>RAC</v>
      </c>
      <c r="K3788" s="89" t="s">
        <v>1407</v>
      </c>
      <c r="L3788" s="86">
        <v>1</v>
      </c>
      <c r="M3788" s="87">
        <v>2080</v>
      </c>
      <c r="N3788" s="87">
        <f>IFERROR(表格1[[#This Row],[QTY]]*表格1[[#This Row],[Unit Price]],"-")</f>
        <v>2080</v>
      </c>
      <c r="O3788" s="86">
        <v>238568</v>
      </c>
      <c r="R3788" s="86" t="str">
        <f>_xlfn.CONCAT(表格1[[#This Row],[Model]]," ",表格1[[#This Row],[inv no]])</f>
        <v>RAD-D250H 238568</v>
      </c>
      <c r="S3788" s="86">
        <f>_xlfn.XLOOKUP(表格1[[#This Row],[Model]],表格3[Model-Input-Ref2],表格3[SRP PRICE])</f>
        <v>3380</v>
      </c>
      <c r="T3788" s="43">
        <f>表格1[[#This Row],[Unit Price]]/表格1[[#This Row],[SRP]]</f>
        <v>0.61538461538461542</v>
      </c>
      <c r="U3788" s="86" t="str">
        <f>_xlfn.XLOOKUP(表格1[[#This Row],[Model]],表格3[Model-Input-Ref2],表格3[TOSHIBA/HIGHEST])</f>
        <v>Shops Highest Price</v>
      </c>
      <c r="W3788" s="86" t="str">
        <f>_xlfn.CONCAT(表格1[[#This Row],[欄4]],表格1[[#This Row],[inv no]])</f>
        <v>238568</v>
      </c>
    </row>
    <row r="3789" spans="1:23" hidden="1">
      <c r="A3789" s="81">
        <v>3787</v>
      </c>
      <c r="B3789" s="86" t="s">
        <v>1403</v>
      </c>
      <c r="C3789" s="86" t="s">
        <v>1973</v>
      </c>
      <c r="D3789" s="89" t="str">
        <f ca="1">OFFSET(Roster!$A$3,MATCH(表格1[[#This Row],[Location]]&amp;" "&amp;表格1[[#This Row],[Shop]]&amp;"*",Roster!$A$4:$A$72,0),DAY(表格1[[#This Row],[date]]),1,1)</f>
        <v>Happy</v>
      </c>
      <c r="E3789" s="86">
        <f>MONTH(表格1[[#This Row],[date]])</f>
        <v>3</v>
      </c>
      <c r="F3789" s="90">
        <v>46086</v>
      </c>
      <c r="G3789" s="86" t="str">
        <f>VLOOKUP("*"&amp;表格1[[#This Row],[Input]]&amp;"*",'Ref-List'!$B:$D,2,)</f>
        <v>RAD-D250H</v>
      </c>
      <c r="H3789" s="86" t="str">
        <f>_xlfn.XLOOKUP(表格1[[#This Row],[Model]],表格3[Model-Input-Ref2],表格3[Product Line])</f>
        <v>壓縮式抽濕機 (25公升)</v>
      </c>
      <c r="I3789" s="86" t="str">
        <f>_xlfn.XLOOKUP(表格1[[#This Row],[Model]],表格3[Model-Input-Ref2],表格3[大小電])</f>
        <v>細電</v>
      </c>
      <c r="J3789" s="86" t="str">
        <f>_xlfn.XLOOKUP(表格1[[#This Row],[Model]],表格3[Model-Input-Ref2],表格3[Code])</f>
        <v>RAC</v>
      </c>
      <c r="K3789" s="89" t="s">
        <v>1407</v>
      </c>
      <c r="L3789" s="86">
        <v>1</v>
      </c>
      <c r="M3789" s="87">
        <v>2180</v>
      </c>
      <c r="N3789" s="87">
        <f>IFERROR(表格1[[#This Row],[QTY]]*表格1[[#This Row],[Unit Price]],"-")</f>
        <v>2180</v>
      </c>
      <c r="O3789" s="86">
        <v>238573</v>
      </c>
      <c r="R3789" s="86" t="str">
        <f>_xlfn.CONCAT(表格1[[#This Row],[Model]]," ",表格1[[#This Row],[inv no]])</f>
        <v>RAD-D250H 238573</v>
      </c>
      <c r="S3789" s="86">
        <f>_xlfn.XLOOKUP(表格1[[#This Row],[Model]],表格3[Model-Input-Ref2],表格3[SRP PRICE])</f>
        <v>3380</v>
      </c>
      <c r="T3789" s="43">
        <f>表格1[[#This Row],[Unit Price]]/表格1[[#This Row],[SRP]]</f>
        <v>0.6449704142011834</v>
      </c>
      <c r="U3789" s="86" t="str">
        <f>_xlfn.XLOOKUP(表格1[[#This Row],[Model]],表格3[Model-Input-Ref2],表格3[TOSHIBA/HIGHEST])</f>
        <v>Shops Highest Price</v>
      </c>
      <c r="W3789" s="86" t="str">
        <f>_xlfn.CONCAT(表格1[[#This Row],[欄4]],表格1[[#This Row],[inv no]])</f>
        <v>238573</v>
      </c>
    </row>
    <row r="3790" spans="1:23" hidden="1">
      <c r="A3790" s="81">
        <v>3788</v>
      </c>
      <c r="B3790" s="86" t="s">
        <v>1403</v>
      </c>
      <c r="C3790" s="86" t="s">
        <v>1973</v>
      </c>
      <c r="D3790" s="89" t="str">
        <f ca="1">OFFSET(Roster!$A$3,MATCH(表格1[[#This Row],[Location]]&amp;" "&amp;表格1[[#This Row],[Shop]]&amp;"*",Roster!$A$4:$A$72,0),DAY(表格1[[#This Row],[date]]),1,1)</f>
        <v>Happy</v>
      </c>
      <c r="E3790" s="86">
        <f>MONTH(表格1[[#This Row],[date]])</f>
        <v>3</v>
      </c>
      <c r="F3790" s="90">
        <v>46086</v>
      </c>
      <c r="G3790" s="86" t="str">
        <f>VLOOKUP("*"&amp;表格1[[#This Row],[Input]]&amp;"*",'Ref-List'!$B:$D,2,)</f>
        <v>MM-2MM20PC(WH)</v>
      </c>
      <c r="H3790" s="86" t="str">
        <f>_xlfn.XLOOKUP(表格1[[#This Row],[Model]],表格3[Model-Input-Ref2],表格3[Product Line])</f>
        <v>旋鈕式微波爐 (20公升)</v>
      </c>
      <c r="I3790" s="86" t="str">
        <f>_xlfn.XLOOKUP(表格1[[#This Row],[Model]],表格3[Model-Input-Ref2],表格3[大小電])</f>
        <v>細電</v>
      </c>
      <c r="J3790" s="86" t="str">
        <f>_xlfn.XLOOKUP(表格1[[#This Row],[Model]],表格3[Model-Input-Ref2],表格3[Code])</f>
        <v>MCA</v>
      </c>
      <c r="K3790" s="89" t="s">
        <v>1388</v>
      </c>
      <c r="L3790" s="86">
        <v>1</v>
      </c>
      <c r="M3790" s="87">
        <v>598</v>
      </c>
      <c r="N3790" s="87">
        <f>IFERROR(表格1[[#This Row],[QTY]]*表格1[[#This Row],[Unit Price]],"-")</f>
        <v>598</v>
      </c>
      <c r="O3790" s="86">
        <v>238575</v>
      </c>
      <c r="R3790" s="86" t="str">
        <f>_xlfn.CONCAT(表格1[[#This Row],[Model]]," ",表格1[[#This Row],[inv no]])</f>
        <v>MM-2MM20PC(WH) 238575</v>
      </c>
      <c r="S3790" s="86">
        <f>_xlfn.XLOOKUP(表格1[[#This Row],[Model]],表格3[Model-Input-Ref2],表格3[SRP PRICE])</f>
        <v>738</v>
      </c>
      <c r="T3790" s="43">
        <f>表格1[[#This Row],[Unit Price]]/表格1[[#This Row],[SRP]]</f>
        <v>0.81029810298102978</v>
      </c>
      <c r="U3790" s="86" t="str">
        <f>_xlfn.XLOOKUP(表格1[[#This Row],[Model]],表格3[Model-Input-Ref2],表格3[TOSHIBA/HIGHEST])</f>
        <v>Toshiba SRP</v>
      </c>
      <c r="W3790" s="86" t="str">
        <f>_xlfn.CONCAT(表格1[[#This Row],[欄4]],表格1[[#This Row],[inv no]])</f>
        <v>238575</v>
      </c>
    </row>
    <row r="3791" spans="1:23" hidden="1">
      <c r="A3791" s="81">
        <v>3789</v>
      </c>
      <c r="B3791" s="86" t="s">
        <v>1403</v>
      </c>
      <c r="C3791" s="86" t="s">
        <v>1973</v>
      </c>
      <c r="D3791" s="89" t="str">
        <f ca="1">OFFSET(Roster!$A$3,MATCH(表格1[[#This Row],[Location]]&amp;" "&amp;表格1[[#This Row],[Shop]]&amp;"*",Roster!$A$4:$A$72,0),DAY(表格1[[#This Row],[date]]),1,1)</f>
        <v>Happy</v>
      </c>
      <c r="E3791" s="86">
        <f>MONTH(表格1[[#This Row],[date]])</f>
        <v>3</v>
      </c>
      <c r="F3791" s="90">
        <v>46086</v>
      </c>
      <c r="G3791" s="86" t="str">
        <f>VLOOKUP("*"&amp;表格1[[#This Row],[Input]]&amp;"*",'Ref-List'!$B:$D,2,)</f>
        <v>TWD-T22BU95UWH(WK)-B</v>
      </c>
      <c r="H3791" s="86" t="str">
        <f>_xlfn.XLOOKUP(表格1[[#This Row],[Model]],表格3[Model-Input-Ref2],表格3[Product Line])</f>
        <v>470MM超薄身前置式變頻洗衣乾衣機 (洗8.5公斤/乾6公斤, 可飛頂)</v>
      </c>
      <c r="I3791" s="86" t="str">
        <f>_xlfn.XLOOKUP(表格1[[#This Row],[Model]],表格3[Model-Input-Ref2],表格3[大小電])</f>
        <v>大電</v>
      </c>
      <c r="J3791" s="86" t="str">
        <f>_xlfn.XLOOKUP(表格1[[#This Row],[Model]],表格3[Model-Input-Ref2],表格3[Code])</f>
        <v>LAD</v>
      </c>
      <c r="K3791" s="89" t="s">
        <v>1421</v>
      </c>
      <c r="L3791" s="86">
        <v>1</v>
      </c>
      <c r="M3791" s="87">
        <v>4780</v>
      </c>
      <c r="N3791" s="87">
        <f>IFERROR(表格1[[#This Row],[QTY]]*表格1[[#This Row],[Unit Price]],"-")</f>
        <v>4780</v>
      </c>
      <c r="O3791" s="86">
        <v>238575</v>
      </c>
      <c r="R3791" s="86" t="str">
        <f>_xlfn.CONCAT(表格1[[#This Row],[Model]]," ",表格1[[#This Row],[inv no]])</f>
        <v>TWD-T22BU95UWH(WK)-B 238575</v>
      </c>
      <c r="S3791" s="86">
        <f>_xlfn.XLOOKUP(表格1[[#This Row],[Model]],表格3[Model-Input-Ref2],表格3[SRP PRICE])</f>
        <v>7480</v>
      </c>
      <c r="T3791" s="43">
        <f>表格1[[#This Row],[Unit Price]]/表格1[[#This Row],[SRP]]</f>
        <v>0.63903743315508021</v>
      </c>
      <c r="U3791" s="86" t="str">
        <f>_xlfn.XLOOKUP(表格1[[#This Row],[Model]],表格3[Model-Input-Ref2],表格3[TOSHIBA/HIGHEST])</f>
        <v>Toshiba SRP</v>
      </c>
      <c r="W3791" s="86" t="str">
        <f>_xlfn.CONCAT(表格1[[#This Row],[欄4]],表格1[[#This Row],[inv no]])</f>
        <v>238575</v>
      </c>
    </row>
    <row r="3792" spans="1:23" hidden="1">
      <c r="A3792" s="81">
        <v>3790</v>
      </c>
      <c r="B3792" s="86" t="s">
        <v>1403</v>
      </c>
      <c r="C3792" s="86" t="s">
        <v>1973</v>
      </c>
      <c r="D3792" s="89" t="str">
        <f ca="1">OFFSET(Roster!$A$3,MATCH(表格1[[#This Row],[Location]]&amp;" "&amp;表格1[[#This Row],[Shop]]&amp;"*",Roster!$A$4:$A$72,0),DAY(表格1[[#This Row],[date]]),1,1)</f>
        <v>Happy</v>
      </c>
      <c r="E3792" s="86">
        <f>MONTH(表格1[[#This Row],[date]])</f>
        <v>3</v>
      </c>
      <c r="F3792" s="90">
        <v>46086</v>
      </c>
      <c r="G3792" s="86" t="str">
        <f>VLOOKUP("*"&amp;表格1[[#This Row],[Input]]&amp;"*",'Ref-List'!$B:$D,2,)</f>
        <v>RAD-D250H</v>
      </c>
      <c r="H3792" s="86" t="str">
        <f>_xlfn.XLOOKUP(表格1[[#This Row],[Model]],表格3[Model-Input-Ref2],表格3[Product Line])</f>
        <v>壓縮式抽濕機 (25公升)</v>
      </c>
      <c r="I3792" s="86" t="str">
        <f>_xlfn.XLOOKUP(表格1[[#This Row],[Model]],表格3[Model-Input-Ref2],表格3[大小電])</f>
        <v>細電</v>
      </c>
      <c r="J3792" s="86" t="str">
        <f>_xlfn.XLOOKUP(表格1[[#This Row],[Model]],表格3[Model-Input-Ref2],表格3[Code])</f>
        <v>RAC</v>
      </c>
      <c r="K3792" s="89" t="s">
        <v>1407</v>
      </c>
      <c r="L3792" s="86">
        <v>1</v>
      </c>
      <c r="M3792" s="87">
        <v>2080</v>
      </c>
      <c r="N3792" s="87">
        <f>IFERROR(表格1[[#This Row],[QTY]]*表格1[[#This Row],[Unit Price]],"-")</f>
        <v>2080</v>
      </c>
      <c r="O3792" s="86">
        <v>238581</v>
      </c>
      <c r="R3792" s="86" t="str">
        <f>_xlfn.CONCAT(表格1[[#This Row],[Model]]," ",表格1[[#This Row],[inv no]])</f>
        <v>RAD-D250H 238581</v>
      </c>
      <c r="S3792" s="86">
        <f>_xlfn.XLOOKUP(表格1[[#This Row],[Model]],表格3[Model-Input-Ref2],表格3[SRP PRICE])</f>
        <v>3380</v>
      </c>
      <c r="T3792" s="43">
        <f>表格1[[#This Row],[Unit Price]]/表格1[[#This Row],[SRP]]</f>
        <v>0.61538461538461542</v>
      </c>
      <c r="U3792" s="86" t="str">
        <f>_xlfn.XLOOKUP(表格1[[#This Row],[Model]],表格3[Model-Input-Ref2],表格3[TOSHIBA/HIGHEST])</f>
        <v>Shops Highest Price</v>
      </c>
      <c r="W3792" s="86" t="str">
        <f>_xlfn.CONCAT(表格1[[#This Row],[欄4]],表格1[[#This Row],[inv no]])</f>
        <v>238581</v>
      </c>
    </row>
    <row r="3793" spans="1:23" hidden="1">
      <c r="A3793" s="81">
        <v>3791</v>
      </c>
      <c r="B3793" s="86" t="s">
        <v>1403</v>
      </c>
      <c r="C3793" s="86" t="s">
        <v>1973</v>
      </c>
      <c r="D3793" s="89" t="str">
        <f ca="1">OFFSET(Roster!$A$3,MATCH(表格1[[#This Row],[Location]]&amp;" "&amp;表格1[[#This Row],[Shop]]&amp;"*",Roster!$A$4:$A$72,0),DAY(表格1[[#This Row],[date]]),1,1)</f>
        <v>Happy</v>
      </c>
      <c r="E3793" s="86">
        <f>MONTH(表格1[[#This Row],[date]])</f>
        <v>3</v>
      </c>
      <c r="F3793" s="90">
        <v>46086</v>
      </c>
      <c r="G3793" s="86" t="str">
        <f>VLOOKUP("*"&amp;表格1[[#This Row],[Input]]&amp;"*",'Ref-List'!$B:$D,2,)</f>
        <v>TWD-T22BU95UWH(WK)-B</v>
      </c>
      <c r="H3793" s="86" t="str">
        <f>_xlfn.XLOOKUP(表格1[[#This Row],[Model]],表格3[Model-Input-Ref2],表格3[Product Line])</f>
        <v>470MM超薄身前置式變頻洗衣乾衣機 (洗8.5公斤/乾6公斤, 可飛頂)</v>
      </c>
      <c r="I3793" s="86" t="str">
        <f>_xlfn.XLOOKUP(表格1[[#This Row],[Model]],表格3[Model-Input-Ref2],表格3[大小電])</f>
        <v>大電</v>
      </c>
      <c r="J3793" s="86" t="str">
        <f>_xlfn.XLOOKUP(表格1[[#This Row],[Model]],表格3[Model-Input-Ref2],表格3[Code])</f>
        <v>LAD</v>
      </c>
      <c r="K3793" s="89" t="s">
        <v>1421</v>
      </c>
      <c r="L3793" s="86">
        <v>1</v>
      </c>
      <c r="M3793" s="87">
        <v>4780</v>
      </c>
      <c r="N3793" s="87">
        <f>IFERROR(表格1[[#This Row],[QTY]]*表格1[[#This Row],[Unit Price]],"-")</f>
        <v>4780</v>
      </c>
      <c r="O3793" s="86">
        <v>238584</v>
      </c>
      <c r="R3793" s="86" t="str">
        <f>_xlfn.CONCAT(表格1[[#This Row],[Model]]," ",表格1[[#This Row],[inv no]])</f>
        <v>TWD-T22BU95UWH(WK)-B 238584</v>
      </c>
      <c r="S3793" s="86">
        <f>_xlfn.XLOOKUP(表格1[[#This Row],[Model]],表格3[Model-Input-Ref2],表格3[SRP PRICE])</f>
        <v>7480</v>
      </c>
      <c r="T3793" s="43">
        <f>表格1[[#This Row],[Unit Price]]/表格1[[#This Row],[SRP]]</f>
        <v>0.63903743315508021</v>
      </c>
      <c r="U3793" s="86" t="str">
        <f>_xlfn.XLOOKUP(表格1[[#This Row],[Model]],表格3[Model-Input-Ref2],表格3[TOSHIBA/HIGHEST])</f>
        <v>Toshiba SRP</v>
      </c>
      <c r="W3793" s="86" t="str">
        <f>_xlfn.CONCAT(表格1[[#This Row],[欄4]],表格1[[#This Row],[inv no]])</f>
        <v>238584</v>
      </c>
    </row>
    <row r="3794" spans="1:23" hidden="1">
      <c r="A3794" s="81">
        <v>3792</v>
      </c>
      <c r="B3794" s="86" t="s">
        <v>1403</v>
      </c>
      <c r="C3794" s="86" t="s">
        <v>1973</v>
      </c>
      <c r="D3794" s="89" t="str">
        <f ca="1">OFFSET(Roster!$A$3,MATCH(表格1[[#This Row],[Location]]&amp;" "&amp;表格1[[#This Row],[Shop]]&amp;"*",Roster!$A$4:$A$72,0),DAY(表格1[[#This Row],[date]]),1,1)</f>
        <v>Happy</v>
      </c>
      <c r="E3794" s="86">
        <f>MONTH(表格1[[#This Row],[date]])</f>
        <v>3</v>
      </c>
      <c r="F3794" s="90">
        <v>46086</v>
      </c>
      <c r="G3794" s="86" t="str">
        <f>VLOOKUP("*"&amp;表格1[[#This Row],[Input]]&amp;"*",'Ref-List'!$B:$D,2,)</f>
        <v>KT-17DRTHK(H)</v>
      </c>
      <c r="H3794" s="86" t="str">
        <f>_xlfn.XLOOKUP(表格1[[#This Row],[Model]],表格3[Model-Input-Ref2],表格3[Product Line])</f>
        <v>無線雙層電熱水壺(1.7公升)</v>
      </c>
      <c r="I3794" s="86" t="str">
        <f>_xlfn.XLOOKUP(表格1[[#This Row],[Model]],表格3[Model-Input-Ref2],表格3[大小電])</f>
        <v>細電</v>
      </c>
      <c r="J3794" s="86" t="str">
        <f>_xlfn.XLOOKUP(表格1[[#This Row],[Model]],表格3[Model-Input-Ref2],表格3[Code])</f>
        <v>SDA</v>
      </c>
      <c r="K3794" s="89" t="s">
        <v>1271</v>
      </c>
      <c r="L3794" s="86">
        <v>1</v>
      </c>
      <c r="M3794" s="87">
        <v>388</v>
      </c>
      <c r="N3794" s="87">
        <f>IFERROR(表格1[[#This Row],[QTY]]*表格1[[#This Row],[Unit Price]],"-")</f>
        <v>388</v>
      </c>
      <c r="O3794" s="86">
        <v>8678</v>
      </c>
      <c r="R3794" s="86" t="str">
        <f>_xlfn.CONCAT(表格1[[#This Row],[Model]]," ",表格1[[#This Row],[inv no]])</f>
        <v>KT-17DRTHK(H) 8678</v>
      </c>
      <c r="S3794" s="86">
        <f>_xlfn.XLOOKUP(表格1[[#This Row],[Model]],表格3[Model-Input-Ref2],表格3[SRP PRICE])</f>
        <v>498</v>
      </c>
      <c r="T3794" s="43">
        <f>表格1[[#This Row],[Unit Price]]/表格1[[#This Row],[SRP]]</f>
        <v>0.77911646586345384</v>
      </c>
      <c r="U3794" s="86" t="str">
        <f>_xlfn.XLOOKUP(表格1[[#This Row],[Model]],表格3[Model-Input-Ref2],表格3[TOSHIBA/HIGHEST])</f>
        <v>Toshiba SRP</v>
      </c>
      <c r="W3794" s="86" t="str">
        <f>_xlfn.CONCAT(表格1[[#This Row],[欄4]],表格1[[#This Row],[inv no]])</f>
        <v>8678</v>
      </c>
    </row>
    <row r="3795" spans="1:23" hidden="1">
      <c r="A3795" s="81">
        <v>3793</v>
      </c>
      <c r="B3795" s="86" t="s">
        <v>1403</v>
      </c>
      <c r="C3795" s="86" t="s">
        <v>1973</v>
      </c>
      <c r="D3795" s="89" t="str">
        <f ca="1">OFFSET(Roster!$A$3,MATCH(表格1[[#This Row],[Location]]&amp;" "&amp;表格1[[#This Row],[Shop]]&amp;"*",Roster!$A$4:$A$72,0),DAY(表格1[[#This Row],[date]]),1,1)</f>
        <v>Happy</v>
      </c>
      <c r="E3795" s="86">
        <f>MONTH(表格1[[#This Row],[date]])</f>
        <v>3</v>
      </c>
      <c r="F3795" s="90">
        <v>46086</v>
      </c>
      <c r="G3795" s="86" t="str">
        <f>VLOOKUP("*"&amp;表格1[[#This Row],[Input]]&amp;"*",'Ref-List'!$B:$D,2,)</f>
        <v>RAD-D250H</v>
      </c>
      <c r="H3795" s="86" t="str">
        <f>_xlfn.XLOOKUP(表格1[[#This Row],[Model]],表格3[Model-Input-Ref2],表格3[Product Line])</f>
        <v>壓縮式抽濕機 (25公升)</v>
      </c>
      <c r="I3795" s="86" t="str">
        <f>_xlfn.XLOOKUP(表格1[[#This Row],[Model]],表格3[Model-Input-Ref2],表格3[大小電])</f>
        <v>細電</v>
      </c>
      <c r="J3795" s="86" t="str">
        <f>_xlfn.XLOOKUP(表格1[[#This Row],[Model]],表格3[Model-Input-Ref2],表格3[Code])</f>
        <v>RAC</v>
      </c>
      <c r="K3795" s="89" t="s">
        <v>1407</v>
      </c>
      <c r="L3795" s="86">
        <v>1</v>
      </c>
      <c r="M3795" s="87">
        <v>2080</v>
      </c>
      <c r="N3795" s="87">
        <f>IFERROR(表格1[[#This Row],[QTY]]*表格1[[#This Row],[Unit Price]],"-")</f>
        <v>2080</v>
      </c>
      <c r="O3795" s="86">
        <v>8672</v>
      </c>
      <c r="R3795" s="86" t="str">
        <f>_xlfn.CONCAT(表格1[[#This Row],[Model]]," ",表格1[[#This Row],[inv no]])</f>
        <v>RAD-D250H 8672</v>
      </c>
      <c r="S3795" s="86">
        <f>_xlfn.XLOOKUP(表格1[[#This Row],[Model]],表格3[Model-Input-Ref2],表格3[SRP PRICE])</f>
        <v>3380</v>
      </c>
      <c r="T3795" s="43">
        <f>表格1[[#This Row],[Unit Price]]/表格1[[#This Row],[SRP]]</f>
        <v>0.61538461538461542</v>
      </c>
      <c r="U3795" s="86" t="str">
        <f>_xlfn.XLOOKUP(表格1[[#This Row],[Model]],表格3[Model-Input-Ref2],表格3[TOSHIBA/HIGHEST])</f>
        <v>Shops Highest Price</v>
      </c>
      <c r="W3795" s="86" t="str">
        <f>_xlfn.CONCAT(表格1[[#This Row],[欄4]],表格1[[#This Row],[inv no]])</f>
        <v>8672</v>
      </c>
    </row>
    <row r="3796" spans="1:23" hidden="1">
      <c r="A3796" s="81">
        <v>3794</v>
      </c>
      <c r="B3796" s="86" t="s">
        <v>1403</v>
      </c>
      <c r="C3796" s="86" t="s">
        <v>1973</v>
      </c>
      <c r="D3796" s="89" t="str">
        <f ca="1">OFFSET(Roster!$A$3,MATCH(表格1[[#This Row],[Location]]&amp;" "&amp;表格1[[#This Row],[Shop]]&amp;"*",Roster!$A$4:$A$72,0),DAY(表格1[[#This Row],[date]]),1,1)</f>
        <v>Happy</v>
      </c>
      <c r="E3796" s="86">
        <f>MONTH(表格1[[#This Row],[date]])</f>
        <v>3</v>
      </c>
      <c r="F3796" s="90">
        <v>46088</v>
      </c>
      <c r="G3796" s="86" t="str">
        <f>VLOOKUP("*"&amp;表格1[[#This Row],[Input]]&amp;"*",'Ref-List'!$B:$D,2,)</f>
        <v>KT-17DRTHK(H)</v>
      </c>
      <c r="H3796" s="86" t="str">
        <f>_xlfn.XLOOKUP(表格1[[#This Row],[Model]],表格3[Model-Input-Ref2],表格3[Product Line])</f>
        <v>無線雙層電熱水壺(1.7公升)</v>
      </c>
      <c r="I3796" s="86" t="str">
        <f>_xlfn.XLOOKUP(表格1[[#This Row],[Model]],表格3[Model-Input-Ref2],表格3[大小電])</f>
        <v>細電</v>
      </c>
      <c r="J3796" s="86" t="str">
        <f>_xlfn.XLOOKUP(表格1[[#This Row],[Model]],表格3[Model-Input-Ref2],表格3[Code])</f>
        <v>SDA</v>
      </c>
      <c r="K3796" s="89" t="s">
        <v>1271</v>
      </c>
      <c r="L3796" s="86">
        <v>1</v>
      </c>
      <c r="M3796" s="87">
        <v>388</v>
      </c>
      <c r="N3796" s="87">
        <f>IFERROR(表格1[[#This Row],[QTY]]*表格1[[#This Row],[Unit Price]],"-")</f>
        <v>388</v>
      </c>
      <c r="O3796" s="86">
        <v>238613</v>
      </c>
      <c r="R3796" s="86" t="str">
        <f>_xlfn.CONCAT(表格1[[#This Row],[Model]]," ",表格1[[#This Row],[inv no]])</f>
        <v>KT-17DRTHK(H) 238613</v>
      </c>
      <c r="S3796" s="86">
        <f>_xlfn.XLOOKUP(表格1[[#This Row],[Model]],表格3[Model-Input-Ref2],表格3[SRP PRICE])</f>
        <v>498</v>
      </c>
      <c r="T3796" s="43">
        <f>表格1[[#This Row],[Unit Price]]/表格1[[#This Row],[SRP]]</f>
        <v>0.77911646586345384</v>
      </c>
      <c r="U3796" s="86" t="str">
        <f>_xlfn.XLOOKUP(表格1[[#This Row],[Model]],表格3[Model-Input-Ref2],表格3[TOSHIBA/HIGHEST])</f>
        <v>Toshiba SRP</v>
      </c>
      <c r="W3796" s="86" t="str">
        <f>_xlfn.CONCAT(表格1[[#This Row],[欄4]],表格1[[#This Row],[inv no]])</f>
        <v>238613</v>
      </c>
    </row>
    <row r="3797" spans="1:23" hidden="1">
      <c r="A3797" s="81">
        <v>3795</v>
      </c>
      <c r="B3797" s="86" t="s">
        <v>1403</v>
      </c>
      <c r="C3797" s="86" t="s">
        <v>1973</v>
      </c>
      <c r="D3797" s="89" t="str">
        <f ca="1">OFFSET(Roster!$A$3,MATCH(表格1[[#This Row],[Location]]&amp;" "&amp;表格1[[#This Row],[Shop]]&amp;"*",Roster!$A$4:$A$72,0),DAY(表格1[[#This Row],[date]]),1,1)</f>
        <v>Happy</v>
      </c>
      <c r="E3797" s="86">
        <f>MONTH(表格1[[#This Row],[date]])</f>
        <v>3</v>
      </c>
      <c r="F3797" s="90">
        <v>46088</v>
      </c>
      <c r="G3797" s="86" t="str">
        <f>VLOOKUP("*"&amp;表格1[[#This Row],[Input]]&amp;"*",'Ref-List'!$B:$D,2,)</f>
        <v>KT-17DRTHK(H)</v>
      </c>
      <c r="H3797" s="86" t="str">
        <f>_xlfn.XLOOKUP(表格1[[#This Row],[Model]],表格3[Model-Input-Ref2],表格3[Product Line])</f>
        <v>無線雙層電熱水壺(1.7公升)</v>
      </c>
      <c r="I3797" s="86" t="str">
        <f>_xlfn.XLOOKUP(表格1[[#This Row],[Model]],表格3[Model-Input-Ref2],表格3[大小電])</f>
        <v>細電</v>
      </c>
      <c r="J3797" s="86" t="str">
        <f>_xlfn.XLOOKUP(表格1[[#This Row],[Model]],表格3[Model-Input-Ref2],表格3[Code])</f>
        <v>SDA</v>
      </c>
      <c r="K3797" s="89" t="s">
        <v>1271</v>
      </c>
      <c r="L3797" s="86">
        <v>1</v>
      </c>
      <c r="M3797" s="87">
        <v>388</v>
      </c>
      <c r="N3797" s="87">
        <f>IFERROR(表格1[[#This Row],[QTY]]*表格1[[#This Row],[Unit Price]],"-")</f>
        <v>388</v>
      </c>
      <c r="O3797" s="86">
        <v>1049</v>
      </c>
      <c r="R3797" s="86" t="str">
        <f>_xlfn.CONCAT(表格1[[#This Row],[Model]]," ",表格1[[#This Row],[inv no]])</f>
        <v>KT-17DRTHK(H) 1049</v>
      </c>
      <c r="S3797" s="86">
        <f>_xlfn.XLOOKUP(表格1[[#This Row],[Model]],表格3[Model-Input-Ref2],表格3[SRP PRICE])</f>
        <v>498</v>
      </c>
      <c r="T3797" s="43">
        <f>表格1[[#This Row],[Unit Price]]/表格1[[#This Row],[SRP]]</f>
        <v>0.77911646586345384</v>
      </c>
      <c r="U3797" s="86" t="str">
        <f>_xlfn.XLOOKUP(表格1[[#This Row],[Model]],表格3[Model-Input-Ref2],表格3[TOSHIBA/HIGHEST])</f>
        <v>Toshiba SRP</v>
      </c>
      <c r="W3797" s="86" t="str">
        <f>_xlfn.CONCAT(表格1[[#This Row],[欄4]],表格1[[#This Row],[inv no]])</f>
        <v>1049</v>
      </c>
    </row>
    <row r="3798" spans="1:23" hidden="1">
      <c r="A3798" s="81">
        <v>3796</v>
      </c>
      <c r="B3798" s="86" t="s">
        <v>1403</v>
      </c>
      <c r="C3798" s="86" t="s">
        <v>1973</v>
      </c>
      <c r="D3798" s="89" t="str">
        <f ca="1">OFFSET(Roster!$A$3,MATCH(表格1[[#This Row],[Location]]&amp;" "&amp;表格1[[#This Row],[Shop]]&amp;"*",Roster!$A$4:$A$72,0),DAY(表格1[[#This Row],[date]]),1,1)</f>
        <v>Happy</v>
      </c>
      <c r="E3798" s="86">
        <f>MONTH(表格1[[#This Row],[date]])</f>
        <v>3</v>
      </c>
      <c r="F3798" s="90">
        <v>46088</v>
      </c>
      <c r="G3798" s="86" t="str">
        <f>VLOOKUP("*"&amp;表格1[[#This Row],[Input]]&amp;"*",'Ref-List'!$B:$D,2,)</f>
        <v>RAD-D250H</v>
      </c>
      <c r="H3798" s="86" t="str">
        <f>_xlfn.XLOOKUP(表格1[[#This Row],[Model]],表格3[Model-Input-Ref2],表格3[Product Line])</f>
        <v>壓縮式抽濕機 (25公升)</v>
      </c>
      <c r="I3798" s="86" t="str">
        <f>_xlfn.XLOOKUP(表格1[[#This Row],[Model]],表格3[Model-Input-Ref2],表格3[大小電])</f>
        <v>細電</v>
      </c>
      <c r="J3798" s="86" t="str">
        <f>_xlfn.XLOOKUP(表格1[[#This Row],[Model]],表格3[Model-Input-Ref2],表格3[Code])</f>
        <v>RAC</v>
      </c>
      <c r="K3798" s="89" t="s">
        <v>1407</v>
      </c>
      <c r="L3798" s="86">
        <v>1</v>
      </c>
      <c r="M3798" s="87">
        <v>2080</v>
      </c>
      <c r="N3798" s="87">
        <f>IFERROR(表格1[[#This Row],[QTY]]*表格1[[#This Row],[Unit Price]],"-")</f>
        <v>2080</v>
      </c>
      <c r="O3798" s="86">
        <v>238622</v>
      </c>
      <c r="R3798" s="86" t="str">
        <f>_xlfn.CONCAT(表格1[[#This Row],[Model]]," ",表格1[[#This Row],[inv no]])</f>
        <v>RAD-D250H 238622</v>
      </c>
      <c r="S3798" s="86">
        <f>_xlfn.XLOOKUP(表格1[[#This Row],[Model]],表格3[Model-Input-Ref2],表格3[SRP PRICE])</f>
        <v>3380</v>
      </c>
      <c r="T3798" s="43">
        <f>表格1[[#This Row],[Unit Price]]/表格1[[#This Row],[SRP]]</f>
        <v>0.61538461538461542</v>
      </c>
      <c r="U3798" s="86" t="str">
        <f>_xlfn.XLOOKUP(表格1[[#This Row],[Model]],表格3[Model-Input-Ref2],表格3[TOSHIBA/HIGHEST])</f>
        <v>Shops Highest Price</v>
      </c>
      <c r="W3798" s="86" t="str">
        <f>_xlfn.CONCAT(表格1[[#This Row],[欄4]],表格1[[#This Row],[inv no]])</f>
        <v>238622</v>
      </c>
    </row>
    <row r="3799" spans="1:23" hidden="1">
      <c r="A3799" s="81">
        <v>3797</v>
      </c>
      <c r="B3799" s="86" t="s">
        <v>1403</v>
      </c>
      <c r="C3799" s="86" t="s">
        <v>1973</v>
      </c>
      <c r="D3799" s="89" t="str">
        <f ca="1">OFFSET(Roster!$A$3,MATCH(表格1[[#This Row],[Location]]&amp;" "&amp;表格1[[#This Row],[Shop]]&amp;"*",Roster!$A$4:$A$72,0),DAY(表格1[[#This Row],[date]]),1,1)</f>
        <v>Happy</v>
      </c>
      <c r="E3799" s="86">
        <f>MONTH(表格1[[#This Row],[date]])</f>
        <v>3</v>
      </c>
      <c r="F3799" s="90">
        <v>46088</v>
      </c>
      <c r="G3799" s="86" t="str">
        <f>VLOOKUP("*"&amp;表格1[[#This Row],[Input]]&amp;"*",'Ref-List'!$B:$D,2,)</f>
        <v>RAD-D250H</v>
      </c>
      <c r="H3799" s="86" t="str">
        <f>_xlfn.XLOOKUP(表格1[[#This Row],[Model]],表格3[Model-Input-Ref2],表格3[Product Line])</f>
        <v>壓縮式抽濕機 (25公升)</v>
      </c>
      <c r="I3799" s="86" t="str">
        <f>_xlfn.XLOOKUP(表格1[[#This Row],[Model]],表格3[Model-Input-Ref2],表格3[大小電])</f>
        <v>細電</v>
      </c>
      <c r="J3799" s="86" t="str">
        <f>_xlfn.XLOOKUP(表格1[[#This Row],[Model]],表格3[Model-Input-Ref2],表格3[Code])</f>
        <v>RAC</v>
      </c>
      <c r="K3799" s="89" t="s">
        <v>1407</v>
      </c>
      <c r="L3799" s="86">
        <v>1</v>
      </c>
      <c r="M3799" s="87">
        <v>2080</v>
      </c>
      <c r="N3799" s="87">
        <f>IFERROR(表格1[[#This Row],[QTY]]*表格1[[#This Row],[Unit Price]],"-")</f>
        <v>2080</v>
      </c>
      <c r="O3799" s="86">
        <v>238603</v>
      </c>
      <c r="R3799" s="86" t="str">
        <f>_xlfn.CONCAT(表格1[[#This Row],[Model]]," ",表格1[[#This Row],[inv no]])</f>
        <v>RAD-D250H 238603</v>
      </c>
      <c r="S3799" s="86">
        <f>_xlfn.XLOOKUP(表格1[[#This Row],[Model]],表格3[Model-Input-Ref2],表格3[SRP PRICE])</f>
        <v>3380</v>
      </c>
      <c r="T3799" s="43">
        <f>表格1[[#This Row],[Unit Price]]/表格1[[#This Row],[SRP]]</f>
        <v>0.61538461538461542</v>
      </c>
      <c r="U3799" s="86" t="str">
        <f>_xlfn.XLOOKUP(表格1[[#This Row],[Model]],表格3[Model-Input-Ref2],表格3[TOSHIBA/HIGHEST])</f>
        <v>Shops Highest Price</v>
      </c>
      <c r="W3799" s="86" t="str">
        <f>_xlfn.CONCAT(表格1[[#This Row],[欄4]],表格1[[#This Row],[inv no]])</f>
        <v>238603</v>
      </c>
    </row>
    <row r="3800" spans="1:23" hidden="1">
      <c r="A3800" s="81">
        <v>3798</v>
      </c>
      <c r="B3800" s="86" t="s">
        <v>1403</v>
      </c>
      <c r="C3800" s="86" t="s">
        <v>1973</v>
      </c>
      <c r="D3800" s="89" t="str">
        <f ca="1">OFFSET(Roster!$A$3,MATCH(表格1[[#This Row],[Location]]&amp;" "&amp;表格1[[#This Row],[Shop]]&amp;"*",Roster!$A$4:$A$72,0),DAY(表格1[[#This Row],[date]]),1,1)</f>
        <v>Happy</v>
      </c>
      <c r="E3800" s="86">
        <f>MONTH(表格1[[#This Row],[date]])</f>
        <v>3</v>
      </c>
      <c r="F3800" s="90">
        <v>46088</v>
      </c>
      <c r="G3800" s="86" t="str">
        <f>VLOOKUP("*"&amp;表格1[[#This Row],[Input]]&amp;"*",'Ref-List'!$B:$D,2,)</f>
        <v>RC-10ISSHK(W)</v>
      </c>
      <c r="H3800" s="86" t="str">
        <f>_xlfn.XLOOKUP(表格1[[#This Row],[Model]],表格3[Model-Input-Ref2],表格3[Product Line])</f>
        <v>磁應電飯煲(1公升)</v>
      </c>
      <c r="I3800" s="86" t="str">
        <f>_xlfn.XLOOKUP(表格1[[#This Row],[Model]],表格3[Model-Input-Ref2],表格3[大小電])</f>
        <v>細電</v>
      </c>
      <c r="J3800" s="86" t="str">
        <f>_xlfn.XLOOKUP(表格1[[#This Row],[Model]],表格3[Model-Input-Ref2],表格3[Code])</f>
        <v>SDA</v>
      </c>
      <c r="K3800" s="89" t="s">
        <v>1286</v>
      </c>
      <c r="L3800" s="86">
        <v>1</v>
      </c>
      <c r="M3800" s="87">
        <v>938</v>
      </c>
      <c r="N3800" s="87">
        <f>IFERROR(表格1[[#This Row],[QTY]]*表格1[[#This Row],[Unit Price]],"-")</f>
        <v>938</v>
      </c>
      <c r="O3800" s="86">
        <v>1163</v>
      </c>
      <c r="R3800" s="86" t="str">
        <f>_xlfn.CONCAT(表格1[[#This Row],[Model]]," ",表格1[[#This Row],[inv no]])</f>
        <v>RC-10ISSHK(W) 1163</v>
      </c>
      <c r="S3800" s="86">
        <f>_xlfn.XLOOKUP(表格1[[#This Row],[Model]],表格3[Model-Input-Ref2],表格3[SRP PRICE])</f>
        <v>1188</v>
      </c>
      <c r="T3800" s="43">
        <f>表格1[[#This Row],[Unit Price]]/表格1[[#This Row],[SRP]]</f>
        <v>0.78956228956228958</v>
      </c>
      <c r="U3800" s="86" t="str">
        <f>_xlfn.XLOOKUP(表格1[[#This Row],[Model]],表格3[Model-Input-Ref2],表格3[TOSHIBA/HIGHEST])</f>
        <v>Shops Highest Price</v>
      </c>
      <c r="W3800" s="86" t="str">
        <f>_xlfn.CONCAT(表格1[[#This Row],[欄4]],表格1[[#This Row],[inv no]])</f>
        <v>1163</v>
      </c>
    </row>
    <row r="3801" spans="1:23" hidden="1">
      <c r="A3801" s="81">
        <v>3799</v>
      </c>
      <c r="B3801" s="86" t="s">
        <v>1403</v>
      </c>
      <c r="C3801" s="86" t="s">
        <v>1973</v>
      </c>
      <c r="D3801" s="89" t="str">
        <f ca="1">OFFSET(Roster!$A$3,MATCH(表格1[[#This Row],[Location]]&amp;" "&amp;表格1[[#This Row],[Shop]]&amp;"*",Roster!$A$4:$A$72,0),DAY(表格1[[#This Row],[date]]),1,1)</f>
        <v>Happy</v>
      </c>
      <c r="E3801" s="86">
        <f>MONTH(表格1[[#This Row],[date]])</f>
        <v>3</v>
      </c>
      <c r="F3801" s="90">
        <v>46088</v>
      </c>
      <c r="G3801" s="86" t="str">
        <f>VLOOKUP("*"&amp;表格1[[#This Row],[Input]]&amp;"*",'Ref-List'!$B:$D,2,)</f>
        <v>KT-17DRTHK(H)</v>
      </c>
      <c r="H3801" s="86" t="str">
        <f>_xlfn.XLOOKUP(表格1[[#This Row],[Model]],表格3[Model-Input-Ref2],表格3[Product Line])</f>
        <v>無線雙層電熱水壺(1.7公升)</v>
      </c>
      <c r="I3801" s="86" t="str">
        <f>_xlfn.XLOOKUP(表格1[[#This Row],[Model]],表格3[Model-Input-Ref2],表格3[大小電])</f>
        <v>細電</v>
      </c>
      <c r="J3801" s="86" t="str">
        <f>_xlfn.XLOOKUP(表格1[[#This Row],[Model]],表格3[Model-Input-Ref2],表格3[Code])</f>
        <v>SDA</v>
      </c>
      <c r="K3801" s="89" t="s">
        <v>1271</v>
      </c>
      <c r="L3801" s="86">
        <v>1</v>
      </c>
      <c r="M3801" s="87">
        <v>388</v>
      </c>
      <c r="N3801" s="87">
        <f>IFERROR(表格1[[#This Row],[QTY]]*表格1[[#This Row],[Unit Price]],"-")</f>
        <v>388</v>
      </c>
      <c r="O3801" s="86">
        <v>1163</v>
      </c>
      <c r="R3801" s="86" t="str">
        <f>_xlfn.CONCAT(表格1[[#This Row],[Model]]," ",表格1[[#This Row],[inv no]])</f>
        <v>KT-17DRTHK(H) 1163</v>
      </c>
      <c r="S3801" s="86">
        <f>_xlfn.XLOOKUP(表格1[[#This Row],[Model]],表格3[Model-Input-Ref2],表格3[SRP PRICE])</f>
        <v>498</v>
      </c>
      <c r="T3801" s="43">
        <f>表格1[[#This Row],[Unit Price]]/表格1[[#This Row],[SRP]]</f>
        <v>0.77911646586345384</v>
      </c>
      <c r="U3801" s="86" t="str">
        <f>_xlfn.XLOOKUP(表格1[[#This Row],[Model]],表格3[Model-Input-Ref2],表格3[TOSHIBA/HIGHEST])</f>
        <v>Toshiba SRP</v>
      </c>
      <c r="W3801" s="86" t="str">
        <f>_xlfn.CONCAT(表格1[[#This Row],[欄4]],表格1[[#This Row],[inv no]])</f>
        <v>1163</v>
      </c>
    </row>
    <row r="3802" spans="1:23" hidden="1">
      <c r="A3802" s="81">
        <v>3800</v>
      </c>
      <c r="B3802" s="86" t="s">
        <v>1403</v>
      </c>
      <c r="C3802" s="86" t="s">
        <v>1973</v>
      </c>
      <c r="D3802" s="89" t="str">
        <f ca="1">OFFSET(Roster!$A$3,MATCH(表格1[[#This Row],[Location]]&amp;" "&amp;表格1[[#This Row],[Shop]]&amp;"*",Roster!$A$4:$A$72,0),DAY(表格1[[#This Row],[date]]),1,1)</f>
        <v>Happy</v>
      </c>
      <c r="E3802" s="86">
        <f>MONTH(表格1[[#This Row],[date]])</f>
        <v>3</v>
      </c>
      <c r="F3802" s="90">
        <v>46088</v>
      </c>
      <c r="G3802" s="86" t="str">
        <f>VLOOKUP("*"&amp;表格1[[#This Row],[Input]]&amp;"*",'Ref-List'!$B:$D,2,)</f>
        <v>MM2-EM20PC(WH)</v>
      </c>
      <c r="H3802" s="86" t="str">
        <f>_xlfn.XLOOKUP(表格1[[#This Row],[Model]],表格3[Model-Input-Ref2],表格3[Product Line])</f>
        <v>輕觸式微波爐 (20公升)</v>
      </c>
      <c r="I3802" s="86" t="str">
        <f>_xlfn.XLOOKUP(表格1[[#This Row],[Model]],表格3[Model-Input-Ref2],表格3[大小電])</f>
        <v>細電</v>
      </c>
      <c r="J3802" s="86" t="str">
        <f>_xlfn.XLOOKUP(表格1[[#This Row],[Model]],表格3[Model-Input-Ref2],表格3[Code])</f>
        <v>MCA</v>
      </c>
      <c r="K3802" s="89" t="s">
        <v>1276</v>
      </c>
      <c r="L3802" s="86">
        <v>1</v>
      </c>
      <c r="M3802" s="87">
        <v>598</v>
      </c>
      <c r="N3802" s="87">
        <f>IFERROR(表格1[[#This Row],[QTY]]*表格1[[#This Row],[Unit Price]],"-")</f>
        <v>598</v>
      </c>
      <c r="O3802" s="86">
        <v>13999</v>
      </c>
      <c r="R3802" s="86" t="str">
        <f>_xlfn.CONCAT(表格1[[#This Row],[Model]]," ",表格1[[#This Row],[inv no]])</f>
        <v>MM2-EM20PC(WH) 13999</v>
      </c>
      <c r="S3802" s="86">
        <f>_xlfn.XLOOKUP(表格1[[#This Row],[Model]],表格3[Model-Input-Ref2],表格3[SRP PRICE])</f>
        <v>788</v>
      </c>
      <c r="T3802" s="43">
        <f>表格1[[#This Row],[Unit Price]]/表格1[[#This Row],[SRP]]</f>
        <v>0.75888324873096447</v>
      </c>
      <c r="U3802" s="86" t="str">
        <f>_xlfn.XLOOKUP(表格1[[#This Row],[Model]],表格3[Model-Input-Ref2],表格3[TOSHIBA/HIGHEST])</f>
        <v>Toshiba SRP</v>
      </c>
      <c r="W3802" s="86" t="str">
        <f>_xlfn.CONCAT(表格1[[#This Row],[欄4]],表格1[[#This Row],[inv no]])</f>
        <v>13999</v>
      </c>
    </row>
    <row r="3803" spans="1:23" hidden="1">
      <c r="A3803" s="81">
        <v>3801</v>
      </c>
      <c r="B3803" s="86" t="s">
        <v>1403</v>
      </c>
      <c r="C3803" s="86" t="s">
        <v>1973</v>
      </c>
      <c r="D3803" s="89" t="str">
        <f ca="1">OFFSET(Roster!$A$3,MATCH(表格1[[#This Row],[Location]]&amp;" "&amp;表格1[[#This Row],[Shop]]&amp;"*",Roster!$A$4:$A$72,0),DAY(表格1[[#This Row],[date]]),1,1)</f>
        <v>Happy</v>
      </c>
      <c r="E3803" s="86">
        <f>MONTH(表格1[[#This Row],[date]])</f>
        <v>3</v>
      </c>
      <c r="F3803" s="90">
        <v>46088</v>
      </c>
      <c r="G3803" s="86" t="str">
        <f>VLOOKUP("*"&amp;表格1[[#This Row],[Input]]&amp;"*",'Ref-List'!$B:$D,2,)</f>
        <v>RC-10NMFIH(WT)</v>
      </c>
      <c r="H3803" s="86" t="str">
        <f>_xlfn.XLOOKUP(表格1[[#This Row],[Model]],表格3[Model-Input-Ref2],表格3[Product Line])</f>
        <v>4毫米厚釜電飯煲1L</v>
      </c>
      <c r="I3803" s="86" t="str">
        <f>_xlfn.XLOOKUP(表格1[[#This Row],[Model]],表格3[Model-Input-Ref2],表格3[大小電])</f>
        <v>細電</v>
      </c>
      <c r="J3803" s="86" t="str">
        <f>_xlfn.XLOOKUP(表格1[[#This Row],[Model]],表格3[Model-Input-Ref2],表格3[Code])</f>
        <v>SDA</v>
      </c>
      <c r="K3803" s="89" t="s">
        <v>1244</v>
      </c>
      <c r="L3803" s="86">
        <v>1</v>
      </c>
      <c r="M3803" s="87">
        <v>718</v>
      </c>
      <c r="N3803" s="87">
        <f>IFERROR(表格1[[#This Row],[QTY]]*表格1[[#This Row],[Unit Price]],"-")</f>
        <v>718</v>
      </c>
      <c r="O3803" s="86">
        <v>10175</v>
      </c>
      <c r="R3803" s="86" t="str">
        <f>_xlfn.CONCAT(表格1[[#This Row],[Model]]," ",表格1[[#This Row],[inv no]])</f>
        <v>RC-10NMFIH(WT) 10175</v>
      </c>
      <c r="S3803" s="86">
        <f>_xlfn.XLOOKUP(表格1[[#This Row],[Model]],表格3[Model-Input-Ref2],表格3[SRP PRICE])</f>
        <v>898</v>
      </c>
      <c r="T3803" s="43">
        <f>表格1[[#This Row],[Unit Price]]/表格1[[#This Row],[SRP]]</f>
        <v>0.79955456570155903</v>
      </c>
      <c r="U3803" s="86" t="str">
        <f>_xlfn.XLOOKUP(表格1[[#This Row],[Model]],表格3[Model-Input-Ref2],表格3[TOSHIBA/HIGHEST])</f>
        <v>Toshiba SRP</v>
      </c>
      <c r="W3803" s="86" t="str">
        <f>_xlfn.CONCAT(表格1[[#This Row],[欄4]],表格1[[#This Row],[inv no]])</f>
        <v>10175</v>
      </c>
    </row>
    <row r="3804" spans="1:23" hidden="1">
      <c r="A3804" s="81">
        <v>3802</v>
      </c>
      <c r="B3804" s="86" t="s">
        <v>1403</v>
      </c>
      <c r="C3804" s="86" t="s">
        <v>1973</v>
      </c>
      <c r="D3804" s="89" t="str">
        <f ca="1">OFFSET(Roster!$A$3,MATCH(表格1[[#This Row],[Location]]&amp;" "&amp;表格1[[#This Row],[Shop]]&amp;"*",Roster!$A$4:$A$72,0),DAY(表格1[[#This Row],[date]]),1,1)</f>
        <v>Happy</v>
      </c>
      <c r="E3804" s="86">
        <f>MONTH(表格1[[#This Row],[date]])</f>
        <v>3</v>
      </c>
      <c r="F3804" s="90">
        <v>46088</v>
      </c>
      <c r="G3804" s="86" t="str">
        <f>VLOOKUP("*"&amp;表格1[[#This Row],[Input]]&amp;"*",'Ref-List'!$B:$D,2,)</f>
        <v>RC-10AMXH(W)</v>
      </c>
      <c r="H3804" s="86" t="str">
        <f>_xlfn.XLOOKUP(表格1[[#This Row],[Model]],表格3[Model-Input-Ref2],表格3[Product Line])</f>
        <v>酵活炊電飯煲(1.0公升)</v>
      </c>
      <c r="I3804" s="86" t="str">
        <f>_xlfn.XLOOKUP(表格1[[#This Row],[Model]],表格3[Model-Input-Ref2],表格3[大小電])</f>
        <v>細電</v>
      </c>
      <c r="J3804" s="86" t="str">
        <f>_xlfn.XLOOKUP(表格1[[#This Row],[Model]],表格3[Model-Input-Ref2],表格3[Code])</f>
        <v>SDA</v>
      </c>
      <c r="K3804" s="89" t="s">
        <v>1279</v>
      </c>
      <c r="L3804" s="86">
        <v>1</v>
      </c>
      <c r="M3804" s="87">
        <v>990</v>
      </c>
      <c r="N3804" s="87">
        <f>IFERROR(表格1[[#This Row],[QTY]]*表格1[[#This Row],[Unit Price]],"-")</f>
        <v>990</v>
      </c>
      <c r="O3804" s="86">
        <v>238634</v>
      </c>
      <c r="R3804" s="86" t="str">
        <f>_xlfn.CONCAT(表格1[[#This Row],[Model]]," ",表格1[[#This Row],[inv no]])</f>
        <v>RC-10AMXH(W) 238634</v>
      </c>
      <c r="S3804" s="86">
        <f>_xlfn.XLOOKUP(表格1[[#This Row],[Model]],表格3[Model-Input-Ref2],表格3[SRP PRICE])</f>
        <v>1288</v>
      </c>
      <c r="T3804" s="43">
        <f>表格1[[#This Row],[Unit Price]]/表格1[[#This Row],[SRP]]</f>
        <v>0.76863354037267084</v>
      </c>
      <c r="U3804" s="86" t="str">
        <f>_xlfn.XLOOKUP(表格1[[#This Row],[Model]],表格3[Model-Input-Ref2],表格3[TOSHIBA/HIGHEST])</f>
        <v>Toshiba SRP</v>
      </c>
      <c r="W3804" s="86" t="str">
        <f>_xlfn.CONCAT(表格1[[#This Row],[欄4]],表格1[[#This Row],[inv no]])</f>
        <v>238634</v>
      </c>
    </row>
    <row r="3805" spans="1:23" hidden="1">
      <c r="A3805" s="81">
        <v>3803</v>
      </c>
      <c r="B3805" s="86" t="s">
        <v>1403</v>
      </c>
      <c r="C3805" s="86" t="s">
        <v>1973</v>
      </c>
      <c r="D3805" s="89" t="str">
        <f ca="1">OFFSET(Roster!$A$3,MATCH(表格1[[#This Row],[Location]]&amp;" "&amp;表格1[[#This Row],[Shop]]&amp;"*",Roster!$A$4:$A$72,0),DAY(表格1[[#This Row],[date]]),1,1)</f>
        <v>Happy</v>
      </c>
      <c r="E3805" s="86">
        <f>MONTH(表格1[[#This Row],[date]])</f>
        <v>3</v>
      </c>
      <c r="F3805" s="90">
        <v>46088</v>
      </c>
      <c r="G3805" s="86" t="str">
        <f>VLOOKUP("*"&amp;表格1[[#This Row],[Input]]&amp;"*",'Ref-List'!$B:$D,2,)</f>
        <v>RAD-D250H</v>
      </c>
      <c r="H3805" s="86" t="str">
        <f>_xlfn.XLOOKUP(表格1[[#This Row],[Model]],表格3[Model-Input-Ref2],表格3[Product Line])</f>
        <v>壓縮式抽濕機 (25公升)</v>
      </c>
      <c r="I3805" s="86" t="str">
        <f>_xlfn.XLOOKUP(表格1[[#This Row],[Model]],表格3[Model-Input-Ref2],表格3[大小電])</f>
        <v>細電</v>
      </c>
      <c r="J3805" s="86" t="str">
        <f>_xlfn.XLOOKUP(表格1[[#This Row],[Model]],表格3[Model-Input-Ref2],表格3[Code])</f>
        <v>RAC</v>
      </c>
      <c r="K3805" s="89" t="s">
        <v>1407</v>
      </c>
      <c r="L3805" s="86">
        <v>1</v>
      </c>
      <c r="M3805" s="87">
        <v>2080</v>
      </c>
      <c r="N3805" s="87">
        <f>IFERROR(表格1[[#This Row],[QTY]]*表格1[[#This Row],[Unit Price]],"-")</f>
        <v>2080</v>
      </c>
      <c r="O3805" s="86">
        <v>238635</v>
      </c>
      <c r="R3805" s="86" t="str">
        <f>_xlfn.CONCAT(表格1[[#This Row],[Model]]," ",表格1[[#This Row],[inv no]])</f>
        <v>RAD-D250H 238635</v>
      </c>
      <c r="S3805" s="86">
        <f>_xlfn.XLOOKUP(表格1[[#This Row],[Model]],表格3[Model-Input-Ref2],表格3[SRP PRICE])</f>
        <v>3380</v>
      </c>
      <c r="T3805" s="43">
        <f>表格1[[#This Row],[Unit Price]]/表格1[[#This Row],[SRP]]</f>
        <v>0.61538461538461542</v>
      </c>
      <c r="U3805" s="86" t="str">
        <f>_xlfn.XLOOKUP(表格1[[#This Row],[Model]],表格3[Model-Input-Ref2],表格3[TOSHIBA/HIGHEST])</f>
        <v>Shops Highest Price</v>
      </c>
      <c r="W3805" s="86" t="str">
        <f>_xlfn.CONCAT(表格1[[#This Row],[欄4]],表格1[[#This Row],[inv no]])</f>
        <v>238635</v>
      </c>
    </row>
    <row r="3806" spans="1:23" hidden="1">
      <c r="A3806" s="81">
        <v>3804</v>
      </c>
      <c r="B3806" s="86" t="s">
        <v>1403</v>
      </c>
      <c r="C3806" s="86" t="s">
        <v>1973</v>
      </c>
      <c r="D3806" s="89" t="str">
        <f ca="1">OFFSET(Roster!$A$3,MATCH(表格1[[#This Row],[Location]]&amp;" "&amp;表格1[[#This Row],[Shop]]&amp;"*",Roster!$A$4:$A$72,0),DAY(表格1[[#This Row],[date]]),1,1)</f>
        <v>Happy</v>
      </c>
      <c r="E3806" s="86">
        <f>MONTH(表格1[[#This Row],[date]])</f>
        <v>3</v>
      </c>
      <c r="F3806" s="90">
        <v>46088</v>
      </c>
      <c r="G3806" s="86" t="str">
        <f>VLOOKUP("*"&amp;表格1[[#This Row],[Input]]&amp;"*",'Ref-List'!$B:$D,2,)</f>
        <v>RAD-D250H</v>
      </c>
      <c r="H3806" s="86" t="str">
        <f>_xlfn.XLOOKUP(表格1[[#This Row],[Model]],表格3[Model-Input-Ref2],表格3[Product Line])</f>
        <v>壓縮式抽濕機 (25公升)</v>
      </c>
      <c r="I3806" s="86" t="str">
        <f>_xlfn.XLOOKUP(表格1[[#This Row],[Model]],表格3[Model-Input-Ref2],表格3[大小電])</f>
        <v>細電</v>
      </c>
      <c r="J3806" s="86" t="str">
        <f>_xlfn.XLOOKUP(表格1[[#This Row],[Model]],表格3[Model-Input-Ref2],表格3[Code])</f>
        <v>RAC</v>
      </c>
      <c r="K3806" s="89" t="s">
        <v>1407</v>
      </c>
      <c r="L3806" s="86">
        <v>2</v>
      </c>
      <c r="M3806" s="87">
        <v>2080</v>
      </c>
      <c r="N3806" s="87">
        <f>IFERROR(表格1[[#This Row],[QTY]]*表格1[[#This Row],[Unit Price]],"-")</f>
        <v>4160</v>
      </c>
      <c r="O3806" s="86">
        <v>238644</v>
      </c>
      <c r="R3806" s="86" t="str">
        <f>_xlfn.CONCAT(表格1[[#This Row],[Model]]," ",表格1[[#This Row],[inv no]])</f>
        <v>RAD-D250H 238644</v>
      </c>
      <c r="S3806" s="86">
        <f>_xlfn.XLOOKUP(表格1[[#This Row],[Model]],表格3[Model-Input-Ref2],表格3[SRP PRICE])</f>
        <v>3380</v>
      </c>
      <c r="T3806" s="43">
        <f>表格1[[#This Row],[Unit Price]]/表格1[[#This Row],[SRP]]</f>
        <v>0.61538461538461542</v>
      </c>
      <c r="U3806" s="86" t="str">
        <f>_xlfn.XLOOKUP(表格1[[#This Row],[Model]],表格3[Model-Input-Ref2],表格3[TOSHIBA/HIGHEST])</f>
        <v>Shops Highest Price</v>
      </c>
      <c r="W3806" s="86" t="str">
        <f>_xlfn.CONCAT(表格1[[#This Row],[欄4]],表格1[[#This Row],[inv no]])</f>
        <v>238644</v>
      </c>
    </row>
    <row r="3807" spans="1:23" hidden="1">
      <c r="A3807" s="81">
        <v>3805</v>
      </c>
      <c r="B3807" s="86" t="s">
        <v>1403</v>
      </c>
      <c r="C3807" s="86" t="s">
        <v>1973</v>
      </c>
      <c r="D3807" s="89" t="str">
        <f ca="1">OFFSET(Roster!$A$3,MATCH(表格1[[#This Row],[Location]]&amp;" "&amp;表格1[[#This Row],[Shop]]&amp;"*",Roster!$A$4:$A$72,0),DAY(表格1[[#This Row],[date]]),1,1)</f>
        <v>Happy</v>
      </c>
      <c r="E3807" s="86">
        <f>MONTH(表格1[[#This Row],[date]])</f>
        <v>3</v>
      </c>
      <c r="F3807" s="90">
        <v>46089</v>
      </c>
      <c r="G3807" s="86" t="str">
        <f>VLOOKUP("*"&amp;表格1[[#This Row],[Input]]&amp;"*",'Ref-List'!$B:$D,2,)</f>
        <v>TW-T21BU80UWH(MG)</v>
      </c>
      <c r="H3807" s="86" t="str">
        <f>_xlfn.XLOOKUP(表格1[[#This Row],[Model]],表格3[Model-Input-Ref2],表格3[Product Line])</f>
        <v>400MM超薄身前置式變頻洗衣機(7公斤)</v>
      </c>
      <c r="I3807" s="86" t="str">
        <f>_xlfn.XLOOKUP(表格1[[#This Row],[Model]],表格3[Model-Input-Ref2],表格3[大小電])</f>
        <v>大電</v>
      </c>
      <c r="J3807" s="86" t="str">
        <f>_xlfn.XLOOKUP(表格1[[#This Row],[Model]],表格3[Model-Input-Ref2],表格3[Code])</f>
        <v>LAD</v>
      </c>
      <c r="K3807" s="89" t="s">
        <v>1280</v>
      </c>
      <c r="L3807" s="86">
        <v>1</v>
      </c>
      <c r="M3807" s="87">
        <v>3080</v>
      </c>
      <c r="N3807" s="87">
        <f>IFERROR(表格1[[#This Row],[QTY]]*表格1[[#This Row],[Unit Price]],"-")</f>
        <v>3080</v>
      </c>
      <c r="O3807" s="86">
        <v>238719</v>
      </c>
      <c r="R3807" s="86" t="str">
        <f>_xlfn.CONCAT(表格1[[#This Row],[Model]]," ",表格1[[#This Row],[inv no]])</f>
        <v>TW-T21BU80UWH(MG) 238719</v>
      </c>
      <c r="S3807" s="86">
        <f>_xlfn.XLOOKUP(表格1[[#This Row],[Model]],表格3[Model-Input-Ref2],表格3[SRP PRICE])</f>
        <v>5180</v>
      </c>
      <c r="T3807" s="43">
        <f>表格1[[#This Row],[Unit Price]]/表格1[[#This Row],[SRP]]</f>
        <v>0.59459459459459463</v>
      </c>
      <c r="U3807" s="86" t="str">
        <f>_xlfn.XLOOKUP(表格1[[#This Row],[Model]],表格3[Model-Input-Ref2],表格3[TOSHIBA/HIGHEST])</f>
        <v>Toshiba SRP</v>
      </c>
      <c r="W3807" s="86" t="str">
        <f>_xlfn.CONCAT(表格1[[#This Row],[欄4]],表格1[[#This Row],[inv no]])</f>
        <v>238719</v>
      </c>
    </row>
    <row r="3808" spans="1:23" hidden="1">
      <c r="A3808" s="81">
        <v>3806</v>
      </c>
      <c r="B3808" s="86" t="s">
        <v>1403</v>
      </c>
      <c r="C3808" s="86" t="s">
        <v>1973</v>
      </c>
      <c r="D3808" s="89" t="str">
        <f ca="1">OFFSET(Roster!$A$3,MATCH(表格1[[#This Row],[Location]]&amp;" "&amp;表格1[[#This Row],[Shop]]&amp;"*",Roster!$A$4:$A$72,0),DAY(表格1[[#This Row],[date]]),1,1)</f>
        <v>Happy</v>
      </c>
      <c r="E3808" s="86">
        <f>MONTH(表格1[[#This Row],[date]])</f>
        <v>3</v>
      </c>
      <c r="F3808" s="90">
        <v>46089</v>
      </c>
      <c r="G3808" s="86" t="str">
        <f>VLOOKUP("*"&amp;表格1[[#This Row],[Input]]&amp;"*",'Ref-List'!$B:$D,2,)</f>
        <v>TWD-T22BU95UWH(WK)-B</v>
      </c>
      <c r="H3808" s="86" t="str">
        <f>_xlfn.XLOOKUP(表格1[[#This Row],[Model]],表格3[Model-Input-Ref2],表格3[Product Line])</f>
        <v>470MM超薄身前置式變頻洗衣乾衣機 (洗8.5公斤/乾6公斤, 可飛頂)</v>
      </c>
      <c r="I3808" s="86" t="str">
        <f>_xlfn.XLOOKUP(表格1[[#This Row],[Model]],表格3[Model-Input-Ref2],表格3[大小電])</f>
        <v>大電</v>
      </c>
      <c r="J3808" s="86" t="str">
        <f>_xlfn.XLOOKUP(表格1[[#This Row],[Model]],表格3[Model-Input-Ref2],表格3[Code])</f>
        <v>LAD</v>
      </c>
      <c r="K3808" s="89" t="s">
        <v>1421</v>
      </c>
      <c r="L3808" s="86">
        <v>1</v>
      </c>
      <c r="M3808" s="87">
        <v>4780</v>
      </c>
      <c r="N3808" s="87">
        <f>IFERROR(表格1[[#This Row],[QTY]]*表格1[[#This Row],[Unit Price]],"-")</f>
        <v>4780</v>
      </c>
      <c r="O3808" s="86">
        <v>238736</v>
      </c>
      <c r="R3808" s="86" t="str">
        <f>_xlfn.CONCAT(表格1[[#This Row],[Model]]," ",表格1[[#This Row],[inv no]])</f>
        <v>TWD-T22BU95UWH(WK)-B 238736</v>
      </c>
      <c r="S3808" s="86">
        <f>_xlfn.XLOOKUP(表格1[[#This Row],[Model]],表格3[Model-Input-Ref2],表格3[SRP PRICE])</f>
        <v>7480</v>
      </c>
      <c r="T3808" s="43">
        <f>表格1[[#This Row],[Unit Price]]/表格1[[#This Row],[SRP]]</f>
        <v>0.63903743315508021</v>
      </c>
      <c r="U3808" s="86" t="str">
        <f>_xlfn.XLOOKUP(表格1[[#This Row],[Model]],表格3[Model-Input-Ref2],表格3[TOSHIBA/HIGHEST])</f>
        <v>Toshiba SRP</v>
      </c>
      <c r="W3808" s="86" t="str">
        <f>_xlfn.CONCAT(表格1[[#This Row],[欄4]],表格1[[#This Row],[inv no]])</f>
        <v>238736</v>
      </c>
    </row>
    <row r="3809" spans="1:23" hidden="1">
      <c r="A3809" s="81">
        <v>3807</v>
      </c>
      <c r="B3809" s="86" t="s">
        <v>1403</v>
      </c>
      <c r="C3809" s="86" t="s">
        <v>1973</v>
      </c>
      <c r="D3809" s="89" t="str">
        <f ca="1">OFFSET(Roster!$A$3,MATCH(表格1[[#This Row],[Location]]&amp;" "&amp;表格1[[#This Row],[Shop]]&amp;"*",Roster!$A$4:$A$72,0),DAY(表格1[[#This Row],[date]]),1,1)</f>
        <v>Happy</v>
      </c>
      <c r="E3809" s="86">
        <f>MONTH(表格1[[#This Row],[date]])</f>
        <v>3</v>
      </c>
      <c r="F3809" s="90">
        <v>46089</v>
      </c>
      <c r="G3809" s="86" t="str">
        <f>VLOOKUP("*"&amp;表格1[[#This Row],[Input]]&amp;"*",'Ref-List'!$B:$D,2,)</f>
        <v>RC-DR18T(W)</v>
      </c>
      <c r="H3809" s="86" t="str">
        <f>_xlfn.XLOOKUP(表格1[[#This Row],[Model]],表格3[Model-Input-Ref2],表格3[Product Line])</f>
        <v>IH磁應電飯煲
鑽石銅鍋</v>
      </c>
      <c r="I3809" s="86" t="str">
        <f>_xlfn.XLOOKUP(表格1[[#This Row],[Model]],表格3[Model-Input-Ref2],表格3[大小電])</f>
        <v>細電</v>
      </c>
      <c r="J3809" s="86" t="str">
        <f>_xlfn.XLOOKUP(表格1[[#This Row],[Model]],表格3[Model-Input-Ref2],表格3[Code])</f>
        <v>SDA</v>
      </c>
      <c r="K3809" s="89" t="s">
        <v>1378</v>
      </c>
      <c r="L3809" s="86">
        <v>1</v>
      </c>
      <c r="M3809" s="87">
        <v>2780</v>
      </c>
      <c r="N3809" s="87">
        <f>IFERROR(表格1[[#This Row],[QTY]]*表格1[[#This Row],[Unit Price]],"-")</f>
        <v>2780</v>
      </c>
      <c r="O3809" s="86">
        <v>14013</v>
      </c>
      <c r="R3809" s="86" t="str">
        <f>_xlfn.CONCAT(表格1[[#This Row],[Model]]," ",表格1[[#This Row],[inv no]])</f>
        <v>RC-DR18T(W) 14013</v>
      </c>
      <c r="S3809" s="86">
        <f>_xlfn.XLOOKUP(表格1[[#This Row],[Model]],表格3[Model-Input-Ref2],表格3[SRP PRICE])</f>
        <v>3588</v>
      </c>
      <c r="T3809" s="43">
        <f>表格1[[#This Row],[Unit Price]]/表格1[[#This Row],[SRP]]</f>
        <v>0.77480490523968781</v>
      </c>
      <c r="U3809" s="86" t="str">
        <f>_xlfn.XLOOKUP(表格1[[#This Row],[Model]],表格3[Model-Input-Ref2],表格3[TOSHIBA/HIGHEST])</f>
        <v>Toshiba SRP</v>
      </c>
      <c r="W3809" s="86" t="str">
        <f>_xlfn.CONCAT(表格1[[#This Row],[欄4]],表格1[[#This Row],[inv no]])</f>
        <v>14013</v>
      </c>
    </row>
    <row r="3810" spans="1:23" hidden="1">
      <c r="A3810" s="81">
        <v>3808</v>
      </c>
      <c r="B3810" s="86" t="s">
        <v>1403</v>
      </c>
      <c r="C3810" s="86" t="s">
        <v>1973</v>
      </c>
      <c r="D3810" s="89" t="str">
        <f ca="1">OFFSET(Roster!$A$3,MATCH(表格1[[#This Row],[Location]]&amp;" "&amp;表格1[[#This Row],[Shop]]&amp;"*",Roster!$A$4:$A$72,0),DAY(表格1[[#This Row],[date]]),1,1)</f>
        <v>Happy</v>
      </c>
      <c r="E3810" s="86">
        <f>MONTH(表格1[[#This Row],[date]])</f>
        <v>3</v>
      </c>
      <c r="F3810" s="90">
        <v>46089</v>
      </c>
      <c r="G3810" s="86" t="str">
        <f>VLOOKUP("*"&amp;表格1[[#This Row],[Input]]&amp;"*",'Ref-List'!$B:$D,2,)</f>
        <v>RAD-D250H</v>
      </c>
      <c r="H3810" s="86" t="str">
        <f>_xlfn.XLOOKUP(表格1[[#This Row],[Model]],表格3[Model-Input-Ref2],表格3[Product Line])</f>
        <v>壓縮式抽濕機 (25公升)</v>
      </c>
      <c r="I3810" s="86" t="str">
        <f>_xlfn.XLOOKUP(表格1[[#This Row],[Model]],表格3[Model-Input-Ref2],表格3[大小電])</f>
        <v>細電</v>
      </c>
      <c r="J3810" s="86" t="str">
        <f>_xlfn.XLOOKUP(表格1[[#This Row],[Model]],表格3[Model-Input-Ref2],表格3[Code])</f>
        <v>RAC</v>
      </c>
      <c r="K3810" s="89" t="s">
        <v>1407</v>
      </c>
      <c r="L3810" s="86">
        <v>1</v>
      </c>
      <c r="M3810" s="87">
        <v>2080</v>
      </c>
      <c r="N3810" s="87">
        <f>IFERROR(表格1[[#This Row],[QTY]]*表格1[[#This Row],[Unit Price]],"-")</f>
        <v>2080</v>
      </c>
      <c r="O3810" s="86">
        <v>8694</v>
      </c>
      <c r="R3810" s="86" t="str">
        <f>_xlfn.CONCAT(表格1[[#This Row],[Model]]," ",表格1[[#This Row],[inv no]])</f>
        <v>RAD-D250H 8694</v>
      </c>
      <c r="S3810" s="86">
        <f>_xlfn.XLOOKUP(表格1[[#This Row],[Model]],表格3[Model-Input-Ref2],表格3[SRP PRICE])</f>
        <v>3380</v>
      </c>
      <c r="T3810" s="43">
        <f>表格1[[#This Row],[Unit Price]]/表格1[[#This Row],[SRP]]</f>
        <v>0.61538461538461542</v>
      </c>
      <c r="U3810" s="86" t="str">
        <f>_xlfn.XLOOKUP(表格1[[#This Row],[Model]],表格3[Model-Input-Ref2],表格3[TOSHIBA/HIGHEST])</f>
        <v>Shops Highest Price</v>
      </c>
      <c r="W3810" s="86" t="str">
        <f>_xlfn.CONCAT(表格1[[#This Row],[欄4]],表格1[[#This Row],[inv no]])</f>
        <v>8694</v>
      </c>
    </row>
    <row r="3811" spans="1:23" hidden="1">
      <c r="A3811" s="81">
        <v>3809</v>
      </c>
      <c r="B3811" s="86" t="s">
        <v>1403</v>
      </c>
      <c r="C3811" s="86" t="s">
        <v>1973</v>
      </c>
      <c r="D3811" s="89" t="str">
        <f ca="1">OFFSET(Roster!$A$3,MATCH(表格1[[#This Row],[Location]]&amp;" "&amp;表格1[[#This Row],[Shop]]&amp;"*",Roster!$A$4:$A$72,0),DAY(表格1[[#This Row],[date]]),1,1)</f>
        <v>Happy</v>
      </c>
      <c r="E3811" s="86">
        <f>MONTH(表格1[[#This Row],[date]])</f>
        <v>3</v>
      </c>
      <c r="F3811" s="90">
        <v>46089</v>
      </c>
      <c r="G3811" s="86" t="str">
        <f>VLOOKUP("*"&amp;表格1[[#This Row],[Input]]&amp;"*",'Ref-List'!$B:$D,2,)</f>
        <v>RAD-D250H</v>
      </c>
      <c r="H3811" s="86" t="str">
        <f>_xlfn.XLOOKUP(表格1[[#This Row],[Model]],表格3[Model-Input-Ref2],表格3[Product Line])</f>
        <v>壓縮式抽濕機 (25公升)</v>
      </c>
      <c r="I3811" s="86" t="str">
        <f>_xlfn.XLOOKUP(表格1[[#This Row],[Model]],表格3[Model-Input-Ref2],表格3[大小電])</f>
        <v>細電</v>
      </c>
      <c r="J3811" s="86" t="str">
        <f>_xlfn.XLOOKUP(表格1[[#This Row],[Model]],表格3[Model-Input-Ref2],表格3[Code])</f>
        <v>RAC</v>
      </c>
      <c r="K3811" s="89" t="s">
        <v>1407</v>
      </c>
      <c r="L3811" s="86">
        <v>1</v>
      </c>
      <c r="M3811" s="87">
        <v>2080</v>
      </c>
      <c r="N3811" s="87">
        <f>IFERROR(表格1[[#This Row],[QTY]]*表格1[[#This Row],[Unit Price]],"-")</f>
        <v>2080</v>
      </c>
      <c r="O3811" s="86">
        <v>8695</v>
      </c>
      <c r="R3811" s="86" t="str">
        <f>_xlfn.CONCAT(表格1[[#This Row],[Model]]," ",表格1[[#This Row],[inv no]])</f>
        <v>RAD-D250H 8695</v>
      </c>
      <c r="S3811" s="86">
        <f>_xlfn.XLOOKUP(表格1[[#This Row],[Model]],表格3[Model-Input-Ref2],表格3[SRP PRICE])</f>
        <v>3380</v>
      </c>
      <c r="T3811" s="43">
        <f>表格1[[#This Row],[Unit Price]]/表格1[[#This Row],[SRP]]</f>
        <v>0.61538461538461542</v>
      </c>
      <c r="U3811" s="86" t="str">
        <f>_xlfn.XLOOKUP(表格1[[#This Row],[Model]],表格3[Model-Input-Ref2],表格3[TOSHIBA/HIGHEST])</f>
        <v>Shops Highest Price</v>
      </c>
      <c r="W3811" s="86" t="str">
        <f>_xlfn.CONCAT(表格1[[#This Row],[欄4]],表格1[[#This Row],[inv no]])</f>
        <v>8695</v>
      </c>
    </row>
    <row r="3812" spans="1:23" hidden="1">
      <c r="A3812" s="81">
        <v>3810</v>
      </c>
      <c r="B3812" s="86" t="s">
        <v>1403</v>
      </c>
      <c r="C3812" s="86" t="s">
        <v>1973</v>
      </c>
      <c r="D3812" s="89" t="str">
        <f ca="1">OFFSET(Roster!$A$3,MATCH(表格1[[#This Row],[Location]]&amp;" "&amp;表格1[[#This Row],[Shop]]&amp;"*",Roster!$A$4:$A$72,0),DAY(表格1[[#This Row],[date]]),1,1)</f>
        <v>Happy</v>
      </c>
      <c r="E3812" s="86">
        <f>MONTH(表格1[[#This Row],[date]])</f>
        <v>3</v>
      </c>
      <c r="F3812" s="90">
        <v>46089</v>
      </c>
      <c r="G3812" s="86" t="str">
        <f>VLOOKUP("*"&amp;表格1[[#This Row],[Input]]&amp;"*",'Ref-List'!$B:$D,2,)</f>
        <v>KT-17DRTHK(H)</v>
      </c>
      <c r="H3812" s="86" t="str">
        <f>_xlfn.XLOOKUP(表格1[[#This Row],[Model]],表格3[Model-Input-Ref2],表格3[Product Line])</f>
        <v>無線雙層電熱水壺(1.7公升)</v>
      </c>
      <c r="I3812" s="86" t="str">
        <f>_xlfn.XLOOKUP(表格1[[#This Row],[Model]],表格3[Model-Input-Ref2],表格3[大小電])</f>
        <v>細電</v>
      </c>
      <c r="J3812" s="86" t="str">
        <f>_xlfn.XLOOKUP(表格1[[#This Row],[Model]],表格3[Model-Input-Ref2],表格3[Code])</f>
        <v>SDA</v>
      </c>
      <c r="K3812" s="89" t="s">
        <v>1271</v>
      </c>
      <c r="L3812" s="86">
        <v>1</v>
      </c>
      <c r="M3812" s="87">
        <v>388</v>
      </c>
      <c r="N3812" s="87">
        <f>IFERROR(表格1[[#This Row],[QTY]]*表格1[[#This Row],[Unit Price]],"-")</f>
        <v>388</v>
      </c>
      <c r="O3812" s="86">
        <v>238721</v>
      </c>
      <c r="R3812" s="86" t="str">
        <f>_xlfn.CONCAT(表格1[[#This Row],[Model]]," ",表格1[[#This Row],[inv no]])</f>
        <v>KT-17DRTHK(H) 238721</v>
      </c>
      <c r="S3812" s="86">
        <f>_xlfn.XLOOKUP(表格1[[#This Row],[Model]],表格3[Model-Input-Ref2],表格3[SRP PRICE])</f>
        <v>498</v>
      </c>
      <c r="T3812" s="43">
        <f>表格1[[#This Row],[Unit Price]]/表格1[[#This Row],[SRP]]</f>
        <v>0.77911646586345384</v>
      </c>
      <c r="U3812" s="86" t="str">
        <f>_xlfn.XLOOKUP(表格1[[#This Row],[Model]],表格3[Model-Input-Ref2],表格3[TOSHIBA/HIGHEST])</f>
        <v>Toshiba SRP</v>
      </c>
      <c r="W3812" s="86" t="str">
        <f>_xlfn.CONCAT(表格1[[#This Row],[欄4]],表格1[[#This Row],[inv no]])</f>
        <v>238721</v>
      </c>
    </row>
    <row r="3813" spans="1:23" hidden="1">
      <c r="A3813" s="81">
        <v>3811</v>
      </c>
      <c r="B3813" s="86" t="s">
        <v>1403</v>
      </c>
      <c r="C3813" s="86" t="s">
        <v>1973</v>
      </c>
      <c r="D3813" s="89" t="str">
        <f ca="1">OFFSET(Roster!$A$3,MATCH(表格1[[#This Row],[Location]]&amp;" "&amp;表格1[[#This Row],[Shop]]&amp;"*",Roster!$A$4:$A$72,0),DAY(表格1[[#This Row],[date]]),1,1)</f>
        <v>Happy</v>
      </c>
      <c r="E3813" s="86">
        <f>MONTH(表格1[[#This Row],[date]])</f>
        <v>3</v>
      </c>
      <c r="F3813" s="90">
        <v>46090</v>
      </c>
      <c r="G3813" s="86" t="str">
        <f>VLOOKUP("*"&amp;表格1[[#This Row],[Input]]&amp;"*",'Ref-List'!$B:$D,2,)</f>
        <v>GR-RB221WE-PMA(57)</v>
      </c>
      <c r="H3813" s="86" t="str">
        <f>_xlfn.XLOOKUP(表格1[[#This Row],[Model]],表格3[Model-Input-Ref2],表格3[Product Line])</f>
        <v>變頻下置式雙門雪櫃（163L）</v>
      </c>
      <c r="I3813" s="86" t="str">
        <f>_xlfn.XLOOKUP(表格1[[#This Row],[Model]],表格3[Model-Input-Ref2],表格3[大小電])</f>
        <v>大電</v>
      </c>
      <c r="J3813" s="86" t="str">
        <f>_xlfn.XLOOKUP(表格1[[#This Row],[Model]],表格3[Model-Input-Ref2],表格3[Code])</f>
        <v>REF</v>
      </c>
      <c r="K3813" s="89" t="s">
        <v>1386</v>
      </c>
      <c r="L3813" s="86">
        <v>1</v>
      </c>
      <c r="M3813" s="87">
        <v>2280</v>
      </c>
      <c r="N3813" s="87">
        <f>IFERROR(表格1[[#This Row],[QTY]]*表格1[[#This Row],[Unit Price]],"-")</f>
        <v>2280</v>
      </c>
      <c r="O3813" s="86">
        <v>238761</v>
      </c>
      <c r="R3813" s="86" t="str">
        <f>_xlfn.CONCAT(表格1[[#This Row],[Model]]," ",表格1[[#This Row],[inv no]])</f>
        <v>GR-RB221WE-PMA(57) 238761</v>
      </c>
      <c r="S3813" s="86">
        <f>_xlfn.XLOOKUP(表格1[[#This Row],[Model]],表格3[Model-Input-Ref2],表格3[SRP PRICE])</f>
        <v>3480</v>
      </c>
      <c r="T3813" s="43">
        <f>表格1[[#This Row],[Unit Price]]/表格1[[#This Row],[SRP]]</f>
        <v>0.65517241379310343</v>
      </c>
      <c r="U3813" s="86" t="str">
        <f>_xlfn.XLOOKUP(表格1[[#This Row],[Model]],表格3[Model-Input-Ref2],表格3[TOSHIBA/HIGHEST])</f>
        <v>Toshiba SRP</v>
      </c>
      <c r="W3813" s="86" t="str">
        <f>_xlfn.CONCAT(表格1[[#This Row],[欄4]],表格1[[#This Row],[inv no]])</f>
        <v>238761</v>
      </c>
    </row>
    <row r="3814" spans="1:23" hidden="1">
      <c r="A3814" s="81">
        <v>3812</v>
      </c>
      <c r="B3814" s="86" t="s">
        <v>1403</v>
      </c>
      <c r="C3814" s="86" t="s">
        <v>1973</v>
      </c>
      <c r="D3814" s="89" t="str">
        <f ca="1">OFFSET(Roster!$A$3,MATCH(表格1[[#This Row],[Location]]&amp;" "&amp;表格1[[#This Row],[Shop]]&amp;"*",Roster!$A$4:$A$72,0),DAY(表格1[[#This Row],[date]]),1,1)</f>
        <v>Happy</v>
      </c>
      <c r="E3814" s="86">
        <f>MONTH(表格1[[#This Row],[date]])</f>
        <v>3</v>
      </c>
      <c r="F3814" s="90">
        <v>46090</v>
      </c>
      <c r="G3814" s="86" t="str">
        <f>VLOOKUP("*"&amp;表格1[[#This Row],[Input]]&amp;"*",'Ref-List'!$B:$D,2,)</f>
        <v>TW-T21BU80UWH(MG)</v>
      </c>
      <c r="H3814" s="86" t="str">
        <f>_xlfn.XLOOKUP(表格1[[#This Row],[Model]],表格3[Model-Input-Ref2],表格3[Product Line])</f>
        <v>400MM超薄身前置式變頻洗衣機(7公斤)</v>
      </c>
      <c r="I3814" s="86" t="str">
        <f>_xlfn.XLOOKUP(表格1[[#This Row],[Model]],表格3[Model-Input-Ref2],表格3[大小電])</f>
        <v>大電</v>
      </c>
      <c r="J3814" s="86" t="str">
        <f>_xlfn.XLOOKUP(表格1[[#This Row],[Model]],表格3[Model-Input-Ref2],表格3[Code])</f>
        <v>LAD</v>
      </c>
      <c r="K3814" s="89" t="s">
        <v>1280</v>
      </c>
      <c r="L3814" s="86">
        <v>1</v>
      </c>
      <c r="M3814" s="87">
        <v>3080</v>
      </c>
      <c r="N3814" s="87">
        <f>IFERROR(表格1[[#This Row],[QTY]]*表格1[[#This Row],[Unit Price]],"-")</f>
        <v>3080</v>
      </c>
      <c r="O3814" s="86">
        <v>238768</v>
      </c>
      <c r="R3814" s="86" t="str">
        <f>_xlfn.CONCAT(表格1[[#This Row],[Model]]," ",表格1[[#This Row],[inv no]])</f>
        <v>TW-T21BU80UWH(MG) 238768</v>
      </c>
      <c r="S3814" s="86">
        <f>_xlfn.XLOOKUP(表格1[[#This Row],[Model]],表格3[Model-Input-Ref2],表格3[SRP PRICE])</f>
        <v>5180</v>
      </c>
      <c r="T3814" s="43">
        <f>表格1[[#This Row],[Unit Price]]/表格1[[#This Row],[SRP]]</f>
        <v>0.59459459459459463</v>
      </c>
      <c r="U3814" s="86" t="str">
        <f>_xlfn.XLOOKUP(表格1[[#This Row],[Model]],表格3[Model-Input-Ref2],表格3[TOSHIBA/HIGHEST])</f>
        <v>Toshiba SRP</v>
      </c>
      <c r="W3814" s="86" t="str">
        <f>_xlfn.CONCAT(表格1[[#This Row],[欄4]],表格1[[#This Row],[inv no]])</f>
        <v>238768</v>
      </c>
    </row>
    <row r="3815" spans="1:23" hidden="1">
      <c r="A3815" s="81">
        <v>3813</v>
      </c>
      <c r="B3815" s="86" t="s">
        <v>1403</v>
      </c>
      <c r="C3815" s="86" t="s">
        <v>1973</v>
      </c>
      <c r="D3815" s="89" t="str">
        <f ca="1">OFFSET(Roster!$A$3,MATCH(表格1[[#This Row],[Location]]&amp;" "&amp;表格1[[#This Row],[Shop]]&amp;"*",Roster!$A$4:$A$72,0),DAY(表格1[[#This Row],[date]]),1,1)</f>
        <v>Happy</v>
      </c>
      <c r="E3815" s="86">
        <f>MONTH(表格1[[#This Row],[date]])</f>
        <v>3</v>
      </c>
      <c r="F3815" s="90">
        <v>46090</v>
      </c>
      <c r="G3815" s="86" t="str">
        <f>VLOOKUP("*"&amp;表格1[[#This Row],[Input]]&amp;"*",'Ref-List'!$B:$D,2,)</f>
        <v>RAD-D250H</v>
      </c>
      <c r="H3815" s="86" t="str">
        <f>_xlfn.XLOOKUP(表格1[[#This Row],[Model]],表格3[Model-Input-Ref2],表格3[Product Line])</f>
        <v>壓縮式抽濕機 (25公升)</v>
      </c>
      <c r="I3815" s="86" t="str">
        <f>_xlfn.XLOOKUP(表格1[[#This Row],[Model]],表格3[Model-Input-Ref2],表格3[大小電])</f>
        <v>細電</v>
      </c>
      <c r="J3815" s="86" t="str">
        <f>_xlfn.XLOOKUP(表格1[[#This Row],[Model]],表格3[Model-Input-Ref2],表格3[Code])</f>
        <v>RAC</v>
      </c>
      <c r="K3815" s="89" t="s">
        <v>1407</v>
      </c>
      <c r="L3815" s="86">
        <v>1</v>
      </c>
      <c r="M3815" s="87">
        <v>2080</v>
      </c>
      <c r="N3815" s="87">
        <f>IFERROR(表格1[[#This Row],[QTY]]*表格1[[#This Row],[Unit Price]],"-")</f>
        <v>2080</v>
      </c>
      <c r="O3815" s="86">
        <v>1188</v>
      </c>
      <c r="R3815" s="86" t="str">
        <f>_xlfn.CONCAT(表格1[[#This Row],[Model]]," ",表格1[[#This Row],[inv no]])</f>
        <v>RAD-D250H 1188</v>
      </c>
      <c r="S3815" s="86">
        <f>_xlfn.XLOOKUP(表格1[[#This Row],[Model]],表格3[Model-Input-Ref2],表格3[SRP PRICE])</f>
        <v>3380</v>
      </c>
      <c r="T3815" s="43">
        <f>表格1[[#This Row],[Unit Price]]/表格1[[#This Row],[SRP]]</f>
        <v>0.61538461538461542</v>
      </c>
      <c r="U3815" s="86" t="str">
        <f>_xlfn.XLOOKUP(表格1[[#This Row],[Model]],表格3[Model-Input-Ref2],表格3[TOSHIBA/HIGHEST])</f>
        <v>Shops Highest Price</v>
      </c>
      <c r="W3815" s="86" t="str">
        <f>_xlfn.CONCAT(表格1[[#This Row],[欄4]],表格1[[#This Row],[inv no]])</f>
        <v>1188</v>
      </c>
    </row>
    <row r="3816" spans="1:23" hidden="1">
      <c r="A3816" s="81">
        <v>3814</v>
      </c>
      <c r="B3816" s="86" t="s">
        <v>1403</v>
      </c>
      <c r="C3816" s="86" t="s">
        <v>1973</v>
      </c>
      <c r="D3816" s="89" t="str">
        <f ca="1">OFFSET(Roster!$A$3,MATCH(表格1[[#This Row],[Location]]&amp;" "&amp;表格1[[#This Row],[Shop]]&amp;"*",Roster!$A$4:$A$72,0),DAY(表格1[[#This Row],[date]]),1,1)</f>
        <v>Happy</v>
      </c>
      <c r="E3816" s="86">
        <f>MONTH(表格1[[#This Row],[date]])</f>
        <v>3</v>
      </c>
      <c r="F3816" s="90">
        <v>46090</v>
      </c>
      <c r="G3816" s="86" t="str">
        <f>VLOOKUP("*"&amp;表格1[[#This Row],[Input]]&amp;"*",'Ref-List'!$B:$D,2,)</f>
        <v>RAD-D300H</v>
      </c>
      <c r="H3816" s="86" t="str">
        <f>_xlfn.XLOOKUP(表格1[[#This Row],[Model]],表格3[Model-Input-Ref2],表格3[Product Line])</f>
        <v>壓縮式抽濕機 (30公升)</v>
      </c>
      <c r="I3816" s="86" t="str">
        <f>_xlfn.XLOOKUP(表格1[[#This Row],[Model]],表格3[Model-Input-Ref2],表格3[大小電])</f>
        <v>細電</v>
      </c>
      <c r="J3816" s="86" t="str">
        <f>_xlfn.XLOOKUP(表格1[[#This Row],[Model]],表格3[Model-Input-Ref2],表格3[Code])</f>
        <v>RAC</v>
      </c>
      <c r="K3816" s="89" t="s">
        <v>1252</v>
      </c>
      <c r="L3816" s="86">
        <v>1</v>
      </c>
      <c r="M3816" s="87">
        <v>2280</v>
      </c>
      <c r="N3816" s="87">
        <f>IFERROR(表格1[[#This Row],[QTY]]*表格1[[#This Row],[Unit Price]],"-")</f>
        <v>2280</v>
      </c>
      <c r="O3816" s="86">
        <v>8707</v>
      </c>
      <c r="R3816" s="86" t="str">
        <f>_xlfn.CONCAT(表格1[[#This Row],[Model]]," ",表格1[[#This Row],[inv no]])</f>
        <v>RAD-D300H 8707</v>
      </c>
      <c r="S3816" s="86">
        <f>_xlfn.XLOOKUP(表格1[[#This Row],[Model]],表格3[Model-Input-Ref2],表格3[SRP PRICE])</f>
        <v>3380</v>
      </c>
      <c r="T3816" s="43">
        <f>表格1[[#This Row],[Unit Price]]/表格1[[#This Row],[SRP]]</f>
        <v>0.67455621301775148</v>
      </c>
      <c r="U3816" s="86" t="str">
        <f>_xlfn.XLOOKUP(表格1[[#This Row],[Model]],表格3[Model-Input-Ref2],表格3[TOSHIBA/HIGHEST])</f>
        <v>Shops Highest Price</v>
      </c>
      <c r="W3816" s="86" t="str">
        <f>_xlfn.CONCAT(表格1[[#This Row],[欄4]],表格1[[#This Row],[inv no]])</f>
        <v>8707</v>
      </c>
    </row>
    <row r="3817" spans="1:23" hidden="1">
      <c r="A3817" s="81">
        <v>3815</v>
      </c>
      <c r="B3817" s="86" t="s">
        <v>1403</v>
      </c>
      <c r="C3817" s="86" t="s">
        <v>1973</v>
      </c>
      <c r="D3817" s="89" t="str">
        <f ca="1">OFFSET(Roster!$A$3,MATCH(表格1[[#This Row],[Location]]&amp;" "&amp;表格1[[#This Row],[Shop]]&amp;"*",Roster!$A$4:$A$72,0),DAY(表格1[[#This Row],[date]]),1,1)</f>
        <v>Happy</v>
      </c>
      <c r="E3817" s="86">
        <f>MONTH(表格1[[#This Row],[date]])</f>
        <v>3</v>
      </c>
      <c r="F3817" s="90">
        <v>46090</v>
      </c>
      <c r="G3817" s="86" t="str">
        <f>VLOOKUP("*"&amp;表格1[[#This Row],[Input]]&amp;"*",'Ref-List'!$B:$D,2,)</f>
        <v>RAD-D250H</v>
      </c>
      <c r="H3817" s="86" t="str">
        <f>_xlfn.XLOOKUP(表格1[[#This Row],[Model]],表格3[Model-Input-Ref2],表格3[Product Line])</f>
        <v>壓縮式抽濕機 (25公升)</v>
      </c>
      <c r="I3817" s="86" t="str">
        <f>_xlfn.XLOOKUP(表格1[[#This Row],[Model]],表格3[Model-Input-Ref2],表格3[大小電])</f>
        <v>細電</v>
      </c>
      <c r="J3817" s="86" t="str">
        <f>_xlfn.XLOOKUP(表格1[[#This Row],[Model]],表格3[Model-Input-Ref2],表格3[Code])</f>
        <v>RAC</v>
      </c>
      <c r="K3817" s="89" t="s">
        <v>1407</v>
      </c>
      <c r="L3817" s="86">
        <v>1</v>
      </c>
      <c r="M3817" s="87">
        <v>2080</v>
      </c>
      <c r="N3817" s="87">
        <f>IFERROR(表格1[[#This Row],[QTY]]*表格1[[#This Row],[Unit Price]],"-")</f>
        <v>2080</v>
      </c>
      <c r="O3817" s="86">
        <v>1191</v>
      </c>
      <c r="R3817" s="86" t="str">
        <f>_xlfn.CONCAT(表格1[[#This Row],[Model]]," ",表格1[[#This Row],[inv no]])</f>
        <v>RAD-D250H 1191</v>
      </c>
      <c r="S3817" s="86">
        <f>_xlfn.XLOOKUP(表格1[[#This Row],[Model]],表格3[Model-Input-Ref2],表格3[SRP PRICE])</f>
        <v>3380</v>
      </c>
      <c r="T3817" s="43">
        <f>表格1[[#This Row],[Unit Price]]/表格1[[#This Row],[SRP]]</f>
        <v>0.61538461538461542</v>
      </c>
      <c r="U3817" s="86" t="str">
        <f>_xlfn.XLOOKUP(表格1[[#This Row],[Model]],表格3[Model-Input-Ref2],表格3[TOSHIBA/HIGHEST])</f>
        <v>Shops Highest Price</v>
      </c>
      <c r="W3817" s="86" t="str">
        <f>_xlfn.CONCAT(表格1[[#This Row],[欄4]],表格1[[#This Row],[inv no]])</f>
        <v>1191</v>
      </c>
    </row>
    <row r="3818" spans="1:23" hidden="1">
      <c r="A3818" s="81">
        <v>3816</v>
      </c>
      <c r="B3818" s="86" t="s">
        <v>1403</v>
      </c>
      <c r="C3818" s="86" t="s">
        <v>1973</v>
      </c>
      <c r="D3818" s="89" t="str">
        <f ca="1">OFFSET(Roster!$A$3,MATCH(表格1[[#This Row],[Location]]&amp;" "&amp;表格1[[#This Row],[Shop]]&amp;"*",Roster!$A$4:$A$72,0),DAY(表格1[[#This Row],[date]]),1,1)</f>
        <v>Happy</v>
      </c>
      <c r="E3818" s="86">
        <f>MONTH(表格1[[#This Row],[date]])</f>
        <v>3</v>
      </c>
      <c r="F3818" s="90">
        <v>46090</v>
      </c>
      <c r="G3818" s="86" t="str">
        <f>VLOOKUP("*"&amp;表格1[[#This Row],[Input]]&amp;"*",'Ref-List'!$B:$D,2,)</f>
        <v>MS3-STQ20SC(WH)</v>
      </c>
      <c r="H3818" s="86" t="str">
        <f>_xlfn.XLOOKUP(表格1[[#This Row],[Model]],表格3[Model-Input-Ref2],表格3[Product Line])</f>
        <v>20L 智能蒸氣焗爐</v>
      </c>
      <c r="I3818" s="86" t="str">
        <f>_xlfn.XLOOKUP(表格1[[#This Row],[Model]],表格3[Model-Input-Ref2],表格3[大小電])</f>
        <v>細電</v>
      </c>
      <c r="J3818" s="86" t="str">
        <f>_xlfn.XLOOKUP(表格1[[#This Row],[Model]],表格3[Model-Input-Ref2],表格3[Code])</f>
        <v>MCA</v>
      </c>
      <c r="K3818" s="89" t="s">
        <v>1383</v>
      </c>
      <c r="L3818" s="86">
        <v>1</v>
      </c>
      <c r="M3818" s="87">
        <v>2100</v>
      </c>
      <c r="N3818" s="87">
        <f>IFERROR(表格1[[#This Row],[QTY]]*表格1[[#This Row],[Unit Price]],"-")</f>
        <v>2100</v>
      </c>
      <c r="O3818" s="86">
        <v>238794</v>
      </c>
      <c r="R3818" s="86" t="str">
        <f>_xlfn.CONCAT(表格1[[#This Row],[Model]]," ",表格1[[#This Row],[inv no]])</f>
        <v>MS3-STQ20SC(WH) 238794</v>
      </c>
      <c r="S3818" s="86">
        <f>_xlfn.XLOOKUP(表格1[[#This Row],[Model]],表格3[Model-Input-Ref2],表格3[SRP PRICE])</f>
        <v>2880</v>
      </c>
      <c r="T3818" s="43">
        <f>表格1[[#This Row],[Unit Price]]/表格1[[#This Row],[SRP]]</f>
        <v>0.72916666666666663</v>
      </c>
      <c r="U3818" s="86" t="str">
        <f>_xlfn.XLOOKUP(表格1[[#This Row],[Model]],表格3[Model-Input-Ref2],表格3[TOSHIBA/HIGHEST])</f>
        <v>Toshiba SRP</v>
      </c>
      <c r="W3818" s="86" t="str">
        <f>_xlfn.CONCAT(表格1[[#This Row],[欄4]],表格1[[#This Row],[inv no]])</f>
        <v>238794</v>
      </c>
    </row>
    <row r="3819" spans="1:23" hidden="1">
      <c r="A3819" s="81">
        <v>3817</v>
      </c>
      <c r="B3819" s="86" t="s">
        <v>1403</v>
      </c>
      <c r="C3819" s="86" t="s">
        <v>1973</v>
      </c>
      <c r="D3819" s="89" t="str">
        <f ca="1">OFFSET(Roster!$A$3,MATCH(表格1[[#This Row],[Location]]&amp;" "&amp;表格1[[#This Row],[Shop]]&amp;"*",Roster!$A$4:$A$72,0),DAY(表格1[[#This Row],[date]]),1,1)</f>
        <v>Happy</v>
      </c>
      <c r="E3819" s="86">
        <f>MONTH(表格1[[#This Row],[date]])</f>
        <v>3</v>
      </c>
      <c r="F3819" s="90">
        <v>46092</v>
      </c>
      <c r="G3819" s="86" t="str">
        <f>VLOOKUP("*"&amp;表格1[[#This Row],[Input]]&amp;"*",'Ref-List'!$B:$D,2,)</f>
        <v>TW-T21BU80UWH(MG)</v>
      </c>
      <c r="H3819" s="86" t="str">
        <f>_xlfn.XLOOKUP(表格1[[#This Row],[Model]],表格3[Model-Input-Ref2],表格3[Product Line])</f>
        <v>400MM超薄身前置式變頻洗衣機(7公斤)</v>
      </c>
      <c r="I3819" s="86" t="str">
        <f>_xlfn.XLOOKUP(表格1[[#This Row],[Model]],表格3[Model-Input-Ref2],表格3[大小電])</f>
        <v>大電</v>
      </c>
      <c r="J3819" s="86" t="str">
        <f>_xlfn.XLOOKUP(表格1[[#This Row],[Model]],表格3[Model-Input-Ref2],表格3[Code])</f>
        <v>LAD</v>
      </c>
      <c r="K3819" s="89" t="s">
        <v>1280</v>
      </c>
      <c r="L3819" s="86">
        <v>1</v>
      </c>
      <c r="M3819" s="87">
        <v>3180</v>
      </c>
      <c r="N3819" s="87">
        <f>IFERROR(表格1[[#This Row],[QTY]]*表格1[[#This Row],[Unit Price]],"-")</f>
        <v>3180</v>
      </c>
      <c r="O3819" s="86">
        <v>238801</v>
      </c>
      <c r="R3819" s="86" t="str">
        <f>_xlfn.CONCAT(表格1[[#This Row],[Model]]," ",表格1[[#This Row],[inv no]])</f>
        <v>TW-T21BU80UWH(MG) 238801</v>
      </c>
      <c r="S3819" s="86">
        <f>_xlfn.XLOOKUP(表格1[[#This Row],[Model]],表格3[Model-Input-Ref2],表格3[SRP PRICE])</f>
        <v>5180</v>
      </c>
      <c r="T3819" s="43">
        <f>表格1[[#This Row],[Unit Price]]/表格1[[#This Row],[SRP]]</f>
        <v>0.61389961389961389</v>
      </c>
      <c r="U3819" s="86" t="str">
        <f>_xlfn.XLOOKUP(表格1[[#This Row],[Model]],表格3[Model-Input-Ref2],表格3[TOSHIBA/HIGHEST])</f>
        <v>Toshiba SRP</v>
      </c>
      <c r="W3819" s="86" t="str">
        <f>_xlfn.CONCAT(表格1[[#This Row],[欄4]],表格1[[#This Row],[inv no]])</f>
        <v>238801</v>
      </c>
    </row>
    <row r="3820" spans="1:23" hidden="1">
      <c r="A3820" s="81">
        <v>3818</v>
      </c>
      <c r="B3820" s="86" t="s">
        <v>1403</v>
      </c>
      <c r="C3820" s="86" t="s">
        <v>1973</v>
      </c>
      <c r="D3820" s="89" t="str">
        <f ca="1">OFFSET(Roster!$A$3,MATCH(表格1[[#This Row],[Location]]&amp;" "&amp;表格1[[#This Row],[Shop]]&amp;"*",Roster!$A$4:$A$72,0),DAY(表格1[[#This Row],[date]]),1,1)</f>
        <v>Happy</v>
      </c>
      <c r="E3820" s="86">
        <f>MONTH(表格1[[#This Row],[date]])</f>
        <v>3</v>
      </c>
      <c r="F3820" s="90">
        <v>46092</v>
      </c>
      <c r="G3820" s="86" t="str">
        <f>VLOOKUP("*"&amp;表格1[[#This Row],[Input]]&amp;"*",'Ref-List'!$B:$D,2,)</f>
        <v>MX2-STR25SC(WH)</v>
      </c>
      <c r="H3820" s="86" t="str">
        <f>_xlfn.XLOOKUP(表格1[[#This Row],[Model]],表格3[Model-Input-Ref2],表格3[Product Line])</f>
        <v>4合1氣炸微波蒸焗爐(25公升)</v>
      </c>
      <c r="I3820" s="86" t="str">
        <f>_xlfn.XLOOKUP(表格1[[#This Row],[Model]],表格3[Model-Input-Ref2],表格3[大小電])</f>
        <v>細電</v>
      </c>
      <c r="J3820" s="86" t="str">
        <f>_xlfn.XLOOKUP(表格1[[#This Row],[Model]],表格3[Model-Input-Ref2],表格3[Code])</f>
        <v>MCA</v>
      </c>
      <c r="K3820" s="89" t="s">
        <v>1410</v>
      </c>
      <c r="L3820" s="86">
        <v>1</v>
      </c>
      <c r="M3820" s="87">
        <v>3478</v>
      </c>
      <c r="N3820" s="87">
        <f>IFERROR(表格1[[#This Row],[QTY]]*表格1[[#This Row],[Unit Price]],"-")</f>
        <v>3478</v>
      </c>
      <c r="O3820" s="86">
        <v>238823</v>
      </c>
      <c r="R3820" s="86" t="str">
        <f>_xlfn.CONCAT(表格1[[#This Row],[Model]]," ",表格1[[#This Row],[inv no]])</f>
        <v>MX2-STR25SC(WH) 238823</v>
      </c>
      <c r="S3820" s="86">
        <f>_xlfn.XLOOKUP(表格1[[#This Row],[Model]],表格3[Model-Input-Ref2],表格3[SRP PRICE])</f>
        <v>4998</v>
      </c>
      <c r="T3820" s="43">
        <f>表格1[[#This Row],[Unit Price]]/表格1[[#This Row],[SRP]]</f>
        <v>0.69587835134053622</v>
      </c>
      <c r="U3820" s="86" t="str">
        <f>_xlfn.XLOOKUP(表格1[[#This Row],[Model]],表格3[Model-Input-Ref2],表格3[TOSHIBA/HIGHEST])</f>
        <v>Toshiba SRP</v>
      </c>
      <c r="W3820" s="86" t="str">
        <f>_xlfn.CONCAT(表格1[[#This Row],[欄4]],表格1[[#This Row],[inv no]])</f>
        <v>238823</v>
      </c>
    </row>
    <row r="3821" spans="1:23" hidden="1">
      <c r="A3821" s="81">
        <v>3819</v>
      </c>
      <c r="B3821" s="86" t="s">
        <v>1403</v>
      </c>
      <c r="C3821" s="86" t="s">
        <v>1973</v>
      </c>
      <c r="D3821" s="89" t="str">
        <f ca="1">OFFSET(Roster!$A$3,MATCH(表格1[[#This Row],[Location]]&amp;" "&amp;表格1[[#This Row],[Shop]]&amp;"*",Roster!$A$4:$A$72,0),DAY(表格1[[#This Row],[date]]),1,1)</f>
        <v>Happy</v>
      </c>
      <c r="E3821" s="86">
        <f>MONTH(表格1[[#This Row],[date]])</f>
        <v>3</v>
      </c>
      <c r="F3821" s="90">
        <v>46092</v>
      </c>
      <c r="G3821" s="86" t="str">
        <f>VLOOKUP("*"&amp;表格1[[#This Row],[Input]]&amp;"*",'Ref-List'!$B:$D,2,)</f>
        <v>TW-T22BU95UWH(WK)-B</v>
      </c>
      <c r="H3821" s="86" t="str">
        <f>_xlfn.XLOOKUP(表格1[[#This Row],[Model]],表格3[Model-Input-Ref2],表格3[Product Line])</f>
        <v>470MM超薄身前置式變頻洗衣機(8.5公斤, 可飛頂)</v>
      </c>
      <c r="I3821" s="86" t="str">
        <f>_xlfn.XLOOKUP(表格1[[#This Row],[Model]],表格3[Model-Input-Ref2],表格3[大小電])</f>
        <v>大電</v>
      </c>
      <c r="J3821" s="86" t="str">
        <f>_xlfn.XLOOKUP(表格1[[#This Row],[Model]],表格3[Model-Input-Ref2],表格3[Code])</f>
        <v>LAD</v>
      </c>
      <c r="K3821" s="89" t="s">
        <v>969</v>
      </c>
      <c r="L3821" s="86">
        <v>1</v>
      </c>
      <c r="M3821" s="87">
        <v>3680</v>
      </c>
      <c r="N3821" s="87">
        <f>IFERROR(表格1[[#This Row],[QTY]]*表格1[[#This Row],[Unit Price]],"-")</f>
        <v>3680</v>
      </c>
      <c r="O3821" s="86">
        <v>238827</v>
      </c>
      <c r="R3821" s="86" t="str">
        <f>_xlfn.CONCAT(表格1[[#This Row],[Model]]," ",表格1[[#This Row],[inv no]])</f>
        <v>TW-T22BU95UWH(WK)-B 238827</v>
      </c>
      <c r="S3821" s="86">
        <f>_xlfn.XLOOKUP(表格1[[#This Row],[Model]],表格3[Model-Input-Ref2],表格3[SRP PRICE])</f>
        <v>5880</v>
      </c>
      <c r="T3821" s="43">
        <f>表格1[[#This Row],[Unit Price]]/表格1[[#This Row],[SRP]]</f>
        <v>0.62585034013605445</v>
      </c>
      <c r="U3821" s="86" t="str">
        <f>_xlfn.XLOOKUP(表格1[[#This Row],[Model]],表格3[Model-Input-Ref2],表格3[TOSHIBA/HIGHEST])</f>
        <v>Toshiba SRP</v>
      </c>
      <c r="W3821" s="86" t="str">
        <f>_xlfn.CONCAT(表格1[[#This Row],[欄4]],表格1[[#This Row],[inv no]])</f>
        <v>238827</v>
      </c>
    </row>
    <row r="3822" spans="1:23" hidden="1">
      <c r="A3822" s="81">
        <v>3820</v>
      </c>
      <c r="B3822" s="86" t="s">
        <v>1403</v>
      </c>
      <c r="C3822" s="86" t="s">
        <v>1973</v>
      </c>
      <c r="D3822" s="89" t="str">
        <f ca="1">OFFSET(Roster!$A$3,MATCH(表格1[[#This Row],[Location]]&amp;" "&amp;表格1[[#This Row],[Shop]]&amp;"*",Roster!$A$4:$A$72,0),DAY(表格1[[#This Row],[date]]),1,1)</f>
        <v>Happy</v>
      </c>
      <c r="E3822" s="86">
        <f>MONTH(表格1[[#This Row],[date]])</f>
        <v>3</v>
      </c>
      <c r="F3822" s="90">
        <v>46092</v>
      </c>
      <c r="G3822" s="86" t="str">
        <f>VLOOKUP("*"&amp;表格1[[#This Row],[Input]]&amp;"*",'Ref-List'!$B:$D,2,)</f>
        <v>RC-10AMXH(W)</v>
      </c>
      <c r="H3822" s="86" t="str">
        <f>_xlfn.XLOOKUP(表格1[[#This Row],[Model]],表格3[Model-Input-Ref2],表格3[Product Line])</f>
        <v>酵活炊電飯煲(1.0公升)</v>
      </c>
      <c r="I3822" s="86" t="str">
        <f>_xlfn.XLOOKUP(表格1[[#This Row],[Model]],表格3[Model-Input-Ref2],表格3[大小電])</f>
        <v>細電</v>
      </c>
      <c r="J3822" s="86" t="str">
        <f>_xlfn.XLOOKUP(表格1[[#This Row],[Model]],表格3[Model-Input-Ref2],表格3[Code])</f>
        <v>SDA</v>
      </c>
      <c r="K3822" s="89" t="s">
        <v>1279</v>
      </c>
      <c r="L3822" s="86">
        <v>1</v>
      </c>
      <c r="M3822" s="87">
        <v>990</v>
      </c>
      <c r="N3822" s="87">
        <f>IFERROR(表格1[[#This Row],[QTY]]*表格1[[#This Row],[Unit Price]],"-")</f>
        <v>990</v>
      </c>
      <c r="O3822" s="86">
        <v>238827</v>
      </c>
      <c r="R3822" s="86" t="str">
        <f>_xlfn.CONCAT(表格1[[#This Row],[Model]]," ",表格1[[#This Row],[inv no]])</f>
        <v>RC-10AMXH(W) 238827</v>
      </c>
      <c r="S3822" s="86">
        <f>_xlfn.XLOOKUP(表格1[[#This Row],[Model]],表格3[Model-Input-Ref2],表格3[SRP PRICE])</f>
        <v>1288</v>
      </c>
      <c r="T3822" s="43">
        <f>表格1[[#This Row],[Unit Price]]/表格1[[#This Row],[SRP]]</f>
        <v>0.76863354037267084</v>
      </c>
      <c r="U3822" s="86" t="str">
        <f>_xlfn.XLOOKUP(表格1[[#This Row],[Model]],表格3[Model-Input-Ref2],表格3[TOSHIBA/HIGHEST])</f>
        <v>Toshiba SRP</v>
      </c>
      <c r="W3822" s="86" t="str">
        <f>_xlfn.CONCAT(表格1[[#This Row],[欄4]],表格1[[#This Row],[inv no]])</f>
        <v>238827</v>
      </c>
    </row>
    <row r="3823" spans="1:23" hidden="1">
      <c r="A3823" s="81">
        <v>3821</v>
      </c>
      <c r="B3823" s="86" t="s">
        <v>1403</v>
      </c>
      <c r="C3823" s="86" t="s">
        <v>1973</v>
      </c>
      <c r="D3823" s="89" t="str">
        <f ca="1">OFFSET(Roster!$A$3,MATCH(表格1[[#This Row],[Location]]&amp;" "&amp;表格1[[#This Row],[Shop]]&amp;"*",Roster!$A$4:$A$72,0),DAY(表格1[[#This Row],[date]]),1,1)</f>
        <v>Happy</v>
      </c>
      <c r="E3823" s="86">
        <f>MONTH(表格1[[#This Row],[date]])</f>
        <v>3</v>
      </c>
      <c r="F3823" s="90">
        <v>46092</v>
      </c>
      <c r="G3823" s="86" t="str">
        <f>VLOOKUP("*"&amp;表格1[[#This Row],[Input]]&amp;"*",'Ref-List'!$B:$D,2,)</f>
        <v>MX2-STR25SC(WH)</v>
      </c>
      <c r="H3823" s="86" t="str">
        <f>_xlfn.XLOOKUP(表格1[[#This Row],[Model]],表格3[Model-Input-Ref2],表格3[Product Line])</f>
        <v>4合1氣炸微波蒸焗爐(25公升)</v>
      </c>
      <c r="I3823" s="86" t="str">
        <f>_xlfn.XLOOKUP(表格1[[#This Row],[Model]],表格3[Model-Input-Ref2],表格3[大小電])</f>
        <v>細電</v>
      </c>
      <c r="J3823" s="86" t="str">
        <f>_xlfn.XLOOKUP(表格1[[#This Row],[Model]],表格3[Model-Input-Ref2],表格3[Code])</f>
        <v>MCA</v>
      </c>
      <c r="K3823" s="89" t="s">
        <v>1410</v>
      </c>
      <c r="L3823" s="86">
        <v>1</v>
      </c>
      <c r="M3823" s="87">
        <v>3478</v>
      </c>
      <c r="N3823" s="87">
        <f>IFERROR(表格1[[#This Row],[QTY]]*表格1[[#This Row],[Unit Price]],"-")</f>
        <v>3478</v>
      </c>
      <c r="O3823" s="86">
        <v>238834</v>
      </c>
      <c r="R3823" s="86" t="str">
        <f>_xlfn.CONCAT(表格1[[#This Row],[Model]]," ",表格1[[#This Row],[inv no]])</f>
        <v>MX2-STR25SC(WH) 238834</v>
      </c>
      <c r="S3823" s="86">
        <f>_xlfn.XLOOKUP(表格1[[#This Row],[Model]],表格3[Model-Input-Ref2],表格3[SRP PRICE])</f>
        <v>4998</v>
      </c>
      <c r="T3823" s="43">
        <f>表格1[[#This Row],[Unit Price]]/表格1[[#This Row],[SRP]]</f>
        <v>0.69587835134053622</v>
      </c>
      <c r="U3823" s="86" t="str">
        <f>_xlfn.XLOOKUP(表格1[[#This Row],[Model]],表格3[Model-Input-Ref2],表格3[TOSHIBA/HIGHEST])</f>
        <v>Toshiba SRP</v>
      </c>
      <c r="W3823" s="86" t="str">
        <f>_xlfn.CONCAT(表格1[[#This Row],[欄4]],表格1[[#This Row],[inv no]])</f>
        <v>238834</v>
      </c>
    </row>
    <row r="3824" spans="1:23" hidden="1">
      <c r="A3824" s="81">
        <v>3822</v>
      </c>
      <c r="B3824" s="86" t="s">
        <v>1403</v>
      </c>
      <c r="C3824" s="86" t="s">
        <v>1973</v>
      </c>
      <c r="D3824" s="89" t="str">
        <f ca="1">OFFSET(Roster!$A$3,MATCH(表格1[[#This Row],[Location]]&amp;" "&amp;表格1[[#This Row],[Shop]]&amp;"*",Roster!$A$4:$A$72,0),DAY(表格1[[#This Row],[date]]),1,1)</f>
        <v>Happy</v>
      </c>
      <c r="E3824" s="86">
        <f>MONTH(表格1[[#This Row],[date]])</f>
        <v>3</v>
      </c>
      <c r="F3824" s="90">
        <v>46092</v>
      </c>
      <c r="G3824" s="86" t="str">
        <f>VLOOKUP("*"&amp;表格1[[#This Row],[Input]]&amp;"*",'Ref-List'!$B:$D,2,)</f>
        <v>CFK01W75</v>
      </c>
      <c r="H3824" s="86" t="str">
        <f>_xlfn.XLOOKUP(表格1[[#This Row],[Model]],表格3[Model-Input-Ref2],表格3[Product Line])</f>
        <v>變頻頂揭式洗衣機 (7.5公斤)</v>
      </c>
      <c r="I3824" s="86" t="str">
        <f>_xlfn.XLOOKUP(表格1[[#This Row],[Model]],表格3[Model-Input-Ref2],表格3[大小電])</f>
        <v>大電</v>
      </c>
      <c r="J3824" s="86" t="str">
        <f>_xlfn.XLOOKUP(表格1[[#This Row],[Model]],表格3[Model-Input-Ref2],表格3[Code])</f>
        <v>LAD</v>
      </c>
      <c r="K3824" s="89" t="s">
        <v>1266</v>
      </c>
      <c r="L3824" s="86">
        <v>1</v>
      </c>
      <c r="M3824" s="87">
        <v>3580</v>
      </c>
      <c r="N3824" s="87">
        <f>IFERROR(表格1[[#This Row],[QTY]]*表格1[[#This Row],[Unit Price]],"-")</f>
        <v>3580</v>
      </c>
      <c r="O3824" s="86">
        <v>238835</v>
      </c>
      <c r="R3824" s="86" t="str">
        <f>_xlfn.CONCAT(表格1[[#This Row],[Model]]," ",表格1[[#This Row],[inv no]])</f>
        <v>CFK01W75 238835</v>
      </c>
      <c r="S3824" s="86">
        <f>_xlfn.XLOOKUP(表格1[[#This Row],[Model]],表格3[Model-Input-Ref2],表格3[SRP PRICE])</f>
        <v>3888</v>
      </c>
      <c r="T3824" s="43">
        <f>表格1[[#This Row],[Unit Price]]/表格1[[#This Row],[SRP]]</f>
        <v>0.92078189300411528</v>
      </c>
      <c r="U3824" s="86" t="str">
        <f>_xlfn.XLOOKUP(表格1[[#This Row],[Model]],表格3[Model-Input-Ref2],表格3[TOSHIBA/HIGHEST])</f>
        <v>Shops Highest Price</v>
      </c>
      <c r="W3824" s="86" t="str">
        <f>_xlfn.CONCAT(表格1[[#This Row],[欄4]],表格1[[#This Row],[inv no]])</f>
        <v>238835</v>
      </c>
    </row>
    <row r="3825" spans="1:23" hidden="1">
      <c r="A3825" s="81">
        <v>3823</v>
      </c>
      <c r="B3825" s="86" t="s">
        <v>1403</v>
      </c>
      <c r="C3825" s="86" t="s">
        <v>1973</v>
      </c>
      <c r="D3825" s="89" t="str">
        <f ca="1">OFFSET(Roster!$A$3,MATCH(表格1[[#This Row],[Location]]&amp;" "&amp;表格1[[#This Row],[Shop]]&amp;"*",Roster!$A$4:$A$72,0),DAY(表格1[[#This Row],[date]]),1,1)</f>
        <v>Happy</v>
      </c>
      <c r="E3825" s="86">
        <f>MONTH(表格1[[#This Row],[date]])</f>
        <v>3</v>
      </c>
      <c r="F3825" s="90">
        <v>46092</v>
      </c>
      <c r="G3825" s="86" t="str">
        <f>VLOOKUP("*"&amp;表格1[[#This Row],[Input]]&amp;"*",'Ref-List'!$B:$D,2,)</f>
        <v>GR-RB360WE-PMA(06)</v>
      </c>
      <c r="H3825" s="86" t="str">
        <f>_xlfn.XLOOKUP(表格1[[#This Row],[Model]],表格3[Model-Input-Ref2],表格3[Product Line])</f>
        <v>變頻下置式雙門雪櫃系列270L</v>
      </c>
      <c r="I3825" s="86" t="str">
        <f>_xlfn.XLOOKUP(表格1[[#This Row],[Model]],表格3[Model-Input-Ref2],表格3[大小電])</f>
        <v>大電</v>
      </c>
      <c r="J3825" s="86" t="str">
        <f>_xlfn.XLOOKUP(表格1[[#This Row],[Model]],表格3[Model-Input-Ref2],表格3[Code])</f>
        <v>REF</v>
      </c>
      <c r="K3825" s="89" t="s">
        <v>1282</v>
      </c>
      <c r="L3825" s="86">
        <v>1</v>
      </c>
      <c r="M3825" s="87">
        <v>3980</v>
      </c>
      <c r="N3825" s="87">
        <f>IFERROR(表格1[[#This Row],[QTY]]*表格1[[#This Row],[Unit Price]],"-")</f>
        <v>3980</v>
      </c>
      <c r="O3825" s="86">
        <v>238841</v>
      </c>
      <c r="R3825" s="86" t="str">
        <f>_xlfn.CONCAT(表格1[[#This Row],[Model]]," ",表格1[[#This Row],[inv no]])</f>
        <v>GR-RB360WE-PMA(06) 238841</v>
      </c>
      <c r="S3825" s="86">
        <f>_xlfn.XLOOKUP(表格1[[#This Row],[Model]],表格3[Model-Input-Ref2],表格3[SRP PRICE])</f>
        <v>5080</v>
      </c>
      <c r="T3825" s="43">
        <f>表格1[[#This Row],[Unit Price]]/表格1[[#This Row],[SRP]]</f>
        <v>0.78346456692913391</v>
      </c>
      <c r="U3825" s="86" t="str">
        <f>_xlfn.XLOOKUP(表格1[[#This Row],[Model]],表格3[Model-Input-Ref2],表格3[TOSHIBA/HIGHEST])</f>
        <v>Toshiba SRP</v>
      </c>
      <c r="W3825" s="86" t="str">
        <f>_xlfn.CONCAT(表格1[[#This Row],[欄4]],表格1[[#This Row],[inv no]])</f>
        <v>238841</v>
      </c>
    </row>
    <row r="3826" spans="1:23" hidden="1">
      <c r="A3826" s="81">
        <v>3824</v>
      </c>
      <c r="B3826" s="86" t="s">
        <v>1403</v>
      </c>
      <c r="C3826" s="86" t="s">
        <v>1973</v>
      </c>
      <c r="D3826" s="89" t="str">
        <f ca="1">OFFSET(Roster!$A$3,MATCH(表格1[[#This Row],[Location]]&amp;" "&amp;表格1[[#This Row],[Shop]]&amp;"*",Roster!$A$4:$A$72,0),DAY(表格1[[#This Row],[date]]),1,1)</f>
        <v>Happy</v>
      </c>
      <c r="E3826" s="86">
        <f>MONTH(表格1[[#This Row],[date]])</f>
        <v>3</v>
      </c>
      <c r="F3826" s="90">
        <v>46092</v>
      </c>
      <c r="G3826" s="86" t="str">
        <f>VLOOKUP("*"&amp;表格1[[#This Row],[Input]]&amp;"*",'Ref-List'!$B:$D,2,)</f>
        <v>RAD-D250H</v>
      </c>
      <c r="H3826" s="86" t="str">
        <f>_xlfn.XLOOKUP(表格1[[#This Row],[Model]],表格3[Model-Input-Ref2],表格3[Product Line])</f>
        <v>壓縮式抽濕機 (25公升)</v>
      </c>
      <c r="I3826" s="86" t="str">
        <f>_xlfn.XLOOKUP(表格1[[#This Row],[Model]],表格3[Model-Input-Ref2],表格3[大小電])</f>
        <v>細電</v>
      </c>
      <c r="J3826" s="86" t="str">
        <f>_xlfn.XLOOKUP(表格1[[#This Row],[Model]],表格3[Model-Input-Ref2],表格3[Code])</f>
        <v>RAC</v>
      </c>
      <c r="K3826" s="89" t="s">
        <v>1407</v>
      </c>
      <c r="L3826" s="86">
        <v>1</v>
      </c>
      <c r="M3826" s="87">
        <v>2080</v>
      </c>
      <c r="N3826" s="87">
        <f>IFERROR(表格1[[#This Row],[QTY]]*表格1[[#This Row],[Unit Price]],"-")</f>
        <v>2080</v>
      </c>
      <c r="O3826" s="86">
        <v>238819</v>
      </c>
      <c r="R3826" s="86" t="str">
        <f>_xlfn.CONCAT(表格1[[#This Row],[Model]]," ",表格1[[#This Row],[inv no]])</f>
        <v>RAD-D250H 238819</v>
      </c>
      <c r="S3826" s="86">
        <f>_xlfn.XLOOKUP(表格1[[#This Row],[Model]],表格3[Model-Input-Ref2],表格3[SRP PRICE])</f>
        <v>3380</v>
      </c>
      <c r="T3826" s="43">
        <f>表格1[[#This Row],[Unit Price]]/表格1[[#This Row],[SRP]]</f>
        <v>0.61538461538461542</v>
      </c>
      <c r="U3826" s="86" t="str">
        <f>_xlfn.XLOOKUP(表格1[[#This Row],[Model]],表格3[Model-Input-Ref2],表格3[TOSHIBA/HIGHEST])</f>
        <v>Shops Highest Price</v>
      </c>
      <c r="W3826" s="86" t="str">
        <f>_xlfn.CONCAT(表格1[[#This Row],[欄4]],表格1[[#This Row],[inv no]])</f>
        <v>238819</v>
      </c>
    </row>
    <row r="3827" spans="1:23" hidden="1">
      <c r="A3827" s="81">
        <v>3825</v>
      </c>
      <c r="B3827" s="86" t="s">
        <v>1403</v>
      </c>
      <c r="C3827" s="86" t="s">
        <v>1973</v>
      </c>
      <c r="D3827" s="89" t="str">
        <f ca="1">OFFSET(Roster!$A$3,MATCH(表格1[[#This Row],[Location]]&amp;" "&amp;表格1[[#This Row],[Shop]]&amp;"*",Roster!$A$4:$A$72,0),DAY(表格1[[#This Row],[date]]),1,1)</f>
        <v>Happy</v>
      </c>
      <c r="E3827" s="86">
        <f>MONTH(表格1[[#This Row],[date]])</f>
        <v>3</v>
      </c>
      <c r="F3827" s="90">
        <v>46093</v>
      </c>
      <c r="G3827" s="86" t="str">
        <f>VLOOKUP("*"&amp;表格1[[#This Row],[Input]]&amp;"*",'Ref-List'!$B:$D,2,)</f>
        <v>KT-17DRTHK(H)</v>
      </c>
      <c r="H3827" s="86" t="str">
        <f>_xlfn.XLOOKUP(表格1[[#This Row],[Model]],表格3[Model-Input-Ref2],表格3[Product Line])</f>
        <v>無線雙層電熱水壺(1.7公升)</v>
      </c>
      <c r="I3827" s="86" t="str">
        <f>_xlfn.XLOOKUP(表格1[[#This Row],[Model]],表格3[Model-Input-Ref2],表格3[大小電])</f>
        <v>細電</v>
      </c>
      <c r="J3827" s="86" t="str">
        <f>_xlfn.XLOOKUP(表格1[[#This Row],[Model]],表格3[Model-Input-Ref2],表格3[Code])</f>
        <v>SDA</v>
      </c>
      <c r="K3827" s="89" t="s">
        <v>1271</v>
      </c>
      <c r="L3827" s="86">
        <v>1</v>
      </c>
      <c r="M3827" s="87">
        <v>388</v>
      </c>
      <c r="N3827" s="87">
        <f>IFERROR(表格1[[#This Row],[QTY]]*表格1[[#This Row],[Unit Price]],"-")</f>
        <v>388</v>
      </c>
      <c r="O3827" s="86">
        <v>8723</v>
      </c>
      <c r="R3827" s="86" t="str">
        <f>_xlfn.CONCAT(表格1[[#This Row],[Model]]," ",表格1[[#This Row],[inv no]])</f>
        <v>KT-17DRTHK(H) 8723</v>
      </c>
      <c r="S3827" s="86">
        <f>_xlfn.XLOOKUP(表格1[[#This Row],[Model]],表格3[Model-Input-Ref2],表格3[SRP PRICE])</f>
        <v>498</v>
      </c>
      <c r="T3827" s="43">
        <f>表格1[[#This Row],[Unit Price]]/表格1[[#This Row],[SRP]]</f>
        <v>0.77911646586345384</v>
      </c>
      <c r="U3827" s="86" t="str">
        <f>_xlfn.XLOOKUP(表格1[[#This Row],[Model]],表格3[Model-Input-Ref2],表格3[TOSHIBA/HIGHEST])</f>
        <v>Toshiba SRP</v>
      </c>
      <c r="W3827" s="86" t="str">
        <f>_xlfn.CONCAT(表格1[[#This Row],[欄4]],表格1[[#This Row],[inv no]])</f>
        <v>8723</v>
      </c>
    </row>
    <row r="3828" spans="1:23" hidden="1">
      <c r="A3828" s="81">
        <v>3826</v>
      </c>
      <c r="B3828" s="86" t="s">
        <v>1403</v>
      </c>
      <c r="C3828" s="86" t="s">
        <v>1973</v>
      </c>
      <c r="D3828" s="89" t="str">
        <f ca="1">OFFSET(Roster!$A$3,MATCH(表格1[[#This Row],[Location]]&amp;" "&amp;表格1[[#This Row],[Shop]]&amp;"*",Roster!$A$4:$A$72,0),DAY(表格1[[#This Row],[date]]),1,1)</f>
        <v>Happy</v>
      </c>
      <c r="E3828" s="86">
        <f>MONTH(表格1[[#This Row],[date]])</f>
        <v>3</v>
      </c>
      <c r="F3828" s="90">
        <v>46093</v>
      </c>
      <c r="G3828" s="86" t="str">
        <f>VLOOKUP("*"&amp;表格1[[#This Row],[Input]]&amp;"*",'Ref-List'!$B:$D,2,)</f>
        <v>GR-RT234WE-PMA(57)</v>
      </c>
      <c r="H3828" s="86" t="str">
        <f>_xlfn.XLOOKUP(表格1[[#This Row],[Model]],表格3[Model-Input-Ref2],表格3[Product Line])</f>
        <v>變頻式環保雙門雪櫃（179L）</v>
      </c>
      <c r="I3828" s="86" t="str">
        <f>_xlfn.XLOOKUP(表格1[[#This Row],[Model]],表格3[Model-Input-Ref2],表格3[大小電])</f>
        <v>大電</v>
      </c>
      <c r="J3828" s="86" t="str">
        <f>_xlfn.XLOOKUP(表格1[[#This Row],[Model]],表格3[Model-Input-Ref2],表格3[Code])</f>
        <v>REF</v>
      </c>
      <c r="K3828" s="89" t="s">
        <v>1423</v>
      </c>
      <c r="L3828" s="86">
        <v>1</v>
      </c>
      <c r="M3828" s="87">
        <v>1980</v>
      </c>
      <c r="N3828" s="87">
        <f>IFERROR(表格1[[#This Row],[QTY]]*表格1[[#This Row],[Unit Price]],"-")</f>
        <v>1980</v>
      </c>
      <c r="O3828" s="86">
        <v>238862</v>
      </c>
      <c r="R3828" s="86" t="str">
        <f>_xlfn.CONCAT(表格1[[#This Row],[Model]]," ",表格1[[#This Row],[inv no]])</f>
        <v>GR-RT234WE-PMA(57) 238862</v>
      </c>
      <c r="S3828" s="86">
        <f>_xlfn.XLOOKUP(表格1[[#This Row],[Model]],表格3[Model-Input-Ref2],表格3[SRP PRICE])</f>
        <v>3680</v>
      </c>
      <c r="T3828" s="43">
        <f>表格1[[#This Row],[Unit Price]]/表格1[[#This Row],[SRP]]</f>
        <v>0.53804347826086951</v>
      </c>
      <c r="U3828" s="86" t="str">
        <f>_xlfn.XLOOKUP(表格1[[#This Row],[Model]],表格3[Model-Input-Ref2],表格3[TOSHIBA/HIGHEST])</f>
        <v>Toshiba SRP</v>
      </c>
      <c r="W3828" s="86" t="str">
        <f>_xlfn.CONCAT(表格1[[#This Row],[欄4]],表格1[[#This Row],[inv no]])</f>
        <v>238862</v>
      </c>
    </row>
    <row r="3829" spans="1:23" hidden="1">
      <c r="A3829" s="81">
        <v>3827</v>
      </c>
      <c r="B3829" s="86" t="s">
        <v>1403</v>
      </c>
      <c r="C3829" s="86" t="s">
        <v>1973</v>
      </c>
      <c r="D3829" s="89" t="str">
        <f ca="1">OFFSET(Roster!$A$3,MATCH(表格1[[#This Row],[Location]]&amp;" "&amp;表格1[[#This Row],[Shop]]&amp;"*",Roster!$A$4:$A$72,0),DAY(表格1[[#This Row],[date]]),1,1)</f>
        <v>Happy</v>
      </c>
      <c r="E3829" s="86">
        <f>MONTH(表格1[[#This Row],[date]])</f>
        <v>3</v>
      </c>
      <c r="F3829" s="90">
        <v>46093</v>
      </c>
      <c r="G3829" s="86" t="str">
        <f>VLOOKUP("*"&amp;表格1[[#This Row],[Input]]&amp;"*",'Ref-List'!$B:$D,2,)</f>
        <v>MV2-EG26PEI(BK)</v>
      </c>
      <c r="H3829" s="86" t="str">
        <f>_xlfn.XLOOKUP(表格1[[#This Row],[Model]],表格3[Model-Input-Ref2],表格3[Product Line])</f>
        <v>輕觸式平板燒烤微波爐 (26公升)</v>
      </c>
      <c r="I3829" s="86" t="str">
        <f>_xlfn.XLOOKUP(表格1[[#This Row],[Model]],表格3[Model-Input-Ref2],表格3[大小電])</f>
        <v>細電</v>
      </c>
      <c r="J3829" s="86" t="str">
        <f>_xlfn.XLOOKUP(表格1[[#This Row],[Model]],表格3[Model-Input-Ref2],表格3[Code])</f>
        <v>MCA</v>
      </c>
      <c r="K3829" s="89" t="s">
        <v>1394</v>
      </c>
      <c r="L3829" s="86">
        <v>1</v>
      </c>
      <c r="M3829" s="87">
        <v>918</v>
      </c>
      <c r="N3829" s="87">
        <f>IFERROR(表格1[[#This Row],[QTY]]*表格1[[#This Row],[Unit Price]],"-")</f>
        <v>918</v>
      </c>
      <c r="O3829" s="86">
        <v>238865</v>
      </c>
      <c r="R3829" s="86" t="str">
        <f>_xlfn.CONCAT(表格1[[#This Row],[Model]]," ",表格1[[#This Row],[inv no]])</f>
        <v>MV2-EG26PEI(BK) 238865</v>
      </c>
      <c r="S3829" s="86">
        <f>_xlfn.XLOOKUP(表格1[[#This Row],[Model]],表格3[Model-Input-Ref2],表格3[SRP PRICE])</f>
        <v>1180</v>
      </c>
      <c r="T3829" s="43">
        <f>表格1[[#This Row],[Unit Price]]/表格1[[#This Row],[SRP]]</f>
        <v>0.7779661016949152</v>
      </c>
      <c r="U3829" s="86" t="str">
        <f>_xlfn.XLOOKUP(表格1[[#This Row],[Model]],表格3[Model-Input-Ref2],表格3[TOSHIBA/HIGHEST])</f>
        <v>Toshiba SRP</v>
      </c>
      <c r="W3829" s="86" t="str">
        <f>_xlfn.CONCAT(表格1[[#This Row],[欄4]],表格1[[#This Row],[inv no]])</f>
        <v>238865</v>
      </c>
    </row>
    <row r="3830" spans="1:23" hidden="1">
      <c r="A3830" s="81">
        <v>3828</v>
      </c>
      <c r="B3830" s="86" t="s">
        <v>1403</v>
      </c>
      <c r="C3830" s="86" t="s">
        <v>1973</v>
      </c>
      <c r="D3830" s="89" t="str">
        <f ca="1">OFFSET(Roster!$A$3,MATCH(表格1[[#This Row],[Location]]&amp;" "&amp;表格1[[#This Row],[Shop]]&amp;"*",Roster!$A$4:$A$72,0),DAY(表格1[[#This Row],[date]]),1,1)</f>
        <v>Happy</v>
      </c>
      <c r="E3830" s="86">
        <f>MONTH(表格1[[#This Row],[date]])</f>
        <v>3</v>
      </c>
      <c r="F3830" s="90">
        <v>46093</v>
      </c>
      <c r="G3830" s="86" t="str">
        <f>VLOOKUP("*"&amp;表格1[[#This Row],[Input]]&amp;"*",'Ref-List'!$B:$D,2,)</f>
        <v>F-DSB800XHK(W)</v>
      </c>
      <c r="H3830" s="86" t="str">
        <f>_xlfn.XLOOKUP(表格1[[#This Row],[Model]],表格3[Model-Input-Ref2],表格3[Product Line])</f>
        <v>9吋雙擎雙葉DC循環風扇</v>
      </c>
      <c r="I3830" s="86" t="str">
        <f>_xlfn.XLOOKUP(表格1[[#This Row],[Model]],表格3[Model-Input-Ref2],表格3[大小電])</f>
        <v>細電</v>
      </c>
      <c r="J3830" s="86" t="str">
        <f>_xlfn.XLOOKUP(表格1[[#This Row],[Model]],表格3[Model-Input-Ref2],表格3[Code])</f>
        <v>SDA</v>
      </c>
      <c r="K3830" s="89" t="s">
        <v>1975</v>
      </c>
      <c r="L3830" s="86">
        <v>1</v>
      </c>
      <c r="M3830" s="87">
        <v>768</v>
      </c>
      <c r="N3830" s="87">
        <f>IFERROR(表格1[[#This Row],[QTY]]*表格1[[#This Row],[Unit Price]],"-")</f>
        <v>768</v>
      </c>
      <c r="O3830" s="86">
        <v>238867</v>
      </c>
      <c r="R3830" s="86" t="str">
        <f>_xlfn.CONCAT(表格1[[#This Row],[Model]]," ",表格1[[#This Row],[inv no]])</f>
        <v>F-DSB800XHK(W) 238867</v>
      </c>
      <c r="S3830" s="86">
        <f>_xlfn.XLOOKUP(表格1[[#This Row],[Model]],表格3[Model-Input-Ref2],表格3[SRP PRICE])</f>
        <v>1500</v>
      </c>
      <c r="T3830" s="43">
        <f>表格1[[#This Row],[Unit Price]]/表格1[[#This Row],[SRP]]</f>
        <v>0.51200000000000001</v>
      </c>
      <c r="U3830" s="86" t="str">
        <f>_xlfn.XLOOKUP(表格1[[#This Row],[Model]],表格3[Model-Input-Ref2],表格3[TOSHIBA/HIGHEST])</f>
        <v>Shops Highest Price</v>
      </c>
      <c r="W3830" s="86" t="str">
        <f>_xlfn.CONCAT(表格1[[#This Row],[欄4]],表格1[[#This Row],[inv no]])</f>
        <v>238867</v>
      </c>
    </row>
    <row r="3831" spans="1:23" hidden="1">
      <c r="A3831" s="81">
        <v>3829</v>
      </c>
      <c r="B3831" s="86" t="s">
        <v>1403</v>
      </c>
      <c r="C3831" s="86" t="s">
        <v>1973</v>
      </c>
      <c r="D3831" s="89" t="str">
        <f ca="1">OFFSET(Roster!$A$3,MATCH(表格1[[#This Row],[Location]]&amp;" "&amp;表格1[[#This Row],[Shop]]&amp;"*",Roster!$A$4:$A$72,0),DAY(表格1[[#This Row],[date]]),1,1)</f>
        <v>Happy</v>
      </c>
      <c r="E3831" s="86">
        <f>MONTH(表格1[[#This Row],[date]])</f>
        <v>3</v>
      </c>
      <c r="F3831" s="90">
        <v>46096</v>
      </c>
      <c r="G3831" s="86" t="str">
        <f>VLOOKUP("*"&amp;表格1[[#This Row],[Input]]&amp;"*",'Ref-List'!$B:$D,2,)</f>
        <v>GR-RT300WE-PMA(57)</v>
      </c>
      <c r="H3831" s="86" t="str">
        <f>_xlfn.XLOOKUP(表格1[[#This Row],[Model]],表格3[Model-Input-Ref2],表格3[Product Line])</f>
        <v>變頻式環保雙門雪櫃(233L)</v>
      </c>
      <c r="I3831" s="86" t="str">
        <f>_xlfn.XLOOKUP(表格1[[#This Row],[Model]],表格3[Model-Input-Ref2],表格3[大小電])</f>
        <v>大電</v>
      </c>
      <c r="J3831" s="86" t="str">
        <f>_xlfn.XLOOKUP(表格1[[#This Row],[Model]],表格3[Model-Input-Ref2],表格3[Code])</f>
        <v>REF</v>
      </c>
      <c r="K3831" s="89" t="s">
        <v>1462</v>
      </c>
      <c r="L3831" s="86">
        <v>1</v>
      </c>
      <c r="M3831" s="87">
        <v>2780</v>
      </c>
      <c r="N3831" s="87">
        <f>IFERROR(表格1[[#This Row],[QTY]]*表格1[[#This Row],[Unit Price]],"-")</f>
        <v>2780</v>
      </c>
      <c r="O3831" s="86">
        <v>238884</v>
      </c>
      <c r="R3831" s="86" t="str">
        <f>_xlfn.CONCAT(表格1[[#This Row],[Model]]," ",表格1[[#This Row],[inv no]])</f>
        <v>GR-RT300WE-PMA(57) 238884</v>
      </c>
      <c r="S3831" s="86">
        <f>_xlfn.XLOOKUP(表格1[[#This Row],[Model]],表格3[Model-Input-Ref2],表格3[SRP PRICE])</f>
        <v>4280</v>
      </c>
      <c r="T3831" s="43">
        <f>表格1[[#This Row],[Unit Price]]/表格1[[#This Row],[SRP]]</f>
        <v>0.64953271028037385</v>
      </c>
      <c r="U3831" s="86" t="str">
        <f>_xlfn.XLOOKUP(表格1[[#This Row],[Model]],表格3[Model-Input-Ref2],表格3[TOSHIBA/HIGHEST])</f>
        <v>Toshiba SRP</v>
      </c>
      <c r="W3831" s="86" t="str">
        <f>_xlfn.CONCAT(表格1[[#This Row],[欄4]],表格1[[#This Row],[inv no]])</f>
        <v>238884</v>
      </c>
    </row>
    <row r="3832" spans="1:23" hidden="1">
      <c r="A3832" s="81">
        <v>3830</v>
      </c>
      <c r="B3832" s="86" t="s">
        <v>1403</v>
      </c>
      <c r="C3832" s="86" t="s">
        <v>1973</v>
      </c>
      <c r="D3832" s="89" t="str">
        <f ca="1">OFFSET(Roster!$A$3,MATCH(表格1[[#This Row],[Location]]&amp;" "&amp;表格1[[#This Row],[Shop]]&amp;"*",Roster!$A$4:$A$72,0),DAY(表格1[[#This Row],[date]]),1,1)</f>
        <v>Happy</v>
      </c>
      <c r="E3832" s="86">
        <f>MONTH(表格1[[#This Row],[date]])</f>
        <v>3</v>
      </c>
      <c r="F3832" s="90">
        <v>46096</v>
      </c>
      <c r="G3832" s="86" t="str">
        <f>VLOOKUP("*"&amp;表格1[[#This Row],[Input]]&amp;"*",'Ref-List'!$B:$D,2,)</f>
        <v>MM2-EG20PC(WH)</v>
      </c>
      <c r="H3832" s="86" t="str">
        <f>_xlfn.XLOOKUP(表格1[[#This Row],[Model]],表格3[Model-Input-Ref2],表格3[Product Line])</f>
        <v>輕觸式燒烤微波爐</v>
      </c>
      <c r="I3832" s="86" t="str">
        <f>_xlfn.XLOOKUP(表格1[[#This Row],[Model]],表格3[Model-Input-Ref2],表格3[大小電])</f>
        <v>細電</v>
      </c>
      <c r="J3832" s="86" t="str">
        <f>_xlfn.XLOOKUP(表格1[[#This Row],[Model]],表格3[Model-Input-Ref2],表格3[Code])</f>
        <v>MCA</v>
      </c>
      <c r="K3832" s="89" t="s">
        <v>1273</v>
      </c>
      <c r="L3832" s="86">
        <v>1</v>
      </c>
      <c r="M3832" s="87">
        <v>698</v>
      </c>
      <c r="N3832" s="87">
        <f>IFERROR(表格1[[#This Row],[QTY]]*表格1[[#This Row],[Unit Price]],"-")</f>
        <v>698</v>
      </c>
      <c r="O3832" s="86">
        <v>3394</v>
      </c>
      <c r="R3832" s="86" t="str">
        <f>_xlfn.CONCAT(表格1[[#This Row],[Model]]," ",表格1[[#This Row],[inv no]])</f>
        <v>MM2-EG20PC(WH) 3394</v>
      </c>
      <c r="S3832" s="86">
        <f>_xlfn.XLOOKUP(表格1[[#This Row],[Model]],表格3[Model-Input-Ref2],表格3[SRP PRICE])</f>
        <v>918</v>
      </c>
      <c r="T3832" s="43">
        <f>表格1[[#This Row],[Unit Price]]/表格1[[#This Row],[SRP]]</f>
        <v>0.76034858387799564</v>
      </c>
      <c r="U3832" s="86" t="str">
        <f>_xlfn.XLOOKUP(表格1[[#This Row],[Model]],表格3[Model-Input-Ref2],表格3[TOSHIBA/HIGHEST])</f>
        <v>Shops Highest Price</v>
      </c>
      <c r="W3832" s="86" t="str">
        <f>_xlfn.CONCAT(表格1[[#This Row],[欄4]],表格1[[#This Row],[inv no]])</f>
        <v>3394</v>
      </c>
    </row>
    <row r="3833" spans="1:23" hidden="1">
      <c r="A3833" s="81">
        <v>3831</v>
      </c>
      <c r="B3833" s="86" t="s">
        <v>1403</v>
      </c>
      <c r="C3833" s="86" t="s">
        <v>1973</v>
      </c>
      <c r="D3833" s="89" t="str">
        <f ca="1">OFFSET(Roster!$A$3,MATCH(表格1[[#This Row],[Location]]&amp;" "&amp;表格1[[#This Row],[Shop]]&amp;"*",Roster!$A$4:$A$72,0),DAY(表格1[[#This Row],[date]]),1,1)</f>
        <v>Happy</v>
      </c>
      <c r="E3833" s="86">
        <f>MONTH(表格1[[#This Row],[date]])</f>
        <v>3</v>
      </c>
      <c r="F3833" s="90">
        <v>46096</v>
      </c>
      <c r="G3833" s="86" t="str">
        <f>VLOOKUP("*"&amp;表格1[[#This Row],[Input]]&amp;"*",'Ref-List'!$B:$D,2,)</f>
        <v>RC-18NMFIH(WT)</v>
      </c>
      <c r="H3833" s="86" t="str">
        <f>_xlfn.XLOOKUP(表格1[[#This Row],[Model]],表格3[Model-Input-Ref2],表格3[Product Line])</f>
        <v>4毫米厚釜電飯煲1.8L</v>
      </c>
      <c r="I3833" s="86" t="str">
        <f>_xlfn.XLOOKUP(表格1[[#This Row],[Model]],表格3[Model-Input-Ref2],表格3[大小電])</f>
        <v>細電</v>
      </c>
      <c r="J3833" s="86" t="str">
        <f>_xlfn.XLOOKUP(表格1[[#This Row],[Model]],表格3[Model-Input-Ref2],表格3[Code])</f>
        <v>SDA</v>
      </c>
      <c r="K3833" s="89" t="s">
        <v>1267</v>
      </c>
      <c r="L3833" s="86">
        <v>1</v>
      </c>
      <c r="M3833" s="87">
        <v>798</v>
      </c>
      <c r="N3833" s="87">
        <f>IFERROR(表格1[[#This Row],[QTY]]*表格1[[#This Row],[Unit Price]],"-")</f>
        <v>798</v>
      </c>
      <c r="O3833" s="86">
        <v>1238</v>
      </c>
      <c r="R3833" s="86" t="str">
        <f>_xlfn.CONCAT(表格1[[#This Row],[Model]]," ",表格1[[#This Row],[inv no]])</f>
        <v>RC-18NMFIH(WT) 1238</v>
      </c>
      <c r="S3833" s="86">
        <f>_xlfn.XLOOKUP(表格1[[#This Row],[Model]],表格3[Model-Input-Ref2],表格3[SRP PRICE])</f>
        <v>998</v>
      </c>
      <c r="T3833" s="43">
        <f>表格1[[#This Row],[Unit Price]]/表格1[[#This Row],[SRP]]</f>
        <v>0.79959919839679361</v>
      </c>
      <c r="U3833" s="86" t="str">
        <f>_xlfn.XLOOKUP(表格1[[#This Row],[Model]],表格3[Model-Input-Ref2],表格3[TOSHIBA/HIGHEST])</f>
        <v>Toshiba SRP</v>
      </c>
      <c r="W3833" s="86" t="str">
        <f>_xlfn.CONCAT(表格1[[#This Row],[欄4]],表格1[[#This Row],[inv no]])</f>
        <v>1238</v>
      </c>
    </row>
    <row r="3834" spans="1:23" hidden="1">
      <c r="A3834" s="81">
        <v>3832</v>
      </c>
      <c r="B3834" s="86" t="s">
        <v>1403</v>
      </c>
      <c r="C3834" s="86" t="s">
        <v>1973</v>
      </c>
      <c r="D3834" s="89" t="str">
        <f ca="1">OFFSET(Roster!$A$3,MATCH(表格1[[#This Row],[Location]]&amp;" "&amp;表格1[[#This Row],[Shop]]&amp;"*",Roster!$A$4:$A$72,0),DAY(表格1[[#This Row],[date]]),1,1)</f>
        <v>Happy</v>
      </c>
      <c r="E3834" s="86">
        <f>MONTH(表格1[[#This Row],[date]])</f>
        <v>3</v>
      </c>
      <c r="F3834" s="90">
        <v>46096</v>
      </c>
      <c r="G3834" s="86" t="str">
        <f>VLOOKUP("*"&amp;表格1[[#This Row],[Input]]&amp;"*",'Ref-List'!$B:$D,2,)</f>
        <v>MX2-STR25SC(WH)</v>
      </c>
      <c r="H3834" s="86" t="str">
        <f>_xlfn.XLOOKUP(表格1[[#This Row],[Model]],表格3[Model-Input-Ref2],表格3[Product Line])</f>
        <v>4合1氣炸微波蒸焗爐(25公升)</v>
      </c>
      <c r="I3834" s="86" t="str">
        <f>_xlfn.XLOOKUP(表格1[[#This Row],[Model]],表格3[Model-Input-Ref2],表格3[大小電])</f>
        <v>細電</v>
      </c>
      <c r="J3834" s="86" t="str">
        <f>_xlfn.XLOOKUP(表格1[[#This Row],[Model]],表格3[Model-Input-Ref2],表格3[Code])</f>
        <v>MCA</v>
      </c>
      <c r="K3834" s="89" t="s">
        <v>1410</v>
      </c>
      <c r="L3834" s="86">
        <v>1</v>
      </c>
      <c r="M3834" s="87">
        <v>3478</v>
      </c>
      <c r="N3834" s="87">
        <f>IFERROR(表格1[[#This Row],[QTY]]*表格1[[#This Row],[Unit Price]],"-")</f>
        <v>3478</v>
      </c>
      <c r="O3834" s="86">
        <v>238928</v>
      </c>
      <c r="R3834" s="86" t="str">
        <f>_xlfn.CONCAT(表格1[[#This Row],[Model]]," ",表格1[[#This Row],[inv no]])</f>
        <v>MX2-STR25SC(WH) 238928</v>
      </c>
      <c r="S3834" s="86">
        <f>_xlfn.XLOOKUP(表格1[[#This Row],[Model]],表格3[Model-Input-Ref2],表格3[SRP PRICE])</f>
        <v>4998</v>
      </c>
      <c r="T3834" s="43">
        <f>表格1[[#This Row],[Unit Price]]/表格1[[#This Row],[SRP]]</f>
        <v>0.69587835134053622</v>
      </c>
      <c r="U3834" s="86" t="str">
        <f>_xlfn.XLOOKUP(表格1[[#This Row],[Model]],表格3[Model-Input-Ref2],表格3[TOSHIBA/HIGHEST])</f>
        <v>Toshiba SRP</v>
      </c>
      <c r="W3834" s="86" t="str">
        <f>_xlfn.CONCAT(表格1[[#This Row],[欄4]],表格1[[#This Row],[inv no]])</f>
        <v>238928</v>
      </c>
    </row>
    <row r="3835" spans="1:23" hidden="1">
      <c r="A3835" s="81">
        <v>3833</v>
      </c>
      <c r="B3835" s="86" t="s">
        <v>1403</v>
      </c>
      <c r="C3835" s="86" t="s">
        <v>1973</v>
      </c>
      <c r="D3835" s="89" t="str">
        <f ca="1">OFFSET(Roster!$A$3,MATCH(表格1[[#This Row],[Location]]&amp;" "&amp;表格1[[#This Row],[Shop]]&amp;"*",Roster!$A$4:$A$72,0),DAY(表格1[[#This Row],[date]]),1,1)</f>
        <v>Happy</v>
      </c>
      <c r="E3835" s="86">
        <f>MONTH(表格1[[#This Row],[date]])</f>
        <v>3</v>
      </c>
      <c r="F3835" s="90">
        <v>46096</v>
      </c>
      <c r="G3835" s="86" t="str">
        <f>VLOOKUP("*"&amp;表格1[[#This Row],[Input]]&amp;"*",'Ref-List'!$B:$D,2,)</f>
        <v>KT-17DRTHK(H)</v>
      </c>
      <c r="H3835" s="86" t="str">
        <f>_xlfn.XLOOKUP(表格1[[#This Row],[Model]],表格3[Model-Input-Ref2],表格3[Product Line])</f>
        <v>無線雙層電熱水壺(1.7公升)</v>
      </c>
      <c r="I3835" s="86" t="str">
        <f>_xlfn.XLOOKUP(表格1[[#This Row],[Model]],表格3[Model-Input-Ref2],表格3[大小電])</f>
        <v>細電</v>
      </c>
      <c r="J3835" s="86" t="str">
        <f>_xlfn.XLOOKUP(表格1[[#This Row],[Model]],表格3[Model-Input-Ref2],表格3[Code])</f>
        <v>SDA</v>
      </c>
      <c r="K3835" s="89" t="s">
        <v>1271</v>
      </c>
      <c r="L3835" s="86">
        <v>1</v>
      </c>
      <c r="M3835" s="87">
        <v>388</v>
      </c>
      <c r="N3835" s="87">
        <f>IFERROR(表格1[[#This Row],[QTY]]*表格1[[#This Row],[Unit Price]],"-")</f>
        <v>388</v>
      </c>
      <c r="O3835" s="86">
        <v>8735</v>
      </c>
      <c r="R3835" s="86" t="str">
        <f>_xlfn.CONCAT(表格1[[#This Row],[Model]]," ",表格1[[#This Row],[inv no]])</f>
        <v>KT-17DRTHK(H) 8735</v>
      </c>
      <c r="S3835" s="86">
        <f>_xlfn.XLOOKUP(表格1[[#This Row],[Model]],表格3[Model-Input-Ref2],表格3[SRP PRICE])</f>
        <v>498</v>
      </c>
      <c r="T3835" s="43">
        <f>表格1[[#This Row],[Unit Price]]/表格1[[#This Row],[SRP]]</f>
        <v>0.77911646586345384</v>
      </c>
      <c r="U3835" s="86" t="str">
        <f>_xlfn.XLOOKUP(表格1[[#This Row],[Model]],表格3[Model-Input-Ref2],表格3[TOSHIBA/HIGHEST])</f>
        <v>Toshiba SRP</v>
      </c>
      <c r="W3835" s="86" t="str">
        <f>_xlfn.CONCAT(表格1[[#This Row],[欄4]],表格1[[#This Row],[inv no]])</f>
        <v>8735</v>
      </c>
    </row>
    <row r="3836" spans="1:23" hidden="1">
      <c r="A3836" s="81">
        <v>3834</v>
      </c>
      <c r="B3836" s="86" t="s">
        <v>1403</v>
      </c>
      <c r="C3836" s="86" t="s">
        <v>1973</v>
      </c>
      <c r="D3836" s="89" t="str">
        <f ca="1">OFFSET(Roster!$A$3,MATCH(表格1[[#This Row],[Location]]&amp;" "&amp;表格1[[#This Row],[Shop]]&amp;"*",Roster!$A$4:$A$72,0),DAY(表格1[[#This Row],[date]]),1,1)</f>
        <v>Happy</v>
      </c>
      <c r="E3836" s="86">
        <f>MONTH(表格1[[#This Row],[date]])</f>
        <v>3</v>
      </c>
      <c r="F3836" s="90">
        <v>46096</v>
      </c>
      <c r="G3836" s="86" t="str">
        <f>VLOOKUP("*"&amp;表格1[[#This Row],[Input]]&amp;"*",'Ref-List'!$B:$D,2,)</f>
        <v>TWD-T22BU95UWH(WK)-B</v>
      </c>
      <c r="H3836" s="86" t="str">
        <f>_xlfn.XLOOKUP(表格1[[#This Row],[Model]],表格3[Model-Input-Ref2],表格3[Product Line])</f>
        <v>470MM超薄身前置式變頻洗衣乾衣機 (洗8.5公斤/乾6公斤, 可飛頂)</v>
      </c>
      <c r="I3836" s="86" t="str">
        <f>_xlfn.XLOOKUP(表格1[[#This Row],[Model]],表格3[Model-Input-Ref2],表格3[大小電])</f>
        <v>大電</v>
      </c>
      <c r="J3836" s="86" t="str">
        <f>_xlfn.XLOOKUP(表格1[[#This Row],[Model]],表格3[Model-Input-Ref2],表格3[Code])</f>
        <v>LAD</v>
      </c>
      <c r="K3836" s="89" t="s">
        <v>1421</v>
      </c>
      <c r="L3836" s="86">
        <v>1</v>
      </c>
      <c r="M3836" s="87">
        <v>4780</v>
      </c>
      <c r="N3836" s="87">
        <f>IFERROR(表格1[[#This Row],[QTY]]*表格1[[#This Row],[Unit Price]],"-")</f>
        <v>4780</v>
      </c>
      <c r="O3836" s="86">
        <v>238950</v>
      </c>
      <c r="R3836" s="86" t="str">
        <f>_xlfn.CONCAT(表格1[[#This Row],[Model]]," ",表格1[[#This Row],[inv no]])</f>
        <v>TWD-T22BU95UWH(WK)-B 238950</v>
      </c>
      <c r="S3836" s="86">
        <f>_xlfn.XLOOKUP(表格1[[#This Row],[Model]],表格3[Model-Input-Ref2],表格3[SRP PRICE])</f>
        <v>7480</v>
      </c>
      <c r="T3836" s="43">
        <f>表格1[[#This Row],[Unit Price]]/表格1[[#This Row],[SRP]]</f>
        <v>0.63903743315508021</v>
      </c>
      <c r="U3836" s="86" t="str">
        <f>_xlfn.XLOOKUP(表格1[[#This Row],[Model]],表格3[Model-Input-Ref2],表格3[TOSHIBA/HIGHEST])</f>
        <v>Toshiba SRP</v>
      </c>
      <c r="W3836" s="86" t="str">
        <f>_xlfn.CONCAT(表格1[[#This Row],[欄4]],表格1[[#This Row],[inv no]])</f>
        <v>238950</v>
      </c>
    </row>
    <row r="3837" spans="1:23" hidden="1">
      <c r="A3837" s="81">
        <v>3835</v>
      </c>
      <c r="B3837" s="86" t="s">
        <v>1403</v>
      </c>
      <c r="C3837" s="86" t="s">
        <v>1973</v>
      </c>
      <c r="D3837" s="89" t="str">
        <f ca="1">OFFSET(Roster!$A$3,MATCH(表格1[[#This Row],[Location]]&amp;" "&amp;表格1[[#This Row],[Shop]]&amp;"*",Roster!$A$4:$A$72,0),DAY(表格1[[#This Row],[date]]),1,1)</f>
        <v>Happy</v>
      </c>
      <c r="E3837" s="86">
        <f>MONTH(表格1[[#This Row],[date]])</f>
        <v>3</v>
      </c>
      <c r="F3837" s="90">
        <v>46096</v>
      </c>
      <c r="G3837" s="86" t="str">
        <f>VLOOKUP("*"&amp;表格1[[#This Row],[Input]]&amp;"*",'Ref-List'!$B:$D,2,)</f>
        <v>GR-RT300WE-PMA(57)</v>
      </c>
      <c r="H3837" s="86" t="str">
        <f>_xlfn.XLOOKUP(表格1[[#This Row],[Model]],表格3[Model-Input-Ref2],表格3[Product Line])</f>
        <v>變頻式環保雙門雪櫃(233L)</v>
      </c>
      <c r="I3837" s="86" t="str">
        <f>_xlfn.XLOOKUP(表格1[[#This Row],[Model]],表格3[Model-Input-Ref2],表格3[大小電])</f>
        <v>大電</v>
      </c>
      <c r="J3837" s="86" t="str">
        <f>_xlfn.XLOOKUP(表格1[[#This Row],[Model]],表格3[Model-Input-Ref2],表格3[Code])</f>
        <v>REF</v>
      </c>
      <c r="K3837" s="89" t="s">
        <v>1462</v>
      </c>
      <c r="L3837" s="86">
        <v>1</v>
      </c>
      <c r="M3837" s="87">
        <v>2780</v>
      </c>
      <c r="N3837" s="87">
        <f>IFERROR(表格1[[#This Row],[QTY]]*表格1[[#This Row],[Unit Price]],"-")</f>
        <v>2780</v>
      </c>
      <c r="O3837" s="86">
        <v>238950</v>
      </c>
      <c r="R3837" s="86" t="str">
        <f>_xlfn.CONCAT(表格1[[#This Row],[Model]]," ",表格1[[#This Row],[inv no]])</f>
        <v>GR-RT300WE-PMA(57) 238950</v>
      </c>
      <c r="S3837" s="86">
        <f>_xlfn.XLOOKUP(表格1[[#This Row],[Model]],表格3[Model-Input-Ref2],表格3[SRP PRICE])</f>
        <v>4280</v>
      </c>
      <c r="T3837" s="43">
        <f>表格1[[#This Row],[Unit Price]]/表格1[[#This Row],[SRP]]</f>
        <v>0.64953271028037385</v>
      </c>
      <c r="U3837" s="86" t="str">
        <f>_xlfn.XLOOKUP(表格1[[#This Row],[Model]],表格3[Model-Input-Ref2],表格3[TOSHIBA/HIGHEST])</f>
        <v>Toshiba SRP</v>
      </c>
      <c r="W3837" s="86" t="str">
        <f>_xlfn.CONCAT(表格1[[#This Row],[欄4]],表格1[[#This Row],[inv no]])</f>
        <v>238950</v>
      </c>
    </row>
    <row r="3838" spans="1:23" hidden="1">
      <c r="A3838" s="81">
        <v>3836</v>
      </c>
      <c r="B3838" s="86" t="s">
        <v>1403</v>
      </c>
      <c r="C3838" s="86" t="s">
        <v>1973</v>
      </c>
      <c r="D3838" s="89" t="str">
        <f ca="1">OFFSET(Roster!$A$3,MATCH(表格1[[#This Row],[Location]]&amp;" "&amp;表格1[[#This Row],[Shop]]&amp;"*",Roster!$A$4:$A$72,0),DAY(表格1[[#This Row],[date]]),1,1)</f>
        <v>Happy</v>
      </c>
      <c r="E3838" s="86">
        <f>MONTH(表格1[[#This Row],[date]])</f>
        <v>3</v>
      </c>
      <c r="F3838" s="90">
        <v>46096</v>
      </c>
      <c r="G3838" s="86" t="str">
        <f>VLOOKUP("*"&amp;表格1[[#This Row],[Input]]&amp;"*",'Ref-List'!$B:$D,2,)</f>
        <v>AW-Q801APH(WW)</v>
      </c>
      <c r="H3838" s="86" t="str">
        <f>_xlfn.XLOOKUP(表格1[[#This Row],[Model]],表格3[Model-Input-Ref2],表格3[Product Line])</f>
        <v>日式洗衣機 (7公斤 結合高低水位)</v>
      </c>
      <c r="I3838" s="86" t="str">
        <f>_xlfn.XLOOKUP(表格1[[#This Row],[Model]],表格3[Model-Input-Ref2],表格3[大小電])</f>
        <v>大電</v>
      </c>
      <c r="J3838" s="86" t="str">
        <f>_xlfn.XLOOKUP(表格1[[#This Row],[Model]],表格3[Model-Input-Ref2],表格3[Code])</f>
        <v>LAD</v>
      </c>
      <c r="K3838" s="89" t="s">
        <v>1420</v>
      </c>
      <c r="L3838" s="86">
        <v>1</v>
      </c>
      <c r="M3838" s="87">
        <v>2080</v>
      </c>
      <c r="N3838" s="87">
        <f>IFERROR(表格1[[#This Row],[QTY]]*表格1[[#This Row],[Unit Price]],"-")</f>
        <v>2080</v>
      </c>
      <c r="O3838" s="86">
        <v>238958</v>
      </c>
      <c r="R3838" s="86" t="str">
        <f>_xlfn.CONCAT(表格1[[#This Row],[Model]]," ",表格1[[#This Row],[inv no]])</f>
        <v>AW-Q801APH(WW) 238958</v>
      </c>
      <c r="S3838" s="86">
        <f>_xlfn.XLOOKUP(表格1[[#This Row],[Model]],表格3[Model-Input-Ref2],表格3[SRP PRICE])</f>
        <v>3380</v>
      </c>
      <c r="T3838" s="43">
        <f>表格1[[#This Row],[Unit Price]]/表格1[[#This Row],[SRP]]</f>
        <v>0.61538461538461542</v>
      </c>
      <c r="U3838" s="86" t="str">
        <f>_xlfn.XLOOKUP(表格1[[#This Row],[Model]],表格3[Model-Input-Ref2],表格3[TOSHIBA/HIGHEST])</f>
        <v>Toshiba SRP</v>
      </c>
      <c r="W3838" s="86" t="str">
        <f>_xlfn.CONCAT(表格1[[#This Row],[欄4]],表格1[[#This Row],[inv no]])</f>
        <v>238958</v>
      </c>
    </row>
    <row r="3839" spans="1:23" hidden="1">
      <c r="A3839" s="81">
        <v>3837</v>
      </c>
      <c r="B3839" s="86" t="s">
        <v>1403</v>
      </c>
      <c r="C3839" s="86" t="s">
        <v>1973</v>
      </c>
      <c r="D3839" s="89" t="str">
        <f ca="1">OFFSET(Roster!$A$3,MATCH(表格1[[#This Row],[Location]]&amp;" "&amp;表格1[[#This Row],[Shop]]&amp;"*",Roster!$A$4:$A$72,0),DAY(表格1[[#This Row],[date]]),1,1)</f>
        <v>Happy</v>
      </c>
      <c r="E3839" s="86">
        <f>MONTH(表格1[[#This Row],[date]])</f>
        <v>3</v>
      </c>
      <c r="F3839" s="90">
        <v>46096</v>
      </c>
      <c r="G3839" s="86" t="str">
        <f>VLOOKUP("*"&amp;表格1[[#This Row],[Input]]&amp;"*",'Ref-List'!$B:$D,2,)</f>
        <v>MX2-STR25SC(WH)</v>
      </c>
      <c r="H3839" s="86" t="str">
        <f>_xlfn.XLOOKUP(表格1[[#This Row],[Model]],表格3[Model-Input-Ref2],表格3[Product Line])</f>
        <v>4合1氣炸微波蒸焗爐(25公升)</v>
      </c>
      <c r="I3839" s="86" t="str">
        <f>_xlfn.XLOOKUP(表格1[[#This Row],[Model]],表格3[Model-Input-Ref2],表格3[大小電])</f>
        <v>細電</v>
      </c>
      <c r="J3839" s="86" t="str">
        <f>_xlfn.XLOOKUP(表格1[[#This Row],[Model]],表格3[Model-Input-Ref2],表格3[Code])</f>
        <v>MCA</v>
      </c>
      <c r="K3839" s="89" t="s">
        <v>1410</v>
      </c>
      <c r="L3839" s="86">
        <v>1</v>
      </c>
      <c r="M3839" s="87">
        <v>3478</v>
      </c>
      <c r="N3839" s="87">
        <f>IFERROR(表格1[[#This Row],[QTY]]*表格1[[#This Row],[Unit Price]],"-")</f>
        <v>3478</v>
      </c>
      <c r="O3839" s="86">
        <v>238962</v>
      </c>
      <c r="R3839" s="86" t="str">
        <f>_xlfn.CONCAT(表格1[[#This Row],[Model]]," ",表格1[[#This Row],[inv no]])</f>
        <v>MX2-STR25SC(WH) 238962</v>
      </c>
      <c r="S3839" s="86">
        <f>_xlfn.XLOOKUP(表格1[[#This Row],[Model]],表格3[Model-Input-Ref2],表格3[SRP PRICE])</f>
        <v>4998</v>
      </c>
      <c r="T3839" s="43">
        <f>表格1[[#This Row],[Unit Price]]/表格1[[#This Row],[SRP]]</f>
        <v>0.69587835134053622</v>
      </c>
      <c r="U3839" s="86" t="str">
        <f>_xlfn.XLOOKUP(表格1[[#This Row],[Model]],表格3[Model-Input-Ref2],表格3[TOSHIBA/HIGHEST])</f>
        <v>Toshiba SRP</v>
      </c>
      <c r="W3839" s="86" t="str">
        <f>_xlfn.CONCAT(表格1[[#This Row],[欄4]],表格1[[#This Row],[inv no]])</f>
        <v>238962</v>
      </c>
    </row>
    <row r="3840" spans="1:23" hidden="1">
      <c r="A3840" s="81">
        <v>3838</v>
      </c>
      <c r="B3840" s="86" t="s">
        <v>1403</v>
      </c>
      <c r="C3840" s="86" t="s">
        <v>1973</v>
      </c>
      <c r="D3840" s="89" t="str">
        <f ca="1">OFFSET(Roster!$A$3,MATCH(表格1[[#This Row],[Location]]&amp;" "&amp;表格1[[#This Row],[Shop]]&amp;"*",Roster!$A$4:$A$72,0),DAY(表格1[[#This Row],[date]]),1,1)</f>
        <v>Happy</v>
      </c>
      <c r="E3840" s="86">
        <f>MONTH(表格1[[#This Row],[date]])</f>
        <v>3</v>
      </c>
      <c r="F3840" s="90">
        <v>46096</v>
      </c>
      <c r="G3840" s="86" t="str">
        <f>VLOOKUP("*"&amp;表格1[[#This Row],[Input]]&amp;"*",'Ref-List'!$B:$D,2,)</f>
        <v>MM-2MM20PC(WH)</v>
      </c>
      <c r="H3840" s="86" t="str">
        <f>_xlfn.XLOOKUP(表格1[[#This Row],[Model]],表格3[Model-Input-Ref2],表格3[Product Line])</f>
        <v>旋鈕式微波爐 (20公升)</v>
      </c>
      <c r="I3840" s="86" t="str">
        <f>_xlfn.XLOOKUP(表格1[[#This Row],[Model]],表格3[Model-Input-Ref2],表格3[大小電])</f>
        <v>細電</v>
      </c>
      <c r="J3840" s="86" t="str">
        <f>_xlfn.XLOOKUP(表格1[[#This Row],[Model]],表格3[Model-Input-Ref2],表格3[Code])</f>
        <v>MCA</v>
      </c>
      <c r="K3840" s="89" t="s">
        <v>1388</v>
      </c>
      <c r="L3840" s="86">
        <v>1</v>
      </c>
      <c r="M3840" s="87">
        <v>598</v>
      </c>
      <c r="N3840" s="87">
        <f>IFERROR(表格1[[#This Row],[QTY]]*表格1[[#This Row],[Unit Price]],"-")</f>
        <v>598</v>
      </c>
      <c r="O3840" s="86">
        <v>238978</v>
      </c>
      <c r="R3840" s="86" t="str">
        <f>_xlfn.CONCAT(表格1[[#This Row],[Model]]," ",表格1[[#This Row],[inv no]])</f>
        <v>MM-2MM20PC(WH) 238978</v>
      </c>
      <c r="S3840" s="86">
        <f>_xlfn.XLOOKUP(表格1[[#This Row],[Model]],表格3[Model-Input-Ref2],表格3[SRP PRICE])</f>
        <v>738</v>
      </c>
      <c r="T3840" s="43">
        <f>表格1[[#This Row],[Unit Price]]/表格1[[#This Row],[SRP]]</f>
        <v>0.81029810298102978</v>
      </c>
      <c r="U3840" s="86" t="str">
        <f>_xlfn.XLOOKUP(表格1[[#This Row],[Model]],表格3[Model-Input-Ref2],表格3[TOSHIBA/HIGHEST])</f>
        <v>Toshiba SRP</v>
      </c>
      <c r="W3840" s="86" t="str">
        <f>_xlfn.CONCAT(表格1[[#This Row],[欄4]],表格1[[#This Row],[inv no]])</f>
        <v>238978</v>
      </c>
    </row>
    <row r="3841" spans="1:23" hidden="1">
      <c r="A3841" s="81">
        <v>3839</v>
      </c>
      <c r="B3841" s="86" t="s">
        <v>1403</v>
      </c>
      <c r="C3841" s="86" t="s">
        <v>1973</v>
      </c>
      <c r="D3841" s="89" t="str">
        <f ca="1">OFFSET(Roster!$A$3,MATCH(表格1[[#This Row],[Location]]&amp;" "&amp;表格1[[#This Row],[Shop]]&amp;"*",Roster!$A$4:$A$72,0),DAY(表格1[[#This Row],[date]]),1,1)</f>
        <v>Happy</v>
      </c>
      <c r="E3841" s="86">
        <f>MONTH(表格1[[#This Row],[date]])</f>
        <v>3</v>
      </c>
      <c r="F3841" s="90">
        <v>46096</v>
      </c>
      <c r="G3841" s="86" t="str">
        <f>VLOOKUP("*"&amp;表格1[[#This Row],[Input]]&amp;"*",'Ref-List'!$B:$D,2,)</f>
        <v>TW-T21BU80UWH(MG)</v>
      </c>
      <c r="H3841" s="86" t="str">
        <f>_xlfn.XLOOKUP(表格1[[#This Row],[Model]],表格3[Model-Input-Ref2],表格3[Product Line])</f>
        <v>400MM超薄身前置式變頻洗衣機(7公斤)</v>
      </c>
      <c r="I3841" s="86" t="str">
        <f>_xlfn.XLOOKUP(表格1[[#This Row],[Model]],表格3[Model-Input-Ref2],表格3[大小電])</f>
        <v>大電</v>
      </c>
      <c r="J3841" s="86" t="str">
        <f>_xlfn.XLOOKUP(表格1[[#This Row],[Model]],表格3[Model-Input-Ref2],表格3[Code])</f>
        <v>LAD</v>
      </c>
      <c r="K3841" s="89" t="s">
        <v>1280</v>
      </c>
      <c r="L3841" s="86">
        <v>1</v>
      </c>
      <c r="M3841" s="87">
        <v>3180</v>
      </c>
      <c r="N3841" s="87">
        <f>IFERROR(表格1[[#This Row],[QTY]]*表格1[[#This Row],[Unit Price]],"-")</f>
        <v>3180</v>
      </c>
      <c r="O3841" s="86">
        <v>238991</v>
      </c>
      <c r="R3841" s="86" t="str">
        <f>_xlfn.CONCAT(表格1[[#This Row],[Model]]," ",表格1[[#This Row],[inv no]])</f>
        <v>TW-T21BU80UWH(MG) 238991</v>
      </c>
      <c r="S3841" s="86">
        <f>_xlfn.XLOOKUP(表格1[[#This Row],[Model]],表格3[Model-Input-Ref2],表格3[SRP PRICE])</f>
        <v>5180</v>
      </c>
      <c r="T3841" s="43">
        <f>表格1[[#This Row],[Unit Price]]/表格1[[#This Row],[SRP]]</f>
        <v>0.61389961389961389</v>
      </c>
      <c r="U3841" s="86" t="str">
        <f>_xlfn.XLOOKUP(表格1[[#This Row],[Model]],表格3[Model-Input-Ref2],表格3[TOSHIBA/HIGHEST])</f>
        <v>Toshiba SRP</v>
      </c>
      <c r="W3841" s="86" t="str">
        <f>_xlfn.CONCAT(表格1[[#This Row],[欄4]],表格1[[#This Row],[inv no]])</f>
        <v>238991</v>
      </c>
    </row>
    <row r="3842" spans="1:23" hidden="1">
      <c r="A3842" s="81">
        <v>3840</v>
      </c>
      <c r="B3842" s="86" t="s">
        <v>1403</v>
      </c>
      <c r="C3842" s="86" t="s">
        <v>1973</v>
      </c>
      <c r="D3842" s="89" t="str">
        <f ca="1">OFFSET(Roster!$A$3,MATCH(表格1[[#This Row],[Location]]&amp;" "&amp;表格1[[#This Row],[Shop]]&amp;"*",Roster!$A$4:$A$72,0),DAY(表格1[[#This Row],[date]]),1,1)</f>
        <v>Happy</v>
      </c>
      <c r="E3842" s="86">
        <f>MONTH(表格1[[#This Row],[date]])</f>
        <v>3</v>
      </c>
      <c r="F3842" s="90">
        <v>46096</v>
      </c>
      <c r="G3842" s="86" t="str">
        <f>VLOOKUP("*"&amp;表格1[[#This Row],[Input]]&amp;"*",'Ref-List'!$B:$D,2,)</f>
        <v>TW-T21BU80UWH(MG)</v>
      </c>
      <c r="H3842" s="86" t="str">
        <f>_xlfn.XLOOKUP(表格1[[#This Row],[Model]],表格3[Model-Input-Ref2],表格3[Product Line])</f>
        <v>400MM超薄身前置式變頻洗衣機(7公斤)</v>
      </c>
      <c r="I3842" s="86" t="str">
        <f>_xlfn.XLOOKUP(表格1[[#This Row],[Model]],表格3[Model-Input-Ref2],表格3[大小電])</f>
        <v>大電</v>
      </c>
      <c r="J3842" s="86" t="str">
        <f>_xlfn.XLOOKUP(表格1[[#This Row],[Model]],表格3[Model-Input-Ref2],表格3[Code])</f>
        <v>LAD</v>
      </c>
      <c r="K3842" s="89" t="s">
        <v>1280</v>
      </c>
      <c r="L3842" s="86">
        <v>1</v>
      </c>
      <c r="M3842" s="87">
        <v>3080</v>
      </c>
      <c r="N3842" s="87">
        <f>IFERROR(表格1[[#This Row],[QTY]]*表格1[[#This Row],[Unit Price]],"-")</f>
        <v>3080</v>
      </c>
      <c r="O3842" s="86">
        <v>238996</v>
      </c>
      <c r="R3842" s="86" t="str">
        <f>_xlfn.CONCAT(表格1[[#This Row],[Model]]," ",表格1[[#This Row],[inv no]])</f>
        <v>TW-T21BU80UWH(MG) 238996</v>
      </c>
      <c r="S3842" s="86">
        <f>_xlfn.XLOOKUP(表格1[[#This Row],[Model]],表格3[Model-Input-Ref2],表格3[SRP PRICE])</f>
        <v>5180</v>
      </c>
      <c r="T3842" s="43">
        <f>表格1[[#This Row],[Unit Price]]/表格1[[#This Row],[SRP]]</f>
        <v>0.59459459459459463</v>
      </c>
      <c r="U3842" s="86" t="str">
        <f>_xlfn.XLOOKUP(表格1[[#This Row],[Model]],表格3[Model-Input-Ref2],表格3[TOSHIBA/HIGHEST])</f>
        <v>Toshiba SRP</v>
      </c>
      <c r="W3842" s="86" t="str">
        <f>_xlfn.CONCAT(表格1[[#This Row],[欄4]],表格1[[#This Row],[inv no]])</f>
        <v>238996</v>
      </c>
    </row>
    <row r="3843" spans="1:23" hidden="1">
      <c r="A3843" s="81">
        <v>3841</v>
      </c>
      <c r="B3843" s="86" t="s">
        <v>1403</v>
      </c>
      <c r="C3843" s="86" t="s">
        <v>1973</v>
      </c>
      <c r="D3843" s="89" t="str">
        <f ca="1">OFFSET(Roster!$A$3,MATCH(表格1[[#This Row],[Location]]&amp;" "&amp;表格1[[#This Row],[Shop]]&amp;"*",Roster!$A$4:$A$72,0),DAY(表格1[[#This Row],[date]]),1,1)</f>
        <v>Happy</v>
      </c>
      <c r="E3843" s="86">
        <f>MONTH(表格1[[#This Row],[date]])</f>
        <v>3</v>
      </c>
      <c r="F3843" s="90">
        <v>46096</v>
      </c>
      <c r="G3843" s="86" t="str">
        <f>VLOOKUP("*"&amp;表格1[[#This Row],[Input]]&amp;"*",'Ref-List'!$B:$D,2,)</f>
        <v>MM-2MM20PC(WH)</v>
      </c>
      <c r="H3843" s="86" t="str">
        <f>_xlfn.XLOOKUP(表格1[[#This Row],[Model]],表格3[Model-Input-Ref2],表格3[Product Line])</f>
        <v>旋鈕式微波爐 (20公升)</v>
      </c>
      <c r="I3843" s="86" t="str">
        <f>_xlfn.XLOOKUP(表格1[[#This Row],[Model]],表格3[Model-Input-Ref2],表格3[大小電])</f>
        <v>細電</v>
      </c>
      <c r="J3843" s="86" t="str">
        <f>_xlfn.XLOOKUP(表格1[[#This Row],[Model]],表格3[Model-Input-Ref2],表格3[Code])</f>
        <v>MCA</v>
      </c>
      <c r="K3843" s="89" t="s">
        <v>1388</v>
      </c>
      <c r="L3843" s="86">
        <v>1</v>
      </c>
      <c r="M3843" s="87">
        <v>598</v>
      </c>
      <c r="N3843" s="87">
        <f>IFERROR(表格1[[#This Row],[QTY]]*表格1[[#This Row],[Unit Price]],"-")</f>
        <v>598</v>
      </c>
      <c r="O3843" s="86">
        <v>238982</v>
      </c>
      <c r="R3843" s="86" t="str">
        <f>_xlfn.CONCAT(表格1[[#This Row],[Model]]," ",表格1[[#This Row],[inv no]])</f>
        <v>MM-2MM20PC(WH) 238982</v>
      </c>
      <c r="S3843" s="86">
        <f>_xlfn.XLOOKUP(表格1[[#This Row],[Model]],表格3[Model-Input-Ref2],表格3[SRP PRICE])</f>
        <v>738</v>
      </c>
      <c r="T3843" s="43">
        <f>表格1[[#This Row],[Unit Price]]/表格1[[#This Row],[SRP]]</f>
        <v>0.81029810298102978</v>
      </c>
      <c r="U3843" s="86" t="str">
        <f>_xlfn.XLOOKUP(表格1[[#This Row],[Model]],表格3[Model-Input-Ref2],表格3[TOSHIBA/HIGHEST])</f>
        <v>Toshiba SRP</v>
      </c>
      <c r="W3843" s="86" t="str">
        <f>_xlfn.CONCAT(表格1[[#This Row],[欄4]],表格1[[#This Row],[inv no]])</f>
        <v>238982</v>
      </c>
    </row>
    <row r="3844" spans="1:23" hidden="1">
      <c r="A3844" s="81">
        <v>3842</v>
      </c>
      <c r="B3844" s="86" t="s">
        <v>1403</v>
      </c>
      <c r="C3844" s="86" t="s">
        <v>1973</v>
      </c>
      <c r="D3844" s="89" t="str">
        <f ca="1">OFFSET(Roster!$A$3,MATCH(表格1[[#This Row],[Location]]&amp;" "&amp;表格1[[#This Row],[Shop]]&amp;"*",Roster!$A$4:$A$72,0),DAY(表格1[[#This Row],[date]]),1,1)</f>
        <v>Happy</v>
      </c>
      <c r="E3844" s="86">
        <f>MONTH(表格1[[#This Row],[date]])</f>
        <v>3</v>
      </c>
      <c r="F3844" s="90">
        <v>46097</v>
      </c>
      <c r="G3844" s="86" t="str">
        <f>VLOOKUP("*"&amp;表格1[[#This Row],[Input]]&amp;"*",'Ref-List'!$B:$D,2,)</f>
        <v>MM2-EG20PC(WH)</v>
      </c>
      <c r="H3844" s="86" t="str">
        <f>_xlfn.XLOOKUP(表格1[[#This Row],[Model]],表格3[Model-Input-Ref2],表格3[Product Line])</f>
        <v>輕觸式燒烤微波爐</v>
      </c>
      <c r="I3844" s="86" t="str">
        <f>_xlfn.XLOOKUP(表格1[[#This Row],[Model]],表格3[Model-Input-Ref2],表格3[大小電])</f>
        <v>細電</v>
      </c>
      <c r="J3844" s="86" t="str">
        <f>_xlfn.XLOOKUP(表格1[[#This Row],[Model]],表格3[Model-Input-Ref2],表格3[Code])</f>
        <v>MCA</v>
      </c>
      <c r="K3844" s="89" t="s">
        <v>1273</v>
      </c>
      <c r="L3844" s="86">
        <v>1</v>
      </c>
      <c r="M3844" s="87">
        <v>698</v>
      </c>
      <c r="N3844" s="87">
        <f>IFERROR(表格1[[#This Row],[QTY]]*表格1[[#This Row],[Unit Price]],"-")</f>
        <v>698</v>
      </c>
      <c r="O3844" s="86">
        <v>10251</v>
      </c>
      <c r="R3844" s="86" t="str">
        <f>_xlfn.CONCAT(表格1[[#This Row],[Model]]," ",表格1[[#This Row],[inv no]])</f>
        <v>MM2-EG20PC(WH) 10251</v>
      </c>
      <c r="S3844" s="86">
        <f>_xlfn.XLOOKUP(表格1[[#This Row],[Model]],表格3[Model-Input-Ref2],表格3[SRP PRICE])</f>
        <v>918</v>
      </c>
      <c r="T3844" s="43">
        <f>表格1[[#This Row],[Unit Price]]/表格1[[#This Row],[SRP]]</f>
        <v>0.76034858387799564</v>
      </c>
      <c r="U3844" s="86" t="str">
        <f>_xlfn.XLOOKUP(表格1[[#This Row],[Model]],表格3[Model-Input-Ref2],表格3[TOSHIBA/HIGHEST])</f>
        <v>Shops Highest Price</v>
      </c>
      <c r="W3844" s="86" t="str">
        <f>_xlfn.CONCAT(表格1[[#This Row],[欄4]],表格1[[#This Row],[inv no]])</f>
        <v>10251</v>
      </c>
    </row>
    <row r="3845" spans="1:23" hidden="1">
      <c r="A3845" s="81">
        <v>3843</v>
      </c>
      <c r="B3845" s="86" t="s">
        <v>1403</v>
      </c>
      <c r="C3845" s="86" t="s">
        <v>1973</v>
      </c>
      <c r="D3845" s="89" t="str">
        <f ca="1">OFFSET(Roster!$A$3,MATCH(表格1[[#This Row],[Location]]&amp;" "&amp;表格1[[#This Row],[Shop]]&amp;"*",Roster!$A$4:$A$72,0),DAY(表格1[[#This Row],[date]]),1,1)</f>
        <v>Happy</v>
      </c>
      <c r="E3845" s="86">
        <f>MONTH(表格1[[#This Row],[date]])</f>
        <v>3</v>
      </c>
      <c r="F3845" s="90">
        <v>46097</v>
      </c>
      <c r="G3845" s="86" t="str">
        <f>VLOOKUP("*"&amp;表格1[[#This Row],[Input]]&amp;"*",'Ref-List'!$B:$D,2,)</f>
        <v>RC-DS10K(N)</v>
      </c>
      <c r="H3845" s="86" t="str">
        <f>_xlfn.XLOOKUP(表格1[[#This Row],[Model]],表格3[Model-Input-Ref2],表格3[Product Line])</f>
        <v>IH磁應電飯煲</v>
      </c>
      <c r="I3845" s="86" t="str">
        <f>_xlfn.XLOOKUP(表格1[[#This Row],[Model]],表格3[Model-Input-Ref2],表格3[大小電])</f>
        <v>細電</v>
      </c>
      <c r="J3845" s="86" t="str">
        <f>_xlfn.XLOOKUP(表格1[[#This Row],[Model]],表格3[Model-Input-Ref2],表格3[Code])</f>
        <v>SDA</v>
      </c>
      <c r="K3845" s="89" t="s">
        <v>1633</v>
      </c>
      <c r="L3845" s="86">
        <v>1</v>
      </c>
      <c r="M3845" s="87">
        <v>3150</v>
      </c>
      <c r="N3845" s="87">
        <f>IFERROR(表格1[[#This Row],[QTY]]*表格1[[#This Row],[Unit Price]],"-")</f>
        <v>3150</v>
      </c>
      <c r="O3845" s="86">
        <v>239016</v>
      </c>
      <c r="R3845" s="86" t="str">
        <f>_xlfn.CONCAT(表格1[[#This Row],[Model]]," ",表格1[[#This Row],[inv no]])</f>
        <v>RC-DS10K(N) 239016</v>
      </c>
      <c r="S3845" s="86">
        <f>_xlfn.XLOOKUP(表格1[[#This Row],[Model]],表格3[Model-Input-Ref2],表格3[SRP PRICE])</f>
        <v>4588</v>
      </c>
      <c r="T3845" s="43">
        <f>表格1[[#This Row],[Unit Price]]/表格1[[#This Row],[SRP]]</f>
        <v>0.68657367044463824</v>
      </c>
      <c r="U3845" s="86" t="str">
        <f>_xlfn.XLOOKUP(表格1[[#This Row],[Model]],表格3[Model-Input-Ref2],表格3[TOSHIBA/HIGHEST])</f>
        <v>Toshiba SRP</v>
      </c>
      <c r="W3845" s="86" t="str">
        <f>_xlfn.CONCAT(表格1[[#This Row],[欄4]],表格1[[#This Row],[inv no]])</f>
        <v>239016</v>
      </c>
    </row>
    <row r="3846" spans="1:23" hidden="1">
      <c r="A3846" s="81">
        <v>3844</v>
      </c>
      <c r="B3846" s="86" t="s">
        <v>1403</v>
      </c>
      <c r="C3846" s="86" t="s">
        <v>1973</v>
      </c>
      <c r="D3846" s="89" t="str">
        <f ca="1">OFFSET(Roster!$A$3,MATCH(表格1[[#This Row],[Location]]&amp;" "&amp;表格1[[#This Row],[Shop]]&amp;"*",Roster!$A$4:$A$72,0),DAY(表格1[[#This Row],[date]]),1,1)</f>
        <v>Happy</v>
      </c>
      <c r="E3846" s="86">
        <f>MONTH(表格1[[#This Row],[date]])</f>
        <v>3</v>
      </c>
      <c r="F3846" s="90">
        <v>46097</v>
      </c>
      <c r="G3846" s="86" t="str">
        <f>VLOOKUP("*"&amp;表格1[[#This Row],[Input]]&amp;"*",'Ref-List'!$B:$D,2,)</f>
        <v>RAD-D250H</v>
      </c>
      <c r="H3846" s="86" t="str">
        <f>_xlfn.XLOOKUP(表格1[[#This Row],[Model]],表格3[Model-Input-Ref2],表格3[Product Line])</f>
        <v>壓縮式抽濕機 (25公升)</v>
      </c>
      <c r="I3846" s="86" t="str">
        <f>_xlfn.XLOOKUP(表格1[[#This Row],[Model]],表格3[Model-Input-Ref2],表格3[大小電])</f>
        <v>細電</v>
      </c>
      <c r="J3846" s="86" t="str">
        <f>_xlfn.XLOOKUP(表格1[[#This Row],[Model]],表格3[Model-Input-Ref2],表格3[Code])</f>
        <v>RAC</v>
      </c>
      <c r="K3846" s="89" t="s">
        <v>1407</v>
      </c>
      <c r="L3846" s="86">
        <v>1</v>
      </c>
      <c r="M3846" s="87">
        <v>2080</v>
      </c>
      <c r="N3846" s="87">
        <f>IFERROR(表格1[[#This Row],[QTY]]*表格1[[#This Row],[Unit Price]],"-")</f>
        <v>2080</v>
      </c>
      <c r="O3846" s="86">
        <v>239016</v>
      </c>
      <c r="R3846" s="86" t="str">
        <f>_xlfn.CONCAT(表格1[[#This Row],[Model]]," ",表格1[[#This Row],[inv no]])</f>
        <v>RAD-D250H 239016</v>
      </c>
      <c r="S3846" s="86">
        <f>_xlfn.XLOOKUP(表格1[[#This Row],[Model]],表格3[Model-Input-Ref2],表格3[SRP PRICE])</f>
        <v>3380</v>
      </c>
      <c r="T3846" s="43">
        <f>表格1[[#This Row],[Unit Price]]/表格1[[#This Row],[SRP]]</f>
        <v>0.61538461538461542</v>
      </c>
      <c r="U3846" s="86" t="str">
        <f>_xlfn.XLOOKUP(表格1[[#This Row],[Model]],表格3[Model-Input-Ref2],表格3[TOSHIBA/HIGHEST])</f>
        <v>Shops Highest Price</v>
      </c>
      <c r="W3846" s="86" t="str">
        <f>_xlfn.CONCAT(表格1[[#This Row],[欄4]],表格1[[#This Row],[inv no]])</f>
        <v>239016</v>
      </c>
    </row>
    <row r="3847" spans="1:23" hidden="1">
      <c r="A3847" s="81">
        <v>3845</v>
      </c>
      <c r="B3847" s="86" t="s">
        <v>1403</v>
      </c>
      <c r="C3847" s="86" t="s">
        <v>1973</v>
      </c>
      <c r="D3847" s="89" t="str">
        <f ca="1">OFFSET(Roster!$A$3,MATCH(表格1[[#This Row],[Location]]&amp;" "&amp;表格1[[#This Row],[Shop]]&amp;"*",Roster!$A$4:$A$72,0),DAY(表格1[[#This Row],[date]]),1,1)</f>
        <v>Happy</v>
      </c>
      <c r="E3847" s="86">
        <f>MONTH(表格1[[#This Row],[date]])</f>
        <v>3</v>
      </c>
      <c r="F3847" s="90">
        <v>46097</v>
      </c>
      <c r="G3847" s="86" t="str">
        <f>VLOOKUP("*"&amp;表格1[[#This Row],[Input]]&amp;"*",'Ref-List'!$B:$D,2,)</f>
        <v>TW-T22BU95UWH(WK)-B</v>
      </c>
      <c r="H3847" s="86" t="str">
        <f>_xlfn.XLOOKUP(表格1[[#This Row],[Model]],表格3[Model-Input-Ref2],表格3[Product Line])</f>
        <v>470MM超薄身前置式變頻洗衣機(8.5公斤, 可飛頂)</v>
      </c>
      <c r="I3847" s="86" t="str">
        <f>_xlfn.XLOOKUP(表格1[[#This Row],[Model]],表格3[Model-Input-Ref2],表格3[大小電])</f>
        <v>大電</v>
      </c>
      <c r="J3847" s="86" t="str">
        <f>_xlfn.XLOOKUP(表格1[[#This Row],[Model]],表格3[Model-Input-Ref2],表格3[Code])</f>
        <v>LAD</v>
      </c>
      <c r="K3847" s="89" t="s">
        <v>969</v>
      </c>
      <c r="L3847" s="86">
        <v>1</v>
      </c>
      <c r="M3847" s="87">
        <v>3680</v>
      </c>
      <c r="N3847" s="87">
        <f>IFERROR(表格1[[#This Row],[QTY]]*表格1[[#This Row],[Unit Price]],"-")</f>
        <v>3680</v>
      </c>
      <c r="O3847" s="86">
        <v>239017</v>
      </c>
      <c r="R3847" s="86" t="str">
        <f>_xlfn.CONCAT(表格1[[#This Row],[Model]]," ",表格1[[#This Row],[inv no]])</f>
        <v>TW-T22BU95UWH(WK)-B 239017</v>
      </c>
      <c r="S3847" s="86">
        <f>_xlfn.XLOOKUP(表格1[[#This Row],[Model]],表格3[Model-Input-Ref2],表格3[SRP PRICE])</f>
        <v>5880</v>
      </c>
      <c r="T3847" s="43">
        <f>表格1[[#This Row],[Unit Price]]/表格1[[#This Row],[SRP]]</f>
        <v>0.62585034013605445</v>
      </c>
      <c r="U3847" s="86" t="str">
        <f>_xlfn.XLOOKUP(表格1[[#This Row],[Model]],表格3[Model-Input-Ref2],表格3[TOSHIBA/HIGHEST])</f>
        <v>Toshiba SRP</v>
      </c>
      <c r="W3847" s="86" t="str">
        <f>_xlfn.CONCAT(表格1[[#This Row],[欄4]],表格1[[#This Row],[inv no]])</f>
        <v>239017</v>
      </c>
    </row>
    <row r="3848" spans="1:23" hidden="1">
      <c r="A3848" s="81">
        <v>3846</v>
      </c>
      <c r="B3848" s="86" t="s">
        <v>1403</v>
      </c>
      <c r="C3848" s="86" t="s">
        <v>1973</v>
      </c>
      <c r="D3848" s="89" t="str">
        <f ca="1">OFFSET(Roster!$A$3,MATCH(表格1[[#This Row],[Location]]&amp;" "&amp;表格1[[#This Row],[Shop]]&amp;"*",Roster!$A$4:$A$72,0),DAY(表格1[[#This Row],[date]]),1,1)</f>
        <v>Happy</v>
      </c>
      <c r="E3848" s="86">
        <f>MONTH(表格1[[#This Row],[date]])</f>
        <v>3</v>
      </c>
      <c r="F3848" s="90">
        <v>46097</v>
      </c>
      <c r="G3848" s="86" t="str">
        <f>VLOOKUP("*"&amp;表格1[[#This Row],[Input]]&amp;"*",'Ref-List'!$B:$D,2,)</f>
        <v>MX2-STR25SC(WH)</v>
      </c>
      <c r="H3848" s="86" t="str">
        <f>_xlfn.XLOOKUP(表格1[[#This Row],[Model]],表格3[Model-Input-Ref2],表格3[Product Line])</f>
        <v>4合1氣炸微波蒸焗爐(25公升)</v>
      </c>
      <c r="I3848" s="86" t="str">
        <f>_xlfn.XLOOKUP(表格1[[#This Row],[Model]],表格3[Model-Input-Ref2],表格3[大小電])</f>
        <v>細電</v>
      </c>
      <c r="J3848" s="86" t="str">
        <f>_xlfn.XLOOKUP(表格1[[#This Row],[Model]],表格3[Model-Input-Ref2],表格3[Code])</f>
        <v>MCA</v>
      </c>
      <c r="K3848" s="89" t="s">
        <v>1410</v>
      </c>
      <c r="L3848" s="86">
        <v>1</v>
      </c>
      <c r="M3848" s="87">
        <v>3180</v>
      </c>
      <c r="N3848" s="87">
        <f>IFERROR(表格1[[#This Row],[QTY]]*表格1[[#This Row],[Unit Price]],"-")</f>
        <v>3180</v>
      </c>
      <c r="O3848" s="86">
        <v>239023</v>
      </c>
      <c r="R3848" s="86" t="str">
        <f>_xlfn.CONCAT(表格1[[#This Row],[Model]]," ",表格1[[#This Row],[inv no]])</f>
        <v>MX2-STR25SC(WH) 239023</v>
      </c>
      <c r="S3848" s="86">
        <f>_xlfn.XLOOKUP(表格1[[#This Row],[Model]],表格3[Model-Input-Ref2],表格3[SRP PRICE])</f>
        <v>4998</v>
      </c>
      <c r="T3848" s="43">
        <f>表格1[[#This Row],[Unit Price]]/表格1[[#This Row],[SRP]]</f>
        <v>0.6362545018007203</v>
      </c>
      <c r="U3848" s="86" t="str">
        <f>_xlfn.XLOOKUP(表格1[[#This Row],[Model]],表格3[Model-Input-Ref2],表格3[TOSHIBA/HIGHEST])</f>
        <v>Toshiba SRP</v>
      </c>
      <c r="W3848" s="86" t="str">
        <f>_xlfn.CONCAT(表格1[[#This Row],[欄4]],表格1[[#This Row],[inv no]])</f>
        <v>239023</v>
      </c>
    </row>
    <row r="3849" spans="1:23" hidden="1">
      <c r="A3849" s="81">
        <v>3847</v>
      </c>
      <c r="B3849" s="86" t="s">
        <v>1403</v>
      </c>
      <c r="C3849" s="86" t="s">
        <v>1973</v>
      </c>
      <c r="D3849" s="89" t="str">
        <f ca="1">OFFSET(Roster!$A$3,MATCH(表格1[[#This Row],[Location]]&amp;" "&amp;表格1[[#This Row],[Shop]]&amp;"*",Roster!$A$4:$A$72,0),DAY(表格1[[#This Row],[date]]),1,1)</f>
        <v>Happy</v>
      </c>
      <c r="E3849" s="86">
        <f>MONTH(表格1[[#This Row],[date]])</f>
        <v>3</v>
      </c>
      <c r="F3849" s="90">
        <v>46097</v>
      </c>
      <c r="G3849" s="86" t="str">
        <f>VLOOKUP("*"&amp;表格1[[#This Row],[Input]]&amp;"*",'Ref-List'!$B:$D,2,)</f>
        <v>GR-RM469WE-PGA(B3)</v>
      </c>
      <c r="H3849" s="86" t="str">
        <f>_xlfn.XLOOKUP(表格1[[#This Row],[Model]],表格3[Model-Input-Ref2],表格3[Product Line])</f>
        <v>旗艦級變頻三門雪櫃 (300L)</v>
      </c>
      <c r="I3849" s="86" t="str">
        <f>_xlfn.XLOOKUP(表格1[[#This Row],[Model]],表格3[Model-Input-Ref2],表格3[大小電])</f>
        <v>大電</v>
      </c>
      <c r="J3849" s="86" t="str">
        <f>_xlfn.XLOOKUP(表格1[[#This Row],[Model]],表格3[Model-Input-Ref2],表格3[Code])</f>
        <v>REF</v>
      </c>
      <c r="K3849" s="89" t="s">
        <v>1460</v>
      </c>
      <c r="L3849" s="86">
        <v>1</v>
      </c>
      <c r="M3849" s="87">
        <v>6489</v>
      </c>
      <c r="N3849" s="87">
        <f>IFERROR(表格1[[#This Row],[QTY]]*表格1[[#This Row],[Unit Price]],"-")</f>
        <v>6489</v>
      </c>
      <c r="O3849" s="86">
        <v>239022</v>
      </c>
      <c r="R3849" s="86" t="str">
        <f>_xlfn.CONCAT(表格1[[#This Row],[Model]]," ",表格1[[#This Row],[inv no]])</f>
        <v>GR-RM469WE-PGA(B3) 239022</v>
      </c>
      <c r="S3849" s="86">
        <f>_xlfn.XLOOKUP(表格1[[#This Row],[Model]],表格3[Model-Input-Ref2],表格3[SRP PRICE])</f>
        <v>8990</v>
      </c>
      <c r="T3849" s="43">
        <f>表格1[[#This Row],[Unit Price]]/表格1[[#This Row],[SRP]]</f>
        <v>0.72180200222469415</v>
      </c>
      <c r="U3849" s="86" t="str">
        <f>_xlfn.XLOOKUP(表格1[[#This Row],[Model]],表格3[Model-Input-Ref2],表格3[TOSHIBA/HIGHEST])</f>
        <v>Toshiba SRP</v>
      </c>
      <c r="W3849" s="86" t="str">
        <f>_xlfn.CONCAT(表格1[[#This Row],[欄4]],表格1[[#This Row],[inv no]])</f>
        <v>239022</v>
      </c>
    </row>
    <row r="3850" spans="1:23" hidden="1">
      <c r="A3850" s="81">
        <v>3848</v>
      </c>
      <c r="B3850" s="86" t="s">
        <v>1403</v>
      </c>
      <c r="C3850" s="86" t="s">
        <v>1973</v>
      </c>
      <c r="D3850" s="89" t="str">
        <f ca="1">OFFSET(Roster!$A$3,MATCH(表格1[[#This Row],[Location]]&amp;" "&amp;表格1[[#This Row],[Shop]]&amp;"*",Roster!$A$4:$A$72,0),DAY(表格1[[#This Row],[date]]),1,1)</f>
        <v>Happy</v>
      </c>
      <c r="E3850" s="86">
        <f>MONTH(表格1[[#This Row],[date]])</f>
        <v>3</v>
      </c>
      <c r="F3850" s="90">
        <v>46097</v>
      </c>
      <c r="G3850" s="86" t="str">
        <f>VLOOKUP("*"&amp;表格1[[#This Row],[Input]]&amp;"*",'Ref-List'!$B:$D,2,)</f>
        <v>RC-10BHH(W)</v>
      </c>
      <c r="H3850" s="86" t="str">
        <f>_xlfn.XLOOKUP(表格1[[#This Row],[Model]],表格3[Model-Input-Ref2],表格3[Product Line])</f>
        <v>酵活炊磁應電飯煲</v>
      </c>
      <c r="I3850" s="86" t="str">
        <f>_xlfn.XLOOKUP(表格1[[#This Row],[Model]],表格3[Model-Input-Ref2],表格3[大小電])</f>
        <v>細電</v>
      </c>
      <c r="J3850" s="86" t="str">
        <f>_xlfn.XLOOKUP(表格1[[#This Row],[Model]],表格3[Model-Input-Ref2],表格3[Code])</f>
        <v>SDA</v>
      </c>
      <c r="K3850" s="89" t="s">
        <v>1269</v>
      </c>
      <c r="L3850" s="86">
        <v>1</v>
      </c>
      <c r="M3850" s="87">
        <v>1688</v>
      </c>
      <c r="N3850" s="87">
        <f>IFERROR(表格1[[#This Row],[QTY]]*表格1[[#This Row],[Unit Price]],"-")</f>
        <v>1688</v>
      </c>
      <c r="O3850" s="86">
        <v>10249</v>
      </c>
      <c r="R3850" s="86" t="str">
        <f>_xlfn.CONCAT(表格1[[#This Row],[Model]]," ",表格1[[#This Row],[inv no]])</f>
        <v>RC-10BHH(W) 10249</v>
      </c>
      <c r="S3850" s="86">
        <f>_xlfn.XLOOKUP(表格1[[#This Row],[Model]],表格3[Model-Input-Ref2],表格3[SRP PRICE])</f>
        <v>2088</v>
      </c>
      <c r="T3850" s="43">
        <f>表格1[[#This Row],[Unit Price]]/表格1[[#This Row],[SRP]]</f>
        <v>0.80842911877394641</v>
      </c>
      <c r="U3850" s="86" t="str">
        <f>_xlfn.XLOOKUP(表格1[[#This Row],[Model]],表格3[Model-Input-Ref2],表格3[TOSHIBA/HIGHEST])</f>
        <v>Shops Highest Price</v>
      </c>
      <c r="W3850" s="86" t="str">
        <f>_xlfn.CONCAT(表格1[[#This Row],[欄4]],表格1[[#This Row],[inv no]])</f>
        <v>10249</v>
      </c>
    </row>
    <row r="3851" spans="1:23" hidden="1">
      <c r="A3851" s="81">
        <v>3849</v>
      </c>
      <c r="B3851" s="86" t="s">
        <v>1403</v>
      </c>
      <c r="C3851" s="86" t="s">
        <v>1973</v>
      </c>
      <c r="D3851" s="89" t="str">
        <f ca="1">OFFSET(Roster!$A$3,MATCH(表格1[[#This Row],[Location]]&amp;" "&amp;表格1[[#This Row],[Shop]]&amp;"*",Roster!$A$4:$A$72,0),DAY(表格1[[#This Row],[date]]),1,1)</f>
        <v>Happy</v>
      </c>
      <c r="E3851" s="86">
        <f>MONTH(表格1[[#This Row],[date]])</f>
        <v>3</v>
      </c>
      <c r="F3851" s="90">
        <v>46097</v>
      </c>
      <c r="G3851" s="86" t="str">
        <f>VLOOKUP("*"&amp;表格1[[#This Row],[Input]]&amp;"*",'Ref-List'!$B:$D,2,)</f>
        <v>CFK01W75</v>
      </c>
      <c r="H3851" s="86" t="str">
        <f>_xlfn.XLOOKUP(表格1[[#This Row],[Model]],表格3[Model-Input-Ref2],表格3[Product Line])</f>
        <v>變頻頂揭式洗衣機 (7.5公斤)</v>
      </c>
      <c r="I3851" s="86" t="str">
        <f>_xlfn.XLOOKUP(表格1[[#This Row],[Model]],表格3[Model-Input-Ref2],表格3[大小電])</f>
        <v>大電</v>
      </c>
      <c r="J3851" s="86" t="str">
        <f>_xlfn.XLOOKUP(表格1[[#This Row],[Model]],表格3[Model-Input-Ref2],表格3[Code])</f>
        <v>LAD</v>
      </c>
      <c r="K3851" s="89" t="s">
        <v>1266</v>
      </c>
      <c r="L3851" s="86">
        <v>1</v>
      </c>
      <c r="M3851" s="87">
        <v>3580</v>
      </c>
      <c r="N3851" s="87">
        <f>IFERROR(表格1[[#This Row],[QTY]]*表格1[[#This Row],[Unit Price]],"-")</f>
        <v>3580</v>
      </c>
      <c r="O3851" s="86">
        <v>239025</v>
      </c>
      <c r="R3851" s="86" t="str">
        <f>_xlfn.CONCAT(表格1[[#This Row],[Model]]," ",表格1[[#This Row],[inv no]])</f>
        <v>CFK01W75 239025</v>
      </c>
      <c r="S3851" s="86">
        <f>_xlfn.XLOOKUP(表格1[[#This Row],[Model]],表格3[Model-Input-Ref2],表格3[SRP PRICE])</f>
        <v>3888</v>
      </c>
      <c r="T3851" s="43">
        <f>表格1[[#This Row],[Unit Price]]/表格1[[#This Row],[SRP]]</f>
        <v>0.92078189300411528</v>
      </c>
      <c r="U3851" s="86" t="str">
        <f>_xlfn.XLOOKUP(表格1[[#This Row],[Model]],表格3[Model-Input-Ref2],表格3[TOSHIBA/HIGHEST])</f>
        <v>Shops Highest Price</v>
      </c>
      <c r="W3851" s="86" t="str">
        <f>_xlfn.CONCAT(表格1[[#This Row],[欄4]],表格1[[#This Row],[inv no]])</f>
        <v>239025</v>
      </c>
    </row>
    <row r="3852" spans="1:23" hidden="1">
      <c r="A3852" s="81">
        <v>3850</v>
      </c>
      <c r="B3852" s="86" t="s">
        <v>1403</v>
      </c>
      <c r="C3852" s="86" t="s">
        <v>1973</v>
      </c>
      <c r="D3852" s="89" t="str">
        <f ca="1">OFFSET(Roster!$A$3,MATCH(表格1[[#This Row],[Location]]&amp;" "&amp;表格1[[#This Row],[Shop]]&amp;"*",Roster!$A$4:$A$72,0),DAY(表格1[[#This Row],[date]]),1,1)</f>
        <v>Happy</v>
      </c>
      <c r="E3852" s="86">
        <f>MONTH(表格1[[#This Row],[date]])</f>
        <v>3</v>
      </c>
      <c r="F3852" s="90">
        <v>46097</v>
      </c>
      <c r="G3852" s="86" t="str">
        <f>VLOOKUP("*"&amp;表格1[[#This Row],[Input]]&amp;"*",'Ref-List'!$B:$D,2,)</f>
        <v>RAD-D250H</v>
      </c>
      <c r="H3852" s="86" t="str">
        <f>_xlfn.XLOOKUP(表格1[[#This Row],[Model]],表格3[Model-Input-Ref2],表格3[Product Line])</f>
        <v>壓縮式抽濕機 (25公升)</v>
      </c>
      <c r="I3852" s="86" t="str">
        <f>_xlfn.XLOOKUP(表格1[[#This Row],[Model]],表格3[Model-Input-Ref2],表格3[大小電])</f>
        <v>細電</v>
      </c>
      <c r="J3852" s="86" t="str">
        <f>_xlfn.XLOOKUP(表格1[[#This Row],[Model]],表格3[Model-Input-Ref2],表格3[Code])</f>
        <v>RAC</v>
      </c>
      <c r="K3852" s="89" t="s">
        <v>1407</v>
      </c>
      <c r="L3852" s="86">
        <v>1</v>
      </c>
      <c r="M3852" s="87">
        <v>2080</v>
      </c>
      <c r="N3852" s="87">
        <f>IFERROR(表格1[[#This Row],[QTY]]*表格1[[#This Row],[Unit Price]],"-")</f>
        <v>2080</v>
      </c>
      <c r="O3852" s="86">
        <v>239001</v>
      </c>
      <c r="R3852" s="86" t="str">
        <f>_xlfn.CONCAT(表格1[[#This Row],[Model]]," ",表格1[[#This Row],[inv no]])</f>
        <v>RAD-D250H 239001</v>
      </c>
      <c r="S3852" s="86">
        <f>_xlfn.XLOOKUP(表格1[[#This Row],[Model]],表格3[Model-Input-Ref2],表格3[SRP PRICE])</f>
        <v>3380</v>
      </c>
      <c r="T3852" s="43">
        <f>表格1[[#This Row],[Unit Price]]/表格1[[#This Row],[SRP]]</f>
        <v>0.61538461538461542</v>
      </c>
      <c r="U3852" s="86" t="str">
        <f>_xlfn.XLOOKUP(表格1[[#This Row],[Model]],表格3[Model-Input-Ref2],表格3[TOSHIBA/HIGHEST])</f>
        <v>Shops Highest Price</v>
      </c>
      <c r="W3852" s="86" t="str">
        <f>_xlfn.CONCAT(表格1[[#This Row],[欄4]],表格1[[#This Row],[inv no]])</f>
        <v>239001</v>
      </c>
    </row>
    <row r="3853" spans="1:23" hidden="1">
      <c r="A3853" s="81">
        <v>3851</v>
      </c>
      <c r="B3853" s="86" t="s">
        <v>1403</v>
      </c>
      <c r="C3853" s="86" t="s">
        <v>1973</v>
      </c>
      <c r="D3853" s="89" t="str">
        <f ca="1">OFFSET(Roster!$A$3,MATCH(表格1[[#This Row],[Location]]&amp;" "&amp;表格1[[#This Row],[Shop]]&amp;"*",Roster!$A$4:$A$72,0),DAY(表格1[[#This Row],[date]]),1,1)</f>
        <v>Happy</v>
      </c>
      <c r="E3853" s="86">
        <f>MONTH(表格1[[#This Row],[date]])</f>
        <v>3</v>
      </c>
      <c r="F3853" s="90">
        <v>46097</v>
      </c>
      <c r="G3853" s="86" t="str">
        <f>VLOOKUP("*"&amp;表格1[[#This Row],[Input]]&amp;"*",'Ref-List'!$B:$D,2,)</f>
        <v>RAD-D250H</v>
      </c>
      <c r="H3853" s="86" t="str">
        <f>_xlfn.XLOOKUP(表格1[[#This Row],[Model]],表格3[Model-Input-Ref2],表格3[Product Line])</f>
        <v>壓縮式抽濕機 (25公升)</v>
      </c>
      <c r="I3853" s="86" t="str">
        <f>_xlfn.XLOOKUP(表格1[[#This Row],[Model]],表格3[Model-Input-Ref2],表格3[大小電])</f>
        <v>細電</v>
      </c>
      <c r="J3853" s="86" t="str">
        <f>_xlfn.XLOOKUP(表格1[[#This Row],[Model]],表格3[Model-Input-Ref2],表格3[Code])</f>
        <v>RAC</v>
      </c>
      <c r="K3853" s="89" t="s">
        <v>1407</v>
      </c>
      <c r="L3853" s="86">
        <v>1</v>
      </c>
      <c r="M3853" s="87">
        <v>2080</v>
      </c>
      <c r="N3853" s="87">
        <f>IFERROR(表格1[[#This Row],[QTY]]*表格1[[#This Row],[Unit Price]],"-")</f>
        <v>2080</v>
      </c>
      <c r="O3853" s="86">
        <v>239032</v>
      </c>
      <c r="R3853" s="86" t="str">
        <f>_xlfn.CONCAT(表格1[[#This Row],[Model]]," ",表格1[[#This Row],[inv no]])</f>
        <v>RAD-D250H 239032</v>
      </c>
      <c r="S3853" s="86">
        <f>_xlfn.XLOOKUP(表格1[[#This Row],[Model]],表格3[Model-Input-Ref2],表格3[SRP PRICE])</f>
        <v>3380</v>
      </c>
      <c r="T3853" s="43">
        <f>表格1[[#This Row],[Unit Price]]/表格1[[#This Row],[SRP]]</f>
        <v>0.61538461538461542</v>
      </c>
      <c r="U3853" s="86" t="str">
        <f>_xlfn.XLOOKUP(表格1[[#This Row],[Model]],表格3[Model-Input-Ref2],表格3[TOSHIBA/HIGHEST])</f>
        <v>Shops Highest Price</v>
      </c>
      <c r="W3853" s="86" t="str">
        <f>_xlfn.CONCAT(表格1[[#This Row],[欄4]],表格1[[#This Row],[inv no]])</f>
        <v>239032</v>
      </c>
    </row>
    <row r="3854" spans="1:23" hidden="1">
      <c r="A3854" s="81">
        <v>3852</v>
      </c>
      <c r="B3854" s="86" t="s">
        <v>1403</v>
      </c>
      <c r="C3854" s="86" t="s">
        <v>1973</v>
      </c>
      <c r="D3854" s="89" t="str">
        <f ca="1">OFFSET(Roster!$A$3,MATCH(表格1[[#This Row],[Location]]&amp;" "&amp;表格1[[#This Row],[Shop]]&amp;"*",Roster!$A$4:$A$72,0),DAY(表格1[[#This Row],[date]]),1,1)</f>
        <v>Happy</v>
      </c>
      <c r="E3854" s="86">
        <f>MONTH(表格1[[#This Row],[date]])</f>
        <v>3</v>
      </c>
      <c r="F3854" s="90">
        <v>46100</v>
      </c>
      <c r="G3854" s="86" t="str">
        <f>VLOOKUP("*"&amp;表格1[[#This Row],[Input]]&amp;"*",'Ref-List'!$B:$D,2,)</f>
        <v>RAD-D250H</v>
      </c>
      <c r="H3854" s="86" t="str">
        <f>_xlfn.XLOOKUP(表格1[[#This Row],[Model]],表格3[Model-Input-Ref2],表格3[Product Line])</f>
        <v>壓縮式抽濕機 (25公升)</v>
      </c>
      <c r="I3854" s="86" t="str">
        <f>_xlfn.XLOOKUP(表格1[[#This Row],[Model]],表格3[Model-Input-Ref2],表格3[大小電])</f>
        <v>細電</v>
      </c>
      <c r="J3854" s="86" t="str">
        <f>_xlfn.XLOOKUP(表格1[[#This Row],[Model]],表格3[Model-Input-Ref2],表格3[Code])</f>
        <v>RAC</v>
      </c>
      <c r="K3854" s="89" t="s">
        <v>1407</v>
      </c>
      <c r="L3854" s="86">
        <v>1</v>
      </c>
      <c r="M3854" s="87">
        <v>2080</v>
      </c>
      <c r="N3854" s="87">
        <f>IFERROR(表格1[[#This Row],[QTY]]*表格1[[#This Row],[Unit Price]],"-")</f>
        <v>2080</v>
      </c>
      <c r="O3854" s="86">
        <v>239037</v>
      </c>
      <c r="R3854" s="86" t="str">
        <f>_xlfn.CONCAT(表格1[[#This Row],[Model]]," ",表格1[[#This Row],[inv no]])</f>
        <v>RAD-D250H 239037</v>
      </c>
      <c r="S3854" s="86">
        <f>_xlfn.XLOOKUP(表格1[[#This Row],[Model]],表格3[Model-Input-Ref2],表格3[SRP PRICE])</f>
        <v>3380</v>
      </c>
      <c r="T3854" s="43">
        <f>表格1[[#This Row],[Unit Price]]/表格1[[#This Row],[SRP]]</f>
        <v>0.61538461538461542</v>
      </c>
      <c r="U3854" s="86" t="str">
        <f>_xlfn.XLOOKUP(表格1[[#This Row],[Model]],表格3[Model-Input-Ref2],表格3[TOSHIBA/HIGHEST])</f>
        <v>Shops Highest Price</v>
      </c>
      <c r="W3854" s="86" t="str">
        <f>_xlfn.CONCAT(表格1[[#This Row],[欄4]],表格1[[#This Row],[inv no]])</f>
        <v>239037</v>
      </c>
    </row>
    <row r="3855" spans="1:23" hidden="1">
      <c r="A3855" s="81">
        <v>3853</v>
      </c>
      <c r="B3855" s="86" t="s">
        <v>1403</v>
      </c>
      <c r="C3855" s="86" t="s">
        <v>1973</v>
      </c>
      <c r="D3855" s="89" t="str">
        <f ca="1">OFFSET(Roster!$A$3,MATCH(表格1[[#This Row],[Location]]&amp;" "&amp;表格1[[#This Row],[Shop]]&amp;"*",Roster!$A$4:$A$72,0),DAY(表格1[[#This Row],[date]]),1,1)</f>
        <v>Happy</v>
      </c>
      <c r="E3855" s="86">
        <f>MONTH(表格1[[#This Row],[date]])</f>
        <v>3</v>
      </c>
      <c r="F3855" s="90">
        <v>46100</v>
      </c>
      <c r="G3855" s="86" t="str">
        <f>VLOOKUP("*"&amp;表格1[[#This Row],[Input]]&amp;"*",'Ref-List'!$B:$D,2,)</f>
        <v>GR-RB360WE-PMA(06)</v>
      </c>
      <c r="H3855" s="86" t="str">
        <f>_xlfn.XLOOKUP(表格1[[#This Row],[Model]],表格3[Model-Input-Ref2],表格3[Product Line])</f>
        <v>變頻下置式雙門雪櫃系列270L</v>
      </c>
      <c r="I3855" s="86" t="str">
        <f>_xlfn.XLOOKUP(表格1[[#This Row],[Model]],表格3[Model-Input-Ref2],表格3[大小電])</f>
        <v>大電</v>
      </c>
      <c r="J3855" s="86" t="str">
        <f>_xlfn.XLOOKUP(表格1[[#This Row],[Model]],表格3[Model-Input-Ref2],表格3[Code])</f>
        <v>REF</v>
      </c>
      <c r="K3855" s="89" t="s">
        <v>1282</v>
      </c>
      <c r="L3855" s="86">
        <v>1</v>
      </c>
      <c r="M3855" s="87">
        <v>3680</v>
      </c>
      <c r="N3855" s="87">
        <f>IFERROR(表格1[[#This Row],[QTY]]*表格1[[#This Row],[Unit Price]],"-")</f>
        <v>3680</v>
      </c>
      <c r="O3855" s="86">
        <v>239042</v>
      </c>
      <c r="R3855" s="86" t="str">
        <f>_xlfn.CONCAT(表格1[[#This Row],[Model]]," ",表格1[[#This Row],[inv no]])</f>
        <v>GR-RB360WE-PMA(06) 239042</v>
      </c>
      <c r="S3855" s="86">
        <f>_xlfn.XLOOKUP(表格1[[#This Row],[Model]],表格3[Model-Input-Ref2],表格3[SRP PRICE])</f>
        <v>5080</v>
      </c>
      <c r="T3855" s="43">
        <f>表格1[[#This Row],[Unit Price]]/表格1[[#This Row],[SRP]]</f>
        <v>0.72440944881889768</v>
      </c>
      <c r="U3855" s="86" t="str">
        <f>_xlfn.XLOOKUP(表格1[[#This Row],[Model]],表格3[Model-Input-Ref2],表格3[TOSHIBA/HIGHEST])</f>
        <v>Toshiba SRP</v>
      </c>
      <c r="W3855" s="86" t="str">
        <f>_xlfn.CONCAT(表格1[[#This Row],[欄4]],表格1[[#This Row],[inv no]])</f>
        <v>239042</v>
      </c>
    </row>
    <row r="3856" spans="1:23" hidden="1">
      <c r="A3856" s="81">
        <v>3854</v>
      </c>
      <c r="B3856" s="86" t="s">
        <v>1403</v>
      </c>
      <c r="C3856" s="86" t="s">
        <v>1973</v>
      </c>
      <c r="D3856" s="89" t="str">
        <f ca="1">OFFSET(Roster!$A$3,MATCH(表格1[[#This Row],[Location]]&amp;" "&amp;表格1[[#This Row],[Shop]]&amp;"*",Roster!$A$4:$A$72,0),DAY(表格1[[#This Row],[date]]),1,1)</f>
        <v>Happy</v>
      </c>
      <c r="E3856" s="86">
        <f>MONTH(表格1[[#This Row],[date]])</f>
        <v>3</v>
      </c>
      <c r="F3856" s="90">
        <v>46100</v>
      </c>
      <c r="G3856" s="86" t="str">
        <f>VLOOKUP("*"&amp;表格1[[#This Row],[Input]]&amp;"*",'Ref-List'!$B:$D,2,)</f>
        <v>IC-S19RH</v>
      </c>
      <c r="H3856" s="86" t="str">
        <f>_xlfn.XLOOKUP(表格1[[#This Row],[Model]],表格3[Model-Input-Ref2],表格3[Product Line])</f>
        <v>輕便式電磁爐7個功能</v>
      </c>
      <c r="I3856" s="86" t="str">
        <f>_xlfn.XLOOKUP(表格1[[#This Row],[Model]],表格3[Model-Input-Ref2],表格3[大小電])</f>
        <v>細電</v>
      </c>
      <c r="J3856" s="86" t="str">
        <f>_xlfn.XLOOKUP(表格1[[#This Row],[Model]],表格3[Model-Input-Ref2],表格3[Code])</f>
        <v>SDA</v>
      </c>
      <c r="K3856" s="89" t="s">
        <v>1289</v>
      </c>
      <c r="L3856" s="86">
        <v>1</v>
      </c>
      <c r="M3856" s="87">
        <v>493</v>
      </c>
      <c r="N3856" s="87">
        <f>IFERROR(表格1[[#This Row],[QTY]]*表格1[[#This Row],[Unit Price]],"-")</f>
        <v>493</v>
      </c>
      <c r="O3856" s="86">
        <v>10262</v>
      </c>
      <c r="R3856" s="86" t="str">
        <f>_xlfn.CONCAT(表格1[[#This Row],[Model]]," ",表格1[[#This Row],[inv no]])</f>
        <v>IC-S19RH 10262</v>
      </c>
      <c r="S3856" s="86">
        <f>_xlfn.XLOOKUP(表格1[[#This Row],[Model]],表格3[Model-Input-Ref2],表格3[SRP PRICE])</f>
        <v>638</v>
      </c>
      <c r="T3856" s="43">
        <f>表格1[[#This Row],[Unit Price]]/表格1[[#This Row],[SRP]]</f>
        <v>0.77272727272727271</v>
      </c>
      <c r="U3856" s="86" t="str">
        <f>_xlfn.XLOOKUP(表格1[[#This Row],[Model]],表格3[Model-Input-Ref2],表格3[TOSHIBA/HIGHEST])</f>
        <v>Toshiba SRP</v>
      </c>
      <c r="W3856" s="86" t="str">
        <f>_xlfn.CONCAT(表格1[[#This Row],[欄4]],表格1[[#This Row],[inv no]])</f>
        <v>10262</v>
      </c>
    </row>
    <row r="3857" spans="1:23" hidden="1">
      <c r="A3857" s="81">
        <v>3855</v>
      </c>
      <c r="B3857" s="86" t="s">
        <v>1403</v>
      </c>
      <c r="C3857" s="86" t="s">
        <v>1973</v>
      </c>
      <c r="D3857" s="89" t="str">
        <f ca="1">OFFSET(Roster!$A$3,MATCH(表格1[[#This Row],[Location]]&amp;" "&amp;表格1[[#This Row],[Shop]]&amp;"*",Roster!$A$4:$A$72,0),DAY(表格1[[#This Row],[date]]),1,1)</f>
        <v>Happy</v>
      </c>
      <c r="E3857" s="86">
        <f>MONTH(表格1[[#This Row],[date]])</f>
        <v>3</v>
      </c>
      <c r="F3857" s="90">
        <v>46100</v>
      </c>
      <c r="G3857" s="86" t="str">
        <f>VLOOKUP("*"&amp;表格1[[#This Row],[Input]]&amp;"*",'Ref-List'!$B:$D,2,)</f>
        <v>RC-18NMFIH(WT)</v>
      </c>
      <c r="H3857" s="86" t="str">
        <f>_xlfn.XLOOKUP(表格1[[#This Row],[Model]],表格3[Model-Input-Ref2],表格3[Product Line])</f>
        <v>4毫米厚釜電飯煲1.8L</v>
      </c>
      <c r="I3857" s="86" t="str">
        <f>_xlfn.XLOOKUP(表格1[[#This Row],[Model]],表格3[Model-Input-Ref2],表格3[大小電])</f>
        <v>細電</v>
      </c>
      <c r="J3857" s="86" t="str">
        <f>_xlfn.XLOOKUP(表格1[[#This Row],[Model]],表格3[Model-Input-Ref2],表格3[Code])</f>
        <v>SDA</v>
      </c>
      <c r="K3857" s="89" t="s">
        <v>1267</v>
      </c>
      <c r="L3857" s="86">
        <v>1</v>
      </c>
      <c r="M3857" s="87">
        <v>798</v>
      </c>
      <c r="N3857" s="87">
        <f>IFERROR(表格1[[#This Row],[QTY]]*表格1[[#This Row],[Unit Price]],"-")</f>
        <v>798</v>
      </c>
      <c r="O3857" s="86">
        <v>239064</v>
      </c>
      <c r="R3857" s="86" t="str">
        <f>_xlfn.CONCAT(表格1[[#This Row],[Model]]," ",表格1[[#This Row],[inv no]])</f>
        <v>RC-18NMFIH(WT) 239064</v>
      </c>
      <c r="S3857" s="86">
        <f>_xlfn.XLOOKUP(表格1[[#This Row],[Model]],表格3[Model-Input-Ref2],表格3[SRP PRICE])</f>
        <v>998</v>
      </c>
      <c r="T3857" s="43">
        <f>表格1[[#This Row],[Unit Price]]/表格1[[#This Row],[SRP]]</f>
        <v>0.79959919839679361</v>
      </c>
      <c r="U3857" s="86" t="str">
        <f>_xlfn.XLOOKUP(表格1[[#This Row],[Model]],表格3[Model-Input-Ref2],表格3[TOSHIBA/HIGHEST])</f>
        <v>Toshiba SRP</v>
      </c>
      <c r="W3857" s="86" t="str">
        <f>_xlfn.CONCAT(表格1[[#This Row],[欄4]],表格1[[#This Row],[inv no]])</f>
        <v>239064</v>
      </c>
    </row>
    <row r="3858" spans="1:23" hidden="1">
      <c r="A3858" s="81">
        <v>3856</v>
      </c>
      <c r="B3858" s="86" t="s">
        <v>1403</v>
      </c>
      <c r="C3858" s="86" t="s">
        <v>1973</v>
      </c>
      <c r="D3858" s="89" t="str">
        <f ca="1">OFFSET(Roster!$A$3,MATCH(表格1[[#This Row],[Location]]&amp;" "&amp;表格1[[#This Row],[Shop]]&amp;"*",Roster!$A$4:$A$72,0),DAY(表格1[[#This Row],[date]]),1,1)</f>
        <v>Happy</v>
      </c>
      <c r="E3858" s="86">
        <f>MONTH(表格1[[#This Row],[date]])</f>
        <v>3</v>
      </c>
      <c r="F3858" s="90">
        <v>46100</v>
      </c>
      <c r="G3858" s="86" t="str">
        <f>VLOOKUP("*"&amp;表格1[[#This Row],[Input]]&amp;"*",'Ref-List'!$B:$D,2,)</f>
        <v>MM-2MM20PC(WH)</v>
      </c>
      <c r="H3858" s="86" t="str">
        <f>_xlfn.XLOOKUP(表格1[[#This Row],[Model]],表格3[Model-Input-Ref2],表格3[Product Line])</f>
        <v>旋鈕式微波爐 (20公升)</v>
      </c>
      <c r="I3858" s="86" t="str">
        <f>_xlfn.XLOOKUP(表格1[[#This Row],[Model]],表格3[Model-Input-Ref2],表格3[大小電])</f>
        <v>細電</v>
      </c>
      <c r="J3858" s="86" t="str">
        <f>_xlfn.XLOOKUP(表格1[[#This Row],[Model]],表格3[Model-Input-Ref2],表格3[Code])</f>
        <v>MCA</v>
      </c>
      <c r="K3858" s="89" t="s">
        <v>1388</v>
      </c>
      <c r="L3858" s="86">
        <v>1</v>
      </c>
      <c r="M3858" s="87">
        <v>598</v>
      </c>
      <c r="N3858" s="87">
        <f>IFERROR(表格1[[#This Row],[QTY]]*表格1[[#This Row],[Unit Price]],"-")</f>
        <v>598</v>
      </c>
      <c r="O3858" s="86">
        <v>239065</v>
      </c>
      <c r="R3858" s="86" t="str">
        <f>_xlfn.CONCAT(表格1[[#This Row],[Model]]," ",表格1[[#This Row],[inv no]])</f>
        <v>MM-2MM20PC(WH) 239065</v>
      </c>
      <c r="S3858" s="86">
        <f>_xlfn.XLOOKUP(表格1[[#This Row],[Model]],表格3[Model-Input-Ref2],表格3[SRP PRICE])</f>
        <v>738</v>
      </c>
      <c r="T3858" s="43">
        <f>表格1[[#This Row],[Unit Price]]/表格1[[#This Row],[SRP]]</f>
        <v>0.81029810298102978</v>
      </c>
      <c r="U3858" s="86" t="str">
        <f>_xlfn.XLOOKUP(表格1[[#This Row],[Model]],表格3[Model-Input-Ref2],表格3[TOSHIBA/HIGHEST])</f>
        <v>Toshiba SRP</v>
      </c>
      <c r="W3858" s="86" t="str">
        <f>_xlfn.CONCAT(表格1[[#This Row],[欄4]],表格1[[#This Row],[inv no]])</f>
        <v>239065</v>
      </c>
    </row>
    <row r="3859" spans="1:23" hidden="1">
      <c r="A3859" s="81">
        <v>3857</v>
      </c>
      <c r="B3859" s="86" t="s">
        <v>1403</v>
      </c>
      <c r="C3859" s="86" t="s">
        <v>1973</v>
      </c>
      <c r="D3859" s="89" t="str">
        <f ca="1">OFFSET(Roster!$A$3,MATCH(表格1[[#This Row],[Location]]&amp;" "&amp;表格1[[#This Row],[Shop]]&amp;"*",Roster!$A$4:$A$72,0),DAY(表格1[[#This Row],[date]]),1,1)</f>
        <v>Happy</v>
      </c>
      <c r="E3859" s="86">
        <f>MONTH(表格1[[#This Row],[date]])</f>
        <v>3</v>
      </c>
      <c r="F3859" s="90">
        <v>46100</v>
      </c>
      <c r="G3859" s="86" t="str">
        <f>VLOOKUP("*"&amp;表格1[[#This Row],[Input]]&amp;"*",'Ref-List'!$B:$D,2,)</f>
        <v>IC-S19RH</v>
      </c>
      <c r="H3859" s="86" t="str">
        <f>_xlfn.XLOOKUP(表格1[[#This Row],[Model]],表格3[Model-Input-Ref2],表格3[Product Line])</f>
        <v>輕便式電磁爐7個功能</v>
      </c>
      <c r="I3859" s="86" t="str">
        <f>_xlfn.XLOOKUP(表格1[[#This Row],[Model]],表格3[Model-Input-Ref2],表格3[大小電])</f>
        <v>細電</v>
      </c>
      <c r="J3859" s="86" t="str">
        <f>_xlfn.XLOOKUP(表格1[[#This Row],[Model]],表格3[Model-Input-Ref2],表格3[Code])</f>
        <v>SDA</v>
      </c>
      <c r="K3859" s="89" t="s">
        <v>1289</v>
      </c>
      <c r="L3859" s="86">
        <v>1</v>
      </c>
      <c r="M3859" s="87">
        <v>493</v>
      </c>
      <c r="N3859" s="87">
        <f>IFERROR(表格1[[#This Row],[QTY]]*表格1[[#This Row],[Unit Price]],"-")</f>
        <v>493</v>
      </c>
      <c r="O3859" s="86">
        <v>1262</v>
      </c>
      <c r="R3859" s="86" t="str">
        <f>_xlfn.CONCAT(表格1[[#This Row],[Model]]," ",表格1[[#This Row],[inv no]])</f>
        <v>IC-S19RH 1262</v>
      </c>
      <c r="S3859" s="86">
        <f>_xlfn.XLOOKUP(表格1[[#This Row],[Model]],表格3[Model-Input-Ref2],表格3[SRP PRICE])</f>
        <v>638</v>
      </c>
      <c r="T3859" s="43">
        <f>表格1[[#This Row],[Unit Price]]/表格1[[#This Row],[SRP]]</f>
        <v>0.77272727272727271</v>
      </c>
      <c r="U3859" s="86" t="str">
        <f>_xlfn.XLOOKUP(表格1[[#This Row],[Model]],表格3[Model-Input-Ref2],表格3[TOSHIBA/HIGHEST])</f>
        <v>Toshiba SRP</v>
      </c>
      <c r="W3859" s="86" t="str">
        <f>_xlfn.CONCAT(表格1[[#This Row],[欄4]],表格1[[#This Row],[inv no]])</f>
        <v>1262</v>
      </c>
    </row>
    <row r="3860" spans="1:23" hidden="1">
      <c r="A3860" s="81">
        <v>3858</v>
      </c>
      <c r="B3860" s="86" t="s">
        <v>1403</v>
      </c>
      <c r="C3860" s="86" t="s">
        <v>1973</v>
      </c>
      <c r="D3860" s="89" t="str">
        <f ca="1">OFFSET(Roster!$A$3,MATCH(表格1[[#This Row],[Location]]&amp;" "&amp;表格1[[#This Row],[Shop]]&amp;"*",Roster!$A$4:$A$72,0),DAY(表格1[[#This Row],[date]]),1,1)</f>
        <v>Happy</v>
      </c>
      <c r="E3860" s="86">
        <f>MONTH(表格1[[#This Row],[date]])</f>
        <v>3</v>
      </c>
      <c r="F3860" s="90">
        <v>46100</v>
      </c>
      <c r="G3860" s="86" t="str">
        <f>VLOOKUP("*"&amp;表格1[[#This Row],[Input]]&amp;"*",'Ref-List'!$B:$D,2,)</f>
        <v>MM-2MM20PC(WH)</v>
      </c>
      <c r="H3860" s="86" t="str">
        <f>_xlfn.XLOOKUP(表格1[[#This Row],[Model]],表格3[Model-Input-Ref2],表格3[Product Line])</f>
        <v>旋鈕式微波爐 (20公升)</v>
      </c>
      <c r="I3860" s="86" t="str">
        <f>_xlfn.XLOOKUP(表格1[[#This Row],[Model]],表格3[Model-Input-Ref2],表格3[大小電])</f>
        <v>細電</v>
      </c>
      <c r="J3860" s="86" t="str">
        <f>_xlfn.XLOOKUP(表格1[[#This Row],[Model]],表格3[Model-Input-Ref2],表格3[Code])</f>
        <v>MCA</v>
      </c>
      <c r="K3860" s="89" t="s">
        <v>1388</v>
      </c>
      <c r="L3860" s="86">
        <v>1</v>
      </c>
      <c r="M3860" s="87">
        <v>598</v>
      </c>
      <c r="N3860" s="87">
        <f>IFERROR(表格1[[#This Row],[QTY]]*表格1[[#This Row],[Unit Price]],"-")</f>
        <v>598</v>
      </c>
      <c r="O3860" s="86">
        <v>6628</v>
      </c>
      <c r="R3860" s="86" t="str">
        <f>_xlfn.CONCAT(表格1[[#This Row],[Model]]," ",表格1[[#This Row],[inv no]])</f>
        <v>MM-2MM20PC(WH) 6628</v>
      </c>
      <c r="S3860" s="86">
        <f>_xlfn.XLOOKUP(表格1[[#This Row],[Model]],表格3[Model-Input-Ref2],表格3[SRP PRICE])</f>
        <v>738</v>
      </c>
      <c r="T3860" s="43">
        <f>表格1[[#This Row],[Unit Price]]/表格1[[#This Row],[SRP]]</f>
        <v>0.81029810298102978</v>
      </c>
      <c r="U3860" s="86" t="str">
        <f>_xlfn.XLOOKUP(表格1[[#This Row],[Model]],表格3[Model-Input-Ref2],表格3[TOSHIBA/HIGHEST])</f>
        <v>Toshiba SRP</v>
      </c>
      <c r="W3860" s="86" t="str">
        <f>_xlfn.CONCAT(表格1[[#This Row],[欄4]],表格1[[#This Row],[inv no]])</f>
        <v>6628</v>
      </c>
    </row>
    <row r="3861" spans="1:23" hidden="1">
      <c r="A3861" s="81">
        <v>3859</v>
      </c>
      <c r="B3861" s="86" t="s">
        <v>1403</v>
      </c>
      <c r="C3861" s="86" t="s">
        <v>1973</v>
      </c>
      <c r="D3861" s="89" t="str">
        <f ca="1">OFFSET(Roster!$A$3,MATCH(表格1[[#This Row],[Location]]&amp;" "&amp;表格1[[#This Row],[Shop]]&amp;"*",Roster!$A$4:$A$72,0),DAY(表格1[[#This Row],[date]]),1,1)</f>
        <v>Happy</v>
      </c>
      <c r="E3861" s="86">
        <f>MONTH(表格1[[#This Row],[date]])</f>
        <v>3</v>
      </c>
      <c r="F3861" s="90">
        <v>46100</v>
      </c>
      <c r="G3861" s="86" t="str">
        <f>VLOOKUP("*"&amp;表格1[[#This Row],[Input]]&amp;"*",'Ref-List'!$B:$D,2,)</f>
        <v>MX2-TT20SC(WH)</v>
      </c>
      <c r="H3861" s="86" t="str">
        <f>_xlfn.XLOOKUP(表格1[[#This Row],[Model]],表格3[Model-Input-Ref2],表格3[Product Line])</f>
        <v>3合1 微波蒸焗爐 (20公升)</v>
      </c>
      <c r="I3861" s="86" t="str">
        <f>_xlfn.XLOOKUP(表格1[[#This Row],[Model]],表格3[Model-Input-Ref2],表格3[大小電])</f>
        <v>細電</v>
      </c>
      <c r="J3861" s="86" t="str">
        <f>_xlfn.XLOOKUP(表格1[[#This Row],[Model]],表格3[Model-Input-Ref2],表格3[Code])</f>
        <v>MCA</v>
      </c>
      <c r="K3861" s="89" t="s">
        <v>1287</v>
      </c>
      <c r="L3861" s="86">
        <v>1</v>
      </c>
      <c r="M3861" s="87">
        <v>2480</v>
      </c>
      <c r="N3861" s="87">
        <f>IFERROR(表格1[[#This Row],[QTY]]*表格1[[#This Row],[Unit Price]],"-")</f>
        <v>2480</v>
      </c>
      <c r="O3861" s="86">
        <v>239076</v>
      </c>
      <c r="R3861" s="86" t="str">
        <f>_xlfn.CONCAT(表格1[[#This Row],[Model]]," ",表格1[[#This Row],[inv no]])</f>
        <v>MX2-TT20SC(WH) 239076</v>
      </c>
      <c r="S3861" s="86">
        <f>_xlfn.XLOOKUP(表格1[[#This Row],[Model]],表格3[Model-Input-Ref2],表格3[SRP PRICE])</f>
        <v>3580</v>
      </c>
      <c r="T3861" s="43">
        <f>表格1[[#This Row],[Unit Price]]/表格1[[#This Row],[SRP]]</f>
        <v>0.69273743016759781</v>
      </c>
      <c r="U3861" s="86" t="str">
        <f>_xlfn.XLOOKUP(表格1[[#This Row],[Model]],表格3[Model-Input-Ref2],表格3[TOSHIBA/HIGHEST])</f>
        <v>Toshiba SRP</v>
      </c>
      <c r="W3861" s="86" t="str">
        <f>_xlfn.CONCAT(表格1[[#This Row],[欄4]],表格1[[#This Row],[inv no]])</f>
        <v>239076</v>
      </c>
    </row>
    <row r="3862" spans="1:23" hidden="1">
      <c r="A3862" s="81">
        <v>3860</v>
      </c>
      <c r="B3862" s="86" t="s">
        <v>1403</v>
      </c>
      <c r="C3862" s="86" t="s">
        <v>1973</v>
      </c>
      <c r="D3862" s="89" t="str">
        <f ca="1">OFFSET(Roster!$A$3,MATCH(表格1[[#This Row],[Location]]&amp;" "&amp;表格1[[#This Row],[Shop]]&amp;"*",Roster!$A$4:$A$72,0),DAY(表格1[[#This Row],[date]]),1,1)</f>
        <v>Happy</v>
      </c>
      <c r="E3862" s="86">
        <f>MONTH(表格1[[#This Row],[date]])</f>
        <v>3</v>
      </c>
      <c r="F3862" s="90">
        <v>46100</v>
      </c>
      <c r="G3862" s="86" t="str">
        <f>VLOOKUP("*"&amp;表格1[[#This Row],[Input]]&amp;"*",'Ref-List'!$B:$D,2,)</f>
        <v>GR-RB360WE-PMA(06)</v>
      </c>
      <c r="H3862" s="86" t="str">
        <f>_xlfn.XLOOKUP(表格1[[#This Row],[Model]],表格3[Model-Input-Ref2],表格3[Product Line])</f>
        <v>變頻下置式雙門雪櫃系列270L</v>
      </c>
      <c r="I3862" s="86" t="str">
        <f>_xlfn.XLOOKUP(表格1[[#This Row],[Model]],表格3[Model-Input-Ref2],表格3[大小電])</f>
        <v>大電</v>
      </c>
      <c r="J3862" s="86" t="str">
        <f>_xlfn.XLOOKUP(表格1[[#This Row],[Model]],表格3[Model-Input-Ref2],表格3[Code])</f>
        <v>REF</v>
      </c>
      <c r="K3862" s="89" t="s">
        <v>1282</v>
      </c>
      <c r="L3862" s="86">
        <v>1</v>
      </c>
      <c r="M3862" s="87">
        <v>3680</v>
      </c>
      <c r="N3862" s="87">
        <f>IFERROR(表格1[[#This Row],[QTY]]*表格1[[#This Row],[Unit Price]],"-")</f>
        <v>3680</v>
      </c>
      <c r="O3862" s="86">
        <v>239063</v>
      </c>
      <c r="R3862" s="86" t="str">
        <f>_xlfn.CONCAT(表格1[[#This Row],[Model]]," ",表格1[[#This Row],[inv no]])</f>
        <v>GR-RB360WE-PMA(06) 239063</v>
      </c>
      <c r="S3862" s="86">
        <f>_xlfn.XLOOKUP(表格1[[#This Row],[Model]],表格3[Model-Input-Ref2],表格3[SRP PRICE])</f>
        <v>5080</v>
      </c>
      <c r="T3862" s="43">
        <f>表格1[[#This Row],[Unit Price]]/表格1[[#This Row],[SRP]]</f>
        <v>0.72440944881889768</v>
      </c>
      <c r="U3862" s="86" t="str">
        <f>_xlfn.XLOOKUP(表格1[[#This Row],[Model]],表格3[Model-Input-Ref2],表格3[TOSHIBA/HIGHEST])</f>
        <v>Toshiba SRP</v>
      </c>
      <c r="W3862" s="86" t="str">
        <f>_xlfn.CONCAT(表格1[[#This Row],[欄4]],表格1[[#This Row],[inv no]])</f>
        <v>239063</v>
      </c>
    </row>
    <row r="3863" spans="1:23" hidden="1">
      <c r="A3863" s="81">
        <v>3861</v>
      </c>
      <c r="B3863" s="86" t="s">
        <v>1403</v>
      </c>
      <c r="C3863" s="86" t="s">
        <v>1973</v>
      </c>
      <c r="D3863" s="89" t="str">
        <f ca="1">OFFSET(Roster!$A$3,MATCH(表格1[[#This Row],[Location]]&amp;" "&amp;表格1[[#This Row],[Shop]]&amp;"*",Roster!$A$4:$A$72,0),DAY(表格1[[#This Row],[date]]),1,1)</f>
        <v>Happy</v>
      </c>
      <c r="E3863" s="86">
        <f>MONTH(表格1[[#This Row],[date]])</f>
        <v>3</v>
      </c>
      <c r="F3863" s="90">
        <v>46100</v>
      </c>
      <c r="G3863" s="86" t="str">
        <f>VLOOKUP("*"&amp;表格1[[#This Row],[Input]]&amp;"*",'Ref-List'!$B:$D,2,)</f>
        <v>MX2-STR25SC(WH)</v>
      </c>
      <c r="H3863" s="86" t="str">
        <f>_xlfn.XLOOKUP(表格1[[#This Row],[Model]],表格3[Model-Input-Ref2],表格3[Product Line])</f>
        <v>4合1氣炸微波蒸焗爐(25公升)</v>
      </c>
      <c r="I3863" s="86" t="str">
        <f>_xlfn.XLOOKUP(表格1[[#This Row],[Model]],表格3[Model-Input-Ref2],表格3[大小電])</f>
        <v>細電</v>
      </c>
      <c r="J3863" s="86" t="str">
        <f>_xlfn.XLOOKUP(表格1[[#This Row],[Model]],表格3[Model-Input-Ref2],表格3[Code])</f>
        <v>MCA</v>
      </c>
      <c r="K3863" s="89" t="s">
        <v>1410</v>
      </c>
      <c r="L3863" s="86">
        <v>1</v>
      </c>
      <c r="M3863" s="87">
        <v>3180</v>
      </c>
      <c r="N3863" s="87">
        <f>IFERROR(表格1[[#This Row],[QTY]]*表格1[[#This Row],[Unit Price]],"-")</f>
        <v>3180</v>
      </c>
      <c r="O3863" s="86">
        <v>239080</v>
      </c>
      <c r="R3863" s="86" t="str">
        <f>_xlfn.CONCAT(表格1[[#This Row],[Model]]," ",表格1[[#This Row],[inv no]])</f>
        <v>MX2-STR25SC(WH) 239080</v>
      </c>
      <c r="S3863" s="86">
        <f>_xlfn.XLOOKUP(表格1[[#This Row],[Model]],表格3[Model-Input-Ref2],表格3[SRP PRICE])</f>
        <v>4998</v>
      </c>
      <c r="T3863" s="43">
        <f>表格1[[#This Row],[Unit Price]]/表格1[[#This Row],[SRP]]</f>
        <v>0.6362545018007203</v>
      </c>
      <c r="U3863" s="86" t="str">
        <f>_xlfn.XLOOKUP(表格1[[#This Row],[Model]],表格3[Model-Input-Ref2],表格3[TOSHIBA/HIGHEST])</f>
        <v>Toshiba SRP</v>
      </c>
      <c r="W3863" s="86" t="str">
        <f>_xlfn.CONCAT(表格1[[#This Row],[欄4]],表格1[[#This Row],[inv no]])</f>
        <v>239080</v>
      </c>
    </row>
    <row r="3864" spans="1:23" hidden="1">
      <c r="A3864" s="81">
        <v>3862</v>
      </c>
      <c r="B3864" s="86" t="s">
        <v>1403</v>
      </c>
      <c r="C3864" s="86" t="s">
        <v>1973</v>
      </c>
      <c r="D3864" s="89" t="str">
        <f ca="1">OFFSET(Roster!$A$3,MATCH(表格1[[#This Row],[Location]]&amp;" "&amp;表格1[[#This Row],[Shop]]&amp;"*",Roster!$A$4:$A$72,0),DAY(表格1[[#This Row],[date]]),1,1)</f>
        <v>Happy</v>
      </c>
      <c r="E3864" s="86">
        <f>MONTH(表格1[[#This Row],[date]])</f>
        <v>3</v>
      </c>
      <c r="F3864" s="90">
        <v>46100</v>
      </c>
      <c r="G3864" s="86" t="str">
        <f>VLOOKUP("*"&amp;表格1[[#This Row],[Input]]&amp;"*",'Ref-List'!$B:$D,2,)</f>
        <v>MM-2MM20PC(WH)</v>
      </c>
      <c r="H3864" s="86" t="str">
        <f>_xlfn.XLOOKUP(表格1[[#This Row],[Model]],表格3[Model-Input-Ref2],表格3[Product Line])</f>
        <v>旋鈕式微波爐 (20公升)</v>
      </c>
      <c r="I3864" s="86" t="str">
        <f>_xlfn.XLOOKUP(表格1[[#This Row],[Model]],表格3[Model-Input-Ref2],表格3[大小電])</f>
        <v>細電</v>
      </c>
      <c r="J3864" s="86" t="str">
        <f>_xlfn.XLOOKUP(表格1[[#This Row],[Model]],表格3[Model-Input-Ref2],表格3[Code])</f>
        <v>MCA</v>
      </c>
      <c r="K3864" s="89" t="s">
        <v>1388</v>
      </c>
      <c r="L3864" s="86">
        <v>1</v>
      </c>
      <c r="M3864" s="87">
        <v>598</v>
      </c>
      <c r="N3864" s="87">
        <f>IFERROR(表格1[[#This Row],[QTY]]*表格1[[#This Row],[Unit Price]],"-")</f>
        <v>598</v>
      </c>
      <c r="O3864" s="86">
        <v>239117</v>
      </c>
      <c r="R3864" s="86" t="str">
        <f>_xlfn.CONCAT(表格1[[#This Row],[Model]]," ",表格1[[#This Row],[inv no]])</f>
        <v>MM-2MM20PC(WH) 239117</v>
      </c>
      <c r="S3864" s="86">
        <f>_xlfn.XLOOKUP(表格1[[#This Row],[Model]],表格3[Model-Input-Ref2],表格3[SRP PRICE])</f>
        <v>738</v>
      </c>
      <c r="T3864" s="43">
        <f>表格1[[#This Row],[Unit Price]]/表格1[[#This Row],[SRP]]</f>
        <v>0.81029810298102978</v>
      </c>
      <c r="U3864" s="86" t="str">
        <f>_xlfn.XLOOKUP(表格1[[#This Row],[Model]],表格3[Model-Input-Ref2],表格3[TOSHIBA/HIGHEST])</f>
        <v>Toshiba SRP</v>
      </c>
      <c r="W3864" s="86" t="str">
        <f>_xlfn.CONCAT(表格1[[#This Row],[欄4]],表格1[[#This Row],[inv no]])</f>
        <v>239117</v>
      </c>
    </row>
    <row r="3865" spans="1:23" hidden="1">
      <c r="A3865" s="81">
        <v>3863</v>
      </c>
      <c r="B3865" s="86" t="s">
        <v>1403</v>
      </c>
      <c r="C3865" s="86" t="s">
        <v>1973</v>
      </c>
      <c r="D3865" s="89" t="str">
        <f ca="1">OFFSET(Roster!$A$3,MATCH(表格1[[#This Row],[Location]]&amp;" "&amp;表格1[[#This Row],[Shop]]&amp;"*",Roster!$A$4:$A$72,0),DAY(表格1[[#This Row],[date]]),1,1)</f>
        <v>Happy</v>
      </c>
      <c r="E3865" s="86">
        <f>MONTH(表格1[[#This Row],[date]])</f>
        <v>3</v>
      </c>
      <c r="F3865" s="90">
        <v>46100</v>
      </c>
      <c r="G3865" s="86" t="str">
        <f>VLOOKUP("*"&amp;表格1[[#This Row],[Input]]&amp;"*",'Ref-List'!$B:$D,2,)</f>
        <v>MM2-EM20PC(WH)</v>
      </c>
      <c r="H3865" s="86" t="str">
        <f>_xlfn.XLOOKUP(表格1[[#This Row],[Model]],表格3[Model-Input-Ref2],表格3[Product Line])</f>
        <v>輕觸式微波爐 (20公升)</v>
      </c>
      <c r="I3865" s="86" t="str">
        <f>_xlfn.XLOOKUP(表格1[[#This Row],[Model]],表格3[Model-Input-Ref2],表格3[大小電])</f>
        <v>細電</v>
      </c>
      <c r="J3865" s="86" t="str">
        <f>_xlfn.XLOOKUP(表格1[[#This Row],[Model]],表格3[Model-Input-Ref2],表格3[Code])</f>
        <v>MCA</v>
      </c>
      <c r="K3865" s="89" t="s">
        <v>1276</v>
      </c>
      <c r="L3865" s="86">
        <v>1</v>
      </c>
      <c r="M3865" s="87">
        <v>598</v>
      </c>
      <c r="N3865" s="87">
        <f>IFERROR(表格1[[#This Row],[QTY]]*表格1[[#This Row],[Unit Price]],"-")</f>
        <v>598</v>
      </c>
      <c r="O3865" s="86">
        <v>509</v>
      </c>
      <c r="R3865" s="86" t="str">
        <f>_xlfn.CONCAT(表格1[[#This Row],[Model]]," ",表格1[[#This Row],[inv no]])</f>
        <v>MM2-EM20PC(WH) 509</v>
      </c>
      <c r="S3865" s="86">
        <f>_xlfn.XLOOKUP(表格1[[#This Row],[Model]],表格3[Model-Input-Ref2],表格3[SRP PRICE])</f>
        <v>788</v>
      </c>
      <c r="T3865" s="43">
        <f>表格1[[#This Row],[Unit Price]]/表格1[[#This Row],[SRP]]</f>
        <v>0.75888324873096447</v>
      </c>
      <c r="U3865" s="86" t="str">
        <f>_xlfn.XLOOKUP(表格1[[#This Row],[Model]],表格3[Model-Input-Ref2],表格3[TOSHIBA/HIGHEST])</f>
        <v>Toshiba SRP</v>
      </c>
      <c r="W3865" s="86" t="str">
        <f>_xlfn.CONCAT(表格1[[#This Row],[欄4]],表格1[[#This Row],[inv no]])</f>
        <v>509</v>
      </c>
    </row>
    <row r="3866" spans="1:23" hidden="1">
      <c r="A3866" s="81">
        <v>3864</v>
      </c>
      <c r="B3866" s="86" t="s">
        <v>1403</v>
      </c>
      <c r="C3866" s="86" t="s">
        <v>1973</v>
      </c>
      <c r="D3866" s="89" t="str">
        <f ca="1">OFFSET(Roster!$A$3,MATCH(表格1[[#This Row],[Location]]&amp;" "&amp;表格1[[#This Row],[Shop]]&amp;"*",Roster!$A$4:$A$72,0),DAY(表格1[[#This Row],[date]]),1,1)</f>
        <v>Happy</v>
      </c>
      <c r="E3866" s="86">
        <f>MONTH(表格1[[#This Row],[date]])</f>
        <v>3</v>
      </c>
      <c r="F3866" s="90">
        <v>46100</v>
      </c>
      <c r="G3866" s="86" t="str">
        <f>VLOOKUP("*"&amp;表格1[[#This Row],[Input]]&amp;"*",'Ref-List'!$B:$D,2,)</f>
        <v>TWD-T22BU95UWH(WK)-B</v>
      </c>
      <c r="H3866" s="86" t="str">
        <f>_xlfn.XLOOKUP(表格1[[#This Row],[Model]],表格3[Model-Input-Ref2],表格3[Product Line])</f>
        <v>470MM超薄身前置式變頻洗衣乾衣機 (洗8.5公斤/乾6公斤, 可飛頂)</v>
      </c>
      <c r="I3866" s="86" t="str">
        <f>_xlfn.XLOOKUP(表格1[[#This Row],[Model]],表格3[Model-Input-Ref2],表格3[大小電])</f>
        <v>大電</v>
      </c>
      <c r="J3866" s="86" t="str">
        <f>_xlfn.XLOOKUP(表格1[[#This Row],[Model]],表格3[Model-Input-Ref2],表格3[Code])</f>
        <v>LAD</v>
      </c>
      <c r="K3866" s="89" t="s">
        <v>1421</v>
      </c>
      <c r="L3866" s="86">
        <v>1</v>
      </c>
      <c r="M3866" s="87">
        <v>4780</v>
      </c>
      <c r="N3866" s="87">
        <f>IFERROR(表格1[[#This Row],[QTY]]*表格1[[#This Row],[Unit Price]],"-")</f>
        <v>4780</v>
      </c>
      <c r="O3866" s="86">
        <v>239134</v>
      </c>
      <c r="R3866" s="86" t="str">
        <f>_xlfn.CONCAT(表格1[[#This Row],[Model]]," ",表格1[[#This Row],[inv no]])</f>
        <v>TWD-T22BU95UWH(WK)-B 239134</v>
      </c>
      <c r="S3866" s="86">
        <f>_xlfn.XLOOKUP(表格1[[#This Row],[Model]],表格3[Model-Input-Ref2],表格3[SRP PRICE])</f>
        <v>7480</v>
      </c>
      <c r="T3866" s="43">
        <f>表格1[[#This Row],[Unit Price]]/表格1[[#This Row],[SRP]]</f>
        <v>0.63903743315508021</v>
      </c>
      <c r="U3866" s="86" t="str">
        <f>_xlfn.XLOOKUP(表格1[[#This Row],[Model]],表格3[Model-Input-Ref2],表格3[TOSHIBA/HIGHEST])</f>
        <v>Toshiba SRP</v>
      </c>
      <c r="W3866" s="86" t="str">
        <f>_xlfn.CONCAT(表格1[[#This Row],[欄4]],表格1[[#This Row],[inv no]])</f>
        <v>239134</v>
      </c>
    </row>
    <row r="3867" spans="1:23" hidden="1">
      <c r="A3867" s="81">
        <v>3865</v>
      </c>
      <c r="B3867" s="86" t="s">
        <v>1403</v>
      </c>
      <c r="C3867" s="86" t="s">
        <v>1973</v>
      </c>
      <c r="D3867" s="89" t="str">
        <f ca="1">OFFSET(Roster!$A$3,MATCH(表格1[[#This Row],[Location]]&amp;" "&amp;表格1[[#This Row],[Shop]]&amp;"*",Roster!$A$4:$A$72,0),DAY(表格1[[#This Row],[date]]),1,1)</f>
        <v>Happy</v>
      </c>
      <c r="E3867" s="86">
        <f>MONTH(表格1[[#This Row],[date]])</f>
        <v>3</v>
      </c>
      <c r="F3867" s="90">
        <v>46100</v>
      </c>
      <c r="G3867" s="86" t="str">
        <f>VLOOKUP("*"&amp;表格1[[#This Row],[Input]]&amp;"*",'Ref-List'!$B:$D,2,)</f>
        <v>MX2-STR25SC(WH)</v>
      </c>
      <c r="H3867" s="86" t="str">
        <f>_xlfn.XLOOKUP(表格1[[#This Row],[Model]],表格3[Model-Input-Ref2],表格3[Product Line])</f>
        <v>4合1氣炸微波蒸焗爐(25公升)</v>
      </c>
      <c r="I3867" s="86" t="str">
        <f>_xlfn.XLOOKUP(表格1[[#This Row],[Model]],表格3[Model-Input-Ref2],表格3[大小電])</f>
        <v>細電</v>
      </c>
      <c r="J3867" s="86" t="str">
        <f>_xlfn.XLOOKUP(表格1[[#This Row],[Model]],表格3[Model-Input-Ref2],表格3[Code])</f>
        <v>MCA</v>
      </c>
      <c r="K3867" s="89" t="s">
        <v>1410</v>
      </c>
      <c r="L3867" s="86">
        <v>1</v>
      </c>
      <c r="M3867" s="87">
        <v>3180</v>
      </c>
      <c r="N3867" s="87">
        <f>IFERROR(表格1[[#This Row],[QTY]]*表格1[[#This Row],[Unit Price]],"-")</f>
        <v>3180</v>
      </c>
      <c r="O3867" s="86">
        <v>239137</v>
      </c>
      <c r="R3867" s="86" t="str">
        <f>_xlfn.CONCAT(表格1[[#This Row],[Model]]," ",表格1[[#This Row],[inv no]])</f>
        <v>MX2-STR25SC(WH) 239137</v>
      </c>
      <c r="S3867" s="86">
        <f>_xlfn.XLOOKUP(表格1[[#This Row],[Model]],表格3[Model-Input-Ref2],表格3[SRP PRICE])</f>
        <v>4998</v>
      </c>
      <c r="T3867" s="43">
        <f>表格1[[#This Row],[Unit Price]]/表格1[[#This Row],[SRP]]</f>
        <v>0.6362545018007203</v>
      </c>
      <c r="U3867" s="86" t="str">
        <f>_xlfn.XLOOKUP(表格1[[#This Row],[Model]],表格3[Model-Input-Ref2],表格3[TOSHIBA/HIGHEST])</f>
        <v>Toshiba SRP</v>
      </c>
      <c r="W3867" s="86" t="str">
        <f>_xlfn.CONCAT(表格1[[#This Row],[欄4]],表格1[[#This Row],[inv no]])</f>
        <v>239137</v>
      </c>
    </row>
    <row r="3868" spans="1:23" hidden="1">
      <c r="A3868" s="81">
        <v>3866</v>
      </c>
      <c r="B3868" s="86" t="s">
        <v>1403</v>
      </c>
      <c r="C3868" s="86" t="s">
        <v>1973</v>
      </c>
      <c r="D3868" s="89" t="str">
        <f ca="1">OFFSET(Roster!$A$3,MATCH(表格1[[#This Row],[Location]]&amp;" "&amp;表格1[[#This Row],[Shop]]&amp;"*",Roster!$A$4:$A$72,0),DAY(表格1[[#This Row],[date]]),1,1)</f>
        <v>Happy</v>
      </c>
      <c r="E3868" s="86">
        <f>MONTH(表格1[[#This Row],[date]])</f>
        <v>3</v>
      </c>
      <c r="F3868" s="90">
        <v>46100</v>
      </c>
      <c r="G3868" s="86" t="str">
        <f>VLOOKUP("*"&amp;表格1[[#This Row],[Input]]&amp;"*",'Ref-List'!$B:$D,2,)</f>
        <v>RC-18NMFIH(WT)</v>
      </c>
      <c r="H3868" s="86" t="str">
        <f>_xlfn.XLOOKUP(表格1[[#This Row],[Model]],表格3[Model-Input-Ref2],表格3[Product Line])</f>
        <v>4毫米厚釜電飯煲1.8L</v>
      </c>
      <c r="I3868" s="86" t="str">
        <f>_xlfn.XLOOKUP(表格1[[#This Row],[Model]],表格3[Model-Input-Ref2],表格3[大小電])</f>
        <v>細電</v>
      </c>
      <c r="J3868" s="86" t="str">
        <f>_xlfn.XLOOKUP(表格1[[#This Row],[Model]],表格3[Model-Input-Ref2],表格3[Code])</f>
        <v>SDA</v>
      </c>
      <c r="K3868" s="89" t="s">
        <v>1267</v>
      </c>
      <c r="L3868" s="86">
        <v>1</v>
      </c>
      <c r="M3868" s="87">
        <v>798</v>
      </c>
      <c r="N3868" s="87">
        <f>IFERROR(表格1[[#This Row],[QTY]]*表格1[[#This Row],[Unit Price]],"-")</f>
        <v>798</v>
      </c>
      <c r="O3868" s="86">
        <v>1266</v>
      </c>
      <c r="R3868" s="86" t="str">
        <f>_xlfn.CONCAT(表格1[[#This Row],[Model]]," ",表格1[[#This Row],[inv no]])</f>
        <v>RC-18NMFIH(WT) 1266</v>
      </c>
      <c r="S3868" s="86">
        <f>_xlfn.XLOOKUP(表格1[[#This Row],[Model]],表格3[Model-Input-Ref2],表格3[SRP PRICE])</f>
        <v>998</v>
      </c>
      <c r="T3868" s="43">
        <f>表格1[[#This Row],[Unit Price]]/表格1[[#This Row],[SRP]]</f>
        <v>0.79959919839679361</v>
      </c>
      <c r="U3868" s="86" t="str">
        <f>_xlfn.XLOOKUP(表格1[[#This Row],[Model]],表格3[Model-Input-Ref2],表格3[TOSHIBA/HIGHEST])</f>
        <v>Toshiba SRP</v>
      </c>
      <c r="W3868" s="86" t="str">
        <f>_xlfn.CONCAT(表格1[[#This Row],[欄4]],表格1[[#This Row],[inv no]])</f>
        <v>1266</v>
      </c>
    </row>
    <row r="3869" spans="1:23" hidden="1">
      <c r="A3869" s="81">
        <v>3867</v>
      </c>
      <c r="B3869" s="86" t="s">
        <v>1403</v>
      </c>
      <c r="C3869" s="86" t="s">
        <v>1973</v>
      </c>
      <c r="D3869" s="89" t="str">
        <f ca="1">OFFSET(Roster!$A$3,MATCH(表格1[[#This Row],[Location]]&amp;" "&amp;表格1[[#This Row],[Shop]]&amp;"*",Roster!$A$4:$A$72,0),DAY(表格1[[#This Row],[date]]),1,1)</f>
        <v>Happy</v>
      </c>
      <c r="E3869" s="86">
        <f>MONTH(表格1[[#This Row],[date]])</f>
        <v>3</v>
      </c>
      <c r="F3869" s="90">
        <v>46100</v>
      </c>
      <c r="G3869" s="86" t="str">
        <f>VLOOKUP("*"&amp;表格1[[#This Row],[Input]]&amp;"*",'Ref-List'!$B:$D,2,)</f>
        <v>RC-DZ4K(N)</v>
      </c>
      <c r="H3869" s="86" t="str">
        <f>_xlfn.XLOOKUP(表格1[[#This Row],[Model]],表格3[Model-Input-Ref2],表格3[Product Line])</f>
        <v>IH磁應電飯煲</v>
      </c>
      <c r="I3869" s="86" t="str">
        <f>_xlfn.XLOOKUP(表格1[[#This Row],[Model]],表格3[Model-Input-Ref2],表格3[大小電])</f>
        <v>細電</v>
      </c>
      <c r="J3869" s="86" t="str">
        <f>_xlfn.XLOOKUP(表格1[[#This Row],[Model]],表格3[Model-Input-Ref2],表格3[Code])</f>
        <v>SDA</v>
      </c>
      <c r="K3869" s="89" t="s">
        <v>1561</v>
      </c>
      <c r="L3869" s="86">
        <v>1</v>
      </c>
      <c r="M3869" s="87">
        <v>2980</v>
      </c>
      <c r="N3869" s="87">
        <f>IFERROR(表格1[[#This Row],[QTY]]*表格1[[#This Row],[Unit Price]],"-")</f>
        <v>2980</v>
      </c>
      <c r="O3869" s="86">
        <v>239111</v>
      </c>
      <c r="R3869" s="86" t="str">
        <f>_xlfn.CONCAT(表格1[[#This Row],[Model]]," ",表格1[[#This Row],[inv no]])</f>
        <v>RC-DZ4K(N) 239111</v>
      </c>
      <c r="S3869" s="86">
        <f>_xlfn.XLOOKUP(表格1[[#This Row],[Model]],表格3[Model-Input-Ref2],表格3[SRP PRICE])</f>
        <v>3888</v>
      </c>
      <c r="T3869" s="43">
        <f>表格1[[#This Row],[Unit Price]]/表格1[[#This Row],[SRP]]</f>
        <v>0.76646090534979427</v>
      </c>
      <c r="U3869" s="86" t="str">
        <f>_xlfn.XLOOKUP(表格1[[#This Row],[Model]],表格3[Model-Input-Ref2],表格3[TOSHIBA/HIGHEST])</f>
        <v>Shops Highest Price</v>
      </c>
      <c r="W3869" s="86" t="str">
        <f>_xlfn.CONCAT(表格1[[#This Row],[欄4]],表格1[[#This Row],[inv no]])</f>
        <v>239111</v>
      </c>
    </row>
    <row r="3870" spans="1:23" hidden="1">
      <c r="A3870" s="81">
        <v>3868</v>
      </c>
      <c r="B3870" s="86" t="s">
        <v>1403</v>
      </c>
      <c r="C3870" s="86" t="s">
        <v>1973</v>
      </c>
      <c r="D3870" s="89" t="str">
        <f ca="1">OFFSET(Roster!$A$3,MATCH(表格1[[#This Row],[Location]]&amp;" "&amp;表格1[[#This Row],[Shop]]&amp;"*",Roster!$A$4:$A$72,0),DAY(表格1[[#This Row],[date]]),1,1)</f>
        <v>Happy</v>
      </c>
      <c r="E3870" s="86">
        <f>MONTH(表格1[[#This Row],[date]])</f>
        <v>3</v>
      </c>
      <c r="F3870" s="90">
        <v>46101</v>
      </c>
      <c r="G3870" s="86" t="str">
        <f>VLOOKUP("*"&amp;表格1[[#This Row],[Input]]&amp;"*",'Ref-List'!$B:$D,2,)</f>
        <v>MM-2MM20PC(WH)</v>
      </c>
      <c r="H3870" s="86" t="str">
        <f>_xlfn.XLOOKUP(表格1[[#This Row],[Model]],表格3[Model-Input-Ref2],表格3[Product Line])</f>
        <v>旋鈕式微波爐 (20公升)</v>
      </c>
      <c r="I3870" s="86" t="str">
        <f>_xlfn.XLOOKUP(表格1[[#This Row],[Model]],表格3[Model-Input-Ref2],表格3[大小電])</f>
        <v>細電</v>
      </c>
      <c r="J3870" s="86" t="str">
        <f>_xlfn.XLOOKUP(表格1[[#This Row],[Model]],表格3[Model-Input-Ref2],表格3[Code])</f>
        <v>MCA</v>
      </c>
      <c r="K3870" s="89" t="s">
        <v>1388</v>
      </c>
      <c r="L3870" s="86">
        <v>1</v>
      </c>
      <c r="M3870" s="87">
        <v>598</v>
      </c>
      <c r="N3870" s="87">
        <f>IFERROR(表格1[[#This Row],[QTY]]*表格1[[#This Row],[Unit Price]],"-")</f>
        <v>598</v>
      </c>
      <c r="O3870" s="86">
        <v>1277</v>
      </c>
      <c r="R3870" s="86" t="str">
        <f>_xlfn.CONCAT(表格1[[#This Row],[Model]]," ",表格1[[#This Row],[inv no]])</f>
        <v>MM-2MM20PC(WH) 1277</v>
      </c>
      <c r="S3870" s="86">
        <f>_xlfn.XLOOKUP(表格1[[#This Row],[Model]],表格3[Model-Input-Ref2],表格3[SRP PRICE])</f>
        <v>738</v>
      </c>
      <c r="T3870" s="43">
        <f>表格1[[#This Row],[Unit Price]]/表格1[[#This Row],[SRP]]</f>
        <v>0.81029810298102978</v>
      </c>
      <c r="U3870" s="86" t="str">
        <f>_xlfn.XLOOKUP(表格1[[#This Row],[Model]],表格3[Model-Input-Ref2],表格3[TOSHIBA/HIGHEST])</f>
        <v>Toshiba SRP</v>
      </c>
      <c r="W3870" s="86" t="str">
        <f>_xlfn.CONCAT(表格1[[#This Row],[欄4]],表格1[[#This Row],[inv no]])</f>
        <v>1277</v>
      </c>
    </row>
    <row r="3871" spans="1:23" hidden="1">
      <c r="A3871" s="81">
        <v>3869</v>
      </c>
      <c r="B3871" s="86" t="s">
        <v>1403</v>
      </c>
      <c r="C3871" s="86" t="s">
        <v>1973</v>
      </c>
      <c r="D3871" s="89" t="str">
        <f ca="1">OFFSET(Roster!$A$3,MATCH(表格1[[#This Row],[Location]]&amp;" "&amp;表格1[[#This Row],[Shop]]&amp;"*",Roster!$A$4:$A$72,0),DAY(表格1[[#This Row],[date]]),1,1)</f>
        <v>Happy</v>
      </c>
      <c r="E3871" s="86">
        <f>MONTH(表格1[[#This Row],[date]])</f>
        <v>3</v>
      </c>
      <c r="F3871" s="90">
        <v>46101</v>
      </c>
      <c r="G3871" s="86" t="str">
        <f>VLOOKUP("*"&amp;表格1[[#This Row],[Input]]&amp;"*",'Ref-List'!$B:$D,2,)</f>
        <v>CFK01W75</v>
      </c>
      <c r="H3871" s="86" t="str">
        <f>_xlfn.XLOOKUP(表格1[[#This Row],[Model]],表格3[Model-Input-Ref2],表格3[Product Line])</f>
        <v>變頻頂揭式洗衣機 (7.5公斤)</v>
      </c>
      <c r="I3871" s="86" t="str">
        <f>_xlfn.XLOOKUP(表格1[[#This Row],[Model]],表格3[Model-Input-Ref2],表格3[大小電])</f>
        <v>大電</v>
      </c>
      <c r="J3871" s="86" t="str">
        <f>_xlfn.XLOOKUP(表格1[[#This Row],[Model]],表格3[Model-Input-Ref2],表格3[Code])</f>
        <v>LAD</v>
      </c>
      <c r="K3871" s="89" t="s">
        <v>1266</v>
      </c>
      <c r="L3871" s="86">
        <v>1</v>
      </c>
      <c r="M3871" s="87">
        <v>3580</v>
      </c>
      <c r="N3871" s="87">
        <f>IFERROR(表格1[[#This Row],[QTY]]*表格1[[#This Row],[Unit Price]],"-")</f>
        <v>3580</v>
      </c>
      <c r="O3871" s="86">
        <v>239164</v>
      </c>
      <c r="R3871" s="86" t="str">
        <f>_xlfn.CONCAT(表格1[[#This Row],[Model]]," ",表格1[[#This Row],[inv no]])</f>
        <v>CFK01W75 239164</v>
      </c>
      <c r="S3871" s="86">
        <f>_xlfn.XLOOKUP(表格1[[#This Row],[Model]],表格3[Model-Input-Ref2],表格3[SRP PRICE])</f>
        <v>3888</v>
      </c>
      <c r="T3871" s="43">
        <f>表格1[[#This Row],[Unit Price]]/表格1[[#This Row],[SRP]]</f>
        <v>0.92078189300411528</v>
      </c>
      <c r="U3871" s="86" t="str">
        <f>_xlfn.XLOOKUP(表格1[[#This Row],[Model]],表格3[Model-Input-Ref2],表格3[TOSHIBA/HIGHEST])</f>
        <v>Shops Highest Price</v>
      </c>
      <c r="W3871" s="86" t="str">
        <f>_xlfn.CONCAT(表格1[[#This Row],[欄4]],表格1[[#This Row],[inv no]])</f>
        <v>239164</v>
      </c>
    </row>
    <row r="3872" spans="1:23" hidden="1">
      <c r="A3872" s="81">
        <v>3870</v>
      </c>
      <c r="B3872" s="86" t="s">
        <v>1403</v>
      </c>
      <c r="C3872" s="86" t="s">
        <v>1973</v>
      </c>
      <c r="D3872" s="89" t="str">
        <f ca="1">OFFSET(Roster!$A$3,MATCH(表格1[[#This Row],[Location]]&amp;" "&amp;表格1[[#This Row],[Shop]]&amp;"*",Roster!$A$4:$A$72,0),DAY(表格1[[#This Row],[date]]),1,1)</f>
        <v>Happy</v>
      </c>
      <c r="E3872" s="86">
        <f>MONTH(表格1[[#This Row],[date]])</f>
        <v>3</v>
      </c>
      <c r="F3872" s="90">
        <v>46102</v>
      </c>
      <c r="G3872" s="86" t="str">
        <f>VLOOKUP("*"&amp;表格1[[#This Row],[Input]]&amp;"*",'Ref-List'!$B:$D,2,)</f>
        <v>RAD-D250H</v>
      </c>
      <c r="H3872" s="86" t="str">
        <f>_xlfn.XLOOKUP(表格1[[#This Row],[Model]],表格3[Model-Input-Ref2],表格3[Product Line])</f>
        <v>壓縮式抽濕機 (25公升)</v>
      </c>
      <c r="I3872" s="86" t="str">
        <f>_xlfn.XLOOKUP(表格1[[#This Row],[Model]],表格3[Model-Input-Ref2],表格3[大小電])</f>
        <v>細電</v>
      </c>
      <c r="J3872" s="86" t="str">
        <f>_xlfn.XLOOKUP(表格1[[#This Row],[Model]],表格3[Model-Input-Ref2],表格3[Code])</f>
        <v>RAC</v>
      </c>
      <c r="K3872" s="89" t="s">
        <v>1407</v>
      </c>
      <c r="L3872" s="86">
        <v>1</v>
      </c>
      <c r="M3872" s="87">
        <v>2080</v>
      </c>
      <c r="N3872" s="87">
        <f>IFERROR(表格1[[#This Row],[QTY]]*表格1[[#This Row],[Unit Price]],"-")</f>
        <v>2080</v>
      </c>
      <c r="O3872" s="86">
        <v>239172</v>
      </c>
      <c r="R3872" s="86" t="str">
        <f>_xlfn.CONCAT(表格1[[#This Row],[Model]]," ",表格1[[#This Row],[inv no]])</f>
        <v>RAD-D250H 239172</v>
      </c>
      <c r="S3872" s="86">
        <f>_xlfn.XLOOKUP(表格1[[#This Row],[Model]],表格3[Model-Input-Ref2],表格3[SRP PRICE])</f>
        <v>3380</v>
      </c>
      <c r="T3872" s="43">
        <f>表格1[[#This Row],[Unit Price]]/表格1[[#This Row],[SRP]]</f>
        <v>0.61538461538461542</v>
      </c>
      <c r="U3872" s="86" t="str">
        <f>_xlfn.XLOOKUP(表格1[[#This Row],[Model]],表格3[Model-Input-Ref2],表格3[TOSHIBA/HIGHEST])</f>
        <v>Shops Highest Price</v>
      </c>
      <c r="W3872" s="86" t="str">
        <f>_xlfn.CONCAT(表格1[[#This Row],[欄4]],表格1[[#This Row],[inv no]])</f>
        <v>239172</v>
      </c>
    </row>
    <row r="3873" spans="1:23" hidden="1">
      <c r="A3873" s="81">
        <v>3871</v>
      </c>
      <c r="B3873" s="86" t="s">
        <v>1403</v>
      </c>
      <c r="C3873" s="86" t="s">
        <v>1973</v>
      </c>
      <c r="D3873" s="89" t="str">
        <f ca="1">OFFSET(Roster!$A$3,MATCH(表格1[[#This Row],[Location]]&amp;" "&amp;表格1[[#This Row],[Shop]]&amp;"*",Roster!$A$4:$A$72,0),DAY(表格1[[#This Row],[date]]),1,1)</f>
        <v>Happy</v>
      </c>
      <c r="E3873" s="86">
        <f>MONTH(表格1[[#This Row],[date]])</f>
        <v>3</v>
      </c>
      <c r="F3873" s="90">
        <v>46102</v>
      </c>
      <c r="G3873" s="86" t="str">
        <f>VLOOKUP("*"&amp;表格1[[#This Row],[Input]]&amp;"*",'Ref-List'!$B:$D,2,)</f>
        <v>GR-RB221WE-PMA(57)</v>
      </c>
      <c r="H3873" s="86" t="str">
        <f>_xlfn.XLOOKUP(表格1[[#This Row],[Model]],表格3[Model-Input-Ref2],表格3[Product Line])</f>
        <v>變頻下置式雙門雪櫃（163L）</v>
      </c>
      <c r="I3873" s="86" t="str">
        <f>_xlfn.XLOOKUP(表格1[[#This Row],[Model]],表格3[Model-Input-Ref2],表格3[大小電])</f>
        <v>大電</v>
      </c>
      <c r="J3873" s="86" t="str">
        <f>_xlfn.XLOOKUP(表格1[[#This Row],[Model]],表格3[Model-Input-Ref2],表格3[Code])</f>
        <v>REF</v>
      </c>
      <c r="K3873" s="89" t="s">
        <v>1386</v>
      </c>
      <c r="L3873" s="86">
        <v>1</v>
      </c>
      <c r="M3873" s="87">
        <v>1880</v>
      </c>
      <c r="N3873" s="87">
        <f>IFERROR(表格1[[#This Row],[QTY]]*表格1[[#This Row],[Unit Price]],"-")</f>
        <v>1880</v>
      </c>
      <c r="O3873" s="86">
        <v>239178</v>
      </c>
      <c r="R3873" s="86" t="str">
        <f>_xlfn.CONCAT(表格1[[#This Row],[Model]]," ",表格1[[#This Row],[inv no]])</f>
        <v>GR-RB221WE-PMA(57) 239178</v>
      </c>
      <c r="S3873" s="86">
        <f>_xlfn.XLOOKUP(表格1[[#This Row],[Model]],表格3[Model-Input-Ref2],表格3[SRP PRICE])</f>
        <v>3480</v>
      </c>
      <c r="T3873" s="43">
        <f>表格1[[#This Row],[Unit Price]]/表格1[[#This Row],[SRP]]</f>
        <v>0.54022988505747127</v>
      </c>
      <c r="U3873" s="86" t="str">
        <f>_xlfn.XLOOKUP(表格1[[#This Row],[Model]],表格3[Model-Input-Ref2],表格3[TOSHIBA/HIGHEST])</f>
        <v>Toshiba SRP</v>
      </c>
      <c r="W3873" s="86" t="str">
        <f>_xlfn.CONCAT(表格1[[#This Row],[欄4]],表格1[[#This Row],[inv no]])</f>
        <v>239178</v>
      </c>
    </row>
    <row r="3874" spans="1:23" hidden="1">
      <c r="A3874" s="81">
        <v>3872</v>
      </c>
      <c r="B3874" s="86" t="s">
        <v>1403</v>
      </c>
      <c r="C3874" s="86" t="s">
        <v>1973</v>
      </c>
      <c r="D3874" s="89" t="str">
        <f ca="1">OFFSET(Roster!$A$3,MATCH(表格1[[#This Row],[Location]]&amp;" "&amp;表格1[[#This Row],[Shop]]&amp;"*",Roster!$A$4:$A$72,0),DAY(表格1[[#This Row],[date]]),1,1)</f>
        <v>Happy</v>
      </c>
      <c r="E3874" s="86">
        <f>MONTH(表格1[[#This Row],[date]])</f>
        <v>3</v>
      </c>
      <c r="F3874" s="90">
        <v>46102</v>
      </c>
      <c r="G3874" s="86" t="str">
        <f>VLOOKUP("*"&amp;表格1[[#This Row],[Input]]&amp;"*",'Ref-List'!$B:$D,2,)</f>
        <v>GR-RB410WE-PMA(06)</v>
      </c>
      <c r="H3874" s="86" t="str">
        <f>_xlfn.XLOOKUP(表格1[[#This Row],[Model]],表格3[Model-Input-Ref2],表格3[Product Line])</f>
        <v>雙門雪櫃</v>
      </c>
      <c r="I3874" s="86" t="str">
        <f>_xlfn.XLOOKUP(表格1[[#This Row],[Model]],表格3[Model-Input-Ref2],表格3[大小電])</f>
        <v>大電</v>
      </c>
      <c r="J3874" s="86" t="str">
        <f>_xlfn.XLOOKUP(表格1[[#This Row],[Model]],表格3[Model-Input-Ref2],表格3[Code])</f>
        <v>REF</v>
      </c>
      <c r="K3874" s="89" t="s">
        <v>1775</v>
      </c>
      <c r="L3874" s="86">
        <v>1</v>
      </c>
      <c r="M3874" s="87">
        <v>3780</v>
      </c>
      <c r="N3874" s="87">
        <f>IFERROR(表格1[[#This Row],[QTY]]*表格1[[#This Row],[Unit Price]],"-")</f>
        <v>3780</v>
      </c>
      <c r="O3874" s="86">
        <v>239175</v>
      </c>
      <c r="R3874" s="86" t="str">
        <f>_xlfn.CONCAT(表格1[[#This Row],[Model]]," ",表格1[[#This Row],[inv no]])</f>
        <v>GR-RB410WE-PMA(06) 239175</v>
      </c>
      <c r="S3874" s="86">
        <f>_xlfn.XLOOKUP(表格1[[#This Row],[Model]],表格3[Model-Input-Ref2],表格3[SRP PRICE])</f>
        <v>4000</v>
      </c>
      <c r="T3874" s="43">
        <f>表格1[[#This Row],[Unit Price]]/表格1[[#This Row],[SRP]]</f>
        <v>0.94499999999999995</v>
      </c>
      <c r="U3874" s="86" t="str">
        <f>_xlfn.XLOOKUP(表格1[[#This Row],[Model]],表格3[Model-Input-Ref2],表格3[TOSHIBA/HIGHEST])</f>
        <v>Shops Highest Price</v>
      </c>
      <c r="W3874" s="86" t="str">
        <f>_xlfn.CONCAT(表格1[[#This Row],[欄4]],表格1[[#This Row],[inv no]])</f>
        <v>239175</v>
      </c>
    </row>
    <row r="3875" spans="1:23" hidden="1">
      <c r="A3875" s="81">
        <v>3873</v>
      </c>
      <c r="B3875" s="86" t="s">
        <v>1403</v>
      </c>
      <c r="C3875" s="86" t="s">
        <v>1973</v>
      </c>
      <c r="D3875" s="89" t="str">
        <f ca="1">OFFSET(Roster!$A$3,MATCH(表格1[[#This Row],[Location]]&amp;" "&amp;表格1[[#This Row],[Shop]]&amp;"*",Roster!$A$4:$A$72,0),DAY(表格1[[#This Row],[date]]),1,1)</f>
        <v>Happy</v>
      </c>
      <c r="E3875" s="86">
        <f>MONTH(表格1[[#This Row],[date]])</f>
        <v>3</v>
      </c>
      <c r="F3875" s="90">
        <v>46102</v>
      </c>
      <c r="G3875" s="86" t="str">
        <f>VLOOKUP("*"&amp;表格1[[#This Row],[Input]]&amp;"*",'Ref-List'!$B:$D,2,)</f>
        <v>MM2-EG20PC(WH)</v>
      </c>
      <c r="H3875" s="86" t="str">
        <f>_xlfn.XLOOKUP(表格1[[#This Row],[Model]],表格3[Model-Input-Ref2],表格3[Product Line])</f>
        <v>輕觸式燒烤微波爐</v>
      </c>
      <c r="I3875" s="86" t="str">
        <f>_xlfn.XLOOKUP(表格1[[#This Row],[Model]],表格3[Model-Input-Ref2],表格3[大小電])</f>
        <v>細電</v>
      </c>
      <c r="J3875" s="86" t="str">
        <f>_xlfn.XLOOKUP(表格1[[#This Row],[Model]],表格3[Model-Input-Ref2],表格3[Code])</f>
        <v>MCA</v>
      </c>
      <c r="K3875" s="89" t="s">
        <v>1273</v>
      </c>
      <c r="L3875" s="86">
        <v>1</v>
      </c>
      <c r="M3875" s="87">
        <v>698</v>
      </c>
      <c r="N3875" s="87">
        <f>IFERROR(表格1[[#This Row],[QTY]]*表格1[[#This Row],[Unit Price]],"-")</f>
        <v>698</v>
      </c>
      <c r="O3875" s="86">
        <v>239211</v>
      </c>
      <c r="R3875" s="86" t="str">
        <f>_xlfn.CONCAT(表格1[[#This Row],[Model]]," ",表格1[[#This Row],[inv no]])</f>
        <v>MM2-EG20PC(WH) 239211</v>
      </c>
      <c r="S3875" s="86">
        <f>_xlfn.XLOOKUP(表格1[[#This Row],[Model]],表格3[Model-Input-Ref2],表格3[SRP PRICE])</f>
        <v>918</v>
      </c>
      <c r="T3875" s="43">
        <f>表格1[[#This Row],[Unit Price]]/表格1[[#This Row],[SRP]]</f>
        <v>0.76034858387799564</v>
      </c>
      <c r="U3875" s="86" t="str">
        <f>_xlfn.XLOOKUP(表格1[[#This Row],[Model]],表格3[Model-Input-Ref2],表格3[TOSHIBA/HIGHEST])</f>
        <v>Shops Highest Price</v>
      </c>
      <c r="W3875" s="86" t="str">
        <f>_xlfn.CONCAT(表格1[[#This Row],[欄4]],表格1[[#This Row],[inv no]])</f>
        <v>239211</v>
      </c>
    </row>
    <row r="3876" spans="1:23" hidden="1">
      <c r="A3876" s="81">
        <v>3874</v>
      </c>
      <c r="B3876" s="86" t="s">
        <v>1403</v>
      </c>
      <c r="C3876" s="86" t="s">
        <v>1973</v>
      </c>
      <c r="D3876" s="89" t="str">
        <f ca="1">OFFSET(Roster!$A$3,MATCH(表格1[[#This Row],[Location]]&amp;" "&amp;表格1[[#This Row],[Shop]]&amp;"*",Roster!$A$4:$A$72,0),DAY(表格1[[#This Row],[date]]),1,1)</f>
        <v>Happy</v>
      </c>
      <c r="E3876" s="86">
        <f>MONTH(表格1[[#This Row],[date]])</f>
        <v>3</v>
      </c>
      <c r="F3876" s="90">
        <v>46103</v>
      </c>
      <c r="G3876" s="86" t="str">
        <f>VLOOKUP("*"&amp;表格1[[#This Row],[Input]]&amp;"*",'Ref-List'!$B:$D,2,)</f>
        <v>TW-T22BU95UWH(WK)-B</v>
      </c>
      <c r="H3876" s="86" t="str">
        <f>_xlfn.XLOOKUP(表格1[[#This Row],[Model]],表格3[Model-Input-Ref2],表格3[Product Line])</f>
        <v>470MM超薄身前置式變頻洗衣機(8.5公斤, 可飛頂)</v>
      </c>
      <c r="I3876" s="86" t="str">
        <f>_xlfn.XLOOKUP(表格1[[#This Row],[Model]],表格3[Model-Input-Ref2],表格3[大小電])</f>
        <v>大電</v>
      </c>
      <c r="J3876" s="86" t="str">
        <f>_xlfn.XLOOKUP(表格1[[#This Row],[Model]],表格3[Model-Input-Ref2],表格3[Code])</f>
        <v>LAD</v>
      </c>
      <c r="K3876" s="89" t="s">
        <v>969</v>
      </c>
      <c r="L3876" s="86">
        <v>1</v>
      </c>
      <c r="M3876" s="87">
        <v>3680</v>
      </c>
      <c r="N3876" s="87">
        <f>IFERROR(表格1[[#This Row],[QTY]]*表格1[[#This Row],[Unit Price]],"-")</f>
        <v>3680</v>
      </c>
      <c r="O3876" s="86">
        <v>239225</v>
      </c>
      <c r="R3876" s="86" t="str">
        <f>_xlfn.CONCAT(表格1[[#This Row],[Model]]," ",表格1[[#This Row],[inv no]])</f>
        <v>TW-T22BU95UWH(WK)-B 239225</v>
      </c>
      <c r="S3876" s="86">
        <f>_xlfn.XLOOKUP(表格1[[#This Row],[Model]],表格3[Model-Input-Ref2],表格3[SRP PRICE])</f>
        <v>5880</v>
      </c>
      <c r="T3876" s="43">
        <f>表格1[[#This Row],[Unit Price]]/表格1[[#This Row],[SRP]]</f>
        <v>0.62585034013605445</v>
      </c>
      <c r="U3876" s="86" t="str">
        <f>_xlfn.XLOOKUP(表格1[[#This Row],[Model]],表格3[Model-Input-Ref2],表格3[TOSHIBA/HIGHEST])</f>
        <v>Toshiba SRP</v>
      </c>
      <c r="W3876" s="86" t="str">
        <f>_xlfn.CONCAT(表格1[[#This Row],[欄4]],表格1[[#This Row],[inv no]])</f>
        <v>239225</v>
      </c>
    </row>
    <row r="3877" spans="1:23" hidden="1">
      <c r="A3877" s="81">
        <v>3875</v>
      </c>
      <c r="B3877" s="86" t="s">
        <v>1403</v>
      </c>
      <c r="C3877" s="86" t="s">
        <v>1973</v>
      </c>
      <c r="D3877" s="89" t="str">
        <f ca="1">OFFSET(Roster!$A$3,MATCH(表格1[[#This Row],[Location]]&amp;" "&amp;表格1[[#This Row],[Shop]]&amp;"*",Roster!$A$4:$A$72,0),DAY(表格1[[#This Row],[date]]),1,1)</f>
        <v>Happy</v>
      </c>
      <c r="E3877" s="86">
        <f>MONTH(表格1[[#This Row],[date]])</f>
        <v>3</v>
      </c>
      <c r="F3877" s="90">
        <v>46103</v>
      </c>
      <c r="G3877" s="86" t="str">
        <f>VLOOKUP("*"&amp;表格1[[#This Row],[Input]]&amp;"*",'Ref-List'!$B:$D,2,)</f>
        <v>GR-RB360WE-PMA(06)</v>
      </c>
      <c r="H3877" s="86" t="str">
        <f>_xlfn.XLOOKUP(表格1[[#This Row],[Model]],表格3[Model-Input-Ref2],表格3[Product Line])</f>
        <v>變頻下置式雙門雪櫃系列270L</v>
      </c>
      <c r="I3877" s="86" t="str">
        <f>_xlfn.XLOOKUP(表格1[[#This Row],[Model]],表格3[Model-Input-Ref2],表格3[大小電])</f>
        <v>大電</v>
      </c>
      <c r="J3877" s="86" t="str">
        <f>_xlfn.XLOOKUP(表格1[[#This Row],[Model]],表格3[Model-Input-Ref2],表格3[Code])</f>
        <v>REF</v>
      </c>
      <c r="K3877" s="89" t="s">
        <v>1282</v>
      </c>
      <c r="L3877" s="86">
        <v>1</v>
      </c>
      <c r="M3877" s="87">
        <v>3680</v>
      </c>
      <c r="N3877" s="87">
        <f>IFERROR(表格1[[#This Row],[QTY]]*表格1[[#This Row],[Unit Price]],"-")</f>
        <v>3680</v>
      </c>
      <c r="O3877" s="86">
        <v>239227</v>
      </c>
      <c r="R3877" s="86" t="str">
        <f>_xlfn.CONCAT(表格1[[#This Row],[Model]]," ",表格1[[#This Row],[inv no]])</f>
        <v>GR-RB360WE-PMA(06) 239227</v>
      </c>
      <c r="S3877" s="86">
        <f>_xlfn.XLOOKUP(表格1[[#This Row],[Model]],表格3[Model-Input-Ref2],表格3[SRP PRICE])</f>
        <v>5080</v>
      </c>
      <c r="T3877" s="43">
        <f>表格1[[#This Row],[Unit Price]]/表格1[[#This Row],[SRP]]</f>
        <v>0.72440944881889768</v>
      </c>
      <c r="U3877" s="86" t="str">
        <f>_xlfn.XLOOKUP(表格1[[#This Row],[Model]],表格3[Model-Input-Ref2],表格3[TOSHIBA/HIGHEST])</f>
        <v>Toshiba SRP</v>
      </c>
      <c r="W3877" s="86" t="str">
        <f>_xlfn.CONCAT(表格1[[#This Row],[欄4]],表格1[[#This Row],[inv no]])</f>
        <v>239227</v>
      </c>
    </row>
    <row r="3878" spans="1:23" hidden="1">
      <c r="A3878" s="81">
        <v>3876</v>
      </c>
      <c r="B3878" s="86" t="s">
        <v>1403</v>
      </c>
      <c r="C3878" s="86" t="s">
        <v>1973</v>
      </c>
      <c r="D3878" s="89" t="str">
        <f ca="1">OFFSET(Roster!$A$3,MATCH(表格1[[#This Row],[Location]]&amp;" "&amp;表格1[[#This Row],[Shop]]&amp;"*",Roster!$A$4:$A$72,0),DAY(表格1[[#This Row],[date]]),1,1)</f>
        <v>Happy</v>
      </c>
      <c r="E3878" s="86">
        <f>MONTH(表格1[[#This Row],[date]])</f>
        <v>3</v>
      </c>
      <c r="F3878" s="90">
        <v>46103</v>
      </c>
      <c r="G3878" s="86" t="str">
        <f>VLOOKUP("*"&amp;表格1[[#This Row],[Input]]&amp;"*",'Ref-List'!$B:$D,2,)</f>
        <v>GR-RB360WE-PMA(06)</v>
      </c>
      <c r="H3878" s="86" t="str">
        <f>_xlfn.XLOOKUP(表格1[[#This Row],[Model]],表格3[Model-Input-Ref2],表格3[Product Line])</f>
        <v>變頻下置式雙門雪櫃系列270L</v>
      </c>
      <c r="I3878" s="86" t="str">
        <f>_xlfn.XLOOKUP(表格1[[#This Row],[Model]],表格3[Model-Input-Ref2],表格3[大小電])</f>
        <v>大電</v>
      </c>
      <c r="J3878" s="86" t="str">
        <f>_xlfn.XLOOKUP(表格1[[#This Row],[Model]],表格3[Model-Input-Ref2],表格3[Code])</f>
        <v>REF</v>
      </c>
      <c r="K3878" s="89" t="s">
        <v>1282</v>
      </c>
      <c r="L3878" s="86">
        <v>1</v>
      </c>
      <c r="M3878" s="87">
        <v>3680</v>
      </c>
      <c r="N3878" s="87">
        <f>IFERROR(表格1[[#This Row],[QTY]]*表格1[[#This Row],[Unit Price]],"-")</f>
        <v>3680</v>
      </c>
      <c r="O3878" s="86">
        <v>239230</v>
      </c>
      <c r="R3878" s="86" t="str">
        <f>_xlfn.CONCAT(表格1[[#This Row],[Model]]," ",表格1[[#This Row],[inv no]])</f>
        <v>GR-RB360WE-PMA(06) 239230</v>
      </c>
      <c r="S3878" s="86">
        <f>_xlfn.XLOOKUP(表格1[[#This Row],[Model]],表格3[Model-Input-Ref2],表格3[SRP PRICE])</f>
        <v>5080</v>
      </c>
      <c r="T3878" s="43">
        <f>表格1[[#This Row],[Unit Price]]/表格1[[#This Row],[SRP]]</f>
        <v>0.72440944881889768</v>
      </c>
      <c r="U3878" s="86" t="str">
        <f>_xlfn.XLOOKUP(表格1[[#This Row],[Model]],表格3[Model-Input-Ref2],表格3[TOSHIBA/HIGHEST])</f>
        <v>Toshiba SRP</v>
      </c>
      <c r="W3878" s="86" t="str">
        <f>_xlfn.CONCAT(表格1[[#This Row],[欄4]],表格1[[#This Row],[inv no]])</f>
        <v>239230</v>
      </c>
    </row>
    <row r="3879" spans="1:23" hidden="1">
      <c r="A3879" s="81">
        <v>3877</v>
      </c>
      <c r="B3879" s="86" t="s">
        <v>1403</v>
      </c>
      <c r="C3879" s="86" t="s">
        <v>1973</v>
      </c>
      <c r="D3879" s="89" t="str">
        <f ca="1">OFFSET(Roster!$A$3,MATCH(表格1[[#This Row],[Location]]&amp;" "&amp;表格1[[#This Row],[Shop]]&amp;"*",Roster!$A$4:$A$72,0),DAY(表格1[[#This Row],[date]]),1,1)</f>
        <v>Happy</v>
      </c>
      <c r="E3879" s="86">
        <f>MONTH(表格1[[#This Row],[date]])</f>
        <v>3</v>
      </c>
      <c r="F3879" s="90">
        <v>46103</v>
      </c>
      <c r="G3879" s="86" t="str">
        <f>VLOOKUP("*"&amp;表格1[[#This Row],[Input]]&amp;"*",'Ref-List'!$B:$D,2,)</f>
        <v>TWD-T22BU95UWH(WK)-B</v>
      </c>
      <c r="H3879" s="86" t="str">
        <f>_xlfn.XLOOKUP(表格1[[#This Row],[Model]],表格3[Model-Input-Ref2],表格3[Product Line])</f>
        <v>470MM超薄身前置式變頻洗衣乾衣機 (洗8.5公斤/乾6公斤, 可飛頂)</v>
      </c>
      <c r="I3879" s="86" t="str">
        <f>_xlfn.XLOOKUP(表格1[[#This Row],[Model]],表格3[Model-Input-Ref2],表格3[大小電])</f>
        <v>大電</v>
      </c>
      <c r="J3879" s="86" t="str">
        <f>_xlfn.XLOOKUP(表格1[[#This Row],[Model]],表格3[Model-Input-Ref2],表格3[Code])</f>
        <v>LAD</v>
      </c>
      <c r="K3879" s="89" t="s">
        <v>1421</v>
      </c>
      <c r="L3879" s="86">
        <v>1</v>
      </c>
      <c r="M3879" s="87">
        <v>4780</v>
      </c>
      <c r="N3879" s="87">
        <f>IFERROR(表格1[[#This Row],[QTY]]*表格1[[#This Row],[Unit Price]],"-")</f>
        <v>4780</v>
      </c>
      <c r="O3879" s="86">
        <v>239230</v>
      </c>
      <c r="R3879" s="86" t="str">
        <f>_xlfn.CONCAT(表格1[[#This Row],[Model]]," ",表格1[[#This Row],[inv no]])</f>
        <v>TWD-T22BU95UWH(WK)-B 239230</v>
      </c>
      <c r="S3879" s="86">
        <f>_xlfn.XLOOKUP(表格1[[#This Row],[Model]],表格3[Model-Input-Ref2],表格3[SRP PRICE])</f>
        <v>7480</v>
      </c>
      <c r="T3879" s="43">
        <f>表格1[[#This Row],[Unit Price]]/表格1[[#This Row],[SRP]]</f>
        <v>0.63903743315508021</v>
      </c>
      <c r="U3879" s="86" t="str">
        <f>_xlfn.XLOOKUP(表格1[[#This Row],[Model]],表格3[Model-Input-Ref2],表格3[TOSHIBA/HIGHEST])</f>
        <v>Toshiba SRP</v>
      </c>
      <c r="W3879" s="86" t="str">
        <f>_xlfn.CONCAT(表格1[[#This Row],[欄4]],表格1[[#This Row],[inv no]])</f>
        <v>239230</v>
      </c>
    </row>
    <row r="3880" spans="1:23" hidden="1">
      <c r="A3880" s="81">
        <v>3878</v>
      </c>
      <c r="B3880" s="86" t="s">
        <v>1403</v>
      </c>
      <c r="C3880" s="86" t="s">
        <v>1973</v>
      </c>
      <c r="D3880" s="89" t="str">
        <f ca="1">OFFSET(Roster!$A$3,MATCH(表格1[[#This Row],[Location]]&amp;" "&amp;表格1[[#This Row],[Shop]]&amp;"*",Roster!$A$4:$A$72,0),DAY(表格1[[#This Row],[date]]),1,1)</f>
        <v>Happy</v>
      </c>
      <c r="E3880" s="86">
        <f>MONTH(表格1[[#This Row],[date]])</f>
        <v>3</v>
      </c>
      <c r="F3880" s="90">
        <v>46103</v>
      </c>
      <c r="G3880" s="86" t="str">
        <f>VLOOKUP("*"&amp;表格1[[#This Row],[Input]]&amp;"*",'Ref-List'!$B:$D,2,)</f>
        <v>MM2-EM20PC(WH)</v>
      </c>
      <c r="H3880" s="86" t="str">
        <f>_xlfn.XLOOKUP(表格1[[#This Row],[Model]],表格3[Model-Input-Ref2],表格3[Product Line])</f>
        <v>輕觸式微波爐 (20公升)</v>
      </c>
      <c r="I3880" s="86" t="str">
        <f>_xlfn.XLOOKUP(表格1[[#This Row],[Model]],表格3[Model-Input-Ref2],表格3[大小電])</f>
        <v>細電</v>
      </c>
      <c r="J3880" s="86" t="str">
        <f>_xlfn.XLOOKUP(表格1[[#This Row],[Model]],表格3[Model-Input-Ref2],表格3[Code])</f>
        <v>MCA</v>
      </c>
      <c r="K3880" s="89" t="s">
        <v>1276</v>
      </c>
      <c r="L3880" s="86">
        <v>1</v>
      </c>
      <c r="M3880" s="87">
        <v>598</v>
      </c>
      <c r="N3880" s="87">
        <f>IFERROR(表格1[[#This Row],[QTY]]*表格1[[#This Row],[Unit Price]],"-")</f>
        <v>598</v>
      </c>
      <c r="O3880" s="86">
        <v>239230</v>
      </c>
      <c r="R3880" s="86" t="str">
        <f>_xlfn.CONCAT(表格1[[#This Row],[Model]]," ",表格1[[#This Row],[inv no]])</f>
        <v>MM2-EM20PC(WH) 239230</v>
      </c>
      <c r="S3880" s="86">
        <f>_xlfn.XLOOKUP(表格1[[#This Row],[Model]],表格3[Model-Input-Ref2],表格3[SRP PRICE])</f>
        <v>788</v>
      </c>
      <c r="T3880" s="43">
        <f>表格1[[#This Row],[Unit Price]]/表格1[[#This Row],[SRP]]</f>
        <v>0.75888324873096447</v>
      </c>
      <c r="U3880" s="86" t="str">
        <f>_xlfn.XLOOKUP(表格1[[#This Row],[Model]],表格3[Model-Input-Ref2],表格3[TOSHIBA/HIGHEST])</f>
        <v>Toshiba SRP</v>
      </c>
      <c r="W3880" s="86" t="str">
        <f>_xlfn.CONCAT(表格1[[#This Row],[欄4]],表格1[[#This Row],[inv no]])</f>
        <v>239230</v>
      </c>
    </row>
    <row r="3881" spans="1:23" hidden="1">
      <c r="A3881" s="81">
        <v>3879</v>
      </c>
      <c r="B3881" s="86" t="s">
        <v>1403</v>
      </c>
      <c r="C3881" s="86" t="s">
        <v>1973</v>
      </c>
      <c r="D3881" s="89" t="str">
        <f ca="1">OFFSET(Roster!$A$3,MATCH(表格1[[#This Row],[Location]]&amp;" "&amp;表格1[[#This Row],[Shop]]&amp;"*",Roster!$A$4:$A$72,0),DAY(表格1[[#This Row],[date]]),1,1)</f>
        <v>Happy</v>
      </c>
      <c r="E3881" s="86">
        <f>MONTH(表格1[[#This Row],[date]])</f>
        <v>3</v>
      </c>
      <c r="F3881" s="90">
        <v>46103</v>
      </c>
      <c r="G3881" s="86" t="str">
        <f>VLOOKUP("*"&amp;表格1[[#This Row],[Input]]&amp;"*",'Ref-List'!$B:$D,2,)</f>
        <v>KT-17DRTHK(H)</v>
      </c>
      <c r="H3881" s="86" t="str">
        <f>_xlfn.XLOOKUP(表格1[[#This Row],[Model]],表格3[Model-Input-Ref2],表格3[Product Line])</f>
        <v>無線雙層電熱水壺(1.7公升)</v>
      </c>
      <c r="I3881" s="86" t="str">
        <f>_xlfn.XLOOKUP(表格1[[#This Row],[Model]],表格3[Model-Input-Ref2],表格3[大小電])</f>
        <v>細電</v>
      </c>
      <c r="J3881" s="86" t="str">
        <f>_xlfn.XLOOKUP(表格1[[#This Row],[Model]],表格3[Model-Input-Ref2],表格3[Code])</f>
        <v>SDA</v>
      </c>
      <c r="K3881" s="89" t="s">
        <v>1271</v>
      </c>
      <c r="L3881" s="86">
        <v>1</v>
      </c>
      <c r="M3881" s="87">
        <v>388</v>
      </c>
      <c r="N3881" s="87">
        <f>IFERROR(表格1[[#This Row],[QTY]]*表格1[[#This Row],[Unit Price]],"-")</f>
        <v>388</v>
      </c>
      <c r="O3881" s="86">
        <v>8806</v>
      </c>
      <c r="R3881" s="86" t="str">
        <f>_xlfn.CONCAT(表格1[[#This Row],[Model]]," ",表格1[[#This Row],[inv no]])</f>
        <v>KT-17DRTHK(H) 8806</v>
      </c>
      <c r="S3881" s="86">
        <f>_xlfn.XLOOKUP(表格1[[#This Row],[Model]],表格3[Model-Input-Ref2],表格3[SRP PRICE])</f>
        <v>498</v>
      </c>
      <c r="T3881" s="43">
        <f>表格1[[#This Row],[Unit Price]]/表格1[[#This Row],[SRP]]</f>
        <v>0.77911646586345384</v>
      </c>
      <c r="U3881" s="86" t="str">
        <f>_xlfn.XLOOKUP(表格1[[#This Row],[Model]],表格3[Model-Input-Ref2],表格3[TOSHIBA/HIGHEST])</f>
        <v>Toshiba SRP</v>
      </c>
      <c r="W3881" s="86" t="str">
        <f>_xlfn.CONCAT(表格1[[#This Row],[欄4]],表格1[[#This Row],[inv no]])</f>
        <v>8806</v>
      </c>
    </row>
    <row r="3882" spans="1:23" hidden="1">
      <c r="A3882" s="81">
        <v>3880</v>
      </c>
      <c r="B3882" s="86" t="s">
        <v>1403</v>
      </c>
      <c r="C3882" s="86" t="s">
        <v>1973</v>
      </c>
      <c r="D3882" s="89" t="str">
        <f ca="1">OFFSET(Roster!$A$3,MATCH(表格1[[#This Row],[Location]]&amp;" "&amp;表格1[[#This Row],[Shop]]&amp;"*",Roster!$A$4:$A$72,0),DAY(表格1[[#This Row],[date]]),1,1)</f>
        <v>Happy</v>
      </c>
      <c r="E3882" s="86">
        <f>MONTH(表格1[[#This Row],[date]])</f>
        <v>3</v>
      </c>
      <c r="F3882" s="90">
        <v>46103</v>
      </c>
      <c r="G3882" s="86" t="str">
        <f>VLOOKUP("*"&amp;表格1[[#This Row],[Input]]&amp;"*",'Ref-List'!$B:$D,2,)</f>
        <v>RAD-D250H</v>
      </c>
      <c r="H3882" s="86" t="str">
        <f>_xlfn.XLOOKUP(表格1[[#This Row],[Model]],表格3[Model-Input-Ref2],表格3[Product Line])</f>
        <v>壓縮式抽濕機 (25公升)</v>
      </c>
      <c r="I3882" s="86" t="str">
        <f>_xlfn.XLOOKUP(表格1[[#This Row],[Model]],表格3[Model-Input-Ref2],表格3[大小電])</f>
        <v>細電</v>
      </c>
      <c r="J3882" s="86" t="str">
        <f>_xlfn.XLOOKUP(表格1[[#This Row],[Model]],表格3[Model-Input-Ref2],表格3[Code])</f>
        <v>RAC</v>
      </c>
      <c r="K3882" s="89" t="s">
        <v>1407</v>
      </c>
      <c r="L3882" s="86">
        <v>1</v>
      </c>
      <c r="M3882" s="87">
        <v>2080</v>
      </c>
      <c r="N3882" s="87">
        <f>IFERROR(表格1[[#This Row],[QTY]]*表格1[[#This Row],[Unit Price]],"-")</f>
        <v>2080</v>
      </c>
      <c r="O3882" s="86">
        <v>3487</v>
      </c>
      <c r="R3882" s="86" t="str">
        <f>_xlfn.CONCAT(表格1[[#This Row],[Model]]," ",表格1[[#This Row],[inv no]])</f>
        <v>RAD-D250H 3487</v>
      </c>
      <c r="S3882" s="86">
        <f>_xlfn.XLOOKUP(表格1[[#This Row],[Model]],表格3[Model-Input-Ref2],表格3[SRP PRICE])</f>
        <v>3380</v>
      </c>
      <c r="T3882" s="43">
        <f>表格1[[#This Row],[Unit Price]]/表格1[[#This Row],[SRP]]</f>
        <v>0.61538461538461542</v>
      </c>
      <c r="U3882" s="86" t="str">
        <f>_xlfn.XLOOKUP(表格1[[#This Row],[Model]],表格3[Model-Input-Ref2],表格3[TOSHIBA/HIGHEST])</f>
        <v>Shops Highest Price</v>
      </c>
      <c r="W3882" s="86" t="str">
        <f>_xlfn.CONCAT(表格1[[#This Row],[欄4]],表格1[[#This Row],[inv no]])</f>
        <v>3487</v>
      </c>
    </row>
    <row r="3883" spans="1:23" hidden="1">
      <c r="A3883" s="81">
        <v>3881</v>
      </c>
      <c r="B3883" s="86" t="s">
        <v>1403</v>
      </c>
      <c r="C3883" s="86" t="s">
        <v>1973</v>
      </c>
      <c r="D3883" s="89" t="str">
        <f ca="1">OFFSET(Roster!$A$3,MATCH(表格1[[#This Row],[Location]]&amp;" "&amp;表格1[[#This Row],[Shop]]&amp;"*",Roster!$A$4:$A$72,0),DAY(表格1[[#This Row],[date]]),1,1)</f>
        <v>Happy</v>
      </c>
      <c r="E3883" s="86">
        <f>MONTH(表格1[[#This Row],[date]])</f>
        <v>3</v>
      </c>
      <c r="F3883" s="90">
        <v>46103</v>
      </c>
      <c r="G3883" s="86" t="str">
        <f>VLOOKUP("*"&amp;表格1[[#This Row],[Input]]&amp;"*",'Ref-List'!$B:$D,2,)</f>
        <v>RAD-D250H</v>
      </c>
      <c r="H3883" s="86" t="str">
        <f>_xlfn.XLOOKUP(表格1[[#This Row],[Model]],表格3[Model-Input-Ref2],表格3[Product Line])</f>
        <v>壓縮式抽濕機 (25公升)</v>
      </c>
      <c r="I3883" s="86" t="str">
        <f>_xlfn.XLOOKUP(表格1[[#This Row],[Model]],表格3[Model-Input-Ref2],表格3[大小電])</f>
        <v>細電</v>
      </c>
      <c r="J3883" s="86" t="str">
        <f>_xlfn.XLOOKUP(表格1[[#This Row],[Model]],表格3[Model-Input-Ref2],表格3[Code])</f>
        <v>RAC</v>
      </c>
      <c r="K3883" s="89" t="s">
        <v>1407</v>
      </c>
      <c r="L3883" s="86">
        <v>1</v>
      </c>
      <c r="M3883" s="87">
        <v>2080</v>
      </c>
      <c r="N3883" s="87">
        <f>IFERROR(表格1[[#This Row],[QTY]]*表格1[[#This Row],[Unit Price]],"-")</f>
        <v>2080</v>
      </c>
      <c r="O3883" s="86">
        <v>239244</v>
      </c>
      <c r="R3883" s="86" t="str">
        <f>_xlfn.CONCAT(表格1[[#This Row],[Model]]," ",表格1[[#This Row],[inv no]])</f>
        <v>RAD-D250H 239244</v>
      </c>
      <c r="S3883" s="86">
        <f>_xlfn.XLOOKUP(表格1[[#This Row],[Model]],表格3[Model-Input-Ref2],表格3[SRP PRICE])</f>
        <v>3380</v>
      </c>
      <c r="T3883" s="43">
        <f>表格1[[#This Row],[Unit Price]]/表格1[[#This Row],[SRP]]</f>
        <v>0.61538461538461542</v>
      </c>
      <c r="U3883" s="86" t="str">
        <f>_xlfn.XLOOKUP(表格1[[#This Row],[Model]],表格3[Model-Input-Ref2],表格3[TOSHIBA/HIGHEST])</f>
        <v>Shops Highest Price</v>
      </c>
      <c r="W3883" s="86" t="str">
        <f>_xlfn.CONCAT(表格1[[#This Row],[欄4]],表格1[[#This Row],[inv no]])</f>
        <v>239244</v>
      </c>
    </row>
    <row r="3884" spans="1:23" hidden="1">
      <c r="A3884" s="81">
        <v>3882</v>
      </c>
      <c r="B3884" s="86" t="s">
        <v>1403</v>
      </c>
      <c r="C3884" s="86" t="s">
        <v>1973</v>
      </c>
      <c r="D3884" s="89" t="str">
        <f ca="1">OFFSET(Roster!$A$3,MATCH(表格1[[#This Row],[Location]]&amp;" "&amp;表格1[[#This Row],[Shop]]&amp;"*",Roster!$A$4:$A$72,0),DAY(表格1[[#This Row],[date]]),1,1)</f>
        <v>Happy</v>
      </c>
      <c r="E3884" s="86">
        <f>MONTH(表格1[[#This Row],[date]])</f>
        <v>3</v>
      </c>
      <c r="F3884" s="90">
        <v>46103</v>
      </c>
      <c r="G3884" s="86" t="str">
        <f>VLOOKUP("*"&amp;表格1[[#This Row],[Input]]&amp;"*",'Ref-List'!$B:$D,2,)</f>
        <v>TWD-T22BU95UWH(WK)-B</v>
      </c>
      <c r="H3884" s="86" t="str">
        <f>_xlfn.XLOOKUP(表格1[[#This Row],[Model]],表格3[Model-Input-Ref2],表格3[Product Line])</f>
        <v>470MM超薄身前置式變頻洗衣乾衣機 (洗8.5公斤/乾6公斤, 可飛頂)</v>
      </c>
      <c r="I3884" s="86" t="str">
        <f>_xlfn.XLOOKUP(表格1[[#This Row],[Model]],表格3[Model-Input-Ref2],表格3[大小電])</f>
        <v>大電</v>
      </c>
      <c r="J3884" s="86" t="str">
        <f>_xlfn.XLOOKUP(表格1[[#This Row],[Model]],表格3[Model-Input-Ref2],表格3[Code])</f>
        <v>LAD</v>
      </c>
      <c r="K3884" s="89" t="s">
        <v>1421</v>
      </c>
      <c r="L3884" s="86">
        <v>1</v>
      </c>
      <c r="M3884" s="87">
        <v>4780</v>
      </c>
      <c r="N3884" s="87">
        <f>IFERROR(表格1[[#This Row],[QTY]]*表格1[[#This Row],[Unit Price]],"-")</f>
        <v>4780</v>
      </c>
      <c r="O3884" s="86">
        <v>239259</v>
      </c>
      <c r="R3884" s="86" t="str">
        <f>_xlfn.CONCAT(表格1[[#This Row],[Model]]," ",表格1[[#This Row],[inv no]])</f>
        <v>TWD-T22BU95UWH(WK)-B 239259</v>
      </c>
      <c r="S3884" s="86">
        <f>_xlfn.XLOOKUP(表格1[[#This Row],[Model]],表格3[Model-Input-Ref2],表格3[SRP PRICE])</f>
        <v>7480</v>
      </c>
      <c r="T3884" s="43">
        <f>表格1[[#This Row],[Unit Price]]/表格1[[#This Row],[SRP]]</f>
        <v>0.63903743315508021</v>
      </c>
      <c r="U3884" s="86" t="str">
        <f>_xlfn.XLOOKUP(表格1[[#This Row],[Model]],表格3[Model-Input-Ref2],表格3[TOSHIBA/HIGHEST])</f>
        <v>Toshiba SRP</v>
      </c>
      <c r="W3884" s="86" t="str">
        <f>_xlfn.CONCAT(表格1[[#This Row],[欄4]],表格1[[#This Row],[inv no]])</f>
        <v>239259</v>
      </c>
    </row>
    <row r="3885" spans="1:23" hidden="1">
      <c r="A3885" s="81">
        <v>3883</v>
      </c>
      <c r="B3885" s="86" t="s">
        <v>1403</v>
      </c>
      <c r="C3885" s="86" t="s">
        <v>1973</v>
      </c>
      <c r="D3885" s="89" t="str">
        <f ca="1">OFFSET(Roster!$A$3,MATCH(表格1[[#This Row],[Location]]&amp;" "&amp;表格1[[#This Row],[Shop]]&amp;"*",Roster!$A$4:$A$72,0),DAY(表格1[[#This Row],[date]]),1,1)</f>
        <v>Happy</v>
      </c>
      <c r="E3885" s="86">
        <f>MONTH(表格1[[#This Row],[date]])</f>
        <v>3</v>
      </c>
      <c r="F3885" s="90">
        <v>46103</v>
      </c>
      <c r="G3885" s="86" t="str">
        <f>VLOOKUP("*"&amp;表格1[[#This Row],[Input]]&amp;"*",'Ref-List'!$B:$D,2,)</f>
        <v>MM2-EM20PC(WH)</v>
      </c>
      <c r="H3885" s="86" t="str">
        <f>_xlfn.XLOOKUP(表格1[[#This Row],[Model]],表格3[Model-Input-Ref2],表格3[Product Line])</f>
        <v>輕觸式微波爐 (20公升)</v>
      </c>
      <c r="I3885" s="86" t="str">
        <f>_xlfn.XLOOKUP(表格1[[#This Row],[Model]],表格3[Model-Input-Ref2],表格3[大小電])</f>
        <v>細電</v>
      </c>
      <c r="J3885" s="86" t="str">
        <f>_xlfn.XLOOKUP(表格1[[#This Row],[Model]],表格3[Model-Input-Ref2],表格3[Code])</f>
        <v>MCA</v>
      </c>
      <c r="K3885" s="89" t="s">
        <v>1276</v>
      </c>
      <c r="L3885" s="86">
        <v>1</v>
      </c>
      <c r="M3885" s="87">
        <v>598</v>
      </c>
      <c r="N3885" s="87">
        <f>IFERROR(表格1[[#This Row],[QTY]]*表格1[[#This Row],[Unit Price]],"-")</f>
        <v>598</v>
      </c>
      <c r="O3885" s="86">
        <v>239269</v>
      </c>
      <c r="R3885" s="86" t="str">
        <f>_xlfn.CONCAT(表格1[[#This Row],[Model]]," ",表格1[[#This Row],[inv no]])</f>
        <v>MM2-EM20PC(WH) 239269</v>
      </c>
      <c r="S3885" s="86">
        <f>_xlfn.XLOOKUP(表格1[[#This Row],[Model]],表格3[Model-Input-Ref2],表格3[SRP PRICE])</f>
        <v>788</v>
      </c>
      <c r="T3885" s="43">
        <f>表格1[[#This Row],[Unit Price]]/表格1[[#This Row],[SRP]]</f>
        <v>0.75888324873096447</v>
      </c>
      <c r="U3885" s="86" t="str">
        <f>_xlfn.XLOOKUP(表格1[[#This Row],[Model]],表格3[Model-Input-Ref2],表格3[TOSHIBA/HIGHEST])</f>
        <v>Toshiba SRP</v>
      </c>
      <c r="W3885" s="86" t="str">
        <f>_xlfn.CONCAT(表格1[[#This Row],[欄4]],表格1[[#This Row],[inv no]])</f>
        <v>239269</v>
      </c>
    </row>
    <row r="3886" spans="1:23" hidden="1">
      <c r="A3886" s="81">
        <v>3884</v>
      </c>
      <c r="B3886" s="86" t="s">
        <v>1403</v>
      </c>
      <c r="C3886" s="86" t="s">
        <v>1973</v>
      </c>
      <c r="D3886" s="89" t="str">
        <f ca="1">OFFSET(Roster!$A$3,MATCH(表格1[[#This Row],[Location]]&amp;" "&amp;表格1[[#This Row],[Shop]]&amp;"*",Roster!$A$4:$A$72,0),DAY(表格1[[#This Row],[date]]),1,1)</f>
        <v>Happy</v>
      </c>
      <c r="E3886" s="86">
        <f>MONTH(表格1[[#This Row],[date]])</f>
        <v>3</v>
      </c>
      <c r="F3886" s="90">
        <v>46106</v>
      </c>
      <c r="G3886" s="86" t="str">
        <f>VLOOKUP("*"&amp;表格1[[#This Row],[Input]]&amp;"*",'Ref-List'!$B:$D,2,)</f>
        <v>MX2-STR25SC(WH)</v>
      </c>
      <c r="H3886" s="86" t="str">
        <f>_xlfn.XLOOKUP(表格1[[#This Row],[Model]],表格3[Model-Input-Ref2],表格3[Product Line])</f>
        <v>4合1氣炸微波蒸焗爐(25公升)</v>
      </c>
      <c r="I3886" s="86" t="str">
        <f>_xlfn.XLOOKUP(表格1[[#This Row],[Model]],表格3[Model-Input-Ref2],表格3[大小電])</f>
        <v>細電</v>
      </c>
      <c r="J3886" s="86" t="str">
        <f>_xlfn.XLOOKUP(表格1[[#This Row],[Model]],表格3[Model-Input-Ref2],表格3[Code])</f>
        <v>MCA</v>
      </c>
      <c r="K3886" s="89" t="s">
        <v>1410</v>
      </c>
      <c r="L3886" s="86">
        <v>1</v>
      </c>
      <c r="M3886" s="87">
        <v>3180</v>
      </c>
      <c r="N3886" s="87">
        <f>IFERROR(表格1[[#This Row],[QTY]]*表格1[[#This Row],[Unit Price]],"-")</f>
        <v>3180</v>
      </c>
      <c r="O3886" s="86">
        <v>239341</v>
      </c>
      <c r="R3886" s="86" t="str">
        <f>_xlfn.CONCAT(表格1[[#This Row],[Model]]," ",表格1[[#This Row],[inv no]])</f>
        <v>MX2-STR25SC(WH) 239341</v>
      </c>
      <c r="S3886" s="86">
        <f>_xlfn.XLOOKUP(表格1[[#This Row],[Model]],表格3[Model-Input-Ref2],表格3[SRP PRICE])</f>
        <v>4998</v>
      </c>
      <c r="T3886" s="43">
        <f>表格1[[#This Row],[Unit Price]]/表格1[[#This Row],[SRP]]</f>
        <v>0.6362545018007203</v>
      </c>
      <c r="U3886" s="86" t="str">
        <f>_xlfn.XLOOKUP(表格1[[#This Row],[Model]],表格3[Model-Input-Ref2],表格3[TOSHIBA/HIGHEST])</f>
        <v>Toshiba SRP</v>
      </c>
      <c r="W3886" s="86" t="str">
        <f>_xlfn.CONCAT(表格1[[#This Row],[欄4]],表格1[[#This Row],[inv no]])</f>
        <v>239341</v>
      </c>
    </row>
    <row r="3887" spans="1:23" hidden="1">
      <c r="A3887" s="81">
        <v>3885</v>
      </c>
      <c r="B3887" s="86" t="s">
        <v>1403</v>
      </c>
      <c r="C3887" s="86" t="s">
        <v>1973</v>
      </c>
      <c r="D3887" s="89" t="str">
        <f ca="1">OFFSET(Roster!$A$3,MATCH(表格1[[#This Row],[Location]]&amp;" "&amp;表格1[[#This Row],[Shop]]&amp;"*",Roster!$A$4:$A$72,0),DAY(表格1[[#This Row],[date]]),1,1)</f>
        <v>Happy</v>
      </c>
      <c r="E3887" s="86">
        <f>MONTH(表格1[[#This Row],[date]])</f>
        <v>3</v>
      </c>
      <c r="F3887" s="90">
        <v>46106</v>
      </c>
      <c r="G3887" s="86" t="str">
        <f>VLOOKUP("*"&amp;表格1[[#This Row],[Input]]&amp;"*",'Ref-List'!$B:$D,2,)</f>
        <v>MM2-EG20PC(WH)</v>
      </c>
      <c r="H3887" s="86" t="str">
        <f>_xlfn.XLOOKUP(表格1[[#This Row],[Model]],表格3[Model-Input-Ref2],表格3[Product Line])</f>
        <v>輕觸式燒烤微波爐</v>
      </c>
      <c r="I3887" s="86" t="str">
        <f>_xlfn.XLOOKUP(表格1[[#This Row],[Model]],表格3[Model-Input-Ref2],表格3[大小電])</f>
        <v>細電</v>
      </c>
      <c r="J3887" s="86" t="str">
        <f>_xlfn.XLOOKUP(表格1[[#This Row],[Model]],表格3[Model-Input-Ref2],表格3[Code])</f>
        <v>MCA</v>
      </c>
      <c r="K3887" s="89" t="s">
        <v>1273</v>
      </c>
      <c r="L3887" s="86">
        <v>1</v>
      </c>
      <c r="M3887" s="87">
        <v>698</v>
      </c>
      <c r="N3887" s="87">
        <f>IFERROR(表格1[[#This Row],[QTY]]*表格1[[#This Row],[Unit Price]],"-")</f>
        <v>698</v>
      </c>
      <c r="O3887" s="86">
        <v>1292</v>
      </c>
      <c r="R3887" s="86" t="str">
        <f>_xlfn.CONCAT(表格1[[#This Row],[Model]]," ",表格1[[#This Row],[inv no]])</f>
        <v>MM2-EG20PC(WH) 1292</v>
      </c>
      <c r="S3887" s="86">
        <f>_xlfn.XLOOKUP(表格1[[#This Row],[Model]],表格3[Model-Input-Ref2],表格3[SRP PRICE])</f>
        <v>918</v>
      </c>
      <c r="T3887" s="43">
        <f>表格1[[#This Row],[Unit Price]]/表格1[[#This Row],[SRP]]</f>
        <v>0.76034858387799564</v>
      </c>
      <c r="U3887" s="86" t="str">
        <f>_xlfn.XLOOKUP(表格1[[#This Row],[Model]],表格3[Model-Input-Ref2],表格3[TOSHIBA/HIGHEST])</f>
        <v>Shops Highest Price</v>
      </c>
      <c r="W3887" s="86" t="str">
        <f>_xlfn.CONCAT(表格1[[#This Row],[欄4]],表格1[[#This Row],[inv no]])</f>
        <v>1292</v>
      </c>
    </row>
    <row r="3888" spans="1:23" hidden="1">
      <c r="A3888" s="81">
        <v>3886</v>
      </c>
      <c r="B3888" s="86" t="s">
        <v>1403</v>
      </c>
      <c r="C3888" s="86" t="s">
        <v>1973</v>
      </c>
      <c r="D3888" s="89" t="str">
        <f ca="1">OFFSET(Roster!$A$3,MATCH(表格1[[#This Row],[Location]]&amp;" "&amp;表格1[[#This Row],[Shop]]&amp;"*",Roster!$A$4:$A$72,0),DAY(表格1[[#This Row],[date]]),1,1)</f>
        <v>Happy</v>
      </c>
      <c r="E3888" s="86">
        <f>MONTH(表格1[[#This Row],[date]])</f>
        <v>3</v>
      </c>
      <c r="F3888" s="90">
        <v>46106</v>
      </c>
      <c r="G3888" s="86" t="str">
        <f>VLOOKUP("*"&amp;表格1[[#This Row],[Input]]&amp;"*",'Ref-List'!$B:$D,2,)</f>
        <v>RC-7HMH</v>
      </c>
      <c r="H3888" s="86" t="str">
        <f>_xlfn.XLOOKUP(表格1[[#This Row],[Model]],表格3[Model-Input-Ref2],表格3[Product Line])</f>
        <v>備長炭本厚釜電飯煲0.7L</v>
      </c>
      <c r="I3888" s="86" t="str">
        <f>_xlfn.XLOOKUP(表格1[[#This Row],[Model]],表格3[Model-Input-Ref2],表格3[大小電])</f>
        <v>細電</v>
      </c>
      <c r="J3888" s="86" t="str">
        <f>_xlfn.XLOOKUP(表格1[[#This Row],[Model]],表格3[Model-Input-Ref2],表格3[Code])</f>
        <v>SDA</v>
      </c>
      <c r="K3888" s="89" t="s">
        <v>1284</v>
      </c>
      <c r="L3888" s="86">
        <v>1</v>
      </c>
      <c r="M3888" s="87">
        <v>788</v>
      </c>
      <c r="N3888" s="87">
        <f>IFERROR(表格1[[#This Row],[QTY]]*表格1[[#This Row],[Unit Price]],"-")</f>
        <v>788</v>
      </c>
      <c r="O3888" s="86">
        <v>1089</v>
      </c>
      <c r="R3888" s="86" t="str">
        <f>_xlfn.CONCAT(表格1[[#This Row],[Model]]," ",表格1[[#This Row],[inv no]])</f>
        <v>RC-7HMH 1089</v>
      </c>
      <c r="S3888" s="86">
        <f>_xlfn.XLOOKUP(表格1[[#This Row],[Model]],表格3[Model-Input-Ref2],表格3[SRP PRICE])</f>
        <v>1288</v>
      </c>
      <c r="T3888" s="43">
        <f>表格1[[#This Row],[Unit Price]]/表格1[[#This Row],[SRP]]</f>
        <v>0.61180124223602483</v>
      </c>
      <c r="U3888" s="86" t="str">
        <f>_xlfn.XLOOKUP(表格1[[#This Row],[Model]],表格3[Model-Input-Ref2],表格3[TOSHIBA/HIGHEST])</f>
        <v>Toshiba SRP</v>
      </c>
      <c r="W3888" s="86" t="str">
        <f>_xlfn.CONCAT(表格1[[#This Row],[欄4]],表格1[[#This Row],[inv no]])</f>
        <v>1089</v>
      </c>
    </row>
    <row r="3889" spans="1:23" hidden="1">
      <c r="A3889" s="81">
        <v>3887</v>
      </c>
      <c r="B3889" s="86" t="s">
        <v>1403</v>
      </c>
      <c r="C3889" s="86" t="s">
        <v>1973</v>
      </c>
      <c r="D3889" s="89" t="str">
        <f ca="1">OFFSET(Roster!$A$3,MATCH(表格1[[#This Row],[Location]]&amp;" "&amp;表格1[[#This Row],[Shop]]&amp;"*",Roster!$A$4:$A$72,0),DAY(表格1[[#This Row],[date]]),1,1)</f>
        <v>Happy</v>
      </c>
      <c r="E3889" s="86">
        <f>MONTH(表格1[[#This Row],[date]])</f>
        <v>3</v>
      </c>
      <c r="F3889" s="90">
        <v>46106</v>
      </c>
      <c r="G3889" s="86" t="str">
        <f>VLOOKUP("*"&amp;表格1[[#This Row],[Input]]&amp;"*",'Ref-List'!$B:$D,2,)</f>
        <v>RC-10ISSHK(W)</v>
      </c>
      <c r="H3889" s="86" t="str">
        <f>_xlfn.XLOOKUP(表格1[[#This Row],[Model]],表格3[Model-Input-Ref2],表格3[Product Line])</f>
        <v>磁應電飯煲(1公升)</v>
      </c>
      <c r="I3889" s="86" t="str">
        <f>_xlfn.XLOOKUP(表格1[[#This Row],[Model]],表格3[Model-Input-Ref2],表格3[大小電])</f>
        <v>細電</v>
      </c>
      <c r="J3889" s="86" t="str">
        <f>_xlfn.XLOOKUP(表格1[[#This Row],[Model]],表格3[Model-Input-Ref2],表格3[Code])</f>
        <v>SDA</v>
      </c>
      <c r="K3889" s="89" t="s">
        <v>1286</v>
      </c>
      <c r="L3889" s="86">
        <v>1</v>
      </c>
      <c r="M3889" s="87">
        <v>938</v>
      </c>
      <c r="N3889" s="87">
        <f>IFERROR(表格1[[#This Row],[QTY]]*表格1[[#This Row],[Unit Price]],"-")</f>
        <v>938</v>
      </c>
      <c r="O3889" s="86">
        <v>3506</v>
      </c>
      <c r="R3889" s="86" t="str">
        <f>_xlfn.CONCAT(表格1[[#This Row],[Model]]," ",表格1[[#This Row],[inv no]])</f>
        <v>RC-10ISSHK(W) 3506</v>
      </c>
      <c r="S3889" s="86">
        <f>_xlfn.XLOOKUP(表格1[[#This Row],[Model]],表格3[Model-Input-Ref2],表格3[SRP PRICE])</f>
        <v>1188</v>
      </c>
      <c r="T3889" s="43">
        <f>表格1[[#This Row],[Unit Price]]/表格1[[#This Row],[SRP]]</f>
        <v>0.78956228956228958</v>
      </c>
      <c r="U3889" s="86" t="str">
        <f>_xlfn.XLOOKUP(表格1[[#This Row],[Model]],表格3[Model-Input-Ref2],表格3[TOSHIBA/HIGHEST])</f>
        <v>Shops Highest Price</v>
      </c>
      <c r="W3889" s="86" t="str">
        <f>_xlfn.CONCAT(表格1[[#This Row],[欄4]],表格1[[#This Row],[inv no]])</f>
        <v>3506</v>
      </c>
    </row>
    <row r="3890" spans="1:23" hidden="1">
      <c r="A3890" s="81">
        <v>3888</v>
      </c>
      <c r="B3890" s="86" t="s">
        <v>1403</v>
      </c>
      <c r="C3890" s="86" t="s">
        <v>1973</v>
      </c>
      <c r="D3890" s="89" t="str">
        <f ca="1">OFFSET(Roster!$A$3,MATCH(表格1[[#This Row],[Location]]&amp;" "&amp;表格1[[#This Row],[Shop]]&amp;"*",Roster!$A$4:$A$72,0),DAY(表格1[[#This Row],[date]]),1,1)</f>
        <v>Happy</v>
      </c>
      <c r="E3890" s="86">
        <f>MONTH(表格1[[#This Row],[date]])</f>
        <v>3</v>
      </c>
      <c r="F3890" s="90">
        <v>46106</v>
      </c>
      <c r="G3890" s="86" t="str">
        <f>VLOOKUP("*"&amp;表格1[[#This Row],[Input]]&amp;"*",'Ref-List'!$B:$D,2,)</f>
        <v>MX2-STR25SC(WH)</v>
      </c>
      <c r="H3890" s="86" t="str">
        <f>_xlfn.XLOOKUP(表格1[[#This Row],[Model]],表格3[Model-Input-Ref2],表格3[Product Line])</f>
        <v>4合1氣炸微波蒸焗爐(25公升)</v>
      </c>
      <c r="I3890" s="86" t="str">
        <f>_xlfn.XLOOKUP(表格1[[#This Row],[Model]],表格3[Model-Input-Ref2],表格3[大小電])</f>
        <v>細電</v>
      </c>
      <c r="J3890" s="86" t="str">
        <f>_xlfn.XLOOKUP(表格1[[#This Row],[Model]],表格3[Model-Input-Ref2],表格3[Code])</f>
        <v>MCA</v>
      </c>
      <c r="K3890" s="89" t="s">
        <v>1410</v>
      </c>
      <c r="L3890" s="86">
        <v>1</v>
      </c>
      <c r="M3890" s="87">
        <v>3180</v>
      </c>
      <c r="N3890" s="87">
        <f>IFERROR(表格1[[#This Row],[QTY]]*表格1[[#This Row],[Unit Price]],"-")</f>
        <v>3180</v>
      </c>
      <c r="O3890" s="86">
        <v>239366</v>
      </c>
      <c r="R3890" s="86" t="str">
        <f>_xlfn.CONCAT(表格1[[#This Row],[Model]]," ",表格1[[#This Row],[inv no]])</f>
        <v>MX2-STR25SC(WH) 239366</v>
      </c>
      <c r="S3890" s="86">
        <f>_xlfn.XLOOKUP(表格1[[#This Row],[Model]],表格3[Model-Input-Ref2],表格3[SRP PRICE])</f>
        <v>4998</v>
      </c>
      <c r="T3890" s="43">
        <f>表格1[[#This Row],[Unit Price]]/表格1[[#This Row],[SRP]]</f>
        <v>0.6362545018007203</v>
      </c>
      <c r="U3890" s="86" t="str">
        <f>_xlfn.XLOOKUP(表格1[[#This Row],[Model]],表格3[Model-Input-Ref2],表格3[TOSHIBA/HIGHEST])</f>
        <v>Toshiba SRP</v>
      </c>
      <c r="W3890" s="86" t="str">
        <f>_xlfn.CONCAT(表格1[[#This Row],[欄4]],表格1[[#This Row],[inv no]])</f>
        <v>239366</v>
      </c>
    </row>
    <row r="3891" spans="1:23" hidden="1">
      <c r="A3891" s="81">
        <v>3889</v>
      </c>
      <c r="B3891" s="86" t="s">
        <v>1403</v>
      </c>
      <c r="C3891" s="86" t="s">
        <v>1973</v>
      </c>
      <c r="D3891" s="89" t="str">
        <f ca="1">OFFSET(Roster!$A$3,MATCH(表格1[[#This Row],[Location]]&amp;" "&amp;表格1[[#This Row],[Shop]]&amp;"*",Roster!$A$4:$A$72,0),DAY(表格1[[#This Row],[date]]),1,1)</f>
        <v>Happy</v>
      </c>
      <c r="E3891" s="86">
        <f>MONTH(表格1[[#This Row],[date]])</f>
        <v>3</v>
      </c>
      <c r="F3891" s="90">
        <v>46106</v>
      </c>
      <c r="G3891" s="86" t="str">
        <f>VLOOKUP("*"&amp;表格1[[#This Row],[Input]]&amp;"*",'Ref-List'!$B:$D,2,)</f>
        <v>RC-DR18T(W)</v>
      </c>
      <c r="H3891" s="86" t="str">
        <f>_xlfn.XLOOKUP(表格1[[#This Row],[Model]],表格3[Model-Input-Ref2],表格3[Product Line])</f>
        <v>IH磁應電飯煲
鑽石銅鍋</v>
      </c>
      <c r="I3891" s="86" t="str">
        <f>_xlfn.XLOOKUP(表格1[[#This Row],[Model]],表格3[Model-Input-Ref2],表格3[大小電])</f>
        <v>細電</v>
      </c>
      <c r="J3891" s="86" t="str">
        <f>_xlfn.XLOOKUP(表格1[[#This Row],[Model]],表格3[Model-Input-Ref2],表格3[Code])</f>
        <v>SDA</v>
      </c>
      <c r="K3891" s="89" t="s">
        <v>1378</v>
      </c>
      <c r="L3891" s="86">
        <v>1</v>
      </c>
      <c r="M3891" s="87">
        <v>2780</v>
      </c>
      <c r="N3891" s="87">
        <f>IFERROR(表格1[[#This Row],[QTY]]*表格1[[#This Row],[Unit Price]],"-")</f>
        <v>2780</v>
      </c>
      <c r="O3891" s="86">
        <v>239353</v>
      </c>
      <c r="R3891" s="86" t="str">
        <f>_xlfn.CONCAT(表格1[[#This Row],[Model]]," ",表格1[[#This Row],[inv no]])</f>
        <v>RC-DR18T(W) 239353</v>
      </c>
      <c r="S3891" s="86">
        <f>_xlfn.XLOOKUP(表格1[[#This Row],[Model]],表格3[Model-Input-Ref2],表格3[SRP PRICE])</f>
        <v>3588</v>
      </c>
      <c r="T3891" s="43">
        <f>表格1[[#This Row],[Unit Price]]/表格1[[#This Row],[SRP]]</f>
        <v>0.77480490523968781</v>
      </c>
      <c r="U3891" s="86" t="str">
        <f>_xlfn.XLOOKUP(表格1[[#This Row],[Model]],表格3[Model-Input-Ref2],表格3[TOSHIBA/HIGHEST])</f>
        <v>Toshiba SRP</v>
      </c>
      <c r="W3891" s="86" t="str">
        <f>_xlfn.CONCAT(表格1[[#This Row],[欄4]],表格1[[#This Row],[inv no]])</f>
        <v>239353</v>
      </c>
    </row>
    <row r="3892" spans="1:23" hidden="1">
      <c r="A3892" s="81">
        <v>3890</v>
      </c>
      <c r="B3892" s="86" t="s">
        <v>1403</v>
      </c>
      <c r="C3892" s="86" t="s">
        <v>1973</v>
      </c>
      <c r="D3892" s="89" t="str">
        <f ca="1">OFFSET(Roster!$A$3,MATCH(表格1[[#This Row],[Location]]&amp;" "&amp;表格1[[#This Row],[Shop]]&amp;"*",Roster!$A$4:$A$72,0),DAY(表格1[[#This Row],[date]]),1,1)</f>
        <v>Happy</v>
      </c>
      <c r="E3892" s="86">
        <f>MONTH(表格1[[#This Row],[date]])</f>
        <v>3</v>
      </c>
      <c r="F3892" s="90">
        <v>46106</v>
      </c>
      <c r="G3892" s="86" t="str">
        <f>VLOOKUP("*"&amp;表格1[[#This Row],[Input]]&amp;"*",'Ref-List'!$B:$D,2,)</f>
        <v>RAD-D250H</v>
      </c>
      <c r="H3892" s="86" t="str">
        <f>_xlfn.XLOOKUP(表格1[[#This Row],[Model]],表格3[Model-Input-Ref2],表格3[Product Line])</f>
        <v>壓縮式抽濕機 (25公升)</v>
      </c>
      <c r="I3892" s="86" t="str">
        <f>_xlfn.XLOOKUP(表格1[[#This Row],[Model]],表格3[Model-Input-Ref2],表格3[大小電])</f>
        <v>細電</v>
      </c>
      <c r="J3892" s="86" t="str">
        <f>_xlfn.XLOOKUP(表格1[[#This Row],[Model]],表格3[Model-Input-Ref2],表格3[Code])</f>
        <v>RAC</v>
      </c>
      <c r="K3892" s="89" t="s">
        <v>1407</v>
      </c>
      <c r="L3892" s="86">
        <v>1</v>
      </c>
      <c r="M3892" s="87">
        <v>2080</v>
      </c>
      <c r="N3892" s="87">
        <f>IFERROR(表格1[[#This Row],[QTY]]*表格1[[#This Row],[Unit Price]],"-")</f>
        <v>2080</v>
      </c>
      <c r="O3892" s="86">
        <v>239346</v>
      </c>
      <c r="R3892" s="86" t="str">
        <f>_xlfn.CONCAT(表格1[[#This Row],[Model]]," ",表格1[[#This Row],[inv no]])</f>
        <v>RAD-D250H 239346</v>
      </c>
      <c r="S3892" s="86">
        <f>_xlfn.XLOOKUP(表格1[[#This Row],[Model]],表格3[Model-Input-Ref2],表格3[SRP PRICE])</f>
        <v>3380</v>
      </c>
      <c r="T3892" s="43">
        <f>表格1[[#This Row],[Unit Price]]/表格1[[#This Row],[SRP]]</f>
        <v>0.61538461538461542</v>
      </c>
      <c r="U3892" s="86" t="str">
        <f>_xlfn.XLOOKUP(表格1[[#This Row],[Model]],表格3[Model-Input-Ref2],表格3[TOSHIBA/HIGHEST])</f>
        <v>Shops Highest Price</v>
      </c>
      <c r="W3892" s="86" t="str">
        <f>_xlfn.CONCAT(表格1[[#This Row],[欄4]],表格1[[#This Row],[inv no]])</f>
        <v>239346</v>
      </c>
    </row>
    <row r="3893" spans="1:23" hidden="1">
      <c r="A3893" s="81">
        <v>3891</v>
      </c>
      <c r="B3893" s="86" t="s">
        <v>1403</v>
      </c>
      <c r="C3893" s="86" t="s">
        <v>1973</v>
      </c>
      <c r="D3893" s="89" t="str">
        <f ca="1">OFFSET(Roster!$A$3,MATCH(表格1[[#This Row],[Location]]&amp;" "&amp;表格1[[#This Row],[Shop]]&amp;"*",Roster!$A$4:$A$72,0),DAY(表格1[[#This Row],[date]]),1,1)</f>
        <v>Happy</v>
      </c>
      <c r="E3893" s="86">
        <f>MONTH(表格1[[#This Row],[date]])</f>
        <v>3</v>
      </c>
      <c r="F3893" s="90">
        <v>46106</v>
      </c>
      <c r="G3893" s="86" t="str">
        <f>VLOOKUP("*"&amp;表格1[[#This Row],[Input]]&amp;"*",'Ref-List'!$B:$D,2,)</f>
        <v>RAD-D250H</v>
      </c>
      <c r="H3893" s="86" t="str">
        <f>_xlfn.XLOOKUP(表格1[[#This Row],[Model]],表格3[Model-Input-Ref2],表格3[Product Line])</f>
        <v>壓縮式抽濕機 (25公升)</v>
      </c>
      <c r="I3893" s="86" t="str">
        <f>_xlfn.XLOOKUP(表格1[[#This Row],[Model]],表格3[Model-Input-Ref2],表格3[大小電])</f>
        <v>細電</v>
      </c>
      <c r="J3893" s="86" t="str">
        <f>_xlfn.XLOOKUP(表格1[[#This Row],[Model]],表格3[Model-Input-Ref2],表格3[Code])</f>
        <v>RAC</v>
      </c>
      <c r="K3893" s="89" t="s">
        <v>1407</v>
      </c>
      <c r="L3893" s="86">
        <v>1</v>
      </c>
      <c r="M3893" s="87">
        <v>2080</v>
      </c>
      <c r="N3893" s="87">
        <f>IFERROR(表格1[[#This Row],[QTY]]*表格1[[#This Row],[Unit Price]],"-")</f>
        <v>2080</v>
      </c>
      <c r="O3893" s="86">
        <v>239371</v>
      </c>
      <c r="R3893" s="86" t="str">
        <f>_xlfn.CONCAT(表格1[[#This Row],[Model]]," ",表格1[[#This Row],[inv no]])</f>
        <v>RAD-D250H 239371</v>
      </c>
      <c r="S3893" s="86">
        <f>_xlfn.XLOOKUP(表格1[[#This Row],[Model]],表格3[Model-Input-Ref2],表格3[SRP PRICE])</f>
        <v>3380</v>
      </c>
      <c r="T3893" s="43">
        <f>表格1[[#This Row],[Unit Price]]/表格1[[#This Row],[SRP]]</f>
        <v>0.61538461538461542</v>
      </c>
      <c r="U3893" s="86" t="str">
        <f>_xlfn.XLOOKUP(表格1[[#This Row],[Model]],表格3[Model-Input-Ref2],表格3[TOSHIBA/HIGHEST])</f>
        <v>Shops Highest Price</v>
      </c>
      <c r="W3893" s="86" t="str">
        <f>_xlfn.CONCAT(表格1[[#This Row],[欄4]],表格1[[#This Row],[inv no]])</f>
        <v>239371</v>
      </c>
    </row>
    <row r="3894" spans="1:23" hidden="1">
      <c r="A3894" s="81">
        <v>3892</v>
      </c>
      <c r="B3894" s="86" t="s">
        <v>1403</v>
      </c>
      <c r="C3894" s="86" t="s">
        <v>1973</v>
      </c>
      <c r="D3894" s="89" t="str">
        <f ca="1">OFFSET(Roster!$A$3,MATCH(表格1[[#This Row],[Location]]&amp;" "&amp;表格1[[#This Row],[Shop]]&amp;"*",Roster!$A$4:$A$72,0),DAY(表格1[[#This Row],[date]]),1,1)</f>
        <v>Happy</v>
      </c>
      <c r="E3894" s="86">
        <f>MONTH(表格1[[#This Row],[date]])</f>
        <v>3</v>
      </c>
      <c r="F3894" s="90">
        <v>46106</v>
      </c>
      <c r="G3894" s="86" t="str">
        <f>VLOOKUP("*"&amp;表格1[[#This Row],[Input]]&amp;"*",'Ref-List'!$B:$D,2,)</f>
        <v>TW-T22BU95UWH(WK)-B</v>
      </c>
      <c r="H3894" s="86" t="str">
        <f>_xlfn.XLOOKUP(表格1[[#This Row],[Model]],表格3[Model-Input-Ref2],表格3[Product Line])</f>
        <v>470MM超薄身前置式變頻洗衣機(8.5公斤, 可飛頂)</v>
      </c>
      <c r="I3894" s="86" t="str">
        <f>_xlfn.XLOOKUP(表格1[[#This Row],[Model]],表格3[Model-Input-Ref2],表格3[大小電])</f>
        <v>大電</v>
      </c>
      <c r="J3894" s="86" t="str">
        <f>_xlfn.XLOOKUP(表格1[[#This Row],[Model]],表格3[Model-Input-Ref2],表格3[Code])</f>
        <v>LAD</v>
      </c>
      <c r="K3894" s="89" t="s">
        <v>969</v>
      </c>
      <c r="L3894" s="86">
        <v>1</v>
      </c>
      <c r="M3894" s="87">
        <v>3680</v>
      </c>
      <c r="N3894" s="87">
        <f>IFERROR(表格1[[#This Row],[QTY]]*表格1[[#This Row],[Unit Price]],"-")</f>
        <v>3680</v>
      </c>
      <c r="O3894" s="86">
        <v>239385</v>
      </c>
      <c r="R3894" s="86" t="str">
        <f>_xlfn.CONCAT(表格1[[#This Row],[Model]]," ",表格1[[#This Row],[inv no]])</f>
        <v>TW-T22BU95UWH(WK)-B 239385</v>
      </c>
      <c r="S3894" s="86">
        <f>_xlfn.XLOOKUP(表格1[[#This Row],[Model]],表格3[Model-Input-Ref2],表格3[SRP PRICE])</f>
        <v>5880</v>
      </c>
      <c r="T3894" s="43">
        <f>表格1[[#This Row],[Unit Price]]/表格1[[#This Row],[SRP]]</f>
        <v>0.62585034013605445</v>
      </c>
      <c r="U3894" s="86" t="str">
        <f>_xlfn.XLOOKUP(表格1[[#This Row],[Model]],表格3[Model-Input-Ref2],表格3[TOSHIBA/HIGHEST])</f>
        <v>Toshiba SRP</v>
      </c>
      <c r="W3894" s="86" t="str">
        <f>_xlfn.CONCAT(表格1[[#This Row],[欄4]],表格1[[#This Row],[inv no]])</f>
        <v>239385</v>
      </c>
    </row>
    <row r="3895" spans="1:23" hidden="1">
      <c r="A3895" s="81">
        <v>3893</v>
      </c>
      <c r="B3895" s="86" t="s">
        <v>1403</v>
      </c>
      <c r="C3895" s="86" t="s">
        <v>1973</v>
      </c>
      <c r="D3895" s="89" t="str">
        <f ca="1">OFFSET(Roster!$A$3,MATCH(表格1[[#This Row],[Location]]&amp;" "&amp;表格1[[#This Row],[Shop]]&amp;"*",Roster!$A$4:$A$72,0),DAY(表格1[[#This Row],[date]]),1,1)</f>
        <v>Happy</v>
      </c>
      <c r="E3895" s="86">
        <f>MONTH(表格1[[#This Row],[date]])</f>
        <v>3</v>
      </c>
      <c r="F3895" s="90">
        <v>46106</v>
      </c>
      <c r="G3895" s="86" t="str">
        <f>VLOOKUP("*"&amp;表格1[[#This Row],[Input]]&amp;"*",'Ref-List'!$B:$D,2,)</f>
        <v>MS5-STR30SC(BK)</v>
      </c>
      <c r="H3895" s="86" t="str">
        <f>_xlfn.XLOOKUP(表格1[[#This Row],[Model]],表格3[Model-Input-Ref2],表格3[Product Line])</f>
        <v>30公升蒸氣焗爐</v>
      </c>
      <c r="I3895" s="86" t="str">
        <f>_xlfn.XLOOKUP(表格1[[#This Row],[Model]],表格3[Model-Input-Ref2],表格3[大小電])</f>
        <v>細電</v>
      </c>
      <c r="J3895" s="86" t="str">
        <f>_xlfn.XLOOKUP(表格1[[#This Row],[Model]],表格3[Model-Input-Ref2],表格3[Code])</f>
        <v>MCA</v>
      </c>
      <c r="K3895" s="89" t="s">
        <v>1379</v>
      </c>
      <c r="L3895" s="86">
        <v>1</v>
      </c>
      <c r="M3895" s="87">
        <v>3690</v>
      </c>
      <c r="N3895" s="87">
        <f>IFERROR(表格1[[#This Row],[QTY]]*表格1[[#This Row],[Unit Price]],"-")</f>
        <v>3690</v>
      </c>
      <c r="O3895" s="86">
        <v>239392</v>
      </c>
      <c r="R3895" s="86" t="str">
        <f>_xlfn.CONCAT(表格1[[#This Row],[Model]]," ",表格1[[#This Row],[inv no]])</f>
        <v>MS5-STR30SC(BK) 239392</v>
      </c>
      <c r="S3895" s="86">
        <f>_xlfn.XLOOKUP(表格1[[#This Row],[Model]],表格3[Model-Input-Ref2],表格3[SRP PRICE])</f>
        <v>5998</v>
      </c>
      <c r="T3895" s="43">
        <f>表格1[[#This Row],[Unit Price]]/表格1[[#This Row],[SRP]]</f>
        <v>0.61520506835611866</v>
      </c>
      <c r="U3895" s="86" t="str">
        <f>_xlfn.XLOOKUP(表格1[[#This Row],[Model]],表格3[Model-Input-Ref2],表格3[TOSHIBA/HIGHEST])</f>
        <v>Shops Highest Price</v>
      </c>
      <c r="W3895" s="86" t="str">
        <f>_xlfn.CONCAT(表格1[[#This Row],[欄4]],表格1[[#This Row],[inv no]])</f>
        <v>239392</v>
      </c>
    </row>
    <row r="3896" spans="1:23" hidden="1">
      <c r="A3896" s="81">
        <v>3894</v>
      </c>
      <c r="B3896" s="86" t="s">
        <v>1403</v>
      </c>
      <c r="C3896" s="86" t="s">
        <v>1973</v>
      </c>
      <c r="D3896" s="89" t="str">
        <f ca="1">OFFSET(Roster!$A$3,MATCH(表格1[[#This Row],[Location]]&amp;" "&amp;表格1[[#This Row],[Shop]]&amp;"*",Roster!$A$4:$A$72,0),DAY(表格1[[#This Row],[date]]),1,1)</f>
        <v>Happy</v>
      </c>
      <c r="E3896" s="86">
        <f>MONTH(表格1[[#This Row],[date]])</f>
        <v>3</v>
      </c>
      <c r="F3896" s="90">
        <v>46106</v>
      </c>
      <c r="G3896" s="86" t="str">
        <f>VLOOKUP("*"&amp;表格1[[#This Row],[Input]]&amp;"*",'Ref-List'!$B:$D,2,)</f>
        <v>TWD-T21BU95UWH(WW)</v>
      </c>
      <c r="H3896" s="86" t="str">
        <f>_xlfn.XLOOKUP(表格1[[#This Row],[Model]],表格3[Model-Input-Ref2],表格3[Product Line])</f>
        <v>470MM超薄身前置式變頻洗衣乾衣機 (洗8.5公斤 乾6公斤)</v>
      </c>
      <c r="I3896" s="86" t="str">
        <f>_xlfn.XLOOKUP(表格1[[#This Row],[Model]],表格3[Model-Input-Ref2],表格3[大小電])</f>
        <v>大電</v>
      </c>
      <c r="J3896" s="86" t="str">
        <f>_xlfn.XLOOKUP(表格1[[#This Row],[Model]],表格3[Model-Input-Ref2],表格3[Code])</f>
        <v>LAD</v>
      </c>
      <c r="K3896" s="89" t="s">
        <v>1461</v>
      </c>
      <c r="L3896" s="86">
        <v>1</v>
      </c>
      <c r="M3896" s="87">
        <v>3999</v>
      </c>
      <c r="N3896" s="87">
        <f>IFERROR(表格1[[#This Row],[QTY]]*表格1[[#This Row],[Unit Price]],"-")</f>
        <v>3999</v>
      </c>
      <c r="O3896" s="86">
        <v>239395</v>
      </c>
      <c r="R3896" s="86" t="str">
        <f>_xlfn.CONCAT(表格1[[#This Row],[Model]]," ",表格1[[#This Row],[inv no]])</f>
        <v>TWD-T21BU95UWH(WW) 239395</v>
      </c>
      <c r="S3896" s="86">
        <f>_xlfn.XLOOKUP(表格1[[#This Row],[Model]],表格3[Model-Input-Ref2],表格3[SRP PRICE])</f>
        <v>7280</v>
      </c>
      <c r="T3896" s="43">
        <f>表格1[[#This Row],[Unit Price]]/表格1[[#This Row],[SRP]]</f>
        <v>0.54931318681318686</v>
      </c>
      <c r="U3896" s="86" t="str">
        <f>_xlfn.XLOOKUP(表格1[[#This Row],[Model]],表格3[Model-Input-Ref2],表格3[TOSHIBA/HIGHEST])</f>
        <v>Toshiba SRP</v>
      </c>
      <c r="W3896" s="86" t="str">
        <f>_xlfn.CONCAT(表格1[[#This Row],[欄4]],表格1[[#This Row],[inv no]])</f>
        <v>239395</v>
      </c>
    </row>
    <row r="3897" spans="1:23" hidden="1">
      <c r="A3897" s="81">
        <v>3895</v>
      </c>
      <c r="B3897" s="86" t="s">
        <v>1403</v>
      </c>
      <c r="C3897" s="86" t="s">
        <v>1973</v>
      </c>
      <c r="D3897" s="89" t="str">
        <f ca="1">OFFSET(Roster!$A$3,MATCH(表格1[[#This Row],[Location]]&amp;" "&amp;表格1[[#This Row],[Shop]]&amp;"*",Roster!$A$4:$A$72,0),DAY(表格1[[#This Row],[date]]),1,1)</f>
        <v>Happy</v>
      </c>
      <c r="E3897" s="86">
        <f>MONTH(表格1[[#This Row],[date]])</f>
        <v>3</v>
      </c>
      <c r="F3897" s="90">
        <v>46106</v>
      </c>
      <c r="G3897" s="86" t="str">
        <f>VLOOKUP("*"&amp;表格1[[#This Row],[Input]]&amp;"*",'Ref-List'!$B:$D,2,)</f>
        <v>GR-RB410WE-PMA(06)</v>
      </c>
      <c r="H3897" s="86" t="str">
        <f>_xlfn.XLOOKUP(表格1[[#This Row],[Model]],表格3[Model-Input-Ref2],表格3[Product Line])</f>
        <v>雙門雪櫃</v>
      </c>
      <c r="I3897" s="86" t="str">
        <f>_xlfn.XLOOKUP(表格1[[#This Row],[Model]],表格3[Model-Input-Ref2],表格3[大小電])</f>
        <v>大電</v>
      </c>
      <c r="J3897" s="86" t="str">
        <f>_xlfn.XLOOKUP(表格1[[#This Row],[Model]],表格3[Model-Input-Ref2],表格3[Code])</f>
        <v>REF</v>
      </c>
      <c r="K3897" s="89" t="s">
        <v>1775</v>
      </c>
      <c r="L3897" s="86">
        <v>1</v>
      </c>
      <c r="M3897" s="87">
        <v>3780</v>
      </c>
      <c r="N3897" s="87">
        <f>IFERROR(表格1[[#This Row],[QTY]]*表格1[[#This Row],[Unit Price]],"-")</f>
        <v>3780</v>
      </c>
      <c r="O3897" s="86">
        <v>239393</v>
      </c>
      <c r="R3897" s="86" t="str">
        <f>_xlfn.CONCAT(表格1[[#This Row],[Model]]," ",表格1[[#This Row],[inv no]])</f>
        <v>GR-RB410WE-PMA(06) 239393</v>
      </c>
      <c r="S3897" s="86">
        <f>_xlfn.XLOOKUP(表格1[[#This Row],[Model]],表格3[Model-Input-Ref2],表格3[SRP PRICE])</f>
        <v>4000</v>
      </c>
      <c r="T3897" s="43">
        <f>表格1[[#This Row],[Unit Price]]/表格1[[#This Row],[SRP]]</f>
        <v>0.94499999999999995</v>
      </c>
      <c r="U3897" s="86" t="str">
        <f>_xlfn.XLOOKUP(表格1[[#This Row],[Model]],表格3[Model-Input-Ref2],表格3[TOSHIBA/HIGHEST])</f>
        <v>Shops Highest Price</v>
      </c>
      <c r="W3897" s="86" t="str">
        <f>_xlfn.CONCAT(表格1[[#This Row],[欄4]],表格1[[#This Row],[inv no]])</f>
        <v>239393</v>
      </c>
    </row>
    <row r="3898" spans="1:23" hidden="1">
      <c r="A3898" s="81">
        <v>3896</v>
      </c>
      <c r="B3898" s="86" t="s">
        <v>1403</v>
      </c>
      <c r="C3898" s="86" t="s">
        <v>1973</v>
      </c>
      <c r="D3898" s="89" t="str">
        <f ca="1">OFFSET(Roster!$A$3,MATCH(表格1[[#This Row],[Location]]&amp;" "&amp;表格1[[#This Row],[Shop]]&amp;"*",Roster!$A$4:$A$72,0),DAY(表格1[[#This Row],[date]]),1,1)</f>
        <v>Happy</v>
      </c>
      <c r="E3898" s="86">
        <f>MONTH(表格1[[#This Row],[date]])</f>
        <v>3</v>
      </c>
      <c r="F3898" s="90">
        <v>46107</v>
      </c>
      <c r="G3898" s="86" t="str">
        <f>VLOOKUP("*"&amp;表格1[[#This Row],[Input]]&amp;"*",'Ref-List'!$B:$D,2,)</f>
        <v>GR-RB221WE-PMA(57)</v>
      </c>
      <c r="H3898" s="86" t="str">
        <f>_xlfn.XLOOKUP(表格1[[#This Row],[Model]],表格3[Model-Input-Ref2],表格3[Product Line])</f>
        <v>變頻下置式雙門雪櫃（163L）</v>
      </c>
      <c r="I3898" s="86" t="str">
        <f>_xlfn.XLOOKUP(表格1[[#This Row],[Model]],表格3[Model-Input-Ref2],表格3[大小電])</f>
        <v>大電</v>
      </c>
      <c r="J3898" s="86" t="str">
        <f>_xlfn.XLOOKUP(表格1[[#This Row],[Model]],表格3[Model-Input-Ref2],表格3[Code])</f>
        <v>REF</v>
      </c>
      <c r="K3898" s="89" t="s">
        <v>1386</v>
      </c>
      <c r="L3898" s="86">
        <v>1</v>
      </c>
      <c r="M3898" s="87">
        <v>1880</v>
      </c>
      <c r="N3898" s="87">
        <f>IFERROR(表格1[[#This Row],[QTY]]*表格1[[#This Row],[Unit Price]],"-")</f>
        <v>1880</v>
      </c>
      <c r="O3898" s="86">
        <v>239402</v>
      </c>
      <c r="R3898" s="86" t="str">
        <f>_xlfn.CONCAT(表格1[[#This Row],[Model]]," ",表格1[[#This Row],[inv no]])</f>
        <v>GR-RB221WE-PMA(57) 239402</v>
      </c>
      <c r="S3898" s="86">
        <f>_xlfn.XLOOKUP(表格1[[#This Row],[Model]],表格3[Model-Input-Ref2],表格3[SRP PRICE])</f>
        <v>3480</v>
      </c>
      <c r="T3898" s="43">
        <f>表格1[[#This Row],[Unit Price]]/表格1[[#This Row],[SRP]]</f>
        <v>0.54022988505747127</v>
      </c>
      <c r="U3898" s="86" t="str">
        <f>_xlfn.XLOOKUP(表格1[[#This Row],[Model]],表格3[Model-Input-Ref2],表格3[TOSHIBA/HIGHEST])</f>
        <v>Toshiba SRP</v>
      </c>
      <c r="W3898" s="86" t="str">
        <f>_xlfn.CONCAT(表格1[[#This Row],[欄4]],表格1[[#This Row],[inv no]])</f>
        <v>239402</v>
      </c>
    </row>
    <row r="3899" spans="1:23" hidden="1">
      <c r="A3899" s="81">
        <v>3897</v>
      </c>
      <c r="B3899" s="86" t="s">
        <v>1403</v>
      </c>
      <c r="C3899" s="86" t="s">
        <v>1973</v>
      </c>
      <c r="D3899" s="89" t="str">
        <f ca="1">OFFSET(Roster!$A$3,MATCH(表格1[[#This Row],[Location]]&amp;" "&amp;表格1[[#This Row],[Shop]]&amp;"*",Roster!$A$4:$A$72,0),DAY(表格1[[#This Row],[date]]),1,1)</f>
        <v>Happy</v>
      </c>
      <c r="E3899" s="86">
        <f>MONTH(表格1[[#This Row],[date]])</f>
        <v>3</v>
      </c>
      <c r="F3899" s="90">
        <v>46107</v>
      </c>
      <c r="G3899" s="86" t="str">
        <f>VLOOKUP("*"&amp;表格1[[#This Row],[Input]]&amp;"*",'Ref-List'!$B:$D,2,)</f>
        <v>AW-Q801APH(WW)</v>
      </c>
      <c r="H3899" s="86" t="str">
        <f>_xlfn.XLOOKUP(表格1[[#This Row],[Model]],表格3[Model-Input-Ref2],表格3[Product Line])</f>
        <v>日式洗衣機 (7公斤 結合高低水位)</v>
      </c>
      <c r="I3899" s="86" t="str">
        <f>_xlfn.XLOOKUP(表格1[[#This Row],[Model]],表格3[Model-Input-Ref2],表格3[大小電])</f>
        <v>大電</v>
      </c>
      <c r="J3899" s="86" t="str">
        <f>_xlfn.XLOOKUP(表格1[[#This Row],[Model]],表格3[Model-Input-Ref2],表格3[Code])</f>
        <v>LAD</v>
      </c>
      <c r="K3899" s="89" t="s">
        <v>1420</v>
      </c>
      <c r="L3899" s="86">
        <v>1</v>
      </c>
      <c r="M3899" s="87">
        <v>1880</v>
      </c>
      <c r="N3899" s="87">
        <f>IFERROR(表格1[[#This Row],[QTY]]*表格1[[#This Row],[Unit Price]],"-")</f>
        <v>1880</v>
      </c>
      <c r="O3899" s="86">
        <v>239408</v>
      </c>
      <c r="R3899" s="86" t="str">
        <f>_xlfn.CONCAT(表格1[[#This Row],[Model]]," ",表格1[[#This Row],[inv no]])</f>
        <v>AW-Q801APH(WW) 239408</v>
      </c>
      <c r="S3899" s="86">
        <f>_xlfn.XLOOKUP(表格1[[#This Row],[Model]],表格3[Model-Input-Ref2],表格3[SRP PRICE])</f>
        <v>3380</v>
      </c>
      <c r="T3899" s="43">
        <f>表格1[[#This Row],[Unit Price]]/表格1[[#This Row],[SRP]]</f>
        <v>0.55621301775147924</v>
      </c>
      <c r="U3899" s="86" t="str">
        <f>_xlfn.XLOOKUP(表格1[[#This Row],[Model]],表格3[Model-Input-Ref2],表格3[TOSHIBA/HIGHEST])</f>
        <v>Toshiba SRP</v>
      </c>
      <c r="W3899" s="86" t="str">
        <f>_xlfn.CONCAT(表格1[[#This Row],[欄4]],表格1[[#This Row],[inv no]])</f>
        <v>239408</v>
      </c>
    </row>
    <row r="3900" spans="1:23" hidden="1">
      <c r="A3900" s="81">
        <v>3898</v>
      </c>
      <c r="B3900" s="86" t="s">
        <v>1403</v>
      </c>
      <c r="C3900" s="86" t="s">
        <v>1973</v>
      </c>
      <c r="D3900" s="89" t="str">
        <f ca="1">OFFSET(Roster!$A$3,MATCH(表格1[[#This Row],[Location]]&amp;" "&amp;表格1[[#This Row],[Shop]]&amp;"*",Roster!$A$4:$A$72,0),DAY(表格1[[#This Row],[date]]),1,1)</f>
        <v>Happy</v>
      </c>
      <c r="E3900" s="86">
        <f>MONTH(表格1[[#This Row],[date]])</f>
        <v>3</v>
      </c>
      <c r="F3900" s="90">
        <v>46107</v>
      </c>
      <c r="G3900" s="86" t="str">
        <f>VLOOKUP("*"&amp;表格1[[#This Row],[Input]]&amp;"*",'Ref-List'!$B:$D,2,)</f>
        <v>RC-18AMXH(W)</v>
      </c>
      <c r="H3900" s="86" t="str">
        <f>_xlfn.XLOOKUP(表格1[[#This Row],[Model]],表格3[Model-Input-Ref2],表格3[Product Line])</f>
        <v>酵活炊電飯煲(1.8公升)</v>
      </c>
      <c r="I3900" s="86" t="str">
        <f>_xlfn.XLOOKUP(表格1[[#This Row],[Model]],表格3[Model-Input-Ref2],表格3[大小電])</f>
        <v>細電</v>
      </c>
      <c r="J3900" s="86" t="str">
        <f>_xlfn.XLOOKUP(表格1[[#This Row],[Model]],表格3[Model-Input-Ref2],表格3[Code])</f>
        <v>SDA</v>
      </c>
      <c r="K3900" s="89" t="s">
        <v>1362</v>
      </c>
      <c r="L3900" s="86">
        <v>1</v>
      </c>
      <c r="M3900" s="87">
        <v>990</v>
      </c>
      <c r="N3900" s="87">
        <f>IFERROR(表格1[[#This Row],[QTY]]*表格1[[#This Row],[Unit Price]],"-")</f>
        <v>990</v>
      </c>
      <c r="O3900" s="86">
        <v>1313</v>
      </c>
      <c r="R3900" s="86" t="str">
        <f>_xlfn.CONCAT(表格1[[#This Row],[Model]]," ",表格1[[#This Row],[inv no]])</f>
        <v>RC-18AMXH(W) 1313</v>
      </c>
      <c r="S3900" s="86">
        <f>_xlfn.XLOOKUP(表格1[[#This Row],[Model]],表格3[Model-Input-Ref2],表格3[SRP PRICE])</f>
        <v>1588</v>
      </c>
      <c r="T3900" s="43">
        <f>表格1[[#This Row],[Unit Price]]/表格1[[#This Row],[SRP]]</f>
        <v>0.62342569269521408</v>
      </c>
      <c r="U3900" s="86" t="str">
        <f>_xlfn.XLOOKUP(表格1[[#This Row],[Model]],表格3[Model-Input-Ref2],表格3[TOSHIBA/HIGHEST])</f>
        <v>Toshiba SRP</v>
      </c>
      <c r="W3900" s="86" t="str">
        <f>_xlfn.CONCAT(表格1[[#This Row],[欄4]],表格1[[#This Row],[inv no]])</f>
        <v>1313</v>
      </c>
    </row>
    <row r="3901" spans="1:23" hidden="1">
      <c r="A3901" s="81">
        <v>3899</v>
      </c>
      <c r="B3901" s="86" t="s">
        <v>1403</v>
      </c>
      <c r="C3901" s="86" t="s">
        <v>1973</v>
      </c>
      <c r="D3901" s="89" t="str">
        <f ca="1">OFFSET(Roster!$A$3,MATCH(表格1[[#This Row],[Location]]&amp;" "&amp;表格1[[#This Row],[Shop]]&amp;"*",Roster!$A$4:$A$72,0),DAY(表格1[[#This Row],[date]]),1,1)</f>
        <v>Happy</v>
      </c>
      <c r="E3901" s="86">
        <f>MONTH(表格1[[#This Row],[date]])</f>
        <v>3</v>
      </c>
      <c r="F3901" s="90">
        <v>46107</v>
      </c>
      <c r="G3901" s="86" t="str">
        <f>VLOOKUP("*"&amp;表格1[[#This Row],[Input]]&amp;"*",'Ref-List'!$B:$D,2,)</f>
        <v>AW-Q801APH(WW)</v>
      </c>
      <c r="H3901" s="86" t="str">
        <f>_xlfn.XLOOKUP(表格1[[#This Row],[Model]],表格3[Model-Input-Ref2],表格3[Product Line])</f>
        <v>日式洗衣機 (7公斤 結合高低水位)</v>
      </c>
      <c r="I3901" s="86" t="str">
        <f>_xlfn.XLOOKUP(表格1[[#This Row],[Model]],表格3[Model-Input-Ref2],表格3[大小電])</f>
        <v>大電</v>
      </c>
      <c r="J3901" s="86" t="str">
        <f>_xlfn.XLOOKUP(表格1[[#This Row],[Model]],表格3[Model-Input-Ref2],表格3[Code])</f>
        <v>LAD</v>
      </c>
      <c r="K3901" s="89" t="s">
        <v>1420</v>
      </c>
      <c r="L3901" s="86">
        <v>1</v>
      </c>
      <c r="M3901" s="87">
        <v>1880</v>
      </c>
      <c r="N3901" s="87">
        <f>IFERROR(表格1[[#This Row],[QTY]]*表格1[[#This Row],[Unit Price]],"-")</f>
        <v>1880</v>
      </c>
      <c r="O3901" s="86">
        <v>239418</v>
      </c>
      <c r="R3901" s="86" t="str">
        <f>_xlfn.CONCAT(表格1[[#This Row],[Model]]," ",表格1[[#This Row],[inv no]])</f>
        <v>AW-Q801APH(WW) 239418</v>
      </c>
      <c r="S3901" s="86">
        <f>_xlfn.XLOOKUP(表格1[[#This Row],[Model]],表格3[Model-Input-Ref2],表格3[SRP PRICE])</f>
        <v>3380</v>
      </c>
      <c r="T3901" s="43">
        <f>表格1[[#This Row],[Unit Price]]/表格1[[#This Row],[SRP]]</f>
        <v>0.55621301775147924</v>
      </c>
      <c r="U3901" s="86" t="str">
        <f>_xlfn.XLOOKUP(表格1[[#This Row],[Model]],表格3[Model-Input-Ref2],表格3[TOSHIBA/HIGHEST])</f>
        <v>Toshiba SRP</v>
      </c>
      <c r="W3901" s="86" t="str">
        <f>_xlfn.CONCAT(表格1[[#This Row],[欄4]],表格1[[#This Row],[inv no]])</f>
        <v>239418</v>
      </c>
    </row>
    <row r="3902" spans="1:23" hidden="1">
      <c r="A3902" s="81">
        <v>3900</v>
      </c>
      <c r="B3902" s="86" t="s">
        <v>1403</v>
      </c>
      <c r="C3902" s="86" t="s">
        <v>1973</v>
      </c>
      <c r="D3902" s="89" t="str">
        <f ca="1">OFFSET(Roster!$A$3,MATCH(表格1[[#This Row],[Location]]&amp;" "&amp;表格1[[#This Row],[Shop]]&amp;"*",Roster!$A$4:$A$72,0),DAY(表格1[[#This Row],[date]]),1,1)</f>
        <v>Happy</v>
      </c>
      <c r="E3902" s="86">
        <f>MONTH(表格1[[#This Row],[date]])</f>
        <v>3</v>
      </c>
      <c r="F3902" s="90">
        <v>46107</v>
      </c>
      <c r="G3902" s="86" t="str">
        <f>VLOOKUP("*"&amp;表格1[[#This Row],[Input]]&amp;"*",'Ref-List'!$B:$D,2,)</f>
        <v>MM-2MM20PC(WH)</v>
      </c>
      <c r="H3902" s="86" t="str">
        <f>_xlfn.XLOOKUP(表格1[[#This Row],[Model]],表格3[Model-Input-Ref2],表格3[Product Line])</f>
        <v>旋鈕式微波爐 (20公升)</v>
      </c>
      <c r="I3902" s="86" t="str">
        <f>_xlfn.XLOOKUP(表格1[[#This Row],[Model]],表格3[Model-Input-Ref2],表格3[大小電])</f>
        <v>細電</v>
      </c>
      <c r="J3902" s="86" t="str">
        <f>_xlfn.XLOOKUP(表格1[[#This Row],[Model]],表格3[Model-Input-Ref2],表格3[Code])</f>
        <v>MCA</v>
      </c>
      <c r="K3902" s="89" t="s">
        <v>1388</v>
      </c>
      <c r="L3902" s="86">
        <v>1</v>
      </c>
      <c r="M3902" s="87">
        <v>598</v>
      </c>
      <c r="N3902" s="87">
        <f>IFERROR(表格1[[#This Row],[QTY]]*表格1[[#This Row],[Unit Price]],"-")</f>
        <v>598</v>
      </c>
      <c r="O3902" s="86">
        <v>239421</v>
      </c>
      <c r="R3902" s="86" t="str">
        <f>_xlfn.CONCAT(表格1[[#This Row],[Model]]," ",表格1[[#This Row],[inv no]])</f>
        <v>MM-2MM20PC(WH) 239421</v>
      </c>
      <c r="S3902" s="86">
        <f>_xlfn.XLOOKUP(表格1[[#This Row],[Model]],表格3[Model-Input-Ref2],表格3[SRP PRICE])</f>
        <v>738</v>
      </c>
      <c r="T3902" s="43">
        <f>表格1[[#This Row],[Unit Price]]/表格1[[#This Row],[SRP]]</f>
        <v>0.81029810298102978</v>
      </c>
      <c r="U3902" s="86" t="str">
        <f>_xlfn.XLOOKUP(表格1[[#This Row],[Model]],表格3[Model-Input-Ref2],表格3[TOSHIBA/HIGHEST])</f>
        <v>Toshiba SRP</v>
      </c>
      <c r="W3902" s="86" t="str">
        <f>_xlfn.CONCAT(表格1[[#This Row],[欄4]],表格1[[#This Row],[inv no]])</f>
        <v>239421</v>
      </c>
    </row>
    <row r="3903" spans="1:23" hidden="1">
      <c r="A3903" s="81">
        <v>3901</v>
      </c>
      <c r="B3903" s="86" t="s">
        <v>1403</v>
      </c>
      <c r="C3903" s="86" t="s">
        <v>1973</v>
      </c>
      <c r="D3903" s="89" t="str">
        <f ca="1">OFFSET(Roster!$A$3,MATCH(表格1[[#This Row],[Location]]&amp;" "&amp;表格1[[#This Row],[Shop]]&amp;"*",Roster!$A$4:$A$72,0),DAY(表格1[[#This Row],[date]]),1,1)</f>
        <v>Happy</v>
      </c>
      <c r="E3903" s="86">
        <f>MONTH(表格1[[#This Row],[date]])</f>
        <v>3</v>
      </c>
      <c r="F3903" s="90">
        <v>46107</v>
      </c>
      <c r="G3903" s="86" t="str">
        <f>VLOOKUP("*"&amp;表格1[[#This Row],[Input]]&amp;"*",'Ref-List'!$B:$D,2,)</f>
        <v>AW-DQ110JPH(WW)</v>
      </c>
      <c r="H3903" s="86" t="str">
        <f>_xlfn.XLOOKUP(表格1[[#This Row],[Model]],表格3[Model-Input-Ref2],表格3[Product Line])</f>
        <v>變頻日式洗衣機 (10公斤 結合高低水位)</v>
      </c>
      <c r="I3903" s="86" t="str">
        <f>_xlfn.XLOOKUP(表格1[[#This Row],[Model]],表格3[Model-Input-Ref2],表格3[大小電])</f>
        <v>大電</v>
      </c>
      <c r="J3903" s="86" t="str">
        <f>_xlfn.XLOOKUP(表格1[[#This Row],[Model]],表格3[Model-Input-Ref2],表格3[Code])</f>
        <v>LAD</v>
      </c>
      <c r="K3903" s="89" t="s">
        <v>1831</v>
      </c>
      <c r="L3903" s="86">
        <v>1</v>
      </c>
      <c r="M3903" s="87">
        <v>2680</v>
      </c>
      <c r="N3903" s="87">
        <f>IFERROR(表格1[[#This Row],[QTY]]*表格1[[#This Row],[Unit Price]],"-")</f>
        <v>2680</v>
      </c>
      <c r="O3903" s="86">
        <v>239423</v>
      </c>
      <c r="R3903" s="86" t="str">
        <f>_xlfn.CONCAT(表格1[[#This Row],[Model]]," ",表格1[[#This Row],[inv no]])</f>
        <v>AW-DQ110JPH(WW) 239423</v>
      </c>
      <c r="S3903" s="86">
        <f>_xlfn.XLOOKUP(表格1[[#This Row],[Model]],表格3[Model-Input-Ref2],表格3[SRP PRICE])</f>
        <v>4680</v>
      </c>
      <c r="T3903" s="43">
        <f>表格1[[#This Row],[Unit Price]]/表格1[[#This Row],[SRP]]</f>
        <v>0.57264957264957261</v>
      </c>
      <c r="U3903" s="86" t="str">
        <f>_xlfn.XLOOKUP(表格1[[#This Row],[Model]],表格3[Model-Input-Ref2],表格3[TOSHIBA/HIGHEST])</f>
        <v>Toshiba SRP</v>
      </c>
      <c r="W3903" s="86" t="str">
        <f>_xlfn.CONCAT(表格1[[#This Row],[欄4]],表格1[[#This Row],[inv no]])</f>
        <v>239423</v>
      </c>
    </row>
    <row r="3904" spans="1:23" hidden="1">
      <c r="A3904" s="81">
        <v>3902</v>
      </c>
      <c r="B3904" s="86" t="s">
        <v>1403</v>
      </c>
      <c r="C3904" s="86" t="s">
        <v>1973</v>
      </c>
      <c r="D3904" s="89" t="str">
        <f ca="1">OFFSET(Roster!$A$3,MATCH(表格1[[#This Row],[Location]]&amp;" "&amp;表格1[[#This Row],[Shop]]&amp;"*",Roster!$A$4:$A$72,0),DAY(表格1[[#This Row],[date]]),1,1)</f>
        <v>Happy</v>
      </c>
      <c r="E3904" s="86">
        <f>MONTH(表格1[[#This Row],[date]])</f>
        <v>3</v>
      </c>
      <c r="F3904" s="90">
        <v>46108</v>
      </c>
      <c r="G3904" s="86" t="str">
        <f>VLOOKUP("*"&amp;表格1[[#This Row],[Input]]&amp;"*",'Ref-List'!$B:$D,2,)</f>
        <v>RAD-D250H</v>
      </c>
      <c r="H3904" s="86" t="str">
        <f>_xlfn.XLOOKUP(表格1[[#This Row],[Model]],表格3[Model-Input-Ref2],表格3[Product Line])</f>
        <v>壓縮式抽濕機 (25公升)</v>
      </c>
      <c r="I3904" s="86" t="str">
        <f>_xlfn.XLOOKUP(表格1[[#This Row],[Model]],表格3[Model-Input-Ref2],表格3[大小電])</f>
        <v>細電</v>
      </c>
      <c r="J3904" s="86" t="str">
        <f>_xlfn.XLOOKUP(表格1[[#This Row],[Model]],表格3[Model-Input-Ref2],表格3[Code])</f>
        <v>RAC</v>
      </c>
      <c r="K3904" s="89" t="s">
        <v>1407</v>
      </c>
      <c r="L3904" s="86">
        <v>1</v>
      </c>
      <c r="M3904" s="87">
        <v>2080</v>
      </c>
      <c r="N3904" s="87">
        <f>IFERROR(表格1[[#This Row],[QTY]]*表格1[[#This Row],[Unit Price]],"-")</f>
        <v>2080</v>
      </c>
      <c r="O3904" s="86">
        <v>239433</v>
      </c>
      <c r="R3904" s="86" t="str">
        <f>_xlfn.CONCAT(表格1[[#This Row],[Model]]," ",表格1[[#This Row],[inv no]])</f>
        <v>RAD-D250H 239433</v>
      </c>
      <c r="S3904" s="86">
        <f>_xlfn.XLOOKUP(表格1[[#This Row],[Model]],表格3[Model-Input-Ref2],表格3[SRP PRICE])</f>
        <v>3380</v>
      </c>
      <c r="T3904" s="43">
        <f>表格1[[#This Row],[Unit Price]]/表格1[[#This Row],[SRP]]</f>
        <v>0.61538461538461542</v>
      </c>
      <c r="U3904" s="86" t="str">
        <f>_xlfn.XLOOKUP(表格1[[#This Row],[Model]],表格3[Model-Input-Ref2],表格3[TOSHIBA/HIGHEST])</f>
        <v>Shops Highest Price</v>
      </c>
      <c r="W3904" s="86" t="str">
        <f>_xlfn.CONCAT(表格1[[#This Row],[欄4]],表格1[[#This Row],[inv no]])</f>
        <v>239433</v>
      </c>
    </row>
    <row r="3905" spans="1:23" hidden="1">
      <c r="A3905" s="81">
        <v>3903</v>
      </c>
      <c r="B3905" s="86" t="s">
        <v>1403</v>
      </c>
      <c r="C3905" s="86" t="s">
        <v>1973</v>
      </c>
      <c r="D3905" s="89" t="str">
        <f ca="1">OFFSET(Roster!$A$3,MATCH(表格1[[#This Row],[Location]]&amp;" "&amp;表格1[[#This Row],[Shop]]&amp;"*",Roster!$A$4:$A$72,0),DAY(表格1[[#This Row],[date]]),1,1)</f>
        <v>Happy</v>
      </c>
      <c r="E3905" s="86">
        <f>MONTH(表格1[[#This Row],[date]])</f>
        <v>3</v>
      </c>
      <c r="F3905" s="90">
        <v>46108</v>
      </c>
      <c r="G3905" s="86" t="str">
        <f>VLOOKUP("*"&amp;表格1[[#This Row],[Input]]&amp;"*",'Ref-List'!$B:$D,2,)</f>
        <v>CFK01W75</v>
      </c>
      <c r="H3905" s="86" t="str">
        <f>_xlfn.XLOOKUP(表格1[[#This Row],[Model]],表格3[Model-Input-Ref2],表格3[Product Line])</f>
        <v>變頻頂揭式洗衣機 (7.5公斤)</v>
      </c>
      <c r="I3905" s="86" t="str">
        <f>_xlfn.XLOOKUP(表格1[[#This Row],[Model]],表格3[Model-Input-Ref2],表格3[大小電])</f>
        <v>大電</v>
      </c>
      <c r="J3905" s="86" t="str">
        <f>_xlfn.XLOOKUP(表格1[[#This Row],[Model]],表格3[Model-Input-Ref2],表格3[Code])</f>
        <v>LAD</v>
      </c>
      <c r="K3905" s="89" t="s">
        <v>1266</v>
      </c>
      <c r="L3905" s="86">
        <v>1</v>
      </c>
      <c r="M3905" s="87">
        <v>3580</v>
      </c>
      <c r="N3905" s="87">
        <f>IFERROR(表格1[[#This Row],[QTY]]*表格1[[#This Row],[Unit Price]],"-")</f>
        <v>3580</v>
      </c>
      <c r="O3905" s="86">
        <v>239436</v>
      </c>
      <c r="R3905" s="86" t="str">
        <f>_xlfn.CONCAT(表格1[[#This Row],[Model]]," ",表格1[[#This Row],[inv no]])</f>
        <v>CFK01W75 239436</v>
      </c>
      <c r="S3905" s="86">
        <f>_xlfn.XLOOKUP(表格1[[#This Row],[Model]],表格3[Model-Input-Ref2],表格3[SRP PRICE])</f>
        <v>3888</v>
      </c>
      <c r="T3905" s="43">
        <f>表格1[[#This Row],[Unit Price]]/表格1[[#This Row],[SRP]]</f>
        <v>0.92078189300411528</v>
      </c>
      <c r="U3905" s="86" t="str">
        <f>_xlfn.XLOOKUP(表格1[[#This Row],[Model]],表格3[Model-Input-Ref2],表格3[TOSHIBA/HIGHEST])</f>
        <v>Shops Highest Price</v>
      </c>
      <c r="W3905" s="86" t="str">
        <f>_xlfn.CONCAT(表格1[[#This Row],[欄4]],表格1[[#This Row],[inv no]])</f>
        <v>239436</v>
      </c>
    </row>
    <row r="3906" spans="1:23" hidden="1">
      <c r="A3906" s="81">
        <v>3904</v>
      </c>
      <c r="B3906" s="86" t="s">
        <v>1403</v>
      </c>
      <c r="C3906" s="86" t="s">
        <v>1973</v>
      </c>
      <c r="D3906" s="89" t="str">
        <f ca="1">OFFSET(Roster!$A$3,MATCH(表格1[[#This Row],[Location]]&amp;" "&amp;表格1[[#This Row],[Shop]]&amp;"*",Roster!$A$4:$A$72,0),DAY(表格1[[#This Row],[date]]),1,1)</f>
        <v>Happy</v>
      </c>
      <c r="E3906" s="86">
        <f>MONTH(表格1[[#This Row],[date]])</f>
        <v>3</v>
      </c>
      <c r="F3906" s="90">
        <v>46108</v>
      </c>
      <c r="G3906" s="86" t="str">
        <f>VLOOKUP("*"&amp;表格1[[#This Row],[Input]]&amp;"*",'Ref-List'!$B:$D,2,)</f>
        <v>RC-15BHH(W)</v>
      </c>
      <c r="H3906" s="86" t="str">
        <f>_xlfn.XLOOKUP(表格1[[#This Row],[Model]],表格3[Model-Input-Ref2],表格3[Product Line])</f>
        <v>酵活炊磁應電飯煲(1.5公升)</v>
      </c>
      <c r="I3906" s="86" t="str">
        <f>_xlfn.XLOOKUP(表格1[[#This Row],[Model]],表格3[Model-Input-Ref2],表格3[大小電])</f>
        <v>細電</v>
      </c>
      <c r="J3906" s="86" t="str">
        <f>_xlfn.XLOOKUP(表格1[[#This Row],[Model]],表格3[Model-Input-Ref2],表格3[Code])</f>
        <v>SDA</v>
      </c>
      <c r="K3906" s="89" t="s">
        <v>1381</v>
      </c>
      <c r="L3906" s="86">
        <v>1</v>
      </c>
      <c r="M3906" s="87">
        <v>1888</v>
      </c>
      <c r="N3906" s="87">
        <f>IFERROR(表格1[[#This Row],[QTY]]*表格1[[#This Row],[Unit Price]],"-")</f>
        <v>1888</v>
      </c>
      <c r="O3906" s="86">
        <v>10322</v>
      </c>
      <c r="R3906" s="86" t="str">
        <f>_xlfn.CONCAT(表格1[[#This Row],[Model]]," ",表格1[[#This Row],[inv no]])</f>
        <v>RC-15BHH(W) 10322</v>
      </c>
      <c r="S3906" s="86">
        <f>_xlfn.XLOOKUP(表格1[[#This Row],[Model]],表格3[Model-Input-Ref2],表格3[SRP PRICE])</f>
        <v>2388</v>
      </c>
      <c r="T3906" s="43">
        <f>表格1[[#This Row],[Unit Price]]/表格1[[#This Row],[SRP]]</f>
        <v>0.79061976549413737</v>
      </c>
      <c r="U3906" s="86" t="str">
        <f>_xlfn.XLOOKUP(表格1[[#This Row],[Model]],表格3[Model-Input-Ref2],表格3[TOSHIBA/HIGHEST])</f>
        <v>Toshiba SRP</v>
      </c>
      <c r="W3906" s="86" t="str">
        <f>_xlfn.CONCAT(表格1[[#This Row],[欄4]],表格1[[#This Row],[inv no]])</f>
        <v>10322</v>
      </c>
    </row>
    <row r="3907" spans="1:23" hidden="1">
      <c r="A3907" s="81">
        <v>3905</v>
      </c>
      <c r="B3907" s="86" t="s">
        <v>1403</v>
      </c>
      <c r="C3907" s="86" t="s">
        <v>1973</v>
      </c>
      <c r="D3907" s="89" t="str">
        <f ca="1">OFFSET(Roster!$A$3,MATCH(表格1[[#This Row],[Location]]&amp;" "&amp;表格1[[#This Row],[Shop]]&amp;"*",Roster!$A$4:$A$72,0),DAY(表格1[[#This Row],[date]]),1,1)</f>
        <v>Happy</v>
      </c>
      <c r="E3907" s="86">
        <f>MONTH(表格1[[#This Row],[date]])</f>
        <v>3</v>
      </c>
      <c r="F3907" s="90">
        <v>46108</v>
      </c>
      <c r="G3907" s="86" t="str">
        <f>VLOOKUP("*"&amp;表格1[[#This Row],[Input]]&amp;"*",'Ref-List'!$B:$D,2,)</f>
        <v>RAD-D250H</v>
      </c>
      <c r="H3907" s="86" t="str">
        <f>_xlfn.XLOOKUP(表格1[[#This Row],[Model]],表格3[Model-Input-Ref2],表格3[Product Line])</f>
        <v>壓縮式抽濕機 (25公升)</v>
      </c>
      <c r="I3907" s="86" t="str">
        <f>_xlfn.XLOOKUP(表格1[[#This Row],[Model]],表格3[Model-Input-Ref2],表格3[大小電])</f>
        <v>細電</v>
      </c>
      <c r="J3907" s="86" t="str">
        <f>_xlfn.XLOOKUP(表格1[[#This Row],[Model]],表格3[Model-Input-Ref2],表格3[Code])</f>
        <v>RAC</v>
      </c>
      <c r="K3907" s="89" t="s">
        <v>1407</v>
      </c>
      <c r="L3907" s="86">
        <v>1</v>
      </c>
      <c r="M3907" s="87">
        <v>2080</v>
      </c>
      <c r="N3907" s="87">
        <f>IFERROR(表格1[[#This Row],[QTY]]*表格1[[#This Row],[Unit Price]],"-")</f>
        <v>2080</v>
      </c>
      <c r="O3907" s="86">
        <v>8847</v>
      </c>
      <c r="R3907" s="86" t="str">
        <f>_xlfn.CONCAT(表格1[[#This Row],[Model]]," ",表格1[[#This Row],[inv no]])</f>
        <v>RAD-D250H 8847</v>
      </c>
      <c r="S3907" s="86">
        <f>_xlfn.XLOOKUP(表格1[[#This Row],[Model]],表格3[Model-Input-Ref2],表格3[SRP PRICE])</f>
        <v>3380</v>
      </c>
      <c r="T3907" s="43">
        <f>表格1[[#This Row],[Unit Price]]/表格1[[#This Row],[SRP]]</f>
        <v>0.61538461538461542</v>
      </c>
      <c r="U3907" s="86" t="str">
        <f>_xlfn.XLOOKUP(表格1[[#This Row],[Model]],表格3[Model-Input-Ref2],表格3[TOSHIBA/HIGHEST])</f>
        <v>Shops Highest Price</v>
      </c>
      <c r="W3907" s="86" t="str">
        <f>_xlfn.CONCAT(表格1[[#This Row],[欄4]],表格1[[#This Row],[inv no]])</f>
        <v>8847</v>
      </c>
    </row>
    <row r="3908" spans="1:23" hidden="1">
      <c r="A3908" s="81">
        <v>3906</v>
      </c>
      <c r="B3908" s="86" t="s">
        <v>1403</v>
      </c>
      <c r="C3908" s="86" t="s">
        <v>1973</v>
      </c>
      <c r="D3908" s="89" t="str">
        <f ca="1">OFFSET(Roster!$A$3,MATCH(表格1[[#This Row],[Location]]&amp;" "&amp;表格1[[#This Row],[Shop]]&amp;"*",Roster!$A$4:$A$72,0),DAY(表格1[[#This Row],[date]]),1,1)</f>
        <v>Happy</v>
      </c>
      <c r="E3908" s="86">
        <f>MONTH(表格1[[#This Row],[date]])</f>
        <v>3</v>
      </c>
      <c r="F3908" s="90">
        <v>46108</v>
      </c>
      <c r="G3908" s="86" t="str">
        <f>VLOOKUP("*"&amp;表格1[[#This Row],[Input]]&amp;"*",'Ref-List'!$B:$D,2,)</f>
        <v>TWD-T22BU95UWH(WK)-B</v>
      </c>
      <c r="H3908" s="86" t="str">
        <f>_xlfn.XLOOKUP(表格1[[#This Row],[Model]],表格3[Model-Input-Ref2],表格3[Product Line])</f>
        <v>470MM超薄身前置式變頻洗衣乾衣機 (洗8.5公斤/乾6公斤, 可飛頂)</v>
      </c>
      <c r="I3908" s="86" t="str">
        <f>_xlfn.XLOOKUP(表格1[[#This Row],[Model]],表格3[Model-Input-Ref2],表格3[大小電])</f>
        <v>大電</v>
      </c>
      <c r="J3908" s="86" t="str">
        <f>_xlfn.XLOOKUP(表格1[[#This Row],[Model]],表格3[Model-Input-Ref2],表格3[Code])</f>
        <v>LAD</v>
      </c>
      <c r="K3908" s="89" t="s">
        <v>1421</v>
      </c>
      <c r="L3908" s="86">
        <v>1</v>
      </c>
      <c r="M3908" s="87">
        <v>4780</v>
      </c>
      <c r="N3908" s="87">
        <f>IFERROR(表格1[[#This Row],[QTY]]*表格1[[#This Row],[Unit Price]],"-")</f>
        <v>4780</v>
      </c>
      <c r="O3908" s="86">
        <v>239475</v>
      </c>
      <c r="R3908" s="86" t="str">
        <f>_xlfn.CONCAT(表格1[[#This Row],[Model]]," ",表格1[[#This Row],[inv no]])</f>
        <v>TWD-T22BU95UWH(WK)-B 239475</v>
      </c>
      <c r="S3908" s="86">
        <f>_xlfn.XLOOKUP(表格1[[#This Row],[Model]],表格3[Model-Input-Ref2],表格3[SRP PRICE])</f>
        <v>7480</v>
      </c>
      <c r="T3908" s="43">
        <f>表格1[[#This Row],[Unit Price]]/表格1[[#This Row],[SRP]]</f>
        <v>0.63903743315508021</v>
      </c>
      <c r="U3908" s="86" t="str">
        <f>_xlfn.XLOOKUP(表格1[[#This Row],[Model]],表格3[Model-Input-Ref2],表格3[TOSHIBA/HIGHEST])</f>
        <v>Toshiba SRP</v>
      </c>
      <c r="W3908" s="86" t="str">
        <f>_xlfn.CONCAT(表格1[[#This Row],[欄4]],表格1[[#This Row],[inv no]])</f>
        <v>239475</v>
      </c>
    </row>
    <row r="3909" spans="1:23" hidden="1">
      <c r="A3909" s="81">
        <v>3907</v>
      </c>
      <c r="B3909" s="86" t="s">
        <v>1403</v>
      </c>
      <c r="C3909" s="86" t="s">
        <v>1973</v>
      </c>
      <c r="D3909" s="89" t="str">
        <f ca="1">OFFSET(Roster!$A$3,MATCH(表格1[[#This Row],[Location]]&amp;" "&amp;表格1[[#This Row],[Shop]]&amp;"*",Roster!$A$4:$A$72,0),DAY(表格1[[#This Row],[date]]),1,1)</f>
        <v>Happy</v>
      </c>
      <c r="E3909" s="86">
        <f>MONTH(表格1[[#This Row],[date]])</f>
        <v>3</v>
      </c>
      <c r="F3909" s="90">
        <v>46108</v>
      </c>
      <c r="G3909" s="86" t="str">
        <f>VLOOKUP("*"&amp;表格1[[#This Row],[Input]]&amp;"*",'Ref-List'!$B:$D,2,)</f>
        <v>TW-T21BU80UWH(MG)</v>
      </c>
      <c r="H3909" s="86" t="str">
        <f>_xlfn.XLOOKUP(表格1[[#This Row],[Model]],表格3[Model-Input-Ref2],表格3[Product Line])</f>
        <v>400MM超薄身前置式變頻洗衣機(7公斤)</v>
      </c>
      <c r="I3909" s="86" t="str">
        <f>_xlfn.XLOOKUP(表格1[[#This Row],[Model]],表格3[Model-Input-Ref2],表格3[大小電])</f>
        <v>大電</v>
      </c>
      <c r="J3909" s="86" t="str">
        <f>_xlfn.XLOOKUP(表格1[[#This Row],[Model]],表格3[Model-Input-Ref2],表格3[Code])</f>
        <v>LAD</v>
      </c>
      <c r="K3909" s="89" t="s">
        <v>1280</v>
      </c>
      <c r="L3909" s="86">
        <v>1</v>
      </c>
      <c r="M3909" s="87">
        <v>3180</v>
      </c>
      <c r="N3909" s="87">
        <f>IFERROR(表格1[[#This Row],[QTY]]*表格1[[#This Row],[Unit Price]],"-")</f>
        <v>3180</v>
      </c>
      <c r="O3909" s="86">
        <v>239472</v>
      </c>
      <c r="R3909" s="86" t="str">
        <f>_xlfn.CONCAT(表格1[[#This Row],[Model]]," ",表格1[[#This Row],[inv no]])</f>
        <v>TW-T21BU80UWH(MG) 239472</v>
      </c>
      <c r="S3909" s="86">
        <f>_xlfn.XLOOKUP(表格1[[#This Row],[Model]],表格3[Model-Input-Ref2],表格3[SRP PRICE])</f>
        <v>5180</v>
      </c>
      <c r="T3909" s="43">
        <f>表格1[[#This Row],[Unit Price]]/表格1[[#This Row],[SRP]]</f>
        <v>0.61389961389961389</v>
      </c>
      <c r="U3909" s="86" t="str">
        <f>_xlfn.XLOOKUP(表格1[[#This Row],[Model]],表格3[Model-Input-Ref2],表格3[TOSHIBA/HIGHEST])</f>
        <v>Toshiba SRP</v>
      </c>
      <c r="W3909" s="86" t="str">
        <f>_xlfn.CONCAT(表格1[[#This Row],[欄4]],表格1[[#This Row],[inv no]])</f>
        <v>239472</v>
      </c>
    </row>
    <row r="3910" spans="1:23" hidden="1">
      <c r="A3910" s="81">
        <v>3908</v>
      </c>
      <c r="B3910" s="86" t="s">
        <v>1403</v>
      </c>
      <c r="C3910" s="86" t="s">
        <v>1973</v>
      </c>
      <c r="D3910" s="89" t="str">
        <f ca="1">OFFSET(Roster!$A$3,MATCH(表格1[[#This Row],[Location]]&amp;" "&amp;表格1[[#This Row],[Shop]]&amp;"*",Roster!$A$4:$A$72,0),DAY(表格1[[#This Row],[date]]),1,1)</f>
        <v>Happy</v>
      </c>
      <c r="E3910" s="86">
        <f>MONTH(表格1[[#This Row],[date]])</f>
        <v>3</v>
      </c>
      <c r="F3910" s="90">
        <v>46108</v>
      </c>
      <c r="G3910" s="86" t="str">
        <f>VLOOKUP("*"&amp;表格1[[#This Row],[Input]]&amp;"*",'Ref-List'!$B:$D,2,)</f>
        <v>RAD-D250H</v>
      </c>
      <c r="H3910" s="86" t="str">
        <f>_xlfn.XLOOKUP(表格1[[#This Row],[Model]],表格3[Model-Input-Ref2],表格3[Product Line])</f>
        <v>壓縮式抽濕機 (25公升)</v>
      </c>
      <c r="I3910" s="86" t="str">
        <f>_xlfn.XLOOKUP(表格1[[#This Row],[Model]],表格3[Model-Input-Ref2],表格3[大小電])</f>
        <v>細電</v>
      </c>
      <c r="J3910" s="86" t="str">
        <f>_xlfn.XLOOKUP(表格1[[#This Row],[Model]],表格3[Model-Input-Ref2],表格3[Code])</f>
        <v>RAC</v>
      </c>
      <c r="K3910" s="89" t="s">
        <v>1407</v>
      </c>
      <c r="L3910" s="86">
        <v>1</v>
      </c>
      <c r="M3910" s="87">
        <v>2080</v>
      </c>
      <c r="N3910" s="87">
        <f>IFERROR(表格1[[#This Row],[QTY]]*表格1[[#This Row],[Unit Price]],"-")</f>
        <v>2080</v>
      </c>
      <c r="O3910" s="86">
        <v>239454</v>
      </c>
      <c r="R3910" s="86" t="str">
        <f>_xlfn.CONCAT(表格1[[#This Row],[Model]]," ",表格1[[#This Row],[inv no]])</f>
        <v>RAD-D250H 239454</v>
      </c>
      <c r="S3910" s="86">
        <f>_xlfn.XLOOKUP(表格1[[#This Row],[Model]],表格3[Model-Input-Ref2],表格3[SRP PRICE])</f>
        <v>3380</v>
      </c>
      <c r="T3910" s="43">
        <f>表格1[[#This Row],[Unit Price]]/表格1[[#This Row],[SRP]]</f>
        <v>0.61538461538461542</v>
      </c>
      <c r="U3910" s="86" t="str">
        <f>_xlfn.XLOOKUP(表格1[[#This Row],[Model]],表格3[Model-Input-Ref2],表格3[TOSHIBA/HIGHEST])</f>
        <v>Shops Highest Price</v>
      </c>
      <c r="W3910" s="86" t="str">
        <f>_xlfn.CONCAT(表格1[[#This Row],[欄4]],表格1[[#This Row],[inv no]])</f>
        <v>239454</v>
      </c>
    </row>
    <row r="3911" spans="1:23" hidden="1">
      <c r="A3911" s="81">
        <v>3909</v>
      </c>
      <c r="B3911" s="86" t="s">
        <v>1403</v>
      </c>
      <c r="C3911" s="86" t="s">
        <v>1973</v>
      </c>
      <c r="D3911" s="89" t="str">
        <f ca="1">OFFSET(Roster!$A$3,MATCH(表格1[[#This Row],[Location]]&amp;" "&amp;表格1[[#This Row],[Shop]]&amp;"*",Roster!$A$4:$A$72,0),DAY(表格1[[#This Row],[date]]),1,1)</f>
        <v>Happy</v>
      </c>
      <c r="E3911" s="86">
        <f>MONTH(表格1[[#This Row],[date]])</f>
        <v>3</v>
      </c>
      <c r="F3911" s="90">
        <v>46109</v>
      </c>
      <c r="G3911" s="86" t="str">
        <f>VLOOKUP("*"&amp;表格1[[#This Row],[Input]]&amp;"*",'Ref-List'!$B:$D,2,)</f>
        <v>RC-15BHH(W)</v>
      </c>
      <c r="H3911" s="86" t="str">
        <f>_xlfn.XLOOKUP(表格1[[#This Row],[Model]],表格3[Model-Input-Ref2],表格3[Product Line])</f>
        <v>酵活炊磁應電飯煲(1.5公升)</v>
      </c>
      <c r="I3911" s="86" t="str">
        <f>_xlfn.XLOOKUP(表格1[[#This Row],[Model]],表格3[Model-Input-Ref2],表格3[大小電])</f>
        <v>細電</v>
      </c>
      <c r="J3911" s="86" t="str">
        <f>_xlfn.XLOOKUP(表格1[[#This Row],[Model]],表格3[Model-Input-Ref2],表格3[Code])</f>
        <v>SDA</v>
      </c>
      <c r="K3911" s="89" t="s">
        <v>1381</v>
      </c>
      <c r="L3911" s="86">
        <v>1</v>
      </c>
      <c r="M3911" s="87">
        <v>1790</v>
      </c>
      <c r="N3911" s="87">
        <f>IFERROR(表格1[[#This Row],[QTY]]*表格1[[#This Row],[Unit Price]],"-")</f>
        <v>1790</v>
      </c>
      <c r="O3911" s="86">
        <v>239481</v>
      </c>
      <c r="R3911" s="86" t="str">
        <f>_xlfn.CONCAT(表格1[[#This Row],[Model]]," ",表格1[[#This Row],[inv no]])</f>
        <v>RC-15BHH(W) 239481</v>
      </c>
      <c r="S3911" s="86">
        <f>_xlfn.XLOOKUP(表格1[[#This Row],[Model]],表格3[Model-Input-Ref2],表格3[SRP PRICE])</f>
        <v>2388</v>
      </c>
      <c r="T3911" s="43">
        <f>表格1[[#This Row],[Unit Price]]/表格1[[#This Row],[SRP]]</f>
        <v>0.74958123953098832</v>
      </c>
      <c r="U3911" s="86" t="str">
        <f>_xlfn.XLOOKUP(表格1[[#This Row],[Model]],表格3[Model-Input-Ref2],表格3[TOSHIBA/HIGHEST])</f>
        <v>Toshiba SRP</v>
      </c>
      <c r="W3911" s="86" t="str">
        <f>_xlfn.CONCAT(表格1[[#This Row],[欄4]],表格1[[#This Row],[inv no]])</f>
        <v>239481</v>
      </c>
    </row>
    <row r="3912" spans="1:23" hidden="1">
      <c r="A3912" s="81">
        <v>3910</v>
      </c>
      <c r="B3912" s="86" t="s">
        <v>1403</v>
      </c>
      <c r="C3912" s="86" t="s">
        <v>1973</v>
      </c>
      <c r="D3912" s="89" t="str">
        <f ca="1">OFFSET(Roster!$A$3,MATCH(表格1[[#This Row],[Location]]&amp;" "&amp;表格1[[#This Row],[Shop]]&amp;"*",Roster!$A$4:$A$72,0),DAY(表格1[[#This Row],[date]]),1,1)</f>
        <v>Happy</v>
      </c>
      <c r="E3912" s="86">
        <f>MONTH(表格1[[#This Row],[date]])</f>
        <v>3</v>
      </c>
      <c r="F3912" s="90">
        <v>46109</v>
      </c>
      <c r="G3912" s="86" t="str">
        <f>VLOOKUP("*"&amp;表格1[[#This Row],[Input]]&amp;"*",'Ref-List'!$B:$D,2,)</f>
        <v>GR-RM598WE-PGA(B3)</v>
      </c>
      <c r="H3912" s="86" t="str">
        <f>_xlfn.XLOOKUP(表格1[[#This Row],[Model]],表格3[Model-Input-Ref2],表格3[Product Line])</f>
        <v>變頻六門雪櫃(451L)</v>
      </c>
      <c r="I3912" s="86" t="str">
        <f>_xlfn.XLOOKUP(表格1[[#This Row],[Model]],表格3[Model-Input-Ref2],表格3[大小電])</f>
        <v>大電</v>
      </c>
      <c r="J3912" s="86" t="str">
        <f>_xlfn.XLOOKUP(表格1[[#This Row],[Model]],表格3[Model-Input-Ref2],表格3[Code])</f>
        <v>REF</v>
      </c>
      <c r="K3912" s="89" t="s">
        <v>1491</v>
      </c>
      <c r="L3912" s="86">
        <v>1</v>
      </c>
      <c r="M3912" s="87">
        <v>10580</v>
      </c>
      <c r="N3912" s="87">
        <f>IFERROR(表格1[[#This Row],[QTY]]*表格1[[#This Row],[Unit Price]],"-")</f>
        <v>10580</v>
      </c>
      <c r="O3912" s="86">
        <v>239490</v>
      </c>
      <c r="R3912" s="86" t="str">
        <f>_xlfn.CONCAT(表格1[[#This Row],[Model]]," ",表格1[[#This Row],[inv no]])</f>
        <v>GR-RM598WE-PGA(B3) 239490</v>
      </c>
      <c r="S3912" s="86">
        <f>_xlfn.XLOOKUP(表格1[[#This Row],[Model]],表格3[Model-Input-Ref2],表格3[SRP PRICE])</f>
        <v>14980</v>
      </c>
      <c r="T3912" s="43">
        <f>表格1[[#This Row],[Unit Price]]/表格1[[#This Row],[SRP]]</f>
        <v>0.70627503337783715</v>
      </c>
      <c r="U3912" s="86" t="str">
        <f>_xlfn.XLOOKUP(表格1[[#This Row],[Model]],表格3[Model-Input-Ref2],表格3[TOSHIBA/HIGHEST])</f>
        <v>Toshiba SRP</v>
      </c>
      <c r="W3912" s="86" t="str">
        <f>_xlfn.CONCAT(表格1[[#This Row],[欄4]],表格1[[#This Row],[inv no]])</f>
        <v>239490</v>
      </c>
    </row>
    <row r="3913" spans="1:23" hidden="1">
      <c r="A3913" s="81">
        <v>3911</v>
      </c>
      <c r="B3913" s="86" t="s">
        <v>1403</v>
      </c>
      <c r="C3913" s="86" t="s">
        <v>1973</v>
      </c>
      <c r="D3913" s="89" t="str">
        <f ca="1">OFFSET(Roster!$A$3,MATCH(表格1[[#This Row],[Location]]&amp;" "&amp;表格1[[#This Row],[Shop]]&amp;"*",Roster!$A$4:$A$72,0),DAY(表格1[[#This Row],[date]]),1,1)</f>
        <v>Happy</v>
      </c>
      <c r="E3913" s="86">
        <f>MONTH(表格1[[#This Row],[date]])</f>
        <v>3</v>
      </c>
      <c r="F3913" s="90">
        <v>46109</v>
      </c>
      <c r="G3913" s="86" t="str">
        <f>VLOOKUP("*"&amp;表格1[[#This Row],[Input]]&amp;"*",'Ref-List'!$B:$D,2,)</f>
        <v>GR-RB221WE-PMA(57)</v>
      </c>
      <c r="H3913" s="86" t="str">
        <f>_xlfn.XLOOKUP(表格1[[#This Row],[Model]],表格3[Model-Input-Ref2],表格3[Product Line])</f>
        <v>變頻下置式雙門雪櫃（163L）</v>
      </c>
      <c r="I3913" s="86" t="str">
        <f>_xlfn.XLOOKUP(表格1[[#This Row],[Model]],表格3[Model-Input-Ref2],表格3[大小電])</f>
        <v>大電</v>
      </c>
      <c r="J3913" s="86" t="str">
        <f>_xlfn.XLOOKUP(表格1[[#This Row],[Model]],表格3[Model-Input-Ref2],表格3[Code])</f>
        <v>REF</v>
      </c>
      <c r="K3913" s="89" t="s">
        <v>1386</v>
      </c>
      <c r="L3913" s="86">
        <v>1</v>
      </c>
      <c r="M3913" s="87">
        <v>1880</v>
      </c>
      <c r="N3913" s="87">
        <f>IFERROR(表格1[[#This Row],[QTY]]*表格1[[#This Row],[Unit Price]],"-")</f>
        <v>1880</v>
      </c>
      <c r="O3913" s="86">
        <v>239487</v>
      </c>
      <c r="R3913" s="86" t="str">
        <f>_xlfn.CONCAT(表格1[[#This Row],[Model]]," ",表格1[[#This Row],[inv no]])</f>
        <v>GR-RB221WE-PMA(57) 239487</v>
      </c>
      <c r="S3913" s="86">
        <f>_xlfn.XLOOKUP(表格1[[#This Row],[Model]],表格3[Model-Input-Ref2],表格3[SRP PRICE])</f>
        <v>3480</v>
      </c>
      <c r="T3913" s="43">
        <f>表格1[[#This Row],[Unit Price]]/表格1[[#This Row],[SRP]]</f>
        <v>0.54022988505747127</v>
      </c>
      <c r="U3913" s="86" t="str">
        <f>_xlfn.XLOOKUP(表格1[[#This Row],[Model]],表格3[Model-Input-Ref2],表格3[TOSHIBA/HIGHEST])</f>
        <v>Toshiba SRP</v>
      </c>
      <c r="W3913" s="86" t="str">
        <f>_xlfn.CONCAT(表格1[[#This Row],[欄4]],表格1[[#This Row],[inv no]])</f>
        <v>239487</v>
      </c>
    </row>
    <row r="3914" spans="1:23" hidden="1">
      <c r="A3914" s="81">
        <v>3912</v>
      </c>
      <c r="B3914" s="86" t="s">
        <v>1403</v>
      </c>
      <c r="C3914" s="86" t="s">
        <v>1973</v>
      </c>
      <c r="D3914" s="89" t="str">
        <f ca="1">OFFSET(Roster!$A$3,MATCH(表格1[[#This Row],[Location]]&amp;" "&amp;表格1[[#This Row],[Shop]]&amp;"*",Roster!$A$4:$A$72,0),DAY(表格1[[#This Row],[date]]),1,1)</f>
        <v>Happy</v>
      </c>
      <c r="E3914" s="86">
        <f>MONTH(表格1[[#This Row],[date]])</f>
        <v>3</v>
      </c>
      <c r="F3914" s="90">
        <v>46109</v>
      </c>
      <c r="G3914" s="86" t="str">
        <f>VLOOKUP("*"&amp;表格1[[#This Row],[Input]]&amp;"*",'Ref-List'!$B:$D,2,)</f>
        <v>AW-Q801APH(WW)</v>
      </c>
      <c r="H3914" s="86" t="str">
        <f>_xlfn.XLOOKUP(表格1[[#This Row],[Model]],表格3[Model-Input-Ref2],表格3[Product Line])</f>
        <v>日式洗衣機 (7公斤 結合高低水位)</v>
      </c>
      <c r="I3914" s="86" t="str">
        <f>_xlfn.XLOOKUP(表格1[[#This Row],[Model]],表格3[Model-Input-Ref2],表格3[大小電])</f>
        <v>大電</v>
      </c>
      <c r="J3914" s="86" t="str">
        <f>_xlfn.XLOOKUP(表格1[[#This Row],[Model]],表格3[Model-Input-Ref2],表格3[Code])</f>
        <v>LAD</v>
      </c>
      <c r="K3914" s="89" t="s">
        <v>1420</v>
      </c>
      <c r="L3914" s="86">
        <v>1</v>
      </c>
      <c r="M3914" s="87">
        <v>1880</v>
      </c>
      <c r="N3914" s="87">
        <f>IFERROR(表格1[[#This Row],[QTY]]*表格1[[#This Row],[Unit Price]],"-")</f>
        <v>1880</v>
      </c>
      <c r="O3914" s="86">
        <v>239506</v>
      </c>
      <c r="R3914" s="86" t="str">
        <f>_xlfn.CONCAT(表格1[[#This Row],[Model]]," ",表格1[[#This Row],[inv no]])</f>
        <v>AW-Q801APH(WW) 239506</v>
      </c>
      <c r="S3914" s="86">
        <f>_xlfn.XLOOKUP(表格1[[#This Row],[Model]],表格3[Model-Input-Ref2],表格3[SRP PRICE])</f>
        <v>3380</v>
      </c>
      <c r="T3914" s="43">
        <f>表格1[[#This Row],[Unit Price]]/表格1[[#This Row],[SRP]]</f>
        <v>0.55621301775147924</v>
      </c>
      <c r="U3914" s="86" t="str">
        <f>_xlfn.XLOOKUP(表格1[[#This Row],[Model]],表格3[Model-Input-Ref2],表格3[TOSHIBA/HIGHEST])</f>
        <v>Toshiba SRP</v>
      </c>
      <c r="W3914" s="86" t="str">
        <f>_xlfn.CONCAT(表格1[[#This Row],[欄4]],表格1[[#This Row],[inv no]])</f>
        <v>239506</v>
      </c>
    </row>
    <row r="3915" spans="1:23" hidden="1">
      <c r="A3915" s="81">
        <v>3913</v>
      </c>
      <c r="B3915" s="86" t="s">
        <v>1403</v>
      </c>
      <c r="C3915" s="86" t="s">
        <v>1973</v>
      </c>
      <c r="D3915" s="89" t="str">
        <f ca="1">OFFSET(Roster!$A$3,MATCH(表格1[[#This Row],[Location]]&amp;" "&amp;表格1[[#This Row],[Shop]]&amp;"*",Roster!$A$4:$A$72,0),DAY(表格1[[#This Row],[date]]),1,1)</f>
        <v>Happy</v>
      </c>
      <c r="E3915" s="86">
        <f>MONTH(表格1[[#This Row],[date]])</f>
        <v>3</v>
      </c>
      <c r="F3915" s="90">
        <v>46109</v>
      </c>
      <c r="G3915" s="86" t="str">
        <f>VLOOKUP("*"&amp;表格1[[#This Row],[Input]]&amp;"*",'Ref-List'!$B:$D,2,)</f>
        <v>TWD-T21BU95UWH(WW)</v>
      </c>
      <c r="H3915" s="86" t="str">
        <f>_xlfn.XLOOKUP(表格1[[#This Row],[Model]],表格3[Model-Input-Ref2],表格3[Product Line])</f>
        <v>470MM超薄身前置式變頻洗衣乾衣機 (洗8.5公斤 乾6公斤)</v>
      </c>
      <c r="I3915" s="86" t="str">
        <f>_xlfn.XLOOKUP(表格1[[#This Row],[Model]],表格3[Model-Input-Ref2],表格3[大小電])</f>
        <v>大電</v>
      </c>
      <c r="J3915" s="86" t="str">
        <f>_xlfn.XLOOKUP(表格1[[#This Row],[Model]],表格3[Model-Input-Ref2],表格3[Code])</f>
        <v>LAD</v>
      </c>
      <c r="K3915" s="89" t="s">
        <v>1461</v>
      </c>
      <c r="L3915" s="86">
        <v>1</v>
      </c>
      <c r="M3915" s="87">
        <v>3999</v>
      </c>
      <c r="N3915" s="87">
        <f>IFERROR(表格1[[#This Row],[QTY]]*表格1[[#This Row],[Unit Price]],"-")</f>
        <v>3999</v>
      </c>
      <c r="O3915" s="86">
        <v>239530</v>
      </c>
      <c r="R3915" s="86" t="str">
        <f>_xlfn.CONCAT(表格1[[#This Row],[Model]]," ",表格1[[#This Row],[inv no]])</f>
        <v>TWD-T21BU95UWH(WW) 239530</v>
      </c>
      <c r="S3915" s="86">
        <f>_xlfn.XLOOKUP(表格1[[#This Row],[Model]],表格3[Model-Input-Ref2],表格3[SRP PRICE])</f>
        <v>7280</v>
      </c>
      <c r="T3915" s="43">
        <f>表格1[[#This Row],[Unit Price]]/表格1[[#This Row],[SRP]]</f>
        <v>0.54931318681318686</v>
      </c>
      <c r="U3915" s="86" t="str">
        <f>_xlfn.XLOOKUP(表格1[[#This Row],[Model]],表格3[Model-Input-Ref2],表格3[TOSHIBA/HIGHEST])</f>
        <v>Toshiba SRP</v>
      </c>
      <c r="W3915" s="86" t="str">
        <f>_xlfn.CONCAT(表格1[[#This Row],[欄4]],表格1[[#This Row],[inv no]])</f>
        <v>239530</v>
      </c>
    </row>
    <row r="3916" spans="1:23" hidden="1">
      <c r="A3916" s="81">
        <v>3914</v>
      </c>
      <c r="B3916" s="86" t="s">
        <v>1403</v>
      </c>
      <c r="C3916" s="86" t="s">
        <v>1973</v>
      </c>
      <c r="D3916" s="89" t="str">
        <f ca="1">OFFSET(Roster!$A$3,MATCH(表格1[[#This Row],[Location]]&amp;" "&amp;表格1[[#This Row],[Shop]]&amp;"*",Roster!$A$4:$A$72,0),DAY(表格1[[#This Row],[date]]),1,1)</f>
        <v>Happy</v>
      </c>
      <c r="E3916" s="86">
        <f>MONTH(表格1[[#This Row],[date]])</f>
        <v>3</v>
      </c>
      <c r="F3916" s="90">
        <v>46109</v>
      </c>
      <c r="G3916" s="86" t="str">
        <f>VLOOKUP("*"&amp;表格1[[#This Row],[Input]]&amp;"*",'Ref-List'!$B:$D,2,)</f>
        <v>RC-15BHH(W)</v>
      </c>
      <c r="H3916" s="86" t="str">
        <f>_xlfn.XLOOKUP(表格1[[#This Row],[Model]],表格3[Model-Input-Ref2],表格3[Product Line])</f>
        <v>酵活炊磁應電飯煲(1.5公升)</v>
      </c>
      <c r="I3916" s="86" t="str">
        <f>_xlfn.XLOOKUP(表格1[[#This Row],[Model]],表格3[Model-Input-Ref2],表格3[大小電])</f>
        <v>細電</v>
      </c>
      <c r="J3916" s="86" t="str">
        <f>_xlfn.XLOOKUP(表格1[[#This Row],[Model]],表格3[Model-Input-Ref2],表格3[Code])</f>
        <v>SDA</v>
      </c>
      <c r="K3916" s="89" t="s">
        <v>1381</v>
      </c>
      <c r="L3916" s="86">
        <v>1</v>
      </c>
      <c r="M3916" s="87">
        <v>1888</v>
      </c>
      <c r="N3916" s="87">
        <f>IFERROR(表格1[[#This Row],[QTY]]*表格1[[#This Row],[Unit Price]],"-")</f>
        <v>1888</v>
      </c>
      <c r="O3916" s="86">
        <v>8862</v>
      </c>
      <c r="P3916" s="86" t="s">
        <v>1976</v>
      </c>
      <c r="R3916" s="86" t="str">
        <f>_xlfn.CONCAT(表格1[[#This Row],[Model]]," ",表格1[[#This Row],[inv no]])</f>
        <v>RC-15BHH(W) 8862</v>
      </c>
      <c r="S3916" s="86">
        <f>_xlfn.XLOOKUP(表格1[[#This Row],[Model]],表格3[Model-Input-Ref2],表格3[SRP PRICE])</f>
        <v>2388</v>
      </c>
      <c r="T3916" s="43">
        <f>表格1[[#This Row],[Unit Price]]/表格1[[#This Row],[SRP]]</f>
        <v>0.79061976549413737</v>
      </c>
      <c r="U3916" s="86" t="str">
        <f>_xlfn.XLOOKUP(表格1[[#This Row],[Model]],表格3[Model-Input-Ref2],表格3[TOSHIBA/HIGHEST])</f>
        <v>Toshiba SRP</v>
      </c>
      <c r="W3916" s="86" t="str">
        <f>_xlfn.CONCAT(表格1[[#This Row],[欄4]],表格1[[#This Row],[inv no]])</f>
        <v>8862</v>
      </c>
    </row>
    <row r="3917" spans="1:23" hidden="1">
      <c r="A3917" s="81">
        <v>3915</v>
      </c>
      <c r="B3917" s="86" t="s">
        <v>1403</v>
      </c>
      <c r="C3917" s="86" t="s">
        <v>1973</v>
      </c>
      <c r="D3917" s="89" t="str">
        <f ca="1">OFFSET(Roster!$A$3,MATCH(表格1[[#This Row],[Location]]&amp;" "&amp;表格1[[#This Row],[Shop]]&amp;"*",Roster!$A$4:$A$72,0),DAY(表格1[[#This Row],[date]]),1,1)</f>
        <v>Happy</v>
      </c>
      <c r="E3917" s="86">
        <f>MONTH(表格1[[#This Row],[date]])</f>
        <v>3</v>
      </c>
      <c r="F3917" s="90">
        <v>46110</v>
      </c>
      <c r="G3917" s="86" t="str">
        <f>VLOOKUP("*"&amp;表格1[[#This Row],[Input]]&amp;"*",'Ref-List'!$B:$D,2,)</f>
        <v>AW-Q901BPH(WW)</v>
      </c>
      <c r="H3917" s="86" t="str">
        <f>_xlfn.XLOOKUP(表格1[[#This Row],[Model]],表格3[Model-Input-Ref2],表格3[Product Line])</f>
        <v>日式洗衣機 (8公斤 結合高低水位)</v>
      </c>
      <c r="I3917" s="86" t="str">
        <f>_xlfn.XLOOKUP(表格1[[#This Row],[Model]],表格3[Model-Input-Ref2],表格3[大小電])</f>
        <v>大電</v>
      </c>
      <c r="J3917" s="86" t="str">
        <f>_xlfn.XLOOKUP(表格1[[#This Row],[Model]],表格3[Model-Input-Ref2],表格3[Code])</f>
        <v>LAD</v>
      </c>
      <c r="K3917" s="89" t="s">
        <v>1411</v>
      </c>
      <c r="L3917" s="86">
        <v>1</v>
      </c>
      <c r="M3917" s="87">
        <v>2280</v>
      </c>
      <c r="N3917" s="87">
        <f>IFERROR(表格1[[#This Row],[QTY]]*表格1[[#This Row],[Unit Price]],"-")</f>
        <v>2280</v>
      </c>
      <c r="O3917" s="86">
        <v>239536</v>
      </c>
      <c r="R3917" s="86" t="str">
        <f>_xlfn.CONCAT(表格1[[#This Row],[Model]]," ",表格1[[#This Row],[inv no]])</f>
        <v>AW-Q901BPH(WW) 239536</v>
      </c>
      <c r="S3917" s="86">
        <f>_xlfn.XLOOKUP(表格1[[#This Row],[Model]],表格3[Model-Input-Ref2],表格3[SRP PRICE])</f>
        <v>3780</v>
      </c>
      <c r="T3917" s="43">
        <f>表格1[[#This Row],[Unit Price]]/表格1[[#This Row],[SRP]]</f>
        <v>0.60317460317460314</v>
      </c>
      <c r="U3917" s="86" t="str">
        <f>_xlfn.XLOOKUP(表格1[[#This Row],[Model]],表格3[Model-Input-Ref2],表格3[TOSHIBA/HIGHEST])</f>
        <v>Toshiba SRP</v>
      </c>
      <c r="W3917" s="86" t="str">
        <f>_xlfn.CONCAT(表格1[[#This Row],[欄4]],表格1[[#This Row],[inv no]])</f>
        <v>239536</v>
      </c>
    </row>
    <row r="3918" spans="1:23" hidden="1">
      <c r="A3918" s="81">
        <v>3916</v>
      </c>
      <c r="B3918" s="86" t="s">
        <v>1403</v>
      </c>
      <c r="C3918" s="86" t="s">
        <v>1973</v>
      </c>
      <c r="D3918" s="89" t="str">
        <f ca="1">OFFSET(Roster!$A$3,MATCH(表格1[[#This Row],[Location]]&amp;" "&amp;表格1[[#This Row],[Shop]]&amp;"*",Roster!$A$4:$A$72,0),DAY(表格1[[#This Row],[date]]),1,1)</f>
        <v>Happy</v>
      </c>
      <c r="E3918" s="86">
        <f>MONTH(表格1[[#This Row],[date]])</f>
        <v>3</v>
      </c>
      <c r="F3918" s="90">
        <v>46110</v>
      </c>
      <c r="G3918" s="86" t="str">
        <f>VLOOKUP("*"&amp;表格1[[#This Row],[Input]]&amp;"*",'Ref-List'!$B:$D,2,)</f>
        <v>RAD-D250H</v>
      </c>
      <c r="H3918" s="86" t="str">
        <f>_xlfn.XLOOKUP(表格1[[#This Row],[Model]],表格3[Model-Input-Ref2],表格3[Product Line])</f>
        <v>壓縮式抽濕機 (25公升)</v>
      </c>
      <c r="I3918" s="86" t="str">
        <f>_xlfn.XLOOKUP(表格1[[#This Row],[Model]],表格3[Model-Input-Ref2],表格3[大小電])</f>
        <v>細電</v>
      </c>
      <c r="J3918" s="86" t="str">
        <f>_xlfn.XLOOKUP(表格1[[#This Row],[Model]],表格3[Model-Input-Ref2],表格3[Code])</f>
        <v>RAC</v>
      </c>
      <c r="K3918" s="89" t="s">
        <v>1407</v>
      </c>
      <c r="L3918" s="86">
        <v>1</v>
      </c>
      <c r="M3918" s="87">
        <v>2080</v>
      </c>
      <c r="N3918" s="87">
        <f>IFERROR(表格1[[#This Row],[QTY]]*表格1[[#This Row],[Unit Price]],"-")</f>
        <v>2080</v>
      </c>
      <c r="O3918" s="86">
        <v>10338</v>
      </c>
      <c r="R3918" s="86" t="str">
        <f>_xlfn.CONCAT(表格1[[#This Row],[Model]]," ",表格1[[#This Row],[inv no]])</f>
        <v>RAD-D250H 10338</v>
      </c>
      <c r="S3918" s="86">
        <f>_xlfn.XLOOKUP(表格1[[#This Row],[Model]],表格3[Model-Input-Ref2],表格3[SRP PRICE])</f>
        <v>3380</v>
      </c>
      <c r="T3918" s="43">
        <f>表格1[[#This Row],[Unit Price]]/表格1[[#This Row],[SRP]]</f>
        <v>0.61538461538461542</v>
      </c>
      <c r="U3918" s="86" t="str">
        <f>_xlfn.XLOOKUP(表格1[[#This Row],[Model]],表格3[Model-Input-Ref2],表格3[TOSHIBA/HIGHEST])</f>
        <v>Shops Highest Price</v>
      </c>
      <c r="W3918" s="86" t="str">
        <f>_xlfn.CONCAT(表格1[[#This Row],[欄4]],表格1[[#This Row],[inv no]])</f>
        <v>10338</v>
      </c>
    </row>
    <row r="3919" spans="1:23" hidden="1">
      <c r="A3919" s="81">
        <v>3917</v>
      </c>
      <c r="B3919" s="86" t="s">
        <v>1403</v>
      </c>
      <c r="C3919" s="86" t="s">
        <v>1973</v>
      </c>
      <c r="D3919" s="89" t="str">
        <f ca="1">OFFSET(Roster!$A$3,MATCH(表格1[[#This Row],[Location]]&amp;" "&amp;表格1[[#This Row],[Shop]]&amp;"*",Roster!$A$4:$A$72,0),DAY(表格1[[#This Row],[date]]),1,1)</f>
        <v>Happy</v>
      </c>
      <c r="E3919" s="86">
        <f>MONTH(表格1[[#This Row],[date]])</f>
        <v>3</v>
      </c>
      <c r="F3919" s="90">
        <v>46110</v>
      </c>
      <c r="G3919" s="86" t="str">
        <f>VLOOKUP("*"&amp;表格1[[#This Row],[Input]]&amp;"*",'Ref-List'!$B:$D,2,)</f>
        <v>RAD-D250H</v>
      </c>
      <c r="H3919" s="86" t="str">
        <f>_xlfn.XLOOKUP(表格1[[#This Row],[Model]],表格3[Model-Input-Ref2],表格3[Product Line])</f>
        <v>壓縮式抽濕機 (25公升)</v>
      </c>
      <c r="I3919" s="86" t="str">
        <f>_xlfn.XLOOKUP(表格1[[#This Row],[Model]],表格3[Model-Input-Ref2],表格3[大小電])</f>
        <v>細電</v>
      </c>
      <c r="J3919" s="86" t="str">
        <f>_xlfn.XLOOKUP(表格1[[#This Row],[Model]],表格3[Model-Input-Ref2],表格3[Code])</f>
        <v>RAC</v>
      </c>
      <c r="K3919" s="89" t="s">
        <v>1407</v>
      </c>
      <c r="L3919" s="86">
        <v>1</v>
      </c>
      <c r="M3919" s="87">
        <v>2080</v>
      </c>
      <c r="N3919" s="87">
        <f>IFERROR(表格1[[#This Row],[QTY]]*表格1[[#This Row],[Unit Price]],"-")</f>
        <v>2080</v>
      </c>
      <c r="O3919" s="86">
        <v>8866</v>
      </c>
      <c r="R3919" s="86" t="str">
        <f>_xlfn.CONCAT(表格1[[#This Row],[Model]]," ",表格1[[#This Row],[inv no]])</f>
        <v>RAD-D250H 8866</v>
      </c>
      <c r="S3919" s="86">
        <f>_xlfn.XLOOKUP(表格1[[#This Row],[Model]],表格3[Model-Input-Ref2],表格3[SRP PRICE])</f>
        <v>3380</v>
      </c>
      <c r="T3919" s="43">
        <f>表格1[[#This Row],[Unit Price]]/表格1[[#This Row],[SRP]]</f>
        <v>0.61538461538461542</v>
      </c>
      <c r="U3919" s="86" t="str">
        <f>_xlfn.XLOOKUP(表格1[[#This Row],[Model]],表格3[Model-Input-Ref2],表格3[TOSHIBA/HIGHEST])</f>
        <v>Shops Highest Price</v>
      </c>
      <c r="W3919" s="86" t="str">
        <f>_xlfn.CONCAT(表格1[[#This Row],[欄4]],表格1[[#This Row],[inv no]])</f>
        <v>8866</v>
      </c>
    </row>
    <row r="3920" spans="1:23" hidden="1">
      <c r="A3920" s="81">
        <v>3918</v>
      </c>
      <c r="B3920" s="86" t="s">
        <v>1403</v>
      </c>
      <c r="C3920" s="86" t="s">
        <v>1973</v>
      </c>
      <c r="D3920" s="89" t="str">
        <f ca="1">OFFSET(Roster!$A$3,MATCH(表格1[[#This Row],[Location]]&amp;" "&amp;表格1[[#This Row],[Shop]]&amp;"*",Roster!$A$4:$A$72,0),DAY(表格1[[#This Row],[date]]),1,1)</f>
        <v>Happy</v>
      </c>
      <c r="E3920" s="86">
        <f>MONTH(表格1[[#This Row],[date]])</f>
        <v>3</v>
      </c>
      <c r="F3920" s="90">
        <v>46110</v>
      </c>
      <c r="G3920" s="86" t="str">
        <f>VLOOKUP("*"&amp;表格1[[#This Row],[Input]]&amp;"*",'Ref-List'!$B:$D,2,)</f>
        <v>TW-T21BU80UWH(MG)</v>
      </c>
      <c r="H3920" s="86" t="str">
        <f>_xlfn.XLOOKUP(表格1[[#This Row],[Model]],表格3[Model-Input-Ref2],表格3[Product Line])</f>
        <v>400MM超薄身前置式變頻洗衣機(7公斤)</v>
      </c>
      <c r="I3920" s="86" t="str">
        <f>_xlfn.XLOOKUP(表格1[[#This Row],[Model]],表格3[Model-Input-Ref2],表格3[大小電])</f>
        <v>大電</v>
      </c>
      <c r="J3920" s="86" t="str">
        <f>_xlfn.XLOOKUP(表格1[[#This Row],[Model]],表格3[Model-Input-Ref2],表格3[Code])</f>
        <v>LAD</v>
      </c>
      <c r="K3920" s="89" t="s">
        <v>1280</v>
      </c>
      <c r="L3920" s="86">
        <v>1</v>
      </c>
      <c r="M3920" s="87">
        <v>3080</v>
      </c>
      <c r="N3920" s="87">
        <f>IFERROR(表格1[[#This Row],[QTY]]*表格1[[#This Row],[Unit Price]],"-")</f>
        <v>3080</v>
      </c>
      <c r="O3920" s="86">
        <v>239566</v>
      </c>
      <c r="R3920" s="86" t="str">
        <f>_xlfn.CONCAT(表格1[[#This Row],[Model]]," ",表格1[[#This Row],[inv no]])</f>
        <v>TW-T21BU80UWH(MG) 239566</v>
      </c>
      <c r="S3920" s="86">
        <f>_xlfn.XLOOKUP(表格1[[#This Row],[Model]],表格3[Model-Input-Ref2],表格3[SRP PRICE])</f>
        <v>5180</v>
      </c>
      <c r="T3920" s="43">
        <f>表格1[[#This Row],[Unit Price]]/表格1[[#This Row],[SRP]]</f>
        <v>0.59459459459459463</v>
      </c>
      <c r="U3920" s="86" t="str">
        <f>_xlfn.XLOOKUP(表格1[[#This Row],[Model]],表格3[Model-Input-Ref2],表格3[TOSHIBA/HIGHEST])</f>
        <v>Toshiba SRP</v>
      </c>
      <c r="W3920" s="86" t="str">
        <f>_xlfn.CONCAT(表格1[[#This Row],[欄4]],表格1[[#This Row],[inv no]])</f>
        <v>239566</v>
      </c>
    </row>
    <row r="3921" spans="1:23" hidden="1">
      <c r="A3921" s="81">
        <v>3919</v>
      </c>
      <c r="B3921" s="86" t="s">
        <v>1403</v>
      </c>
      <c r="C3921" s="86" t="s">
        <v>1973</v>
      </c>
      <c r="D3921" s="89" t="str">
        <f ca="1">OFFSET(Roster!$A$3,MATCH(表格1[[#This Row],[Location]]&amp;" "&amp;表格1[[#This Row],[Shop]]&amp;"*",Roster!$A$4:$A$72,0),DAY(表格1[[#This Row],[date]]),1,1)</f>
        <v>Happy</v>
      </c>
      <c r="E3921" s="86">
        <f>MONTH(表格1[[#This Row],[date]])</f>
        <v>3</v>
      </c>
      <c r="F3921" s="90">
        <v>46110</v>
      </c>
      <c r="G3921" s="86" t="str">
        <f>VLOOKUP("*"&amp;表格1[[#This Row],[Input]]&amp;"*",'Ref-List'!$B:$D,2,)</f>
        <v>MX2-STR25SC(WH)</v>
      </c>
      <c r="H3921" s="86" t="str">
        <f>_xlfn.XLOOKUP(表格1[[#This Row],[Model]],表格3[Model-Input-Ref2],表格3[Product Line])</f>
        <v>4合1氣炸微波蒸焗爐(25公升)</v>
      </c>
      <c r="I3921" s="86" t="str">
        <f>_xlfn.XLOOKUP(表格1[[#This Row],[Model]],表格3[Model-Input-Ref2],表格3[大小電])</f>
        <v>細電</v>
      </c>
      <c r="J3921" s="86" t="str">
        <f>_xlfn.XLOOKUP(表格1[[#This Row],[Model]],表格3[Model-Input-Ref2],表格3[Code])</f>
        <v>MCA</v>
      </c>
      <c r="K3921" s="89" t="s">
        <v>1410</v>
      </c>
      <c r="L3921" s="86">
        <v>1</v>
      </c>
      <c r="M3921" s="87">
        <v>3180</v>
      </c>
      <c r="N3921" s="87">
        <f>IFERROR(表格1[[#This Row],[QTY]]*表格1[[#This Row],[Unit Price]],"-")</f>
        <v>3180</v>
      </c>
      <c r="O3921" s="86">
        <v>239553</v>
      </c>
      <c r="R3921" s="86" t="str">
        <f>_xlfn.CONCAT(表格1[[#This Row],[Model]]," ",表格1[[#This Row],[inv no]])</f>
        <v>MX2-STR25SC(WH) 239553</v>
      </c>
      <c r="S3921" s="86">
        <f>_xlfn.XLOOKUP(表格1[[#This Row],[Model]],表格3[Model-Input-Ref2],表格3[SRP PRICE])</f>
        <v>4998</v>
      </c>
      <c r="T3921" s="43">
        <f>表格1[[#This Row],[Unit Price]]/表格1[[#This Row],[SRP]]</f>
        <v>0.6362545018007203</v>
      </c>
      <c r="U3921" s="86" t="str">
        <f>_xlfn.XLOOKUP(表格1[[#This Row],[Model]],表格3[Model-Input-Ref2],表格3[TOSHIBA/HIGHEST])</f>
        <v>Toshiba SRP</v>
      </c>
      <c r="W3921" s="86" t="str">
        <f>_xlfn.CONCAT(表格1[[#This Row],[欄4]],表格1[[#This Row],[inv no]])</f>
        <v>239553</v>
      </c>
    </row>
    <row r="3922" spans="1:23" hidden="1">
      <c r="A3922" s="81">
        <v>3920</v>
      </c>
      <c r="B3922" s="86" t="s">
        <v>1403</v>
      </c>
      <c r="C3922" s="86" t="s">
        <v>1973</v>
      </c>
      <c r="D3922" s="89" t="str">
        <f ca="1">OFFSET(Roster!$A$3,MATCH(表格1[[#This Row],[Location]]&amp;" "&amp;表格1[[#This Row],[Shop]]&amp;"*",Roster!$A$4:$A$72,0),DAY(表格1[[#This Row],[date]]),1,1)</f>
        <v>Happy</v>
      </c>
      <c r="E3922" s="86">
        <f>MONTH(表格1[[#This Row],[date]])</f>
        <v>3</v>
      </c>
      <c r="F3922" s="90">
        <v>46110</v>
      </c>
      <c r="G3922" s="86" t="str">
        <f>VLOOKUP("*"&amp;表格1[[#This Row],[Input]]&amp;"*",'Ref-List'!$B:$D,2,)</f>
        <v>TW-T21BU80UWH(MG)</v>
      </c>
      <c r="H3922" s="86" t="str">
        <f>_xlfn.XLOOKUP(表格1[[#This Row],[Model]],表格3[Model-Input-Ref2],表格3[Product Line])</f>
        <v>400MM超薄身前置式變頻洗衣機(7公斤)</v>
      </c>
      <c r="I3922" s="86" t="str">
        <f>_xlfn.XLOOKUP(表格1[[#This Row],[Model]],表格3[Model-Input-Ref2],表格3[大小電])</f>
        <v>大電</v>
      </c>
      <c r="J3922" s="86" t="str">
        <f>_xlfn.XLOOKUP(表格1[[#This Row],[Model]],表格3[Model-Input-Ref2],表格3[Code])</f>
        <v>LAD</v>
      </c>
      <c r="K3922" s="89" t="s">
        <v>1280</v>
      </c>
      <c r="L3922" s="86">
        <v>1</v>
      </c>
      <c r="M3922" s="87">
        <v>3080</v>
      </c>
      <c r="N3922" s="87">
        <f>IFERROR(表格1[[#This Row],[QTY]]*表格1[[#This Row],[Unit Price]],"-")</f>
        <v>3080</v>
      </c>
      <c r="O3922" s="86">
        <v>239572</v>
      </c>
      <c r="R3922" s="86" t="str">
        <f>_xlfn.CONCAT(表格1[[#This Row],[Model]]," ",表格1[[#This Row],[inv no]])</f>
        <v>TW-T21BU80UWH(MG) 239572</v>
      </c>
      <c r="S3922" s="86">
        <f>_xlfn.XLOOKUP(表格1[[#This Row],[Model]],表格3[Model-Input-Ref2],表格3[SRP PRICE])</f>
        <v>5180</v>
      </c>
      <c r="T3922" s="43">
        <f>表格1[[#This Row],[Unit Price]]/表格1[[#This Row],[SRP]]</f>
        <v>0.59459459459459463</v>
      </c>
      <c r="U3922" s="86" t="str">
        <f>_xlfn.XLOOKUP(表格1[[#This Row],[Model]],表格3[Model-Input-Ref2],表格3[TOSHIBA/HIGHEST])</f>
        <v>Toshiba SRP</v>
      </c>
      <c r="W3922" s="86" t="str">
        <f>_xlfn.CONCAT(表格1[[#This Row],[欄4]],表格1[[#This Row],[inv no]])</f>
        <v>239572</v>
      </c>
    </row>
    <row r="3923" spans="1:23" hidden="1">
      <c r="A3923" s="81">
        <v>3921</v>
      </c>
      <c r="B3923" s="86" t="s">
        <v>1403</v>
      </c>
      <c r="C3923" s="86" t="s">
        <v>1973</v>
      </c>
      <c r="D3923" s="89" t="str">
        <f ca="1">OFFSET(Roster!$A$3,MATCH(表格1[[#This Row],[Location]]&amp;" "&amp;表格1[[#This Row],[Shop]]&amp;"*",Roster!$A$4:$A$72,0),DAY(表格1[[#This Row],[date]]),1,1)</f>
        <v>Happy</v>
      </c>
      <c r="E3923" s="86">
        <f>MONTH(表格1[[#This Row],[date]])</f>
        <v>3</v>
      </c>
      <c r="F3923" s="90">
        <v>46110</v>
      </c>
      <c r="G3923" s="86" t="str">
        <f>VLOOKUP("*"&amp;表格1[[#This Row],[Input]]&amp;"*",'Ref-List'!$B:$D,2,)</f>
        <v>RC-18AMXH(W)</v>
      </c>
      <c r="H3923" s="86" t="str">
        <f>_xlfn.XLOOKUP(表格1[[#This Row],[Model]],表格3[Model-Input-Ref2],表格3[Product Line])</f>
        <v>酵活炊電飯煲(1.8公升)</v>
      </c>
      <c r="I3923" s="86" t="str">
        <f>_xlfn.XLOOKUP(表格1[[#This Row],[Model]],表格3[Model-Input-Ref2],表格3[大小電])</f>
        <v>細電</v>
      </c>
      <c r="J3923" s="86" t="str">
        <f>_xlfn.XLOOKUP(表格1[[#This Row],[Model]],表格3[Model-Input-Ref2],表格3[Code])</f>
        <v>SDA</v>
      </c>
      <c r="K3923" s="89" t="s">
        <v>1362</v>
      </c>
      <c r="L3923" s="86">
        <v>1</v>
      </c>
      <c r="M3923" s="87">
        <v>990</v>
      </c>
      <c r="N3923" s="87">
        <f>IFERROR(表格1[[#This Row],[QTY]]*表格1[[#This Row],[Unit Price]],"-")</f>
        <v>990</v>
      </c>
      <c r="O3923" s="86">
        <v>8873</v>
      </c>
      <c r="R3923" s="86" t="str">
        <f>_xlfn.CONCAT(表格1[[#This Row],[Model]]," ",表格1[[#This Row],[inv no]])</f>
        <v>RC-18AMXH(W) 8873</v>
      </c>
      <c r="S3923" s="86">
        <f>_xlfn.XLOOKUP(表格1[[#This Row],[Model]],表格3[Model-Input-Ref2],表格3[SRP PRICE])</f>
        <v>1588</v>
      </c>
      <c r="T3923" s="43">
        <f>表格1[[#This Row],[Unit Price]]/表格1[[#This Row],[SRP]]</f>
        <v>0.62342569269521408</v>
      </c>
      <c r="U3923" s="86" t="str">
        <f>_xlfn.XLOOKUP(表格1[[#This Row],[Model]],表格3[Model-Input-Ref2],表格3[TOSHIBA/HIGHEST])</f>
        <v>Toshiba SRP</v>
      </c>
      <c r="W3923" s="86" t="str">
        <f>_xlfn.CONCAT(表格1[[#This Row],[欄4]],表格1[[#This Row],[inv no]])</f>
        <v>8873</v>
      </c>
    </row>
    <row r="3924" spans="1:23" hidden="1">
      <c r="A3924" s="81">
        <v>3922</v>
      </c>
      <c r="B3924" s="86" t="s">
        <v>1403</v>
      </c>
      <c r="C3924" s="86" t="s">
        <v>1973</v>
      </c>
      <c r="D3924" s="89" t="str">
        <f ca="1">OFFSET(Roster!$A$3,MATCH(表格1[[#This Row],[Location]]&amp;" "&amp;表格1[[#This Row],[Shop]]&amp;"*",Roster!$A$4:$A$72,0),DAY(表格1[[#This Row],[date]]),1,1)</f>
        <v>Happy</v>
      </c>
      <c r="E3924" s="86">
        <f>MONTH(表格1[[#This Row],[date]])</f>
        <v>3</v>
      </c>
      <c r="F3924" s="90">
        <v>46110</v>
      </c>
      <c r="G3924" s="86" t="str">
        <f>VLOOKUP("*"&amp;表格1[[#This Row],[Input]]&amp;"*",'Ref-List'!$B:$D,2,)</f>
        <v>RAC-18G3CVRGR-HK</v>
      </c>
      <c r="H3924" s="86" t="str">
        <f>_xlfn.XLOOKUP(表格1[[#This Row],[Model]],表格3[Model-Input-Ref2],表格3[Product Line])</f>
        <v>2 匹 R32變頻窗口式冷氣機 (remote)</v>
      </c>
      <c r="I3924" s="86" t="str">
        <f>_xlfn.XLOOKUP(表格1[[#This Row],[Model]],表格3[Model-Input-Ref2],表格3[大小電])</f>
        <v>大電</v>
      </c>
      <c r="J3924" s="86" t="str">
        <f>_xlfn.XLOOKUP(表格1[[#This Row],[Model]],表格3[Model-Input-Ref2],表格3[Code])</f>
        <v>AC</v>
      </c>
      <c r="K3924" s="89" t="s">
        <v>1471</v>
      </c>
      <c r="L3924" s="86">
        <v>1</v>
      </c>
      <c r="M3924" s="87">
        <v>6880</v>
      </c>
      <c r="N3924" s="87">
        <f>IFERROR(表格1[[#This Row],[QTY]]*表格1[[#This Row],[Unit Price]],"-")</f>
        <v>6880</v>
      </c>
      <c r="O3924" s="86">
        <v>239570</v>
      </c>
      <c r="R3924" s="86" t="str">
        <f>_xlfn.CONCAT(表格1[[#This Row],[Model]]," ",表格1[[#This Row],[inv no]])</f>
        <v>RAC-18G3CVRGR-HK 239570</v>
      </c>
      <c r="S3924" s="86">
        <f>_xlfn.XLOOKUP(表格1[[#This Row],[Model]],表格3[Model-Input-Ref2],表格3[SRP PRICE])</f>
        <v>10380</v>
      </c>
      <c r="T3924" s="43">
        <f>表格1[[#This Row],[Unit Price]]/表格1[[#This Row],[SRP]]</f>
        <v>0.66281310211946054</v>
      </c>
      <c r="U3924" s="86" t="str">
        <f>_xlfn.XLOOKUP(表格1[[#This Row],[Model]],表格3[Model-Input-Ref2],表格3[TOSHIBA/HIGHEST])</f>
        <v>Toshiba SRP</v>
      </c>
      <c r="W3924" s="86" t="str">
        <f>_xlfn.CONCAT(表格1[[#This Row],[欄4]],表格1[[#This Row],[inv no]])</f>
        <v>239570</v>
      </c>
    </row>
    <row r="3925" spans="1:23" hidden="1">
      <c r="A3925" s="81">
        <v>3923</v>
      </c>
      <c r="B3925" s="86" t="s">
        <v>1403</v>
      </c>
      <c r="C3925" s="86" t="s">
        <v>1973</v>
      </c>
      <c r="D3925" s="89" t="str">
        <f ca="1">OFFSET(Roster!$A$3,MATCH(表格1[[#This Row],[Location]]&amp;" "&amp;表格1[[#This Row],[Shop]]&amp;"*",Roster!$A$4:$A$72,0),DAY(表格1[[#This Row],[date]]),1,1)</f>
        <v>Happy</v>
      </c>
      <c r="E3925" s="86">
        <f>MONTH(表格1[[#This Row],[date]])</f>
        <v>3</v>
      </c>
      <c r="F3925" s="90">
        <v>46110</v>
      </c>
      <c r="G3925" s="86" t="str">
        <f>VLOOKUP("*"&amp;表格1[[#This Row],[Input]]&amp;"*",'Ref-List'!$B:$D,2,)</f>
        <v>MM-2MM20PC(WH)</v>
      </c>
      <c r="H3925" s="86" t="str">
        <f>_xlfn.XLOOKUP(表格1[[#This Row],[Model]],表格3[Model-Input-Ref2],表格3[Product Line])</f>
        <v>旋鈕式微波爐 (20公升)</v>
      </c>
      <c r="I3925" s="86" t="str">
        <f>_xlfn.XLOOKUP(表格1[[#This Row],[Model]],表格3[Model-Input-Ref2],表格3[大小電])</f>
        <v>細電</v>
      </c>
      <c r="J3925" s="86" t="str">
        <f>_xlfn.XLOOKUP(表格1[[#This Row],[Model]],表格3[Model-Input-Ref2],表格3[Code])</f>
        <v>MCA</v>
      </c>
      <c r="K3925" s="89" t="s">
        <v>1388</v>
      </c>
      <c r="L3925" s="86">
        <v>1</v>
      </c>
      <c r="M3925" s="87">
        <v>598</v>
      </c>
      <c r="N3925" s="87">
        <f>IFERROR(表格1[[#This Row],[QTY]]*表格1[[#This Row],[Unit Price]],"-")</f>
        <v>598</v>
      </c>
      <c r="O3925" s="86">
        <v>239575</v>
      </c>
      <c r="R3925" s="86" t="str">
        <f>_xlfn.CONCAT(表格1[[#This Row],[Model]]," ",表格1[[#This Row],[inv no]])</f>
        <v>MM-2MM20PC(WH) 239575</v>
      </c>
      <c r="S3925" s="86">
        <f>_xlfn.XLOOKUP(表格1[[#This Row],[Model]],表格3[Model-Input-Ref2],表格3[SRP PRICE])</f>
        <v>738</v>
      </c>
      <c r="T3925" s="43">
        <f>表格1[[#This Row],[Unit Price]]/表格1[[#This Row],[SRP]]</f>
        <v>0.81029810298102978</v>
      </c>
      <c r="U3925" s="86" t="str">
        <f>_xlfn.XLOOKUP(表格1[[#This Row],[Model]],表格3[Model-Input-Ref2],表格3[TOSHIBA/HIGHEST])</f>
        <v>Toshiba SRP</v>
      </c>
      <c r="W3925" s="86" t="str">
        <f>_xlfn.CONCAT(表格1[[#This Row],[欄4]],表格1[[#This Row],[inv no]])</f>
        <v>239575</v>
      </c>
    </row>
    <row r="3926" spans="1:23" hidden="1">
      <c r="A3926" s="81">
        <v>3924</v>
      </c>
      <c r="B3926" s="86" t="s">
        <v>1403</v>
      </c>
      <c r="C3926" s="86" t="s">
        <v>1973</v>
      </c>
      <c r="D3926" s="89" t="str">
        <f ca="1">OFFSET(Roster!$A$3,MATCH(表格1[[#This Row],[Location]]&amp;" "&amp;表格1[[#This Row],[Shop]]&amp;"*",Roster!$A$4:$A$72,0),DAY(表格1[[#This Row],[date]]),1,1)</f>
        <v>Happy</v>
      </c>
      <c r="E3926" s="86">
        <f>MONTH(表格1[[#This Row],[date]])</f>
        <v>3</v>
      </c>
      <c r="F3926" s="90">
        <v>46111</v>
      </c>
      <c r="G3926" s="86" t="str">
        <f>VLOOKUP("*"&amp;表格1[[#This Row],[Input]]&amp;"*",'Ref-List'!$B:$D,2,)</f>
        <v>AW-Q801APH(WW)</v>
      </c>
      <c r="H3926" s="86" t="str">
        <f>_xlfn.XLOOKUP(表格1[[#This Row],[Model]],表格3[Model-Input-Ref2],表格3[Product Line])</f>
        <v>日式洗衣機 (7公斤 結合高低水位)</v>
      </c>
      <c r="I3926" s="86" t="str">
        <f>_xlfn.XLOOKUP(表格1[[#This Row],[Model]],表格3[Model-Input-Ref2],表格3[大小電])</f>
        <v>大電</v>
      </c>
      <c r="J3926" s="86" t="str">
        <f>_xlfn.XLOOKUP(表格1[[#This Row],[Model]],表格3[Model-Input-Ref2],表格3[Code])</f>
        <v>LAD</v>
      </c>
      <c r="K3926" s="89" t="s">
        <v>1420</v>
      </c>
      <c r="L3926" s="86">
        <v>1</v>
      </c>
      <c r="M3926" s="87">
        <v>1880</v>
      </c>
      <c r="N3926" s="87">
        <f>IFERROR(表格1[[#This Row],[QTY]]*表格1[[#This Row],[Unit Price]],"-")</f>
        <v>1880</v>
      </c>
      <c r="O3926" s="86">
        <v>239599</v>
      </c>
      <c r="R3926" s="86" t="str">
        <f>_xlfn.CONCAT(表格1[[#This Row],[Model]]," ",表格1[[#This Row],[inv no]])</f>
        <v>AW-Q801APH(WW) 239599</v>
      </c>
      <c r="S3926" s="86">
        <f>_xlfn.XLOOKUP(表格1[[#This Row],[Model]],表格3[Model-Input-Ref2],表格3[SRP PRICE])</f>
        <v>3380</v>
      </c>
      <c r="T3926" s="43">
        <f>表格1[[#This Row],[Unit Price]]/表格1[[#This Row],[SRP]]</f>
        <v>0.55621301775147924</v>
      </c>
      <c r="U3926" s="86" t="str">
        <f>_xlfn.XLOOKUP(表格1[[#This Row],[Model]],表格3[Model-Input-Ref2],表格3[TOSHIBA/HIGHEST])</f>
        <v>Toshiba SRP</v>
      </c>
      <c r="W3926" s="86" t="str">
        <f>_xlfn.CONCAT(表格1[[#This Row],[欄4]],表格1[[#This Row],[inv no]])</f>
        <v>239599</v>
      </c>
    </row>
    <row r="3927" spans="1:23" hidden="1">
      <c r="A3927" s="81">
        <v>3925</v>
      </c>
      <c r="B3927" s="86" t="s">
        <v>1403</v>
      </c>
      <c r="C3927" s="86" t="s">
        <v>1973</v>
      </c>
      <c r="D3927" s="89" t="str">
        <f ca="1">OFFSET(Roster!$A$3,MATCH(表格1[[#This Row],[Location]]&amp;" "&amp;表格1[[#This Row],[Shop]]&amp;"*",Roster!$A$4:$A$72,0),DAY(表格1[[#This Row],[date]]),1,1)</f>
        <v>Happy</v>
      </c>
      <c r="E3927" s="86">
        <f>MONTH(表格1[[#This Row],[date]])</f>
        <v>3</v>
      </c>
      <c r="F3927" s="90">
        <v>46111</v>
      </c>
      <c r="G3927" s="86" t="str">
        <f>VLOOKUP("*"&amp;表格1[[#This Row],[Input]]&amp;"*",'Ref-List'!$B:$D,2,)</f>
        <v>AW-Q801APH(WW)</v>
      </c>
      <c r="H3927" s="86" t="str">
        <f>_xlfn.XLOOKUP(表格1[[#This Row],[Model]],表格3[Model-Input-Ref2],表格3[Product Line])</f>
        <v>日式洗衣機 (7公斤 結合高低水位)</v>
      </c>
      <c r="I3927" s="86" t="str">
        <f>_xlfn.XLOOKUP(表格1[[#This Row],[Model]],表格3[Model-Input-Ref2],表格3[大小電])</f>
        <v>大電</v>
      </c>
      <c r="J3927" s="86" t="str">
        <f>_xlfn.XLOOKUP(表格1[[#This Row],[Model]],表格3[Model-Input-Ref2],表格3[Code])</f>
        <v>LAD</v>
      </c>
      <c r="K3927" s="89" t="s">
        <v>1420</v>
      </c>
      <c r="L3927" s="86">
        <v>1</v>
      </c>
      <c r="M3927" s="87">
        <v>1880</v>
      </c>
      <c r="N3927" s="87">
        <f>IFERROR(表格1[[#This Row],[QTY]]*表格1[[#This Row],[Unit Price]],"-")</f>
        <v>1880</v>
      </c>
      <c r="O3927" s="86">
        <v>239603</v>
      </c>
      <c r="R3927" s="86" t="str">
        <f>_xlfn.CONCAT(表格1[[#This Row],[Model]]," ",表格1[[#This Row],[inv no]])</f>
        <v>AW-Q801APH(WW) 239603</v>
      </c>
      <c r="S3927" s="86">
        <f>_xlfn.XLOOKUP(表格1[[#This Row],[Model]],表格3[Model-Input-Ref2],表格3[SRP PRICE])</f>
        <v>3380</v>
      </c>
      <c r="T3927" s="43">
        <f>表格1[[#This Row],[Unit Price]]/表格1[[#This Row],[SRP]]</f>
        <v>0.55621301775147924</v>
      </c>
      <c r="U3927" s="86" t="str">
        <f>_xlfn.XLOOKUP(表格1[[#This Row],[Model]],表格3[Model-Input-Ref2],表格3[TOSHIBA/HIGHEST])</f>
        <v>Toshiba SRP</v>
      </c>
      <c r="W3927" s="86" t="str">
        <f>_xlfn.CONCAT(表格1[[#This Row],[欄4]],表格1[[#This Row],[inv no]])</f>
        <v>239603</v>
      </c>
    </row>
    <row r="3928" spans="1:23" hidden="1">
      <c r="A3928" s="81">
        <v>3926</v>
      </c>
      <c r="B3928" s="86" t="s">
        <v>1403</v>
      </c>
      <c r="C3928" s="86" t="s">
        <v>1973</v>
      </c>
      <c r="D3928" s="89" t="str">
        <f ca="1">OFFSET(Roster!$A$3,MATCH(表格1[[#This Row],[Location]]&amp;" "&amp;表格1[[#This Row],[Shop]]&amp;"*",Roster!$A$4:$A$72,0),DAY(表格1[[#This Row],[date]]),1,1)</f>
        <v>Happy</v>
      </c>
      <c r="E3928" s="86">
        <f>MONTH(表格1[[#This Row],[date]])</f>
        <v>3</v>
      </c>
      <c r="F3928" s="90">
        <v>46111</v>
      </c>
      <c r="G3928" s="86" t="str">
        <f>VLOOKUP("*"&amp;表格1[[#This Row],[Input]]&amp;"*",'Ref-List'!$B:$D,2,)</f>
        <v>AW-Q801APH(WW)</v>
      </c>
      <c r="H3928" s="86" t="str">
        <f>_xlfn.XLOOKUP(表格1[[#This Row],[Model]],表格3[Model-Input-Ref2],表格3[Product Line])</f>
        <v>日式洗衣機 (7公斤 結合高低水位)</v>
      </c>
      <c r="I3928" s="86" t="str">
        <f>_xlfn.XLOOKUP(表格1[[#This Row],[Model]],表格3[Model-Input-Ref2],表格3[大小電])</f>
        <v>大電</v>
      </c>
      <c r="J3928" s="86" t="str">
        <f>_xlfn.XLOOKUP(表格1[[#This Row],[Model]],表格3[Model-Input-Ref2],表格3[Code])</f>
        <v>LAD</v>
      </c>
      <c r="K3928" s="89" t="s">
        <v>1420</v>
      </c>
      <c r="L3928" s="86">
        <v>1</v>
      </c>
      <c r="M3928" s="87">
        <v>1880</v>
      </c>
      <c r="N3928" s="87">
        <f>IFERROR(表格1[[#This Row],[QTY]]*表格1[[#This Row],[Unit Price]],"-")</f>
        <v>1880</v>
      </c>
      <c r="O3928" s="86">
        <v>239604</v>
      </c>
      <c r="R3928" s="86" t="str">
        <f>_xlfn.CONCAT(表格1[[#This Row],[Model]]," ",表格1[[#This Row],[inv no]])</f>
        <v>AW-Q801APH(WW) 239604</v>
      </c>
      <c r="S3928" s="86">
        <f>_xlfn.XLOOKUP(表格1[[#This Row],[Model]],表格3[Model-Input-Ref2],表格3[SRP PRICE])</f>
        <v>3380</v>
      </c>
      <c r="T3928" s="43">
        <f>表格1[[#This Row],[Unit Price]]/表格1[[#This Row],[SRP]]</f>
        <v>0.55621301775147924</v>
      </c>
      <c r="U3928" s="86" t="str">
        <f>_xlfn.XLOOKUP(表格1[[#This Row],[Model]],表格3[Model-Input-Ref2],表格3[TOSHIBA/HIGHEST])</f>
        <v>Toshiba SRP</v>
      </c>
      <c r="W3928" s="86" t="str">
        <f>_xlfn.CONCAT(表格1[[#This Row],[欄4]],表格1[[#This Row],[inv no]])</f>
        <v>239604</v>
      </c>
    </row>
    <row r="3929" spans="1:23" hidden="1">
      <c r="A3929" s="81">
        <v>3927</v>
      </c>
      <c r="B3929" s="86" t="s">
        <v>1403</v>
      </c>
      <c r="C3929" s="86" t="s">
        <v>1973</v>
      </c>
      <c r="D3929" s="89" t="str">
        <f ca="1">OFFSET(Roster!$A$3,MATCH(表格1[[#This Row],[Location]]&amp;" "&amp;表格1[[#This Row],[Shop]]&amp;"*",Roster!$A$4:$A$72,0),DAY(表格1[[#This Row],[date]]),1,1)</f>
        <v>Happy</v>
      </c>
      <c r="E3929" s="86">
        <f>MONTH(表格1[[#This Row],[date]])</f>
        <v>3</v>
      </c>
      <c r="F3929" s="90">
        <v>46111</v>
      </c>
      <c r="G3929" s="86" t="str">
        <f>VLOOKUP("*"&amp;表格1[[#This Row],[Input]]&amp;"*",'Ref-List'!$B:$D,2,)</f>
        <v>GR-RB360WE-PMA(06)</v>
      </c>
      <c r="H3929" s="86" t="str">
        <f>_xlfn.XLOOKUP(表格1[[#This Row],[Model]],表格3[Model-Input-Ref2],表格3[Product Line])</f>
        <v>變頻下置式雙門雪櫃系列270L</v>
      </c>
      <c r="I3929" s="86" t="str">
        <f>_xlfn.XLOOKUP(表格1[[#This Row],[Model]],表格3[Model-Input-Ref2],表格3[大小電])</f>
        <v>大電</v>
      </c>
      <c r="J3929" s="86" t="str">
        <f>_xlfn.XLOOKUP(表格1[[#This Row],[Model]],表格3[Model-Input-Ref2],表格3[Code])</f>
        <v>REF</v>
      </c>
      <c r="K3929" s="89" t="s">
        <v>1282</v>
      </c>
      <c r="L3929" s="86">
        <v>1</v>
      </c>
      <c r="M3929" s="87">
        <v>3680</v>
      </c>
      <c r="N3929" s="87">
        <f>IFERROR(表格1[[#This Row],[QTY]]*表格1[[#This Row],[Unit Price]],"-")</f>
        <v>3680</v>
      </c>
      <c r="O3929" s="86">
        <v>239602</v>
      </c>
      <c r="R3929" s="86" t="str">
        <f>_xlfn.CONCAT(表格1[[#This Row],[Model]]," ",表格1[[#This Row],[inv no]])</f>
        <v>GR-RB360WE-PMA(06) 239602</v>
      </c>
      <c r="S3929" s="86">
        <f>_xlfn.XLOOKUP(表格1[[#This Row],[Model]],表格3[Model-Input-Ref2],表格3[SRP PRICE])</f>
        <v>5080</v>
      </c>
      <c r="T3929" s="43">
        <f>表格1[[#This Row],[Unit Price]]/表格1[[#This Row],[SRP]]</f>
        <v>0.72440944881889768</v>
      </c>
      <c r="U3929" s="86" t="str">
        <f>_xlfn.XLOOKUP(表格1[[#This Row],[Model]],表格3[Model-Input-Ref2],表格3[TOSHIBA/HIGHEST])</f>
        <v>Toshiba SRP</v>
      </c>
      <c r="W3929" s="86" t="str">
        <f>_xlfn.CONCAT(表格1[[#This Row],[欄4]],表格1[[#This Row],[inv no]])</f>
        <v>239602</v>
      </c>
    </row>
    <row r="3930" spans="1:23" hidden="1">
      <c r="A3930" s="81">
        <v>3928</v>
      </c>
      <c r="B3930" s="86" t="s">
        <v>1403</v>
      </c>
      <c r="C3930" s="86" t="s">
        <v>1973</v>
      </c>
      <c r="D3930" s="89" t="str">
        <f ca="1">OFFSET(Roster!$A$3,MATCH(表格1[[#This Row],[Location]]&amp;" "&amp;表格1[[#This Row],[Shop]]&amp;"*",Roster!$A$4:$A$72,0),DAY(表格1[[#This Row],[date]]),1,1)</f>
        <v>Happy</v>
      </c>
      <c r="E3930" s="86">
        <f>MONTH(表格1[[#This Row],[date]])</f>
        <v>3</v>
      </c>
      <c r="F3930" s="90">
        <v>46111</v>
      </c>
      <c r="G3930" s="86" t="str">
        <f>VLOOKUP("*"&amp;表格1[[#This Row],[Input]]&amp;"*",'Ref-List'!$B:$D,2,)</f>
        <v>TW-T22BU95UWH(WK)-B</v>
      </c>
      <c r="H3930" s="86" t="str">
        <f>_xlfn.XLOOKUP(表格1[[#This Row],[Model]],表格3[Model-Input-Ref2],表格3[Product Line])</f>
        <v>470MM超薄身前置式變頻洗衣機(8.5公斤, 可飛頂)</v>
      </c>
      <c r="I3930" s="86" t="str">
        <f>_xlfn.XLOOKUP(表格1[[#This Row],[Model]],表格3[Model-Input-Ref2],表格3[大小電])</f>
        <v>大電</v>
      </c>
      <c r="J3930" s="86" t="str">
        <f>_xlfn.XLOOKUP(表格1[[#This Row],[Model]],表格3[Model-Input-Ref2],表格3[Code])</f>
        <v>LAD</v>
      </c>
      <c r="K3930" s="89" t="s">
        <v>969</v>
      </c>
      <c r="L3930" s="86">
        <v>1</v>
      </c>
      <c r="M3930" s="87">
        <v>3680</v>
      </c>
      <c r="N3930" s="87">
        <f>IFERROR(表格1[[#This Row],[QTY]]*表格1[[#This Row],[Unit Price]],"-")</f>
        <v>3680</v>
      </c>
      <c r="O3930" s="86">
        <v>239613</v>
      </c>
      <c r="R3930" s="86" t="str">
        <f>_xlfn.CONCAT(表格1[[#This Row],[Model]]," ",表格1[[#This Row],[inv no]])</f>
        <v>TW-T22BU95UWH(WK)-B 239613</v>
      </c>
      <c r="S3930" s="86">
        <f>_xlfn.XLOOKUP(表格1[[#This Row],[Model]],表格3[Model-Input-Ref2],表格3[SRP PRICE])</f>
        <v>5880</v>
      </c>
      <c r="T3930" s="43">
        <f>表格1[[#This Row],[Unit Price]]/表格1[[#This Row],[SRP]]</f>
        <v>0.62585034013605445</v>
      </c>
      <c r="U3930" s="86" t="str">
        <f>_xlfn.XLOOKUP(表格1[[#This Row],[Model]],表格3[Model-Input-Ref2],表格3[TOSHIBA/HIGHEST])</f>
        <v>Toshiba SRP</v>
      </c>
      <c r="W3930" s="86" t="str">
        <f>_xlfn.CONCAT(表格1[[#This Row],[欄4]],表格1[[#This Row],[inv no]])</f>
        <v>239613</v>
      </c>
    </row>
    <row r="3931" spans="1:23" hidden="1">
      <c r="A3931" s="81">
        <v>3929</v>
      </c>
      <c r="B3931" s="86" t="s">
        <v>1403</v>
      </c>
      <c r="C3931" s="86" t="s">
        <v>1973</v>
      </c>
      <c r="D3931" s="89" t="str">
        <f ca="1">OFFSET(Roster!$A$3,MATCH(表格1[[#This Row],[Location]]&amp;" "&amp;表格1[[#This Row],[Shop]]&amp;"*",Roster!$A$4:$A$72,0),DAY(表格1[[#This Row],[date]]),1,1)</f>
        <v>Happy</v>
      </c>
      <c r="E3931" s="86">
        <f>MONTH(表格1[[#This Row],[date]])</f>
        <v>3</v>
      </c>
      <c r="F3931" s="90">
        <v>46111</v>
      </c>
      <c r="G3931" s="86" t="str">
        <f>VLOOKUP("*"&amp;表格1[[#This Row],[Input]]&amp;"*",'Ref-List'!$B:$D,2,)</f>
        <v>TWD-T22BU95UWH(WK)-B</v>
      </c>
      <c r="H3931" s="86" t="str">
        <f>_xlfn.XLOOKUP(表格1[[#This Row],[Model]],表格3[Model-Input-Ref2],表格3[Product Line])</f>
        <v>470MM超薄身前置式變頻洗衣乾衣機 (洗8.5公斤/乾6公斤, 可飛頂)</v>
      </c>
      <c r="I3931" s="86" t="str">
        <f>_xlfn.XLOOKUP(表格1[[#This Row],[Model]],表格3[Model-Input-Ref2],表格3[大小電])</f>
        <v>大電</v>
      </c>
      <c r="J3931" s="86" t="str">
        <f>_xlfn.XLOOKUP(表格1[[#This Row],[Model]],表格3[Model-Input-Ref2],表格3[Code])</f>
        <v>LAD</v>
      </c>
      <c r="K3931" s="89" t="s">
        <v>1421</v>
      </c>
      <c r="L3931" s="86">
        <v>1</v>
      </c>
      <c r="M3931" s="87">
        <v>4780</v>
      </c>
      <c r="N3931" s="87">
        <f>IFERROR(表格1[[#This Row],[QTY]]*表格1[[#This Row],[Unit Price]],"-")</f>
        <v>4780</v>
      </c>
      <c r="O3931" s="86">
        <v>239610</v>
      </c>
      <c r="R3931" s="86" t="str">
        <f>_xlfn.CONCAT(表格1[[#This Row],[Model]]," ",表格1[[#This Row],[inv no]])</f>
        <v>TWD-T22BU95UWH(WK)-B 239610</v>
      </c>
      <c r="S3931" s="86">
        <f>_xlfn.XLOOKUP(表格1[[#This Row],[Model]],表格3[Model-Input-Ref2],表格3[SRP PRICE])</f>
        <v>7480</v>
      </c>
      <c r="T3931" s="43">
        <f>表格1[[#This Row],[Unit Price]]/表格1[[#This Row],[SRP]]</f>
        <v>0.63903743315508021</v>
      </c>
      <c r="U3931" s="86" t="str">
        <f>_xlfn.XLOOKUP(表格1[[#This Row],[Model]],表格3[Model-Input-Ref2],表格3[TOSHIBA/HIGHEST])</f>
        <v>Toshiba SRP</v>
      </c>
      <c r="W3931" s="86" t="str">
        <f>_xlfn.CONCAT(表格1[[#This Row],[欄4]],表格1[[#This Row],[inv no]])</f>
        <v>239610</v>
      </c>
    </row>
    <row r="3932" spans="1:23" hidden="1">
      <c r="A3932" s="81">
        <v>3930</v>
      </c>
      <c r="B3932" s="86" t="s">
        <v>1403</v>
      </c>
      <c r="C3932" s="86" t="s">
        <v>1973</v>
      </c>
      <c r="D3932" s="89" t="str">
        <f ca="1">OFFSET(Roster!$A$3,MATCH(表格1[[#This Row],[Location]]&amp;" "&amp;表格1[[#This Row],[Shop]]&amp;"*",Roster!$A$4:$A$72,0),DAY(表格1[[#This Row],[date]]),1,1)</f>
        <v>Happy</v>
      </c>
      <c r="E3932" s="86">
        <f>MONTH(表格1[[#This Row],[date]])</f>
        <v>3</v>
      </c>
      <c r="F3932" s="90">
        <v>46111</v>
      </c>
      <c r="G3932" s="86" t="str">
        <f>VLOOKUP("*"&amp;表格1[[#This Row],[Input]]&amp;"*",'Ref-List'!$B:$D,2,)</f>
        <v>GR-RB449WE-PMA(57)</v>
      </c>
      <c r="H3932" s="86" t="str">
        <f>_xlfn.XLOOKUP(表格1[[#This Row],[Model]],表格3[Model-Input-Ref2],表格3[Product Line])</f>
        <v>變頻下置式雙門雪櫃</v>
      </c>
      <c r="I3932" s="86" t="str">
        <f>_xlfn.XLOOKUP(表格1[[#This Row],[Model]],表格3[Model-Input-Ref2],表格3[大小電])</f>
        <v>大電</v>
      </c>
      <c r="J3932" s="86" t="str">
        <f>_xlfn.XLOOKUP(表格1[[#This Row],[Model]],表格3[Model-Input-Ref2],表格3[Code])</f>
        <v>REF</v>
      </c>
      <c r="K3932" s="89" t="s">
        <v>1484</v>
      </c>
      <c r="L3932" s="86">
        <v>1</v>
      </c>
      <c r="M3932" s="87">
        <v>4880</v>
      </c>
      <c r="N3932" s="87">
        <f>IFERROR(表格1[[#This Row],[QTY]]*表格1[[#This Row],[Unit Price]],"-")</f>
        <v>4880</v>
      </c>
      <c r="O3932" s="86">
        <v>239610</v>
      </c>
      <c r="R3932" s="86" t="str">
        <f>_xlfn.CONCAT(表格1[[#This Row],[Model]]," ",表格1[[#This Row],[inv no]])</f>
        <v>GR-RB449WE-PMA(57) 239610</v>
      </c>
      <c r="S3932" s="86">
        <f>_xlfn.XLOOKUP(表格1[[#This Row],[Model]],表格3[Model-Input-Ref2],表格3[SRP PRICE])</f>
        <v>6280</v>
      </c>
      <c r="T3932" s="43">
        <f>表格1[[#This Row],[Unit Price]]/表格1[[#This Row],[SRP]]</f>
        <v>0.77707006369426757</v>
      </c>
      <c r="U3932" s="86" t="str">
        <f>_xlfn.XLOOKUP(表格1[[#This Row],[Model]],表格3[Model-Input-Ref2],表格3[TOSHIBA/HIGHEST])</f>
        <v>Toshiba SRP</v>
      </c>
      <c r="W3932" s="86" t="str">
        <f>_xlfn.CONCAT(表格1[[#This Row],[欄4]],表格1[[#This Row],[inv no]])</f>
        <v>239610</v>
      </c>
    </row>
    <row r="3933" spans="1:23" hidden="1">
      <c r="A3933" s="81">
        <v>3931</v>
      </c>
      <c r="B3933" s="86" t="s">
        <v>1403</v>
      </c>
      <c r="C3933" s="86" t="s">
        <v>1973</v>
      </c>
      <c r="D3933" s="89" t="str">
        <f ca="1">OFFSET(Roster!$A$3,MATCH(表格1[[#This Row],[Location]]&amp;" "&amp;表格1[[#This Row],[Shop]]&amp;"*",Roster!$A$4:$A$72,0),DAY(表格1[[#This Row],[date]]),1,1)</f>
        <v>Happy</v>
      </c>
      <c r="E3933" s="86">
        <f>MONTH(表格1[[#This Row],[date]])</f>
        <v>3</v>
      </c>
      <c r="F3933" s="90">
        <v>46111</v>
      </c>
      <c r="G3933" s="86" t="str">
        <f>VLOOKUP("*"&amp;表格1[[#This Row],[Input]]&amp;"*",'Ref-List'!$B:$D,2,)</f>
        <v>KT-17DRTHK(H)</v>
      </c>
      <c r="H3933" s="86" t="str">
        <f>_xlfn.XLOOKUP(表格1[[#This Row],[Model]],表格3[Model-Input-Ref2],表格3[Product Line])</f>
        <v>無線雙層電熱水壺(1.7公升)</v>
      </c>
      <c r="I3933" s="86" t="str">
        <f>_xlfn.XLOOKUP(表格1[[#This Row],[Model]],表格3[Model-Input-Ref2],表格3[大小電])</f>
        <v>細電</v>
      </c>
      <c r="J3933" s="86" t="str">
        <f>_xlfn.XLOOKUP(表格1[[#This Row],[Model]],表格3[Model-Input-Ref2],表格3[Code])</f>
        <v>SDA</v>
      </c>
      <c r="K3933" s="89" t="s">
        <v>1271</v>
      </c>
      <c r="L3933" s="86">
        <v>1</v>
      </c>
      <c r="M3933" s="87">
        <v>388</v>
      </c>
      <c r="N3933" s="87">
        <f>IFERROR(表格1[[#This Row],[QTY]]*表格1[[#This Row],[Unit Price]],"-")</f>
        <v>388</v>
      </c>
      <c r="O3933" s="86">
        <v>239613</v>
      </c>
      <c r="R3933" s="86" t="str">
        <f>_xlfn.CONCAT(表格1[[#This Row],[Model]]," ",表格1[[#This Row],[inv no]])</f>
        <v>KT-17DRTHK(H) 239613</v>
      </c>
      <c r="S3933" s="86">
        <f>_xlfn.XLOOKUP(表格1[[#This Row],[Model]],表格3[Model-Input-Ref2],表格3[SRP PRICE])</f>
        <v>498</v>
      </c>
      <c r="T3933" s="43">
        <f>表格1[[#This Row],[Unit Price]]/表格1[[#This Row],[SRP]]</f>
        <v>0.77911646586345384</v>
      </c>
      <c r="U3933" s="86" t="str">
        <f>_xlfn.XLOOKUP(表格1[[#This Row],[Model]],表格3[Model-Input-Ref2],表格3[TOSHIBA/HIGHEST])</f>
        <v>Toshiba SRP</v>
      </c>
      <c r="W3933" s="86" t="str">
        <f>_xlfn.CONCAT(表格1[[#This Row],[欄4]],表格1[[#This Row],[inv no]])</f>
        <v>239613</v>
      </c>
    </row>
    <row r="3934" spans="1:23" hidden="1">
      <c r="A3934" s="81">
        <v>3932</v>
      </c>
      <c r="B3934" s="86" t="s">
        <v>1403</v>
      </c>
      <c r="C3934" s="86" t="s">
        <v>1973</v>
      </c>
      <c r="D3934" s="89" t="str">
        <f ca="1">OFFSET(Roster!$A$3,MATCH(表格1[[#This Row],[Location]]&amp;" "&amp;表格1[[#This Row],[Shop]]&amp;"*",Roster!$A$4:$A$72,0),DAY(表格1[[#This Row],[date]]),1,1)</f>
        <v>Happy</v>
      </c>
      <c r="E3934" s="86">
        <f>MONTH(表格1[[#This Row],[date]])</f>
        <v>3</v>
      </c>
      <c r="F3934" s="90">
        <v>46112</v>
      </c>
      <c r="G3934" s="86" t="str">
        <f>VLOOKUP("*"&amp;表格1[[#This Row],[Input]]&amp;"*",'Ref-List'!$B:$D,2,)</f>
        <v>RC-10NMFIH(WT)</v>
      </c>
      <c r="H3934" s="86" t="str">
        <f>_xlfn.XLOOKUP(表格1[[#This Row],[Model]],表格3[Model-Input-Ref2],表格3[Product Line])</f>
        <v>4毫米厚釜電飯煲1L</v>
      </c>
      <c r="I3934" s="86" t="str">
        <f>_xlfn.XLOOKUP(表格1[[#This Row],[Model]],表格3[Model-Input-Ref2],表格3[大小電])</f>
        <v>細電</v>
      </c>
      <c r="J3934" s="86" t="str">
        <f>_xlfn.XLOOKUP(表格1[[#This Row],[Model]],表格3[Model-Input-Ref2],表格3[Code])</f>
        <v>SDA</v>
      </c>
      <c r="K3934" s="89" t="s">
        <v>1244</v>
      </c>
      <c r="L3934" s="86">
        <v>1</v>
      </c>
      <c r="M3934" s="87">
        <v>718</v>
      </c>
      <c r="N3934" s="87">
        <f>IFERROR(表格1[[#This Row],[QTY]]*表格1[[#This Row],[Unit Price]],"-")</f>
        <v>718</v>
      </c>
      <c r="O3934" s="86">
        <v>10357</v>
      </c>
      <c r="R3934" s="86" t="str">
        <f>_xlfn.CONCAT(表格1[[#This Row],[Model]]," ",表格1[[#This Row],[inv no]])</f>
        <v>RC-10NMFIH(WT) 10357</v>
      </c>
      <c r="S3934" s="86">
        <f>_xlfn.XLOOKUP(表格1[[#This Row],[Model]],表格3[Model-Input-Ref2],表格3[SRP PRICE])</f>
        <v>898</v>
      </c>
      <c r="T3934" s="43">
        <f>表格1[[#This Row],[Unit Price]]/表格1[[#This Row],[SRP]]</f>
        <v>0.79955456570155903</v>
      </c>
      <c r="U3934" s="86" t="str">
        <f>_xlfn.XLOOKUP(表格1[[#This Row],[Model]],表格3[Model-Input-Ref2],表格3[TOSHIBA/HIGHEST])</f>
        <v>Toshiba SRP</v>
      </c>
      <c r="W3934" s="86" t="str">
        <f>_xlfn.CONCAT(表格1[[#This Row],[欄4]],表格1[[#This Row],[inv no]])</f>
        <v>10357</v>
      </c>
    </row>
    <row r="3935" spans="1:23" hidden="1">
      <c r="A3935" s="81">
        <v>3933</v>
      </c>
      <c r="B3935" s="86" t="s">
        <v>1403</v>
      </c>
      <c r="C3935" s="86" t="s">
        <v>1973</v>
      </c>
      <c r="D3935" s="89" t="str">
        <f ca="1">OFFSET(Roster!$A$3,MATCH(表格1[[#This Row],[Location]]&amp;" "&amp;表格1[[#This Row],[Shop]]&amp;"*",Roster!$A$4:$A$72,0),DAY(表格1[[#This Row],[date]]),1,1)</f>
        <v>Happy</v>
      </c>
      <c r="E3935" s="86">
        <f>MONTH(表格1[[#This Row],[date]])</f>
        <v>3</v>
      </c>
      <c r="F3935" s="90">
        <v>46112</v>
      </c>
      <c r="G3935" s="86" t="str">
        <f>VLOOKUP("*"&amp;表格1[[#This Row],[Input]]&amp;"*",'Ref-List'!$B:$D,2,)</f>
        <v>TWD-T22BU95UWH(WK)-B</v>
      </c>
      <c r="H3935" s="86" t="str">
        <f>_xlfn.XLOOKUP(表格1[[#This Row],[Model]],表格3[Model-Input-Ref2],表格3[Product Line])</f>
        <v>470MM超薄身前置式變頻洗衣乾衣機 (洗8.5公斤/乾6公斤, 可飛頂)</v>
      </c>
      <c r="I3935" s="86" t="str">
        <f>_xlfn.XLOOKUP(表格1[[#This Row],[Model]],表格3[Model-Input-Ref2],表格3[大小電])</f>
        <v>大電</v>
      </c>
      <c r="J3935" s="86" t="str">
        <f>_xlfn.XLOOKUP(表格1[[#This Row],[Model]],表格3[Model-Input-Ref2],表格3[Code])</f>
        <v>LAD</v>
      </c>
      <c r="K3935" s="89" t="s">
        <v>1421</v>
      </c>
      <c r="L3935" s="86">
        <v>1</v>
      </c>
      <c r="M3935" s="87">
        <v>4780</v>
      </c>
      <c r="N3935" s="87">
        <f>IFERROR(表格1[[#This Row],[QTY]]*表格1[[#This Row],[Unit Price]],"-")</f>
        <v>4780</v>
      </c>
      <c r="O3935" s="86">
        <v>239649</v>
      </c>
      <c r="R3935" s="86" t="str">
        <f>_xlfn.CONCAT(表格1[[#This Row],[Model]]," ",表格1[[#This Row],[inv no]])</f>
        <v>TWD-T22BU95UWH(WK)-B 239649</v>
      </c>
      <c r="S3935" s="86">
        <f>_xlfn.XLOOKUP(表格1[[#This Row],[Model]],表格3[Model-Input-Ref2],表格3[SRP PRICE])</f>
        <v>7480</v>
      </c>
      <c r="T3935" s="43">
        <f>表格1[[#This Row],[Unit Price]]/表格1[[#This Row],[SRP]]</f>
        <v>0.63903743315508021</v>
      </c>
      <c r="U3935" s="86" t="str">
        <f>_xlfn.XLOOKUP(表格1[[#This Row],[Model]],表格3[Model-Input-Ref2],表格3[TOSHIBA/HIGHEST])</f>
        <v>Toshiba SRP</v>
      </c>
      <c r="W3935" s="86" t="str">
        <f>_xlfn.CONCAT(表格1[[#This Row],[欄4]],表格1[[#This Row],[inv no]])</f>
        <v>239649</v>
      </c>
    </row>
    <row r="3936" spans="1:23" hidden="1">
      <c r="A3936" s="81">
        <v>3934</v>
      </c>
      <c r="B3936" s="86" t="s">
        <v>1403</v>
      </c>
      <c r="C3936" s="86" t="s">
        <v>1973</v>
      </c>
      <c r="D3936" s="89" t="str">
        <f ca="1">OFFSET(Roster!$A$3,MATCH(表格1[[#This Row],[Location]]&amp;" "&amp;表格1[[#This Row],[Shop]]&amp;"*",Roster!$A$4:$A$72,0),DAY(表格1[[#This Row],[date]]),1,1)</f>
        <v>Happy</v>
      </c>
      <c r="E3936" s="86">
        <f>MONTH(表格1[[#This Row],[date]])</f>
        <v>3</v>
      </c>
      <c r="F3936" s="90">
        <v>46112</v>
      </c>
      <c r="G3936" s="86" t="str">
        <f>VLOOKUP("*"&amp;表格1[[#This Row],[Input]]&amp;"*",'Ref-List'!$B:$D,2,)</f>
        <v>RC-18NMFIH(WT)</v>
      </c>
      <c r="H3936" s="86" t="str">
        <f>_xlfn.XLOOKUP(表格1[[#This Row],[Model]],表格3[Model-Input-Ref2],表格3[Product Line])</f>
        <v>4毫米厚釜電飯煲1.8L</v>
      </c>
      <c r="I3936" s="86" t="str">
        <f>_xlfn.XLOOKUP(表格1[[#This Row],[Model]],表格3[Model-Input-Ref2],表格3[大小電])</f>
        <v>細電</v>
      </c>
      <c r="J3936" s="86" t="str">
        <f>_xlfn.XLOOKUP(表格1[[#This Row],[Model]],表格3[Model-Input-Ref2],表格3[Code])</f>
        <v>SDA</v>
      </c>
      <c r="K3936" s="89" t="s">
        <v>1267</v>
      </c>
      <c r="L3936" s="86">
        <v>1</v>
      </c>
      <c r="M3936" s="87">
        <v>798</v>
      </c>
      <c r="N3936" s="87">
        <f>IFERROR(表格1[[#This Row],[QTY]]*表格1[[#This Row],[Unit Price]],"-")</f>
        <v>798</v>
      </c>
      <c r="O3936" s="86">
        <v>3594</v>
      </c>
      <c r="R3936" s="86" t="str">
        <f>_xlfn.CONCAT(表格1[[#This Row],[Model]]," ",表格1[[#This Row],[inv no]])</f>
        <v>RC-18NMFIH(WT) 3594</v>
      </c>
      <c r="S3936" s="86">
        <f>_xlfn.XLOOKUP(表格1[[#This Row],[Model]],表格3[Model-Input-Ref2],表格3[SRP PRICE])</f>
        <v>998</v>
      </c>
      <c r="T3936" s="43">
        <f>表格1[[#This Row],[Unit Price]]/表格1[[#This Row],[SRP]]</f>
        <v>0.79959919839679361</v>
      </c>
      <c r="U3936" s="86" t="str">
        <f>_xlfn.XLOOKUP(表格1[[#This Row],[Model]],表格3[Model-Input-Ref2],表格3[TOSHIBA/HIGHEST])</f>
        <v>Toshiba SRP</v>
      </c>
      <c r="W3936" s="86" t="str">
        <f>_xlfn.CONCAT(表格1[[#This Row],[欄4]],表格1[[#This Row],[inv no]])</f>
        <v>3594</v>
      </c>
    </row>
    <row r="3937" spans="1:23" hidden="1">
      <c r="A3937" s="81">
        <v>3935</v>
      </c>
      <c r="B3937" s="86" t="s">
        <v>1403</v>
      </c>
      <c r="C3937" s="86" t="s">
        <v>1973</v>
      </c>
      <c r="D3937" s="89" t="str">
        <f ca="1">OFFSET(Roster!$A$3,MATCH(表格1[[#This Row],[Location]]&amp;" "&amp;表格1[[#This Row],[Shop]]&amp;"*",Roster!$A$4:$A$72,0),DAY(表格1[[#This Row],[date]]),1,1)</f>
        <v>Happy</v>
      </c>
      <c r="E3937" s="86">
        <f>MONTH(表格1[[#This Row],[date]])</f>
        <v>3</v>
      </c>
      <c r="F3937" s="90">
        <v>46112</v>
      </c>
      <c r="G3937" s="86" t="str">
        <f>VLOOKUP("*"&amp;表格1[[#This Row],[Input]]&amp;"*",'Ref-List'!$B:$D,2,)</f>
        <v>TW-T21BU90UWH(WW)</v>
      </c>
      <c r="H3937" s="86" t="str">
        <f>_xlfn.XLOOKUP(表格1[[#This Row],[Model]],表格3[Model-Input-Ref2],表格3[Product Line])</f>
        <v>8公斤超薄身前置式變頻洗衣機</v>
      </c>
      <c r="I3937" s="86" t="str">
        <f>_xlfn.XLOOKUP(表格1[[#This Row],[Model]],表格3[Model-Input-Ref2],表格3[大小電])</f>
        <v>大電</v>
      </c>
      <c r="J3937" s="86" t="str">
        <f>_xlfn.XLOOKUP(表格1[[#This Row],[Model]],表格3[Model-Input-Ref2],表格3[Code])</f>
        <v>LAD</v>
      </c>
      <c r="K3937" s="89" t="s">
        <v>1472</v>
      </c>
      <c r="L3937" s="86">
        <v>1</v>
      </c>
      <c r="M3937" s="87">
        <v>3480</v>
      </c>
      <c r="N3937" s="87">
        <f>IFERROR(表格1[[#This Row],[QTY]]*表格1[[#This Row],[Unit Price]],"-")</f>
        <v>3480</v>
      </c>
      <c r="O3937" s="86">
        <v>239655</v>
      </c>
      <c r="R3937" s="86" t="str">
        <f>_xlfn.CONCAT(表格1[[#This Row],[Model]]," ",表格1[[#This Row],[inv no]])</f>
        <v>TW-T21BU90UWH(WW) 239655</v>
      </c>
      <c r="S3937" s="86">
        <f>_xlfn.XLOOKUP(表格1[[#This Row],[Model]],表格3[Model-Input-Ref2],表格3[SRP PRICE])</f>
        <v>5480</v>
      </c>
      <c r="T3937" s="43">
        <f>表格1[[#This Row],[Unit Price]]/表格1[[#This Row],[SRP]]</f>
        <v>0.63503649635036497</v>
      </c>
      <c r="U3937" s="86" t="str">
        <f>_xlfn.XLOOKUP(表格1[[#This Row],[Model]],表格3[Model-Input-Ref2],表格3[TOSHIBA/HIGHEST])</f>
        <v>Toshiba SRP</v>
      </c>
      <c r="W3937" s="86" t="str">
        <f>_xlfn.CONCAT(表格1[[#This Row],[欄4]],表格1[[#This Row],[inv no]])</f>
        <v>239655</v>
      </c>
    </row>
    <row r="3938" spans="1:23" hidden="1">
      <c r="A3938" s="81">
        <v>3936</v>
      </c>
      <c r="B3938" s="86" t="s">
        <v>1403</v>
      </c>
      <c r="C3938" s="86" t="s">
        <v>1973</v>
      </c>
      <c r="D3938" s="89" t="str">
        <f ca="1">OFFSET(Roster!$A$3,MATCH(表格1[[#This Row],[Location]]&amp;" "&amp;表格1[[#This Row],[Shop]]&amp;"*",Roster!$A$4:$A$72,0),DAY(表格1[[#This Row],[date]]),1,1)</f>
        <v>Happy</v>
      </c>
      <c r="E3938" s="86">
        <f>MONTH(表格1[[#This Row],[date]])</f>
        <v>3</v>
      </c>
      <c r="F3938" s="90">
        <v>46112</v>
      </c>
      <c r="G3938" s="86" t="str">
        <f>VLOOKUP("*"&amp;表格1[[#This Row],[Input]]&amp;"*",'Ref-List'!$B:$D,2,)</f>
        <v>MX2-STR25SC(WH)</v>
      </c>
      <c r="H3938" s="86" t="str">
        <f>_xlfn.XLOOKUP(表格1[[#This Row],[Model]],表格3[Model-Input-Ref2],表格3[Product Line])</f>
        <v>4合1氣炸微波蒸焗爐(25公升)</v>
      </c>
      <c r="I3938" s="86" t="str">
        <f>_xlfn.XLOOKUP(表格1[[#This Row],[Model]],表格3[Model-Input-Ref2],表格3[大小電])</f>
        <v>細電</v>
      </c>
      <c r="J3938" s="86" t="str">
        <f>_xlfn.XLOOKUP(表格1[[#This Row],[Model]],表格3[Model-Input-Ref2],表格3[Code])</f>
        <v>MCA</v>
      </c>
      <c r="K3938" s="89" t="s">
        <v>1410</v>
      </c>
      <c r="L3938" s="86">
        <v>1</v>
      </c>
      <c r="M3938" s="87">
        <v>3180</v>
      </c>
      <c r="N3938" s="87">
        <f>IFERROR(表格1[[#This Row],[QTY]]*表格1[[#This Row],[Unit Price]],"-")</f>
        <v>3180</v>
      </c>
      <c r="O3938" s="86">
        <v>239656</v>
      </c>
      <c r="R3938" s="86" t="str">
        <f>_xlfn.CONCAT(表格1[[#This Row],[Model]]," ",表格1[[#This Row],[inv no]])</f>
        <v>MX2-STR25SC(WH) 239656</v>
      </c>
      <c r="S3938" s="86">
        <f>_xlfn.XLOOKUP(表格1[[#This Row],[Model]],表格3[Model-Input-Ref2],表格3[SRP PRICE])</f>
        <v>4998</v>
      </c>
      <c r="T3938" s="43">
        <f>表格1[[#This Row],[Unit Price]]/表格1[[#This Row],[SRP]]</f>
        <v>0.6362545018007203</v>
      </c>
      <c r="U3938" s="86" t="str">
        <f>_xlfn.XLOOKUP(表格1[[#This Row],[Model]],表格3[Model-Input-Ref2],表格3[TOSHIBA/HIGHEST])</f>
        <v>Toshiba SRP</v>
      </c>
      <c r="W3938" s="86" t="str">
        <f>_xlfn.CONCAT(表格1[[#This Row],[欄4]],表格1[[#This Row],[inv no]])</f>
        <v>239656</v>
      </c>
    </row>
    <row r="3939" spans="1:23" hidden="1">
      <c r="A3939" s="81">
        <v>3937</v>
      </c>
      <c r="B3939" s="86" t="s">
        <v>1403</v>
      </c>
      <c r="C3939" s="86" t="s">
        <v>1973</v>
      </c>
      <c r="D3939" s="89" t="str">
        <f ca="1">OFFSET(Roster!$A$3,MATCH(表格1[[#This Row],[Location]]&amp;" "&amp;表格1[[#This Row],[Shop]]&amp;"*",Roster!$A$4:$A$72,0),DAY(表格1[[#This Row],[date]]),1,1)</f>
        <v>Happy</v>
      </c>
      <c r="E3939" s="86">
        <f>MONTH(表格1[[#This Row],[date]])</f>
        <v>3</v>
      </c>
      <c r="F3939" s="90">
        <v>46112</v>
      </c>
      <c r="G3939" s="86" t="str">
        <f>VLOOKUP("*"&amp;表格1[[#This Row],[Input]]&amp;"*",'Ref-List'!$B:$D,2,)</f>
        <v>RC-18NMFIH(WT)</v>
      </c>
      <c r="H3939" s="86" t="str">
        <f>_xlfn.XLOOKUP(表格1[[#This Row],[Model]],表格3[Model-Input-Ref2],表格3[Product Line])</f>
        <v>4毫米厚釜電飯煲1.8L</v>
      </c>
      <c r="I3939" s="86" t="str">
        <f>_xlfn.XLOOKUP(表格1[[#This Row],[Model]],表格3[Model-Input-Ref2],表格3[大小電])</f>
        <v>細電</v>
      </c>
      <c r="J3939" s="86" t="str">
        <f>_xlfn.XLOOKUP(表格1[[#This Row],[Model]],表格3[Model-Input-Ref2],表格3[Code])</f>
        <v>SDA</v>
      </c>
      <c r="K3939" s="89" t="s">
        <v>1267</v>
      </c>
      <c r="L3939" s="86">
        <v>1</v>
      </c>
      <c r="M3939" s="87">
        <v>798</v>
      </c>
      <c r="N3939" s="87">
        <f>IFERROR(表格1[[#This Row],[QTY]]*表格1[[#This Row],[Unit Price]],"-")</f>
        <v>798</v>
      </c>
      <c r="O3939" s="86">
        <v>10363</v>
      </c>
      <c r="R3939" s="86" t="str">
        <f>_xlfn.CONCAT(表格1[[#This Row],[Model]]," ",表格1[[#This Row],[inv no]])</f>
        <v>RC-18NMFIH(WT) 10363</v>
      </c>
      <c r="S3939" s="86">
        <f>_xlfn.XLOOKUP(表格1[[#This Row],[Model]],表格3[Model-Input-Ref2],表格3[SRP PRICE])</f>
        <v>998</v>
      </c>
      <c r="T3939" s="43">
        <f>表格1[[#This Row],[Unit Price]]/表格1[[#This Row],[SRP]]</f>
        <v>0.79959919839679361</v>
      </c>
      <c r="U3939" s="86" t="str">
        <f>_xlfn.XLOOKUP(表格1[[#This Row],[Model]],表格3[Model-Input-Ref2],表格3[TOSHIBA/HIGHEST])</f>
        <v>Toshiba SRP</v>
      </c>
      <c r="W3939" s="86" t="str">
        <f>_xlfn.CONCAT(表格1[[#This Row],[欄4]],表格1[[#This Row],[inv no]])</f>
        <v>10363</v>
      </c>
    </row>
    <row r="3940" spans="1:23" hidden="1">
      <c r="A3940" s="81">
        <v>3938</v>
      </c>
      <c r="B3940" s="86" t="s">
        <v>1403</v>
      </c>
      <c r="C3940" s="86" t="s">
        <v>1973</v>
      </c>
      <c r="D3940" s="89" t="str">
        <f ca="1">OFFSET(Roster!$A$3,MATCH(表格1[[#This Row],[Location]]&amp;" "&amp;表格1[[#This Row],[Shop]]&amp;"*",Roster!$A$4:$A$72,0),DAY(表格1[[#This Row],[date]]),1,1)</f>
        <v>Happy</v>
      </c>
      <c r="E3940" s="86">
        <f>MONTH(表格1[[#This Row],[date]])</f>
        <v>3</v>
      </c>
      <c r="F3940" s="90">
        <v>46112</v>
      </c>
      <c r="G3940" s="86" t="str">
        <f>VLOOKUP("*"&amp;表格1[[#This Row],[Input]]&amp;"*",'Ref-List'!$B:$D,2,)</f>
        <v>RAD-D250H</v>
      </c>
      <c r="H3940" s="86" t="str">
        <f>_xlfn.XLOOKUP(表格1[[#This Row],[Model]],表格3[Model-Input-Ref2],表格3[Product Line])</f>
        <v>壓縮式抽濕機 (25公升)</v>
      </c>
      <c r="I3940" s="86" t="str">
        <f>_xlfn.XLOOKUP(表格1[[#This Row],[Model]],表格3[Model-Input-Ref2],表格3[大小電])</f>
        <v>細電</v>
      </c>
      <c r="J3940" s="86" t="str">
        <f>_xlfn.XLOOKUP(表格1[[#This Row],[Model]],表格3[Model-Input-Ref2],表格3[Code])</f>
        <v>RAC</v>
      </c>
      <c r="K3940" s="89" t="s">
        <v>1407</v>
      </c>
      <c r="L3940" s="86">
        <v>1</v>
      </c>
      <c r="M3940" s="87">
        <v>2080</v>
      </c>
      <c r="N3940" s="87">
        <f>IFERROR(表格1[[#This Row],[QTY]]*表格1[[#This Row],[Unit Price]],"-")</f>
        <v>2080</v>
      </c>
      <c r="O3940" s="86">
        <v>239650</v>
      </c>
      <c r="R3940" s="86" t="str">
        <f>_xlfn.CONCAT(表格1[[#This Row],[Model]]," ",表格1[[#This Row],[inv no]])</f>
        <v>RAD-D250H 239650</v>
      </c>
      <c r="S3940" s="86">
        <f>_xlfn.XLOOKUP(表格1[[#This Row],[Model]],表格3[Model-Input-Ref2],表格3[SRP PRICE])</f>
        <v>3380</v>
      </c>
      <c r="T3940" s="43">
        <f>表格1[[#This Row],[Unit Price]]/表格1[[#This Row],[SRP]]</f>
        <v>0.61538461538461542</v>
      </c>
      <c r="U3940" s="86" t="str">
        <f>_xlfn.XLOOKUP(表格1[[#This Row],[Model]],表格3[Model-Input-Ref2],表格3[TOSHIBA/HIGHEST])</f>
        <v>Shops Highest Price</v>
      </c>
      <c r="W3940" s="86" t="str">
        <f>_xlfn.CONCAT(表格1[[#This Row],[欄4]],表格1[[#This Row],[inv no]])</f>
        <v>239650</v>
      </c>
    </row>
    <row r="3941" spans="1:23" hidden="1">
      <c r="A3941" s="81">
        <v>3939</v>
      </c>
      <c r="B3941" s="86" t="s">
        <v>1403</v>
      </c>
      <c r="C3941" s="86" t="s">
        <v>1973</v>
      </c>
      <c r="D3941" s="89" t="str">
        <f ca="1">OFFSET(Roster!$A$3,MATCH(表格1[[#This Row],[Location]]&amp;" "&amp;表格1[[#This Row],[Shop]]&amp;"*",Roster!$A$4:$A$72,0),DAY(表格1[[#This Row],[date]]),1,1)</f>
        <v>Happy</v>
      </c>
      <c r="E3941" s="86">
        <f>MONTH(表格1[[#This Row],[date]])</f>
        <v>3</v>
      </c>
      <c r="F3941" s="90">
        <v>46112</v>
      </c>
      <c r="G3941" s="86" t="str">
        <f>VLOOKUP("*"&amp;表格1[[#This Row],[Input]]&amp;"*",'Ref-List'!$B:$D,2,)</f>
        <v>GR-RB360WE-PMA(06)</v>
      </c>
      <c r="H3941" s="86" t="str">
        <f>_xlfn.XLOOKUP(表格1[[#This Row],[Model]],表格3[Model-Input-Ref2],表格3[Product Line])</f>
        <v>變頻下置式雙門雪櫃系列270L</v>
      </c>
      <c r="I3941" s="86" t="str">
        <f>_xlfn.XLOOKUP(表格1[[#This Row],[Model]],表格3[Model-Input-Ref2],表格3[大小電])</f>
        <v>大電</v>
      </c>
      <c r="J3941" s="86" t="str">
        <f>_xlfn.XLOOKUP(表格1[[#This Row],[Model]],表格3[Model-Input-Ref2],表格3[Code])</f>
        <v>REF</v>
      </c>
      <c r="K3941" s="89" t="s">
        <v>1282</v>
      </c>
      <c r="L3941" s="86">
        <v>1</v>
      </c>
      <c r="M3941" s="87">
        <v>3880</v>
      </c>
      <c r="N3941" s="87">
        <f>IFERROR(表格1[[#This Row],[QTY]]*表格1[[#This Row],[Unit Price]],"-")</f>
        <v>3880</v>
      </c>
      <c r="O3941" s="86">
        <v>239661</v>
      </c>
      <c r="R3941" s="86" t="str">
        <f>_xlfn.CONCAT(表格1[[#This Row],[Model]]," ",表格1[[#This Row],[inv no]])</f>
        <v>GR-RB360WE-PMA(06) 239661</v>
      </c>
      <c r="S3941" s="86">
        <f>_xlfn.XLOOKUP(表格1[[#This Row],[Model]],表格3[Model-Input-Ref2],表格3[SRP PRICE])</f>
        <v>5080</v>
      </c>
      <c r="T3941" s="43">
        <f>表格1[[#This Row],[Unit Price]]/表格1[[#This Row],[SRP]]</f>
        <v>0.76377952755905509</v>
      </c>
      <c r="U3941" s="86" t="str">
        <f>_xlfn.XLOOKUP(表格1[[#This Row],[Model]],表格3[Model-Input-Ref2],表格3[TOSHIBA/HIGHEST])</f>
        <v>Toshiba SRP</v>
      </c>
      <c r="W3941" s="86" t="str">
        <f>_xlfn.CONCAT(表格1[[#This Row],[欄4]],表格1[[#This Row],[inv no]])</f>
        <v>239661</v>
      </c>
    </row>
    <row r="3942" spans="1:23" hidden="1">
      <c r="A3942" s="81">
        <v>3940</v>
      </c>
      <c r="B3942" s="86" t="s">
        <v>1203</v>
      </c>
      <c r="C3942" s="86" t="s">
        <v>1977</v>
      </c>
      <c r="D3942" s="89" t="str">
        <f ca="1">OFFSET(Roster!$A$3,MATCH(表格1[[#This Row],[Location]]&amp;" "&amp;表格1[[#This Row],[Shop]]&amp;"*",Roster!$A$4:$A$72,0),DAY(表格1[[#This Row],[date]]),1,1)</f>
        <v>Jessica</v>
      </c>
      <c r="E3942" s="86">
        <f>MONTH(表格1[[#This Row],[date]])</f>
        <v>3</v>
      </c>
      <c r="F3942" s="90">
        <v>46082</v>
      </c>
      <c r="G3942" s="86" t="str">
        <f>VLOOKUP("*"&amp;表格1[[#This Row],[Input]]&amp;"*",'Ref-List'!$B:$D,2,)</f>
        <v>PLK-45SFIH(WT)</v>
      </c>
      <c r="H3942" s="86" t="str">
        <f>_xlfn.XLOOKUP(表格1[[#This Row],[Model]],表格3[Model-Input-Ref2],表格3[Product Line])</f>
        <v>電熱水瓶4.5L</v>
      </c>
      <c r="I3942" s="86" t="str">
        <f>_xlfn.XLOOKUP(表格1[[#This Row],[Model]],表格3[Model-Input-Ref2],表格3[大小電])</f>
        <v>細電</v>
      </c>
      <c r="J3942" s="86" t="str">
        <f>_xlfn.XLOOKUP(表格1[[#This Row],[Model]],表格3[Model-Input-Ref2],表格3[Code])</f>
        <v>SDA</v>
      </c>
      <c r="K3942" s="89" t="s">
        <v>1117</v>
      </c>
      <c r="L3942" s="86">
        <v>2</v>
      </c>
      <c r="M3942" s="87">
        <v>500</v>
      </c>
      <c r="N3942" s="87">
        <f>IFERROR(表格1[[#This Row],[QTY]]*表格1[[#This Row],[Unit Price]],"-")</f>
        <v>1000</v>
      </c>
      <c r="R3942" s="86" t="str">
        <f>_xlfn.CONCAT(表格1[[#This Row],[Model]]," ",表格1[[#This Row],[inv no]])</f>
        <v xml:space="preserve">PLK-45SFIH(WT) </v>
      </c>
      <c r="S3942" s="86">
        <f>_xlfn.XLOOKUP(表格1[[#This Row],[Model]],表格3[Model-Input-Ref2],表格3[SRP PRICE])</f>
        <v>788</v>
      </c>
      <c r="T3942" s="43">
        <f>表格1[[#This Row],[Unit Price]]/表格1[[#This Row],[SRP]]</f>
        <v>0.63451776649746194</v>
      </c>
      <c r="U3942" s="86" t="str">
        <f>_xlfn.XLOOKUP(表格1[[#This Row],[Model]],表格3[Model-Input-Ref2],表格3[TOSHIBA/HIGHEST])</f>
        <v>Toshiba SRP</v>
      </c>
      <c r="W3942" s="86" t="str">
        <f>_xlfn.CONCAT(表格1[[#This Row],[欄4]],表格1[[#This Row],[inv no]])</f>
        <v/>
      </c>
    </row>
    <row r="3943" spans="1:23" hidden="1">
      <c r="A3943" s="81">
        <v>3941</v>
      </c>
      <c r="B3943" s="86" t="s">
        <v>1203</v>
      </c>
      <c r="C3943" s="86" t="s">
        <v>1977</v>
      </c>
      <c r="D3943" s="89" t="str">
        <f ca="1">OFFSET(Roster!$A$3,MATCH(表格1[[#This Row],[Location]]&amp;" "&amp;表格1[[#This Row],[Shop]]&amp;"*",Roster!$A$4:$A$72,0),DAY(表格1[[#This Row],[date]]),1,1)</f>
        <v>Jessica</v>
      </c>
      <c r="E3943" s="86">
        <f>MONTH(表格1[[#This Row],[date]])</f>
        <v>3</v>
      </c>
      <c r="F3943" s="90">
        <v>46082</v>
      </c>
      <c r="G3943" s="86" t="str">
        <f>VLOOKUP("*"&amp;表格1[[#This Row],[Input]]&amp;"*",'Ref-List'!$B:$D,2,)</f>
        <v>KT-17SHNH</v>
      </c>
      <c r="H3943" s="86" t="str">
        <f>_xlfn.XLOOKUP(表格1[[#This Row],[Model]],表格3[Model-Input-Ref2],表格3[Product Line])</f>
        <v>1.7L無線雙層電熱水壺</v>
      </c>
      <c r="I3943" s="86" t="str">
        <f>_xlfn.XLOOKUP(表格1[[#This Row],[Model]],表格3[Model-Input-Ref2],表格3[大小電])</f>
        <v>細電</v>
      </c>
      <c r="J3943" s="86" t="str">
        <f>_xlfn.XLOOKUP(表格1[[#This Row],[Model]],表格3[Model-Input-Ref2],表格3[Code])</f>
        <v>SDA</v>
      </c>
      <c r="K3943" s="89" t="s">
        <v>1283</v>
      </c>
      <c r="L3943" s="86">
        <v>1</v>
      </c>
      <c r="M3943" s="87">
        <v>180.5</v>
      </c>
      <c r="N3943" s="87">
        <f>IFERROR(表格1[[#This Row],[QTY]]*表格1[[#This Row],[Unit Price]],"-")</f>
        <v>180.5</v>
      </c>
      <c r="R3943" s="86" t="str">
        <f>_xlfn.CONCAT(表格1[[#This Row],[Model]]," ",表格1[[#This Row],[inv no]])</f>
        <v xml:space="preserve">KT-17SHNH </v>
      </c>
      <c r="S3943" s="86">
        <f>_xlfn.XLOOKUP(表格1[[#This Row],[Model]],表格3[Model-Input-Ref2],表格3[SRP PRICE])</f>
        <v>299</v>
      </c>
      <c r="T3943" s="43">
        <f>表格1[[#This Row],[Unit Price]]/表格1[[#This Row],[SRP]]</f>
        <v>0.60367892976588633</v>
      </c>
      <c r="U3943" s="86" t="str">
        <f>_xlfn.XLOOKUP(表格1[[#This Row],[Model]],表格3[Model-Input-Ref2],表格3[TOSHIBA/HIGHEST])</f>
        <v>Shops Highest Price</v>
      </c>
      <c r="W3943" s="86" t="str">
        <f>_xlfn.CONCAT(表格1[[#This Row],[欄4]],表格1[[#This Row],[inv no]])</f>
        <v/>
      </c>
    </row>
    <row r="3944" spans="1:23" hidden="1">
      <c r="A3944" s="81">
        <v>3942</v>
      </c>
      <c r="B3944" s="86" t="s">
        <v>1203</v>
      </c>
      <c r="C3944" s="86" t="s">
        <v>1977</v>
      </c>
      <c r="D3944" s="89" t="str">
        <f ca="1">OFFSET(Roster!$A$3,MATCH(表格1[[#This Row],[Location]]&amp;" "&amp;表格1[[#This Row],[Shop]]&amp;"*",Roster!$A$4:$A$72,0),DAY(表格1[[#This Row],[date]]),1,1)</f>
        <v>Jessica</v>
      </c>
      <c r="E3944" s="86">
        <f>MONTH(表格1[[#This Row],[date]])</f>
        <v>3</v>
      </c>
      <c r="F3944" s="90">
        <v>46082</v>
      </c>
      <c r="G3944" s="86" t="str">
        <f>VLOOKUP("*"&amp;表格1[[#This Row],[Input]]&amp;"*",'Ref-List'!$B:$D,2,)</f>
        <v>MWP-MM20P(WH)</v>
      </c>
      <c r="H3944" s="86" t="str">
        <f>_xlfn.XLOOKUP(表格1[[#This Row],[Model]],表格3[Model-Input-Ref2],表格3[Product Line])</f>
        <v>旋鈕式燒烤微波爐20L</v>
      </c>
      <c r="I3944" s="86" t="str">
        <f>_xlfn.XLOOKUP(表格1[[#This Row],[Model]],表格3[Model-Input-Ref2],表格3[大小電])</f>
        <v>細電</v>
      </c>
      <c r="J3944" s="86" t="str">
        <f>_xlfn.XLOOKUP(表格1[[#This Row],[Model]],表格3[Model-Input-Ref2],表格3[Code])</f>
        <v>SDA</v>
      </c>
      <c r="K3944" s="89" t="s">
        <v>1270</v>
      </c>
      <c r="L3944" s="86">
        <v>1</v>
      </c>
      <c r="M3944" s="87">
        <v>580</v>
      </c>
      <c r="N3944" s="87">
        <f>IFERROR(表格1[[#This Row],[QTY]]*表格1[[#This Row],[Unit Price]],"-")</f>
        <v>580</v>
      </c>
      <c r="R3944" s="86" t="str">
        <f>_xlfn.CONCAT(表格1[[#This Row],[Model]]," ",表格1[[#This Row],[inv no]])</f>
        <v xml:space="preserve">MWP-MM20P(WH) </v>
      </c>
      <c r="S3944" s="86">
        <f>_xlfn.XLOOKUP(表格1[[#This Row],[Model]],表格3[Model-Input-Ref2],表格3[SRP PRICE])</f>
        <v>648</v>
      </c>
      <c r="T3944" s="43">
        <f>表格1[[#This Row],[Unit Price]]/表格1[[#This Row],[SRP]]</f>
        <v>0.89506172839506171</v>
      </c>
      <c r="U3944" s="86" t="str">
        <f>_xlfn.XLOOKUP(表格1[[#This Row],[Model]],表格3[Model-Input-Ref2],表格3[TOSHIBA/HIGHEST])</f>
        <v>Toshiba SRP</v>
      </c>
      <c r="W3944" s="86" t="str">
        <f>_xlfn.CONCAT(表格1[[#This Row],[欄4]],表格1[[#This Row],[inv no]])</f>
        <v/>
      </c>
    </row>
    <row r="3945" spans="1:23" hidden="1">
      <c r="A3945" s="81">
        <v>3943</v>
      </c>
      <c r="B3945" s="86" t="s">
        <v>1203</v>
      </c>
      <c r="C3945" s="86" t="s">
        <v>1977</v>
      </c>
      <c r="D3945" s="89" t="str">
        <f ca="1">OFFSET(Roster!$A$3,MATCH(表格1[[#This Row],[Location]]&amp;" "&amp;表格1[[#This Row],[Shop]]&amp;"*",Roster!$A$4:$A$72,0),DAY(表格1[[#This Row],[date]]),1,1)</f>
        <v>Jessica</v>
      </c>
      <c r="E3945" s="86">
        <f>MONTH(表格1[[#This Row],[date]])</f>
        <v>3</v>
      </c>
      <c r="F3945" s="90">
        <v>46082</v>
      </c>
      <c r="G3945" s="86" t="str">
        <f>VLOOKUP("*"&amp;表格1[[#This Row],[Input]]&amp;"*",'Ref-List'!$B:$D,2,)</f>
        <v>MW2-MM24PC(BK)</v>
      </c>
      <c r="H3945" s="86" t="str">
        <f>_xlfn.XLOOKUP(表格1[[#This Row],[Model]],表格3[Model-Input-Ref2],表格3[Product Line])</f>
        <v>旋鈕式微波爐24L</v>
      </c>
      <c r="I3945" s="86" t="str">
        <f>_xlfn.XLOOKUP(表格1[[#This Row],[Model]],表格3[Model-Input-Ref2],表格3[大小電])</f>
        <v>細電</v>
      </c>
      <c r="J3945" s="86" t="str">
        <f>_xlfn.XLOOKUP(表格1[[#This Row],[Model]],表格3[Model-Input-Ref2],表格3[Code])</f>
        <v>SDA</v>
      </c>
      <c r="K3945" s="89" t="s">
        <v>1196</v>
      </c>
      <c r="L3945" s="86">
        <v>3</v>
      </c>
      <c r="M3945" s="87">
        <v>500</v>
      </c>
      <c r="N3945" s="87">
        <f>IFERROR(表格1[[#This Row],[QTY]]*表格1[[#This Row],[Unit Price]],"-")</f>
        <v>1500</v>
      </c>
      <c r="R3945" s="86" t="str">
        <f>_xlfn.CONCAT(表格1[[#This Row],[Model]]," ",表格1[[#This Row],[inv no]])</f>
        <v xml:space="preserve">MW2-MM24PC(BK) </v>
      </c>
      <c r="S3945" s="86">
        <f>_xlfn.XLOOKUP(表格1[[#This Row],[Model]],表格3[Model-Input-Ref2],表格3[SRP PRICE])</f>
        <v>848</v>
      </c>
      <c r="T3945" s="43">
        <f>表格1[[#This Row],[Unit Price]]/表格1[[#This Row],[SRP]]</f>
        <v>0.589622641509434</v>
      </c>
      <c r="U3945" s="86" t="str">
        <f>_xlfn.XLOOKUP(表格1[[#This Row],[Model]],表格3[Model-Input-Ref2],表格3[TOSHIBA/HIGHEST])</f>
        <v>Toshiba SRP</v>
      </c>
      <c r="W3945" s="86" t="str">
        <f>_xlfn.CONCAT(表格1[[#This Row],[欄4]],表格1[[#This Row],[inv no]])</f>
        <v/>
      </c>
    </row>
    <row r="3946" spans="1:23" hidden="1">
      <c r="A3946" s="81">
        <v>3944</v>
      </c>
      <c r="B3946" s="86" t="s">
        <v>1203</v>
      </c>
      <c r="C3946" s="86" t="s">
        <v>1977</v>
      </c>
      <c r="D3946" s="89" t="str">
        <f ca="1">OFFSET(Roster!$A$3,MATCH(表格1[[#This Row],[Location]]&amp;" "&amp;表格1[[#This Row],[Shop]]&amp;"*",Roster!$A$4:$A$72,0),DAY(表格1[[#This Row],[date]]),1,1)</f>
        <v>Jessica</v>
      </c>
      <c r="E3946" s="86">
        <f>MONTH(表格1[[#This Row],[date]])</f>
        <v>3</v>
      </c>
      <c r="F3946" s="90">
        <v>46082</v>
      </c>
      <c r="G3946" s="86" t="str">
        <f>VLOOKUP("*"&amp;表格1[[#This Row],[Input]]&amp;"*",'Ref-List'!$B:$D,2,)</f>
        <v>ER-TD5000HK(XK)</v>
      </c>
      <c r="H3946" s="86" t="str">
        <f>_xlfn.XLOOKUP(表格1[[#This Row],[Model]],表格3[Model-Input-Ref2],表格3[Product Line])</f>
        <v>座檯式純蒸氣烤焗水波爐30L</v>
      </c>
      <c r="I3946" s="86" t="str">
        <f>_xlfn.XLOOKUP(表格1[[#This Row],[Model]],表格3[Model-Input-Ref2],表格3[大小電])</f>
        <v>細電</v>
      </c>
      <c r="J3946" s="86" t="str">
        <f>_xlfn.XLOOKUP(表格1[[#This Row],[Model]],表格3[Model-Input-Ref2],表格3[Code])</f>
        <v>SDA</v>
      </c>
      <c r="K3946" s="89" t="s">
        <v>1205</v>
      </c>
      <c r="L3946" s="86">
        <v>2</v>
      </c>
      <c r="M3946" s="87">
        <v>3588</v>
      </c>
      <c r="N3946" s="87">
        <f>IFERROR(表格1[[#This Row],[QTY]]*表格1[[#This Row],[Unit Price]],"-")</f>
        <v>7176</v>
      </c>
      <c r="R3946" s="86" t="str">
        <f>_xlfn.CONCAT(表格1[[#This Row],[Model]]," ",表格1[[#This Row],[inv no]])</f>
        <v xml:space="preserve">ER-TD5000HK(XK) </v>
      </c>
      <c r="S3946" s="86">
        <f>_xlfn.XLOOKUP(表格1[[#This Row],[Model]],表格3[Model-Input-Ref2],表格3[SRP PRICE])</f>
        <v>7998</v>
      </c>
      <c r="T3946" s="43">
        <f>表格1[[#This Row],[Unit Price]]/表格1[[#This Row],[SRP]]</f>
        <v>0.44861215303825958</v>
      </c>
      <c r="U3946" s="86" t="str">
        <f>_xlfn.XLOOKUP(表格1[[#This Row],[Model]],表格3[Model-Input-Ref2],表格3[TOSHIBA/HIGHEST])</f>
        <v>Toshiba SRP</v>
      </c>
      <c r="W3946" s="86" t="str">
        <f>_xlfn.CONCAT(表格1[[#This Row],[欄4]],表格1[[#This Row],[inv no]])</f>
        <v/>
      </c>
    </row>
    <row r="3947" spans="1:23" hidden="1">
      <c r="A3947" s="81">
        <v>3945</v>
      </c>
      <c r="B3947" s="86" t="s">
        <v>1203</v>
      </c>
      <c r="C3947" s="86" t="s">
        <v>1977</v>
      </c>
      <c r="D3947" s="89" t="str">
        <f ca="1">OFFSET(Roster!$A$3,MATCH(表格1[[#This Row],[Location]]&amp;" "&amp;表格1[[#This Row],[Shop]]&amp;"*",Roster!$A$4:$A$72,0),DAY(表格1[[#This Row],[date]]),1,1)</f>
        <v>Jessica</v>
      </c>
      <c r="E3947" s="86">
        <f>MONTH(表格1[[#This Row],[date]])</f>
        <v>3</v>
      </c>
      <c r="F3947" s="90">
        <v>46082</v>
      </c>
      <c r="G3947" s="86" t="str">
        <f>VLOOKUP("*"&amp;表格1[[#This Row],[Input]]&amp;"*",'Ref-List'!$B:$D,2,)</f>
        <v>GR-A26HSZ(DS)</v>
      </c>
      <c r="H3947" s="86" t="str">
        <f>_xlfn.XLOOKUP(表格1[[#This Row],[Model]],表格3[Model-Input-Ref2],表格3[Product Line])</f>
        <v>雙門變頻式環保雪櫃</v>
      </c>
      <c r="I3947" s="86" t="str">
        <f>_xlfn.XLOOKUP(表格1[[#This Row],[Model]],表格3[Model-Input-Ref2],表格3[大小電])</f>
        <v>大電</v>
      </c>
      <c r="J3947" s="86" t="str">
        <f>_xlfn.XLOOKUP(表格1[[#This Row],[Model]],表格3[Model-Input-Ref2],表格3[Code])</f>
        <v>AC</v>
      </c>
      <c r="K3947" s="89" t="s">
        <v>1207</v>
      </c>
      <c r="L3947" s="86">
        <v>1</v>
      </c>
      <c r="M3947" s="87">
        <v>1500</v>
      </c>
      <c r="N3947" s="87">
        <f>IFERROR(表格1[[#This Row],[QTY]]*表格1[[#This Row],[Unit Price]],"-")</f>
        <v>1500</v>
      </c>
      <c r="R3947" s="86" t="str">
        <f>_xlfn.CONCAT(表格1[[#This Row],[Model]]," ",表格1[[#This Row],[inv no]])</f>
        <v xml:space="preserve">GR-A26HSZ(DS) </v>
      </c>
      <c r="S3947" s="86">
        <f>_xlfn.XLOOKUP(表格1[[#This Row],[Model]],表格3[Model-Input-Ref2],表格3[SRP PRICE])</f>
        <v>3780</v>
      </c>
      <c r="T3947" s="43">
        <f>表格1[[#This Row],[Unit Price]]/表格1[[#This Row],[SRP]]</f>
        <v>0.3968253968253968</v>
      </c>
      <c r="U3947" s="86" t="str">
        <f>_xlfn.XLOOKUP(表格1[[#This Row],[Model]],表格3[Model-Input-Ref2],表格3[TOSHIBA/HIGHEST])</f>
        <v>Toshiba SRP</v>
      </c>
      <c r="W3947" s="86" t="str">
        <f>_xlfn.CONCAT(表格1[[#This Row],[欄4]],表格1[[#This Row],[inv no]])</f>
        <v/>
      </c>
    </row>
    <row r="3948" spans="1:23" hidden="1">
      <c r="A3948" s="81">
        <v>3946</v>
      </c>
      <c r="B3948" s="86" t="s">
        <v>1203</v>
      </c>
      <c r="C3948" s="86" t="s">
        <v>1977</v>
      </c>
      <c r="D3948" s="89" t="str">
        <f ca="1">OFFSET(Roster!$A$3,MATCH(表格1[[#This Row],[Location]]&amp;" "&amp;表格1[[#This Row],[Shop]]&amp;"*",Roster!$A$4:$A$72,0),DAY(表格1[[#This Row],[date]]),1,1)</f>
        <v>Jessica</v>
      </c>
      <c r="E3948" s="86">
        <f>MONTH(表格1[[#This Row],[date]])</f>
        <v>3</v>
      </c>
      <c r="F3948" s="90">
        <v>46082</v>
      </c>
      <c r="G3948" s="86" t="str">
        <f>VLOOKUP("*"&amp;表格1[[#This Row],[Input]]&amp;"*",'Ref-List'!$B:$D,2,)</f>
        <v>RAD-Y200H</v>
      </c>
      <c r="H3948" s="86" t="str">
        <f>_xlfn.XLOOKUP(表格1[[#This Row],[Model]],表格3[Model-Input-Ref2],表格3[Product Line])</f>
        <v>21L壓縮式抽濕機</v>
      </c>
      <c r="I3948" s="86" t="str">
        <f>_xlfn.XLOOKUP(表格1[[#This Row],[Model]],表格3[Model-Input-Ref2],表格3[大小電])</f>
        <v>大電</v>
      </c>
      <c r="J3948" s="86" t="str">
        <f>_xlfn.XLOOKUP(表格1[[#This Row],[Model]],表格3[Model-Input-Ref2],表格3[Code])</f>
        <v>RAC</v>
      </c>
      <c r="K3948" s="89" t="s">
        <v>1241</v>
      </c>
      <c r="L3948" s="86">
        <v>3</v>
      </c>
      <c r="M3948" s="87">
        <v>1500</v>
      </c>
      <c r="N3948" s="87">
        <f>IFERROR(表格1[[#This Row],[QTY]]*表格1[[#This Row],[Unit Price]],"-")</f>
        <v>4500</v>
      </c>
      <c r="R3948" s="86" t="str">
        <f>_xlfn.CONCAT(表格1[[#This Row],[Model]]," ",表格1[[#This Row],[inv no]])</f>
        <v xml:space="preserve">RAD-Y200H </v>
      </c>
      <c r="S3948" s="86">
        <f>_xlfn.XLOOKUP(表格1[[#This Row],[Model]],表格3[Model-Input-Ref2],表格3[SRP PRICE])</f>
        <v>3280</v>
      </c>
      <c r="T3948" s="43">
        <f>表格1[[#This Row],[Unit Price]]/表格1[[#This Row],[SRP]]</f>
        <v>0.45731707317073172</v>
      </c>
      <c r="U3948" s="86" t="str">
        <f>_xlfn.XLOOKUP(表格1[[#This Row],[Model]],表格3[Model-Input-Ref2],表格3[TOSHIBA/HIGHEST])</f>
        <v>Toshiba SRP</v>
      </c>
      <c r="W3948" s="86" t="str">
        <f>_xlfn.CONCAT(表格1[[#This Row],[欄4]],表格1[[#This Row],[inv no]])</f>
        <v/>
      </c>
    </row>
    <row r="3949" spans="1:23" hidden="1">
      <c r="A3949" s="81">
        <v>3947</v>
      </c>
      <c r="B3949" s="86" t="s">
        <v>1203</v>
      </c>
      <c r="C3949" s="86" t="s">
        <v>1977</v>
      </c>
      <c r="D3949" s="89" t="str">
        <f ca="1">OFFSET(Roster!$A$3,MATCH(表格1[[#This Row],[Location]]&amp;" "&amp;表格1[[#This Row],[Shop]]&amp;"*",Roster!$A$4:$A$72,0),DAY(表格1[[#This Row],[date]]),1,1)</f>
        <v>Jessica</v>
      </c>
      <c r="E3949" s="86">
        <f>MONTH(表格1[[#This Row],[date]])</f>
        <v>3</v>
      </c>
      <c r="F3949" s="90">
        <v>46082</v>
      </c>
      <c r="G3949" s="86" t="str">
        <f>VLOOKUP("*"&amp;表格1[[#This Row],[Input]]&amp;"*",'Ref-List'!$B:$D,2,)</f>
        <v>TWD-BN90GF4H(WK)</v>
      </c>
      <c r="H3949" s="86" t="str">
        <f>_xlfn.XLOOKUP(表格1[[#This Row],[Model]],表格3[Model-Input-Ref2],表格3[Product Line])</f>
        <v>超薄身前置式洗衣乾衣機 (洗8公斤 乾5公斤)</v>
      </c>
      <c r="I3949" s="86" t="str">
        <f>_xlfn.XLOOKUP(表格1[[#This Row],[Model]],表格3[Model-Input-Ref2],表格3[大小電])</f>
        <v>大電</v>
      </c>
      <c r="J3949" s="86" t="str">
        <f>_xlfn.XLOOKUP(表格1[[#This Row],[Model]],表格3[Model-Input-Ref2],表格3[Code])</f>
        <v>WM</v>
      </c>
      <c r="K3949" s="89" t="s">
        <v>1199</v>
      </c>
      <c r="L3949" s="86">
        <v>1</v>
      </c>
      <c r="M3949" s="87">
        <v>3588</v>
      </c>
      <c r="N3949" s="87">
        <f>IFERROR(表格1[[#This Row],[QTY]]*表格1[[#This Row],[Unit Price]],"-")</f>
        <v>3588</v>
      </c>
      <c r="R3949" s="86" t="str">
        <f>_xlfn.CONCAT(表格1[[#This Row],[Model]]," ",表格1[[#This Row],[inv no]])</f>
        <v xml:space="preserve">TWD-BN90GF4H(WK) </v>
      </c>
      <c r="S3949" s="86">
        <f>_xlfn.XLOOKUP(表格1[[#This Row],[Model]],表格3[Model-Input-Ref2],表格3[SRP PRICE])</f>
        <v>5980</v>
      </c>
      <c r="T3949" s="43">
        <f>表格1[[#This Row],[Unit Price]]/表格1[[#This Row],[SRP]]</f>
        <v>0.6</v>
      </c>
      <c r="U3949" s="86" t="str">
        <f>_xlfn.XLOOKUP(表格1[[#This Row],[Model]],表格3[Model-Input-Ref2],表格3[TOSHIBA/HIGHEST])</f>
        <v>Toshiba SRP</v>
      </c>
      <c r="W3949" s="86" t="str">
        <f>_xlfn.CONCAT(表格1[[#This Row],[欄4]],表格1[[#This Row],[inv no]])</f>
        <v/>
      </c>
    </row>
    <row r="3950" spans="1:23" hidden="1">
      <c r="A3950" s="81">
        <v>3948</v>
      </c>
      <c r="B3950" s="86" t="s">
        <v>1203</v>
      </c>
      <c r="C3950" s="86" t="s">
        <v>1977</v>
      </c>
      <c r="D3950" s="89" t="str">
        <f ca="1">OFFSET(Roster!$A$3,MATCH(表格1[[#This Row],[Location]]&amp;" "&amp;表格1[[#This Row],[Shop]]&amp;"*",Roster!$A$4:$A$72,0),DAY(表格1[[#This Row],[date]]),1,1)</f>
        <v>Jessica</v>
      </c>
      <c r="E3950" s="86">
        <f>MONTH(表格1[[#This Row],[date]])</f>
        <v>3</v>
      </c>
      <c r="F3950" s="90">
        <v>46082</v>
      </c>
      <c r="G3950" s="86" t="str">
        <f>VLOOKUP("*"&amp;表格1[[#This Row],[Input]]&amp;"*",'Ref-List'!$B:$D,2,)</f>
        <v>TWP-TSR76THK(W)</v>
      </c>
      <c r="H3950" s="86" t="str">
        <f>_xlfn.XLOOKUP(表格1[[#This Row],[Model]],表格3[Model-Input-Ref2],表格3[Product Line])</f>
        <v>RO座檯式飲水機</v>
      </c>
      <c r="I3950" s="86" t="str">
        <f>_xlfn.XLOOKUP(表格1[[#This Row],[Model]],表格3[Model-Input-Ref2],表格3[大小電])</f>
        <v>細電</v>
      </c>
      <c r="J3950" s="86" t="str">
        <f>_xlfn.XLOOKUP(表格1[[#This Row],[Model]],表格3[Model-Input-Ref2],表格3[Code])</f>
        <v>KWH</v>
      </c>
      <c r="K3950" s="89" t="s">
        <v>1197</v>
      </c>
      <c r="L3950" s="86">
        <v>5</v>
      </c>
      <c r="M3950" s="87">
        <v>1500</v>
      </c>
      <c r="N3950" s="87">
        <f>IFERROR(表格1[[#This Row],[QTY]]*表格1[[#This Row],[Unit Price]],"-")</f>
        <v>7500</v>
      </c>
      <c r="R3950" s="86" t="str">
        <f>_xlfn.CONCAT(表格1[[#This Row],[Model]]," ",表格1[[#This Row],[inv no]])</f>
        <v xml:space="preserve">TWP-TSR76THK(W) </v>
      </c>
      <c r="S3950" s="86">
        <f>_xlfn.XLOOKUP(表格1[[#This Row],[Model]],表格3[Model-Input-Ref2],表格3[SRP PRICE])</f>
        <v>2680</v>
      </c>
      <c r="T3950" s="43">
        <f>表格1[[#This Row],[Unit Price]]/表格1[[#This Row],[SRP]]</f>
        <v>0.55970149253731338</v>
      </c>
      <c r="U3950" s="86" t="str">
        <f>_xlfn.XLOOKUP(表格1[[#This Row],[Model]],表格3[Model-Input-Ref2],表格3[TOSHIBA/HIGHEST])</f>
        <v>Toshiba SRP</v>
      </c>
      <c r="W3950" s="86" t="str">
        <f>_xlfn.CONCAT(表格1[[#This Row],[欄4]],表格1[[#This Row],[inv no]])</f>
        <v/>
      </c>
    </row>
    <row r="3951" spans="1:23" hidden="1">
      <c r="A3951" s="81">
        <v>3949</v>
      </c>
      <c r="B3951" s="86" t="s">
        <v>1203</v>
      </c>
      <c r="C3951" s="86" t="s">
        <v>1977</v>
      </c>
      <c r="D3951" s="89" t="str">
        <f ca="1">OFFSET(Roster!$A$3,MATCH(表格1[[#This Row],[Location]]&amp;" "&amp;表格1[[#This Row],[Shop]]&amp;"*",Roster!$A$4:$A$72,0),DAY(表格1[[#This Row],[date]]),1,1)</f>
        <v>Jessica</v>
      </c>
      <c r="E3951" s="86">
        <f>MONTH(表格1[[#This Row],[date]])</f>
        <v>3</v>
      </c>
      <c r="F3951" s="90">
        <v>46082</v>
      </c>
      <c r="G3951" s="86" t="str">
        <f>VLOOKUP("*"&amp;表格1[[#This Row],[Input]]&amp;"*",'Ref-List'!$B:$D,2,)</f>
        <v>DWS-34AHK</v>
      </c>
      <c r="H3951" s="86" t="str">
        <f>_xlfn.XLOOKUP(表格1[[#This Row],[Model]],表格3[Model-Input-Ref2],表格3[Product Line])</f>
        <v>獨立式免安裝洗碗碟機</v>
      </c>
      <c r="I3951" s="86" t="str">
        <f>_xlfn.XLOOKUP(表格1[[#This Row],[Model]],表格3[Model-Input-Ref2],表格3[大小電])</f>
        <v>細電</v>
      </c>
      <c r="J3951" s="86" t="str">
        <f>_xlfn.XLOOKUP(表格1[[#This Row],[Model]],表格3[Model-Input-Ref2],表格3[Code])</f>
        <v>DM</v>
      </c>
      <c r="K3951" s="89" t="s">
        <v>1240</v>
      </c>
      <c r="L3951" s="86">
        <v>2</v>
      </c>
      <c r="M3951" s="87">
        <v>1500</v>
      </c>
      <c r="N3951" s="87">
        <f>IFERROR(表格1[[#This Row],[QTY]]*表格1[[#This Row],[Unit Price]],"-")</f>
        <v>3000</v>
      </c>
      <c r="R3951" s="86" t="str">
        <f>_xlfn.CONCAT(表格1[[#This Row],[Model]]," ",表格1[[#This Row],[inv no]])</f>
        <v xml:space="preserve">DWS-34AHK </v>
      </c>
      <c r="S3951" s="86">
        <f>_xlfn.XLOOKUP(表格1[[#This Row],[Model]],表格3[Model-Input-Ref2],表格3[SRP PRICE])</f>
        <v>3999</v>
      </c>
      <c r="T3951" s="43">
        <f>表格1[[#This Row],[Unit Price]]/表格1[[#This Row],[SRP]]</f>
        <v>0.37509377344336087</v>
      </c>
      <c r="U3951" s="86" t="str">
        <f>_xlfn.XLOOKUP(表格1[[#This Row],[Model]],表格3[Model-Input-Ref2],表格3[TOSHIBA/HIGHEST])</f>
        <v>Web SRP</v>
      </c>
      <c r="W3951" s="86" t="str">
        <f>_xlfn.CONCAT(表格1[[#This Row],[欄4]],表格1[[#This Row],[inv no]])</f>
        <v/>
      </c>
    </row>
    <row r="3952" spans="1:23" hidden="1">
      <c r="A3952" s="81">
        <v>3950</v>
      </c>
      <c r="B3952" s="86" t="s">
        <v>1203</v>
      </c>
      <c r="C3952" s="86" t="s">
        <v>1977</v>
      </c>
      <c r="D3952" s="89" t="str">
        <f ca="1">OFFSET(Roster!$A$3,MATCH(表格1[[#This Row],[Location]]&amp;" "&amp;表格1[[#This Row],[Shop]]&amp;"*",Roster!$A$4:$A$72,0),DAY(表格1[[#This Row],[date]]),1,1)</f>
        <v>Jessica</v>
      </c>
      <c r="E3952" s="86">
        <f>MONTH(表格1[[#This Row],[date]])</f>
        <v>3</v>
      </c>
      <c r="F3952" s="90">
        <v>46082</v>
      </c>
      <c r="G3952" s="86" t="str">
        <f>VLOOKUP("*"&amp;表格1[[#This Row],[Input]]&amp;"*",'Ref-List'!$B:$D,2,)</f>
        <v>KT-17DRTHK(H)</v>
      </c>
      <c r="H3952" s="86" t="str">
        <f>_xlfn.XLOOKUP(表格1[[#This Row],[Model]],表格3[Model-Input-Ref2],表格3[Product Line])</f>
        <v>無線雙層電熱水壺(1.7公升)</v>
      </c>
      <c r="I3952" s="86" t="str">
        <f>_xlfn.XLOOKUP(表格1[[#This Row],[Model]],表格3[Model-Input-Ref2],表格3[大小電])</f>
        <v>細電</v>
      </c>
      <c r="J3952" s="86" t="str">
        <f>_xlfn.XLOOKUP(表格1[[#This Row],[Model]],表格3[Model-Input-Ref2],表格3[Code])</f>
        <v>SDA</v>
      </c>
      <c r="K3952" s="89" t="s">
        <v>1271</v>
      </c>
      <c r="L3952" s="86">
        <v>1</v>
      </c>
      <c r="M3952" s="87">
        <v>332.5</v>
      </c>
      <c r="N3952" s="87">
        <f>IFERROR(表格1[[#This Row],[QTY]]*表格1[[#This Row],[Unit Price]],"-")</f>
        <v>332.5</v>
      </c>
      <c r="R3952" s="86" t="str">
        <f>_xlfn.CONCAT(表格1[[#This Row],[Model]]," ",表格1[[#This Row],[inv no]])</f>
        <v xml:space="preserve">KT-17DRTHK(H) </v>
      </c>
      <c r="S3952" s="86">
        <f>_xlfn.XLOOKUP(表格1[[#This Row],[Model]],表格3[Model-Input-Ref2],表格3[SRP PRICE])</f>
        <v>498</v>
      </c>
      <c r="T3952" s="43">
        <f>表格1[[#This Row],[Unit Price]]/表格1[[#This Row],[SRP]]</f>
        <v>0.66767068273092367</v>
      </c>
      <c r="U3952" s="86" t="str">
        <f>_xlfn.XLOOKUP(表格1[[#This Row],[Model]],表格3[Model-Input-Ref2],表格3[TOSHIBA/HIGHEST])</f>
        <v>Toshiba SRP</v>
      </c>
      <c r="W3952" s="86" t="str">
        <f>_xlfn.CONCAT(表格1[[#This Row],[欄4]],表格1[[#This Row],[inv no]])</f>
        <v/>
      </c>
    </row>
    <row r="3953" spans="1:23" hidden="1">
      <c r="A3953" s="81">
        <v>3951</v>
      </c>
      <c r="B3953" s="86" t="s">
        <v>1203</v>
      </c>
      <c r="C3953" s="86" t="s">
        <v>1977</v>
      </c>
      <c r="D3953" s="89" t="str">
        <f ca="1">OFFSET(Roster!$A$3,MATCH(表格1[[#This Row],[Location]]&amp;" "&amp;表格1[[#This Row],[Shop]]&amp;"*",Roster!$A$4:$A$72,0),DAY(表格1[[#This Row],[date]]),1,1)</f>
        <v>Jessica</v>
      </c>
      <c r="E3953" s="86">
        <f>MONTH(表格1[[#This Row],[date]])</f>
        <v>3</v>
      </c>
      <c r="F3953" s="90">
        <v>46082</v>
      </c>
      <c r="G3953" s="86" t="str">
        <f>VLOOKUP("*"&amp;表格1[[#This Row],[Input]]&amp;"*",'Ref-List'!$B:$D,2,)</f>
        <v>ER-VD7000HK(XK)</v>
      </c>
      <c r="H3953" s="86" t="str">
        <f>_xlfn.XLOOKUP(表格1[[#This Row],[Model]],表格3[Model-Input-Ref2],表格3[Product Line])</f>
        <v>水波爐</v>
      </c>
      <c r="I3953" s="86" t="str">
        <f>_xlfn.XLOOKUP(表格1[[#This Row],[Model]],表格3[Model-Input-Ref2],表格3[大小電])</f>
        <v>細電</v>
      </c>
      <c r="J3953" s="86" t="str">
        <f>_xlfn.XLOOKUP(表格1[[#This Row],[Model]],表格3[Model-Input-Ref2],表格3[Code])</f>
        <v>MCA</v>
      </c>
      <c r="K3953" s="89" t="s">
        <v>1469</v>
      </c>
      <c r="L3953" s="86">
        <v>1</v>
      </c>
      <c r="M3953" s="87">
        <v>6450.5</v>
      </c>
      <c r="N3953" s="87">
        <f>IFERROR(表格1[[#This Row],[QTY]]*表格1[[#This Row],[Unit Price]],"-")</f>
        <v>6450.5</v>
      </c>
      <c r="R3953" s="86" t="str">
        <f>_xlfn.CONCAT(表格1[[#This Row],[Model]]," ",表格1[[#This Row],[inv no]])</f>
        <v xml:space="preserve">ER-VD7000HK(XK) </v>
      </c>
      <c r="S3953" s="86">
        <f>_xlfn.XLOOKUP(表格1[[#This Row],[Model]],表格3[Model-Input-Ref2],表格3[SRP PRICE])</f>
        <v>8998</v>
      </c>
      <c r="T3953" s="43">
        <f>表格1[[#This Row],[Unit Price]]/表格1[[#This Row],[SRP]]</f>
        <v>0.71688152922871751</v>
      </c>
      <c r="U3953" s="86" t="str">
        <f>_xlfn.XLOOKUP(表格1[[#This Row],[Model]],表格3[Model-Input-Ref2],表格3[TOSHIBA/HIGHEST])</f>
        <v>Toshiba SRP</v>
      </c>
      <c r="W3953" s="86" t="str">
        <f>_xlfn.CONCAT(表格1[[#This Row],[欄4]],表格1[[#This Row],[inv no]])</f>
        <v/>
      </c>
    </row>
    <row r="3954" spans="1:23" hidden="1">
      <c r="A3954" s="81">
        <v>3952</v>
      </c>
      <c r="B3954" s="86" t="s">
        <v>1203</v>
      </c>
      <c r="C3954" s="86" t="s">
        <v>1977</v>
      </c>
      <c r="D3954" s="89" t="str">
        <f ca="1">OFFSET(Roster!$A$3,MATCH(表格1[[#This Row],[Location]]&amp;" "&amp;表格1[[#This Row],[Shop]]&amp;"*",Roster!$A$4:$A$72,0),DAY(表格1[[#This Row],[date]]),1,1)</f>
        <v>Jessica</v>
      </c>
      <c r="E3954" s="86">
        <f>MONTH(表格1[[#This Row],[date]])</f>
        <v>3</v>
      </c>
      <c r="F3954" s="90">
        <v>46082</v>
      </c>
      <c r="G3954" s="86" t="str">
        <f>VLOOKUP("*"&amp;表格1[[#This Row],[Input]]&amp;"*",'Ref-List'!$B:$D,2,)</f>
        <v>IC-20R1THK</v>
      </c>
      <c r="H3954" s="86" t="str">
        <f>_xlfn.XLOOKUP(表格1[[#This Row],[Model]],表格3[Model-Input-Ref2],表格3[Product Line])</f>
        <v>輕便式電磁爐</v>
      </c>
      <c r="I3954" s="86" t="str">
        <f>_xlfn.XLOOKUP(表格1[[#This Row],[Model]],表格3[Model-Input-Ref2],表格3[大小電])</f>
        <v>細電</v>
      </c>
      <c r="J3954" s="86" t="str">
        <f>_xlfn.XLOOKUP(表格1[[#This Row],[Model]],表格3[Model-Input-Ref2],表格3[Code])</f>
        <v>SDA</v>
      </c>
      <c r="K3954" s="89" t="s">
        <v>1978</v>
      </c>
      <c r="L3954" s="86">
        <v>2</v>
      </c>
      <c r="M3954" s="87">
        <v>275.39999999999998</v>
      </c>
      <c r="N3954" s="87">
        <f>IFERROR(表格1[[#This Row],[QTY]]*表格1[[#This Row],[Unit Price]],"-")</f>
        <v>550.79999999999995</v>
      </c>
      <c r="R3954" s="86" t="str">
        <f>_xlfn.CONCAT(表格1[[#This Row],[Model]]," ",表格1[[#This Row],[inv no]])</f>
        <v xml:space="preserve">IC-20R1THK </v>
      </c>
      <c r="S3954" s="86">
        <f>_xlfn.XLOOKUP(表格1[[#This Row],[Model]],表格3[Model-Input-Ref2],表格3[SRP PRICE])</f>
        <v>438</v>
      </c>
      <c r="T3954" s="43">
        <f>表格1[[#This Row],[Unit Price]]/表格1[[#This Row],[SRP]]</f>
        <v>0.62876712328767115</v>
      </c>
      <c r="U3954" s="86" t="str">
        <f>_xlfn.XLOOKUP(表格1[[#This Row],[Model]],表格3[Model-Input-Ref2],表格3[TOSHIBA/HIGHEST])</f>
        <v>Shops Highest Price</v>
      </c>
      <c r="W3954" s="86" t="str">
        <f>_xlfn.CONCAT(表格1[[#This Row],[欄4]],表格1[[#This Row],[inv no]])</f>
        <v/>
      </c>
    </row>
    <row r="3955" spans="1:23" hidden="1">
      <c r="A3955" s="81">
        <v>3953</v>
      </c>
      <c r="B3955" s="86" t="s">
        <v>1203</v>
      </c>
      <c r="C3955" s="86" t="s">
        <v>1977</v>
      </c>
      <c r="D3955" s="89" t="str">
        <f ca="1">OFFSET(Roster!$A$3,MATCH(表格1[[#This Row],[Location]]&amp;" "&amp;表格1[[#This Row],[Shop]]&amp;"*",Roster!$A$4:$A$72,0),DAY(表格1[[#This Row],[date]]),1,1)</f>
        <v>Jessica</v>
      </c>
      <c r="E3955" s="86">
        <f>MONTH(表格1[[#This Row],[date]])</f>
        <v>3</v>
      </c>
      <c r="F3955" s="90">
        <v>46082</v>
      </c>
      <c r="G3955" s="86" t="str">
        <f>VLOOKUP("*"&amp;表格1[[#This Row],[Input]]&amp;"*",'Ref-List'!$B:$D,2,)</f>
        <v>RC-10AMXH(W)</v>
      </c>
      <c r="H3955" s="86" t="str">
        <f>_xlfn.XLOOKUP(表格1[[#This Row],[Model]],表格3[Model-Input-Ref2],表格3[Product Line])</f>
        <v>酵活炊電飯煲(1.0公升)</v>
      </c>
      <c r="I3955" s="86" t="str">
        <f>_xlfn.XLOOKUP(表格1[[#This Row],[Model]],表格3[Model-Input-Ref2],表格3[大小電])</f>
        <v>細電</v>
      </c>
      <c r="J3955" s="86" t="str">
        <f>_xlfn.XLOOKUP(表格1[[#This Row],[Model]],表格3[Model-Input-Ref2],表格3[Code])</f>
        <v>SDA</v>
      </c>
      <c r="K3955" s="89" t="s">
        <v>1279</v>
      </c>
      <c r="L3955" s="86">
        <v>1</v>
      </c>
      <c r="M3955" s="87">
        <v>990</v>
      </c>
      <c r="N3955" s="87">
        <f>IFERROR(表格1[[#This Row],[QTY]]*表格1[[#This Row],[Unit Price]],"-")</f>
        <v>990</v>
      </c>
      <c r="R3955" s="86" t="str">
        <f>_xlfn.CONCAT(表格1[[#This Row],[Model]]," ",表格1[[#This Row],[inv no]])</f>
        <v xml:space="preserve">RC-10AMXH(W) </v>
      </c>
      <c r="S3955" s="86">
        <f>_xlfn.XLOOKUP(表格1[[#This Row],[Model]],表格3[Model-Input-Ref2],表格3[SRP PRICE])</f>
        <v>1288</v>
      </c>
      <c r="T3955" s="43">
        <f>表格1[[#This Row],[Unit Price]]/表格1[[#This Row],[SRP]]</f>
        <v>0.76863354037267084</v>
      </c>
      <c r="U3955" s="86" t="str">
        <f>_xlfn.XLOOKUP(表格1[[#This Row],[Model]],表格3[Model-Input-Ref2],表格3[TOSHIBA/HIGHEST])</f>
        <v>Toshiba SRP</v>
      </c>
      <c r="W3955" s="86" t="str">
        <f>_xlfn.CONCAT(表格1[[#This Row],[欄4]],表格1[[#This Row],[inv no]])</f>
        <v/>
      </c>
    </row>
    <row r="3956" spans="1:23" hidden="1">
      <c r="A3956" s="81">
        <v>3954</v>
      </c>
      <c r="B3956" s="86" t="s">
        <v>1203</v>
      </c>
      <c r="C3956" s="86" t="s">
        <v>1977</v>
      </c>
      <c r="D3956" s="89" t="str">
        <f ca="1">OFFSET(Roster!$A$3,MATCH(表格1[[#This Row],[Location]]&amp;" "&amp;表格1[[#This Row],[Shop]]&amp;"*",Roster!$A$4:$A$72,0),DAY(表格1[[#This Row],[date]]),1,1)</f>
        <v>Jessica</v>
      </c>
      <c r="E3956" s="86">
        <f>MONTH(表格1[[#This Row],[date]])</f>
        <v>3</v>
      </c>
      <c r="F3956" s="90">
        <v>46082</v>
      </c>
      <c r="G3956" s="86" t="str">
        <f>VLOOKUP("*"&amp;表格1[[#This Row],[Input]]&amp;"*",'Ref-List'!$B:$D,2,)</f>
        <v>TWD-T21BU95UWH(WW)</v>
      </c>
      <c r="H3956" s="86" t="str">
        <f>_xlfn.XLOOKUP(表格1[[#This Row],[Model]],表格3[Model-Input-Ref2],表格3[Product Line])</f>
        <v>470MM超薄身前置式變頻洗衣乾衣機 (洗8.5公斤 乾6公斤)</v>
      </c>
      <c r="I3956" s="86" t="str">
        <f>_xlfn.XLOOKUP(表格1[[#This Row],[Model]],表格3[Model-Input-Ref2],表格3[大小電])</f>
        <v>大電</v>
      </c>
      <c r="J3956" s="86" t="str">
        <f>_xlfn.XLOOKUP(表格1[[#This Row],[Model]],表格3[Model-Input-Ref2],表格3[Code])</f>
        <v>LAD</v>
      </c>
      <c r="K3956" s="89" t="s">
        <v>1461</v>
      </c>
      <c r="L3956" s="86">
        <v>1</v>
      </c>
      <c r="M3956" s="87">
        <v>4161</v>
      </c>
      <c r="N3956" s="87">
        <f>IFERROR(表格1[[#This Row],[QTY]]*表格1[[#This Row],[Unit Price]],"-")</f>
        <v>4161</v>
      </c>
      <c r="O3956" s="86">
        <v>5936266</v>
      </c>
      <c r="R3956" s="86" t="str">
        <f>_xlfn.CONCAT(表格1[[#This Row],[Model]]," ",表格1[[#This Row],[inv no]])</f>
        <v>TWD-T21BU95UWH(WW) 5936266</v>
      </c>
      <c r="S3956" s="86">
        <f>_xlfn.XLOOKUP(表格1[[#This Row],[Model]],表格3[Model-Input-Ref2],表格3[SRP PRICE])</f>
        <v>7280</v>
      </c>
      <c r="T3956" s="43">
        <f>表格1[[#This Row],[Unit Price]]/表格1[[#This Row],[SRP]]</f>
        <v>0.57156593406593403</v>
      </c>
      <c r="U3956" s="86" t="str">
        <f>_xlfn.XLOOKUP(表格1[[#This Row],[Model]],表格3[Model-Input-Ref2],表格3[TOSHIBA/HIGHEST])</f>
        <v>Toshiba SRP</v>
      </c>
      <c r="W3956" s="86" t="str">
        <f>_xlfn.CONCAT(表格1[[#This Row],[欄4]],表格1[[#This Row],[inv no]])</f>
        <v>5936266</v>
      </c>
    </row>
    <row r="3957" spans="1:23" hidden="1">
      <c r="A3957" s="81">
        <v>3955</v>
      </c>
      <c r="B3957" s="86" t="s">
        <v>1203</v>
      </c>
      <c r="C3957" s="86" t="s">
        <v>1977</v>
      </c>
      <c r="D3957" s="89" t="str">
        <f ca="1">OFFSET(Roster!$A$3,MATCH(表格1[[#This Row],[Location]]&amp;" "&amp;表格1[[#This Row],[Shop]]&amp;"*",Roster!$A$4:$A$72,0),DAY(表格1[[#This Row],[date]]),1,1)</f>
        <v>Jessica</v>
      </c>
      <c r="E3957" s="86">
        <f>MONTH(表格1[[#This Row],[date]])</f>
        <v>3</v>
      </c>
      <c r="F3957" s="90">
        <v>46082</v>
      </c>
      <c r="G3957" s="86" t="str">
        <f>VLOOKUP("*"&amp;表格1[[#This Row],[Input]]&amp;"*",'Ref-List'!$B:$D,2,)</f>
        <v>IC-21TSHK</v>
      </c>
      <c r="H3957" s="86" t="str">
        <f>_xlfn.XLOOKUP(表格1[[#This Row],[Model]],表格3[Model-Input-Ref2],表格3[Product Line])</f>
        <v>Induction Cooker</v>
      </c>
      <c r="I3957" s="86" t="str">
        <f>_xlfn.XLOOKUP(表格1[[#This Row],[Model]],表格3[Model-Input-Ref2],表格3[大小電])</f>
        <v>細電</v>
      </c>
      <c r="J3957" s="86" t="str">
        <f>_xlfn.XLOOKUP(表格1[[#This Row],[Model]],表格3[Model-Input-Ref2],表格3[Code])</f>
        <v>SDA</v>
      </c>
      <c r="K3957" s="89" t="s">
        <v>1242</v>
      </c>
      <c r="L3957" s="86">
        <v>2</v>
      </c>
      <c r="M3957" s="87">
        <v>500</v>
      </c>
      <c r="N3957" s="87">
        <f>IFERROR(表格1[[#This Row],[QTY]]*表格1[[#This Row],[Unit Price]],"-")</f>
        <v>1000</v>
      </c>
      <c r="R3957" s="86" t="str">
        <f>_xlfn.CONCAT(表格1[[#This Row],[Model]]," ",表格1[[#This Row],[inv no]])</f>
        <v xml:space="preserve">IC-21TSHK </v>
      </c>
      <c r="S3957" s="86">
        <f>_xlfn.XLOOKUP(表格1[[#This Row],[Model]],表格3[Model-Input-Ref2],表格3[SRP PRICE])</f>
        <v>998</v>
      </c>
      <c r="T3957" s="43">
        <f>表格1[[#This Row],[Unit Price]]/表格1[[#This Row],[SRP]]</f>
        <v>0.50100200400801598</v>
      </c>
      <c r="U3957" s="86" t="str">
        <f>_xlfn.XLOOKUP(表格1[[#This Row],[Model]],表格3[Model-Input-Ref2],表格3[TOSHIBA/HIGHEST])</f>
        <v>web SRP</v>
      </c>
      <c r="W3957" s="86" t="str">
        <f>_xlfn.CONCAT(表格1[[#This Row],[欄4]],表格1[[#This Row],[inv no]])</f>
        <v/>
      </c>
    </row>
    <row r="3958" spans="1:23" hidden="1">
      <c r="A3958" s="81">
        <v>3956</v>
      </c>
      <c r="B3958" s="86" t="s">
        <v>1203</v>
      </c>
      <c r="C3958" s="86" t="s">
        <v>1977</v>
      </c>
      <c r="D3958" s="89" t="str">
        <f ca="1">OFFSET(Roster!$A$3,MATCH(表格1[[#This Row],[Location]]&amp;" "&amp;表格1[[#This Row],[Shop]]&amp;"*",Roster!$A$4:$A$72,0),DAY(表格1[[#This Row],[date]]),1,1)</f>
        <v>Jessica</v>
      </c>
      <c r="E3958" s="86">
        <f>MONTH(表格1[[#This Row],[date]])</f>
        <v>3</v>
      </c>
      <c r="F3958" s="90">
        <v>46082</v>
      </c>
      <c r="G3958" s="86" t="str">
        <f>VLOOKUP("*"&amp;表格1[[#This Row],[Input]]&amp;"*",'Ref-List'!$B:$D,2,)</f>
        <v>RC-15ISTHK(W)</v>
      </c>
      <c r="H3958" s="86" t="str">
        <f>_xlfn.XLOOKUP(表格1[[#This Row],[Model]],表格3[Model-Input-Ref2],表格3[Product Line])</f>
        <v>磁應電飯煲(1.5公升)</v>
      </c>
      <c r="I3958" s="86" t="str">
        <f>_xlfn.XLOOKUP(表格1[[#This Row],[Model]],表格3[Model-Input-Ref2],表格3[大小電])</f>
        <v>細電</v>
      </c>
      <c r="J3958" s="86" t="str">
        <f>_xlfn.XLOOKUP(表格1[[#This Row],[Model]],表格3[Model-Input-Ref2],表格3[Code])</f>
        <v>SDA</v>
      </c>
      <c r="K3958" s="89" t="s">
        <v>1204</v>
      </c>
      <c r="L3958" s="86">
        <v>13</v>
      </c>
      <c r="M3958" s="87">
        <v>500</v>
      </c>
      <c r="N3958" s="87">
        <f>IFERROR(表格1[[#This Row],[QTY]]*表格1[[#This Row],[Unit Price]],"-")</f>
        <v>6500</v>
      </c>
      <c r="R3958" s="86" t="str">
        <f>_xlfn.CONCAT(表格1[[#This Row],[Model]]," ",表格1[[#This Row],[inv no]])</f>
        <v xml:space="preserve">RC-15ISTHK(W) </v>
      </c>
      <c r="S3958" s="86">
        <f>_xlfn.XLOOKUP(表格1[[#This Row],[Model]],表格3[Model-Input-Ref2],表格3[SRP PRICE])</f>
        <v>1688</v>
      </c>
      <c r="T3958" s="43">
        <f>表格1[[#This Row],[Unit Price]]/表格1[[#This Row],[SRP]]</f>
        <v>0.29620853080568721</v>
      </c>
      <c r="U3958" s="86" t="str">
        <f>_xlfn.XLOOKUP(表格1[[#This Row],[Model]],表格3[Model-Input-Ref2],表格3[TOSHIBA/HIGHEST])</f>
        <v>Toshiba SRP</v>
      </c>
      <c r="W3958" s="86" t="str">
        <f>_xlfn.CONCAT(表格1[[#This Row],[欄4]],表格1[[#This Row],[inv no]])</f>
        <v/>
      </c>
    </row>
    <row r="3959" spans="1:23" hidden="1">
      <c r="A3959" s="81">
        <v>3957</v>
      </c>
      <c r="B3959" s="86" t="s">
        <v>1203</v>
      </c>
      <c r="C3959" s="86" t="s">
        <v>1977</v>
      </c>
      <c r="D3959" s="89" t="str">
        <f ca="1">OFFSET(Roster!$A$3,MATCH(表格1[[#This Row],[Location]]&amp;" "&amp;表格1[[#This Row],[Shop]]&amp;"*",Roster!$A$4:$A$72,0),DAY(表格1[[#This Row],[date]]),1,1)</f>
        <v>Jessica</v>
      </c>
      <c r="E3959" s="86">
        <f>MONTH(表格1[[#This Row],[date]])</f>
        <v>3</v>
      </c>
      <c r="F3959" s="90">
        <v>46082</v>
      </c>
      <c r="G3959" s="86" t="str">
        <f>VLOOKUP("*"&amp;表格1[[#This Row],[Input]]&amp;"*",'Ref-List'!$B:$D,2,)</f>
        <v>RAD-D200H</v>
      </c>
      <c r="H3959" s="86" t="str">
        <f>_xlfn.XLOOKUP(表格1[[#This Row],[Model]],表格3[Model-Input-Ref2],表格3[Product Line])</f>
        <v>壓縮式抽濕機 (22公升)</v>
      </c>
      <c r="I3959" s="86" t="str">
        <f>_xlfn.XLOOKUP(表格1[[#This Row],[Model]],表格3[Model-Input-Ref2],表格3[大小電])</f>
        <v>細電</v>
      </c>
      <c r="J3959" s="86" t="str">
        <f>_xlfn.XLOOKUP(表格1[[#This Row],[Model]],表格3[Model-Input-Ref2],表格3[Code])</f>
        <v>RAC</v>
      </c>
      <c r="K3959" s="89" t="s">
        <v>1250</v>
      </c>
      <c r="L3959" s="86">
        <v>1</v>
      </c>
      <c r="M3959" s="87">
        <v>2057.6999999999998</v>
      </c>
      <c r="N3959" s="87">
        <f>IFERROR(表格1[[#This Row],[QTY]]*表格1[[#This Row],[Unit Price]],"-")</f>
        <v>2057.6999999999998</v>
      </c>
      <c r="R3959" s="86" t="str">
        <f>_xlfn.CONCAT(表格1[[#This Row],[Model]]," ",表格1[[#This Row],[inv no]])</f>
        <v xml:space="preserve">RAD-D200H </v>
      </c>
      <c r="S3959" s="86">
        <f>_xlfn.XLOOKUP(表格1[[#This Row],[Model]],表格3[Model-Input-Ref2],表格3[SRP PRICE])</f>
        <v>2880</v>
      </c>
      <c r="T3959" s="43">
        <f>表格1[[#This Row],[Unit Price]]/表格1[[#This Row],[SRP]]</f>
        <v>0.71447916666666655</v>
      </c>
      <c r="U3959" s="86" t="str">
        <f>_xlfn.XLOOKUP(表格1[[#This Row],[Model]],表格3[Model-Input-Ref2],表格3[TOSHIBA/HIGHEST])</f>
        <v>Shops Highest Price</v>
      </c>
      <c r="W3959" s="86" t="str">
        <f>_xlfn.CONCAT(表格1[[#This Row],[欄4]],表格1[[#This Row],[inv no]])</f>
        <v/>
      </c>
    </row>
    <row r="3960" spans="1:23" hidden="1">
      <c r="A3960" s="81">
        <v>3958</v>
      </c>
      <c r="B3960" s="86" t="s">
        <v>1203</v>
      </c>
      <c r="C3960" s="86" t="s">
        <v>1977</v>
      </c>
      <c r="D3960" s="89" t="str">
        <f ca="1">OFFSET(Roster!$A$3,MATCH(表格1[[#This Row],[Location]]&amp;" "&amp;表格1[[#This Row],[Shop]]&amp;"*",Roster!$A$4:$A$72,0),DAY(表格1[[#This Row],[date]]),1,1)</f>
        <v>Jessica</v>
      </c>
      <c r="E3960" s="86">
        <f>MONTH(表格1[[#This Row],[date]])</f>
        <v>3</v>
      </c>
      <c r="F3960" s="90">
        <v>46083</v>
      </c>
      <c r="G3960" s="86" t="str">
        <f>VLOOKUP("*"&amp;表格1[[#This Row],[Input]]&amp;"*",'Ref-List'!$B:$D,2,)</f>
        <v>KT-17SHNH</v>
      </c>
      <c r="H3960" s="86" t="str">
        <f>_xlfn.XLOOKUP(表格1[[#This Row],[Model]],表格3[Model-Input-Ref2],表格3[Product Line])</f>
        <v>1.7L無線雙層電熱水壺</v>
      </c>
      <c r="I3960" s="86" t="str">
        <f>_xlfn.XLOOKUP(表格1[[#This Row],[Model]],表格3[Model-Input-Ref2],表格3[大小電])</f>
        <v>細電</v>
      </c>
      <c r="J3960" s="86" t="str">
        <f>_xlfn.XLOOKUP(表格1[[#This Row],[Model]],表格3[Model-Input-Ref2],表格3[Code])</f>
        <v>SDA</v>
      </c>
      <c r="K3960" s="89" t="s">
        <v>1283</v>
      </c>
      <c r="L3960" s="86">
        <v>1</v>
      </c>
      <c r="M3960" s="87">
        <v>180.5</v>
      </c>
      <c r="N3960" s="87">
        <f>IFERROR(表格1[[#This Row],[QTY]]*表格1[[#This Row],[Unit Price]],"-")</f>
        <v>180.5</v>
      </c>
      <c r="R3960" s="86" t="str">
        <f>_xlfn.CONCAT(表格1[[#This Row],[Model]]," ",表格1[[#This Row],[inv no]])</f>
        <v xml:space="preserve">KT-17SHNH </v>
      </c>
      <c r="S3960" s="86">
        <f>_xlfn.XLOOKUP(表格1[[#This Row],[Model]],表格3[Model-Input-Ref2],表格3[SRP PRICE])</f>
        <v>299</v>
      </c>
      <c r="T3960" s="43">
        <f>表格1[[#This Row],[Unit Price]]/表格1[[#This Row],[SRP]]</f>
        <v>0.60367892976588633</v>
      </c>
      <c r="U3960" s="86" t="str">
        <f>_xlfn.XLOOKUP(表格1[[#This Row],[Model]],表格3[Model-Input-Ref2],表格3[TOSHIBA/HIGHEST])</f>
        <v>Shops Highest Price</v>
      </c>
      <c r="W3960" s="86" t="str">
        <f>_xlfn.CONCAT(表格1[[#This Row],[欄4]],表格1[[#This Row],[inv no]])</f>
        <v/>
      </c>
    </row>
    <row r="3961" spans="1:23" hidden="1">
      <c r="A3961" s="81">
        <v>3959</v>
      </c>
      <c r="B3961" s="86" t="s">
        <v>1203</v>
      </c>
      <c r="C3961" s="86" t="s">
        <v>1977</v>
      </c>
      <c r="D3961" s="89" t="str">
        <f ca="1">OFFSET(Roster!$A$3,MATCH(表格1[[#This Row],[Location]]&amp;" "&amp;表格1[[#This Row],[Shop]]&amp;"*",Roster!$A$4:$A$72,0),DAY(表格1[[#This Row],[date]]),1,1)</f>
        <v>Jessica</v>
      </c>
      <c r="E3961" s="86">
        <f>MONTH(表格1[[#This Row],[date]])</f>
        <v>3</v>
      </c>
      <c r="F3961" s="90">
        <v>46083</v>
      </c>
      <c r="G3961" s="86" t="str">
        <f>VLOOKUP("*"&amp;表格1[[#This Row],[Input]]&amp;"*",'Ref-List'!$B:$D,2,)</f>
        <v>MW2-MM24PC(BK)</v>
      </c>
      <c r="H3961" s="86" t="str">
        <f>_xlfn.XLOOKUP(表格1[[#This Row],[Model]],表格3[Model-Input-Ref2],表格3[Product Line])</f>
        <v>旋鈕式微波爐24L</v>
      </c>
      <c r="I3961" s="86" t="str">
        <f>_xlfn.XLOOKUP(表格1[[#This Row],[Model]],表格3[Model-Input-Ref2],表格3[大小電])</f>
        <v>細電</v>
      </c>
      <c r="J3961" s="86" t="str">
        <f>_xlfn.XLOOKUP(表格1[[#This Row],[Model]],表格3[Model-Input-Ref2],表格3[Code])</f>
        <v>SDA</v>
      </c>
      <c r="K3961" s="89" t="s">
        <v>1196</v>
      </c>
      <c r="L3961" s="86">
        <v>1</v>
      </c>
      <c r="M3961" s="87">
        <v>500</v>
      </c>
      <c r="N3961" s="87">
        <f>IFERROR(表格1[[#This Row],[QTY]]*表格1[[#This Row],[Unit Price]],"-")</f>
        <v>500</v>
      </c>
      <c r="R3961" s="86" t="str">
        <f>_xlfn.CONCAT(表格1[[#This Row],[Model]]," ",表格1[[#This Row],[inv no]])</f>
        <v xml:space="preserve">MW2-MM24PC(BK) </v>
      </c>
      <c r="S3961" s="86">
        <f>_xlfn.XLOOKUP(表格1[[#This Row],[Model]],表格3[Model-Input-Ref2],表格3[SRP PRICE])</f>
        <v>848</v>
      </c>
      <c r="T3961" s="43">
        <f>表格1[[#This Row],[Unit Price]]/表格1[[#This Row],[SRP]]</f>
        <v>0.589622641509434</v>
      </c>
      <c r="U3961" s="86" t="str">
        <f>_xlfn.XLOOKUP(表格1[[#This Row],[Model]],表格3[Model-Input-Ref2],表格3[TOSHIBA/HIGHEST])</f>
        <v>Toshiba SRP</v>
      </c>
      <c r="W3961" s="86" t="str">
        <f>_xlfn.CONCAT(表格1[[#This Row],[欄4]],表格1[[#This Row],[inv no]])</f>
        <v/>
      </c>
    </row>
    <row r="3962" spans="1:23" hidden="1">
      <c r="A3962" s="81">
        <v>3960</v>
      </c>
      <c r="B3962" s="86" t="s">
        <v>1203</v>
      </c>
      <c r="C3962" s="86" t="s">
        <v>1977</v>
      </c>
      <c r="D3962" s="89" t="str">
        <f ca="1">OFFSET(Roster!$A$3,MATCH(表格1[[#This Row],[Location]]&amp;" "&amp;表格1[[#This Row],[Shop]]&amp;"*",Roster!$A$4:$A$72,0),DAY(表格1[[#This Row],[date]]),1,1)</f>
        <v>Jessica</v>
      </c>
      <c r="E3962" s="86">
        <f>MONTH(表格1[[#This Row],[date]])</f>
        <v>3</v>
      </c>
      <c r="F3962" s="90">
        <v>46083</v>
      </c>
      <c r="G3962" s="86" t="str">
        <f>VLOOKUP("*"&amp;表格1[[#This Row],[Input]]&amp;"*",'Ref-List'!$B:$D,2,)</f>
        <v>ER-TD5000HK(XK)</v>
      </c>
      <c r="H3962" s="86" t="str">
        <f>_xlfn.XLOOKUP(表格1[[#This Row],[Model]],表格3[Model-Input-Ref2],表格3[Product Line])</f>
        <v>座檯式純蒸氣烤焗水波爐30L</v>
      </c>
      <c r="I3962" s="86" t="str">
        <f>_xlfn.XLOOKUP(表格1[[#This Row],[Model]],表格3[Model-Input-Ref2],表格3[大小電])</f>
        <v>細電</v>
      </c>
      <c r="J3962" s="86" t="str">
        <f>_xlfn.XLOOKUP(表格1[[#This Row],[Model]],表格3[Model-Input-Ref2],表格3[Code])</f>
        <v>SDA</v>
      </c>
      <c r="K3962" s="89" t="s">
        <v>1205</v>
      </c>
      <c r="L3962" s="86">
        <v>5</v>
      </c>
      <c r="M3962" s="87">
        <v>3588</v>
      </c>
      <c r="N3962" s="87">
        <f>IFERROR(表格1[[#This Row],[QTY]]*表格1[[#This Row],[Unit Price]],"-")</f>
        <v>17940</v>
      </c>
      <c r="R3962" s="86" t="str">
        <f>_xlfn.CONCAT(表格1[[#This Row],[Model]]," ",表格1[[#This Row],[inv no]])</f>
        <v xml:space="preserve">ER-TD5000HK(XK) </v>
      </c>
      <c r="S3962" s="86">
        <f>_xlfn.XLOOKUP(表格1[[#This Row],[Model]],表格3[Model-Input-Ref2],表格3[SRP PRICE])</f>
        <v>7998</v>
      </c>
      <c r="T3962" s="43">
        <f>表格1[[#This Row],[Unit Price]]/表格1[[#This Row],[SRP]]</f>
        <v>0.44861215303825958</v>
      </c>
      <c r="U3962" s="86" t="str">
        <f>_xlfn.XLOOKUP(表格1[[#This Row],[Model]],表格3[Model-Input-Ref2],表格3[TOSHIBA/HIGHEST])</f>
        <v>Toshiba SRP</v>
      </c>
      <c r="W3962" s="86" t="str">
        <f>_xlfn.CONCAT(表格1[[#This Row],[欄4]],表格1[[#This Row],[inv no]])</f>
        <v/>
      </c>
    </row>
    <row r="3963" spans="1:23" hidden="1">
      <c r="A3963" s="81">
        <v>3961</v>
      </c>
      <c r="B3963" s="86" t="s">
        <v>1203</v>
      </c>
      <c r="C3963" s="86" t="s">
        <v>1977</v>
      </c>
      <c r="D3963" s="89" t="str">
        <f ca="1">OFFSET(Roster!$A$3,MATCH(表格1[[#This Row],[Location]]&amp;" "&amp;表格1[[#This Row],[Shop]]&amp;"*",Roster!$A$4:$A$72,0),DAY(表格1[[#This Row],[date]]),1,1)</f>
        <v>Jessica</v>
      </c>
      <c r="E3963" s="86">
        <f>MONTH(表格1[[#This Row],[date]])</f>
        <v>3</v>
      </c>
      <c r="F3963" s="90">
        <v>46083</v>
      </c>
      <c r="G3963" s="86" t="str">
        <f>VLOOKUP("*"&amp;表格1[[#This Row],[Input]]&amp;"*",'Ref-List'!$B:$D,2,)</f>
        <v>TWP-TSR76THK(W)</v>
      </c>
      <c r="H3963" s="86" t="str">
        <f>_xlfn.XLOOKUP(表格1[[#This Row],[Model]],表格3[Model-Input-Ref2],表格3[Product Line])</f>
        <v>RO座檯式飲水機</v>
      </c>
      <c r="I3963" s="86" t="str">
        <f>_xlfn.XLOOKUP(表格1[[#This Row],[Model]],表格3[Model-Input-Ref2],表格3[大小電])</f>
        <v>細電</v>
      </c>
      <c r="J3963" s="86" t="str">
        <f>_xlfn.XLOOKUP(表格1[[#This Row],[Model]],表格3[Model-Input-Ref2],表格3[Code])</f>
        <v>KWH</v>
      </c>
      <c r="K3963" s="89" t="s">
        <v>1197</v>
      </c>
      <c r="L3963" s="86">
        <v>6</v>
      </c>
      <c r="M3963" s="87">
        <v>1500</v>
      </c>
      <c r="N3963" s="87">
        <f>IFERROR(表格1[[#This Row],[QTY]]*表格1[[#This Row],[Unit Price]],"-")</f>
        <v>9000</v>
      </c>
      <c r="R3963" s="86" t="str">
        <f>_xlfn.CONCAT(表格1[[#This Row],[Model]]," ",表格1[[#This Row],[inv no]])</f>
        <v xml:space="preserve">TWP-TSR76THK(W) </v>
      </c>
      <c r="S3963" s="86">
        <f>_xlfn.XLOOKUP(表格1[[#This Row],[Model]],表格3[Model-Input-Ref2],表格3[SRP PRICE])</f>
        <v>2680</v>
      </c>
      <c r="T3963" s="43">
        <f>表格1[[#This Row],[Unit Price]]/表格1[[#This Row],[SRP]]</f>
        <v>0.55970149253731338</v>
      </c>
      <c r="U3963" s="86" t="str">
        <f>_xlfn.XLOOKUP(表格1[[#This Row],[Model]],表格3[Model-Input-Ref2],表格3[TOSHIBA/HIGHEST])</f>
        <v>Toshiba SRP</v>
      </c>
      <c r="W3963" s="86" t="str">
        <f>_xlfn.CONCAT(表格1[[#This Row],[欄4]],表格1[[#This Row],[inv no]])</f>
        <v/>
      </c>
    </row>
    <row r="3964" spans="1:23" hidden="1">
      <c r="A3964" s="81">
        <v>3962</v>
      </c>
      <c r="B3964" s="86" t="s">
        <v>1203</v>
      </c>
      <c r="C3964" s="86" t="s">
        <v>1977</v>
      </c>
      <c r="D3964" s="89" t="str">
        <f ca="1">OFFSET(Roster!$A$3,MATCH(表格1[[#This Row],[Location]]&amp;" "&amp;表格1[[#This Row],[Shop]]&amp;"*",Roster!$A$4:$A$72,0),DAY(表格1[[#This Row],[date]]),1,1)</f>
        <v>Jessica</v>
      </c>
      <c r="E3964" s="86">
        <f>MONTH(表格1[[#This Row],[date]])</f>
        <v>3</v>
      </c>
      <c r="F3964" s="90">
        <v>46083</v>
      </c>
      <c r="G3964" s="86" t="str">
        <f>VLOOKUP("*"&amp;表格1[[#This Row],[Input]]&amp;"*",'Ref-List'!$B:$D,2,)</f>
        <v>TWP-W2265THK(W)</v>
      </c>
      <c r="H3964" s="86" t="str">
        <f>_xlfn.XLOOKUP(表格1[[#This Row],[Model]],表格3[Model-Input-Ref2],表格3[Product Line])</f>
        <v>RO座檯式冷熱飲水機</v>
      </c>
      <c r="I3964" s="86" t="str">
        <f>_xlfn.XLOOKUP(表格1[[#This Row],[Model]],表格3[Model-Input-Ref2],表格3[大小電])</f>
        <v>細電</v>
      </c>
      <c r="J3964" s="86" t="str">
        <f>_xlfn.XLOOKUP(表格1[[#This Row],[Model]],表格3[Model-Input-Ref2],表格3[Code])</f>
        <v>KWH</v>
      </c>
      <c r="K3964" s="89" t="s">
        <v>1694</v>
      </c>
      <c r="L3964" s="86">
        <v>1</v>
      </c>
      <c r="M3964" s="87">
        <v>3306</v>
      </c>
      <c r="N3964" s="87">
        <f>IFERROR(表格1[[#This Row],[QTY]]*表格1[[#This Row],[Unit Price]],"-")</f>
        <v>3306</v>
      </c>
      <c r="O3964" s="86">
        <v>6117459</v>
      </c>
      <c r="R3964" s="86" t="str">
        <f>_xlfn.CONCAT(表格1[[#This Row],[Model]]," ",表格1[[#This Row],[inv no]])</f>
        <v>TWP-W2265THK(W) 6117459</v>
      </c>
      <c r="S3964" s="86">
        <f>_xlfn.XLOOKUP(表格1[[#This Row],[Model]],表格3[Model-Input-Ref2],表格3[SRP PRICE])</f>
        <v>3480</v>
      </c>
      <c r="T3964" s="43">
        <f>表格1[[#This Row],[Unit Price]]/表格1[[#This Row],[SRP]]</f>
        <v>0.95</v>
      </c>
      <c r="U3964" s="86" t="str">
        <f>_xlfn.XLOOKUP(表格1[[#This Row],[Model]],表格3[Model-Input-Ref2],表格3[TOSHIBA/HIGHEST])</f>
        <v>Shops Highest Price</v>
      </c>
      <c r="W3964" s="86" t="str">
        <f>_xlfn.CONCAT(表格1[[#This Row],[欄4]],表格1[[#This Row],[inv no]])</f>
        <v>6117459</v>
      </c>
    </row>
    <row r="3965" spans="1:23" hidden="1">
      <c r="A3965" s="81">
        <v>3963</v>
      </c>
      <c r="B3965" s="86" t="s">
        <v>1203</v>
      </c>
      <c r="C3965" s="86" t="s">
        <v>1977</v>
      </c>
      <c r="D3965" s="89" t="str">
        <f ca="1">OFFSET(Roster!$A$3,MATCH(表格1[[#This Row],[Location]]&amp;" "&amp;表格1[[#This Row],[Shop]]&amp;"*",Roster!$A$4:$A$72,0),DAY(表格1[[#This Row],[date]]),1,1)</f>
        <v>Jessica</v>
      </c>
      <c r="E3965" s="86">
        <f>MONTH(表格1[[#This Row],[date]])</f>
        <v>3</v>
      </c>
      <c r="F3965" s="90">
        <v>46083</v>
      </c>
      <c r="G3965" s="86" t="str">
        <f>VLOOKUP("*"&amp;表格1[[#This Row],[Input]]&amp;"*",'Ref-List'!$B:$D,2,)</f>
        <v>CFK01W75</v>
      </c>
      <c r="H3965" s="86" t="str">
        <f>_xlfn.XLOOKUP(表格1[[#This Row],[Model]],表格3[Model-Input-Ref2],表格3[Product Line])</f>
        <v>變頻頂揭式洗衣機 (7.5公斤)</v>
      </c>
      <c r="I3965" s="86" t="str">
        <f>_xlfn.XLOOKUP(表格1[[#This Row],[Model]],表格3[Model-Input-Ref2],表格3[大小電])</f>
        <v>大電</v>
      </c>
      <c r="J3965" s="86" t="str">
        <f>_xlfn.XLOOKUP(表格1[[#This Row],[Model]],表格3[Model-Input-Ref2],表格3[Code])</f>
        <v>LAD</v>
      </c>
      <c r="K3965" s="89" t="s">
        <v>1266</v>
      </c>
      <c r="L3965" s="86">
        <v>1</v>
      </c>
      <c r="M3965" s="87">
        <v>3401</v>
      </c>
      <c r="N3965" s="87">
        <f>IFERROR(表格1[[#This Row],[QTY]]*表格1[[#This Row],[Unit Price]],"-")</f>
        <v>3401</v>
      </c>
      <c r="O3965" s="86">
        <v>6117476</v>
      </c>
      <c r="R3965" s="86" t="str">
        <f>_xlfn.CONCAT(表格1[[#This Row],[Model]]," ",表格1[[#This Row],[inv no]])</f>
        <v>CFK01W75 6117476</v>
      </c>
      <c r="S3965" s="86">
        <f>_xlfn.XLOOKUP(表格1[[#This Row],[Model]],表格3[Model-Input-Ref2],表格3[SRP PRICE])</f>
        <v>3888</v>
      </c>
      <c r="T3965" s="43">
        <f>表格1[[#This Row],[Unit Price]]/表格1[[#This Row],[SRP]]</f>
        <v>0.87474279835390945</v>
      </c>
      <c r="U3965" s="86" t="str">
        <f>_xlfn.XLOOKUP(表格1[[#This Row],[Model]],表格3[Model-Input-Ref2],表格3[TOSHIBA/HIGHEST])</f>
        <v>Shops Highest Price</v>
      </c>
      <c r="W3965" s="86" t="str">
        <f>_xlfn.CONCAT(表格1[[#This Row],[欄4]],表格1[[#This Row],[inv no]])</f>
        <v>6117476</v>
      </c>
    </row>
    <row r="3966" spans="1:23" hidden="1">
      <c r="A3966" s="81">
        <v>3964</v>
      </c>
      <c r="B3966" s="86" t="s">
        <v>1203</v>
      </c>
      <c r="C3966" s="86" t="s">
        <v>1977</v>
      </c>
      <c r="D3966" s="89" t="str">
        <f ca="1">OFFSET(Roster!$A$3,MATCH(表格1[[#This Row],[Location]]&amp;" "&amp;表格1[[#This Row],[Shop]]&amp;"*",Roster!$A$4:$A$72,0),DAY(表格1[[#This Row],[date]]),1,1)</f>
        <v>Jessica</v>
      </c>
      <c r="E3966" s="86">
        <f>MONTH(表格1[[#This Row],[date]])</f>
        <v>3</v>
      </c>
      <c r="F3966" s="90">
        <v>46083</v>
      </c>
      <c r="G3966" s="86" t="str">
        <f>VLOOKUP("*"&amp;表格1[[#This Row],[Input]]&amp;"*",'Ref-List'!$B:$D,2,)</f>
        <v>GR-RB360WE-PMA(06)</v>
      </c>
      <c r="H3966" s="86" t="str">
        <f>_xlfn.XLOOKUP(表格1[[#This Row],[Model]],表格3[Model-Input-Ref2],表格3[Product Line])</f>
        <v>變頻下置式雙門雪櫃系列270L</v>
      </c>
      <c r="I3966" s="86" t="str">
        <f>_xlfn.XLOOKUP(表格1[[#This Row],[Model]],表格3[Model-Input-Ref2],表格3[大小電])</f>
        <v>大電</v>
      </c>
      <c r="J3966" s="86" t="str">
        <f>_xlfn.XLOOKUP(表格1[[#This Row],[Model]],表格3[Model-Input-Ref2],表格3[Code])</f>
        <v>REF</v>
      </c>
      <c r="K3966" s="89" t="s">
        <v>1282</v>
      </c>
      <c r="L3966" s="86">
        <v>1</v>
      </c>
      <c r="M3966" s="87">
        <v>3881</v>
      </c>
      <c r="N3966" s="87">
        <f>IFERROR(表格1[[#This Row],[QTY]]*表格1[[#This Row],[Unit Price]],"-")</f>
        <v>3881</v>
      </c>
      <c r="O3966" s="86">
        <v>5725745</v>
      </c>
      <c r="R3966" s="86" t="str">
        <f>_xlfn.CONCAT(表格1[[#This Row],[Model]]," ",表格1[[#This Row],[inv no]])</f>
        <v>GR-RB360WE-PMA(06) 5725745</v>
      </c>
      <c r="S3966" s="86">
        <f>_xlfn.XLOOKUP(表格1[[#This Row],[Model]],表格3[Model-Input-Ref2],表格3[SRP PRICE])</f>
        <v>5080</v>
      </c>
      <c r="T3966" s="43">
        <f>表格1[[#This Row],[Unit Price]]/表格1[[#This Row],[SRP]]</f>
        <v>0.76397637795275586</v>
      </c>
      <c r="U3966" s="86" t="str">
        <f>_xlfn.XLOOKUP(表格1[[#This Row],[Model]],表格3[Model-Input-Ref2],表格3[TOSHIBA/HIGHEST])</f>
        <v>Toshiba SRP</v>
      </c>
      <c r="W3966" s="86" t="str">
        <f>_xlfn.CONCAT(表格1[[#This Row],[欄4]],表格1[[#This Row],[inv no]])</f>
        <v>5725745</v>
      </c>
    </row>
    <row r="3967" spans="1:23" hidden="1">
      <c r="A3967" s="81">
        <v>3965</v>
      </c>
      <c r="B3967" s="86" t="s">
        <v>1203</v>
      </c>
      <c r="C3967" s="86" t="s">
        <v>1977</v>
      </c>
      <c r="D3967" s="89" t="str">
        <f ca="1">OFFSET(Roster!$A$3,MATCH(表格1[[#This Row],[Location]]&amp;" "&amp;表格1[[#This Row],[Shop]]&amp;"*",Roster!$A$4:$A$72,0),DAY(表格1[[#This Row],[date]]),1,1)</f>
        <v>Jessica</v>
      </c>
      <c r="E3967" s="86">
        <f>MONTH(表格1[[#This Row],[date]])</f>
        <v>3</v>
      </c>
      <c r="F3967" s="90">
        <v>46083</v>
      </c>
      <c r="G3967" s="86" t="str">
        <f>VLOOKUP("*"&amp;表格1[[#This Row],[Input]]&amp;"*",'Ref-List'!$B:$D,2,)</f>
        <v>GR-RT416WE-PMA(06)</v>
      </c>
      <c r="H3967" s="86" t="str">
        <f>_xlfn.XLOOKUP(表格1[[#This Row],[Model]],表格3[Model-Input-Ref2],表格3[Product Line])</f>
        <v xml:space="preserve">變頻上置式雙門雪櫃313L </v>
      </c>
      <c r="I3967" s="86" t="str">
        <f>_xlfn.XLOOKUP(表格1[[#This Row],[Model]],表格3[Model-Input-Ref2],表格3[大小電])</f>
        <v>大電</v>
      </c>
      <c r="J3967" s="86" t="str">
        <f>_xlfn.XLOOKUP(表格1[[#This Row],[Model]],表格3[Model-Input-Ref2],表格3[Code])</f>
        <v>REF</v>
      </c>
      <c r="K3967" s="89" t="s">
        <v>1208</v>
      </c>
      <c r="L3967" s="86">
        <v>1</v>
      </c>
      <c r="M3967" s="87">
        <v>2888</v>
      </c>
      <c r="N3967" s="87">
        <f>IFERROR(表格1[[#This Row],[QTY]]*表格1[[#This Row],[Unit Price]],"-")</f>
        <v>2888</v>
      </c>
      <c r="R3967" s="86" t="str">
        <f>_xlfn.CONCAT(表格1[[#This Row],[Model]]," ",表格1[[#This Row],[inv no]])</f>
        <v xml:space="preserve">GR-RT416WE-PMA(06) </v>
      </c>
      <c r="S3967" s="86">
        <f>_xlfn.XLOOKUP(表格1[[#This Row],[Model]],表格3[Model-Input-Ref2],表格3[SRP PRICE])</f>
        <v>5380</v>
      </c>
      <c r="T3967" s="43">
        <f>表格1[[#This Row],[Unit Price]]/表格1[[#This Row],[SRP]]</f>
        <v>0.53680297397769516</v>
      </c>
      <c r="U3967" s="86" t="str">
        <f>_xlfn.XLOOKUP(表格1[[#This Row],[Model]],表格3[Model-Input-Ref2],表格3[TOSHIBA/HIGHEST])</f>
        <v>Toshiba SRP</v>
      </c>
      <c r="W3967" s="86" t="str">
        <f>_xlfn.CONCAT(表格1[[#This Row],[欄4]],表格1[[#This Row],[inv no]])</f>
        <v/>
      </c>
    </row>
    <row r="3968" spans="1:23" hidden="1">
      <c r="A3968" s="81">
        <v>3966</v>
      </c>
      <c r="B3968" s="86" t="s">
        <v>1203</v>
      </c>
      <c r="C3968" s="86" t="s">
        <v>1977</v>
      </c>
      <c r="D3968" s="89" t="str">
        <f ca="1">OFFSET(Roster!$A$3,MATCH(表格1[[#This Row],[Location]]&amp;" "&amp;表格1[[#This Row],[Shop]]&amp;"*",Roster!$A$4:$A$72,0),DAY(表格1[[#This Row],[date]]),1,1)</f>
        <v>Jessica</v>
      </c>
      <c r="E3968" s="86">
        <f>MONTH(表格1[[#This Row],[date]])</f>
        <v>3</v>
      </c>
      <c r="F3968" s="90">
        <v>46083</v>
      </c>
      <c r="G3968" s="86" t="str">
        <f>VLOOKUP("*"&amp;表格1[[#This Row],[Input]]&amp;"*",'Ref-List'!$B:$D,2,)</f>
        <v>GR-RT300WE-PMA(57)</v>
      </c>
      <c r="H3968" s="86" t="str">
        <f>_xlfn.XLOOKUP(表格1[[#This Row],[Model]],表格3[Model-Input-Ref2],表格3[Product Line])</f>
        <v>變頻式環保雙門雪櫃(233L)</v>
      </c>
      <c r="I3968" s="86" t="str">
        <f>_xlfn.XLOOKUP(表格1[[#This Row],[Model]],表格3[Model-Input-Ref2],表格3[大小電])</f>
        <v>大電</v>
      </c>
      <c r="J3968" s="86" t="str">
        <f>_xlfn.XLOOKUP(表格1[[#This Row],[Model]],表格3[Model-Input-Ref2],表格3[Code])</f>
        <v>REF</v>
      </c>
      <c r="K3968" s="89" t="s">
        <v>1462</v>
      </c>
      <c r="L3968" s="86">
        <v>1</v>
      </c>
      <c r="M3968" s="87">
        <v>2641</v>
      </c>
      <c r="N3968" s="87">
        <f>IFERROR(表格1[[#This Row],[QTY]]*表格1[[#This Row],[Unit Price]],"-")</f>
        <v>2641</v>
      </c>
      <c r="O3968" s="86">
        <v>6117479</v>
      </c>
      <c r="R3968" s="86" t="str">
        <f>_xlfn.CONCAT(表格1[[#This Row],[Model]]," ",表格1[[#This Row],[inv no]])</f>
        <v>GR-RT300WE-PMA(57) 6117479</v>
      </c>
      <c r="S3968" s="86">
        <f>_xlfn.XLOOKUP(表格1[[#This Row],[Model]],表格3[Model-Input-Ref2],表格3[SRP PRICE])</f>
        <v>4280</v>
      </c>
      <c r="T3968" s="43">
        <f>表格1[[#This Row],[Unit Price]]/表格1[[#This Row],[SRP]]</f>
        <v>0.61705607476635516</v>
      </c>
      <c r="U3968" s="86" t="str">
        <f>_xlfn.XLOOKUP(表格1[[#This Row],[Model]],表格3[Model-Input-Ref2],表格3[TOSHIBA/HIGHEST])</f>
        <v>Toshiba SRP</v>
      </c>
      <c r="W3968" s="86" t="str">
        <f>_xlfn.CONCAT(表格1[[#This Row],[欄4]],表格1[[#This Row],[inv no]])</f>
        <v>6117479</v>
      </c>
    </row>
    <row r="3969" spans="1:23" hidden="1">
      <c r="A3969" s="81">
        <v>3967</v>
      </c>
      <c r="B3969" s="86" t="s">
        <v>1203</v>
      </c>
      <c r="C3969" s="86" t="s">
        <v>1977</v>
      </c>
      <c r="D3969" s="89" t="str">
        <f ca="1">OFFSET(Roster!$A$3,MATCH(表格1[[#This Row],[Location]]&amp;" "&amp;表格1[[#This Row],[Shop]]&amp;"*",Roster!$A$4:$A$72,0),DAY(表格1[[#This Row],[date]]),1,1)</f>
        <v>Jessica</v>
      </c>
      <c r="E3969" s="86">
        <f>MONTH(表格1[[#This Row],[date]])</f>
        <v>3</v>
      </c>
      <c r="F3969" s="90">
        <v>46083</v>
      </c>
      <c r="G3969" s="86" t="str">
        <f>VLOOKUP("*"&amp;表格1[[#This Row],[Input]]&amp;"*",'Ref-List'!$B:$D,2,)</f>
        <v>GR-RT300WE-PMA(57)</v>
      </c>
      <c r="H3969" s="86" t="str">
        <f>_xlfn.XLOOKUP(表格1[[#This Row],[Model]],表格3[Model-Input-Ref2],表格3[Product Line])</f>
        <v>變頻式環保雙門雪櫃(233L)</v>
      </c>
      <c r="I3969" s="86" t="str">
        <f>_xlfn.XLOOKUP(表格1[[#This Row],[Model]],表格3[Model-Input-Ref2],表格3[大小電])</f>
        <v>大電</v>
      </c>
      <c r="J3969" s="86" t="str">
        <f>_xlfn.XLOOKUP(表格1[[#This Row],[Model]],表格3[Model-Input-Ref2],表格3[Code])</f>
        <v>REF</v>
      </c>
      <c r="K3969" s="89" t="s">
        <v>1462</v>
      </c>
      <c r="L3969" s="86">
        <v>1</v>
      </c>
      <c r="M3969" s="87">
        <v>2641</v>
      </c>
      <c r="N3969" s="87">
        <f>IFERROR(表格1[[#This Row],[QTY]]*表格1[[#This Row],[Unit Price]],"-")</f>
        <v>2641</v>
      </c>
      <c r="O3969" s="86">
        <v>5993441</v>
      </c>
      <c r="R3969" s="86" t="str">
        <f>_xlfn.CONCAT(表格1[[#This Row],[Model]]," ",表格1[[#This Row],[inv no]])</f>
        <v>GR-RT300WE-PMA(57) 5993441</v>
      </c>
      <c r="S3969" s="86">
        <f>_xlfn.XLOOKUP(表格1[[#This Row],[Model]],表格3[Model-Input-Ref2],表格3[SRP PRICE])</f>
        <v>4280</v>
      </c>
      <c r="T3969" s="43">
        <f>表格1[[#This Row],[Unit Price]]/表格1[[#This Row],[SRP]]</f>
        <v>0.61705607476635516</v>
      </c>
      <c r="U3969" s="86" t="str">
        <f>_xlfn.XLOOKUP(表格1[[#This Row],[Model]],表格3[Model-Input-Ref2],表格3[TOSHIBA/HIGHEST])</f>
        <v>Toshiba SRP</v>
      </c>
      <c r="W3969" s="86" t="str">
        <f>_xlfn.CONCAT(表格1[[#This Row],[欄4]],表格1[[#This Row],[inv no]])</f>
        <v>5993441</v>
      </c>
    </row>
    <row r="3970" spans="1:23" hidden="1">
      <c r="A3970" s="81">
        <v>3968</v>
      </c>
      <c r="B3970" s="86" t="s">
        <v>1203</v>
      </c>
      <c r="C3970" s="86" t="s">
        <v>1977</v>
      </c>
      <c r="D3970" s="89" t="str">
        <f ca="1">OFFSET(Roster!$A$3,MATCH(表格1[[#This Row],[Location]]&amp;" "&amp;表格1[[#This Row],[Shop]]&amp;"*",Roster!$A$4:$A$72,0),DAY(表格1[[#This Row],[date]]),1,1)</f>
        <v>Jessica</v>
      </c>
      <c r="E3970" s="86">
        <f>MONTH(表格1[[#This Row],[date]])</f>
        <v>3</v>
      </c>
      <c r="F3970" s="90">
        <v>46083</v>
      </c>
      <c r="G3970" s="86" t="str">
        <f>VLOOKUP("*"&amp;表格1[[#This Row],[Input]]&amp;"*",'Ref-List'!$B:$D,2,)</f>
        <v>GR-RT300WE-PMA(57)</v>
      </c>
      <c r="H3970" s="86" t="str">
        <f>_xlfn.XLOOKUP(表格1[[#This Row],[Model]],表格3[Model-Input-Ref2],表格3[Product Line])</f>
        <v>變頻式環保雙門雪櫃(233L)</v>
      </c>
      <c r="I3970" s="86" t="str">
        <f>_xlfn.XLOOKUP(表格1[[#This Row],[Model]],表格3[Model-Input-Ref2],表格3[大小電])</f>
        <v>大電</v>
      </c>
      <c r="J3970" s="86" t="str">
        <f>_xlfn.XLOOKUP(表格1[[#This Row],[Model]],表格3[Model-Input-Ref2],表格3[Code])</f>
        <v>REF</v>
      </c>
      <c r="K3970" s="89" t="s">
        <v>1462</v>
      </c>
      <c r="L3970" s="86">
        <v>1</v>
      </c>
      <c r="M3970" s="87">
        <v>2641</v>
      </c>
      <c r="N3970" s="87">
        <f>IFERROR(表格1[[#This Row],[QTY]]*表格1[[#This Row],[Unit Price]],"-")</f>
        <v>2641</v>
      </c>
      <c r="O3970" s="86">
        <v>5725748</v>
      </c>
      <c r="R3970" s="86" t="str">
        <f>_xlfn.CONCAT(表格1[[#This Row],[Model]]," ",表格1[[#This Row],[inv no]])</f>
        <v>GR-RT300WE-PMA(57) 5725748</v>
      </c>
      <c r="S3970" s="86">
        <f>_xlfn.XLOOKUP(表格1[[#This Row],[Model]],表格3[Model-Input-Ref2],表格3[SRP PRICE])</f>
        <v>4280</v>
      </c>
      <c r="T3970" s="43">
        <f>表格1[[#This Row],[Unit Price]]/表格1[[#This Row],[SRP]]</f>
        <v>0.61705607476635516</v>
      </c>
      <c r="U3970" s="86" t="str">
        <f>_xlfn.XLOOKUP(表格1[[#This Row],[Model]],表格3[Model-Input-Ref2],表格3[TOSHIBA/HIGHEST])</f>
        <v>Toshiba SRP</v>
      </c>
      <c r="W3970" s="86" t="str">
        <f>_xlfn.CONCAT(表格1[[#This Row],[欄4]],表格1[[#This Row],[inv no]])</f>
        <v>5725748</v>
      </c>
    </row>
    <row r="3971" spans="1:23" hidden="1">
      <c r="A3971" s="81">
        <v>3969</v>
      </c>
      <c r="B3971" s="86" t="s">
        <v>1203</v>
      </c>
      <c r="C3971" s="86" t="s">
        <v>1977</v>
      </c>
      <c r="D3971" s="89" t="str">
        <f ca="1">OFFSET(Roster!$A$3,MATCH(表格1[[#This Row],[Location]]&amp;" "&amp;表格1[[#This Row],[Shop]]&amp;"*",Roster!$A$4:$A$72,0),DAY(表格1[[#This Row],[date]]),1,1)</f>
        <v>Jessica</v>
      </c>
      <c r="E3971" s="86">
        <f>MONTH(表格1[[#This Row],[date]])</f>
        <v>3</v>
      </c>
      <c r="F3971" s="90">
        <v>46083</v>
      </c>
      <c r="G3971" s="86" t="str">
        <f>VLOOKUP("*"&amp;表格1[[#This Row],[Input]]&amp;"*",'Ref-List'!$B:$D,2,)</f>
        <v>AW-M901BPH(WW)</v>
      </c>
      <c r="H3971" s="86" t="str">
        <f>_xlfn.XLOOKUP(表格1[[#This Row],[Model]],表格3[Model-Input-Ref2],表格3[Product Line])</f>
        <v>全自動洗衣機 (8公斤 結合高低水位)</v>
      </c>
      <c r="I3971" s="86" t="str">
        <f>_xlfn.XLOOKUP(表格1[[#This Row],[Model]],表格3[Model-Input-Ref2],表格3[大小電])</f>
        <v>大電</v>
      </c>
      <c r="J3971" s="86" t="str">
        <f>_xlfn.XLOOKUP(表格1[[#This Row],[Model]],表格3[Model-Input-Ref2],表格3[Code])</f>
        <v>WM</v>
      </c>
      <c r="K3971" s="89" t="s">
        <v>1202</v>
      </c>
      <c r="L3971" s="86">
        <v>1</v>
      </c>
      <c r="M3971" s="87">
        <v>1500</v>
      </c>
      <c r="N3971" s="87">
        <f>IFERROR(表格1[[#This Row],[QTY]]*表格1[[#This Row],[Unit Price]],"-")</f>
        <v>1500</v>
      </c>
      <c r="R3971" s="86" t="str">
        <f>_xlfn.CONCAT(表格1[[#This Row],[Model]]," ",表格1[[#This Row],[inv no]])</f>
        <v xml:space="preserve">AW-M901BPH(WW) </v>
      </c>
      <c r="S3971" s="86">
        <f>_xlfn.XLOOKUP(表格1[[#This Row],[Model]],表格3[Model-Input-Ref2],表格3[SRP PRICE])</f>
        <v>3580</v>
      </c>
      <c r="T3971" s="43">
        <f>表格1[[#This Row],[Unit Price]]/表格1[[#This Row],[SRP]]</f>
        <v>0.41899441340782123</v>
      </c>
      <c r="U3971" s="86" t="str">
        <f>_xlfn.XLOOKUP(表格1[[#This Row],[Model]],表格3[Model-Input-Ref2],表格3[TOSHIBA/HIGHEST])</f>
        <v>Toshiba SRP</v>
      </c>
      <c r="W3971" s="86" t="str">
        <f>_xlfn.CONCAT(表格1[[#This Row],[欄4]],表格1[[#This Row],[inv no]])</f>
        <v/>
      </c>
    </row>
    <row r="3972" spans="1:23" hidden="1">
      <c r="A3972" s="81">
        <v>3970</v>
      </c>
      <c r="B3972" s="86" t="s">
        <v>1203</v>
      </c>
      <c r="C3972" s="86" t="s">
        <v>1977</v>
      </c>
      <c r="D3972" s="89" t="str">
        <f ca="1">OFFSET(Roster!$A$3,MATCH(表格1[[#This Row],[Location]]&amp;" "&amp;表格1[[#This Row],[Shop]]&amp;"*",Roster!$A$4:$A$72,0),DAY(表格1[[#This Row],[date]]),1,1)</f>
        <v>Jessica</v>
      </c>
      <c r="E3972" s="86">
        <f>MONTH(表格1[[#This Row],[date]])</f>
        <v>3</v>
      </c>
      <c r="F3972" s="90">
        <v>46083</v>
      </c>
      <c r="G3972" s="86" t="str">
        <f>VLOOKUP("*"&amp;表格1[[#This Row],[Input]]&amp;"*",'Ref-List'!$B:$D,2,)</f>
        <v>RC-15ISTHK(W)</v>
      </c>
      <c r="H3972" s="86" t="str">
        <f>_xlfn.XLOOKUP(表格1[[#This Row],[Model]],表格3[Model-Input-Ref2],表格3[Product Line])</f>
        <v>磁應電飯煲(1.5公升)</v>
      </c>
      <c r="I3972" s="86" t="str">
        <f>_xlfn.XLOOKUP(表格1[[#This Row],[Model]],表格3[Model-Input-Ref2],表格3[大小電])</f>
        <v>細電</v>
      </c>
      <c r="J3972" s="86" t="str">
        <f>_xlfn.XLOOKUP(表格1[[#This Row],[Model]],表格3[Model-Input-Ref2],表格3[Code])</f>
        <v>SDA</v>
      </c>
      <c r="K3972" s="89" t="s">
        <v>1204</v>
      </c>
      <c r="L3972" s="86">
        <v>3</v>
      </c>
      <c r="M3972" s="87">
        <v>500</v>
      </c>
      <c r="N3972" s="87">
        <f>IFERROR(表格1[[#This Row],[QTY]]*表格1[[#This Row],[Unit Price]],"-")</f>
        <v>1500</v>
      </c>
      <c r="R3972" s="86" t="str">
        <f>_xlfn.CONCAT(表格1[[#This Row],[Model]]," ",表格1[[#This Row],[inv no]])</f>
        <v xml:space="preserve">RC-15ISTHK(W) </v>
      </c>
      <c r="S3972" s="86">
        <f>_xlfn.XLOOKUP(表格1[[#This Row],[Model]],表格3[Model-Input-Ref2],表格3[SRP PRICE])</f>
        <v>1688</v>
      </c>
      <c r="T3972" s="43">
        <f>表格1[[#This Row],[Unit Price]]/表格1[[#This Row],[SRP]]</f>
        <v>0.29620853080568721</v>
      </c>
      <c r="U3972" s="86" t="str">
        <f>_xlfn.XLOOKUP(表格1[[#This Row],[Model]],表格3[Model-Input-Ref2],表格3[TOSHIBA/HIGHEST])</f>
        <v>Toshiba SRP</v>
      </c>
      <c r="W3972" s="86" t="str">
        <f>_xlfn.CONCAT(表格1[[#This Row],[欄4]],表格1[[#This Row],[inv no]])</f>
        <v/>
      </c>
    </row>
    <row r="3973" spans="1:23" hidden="1">
      <c r="A3973" s="81">
        <v>3971</v>
      </c>
      <c r="B3973" s="86" t="s">
        <v>1203</v>
      </c>
      <c r="C3973" s="86" t="s">
        <v>1977</v>
      </c>
      <c r="D3973" s="89" t="str">
        <f ca="1">OFFSET(Roster!$A$3,MATCH(表格1[[#This Row],[Location]]&amp;" "&amp;表格1[[#This Row],[Shop]]&amp;"*",Roster!$A$4:$A$72,0),DAY(表格1[[#This Row],[date]]),1,1)</f>
        <v>Jessica</v>
      </c>
      <c r="E3973" s="86">
        <f>MONTH(表格1[[#This Row],[date]])</f>
        <v>3</v>
      </c>
      <c r="F3973" s="90">
        <v>46084</v>
      </c>
      <c r="G3973" s="86" t="str">
        <f>VLOOKUP("*"&amp;表格1[[#This Row],[Input]]&amp;"*",'Ref-List'!$B:$D,2,)</f>
        <v>RC-18NMFIH(WT)</v>
      </c>
      <c r="H3973" s="86" t="str">
        <f>_xlfn.XLOOKUP(表格1[[#This Row],[Model]],表格3[Model-Input-Ref2],表格3[Product Line])</f>
        <v>4毫米厚釜電飯煲1.8L</v>
      </c>
      <c r="I3973" s="86" t="str">
        <f>_xlfn.XLOOKUP(表格1[[#This Row],[Model]],表格3[Model-Input-Ref2],表格3[大小電])</f>
        <v>細電</v>
      </c>
      <c r="J3973" s="86" t="str">
        <f>_xlfn.XLOOKUP(表格1[[#This Row],[Model]],表格3[Model-Input-Ref2],表格3[Code])</f>
        <v>SDA</v>
      </c>
      <c r="K3973" s="89" t="s">
        <v>1267</v>
      </c>
      <c r="L3973" s="86">
        <v>1</v>
      </c>
      <c r="M3973" s="87">
        <v>800</v>
      </c>
      <c r="N3973" s="87">
        <f>IFERROR(表格1[[#This Row],[QTY]]*表格1[[#This Row],[Unit Price]],"-")</f>
        <v>800</v>
      </c>
      <c r="R3973" s="86" t="str">
        <f>_xlfn.CONCAT(表格1[[#This Row],[Model]]," ",表格1[[#This Row],[inv no]])</f>
        <v xml:space="preserve">RC-18NMFIH(WT) </v>
      </c>
      <c r="S3973" s="86">
        <f>_xlfn.XLOOKUP(表格1[[#This Row],[Model]],表格3[Model-Input-Ref2],表格3[SRP PRICE])</f>
        <v>998</v>
      </c>
      <c r="T3973" s="43">
        <f>表格1[[#This Row],[Unit Price]]/表格1[[#This Row],[SRP]]</f>
        <v>0.80160320641282568</v>
      </c>
      <c r="U3973" s="86" t="str">
        <f>_xlfn.XLOOKUP(表格1[[#This Row],[Model]],表格3[Model-Input-Ref2],表格3[TOSHIBA/HIGHEST])</f>
        <v>Toshiba SRP</v>
      </c>
      <c r="W3973" s="86" t="str">
        <f>_xlfn.CONCAT(表格1[[#This Row],[欄4]],表格1[[#This Row],[inv no]])</f>
        <v/>
      </c>
    </row>
    <row r="3974" spans="1:23" hidden="1">
      <c r="A3974" s="81">
        <v>3972</v>
      </c>
      <c r="B3974" s="86" t="s">
        <v>1203</v>
      </c>
      <c r="C3974" s="86" t="s">
        <v>1977</v>
      </c>
      <c r="D3974" s="89" t="str">
        <f ca="1">OFFSET(Roster!$A$3,MATCH(表格1[[#This Row],[Location]]&amp;" "&amp;表格1[[#This Row],[Shop]]&amp;"*",Roster!$A$4:$A$72,0),DAY(表格1[[#This Row],[date]]),1,1)</f>
        <v>Jessica</v>
      </c>
      <c r="E3974" s="86">
        <f>MONTH(表格1[[#This Row],[date]])</f>
        <v>3</v>
      </c>
      <c r="F3974" s="90">
        <v>46084</v>
      </c>
      <c r="G3974" s="86" t="str">
        <f>VLOOKUP("*"&amp;表格1[[#This Row],[Input]]&amp;"*",'Ref-List'!$B:$D,2,)</f>
        <v>KT-17SHNH</v>
      </c>
      <c r="H3974" s="86" t="str">
        <f>_xlfn.XLOOKUP(表格1[[#This Row],[Model]],表格3[Model-Input-Ref2],表格3[Product Line])</f>
        <v>1.7L無線雙層電熱水壺</v>
      </c>
      <c r="I3974" s="86" t="str">
        <f>_xlfn.XLOOKUP(表格1[[#This Row],[Model]],表格3[Model-Input-Ref2],表格3[大小電])</f>
        <v>細電</v>
      </c>
      <c r="J3974" s="86" t="str">
        <f>_xlfn.XLOOKUP(表格1[[#This Row],[Model]],表格3[Model-Input-Ref2],表格3[Code])</f>
        <v>SDA</v>
      </c>
      <c r="K3974" s="89" t="s">
        <v>1283</v>
      </c>
      <c r="L3974" s="86">
        <v>1</v>
      </c>
      <c r="M3974" s="87">
        <v>190</v>
      </c>
      <c r="N3974" s="87">
        <f>IFERROR(表格1[[#This Row],[QTY]]*表格1[[#This Row],[Unit Price]],"-")</f>
        <v>190</v>
      </c>
      <c r="R3974" s="86" t="str">
        <f>_xlfn.CONCAT(表格1[[#This Row],[Model]]," ",表格1[[#This Row],[inv no]])</f>
        <v xml:space="preserve">KT-17SHNH </v>
      </c>
      <c r="S3974" s="86">
        <f>_xlfn.XLOOKUP(表格1[[#This Row],[Model]],表格3[Model-Input-Ref2],表格3[SRP PRICE])</f>
        <v>299</v>
      </c>
      <c r="T3974" s="43">
        <f>表格1[[#This Row],[Unit Price]]/表格1[[#This Row],[SRP]]</f>
        <v>0.63545150501672243</v>
      </c>
      <c r="U3974" s="86" t="str">
        <f>_xlfn.XLOOKUP(表格1[[#This Row],[Model]],表格3[Model-Input-Ref2],表格3[TOSHIBA/HIGHEST])</f>
        <v>Shops Highest Price</v>
      </c>
      <c r="W3974" s="86" t="str">
        <f>_xlfn.CONCAT(表格1[[#This Row],[欄4]],表格1[[#This Row],[inv no]])</f>
        <v/>
      </c>
    </row>
    <row r="3975" spans="1:23" hidden="1">
      <c r="A3975" s="81">
        <v>3973</v>
      </c>
      <c r="B3975" s="86" t="s">
        <v>1203</v>
      </c>
      <c r="C3975" s="86" t="s">
        <v>1977</v>
      </c>
      <c r="D3975" s="89" t="str">
        <f ca="1">OFFSET(Roster!$A$3,MATCH(表格1[[#This Row],[Location]]&amp;" "&amp;表格1[[#This Row],[Shop]]&amp;"*",Roster!$A$4:$A$72,0),DAY(表格1[[#This Row],[date]]),1,1)</f>
        <v>Jessica</v>
      </c>
      <c r="E3975" s="86">
        <f>MONTH(表格1[[#This Row],[date]])</f>
        <v>3</v>
      </c>
      <c r="F3975" s="90">
        <v>46084</v>
      </c>
      <c r="G3975" s="86" t="str">
        <f>VLOOKUP("*"&amp;表格1[[#This Row],[Input]]&amp;"*",'Ref-List'!$B:$D,2,)</f>
        <v>RC-5MMIH(WT)</v>
      </c>
      <c r="H3975" s="86" t="str">
        <f>_xlfn.XLOOKUP(表格1[[#This Row],[Model]],表格3[Model-Input-Ref2],表格3[Product Line])</f>
        <v>4毫米厚釜電飯煲0.54L</v>
      </c>
      <c r="I3975" s="86" t="str">
        <f>_xlfn.XLOOKUP(表格1[[#This Row],[Model]],表格3[Model-Input-Ref2],表格3[大小電])</f>
        <v>細電</v>
      </c>
      <c r="J3975" s="86" t="str">
        <f>_xlfn.XLOOKUP(表格1[[#This Row],[Model]],表格3[Model-Input-Ref2],表格3[Code])</f>
        <v>SDA</v>
      </c>
      <c r="K3975" s="89" t="s">
        <v>1195</v>
      </c>
      <c r="L3975" s="86">
        <v>1</v>
      </c>
      <c r="M3975" s="87">
        <v>490</v>
      </c>
      <c r="N3975" s="87">
        <f>IFERROR(表格1[[#This Row],[QTY]]*表格1[[#This Row],[Unit Price]],"-")</f>
        <v>490</v>
      </c>
      <c r="R3975" s="86" t="str">
        <f>_xlfn.CONCAT(表格1[[#This Row],[Model]]," ",表格1[[#This Row],[inv no]])</f>
        <v xml:space="preserve">RC-5MMIH(WT) </v>
      </c>
      <c r="S3975" s="86">
        <f>_xlfn.XLOOKUP(表格1[[#This Row],[Model]],表格3[Model-Input-Ref2],表格3[SRP PRICE])</f>
        <v>618</v>
      </c>
      <c r="T3975" s="43">
        <f>表格1[[#This Row],[Unit Price]]/表格1[[#This Row],[SRP]]</f>
        <v>0.79288025889967639</v>
      </c>
      <c r="U3975" s="86" t="str">
        <f>_xlfn.XLOOKUP(表格1[[#This Row],[Model]],表格3[Model-Input-Ref2],表格3[TOSHIBA/HIGHEST])</f>
        <v>Toshiba SRP</v>
      </c>
      <c r="W3975" s="86" t="str">
        <f>_xlfn.CONCAT(表格1[[#This Row],[欄4]],表格1[[#This Row],[inv no]])</f>
        <v/>
      </c>
    </row>
    <row r="3976" spans="1:23" hidden="1">
      <c r="A3976" s="81">
        <v>3974</v>
      </c>
      <c r="B3976" s="86" t="s">
        <v>1203</v>
      </c>
      <c r="C3976" s="86" t="s">
        <v>1977</v>
      </c>
      <c r="D3976" s="89" t="str">
        <f ca="1">OFFSET(Roster!$A$3,MATCH(表格1[[#This Row],[Location]]&amp;" "&amp;表格1[[#This Row],[Shop]]&amp;"*",Roster!$A$4:$A$72,0),DAY(表格1[[#This Row],[date]]),1,1)</f>
        <v>Jessica</v>
      </c>
      <c r="E3976" s="86">
        <f>MONTH(表格1[[#This Row],[date]])</f>
        <v>3</v>
      </c>
      <c r="F3976" s="90">
        <v>46084</v>
      </c>
      <c r="G3976" s="86" t="str">
        <f>VLOOKUP("*"&amp;表格1[[#This Row],[Input]]&amp;"*",'Ref-List'!$B:$D,2,)</f>
        <v>RC-5SLIH(W)</v>
      </c>
      <c r="H3976" s="86" t="str">
        <f>_xlfn.XLOOKUP(表格1[[#This Row],[Model]],表格3[Model-Input-Ref2],表格3[Product Line])</f>
        <v>微型電腦珍珠飯煲</v>
      </c>
      <c r="I3976" s="86" t="str">
        <f>_xlfn.XLOOKUP(表格1[[#This Row],[Model]],表格3[Model-Input-Ref2],表格3[大小電])</f>
        <v>細電</v>
      </c>
      <c r="J3976" s="86" t="str">
        <f>_xlfn.XLOOKUP(表格1[[#This Row],[Model]],表格3[Model-Input-Ref2],表格3[Code])</f>
        <v>SDA</v>
      </c>
      <c r="K3976" s="89" t="s">
        <v>1264</v>
      </c>
      <c r="L3976" s="86">
        <v>1</v>
      </c>
      <c r="M3976" s="87">
        <v>590</v>
      </c>
      <c r="N3976" s="87">
        <f>IFERROR(表格1[[#This Row],[QTY]]*表格1[[#This Row],[Unit Price]],"-")</f>
        <v>590</v>
      </c>
      <c r="R3976" s="86" t="str">
        <f>_xlfn.CONCAT(表格1[[#This Row],[Model]]," ",表格1[[#This Row],[inv no]])</f>
        <v xml:space="preserve">RC-5SLIH(W) </v>
      </c>
      <c r="S3976" s="86">
        <f>_xlfn.XLOOKUP(表格1[[#This Row],[Model]],表格3[Model-Input-Ref2],表格3[SRP PRICE])</f>
        <v>658</v>
      </c>
      <c r="T3976" s="43">
        <f>表格1[[#This Row],[Unit Price]]/表格1[[#This Row],[SRP]]</f>
        <v>0.89665653495440734</v>
      </c>
      <c r="U3976" s="86" t="str">
        <f>_xlfn.XLOOKUP(表格1[[#This Row],[Model]],表格3[Model-Input-Ref2],表格3[TOSHIBA/HIGHEST])</f>
        <v>Toshiba SRP</v>
      </c>
      <c r="W3976" s="86" t="str">
        <f>_xlfn.CONCAT(表格1[[#This Row],[欄4]],表格1[[#This Row],[inv no]])</f>
        <v/>
      </c>
    </row>
    <row r="3977" spans="1:23" hidden="1">
      <c r="A3977" s="81">
        <v>3975</v>
      </c>
      <c r="B3977" s="86" t="s">
        <v>1203</v>
      </c>
      <c r="C3977" s="86" t="s">
        <v>1977</v>
      </c>
      <c r="D3977" s="89" t="str">
        <f ca="1">OFFSET(Roster!$A$3,MATCH(表格1[[#This Row],[Location]]&amp;" "&amp;表格1[[#This Row],[Shop]]&amp;"*",Roster!$A$4:$A$72,0),DAY(表格1[[#This Row],[date]]),1,1)</f>
        <v>Jessica</v>
      </c>
      <c r="E3977" s="86">
        <f>MONTH(表格1[[#This Row],[date]])</f>
        <v>3</v>
      </c>
      <c r="F3977" s="90">
        <v>46084</v>
      </c>
      <c r="G3977" s="86" t="str">
        <f>VLOOKUP("*"&amp;表格1[[#This Row],[Input]]&amp;"*",'Ref-List'!$B:$D,2,)</f>
        <v>MS3-STQ20SC(WH)</v>
      </c>
      <c r="H3977" s="86" t="str">
        <f>_xlfn.XLOOKUP(表格1[[#This Row],[Model]],表格3[Model-Input-Ref2],表格3[Product Line])</f>
        <v>20L 智能蒸氣焗爐</v>
      </c>
      <c r="I3977" s="86" t="str">
        <f>_xlfn.XLOOKUP(表格1[[#This Row],[Model]],表格3[Model-Input-Ref2],表格3[大小電])</f>
        <v>細電</v>
      </c>
      <c r="J3977" s="86" t="str">
        <f>_xlfn.XLOOKUP(表格1[[#This Row],[Model]],表格3[Model-Input-Ref2],表格3[Code])</f>
        <v>MCA</v>
      </c>
      <c r="K3977" s="89" t="s">
        <v>1383</v>
      </c>
      <c r="L3977" s="86">
        <v>1</v>
      </c>
      <c r="M3977" s="87">
        <v>1881</v>
      </c>
      <c r="N3977" s="87">
        <f>IFERROR(表格1[[#This Row],[QTY]]*表格1[[#This Row],[Unit Price]],"-")</f>
        <v>1881</v>
      </c>
      <c r="R3977" s="86" t="str">
        <f>_xlfn.CONCAT(表格1[[#This Row],[Model]]," ",表格1[[#This Row],[inv no]])</f>
        <v xml:space="preserve">MS3-STQ20SC(WH) </v>
      </c>
      <c r="S3977" s="86">
        <f>_xlfn.XLOOKUP(表格1[[#This Row],[Model]],表格3[Model-Input-Ref2],表格3[SRP PRICE])</f>
        <v>2880</v>
      </c>
      <c r="T3977" s="43">
        <f>表格1[[#This Row],[Unit Price]]/表格1[[#This Row],[SRP]]</f>
        <v>0.65312499999999996</v>
      </c>
      <c r="U3977" s="86" t="str">
        <f>_xlfn.XLOOKUP(表格1[[#This Row],[Model]],表格3[Model-Input-Ref2],表格3[TOSHIBA/HIGHEST])</f>
        <v>Toshiba SRP</v>
      </c>
      <c r="W3977" s="86" t="str">
        <f>_xlfn.CONCAT(表格1[[#This Row],[欄4]],表格1[[#This Row],[inv no]])</f>
        <v/>
      </c>
    </row>
    <row r="3978" spans="1:23" hidden="1">
      <c r="A3978" s="81">
        <v>3976</v>
      </c>
      <c r="B3978" s="86" t="s">
        <v>1203</v>
      </c>
      <c r="C3978" s="86" t="s">
        <v>1977</v>
      </c>
      <c r="D3978" s="89" t="str">
        <f ca="1">OFFSET(Roster!$A$3,MATCH(表格1[[#This Row],[Location]]&amp;" "&amp;表格1[[#This Row],[Shop]]&amp;"*",Roster!$A$4:$A$72,0),DAY(表格1[[#This Row],[date]]),1,1)</f>
        <v>Jessica</v>
      </c>
      <c r="E3978" s="86">
        <f>MONTH(表格1[[#This Row],[date]])</f>
        <v>3</v>
      </c>
      <c r="F3978" s="90">
        <v>46084</v>
      </c>
      <c r="G3978" s="86" t="str">
        <f>VLOOKUP("*"&amp;表格1[[#This Row],[Input]]&amp;"*",'Ref-List'!$B:$D,2,)</f>
        <v>TWP-TSR76THK(W)</v>
      </c>
      <c r="H3978" s="86" t="str">
        <f>_xlfn.XLOOKUP(表格1[[#This Row],[Model]],表格3[Model-Input-Ref2],表格3[Product Line])</f>
        <v>RO座檯式飲水機</v>
      </c>
      <c r="I3978" s="86" t="str">
        <f>_xlfn.XLOOKUP(表格1[[#This Row],[Model]],表格3[Model-Input-Ref2],表格3[大小電])</f>
        <v>細電</v>
      </c>
      <c r="J3978" s="86" t="str">
        <f>_xlfn.XLOOKUP(表格1[[#This Row],[Model]],表格3[Model-Input-Ref2],表格3[Code])</f>
        <v>KWH</v>
      </c>
      <c r="K3978" s="89" t="s">
        <v>1197</v>
      </c>
      <c r="L3978" s="86">
        <v>1</v>
      </c>
      <c r="M3978" s="87">
        <v>1500</v>
      </c>
      <c r="N3978" s="87">
        <f>IFERROR(表格1[[#This Row],[QTY]]*表格1[[#This Row],[Unit Price]],"-")</f>
        <v>1500</v>
      </c>
      <c r="R3978" s="86" t="str">
        <f>_xlfn.CONCAT(表格1[[#This Row],[Model]]," ",表格1[[#This Row],[inv no]])</f>
        <v xml:space="preserve">TWP-TSR76THK(W) </v>
      </c>
      <c r="S3978" s="86">
        <f>_xlfn.XLOOKUP(表格1[[#This Row],[Model]],表格3[Model-Input-Ref2],表格3[SRP PRICE])</f>
        <v>2680</v>
      </c>
      <c r="T3978" s="43">
        <f>表格1[[#This Row],[Unit Price]]/表格1[[#This Row],[SRP]]</f>
        <v>0.55970149253731338</v>
      </c>
      <c r="U3978" s="86" t="str">
        <f>_xlfn.XLOOKUP(表格1[[#This Row],[Model]],表格3[Model-Input-Ref2],表格3[TOSHIBA/HIGHEST])</f>
        <v>Toshiba SRP</v>
      </c>
      <c r="W3978" s="86" t="str">
        <f>_xlfn.CONCAT(表格1[[#This Row],[欄4]],表格1[[#This Row],[inv no]])</f>
        <v/>
      </c>
    </row>
    <row r="3979" spans="1:23" hidden="1">
      <c r="A3979" s="81">
        <v>3977</v>
      </c>
      <c r="B3979" s="86" t="s">
        <v>1203</v>
      </c>
      <c r="C3979" s="86" t="s">
        <v>1977</v>
      </c>
      <c r="D3979" s="89" t="str">
        <f ca="1">OFFSET(Roster!$A$3,MATCH(表格1[[#This Row],[Location]]&amp;" "&amp;表格1[[#This Row],[Shop]]&amp;"*",Roster!$A$4:$A$72,0),DAY(表格1[[#This Row],[date]]),1,1)</f>
        <v>Jessica</v>
      </c>
      <c r="E3979" s="86">
        <f>MONTH(表格1[[#This Row],[date]])</f>
        <v>3</v>
      </c>
      <c r="F3979" s="90">
        <v>46084</v>
      </c>
      <c r="G3979" s="86" t="str">
        <f>VLOOKUP("*"&amp;表格1[[#This Row],[Input]]&amp;"*",'Ref-List'!$B:$D,2,)</f>
        <v>DWS-34AHK</v>
      </c>
      <c r="H3979" s="86" t="str">
        <f>_xlfn.XLOOKUP(表格1[[#This Row],[Model]],表格3[Model-Input-Ref2],表格3[Product Line])</f>
        <v>獨立式免安裝洗碗碟機</v>
      </c>
      <c r="I3979" s="86" t="str">
        <f>_xlfn.XLOOKUP(表格1[[#This Row],[Model]],表格3[Model-Input-Ref2],表格3[大小電])</f>
        <v>細電</v>
      </c>
      <c r="J3979" s="86" t="str">
        <f>_xlfn.XLOOKUP(表格1[[#This Row],[Model]],表格3[Model-Input-Ref2],表格3[Code])</f>
        <v>DM</v>
      </c>
      <c r="K3979" s="89" t="s">
        <v>1240</v>
      </c>
      <c r="L3979" s="86">
        <v>1</v>
      </c>
      <c r="M3979" s="87">
        <v>1500</v>
      </c>
      <c r="N3979" s="87">
        <f>IFERROR(表格1[[#This Row],[QTY]]*表格1[[#This Row],[Unit Price]],"-")</f>
        <v>1500</v>
      </c>
      <c r="R3979" s="86" t="str">
        <f>_xlfn.CONCAT(表格1[[#This Row],[Model]]," ",表格1[[#This Row],[inv no]])</f>
        <v xml:space="preserve">DWS-34AHK </v>
      </c>
      <c r="S3979" s="86">
        <f>_xlfn.XLOOKUP(表格1[[#This Row],[Model]],表格3[Model-Input-Ref2],表格3[SRP PRICE])</f>
        <v>3999</v>
      </c>
      <c r="T3979" s="43">
        <f>表格1[[#This Row],[Unit Price]]/表格1[[#This Row],[SRP]]</f>
        <v>0.37509377344336087</v>
      </c>
      <c r="U3979" s="86" t="str">
        <f>_xlfn.XLOOKUP(表格1[[#This Row],[Model]],表格3[Model-Input-Ref2],表格3[TOSHIBA/HIGHEST])</f>
        <v>Web SRP</v>
      </c>
      <c r="W3979" s="86" t="str">
        <f>_xlfn.CONCAT(表格1[[#This Row],[欄4]],表格1[[#This Row],[inv no]])</f>
        <v/>
      </c>
    </row>
    <row r="3980" spans="1:23" hidden="1">
      <c r="A3980" s="81">
        <v>3978</v>
      </c>
      <c r="B3980" s="86" t="s">
        <v>1203</v>
      </c>
      <c r="C3980" s="86" t="s">
        <v>1977</v>
      </c>
      <c r="D3980" s="89" t="str">
        <f ca="1">OFFSET(Roster!$A$3,MATCH(表格1[[#This Row],[Location]]&amp;" "&amp;表格1[[#This Row],[Shop]]&amp;"*",Roster!$A$4:$A$72,0),DAY(表格1[[#This Row],[date]]),1,1)</f>
        <v>Jessica</v>
      </c>
      <c r="E3980" s="86">
        <f>MONTH(表格1[[#This Row],[date]])</f>
        <v>3</v>
      </c>
      <c r="F3980" s="90">
        <v>46084</v>
      </c>
      <c r="G3980" s="86" t="str">
        <f>VLOOKUP("*"&amp;表格1[[#This Row],[Input]]&amp;"*",'Ref-List'!$B:$D,2,)</f>
        <v>TP-25DR2UHK(W)</v>
      </c>
      <c r="H3980" s="86" t="str">
        <f>_xlfn.XLOOKUP(表格1[[#This Row],[Model]],表格3[Model-Input-Ref2],表格3[Product Line])</f>
        <v>電熱水瓶 (2.5公升)</v>
      </c>
      <c r="I3980" s="86" t="str">
        <f>_xlfn.XLOOKUP(表格1[[#This Row],[Model]],表格3[Model-Input-Ref2],表格3[大小電])</f>
        <v>細電</v>
      </c>
      <c r="J3980" s="86" t="str">
        <f>_xlfn.XLOOKUP(表格1[[#This Row],[Model]],表格3[Model-Input-Ref2],表格3[Code])</f>
        <v>SDA</v>
      </c>
      <c r="K3980" s="89" t="s">
        <v>1285</v>
      </c>
      <c r="L3980" s="86">
        <v>1</v>
      </c>
      <c r="M3980" s="87">
        <v>380</v>
      </c>
      <c r="N3980" s="87">
        <f>IFERROR(表格1[[#This Row],[QTY]]*表格1[[#This Row],[Unit Price]],"-")</f>
        <v>380</v>
      </c>
      <c r="R3980" s="86" t="str">
        <f>_xlfn.CONCAT(表格1[[#This Row],[Model]]," ",表格1[[#This Row],[inv no]])</f>
        <v xml:space="preserve">TP-25DR2UHK(W) </v>
      </c>
      <c r="S3980" s="86">
        <f>_xlfn.XLOOKUP(表格1[[#This Row],[Model]],表格3[Model-Input-Ref2],表格3[SRP PRICE])</f>
        <v>538</v>
      </c>
      <c r="T3980" s="43">
        <f>表格1[[#This Row],[Unit Price]]/表格1[[#This Row],[SRP]]</f>
        <v>0.70631970260223054</v>
      </c>
      <c r="U3980" s="86" t="str">
        <f>_xlfn.XLOOKUP(表格1[[#This Row],[Model]],表格3[Model-Input-Ref2],表格3[TOSHIBA/HIGHEST])</f>
        <v>Toshiba SRP</v>
      </c>
      <c r="W3980" s="86" t="str">
        <f>_xlfn.CONCAT(表格1[[#This Row],[欄4]],表格1[[#This Row],[inv no]])</f>
        <v/>
      </c>
    </row>
    <row r="3981" spans="1:23" hidden="1">
      <c r="A3981" s="81">
        <v>3979</v>
      </c>
      <c r="B3981" s="86" t="s">
        <v>1203</v>
      </c>
      <c r="C3981" s="86" t="s">
        <v>1977</v>
      </c>
      <c r="D3981" s="89" t="str">
        <f ca="1">OFFSET(Roster!$A$3,MATCH(表格1[[#This Row],[Location]]&amp;" "&amp;表格1[[#This Row],[Shop]]&amp;"*",Roster!$A$4:$A$72,0),DAY(表格1[[#This Row],[date]]),1,1)</f>
        <v>Jessica</v>
      </c>
      <c r="E3981" s="86">
        <f>MONTH(表格1[[#This Row],[date]])</f>
        <v>3</v>
      </c>
      <c r="F3981" s="90">
        <v>46084</v>
      </c>
      <c r="G3981" s="86" t="str">
        <f>VLOOKUP("*"&amp;表格1[[#This Row],[Input]]&amp;"*",'Ref-List'!$B:$D,2,)</f>
        <v>RC-15ISTHK(W)</v>
      </c>
      <c r="H3981" s="86" t="str">
        <f>_xlfn.XLOOKUP(表格1[[#This Row],[Model]],表格3[Model-Input-Ref2],表格3[Product Line])</f>
        <v>磁應電飯煲(1.5公升)</v>
      </c>
      <c r="I3981" s="86" t="str">
        <f>_xlfn.XLOOKUP(表格1[[#This Row],[Model]],表格3[Model-Input-Ref2],表格3[大小電])</f>
        <v>細電</v>
      </c>
      <c r="J3981" s="86" t="str">
        <f>_xlfn.XLOOKUP(表格1[[#This Row],[Model]],表格3[Model-Input-Ref2],表格3[Code])</f>
        <v>SDA</v>
      </c>
      <c r="K3981" s="89" t="s">
        <v>1204</v>
      </c>
      <c r="L3981" s="86">
        <v>4</v>
      </c>
      <c r="M3981" s="87">
        <v>500</v>
      </c>
      <c r="N3981" s="87">
        <f>IFERROR(表格1[[#This Row],[QTY]]*表格1[[#This Row],[Unit Price]],"-")</f>
        <v>2000</v>
      </c>
      <c r="R3981" s="86" t="str">
        <f>_xlfn.CONCAT(表格1[[#This Row],[Model]]," ",表格1[[#This Row],[inv no]])</f>
        <v xml:space="preserve">RC-15ISTHK(W) </v>
      </c>
      <c r="S3981" s="86">
        <f>_xlfn.XLOOKUP(表格1[[#This Row],[Model]],表格3[Model-Input-Ref2],表格3[SRP PRICE])</f>
        <v>1688</v>
      </c>
      <c r="T3981" s="43">
        <f>表格1[[#This Row],[Unit Price]]/表格1[[#This Row],[SRP]]</f>
        <v>0.29620853080568721</v>
      </c>
      <c r="U3981" s="86" t="str">
        <f>_xlfn.XLOOKUP(表格1[[#This Row],[Model]],表格3[Model-Input-Ref2],表格3[TOSHIBA/HIGHEST])</f>
        <v>Toshiba SRP</v>
      </c>
      <c r="W3981" s="86" t="str">
        <f>_xlfn.CONCAT(表格1[[#This Row],[欄4]],表格1[[#This Row],[inv no]])</f>
        <v/>
      </c>
    </row>
    <row r="3982" spans="1:23" hidden="1">
      <c r="A3982" s="81">
        <v>3980</v>
      </c>
      <c r="B3982" s="86" t="s">
        <v>1203</v>
      </c>
      <c r="C3982" s="86" t="s">
        <v>1977</v>
      </c>
      <c r="D3982" s="89" t="str">
        <f ca="1">OFFSET(Roster!$A$3,MATCH(表格1[[#This Row],[Location]]&amp;" "&amp;表格1[[#This Row],[Shop]]&amp;"*",Roster!$A$4:$A$72,0),DAY(表格1[[#This Row],[date]]),1,1)</f>
        <v>Jessica off</v>
      </c>
      <c r="E3982" s="86">
        <f>MONTH(表格1[[#This Row],[date]])</f>
        <v>3</v>
      </c>
      <c r="F3982" s="90">
        <v>46085</v>
      </c>
      <c r="G3982" s="86" t="str">
        <f>VLOOKUP("*"&amp;表格1[[#This Row],[Input]]&amp;"*",'Ref-List'!$B:$D,2,)</f>
        <v>RC-10NMFIH(WT)</v>
      </c>
      <c r="H3982" s="86" t="str">
        <f>_xlfn.XLOOKUP(表格1[[#This Row],[Model]],表格3[Model-Input-Ref2],表格3[Product Line])</f>
        <v>4毫米厚釜電飯煲1L</v>
      </c>
      <c r="I3982" s="86" t="str">
        <f>_xlfn.XLOOKUP(表格1[[#This Row],[Model]],表格3[Model-Input-Ref2],表格3[大小電])</f>
        <v>細電</v>
      </c>
      <c r="J3982" s="86" t="str">
        <f>_xlfn.XLOOKUP(表格1[[#This Row],[Model]],表格3[Model-Input-Ref2],表格3[Code])</f>
        <v>SDA</v>
      </c>
      <c r="K3982" s="89" t="s">
        <v>1244</v>
      </c>
      <c r="L3982" s="86">
        <v>1</v>
      </c>
      <c r="M3982" s="87">
        <v>720</v>
      </c>
      <c r="N3982" s="87">
        <f>IFERROR(表格1[[#This Row],[QTY]]*表格1[[#This Row],[Unit Price]],"-")</f>
        <v>720</v>
      </c>
      <c r="R3982" s="86" t="str">
        <f>_xlfn.CONCAT(表格1[[#This Row],[Model]]," ",表格1[[#This Row],[inv no]])</f>
        <v xml:space="preserve">RC-10NMFIH(WT) </v>
      </c>
      <c r="S3982" s="86">
        <f>_xlfn.XLOOKUP(表格1[[#This Row],[Model]],表格3[Model-Input-Ref2],表格3[SRP PRICE])</f>
        <v>898</v>
      </c>
      <c r="T3982" s="43">
        <f>表格1[[#This Row],[Unit Price]]/表格1[[#This Row],[SRP]]</f>
        <v>0.80178173719376389</v>
      </c>
      <c r="U3982" s="86" t="str">
        <f>_xlfn.XLOOKUP(表格1[[#This Row],[Model]],表格3[Model-Input-Ref2],表格3[TOSHIBA/HIGHEST])</f>
        <v>Toshiba SRP</v>
      </c>
      <c r="W3982" s="86" t="str">
        <f>_xlfn.CONCAT(表格1[[#This Row],[欄4]],表格1[[#This Row],[inv no]])</f>
        <v/>
      </c>
    </row>
    <row r="3983" spans="1:23" hidden="1">
      <c r="A3983" s="81">
        <v>3981</v>
      </c>
      <c r="B3983" s="86" t="s">
        <v>1203</v>
      </c>
      <c r="C3983" s="86" t="s">
        <v>1977</v>
      </c>
      <c r="D3983" s="89" t="str">
        <f ca="1">OFFSET(Roster!$A$3,MATCH(表格1[[#This Row],[Location]]&amp;" "&amp;表格1[[#This Row],[Shop]]&amp;"*",Roster!$A$4:$A$72,0),DAY(表格1[[#This Row],[date]]),1,1)</f>
        <v>Jessica off</v>
      </c>
      <c r="E3983" s="86">
        <f>MONTH(表格1[[#This Row],[date]])</f>
        <v>3</v>
      </c>
      <c r="F3983" s="90">
        <v>46085</v>
      </c>
      <c r="G3983" s="86" t="str">
        <f>VLOOKUP("*"&amp;表格1[[#This Row],[Input]]&amp;"*",'Ref-List'!$B:$D,2,)</f>
        <v>MS3-STQ20SC(WH)</v>
      </c>
      <c r="H3983" s="86" t="str">
        <f>_xlfn.XLOOKUP(表格1[[#This Row],[Model]],表格3[Model-Input-Ref2],表格3[Product Line])</f>
        <v>20L 智能蒸氣焗爐</v>
      </c>
      <c r="I3983" s="86" t="str">
        <f>_xlfn.XLOOKUP(表格1[[#This Row],[Model]],表格3[Model-Input-Ref2],表格3[大小電])</f>
        <v>細電</v>
      </c>
      <c r="J3983" s="86" t="str">
        <f>_xlfn.XLOOKUP(表格1[[#This Row],[Model]],表格3[Model-Input-Ref2],表格3[Code])</f>
        <v>MCA</v>
      </c>
      <c r="K3983" s="89" t="s">
        <v>1383</v>
      </c>
      <c r="L3983" s="86">
        <v>1</v>
      </c>
      <c r="M3983" s="87">
        <v>1980</v>
      </c>
      <c r="N3983" s="87">
        <f>IFERROR(表格1[[#This Row],[QTY]]*表格1[[#This Row],[Unit Price]],"-")</f>
        <v>1980</v>
      </c>
      <c r="R3983" s="86" t="str">
        <f>_xlfn.CONCAT(表格1[[#This Row],[Model]]," ",表格1[[#This Row],[inv no]])</f>
        <v xml:space="preserve">MS3-STQ20SC(WH) </v>
      </c>
      <c r="S3983" s="86">
        <f>_xlfn.XLOOKUP(表格1[[#This Row],[Model]],表格3[Model-Input-Ref2],表格3[SRP PRICE])</f>
        <v>2880</v>
      </c>
      <c r="T3983" s="43">
        <f>表格1[[#This Row],[Unit Price]]/表格1[[#This Row],[SRP]]</f>
        <v>0.6875</v>
      </c>
      <c r="U3983" s="86" t="str">
        <f>_xlfn.XLOOKUP(表格1[[#This Row],[Model]],表格3[Model-Input-Ref2],表格3[TOSHIBA/HIGHEST])</f>
        <v>Toshiba SRP</v>
      </c>
      <c r="W3983" s="86" t="str">
        <f>_xlfn.CONCAT(表格1[[#This Row],[欄4]],表格1[[#This Row],[inv no]])</f>
        <v/>
      </c>
    </row>
    <row r="3984" spans="1:23" hidden="1">
      <c r="A3984" s="81">
        <v>3982</v>
      </c>
      <c r="B3984" s="86" t="s">
        <v>1203</v>
      </c>
      <c r="C3984" s="86" t="s">
        <v>1977</v>
      </c>
      <c r="D3984" s="89" t="str">
        <f ca="1">OFFSET(Roster!$A$3,MATCH(表格1[[#This Row],[Location]]&amp;" "&amp;表格1[[#This Row],[Shop]]&amp;"*",Roster!$A$4:$A$72,0),DAY(表格1[[#This Row],[date]]),1,1)</f>
        <v>Jessica off</v>
      </c>
      <c r="E3984" s="86">
        <f>MONTH(表格1[[#This Row],[date]])</f>
        <v>3</v>
      </c>
      <c r="F3984" s="90">
        <v>46085</v>
      </c>
      <c r="G3984" s="86" t="str">
        <f>VLOOKUP("*"&amp;表格1[[#This Row],[Input]]&amp;"*",'Ref-List'!$B:$D,2,)</f>
        <v>IC-20R1THK</v>
      </c>
      <c r="H3984" s="86" t="str">
        <f>_xlfn.XLOOKUP(表格1[[#This Row],[Model]],表格3[Model-Input-Ref2],表格3[Product Line])</f>
        <v>輕便式電磁爐</v>
      </c>
      <c r="I3984" s="86" t="str">
        <f>_xlfn.XLOOKUP(表格1[[#This Row],[Model]],表格3[Model-Input-Ref2],表格3[大小電])</f>
        <v>細電</v>
      </c>
      <c r="J3984" s="86" t="str">
        <f>_xlfn.XLOOKUP(表格1[[#This Row],[Model]],表格3[Model-Input-Ref2],表格3[Code])</f>
        <v>SDA</v>
      </c>
      <c r="K3984" s="89" t="s">
        <v>1243</v>
      </c>
      <c r="L3984" s="86">
        <v>2</v>
      </c>
      <c r="M3984" s="87">
        <v>282.7</v>
      </c>
      <c r="N3984" s="87">
        <f>IFERROR(表格1[[#This Row],[QTY]]*表格1[[#This Row],[Unit Price]],"-")</f>
        <v>565.4</v>
      </c>
      <c r="R3984" s="86" t="str">
        <f>_xlfn.CONCAT(表格1[[#This Row],[Model]]," ",表格1[[#This Row],[inv no]])</f>
        <v xml:space="preserve">IC-20R1THK </v>
      </c>
      <c r="S3984" s="86">
        <f>_xlfn.XLOOKUP(表格1[[#This Row],[Model]],表格3[Model-Input-Ref2],表格3[SRP PRICE])</f>
        <v>438</v>
      </c>
      <c r="T3984" s="43">
        <f>表格1[[#This Row],[Unit Price]]/表格1[[#This Row],[SRP]]</f>
        <v>0.64543378995433787</v>
      </c>
      <c r="U3984" s="86" t="str">
        <f>_xlfn.XLOOKUP(表格1[[#This Row],[Model]],表格3[Model-Input-Ref2],表格3[TOSHIBA/HIGHEST])</f>
        <v>Shops Highest Price</v>
      </c>
      <c r="W3984" s="86" t="str">
        <f>_xlfn.CONCAT(表格1[[#This Row],[欄4]],表格1[[#This Row],[inv no]])</f>
        <v/>
      </c>
    </row>
    <row r="3985" spans="1:23" hidden="1">
      <c r="A3985" s="81">
        <v>3983</v>
      </c>
      <c r="B3985" s="86" t="s">
        <v>1203</v>
      </c>
      <c r="C3985" s="86" t="s">
        <v>1977</v>
      </c>
      <c r="D3985" s="89" t="str">
        <f ca="1">OFFSET(Roster!$A$3,MATCH(表格1[[#This Row],[Location]]&amp;" "&amp;表格1[[#This Row],[Shop]]&amp;"*",Roster!$A$4:$A$72,0),DAY(表格1[[#This Row],[date]]),1,1)</f>
        <v>Jessica off</v>
      </c>
      <c r="E3985" s="86">
        <f>MONTH(表格1[[#This Row],[date]])</f>
        <v>3</v>
      </c>
      <c r="F3985" s="90">
        <v>46085</v>
      </c>
      <c r="G3985" s="86" t="str">
        <f>VLOOKUP("*"&amp;表格1[[#This Row],[Input]]&amp;"*",'Ref-List'!$B:$D,2,)</f>
        <v>RC-15BHH(W)</v>
      </c>
      <c r="H3985" s="86" t="str">
        <f>_xlfn.XLOOKUP(表格1[[#This Row],[Model]],表格3[Model-Input-Ref2],表格3[Product Line])</f>
        <v>酵活炊磁應電飯煲(1.5公升)</v>
      </c>
      <c r="I3985" s="86" t="str">
        <f>_xlfn.XLOOKUP(表格1[[#This Row],[Model]],表格3[Model-Input-Ref2],表格3[大小電])</f>
        <v>細電</v>
      </c>
      <c r="J3985" s="86" t="str">
        <f>_xlfn.XLOOKUP(表格1[[#This Row],[Model]],表格3[Model-Input-Ref2],表格3[Code])</f>
        <v>SDA</v>
      </c>
      <c r="K3985" s="89" t="s">
        <v>1381</v>
      </c>
      <c r="L3985" s="86">
        <v>1</v>
      </c>
      <c r="M3985" s="87">
        <v>1880</v>
      </c>
      <c r="N3985" s="87">
        <f>IFERROR(表格1[[#This Row],[QTY]]*表格1[[#This Row],[Unit Price]],"-")</f>
        <v>1880</v>
      </c>
      <c r="R3985" s="86" t="str">
        <f>_xlfn.CONCAT(表格1[[#This Row],[Model]]," ",表格1[[#This Row],[inv no]])</f>
        <v xml:space="preserve">RC-15BHH(W) </v>
      </c>
      <c r="S3985" s="86">
        <f>_xlfn.XLOOKUP(表格1[[#This Row],[Model]],表格3[Model-Input-Ref2],表格3[SRP PRICE])</f>
        <v>2388</v>
      </c>
      <c r="T3985" s="43">
        <f>表格1[[#This Row],[Unit Price]]/表格1[[#This Row],[SRP]]</f>
        <v>0.78726968174204359</v>
      </c>
      <c r="U3985" s="86" t="str">
        <f>_xlfn.XLOOKUP(表格1[[#This Row],[Model]],表格3[Model-Input-Ref2],表格3[TOSHIBA/HIGHEST])</f>
        <v>Toshiba SRP</v>
      </c>
      <c r="W3985" s="86" t="str">
        <f>_xlfn.CONCAT(表格1[[#This Row],[欄4]],表格1[[#This Row],[inv no]])</f>
        <v/>
      </c>
    </row>
    <row r="3986" spans="1:23" hidden="1">
      <c r="A3986" s="81">
        <v>3984</v>
      </c>
      <c r="B3986" s="86" t="s">
        <v>1203</v>
      </c>
      <c r="C3986" s="86" t="s">
        <v>1977</v>
      </c>
      <c r="D3986" s="89" t="str">
        <f ca="1">OFFSET(Roster!$A$3,MATCH(表格1[[#This Row],[Location]]&amp;" "&amp;表格1[[#This Row],[Shop]]&amp;"*",Roster!$A$4:$A$72,0),DAY(表格1[[#This Row],[date]]),1,1)</f>
        <v>Jessica off</v>
      </c>
      <c r="E3986" s="86">
        <f>MONTH(表格1[[#This Row],[date]])</f>
        <v>3</v>
      </c>
      <c r="F3986" s="90">
        <v>46085</v>
      </c>
      <c r="G3986" s="86" t="str">
        <f>VLOOKUP("*"&amp;表格1[[#This Row],[Input]]&amp;"*",'Ref-List'!$B:$D,2,)</f>
        <v>IC-21TSHK</v>
      </c>
      <c r="H3986" s="86" t="str">
        <f>_xlfn.XLOOKUP(表格1[[#This Row],[Model]],表格3[Model-Input-Ref2],表格3[Product Line])</f>
        <v>Induction Cooker</v>
      </c>
      <c r="I3986" s="86" t="str">
        <f>_xlfn.XLOOKUP(表格1[[#This Row],[Model]],表格3[Model-Input-Ref2],表格3[大小電])</f>
        <v>細電</v>
      </c>
      <c r="J3986" s="86" t="str">
        <f>_xlfn.XLOOKUP(表格1[[#This Row],[Model]],表格3[Model-Input-Ref2],表格3[Code])</f>
        <v>SDA</v>
      </c>
      <c r="K3986" s="89" t="s">
        <v>1242</v>
      </c>
      <c r="L3986" s="86">
        <v>1</v>
      </c>
      <c r="M3986" s="87">
        <v>500</v>
      </c>
      <c r="N3986" s="87">
        <f>IFERROR(表格1[[#This Row],[QTY]]*表格1[[#This Row],[Unit Price]],"-")</f>
        <v>500</v>
      </c>
      <c r="R3986" s="86" t="str">
        <f>_xlfn.CONCAT(表格1[[#This Row],[Model]]," ",表格1[[#This Row],[inv no]])</f>
        <v xml:space="preserve">IC-21TSHK </v>
      </c>
      <c r="S3986" s="86">
        <f>_xlfn.XLOOKUP(表格1[[#This Row],[Model]],表格3[Model-Input-Ref2],表格3[SRP PRICE])</f>
        <v>998</v>
      </c>
      <c r="T3986" s="43">
        <f>表格1[[#This Row],[Unit Price]]/表格1[[#This Row],[SRP]]</f>
        <v>0.50100200400801598</v>
      </c>
      <c r="U3986" s="86" t="str">
        <f>_xlfn.XLOOKUP(表格1[[#This Row],[Model]],表格3[Model-Input-Ref2],表格3[TOSHIBA/HIGHEST])</f>
        <v>web SRP</v>
      </c>
      <c r="W3986" s="86" t="str">
        <f>_xlfn.CONCAT(表格1[[#This Row],[欄4]],表格1[[#This Row],[inv no]])</f>
        <v/>
      </c>
    </row>
    <row r="3987" spans="1:23" hidden="1">
      <c r="A3987" s="81">
        <v>3985</v>
      </c>
      <c r="B3987" s="86" t="s">
        <v>1203</v>
      </c>
      <c r="C3987" s="86" t="s">
        <v>1977</v>
      </c>
      <c r="D3987" s="89" t="str">
        <f ca="1">OFFSET(Roster!$A$3,MATCH(表格1[[#This Row],[Location]]&amp;" "&amp;表格1[[#This Row],[Shop]]&amp;"*",Roster!$A$4:$A$72,0),DAY(表格1[[#This Row],[date]]),1,1)</f>
        <v>Jessica off</v>
      </c>
      <c r="E3987" s="86">
        <f>MONTH(表格1[[#This Row],[date]])</f>
        <v>3</v>
      </c>
      <c r="F3987" s="90">
        <v>46085</v>
      </c>
      <c r="G3987" s="86" t="str">
        <f>VLOOKUP("*"&amp;表格1[[#This Row],[Input]]&amp;"*",'Ref-List'!$B:$D,2,)</f>
        <v>RC-15ISTHK(W)</v>
      </c>
      <c r="H3987" s="86" t="str">
        <f>_xlfn.XLOOKUP(表格1[[#This Row],[Model]],表格3[Model-Input-Ref2],表格3[Product Line])</f>
        <v>磁應電飯煲(1.5公升)</v>
      </c>
      <c r="I3987" s="86" t="str">
        <f>_xlfn.XLOOKUP(表格1[[#This Row],[Model]],表格3[Model-Input-Ref2],表格3[大小電])</f>
        <v>細電</v>
      </c>
      <c r="J3987" s="86" t="str">
        <f>_xlfn.XLOOKUP(表格1[[#This Row],[Model]],表格3[Model-Input-Ref2],表格3[Code])</f>
        <v>SDA</v>
      </c>
      <c r="K3987" s="89" t="s">
        <v>1204</v>
      </c>
      <c r="L3987" s="86">
        <v>2</v>
      </c>
      <c r="M3987" s="87">
        <v>500</v>
      </c>
      <c r="N3987" s="87">
        <f>IFERROR(表格1[[#This Row],[QTY]]*表格1[[#This Row],[Unit Price]],"-")</f>
        <v>1000</v>
      </c>
      <c r="R3987" s="86" t="str">
        <f>_xlfn.CONCAT(表格1[[#This Row],[Model]]," ",表格1[[#This Row],[inv no]])</f>
        <v xml:space="preserve">RC-15ISTHK(W) </v>
      </c>
      <c r="S3987" s="86">
        <f>_xlfn.XLOOKUP(表格1[[#This Row],[Model]],表格3[Model-Input-Ref2],表格3[SRP PRICE])</f>
        <v>1688</v>
      </c>
      <c r="T3987" s="43">
        <f>表格1[[#This Row],[Unit Price]]/表格1[[#This Row],[SRP]]</f>
        <v>0.29620853080568721</v>
      </c>
      <c r="U3987" s="86" t="str">
        <f>_xlfn.XLOOKUP(表格1[[#This Row],[Model]],表格3[Model-Input-Ref2],表格3[TOSHIBA/HIGHEST])</f>
        <v>Toshiba SRP</v>
      </c>
      <c r="W3987" s="86" t="str">
        <f>_xlfn.CONCAT(表格1[[#This Row],[欄4]],表格1[[#This Row],[inv no]])</f>
        <v/>
      </c>
    </row>
    <row r="3988" spans="1:23" hidden="1">
      <c r="A3988" s="81">
        <v>3986</v>
      </c>
      <c r="B3988" s="86" t="s">
        <v>1203</v>
      </c>
      <c r="C3988" s="86" t="s">
        <v>1977</v>
      </c>
      <c r="D3988" s="89" t="str">
        <f ca="1">OFFSET(Roster!$A$3,MATCH(表格1[[#This Row],[Location]]&amp;" "&amp;表格1[[#This Row],[Shop]]&amp;"*",Roster!$A$4:$A$72,0),DAY(表格1[[#This Row],[date]]),1,1)</f>
        <v>Jessica off</v>
      </c>
      <c r="E3988" s="86">
        <f>MONTH(表格1[[#This Row],[date]])</f>
        <v>3</v>
      </c>
      <c r="F3988" s="90">
        <v>46085</v>
      </c>
      <c r="G3988" s="86" t="str">
        <f>VLOOKUP("*"&amp;表格1[[#This Row],[Input]]&amp;"*",'Ref-List'!$B:$D,2,)</f>
        <v>RAD-D300H</v>
      </c>
      <c r="H3988" s="86" t="str">
        <f>_xlfn.XLOOKUP(表格1[[#This Row],[Model]],表格3[Model-Input-Ref2],表格3[Product Line])</f>
        <v>壓縮式抽濕機 (30公升)</v>
      </c>
      <c r="I3988" s="86" t="str">
        <f>_xlfn.XLOOKUP(表格1[[#This Row],[Model]],表格3[Model-Input-Ref2],表格3[大小電])</f>
        <v>細電</v>
      </c>
      <c r="J3988" s="86" t="str">
        <f>_xlfn.XLOOKUP(表格1[[#This Row],[Model]],表格3[Model-Input-Ref2],表格3[Code])</f>
        <v>RAC</v>
      </c>
      <c r="K3988" s="89" t="s">
        <v>1252</v>
      </c>
      <c r="L3988" s="86">
        <v>1</v>
      </c>
      <c r="M3988" s="87">
        <v>2451</v>
      </c>
      <c r="N3988" s="87">
        <f>IFERROR(表格1[[#This Row],[QTY]]*表格1[[#This Row],[Unit Price]],"-")</f>
        <v>2451</v>
      </c>
      <c r="R3988" s="86" t="str">
        <f>_xlfn.CONCAT(表格1[[#This Row],[Model]]," ",表格1[[#This Row],[inv no]])</f>
        <v xml:space="preserve">RAD-D300H </v>
      </c>
      <c r="S3988" s="86">
        <f>_xlfn.XLOOKUP(表格1[[#This Row],[Model]],表格3[Model-Input-Ref2],表格3[SRP PRICE])</f>
        <v>3380</v>
      </c>
      <c r="T3988" s="43">
        <f>表格1[[#This Row],[Unit Price]]/表格1[[#This Row],[SRP]]</f>
        <v>0.72514792899408287</v>
      </c>
      <c r="U3988" s="86" t="str">
        <f>_xlfn.XLOOKUP(表格1[[#This Row],[Model]],表格3[Model-Input-Ref2],表格3[TOSHIBA/HIGHEST])</f>
        <v>Shops Highest Price</v>
      </c>
      <c r="W3988" s="86" t="str">
        <f>_xlfn.CONCAT(表格1[[#This Row],[欄4]],表格1[[#This Row],[inv no]])</f>
        <v/>
      </c>
    </row>
    <row r="3989" spans="1:23" hidden="1">
      <c r="A3989" s="81">
        <v>3987</v>
      </c>
      <c r="B3989" s="86" t="s">
        <v>1203</v>
      </c>
      <c r="C3989" s="86" t="s">
        <v>1977</v>
      </c>
      <c r="D3989" s="89" t="str">
        <f ca="1">OFFSET(Roster!$A$3,MATCH(表格1[[#This Row],[Location]]&amp;" "&amp;表格1[[#This Row],[Shop]]&amp;"*",Roster!$A$4:$A$72,0),DAY(表格1[[#This Row],[date]]),1,1)</f>
        <v>Jessica off</v>
      </c>
      <c r="E3989" s="86">
        <f>MONTH(表格1[[#This Row],[date]])</f>
        <v>3</v>
      </c>
      <c r="F3989" s="90">
        <v>46086</v>
      </c>
      <c r="G3989" s="86" t="str">
        <f>VLOOKUP("*"&amp;表格1[[#This Row],[Input]]&amp;"*",'Ref-List'!$B:$D,2,)</f>
        <v>KT-17SHNH</v>
      </c>
      <c r="H3989" s="86" t="str">
        <f>_xlfn.XLOOKUP(表格1[[#This Row],[Model]],表格3[Model-Input-Ref2],表格3[Product Line])</f>
        <v>1.7L無線雙層電熱水壺</v>
      </c>
      <c r="I3989" s="86" t="str">
        <f>_xlfn.XLOOKUP(表格1[[#This Row],[Model]],表格3[Model-Input-Ref2],表格3[大小電])</f>
        <v>細電</v>
      </c>
      <c r="J3989" s="86" t="str">
        <f>_xlfn.XLOOKUP(表格1[[#This Row],[Model]],表格3[Model-Input-Ref2],表格3[Code])</f>
        <v>SDA</v>
      </c>
      <c r="K3989" s="89" t="s">
        <v>1283</v>
      </c>
      <c r="L3989" s="86">
        <v>1</v>
      </c>
      <c r="M3989" s="87">
        <v>190</v>
      </c>
      <c r="N3989" s="87">
        <f>IFERROR(表格1[[#This Row],[QTY]]*表格1[[#This Row],[Unit Price]],"-")</f>
        <v>190</v>
      </c>
      <c r="R3989" s="86" t="str">
        <f>_xlfn.CONCAT(表格1[[#This Row],[Model]]," ",表格1[[#This Row],[inv no]])</f>
        <v xml:space="preserve">KT-17SHNH </v>
      </c>
      <c r="S3989" s="86">
        <f>_xlfn.XLOOKUP(表格1[[#This Row],[Model]],表格3[Model-Input-Ref2],表格3[SRP PRICE])</f>
        <v>299</v>
      </c>
      <c r="T3989" s="43">
        <f>表格1[[#This Row],[Unit Price]]/表格1[[#This Row],[SRP]]</f>
        <v>0.63545150501672243</v>
      </c>
      <c r="U3989" s="86" t="str">
        <f>_xlfn.XLOOKUP(表格1[[#This Row],[Model]],表格3[Model-Input-Ref2],表格3[TOSHIBA/HIGHEST])</f>
        <v>Shops Highest Price</v>
      </c>
      <c r="W3989" s="86" t="str">
        <f>_xlfn.CONCAT(表格1[[#This Row],[欄4]],表格1[[#This Row],[inv no]])</f>
        <v/>
      </c>
    </row>
    <row r="3990" spans="1:23" hidden="1">
      <c r="A3990" s="81">
        <v>3988</v>
      </c>
      <c r="B3990" s="86" t="s">
        <v>1203</v>
      </c>
      <c r="C3990" s="86" t="s">
        <v>1977</v>
      </c>
      <c r="D3990" s="89" t="str">
        <f ca="1">OFFSET(Roster!$A$3,MATCH(表格1[[#This Row],[Location]]&amp;" "&amp;表格1[[#This Row],[Shop]]&amp;"*",Roster!$A$4:$A$72,0),DAY(表格1[[#This Row],[date]]),1,1)</f>
        <v>Jessica off</v>
      </c>
      <c r="E3990" s="86">
        <f>MONTH(表格1[[#This Row],[date]])</f>
        <v>3</v>
      </c>
      <c r="F3990" s="90">
        <v>46086</v>
      </c>
      <c r="G3990" s="86" t="str">
        <f>VLOOKUP("*"&amp;表格1[[#This Row],[Input]]&amp;"*",'Ref-List'!$B:$D,2,)</f>
        <v>RC-5MMIH(WT)</v>
      </c>
      <c r="H3990" s="86" t="str">
        <f>_xlfn.XLOOKUP(表格1[[#This Row],[Model]],表格3[Model-Input-Ref2],表格3[Product Line])</f>
        <v>4毫米厚釜電飯煲0.54L</v>
      </c>
      <c r="I3990" s="86" t="str">
        <f>_xlfn.XLOOKUP(表格1[[#This Row],[Model]],表格3[Model-Input-Ref2],表格3[大小電])</f>
        <v>細電</v>
      </c>
      <c r="J3990" s="86" t="str">
        <f>_xlfn.XLOOKUP(表格1[[#This Row],[Model]],表格3[Model-Input-Ref2],表格3[Code])</f>
        <v>SDA</v>
      </c>
      <c r="K3990" s="89" t="s">
        <v>1195</v>
      </c>
      <c r="L3990" s="86">
        <v>2</v>
      </c>
      <c r="M3990" s="87">
        <v>490</v>
      </c>
      <c r="N3990" s="87">
        <f>IFERROR(表格1[[#This Row],[QTY]]*表格1[[#This Row],[Unit Price]],"-")</f>
        <v>980</v>
      </c>
      <c r="R3990" s="86" t="str">
        <f>_xlfn.CONCAT(表格1[[#This Row],[Model]]," ",表格1[[#This Row],[inv no]])</f>
        <v xml:space="preserve">RC-5MMIH(WT) </v>
      </c>
      <c r="S3990" s="86">
        <f>_xlfn.XLOOKUP(表格1[[#This Row],[Model]],表格3[Model-Input-Ref2],表格3[SRP PRICE])</f>
        <v>618</v>
      </c>
      <c r="T3990" s="43">
        <f>表格1[[#This Row],[Unit Price]]/表格1[[#This Row],[SRP]]</f>
        <v>0.79288025889967639</v>
      </c>
      <c r="U3990" s="86" t="str">
        <f>_xlfn.XLOOKUP(表格1[[#This Row],[Model]],表格3[Model-Input-Ref2],表格3[TOSHIBA/HIGHEST])</f>
        <v>Toshiba SRP</v>
      </c>
      <c r="W3990" s="86" t="str">
        <f>_xlfn.CONCAT(表格1[[#This Row],[欄4]],表格1[[#This Row],[inv no]])</f>
        <v/>
      </c>
    </row>
    <row r="3991" spans="1:23" hidden="1">
      <c r="A3991" s="81">
        <v>3989</v>
      </c>
      <c r="B3991" s="86" t="s">
        <v>1203</v>
      </c>
      <c r="C3991" s="86" t="s">
        <v>1977</v>
      </c>
      <c r="D3991" s="89" t="str">
        <f ca="1">OFFSET(Roster!$A$3,MATCH(表格1[[#This Row],[Location]]&amp;" "&amp;表格1[[#This Row],[Shop]]&amp;"*",Roster!$A$4:$A$72,0),DAY(表格1[[#This Row],[date]]),1,1)</f>
        <v>Jessica off</v>
      </c>
      <c r="E3991" s="86">
        <f>MONTH(表格1[[#This Row],[date]])</f>
        <v>3</v>
      </c>
      <c r="F3991" s="90">
        <v>46086</v>
      </c>
      <c r="G3991" s="86" t="str">
        <f>VLOOKUP("*"&amp;表格1[[#This Row],[Input]]&amp;"*",'Ref-List'!$B:$D,2,)</f>
        <v>ER-TD5000HK(XK)</v>
      </c>
      <c r="H3991" s="86" t="str">
        <f>_xlfn.XLOOKUP(表格1[[#This Row],[Model]],表格3[Model-Input-Ref2],表格3[Product Line])</f>
        <v>座檯式純蒸氣烤焗水波爐30L</v>
      </c>
      <c r="I3991" s="86" t="str">
        <f>_xlfn.XLOOKUP(表格1[[#This Row],[Model]],表格3[Model-Input-Ref2],表格3[大小電])</f>
        <v>細電</v>
      </c>
      <c r="J3991" s="86" t="str">
        <f>_xlfn.XLOOKUP(表格1[[#This Row],[Model]],表格3[Model-Input-Ref2],表格3[Code])</f>
        <v>SDA</v>
      </c>
      <c r="K3991" s="89" t="s">
        <v>1205</v>
      </c>
      <c r="L3991" s="86">
        <v>1</v>
      </c>
      <c r="M3991" s="87">
        <v>3588</v>
      </c>
      <c r="N3991" s="87">
        <f>IFERROR(表格1[[#This Row],[QTY]]*表格1[[#This Row],[Unit Price]],"-")</f>
        <v>3588</v>
      </c>
      <c r="R3991" s="86" t="str">
        <f>_xlfn.CONCAT(表格1[[#This Row],[Model]]," ",表格1[[#This Row],[inv no]])</f>
        <v xml:space="preserve">ER-TD5000HK(XK) </v>
      </c>
      <c r="S3991" s="86">
        <f>_xlfn.XLOOKUP(表格1[[#This Row],[Model]],表格3[Model-Input-Ref2],表格3[SRP PRICE])</f>
        <v>7998</v>
      </c>
      <c r="T3991" s="43">
        <f>表格1[[#This Row],[Unit Price]]/表格1[[#This Row],[SRP]]</f>
        <v>0.44861215303825958</v>
      </c>
      <c r="U3991" s="86" t="str">
        <f>_xlfn.XLOOKUP(表格1[[#This Row],[Model]],表格3[Model-Input-Ref2],表格3[TOSHIBA/HIGHEST])</f>
        <v>Toshiba SRP</v>
      </c>
      <c r="W3991" s="86" t="str">
        <f>_xlfn.CONCAT(表格1[[#This Row],[欄4]],表格1[[#This Row],[inv no]])</f>
        <v/>
      </c>
    </row>
    <row r="3992" spans="1:23" hidden="1">
      <c r="A3992" s="81">
        <v>3990</v>
      </c>
      <c r="B3992" s="86" t="s">
        <v>1203</v>
      </c>
      <c r="C3992" s="86" t="s">
        <v>1977</v>
      </c>
      <c r="D3992" s="89" t="str">
        <f ca="1">OFFSET(Roster!$A$3,MATCH(表格1[[#This Row],[Location]]&amp;" "&amp;表格1[[#This Row],[Shop]]&amp;"*",Roster!$A$4:$A$72,0),DAY(表格1[[#This Row],[date]]),1,1)</f>
        <v>Jessica off</v>
      </c>
      <c r="E3992" s="86">
        <f>MONTH(表格1[[#This Row],[date]])</f>
        <v>3</v>
      </c>
      <c r="F3992" s="90">
        <v>46086</v>
      </c>
      <c r="G3992" s="86" t="str">
        <f>VLOOKUP("*"&amp;表格1[[#This Row],[Input]]&amp;"*",'Ref-List'!$B:$D,2,)</f>
        <v>GR-A26HSZ(DS)</v>
      </c>
      <c r="H3992" s="86" t="str">
        <f>_xlfn.XLOOKUP(表格1[[#This Row],[Model]],表格3[Model-Input-Ref2],表格3[Product Line])</f>
        <v>雙門變頻式環保雪櫃</v>
      </c>
      <c r="I3992" s="86" t="str">
        <f>_xlfn.XLOOKUP(表格1[[#This Row],[Model]],表格3[Model-Input-Ref2],表格3[大小電])</f>
        <v>大電</v>
      </c>
      <c r="J3992" s="86" t="str">
        <f>_xlfn.XLOOKUP(表格1[[#This Row],[Model]],表格3[Model-Input-Ref2],表格3[Code])</f>
        <v>AC</v>
      </c>
      <c r="K3992" s="89" t="s">
        <v>1207</v>
      </c>
      <c r="L3992" s="86">
        <v>1</v>
      </c>
      <c r="M3992" s="87">
        <v>1500</v>
      </c>
      <c r="N3992" s="87">
        <f>IFERROR(表格1[[#This Row],[QTY]]*表格1[[#This Row],[Unit Price]],"-")</f>
        <v>1500</v>
      </c>
      <c r="R3992" s="86" t="str">
        <f>_xlfn.CONCAT(表格1[[#This Row],[Model]]," ",表格1[[#This Row],[inv no]])</f>
        <v xml:space="preserve">GR-A26HSZ(DS) </v>
      </c>
      <c r="S3992" s="86">
        <f>_xlfn.XLOOKUP(表格1[[#This Row],[Model]],表格3[Model-Input-Ref2],表格3[SRP PRICE])</f>
        <v>3780</v>
      </c>
      <c r="T3992" s="43">
        <f>表格1[[#This Row],[Unit Price]]/表格1[[#This Row],[SRP]]</f>
        <v>0.3968253968253968</v>
      </c>
      <c r="U3992" s="86" t="str">
        <f>_xlfn.XLOOKUP(表格1[[#This Row],[Model]],表格3[Model-Input-Ref2],表格3[TOSHIBA/HIGHEST])</f>
        <v>Toshiba SRP</v>
      </c>
      <c r="W3992" s="86" t="str">
        <f>_xlfn.CONCAT(表格1[[#This Row],[欄4]],表格1[[#This Row],[inv no]])</f>
        <v/>
      </c>
    </row>
    <row r="3993" spans="1:23" hidden="1">
      <c r="A3993" s="81">
        <v>3991</v>
      </c>
      <c r="B3993" s="86" t="s">
        <v>1203</v>
      </c>
      <c r="C3993" s="86" t="s">
        <v>1977</v>
      </c>
      <c r="D3993" s="89" t="str">
        <f ca="1">OFFSET(Roster!$A$3,MATCH(表格1[[#This Row],[Location]]&amp;" "&amp;表格1[[#This Row],[Shop]]&amp;"*",Roster!$A$4:$A$72,0),DAY(表格1[[#This Row],[date]]),1,1)</f>
        <v>Jessica off</v>
      </c>
      <c r="E3993" s="86">
        <f>MONTH(表格1[[#This Row],[date]])</f>
        <v>3</v>
      </c>
      <c r="F3993" s="90">
        <v>46086</v>
      </c>
      <c r="G3993" s="86" t="str">
        <f>VLOOKUP("*"&amp;表格1[[#This Row],[Input]]&amp;"*",'Ref-List'!$B:$D,2,)</f>
        <v>MS3-STQ20SC(WH)</v>
      </c>
      <c r="H3993" s="86" t="str">
        <f>_xlfn.XLOOKUP(表格1[[#This Row],[Model]],表格3[Model-Input-Ref2],表格3[Product Line])</f>
        <v>20L 智能蒸氣焗爐</v>
      </c>
      <c r="I3993" s="86" t="str">
        <f>_xlfn.XLOOKUP(表格1[[#This Row],[Model]],表格3[Model-Input-Ref2],表格3[大小電])</f>
        <v>細電</v>
      </c>
      <c r="J3993" s="86" t="str">
        <f>_xlfn.XLOOKUP(表格1[[#This Row],[Model]],表格3[Model-Input-Ref2],表格3[Code])</f>
        <v>MCA</v>
      </c>
      <c r="K3993" s="89" t="s">
        <v>1383</v>
      </c>
      <c r="L3993" s="86">
        <v>1</v>
      </c>
      <c r="M3993" s="87">
        <v>1980</v>
      </c>
      <c r="N3993" s="87">
        <f>IFERROR(表格1[[#This Row],[QTY]]*表格1[[#This Row],[Unit Price]],"-")</f>
        <v>1980</v>
      </c>
      <c r="R3993" s="86" t="str">
        <f>_xlfn.CONCAT(表格1[[#This Row],[Model]]," ",表格1[[#This Row],[inv no]])</f>
        <v xml:space="preserve">MS3-STQ20SC(WH) </v>
      </c>
      <c r="S3993" s="86">
        <f>_xlfn.XLOOKUP(表格1[[#This Row],[Model]],表格3[Model-Input-Ref2],表格3[SRP PRICE])</f>
        <v>2880</v>
      </c>
      <c r="T3993" s="43">
        <f>表格1[[#This Row],[Unit Price]]/表格1[[#This Row],[SRP]]</f>
        <v>0.6875</v>
      </c>
      <c r="U3993" s="86" t="str">
        <f>_xlfn.XLOOKUP(表格1[[#This Row],[Model]],表格3[Model-Input-Ref2],表格3[TOSHIBA/HIGHEST])</f>
        <v>Toshiba SRP</v>
      </c>
      <c r="W3993" s="86" t="str">
        <f>_xlfn.CONCAT(表格1[[#This Row],[欄4]],表格1[[#This Row],[inv no]])</f>
        <v/>
      </c>
    </row>
    <row r="3994" spans="1:23" hidden="1">
      <c r="A3994" s="81">
        <v>3992</v>
      </c>
      <c r="B3994" s="86" t="s">
        <v>1203</v>
      </c>
      <c r="C3994" s="86" t="s">
        <v>1977</v>
      </c>
      <c r="D3994" s="89" t="str">
        <f ca="1">OFFSET(Roster!$A$3,MATCH(表格1[[#This Row],[Location]]&amp;" "&amp;表格1[[#This Row],[Shop]]&amp;"*",Roster!$A$4:$A$72,0),DAY(表格1[[#This Row],[date]]),1,1)</f>
        <v>Jessica off</v>
      </c>
      <c r="E3994" s="86">
        <f>MONTH(表格1[[#This Row],[date]])</f>
        <v>3</v>
      </c>
      <c r="F3994" s="90">
        <v>46086</v>
      </c>
      <c r="G3994" s="86" t="str">
        <f>VLOOKUP("*"&amp;表格1[[#This Row],[Input]]&amp;"*",'Ref-List'!$B:$D,2,)</f>
        <v>DWS-34AHK</v>
      </c>
      <c r="H3994" s="86" t="str">
        <f>_xlfn.XLOOKUP(表格1[[#This Row],[Model]],表格3[Model-Input-Ref2],表格3[Product Line])</f>
        <v>獨立式免安裝洗碗碟機</v>
      </c>
      <c r="I3994" s="86" t="str">
        <f>_xlfn.XLOOKUP(表格1[[#This Row],[Model]],表格3[Model-Input-Ref2],表格3[大小電])</f>
        <v>細電</v>
      </c>
      <c r="J3994" s="86" t="str">
        <f>_xlfn.XLOOKUP(表格1[[#This Row],[Model]],表格3[Model-Input-Ref2],表格3[Code])</f>
        <v>DM</v>
      </c>
      <c r="K3994" s="89" t="s">
        <v>1240</v>
      </c>
      <c r="L3994" s="86">
        <v>1</v>
      </c>
      <c r="M3994" s="87">
        <v>1500</v>
      </c>
      <c r="N3994" s="87">
        <f>IFERROR(表格1[[#This Row],[QTY]]*表格1[[#This Row],[Unit Price]],"-")</f>
        <v>1500</v>
      </c>
      <c r="R3994" s="86" t="str">
        <f>_xlfn.CONCAT(表格1[[#This Row],[Model]]," ",表格1[[#This Row],[inv no]])</f>
        <v xml:space="preserve">DWS-34AHK </v>
      </c>
      <c r="S3994" s="86">
        <f>_xlfn.XLOOKUP(表格1[[#This Row],[Model]],表格3[Model-Input-Ref2],表格3[SRP PRICE])</f>
        <v>3999</v>
      </c>
      <c r="T3994" s="43">
        <f>表格1[[#This Row],[Unit Price]]/表格1[[#This Row],[SRP]]</f>
        <v>0.37509377344336087</v>
      </c>
      <c r="U3994" s="86" t="str">
        <f>_xlfn.XLOOKUP(表格1[[#This Row],[Model]],表格3[Model-Input-Ref2],表格3[TOSHIBA/HIGHEST])</f>
        <v>Web SRP</v>
      </c>
      <c r="W3994" s="86" t="str">
        <f>_xlfn.CONCAT(表格1[[#This Row],[欄4]],表格1[[#This Row],[inv no]])</f>
        <v/>
      </c>
    </row>
    <row r="3995" spans="1:23" hidden="1">
      <c r="A3995" s="81">
        <v>3993</v>
      </c>
      <c r="B3995" s="86" t="s">
        <v>1203</v>
      </c>
      <c r="C3995" s="86" t="s">
        <v>1977</v>
      </c>
      <c r="D3995" s="89" t="str">
        <f ca="1">OFFSET(Roster!$A$3,MATCH(表格1[[#This Row],[Location]]&amp;" "&amp;表格1[[#This Row],[Shop]]&amp;"*",Roster!$A$4:$A$72,0),DAY(表格1[[#This Row],[date]]),1,1)</f>
        <v>Jessica off</v>
      </c>
      <c r="E3995" s="86">
        <f>MONTH(表格1[[#This Row],[date]])</f>
        <v>3</v>
      </c>
      <c r="F3995" s="90">
        <v>46086</v>
      </c>
      <c r="G3995" s="86" t="str">
        <f>VLOOKUP("*"&amp;表格1[[#This Row],[Input]]&amp;"*",'Ref-List'!$B:$D,2,)</f>
        <v>IC-20R1THK</v>
      </c>
      <c r="H3995" s="86" t="str">
        <f>_xlfn.XLOOKUP(表格1[[#This Row],[Model]],表格3[Model-Input-Ref2],表格3[Product Line])</f>
        <v>輕便式電磁爐</v>
      </c>
      <c r="I3995" s="86" t="str">
        <f>_xlfn.XLOOKUP(表格1[[#This Row],[Model]],表格3[Model-Input-Ref2],表格3[大小電])</f>
        <v>細電</v>
      </c>
      <c r="J3995" s="86" t="str">
        <f>_xlfn.XLOOKUP(表格1[[#This Row],[Model]],表格3[Model-Input-Ref2],表格3[Code])</f>
        <v>SDA</v>
      </c>
      <c r="K3995" s="89" t="s">
        <v>1243</v>
      </c>
      <c r="L3995" s="86">
        <v>1</v>
      </c>
      <c r="M3995" s="87">
        <v>290</v>
      </c>
      <c r="N3995" s="87">
        <f>IFERROR(表格1[[#This Row],[QTY]]*表格1[[#This Row],[Unit Price]],"-")</f>
        <v>290</v>
      </c>
      <c r="R3995" s="86" t="str">
        <f>_xlfn.CONCAT(表格1[[#This Row],[Model]]," ",表格1[[#This Row],[inv no]])</f>
        <v xml:space="preserve">IC-20R1THK </v>
      </c>
      <c r="S3995" s="86">
        <f>_xlfn.XLOOKUP(表格1[[#This Row],[Model]],表格3[Model-Input-Ref2],表格3[SRP PRICE])</f>
        <v>438</v>
      </c>
      <c r="T3995" s="43">
        <f>表格1[[#This Row],[Unit Price]]/表格1[[#This Row],[SRP]]</f>
        <v>0.66210045662100458</v>
      </c>
      <c r="U3995" s="86" t="str">
        <f>_xlfn.XLOOKUP(表格1[[#This Row],[Model]],表格3[Model-Input-Ref2],表格3[TOSHIBA/HIGHEST])</f>
        <v>Shops Highest Price</v>
      </c>
      <c r="W3995" s="86" t="str">
        <f>_xlfn.CONCAT(表格1[[#This Row],[欄4]],表格1[[#This Row],[inv no]])</f>
        <v/>
      </c>
    </row>
    <row r="3996" spans="1:23" hidden="1">
      <c r="A3996" s="81">
        <v>3994</v>
      </c>
      <c r="B3996" s="86" t="s">
        <v>1203</v>
      </c>
      <c r="C3996" s="86" t="s">
        <v>1977</v>
      </c>
      <c r="D3996" s="89" t="str">
        <f ca="1">OFFSET(Roster!$A$3,MATCH(表格1[[#This Row],[Location]]&amp;" "&amp;表格1[[#This Row],[Shop]]&amp;"*",Roster!$A$4:$A$72,0),DAY(表格1[[#This Row],[date]]),1,1)</f>
        <v>Jessica off</v>
      </c>
      <c r="E3996" s="86">
        <f>MONTH(表格1[[#This Row],[date]])</f>
        <v>3</v>
      </c>
      <c r="F3996" s="90">
        <v>46086</v>
      </c>
      <c r="G3996" s="86" t="str">
        <f>VLOOKUP("*"&amp;表格1[[#This Row],[Input]]&amp;"*",'Ref-List'!$B:$D,2,)</f>
        <v>MX2-STR25SC(WH)</v>
      </c>
      <c r="H3996" s="86" t="str">
        <f>_xlfn.XLOOKUP(表格1[[#This Row],[Model]],表格3[Model-Input-Ref2],表格3[Product Line])</f>
        <v>4合1氣炸微波蒸焗爐(25公升)</v>
      </c>
      <c r="I3996" s="86" t="str">
        <f>_xlfn.XLOOKUP(表格1[[#This Row],[Model]],表格3[Model-Input-Ref2],表格3[大小電])</f>
        <v>細電</v>
      </c>
      <c r="J3996" s="86" t="str">
        <f>_xlfn.XLOOKUP(表格1[[#This Row],[Model]],表格3[Model-Input-Ref2],表格3[Code])</f>
        <v>MCA</v>
      </c>
      <c r="K3996" s="89" t="s">
        <v>1410</v>
      </c>
      <c r="L3996" s="86">
        <v>1</v>
      </c>
      <c r="M3996" s="87">
        <v>3401</v>
      </c>
      <c r="N3996" s="87">
        <f>IFERROR(表格1[[#This Row],[QTY]]*表格1[[#This Row],[Unit Price]],"-")</f>
        <v>3401</v>
      </c>
      <c r="R3996" s="86" t="str">
        <f>_xlfn.CONCAT(表格1[[#This Row],[Model]]," ",表格1[[#This Row],[inv no]])</f>
        <v xml:space="preserve">MX2-STR25SC(WH) </v>
      </c>
      <c r="S3996" s="86">
        <f>_xlfn.XLOOKUP(表格1[[#This Row],[Model]],表格3[Model-Input-Ref2],表格3[SRP PRICE])</f>
        <v>4998</v>
      </c>
      <c r="T3996" s="43">
        <f>表格1[[#This Row],[Unit Price]]/表格1[[#This Row],[SRP]]</f>
        <v>0.68047218887555017</v>
      </c>
      <c r="U3996" s="86" t="str">
        <f>_xlfn.XLOOKUP(表格1[[#This Row],[Model]],表格3[Model-Input-Ref2],表格3[TOSHIBA/HIGHEST])</f>
        <v>Toshiba SRP</v>
      </c>
      <c r="W3996" s="86" t="str">
        <f>_xlfn.CONCAT(表格1[[#This Row],[欄4]],表格1[[#This Row],[inv no]])</f>
        <v/>
      </c>
    </row>
    <row r="3997" spans="1:23" hidden="1">
      <c r="A3997" s="81">
        <v>3995</v>
      </c>
      <c r="B3997" s="86" t="s">
        <v>1203</v>
      </c>
      <c r="C3997" s="86" t="s">
        <v>1977</v>
      </c>
      <c r="D3997" s="89" t="str">
        <f ca="1">OFFSET(Roster!$A$3,MATCH(表格1[[#This Row],[Location]]&amp;" "&amp;表格1[[#This Row],[Shop]]&amp;"*",Roster!$A$4:$A$72,0),DAY(表格1[[#This Row],[date]]),1,1)</f>
        <v>Jessica off</v>
      </c>
      <c r="E3997" s="86">
        <f>MONTH(表格1[[#This Row],[date]])</f>
        <v>3</v>
      </c>
      <c r="F3997" s="90">
        <v>46086</v>
      </c>
      <c r="G3997" s="86" t="str">
        <f>VLOOKUP("*"&amp;表格1[[#This Row],[Input]]&amp;"*",'Ref-List'!$B:$D,2,)</f>
        <v>RC-10AMXH(W)</v>
      </c>
      <c r="H3997" s="86" t="str">
        <f>_xlfn.XLOOKUP(表格1[[#This Row],[Model]],表格3[Model-Input-Ref2],表格3[Product Line])</f>
        <v>酵活炊電飯煲(1.0公升)</v>
      </c>
      <c r="I3997" s="86" t="str">
        <f>_xlfn.XLOOKUP(表格1[[#This Row],[Model]],表格3[Model-Input-Ref2],表格3[大小電])</f>
        <v>細電</v>
      </c>
      <c r="J3997" s="86" t="str">
        <f>_xlfn.XLOOKUP(表格1[[#This Row],[Model]],表格3[Model-Input-Ref2],表格3[Code])</f>
        <v>SDA</v>
      </c>
      <c r="K3997" s="89" t="s">
        <v>1279</v>
      </c>
      <c r="L3997" s="86">
        <v>1</v>
      </c>
      <c r="M3997" s="87">
        <v>990</v>
      </c>
      <c r="N3997" s="87">
        <f>IFERROR(表格1[[#This Row],[QTY]]*表格1[[#This Row],[Unit Price]],"-")</f>
        <v>990</v>
      </c>
      <c r="R3997" s="86" t="str">
        <f>_xlfn.CONCAT(表格1[[#This Row],[Model]]," ",表格1[[#This Row],[inv no]])</f>
        <v xml:space="preserve">RC-10AMXH(W) </v>
      </c>
      <c r="S3997" s="86">
        <f>_xlfn.XLOOKUP(表格1[[#This Row],[Model]],表格3[Model-Input-Ref2],表格3[SRP PRICE])</f>
        <v>1288</v>
      </c>
      <c r="T3997" s="43">
        <f>表格1[[#This Row],[Unit Price]]/表格1[[#This Row],[SRP]]</f>
        <v>0.76863354037267084</v>
      </c>
      <c r="U3997" s="86" t="str">
        <f>_xlfn.XLOOKUP(表格1[[#This Row],[Model]],表格3[Model-Input-Ref2],表格3[TOSHIBA/HIGHEST])</f>
        <v>Toshiba SRP</v>
      </c>
      <c r="W3997" s="86" t="str">
        <f>_xlfn.CONCAT(表格1[[#This Row],[欄4]],表格1[[#This Row],[inv no]])</f>
        <v/>
      </c>
    </row>
    <row r="3998" spans="1:23" hidden="1">
      <c r="A3998" s="81">
        <v>3996</v>
      </c>
      <c r="B3998" s="86" t="s">
        <v>1203</v>
      </c>
      <c r="C3998" s="86" t="s">
        <v>1977</v>
      </c>
      <c r="D3998" s="89" t="str">
        <f ca="1">OFFSET(Roster!$A$3,MATCH(表格1[[#This Row],[Location]]&amp;" "&amp;表格1[[#This Row],[Shop]]&amp;"*",Roster!$A$4:$A$72,0),DAY(表格1[[#This Row],[date]]),1,1)</f>
        <v>Jessica off</v>
      </c>
      <c r="E3998" s="86">
        <f>MONTH(表格1[[#This Row],[date]])</f>
        <v>3</v>
      </c>
      <c r="F3998" s="90">
        <v>46086</v>
      </c>
      <c r="G3998" s="86" t="str">
        <f>VLOOKUP("*"&amp;表格1[[#This Row],[Input]]&amp;"*",'Ref-List'!$B:$D,2,)</f>
        <v>TW-T21BU80UWH(MG)</v>
      </c>
      <c r="H3998" s="86" t="str">
        <f>_xlfn.XLOOKUP(表格1[[#This Row],[Model]],表格3[Model-Input-Ref2],表格3[Product Line])</f>
        <v>400MM超薄身前置式變頻洗衣機(7公斤)</v>
      </c>
      <c r="I3998" s="86" t="str">
        <f>_xlfn.XLOOKUP(表格1[[#This Row],[Model]],表格3[Model-Input-Ref2],表格3[大小電])</f>
        <v>大電</v>
      </c>
      <c r="J3998" s="86" t="str">
        <f>_xlfn.XLOOKUP(表格1[[#This Row],[Model]],表格3[Model-Input-Ref2],表格3[Code])</f>
        <v>LAD</v>
      </c>
      <c r="K3998" s="89" t="s">
        <v>1280</v>
      </c>
      <c r="L3998" s="86">
        <v>1</v>
      </c>
      <c r="M3998" s="87">
        <v>3180</v>
      </c>
      <c r="N3998" s="87">
        <f>IFERROR(表格1[[#This Row],[QTY]]*表格1[[#This Row],[Unit Price]],"-")</f>
        <v>3180</v>
      </c>
      <c r="O3998" s="86">
        <v>6112511</v>
      </c>
      <c r="R3998" s="86" t="str">
        <f>_xlfn.CONCAT(表格1[[#This Row],[Model]]," ",表格1[[#This Row],[inv no]])</f>
        <v>TW-T21BU80UWH(MG) 6112511</v>
      </c>
      <c r="S3998" s="86">
        <f>_xlfn.XLOOKUP(表格1[[#This Row],[Model]],表格3[Model-Input-Ref2],表格3[SRP PRICE])</f>
        <v>5180</v>
      </c>
      <c r="T3998" s="43">
        <f>表格1[[#This Row],[Unit Price]]/表格1[[#This Row],[SRP]]</f>
        <v>0.61389961389961389</v>
      </c>
      <c r="U3998" s="86" t="str">
        <f>_xlfn.XLOOKUP(表格1[[#This Row],[Model]],表格3[Model-Input-Ref2],表格3[TOSHIBA/HIGHEST])</f>
        <v>Toshiba SRP</v>
      </c>
      <c r="W3998" s="86" t="str">
        <f>_xlfn.CONCAT(表格1[[#This Row],[欄4]],表格1[[#This Row],[inv no]])</f>
        <v>6112511</v>
      </c>
    </row>
    <row r="3999" spans="1:23" hidden="1">
      <c r="A3999" s="81">
        <v>3997</v>
      </c>
      <c r="B3999" s="86" t="s">
        <v>1203</v>
      </c>
      <c r="C3999" s="86" t="s">
        <v>1977</v>
      </c>
      <c r="D3999" s="89" t="str">
        <f ca="1">OFFSET(Roster!$A$3,MATCH(表格1[[#This Row],[Location]]&amp;" "&amp;表格1[[#This Row],[Shop]]&amp;"*",Roster!$A$4:$A$72,0),DAY(表格1[[#This Row],[date]]),1,1)</f>
        <v>Jessica off</v>
      </c>
      <c r="E3999" s="86">
        <f>MONTH(表格1[[#This Row],[date]])</f>
        <v>3</v>
      </c>
      <c r="F3999" s="90">
        <v>46086</v>
      </c>
      <c r="G3999" s="86" t="str">
        <f>VLOOKUP("*"&amp;表格1[[#This Row],[Input]]&amp;"*",'Ref-List'!$B:$D,2,)</f>
        <v>AW-M901BPH(WW)</v>
      </c>
      <c r="H3999" s="86" t="str">
        <f>_xlfn.XLOOKUP(表格1[[#This Row],[Model]],表格3[Model-Input-Ref2],表格3[Product Line])</f>
        <v>全自動洗衣機 (8公斤 結合高低水位)</v>
      </c>
      <c r="I3999" s="86" t="str">
        <f>_xlfn.XLOOKUP(表格1[[#This Row],[Model]],表格3[Model-Input-Ref2],表格3[大小電])</f>
        <v>大電</v>
      </c>
      <c r="J3999" s="86" t="str">
        <f>_xlfn.XLOOKUP(表格1[[#This Row],[Model]],表格3[Model-Input-Ref2],表格3[Code])</f>
        <v>WM</v>
      </c>
      <c r="K3999" s="89" t="s">
        <v>1202</v>
      </c>
      <c r="L3999" s="86">
        <v>1</v>
      </c>
      <c r="M3999" s="87">
        <v>1500</v>
      </c>
      <c r="N3999" s="87">
        <f>IFERROR(表格1[[#This Row],[QTY]]*表格1[[#This Row],[Unit Price]],"-")</f>
        <v>1500</v>
      </c>
      <c r="R3999" s="86" t="str">
        <f>_xlfn.CONCAT(表格1[[#This Row],[Model]]," ",表格1[[#This Row],[inv no]])</f>
        <v xml:space="preserve">AW-M901BPH(WW) </v>
      </c>
      <c r="S3999" s="86">
        <f>_xlfn.XLOOKUP(表格1[[#This Row],[Model]],表格3[Model-Input-Ref2],表格3[SRP PRICE])</f>
        <v>3580</v>
      </c>
      <c r="T3999" s="43">
        <f>表格1[[#This Row],[Unit Price]]/表格1[[#This Row],[SRP]]</f>
        <v>0.41899441340782123</v>
      </c>
      <c r="U3999" s="86" t="str">
        <f>_xlfn.XLOOKUP(表格1[[#This Row],[Model]],表格3[Model-Input-Ref2],表格3[TOSHIBA/HIGHEST])</f>
        <v>Toshiba SRP</v>
      </c>
      <c r="W3999" s="86" t="str">
        <f>_xlfn.CONCAT(表格1[[#This Row],[欄4]],表格1[[#This Row],[inv no]])</f>
        <v/>
      </c>
    </row>
    <row r="4000" spans="1:23" hidden="1">
      <c r="A4000" s="81">
        <v>3998</v>
      </c>
      <c r="B4000" s="86" t="s">
        <v>1203</v>
      </c>
      <c r="C4000" s="86" t="s">
        <v>1977</v>
      </c>
      <c r="D4000" s="89" t="str">
        <f ca="1">OFFSET(Roster!$A$3,MATCH(表格1[[#This Row],[Location]]&amp;" "&amp;表格1[[#This Row],[Shop]]&amp;"*",Roster!$A$4:$A$72,0),DAY(表格1[[#This Row],[date]]),1,1)</f>
        <v>Jessica off</v>
      </c>
      <c r="E4000" s="86">
        <f>MONTH(表格1[[#This Row],[date]])</f>
        <v>3</v>
      </c>
      <c r="F4000" s="90">
        <v>46086</v>
      </c>
      <c r="G4000" s="86" t="str">
        <f>VLOOKUP("*"&amp;表格1[[#This Row],[Input]]&amp;"*",'Ref-List'!$B:$D,2,)</f>
        <v>RC-15ISTHK(W)</v>
      </c>
      <c r="H4000" s="86" t="str">
        <f>_xlfn.XLOOKUP(表格1[[#This Row],[Model]],表格3[Model-Input-Ref2],表格3[Product Line])</f>
        <v>磁應電飯煲(1.5公升)</v>
      </c>
      <c r="I4000" s="86" t="str">
        <f>_xlfn.XLOOKUP(表格1[[#This Row],[Model]],表格3[Model-Input-Ref2],表格3[大小電])</f>
        <v>細電</v>
      </c>
      <c r="J4000" s="86" t="str">
        <f>_xlfn.XLOOKUP(表格1[[#This Row],[Model]],表格3[Model-Input-Ref2],表格3[Code])</f>
        <v>SDA</v>
      </c>
      <c r="K4000" s="89" t="s">
        <v>1204</v>
      </c>
      <c r="L4000" s="86">
        <v>1</v>
      </c>
      <c r="M4000" s="87">
        <v>500</v>
      </c>
      <c r="N4000" s="87">
        <f>IFERROR(表格1[[#This Row],[QTY]]*表格1[[#This Row],[Unit Price]],"-")</f>
        <v>500</v>
      </c>
      <c r="R4000" s="86" t="str">
        <f>_xlfn.CONCAT(表格1[[#This Row],[Model]]," ",表格1[[#This Row],[inv no]])</f>
        <v xml:space="preserve">RC-15ISTHK(W) </v>
      </c>
      <c r="S4000" s="86">
        <f>_xlfn.XLOOKUP(表格1[[#This Row],[Model]],表格3[Model-Input-Ref2],表格3[SRP PRICE])</f>
        <v>1688</v>
      </c>
      <c r="T4000" s="43">
        <f>表格1[[#This Row],[Unit Price]]/表格1[[#This Row],[SRP]]</f>
        <v>0.29620853080568721</v>
      </c>
      <c r="U4000" s="86" t="str">
        <f>_xlfn.XLOOKUP(表格1[[#This Row],[Model]],表格3[Model-Input-Ref2],表格3[TOSHIBA/HIGHEST])</f>
        <v>Toshiba SRP</v>
      </c>
      <c r="W4000" s="86" t="str">
        <f>_xlfn.CONCAT(表格1[[#This Row],[欄4]],表格1[[#This Row],[inv no]])</f>
        <v/>
      </c>
    </row>
    <row r="4001" spans="1:23" hidden="1">
      <c r="A4001" s="81">
        <v>3999</v>
      </c>
      <c r="B4001" s="86" t="s">
        <v>1203</v>
      </c>
      <c r="C4001" s="86" t="s">
        <v>1977</v>
      </c>
      <c r="D4001" s="89" t="str">
        <f ca="1">OFFSET(Roster!$A$3,MATCH(表格1[[#This Row],[Location]]&amp;" "&amp;表格1[[#This Row],[Shop]]&amp;"*",Roster!$A$4:$A$72,0),DAY(表格1[[#This Row],[date]]),1,1)</f>
        <v>Jessica</v>
      </c>
      <c r="E4001" s="86">
        <f>MONTH(表格1[[#This Row],[date]])</f>
        <v>3</v>
      </c>
      <c r="F4001" s="90">
        <v>46087</v>
      </c>
      <c r="G4001" s="86" t="str">
        <f>VLOOKUP("*"&amp;表格1[[#This Row],[Input]]&amp;"*",'Ref-List'!$B:$D,2,)</f>
        <v>KT-17SHNH</v>
      </c>
      <c r="H4001" s="86" t="str">
        <f>_xlfn.XLOOKUP(表格1[[#This Row],[Model]],表格3[Model-Input-Ref2],表格3[Product Line])</f>
        <v>1.7L無線雙層電熱水壺</v>
      </c>
      <c r="I4001" s="86" t="str">
        <f>_xlfn.XLOOKUP(表格1[[#This Row],[Model]],表格3[Model-Input-Ref2],表格3[大小電])</f>
        <v>細電</v>
      </c>
      <c r="J4001" s="86" t="str">
        <f>_xlfn.XLOOKUP(表格1[[#This Row],[Model]],表格3[Model-Input-Ref2],表格3[Code])</f>
        <v>SDA</v>
      </c>
      <c r="K4001" s="89" t="s">
        <v>1283</v>
      </c>
      <c r="L4001" s="86">
        <v>1</v>
      </c>
      <c r="M4001" s="87">
        <v>190</v>
      </c>
      <c r="N4001" s="87">
        <f>IFERROR(表格1[[#This Row],[QTY]]*表格1[[#This Row],[Unit Price]],"-")</f>
        <v>190</v>
      </c>
      <c r="R4001" s="86" t="str">
        <f>_xlfn.CONCAT(表格1[[#This Row],[Model]]," ",表格1[[#This Row],[inv no]])</f>
        <v xml:space="preserve">KT-17SHNH </v>
      </c>
      <c r="S4001" s="86">
        <f>_xlfn.XLOOKUP(表格1[[#This Row],[Model]],表格3[Model-Input-Ref2],表格3[SRP PRICE])</f>
        <v>299</v>
      </c>
      <c r="T4001" s="43">
        <f>表格1[[#This Row],[Unit Price]]/表格1[[#This Row],[SRP]]</f>
        <v>0.63545150501672243</v>
      </c>
      <c r="U4001" s="86" t="str">
        <f>_xlfn.XLOOKUP(表格1[[#This Row],[Model]],表格3[Model-Input-Ref2],表格3[TOSHIBA/HIGHEST])</f>
        <v>Shops Highest Price</v>
      </c>
      <c r="W4001" s="86" t="str">
        <f>_xlfn.CONCAT(表格1[[#This Row],[欄4]],表格1[[#This Row],[inv no]])</f>
        <v/>
      </c>
    </row>
    <row r="4002" spans="1:23" hidden="1">
      <c r="A4002" s="81">
        <v>4000</v>
      </c>
      <c r="B4002" s="86" t="s">
        <v>1203</v>
      </c>
      <c r="C4002" s="86" t="s">
        <v>1977</v>
      </c>
      <c r="D4002" s="89" t="str">
        <f ca="1">OFFSET(Roster!$A$3,MATCH(表格1[[#This Row],[Location]]&amp;" "&amp;表格1[[#This Row],[Shop]]&amp;"*",Roster!$A$4:$A$72,0),DAY(表格1[[#This Row],[date]]),1,1)</f>
        <v>Jessica</v>
      </c>
      <c r="E4002" s="86">
        <f>MONTH(表格1[[#This Row],[date]])</f>
        <v>3</v>
      </c>
      <c r="F4002" s="90">
        <v>46087</v>
      </c>
      <c r="G4002" s="86" t="str">
        <f>VLOOKUP("*"&amp;表格1[[#This Row],[Input]]&amp;"*",'Ref-List'!$B:$D,2,)</f>
        <v>RC-5SLIH(W)</v>
      </c>
      <c r="H4002" s="86" t="str">
        <f>_xlfn.XLOOKUP(表格1[[#This Row],[Model]],表格3[Model-Input-Ref2],表格3[Product Line])</f>
        <v>微型電腦珍珠飯煲</v>
      </c>
      <c r="I4002" s="86" t="str">
        <f>_xlfn.XLOOKUP(表格1[[#This Row],[Model]],表格3[Model-Input-Ref2],表格3[大小電])</f>
        <v>細電</v>
      </c>
      <c r="J4002" s="86" t="str">
        <f>_xlfn.XLOOKUP(表格1[[#This Row],[Model]],表格3[Model-Input-Ref2],表格3[Code])</f>
        <v>SDA</v>
      </c>
      <c r="K4002" s="89" t="s">
        <v>1264</v>
      </c>
      <c r="L4002" s="86">
        <v>1</v>
      </c>
      <c r="M4002" s="87">
        <v>590</v>
      </c>
      <c r="N4002" s="87">
        <f>IFERROR(表格1[[#This Row],[QTY]]*表格1[[#This Row],[Unit Price]],"-")</f>
        <v>590</v>
      </c>
      <c r="R4002" s="86" t="str">
        <f>_xlfn.CONCAT(表格1[[#This Row],[Model]]," ",表格1[[#This Row],[inv no]])</f>
        <v xml:space="preserve">RC-5SLIH(W) </v>
      </c>
      <c r="S4002" s="86">
        <f>_xlfn.XLOOKUP(表格1[[#This Row],[Model]],表格3[Model-Input-Ref2],表格3[SRP PRICE])</f>
        <v>658</v>
      </c>
      <c r="T4002" s="43">
        <f>表格1[[#This Row],[Unit Price]]/表格1[[#This Row],[SRP]]</f>
        <v>0.89665653495440734</v>
      </c>
      <c r="U4002" s="86" t="str">
        <f>_xlfn.XLOOKUP(表格1[[#This Row],[Model]],表格3[Model-Input-Ref2],表格3[TOSHIBA/HIGHEST])</f>
        <v>Toshiba SRP</v>
      </c>
      <c r="W4002" s="86" t="str">
        <f>_xlfn.CONCAT(表格1[[#This Row],[欄4]],表格1[[#This Row],[inv no]])</f>
        <v/>
      </c>
    </row>
    <row r="4003" spans="1:23" hidden="1">
      <c r="A4003" s="81">
        <v>4001</v>
      </c>
      <c r="B4003" s="86" t="s">
        <v>1203</v>
      </c>
      <c r="C4003" s="86" t="s">
        <v>1977</v>
      </c>
      <c r="D4003" s="89" t="str">
        <f ca="1">OFFSET(Roster!$A$3,MATCH(表格1[[#This Row],[Location]]&amp;" "&amp;表格1[[#This Row],[Shop]]&amp;"*",Roster!$A$4:$A$72,0),DAY(表格1[[#This Row],[date]]),1,1)</f>
        <v>Jessica</v>
      </c>
      <c r="E4003" s="86">
        <f>MONTH(表格1[[#This Row],[date]])</f>
        <v>3</v>
      </c>
      <c r="F4003" s="90">
        <v>46087</v>
      </c>
      <c r="G4003" s="86" t="str">
        <f>VLOOKUP("*"&amp;表格1[[#This Row],[Input]]&amp;"*",'Ref-List'!$B:$D,2,)</f>
        <v>MS5-STR30SC(BK)</v>
      </c>
      <c r="H4003" s="86" t="str">
        <f>_xlfn.XLOOKUP(表格1[[#This Row],[Model]],表格3[Model-Input-Ref2],表格3[Product Line])</f>
        <v>30公升蒸氣焗爐</v>
      </c>
      <c r="I4003" s="86" t="str">
        <f>_xlfn.XLOOKUP(表格1[[#This Row],[Model]],表格3[Model-Input-Ref2],表格3[大小電])</f>
        <v>細電</v>
      </c>
      <c r="J4003" s="86" t="str">
        <f>_xlfn.XLOOKUP(表格1[[#This Row],[Model]],表格3[Model-Input-Ref2],表格3[Code])</f>
        <v>MCA</v>
      </c>
      <c r="K4003" s="89" t="s">
        <v>1379</v>
      </c>
      <c r="L4003" s="86">
        <v>1</v>
      </c>
      <c r="M4003" s="87">
        <v>3781</v>
      </c>
      <c r="N4003" s="87">
        <f>IFERROR(表格1[[#This Row],[QTY]]*表格1[[#This Row],[Unit Price]],"-")</f>
        <v>3781</v>
      </c>
      <c r="R4003" s="86" t="str">
        <f>_xlfn.CONCAT(表格1[[#This Row],[Model]]," ",表格1[[#This Row],[inv no]])</f>
        <v xml:space="preserve">MS5-STR30SC(BK) </v>
      </c>
      <c r="S4003" s="86">
        <f>_xlfn.XLOOKUP(表格1[[#This Row],[Model]],表格3[Model-Input-Ref2],表格3[SRP PRICE])</f>
        <v>5998</v>
      </c>
      <c r="T4003" s="43">
        <f>表格1[[#This Row],[Unit Price]]/表格1[[#This Row],[SRP]]</f>
        <v>0.63037679226408805</v>
      </c>
      <c r="U4003" s="86" t="str">
        <f>_xlfn.XLOOKUP(表格1[[#This Row],[Model]],表格3[Model-Input-Ref2],表格3[TOSHIBA/HIGHEST])</f>
        <v>Shops Highest Price</v>
      </c>
      <c r="W4003" s="86" t="str">
        <f>_xlfn.CONCAT(表格1[[#This Row],[欄4]],表格1[[#This Row],[inv no]])</f>
        <v/>
      </c>
    </row>
    <row r="4004" spans="1:23" hidden="1">
      <c r="A4004" s="81">
        <v>4002</v>
      </c>
      <c r="B4004" s="86" t="s">
        <v>1203</v>
      </c>
      <c r="C4004" s="86" t="s">
        <v>1977</v>
      </c>
      <c r="D4004" s="89" t="str">
        <f ca="1">OFFSET(Roster!$A$3,MATCH(表格1[[#This Row],[Location]]&amp;" "&amp;表格1[[#This Row],[Shop]]&amp;"*",Roster!$A$4:$A$72,0),DAY(表格1[[#This Row],[date]]),1,1)</f>
        <v>Jessica</v>
      </c>
      <c r="E4004" s="86">
        <f>MONTH(表格1[[#This Row],[date]])</f>
        <v>3</v>
      </c>
      <c r="F4004" s="90">
        <v>46087</v>
      </c>
      <c r="G4004" s="86" t="str">
        <f>VLOOKUP("*"&amp;表格1[[#This Row],[Input]]&amp;"*",'Ref-List'!$B:$D,2,)</f>
        <v>TWP-TSR76THK(W)</v>
      </c>
      <c r="H4004" s="86" t="str">
        <f>_xlfn.XLOOKUP(表格1[[#This Row],[Model]],表格3[Model-Input-Ref2],表格3[Product Line])</f>
        <v>RO座檯式飲水機</v>
      </c>
      <c r="I4004" s="86" t="str">
        <f>_xlfn.XLOOKUP(表格1[[#This Row],[Model]],表格3[Model-Input-Ref2],表格3[大小電])</f>
        <v>細電</v>
      </c>
      <c r="J4004" s="86" t="str">
        <f>_xlfn.XLOOKUP(表格1[[#This Row],[Model]],表格3[Model-Input-Ref2],表格3[Code])</f>
        <v>KWH</v>
      </c>
      <c r="K4004" s="89" t="s">
        <v>1197</v>
      </c>
      <c r="L4004" s="86">
        <v>1</v>
      </c>
      <c r="M4004" s="87">
        <v>1500</v>
      </c>
      <c r="N4004" s="87">
        <f>IFERROR(表格1[[#This Row],[QTY]]*表格1[[#This Row],[Unit Price]],"-")</f>
        <v>1500</v>
      </c>
      <c r="R4004" s="86" t="str">
        <f>_xlfn.CONCAT(表格1[[#This Row],[Model]]," ",表格1[[#This Row],[inv no]])</f>
        <v xml:space="preserve">TWP-TSR76THK(W) </v>
      </c>
      <c r="S4004" s="86">
        <f>_xlfn.XLOOKUP(表格1[[#This Row],[Model]],表格3[Model-Input-Ref2],表格3[SRP PRICE])</f>
        <v>2680</v>
      </c>
      <c r="T4004" s="43">
        <f>表格1[[#This Row],[Unit Price]]/表格1[[#This Row],[SRP]]</f>
        <v>0.55970149253731338</v>
      </c>
      <c r="U4004" s="86" t="str">
        <f>_xlfn.XLOOKUP(表格1[[#This Row],[Model]],表格3[Model-Input-Ref2],表格3[TOSHIBA/HIGHEST])</f>
        <v>Toshiba SRP</v>
      </c>
      <c r="W4004" s="86" t="str">
        <f>_xlfn.CONCAT(表格1[[#This Row],[欄4]],表格1[[#This Row],[inv no]])</f>
        <v/>
      </c>
    </row>
    <row r="4005" spans="1:23" hidden="1">
      <c r="A4005" s="81">
        <v>4003</v>
      </c>
      <c r="B4005" s="86" t="s">
        <v>1203</v>
      </c>
      <c r="C4005" s="86" t="s">
        <v>1977</v>
      </c>
      <c r="D4005" s="89" t="str">
        <f ca="1">OFFSET(Roster!$A$3,MATCH(表格1[[#This Row],[Location]]&amp;" "&amp;表格1[[#This Row],[Shop]]&amp;"*",Roster!$A$4:$A$72,0),DAY(表格1[[#This Row],[date]]),1,1)</f>
        <v>Jessica</v>
      </c>
      <c r="E4005" s="86">
        <f>MONTH(表格1[[#This Row],[date]])</f>
        <v>3</v>
      </c>
      <c r="F4005" s="90">
        <v>46087</v>
      </c>
      <c r="G4005" s="86" t="str">
        <f>VLOOKUP("*"&amp;表格1[[#This Row],[Input]]&amp;"*",'Ref-List'!$B:$D,2,)</f>
        <v>TW-T21BU80UWH(MG)</v>
      </c>
      <c r="H4005" s="86" t="str">
        <f>_xlfn.XLOOKUP(表格1[[#This Row],[Model]],表格3[Model-Input-Ref2],表格3[Product Line])</f>
        <v>400MM超薄身前置式變頻洗衣機(7公斤)</v>
      </c>
      <c r="I4005" s="86" t="str">
        <f>_xlfn.XLOOKUP(表格1[[#This Row],[Model]],表格3[Model-Input-Ref2],表格3[大小電])</f>
        <v>大電</v>
      </c>
      <c r="J4005" s="86" t="str">
        <f>_xlfn.XLOOKUP(表格1[[#This Row],[Model]],表格3[Model-Input-Ref2],表格3[Code])</f>
        <v>LAD</v>
      </c>
      <c r="K4005" s="89" t="s">
        <v>1280</v>
      </c>
      <c r="L4005" s="86">
        <v>1</v>
      </c>
      <c r="M4005" s="87">
        <v>3021</v>
      </c>
      <c r="N4005" s="87">
        <f>IFERROR(表格1[[#This Row],[QTY]]*表格1[[#This Row],[Unit Price]],"-")</f>
        <v>3021</v>
      </c>
      <c r="O4005" s="86">
        <v>6112536</v>
      </c>
      <c r="R4005" s="86" t="str">
        <f>_xlfn.CONCAT(表格1[[#This Row],[Model]]," ",表格1[[#This Row],[inv no]])</f>
        <v>TW-T21BU80UWH(MG) 6112536</v>
      </c>
      <c r="S4005" s="86">
        <f>_xlfn.XLOOKUP(表格1[[#This Row],[Model]],表格3[Model-Input-Ref2],表格3[SRP PRICE])</f>
        <v>5180</v>
      </c>
      <c r="T4005" s="43">
        <f>表格1[[#This Row],[Unit Price]]/表格1[[#This Row],[SRP]]</f>
        <v>0.58320463320463323</v>
      </c>
      <c r="U4005" s="86" t="str">
        <f>_xlfn.XLOOKUP(表格1[[#This Row],[Model]],表格3[Model-Input-Ref2],表格3[TOSHIBA/HIGHEST])</f>
        <v>Toshiba SRP</v>
      </c>
      <c r="W4005" s="86" t="str">
        <f>_xlfn.CONCAT(表格1[[#This Row],[欄4]],表格1[[#This Row],[inv no]])</f>
        <v>6112536</v>
      </c>
    </row>
    <row r="4006" spans="1:23" hidden="1">
      <c r="A4006" s="81">
        <v>4004</v>
      </c>
      <c r="B4006" s="86" t="s">
        <v>1203</v>
      </c>
      <c r="C4006" s="86" t="s">
        <v>1977</v>
      </c>
      <c r="D4006" s="89" t="str">
        <f ca="1">OFFSET(Roster!$A$3,MATCH(表格1[[#This Row],[Location]]&amp;" "&amp;表格1[[#This Row],[Shop]]&amp;"*",Roster!$A$4:$A$72,0),DAY(表格1[[#This Row],[date]]),1,1)</f>
        <v>Jessica</v>
      </c>
      <c r="E4006" s="86">
        <f>MONTH(表格1[[#This Row],[date]])</f>
        <v>3</v>
      </c>
      <c r="F4006" s="90">
        <v>46087</v>
      </c>
      <c r="G4006" s="86" t="str">
        <f>VLOOKUP("*"&amp;表格1[[#This Row],[Input]]&amp;"*",'Ref-List'!$B:$D,2,)</f>
        <v>TW-T21BU80UWH(MG)</v>
      </c>
      <c r="H4006" s="86" t="str">
        <f>_xlfn.XLOOKUP(表格1[[#This Row],[Model]],表格3[Model-Input-Ref2],表格3[Product Line])</f>
        <v>400MM超薄身前置式變頻洗衣機(7公斤)</v>
      </c>
      <c r="I4006" s="86" t="str">
        <f>_xlfn.XLOOKUP(表格1[[#This Row],[Model]],表格3[Model-Input-Ref2],表格3[大小電])</f>
        <v>大電</v>
      </c>
      <c r="J4006" s="86" t="str">
        <f>_xlfn.XLOOKUP(表格1[[#This Row],[Model]],表格3[Model-Input-Ref2],表格3[Code])</f>
        <v>LAD</v>
      </c>
      <c r="K4006" s="89" t="s">
        <v>1280</v>
      </c>
      <c r="L4006" s="86">
        <v>1</v>
      </c>
      <c r="M4006" s="87">
        <v>3021</v>
      </c>
      <c r="N4006" s="87">
        <f>IFERROR(表格1[[#This Row],[QTY]]*表格1[[#This Row],[Unit Price]],"-")</f>
        <v>3021</v>
      </c>
      <c r="O4006" s="86">
        <v>5725747</v>
      </c>
      <c r="R4006" s="86" t="str">
        <f>_xlfn.CONCAT(表格1[[#This Row],[Model]]," ",表格1[[#This Row],[inv no]])</f>
        <v>TW-T21BU80UWH(MG) 5725747</v>
      </c>
      <c r="S4006" s="86">
        <f>_xlfn.XLOOKUP(表格1[[#This Row],[Model]],表格3[Model-Input-Ref2],表格3[SRP PRICE])</f>
        <v>5180</v>
      </c>
      <c r="T4006" s="43">
        <f>表格1[[#This Row],[Unit Price]]/表格1[[#This Row],[SRP]]</f>
        <v>0.58320463320463323</v>
      </c>
      <c r="U4006" s="86" t="str">
        <f>_xlfn.XLOOKUP(表格1[[#This Row],[Model]],表格3[Model-Input-Ref2],表格3[TOSHIBA/HIGHEST])</f>
        <v>Toshiba SRP</v>
      </c>
      <c r="W4006" s="86" t="str">
        <f>_xlfn.CONCAT(表格1[[#This Row],[欄4]],表格1[[#This Row],[inv no]])</f>
        <v>5725747</v>
      </c>
    </row>
    <row r="4007" spans="1:23" hidden="1">
      <c r="A4007" s="81">
        <v>4005</v>
      </c>
      <c r="B4007" s="86" t="s">
        <v>1203</v>
      </c>
      <c r="C4007" s="86" t="s">
        <v>1977</v>
      </c>
      <c r="D4007" s="89" t="str">
        <f ca="1">OFFSET(Roster!$A$3,MATCH(表格1[[#This Row],[Location]]&amp;" "&amp;表格1[[#This Row],[Shop]]&amp;"*",Roster!$A$4:$A$72,0),DAY(表格1[[#This Row],[date]]),1,1)</f>
        <v>Jessica</v>
      </c>
      <c r="E4007" s="86">
        <f>MONTH(表格1[[#This Row],[date]])</f>
        <v>3</v>
      </c>
      <c r="F4007" s="90">
        <v>46087</v>
      </c>
      <c r="G4007" s="86" t="str">
        <f>VLOOKUP("*"&amp;表格1[[#This Row],[Input]]&amp;"*",'Ref-List'!$B:$D,2,)</f>
        <v>TP-25DR2UHK(W)</v>
      </c>
      <c r="H4007" s="86" t="str">
        <f>_xlfn.XLOOKUP(表格1[[#This Row],[Model]],表格3[Model-Input-Ref2],表格3[Product Line])</f>
        <v>電熱水瓶 (2.5公升)</v>
      </c>
      <c r="I4007" s="86" t="str">
        <f>_xlfn.XLOOKUP(表格1[[#This Row],[Model]],表格3[Model-Input-Ref2],表格3[大小電])</f>
        <v>細電</v>
      </c>
      <c r="J4007" s="86" t="str">
        <f>_xlfn.XLOOKUP(表格1[[#This Row],[Model]],表格3[Model-Input-Ref2],表格3[Code])</f>
        <v>SDA</v>
      </c>
      <c r="K4007" s="89" t="s">
        <v>1285</v>
      </c>
      <c r="L4007" s="86">
        <v>1</v>
      </c>
      <c r="M4007" s="87">
        <v>380</v>
      </c>
      <c r="N4007" s="87">
        <f>IFERROR(表格1[[#This Row],[QTY]]*表格1[[#This Row],[Unit Price]],"-")</f>
        <v>380</v>
      </c>
      <c r="R4007" s="86" t="str">
        <f>_xlfn.CONCAT(表格1[[#This Row],[Model]]," ",表格1[[#This Row],[inv no]])</f>
        <v xml:space="preserve">TP-25DR2UHK(W) </v>
      </c>
      <c r="S4007" s="86">
        <f>_xlfn.XLOOKUP(表格1[[#This Row],[Model]],表格3[Model-Input-Ref2],表格3[SRP PRICE])</f>
        <v>538</v>
      </c>
      <c r="T4007" s="43">
        <f>表格1[[#This Row],[Unit Price]]/表格1[[#This Row],[SRP]]</f>
        <v>0.70631970260223054</v>
      </c>
      <c r="U4007" s="86" t="str">
        <f>_xlfn.XLOOKUP(表格1[[#This Row],[Model]],表格3[Model-Input-Ref2],表格3[TOSHIBA/HIGHEST])</f>
        <v>Toshiba SRP</v>
      </c>
      <c r="W4007" s="86" t="str">
        <f>_xlfn.CONCAT(表格1[[#This Row],[欄4]],表格1[[#This Row],[inv no]])</f>
        <v/>
      </c>
    </row>
    <row r="4008" spans="1:23" hidden="1">
      <c r="A4008" s="81">
        <v>4006</v>
      </c>
      <c r="B4008" s="86" t="s">
        <v>1203</v>
      </c>
      <c r="C4008" s="86" t="s">
        <v>1977</v>
      </c>
      <c r="D4008" s="89" t="str">
        <f ca="1">OFFSET(Roster!$A$3,MATCH(表格1[[#This Row],[Location]]&amp;" "&amp;表格1[[#This Row],[Shop]]&amp;"*",Roster!$A$4:$A$72,0),DAY(表格1[[#This Row],[date]]),1,1)</f>
        <v>Jessica</v>
      </c>
      <c r="E4008" s="86">
        <f>MONTH(表格1[[#This Row],[date]])</f>
        <v>3</v>
      </c>
      <c r="F4008" s="90">
        <v>46088</v>
      </c>
      <c r="G4008" s="86" t="str">
        <f>VLOOKUP("*"&amp;表格1[[#This Row],[Input]]&amp;"*",'Ref-List'!$B:$D,2,)</f>
        <v>RC-5SLIH(W)</v>
      </c>
      <c r="H4008" s="86" t="str">
        <f>_xlfn.XLOOKUP(表格1[[#This Row],[Model]],表格3[Model-Input-Ref2],表格3[Product Line])</f>
        <v>微型電腦珍珠飯煲</v>
      </c>
      <c r="I4008" s="86" t="str">
        <f>_xlfn.XLOOKUP(表格1[[#This Row],[Model]],表格3[Model-Input-Ref2],表格3[大小電])</f>
        <v>細電</v>
      </c>
      <c r="J4008" s="86" t="str">
        <f>_xlfn.XLOOKUP(表格1[[#This Row],[Model]],表格3[Model-Input-Ref2],表格3[Code])</f>
        <v>SDA</v>
      </c>
      <c r="K4008" s="89" t="s">
        <v>1264</v>
      </c>
      <c r="L4008" s="86">
        <v>1</v>
      </c>
      <c r="M4008" s="87">
        <v>590</v>
      </c>
      <c r="N4008" s="87">
        <f>IFERROR(表格1[[#This Row],[QTY]]*表格1[[#This Row],[Unit Price]],"-")</f>
        <v>590</v>
      </c>
      <c r="R4008" s="86" t="str">
        <f>_xlfn.CONCAT(表格1[[#This Row],[Model]]," ",表格1[[#This Row],[inv no]])</f>
        <v xml:space="preserve">RC-5SLIH(W) </v>
      </c>
      <c r="S4008" s="86">
        <f>_xlfn.XLOOKUP(表格1[[#This Row],[Model]],表格3[Model-Input-Ref2],表格3[SRP PRICE])</f>
        <v>658</v>
      </c>
      <c r="T4008" s="43">
        <f>表格1[[#This Row],[Unit Price]]/表格1[[#This Row],[SRP]]</f>
        <v>0.89665653495440734</v>
      </c>
      <c r="U4008" s="86" t="str">
        <f>_xlfn.XLOOKUP(表格1[[#This Row],[Model]],表格3[Model-Input-Ref2],表格3[TOSHIBA/HIGHEST])</f>
        <v>Toshiba SRP</v>
      </c>
      <c r="W4008" s="86" t="str">
        <f>_xlfn.CONCAT(表格1[[#This Row],[欄4]],表格1[[#This Row],[inv no]])</f>
        <v/>
      </c>
    </row>
    <row r="4009" spans="1:23" hidden="1">
      <c r="A4009" s="81">
        <v>4007</v>
      </c>
      <c r="B4009" s="86" t="s">
        <v>1203</v>
      </c>
      <c r="C4009" s="86" t="s">
        <v>1977</v>
      </c>
      <c r="D4009" s="89" t="str">
        <f ca="1">OFFSET(Roster!$A$3,MATCH(表格1[[#This Row],[Location]]&amp;" "&amp;表格1[[#This Row],[Shop]]&amp;"*",Roster!$A$4:$A$72,0),DAY(表格1[[#This Row],[date]]),1,1)</f>
        <v>Jessica</v>
      </c>
      <c r="E4009" s="86">
        <f>MONTH(表格1[[#This Row],[date]])</f>
        <v>3</v>
      </c>
      <c r="F4009" s="90">
        <v>46088</v>
      </c>
      <c r="G4009" s="86" t="str">
        <f>VLOOKUP("*"&amp;表格1[[#This Row],[Input]]&amp;"*",'Ref-List'!$B:$D,2,)</f>
        <v>RC-15ISTHK(W)</v>
      </c>
      <c r="H4009" s="86" t="str">
        <f>_xlfn.XLOOKUP(表格1[[#This Row],[Model]],表格3[Model-Input-Ref2],表格3[Product Line])</f>
        <v>磁應電飯煲(1.5公升)</v>
      </c>
      <c r="I4009" s="86" t="str">
        <f>_xlfn.XLOOKUP(表格1[[#This Row],[Model]],表格3[Model-Input-Ref2],表格3[大小電])</f>
        <v>細電</v>
      </c>
      <c r="J4009" s="86" t="str">
        <f>_xlfn.XLOOKUP(表格1[[#This Row],[Model]],表格3[Model-Input-Ref2],表格3[Code])</f>
        <v>SDA</v>
      </c>
      <c r="K4009" s="89" t="s">
        <v>1204</v>
      </c>
      <c r="L4009" s="86">
        <v>1</v>
      </c>
      <c r="M4009" s="87">
        <v>500</v>
      </c>
      <c r="N4009" s="87">
        <f>IFERROR(表格1[[#This Row],[QTY]]*表格1[[#This Row],[Unit Price]],"-")</f>
        <v>500</v>
      </c>
      <c r="R4009" s="86" t="str">
        <f>_xlfn.CONCAT(表格1[[#This Row],[Model]]," ",表格1[[#This Row],[inv no]])</f>
        <v xml:space="preserve">RC-15ISTHK(W) </v>
      </c>
      <c r="S4009" s="86">
        <f>_xlfn.XLOOKUP(表格1[[#This Row],[Model]],表格3[Model-Input-Ref2],表格3[SRP PRICE])</f>
        <v>1688</v>
      </c>
      <c r="T4009" s="43">
        <f>表格1[[#This Row],[Unit Price]]/表格1[[#This Row],[SRP]]</f>
        <v>0.29620853080568721</v>
      </c>
      <c r="U4009" s="86" t="str">
        <f>_xlfn.XLOOKUP(表格1[[#This Row],[Model]],表格3[Model-Input-Ref2],表格3[TOSHIBA/HIGHEST])</f>
        <v>Toshiba SRP</v>
      </c>
      <c r="W4009" s="86" t="str">
        <f>_xlfn.CONCAT(表格1[[#This Row],[欄4]],表格1[[#This Row],[inv no]])</f>
        <v/>
      </c>
    </row>
    <row r="4010" spans="1:23" hidden="1">
      <c r="A4010" s="81">
        <v>4008</v>
      </c>
      <c r="B4010" s="86" t="s">
        <v>1203</v>
      </c>
      <c r="C4010" s="86" t="s">
        <v>1977</v>
      </c>
      <c r="D4010" s="89" t="str">
        <f ca="1">OFFSET(Roster!$A$3,MATCH(表格1[[#This Row],[Location]]&amp;" "&amp;表格1[[#This Row],[Shop]]&amp;"*",Roster!$A$4:$A$72,0),DAY(表格1[[#This Row],[date]]),1,1)</f>
        <v>Jessica</v>
      </c>
      <c r="E4010" s="86">
        <f>MONTH(表格1[[#This Row],[date]])</f>
        <v>3</v>
      </c>
      <c r="F4010" s="90">
        <v>46088</v>
      </c>
      <c r="G4010" s="86" t="str">
        <f>VLOOKUP("*"&amp;表格1[[#This Row],[Input]]&amp;"*",'Ref-List'!$B:$D,2,)</f>
        <v>TL-MC35Z</v>
      </c>
      <c r="H4010" s="86" t="str">
        <f>_xlfn.XLOOKUP(表格1[[#This Row],[Model]],表格3[Model-Input-Ref2],表格3[Product Line])</f>
        <v>35L多功能電焗爐</v>
      </c>
      <c r="I4010" s="86" t="str">
        <f>_xlfn.XLOOKUP(表格1[[#This Row],[Model]],表格3[Model-Input-Ref2],表格3[大小電])</f>
        <v>細電</v>
      </c>
      <c r="J4010" s="86" t="str">
        <f>_xlfn.XLOOKUP(表格1[[#This Row],[Model]],表格3[Model-Input-Ref2],表格3[Code])</f>
        <v>SDA</v>
      </c>
      <c r="K4010" s="89" t="s">
        <v>1295</v>
      </c>
      <c r="L4010" s="86">
        <v>1</v>
      </c>
      <c r="M4010" s="87">
        <v>890</v>
      </c>
      <c r="N4010" s="87">
        <f>IFERROR(表格1[[#This Row],[QTY]]*表格1[[#This Row],[Unit Price]],"-")</f>
        <v>890</v>
      </c>
      <c r="R4010" s="86" t="str">
        <f>_xlfn.CONCAT(表格1[[#This Row],[Model]]," ",表格1[[#This Row],[inv no]])</f>
        <v xml:space="preserve">TL-MC35Z </v>
      </c>
      <c r="S4010" s="86">
        <f>_xlfn.XLOOKUP(表格1[[#This Row],[Model]],表格3[Model-Input-Ref2],表格3[SRP PRICE])</f>
        <v>1098</v>
      </c>
      <c r="T4010" s="43">
        <f>表格1[[#This Row],[Unit Price]]/表格1[[#This Row],[SRP]]</f>
        <v>0.81056466302367947</v>
      </c>
      <c r="U4010" s="86" t="str">
        <f>_xlfn.XLOOKUP(表格1[[#This Row],[Model]],表格3[Model-Input-Ref2],表格3[TOSHIBA/HIGHEST])</f>
        <v>Toshiba SRP</v>
      </c>
      <c r="W4010" s="86" t="str">
        <f>_xlfn.CONCAT(表格1[[#This Row],[欄4]],表格1[[#This Row],[inv no]])</f>
        <v/>
      </c>
    </row>
    <row r="4011" spans="1:23" hidden="1">
      <c r="A4011" s="81">
        <v>4009</v>
      </c>
      <c r="B4011" s="86" t="s">
        <v>1203</v>
      </c>
      <c r="C4011" s="86" t="s">
        <v>1977</v>
      </c>
      <c r="D4011" s="89" t="str">
        <f ca="1">OFFSET(Roster!$A$3,MATCH(表格1[[#This Row],[Location]]&amp;" "&amp;表格1[[#This Row],[Shop]]&amp;"*",Roster!$A$4:$A$72,0),DAY(表格1[[#This Row],[date]]),1,1)</f>
        <v>Jessica</v>
      </c>
      <c r="E4011" s="86">
        <f>MONTH(表格1[[#This Row],[date]])</f>
        <v>3</v>
      </c>
      <c r="F4011" s="90">
        <v>46088</v>
      </c>
      <c r="G4011" s="86" t="str">
        <f>VLOOKUP("*"&amp;表格1[[#This Row],[Input]]&amp;"*",'Ref-List'!$B:$D,2,)</f>
        <v>ER-TD5000HK(XK)</v>
      </c>
      <c r="H4011" s="86" t="str">
        <f>_xlfn.XLOOKUP(表格1[[#This Row],[Model]],表格3[Model-Input-Ref2],表格3[Product Line])</f>
        <v>座檯式純蒸氣烤焗水波爐30L</v>
      </c>
      <c r="I4011" s="86" t="str">
        <f>_xlfn.XLOOKUP(表格1[[#This Row],[Model]],表格3[Model-Input-Ref2],表格3[大小電])</f>
        <v>細電</v>
      </c>
      <c r="J4011" s="86" t="str">
        <f>_xlfn.XLOOKUP(表格1[[#This Row],[Model]],表格3[Model-Input-Ref2],表格3[Code])</f>
        <v>SDA</v>
      </c>
      <c r="K4011" s="89" t="s">
        <v>1205</v>
      </c>
      <c r="L4011" s="86">
        <v>1</v>
      </c>
      <c r="M4011" s="87">
        <v>3588</v>
      </c>
      <c r="N4011" s="87">
        <f>IFERROR(表格1[[#This Row],[QTY]]*表格1[[#This Row],[Unit Price]],"-")</f>
        <v>3588</v>
      </c>
      <c r="R4011" s="86" t="str">
        <f>_xlfn.CONCAT(表格1[[#This Row],[Model]]," ",表格1[[#This Row],[inv no]])</f>
        <v xml:space="preserve">ER-TD5000HK(XK) </v>
      </c>
      <c r="S4011" s="86">
        <f>_xlfn.XLOOKUP(表格1[[#This Row],[Model]],表格3[Model-Input-Ref2],表格3[SRP PRICE])</f>
        <v>7998</v>
      </c>
      <c r="T4011" s="43">
        <f>表格1[[#This Row],[Unit Price]]/表格1[[#This Row],[SRP]]</f>
        <v>0.44861215303825958</v>
      </c>
      <c r="U4011" s="86" t="str">
        <f>_xlfn.XLOOKUP(表格1[[#This Row],[Model]],表格3[Model-Input-Ref2],表格3[TOSHIBA/HIGHEST])</f>
        <v>Toshiba SRP</v>
      </c>
      <c r="W4011" s="86" t="str">
        <f>_xlfn.CONCAT(表格1[[#This Row],[欄4]],表格1[[#This Row],[inv no]])</f>
        <v/>
      </c>
    </row>
    <row r="4012" spans="1:23" hidden="1">
      <c r="A4012" s="81">
        <v>4010</v>
      </c>
      <c r="B4012" s="86" t="s">
        <v>1203</v>
      </c>
      <c r="C4012" s="86" t="s">
        <v>1977</v>
      </c>
      <c r="D4012" s="89" t="str">
        <f ca="1">OFFSET(Roster!$A$3,MATCH(表格1[[#This Row],[Location]]&amp;" "&amp;表格1[[#This Row],[Shop]]&amp;"*",Roster!$A$4:$A$72,0),DAY(表格1[[#This Row],[date]]),1,1)</f>
        <v>Jessica</v>
      </c>
      <c r="E4012" s="86">
        <f>MONTH(表格1[[#This Row],[date]])</f>
        <v>3</v>
      </c>
      <c r="F4012" s="90">
        <v>46088</v>
      </c>
      <c r="G4012" s="86" t="str">
        <f>VLOOKUP("*"&amp;表格1[[#This Row],[Input]]&amp;"*",'Ref-List'!$B:$D,2,)</f>
        <v>DWS-34AHK</v>
      </c>
      <c r="H4012" s="86" t="str">
        <f>_xlfn.XLOOKUP(表格1[[#This Row],[Model]],表格3[Model-Input-Ref2],表格3[Product Line])</f>
        <v>獨立式免安裝洗碗碟機</v>
      </c>
      <c r="I4012" s="86" t="str">
        <f>_xlfn.XLOOKUP(表格1[[#This Row],[Model]],表格3[Model-Input-Ref2],表格3[大小電])</f>
        <v>細電</v>
      </c>
      <c r="J4012" s="86" t="str">
        <f>_xlfn.XLOOKUP(表格1[[#This Row],[Model]],表格3[Model-Input-Ref2],表格3[Code])</f>
        <v>DM</v>
      </c>
      <c r="K4012" s="89" t="s">
        <v>1240</v>
      </c>
      <c r="L4012" s="86">
        <v>1</v>
      </c>
      <c r="M4012" s="87">
        <v>1500</v>
      </c>
      <c r="N4012" s="87">
        <f>IFERROR(表格1[[#This Row],[QTY]]*表格1[[#This Row],[Unit Price]],"-")</f>
        <v>1500</v>
      </c>
      <c r="R4012" s="86" t="str">
        <f>_xlfn.CONCAT(表格1[[#This Row],[Model]]," ",表格1[[#This Row],[inv no]])</f>
        <v xml:space="preserve">DWS-34AHK </v>
      </c>
      <c r="S4012" s="86">
        <f>_xlfn.XLOOKUP(表格1[[#This Row],[Model]],表格3[Model-Input-Ref2],表格3[SRP PRICE])</f>
        <v>3999</v>
      </c>
      <c r="T4012" s="43">
        <f>表格1[[#This Row],[Unit Price]]/表格1[[#This Row],[SRP]]</f>
        <v>0.37509377344336087</v>
      </c>
      <c r="U4012" s="86" t="str">
        <f>_xlfn.XLOOKUP(表格1[[#This Row],[Model]],表格3[Model-Input-Ref2],表格3[TOSHIBA/HIGHEST])</f>
        <v>Web SRP</v>
      </c>
      <c r="W4012" s="86" t="str">
        <f>_xlfn.CONCAT(表格1[[#This Row],[欄4]],表格1[[#This Row],[inv no]])</f>
        <v/>
      </c>
    </row>
    <row r="4013" spans="1:23" hidden="1">
      <c r="A4013" s="81">
        <v>4011</v>
      </c>
      <c r="B4013" s="86" t="s">
        <v>1203</v>
      </c>
      <c r="C4013" s="86" t="s">
        <v>1977</v>
      </c>
      <c r="D4013" s="89" t="str">
        <f ca="1">OFFSET(Roster!$A$3,MATCH(表格1[[#This Row],[Location]]&amp;" "&amp;表格1[[#This Row],[Shop]]&amp;"*",Roster!$A$4:$A$72,0),DAY(表格1[[#This Row],[date]]),1,1)</f>
        <v>Jessica</v>
      </c>
      <c r="E4013" s="86">
        <f>MONTH(表格1[[#This Row],[date]])</f>
        <v>3</v>
      </c>
      <c r="F4013" s="90">
        <v>46088</v>
      </c>
      <c r="G4013" s="86" t="str">
        <f>VLOOKUP("*"&amp;表格1[[#This Row],[Input]]&amp;"*",'Ref-List'!$B:$D,2,)</f>
        <v>AW-M901BPH(WW)</v>
      </c>
      <c r="H4013" s="86" t="str">
        <f>_xlfn.XLOOKUP(表格1[[#This Row],[Model]],表格3[Model-Input-Ref2],表格3[Product Line])</f>
        <v>全自動洗衣機 (8公斤 結合高低水位)</v>
      </c>
      <c r="I4013" s="86" t="str">
        <f>_xlfn.XLOOKUP(表格1[[#This Row],[Model]],表格3[Model-Input-Ref2],表格3[大小電])</f>
        <v>大電</v>
      </c>
      <c r="J4013" s="86" t="str">
        <f>_xlfn.XLOOKUP(表格1[[#This Row],[Model]],表格3[Model-Input-Ref2],表格3[Code])</f>
        <v>WM</v>
      </c>
      <c r="K4013" s="89" t="s">
        <v>1202</v>
      </c>
      <c r="L4013" s="86">
        <v>1</v>
      </c>
      <c r="M4013" s="87">
        <v>1500</v>
      </c>
      <c r="N4013" s="87">
        <f>IFERROR(表格1[[#This Row],[QTY]]*表格1[[#This Row],[Unit Price]],"-")</f>
        <v>1500</v>
      </c>
      <c r="R4013" s="86" t="str">
        <f>_xlfn.CONCAT(表格1[[#This Row],[Model]]," ",表格1[[#This Row],[inv no]])</f>
        <v xml:space="preserve">AW-M901BPH(WW) </v>
      </c>
      <c r="S4013" s="86">
        <f>_xlfn.XLOOKUP(表格1[[#This Row],[Model]],表格3[Model-Input-Ref2],表格3[SRP PRICE])</f>
        <v>3580</v>
      </c>
      <c r="T4013" s="43">
        <f>表格1[[#This Row],[Unit Price]]/表格1[[#This Row],[SRP]]</f>
        <v>0.41899441340782123</v>
      </c>
      <c r="U4013" s="86" t="str">
        <f>_xlfn.XLOOKUP(表格1[[#This Row],[Model]],表格3[Model-Input-Ref2],表格3[TOSHIBA/HIGHEST])</f>
        <v>Toshiba SRP</v>
      </c>
      <c r="W4013" s="86" t="str">
        <f>_xlfn.CONCAT(表格1[[#This Row],[欄4]],表格1[[#This Row],[inv no]])</f>
        <v/>
      </c>
    </row>
    <row r="4014" spans="1:23" hidden="1">
      <c r="A4014" s="81">
        <v>4012</v>
      </c>
      <c r="B4014" s="86" t="s">
        <v>1203</v>
      </c>
      <c r="C4014" s="86" t="s">
        <v>1977</v>
      </c>
      <c r="D4014" s="89" t="str">
        <f ca="1">OFFSET(Roster!$A$3,MATCH(表格1[[#This Row],[Location]]&amp;" "&amp;表格1[[#This Row],[Shop]]&amp;"*",Roster!$A$4:$A$72,0),DAY(表格1[[#This Row],[date]]),1,1)</f>
        <v>Jessica</v>
      </c>
      <c r="E4014" s="86">
        <f>MONTH(表格1[[#This Row],[date]])</f>
        <v>3</v>
      </c>
      <c r="F4014" s="90">
        <v>46088</v>
      </c>
      <c r="G4014" s="86" t="str">
        <f>VLOOKUP("*"&amp;表格1[[#This Row],[Input]]&amp;"*",'Ref-List'!$B:$D,2,)</f>
        <v>IC-21TSHK</v>
      </c>
      <c r="H4014" s="86" t="str">
        <f>_xlfn.XLOOKUP(表格1[[#This Row],[Model]],表格3[Model-Input-Ref2],表格3[Product Line])</f>
        <v>Induction Cooker</v>
      </c>
      <c r="I4014" s="86" t="str">
        <f>_xlfn.XLOOKUP(表格1[[#This Row],[Model]],表格3[Model-Input-Ref2],表格3[大小電])</f>
        <v>細電</v>
      </c>
      <c r="J4014" s="86" t="str">
        <f>_xlfn.XLOOKUP(表格1[[#This Row],[Model]],表格3[Model-Input-Ref2],表格3[Code])</f>
        <v>SDA</v>
      </c>
      <c r="K4014" s="89" t="s">
        <v>1242</v>
      </c>
      <c r="L4014" s="86">
        <v>4</v>
      </c>
      <c r="M4014" s="87">
        <v>500</v>
      </c>
      <c r="N4014" s="87">
        <f>IFERROR(表格1[[#This Row],[QTY]]*表格1[[#This Row],[Unit Price]],"-")</f>
        <v>2000</v>
      </c>
      <c r="R4014" s="86" t="str">
        <f>_xlfn.CONCAT(表格1[[#This Row],[Model]]," ",表格1[[#This Row],[inv no]])</f>
        <v xml:space="preserve">IC-21TSHK </v>
      </c>
      <c r="S4014" s="86">
        <f>_xlfn.XLOOKUP(表格1[[#This Row],[Model]],表格3[Model-Input-Ref2],表格3[SRP PRICE])</f>
        <v>998</v>
      </c>
      <c r="T4014" s="43">
        <f>表格1[[#This Row],[Unit Price]]/表格1[[#This Row],[SRP]]</f>
        <v>0.50100200400801598</v>
      </c>
      <c r="U4014" s="86" t="str">
        <f>_xlfn.XLOOKUP(表格1[[#This Row],[Model]],表格3[Model-Input-Ref2],表格3[TOSHIBA/HIGHEST])</f>
        <v>web SRP</v>
      </c>
      <c r="W4014" s="86" t="str">
        <f>_xlfn.CONCAT(表格1[[#This Row],[欄4]],表格1[[#This Row],[inv no]])</f>
        <v/>
      </c>
    </row>
    <row r="4015" spans="1:23" hidden="1">
      <c r="A4015" s="81">
        <v>4013</v>
      </c>
      <c r="B4015" s="86" t="s">
        <v>1203</v>
      </c>
      <c r="C4015" s="86" t="s">
        <v>1977</v>
      </c>
      <c r="D4015" s="89" t="str">
        <f ca="1">OFFSET(Roster!$A$3,MATCH(表格1[[#This Row],[Location]]&amp;" "&amp;表格1[[#This Row],[Shop]]&amp;"*",Roster!$A$4:$A$72,0),DAY(表格1[[#This Row],[date]]),1,1)</f>
        <v>Jessica</v>
      </c>
      <c r="E4015" s="86">
        <f>MONTH(表格1[[#This Row],[date]])</f>
        <v>3</v>
      </c>
      <c r="F4015" s="90">
        <v>46088</v>
      </c>
      <c r="G4015" s="86" t="str">
        <f>VLOOKUP("*"&amp;表格1[[#This Row],[Input]]&amp;"*",'Ref-List'!$B:$D,2,)</f>
        <v>RC-15ISTHK(W)</v>
      </c>
      <c r="H4015" s="86" t="str">
        <f>_xlfn.XLOOKUP(表格1[[#This Row],[Model]],表格3[Model-Input-Ref2],表格3[Product Line])</f>
        <v>磁應電飯煲(1.5公升)</v>
      </c>
      <c r="I4015" s="86" t="str">
        <f>_xlfn.XLOOKUP(表格1[[#This Row],[Model]],表格3[Model-Input-Ref2],表格3[大小電])</f>
        <v>細電</v>
      </c>
      <c r="J4015" s="86" t="str">
        <f>_xlfn.XLOOKUP(表格1[[#This Row],[Model]],表格3[Model-Input-Ref2],表格3[Code])</f>
        <v>SDA</v>
      </c>
      <c r="K4015" s="89" t="s">
        <v>1204</v>
      </c>
      <c r="L4015" s="86">
        <v>3</v>
      </c>
      <c r="M4015" s="87">
        <v>500</v>
      </c>
      <c r="N4015" s="87">
        <f>IFERROR(表格1[[#This Row],[QTY]]*表格1[[#This Row],[Unit Price]],"-")</f>
        <v>1500</v>
      </c>
      <c r="R4015" s="86" t="str">
        <f>_xlfn.CONCAT(表格1[[#This Row],[Model]]," ",表格1[[#This Row],[inv no]])</f>
        <v xml:space="preserve">RC-15ISTHK(W) </v>
      </c>
      <c r="S4015" s="86">
        <f>_xlfn.XLOOKUP(表格1[[#This Row],[Model]],表格3[Model-Input-Ref2],表格3[SRP PRICE])</f>
        <v>1688</v>
      </c>
      <c r="T4015" s="43">
        <f>表格1[[#This Row],[Unit Price]]/表格1[[#This Row],[SRP]]</f>
        <v>0.29620853080568721</v>
      </c>
      <c r="U4015" s="86" t="str">
        <f>_xlfn.XLOOKUP(表格1[[#This Row],[Model]],表格3[Model-Input-Ref2],表格3[TOSHIBA/HIGHEST])</f>
        <v>Toshiba SRP</v>
      </c>
      <c r="W4015" s="86" t="str">
        <f>_xlfn.CONCAT(表格1[[#This Row],[欄4]],表格1[[#This Row],[inv no]])</f>
        <v/>
      </c>
    </row>
    <row r="4016" spans="1:23" hidden="1">
      <c r="A4016" s="81">
        <v>4014</v>
      </c>
      <c r="B4016" s="86" t="s">
        <v>1203</v>
      </c>
      <c r="C4016" s="86" t="s">
        <v>1977</v>
      </c>
      <c r="D4016" s="89" t="str">
        <f ca="1">OFFSET(Roster!$A$3,MATCH(表格1[[#This Row],[Location]]&amp;" "&amp;表格1[[#This Row],[Shop]]&amp;"*",Roster!$A$4:$A$72,0),DAY(表格1[[#This Row],[date]]),1,1)</f>
        <v>Jessica</v>
      </c>
      <c r="E4016" s="86">
        <f>MONTH(表格1[[#This Row],[date]])</f>
        <v>3</v>
      </c>
      <c r="F4016" s="90">
        <v>46089</v>
      </c>
      <c r="G4016" s="86" t="str">
        <f>VLOOKUP("*"&amp;表格1[[#This Row],[Input]]&amp;"*",'Ref-List'!$B:$D,2,)</f>
        <v>KT-17SHNH</v>
      </c>
      <c r="H4016" s="86" t="str">
        <f>_xlfn.XLOOKUP(表格1[[#This Row],[Model]],表格3[Model-Input-Ref2],表格3[Product Line])</f>
        <v>1.7L無線雙層電熱水壺</v>
      </c>
      <c r="I4016" s="86" t="str">
        <f>_xlfn.XLOOKUP(表格1[[#This Row],[Model]],表格3[Model-Input-Ref2],表格3[大小電])</f>
        <v>細電</v>
      </c>
      <c r="J4016" s="86" t="str">
        <f>_xlfn.XLOOKUP(表格1[[#This Row],[Model]],表格3[Model-Input-Ref2],表格3[Code])</f>
        <v>SDA</v>
      </c>
      <c r="K4016" s="89" t="s">
        <v>1283</v>
      </c>
      <c r="L4016" s="86">
        <v>1</v>
      </c>
      <c r="M4016" s="87">
        <v>190</v>
      </c>
      <c r="N4016" s="87">
        <f>IFERROR(表格1[[#This Row],[QTY]]*表格1[[#This Row],[Unit Price]],"-")</f>
        <v>190</v>
      </c>
      <c r="R4016" s="86" t="str">
        <f>_xlfn.CONCAT(表格1[[#This Row],[Model]]," ",表格1[[#This Row],[inv no]])</f>
        <v xml:space="preserve">KT-17SHNH </v>
      </c>
      <c r="S4016" s="86">
        <f>_xlfn.XLOOKUP(表格1[[#This Row],[Model]],表格3[Model-Input-Ref2],表格3[SRP PRICE])</f>
        <v>299</v>
      </c>
      <c r="T4016" s="43">
        <f>表格1[[#This Row],[Unit Price]]/表格1[[#This Row],[SRP]]</f>
        <v>0.63545150501672243</v>
      </c>
      <c r="U4016" s="86" t="str">
        <f>_xlfn.XLOOKUP(表格1[[#This Row],[Model]],表格3[Model-Input-Ref2],表格3[TOSHIBA/HIGHEST])</f>
        <v>Shops Highest Price</v>
      </c>
      <c r="W4016" s="86" t="str">
        <f>_xlfn.CONCAT(表格1[[#This Row],[欄4]],表格1[[#This Row],[inv no]])</f>
        <v/>
      </c>
    </row>
    <row r="4017" spans="1:23" hidden="1">
      <c r="A4017" s="81">
        <v>4015</v>
      </c>
      <c r="B4017" s="86" t="s">
        <v>1203</v>
      </c>
      <c r="C4017" s="86" t="s">
        <v>1977</v>
      </c>
      <c r="D4017" s="89" t="str">
        <f ca="1">OFFSET(Roster!$A$3,MATCH(表格1[[#This Row],[Location]]&amp;" "&amp;表格1[[#This Row],[Shop]]&amp;"*",Roster!$A$4:$A$72,0),DAY(表格1[[#This Row],[date]]),1,1)</f>
        <v>Jessica</v>
      </c>
      <c r="E4017" s="86">
        <f>MONTH(表格1[[#This Row],[date]])</f>
        <v>3</v>
      </c>
      <c r="F4017" s="90">
        <v>46089</v>
      </c>
      <c r="G4017" s="86" t="str">
        <f>VLOOKUP("*"&amp;表格1[[#This Row],[Input]]&amp;"*",'Ref-List'!$B:$D,2,)</f>
        <v>RC-5MMIH(WT)</v>
      </c>
      <c r="H4017" s="86" t="str">
        <f>_xlfn.XLOOKUP(表格1[[#This Row],[Model]],表格3[Model-Input-Ref2],表格3[Product Line])</f>
        <v>4毫米厚釜電飯煲0.54L</v>
      </c>
      <c r="I4017" s="86" t="str">
        <f>_xlfn.XLOOKUP(表格1[[#This Row],[Model]],表格3[Model-Input-Ref2],表格3[大小電])</f>
        <v>細電</v>
      </c>
      <c r="J4017" s="86" t="str">
        <f>_xlfn.XLOOKUP(表格1[[#This Row],[Model]],表格3[Model-Input-Ref2],表格3[Code])</f>
        <v>SDA</v>
      </c>
      <c r="K4017" s="89" t="s">
        <v>1195</v>
      </c>
      <c r="L4017" s="86">
        <v>1</v>
      </c>
      <c r="M4017" s="87">
        <v>465.5</v>
      </c>
      <c r="N4017" s="87">
        <f>IFERROR(表格1[[#This Row],[QTY]]*表格1[[#This Row],[Unit Price]],"-")</f>
        <v>465.5</v>
      </c>
      <c r="R4017" s="86" t="str">
        <f>_xlfn.CONCAT(表格1[[#This Row],[Model]]," ",表格1[[#This Row],[inv no]])</f>
        <v xml:space="preserve">RC-5MMIH(WT) </v>
      </c>
      <c r="S4017" s="86">
        <f>_xlfn.XLOOKUP(表格1[[#This Row],[Model]],表格3[Model-Input-Ref2],表格3[SRP PRICE])</f>
        <v>618</v>
      </c>
      <c r="T4017" s="43">
        <f>表格1[[#This Row],[Unit Price]]/表格1[[#This Row],[SRP]]</f>
        <v>0.75323624595469252</v>
      </c>
      <c r="U4017" s="86" t="str">
        <f>_xlfn.XLOOKUP(表格1[[#This Row],[Model]],表格3[Model-Input-Ref2],表格3[TOSHIBA/HIGHEST])</f>
        <v>Toshiba SRP</v>
      </c>
      <c r="W4017" s="86" t="str">
        <f>_xlfn.CONCAT(表格1[[#This Row],[欄4]],表格1[[#This Row],[inv no]])</f>
        <v/>
      </c>
    </row>
    <row r="4018" spans="1:23" hidden="1">
      <c r="A4018" s="81">
        <v>4016</v>
      </c>
      <c r="B4018" s="86" t="s">
        <v>1203</v>
      </c>
      <c r="C4018" s="86" t="s">
        <v>1977</v>
      </c>
      <c r="D4018" s="89" t="str">
        <f ca="1">OFFSET(Roster!$A$3,MATCH(表格1[[#This Row],[Location]]&amp;" "&amp;表格1[[#This Row],[Shop]]&amp;"*",Roster!$A$4:$A$72,0),DAY(表格1[[#This Row],[date]]),1,1)</f>
        <v>Jessica</v>
      </c>
      <c r="E4018" s="86">
        <f>MONTH(表格1[[#This Row],[date]])</f>
        <v>3</v>
      </c>
      <c r="F4018" s="90">
        <v>46089</v>
      </c>
      <c r="G4018" s="86" t="str">
        <f>VLOOKUP("*"&amp;表格1[[#This Row],[Input]]&amp;"*",'Ref-List'!$B:$D,2,)</f>
        <v>MW2-MM24PC(BK)</v>
      </c>
      <c r="H4018" s="86" t="str">
        <f>_xlfn.XLOOKUP(表格1[[#This Row],[Model]],表格3[Model-Input-Ref2],表格3[Product Line])</f>
        <v>旋鈕式微波爐24L</v>
      </c>
      <c r="I4018" s="86" t="str">
        <f>_xlfn.XLOOKUP(表格1[[#This Row],[Model]],表格3[Model-Input-Ref2],表格3[大小電])</f>
        <v>細電</v>
      </c>
      <c r="J4018" s="86" t="str">
        <f>_xlfn.XLOOKUP(表格1[[#This Row],[Model]],表格3[Model-Input-Ref2],表格3[Code])</f>
        <v>SDA</v>
      </c>
      <c r="K4018" s="89" t="s">
        <v>1196</v>
      </c>
      <c r="L4018" s="86">
        <v>2</v>
      </c>
      <c r="M4018" s="87">
        <v>500</v>
      </c>
      <c r="N4018" s="87">
        <f>IFERROR(表格1[[#This Row],[QTY]]*表格1[[#This Row],[Unit Price]],"-")</f>
        <v>1000</v>
      </c>
      <c r="R4018" s="86" t="str">
        <f>_xlfn.CONCAT(表格1[[#This Row],[Model]]," ",表格1[[#This Row],[inv no]])</f>
        <v xml:space="preserve">MW2-MM24PC(BK) </v>
      </c>
      <c r="S4018" s="86">
        <f>_xlfn.XLOOKUP(表格1[[#This Row],[Model]],表格3[Model-Input-Ref2],表格3[SRP PRICE])</f>
        <v>848</v>
      </c>
      <c r="T4018" s="43">
        <f>表格1[[#This Row],[Unit Price]]/表格1[[#This Row],[SRP]]</f>
        <v>0.589622641509434</v>
      </c>
      <c r="U4018" s="86" t="str">
        <f>_xlfn.XLOOKUP(表格1[[#This Row],[Model]],表格3[Model-Input-Ref2],表格3[TOSHIBA/HIGHEST])</f>
        <v>Toshiba SRP</v>
      </c>
      <c r="W4018" s="86" t="str">
        <f>_xlfn.CONCAT(表格1[[#This Row],[欄4]],表格1[[#This Row],[inv no]])</f>
        <v/>
      </c>
    </row>
    <row r="4019" spans="1:23" hidden="1">
      <c r="A4019" s="81">
        <v>4017</v>
      </c>
      <c r="B4019" s="86" t="s">
        <v>1203</v>
      </c>
      <c r="C4019" s="86" t="s">
        <v>1977</v>
      </c>
      <c r="D4019" s="89" t="str">
        <f ca="1">OFFSET(Roster!$A$3,MATCH(表格1[[#This Row],[Location]]&amp;" "&amp;表格1[[#This Row],[Shop]]&amp;"*",Roster!$A$4:$A$72,0),DAY(表格1[[#This Row],[date]]),1,1)</f>
        <v>Jessica</v>
      </c>
      <c r="E4019" s="86">
        <f>MONTH(表格1[[#This Row],[date]])</f>
        <v>3</v>
      </c>
      <c r="F4019" s="90">
        <v>46089</v>
      </c>
      <c r="G4019" s="86" t="str">
        <f>VLOOKUP("*"&amp;表格1[[#This Row],[Input]]&amp;"*",'Ref-List'!$B:$D,2,)</f>
        <v>ER-TD5000HK(XK)</v>
      </c>
      <c r="H4019" s="86" t="str">
        <f>_xlfn.XLOOKUP(表格1[[#This Row],[Model]],表格3[Model-Input-Ref2],表格3[Product Line])</f>
        <v>座檯式純蒸氣烤焗水波爐30L</v>
      </c>
      <c r="I4019" s="86" t="str">
        <f>_xlfn.XLOOKUP(表格1[[#This Row],[Model]],表格3[Model-Input-Ref2],表格3[大小電])</f>
        <v>細電</v>
      </c>
      <c r="J4019" s="86" t="str">
        <f>_xlfn.XLOOKUP(表格1[[#This Row],[Model]],表格3[Model-Input-Ref2],表格3[Code])</f>
        <v>SDA</v>
      </c>
      <c r="K4019" s="89" t="s">
        <v>1205</v>
      </c>
      <c r="L4019" s="86">
        <v>2</v>
      </c>
      <c r="M4019" s="87">
        <v>3588</v>
      </c>
      <c r="N4019" s="87">
        <f>IFERROR(表格1[[#This Row],[QTY]]*表格1[[#This Row],[Unit Price]],"-")</f>
        <v>7176</v>
      </c>
      <c r="R4019" s="86" t="str">
        <f>_xlfn.CONCAT(表格1[[#This Row],[Model]]," ",表格1[[#This Row],[inv no]])</f>
        <v xml:space="preserve">ER-TD5000HK(XK) </v>
      </c>
      <c r="S4019" s="86">
        <f>_xlfn.XLOOKUP(表格1[[#This Row],[Model]],表格3[Model-Input-Ref2],表格3[SRP PRICE])</f>
        <v>7998</v>
      </c>
      <c r="T4019" s="43">
        <f>表格1[[#This Row],[Unit Price]]/表格1[[#This Row],[SRP]]</f>
        <v>0.44861215303825958</v>
      </c>
      <c r="U4019" s="86" t="str">
        <f>_xlfn.XLOOKUP(表格1[[#This Row],[Model]],表格3[Model-Input-Ref2],表格3[TOSHIBA/HIGHEST])</f>
        <v>Toshiba SRP</v>
      </c>
      <c r="W4019" s="86" t="str">
        <f>_xlfn.CONCAT(表格1[[#This Row],[欄4]],表格1[[#This Row],[inv no]])</f>
        <v/>
      </c>
    </row>
    <row r="4020" spans="1:23" hidden="1">
      <c r="A4020" s="81">
        <v>4018</v>
      </c>
      <c r="B4020" s="86" t="s">
        <v>1203</v>
      </c>
      <c r="C4020" s="86" t="s">
        <v>1977</v>
      </c>
      <c r="D4020" s="89" t="str">
        <f ca="1">OFFSET(Roster!$A$3,MATCH(表格1[[#This Row],[Location]]&amp;" "&amp;表格1[[#This Row],[Shop]]&amp;"*",Roster!$A$4:$A$72,0),DAY(表格1[[#This Row],[date]]),1,1)</f>
        <v>Jessica</v>
      </c>
      <c r="E4020" s="86">
        <f>MONTH(表格1[[#This Row],[date]])</f>
        <v>3</v>
      </c>
      <c r="F4020" s="90">
        <v>46089</v>
      </c>
      <c r="G4020" s="86" t="str">
        <f>VLOOKUP("*"&amp;表格1[[#This Row],[Input]]&amp;"*",'Ref-List'!$B:$D,2,)</f>
        <v>TWD-BN90GF4H(WK)</v>
      </c>
      <c r="H4020" s="86" t="str">
        <f>_xlfn.XLOOKUP(表格1[[#This Row],[Model]],表格3[Model-Input-Ref2],表格3[Product Line])</f>
        <v>超薄身前置式洗衣乾衣機 (洗8公斤 乾5公斤)</v>
      </c>
      <c r="I4020" s="86" t="str">
        <f>_xlfn.XLOOKUP(表格1[[#This Row],[Model]],表格3[Model-Input-Ref2],表格3[大小電])</f>
        <v>大電</v>
      </c>
      <c r="J4020" s="86" t="str">
        <f>_xlfn.XLOOKUP(表格1[[#This Row],[Model]],表格3[Model-Input-Ref2],表格3[Code])</f>
        <v>WM</v>
      </c>
      <c r="K4020" s="89" t="s">
        <v>1199</v>
      </c>
      <c r="L4020" s="86">
        <v>1</v>
      </c>
      <c r="M4020" s="87">
        <v>3588</v>
      </c>
      <c r="N4020" s="87">
        <f>IFERROR(表格1[[#This Row],[QTY]]*表格1[[#This Row],[Unit Price]],"-")</f>
        <v>3588</v>
      </c>
      <c r="R4020" s="86" t="str">
        <f>_xlfn.CONCAT(表格1[[#This Row],[Model]]," ",表格1[[#This Row],[inv no]])</f>
        <v xml:space="preserve">TWD-BN90GF4H(WK) </v>
      </c>
      <c r="S4020" s="86">
        <f>_xlfn.XLOOKUP(表格1[[#This Row],[Model]],表格3[Model-Input-Ref2],表格3[SRP PRICE])</f>
        <v>5980</v>
      </c>
      <c r="T4020" s="43">
        <f>表格1[[#This Row],[Unit Price]]/表格1[[#This Row],[SRP]]</f>
        <v>0.6</v>
      </c>
      <c r="U4020" s="86" t="str">
        <f>_xlfn.XLOOKUP(表格1[[#This Row],[Model]],表格3[Model-Input-Ref2],表格3[TOSHIBA/HIGHEST])</f>
        <v>Toshiba SRP</v>
      </c>
      <c r="W4020" s="86" t="str">
        <f>_xlfn.CONCAT(表格1[[#This Row],[欄4]],表格1[[#This Row],[inv no]])</f>
        <v/>
      </c>
    </row>
    <row r="4021" spans="1:23" hidden="1">
      <c r="A4021" s="81">
        <v>4019</v>
      </c>
      <c r="B4021" s="86" t="s">
        <v>1203</v>
      </c>
      <c r="C4021" s="86" t="s">
        <v>1977</v>
      </c>
      <c r="D4021" s="89" t="str">
        <f ca="1">OFFSET(Roster!$A$3,MATCH(表格1[[#This Row],[Location]]&amp;" "&amp;表格1[[#This Row],[Shop]]&amp;"*",Roster!$A$4:$A$72,0),DAY(表格1[[#This Row],[date]]),1,1)</f>
        <v>Jessica</v>
      </c>
      <c r="E4021" s="86">
        <f>MONTH(表格1[[#This Row],[date]])</f>
        <v>3</v>
      </c>
      <c r="F4021" s="90">
        <v>46089</v>
      </c>
      <c r="G4021" s="86" t="str">
        <f>VLOOKUP("*"&amp;表格1[[#This Row],[Input]]&amp;"*",'Ref-List'!$B:$D,2,)</f>
        <v>KT-17DRTHK(H)</v>
      </c>
      <c r="H4021" s="86" t="str">
        <f>_xlfn.XLOOKUP(表格1[[#This Row],[Model]],表格3[Model-Input-Ref2],表格3[Product Line])</f>
        <v>無線雙層電熱水壺(1.7公升)</v>
      </c>
      <c r="I4021" s="86" t="str">
        <f>_xlfn.XLOOKUP(表格1[[#This Row],[Model]],表格3[Model-Input-Ref2],表格3[大小電])</f>
        <v>細電</v>
      </c>
      <c r="J4021" s="86" t="str">
        <f>_xlfn.XLOOKUP(表格1[[#This Row],[Model]],表格3[Model-Input-Ref2],表格3[Code])</f>
        <v>SDA</v>
      </c>
      <c r="K4021" s="89" t="s">
        <v>1271</v>
      </c>
      <c r="L4021" s="86">
        <v>2</v>
      </c>
      <c r="M4021" s="87">
        <v>350</v>
      </c>
      <c r="N4021" s="87">
        <f>IFERROR(表格1[[#This Row],[QTY]]*表格1[[#This Row],[Unit Price]],"-")</f>
        <v>700</v>
      </c>
      <c r="R4021" s="86" t="str">
        <f>_xlfn.CONCAT(表格1[[#This Row],[Model]]," ",表格1[[#This Row],[inv no]])</f>
        <v xml:space="preserve">KT-17DRTHK(H) </v>
      </c>
      <c r="S4021" s="86">
        <f>_xlfn.XLOOKUP(表格1[[#This Row],[Model]],表格3[Model-Input-Ref2],表格3[SRP PRICE])</f>
        <v>498</v>
      </c>
      <c r="T4021" s="43">
        <f>表格1[[#This Row],[Unit Price]]/表格1[[#This Row],[SRP]]</f>
        <v>0.70281124497991965</v>
      </c>
      <c r="U4021" s="86" t="str">
        <f>_xlfn.XLOOKUP(表格1[[#This Row],[Model]],表格3[Model-Input-Ref2],表格3[TOSHIBA/HIGHEST])</f>
        <v>Toshiba SRP</v>
      </c>
      <c r="W4021" s="86" t="str">
        <f>_xlfn.CONCAT(表格1[[#This Row],[欄4]],表格1[[#This Row],[inv no]])</f>
        <v/>
      </c>
    </row>
    <row r="4022" spans="1:23" hidden="1">
      <c r="A4022" s="81">
        <v>4020</v>
      </c>
      <c r="B4022" s="86" t="s">
        <v>1203</v>
      </c>
      <c r="C4022" s="86" t="s">
        <v>1977</v>
      </c>
      <c r="D4022" s="89" t="str">
        <f ca="1">OFFSET(Roster!$A$3,MATCH(表格1[[#This Row],[Location]]&amp;" "&amp;表格1[[#This Row],[Shop]]&amp;"*",Roster!$A$4:$A$72,0),DAY(表格1[[#This Row],[date]]),1,1)</f>
        <v>Jessica</v>
      </c>
      <c r="E4022" s="86">
        <f>MONTH(表格1[[#This Row],[date]])</f>
        <v>3</v>
      </c>
      <c r="F4022" s="90">
        <v>46089</v>
      </c>
      <c r="G4022" s="86" t="str">
        <f>VLOOKUP("*"&amp;表格1[[#This Row],[Input]]&amp;"*",'Ref-List'!$B:$D,2,)</f>
        <v>IC-20R1THK</v>
      </c>
      <c r="H4022" s="86" t="str">
        <f>_xlfn.XLOOKUP(表格1[[#This Row],[Model]],表格3[Model-Input-Ref2],表格3[Product Line])</f>
        <v>輕便式電磁爐</v>
      </c>
      <c r="I4022" s="86" t="str">
        <f>_xlfn.XLOOKUP(表格1[[#This Row],[Model]],表格3[Model-Input-Ref2],表格3[大小電])</f>
        <v>細電</v>
      </c>
      <c r="J4022" s="86" t="str">
        <f>_xlfn.XLOOKUP(表格1[[#This Row],[Model]],表格3[Model-Input-Ref2],表格3[Code])</f>
        <v>SDA</v>
      </c>
      <c r="K4022" s="89" t="s">
        <v>1243</v>
      </c>
      <c r="L4022" s="86">
        <v>1</v>
      </c>
      <c r="M4022" s="87">
        <v>290</v>
      </c>
      <c r="N4022" s="87">
        <f>IFERROR(表格1[[#This Row],[QTY]]*表格1[[#This Row],[Unit Price]],"-")</f>
        <v>290</v>
      </c>
      <c r="R4022" s="86" t="str">
        <f>_xlfn.CONCAT(表格1[[#This Row],[Model]]," ",表格1[[#This Row],[inv no]])</f>
        <v xml:space="preserve">IC-20R1THK </v>
      </c>
      <c r="S4022" s="86">
        <f>_xlfn.XLOOKUP(表格1[[#This Row],[Model]],表格3[Model-Input-Ref2],表格3[SRP PRICE])</f>
        <v>438</v>
      </c>
      <c r="T4022" s="43">
        <f>表格1[[#This Row],[Unit Price]]/表格1[[#This Row],[SRP]]</f>
        <v>0.66210045662100458</v>
      </c>
      <c r="U4022" s="86" t="str">
        <f>_xlfn.XLOOKUP(表格1[[#This Row],[Model]],表格3[Model-Input-Ref2],表格3[TOSHIBA/HIGHEST])</f>
        <v>Shops Highest Price</v>
      </c>
      <c r="W4022" s="86" t="str">
        <f>_xlfn.CONCAT(表格1[[#This Row],[欄4]],表格1[[#This Row],[inv no]])</f>
        <v/>
      </c>
    </row>
    <row r="4023" spans="1:23" hidden="1">
      <c r="A4023" s="81">
        <v>4021</v>
      </c>
      <c r="B4023" s="86" t="s">
        <v>1203</v>
      </c>
      <c r="C4023" s="86" t="s">
        <v>1977</v>
      </c>
      <c r="D4023" s="89" t="str">
        <f ca="1">OFFSET(Roster!$A$3,MATCH(表格1[[#This Row],[Location]]&amp;" "&amp;表格1[[#This Row],[Shop]]&amp;"*",Roster!$A$4:$A$72,0),DAY(表格1[[#This Row],[date]]),1,1)</f>
        <v>Jessica</v>
      </c>
      <c r="E4023" s="86">
        <f>MONTH(表格1[[#This Row],[date]])</f>
        <v>3</v>
      </c>
      <c r="F4023" s="90">
        <v>46089</v>
      </c>
      <c r="G4023" s="86" t="str">
        <f>VLOOKUP("*"&amp;表格1[[#This Row],[Input]]&amp;"*",'Ref-List'!$B:$D,2,)</f>
        <v>TP-25DR2UHK(W)</v>
      </c>
      <c r="H4023" s="86" t="str">
        <f>_xlfn.XLOOKUP(表格1[[#This Row],[Model]],表格3[Model-Input-Ref2],表格3[Product Line])</f>
        <v>電熱水瓶 (2.5公升)</v>
      </c>
      <c r="I4023" s="86" t="str">
        <f>_xlfn.XLOOKUP(表格1[[#This Row],[Model]],表格3[Model-Input-Ref2],表格3[大小電])</f>
        <v>細電</v>
      </c>
      <c r="J4023" s="86" t="str">
        <f>_xlfn.XLOOKUP(表格1[[#This Row],[Model]],表格3[Model-Input-Ref2],表格3[Code])</f>
        <v>SDA</v>
      </c>
      <c r="K4023" s="89" t="s">
        <v>1285</v>
      </c>
      <c r="L4023" s="86">
        <v>1</v>
      </c>
      <c r="M4023" s="87">
        <v>361</v>
      </c>
      <c r="N4023" s="87">
        <f>IFERROR(表格1[[#This Row],[QTY]]*表格1[[#This Row],[Unit Price]],"-")</f>
        <v>361</v>
      </c>
      <c r="R4023" s="86" t="str">
        <f>_xlfn.CONCAT(表格1[[#This Row],[Model]]," ",表格1[[#This Row],[inv no]])</f>
        <v xml:space="preserve">TP-25DR2UHK(W) </v>
      </c>
      <c r="S4023" s="86">
        <f>_xlfn.XLOOKUP(表格1[[#This Row],[Model]],表格3[Model-Input-Ref2],表格3[SRP PRICE])</f>
        <v>538</v>
      </c>
      <c r="T4023" s="43">
        <f>表格1[[#This Row],[Unit Price]]/表格1[[#This Row],[SRP]]</f>
        <v>0.67100371747211895</v>
      </c>
      <c r="U4023" s="86" t="str">
        <f>_xlfn.XLOOKUP(表格1[[#This Row],[Model]],表格3[Model-Input-Ref2],表格3[TOSHIBA/HIGHEST])</f>
        <v>Toshiba SRP</v>
      </c>
      <c r="W4023" s="86" t="str">
        <f>_xlfn.CONCAT(表格1[[#This Row],[欄4]],表格1[[#This Row],[inv no]])</f>
        <v/>
      </c>
    </row>
    <row r="4024" spans="1:23" hidden="1">
      <c r="A4024" s="81">
        <v>4022</v>
      </c>
      <c r="B4024" s="86" t="s">
        <v>1203</v>
      </c>
      <c r="C4024" s="86" t="s">
        <v>1977</v>
      </c>
      <c r="D4024" s="89" t="str">
        <f ca="1">OFFSET(Roster!$A$3,MATCH(表格1[[#This Row],[Location]]&amp;" "&amp;表格1[[#This Row],[Shop]]&amp;"*",Roster!$A$4:$A$72,0),DAY(表格1[[#This Row],[date]]),1,1)</f>
        <v>Jessica</v>
      </c>
      <c r="E4024" s="86">
        <f>MONTH(表格1[[#This Row],[date]])</f>
        <v>3</v>
      </c>
      <c r="F4024" s="90">
        <v>46089</v>
      </c>
      <c r="G4024" s="86" t="str">
        <f>VLOOKUP("*"&amp;表格1[[#This Row],[Input]]&amp;"*",'Ref-List'!$B:$D,2,)</f>
        <v>GR-RT416WE-PMA(06)</v>
      </c>
      <c r="H4024" s="86" t="str">
        <f>_xlfn.XLOOKUP(表格1[[#This Row],[Model]],表格3[Model-Input-Ref2],表格3[Product Line])</f>
        <v xml:space="preserve">變頻上置式雙門雪櫃313L </v>
      </c>
      <c r="I4024" s="86" t="str">
        <f>_xlfn.XLOOKUP(表格1[[#This Row],[Model]],表格3[Model-Input-Ref2],表格3[大小電])</f>
        <v>大電</v>
      </c>
      <c r="J4024" s="86" t="str">
        <f>_xlfn.XLOOKUP(表格1[[#This Row],[Model]],表格3[Model-Input-Ref2],表格3[Code])</f>
        <v>REF</v>
      </c>
      <c r="K4024" s="89" t="s">
        <v>1208</v>
      </c>
      <c r="L4024" s="86">
        <v>1</v>
      </c>
      <c r="M4024" s="87">
        <v>2888</v>
      </c>
      <c r="N4024" s="87">
        <f>IFERROR(表格1[[#This Row],[QTY]]*表格1[[#This Row],[Unit Price]],"-")</f>
        <v>2888</v>
      </c>
      <c r="R4024" s="86" t="str">
        <f>_xlfn.CONCAT(表格1[[#This Row],[Model]]," ",表格1[[#This Row],[inv no]])</f>
        <v xml:space="preserve">GR-RT416WE-PMA(06) </v>
      </c>
      <c r="S4024" s="86">
        <f>_xlfn.XLOOKUP(表格1[[#This Row],[Model]],表格3[Model-Input-Ref2],表格3[SRP PRICE])</f>
        <v>5380</v>
      </c>
      <c r="T4024" s="43">
        <f>表格1[[#This Row],[Unit Price]]/表格1[[#This Row],[SRP]]</f>
        <v>0.53680297397769516</v>
      </c>
      <c r="U4024" s="86" t="str">
        <f>_xlfn.XLOOKUP(表格1[[#This Row],[Model]],表格3[Model-Input-Ref2],表格3[TOSHIBA/HIGHEST])</f>
        <v>Toshiba SRP</v>
      </c>
      <c r="W4024" s="86" t="str">
        <f>_xlfn.CONCAT(表格1[[#This Row],[欄4]],表格1[[#This Row],[inv no]])</f>
        <v/>
      </c>
    </row>
    <row r="4025" spans="1:23" hidden="1">
      <c r="A4025" s="81">
        <v>4023</v>
      </c>
      <c r="B4025" s="86" t="s">
        <v>1203</v>
      </c>
      <c r="C4025" s="86" t="s">
        <v>1977</v>
      </c>
      <c r="D4025" s="89" t="str">
        <f ca="1">OFFSET(Roster!$A$3,MATCH(表格1[[#This Row],[Location]]&amp;" "&amp;表格1[[#This Row],[Shop]]&amp;"*",Roster!$A$4:$A$72,0),DAY(表格1[[#This Row],[date]]),1,1)</f>
        <v>Jessica</v>
      </c>
      <c r="E4025" s="86">
        <f>MONTH(表格1[[#This Row],[date]])</f>
        <v>3</v>
      </c>
      <c r="F4025" s="90">
        <v>46089</v>
      </c>
      <c r="G4025" s="86" t="str">
        <f>VLOOKUP("*"&amp;表格1[[#This Row],[Input]]&amp;"*",'Ref-List'!$B:$D,2,)</f>
        <v>AW-M901BPH(WW)</v>
      </c>
      <c r="H4025" s="86" t="str">
        <f>_xlfn.XLOOKUP(表格1[[#This Row],[Model]],表格3[Model-Input-Ref2],表格3[Product Line])</f>
        <v>全自動洗衣機 (8公斤 結合高低水位)</v>
      </c>
      <c r="I4025" s="86" t="str">
        <f>_xlfn.XLOOKUP(表格1[[#This Row],[Model]],表格3[Model-Input-Ref2],表格3[大小電])</f>
        <v>大電</v>
      </c>
      <c r="J4025" s="86" t="str">
        <f>_xlfn.XLOOKUP(表格1[[#This Row],[Model]],表格3[Model-Input-Ref2],表格3[Code])</f>
        <v>WM</v>
      </c>
      <c r="K4025" s="89" t="s">
        <v>1202</v>
      </c>
      <c r="L4025" s="86">
        <v>1</v>
      </c>
      <c r="M4025" s="87">
        <v>1500</v>
      </c>
      <c r="N4025" s="87">
        <f>IFERROR(表格1[[#This Row],[QTY]]*表格1[[#This Row],[Unit Price]],"-")</f>
        <v>1500</v>
      </c>
      <c r="R4025" s="86" t="str">
        <f>_xlfn.CONCAT(表格1[[#This Row],[Model]]," ",表格1[[#This Row],[inv no]])</f>
        <v xml:space="preserve">AW-M901BPH(WW) </v>
      </c>
      <c r="S4025" s="86">
        <f>_xlfn.XLOOKUP(表格1[[#This Row],[Model]],表格3[Model-Input-Ref2],表格3[SRP PRICE])</f>
        <v>3580</v>
      </c>
      <c r="T4025" s="43">
        <f>表格1[[#This Row],[Unit Price]]/表格1[[#This Row],[SRP]]</f>
        <v>0.41899441340782123</v>
      </c>
      <c r="U4025" s="86" t="str">
        <f>_xlfn.XLOOKUP(表格1[[#This Row],[Model]],表格3[Model-Input-Ref2],表格3[TOSHIBA/HIGHEST])</f>
        <v>Toshiba SRP</v>
      </c>
      <c r="W4025" s="86" t="str">
        <f>_xlfn.CONCAT(表格1[[#This Row],[欄4]],表格1[[#This Row],[inv no]])</f>
        <v/>
      </c>
    </row>
    <row r="4026" spans="1:23" hidden="1">
      <c r="A4026" s="81">
        <v>4024</v>
      </c>
      <c r="B4026" s="86" t="s">
        <v>1203</v>
      </c>
      <c r="C4026" s="86" t="s">
        <v>1977</v>
      </c>
      <c r="D4026" s="89" t="str">
        <f ca="1">OFFSET(Roster!$A$3,MATCH(表格1[[#This Row],[Location]]&amp;" "&amp;表格1[[#This Row],[Shop]]&amp;"*",Roster!$A$4:$A$72,0),DAY(表格1[[#This Row],[date]]),1,1)</f>
        <v>Jessica</v>
      </c>
      <c r="E4026" s="86">
        <f>MONTH(表格1[[#This Row],[date]])</f>
        <v>3</v>
      </c>
      <c r="F4026" s="90">
        <v>46089</v>
      </c>
      <c r="G4026" s="86" t="str">
        <f>VLOOKUP("*"&amp;表格1[[#This Row],[Input]]&amp;"*",'Ref-List'!$B:$D,2,)</f>
        <v>IC-21TSHK</v>
      </c>
      <c r="H4026" s="86" t="str">
        <f>_xlfn.XLOOKUP(表格1[[#This Row],[Model]],表格3[Model-Input-Ref2],表格3[Product Line])</f>
        <v>Induction Cooker</v>
      </c>
      <c r="I4026" s="86" t="str">
        <f>_xlfn.XLOOKUP(表格1[[#This Row],[Model]],表格3[Model-Input-Ref2],表格3[大小電])</f>
        <v>細電</v>
      </c>
      <c r="J4026" s="86" t="str">
        <f>_xlfn.XLOOKUP(表格1[[#This Row],[Model]],表格3[Model-Input-Ref2],表格3[Code])</f>
        <v>SDA</v>
      </c>
      <c r="K4026" s="89" t="s">
        <v>1242</v>
      </c>
      <c r="L4026" s="86">
        <v>3</v>
      </c>
      <c r="M4026" s="87">
        <v>500</v>
      </c>
      <c r="N4026" s="87">
        <f>IFERROR(表格1[[#This Row],[QTY]]*表格1[[#This Row],[Unit Price]],"-")</f>
        <v>1500</v>
      </c>
      <c r="R4026" s="86" t="str">
        <f>_xlfn.CONCAT(表格1[[#This Row],[Model]]," ",表格1[[#This Row],[inv no]])</f>
        <v xml:space="preserve">IC-21TSHK </v>
      </c>
      <c r="S4026" s="86">
        <f>_xlfn.XLOOKUP(表格1[[#This Row],[Model]],表格3[Model-Input-Ref2],表格3[SRP PRICE])</f>
        <v>998</v>
      </c>
      <c r="T4026" s="43">
        <f>表格1[[#This Row],[Unit Price]]/表格1[[#This Row],[SRP]]</f>
        <v>0.50100200400801598</v>
      </c>
      <c r="U4026" s="86" t="str">
        <f>_xlfn.XLOOKUP(表格1[[#This Row],[Model]],表格3[Model-Input-Ref2],表格3[TOSHIBA/HIGHEST])</f>
        <v>web SRP</v>
      </c>
      <c r="W4026" s="86" t="str">
        <f>_xlfn.CONCAT(表格1[[#This Row],[欄4]],表格1[[#This Row],[inv no]])</f>
        <v/>
      </c>
    </row>
    <row r="4027" spans="1:23" hidden="1">
      <c r="A4027" s="81">
        <v>4025</v>
      </c>
      <c r="B4027" s="86" t="s">
        <v>1203</v>
      </c>
      <c r="C4027" s="86" t="s">
        <v>1977</v>
      </c>
      <c r="D4027" s="89" t="str">
        <f ca="1">OFFSET(Roster!$A$3,MATCH(表格1[[#This Row],[Location]]&amp;" "&amp;表格1[[#This Row],[Shop]]&amp;"*",Roster!$A$4:$A$72,0),DAY(表格1[[#This Row],[date]]),1,1)</f>
        <v>Jessica</v>
      </c>
      <c r="E4027" s="86">
        <f>MONTH(表格1[[#This Row],[date]])</f>
        <v>3</v>
      </c>
      <c r="F4027" s="90">
        <v>46089</v>
      </c>
      <c r="G4027" s="86" t="str">
        <f>VLOOKUP("*"&amp;表格1[[#This Row],[Input]]&amp;"*",'Ref-List'!$B:$D,2,)</f>
        <v>RC-15ISTHK(W)</v>
      </c>
      <c r="H4027" s="86" t="str">
        <f>_xlfn.XLOOKUP(表格1[[#This Row],[Model]],表格3[Model-Input-Ref2],表格3[Product Line])</f>
        <v>磁應電飯煲(1.5公升)</v>
      </c>
      <c r="I4027" s="86" t="str">
        <f>_xlfn.XLOOKUP(表格1[[#This Row],[Model]],表格3[Model-Input-Ref2],表格3[大小電])</f>
        <v>細電</v>
      </c>
      <c r="J4027" s="86" t="str">
        <f>_xlfn.XLOOKUP(表格1[[#This Row],[Model]],表格3[Model-Input-Ref2],表格3[Code])</f>
        <v>SDA</v>
      </c>
      <c r="K4027" s="89" t="s">
        <v>1204</v>
      </c>
      <c r="L4027" s="86">
        <v>6</v>
      </c>
      <c r="M4027" s="87">
        <v>500</v>
      </c>
      <c r="N4027" s="87">
        <f>IFERROR(表格1[[#This Row],[QTY]]*表格1[[#This Row],[Unit Price]],"-")</f>
        <v>3000</v>
      </c>
      <c r="R4027" s="86" t="str">
        <f>_xlfn.CONCAT(表格1[[#This Row],[Model]]," ",表格1[[#This Row],[inv no]])</f>
        <v xml:space="preserve">RC-15ISTHK(W) </v>
      </c>
      <c r="S4027" s="86">
        <f>_xlfn.XLOOKUP(表格1[[#This Row],[Model]],表格3[Model-Input-Ref2],表格3[SRP PRICE])</f>
        <v>1688</v>
      </c>
      <c r="T4027" s="43">
        <f>表格1[[#This Row],[Unit Price]]/表格1[[#This Row],[SRP]]</f>
        <v>0.29620853080568721</v>
      </c>
      <c r="U4027" s="86" t="str">
        <f>_xlfn.XLOOKUP(表格1[[#This Row],[Model]],表格3[Model-Input-Ref2],表格3[TOSHIBA/HIGHEST])</f>
        <v>Toshiba SRP</v>
      </c>
      <c r="W4027" s="86" t="str">
        <f>_xlfn.CONCAT(表格1[[#This Row],[欄4]],表格1[[#This Row],[inv no]])</f>
        <v/>
      </c>
    </row>
    <row r="4028" spans="1:23" hidden="1">
      <c r="A4028" s="81">
        <v>4026</v>
      </c>
      <c r="B4028" s="86" t="s">
        <v>1203</v>
      </c>
      <c r="C4028" s="86" t="s">
        <v>1977</v>
      </c>
      <c r="D4028" s="89" t="str">
        <f ca="1">OFFSET(Roster!$A$3,MATCH(表格1[[#This Row],[Location]]&amp;" "&amp;表格1[[#This Row],[Shop]]&amp;"*",Roster!$A$4:$A$72,0),DAY(表格1[[#This Row],[date]]),1,1)</f>
        <v>Jessica</v>
      </c>
      <c r="E4028" s="86">
        <f>MONTH(表格1[[#This Row],[date]])</f>
        <v>3</v>
      </c>
      <c r="F4028" s="90">
        <v>46089</v>
      </c>
      <c r="G4028" s="86" t="str">
        <f>VLOOKUP("*"&amp;表格1[[#This Row],[Input]]&amp;"*",'Ref-List'!$B:$D,2,)</f>
        <v>TW-T22BU95UWH(WK)-B</v>
      </c>
      <c r="H4028" s="86" t="str">
        <f>_xlfn.XLOOKUP(表格1[[#This Row],[Model]],表格3[Model-Input-Ref2],表格3[Product Line])</f>
        <v>470MM超薄身前置式變頻洗衣機(8.5公斤, 可飛頂)</v>
      </c>
      <c r="I4028" s="86" t="str">
        <f>_xlfn.XLOOKUP(表格1[[#This Row],[Model]],表格3[Model-Input-Ref2],表格3[大小電])</f>
        <v>大電</v>
      </c>
      <c r="J4028" s="86" t="str">
        <f>_xlfn.XLOOKUP(表格1[[#This Row],[Model]],表格3[Model-Input-Ref2],表格3[Code])</f>
        <v>LAD</v>
      </c>
      <c r="K4028" s="89" t="s">
        <v>969</v>
      </c>
      <c r="L4028" s="86">
        <v>1</v>
      </c>
      <c r="M4028" s="87">
        <v>4641</v>
      </c>
      <c r="N4028" s="87">
        <f>IFERROR(表格1[[#This Row],[QTY]]*表格1[[#This Row],[Unit Price]],"-")</f>
        <v>4641</v>
      </c>
      <c r="O4028" s="86">
        <v>5725751</v>
      </c>
      <c r="R4028" s="86" t="str">
        <f>_xlfn.CONCAT(表格1[[#This Row],[Model]]," ",表格1[[#This Row],[inv no]])</f>
        <v>TW-T22BU95UWH(WK)-B 5725751</v>
      </c>
      <c r="S4028" s="86">
        <f>_xlfn.XLOOKUP(表格1[[#This Row],[Model]],表格3[Model-Input-Ref2],表格3[SRP PRICE])</f>
        <v>5880</v>
      </c>
      <c r="T4028" s="43">
        <f>表格1[[#This Row],[Unit Price]]/表格1[[#This Row],[SRP]]</f>
        <v>0.78928571428571426</v>
      </c>
      <c r="U4028" s="86" t="str">
        <f>_xlfn.XLOOKUP(表格1[[#This Row],[Model]],表格3[Model-Input-Ref2],表格3[TOSHIBA/HIGHEST])</f>
        <v>Toshiba SRP</v>
      </c>
      <c r="W4028" s="86" t="str">
        <f>_xlfn.CONCAT(表格1[[#This Row],[欄4]],表格1[[#This Row],[inv no]])</f>
        <v>5725751</v>
      </c>
    </row>
    <row r="4029" spans="1:23" hidden="1">
      <c r="A4029" s="81">
        <v>4027</v>
      </c>
      <c r="B4029" s="86" t="s">
        <v>1203</v>
      </c>
      <c r="C4029" s="86" t="s">
        <v>1977</v>
      </c>
      <c r="D4029" s="89" t="str">
        <f ca="1">OFFSET(Roster!$A$3,MATCH(表格1[[#This Row],[Location]]&amp;" "&amp;表格1[[#This Row],[Shop]]&amp;"*",Roster!$A$4:$A$72,0),DAY(表格1[[#This Row],[date]]),1,1)</f>
        <v>Jessica</v>
      </c>
      <c r="E4029" s="86">
        <f>MONTH(表格1[[#This Row],[date]])</f>
        <v>3</v>
      </c>
      <c r="F4029" s="90">
        <v>46090</v>
      </c>
      <c r="G4029" s="86" t="str">
        <f>VLOOKUP("*"&amp;表格1[[#This Row],[Input]]&amp;"*",'Ref-List'!$B:$D,2,)</f>
        <v>KT-17SHNH</v>
      </c>
      <c r="H4029" s="86" t="str">
        <f>_xlfn.XLOOKUP(表格1[[#This Row],[Model]],表格3[Model-Input-Ref2],表格3[Product Line])</f>
        <v>1.7L無線雙層電熱水壺</v>
      </c>
      <c r="I4029" s="86" t="str">
        <f>_xlfn.XLOOKUP(表格1[[#This Row],[Model]],表格3[Model-Input-Ref2],表格3[大小電])</f>
        <v>細電</v>
      </c>
      <c r="J4029" s="86" t="str">
        <f>_xlfn.XLOOKUP(表格1[[#This Row],[Model]],表格3[Model-Input-Ref2],表格3[Code])</f>
        <v>SDA</v>
      </c>
      <c r="K4029" s="89" t="s">
        <v>1283</v>
      </c>
      <c r="L4029" s="86">
        <v>1</v>
      </c>
      <c r="M4029" s="87">
        <v>190</v>
      </c>
      <c r="N4029" s="87">
        <f>IFERROR(表格1[[#This Row],[QTY]]*表格1[[#This Row],[Unit Price]],"-")</f>
        <v>190</v>
      </c>
      <c r="R4029" s="86" t="str">
        <f>_xlfn.CONCAT(表格1[[#This Row],[Model]]," ",表格1[[#This Row],[inv no]])</f>
        <v xml:space="preserve">KT-17SHNH </v>
      </c>
      <c r="S4029" s="86">
        <f>_xlfn.XLOOKUP(表格1[[#This Row],[Model]],表格3[Model-Input-Ref2],表格3[SRP PRICE])</f>
        <v>299</v>
      </c>
      <c r="T4029" s="43">
        <f>表格1[[#This Row],[Unit Price]]/表格1[[#This Row],[SRP]]</f>
        <v>0.63545150501672243</v>
      </c>
      <c r="U4029" s="86" t="str">
        <f>_xlfn.XLOOKUP(表格1[[#This Row],[Model]],表格3[Model-Input-Ref2],表格3[TOSHIBA/HIGHEST])</f>
        <v>Shops Highest Price</v>
      </c>
      <c r="W4029" s="86" t="str">
        <f>_xlfn.CONCAT(表格1[[#This Row],[欄4]],表格1[[#This Row],[inv no]])</f>
        <v/>
      </c>
    </row>
    <row r="4030" spans="1:23" hidden="1">
      <c r="A4030" s="81">
        <v>4028</v>
      </c>
      <c r="B4030" s="86" t="s">
        <v>1203</v>
      </c>
      <c r="C4030" s="86" t="s">
        <v>1977</v>
      </c>
      <c r="D4030" s="89" t="str">
        <f ca="1">OFFSET(Roster!$A$3,MATCH(表格1[[#This Row],[Location]]&amp;" "&amp;表格1[[#This Row],[Shop]]&amp;"*",Roster!$A$4:$A$72,0),DAY(表格1[[#This Row],[date]]),1,1)</f>
        <v>Jessica</v>
      </c>
      <c r="E4030" s="86">
        <f>MONTH(表格1[[#This Row],[date]])</f>
        <v>3</v>
      </c>
      <c r="F4030" s="90">
        <v>46090</v>
      </c>
      <c r="G4030" s="86" t="str">
        <f>VLOOKUP("*"&amp;表格1[[#This Row],[Input]]&amp;"*",'Ref-List'!$B:$D,2,)</f>
        <v>RC-5MMIH(WT)</v>
      </c>
      <c r="H4030" s="86" t="str">
        <f>_xlfn.XLOOKUP(表格1[[#This Row],[Model]],表格3[Model-Input-Ref2],表格3[Product Line])</f>
        <v>4毫米厚釜電飯煲0.54L</v>
      </c>
      <c r="I4030" s="86" t="str">
        <f>_xlfn.XLOOKUP(表格1[[#This Row],[Model]],表格3[Model-Input-Ref2],表格3[大小電])</f>
        <v>細電</v>
      </c>
      <c r="J4030" s="86" t="str">
        <f>_xlfn.XLOOKUP(表格1[[#This Row],[Model]],表格3[Model-Input-Ref2],表格3[Code])</f>
        <v>SDA</v>
      </c>
      <c r="K4030" s="89" t="s">
        <v>1195</v>
      </c>
      <c r="L4030" s="86">
        <v>1</v>
      </c>
      <c r="M4030" s="87">
        <v>490</v>
      </c>
      <c r="N4030" s="87">
        <f>IFERROR(表格1[[#This Row],[QTY]]*表格1[[#This Row],[Unit Price]],"-")</f>
        <v>490</v>
      </c>
      <c r="R4030" s="86" t="str">
        <f>_xlfn.CONCAT(表格1[[#This Row],[Model]]," ",表格1[[#This Row],[inv no]])</f>
        <v xml:space="preserve">RC-5MMIH(WT) </v>
      </c>
      <c r="S4030" s="86">
        <f>_xlfn.XLOOKUP(表格1[[#This Row],[Model]],表格3[Model-Input-Ref2],表格3[SRP PRICE])</f>
        <v>618</v>
      </c>
      <c r="T4030" s="43">
        <f>表格1[[#This Row],[Unit Price]]/表格1[[#This Row],[SRP]]</f>
        <v>0.79288025889967639</v>
      </c>
      <c r="U4030" s="86" t="str">
        <f>_xlfn.XLOOKUP(表格1[[#This Row],[Model]],表格3[Model-Input-Ref2],表格3[TOSHIBA/HIGHEST])</f>
        <v>Toshiba SRP</v>
      </c>
      <c r="W4030" s="86" t="str">
        <f>_xlfn.CONCAT(表格1[[#This Row],[欄4]],表格1[[#This Row],[inv no]])</f>
        <v/>
      </c>
    </row>
    <row r="4031" spans="1:23" hidden="1">
      <c r="A4031" s="81">
        <v>4029</v>
      </c>
      <c r="B4031" s="86" t="s">
        <v>1203</v>
      </c>
      <c r="C4031" s="86" t="s">
        <v>1977</v>
      </c>
      <c r="D4031" s="89" t="str">
        <f ca="1">OFFSET(Roster!$A$3,MATCH(表格1[[#This Row],[Location]]&amp;" "&amp;表格1[[#This Row],[Shop]]&amp;"*",Roster!$A$4:$A$72,0),DAY(表格1[[#This Row],[date]]),1,1)</f>
        <v>Jessica</v>
      </c>
      <c r="E4031" s="86">
        <f>MONTH(表格1[[#This Row],[date]])</f>
        <v>3</v>
      </c>
      <c r="F4031" s="90">
        <v>46090</v>
      </c>
      <c r="G4031" s="86" t="str">
        <f>VLOOKUP("*"&amp;表格1[[#This Row],[Input]]&amp;"*",'Ref-List'!$B:$D,2,)</f>
        <v>MW2-MM24PC(BK)</v>
      </c>
      <c r="H4031" s="86" t="str">
        <f>_xlfn.XLOOKUP(表格1[[#This Row],[Model]],表格3[Model-Input-Ref2],表格3[Product Line])</f>
        <v>旋鈕式微波爐24L</v>
      </c>
      <c r="I4031" s="86" t="str">
        <f>_xlfn.XLOOKUP(表格1[[#This Row],[Model]],表格3[Model-Input-Ref2],表格3[大小電])</f>
        <v>細電</v>
      </c>
      <c r="J4031" s="86" t="str">
        <f>_xlfn.XLOOKUP(表格1[[#This Row],[Model]],表格3[Model-Input-Ref2],表格3[Code])</f>
        <v>SDA</v>
      </c>
      <c r="K4031" s="89" t="s">
        <v>1196</v>
      </c>
      <c r="L4031" s="86">
        <v>1</v>
      </c>
      <c r="M4031" s="87">
        <v>500</v>
      </c>
      <c r="N4031" s="87">
        <f>IFERROR(表格1[[#This Row],[QTY]]*表格1[[#This Row],[Unit Price]],"-")</f>
        <v>500</v>
      </c>
      <c r="R4031" s="86" t="str">
        <f>_xlfn.CONCAT(表格1[[#This Row],[Model]]," ",表格1[[#This Row],[inv no]])</f>
        <v xml:space="preserve">MW2-MM24PC(BK) </v>
      </c>
      <c r="S4031" s="86">
        <f>_xlfn.XLOOKUP(表格1[[#This Row],[Model]],表格3[Model-Input-Ref2],表格3[SRP PRICE])</f>
        <v>848</v>
      </c>
      <c r="T4031" s="43">
        <f>表格1[[#This Row],[Unit Price]]/表格1[[#This Row],[SRP]]</f>
        <v>0.589622641509434</v>
      </c>
      <c r="U4031" s="86" t="str">
        <f>_xlfn.XLOOKUP(表格1[[#This Row],[Model]],表格3[Model-Input-Ref2],表格3[TOSHIBA/HIGHEST])</f>
        <v>Toshiba SRP</v>
      </c>
      <c r="W4031" s="86" t="str">
        <f>_xlfn.CONCAT(表格1[[#This Row],[欄4]],表格1[[#This Row],[inv no]])</f>
        <v/>
      </c>
    </row>
    <row r="4032" spans="1:23" hidden="1">
      <c r="A4032" s="81">
        <v>4030</v>
      </c>
      <c r="B4032" s="86" t="s">
        <v>1203</v>
      </c>
      <c r="C4032" s="86" t="s">
        <v>1977</v>
      </c>
      <c r="D4032" s="89" t="str">
        <f ca="1">OFFSET(Roster!$A$3,MATCH(表格1[[#This Row],[Location]]&amp;" "&amp;表格1[[#This Row],[Shop]]&amp;"*",Roster!$A$4:$A$72,0),DAY(表格1[[#This Row],[date]]),1,1)</f>
        <v>Jessica</v>
      </c>
      <c r="E4032" s="86">
        <f>MONTH(表格1[[#This Row],[date]])</f>
        <v>3</v>
      </c>
      <c r="F4032" s="90">
        <v>46090</v>
      </c>
      <c r="G4032" s="86" t="str">
        <f>VLOOKUP("*"&amp;表格1[[#This Row],[Input]]&amp;"*",'Ref-List'!$B:$D,2,)</f>
        <v>ER-TD5000HK(XK)</v>
      </c>
      <c r="H4032" s="86" t="str">
        <f>_xlfn.XLOOKUP(表格1[[#This Row],[Model]],表格3[Model-Input-Ref2],表格3[Product Line])</f>
        <v>座檯式純蒸氣烤焗水波爐30L</v>
      </c>
      <c r="I4032" s="86" t="str">
        <f>_xlfn.XLOOKUP(表格1[[#This Row],[Model]],表格3[Model-Input-Ref2],表格3[大小電])</f>
        <v>細電</v>
      </c>
      <c r="J4032" s="86" t="str">
        <f>_xlfn.XLOOKUP(表格1[[#This Row],[Model]],表格3[Model-Input-Ref2],表格3[Code])</f>
        <v>SDA</v>
      </c>
      <c r="K4032" s="89" t="s">
        <v>1205</v>
      </c>
      <c r="L4032" s="86">
        <v>1</v>
      </c>
      <c r="M4032" s="87">
        <v>3588</v>
      </c>
      <c r="N4032" s="87">
        <f>IFERROR(表格1[[#This Row],[QTY]]*表格1[[#This Row],[Unit Price]],"-")</f>
        <v>3588</v>
      </c>
      <c r="R4032" s="86" t="str">
        <f>_xlfn.CONCAT(表格1[[#This Row],[Model]]," ",表格1[[#This Row],[inv no]])</f>
        <v xml:space="preserve">ER-TD5000HK(XK) </v>
      </c>
      <c r="S4032" s="86">
        <f>_xlfn.XLOOKUP(表格1[[#This Row],[Model]],表格3[Model-Input-Ref2],表格3[SRP PRICE])</f>
        <v>7998</v>
      </c>
      <c r="T4032" s="43">
        <f>表格1[[#This Row],[Unit Price]]/表格1[[#This Row],[SRP]]</f>
        <v>0.44861215303825958</v>
      </c>
      <c r="U4032" s="86" t="str">
        <f>_xlfn.XLOOKUP(表格1[[#This Row],[Model]],表格3[Model-Input-Ref2],表格3[TOSHIBA/HIGHEST])</f>
        <v>Toshiba SRP</v>
      </c>
      <c r="W4032" s="86" t="str">
        <f>_xlfn.CONCAT(表格1[[#This Row],[欄4]],表格1[[#This Row],[inv no]])</f>
        <v/>
      </c>
    </row>
    <row r="4033" spans="1:23" hidden="1">
      <c r="A4033" s="81">
        <v>4031</v>
      </c>
      <c r="B4033" s="86" t="s">
        <v>1203</v>
      </c>
      <c r="C4033" s="86" t="s">
        <v>1977</v>
      </c>
      <c r="D4033" s="89" t="str">
        <f ca="1">OFFSET(Roster!$A$3,MATCH(表格1[[#This Row],[Location]]&amp;" "&amp;表格1[[#This Row],[Shop]]&amp;"*",Roster!$A$4:$A$72,0),DAY(表格1[[#This Row],[date]]),1,1)</f>
        <v>Jessica</v>
      </c>
      <c r="E4033" s="86">
        <f>MONTH(表格1[[#This Row],[date]])</f>
        <v>3</v>
      </c>
      <c r="F4033" s="90">
        <v>46090</v>
      </c>
      <c r="G4033" s="86" t="str">
        <f>VLOOKUP("*"&amp;表格1[[#This Row],[Input]]&amp;"*",'Ref-List'!$B:$D,2,)</f>
        <v>DWS-34AHK</v>
      </c>
      <c r="H4033" s="86" t="str">
        <f>_xlfn.XLOOKUP(表格1[[#This Row],[Model]],表格3[Model-Input-Ref2],表格3[Product Line])</f>
        <v>獨立式免安裝洗碗碟機</v>
      </c>
      <c r="I4033" s="86" t="str">
        <f>_xlfn.XLOOKUP(表格1[[#This Row],[Model]],表格3[Model-Input-Ref2],表格3[大小電])</f>
        <v>細電</v>
      </c>
      <c r="J4033" s="86" t="str">
        <f>_xlfn.XLOOKUP(表格1[[#This Row],[Model]],表格3[Model-Input-Ref2],表格3[Code])</f>
        <v>DM</v>
      </c>
      <c r="K4033" s="89" t="s">
        <v>1240</v>
      </c>
      <c r="L4033" s="86">
        <v>1</v>
      </c>
      <c r="M4033" s="87">
        <v>1500</v>
      </c>
      <c r="N4033" s="87">
        <f>IFERROR(表格1[[#This Row],[QTY]]*表格1[[#This Row],[Unit Price]],"-")</f>
        <v>1500</v>
      </c>
      <c r="R4033" s="86" t="str">
        <f>_xlfn.CONCAT(表格1[[#This Row],[Model]]," ",表格1[[#This Row],[inv no]])</f>
        <v xml:space="preserve">DWS-34AHK </v>
      </c>
      <c r="S4033" s="86">
        <f>_xlfn.XLOOKUP(表格1[[#This Row],[Model]],表格3[Model-Input-Ref2],表格3[SRP PRICE])</f>
        <v>3999</v>
      </c>
      <c r="T4033" s="43">
        <f>表格1[[#This Row],[Unit Price]]/表格1[[#This Row],[SRP]]</f>
        <v>0.37509377344336087</v>
      </c>
      <c r="U4033" s="86" t="str">
        <f>_xlfn.XLOOKUP(表格1[[#This Row],[Model]],表格3[Model-Input-Ref2],表格3[TOSHIBA/HIGHEST])</f>
        <v>Web SRP</v>
      </c>
      <c r="W4033" s="86" t="str">
        <f>_xlfn.CONCAT(表格1[[#This Row],[欄4]],表格1[[#This Row],[inv no]])</f>
        <v/>
      </c>
    </row>
    <row r="4034" spans="1:23" hidden="1">
      <c r="A4034" s="81">
        <v>4032</v>
      </c>
      <c r="B4034" s="86" t="s">
        <v>1203</v>
      </c>
      <c r="C4034" s="86" t="s">
        <v>1977</v>
      </c>
      <c r="D4034" s="89" t="str">
        <f ca="1">OFFSET(Roster!$A$3,MATCH(表格1[[#This Row],[Location]]&amp;" "&amp;表格1[[#This Row],[Shop]]&amp;"*",Roster!$A$4:$A$72,0),DAY(表格1[[#This Row],[date]]),1,1)</f>
        <v>Jessica</v>
      </c>
      <c r="E4034" s="86">
        <f>MONTH(表格1[[#This Row],[date]])</f>
        <v>3</v>
      </c>
      <c r="F4034" s="90">
        <v>46090</v>
      </c>
      <c r="G4034" s="86" t="str">
        <f>VLOOKUP("*"&amp;表格1[[#This Row],[Input]]&amp;"*",'Ref-List'!$B:$D,2,)</f>
        <v>KT-17DRTHK(H)</v>
      </c>
      <c r="H4034" s="86" t="str">
        <f>_xlfn.XLOOKUP(表格1[[#This Row],[Model]],表格3[Model-Input-Ref2],表格3[Product Line])</f>
        <v>無線雙層電熱水壺(1.7公升)</v>
      </c>
      <c r="I4034" s="86" t="str">
        <f>_xlfn.XLOOKUP(表格1[[#This Row],[Model]],表格3[Model-Input-Ref2],表格3[大小電])</f>
        <v>細電</v>
      </c>
      <c r="J4034" s="86" t="str">
        <f>_xlfn.XLOOKUP(表格1[[#This Row],[Model]],表格3[Model-Input-Ref2],表格3[Code])</f>
        <v>SDA</v>
      </c>
      <c r="K4034" s="89" t="s">
        <v>1271</v>
      </c>
      <c r="L4034" s="86">
        <v>1</v>
      </c>
      <c r="M4034" s="87">
        <v>350</v>
      </c>
      <c r="N4034" s="87">
        <f>IFERROR(表格1[[#This Row],[QTY]]*表格1[[#This Row],[Unit Price]],"-")</f>
        <v>350</v>
      </c>
      <c r="R4034" s="86" t="str">
        <f>_xlfn.CONCAT(表格1[[#This Row],[Model]]," ",表格1[[#This Row],[inv no]])</f>
        <v xml:space="preserve">KT-17DRTHK(H) </v>
      </c>
      <c r="S4034" s="86">
        <f>_xlfn.XLOOKUP(表格1[[#This Row],[Model]],表格3[Model-Input-Ref2],表格3[SRP PRICE])</f>
        <v>498</v>
      </c>
      <c r="T4034" s="43">
        <f>表格1[[#This Row],[Unit Price]]/表格1[[#This Row],[SRP]]</f>
        <v>0.70281124497991965</v>
      </c>
      <c r="U4034" s="86" t="str">
        <f>_xlfn.XLOOKUP(表格1[[#This Row],[Model]],表格3[Model-Input-Ref2],表格3[TOSHIBA/HIGHEST])</f>
        <v>Toshiba SRP</v>
      </c>
      <c r="W4034" s="86" t="str">
        <f>_xlfn.CONCAT(表格1[[#This Row],[欄4]],表格1[[#This Row],[inv no]])</f>
        <v/>
      </c>
    </row>
    <row r="4035" spans="1:23" hidden="1">
      <c r="A4035" s="81">
        <v>4033</v>
      </c>
      <c r="B4035" s="86" t="s">
        <v>1203</v>
      </c>
      <c r="C4035" s="86" t="s">
        <v>1977</v>
      </c>
      <c r="D4035" s="89" t="str">
        <f ca="1">OFFSET(Roster!$A$3,MATCH(表格1[[#This Row],[Location]]&amp;" "&amp;表格1[[#This Row],[Shop]]&amp;"*",Roster!$A$4:$A$72,0),DAY(表格1[[#This Row],[date]]),1,1)</f>
        <v>Jessica</v>
      </c>
      <c r="E4035" s="86">
        <f>MONTH(表格1[[#This Row],[date]])</f>
        <v>3</v>
      </c>
      <c r="F4035" s="90">
        <v>46090</v>
      </c>
      <c r="G4035" s="86" t="str">
        <f>VLOOKUP("*"&amp;表格1[[#This Row],[Input]]&amp;"*",'Ref-List'!$B:$D,2,)</f>
        <v>TW-T22BU95UWH(WK)-B</v>
      </c>
      <c r="H4035" s="86" t="str">
        <f>_xlfn.XLOOKUP(表格1[[#This Row],[Model]],表格3[Model-Input-Ref2],表格3[Product Line])</f>
        <v>470MM超薄身前置式變頻洗衣機(8.5公斤, 可飛頂)</v>
      </c>
      <c r="I4035" s="86" t="str">
        <f>_xlfn.XLOOKUP(表格1[[#This Row],[Model]],表格3[Model-Input-Ref2],表格3[大小電])</f>
        <v>大電</v>
      </c>
      <c r="J4035" s="86" t="str">
        <f>_xlfn.XLOOKUP(表格1[[#This Row],[Model]],表格3[Model-Input-Ref2],表格3[Code])</f>
        <v>LAD</v>
      </c>
      <c r="K4035" s="89" t="s">
        <v>969</v>
      </c>
      <c r="L4035" s="86">
        <v>1</v>
      </c>
      <c r="M4035" s="87">
        <v>3496</v>
      </c>
      <c r="N4035" s="87">
        <f>IFERROR(表格1[[#This Row],[QTY]]*表格1[[#This Row],[Unit Price]],"-")</f>
        <v>3496</v>
      </c>
      <c r="O4035" s="86">
        <v>6039569</v>
      </c>
      <c r="R4035" s="86" t="str">
        <f>_xlfn.CONCAT(表格1[[#This Row],[Model]]," ",表格1[[#This Row],[inv no]])</f>
        <v>TW-T22BU95UWH(WK)-B 6039569</v>
      </c>
      <c r="S4035" s="86">
        <f>_xlfn.XLOOKUP(表格1[[#This Row],[Model]],表格3[Model-Input-Ref2],表格3[SRP PRICE])</f>
        <v>5880</v>
      </c>
      <c r="T4035" s="43">
        <f>表格1[[#This Row],[Unit Price]]/表格1[[#This Row],[SRP]]</f>
        <v>0.59455782312925165</v>
      </c>
      <c r="U4035" s="86" t="str">
        <f>_xlfn.XLOOKUP(表格1[[#This Row],[Model]],表格3[Model-Input-Ref2],表格3[TOSHIBA/HIGHEST])</f>
        <v>Toshiba SRP</v>
      </c>
      <c r="W4035" s="86" t="str">
        <f>_xlfn.CONCAT(表格1[[#This Row],[欄4]],表格1[[#This Row],[inv no]])</f>
        <v>6039569</v>
      </c>
    </row>
    <row r="4036" spans="1:23" hidden="1">
      <c r="A4036" s="81">
        <v>4034</v>
      </c>
      <c r="B4036" s="86" t="s">
        <v>1203</v>
      </c>
      <c r="C4036" s="86" t="s">
        <v>1977</v>
      </c>
      <c r="D4036" s="89" t="str">
        <f ca="1">OFFSET(Roster!$A$3,MATCH(表格1[[#This Row],[Location]]&amp;" "&amp;表格1[[#This Row],[Shop]]&amp;"*",Roster!$A$4:$A$72,0),DAY(表格1[[#This Row],[date]]),1,1)</f>
        <v>Jessica</v>
      </c>
      <c r="E4036" s="86">
        <f>MONTH(表格1[[#This Row],[date]])</f>
        <v>3</v>
      </c>
      <c r="F4036" s="90">
        <v>46090</v>
      </c>
      <c r="G4036" s="86" t="str">
        <f>VLOOKUP("*"&amp;表格1[[#This Row],[Input]]&amp;"*",'Ref-List'!$B:$D,2,)</f>
        <v>IC-21TSHK</v>
      </c>
      <c r="H4036" s="86" t="str">
        <f>_xlfn.XLOOKUP(表格1[[#This Row],[Model]],表格3[Model-Input-Ref2],表格3[Product Line])</f>
        <v>Induction Cooker</v>
      </c>
      <c r="I4036" s="86" t="str">
        <f>_xlfn.XLOOKUP(表格1[[#This Row],[Model]],表格3[Model-Input-Ref2],表格3[大小電])</f>
        <v>細電</v>
      </c>
      <c r="J4036" s="86" t="str">
        <f>_xlfn.XLOOKUP(表格1[[#This Row],[Model]],表格3[Model-Input-Ref2],表格3[Code])</f>
        <v>SDA</v>
      </c>
      <c r="K4036" s="89" t="s">
        <v>1242</v>
      </c>
      <c r="L4036" s="86">
        <v>1</v>
      </c>
      <c r="M4036" s="87">
        <v>500</v>
      </c>
      <c r="N4036" s="87">
        <f>IFERROR(表格1[[#This Row],[QTY]]*表格1[[#This Row],[Unit Price]],"-")</f>
        <v>500</v>
      </c>
      <c r="R4036" s="86" t="str">
        <f>_xlfn.CONCAT(表格1[[#This Row],[Model]]," ",表格1[[#This Row],[inv no]])</f>
        <v xml:space="preserve">IC-21TSHK </v>
      </c>
      <c r="S4036" s="86">
        <f>_xlfn.XLOOKUP(表格1[[#This Row],[Model]],表格3[Model-Input-Ref2],表格3[SRP PRICE])</f>
        <v>998</v>
      </c>
      <c r="T4036" s="43">
        <f>表格1[[#This Row],[Unit Price]]/表格1[[#This Row],[SRP]]</f>
        <v>0.50100200400801598</v>
      </c>
      <c r="U4036" s="86" t="str">
        <f>_xlfn.XLOOKUP(表格1[[#This Row],[Model]],表格3[Model-Input-Ref2],表格3[TOSHIBA/HIGHEST])</f>
        <v>web SRP</v>
      </c>
      <c r="W4036" s="86" t="str">
        <f>_xlfn.CONCAT(表格1[[#This Row],[欄4]],表格1[[#This Row],[inv no]])</f>
        <v/>
      </c>
    </row>
    <row r="4037" spans="1:23" hidden="1">
      <c r="A4037" s="81">
        <v>4035</v>
      </c>
      <c r="B4037" s="86" t="s">
        <v>1203</v>
      </c>
      <c r="C4037" s="86" t="s">
        <v>1977</v>
      </c>
      <c r="D4037" s="89" t="str">
        <f ca="1">OFFSET(Roster!$A$3,MATCH(表格1[[#This Row],[Location]]&amp;" "&amp;表格1[[#This Row],[Shop]]&amp;"*",Roster!$A$4:$A$72,0),DAY(表格1[[#This Row],[date]]),1,1)</f>
        <v>Jessica</v>
      </c>
      <c r="E4037" s="86">
        <f>MONTH(表格1[[#This Row],[date]])</f>
        <v>3</v>
      </c>
      <c r="F4037" s="90">
        <v>46090</v>
      </c>
      <c r="G4037" s="86" t="str">
        <f>VLOOKUP("*"&amp;表格1[[#This Row],[Input]]&amp;"*",'Ref-List'!$B:$D,2,)</f>
        <v>RC-15ISTHK(W)</v>
      </c>
      <c r="H4037" s="86" t="str">
        <f>_xlfn.XLOOKUP(表格1[[#This Row],[Model]],表格3[Model-Input-Ref2],表格3[Product Line])</f>
        <v>磁應電飯煲(1.5公升)</v>
      </c>
      <c r="I4037" s="86" t="str">
        <f>_xlfn.XLOOKUP(表格1[[#This Row],[Model]],表格3[Model-Input-Ref2],表格3[大小電])</f>
        <v>細電</v>
      </c>
      <c r="J4037" s="86" t="str">
        <f>_xlfn.XLOOKUP(表格1[[#This Row],[Model]],表格3[Model-Input-Ref2],表格3[Code])</f>
        <v>SDA</v>
      </c>
      <c r="K4037" s="89" t="s">
        <v>1204</v>
      </c>
      <c r="L4037" s="86">
        <v>1</v>
      </c>
      <c r="M4037" s="87">
        <v>500</v>
      </c>
      <c r="N4037" s="87">
        <f>IFERROR(表格1[[#This Row],[QTY]]*表格1[[#This Row],[Unit Price]],"-")</f>
        <v>500</v>
      </c>
      <c r="R4037" s="86" t="str">
        <f>_xlfn.CONCAT(表格1[[#This Row],[Model]]," ",表格1[[#This Row],[inv no]])</f>
        <v xml:space="preserve">RC-15ISTHK(W) </v>
      </c>
      <c r="S4037" s="86">
        <f>_xlfn.XLOOKUP(表格1[[#This Row],[Model]],表格3[Model-Input-Ref2],表格3[SRP PRICE])</f>
        <v>1688</v>
      </c>
      <c r="T4037" s="43">
        <f>表格1[[#This Row],[Unit Price]]/表格1[[#This Row],[SRP]]</f>
        <v>0.29620853080568721</v>
      </c>
      <c r="U4037" s="86" t="str">
        <f>_xlfn.XLOOKUP(表格1[[#This Row],[Model]],表格3[Model-Input-Ref2],表格3[TOSHIBA/HIGHEST])</f>
        <v>Toshiba SRP</v>
      </c>
      <c r="W4037" s="86" t="str">
        <f>_xlfn.CONCAT(表格1[[#This Row],[欄4]],表格1[[#This Row],[inv no]])</f>
        <v/>
      </c>
    </row>
    <row r="4038" spans="1:23" hidden="1">
      <c r="A4038" s="81">
        <v>4036</v>
      </c>
      <c r="B4038" s="86" t="s">
        <v>1203</v>
      </c>
      <c r="C4038" s="86" t="s">
        <v>1977</v>
      </c>
      <c r="D4038" s="89" t="str">
        <f ca="1">OFFSET(Roster!$A$3,MATCH(表格1[[#This Row],[Location]]&amp;" "&amp;表格1[[#This Row],[Shop]]&amp;"*",Roster!$A$4:$A$72,0),DAY(表格1[[#This Row],[date]]),1,1)</f>
        <v>Jessica off</v>
      </c>
      <c r="E4038" s="86">
        <f>MONTH(表格1[[#This Row],[date]])</f>
        <v>3</v>
      </c>
      <c r="F4038" s="90">
        <v>46091</v>
      </c>
      <c r="G4038" s="86" t="str">
        <f>VLOOKUP("*"&amp;表格1[[#This Row],[Input]]&amp;"*",'Ref-List'!$B:$D,2,)</f>
        <v>RC-10NMFIH(WT)</v>
      </c>
      <c r="H4038" s="86" t="str">
        <f>_xlfn.XLOOKUP(表格1[[#This Row],[Model]],表格3[Model-Input-Ref2],表格3[Product Line])</f>
        <v>4毫米厚釜電飯煲1L</v>
      </c>
      <c r="I4038" s="86" t="str">
        <f>_xlfn.XLOOKUP(表格1[[#This Row],[Model]],表格3[Model-Input-Ref2],表格3[大小電])</f>
        <v>細電</v>
      </c>
      <c r="J4038" s="86" t="str">
        <f>_xlfn.XLOOKUP(表格1[[#This Row],[Model]],表格3[Model-Input-Ref2],表格3[Code])</f>
        <v>SDA</v>
      </c>
      <c r="K4038" s="89" t="s">
        <v>1244</v>
      </c>
      <c r="L4038" s="86">
        <v>1</v>
      </c>
      <c r="M4038" s="87">
        <v>720</v>
      </c>
      <c r="N4038" s="87">
        <f>IFERROR(表格1[[#This Row],[QTY]]*表格1[[#This Row],[Unit Price]],"-")</f>
        <v>720</v>
      </c>
      <c r="R4038" s="86" t="str">
        <f>_xlfn.CONCAT(表格1[[#This Row],[Model]]," ",表格1[[#This Row],[inv no]])</f>
        <v xml:space="preserve">RC-10NMFIH(WT) </v>
      </c>
      <c r="S4038" s="86">
        <f>_xlfn.XLOOKUP(表格1[[#This Row],[Model]],表格3[Model-Input-Ref2],表格3[SRP PRICE])</f>
        <v>898</v>
      </c>
      <c r="T4038" s="43">
        <f>表格1[[#This Row],[Unit Price]]/表格1[[#This Row],[SRP]]</f>
        <v>0.80178173719376389</v>
      </c>
      <c r="U4038" s="86" t="str">
        <f>_xlfn.XLOOKUP(表格1[[#This Row],[Model]],表格3[Model-Input-Ref2],表格3[TOSHIBA/HIGHEST])</f>
        <v>Toshiba SRP</v>
      </c>
      <c r="W4038" s="86" t="str">
        <f>_xlfn.CONCAT(表格1[[#This Row],[欄4]],表格1[[#This Row],[inv no]])</f>
        <v/>
      </c>
    </row>
    <row r="4039" spans="1:23" hidden="1">
      <c r="A4039" s="81">
        <v>4037</v>
      </c>
      <c r="B4039" s="86" t="s">
        <v>1203</v>
      </c>
      <c r="C4039" s="86" t="s">
        <v>1977</v>
      </c>
      <c r="D4039" s="89" t="str">
        <f ca="1">OFFSET(Roster!$A$3,MATCH(表格1[[#This Row],[Location]]&amp;" "&amp;表格1[[#This Row],[Shop]]&amp;"*",Roster!$A$4:$A$72,0),DAY(表格1[[#This Row],[date]]),1,1)</f>
        <v>Jessica off</v>
      </c>
      <c r="E4039" s="86">
        <f>MONTH(表格1[[#This Row],[date]])</f>
        <v>3</v>
      </c>
      <c r="F4039" s="90">
        <v>46091</v>
      </c>
      <c r="G4039" s="86" t="str">
        <f>VLOOKUP("*"&amp;表格1[[#This Row],[Input]]&amp;"*",'Ref-List'!$B:$D,2,)</f>
        <v>RC-5MMIH(WT)</v>
      </c>
      <c r="H4039" s="86" t="str">
        <f>_xlfn.XLOOKUP(表格1[[#This Row],[Model]],表格3[Model-Input-Ref2],表格3[Product Line])</f>
        <v>4毫米厚釜電飯煲0.54L</v>
      </c>
      <c r="I4039" s="86" t="str">
        <f>_xlfn.XLOOKUP(表格1[[#This Row],[Model]],表格3[Model-Input-Ref2],表格3[大小電])</f>
        <v>細電</v>
      </c>
      <c r="J4039" s="86" t="str">
        <f>_xlfn.XLOOKUP(表格1[[#This Row],[Model]],表格3[Model-Input-Ref2],表格3[Code])</f>
        <v>SDA</v>
      </c>
      <c r="K4039" s="89" t="s">
        <v>1195</v>
      </c>
      <c r="L4039" s="86">
        <v>1</v>
      </c>
      <c r="M4039" s="87">
        <v>490</v>
      </c>
      <c r="N4039" s="87">
        <f>IFERROR(表格1[[#This Row],[QTY]]*表格1[[#This Row],[Unit Price]],"-")</f>
        <v>490</v>
      </c>
      <c r="R4039" s="86" t="str">
        <f>_xlfn.CONCAT(表格1[[#This Row],[Model]]," ",表格1[[#This Row],[inv no]])</f>
        <v xml:space="preserve">RC-5MMIH(WT) </v>
      </c>
      <c r="S4039" s="86">
        <f>_xlfn.XLOOKUP(表格1[[#This Row],[Model]],表格3[Model-Input-Ref2],表格3[SRP PRICE])</f>
        <v>618</v>
      </c>
      <c r="T4039" s="43">
        <f>表格1[[#This Row],[Unit Price]]/表格1[[#This Row],[SRP]]</f>
        <v>0.79288025889967639</v>
      </c>
      <c r="U4039" s="86" t="str">
        <f>_xlfn.XLOOKUP(表格1[[#This Row],[Model]],表格3[Model-Input-Ref2],表格3[TOSHIBA/HIGHEST])</f>
        <v>Toshiba SRP</v>
      </c>
      <c r="W4039" s="86" t="str">
        <f>_xlfn.CONCAT(表格1[[#This Row],[欄4]],表格1[[#This Row],[inv no]])</f>
        <v/>
      </c>
    </row>
    <row r="4040" spans="1:23" hidden="1">
      <c r="A4040" s="81">
        <v>4038</v>
      </c>
      <c r="B4040" s="86" t="s">
        <v>1203</v>
      </c>
      <c r="C4040" s="86" t="s">
        <v>1977</v>
      </c>
      <c r="D4040" s="89" t="str">
        <f ca="1">OFFSET(Roster!$A$3,MATCH(表格1[[#This Row],[Location]]&amp;" "&amp;表格1[[#This Row],[Shop]]&amp;"*",Roster!$A$4:$A$72,0),DAY(表格1[[#This Row],[date]]),1,1)</f>
        <v>Jessica off</v>
      </c>
      <c r="E4040" s="86">
        <f>MONTH(表格1[[#This Row],[date]])</f>
        <v>3</v>
      </c>
      <c r="F4040" s="90">
        <v>46091</v>
      </c>
      <c r="G4040" s="86" t="str">
        <f>VLOOKUP("*"&amp;表格1[[#This Row],[Input]]&amp;"*",'Ref-List'!$B:$D,2,)</f>
        <v>TW-T21BU80UWH(MG)</v>
      </c>
      <c r="H4040" s="86" t="str">
        <f>_xlfn.XLOOKUP(表格1[[#This Row],[Model]],表格3[Model-Input-Ref2],表格3[Product Line])</f>
        <v>400MM超薄身前置式變頻洗衣機(7公斤)</v>
      </c>
      <c r="I4040" s="86" t="str">
        <f>_xlfn.XLOOKUP(表格1[[#This Row],[Model]],表格3[Model-Input-Ref2],表格3[大小電])</f>
        <v>大電</v>
      </c>
      <c r="J4040" s="86" t="str">
        <f>_xlfn.XLOOKUP(表格1[[#This Row],[Model]],表格3[Model-Input-Ref2],表格3[Code])</f>
        <v>LAD</v>
      </c>
      <c r="K4040" s="89" t="s">
        <v>1280</v>
      </c>
      <c r="L4040" s="86">
        <v>1</v>
      </c>
      <c r="M4040" s="87">
        <v>3021</v>
      </c>
      <c r="N4040" s="87">
        <f>IFERROR(表格1[[#This Row],[QTY]]*表格1[[#This Row],[Unit Price]],"-")</f>
        <v>3021</v>
      </c>
      <c r="O4040" s="86">
        <v>5725380</v>
      </c>
      <c r="R4040" s="86" t="str">
        <f>_xlfn.CONCAT(表格1[[#This Row],[Model]]," ",表格1[[#This Row],[inv no]])</f>
        <v>TW-T21BU80UWH(MG) 5725380</v>
      </c>
      <c r="S4040" s="86">
        <f>_xlfn.XLOOKUP(表格1[[#This Row],[Model]],表格3[Model-Input-Ref2],表格3[SRP PRICE])</f>
        <v>5180</v>
      </c>
      <c r="T4040" s="43">
        <f>表格1[[#This Row],[Unit Price]]/表格1[[#This Row],[SRP]]</f>
        <v>0.58320463320463323</v>
      </c>
      <c r="U4040" s="86" t="str">
        <f>_xlfn.XLOOKUP(表格1[[#This Row],[Model]],表格3[Model-Input-Ref2],表格3[TOSHIBA/HIGHEST])</f>
        <v>Toshiba SRP</v>
      </c>
      <c r="W4040" s="86" t="str">
        <f>_xlfn.CONCAT(表格1[[#This Row],[欄4]],表格1[[#This Row],[inv no]])</f>
        <v>5725380</v>
      </c>
    </row>
    <row r="4041" spans="1:23" hidden="1">
      <c r="A4041" s="81">
        <v>4039</v>
      </c>
      <c r="B4041" s="86" t="s">
        <v>1203</v>
      </c>
      <c r="C4041" s="86" t="s">
        <v>1977</v>
      </c>
      <c r="D4041" s="89" t="str">
        <f ca="1">OFFSET(Roster!$A$3,MATCH(表格1[[#This Row],[Location]]&amp;" "&amp;表格1[[#This Row],[Shop]]&amp;"*",Roster!$A$4:$A$72,0),DAY(表格1[[#This Row],[date]]),1,1)</f>
        <v>Jessica off</v>
      </c>
      <c r="E4041" s="86">
        <f>MONTH(表格1[[#This Row],[date]])</f>
        <v>3</v>
      </c>
      <c r="F4041" s="90">
        <v>46091</v>
      </c>
      <c r="G4041" s="86" t="str">
        <f>VLOOKUP("*"&amp;表格1[[#This Row],[Input]]&amp;"*",'Ref-List'!$B:$D,2,)</f>
        <v>GR-RT416WE-PMA(06)</v>
      </c>
      <c r="H4041" s="86" t="str">
        <f>_xlfn.XLOOKUP(表格1[[#This Row],[Model]],表格3[Model-Input-Ref2],表格3[Product Line])</f>
        <v xml:space="preserve">變頻上置式雙門雪櫃313L </v>
      </c>
      <c r="I4041" s="86" t="str">
        <f>_xlfn.XLOOKUP(表格1[[#This Row],[Model]],表格3[Model-Input-Ref2],表格3[大小電])</f>
        <v>大電</v>
      </c>
      <c r="J4041" s="86" t="str">
        <f>_xlfn.XLOOKUP(表格1[[#This Row],[Model]],表格3[Model-Input-Ref2],表格3[Code])</f>
        <v>REF</v>
      </c>
      <c r="K4041" s="89" t="s">
        <v>1208</v>
      </c>
      <c r="L4041" s="86">
        <v>1</v>
      </c>
      <c r="M4041" s="87">
        <v>2888</v>
      </c>
      <c r="N4041" s="87">
        <f>IFERROR(表格1[[#This Row],[QTY]]*表格1[[#This Row],[Unit Price]],"-")</f>
        <v>2888</v>
      </c>
      <c r="R4041" s="86" t="str">
        <f>_xlfn.CONCAT(表格1[[#This Row],[Model]]," ",表格1[[#This Row],[inv no]])</f>
        <v xml:space="preserve">GR-RT416WE-PMA(06) </v>
      </c>
      <c r="S4041" s="86">
        <f>_xlfn.XLOOKUP(表格1[[#This Row],[Model]],表格3[Model-Input-Ref2],表格3[SRP PRICE])</f>
        <v>5380</v>
      </c>
      <c r="T4041" s="43">
        <f>表格1[[#This Row],[Unit Price]]/表格1[[#This Row],[SRP]]</f>
        <v>0.53680297397769516</v>
      </c>
      <c r="U4041" s="86" t="str">
        <f>_xlfn.XLOOKUP(表格1[[#This Row],[Model]],表格3[Model-Input-Ref2],表格3[TOSHIBA/HIGHEST])</f>
        <v>Toshiba SRP</v>
      </c>
      <c r="W4041" s="86" t="str">
        <f>_xlfn.CONCAT(表格1[[#This Row],[欄4]],表格1[[#This Row],[inv no]])</f>
        <v/>
      </c>
    </row>
    <row r="4042" spans="1:23" hidden="1">
      <c r="A4042" s="81">
        <v>4040</v>
      </c>
      <c r="B4042" s="86" t="s">
        <v>1203</v>
      </c>
      <c r="C4042" s="86" t="s">
        <v>1977</v>
      </c>
      <c r="D4042" s="89" t="str">
        <f ca="1">OFFSET(Roster!$A$3,MATCH(表格1[[#This Row],[Location]]&amp;" "&amp;表格1[[#This Row],[Shop]]&amp;"*",Roster!$A$4:$A$72,0),DAY(表格1[[#This Row],[date]]),1,1)</f>
        <v>Jessica off</v>
      </c>
      <c r="E4042" s="86">
        <f>MONTH(表格1[[#This Row],[date]])</f>
        <v>3</v>
      </c>
      <c r="F4042" s="90">
        <v>46091</v>
      </c>
      <c r="G4042" s="86" t="str">
        <f>VLOOKUP("*"&amp;表格1[[#This Row],[Input]]&amp;"*",'Ref-List'!$B:$D,2,)</f>
        <v>IC-21TSHK</v>
      </c>
      <c r="H4042" s="86" t="str">
        <f>_xlfn.XLOOKUP(表格1[[#This Row],[Model]],表格3[Model-Input-Ref2],表格3[Product Line])</f>
        <v>Induction Cooker</v>
      </c>
      <c r="I4042" s="86" t="str">
        <f>_xlfn.XLOOKUP(表格1[[#This Row],[Model]],表格3[Model-Input-Ref2],表格3[大小電])</f>
        <v>細電</v>
      </c>
      <c r="J4042" s="86" t="str">
        <f>_xlfn.XLOOKUP(表格1[[#This Row],[Model]],表格3[Model-Input-Ref2],表格3[Code])</f>
        <v>SDA</v>
      </c>
      <c r="K4042" s="89" t="s">
        <v>1242</v>
      </c>
      <c r="L4042" s="86">
        <v>1</v>
      </c>
      <c r="M4042" s="87">
        <v>500</v>
      </c>
      <c r="N4042" s="87">
        <f>IFERROR(表格1[[#This Row],[QTY]]*表格1[[#This Row],[Unit Price]],"-")</f>
        <v>500</v>
      </c>
      <c r="R4042" s="86" t="str">
        <f>_xlfn.CONCAT(表格1[[#This Row],[Model]]," ",表格1[[#This Row],[inv no]])</f>
        <v xml:space="preserve">IC-21TSHK </v>
      </c>
      <c r="S4042" s="86">
        <f>_xlfn.XLOOKUP(表格1[[#This Row],[Model]],表格3[Model-Input-Ref2],表格3[SRP PRICE])</f>
        <v>998</v>
      </c>
      <c r="T4042" s="43">
        <f>表格1[[#This Row],[Unit Price]]/表格1[[#This Row],[SRP]]</f>
        <v>0.50100200400801598</v>
      </c>
      <c r="U4042" s="86" t="str">
        <f>_xlfn.XLOOKUP(表格1[[#This Row],[Model]],表格3[Model-Input-Ref2],表格3[TOSHIBA/HIGHEST])</f>
        <v>web SRP</v>
      </c>
      <c r="W4042" s="86" t="str">
        <f>_xlfn.CONCAT(表格1[[#This Row],[欄4]],表格1[[#This Row],[inv no]])</f>
        <v/>
      </c>
    </row>
    <row r="4043" spans="1:23" hidden="1">
      <c r="A4043" s="81">
        <v>4041</v>
      </c>
      <c r="B4043" s="86" t="s">
        <v>1203</v>
      </c>
      <c r="C4043" s="86" t="s">
        <v>1977</v>
      </c>
      <c r="D4043" s="89" t="str">
        <f ca="1">OFFSET(Roster!$A$3,MATCH(表格1[[#This Row],[Location]]&amp;" "&amp;表格1[[#This Row],[Shop]]&amp;"*",Roster!$A$4:$A$72,0),DAY(表格1[[#This Row],[date]]),1,1)</f>
        <v>Jessica off</v>
      </c>
      <c r="E4043" s="86">
        <f>MONTH(表格1[[#This Row],[date]])</f>
        <v>3</v>
      </c>
      <c r="F4043" s="90">
        <v>46091</v>
      </c>
      <c r="G4043" s="86" t="str">
        <f>VLOOKUP("*"&amp;表格1[[#This Row],[Input]]&amp;"*",'Ref-List'!$B:$D,2,)</f>
        <v>RC-15ISTHK(W)</v>
      </c>
      <c r="H4043" s="86" t="str">
        <f>_xlfn.XLOOKUP(表格1[[#This Row],[Model]],表格3[Model-Input-Ref2],表格3[Product Line])</f>
        <v>磁應電飯煲(1.5公升)</v>
      </c>
      <c r="I4043" s="86" t="str">
        <f>_xlfn.XLOOKUP(表格1[[#This Row],[Model]],表格3[Model-Input-Ref2],表格3[大小電])</f>
        <v>細電</v>
      </c>
      <c r="J4043" s="86" t="str">
        <f>_xlfn.XLOOKUP(表格1[[#This Row],[Model]],表格3[Model-Input-Ref2],表格3[Code])</f>
        <v>SDA</v>
      </c>
      <c r="K4043" s="89" t="s">
        <v>1204</v>
      </c>
      <c r="L4043" s="86">
        <v>2</v>
      </c>
      <c r="M4043" s="87">
        <v>500</v>
      </c>
      <c r="N4043" s="87">
        <f>IFERROR(表格1[[#This Row],[QTY]]*表格1[[#This Row],[Unit Price]],"-")</f>
        <v>1000</v>
      </c>
      <c r="R4043" s="86" t="str">
        <f>_xlfn.CONCAT(表格1[[#This Row],[Model]]," ",表格1[[#This Row],[inv no]])</f>
        <v xml:space="preserve">RC-15ISTHK(W) </v>
      </c>
      <c r="S4043" s="86">
        <f>_xlfn.XLOOKUP(表格1[[#This Row],[Model]],表格3[Model-Input-Ref2],表格3[SRP PRICE])</f>
        <v>1688</v>
      </c>
      <c r="T4043" s="43">
        <f>表格1[[#This Row],[Unit Price]]/表格1[[#This Row],[SRP]]</f>
        <v>0.29620853080568721</v>
      </c>
      <c r="U4043" s="86" t="str">
        <f>_xlfn.XLOOKUP(表格1[[#This Row],[Model]],表格3[Model-Input-Ref2],表格3[TOSHIBA/HIGHEST])</f>
        <v>Toshiba SRP</v>
      </c>
      <c r="W4043" s="86" t="str">
        <f>_xlfn.CONCAT(表格1[[#This Row],[欄4]],表格1[[#This Row],[inv no]])</f>
        <v/>
      </c>
    </row>
    <row r="4044" spans="1:23" hidden="1">
      <c r="A4044" s="81">
        <v>4042</v>
      </c>
      <c r="B4044" s="86" t="s">
        <v>1203</v>
      </c>
      <c r="C4044" s="86" t="s">
        <v>1977</v>
      </c>
      <c r="D4044" s="89" t="str">
        <f ca="1">OFFSET(Roster!$A$3,MATCH(表格1[[#This Row],[Location]]&amp;" "&amp;表格1[[#This Row],[Shop]]&amp;"*",Roster!$A$4:$A$72,0),DAY(表格1[[#This Row],[date]]),1,1)</f>
        <v>Jessica off</v>
      </c>
      <c r="E4044" s="86">
        <f>MONTH(表格1[[#This Row],[date]])</f>
        <v>3</v>
      </c>
      <c r="F4044" s="90">
        <v>46092</v>
      </c>
      <c r="G4044" s="86" t="str">
        <f>VLOOKUP("*"&amp;表格1[[#This Row],[Input]]&amp;"*",'Ref-List'!$B:$D,2,)</f>
        <v>RC-10NMFIH(WT)</v>
      </c>
      <c r="H4044" s="86" t="str">
        <f>_xlfn.XLOOKUP(表格1[[#This Row],[Model]],表格3[Model-Input-Ref2],表格3[Product Line])</f>
        <v>4毫米厚釜電飯煲1L</v>
      </c>
      <c r="I4044" s="86" t="str">
        <f>_xlfn.XLOOKUP(表格1[[#This Row],[Model]],表格3[Model-Input-Ref2],表格3[大小電])</f>
        <v>細電</v>
      </c>
      <c r="J4044" s="86" t="str">
        <f>_xlfn.XLOOKUP(表格1[[#This Row],[Model]],表格3[Model-Input-Ref2],表格3[Code])</f>
        <v>SDA</v>
      </c>
      <c r="K4044" s="89" t="s">
        <v>1244</v>
      </c>
      <c r="L4044" s="86">
        <v>2</v>
      </c>
      <c r="M4044" s="87">
        <v>702</v>
      </c>
      <c r="N4044" s="87">
        <f>IFERROR(表格1[[#This Row],[QTY]]*表格1[[#This Row],[Unit Price]],"-")</f>
        <v>1404</v>
      </c>
      <c r="R4044" s="86" t="str">
        <f>_xlfn.CONCAT(表格1[[#This Row],[Model]]," ",表格1[[#This Row],[inv no]])</f>
        <v xml:space="preserve">RC-10NMFIH(WT) </v>
      </c>
      <c r="S4044" s="86">
        <f>_xlfn.XLOOKUP(表格1[[#This Row],[Model]],表格3[Model-Input-Ref2],表格3[SRP PRICE])</f>
        <v>898</v>
      </c>
      <c r="T4044" s="43">
        <f>表格1[[#This Row],[Unit Price]]/表格1[[#This Row],[SRP]]</f>
        <v>0.78173719376391981</v>
      </c>
      <c r="U4044" s="86" t="str">
        <f>_xlfn.XLOOKUP(表格1[[#This Row],[Model]],表格3[Model-Input-Ref2],表格3[TOSHIBA/HIGHEST])</f>
        <v>Toshiba SRP</v>
      </c>
      <c r="W4044" s="86" t="str">
        <f>_xlfn.CONCAT(表格1[[#This Row],[欄4]],表格1[[#This Row],[inv no]])</f>
        <v/>
      </c>
    </row>
    <row r="4045" spans="1:23" hidden="1">
      <c r="A4045" s="81">
        <v>4043</v>
      </c>
      <c r="B4045" s="86" t="s">
        <v>1203</v>
      </c>
      <c r="C4045" s="86" t="s">
        <v>1977</v>
      </c>
      <c r="D4045" s="89" t="str">
        <f ca="1">OFFSET(Roster!$A$3,MATCH(表格1[[#This Row],[Location]]&amp;" "&amp;表格1[[#This Row],[Shop]]&amp;"*",Roster!$A$4:$A$72,0),DAY(表格1[[#This Row],[date]]),1,1)</f>
        <v>Jessica off</v>
      </c>
      <c r="E4045" s="86">
        <f>MONTH(表格1[[#This Row],[date]])</f>
        <v>3</v>
      </c>
      <c r="F4045" s="90">
        <v>46092</v>
      </c>
      <c r="G4045" s="86" t="str">
        <f>VLOOKUP("*"&amp;表格1[[#This Row],[Input]]&amp;"*",'Ref-List'!$B:$D,2,)</f>
        <v>RC-18NMFIH(WT)</v>
      </c>
      <c r="H4045" s="86" t="str">
        <f>_xlfn.XLOOKUP(表格1[[#This Row],[Model]],表格3[Model-Input-Ref2],表格3[Product Line])</f>
        <v>4毫米厚釜電飯煲1.8L</v>
      </c>
      <c r="I4045" s="86" t="str">
        <f>_xlfn.XLOOKUP(表格1[[#This Row],[Model]],表格3[Model-Input-Ref2],表格3[大小電])</f>
        <v>細電</v>
      </c>
      <c r="J4045" s="86" t="str">
        <f>_xlfn.XLOOKUP(表格1[[#This Row],[Model]],表格3[Model-Input-Ref2],表格3[Code])</f>
        <v>SDA</v>
      </c>
      <c r="K4045" s="89" t="s">
        <v>1267</v>
      </c>
      <c r="L4045" s="86">
        <v>2</v>
      </c>
      <c r="M4045" s="87">
        <v>760</v>
      </c>
      <c r="N4045" s="87">
        <f>IFERROR(表格1[[#This Row],[QTY]]*表格1[[#This Row],[Unit Price]],"-")</f>
        <v>1520</v>
      </c>
      <c r="R4045" s="86" t="str">
        <f>_xlfn.CONCAT(表格1[[#This Row],[Model]]," ",表格1[[#This Row],[inv no]])</f>
        <v xml:space="preserve">RC-18NMFIH(WT) </v>
      </c>
      <c r="S4045" s="86">
        <f>_xlfn.XLOOKUP(表格1[[#This Row],[Model]],表格3[Model-Input-Ref2],表格3[SRP PRICE])</f>
        <v>998</v>
      </c>
      <c r="T4045" s="43">
        <f>表格1[[#This Row],[Unit Price]]/表格1[[#This Row],[SRP]]</f>
        <v>0.76152304609218435</v>
      </c>
      <c r="U4045" s="86" t="str">
        <f>_xlfn.XLOOKUP(表格1[[#This Row],[Model]],表格3[Model-Input-Ref2],表格3[TOSHIBA/HIGHEST])</f>
        <v>Toshiba SRP</v>
      </c>
      <c r="W4045" s="86" t="str">
        <f>_xlfn.CONCAT(表格1[[#This Row],[欄4]],表格1[[#This Row],[inv no]])</f>
        <v/>
      </c>
    </row>
    <row r="4046" spans="1:23" hidden="1">
      <c r="A4046" s="81">
        <v>4044</v>
      </c>
      <c r="B4046" s="86" t="s">
        <v>1203</v>
      </c>
      <c r="C4046" s="86" t="s">
        <v>1977</v>
      </c>
      <c r="D4046" s="89" t="str">
        <f ca="1">OFFSET(Roster!$A$3,MATCH(表格1[[#This Row],[Location]]&amp;" "&amp;表格1[[#This Row],[Shop]]&amp;"*",Roster!$A$4:$A$72,0),DAY(表格1[[#This Row],[date]]),1,1)</f>
        <v>Jessica off</v>
      </c>
      <c r="E4046" s="86">
        <f>MONTH(表格1[[#This Row],[date]])</f>
        <v>3</v>
      </c>
      <c r="F4046" s="90">
        <v>46092</v>
      </c>
      <c r="G4046" s="86" t="str">
        <f>VLOOKUP("*"&amp;表格1[[#This Row],[Input]]&amp;"*",'Ref-List'!$B:$D,2,)</f>
        <v>RC-10AMXH(W)</v>
      </c>
      <c r="H4046" s="86" t="str">
        <f>_xlfn.XLOOKUP(表格1[[#This Row],[Model]],表格3[Model-Input-Ref2],表格3[Product Line])</f>
        <v>酵活炊電飯煲(1.0公升)</v>
      </c>
      <c r="I4046" s="86" t="str">
        <f>_xlfn.XLOOKUP(表格1[[#This Row],[Model]],表格3[Model-Input-Ref2],表格3[大小電])</f>
        <v>細電</v>
      </c>
      <c r="J4046" s="86" t="str">
        <f>_xlfn.XLOOKUP(表格1[[#This Row],[Model]],表格3[Model-Input-Ref2],表格3[Code])</f>
        <v>SDA</v>
      </c>
      <c r="K4046" s="89" t="s">
        <v>1279</v>
      </c>
      <c r="L4046" s="86">
        <v>1</v>
      </c>
      <c r="M4046" s="87">
        <v>940.5</v>
      </c>
      <c r="N4046" s="87">
        <f>IFERROR(表格1[[#This Row],[QTY]]*表格1[[#This Row],[Unit Price]],"-")</f>
        <v>940.5</v>
      </c>
      <c r="R4046" s="86" t="str">
        <f>_xlfn.CONCAT(表格1[[#This Row],[Model]]," ",表格1[[#This Row],[inv no]])</f>
        <v xml:space="preserve">RC-10AMXH(W) </v>
      </c>
      <c r="S4046" s="86">
        <f>_xlfn.XLOOKUP(表格1[[#This Row],[Model]],表格3[Model-Input-Ref2],表格3[SRP PRICE])</f>
        <v>1288</v>
      </c>
      <c r="T4046" s="43">
        <f>表格1[[#This Row],[Unit Price]]/表格1[[#This Row],[SRP]]</f>
        <v>0.73020186335403725</v>
      </c>
      <c r="U4046" s="86" t="str">
        <f>_xlfn.XLOOKUP(表格1[[#This Row],[Model]],表格3[Model-Input-Ref2],表格3[TOSHIBA/HIGHEST])</f>
        <v>Toshiba SRP</v>
      </c>
      <c r="W4046" s="86" t="str">
        <f>_xlfn.CONCAT(表格1[[#This Row],[欄4]],表格1[[#This Row],[inv no]])</f>
        <v/>
      </c>
    </row>
    <row r="4047" spans="1:23" hidden="1">
      <c r="A4047" s="81">
        <v>4045</v>
      </c>
      <c r="B4047" s="86" t="s">
        <v>1203</v>
      </c>
      <c r="C4047" s="86" t="s">
        <v>1977</v>
      </c>
      <c r="D4047" s="89" t="str">
        <f ca="1">OFFSET(Roster!$A$3,MATCH(表格1[[#This Row],[Location]]&amp;" "&amp;表格1[[#This Row],[Shop]]&amp;"*",Roster!$A$4:$A$72,0),DAY(表格1[[#This Row],[date]]),1,1)</f>
        <v>Jessica off</v>
      </c>
      <c r="E4047" s="86">
        <f>MONTH(表格1[[#This Row],[date]])</f>
        <v>3</v>
      </c>
      <c r="F4047" s="90">
        <v>46092</v>
      </c>
      <c r="G4047" s="86" t="str">
        <f>VLOOKUP("*"&amp;表格1[[#This Row],[Input]]&amp;"*",'Ref-List'!$B:$D,2,)</f>
        <v>IC-21TSHK</v>
      </c>
      <c r="H4047" s="86" t="str">
        <f>_xlfn.XLOOKUP(表格1[[#This Row],[Model]],表格3[Model-Input-Ref2],表格3[Product Line])</f>
        <v>Induction Cooker</v>
      </c>
      <c r="I4047" s="86" t="str">
        <f>_xlfn.XLOOKUP(表格1[[#This Row],[Model]],表格3[Model-Input-Ref2],表格3[大小電])</f>
        <v>細電</v>
      </c>
      <c r="J4047" s="86" t="str">
        <f>_xlfn.XLOOKUP(表格1[[#This Row],[Model]],表格3[Model-Input-Ref2],表格3[Code])</f>
        <v>SDA</v>
      </c>
      <c r="K4047" s="89" t="s">
        <v>1242</v>
      </c>
      <c r="L4047" s="86">
        <v>1</v>
      </c>
      <c r="M4047" s="87">
        <v>500</v>
      </c>
      <c r="N4047" s="87">
        <f>IFERROR(表格1[[#This Row],[QTY]]*表格1[[#This Row],[Unit Price]],"-")</f>
        <v>500</v>
      </c>
      <c r="R4047" s="86" t="str">
        <f>_xlfn.CONCAT(表格1[[#This Row],[Model]]," ",表格1[[#This Row],[inv no]])</f>
        <v xml:space="preserve">IC-21TSHK </v>
      </c>
      <c r="S4047" s="86">
        <f>_xlfn.XLOOKUP(表格1[[#This Row],[Model]],表格3[Model-Input-Ref2],表格3[SRP PRICE])</f>
        <v>998</v>
      </c>
      <c r="T4047" s="43">
        <f>表格1[[#This Row],[Unit Price]]/表格1[[#This Row],[SRP]]</f>
        <v>0.50100200400801598</v>
      </c>
      <c r="U4047" s="86" t="str">
        <f>_xlfn.XLOOKUP(表格1[[#This Row],[Model]],表格3[Model-Input-Ref2],表格3[TOSHIBA/HIGHEST])</f>
        <v>web SRP</v>
      </c>
      <c r="W4047" s="86" t="str">
        <f>_xlfn.CONCAT(表格1[[#This Row],[欄4]],表格1[[#This Row],[inv no]])</f>
        <v/>
      </c>
    </row>
    <row r="4048" spans="1:23" hidden="1">
      <c r="A4048" s="81">
        <v>4046</v>
      </c>
      <c r="B4048" s="86" t="s">
        <v>1203</v>
      </c>
      <c r="C4048" s="86" t="s">
        <v>1977</v>
      </c>
      <c r="D4048" s="89" t="str">
        <f ca="1">OFFSET(Roster!$A$3,MATCH(表格1[[#This Row],[Location]]&amp;" "&amp;表格1[[#This Row],[Shop]]&amp;"*",Roster!$A$4:$A$72,0),DAY(表格1[[#This Row],[date]]),1,1)</f>
        <v>Jessica off</v>
      </c>
      <c r="E4048" s="86">
        <f>MONTH(表格1[[#This Row],[date]])</f>
        <v>3</v>
      </c>
      <c r="F4048" s="90">
        <v>46092</v>
      </c>
      <c r="G4048" s="86" t="str">
        <f>VLOOKUP("*"&amp;表格1[[#This Row],[Input]]&amp;"*",'Ref-List'!$B:$D,2,)</f>
        <v>RC-15ISTHK(W)</v>
      </c>
      <c r="H4048" s="86" t="str">
        <f>_xlfn.XLOOKUP(表格1[[#This Row],[Model]],表格3[Model-Input-Ref2],表格3[Product Line])</f>
        <v>磁應電飯煲(1.5公升)</v>
      </c>
      <c r="I4048" s="86" t="str">
        <f>_xlfn.XLOOKUP(表格1[[#This Row],[Model]],表格3[Model-Input-Ref2],表格3[大小電])</f>
        <v>細電</v>
      </c>
      <c r="J4048" s="86" t="str">
        <f>_xlfn.XLOOKUP(表格1[[#This Row],[Model]],表格3[Model-Input-Ref2],表格3[Code])</f>
        <v>SDA</v>
      </c>
      <c r="K4048" s="89" t="s">
        <v>1204</v>
      </c>
      <c r="L4048" s="86">
        <v>2</v>
      </c>
      <c r="M4048" s="87">
        <v>500</v>
      </c>
      <c r="N4048" s="87">
        <f>IFERROR(表格1[[#This Row],[QTY]]*表格1[[#This Row],[Unit Price]],"-")</f>
        <v>1000</v>
      </c>
      <c r="R4048" s="86" t="str">
        <f>_xlfn.CONCAT(表格1[[#This Row],[Model]]," ",表格1[[#This Row],[inv no]])</f>
        <v xml:space="preserve">RC-15ISTHK(W) </v>
      </c>
      <c r="S4048" s="86">
        <f>_xlfn.XLOOKUP(表格1[[#This Row],[Model]],表格3[Model-Input-Ref2],表格3[SRP PRICE])</f>
        <v>1688</v>
      </c>
      <c r="T4048" s="43">
        <f>表格1[[#This Row],[Unit Price]]/表格1[[#This Row],[SRP]]</f>
        <v>0.29620853080568721</v>
      </c>
      <c r="U4048" s="86" t="str">
        <f>_xlfn.XLOOKUP(表格1[[#This Row],[Model]],表格3[Model-Input-Ref2],表格3[TOSHIBA/HIGHEST])</f>
        <v>Toshiba SRP</v>
      </c>
      <c r="W4048" s="86" t="str">
        <f>_xlfn.CONCAT(表格1[[#This Row],[欄4]],表格1[[#This Row],[inv no]])</f>
        <v/>
      </c>
    </row>
    <row r="4049" spans="1:23" hidden="1">
      <c r="A4049" s="81">
        <v>4047</v>
      </c>
      <c r="B4049" s="86" t="s">
        <v>1203</v>
      </c>
      <c r="C4049" s="86" t="s">
        <v>1977</v>
      </c>
      <c r="D4049" s="89" t="str">
        <f ca="1">OFFSET(Roster!$A$3,MATCH(表格1[[#This Row],[Location]]&amp;" "&amp;表格1[[#This Row],[Shop]]&amp;"*",Roster!$A$4:$A$72,0),DAY(表格1[[#This Row],[date]]),1,1)</f>
        <v>Jessica</v>
      </c>
      <c r="E4049" s="86">
        <f>MONTH(表格1[[#This Row],[date]])</f>
        <v>3</v>
      </c>
      <c r="F4049" s="90">
        <v>46093</v>
      </c>
      <c r="G4049" s="86" t="str">
        <f>VLOOKUP("*"&amp;表格1[[#This Row],[Input]]&amp;"*",'Ref-List'!$B:$D,2,)</f>
        <v>RC-5SLIH(W)</v>
      </c>
      <c r="H4049" s="86" t="str">
        <f>_xlfn.XLOOKUP(表格1[[#This Row],[Model]],表格3[Model-Input-Ref2],表格3[Product Line])</f>
        <v>微型電腦珍珠飯煲</v>
      </c>
      <c r="I4049" s="86" t="str">
        <f>_xlfn.XLOOKUP(表格1[[#This Row],[Model]],表格3[Model-Input-Ref2],表格3[大小電])</f>
        <v>細電</v>
      </c>
      <c r="J4049" s="86" t="str">
        <f>_xlfn.XLOOKUP(表格1[[#This Row],[Model]],表格3[Model-Input-Ref2],表格3[Code])</f>
        <v>SDA</v>
      </c>
      <c r="K4049" s="89" t="s">
        <v>1264</v>
      </c>
      <c r="L4049" s="86">
        <v>1</v>
      </c>
      <c r="M4049" s="87">
        <v>590</v>
      </c>
      <c r="N4049" s="87">
        <f>IFERROR(表格1[[#This Row],[QTY]]*表格1[[#This Row],[Unit Price]],"-")</f>
        <v>590</v>
      </c>
      <c r="R4049" s="86" t="str">
        <f>_xlfn.CONCAT(表格1[[#This Row],[Model]]," ",表格1[[#This Row],[inv no]])</f>
        <v xml:space="preserve">RC-5SLIH(W) </v>
      </c>
      <c r="S4049" s="86">
        <f>_xlfn.XLOOKUP(表格1[[#This Row],[Model]],表格3[Model-Input-Ref2],表格3[SRP PRICE])</f>
        <v>658</v>
      </c>
      <c r="T4049" s="43">
        <f>表格1[[#This Row],[Unit Price]]/表格1[[#This Row],[SRP]]</f>
        <v>0.89665653495440734</v>
      </c>
      <c r="U4049" s="86" t="str">
        <f>_xlfn.XLOOKUP(表格1[[#This Row],[Model]],表格3[Model-Input-Ref2],表格3[TOSHIBA/HIGHEST])</f>
        <v>Toshiba SRP</v>
      </c>
      <c r="W4049" s="86" t="str">
        <f>_xlfn.CONCAT(表格1[[#This Row],[欄4]],表格1[[#This Row],[inv no]])</f>
        <v/>
      </c>
    </row>
    <row r="4050" spans="1:23" hidden="1">
      <c r="A4050" s="81">
        <v>4048</v>
      </c>
      <c r="B4050" s="86" t="s">
        <v>1203</v>
      </c>
      <c r="C4050" s="86" t="s">
        <v>1977</v>
      </c>
      <c r="D4050" s="89" t="str">
        <f ca="1">OFFSET(Roster!$A$3,MATCH(表格1[[#This Row],[Location]]&amp;" "&amp;表格1[[#This Row],[Shop]]&amp;"*",Roster!$A$4:$A$72,0),DAY(表格1[[#This Row],[date]]),1,1)</f>
        <v>Jessica</v>
      </c>
      <c r="E4050" s="86">
        <f>MONTH(表格1[[#This Row],[date]])</f>
        <v>3</v>
      </c>
      <c r="F4050" s="90">
        <v>46093</v>
      </c>
      <c r="G4050" s="86" t="str">
        <f>VLOOKUP("*"&amp;表格1[[#This Row],[Input]]&amp;"*",'Ref-List'!$B:$D,2,)</f>
        <v>TWP-TSR76THK(W)</v>
      </c>
      <c r="H4050" s="86" t="str">
        <f>_xlfn.XLOOKUP(表格1[[#This Row],[Model]],表格3[Model-Input-Ref2],表格3[Product Line])</f>
        <v>RO座檯式飲水機</v>
      </c>
      <c r="I4050" s="86" t="str">
        <f>_xlfn.XLOOKUP(表格1[[#This Row],[Model]],表格3[Model-Input-Ref2],表格3[大小電])</f>
        <v>細電</v>
      </c>
      <c r="J4050" s="86" t="str">
        <f>_xlfn.XLOOKUP(表格1[[#This Row],[Model]],表格3[Model-Input-Ref2],表格3[Code])</f>
        <v>KWH</v>
      </c>
      <c r="K4050" s="89" t="s">
        <v>1197</v>
      </c>
      <c r="L4050" s="86">
        <v>1</v>
      </c>
      <c r="M4050" s="87">
        <v>1500</v>
      </c>
      <c r="N4050" s="87">
        <f>IFERROR(表格1[[#This Row],[QTY]]*表格1[[#This Row],[Unit Price]],"-")</f>
        <v>1500</v>
      </c>
      <c r="R4050" s="86" t="str">
        <f>_xlfn.CONCAT(表格1[[#This Row],[Model]]," ",表格1[[#This Row],[inv no]])</f>
        <v xml:space="preserve">TWP-TSR76THK(W) </v>
      </c>
      <c r="S4050" s="86">
        <f>_xlfn.XLOOKUP(表格1[[#This Row],[Model]],表格3[Model-Input-Ref2],表格3[SRP PRICE])</f>
        <v>2680</v>
      </c>
      <c r="T4050" s="43">
        <f>表格1[[#This Row],[Unit Price]]/表格1[[#This Row],[SRP]]</f>
        <v>0.55970149253731338</v>
      </c>
      <c r="U4050" s="86" t="str">
        <f>_xlfn.XLOOKUP(表格1[[#This Row],[Model]],表格3[Model-Input-Ref2],表格3[TOSHIBA/HIGHEST])</f>
        <v>Toshiba SRP</v>
      </c>
      <c r="W4050" s="86" t="str">
        <f>_xlfn.CONCAT(表格1[[#This Row],[欄4]],表格1[[#This Row],[inv no]])</f>
        <v/>
      </c>
    </row>
    <row r="4051" spans="1:23" hidden="1">
      <c r="A4051" s="81">
        <v>4049</v>
      </c>
      <c r="B4051" s="86" t="s">
        <v>1203</v>
      </c>
      <c r="C4051" s="86" t="s">
        <v>1977</v>
      </c>
      <c r="D4051" s="89" t="str">
        <f ca="1">OFFSET(Roster!$A$3,MATCH(表格1[[#This Row],[Location]]&amp;" "&amp;表格1[[#This Row],[Shop]]&amp;"*",Roster!$A$4:$A$72,0),DAY(表格1[[#This Row],[date]]),1,1)</f>
        <v>Jessica</v>
      </c>
      <c r="E4051" s="86">
        <f>MONTH(表格1[[#This Row],[date]])</f>
        <v>3</v>
      </c>
      <c r="F4051" s="90">
        <v>46093</v>
      </c>
      <c r="G4051" s="86" t="str">
        <f>VLOOKUP("*"&amp;表格1[[#This Row],[Input]]&amp;"*",'Ref-List'!$B:$D,2,)</f>
        <v>RC-15ISTHK(W)</v>
      </c>
      <c r="H4051" s="86" t="str">
        <f>_xlfn.XLOOKUP(表格1[[#This Row],[Model]],表格3[Model-Input-Ref2],表格3[Product Line])</f>
        <v>磁應電飯煲(1.5公升)</v>
      </c>
      <c r="I4051" s="86" t="str">
        <f>_xlfn.XLOOKUP(表格1[[#This Row],[Model]],表格3[Model-Input-Ref2],表格3[大小電])</f>
        <v>細電</v>
      </c>
      <c r="J4051" s="86" t="str">
        <f>_xlfn.XLOOKUP(表格1[[#This Row],[Model]],表格3[Model-Input-Ref2],表格3[Code])</f>
        <v>SDA</v>
      </c>
      <c r="K4051" s="89" t="s">
        <v>1204</v>
      </c>
      <c r="L4051" s="86">
        <v>3</v>
      </c>
      <c r="M4051" s="87">
        <v>500</v>
      </c>
      <c r="N4051" s="87">
        <f>IFERROR(表格1[[#This Row],[QTY]]*表格1[[#This Row],[Unit Price]],"-")</f>
        <v>1500</v>
      </c>
      <c r="R4051" s="86" t="str">
        <f>_xlfn.CONCAT(表格1[[#This Row],[Model]]," ",表格1[[#This Row],[inv no]])</f>
        <v xml:space="preserve">RC-15ISTHK(W) </v>
      </c>
      <c r="S4051" s="86">
        <f>_xlfn.XLOOKUP(表格1[[#This Row],[Model]],表格3[Model-Input-Ref2],表格3[SRP PRICE])</f>
        <v>1688</v>
      </c>
      <c r="T4051" s="43">
        <f>表格1[[#This Row],[Unit Price]]/表格1[[#This Row],[SRP]]</f>
        <v>0.29620853080568721</v>
      </c>
      <c r="U4051" s="86" t="str">
        <f>_xlfn.XLOOKUP(表格1[[#This Row],[Model]],表格3[Model-Input-Ref2],表格3[TOSHIBA/HIGHEST])</f>
        <v>Toshiba SRP</v>
      </c>
      <c r="W4051" s="86" t="str">
        <f>_xlfn.CONCAT(表格1[[#This Row],[欄4]],表格1[[#This Row],[inv no]])</f>
        <v/>
      </c>
    </row>
    <row r="4052" spans="1:23" hidden="1">
      <c r="A4052" s="81">
        <v>4050</v>
      </c>
      <c r="B4052" s="86" t="s">
        <v>1203</v>
      </c>
      <c r="C4052" s="86" t="s">
        <v>1977</v>
      </c>
      <c r="D4052" s="89" t="str">
        <f ca="1">OFFSET(Roster!$A$3,MATCH(表格1[[#This Row],[Location]]&amp;" "&amp;表格1[[#This Row],[Shop]]&amp;"*",Roster!$A$4:$A$72,0),DAY(表格1[[#This Row],[date]]),1,1)</f>
        <v>Jessica</v>
      </c>
      <c r="E4052" s="86">
        <f>MONTH(表格1[[#This Row],[date]])</f>
        <v>3</v>
      </c>
      <c r="F4052" s="90">
        <v>46094</v>
      </c>
      <c r="G4052" s="86" t="str">
        <f>VLOOKUP("*"&amp;表格1[[#This Row],[Input]]&amp;"*",'Ref-List'!$B:$D,2,)</f>
        <v>KT-17SHNH</v>
      </c>
      <c r="H4052" s="86" t="str">
        <f>_xlfn.XLOOKUP(表格1[[#This Row],[Model]],表格3[Model-Input-Ref2],表格3[Product Line])</f>
        <v>1.7L無線雙層電熱水壺</v>
      </c>
      <c r="I4052" s="86" t="str">
        <f>_xlfn.XLOOKUP(表格1[[#This Row],[Model]],表格3[Model-Input-Ref2],表格3[大小電])</f>
        <v>細電</v>
      </c>
      <c r="J4052" s="86" t="str">
        <f>_xlfn.XLOOKUP(表格1[[#This Row],[Model]],表格3[Model-Input-Ref2],表格3[Code])</f>
        <v>SDA</v>
      </c>
      <c r="K4052" s="89" t="s">
        <v>1283</v>
      </c>
      <c r="L4052" s="86">
        <v>1</v>
      </c>
      <c r="M4052" s="87">
        <v>190</v>
      </c>
      <c r="N4052" s="87">
        <f>IFERROR(表格1[[#This Row],[QTY]]*表格1[[#This Row],[Unit Price]],"-")</f>
        <v>190</v>
      </c>
      <c r="R4052" s="86" t="str">
        <f>_xlfn.CONCAT(表格1[[#This Row],[Model]]," ",表格1[[#This Row],[inv no]])</f>
        <v xml:space="preserve">KT-17SHNH </v>
      </c>
      <c r="S4052" s="86">
        <f>_xlfn.XLOOKUP(表格1[[#This Row],[Model]],表格3[Model-Input-Ref2],表格3[SRP PRICE])</f>
        <v>299</v>
      </c>
      <c r="T4052" s="43">
        <f>表格1[[#This Row],[Unit Price]]/表格1[[#This Row],[SRP]]</f>
        <v>0.63545150501672243</v>
      </c>
      <c r="U4052" s="86" t="str">
        <f>_xlfn.XLOOKUP(表格1[[#This Row],[Model]],表格3[Model-Input-Ref2],表格3[TOSHIBA/HIGHEST])</f>
        <v>Shops Highest Price</v>
      </c>
      <c r="W4052" s="86" t="str">
        <f>_xlfn.CONCAT(表格1[[#This Row],[欄4]],表格1[[#This Row],[inv no]])</f>
        <v/>
      </c>
    </row>
    <row r="4053" spans="1:23" hidden="1">
      <c r="A4053" s="81">
        <v>4051</v>
      </c>
      <c r="B4053" s="86" t="s">
        <v>1203</v>
      </c>
      <c r="C4053" s="86" t="s">
        <v>1977</v>
      </c>
      <c r="D4053" s="89" t="str">
        <f ca="1">OFFSET(Roster!$A$3,MATCH(表格1[[#This Row],[Location]]&amp;" "&amp;表格1[[#This Row],[Shop]]&amp;"*",Roster!$A$4:$A$72,0),DAY(表格1[[#This Row],[date]]),1,1)</f>
        <v>Jessica</v>
      </c>
      <c r="E4053" s="86">
        <f>MONTH(表格1[[#This Row],[date]])</f>
        <v>3</v>
      </c>
      <c r="F4053" s="90">
        <v>46094</v>
      </c>
      <c r="G4053" s="86" t="str">
        <f>VLOOKUP("*"&amp;表格1[[#This Row],[Input]]&amp;"*",'Ref-List'!$B:$D,2,)</f>
        <v>RC-5MMIH(WT)</v>
      </c>
      <c r="H4053" s="86" t="str">
        <f>_xlfn.XLOOKUP(表格1[[#This Row],[Model]],表格3[Model-Input-Ref2],表格3[Product Line])</f>
        <v>4毫米厚釜電飯煲0.54L</v>
      </c>
      <c r="I4053" s="86" t="str">
        <f>_xlfn.XLOOKUP(表格1[[#This Row],[Model]],表格3[Model-Input-Ref2],表格3[大小電])</f>
        <v>細電</v>
      </c>
      <c r="J4053" s="86" t="str">
        <f>_xlfn.XLOOKUP(表格1[[#This Row],[Model]],表格3[Model-Input-Ref2],表格3[Code])</f>
        <v>SDA</v>
      </c>
      <c r="K4053" s="89" t="s">
        <v>1195</v>
      </c>
      <c r="L4053" s="86">
        <v>1</v>
      </c>
      <c r="M4053" s="87">
        <v>490</v>
      </c>
      <c r="N4053" s="87">
        <f>IFERROR(表格1[[#This Row],[QTY]]*表格1[[#This Row],[Unit Price]],"-")</f>
        <v>490</v>
      </c>
      <c r="R4053" s="86" t="str">
        <f>_xlfn.CONCAT(表格1[[#This Row],[Model]]," ",表格1[[#This Row],[inv no]])</f>
        <v xml:space="preserve">RC-5MMIH(WT) </v>
      </c>
      <c r="S4053" s="86">
        <f>_xlfn.XLOOKUP(表格1[[#This Row],[Model]],表格3[Model-Input-Ref2],表格3[SRP PRICE])</f>
        <v>618</v>
      </c>
      <c r="T4053" s="43">
        <f>表格1[[#This Row],[Unit Price]]/表格1[[#This Row],[SRP]]</f>
        <v>0.79288025889967639</v>
      </c>
      <c r="U4053" s="86" t="str">
        <f>_xlfn.XLOOKUP(表格1[[#This Row],[Model]],表格3[Model-Input-Ref2],表格3[TOSHIBA/HIGHEST])</f>
        <v>Toshiba SRP</v>
      </c>
      <c r="W4053" s="86" t="str">
        <f>_xlfn.CONCAT(表格1[[#This Row],[欄4]],表格1[[#This Row],[inv no]])</f>
        <v/>
      </c>
    </row>
    <row r="4054" spans="1:23" hidden="1">
      <c r="A4054" s="81">
        <v>4052</v>
      </c>
      <c r="B4054" s="86" t="s">
        <v>1203</v>
      </c>
      <c r="C4054" s="86" t="s">
        <v>1977</v>
      </c>
      <c r="D4054" s="89" t="str">
        <f ca="1">OFFSET(Roster!$A$3,MATCH(表格1[[#This Row],[Location]]&amp;" "&amp;表格1[[#This Row],[Shop]]&amp;"*",Roster!$A$4:$A$72,0),DAY(表格1[[#This Row],[date]]),1,1)</f>
        <v>Jessica</v>
      </c>
      <c r="E4054" s="86">
        <f>MONTH(表格1[[#This Row],[date]])</f>
        <v>3</v>
      </c>
      <c r="F4054" s="90">
        <v>46094</v>
      </c>
      <c r="G4054" s="86" t="str">
        <f>VLOOKUP("*"&amp;表格1[[#This Row],[Input]]&amp;"*",'Ref-List'!$B:$D,2,)</f>
        <v>MWP-MM20P(WH)</v>
      </c>
      <c r="H4054" s="86" t="str">
        <f>_xlfn.XLOOKUP(表格1[[#This Row],[Model]],表格3[Model-Input-Ref2],表格3[Product Line])</f>
        <v>旋鈕式燒烤微波爐20L</v>
      </c>
      <c r="I4054" s="86" t="str">
        <f>_xlfn.XLOOKUP(表格1[[#This Row],[Model]],表格3[Model-Input-Ref2],表格3[大小電])</f>
        <v>細電</v>
      </c>
      <c r="J4054" s="86" t="str">
        <f>_xlfn.XLOOKUP(表格1[[#This Row],[Model]],表格3[Model-Input-Ref2],表格3[Code])</f>
        <v>SDA</v>
      </c>
      <c r="K4054" s="89" t="s">
        <v>1270</v>
      </c>
      <c r="L4054" s="86">
        <v>1</v>
      </c>
      <c r="M4054" s="87">
        <v>500</v>
      </c>
      <c r="N4054" s="87">
        <f>IFERROR(表格1[[#This Row],[QTY]]*表格1[[#This Row],[Unit Price]],"-")</f>
        <v>500</v>
      </c>
      <c r="R4054" s="86" t="str">
        <f>_xlfn.CONCAT(表格1[[#This Row],[Model]]," ",表格1[[#This Row],[inv no]])</f>
        <v xml:space="preserve">MWP-MM20P(WH) </v>
      </c>
      <c r="S4054" s="86">
        <f>_xlfn.XLOOKUP(表格1[[#This Row],[Model]],表格3[Model-Input-Ref2],表格3[SRP PRICE])</f>
        <v>648</v>
      </c>
      <c r="T4054" s="43">
        <f>表格1[[#This Row],[Unit Price]]/表格1[[#This Row],[SRP]]</f>
        <v>0.77160493827160492</v>
      </c>
      <c r="U4054" s="86" t="str">
        <f>_xlfn.XLOOKUP(表格1[[#This Row],[Model]],表格3[Model-Input-Ref2],表格3[TOSHIBA/HIGHEST])</f>
        <v>Toshiba SRP</v>
      </c>
      <c r="W4054" s="86" t="str">
        <f>_xlfn.CONCAT(表格1[[#This Row],[欄4]],表格1[[#This Row],[inv no]])</f>
        <v/>
      </c>
    </row>
    <row r="4055" spans="1:23" hidden="1">
      <c r="A4055" s="81">
        <v>4053</v>
      </c>
      <c r="B4055" s="86" t="s">
        <v>1203</v>
      </c>
      <c r="C4055" s="86" t="s">
        <v>1977</v>
      </c>
      <c r="D4055" s="89" t="str">
        <f ca="1">OFFSET(Roster!$A$3,MATCH(表格1[[#This Row],[Location]]&amp;" "&amp;表格1[[#This Row],[Shop]]&amp;"*",Roster!$A$4:$A$72,0),DAY(表格1[[#This Row],[date]]),1,1)</f>
        <v>Jessica</v>
      </c>
      <c r="E4055" s="86">
        <f>MONTH(表格1[[#This Row],[date]])</f>
        <v>3</v>
      </c>
      <c r="F4055" s="90">
        <v>46094</v>
      </c>
      <c r="G4055" s="86" t="str">
        <f>VLOOKUP("*"&amp;表格1[[#This Row],[Input]]&amp;"*",'Ref-List'!$B:$D,2,)</f>
        <v>TW-BL85A2H(WW)</v>
      </c>
      <c r="H4055" s="86" t="str">
        <f>_xlfn.XLOOKUP(表格1[[#This Row],[Model]],表格3[Model-Input-Ref2],表格3[Product Line])</f>
        <v>7.5KG超薄身前置式變頻洗衣機</v>
      </c>
      <c r="I4055" s="86" t="str">
        <f>_xlfn.XLOOKUP(表格1[[#This Row],[Model]],表格3[Model-Input-Ref2],表格3[大小電])</f>
        <v>大電</v>
      </c>
      <c r="J4055" s="86" t="str">
        <f>_xlfn.XLOOKUP(表格1[[#This Row],[Model]],表格3[Model-Input-Ref2],表格3[Code])</f>
        <v>WM</v>
      </c>
      <c r="K4055" s="89" t="s">
        <v>1206</v>
      </c>
      <c r="L4055" s="86">
        <v>1</v>
      </c>
      <c r="M4055" s="87">
        <v>2588</v>
      </c>
      <c r="N4055" s="87">
        <f>IFERROR(表格1[[#This Row],[QTY]]*表格1[[#This Row],[Unit Price]],"-")</f>
        <v>2588</v>
      </c>
      <c r="R4055" s="86" t="str">
        <f>_xlfn.CONCAT(表格1[[#This Row],[Model]]," ",表格1[[#This Row],[inv no]])</f>
        <v xml:space="preserve">TW-BL85A2H(WW) </v>
      </c>
      <c r="S4055" s="86">
        <f>_xlfn.XLOOKUP(表格1[[#This Row],[Model]],表格3[Model-Input-Ref2],表格3[SRP PRICE])</f>
        <v>5080</v>
      </c>
      <c r="T4055" s="43">
        <f>表格1[[#This Row],[Unit Price]]/表格1[[#This Row],[SRP]]</f>
        <v>0.50944881889763782</v>
      </c>
      <c r="U4055" s="86" t="str">
        <f>_xlfn.XLOOKUP(表格1[[#This Row],[Model]],表格3[Model-Input-Ref2],表格3[TOSHIBA/HIGHEST])</f>
        <v>Toshiba SRP</v>
      </c>
      <c r="W4055" s="86" t="str">
        <f>_xlfn.CONCAT(表格1[[#This Row],[欄4]],表格1[[#This Row],[inv no]])</f>
        <v/>
      </c>
    </row>
    <row r="4056" spans="1:23" hidden="1">
      <c r="A4056" s="81">
        <v>4054</v>
      </c>
      <c r="B4056" s="86" t="s">
        <v>1203</v>
      </c>
      <c r="C4056" s="86" t="s">
        <v>1977</v>
      </c>
      <c r="D4056" s="89" t="str">
        <f ca="1">OFFSET(Roster!$A$3,MATCH(表格1[[#This Row],[Location]]&amp;" "&amp;表格1[[#This Row],[Shop]]&amp;"*",Roster!$A$4:$A$72,0),DAY(表格1[[#This Row],[date]]),1,1)</f>
        <v>Jessica</v>
      </c>
      <c r="E4056" s="86">
        <f>MONTH(表格1[[#This Row],[date]])</f>
        <v>3</v>
      </c>
      <c r="F4056" s="90">
        <v>46094</v>
      </c>
      <c r="G4056" s="86" t="str">
        <f>VLOOKUP("*"&amp;表格1[[#This Row],[Input]]&amp;"*",'Ref-List'!$B:$D,2,)</f>
        <v>TWP-TSR76THK(W)</v>
      </c>
      <c r="H4056" s="86" t="str">
        <f>_xlfn.XLOOKUP(表格1[[#This Row],[Model]],表格3[Model-Input-Ref2],表格3[Product Line])</f>
        <v>RO座檯式飲水機</v>
      </c>
      <c r="I4056" s="86" t="str">
        <f>_xlfn.XLOOKUP(表格1[[#This Row],[Model]],表格3[Model-Input-Ref2],表格3[大小電])</f>
        <v>細電</v>
      </c>
      <c r="J4056" s="86" t="str">
        <f>_xlfn.XLOOKUP(表格1[[#This Row],[Model]],表格3[Model-Input-Ref2],表格3[Code])</f>
        <v>KWH</v>
      </c>
      <c r="K4056" s="89" t="s">
        <v>1197</v>
      </c>
      <c r="L4056" s="86">
        <v>2</v>
      </c>
      <c r="M4056" s="87">
        <v>1500</v>
      </c>
      <c r="N4056" s="87">
        <f>IFERROR(表格1[[#This Row],[QTY]]*表格1[[#This Row],[Unit Price]],"-")</f>
        <v>3000</v>
      </c>
      <c r="R4056" s="86" t="str">
        <f>_xlfn.CONCAT(表格1[[#This Row],[Model]]," ",表格1[[#This Row],[inv no]])</f>
        <v xml:space="preserve">TWP-TSR76THK(W) </v>
      </c>
      <c r="S4056" s="86">
        <f>_xlfn.XLOOKUP(表格1[[#This Row],[Model]],表格3[Model-Input-Ref2],表格3[SRP PRICE])</f>
        <v>2680</v>
      </c>
      <c r="T4056" s="43">
        <f>表格1[[#This Row],[Unit Price]]/表格1[[#This Row],[SRP]]</f>
        <v>0.55970149253731338</v>
      </c>
      <c r="U4056" s="86" t="str">
        <f>_xlfn.XLOOKUP(表格1[[#This Row],[Model]],表格3[Model-Input-Ref2],表格3[TOSHIBA/HIGHEST])</f>
        <v>Toshiba SRP</v>
      </c>
      <c r="W4056" s="86" t="str">
        <f>_xlfn.CONCAT(表格1[[#This Row],[欄4]],表格1[[#This Row],[inv no]])</f>
        <v/>
      </c>
    </row>
    <row r="4057" spans="1:23" hidden="1">
      <c r="A4057" s="81">
        <v>4055</v>
      </c>
      <c r="B4057" s="86" t="s">
        <v>1203</v>
      </c>
      <c r="C4057" s="86" t="s">
        <v>1977</v>
      </c>
      <c r="D4057" s="89" t="str">
        <f ca="1">OFFSET(Roster!$A$3,MATCH(表格1[[#This Row],[Location]]&amp;" "&amp;表格1[[#This Row],[Shop]]&amp;"*",Roster!$A$4:$A$72,0),DAY(表格1[[#This Row],[date]]),1,1)</f>
        <v>Jessica</v>
      </c>
      <c r="E4057" s="86">
        <f>MONTH(表格1[[#This Row],[date]])</f>
        <v>3</v>
      </c>
      <c r="F4057" s="90">
        <v>46094</v>
      </c>
      <c r="G4057" s="86" t="str">
        <f>VLOOKUP("*"&amp;表格1[[#This Row],[Input]]&amp;"*",'Ref-List'!$B:$D,2,)</f>
        <v>DWS-34AHK</v>
      </c>
      <c r="H4057" s="86" t="str">
        <f>_xlfn.XLOOKUP(表格1[[#This Row],[Model]],表格3[Model-Input-Ref2],表格3[Product Line])</f>
        <v>獨立式免安裝洗碗碟機</v>
      </c>
      <c r="I4057" s="86" t="str">
        <f>_xlfn.XLOOKUP(表格1[[#This Row],[Model]],表格3[Model-Input-Ref2],表格3[大小電])</f>
        <v>細電</v>
      </c>
      <c r="J4057" s="86" t="str">
        <f>_xlfn.XLOOKUP(表格1[[#This Row],[Model]],表格3[Model-Input-Ref2],表格3[Code])</f>
        <v>DM</v>
      </c>
      <c r="K4057" s="89" t="s">
        <v>1240</v>
      </c>
      <c r="L4057" s="86">
        <v>1</v>
      </c>
      <c r="M4057" s="87">
        <v>1500</v>
      </c>
      <c r="N4057" s="87">
        <f>IFERROR(表格1[[#This Row],[QTY]]*表格1[[#This Row],[Unit Price]],"-")</f>
        <v>1500</v>
      </c>
      <c r="R4057" s="86" t="str">
        <f>_xlfn.CONCAT(表格1[[#This Row],[Model]]," ",表格1[[#This Row],[inv no]])</f>
        <v xml:space="preserve">DWS-34AHK </v>
      </c>
      <c r="S4057" s="86">
        <f>_xlfn.XLOOKUP(表格1[[#This Row],[Model]],表格3[Model-Input-Ref2],表格3[SRP PRICE])</f>
        <v>3999</v>
      </c>
      <c r="T4057" s="43">
        <f>表格1[[#This Row],[Unit Price]]/表格1[[#This Row],[SRP]]</f>
        <v>0.37509377344336087</v>
      </c>
      <c r="U4057" s="86" t="str">
        <f>_xlfn.XLOOKUP(表格1[[#This Row],[Model]],表格3[Model-Input-Ref2],表格3[TOSHIBA/HIGHEST])</f>
        <v>Web SRP</v>
      </c>
      <c r="W4057" s="86" t="str">
        <f>_xlfn.CONCAT(表格1[[#This Row],[欄4]],表格1[[#This Row],[inv no]])</f>
        <v/>
      </c>
    </row>
    <row r="4058" spans="1:23" hidden="1">
      <c r="A4058" s="81">
        <v>4056</v>
      </c>
      <c r="B4058" s="86" t="s">
        <v>1203</v>
      </c>
      <c r="C4058" s="86" t="s">
        <v>1977</v>
      </c>
      <c r="D4058" s="89" t="str">
        <f ca="1">OFFSET(Roster!$A$3,MATCH(表格1[[#This Row],[Location]]&amp;" "&amp;表格1[[#This Row],[Shop]]&amp;"*",Roster!$A$4:$A$72,0),DAY(表格1[[#This Row],[date]]),1,1)</f>
        <v>Jessica</v>
      </c>
      <c r="E4058" s="86">
        <f>MONTH(表格1[[#This Row],[date]])</f>
        <v>3</v>
      </c>
      <c r="F4058" s="90">
        <v>46094</v>
      </c>
      <c r="G4058" s="86" t="str">
        <f>VLOOKUP("*"&amp;表格1[[#This Row],[Input]]&amp;"*",'Ref-List'!$B:$D,2,)</f>
        <v>IC-21TSHK</v>
      </c>
      <c r="H4058" s="86" t="str">
        <f>_xlfn.XLOOKUP(表格1[[#This Row],[Model]],表格3[Model-Input-Ref2],表格3[Product Line])</f>
        <v>Induction Cooker</v>
      </c>
      <c r="I4058" s="86" t="str">
        <f>_xlfn.XLOOKUP(表格1[[#This Row],[Model]],表格3[Model-Input-Ref2],表格3[大小電])</f>
        <v>細電</v>
      </c>
      <c r="J4058" s="86" t="str">
        <f>_xlfn.XLOOKUP(表格1[[#This Row],[Model]],表格3[Model-Input-Ref2],表格3[Code])</f>
        <v>SDA</v>
      </c>
      <c r="K4058" s="89" t="s">
        <v>1242</v>
      </c>
      <c r="L4058" s="86">
        <v>1</v>
      </c>
      <c r="M4058" s="87">
        <v>500</v>
      </c>
      <c r="N4058" s="87">
        <f>IFERROR(表格1[[#This Row],[QTY]]*表格1[[#This Row],[Unit Price]],"-")</f>
        <v>500</v>
      </c>
      <c r="R4058" s="86" t="str">
        <f>_xlfn.CONCAT(表格1[[#This Row],[Model]]," ",表格1[[#This Row],[inv no]])</f>
        <v xml:space="preserve">IC-21TSHK </v>
      </c>
      <c r="S4058" s="86">
        <f>_xlfn.XLOOKUP(表格1[[#This Row],[Model]],表格3[Model-Input-Ref2],表格3[SRP PRICE])</f>
        <v>998</v>
      </c>
      <c r="T4058" s="43">
        <f>表格1[[#This Row],[Unit Price]]/表格1[[#This Row],[SRP]]</f>
        <v>0.50100200400801598</v>
      </c>
      <c r="U4058" s="86" t="str">
        <f>_xlfn.XLOOKUP(表格1[[#This Row],[Model]],表格3[Model-Input-Ref2],表格3[TOSHIBA/HIGHEST])</f>
        <v>web SRP</v>
      </c>
      <c r="W4058" s="86" t="str">
        <f>_xlfn.CONCAT(表格1[[#This Row],[欄4]],表格1[[#This Row],[inv no]])</f>
        <v/>
      </c>
    </row>
    <row r="4059" spans="1:23" hidden="1">
      <c r="A4059" s="81">
        <v>4057</v>
      </c>
      <c r="B4059" s="86" t="s">
        <v>1203</v>
      </c>
      <c r="C4059" s="86" t="s">
        <v>1977</v>
      </c>
      <c r="D4059" s="89" t="str">
        <f ca="1">OFFSET(Roster!$A$3,MATCH(表格1[[#This Row],[Location]]&amp;" "&amp;表格1[[#This Row],[Shop]]&amp;"*",Roster!$A$4:$A$72,0),DAY(表格1[[#This Row],[date]]),1,1)</f>
        <v>Jessica</v>
      </c>
      <c r="E4059" s="86">
        <f>MONTH(表格1[[#This Row],[date]])</f>
        <v>3</v>
      </c>
      <c r="F4059" s="90">
        <v>46095</v>
      </c>
      <c r="G4059" s="86" t="str">
        <f>VLOOKUP("*"&amp;表格1[[#This Row],[Input]]&amp;"*",'Ref-List'!$B:$D,2,)</f>
        <v>PLK-45SFIH(WT)</v>
      </c>
      <c r="H4059" s="86" t="str">
        <f>_xlfn.XLOOKUP(表格1[[#This Row],[Model]],表格3[Model-Input-Ref2],表格3[Product Line])</f>
        <v>電熱水瓶4.5L</v>
      </c>
      <c r="I4059" s="86" t="str">
        <f>_xlfn.XLOOKUP(表格1[[#This Row],[Model]],表格3[Model-Input-Ref2],表格3[大小電])</f>
        <v>細電</v>
      </c>
      <c r="J4059" s="86" t="str">
        <f>_xlfn.XLOOKUP(表格1[[#This Row],[Model]],表格3[Model-Input-Ref2],表格3[Code])</f>
        <v>SDA</v>
      </c>
      <c r="K4059" s="89" t="s">
        <v>1117</v>
      </c>
      <c r="L4059" s="86">
        <v>1</v>
      </c>
      <c r="M4059" s="87">
        <v>500</v>
      </c>
      <c r="N4059" s="87">
        <f>IFERROR(表格1[[#This Row],[QTY]]*表格1[[#This Row],[Unit Price]],"-")</f>
        <v>500</v>
      </c>
      <c r="R4059" s="86" t="str">
        <f>_xlfn.CONCAT(表格1[[#This Row],[Model]]," ",表格1[[#This Row],[inv no]])</f>
        <v xml:space="preserve">PLK-45SFIH(WT) </v>
      </c>
      <c r="S4059" s="86">
        <f>_xlfn.XLOOKUP(表格1[[#This Row],[Model]],表格3[Model-Input-Ref2],表格3[SRP PRICE])</f>
        <v>788</v>
      </c>
      <c r="T4059" s="43">
        <f>表格1[[#This Row],[Unit Price]]/表格1[[#This Row],[SRP]]</f>
        <v>0.63451776649746194</v>
      </c>
      <c r="U4059" s="86" t="str">
        <f>_xlfn.XLOOKUP(表格1[[#This Row],[Model]],表格3[Model-Input-Ref2],表格3[TOSHIBA/HIGHEST])</f>
        <v>Toshiba SRP</v>
      </c>
      <c r="W4059" s="86" t="str">
        <f>_xlfn.CONCAT(表格1[[#This Row],[欄4]],表格1[[#This Row],[inv no]])</f>
        <v/>
      </c>
    </row>
    <row r="4060" spans="1:23" hidden="1">
      <c r="A4060" s="81">
        <v>4058</v>
      </c>
      <c r="B4060" s="86" t="s">
        <v>1203</v>
      </c>
      <c r="C4060" s="86" t="s">
        <v>1977</v>
      </c>
      <c r="D4060" s="89" t="str">
        <f ca="1">OFFSET(Roster!$A$3,MATCH(表格1[[#This Row],[Location]]&amp;" "&amp;表格1[[#This Row],[Shop]]&amp;"*",Roster!$A$4:$A$72,0),DAY(表格1[[#This Row],[date]]),1,1)</f>
        <v>Jessica</v>
      </c>
      <c r="E4060" s="86">
        <f>MONTH(表格1[[#This Row],[date]])</f>
        <v>3</v>
      </c>
      <c r="F4060" s="90">
        <v>46095</v>
      </c>
      <c r="G4060" s="86" t="str">
        <f>VLOOKUP("*"&amp;表格1[[#This Row],[Input]]&amp;"*",'Ref-List'!$B:$D,2,)</f>
        <v>RC-5SLIH(W)</v>
      </c>
      <c r="H4060" s="86" t="str">
        <f>_xlfn.XLOOKUP(表格1[[#This Row],[Model]],表格3[Model-Input-Ref2],表格3[Product Line])</f>
        <v>微型電腦珍珠飯煲</v>
      </c>
      <c r="I4060" s="86" t="str">
        <f>_xlfn.XLOOKUP(表格1[[#This Row],[Model]],表格3[Model-Input-Ref2],表格3[大小電])</f>
        <v>細電</v>
      </c>
      <c r="J4060" s="86" t="str">
        <f>_xlfn.XLOOKUP(表格1[[#This Row],[Model]],表格3[Model-Input-Ref2],表格3[Code])</f>
        <v>SDA</v>
      </c>
      <c r="K4060" s="89" t="s">
        <v>1264</v>
      </c>
      <c r="L4060" s="86">
        <v>1</v>
      </c>
      <c r="M4060" s="87">
        <v>590</v>
      </c>
      <c r="N4060" s="87">
        <f>IFERROR(表格1[[#This Row],[QTY]]*表格1[[#This Row],[Unit Price]],"-")</f>
        <v>590</v>
      </c>
      <c r="R4060" s="86" t="str">
        <f>_xlfn.CONCAT(表格1[[#This Row],[Model]]," ",表格1[[#This Row],[inv no]])</f>
        <v xml:space="preserve">RC-5SLIH(W) </v>
      </c>
      <c r="S4060" s="86">
        <f>_xlfn.XLOOKUP(表格1[[#This Row],[Model]],表格3[Model-Input-Ref2],表格3[SRP PRICE])</f>
        <v>658</v>
      </c>
      <c r="T4060" s="43">
        <f>表格1[[#This Row],[Unit Price]]/表格1[[#This Row],[SRP]]</f>
        <v>0.89665653495440734</v>
      </c>
      <c r="U4060" s="86" t="str">
        <f>_xlfn.XLOOKUP(表格1[[#This Row],[Model]],表格3[Model-Input-Ref2],表格3[TOSHIBA/HIGHEST])</f>
        <v>Toshiba SRP</v>
      </c>
      <c r="W4060" s="86" t="str">
        <f>_xlfn.CONCAT(表格1[[#This Row],[欄4]],表格1[[#This Row],[inv no]])</f>
        <v/>
      </c>
    </row>
    <row r="4061" spans="1:23" hidden="1">
      <c r="A4061" s="81">
        <v>4059</v>
      </c>
      <c r="B4061" s="86" t="s">
        <v>1203</v>
      </c>
      <c r="C4061" s="86" t="s">
        <v>1977</v>
      </c>
      <c r="D4061" s="89" t="str">
        <f ca="1">OFFSET(Roster!$A$3,MATCH(表格1[[#This Row],[Location]]&amp;" "&amp;表格1[[#This Row],[Shop]]&amp;"*",Roster!$A$4:$A$72,0),DAY(表格1[[#This Row],[date]]),1,1)</f>
        <v>Jessica</v>
      </c>
      <c r="E4061" s="86">
        <f>MONTH(表格1[[#This Row],[date]])</f>
        <v>3</v>
      </c>
      <c r="F4061" s="90">
        <v>46095</v>
      </c>
      <c r="G4061" s="86" t="str">
        <f>VLOOKUP("*"&amp;表格1[[#This Row],[Input]]&amp;"*",'Ref-List'!$B:$D,2,)</f>
        <v>MWP-MM20P(WH)</v>
      </c>
      <c r="H4061" s="86" t="str">
        <f>_xlfn.XLOOKUP(表格1[[#This Row],[Model]],表格3[Model-Input-Ref2],表格3[Product Line])</f>
        <v>旋鈕式燒烤微波爐20L</v>
      </c>
      <c r="I4061" s="86" t="str">
        <f>_xlfn.XLOOKUP(表格1[[#This Row],[Model]],表格3[Model-Input-Ref2],表格3[大小電])</f>
        <v>細電</v>
      </c>
      <c r="J4061" s="86" t="str">
        <f>_xlfn.XLOOKUP(表格1[[#This Row],[Model]],表格3[Model-Input-Ref2],表格3[Code])</f>
        <v>SDA</v>
      </c>
      <c r="K4061" s="89" t="s">
        <v>1270</v>
      </c>
      <c r="L4061" s="86">
        <v>1</v>
      </c>
      <c r="M4061" s="87">
        <v>580</v>
      </c>
      <c r="N4061" s="87">
        <f>IFERROR(表格1[[#This Row],[QTY]]*表格1[[#This Row],[Unit Price]],"-")</f>
        <v>580</v>
      </c>
      <c r="R4061" s="86" t="str">
        <f>_xlfn.CONCAT(表格1[[#This Row],[Model]]," ",表格1[[#This Row],[inv no]])</f>
        <v xml:space="preserve">MWP-MM20P(WH) </v>
      </c>
      <c r="S4061" s="86">
        <f>_xlfn.XLOOKUP(表格1[[#This Row],[Model]],表格3[Model-Input-Ref2],表格3[SRP PRICE])</f>
        <v>648</v>
      </c>
      <c r="T4061" s="43">
        <f>表格1[[#This Row],[Unit Price]]/表格1[[#This Row],[SRP]]</f>
        <v>0.89506172839506171</v>
      </c>
      <c r="U4061" s="86" t="str">
        <f>_xlfn.XLOOKUP(表格1[[#This Row],[Model]],表格3[Model-Input-Ref2],表格3[TOSHIBA/HIGHEST])</f>
        <v>Toshiba SRP</v>
      </c>
      <c r="W4061" s="86" t="str">
        <f>_xlfn.CONCAT(表格1[[#This Row],[欄4]],表格1[[#This Row],[inv no]])</f>
        <v/>
      </c>
    </row>
    <row r="4062" spans="1:23" hidden="1">
      <c r="A4062" s="81">
        <v>4060</v>
      </c>
      <c r="B4062" s="86" t="s">
        <v>1203</v>
      </c>
      <c r="C4062" s="86" t="s">
        <v>1977</v>
      </c>
      <c r="D4062" s="89" t="str">
        <f ca="1">OFFSET(Roster!$A$3,MATCH(表格1[[#This Row],[Location]]&amp;" "&amp;表格1[[#This Row],[Shop]]&amp;"*",Roster!$A$4:$A$72,0),DAY(表格1[[#This Row],[date]]),1,1)</f>
        <v>Jessica</v>
      </c>
      <c r="E4062" s="86">
        <f>MONTH(表格1[[#This Row],[date]])</f>
        <v>3</v>
      </c>
      <c r="F4062" s="90">
        <v>46095</v>
      </c>
      <c r="G4062" s="86" t="str">
        <f>VLOOKUP("*"&amp;表格1[[#This Row],[Input]]&amp;"*",'Ref-List'!$B:$D,2,)</f>
        <v>MW2-MM24PC(BK)</v>
      </c>
      <c r="H4062" s="86" t="str">
        <f>_xlfn.XLOOKUP(表格1[[#This Row],[Model]],表格3[Model-Input-Ref2],表格3[Product Line])</f>
        <v>旋鈕式微波爐24L</v>
      </c>
      <c r="I4062" s="86" t="str">
        <f>_xlfn.XLOOKUP(表格1[[#This Row],[Model]],表格3[Model-Input-Ref2],表格3[大小電])</f>
        <v>細電</v>
      </c>
      <c r="J4062" s="86" t="str">
        <f>_xlfn.XLOOKUP(表格1[[#This Row],[Model]],表格3[Model-Input-Ref2],表格3[Code])</f>
        <v>SDA</v>
      </c>
      <c r="K4062" s="89" t="s">
        <v>1196</v>
      </c>
      <c r="L4062" s="86">
        <v>1</v>
      </c>
      <c r="M4062" s="87">
        <v>500</v>
      </c>
      <c r="N4062" s="87">
        <f>IFERROR(表格1[[#This Row],[QTY]]*表格1[[#This Row],[Unit Price]],"-")</f>
        <v>500</v>
      </c>
      <c r="R4062" s="86" t="str">
        <f>_xlfn.CONCAT(表格1[[#This Row],[Model]]," ",表格1[[#This Row],[inv no]])</f>
        <v xml:space="preserve">MW2-MM24PC(BK) </v>
      </c>
      <c r="S4062" s="86">
        <f>_xlfn.XLOOKUP(表格1[[#This Row],[Model]],表格3[Model-Input-Ref2],表格3[SRP PRICE])</f>
        <v>848</v>
      </c>
      <c r="T4062" s="43">
        <f>表格1[[#This Row],[Unit Price]]/表格1[[#This Row],[SRP]]</f>
        <v>0.589622641509434</v>
      </c>
      <c r="U4062" s="86" t="str">
        <f>_xlfn.XLOOKUP(表格1[[#This Row],[Model]],表格3[Model-Input-Ref2],表格3[TOSHIBA/HIGHEST])</f>
        <v>Toshiba SRP</v>
      </c>
      <c r="W4062" s="86" t="str">
        <f>_xlfn.CONCAT(表格1[[#This Row],[欄4]],表格1[[#This Row],[inv no]])</f>
        <v/>
      </c>
    </row>
    <row r="4063" spans="1:23" hidden="1">
      <c r="A4063" s="81">
        <v>4061</v>
      </c>
      <c r="B4063" s="86" t="s">
        <v>1203</v>
      </c>
      <c r="C4063" s="86" t="s">
        <v>1977</v>
      </c>
      <c r="D4063" s="89" t="str">
        <f ca="1">OFFSET(Roster!$A$3,MATCH(表格1[[#This Row],[Location]]&amp;" "&amp;表格1[[#This Row],[Shop]]&amp;"*",Roster!$A$4:$A$72,0),DAY(表格1[[#This Row],[date]]),1,1)</f>
        <v>Jessica</v>
      </c>
      <c r="E4063" s="86">
        <f>MONTH(表格1[[#This Row],[date]])</f>
        <v>3</v>
      </c>
      <c r="F4063" s="90">
        <v>46095</v>
      </c>
      <c r="G4063" s="86" t="str">
        <f>VLOOKUP("*"&amp;表格1[[#This Row],[Input]]&amp;"*",'Ref-List'!$B:$D,2,)</f>
        <v>RC-10ISSHK(W)</v>
      </c>
      <c r="H4063" s="86" t="str">
        <f>_xlfn.XLOOKUP(表格1[[#This Row],[Model]],表格3[Model-Input-Ref2],表格3[Product Line])</f>
        <v>磁應電飯煲(1公升)</v>
      </c>
      <c r="I4063" s="86" t="str">
        <f>_xlfn.XLOOKUP(表格1[[#This Row],[Model]],表格3[Model-Input-Ref2],表格3[大小電])</f>
        <v>細電</v>
      </c>
      <c r="J4063" s="86" t="str">
        <f>_xlfn.XLOOKUP(表格1[[#This Row],[Model]],表格3[Model-Input-Ref2],表格3[Code])</f>
        <v>SDA</v>
      </c>
      <c r="K4063" s="89" t="s">
        <v>1286</v>
      </c>
      <c r="L4063" s="86">
        <v>1</v>
      </c>
      <c r="M4063" s="87">
        <v>890</v>
      </c>
      <c r="N4063" s="87">
        <f>IFERROR(表格1[[#This Row],[QTY]]*表格1[[#This Row],[Unit Price]],"-")</f>
        <v>890</v>
      </c>
      <c r="R4063" s="86" t="str">
        <f>_xlfn.CONCAT(表格1[[#This Row],[Model]]," ",表格1[[#This Row],[inv no]])</f>
        <v xml:space="preserve">RC-10ISSHK(W) </v>
      </c>
      <c r="S4063" s="86">
        <f>_xlfn.XLOOKUP(表格1[[#This Row],[Model]],表格3[Model-Input-Ref2],表格3[SRP PRICE])</f>
        <v>1188</v>
      </c>
      <c r="T4063" s="43">
        <f>表格1[[#This Row],[Unit Price]]/表格1[[#This Row],[SRP]]</f>
        <v>0.74915824915824913</v>
      </c>
      <c r="U4063" s="86" t="str">
        <f>_xlfn.XLOOKUP(表格1[[#This Row],[Model]],表格3[Model-Input-Ref2],表格3[TOSHIBA/HIGHEST])</f>
        <v>Shops Highest Price</v>
      </c>
      <c r="W4063" s="86" t="str">
        <f>_xlfn.CONCAT(表格1[[#This Row],[欄4]],表格1[[#This Row],[inv no]])</f>
        <v/>
      </c>
    </row>
    <row r="4064" spans="1:23" hidden="1">
      <c r="A4064" s="81">
        <v>4062</v>
      </c>
      <c r="B4064" s="86" t="s">
        <v>1203</v>
      </c>
      <c r="C4064" s="86" t="s">
        <v>1977</v>
      </c>
      <c r="D4064" s="89" t="str">
        <f ca="1">OFFSET(Roster!$A$3,MATCH(表格1[[#This Row],[Location]]&amp;" "&amp;表格1[[#This Row],[Shop]]&amp;"*",Roster!$A$4:$A$72,0),DAY(表格1[[#This Row],[date]]),1,1)</f>
        <v>Jessica</v>
      </c>
      <c r="E4064" s="86">
        <f>MONTH(表格1[[#This Row],[date]])</f>
        <v>3</v>
      </c>
      <c r="F4064" s="90">
        <v>46095</v>
      </c>
      <c r="G4064" s="86" t="str">
        <f>VLOOKUP("*"&amp;表格1[[#This Row],[Input]]&amp;"*",'Ref-List'!$B:$D,2,)</f>
        <v>MS5-STR30SC(BK)</v>
      </c>
      <c r="H4064" s="86" t="str">
        <f>_xlfn.XLOOKUP(表格1[[#This Row],[Model]],表格3[Model-Input-Ref2],表格3[Product Line])</f>
        <v>30公升蒸氣焗爐</v>
      </c>
      <c r="I4064" s="86" t="str">
        <f>_xlfn.XLOOKUP(表格1[[#This Row],[Model]],表格3[Model-Input-Ref2],表格3[大小電])</f>
        <v>細電</v>
      </c>
      <c r="J4064" s="86" t="str">
        <f>_xlfn.XLOOKUP(表格1[[#This Row],[Model]],表格3[Model-Input-Ref2],表格3[Code])</f>
        <v>MCA</v>
      </c>
      <c r="K4064" s="89" t="s">
        <v>1379</v>
      </c>
      <c r="L4064" s="86">
        <v>1</v>
      </c>
      <c r="M4064" s="87">
        <v>3781</v>
      </c>
      <c r="N4064" s="87">
        <f>IFERROR(表格1[[#This Row],[QTY]]*表格1[[#This Row],[Unit Price]],"-")</f>
        <v>3781</v>
      </c>
      <c r="R4064" s="86" t="str">
        <f>_xlfn.CONCAT(表格1[[#This Row],[Model]]," ",表格1[[#This Row],[inv no]])</f>
        <v xml:space="preserve">MS5-STR30SC(BK) </v>
      </c>
      <c r="S4064" s="86">
        <f>_xlfn.XLOOKUP(表格1[[#This Row],[Model]],表格3[Model-Input-Ref2],表格3[SRP PRICE])</f>
        <v>5998</v>
      </c>
      <c r="T4064" s="43">
        <f>表格1[[#This Row],[Unit Price]]/表格1[[#This Row],[SRP]]</f>
        <v>0.63037679226408805</v>
      </c>
      <c r="U4064" s="86" t="str">
        <f>_xlfn.XLOOKUP(表格1[[#This Row],[Model]],表格3[Model-Input-Ref2],表格3[TOSHIBA/HIGHEST])</f>
        <v>Shops Highest Price</v>
      </c>
      <c r="W4064" s="86" t="str">
        <f>_xlfn.CONCAT(表格1[[#This Row],[欄4]],表格1[[#This Row],[inv no]])</f>
        <v/>
      </c>
    </row>
    <row r="4065" spans="1:23" hidden="1">
      <c r="A4065" s="81">
        <v>4063</v>
      </c>
      <c r="B4065" s="86" t="s">
        <v>1203</v>
      </c>
      <c r="C4065" s="86" t="s">
        <v>1977</v>
      </c>
      <c r="D4065" s="89" t="str">
        <f ca="1">OFFSET(Roster!$A$3,MATCH(表格1[[#This Row],[Location]]&amp;" "&amp;表格1[[#This Row],[Shop]]&amp;"*",Roster!$A$4:$A$72,0),DAY(表格1[[#This Row],[date]]),1,1)</f>
        <v>Jessica</v>
      </c>
      <c r="E4065" s="86">
        <f>MONTH(表格1[[#This Row],[date]])</f>
        <v>3</v>
      </c>
      <c r="F4065" s="90">
        <v>46095</v>
      </c>
      <c r="G4065" s="86" t="str">
        <f>VLOOKUP("*"&amp;表格1[[#This Row],[Input]]&amp;"*",'Ref-List'!$B:$D,2,)</f>
        <v>MS3-STQ20SC(WH)</v>
      </c>
      <c r="H4065" s="86" t="str">
        <f>_xlfn.XLOOKUP(表格1[[#This Row],[Model]],表格3[Model-Input-Ref2],表格3[Product Line])</f>
        <v>20L 智能蒸氣焗爐</v>
      </c>
      <c r="I4065" s="86" t="str">
        <f>_xlfn.XLOOKUP(表格1[[#This Row],[Model]],表格3[Model-Input-Ref2],表格3[大小電])</f>
        <v>細電</v>
      </c>
      <c r="J4065" s="86" t="str">
        <f>_xlfn.XLOOKUP(表格1[[#This Row],[Model]],表格3[Model-Input-Ref2],表格3[Code])</f>
        <v>MCA</v>
      </c>
      <c r="K4065" s="89" t="s">
        <v>1383</v>
      </c>
      <c r="L4065" s="86">
        <v>1</v>
      </c>
      <c r="M4065" s="87">
        <v>1881</v>
      </c>
      <c r="N4065" s="87">
        <f>IFERROR(表格1[[#This Row],[QTY]]*表格1[[#This Row],[Unit Price]],"-")</f>
        <v>1881</v>
      </c>
      <c r="R4065" s="86" t="str">
        <f>_xlfn.CONCAT(表格1[[#This Row],[Model]]," ",表格1[[#This Row],[inv no]])</f>
        <v xml:space="preserve">MS3-STQ20SC(WH) </v>
      </c>
      <c r="S4065" s="86">
        <f>_xlfn.XLOOKUP(表格1[[#This Row],[Model]],表格3[Model-Input-Ref2],表格3[SRP PRICE])</f>
        <v>2880</v>
      </c>
      <c r="T4065" s="43">
        <f>表格1[[#This Row],[Unit Price]]/表格1[[#This Row],[SRP]]</f>
        <v>0.65312499999999996</v>
      </c>
      <c r="U4065" s="86" t="str">
        <f>_xlfn.XLOOKUP(表格1[[#This Row],[Model]],表格3[Model-Input-Ref2],表格3[TOSHIBA/HIGHEST])</f>
        <v>Toshiba SRP</v>
      </c>
      <c r="W4065" s="86" t="str">
        <f>_xlfn.CONCAT(表格1[[#This Row],[欄4]],表格1[[#This Row],[inv no]])</f>
        <v/>
      </c>
    </row>
    <row r="4066" spans="1:23" hidden="1">
      <c r="A4066" s="81">
        <v>4064</v>
      </c>
      <c r="B4066" s="86" t="s">
        <v>1203</v>
      </c>
      <c r="C4066" s="86" t="s">
        <v>1977</v>
      </c>
      <c r="D4066" s="89" t="str">
        <f ca="1">OFFSET(Roster!$A$3,MATCH(表格1[[#This Row],[Location]]&amp;" "&amp;表格1[[#This Row],[Shop]]&amp;"*",Roster!$A$4:$A$72,0),DAY(表格1[[#This Row],[date]]),1,1)</f>
        <v>Jessica</v>
      </c>
      <c r="E4066" s="86">
        <f>MONTH(表格1[[#This Row],[date]])</f>
        <v>3</v>
      </c>
      <c r="F4066" s="90">
        <v>46095</v>
      </c>
      <c r="G4066" s="86" t="str">
        <f>VLOOKUP("*"&amp;表格1[[#This Row],[Input]]&amp;"*",'Ref-List'!$B:$D,2,)</f>
        <v>TWP-TSR76THK(W)</v>
      </c>
      <c r="H4066" s="86" t="str">
        <f>_xlfn.XLOOKUP(表格1[[#This Row],[Model]],表格3[Model-Input-Ref2],表格3[Product Line])</f>
        <v>RO座檯式飲水機</v>
      </c>
      <c r="I4066" s="86" t="str">
        <f>_xlfn.XLOOKUP(表格1[[#This Row],[Model]],表格3[Model-Input-Ref2],表格3[大小電])</f>
        <v>細電</v>
      </c>
      <c r="J4066" s="86" t="str">
        <f>_xlfn.XLOOKUP(表格1[[#This Row],[Model]],表格3[Model-Input-Ref2],表格3[Code])</f>
        <v>KWH</v>
      </c>
      <c r="K4066" s="89" t="s">
        <v>1197</v>
      </c>
      <c r="L4066" s="86">
        <v>1</v>
      </c>
      <c r="M4066" s="87">
        <v>1500</v>
      </c>
      <c r="N4066" s="87">
        <f>IFERROR(表格1[[#This Row],[QTY]]*表格1[[#This Row],[Unit Price]],"-")</f>
        <v>1500</v>
      </c>
      <c r="R4066" s="86" t="str">
        <f>_xlfn.CONCAT(表格1[[#This Row],[Model]]," ",表格1[[#This Row],[inv no]])</f>
        <v xml:space="preserve">TWP-TSR76THK(W) </v>
      </c>
      <c r="S4066" s="86">
        <f>_xlfn.XLOOKUP(表格1[[#This Row],[Model]],表格3[Model-Input-Ref2],表格3[SRP PRICE])</f>
        <v>2680</v>
      </c>
      <c r="T4066" s="43">
        <f>表格1[[#This Row],[Unit Price]]/表格1[[#This Row],[SRP]]</f>
        <v>0.55970149253731338</v>
      </c>
      <c r="U4066" s="86" t="str">
        <f>_xlfn.XLOOKUP(表格1[[#This Row],[Model]],表格3[Model-Input-Ref2],表格3[TOSHIBA/HIGHEST])</f>
        <v>Toshiba SRP</v>
      </c>
      <c r="W4066" s="86" t="str">
        <f>_xlfn.CONCAT(表格1[[#This Row],[欄4]],表格1[[#This Row],[inv no]])</f>
        <v/>
      </c>
    </row>
    <row r="4067" spans="1:23" hidden="1">
      <c r="A4067" s="81">
        <v>4065</v>
      </c>
      <c r="B4067" s="86" t="s">
        <v>1203</v>
      </c>
      <c r="C4067" s="86" t="s">
        <v>1977</v>
      </c>
      <c r="D4067" s="89" t="str">
        <f ca="1">OFFSET(Roster!$A$3,MATCH(表格1[[#This Row],[Location]]&amp;" "&amp;表格1[[#This Row],[Shop]]&amp;"*",Roster!$A$4:$A$72,0),DAY(表格1[[#This Row],[date]]),1,1)</f>
        <v>Jessica</v>
      </c>
      <c r="E4067" s="86">
        <f>MONTH(表格1[[#This Row],[date]])</f>
        <v>3</v>
      </c>
      <c r="F4067" s="90">
        <v>46095</v>
      </c>
      <c r="G4067" s="86" t="str">
        <f>VLOOKUP("*"&amp;表格1[[#This Row],[Input]]&amp;"*",'Ref-List'!$B:$D,2,)</f>
        <v>KT-17DRTHK(H)</v>
      </c>
      <c r="H4067" s="86" t="str">
        <f>_xlfn.XLOOKUP(表格1[[#This Row],[Model]],表格3[Model-Input-Ref2],表格3[Product Line])</f>
        <v>無線雙層電熱水壺(1.7公升)</v>
      </c>
      <c r="I4067" s="86" t="str">
        <f>_xlfn.XLOOKUP(表格1[[#This Row],[Model]],表格3[Model-Input-Ref2],表格3[大小電])</f>
        <v>細電</v>
      </c>
      <c r="J4067" s="86" t="str">
        <f>_xlfn.XLOOKUP(表格1[[#This Row],[Model]],表格3[Model-Input-Ref2],表格3[Code])</f>
        <v>SDA</v>
      </c>
      <c r="K4067" s="89" t="s">
        <v>1271</v>
      </c>
      <c r="L4067" s="86">
        <v>1</v>
      </c>
      <c r="M4067" s="87">
        <v>350</v>
      </c>
      <c r="N4067" s="87">
        <f>IFERROR(表格1[[#This Row],[QTY]]*表格1[[#This Row],[Unit Price]],"-")</f>
        <v>350</v>
      </c>
      <c r="R4067" s="86" t="str">
        <f>_xlfn.CONCAT(表格1[[#This Row],[Model]]," ",表格1[[#This Row],[inv no]])</f>
        <v xml:space="preserve">KT-17DRTHK(H) </v>
      </c>
      <c r="S4067" s="86">
        <f>_xlfn.XLOOKUP(表格1[[#This Row],[Model]],表格3[Model-Input-Ref2],表格3[SRP PRICE])</f>
        <v>498</v>
      </c>
      <c r="T4067" s="43">
        <f>表格1[[#This Row],[Unit Price]]/表格1[[#This Row],[SRP]]</f>
        <v>0.70281124497991965</v>
      </c>
      <c r="U4067" s="86" t="str">
        <f>_xlfn.XLOOKUP(表格1[[#This Row],[Model]],表格3[Model-Input-Ref2],表格3[TOSHIBA/HIGHEST])</f>
        <v>Toshiba SRP</v>
      </c>
      <c r="W4067" s="86" t="str">
        <f>_xlfn.CONCAT(表格1[[#This Row],[欄4]],表格1[[#This Row],[inv no]])</f>
        <v/>
      </c>
    </row>
    <row r="4068" spans="1:23" hidden="1">
      <c r="A4068" s="81">
        <v>4066</v>
      </c>
      <c r="B4068" s="86" t="s">
        <v>1203</v>
      </c>
      <c r="C4068" s="86" t="s">
        <v>1977</v>
      </c>
      <c r="D4068" s="89" t="str">
        <f ca="1">OFFSET(Roster!$A$3,MATCH(表格1[[#This Row],[Location]]&amp;" "&amp;表格1[[#This Row],[Shop]]&amp;"*",Roster!$A$4:$A$72,0),DAY(表格1[[#This Row],[date]]),1,1)</f>
        <v>Jessica</v>
      </c>
      <c r="E4068" s="86">
        <f>MONTH(表格1[[#This Row],[date]])</f>
        <v>3</v>
      </c>
      <c r="F4068" s="90">
        <v>46095</v>
      </c>
      <c r="G4068" s="86" t="str">
        <f>VLOOKUP("*"&amp;表格1[[#This Row],[Input]]&amp;"*",'Ref-List'!$B:$D,2,)</f>
        <v>IC-20R1THK</v>
      </c>
      <c r="H4068" s="86" t="str">
        <f>_xlfn.XLOOKUP(表格1[[#This Row],[Model]],表格3[Model-Input-Ref2],表格3[Product Line])</f>
        <v>輕便式電磁爐</v>
      </c>
      <c r="I4068" s="86" t="str">
        <f>_xlfn.XLOOKUP(表格1[[#This Row],[Model]],表格3[Model-Input-Ref2],表格3[大小電])</f>
        <v>細電</v>
      </c>
      <c r="J4068" s="86" t="str">
        <f>_xlfn.XLOOKUP(表格1[[#This Row],[Model]],表格3[Model-Input-Ref2],表格3[Code])</f>
        <v>SDA</v>
      </c>
      <c r="K4068" s="89" t="s">
        <v>1243</v>
      </c>
      <c r="L4068" s="86">
        <v>1</v>
      </c>
      <c r="M4068" s="87">
        <v>275.5</v>
      </c>
      <c r="N4068" s="87">
        <f>IFERROR(表格1[[#This Row],[QTY]]*表格1[[#This Row],[Unit Price]],"-")</f>
        <v>275.5</v>
      </c>
      <c r="R4068" s="86" t="str">
        <f>_xlfn.CONCAT(表格1[[#This Row],[Model]]," ",表格1[[#This Row],[inv no]])</f>
        <v xml:space="preserve">IC-20R1THK </v>
      </c>
      <c r="S4068" s="86">
        <f>_xlfn.XLOOKUP(表格1[[#This Row],[Model]],表格3[Model-Input-Ref2],表格3[SRP PRICE])</f>
        <v>438</v>
      </c>
      <c r="T4068" s="43">
        <f>表格1[[#This Row],[Unit Price]]/表格1[[#This Row],[SRP]]</f>
        <v>0.62899543378995437</v>
      </c>
      <c r="U4068" s="86" t="str">
        <f>_xlfn.XLOOKUP(表格1[[#This Row],[Model]],表格3[Model-Input-Ref2],表格3[TOSHIBA/HIGHEST])</f>
        <v>Shops Highest Price</v>
      </c>
      <c r="W4068" s="86" t="str">
        <f>_xlfn.CONCAT(表格1[[#This Row],[欄4]],表格1[[#This Row],[inv no]])</f>
        <v/>
      </c>
    </row>
    <row r="4069" spans="1:23" hidden="1">
      <c r="A4069" s="81">
        <v>4067</v>
      </c>
      <c r="B4069" s="86" t="s">
        <v>1203</v>
      </c>
      <c r="C4069" s="86" t="s">
        <v>1977</v>
      </c>
      <c r="D4069" s="89" t="str">
        <f ca="1">OFFSET(Roster!$A$3,MATCH(表格1[[#This Row],[Location]]&amp;" "&amp;表格1[[#This Row],[Shop]]&amp;"*",Roster!$A$4:$A$72,0),DAY(表格1[[#This Row],[date]]),1,1)</f>
        <v>Jessica</v>
      </c>
      <c r="E4069" s="86">
        <f>MONTH(表格1[[#This Row],[date]])</f>
        <v>3</v>
      </c>
      <c r="F4069" s="90">
        <v>46095</v>
      </c>
      <c r="G4069" s="86" t="str">
        <f>VLOOKUP("*"&amp;表格1[[#This Row],[Input]]&amp;"*",'Ref-List'!$B:$D,2,)</f>
        <v>RC-10AMXH(W)</v>
      </c>
      <c r="H4069" s="86" t="str">
        <f>_xlfn.XLOOKUP(表格1[[#This Row],[Model]],表格3[Model-Input-Ref2],表格3[Product Line])</f>
        <v>酵活炊電飯煲(1.0公升)</v>
      </c>
      <c r="I4069" s="86" t="str">
        <f>_xlfn.XLOOKUP(表格1[[#This Row],[Model]],表格3[Model-Input-Ref2],表格3[大小電])</f>
        <v>細電</v>
      </c>
      <c r="J4069" s="86" t="str">
        <f>_xlfn.XLOOKUP(表格1[[#This Row],[Model]],表格3[Model-Input-Ref2],表格3[Code])</f>
        <v>SDA</v>
      </c>
      <c r="K4069" s="89" t="s">
        <v>1279</v>
      </c>
      <c r="L4069" s="86">
        <v>1</v>
      </c>
      <c r="M4069" s="87">
        <v>990</v>
      </c>
      <c r="N4069" s="87">
        <f>IFERROR(表格1[[#This Row],[QTY]]*表格1[[#This Row],[Unit Price]],"-")</f>
        <v>990</v>
      </c>
      <c r="R4069" s="86" t="str">
        <f>_xlfn.CONCAT(表格1[[#This Row],[Model]]," ",表格1[[#This Row],[inv no]])</f>
        <v xml:space="preserve">RC-10AMXH(W) </v>
      </c>
      <c r="S4069" s="86">
        <f>_xlfn.XLOOKUP(表格1[[#This Row],[Model]],表格3[Model-Input-Ref2],表格3[SRP PRICE])</f>
        <v>1288</v>
      </c>
      <c r="T4069" s="43">
        <f>表格1[[#This Row],[Unit Price]]/表格1[[#This Row],[SRP]]</f>
        <v>0.76863354037267084</v>
      </c>
      <c r="U4069" s="86" t="str">
        <f>_xlfn.XLOOKUP(表格1[[#This Row],[Model]],表格3[Model-Input-Ref2],表格3[TOSHIBA/HIGHEST])</f>
        <v>Toshiba SRP</v>
      </c>
      <c r="W4069" s="86" t="str">
        <f>_xlfn.CONCAT(表格1[[#This Row],[欄4]],表格1[[#This Row],[inv no]])</f>
        <v/>
      </c>
    </row>
    <row r="4070" spans="1:23" hidden="1">
      <c r="A4070" s="81">
        <v>4068</v>
      </c>
      <c r="B4070" s="86" t="s">
        <v>1203</v>
      </c>
      <c r="C4070" s="86" t="s">
        <v>1977</v>
      </c>
      <c r="D4070" s="89" t="str">
        <f ca="1">OFFSET(Roster!$A$3,MATCH(表格1[[#This Row],[Location]]&amp;" "&amp;表格1[[#This Row],[Shop]]&amp;"*",Roster!$A$4:$A$72,0),DAY(表格1[[#This Row],[date]]),1,1)</f>
        <v>Jessica</v>
      </c>
      <c r="E4070" s="86">
        <f>MONTH(表格1[[#This Row],[date]])</f>
        <v>3</v>
      </c>
      <c r="F4070" s="90">
        <v>46095</v>
      </c>
      <c r="G4070" s="86" t="str">
        <f>VLOOKUP("*"&amp;表格1[[#This Row],[Input]]&amp;"*",'Ref-List'!$B:$D,2,)</f>
        <v>TP-25DR2UHK(W)</v>
      </c>
      <c r="H4070" s="86" t="str">
        <f>_xlfn.XLOOKUP(表格1[[#This Row],[Model]],表格3[Model-Input-Ref2],表格3[Product Line])</f>
        <v>電熱水瓶 (2.5公升)</v>
      </c>
      <c r="I4070" s="86" t="str">
        <f>_xlfn.XLOOKUP(表格1[[#This Row],[Model]],表格3[Model-Input-Ref2],表格3[大小電])</f>
        <v>細電</v>
      </c>
      <c r="J4070" s="86" t="str">
        <f>_xlfn.XLOOKUP(表格1[[#This Row],[Model]],表格3[Model-Input-Ref2],表格3[Code])</f>
        <v>SDA</v>
      </c>
      <c r="K4070" s="89" t="s">
        <v>1285</v>
      </c>
      <c r="L4070" s="86">
        <v>1</v>
      </c>
      <c r="M4070" s="87">
        <v>380</v>
      </c>
      <c r="N4070" s="87">
        <f>IFERROR(表格1[[#This Row],[QTY]]*表格1[[#This Row],[Unit Price]],"-")</f>
        <v>380</v>
      </c>
      <c r="R4070" s="86" t="str">
        <f>_xlfn.CONCAT(表格1[[#This Row],[Model]]," ",表格1[[#This Row],[inv no]])</f>
        <v xml:space="preserve">TP-25DR2UHK(W) </v>
      </c>
      <c r="S4070" s="86">
        <f>_xlfn.XLOOKUP(表格1[[#This Row],[Model]],表格3[Model-Input-Ref2],表格3[SRP PRICE])</f>
        <v>538</v>
      </c>
      <c r="T4070" s="43">
        <f>表格1[[#This Row],[Unit Price]]/表格1[[#This Row],[SRP]]</f>
        <v>0.70631970260223054</v>
      </c>
      <c r="U4070" s="86" t="str">
        <f>_xlfn.XLOOKUP(表格1[[#This Row],[Model]],表格3[Model-Input-Ref2],表格3[TOSHIBA/HIGHEST])</f>
        <v>Toshiba SRP</v>
      </c>
      <c r="W4070" s="86" t="str">
        <f>_xlfn.CONCAT(表格1[[#This Row],[欄4]],表格1[[#This Row],[inv no]])</f>
        <v/>
      </c>
    </row>
    <row r="4071" spans="1:23" hidden="1">
      <c r="A4071" s="81">
        <v>4069</v>
      </c>
      <c r="B4071" s="86" t="s">
        <v>1203</v>
      </c>
      <c r="C4071" s="86" t="s">
        <v>1977</v>
      </c>
      <c r="D4071" s="89" t="str">
        <f ca="1">OFFSET(Roster!$A$3,MATCH(表格1[[#This Row],[Location]]&amp;" "&amp;表格1[[#This Row],[Shop]]&amp;"*",Roster!$A$4:$A$72,0),DAY(表格1[[#This Row],[date]]),1,1)</f>
        <v>Jessica</v>
      </c>
      <c r="E4071" s="86">
        <f>MONTH(表格1[[#This Row],[date]])</f>
        <v>3</v>
      </c>
      <c r="F4071" s="90">
        <v>46095</v>
      </c>
      <c r="G4071" s="86" t="str">
        <f>VLOOKUP("*"&amp;表格1[[#This Row],[Input]]&amp;"*",'Ref-List'!$B:$D,2,)</f>
        <v>GR-RB360WE-PMA(06)</v>
      </c>
      <c r="H4071" s="86" t="str">
        <f>_xlfn.XLOOKUP(表格1[[#This Row],[Model]],表格3[Model-Input-Ref2],表格3[Product Line])</f>
        <v>變頻下置式雙門雪櫃系列270L</v>
      </c>
      <c r="I4071" s="86" t="str">
        <f>_xlfn.XLOOKUP(表格1[[#This Row],[Model]],表格3[Model-Input-Ref2],表格3[大小電])</f>
        <v>大電</v>
      </c>
      <c r="J4071" s="86" t="str">
        <f>_xlfn.XLOOKUP(表格1[[#This Row],[Model]],表格3[Model-Input-Ref2],表格3[Code])</f>
        <v>REF</v>
      </c>
      <c r="K4071" s="89" t="s">
        <v>1282</v>
      </c>
      <c r="L4071" s="86">
        <v>1</v>
      </c>
      <c r="M4071" s="87">
        <v>3880</v>
      </c>
      <c r="N4071" s="87">
        <f>IFERROR(表格1[[#This Row],[QTY]]*表格1[[#This Row],[Unit Price]],"-")</f>
        <v>3880</v>
      </c>
      <c r="O4071" s="86">
        <v>5725750</v>
      </c>
      <c r="R4071" s="86" t="str">
        <f>_xlfn.CONCAT(表格1[[#This Row],[Model]]," ",表格1[[#This Row],[inv no]])</f>
        <v>GR-RB360WE-PMA(06) 5725750</v>
      </c>
      <c r="S4071" s="86">
        <f>_xlfn.XLOOKUP(表格1[[#This Row],[Model]],表格3[Model-Input-Ref2],表格3[SRP PRICE])</f>
        <v>5080</v>
      </c>
      <c r="T4071" s="43">
        <f>表格1[[#This Row],[Unit Price]]/表格1[[#This Row],[SRP]]</f>
        <v>0.76377952755905509</v>
      </c>
      <c r="U4071" s="86" t="str">
        <f>_xlfn.XLOOKUP(表格1[[#This Row],[Model]],表格3[Model-Input-Ref2],表格3[TOSHIBA/HIGHEST])</f>
        <v>Toshiba SRP</v>
      </c>
      <c r="W4071" s="86" t="str">
        <f>_xlfn.CONCAT(表格1[[#This Row],[欄4]],表格1[[#This Row],[inv no]])</f>
        <v>5725750</v>
      </c>
    </row>
    <row r="4072" spans="1:23" hidden="1">
      <c r="A4072" s="81">
        <v>4070</v>
      </c>
      <c r="B4072" s="86" t="s">
        <v>1203</v>
      </c>
      <c r="C4072" s="86" t="s">
        <v>1977</v>
      </c>
      <c r="D4072" s="89" t="str">
        <f ca="1">OFFSET(Roster!$A$3,MATCH(表格1[[#This Row],[Location]]&amp;" "&amp;表格1[[#This Row],[Shop]]&amp;"*",Roster!$A$4:$A$72,0),DAY(表格1[[#This Row],[date]]),1,1)</f>
        <v>Jessica</v>
      </c>
      <c r="E4072" s="86">
        <f>MONTH(表格1[[#This Row],[date]])</f>
        <v>3</v>
      </c>
      <c r="F4072" s="90">
        <v>46095</v>
      </c>
      <c r="G4072" s="86" t="str">
        <f>VLOOKUP("*"&amp;表格1[[#This Row],[Input]]&amp;"*",'Ref-List'!$B:$D,2,)</f>
        <v>GR-RT416WE-PMA(06)</v>
      </c>
      <c r="H4072" s="86" t="str">
        <f>_xlfn.XLOOKUP(表格1[[#This Row],[Model]],表格3[Model-Input-Ref2],表格3[Product Line])</f>
        <v xml:space="preserve">變頻上置式雙門雪櫃313L </v>
      </c>
      <c r="I4072" s="86" t="str">
        <f>_xlfn.XLOOKUP(表格1[[#This Row],[Model]],表格3[Model-Input-Ref2],表格3[大小電])</f>
        <v>大電</v>
      </c>
      <c r="J4072" s="86" t="str">
        <f>_xlfn.XLOOKUP(表格1[[#This Row],[Model]],表格3[Model-Input-Ref2],表格3[Code])</f>
        <v>REF</v>
      </c>
      <c r="K4072" s="89" t="s">
        <v>1208</v>
      </c>
      <c r="L4072" s="86">
        <v>1</v>
      </c>
      <c r="M4072" s="87">
        <v>2880</v>
      </c>
      <c r="N4072" s="87">
        <f>IFERROR(表格1[[#This Row],[QTY]]*表格1[[#This Row],[Unit Price]],"-")</f>
        <v>2880</v>
      </c>
      <c r="R4072" s="86" t="str">
        <f>_xlfn.CONCAT(表格1[[#This Row],[Model]]," ",表格1[[#This Row],[inv no]])</f>
        <v xml:space="preserve">GR-RT416WE-PMA(06) </v>
      </c>
      <c r="S4072" s="86">
        <f>_xlfn.XLOOKUP(表格1[[#This Row],[Model]],表格3[Model-Input-Ref2],表格3[SRP PRICE])</f>
        <v>5380</v>
      </c>
      <c r="T4072" s="43">
        <f>表格1[[#This Row],[Unit Price]]/表格1[[#This Row],[SRP]]</f>
        <v>0.53531598513011147</v>
      </c>
      <c r="U4072" s="86" t="str">
        <f>_xlfn.XLOOKUP(表格1[[#This Row],[Model]],表格3[Model-Input-Ref2],表格3[TOSHIBA/HIGHEST])</f>
        <v>Toshiba SRP</v>
      </c>
      <c r="W4072" s="86" t="str">
        <f>_xlfn.CONCAT(表格1[[#This Row],[欄4]],表格1[[#This Row],[inv no]])</f>
        <v/>
      </c>
    </row>
    <row r="4073" spans="1:23" hidden="1">
      <c r="A4073" s="81">
        <v>4071</v>
      </c>
      <c r="B4073" s="86" t="s">
        <v>1203</v>
      </c>
      <c r="C4073" s="86" t="s">
        <v>1977</v>
      </c>
      <c r="D4073" s="89" t="str">
        <f ca="1">OFFSET(Roster!$A$3,MATCH(表格1[[#This Row],[Location]]&amp;" "&amp;表格1[[#This Row],[Shop]]&amp;"*",Roster!$A$4:$A$72,0),DAY(表格1[[#This Row],[date]]),1,1)</f>
        <v>Jessica</v>
      </c>
      <c r="E4073" s="86">
        <f>MONTH(表格1[[#This Row],[date]])</f>
        <v>3</v>
      </c>
      <c r="F4073" s="90">
        <v>46095</v>
      </c>
      <c r="G4073" s="86" t="str">
        <f>VLOOKUP("*"&amp;表格1[[#This Row],[Input]]&amp;"*",'Ref-List'!$B:$D,2,)</f>
        <v>AW-M901BPH(WW)</v>
      </c>
      <c r="H4073" s="86" t="str">
        <f>_xlfn.XLOOKUP(表格1[[#This Row],[Model]],表格3[Model-Input-Ref2],表格3[Product Line])</f>
        <v>全自動洗衣機 (8公斤 結合高低水位)</v>
      </c>
      <c r="I4073" s="86" t="str">
        <f>_xlfn.XLOOKUP(表格1[[#This Row],[Model]],表格3[Model-Input-Ref2],表格3[大小電])</f>
        <v>大電</v>
      </c>
      <c r="J4073" s="86" t="str">
        <f>_xlfn.XLOOKUP(表格1[[#This Row],[Model]],表格3[Model-Input-Ref2],表格3[Code])</f>
        <v>WM</v>
      </c>
      <c r="K4073" s="89" t="s">
        <v>1202</v>
      </c>
      <c r="L4073" s="86">
        <v>1</v>
      </c>
      <c r="M4073" s="87">
        <v>1500</v>
      </c>
      <c r="N4073" s="87">
        <f>IFERROR(表格1[[#This Row],[QTY]]*表格1[[#This Row],[Unit Price]],"-")</f>
        <v>1500</v>
      </c>
      <c r="R4073" s="86" t="str">
        <f>_xlfn.CONCAT(表格1[[#This Row],[Model]]," ",表格1[[#This Row],[inv no]])</f>
        <v xml:space="preserve">AW-M901BPH(WW) </v>
      </c>
      <c r="S4073" s="86">
        <f>_xlfn.XLOOKUP(表格1[[#This Row],[Model]],表格3[Model-Input-Ref2],表格3[SRP PRICE])</f>
        <v>3580</v>
      </c>
      <c r="T4073" s="43">
        <f>表格1[[#This Row],[Unit Price]]/表格1[[#This Row],[SRP]]</f>
        <v>0.41899441340782123</v>
      </c>
      <c r="U4073" s="86" t="str">
        <f>_xlfn.XLOOKUP(表格1[[#This Row],[Model]],表格3[Model-Input-Ref2],表格3[TOSHIBA/HIGHEST])</f>
        <v>Toshiba SRP</v>
      </c>
      <c r="W4073" s="86" t="str">
        <f>_xlfn.CONCAT(表格1[[#This Row],[欄4]],表格1[[#This Row],[inv no]])</f>
        <v/>
      </c>
    </row>
    <row r="4074" spans="1:23" hidden="1">
      <c r="A4074" s="81">
        <v>4072</v>
      </c>
      <c r="B4074" s="86" t="s">
        <v>1203</v>
      </c>
      <c r="C4074" s="86" t="s">
        <v>1977</v>
      </c>
      <c r="D4074" s="89" t="str">
        <f ca="1">OFFSET(Roster!$A$3,MATCH(表格1[[#This Row],[Location]]&amp;" "&amp;表格1[[#This Row],[Shop]]&amp;"*",Roster!$A$4:$A$72,0),DAY(表格1[[#This Row],[date]]),1,1)</f>
        <v>Jessica</v>
      </c>
      <c r="E4074" s="86">
        <f>MONTH(表格1[[#This Row],[date]])</f>
        <v>3</v>
      </c>
      <c r="F4074" s="90">
        <v>46095</v>
      </c>
      <c r="G4074" s="86" t="str">
        <f>VLOOKUP("*"&amp;表格1[[#This Row],[Input]]&amp;"*",'Ref-List'!$B:$D,2,)</f>
        <v>RC-15ISTHK(W)</v>
      </c>
      <c r="H4074" s="86" t="str">
        <f>_xlfn.XLOOKUP(表格1[[#This Row],[Model]],表格3[Model-Input-Ref2],表格3[Product Line])</f>
        <v>磁應電飯煲(1.5公升)</v>
      </c>
      <c r="I4074" s="86" t="str">
        <f>_xlfn.XLOOKUP(表格1[[#This Row],[Model]],表格3[Model-Input-Ref2],表格3[大小電])</f>
        <v>細電</v>
      </c>
      <c r="J4074" s="86" t="str">
        <f>_xlfn.XLOOKUP(表格1[[#This Row],[Model]],表格3[Model-Input-Ref2],表格3[Code])</f>
        <v>SDA</v>
      </c>
      <c r="K4074" s="89" t="s">
        <v>1204</v>
      </c>
      <c r="L4074" s="86">
        <v>1</v>
      </c>
      <c r="M4074" s="87">
        <v>500</v>
      </c>
      <c r="N4074" s="87">
        <f>IFERROR(表格1[[#This Row],[QTY]]*表格1[[#This Row],[Unit Price]],"-")</f>
        <v>500</v>
      </c>
      <c r="R4074" s="86" t="str">
        <f>_xlfn.CONCAT(表格1[[#This Row],[Model]]," ",表格1[[#This Row],[inv no]])</f>
        <v xml:space="preserve">RC-15ISTHK(W) </v>
      </c>
      <c r="S4074" s="86">
        <f>_xlfn.XLOOKUP(表格1[[#This Row],[Model]],表格3[Model-Input-Ref2],表格3[SRP PRICE])</f>
        <v>1688</v>
      </c>
      <c r="T4074" s="43">
        <f>表格1[[#This Row],[Unit Price]]/表格1[[#This Row],[SRP]]</f>
        <v>0.29620853080568721</v>
      </c>
      <c r="U4074" s="86" t="str">
        <f>_xlfn.XLOOKUP(表格1[[#This Row],[Model]],表格3[Model-Input-Ref2],表格3[TOSHIBA/HIGHEST])</f>
        <v>Toshiba SRP</v>
      </c>
      <c r="W4074" s="86" t="str">
        <f>_xlfn.CONCAT(表格1[[#This Row],[欄4]],表格1[[#This Row],[inv no]])</f>
        <v/>
      </c>
    </row>
    <row r="4075" spans="1:23" hidden="1">
      <c r="A4075" s="81">
        <v>4073</v>
      </c>
      <c r="B4075" s="86" t="s">
        <v>1203</v>
      </c>
      <c r="C4075" s="86" t="s">
        <v>1977</v>
      </c>
      <c r="D4075" s="89" t="str">
        <f ca="1">OFFSET(Roster!$A$3,MATCH(表格1[[#This Row],[Location]]&amp;" "&amp;表格1[[#This Row],[Shop]]&amp;"*",Roster!$A$4:$A$72,0),DAY(表格1[[#This Row],[date]]),1,1)</f>
        <v>Jessica</v>
      </c>
      <c r="E4075" s="86">
        <f>MONTH(表格1[[#This Row],[date]])</f>
        <v>3</v>
      </c>
      <c r="F4075" s="90">
        <v>46096</v>
      </c>
      <c r="G4075" s="86" t="str">
        <f>VLOOKUP("*"&amp;表格1[[#This Row],[Input]]&amp;"*",'Ref-List'!$B:$D,2,)</f>
        <v>RC-10NMFIH(WT)</v>
      </c>
      <c r="H4075" s="86" t="str">
        <f>_xlfn.XLOOKUP(表格1[[#This Row],[Model]],表格3[Model-Input-Ref2],表格3[Product Line])</f>
        <v>4毫米厚釜電飯煲1L</v>
      </c>
      <c r="I4075" s="86" t="str">
        <f>_xlfn.XLOOKUP(表格1[[#This Row],[Model]],表格3[Model-Input-Ref2],表格3[大小電])</f>
        <v>細電</v>
      </c>
      <c r="J4075" s="86" t="str">
        <f>_xlfn.XLOOKUP(表格1[[#This Row],[Model]],表格3[Model-Input-Ref2],表格3[Code])</f>
        <v>SDA</v>
      </c>
      <c r="K4075" s="89" t="s">
        <v>1244</v>
      </c>
      <c r="L4075" s="86">
        <v>1</v>
      </c>
      <c r="M4075" s="87">
        <v>720</v>
      </c>
      <c r="N4075" s="87">
        <f>IFERROR(表格1[[#This Row],[QTY]]*表格1[[#This Row],[Unit Price]],"-")</f>
        <v>720</v>
      </c>
      <c r="R4075" s="86" t="str">
        <f>_xlfn.CONCAT(表格1[[#This Row],[Model]]," ",表格1[[#This Row],[inv no]])</f>
        <v xml:space="preserve">RC-10NMFIH(WT) </v>
      </c>
      <c r="S4075" s="86">
        <f>_xlfn.XLOOKUP(表格1[[#This Row],[Model]],表格3[Model-Input-Ref2],表格3[SRP PRICE])</f>
        <v>898</v>
      </c>
      <c r="T4075" s="43">
        <f>表格1[[#This Row],[Unit Price]]/表格1[[#This Row],[SRP]]</f>
        <v>0.80178173719376389</v>
      </c>
      <c r="U4075" s="86" t="str">
        <f>_xlfn.XLOOKUP(表格1[[#This Row],[Model]],表格3[Model-Input-Ref2],表格3[TOSHIBA/HIGHEST])</f>
        <v>Toshiba SRP</v>
      </c>
      <c r="W4075" s="86" t="str">
        <f>_xlfn.CONCAT(表格1[[#This Row],[欄4]],表格1[[#This Row],[inv no]])</f>
        <v/>
      </c>
    </row>
    <row r="4076" spans="1:23" hidden="1">
      <c r="A4076" s="81">
        <v>4074</v>
      </c>
      <c r="B4076" s="86" t="s">
        <v>1203</v>
      </c>
      <c r="C4076" s="86" t="s">
        <v>1977</v>
      </c>
      <c r="D4076" s="89" t="str">
        <f ca="1">OFFSET(Roster!$A$3,MATCH(表格1[[#This Row],[Location]]&amp;" "&amp;表格1[[#This Row],[Shop]]&amp;"*",Roster!$A$4:$A$72,0),DAY(表格1[[#This Row],[date]]),1,1)</f>
        <v>Jessica</v>
      </c>
      <c r="E4076" s="86">
        <f>MONTH(表格1[[#This Row],[date]])</f>
        <v>3</v>
      </c>
      <c r="F4076" s="90">
        <v>46096</v>
      </c>
      <c r="G4076" s="86" t="str">
        <f>VLOOKUP("*"&amp;表格1[[#This Row],[Input]]&amp;"*",'Ref-List'!$B:$D,2,)</f>
        <v>RC-5SLIH(W)</v>
      </c>
      <c r="H4076" s="86" t="str">
        <f>_xlfn.XLOOKUP(表格1[[#This Row],[Model]],表格3[Model-Input-Ref2],表格3[Product Line])</f>
        <v>微型電腦珍珠飯煲</v>
      </c>
      <c r="I4076" s="86" t="str">
        <f>_xlfn.XLOOKUP(表格1[[#This Row],[Model]],表格3[Model-Input-Ref2],表格3[大小電])</f>
        <v>細電</v>
      </c>
      <c r="J4076" s="86" t="str">
        <f>_xlfn.XLOOKUP(表格1[[#This Row],[Model]],表格3[Model-Input-Ref2],表格3[Code])</f>
        <v>SDA</v>
      </c>
      <c r="K4076" s="89" t="s">
        <v>1264</v>
      </c>
      <c r="L4076" s="86">
        <v>1</v>
      </c>
      <c r="M4076" s="87">
        <v>590</v>
      </c>
      <c r="N4076" s="87">
        <f>IFERROR(表格1[[#This Row],[QTY]]*表格1[[#This Row],[Unit Price]],"-")</f>
        <v>590</v>
      </c>
      <c r="R4076" s="86" t="str">
        <f>_xlfn.CONCAT(表格1[[#This Row],[Model]]," ",表格1[[#This Row],[inv no]])</f>
        <v xml:space="preserve">RC-5SLIH(W) </v>
      </c>
      <c r="S4076" s="86">
        <f>_xlfn.XLOOKUP(表格1[[#This Row],[Model]],表格3[Model-Input-Ref2],表格3[SRP PRICE])</f>
        <v>658</v>
      </c>
      <c r="T4076" s="43">
        <f>表格1[[#This Row],[Unit Price]]/表格1[[#This Row],[SRP]]</f>
        <v>0.89665653495440734</v>
      </c>
      <c r="U4076" s="86" t="str">
        <f>_xlfn.XLOOKUP(表格1[[#This Row],[Model]],表格3[Model-Input-Ref2],表格3[TOSHIBA/HIGHEST])</f>
        <v>Toshiba SRP</v>
      </c>
      <c r="W4076" s="86" t="str">
        <f>_xlfn.CONCAT(表格1[[#This Row],[欄4]],表格1[[#This Row],[inv no]])</f>
        <v/>
      </c>
    </row>
    <row r="4077" spans="1:23" hidden="1">
      <c r="A4077" s="81">
        <v>4075</v>
      </c>
      <c r="B4077" s="86" t="s">
        <v>1203</v>
      </c>
      <c r="C4077" s="86" t="s">
        <v>1977</v>
      </c>
      <c r="D4077" s="89" t="str">
        <f ca="1">OFFSET(Roster!$A$3,MATCH(表格1[[#This Row],[Location]]&amp;" "&amp;表格1[[#This Row],[Shop]]&amp;"*",Roster!$A$4:$A$72,0),DAY(表格1[[#This Row],[date]]),1,1)</f>
        <v>Jessica</v>
      </c>
      <c r="E4077" s="86">
        <f>MONTH(表格1[[#This Row],[date]])</f>
        <v>3</v>
      </c>
      <c r="F4077" s="90">
        <v>46096</v>
      </c>
      <c r="G4077" s="86" t="str">
        <f>VLOOKUP("*"&amp;表格1[[#This Row],[Input]]&amp;"*",'Ref-List'!$B:$D,2,)</f>
        <v>MW2-MM24PC(BK)</v>
      </c>
      <c r="H4077" s="86" t="str">
        <f>_xlfn.XLOOKUP(表格1[[#This Row],[Model]],表格3[Model-Input-Ref2],表格3[Product Line])</f>
        <v>旋鈕式微波爐24L</v>
      </c>
      <c r="I4077" s="86" t="str">
        <f>_xlfn.XLOOKUP(表格1[[#This Row],[Model]],表格3[Model-Input-Ref2],表格3[大小電])</f>
        <v>細電</v>
      </c>
      <c r="J4077" s="86" t="str">
        <f>_xlfn.XLOOKUP(表格1[[#This Row],[Model]],表格3[Model-Input-Ref2],表格3[Code])</f>
        <v>SDA</v>
      </c>
      <c r="K4077" s="89" t="s">
        <v>1196</v>
      </c>
      <c r="L4077" s="86">
        <v>3</v>
      </c>
      <c r="M4077" s="87">
        <v>500</v>
      </c>
      <c r="N4077" s="87">
        <f>IFERROR(表格1[[#This Row],[QTY]]*表格1[[#This Row],[Unit Price]],"-")</f>
        <v>1500</v>
      </c>
      <c r="R4077" s="86" t="str">
        <f>_xlfn.CONCAT(表格1[[#This Row],[Model]]," ",表格1[[#This Row],[inv no]])</f>
        <v xml:space="preserve">MW2-MM24PC(BK) </v>
      </c>
      <c r="S4077" s="86">
        <f>_xlfn.XLOOKUP(表格1[[#This Row],[Model]],表格3[Model-Input-Ref2],表格3[SRP PRICE])</f>
        <v>848</v>
      </c>
      <c r="T4077" s="43">
        <f>表格1[[#This Row],[Unit Price]]/表格1[[#This Row],[SRP]]</f>
        <v>0.589622641509434</v>
      </c>
      <c r="U4077" s="86" t="str">
        <f>_xlfn.XLOOKUP(表格1[[#This Row],[Model]],表格3[Model-Input-Ref2],表格3[TOSHIBA/HIGHEST])</f>
        <v>Toshiba SRP</v>
      </c>
      <c r="W4077" s="86" t="str">
        <f>_xlfn.CONCAT(表格1[[#This Row],[欄4]],表格1[[#This Row],[inv no]])</f>
        <v/>
      </c>
    </row>
    <row r="4078" spans="1:23" hidden="1">
      <c r="A4078" s="81">
        <v>4076</v>
      </c>
      <c r="B4078" s="86" t="s">
        <v>1203</v>
      </c>
      <c r="C4078" s="86" t="s">
        <v>1977</v>
      </c>
      <c r="D4078" s="89" t="str">
        <f ca="1">OFFSET(Roster!$A$3,MATCH(表格1[[#This Row],[Location]]&amp;" "&amp;表格1[[#This Row],[Shop]]&amp;"*",Roster!$A$4:$A$72,0),DAY(表格1[[#This Row],[date]]),1,1)</f>
        <v>Jessica</v>
      </c>
      <c r="E4078" s="86">
        <f>MONTH(表格1[[#This Row],[date]])</f>
        <v>3</v>
      </c>
      <c r="F4078" s="90">
        <v>46096</v>
      </c>
      <c r="G4078" s="86" t="str">
        <f>VLOOKUP("*"&amp;表格1[[#This Row],[Input]]&amp;"*",'Ref-List'!$B:$D,2,)</f>
        <v>ER-TD5000HK(XK)</v>
      </c>
      <c r="H4078" s="86" t="str">
        <f>_xlfn.XLOOKUP(表格1[[#This Row],[Model]],表格3[Model-Input-Ref2],表格3[Product Line])</f>
        <v>座檯式純蒸氣烤焗水波爐30L</v>
      </c>
      <c r="I4078" s="86" t="str">
        <f>_xlfn.XLOOKUP(表格1[[#This Row],[Model]],表格3[Model-Input-Ref2],表格3[大小電])</f>
        <v>細電</v>
      </c>
      <c r="J4078" s="86" t="str">
        <f>_xlfn.XLOOKUP(表格1[[#This Row],[Model]],表格3[Model-Input-Ref2],表格3[Code])</f>
        <v>SDA</v>
      </c>
      <c r="K4078" s="89" t="s">
        <v>1205</v>
      </c>
      <c r="L4078" s="86">
        <v>2</v>
      </c>
      <c r="M4078" s="87">
        <v>3588</v>
      </c>
      <c r="N4078" s="87">
        <f>IFERROR(表格1[[#This Row],[QTY]]*表格1[[#This Row],[Unit Price]],"-")</f>
        <v>7176</v>
      </c>
      <c r="R4078" s="86" t="str">
        <f>_xlfn.CONCAT(表格1[[#This Row],[Model]]," ",表格1[[#This Row],[inv no]])</f>
        <v xml:space="preserve">ER-TD5000HK(XK) </v>
      </c>
      <c r="S4078" s="86">
        <f>_xlfn.XLOOKUP(表格1[[#This Row],[Model]],表格3[Model-Input-Ref2],表格3[SRP PRICE])</f>
        <v>7998</v>
      </c>
      <c r="T4078" s="43">
        <f>表格1[[#This Row],[Unit Price]]/表格1[[#This Row],[SRP]]</f>
        <v>0.44861215303825958</v>
      </c>
      <c r="U4078" s="86" t="str">
        <f>_xlfn.XLOOKUP(表格1[[#This Row],[Model]],表格3[Model-Input-Ref2],表格3[TOSHIBA/HIGHEST])</f>
        <v>Toshiba SRP</v>
      </c>
      <c r="W4078" s="86" t="str">
        <f>_xlfn.CONCAT(表格1[[#This Row],[欄4]],表格1[[#This Row],[inv no]])</f>
        <v/>
      </c>
    </row>
    <row r="4079" spans="1:23" hidden="1">
      <c r="A4079" s="81">
        <v>4077</v>
      </c>
      <c r="B4079" s="86" t="s">
        <v>1203</v>
      </c>
      <c r="C4079" s="86" t="s">
        <v>1977</v>
      </c>
      <c r="D4079" s="89" t="str">
        <f ca="1">OFFSET(Roster!$A$3,MATCH(表格1[[#This Row],[Location]]&amp;" "&amp;表格1[[#This Row],[Shop]]&amp;"*",Roster!$A$4:$A$72,0),DAY(表格1[[#This Row],[date]]),1,1)</f>
        <v>Jessica</v>
      </c>
      <c r="E4079" s="86">
        <f>MONTH(表格1[[#This Row],[date]])</f>
        <v>3</v>
      </c>
      <c r="F4079" s="90">
        <v>46096</v>
      </c>
      <c r="G4079" s="86" t="str">
        <f>VLOOKUP("*"&amp;表格1[[#This Row],[Input]]&amp;"*",'Ref-List'!$B:$D,2,)</f>
        <v>TW-BL85A2H(WW)</v>
      </c>
      <c r="H4079" s="86" t="str">
        <f>_xlfn.XLOOKUP(表格1[[#This Row],[Model]],表格3[Model-Input-Ref2],表格3[Product Line])</f>
        <v>7.5KG超薄身前置式變頻洗衣機</v>
      </c>
      <c r="I4079" s="86" t="str">
        <f>_xlfn.XLOOKUP(表格1[[#This Row],[Model]],表格3[Model-Input-Ref2],表格3[大小電])</f>
        <v>大電</v>
      </c>
      <c r="J4079" s="86" t="str">
        <f>_xlfn.XLOOKUP(表格1[[#This Row],[Model]],表格3[Model-Input-Ref2],表格3[Code])</f>
        <v>WM</v>
      </c>
      <c r="K4079" s="89" t="s">
        <v>1206</v>
      </c>
      <c r="L4079" s="86">
        <v>1</v>
      </c>
      <c r="M4079" s="87">
        <v>2588</v>
      </c>
      <c r="N4079" s="87">
        <f>IFERROR(表格1[[#This Row],[QTY]]*表格1[[#This Row],[Unit Price]],"-")</f>
        <v>2588</v>
      </c>
      <c r="R4079" s="86" t="str">
        <f>_xlfn.CONCAT(表格1[[#This Row],[Model]]," ",表格1[[#This Row],[inv no]])</f>
        <v xml:space="preserve">TW-BL85A2H(WW) </v>
      </c>
      <c r="S4079" s="86">
        <f>_xlfn.XLOOKUP(表格1[[#This Row],[Model]],表格3[Model-Input-Ref2],表格3[SRP PRICE])</f>
        <v>5080</v>
      </c>
      <c r="T4079" s="43">
        <f>表格1[[#This Row],[Unit Price]]/表格1[[#This Row],[SRP]]</f>
        <v>0.50944881889763782</v>
      </c>
      <c r="U4079" s="86" t="str">
        <f>_xlfn.XLOOKUP(表格1[[#This Row],[Model]],表格3[Model-Input-Ref2],表格3[TOSHIBA/HIGHEST])</f>
        <v>Toshiba SRP</v>
      </c>
      <c r="W4079" s="86" t="str">
        <f>_xlfn.CONCAT(表格1[[#This Row],[欄4]],表格1[[#This Row],[inv no]])</f>
        <v/>
      </c>
    </row>
    <row r="4080" spans="1:23" hidden="1">
      <c r="A4080" s="81">
        <v>4078</v>
      </c>
      <c r="B4080" s="86" t="s">
        <v>1203</v>
      </c>
      <c r="C4080" s="86" t="s">
        <v>1977</v>
      </c>
      <c r="D4080" s="89" t="str">
        <f ca="1">OFFSET(Roster!$A$3,MATCH(表格1[[#This Row],[Location]]&amp;" "&amp;表格1[[#This Row],[Shop]]&amp;"*",Roster!$A$4:$A$72,0),DAY(表格1[[#This Row],[date]]),1,1)</f>
        <v>Jessica</v>
      </c>
      <c r="E4080" s="86">
        <f>MONTH(表格1[[#This Row],[date]])</f>
        <v>3</v>
      </c>
      <c r="F4080" s="90">
        <v>46096</v>
      </c>
      <c r="G4080" s="86" t="str">
        <f>VLOOKUP("*"&amp;表格1[[#This Row],[Input]]&amp;"*",'Ref-List'!$B:$D,2,)</f>
        <v>GR-A26HSZ(DS)</v>
      </c>
      <c r="H4080" s="86" t="str">
        <f>_xlfn.XLOOKUP(表格1[[#This Row],[Model]],表格3[Model-Input-Ref2],表格3[Product Line])</f>
        <v>雙門變頻式環保雪櫃</v>
      </c>
      <c r="I4080" s="86" t="str">
        <f>_xlfn.XLOOKUP(表格1[[#This Row],[Model]],表格3[Model-Input-Ref2],表格3[大小電])</f>
        <v>大電</v>
      </c>
      <c r="J4080" s="86" t="str">
        <f>_xlfn.XLOOKUP(表格1[[#This Row],[Model]],表格3[Model-Input-Ref2],表格3[Code])</f>
        <v>AC</v>
      </c>
      <c r="K4080" s="89" t="s">
        <v>1207</v>
      </c>
      <c r="L4080" s="86">
        <v>1</v>
      </c>
      <c r="M4080" s="87">
        <v>1500</v>
      </c>
      <c r="N4080" s="87">
        <f>IFERROR(表格1[[#This Row],[QTY]]*表格1[[#This Row],[Unit Price]],"-")</f>
        <v>1500</v>
      </c>
      <c r="R4080" s="86" t="str">
        <f>_xlfn.CONCAT(表格1[[#This Row],[Model]]," ",表格1[[#This Row],[inv no]])</f>
        <v xml:space="preserve">GR-A26HSZ(DS) </v>
      </c>
      <c r="S4080" s="86">
        <f>_xlfn.XLOOKUP(表格1[[#This Row],[Model]],表格3[Model-Input-Ref2],表格3[SRP PRICE])</f>
        <v>3780</v>
      </c>
      <c r="T4080" s="43">
        <f>表格1[[#This Row],[Unit Price]]/表格1[[#This Row],[SRP]]</f>
        <v>0.3968253968253968</v>
      </c>
      <c r="U4080" s="86" t="str">
        <f>_xlfn.XLOOKUP(表格1[[#This Row],[Model]],表格3[Model-Input-Ref2],表格3[TOSHIBA/HIGHEST])</f>
        <v>Toshiba SRP</v>
      </c>
      <c r="W4080" s="86" t="str">
        <f>_xlfn.CONCAT(表格1[[#This Row],[欄4]],表格1[[#This Row],[inv no]])</f>
        <v/>
      </c>
    </row>
    <row r="4081" spans="1:23" hidden="1">
      <c r="A4081" s="81">
        <v>4079</v>
      </c>
      <c r="B4081" s="86" t="s">
        <v>1203</v>
      </c>
      <c r="C4081" s="86" t="s">
        <v>1977</v>
      </c>
      <c r="D4081" s="89" t="str">
        <f ca="1">OFFSET(Roster!$A$3,MATCH(表格1[[#This Row],[Location]]&amp;" "&amp;表格1[[#This Row],[Shop]]&amp;"*",Roster!$A$4:$A$72,0),DAY(表格1[[#This Row],[date]]),1,1)</f>
        <v>Jessica</v>
      </c>
      <c r="E4081" s="86">
        <f>MONTH(表格1[[#This Row],[date]])</f>
        <v>3</v>
      </c>
      <c r="F4081" s="90">
        <v>46096</v>
      </c>
      <c r="G4081" s="86" t="str">
        <f>VLOOKUP("*"&amp;表格1[[#This Row],[Input]]&amp;"*",'Ref-List'!$B:$D,2,)</f>
        <v>TWP-TSR76THK(W)</v>
      </c>
      <c r="H4081" s="86" t="str">
        <f>_xlfn.XLOOKUP(表格1[[#This Row],[Model]],表格3[Model-Input-Ref2],表格3[Product Line])</f>
        <v>RO座檯式飲水機</v>
      </c>
      <c r="I4081" s="86" t="str">
        <f>_xlfn.XLOOKUP(表格1[[#This Row],[Model]],表格3[Model-Input-Ref2],表格3[大小電])</f>
        <v>細電</v>
      </c>
      <c r="J4081" s="86" t="str">
        <f>_xlfn.XLOOKUP(表格1[[#This Row],[Model]],表格3[Model-Input-Ref2],表格3[Code])</f>
        <v>KWH</v>
      </c>
      <c r="K4081" s="89" t="s">
        <v>1197</v>
      </c>
      <c r="L4081" s="86">
        <v>3</v>
      </c>
      <c r="M4081" s="87">
        <v>1500</v>
      </c>
      <c r="N4081" s="87">
        <f>IFERROR(表格1[[#This Row],[QTY]]*表格1[[#This Row],[Unit Price]],"-")</f>
        <v>4500</v>
      </c>
      <c r="R4081" s="86" t="str">
        <f>_xlfn.CONCAT(表格1[[#This Row],[Model]]," ",表格1[[#This Row],[inv no]])</f>
        <v xml:space="preserve">TWP-TSR76THK(W) </v>
      </c>
      <c r="S4081" s="86">
        <f>_xlfn.XLOOKUP(表格1[[#This Row],[Model]],表格3[Model-Input-Ref2],表格3[SRP PRICE])</f>
        <v>2680</v>
      </c>
      <c r="T4081" s="43">
        <f>表格1[[#This Row],[Unit Price]]/表格1[[#This Row],[SRP]]</f>
        <v>0.55970149253731338</v>
      </c>
      <c r="U4081" s="86" t="str">
        <f>_xlfn.XLOOKUP(表格1[[#This Row],[Model]],表格3[Model-Input-Ref2],表格3[TOSHIBA/HIGHEST])</f>
        <v>Toshiba SRP</v>
      </c>
      <c r="W4081" s="86" t="str">
        <f>_xlfn.CONCAT(表格1[[#This Row],[欄4]],表格1[[#This Row],[inv no]])</f>
        <v/>
      </c>
    </row>
    <row r="4082" spans="1:23" hidden="1">
      <c r="A4082" s="81">
        <v>4080</v>
      </c>
      <c r="B4082" s="86" t="s">
        <v>1203</v>
      </c>
      <c r="C4082" s="86" t="s">
        <v>1977</v>
      </c>
      <c r="D4082" s="89" t="str">
        <f ca="1">OFFSET(Roster!$A$3,MATCH(表格1[[#This Row],[Location]]&amp;" "&amp;表格1[[#This Row],[Shop]]&amp;"*",Roster!$A$4:$A$72,0),DAY(表格1[[#This Row],[date]]),1,1)</f>
        <v>Jessica</v>
      </c>
      <c r="E4082" s="86">
        <f>MONTH(表格1[[#This Row],[date]])</f>
        <v>3</v>
      </c>
      <c r="F4082" s="90">
        <v>46096</v>
      </c>
      <c r="G4082" s="86" t="str">
        <f>VLOOKUP("*"&amp;表格1[[#This Row],[Input]]&amp;"*",'Ref-List'!$B:$D,2,)</f>
        <v>DWS-34AHK</v>
      </c>
      <c r="H4082" s="86" t="str">
        <f>_xlfn.XLOOKUP(表格1[[#This Row],[Model]],表格3[Model-Input-Ref2],表格3[Product Line])</f>
        <v>獨立式免安裝洗碗碟機</v>
      </c>
      <c r="I4082" s="86" t="str">
        <f>_xlfn.XLOOKUP(表格1[[#This Row],[Model]],表格3[Model-Input-Ref2],表格3[大小電])</f>
        <v>細電</v>
      </c>
      <c r="J4082" s="86" t="str">
        <f>_xlfn.XLOOKUP(表格1[[#This Row],[Model]],表格3[Model-Input-Ref2],表格3[Code])</f>
        <v>DM</v>
      </c>
      <c r="K4082" s="89" t="s">
        <v>1240</v>
      </c>
      <c r="L4082" s="86">
        <v>4</v>
      </c>
      <c r="M4082" s="87">
        <v>1500</v>
      </c>
      <c r="N4082" s="87">
        <f>IFERROR(表格1[[#This Row],[QTY]]*表格1[[#This Row],[Unit Price]],"-")</f>
        <v>6000</v>
      </c>
      <c r="R4082" s="86" t="str">
        <f>_xlfn.CONCAT(表格1[[#This Row],[Model]]," ",表格1[[#This Row],[inv no]])</f>
        <v xml:space="preserve">DWS-34AHK </v>
      </c>
      <c r="S4082" s="86">
        <f>_xlfn.XLOOKUP(表格1[[#This Row],[Model]],表格3[Model-Input-Ref2],表格3[SRP PRICE])</f>
        <v>3999</v>
      </c>
      <c r="T4082" s="43">
        <f>表格1[[#This Row],[Unit Price]]/表格1[[#This Row],[SRP]]</f>
        <v>0.37509377344336087</v>
      </c>
      <c r="U4082" s="86" t="str">
        <f>_xlfn.XLOOKUP(表格1[[#This Row],[Model]],表格3[Model-Input-Ref2],表格3[TOSHIBA/HIGHEST])</f>
        <v>Web SRP</v>
      </c>
      <c r="W4082" s="86" t="str">
        <f>_xlfn.CONCAT(表格1[[#This Row],[欄4]],表格1[[#This Row],[inv no]])</f>
        <v/>
      </c>
    </row>
    <row r="4083" spans="1:23" hidden="1">
      <c r="A4083" s="81">
        <v>4081</v>
      </c>
      <c r="B4083" s="86" t="s">
        <v>1203</v>
      </c>
      <c r="C4083" s="86" t="s">
        <v>1977</v>
      </c>
      <c r="D4083" s="89" t="str">
        <f ca="1">OFFSET(Roster!$A$3,MATCH(表格1[[#This Row],[Location]]&amp;" "&amp;表格1[[#This Row],[Shop]]&amp;"*",Roster!$A$4:$A$72,0),DAY(表格1[[#This Row],[date]]),1,1)</f>
        <v>Jessica</v>
      </c>
      <c r="E4083" s="86">
        <f>MONTH(表格1[[#This Row],[date]])</f>
        <v>3</v>
      </c>
      <c r="F4083" s="90">
        <v>46096</v>
      </c>
      <c r="G4083" s="86" t="str">
        <f>VLOOKUP("*"&amp;表格1[[#This Row],[Input]]&amp;"*",'Ref-List'!$B:$D,2,)</f>
        <v>IC-20R1THK</v>
      </c>
      <c r="H4083" s="86" t="str">
        <f>_xlfn.XLOOKUP(表格1[[#This Row],[Model]],表格3[Model-Input-Ref2],表格3[Product Line])</f>
        <v>輕便式電磁爐</v>
      </c>
      <c r="I4083" s="86" t="str">
        <f>_xlfn.XLOOKUP(表格1[[#This Row],[Model]],表格3[Model-Input-Ref2],表格3[大小電])</f>
        <v>細電</v>
      </c>
      <c r="J4083" s="86" t="str">
        <f>_xlfn.XLOOKUP(表格1[[#This Row],[Model]],表格3[Model-Input-Ref2],表格3[Code])</f>
        <v>SDA</v>
      </c>
      <c r="K4083" s="89" t="s">
        <v>1243</v>
      </c>
      <c r="L4083" s="86">
        <v>1</v>
      </c>
      <c r="M4083" s="87">
        <v>290</v>
      </c>
      <c r="N4083" s="87">
        <f>IFERROR(表格1[[#This Row],[QTY]]*表格1[[#This Row],[Unit Price]],"-")</f>
        <v>290</v>
      </c>
      <c r="R4083" s="86" t="str">
        <f>_xlfn.CONCAT(表格1[[#This Row],[Model]]," ",表格1[[#This Row],[inv no]])</f>
        <v xml:space="preserve">IC-20R1THK </v>
      </c>
      <c r="S4083" s="86">
        <f>_xlfn.XLOOKUP(表格1[[#This Row],[Model]],表格3[Model-Input-Ref2],表格3[SRP PRICE])</f>
        <v>438</v>
      </c>
      <c r="T4083" s="43">
        <f>表格1[[#This Row],[Unit Price]]/表格1[[#This Row],[SRP]]</f>
        <v>0.66210045662100458</v>
      </c>
      <c r="U4083" s="86" t="str">
        <f>_xlfn.XLOOKUP(表格1[[#This Row],[Model]],表格3[Model-Input-Ref2],表格3[TOSHIBA/HIGHEST])</f>
        <v>Shops Highest Price</v>
      </c>
      <c r="W4083" s="86" t="str">
        <f>_xlfn.CONCAT(表格1[[#This Row],[欄4]],表格1[[#This Row],[inv no]])</f>
        <v/>
      </c>
    </row>
    <row r="4084" spans="1:23" hidden="1">
      <c r="A4084" s="81">
        <v>4082</v>
      </c>
      <c r="B4084" s="86" t="s">
        <v>1203</v>
      </c>
      <c r="C4084" s="86" t="s">
        <v>1977</v>
      </c>
      <c r="D4084" s="89" t="str">
        <f ca="1">OFFSET(Roster!$A$3,MATCH(表格1[[#This Row],[Location]]&amp;" "&amp;表格1[[#This Row],[Shop]]&amp;"*",Roster!$A$4:$A$72,0),DAY(表格1[[#This Row],[date]]),1,1)</f>
        <v>Jessica</v>
      </c>
      <c r="E4084" s="86">
        <f>MONTH(表格1[[#This Row],[date]])</f>
        <v>3</v>
      </c>
      <c r="F4084" s="90">
        <v>46096</v>
      </c>
      <c r="G4084" s="86" t="str">
        <f>VLOOKUP("*"&amp;表格1[[#This Row],[Input]]&amp;"*",'Ref-List'!$B:$D,2,)</f>
        <v>RC-18AMXH(W)</v>
      </c>
      <c r="H4084" s="86" t="str">
        <f>_xlfn.XLOOKUP(表格1[[#This Row],[Model]],表格3[Model-Input-Ref2],表格3[Product Line])</f>
        <v>酵活炊電飯煲(1.8公升)</v>
      </c>
      <c r="I4084" s="86" t="str">
        <f>_xlfn.XLOOKUP(表格1[[#This Row],[Model]],表格3[Model-Input-Ref2],表格3[大小電])</f>
        <v>細電</v>
      </c>
      <c r="J4084" s="86" t="str">
        <f>_xlfn.XLOOKUP(表格1[[#This Row],[Model]],表格3[Model-Input-Ref2],表格3[Code])</f>
        <v>SDA</v>
      </c>
      <c r="K4084" s="89" t="s">
        <v>1362</v>
      </c>
      <c r="L4084" s="86">
        <v>1</v>
      </c>
      <c r="M4084" s="87">
        <v>990</v>
      </c>
      <c r="N4084" s="87">
        <f>IFERROR(表格1[[#This Row],[QTY]]*表格1[[#This Row],[Unit Price]],"-")</f>
        <v>990</v>
      </c>
      <c r="R4084" s="86" t="str">
        <f>_xlfn.CONCAT(表格1[[#This Row],[Model]]," ",表格1[[#This Row],[inv no]])</f>
        <v xml:space="preserve">RC-18AMXH(W) </v>
      </c>
      <c r="S4084" s="86">
        <f>_xlfn.XLOOKUP(表格1[[#This Row],[Model]],表格3[Model-Input-Ref2],表格3[SRP PRICE])</f>
        <v>1588</v>
      </c>
      <c r="T4084" s="43">
        <f>表格1[[#This Row],[Unit Price]]/表格1[[#This Row],[SRP]]</f>
        <v>0.62342569269521408</v>
      </c>
      <c r="U4084" s="86" t="str">
        <f>_xlfn.XLOOKUP(表格1[[#This Row],[Model]],表格3[Model-Input-Ref2],表格3[TOSHIBA/HIGHEST])</f>
        <v>Toshiba SRP</v>
      </c>
      <c r="W4084" s="86" t="str">
        <f>_xlfn.CONCAT(表格1[[#This Row],[欄4]],表格1[[#This Row],[inv no]])</f>
        <v/>
      </c>
    </row>
    <row r="4085" spans="1:23" hidden="1">
      <c r="A4085" s="81">
        <v>4083</v>
      </c>
      <c r="B4085" s="86" t="s">
        <v>1203</v>
      </c>
      <c r="C4085" s="86" t="s">
        <v>1977</v>
      </c>
      <c r="D4085" s="89" t="str">
        <f ca="1">OFFSET(Roster!$A$3,MATCH(表格1[[#This Row],[Location]]&amp;" "&amp;表格1[[#This Row],[Shop]]&amp;"*",Roster!$A$4:$A$72,0),DAY(表格1[[#This Row],[date]]),1,1)</f>
        <v>Jessica</v>
      </c>
      <c r="E4085" s="86">
        <f>MONTH(表格1[[#This Row],[date]])</f>
        <v>3</v>
      </c>
      <c r="F4085" s="90">
        <v>46096</v>
      </c>
      <c r="G4085" s="86" t="str">
        <f>VLOOKUP("*"&amp;表格1[[#This Row],[Input]]&amp;"*",'Ref-List'!$B:$D,2,)</f>
        <v>TP-25DR2UHK(W)</v>
      </c>
      <c r="H4085" s="86" t="str">
        <f>_xlfn.XLOOKUP(表格1[[#This Row],[Model]],表格3[Model-Input-Ref2],表格3[Product Line])</f>
        <v>電熱水瓶 (2.5公升)</v>
      </c>
      <c r="I4085" s="86" t="str">
        <f>_xlfn.XLOOKUP(表格1[[#This Row],[Model]],表格3[Model-Input-Ref2],表格3[大小電])</f>
        <v>細電</v>
      </c>
      <c r="J4085" s="86" t="str">
        <f>_xlfn.XLOOKUP(表格1[[#This Row],[Model]],表格3[Model-Input-Ref2],表格3[Code])</f>
        <v>SDA</v>
      </c>
      <c r="K4085" s="89" t="s">
        <v>1285</v>
      </c>
      <c r="L4085" s="86">
        <v>1</v>
      </c>
      <c r="M4085" s="87">
        <v>361</v>
      </c>
      <c r="N4085" s="87">
        <f>IFERROR(表格1[[#This Row],[QTY]]*表格1[[#This Row],[Unit Price]],"-")</f>
        <v>361</v>
      </c>
      <c r="R4085" s="86" t="str">
        <f>_xlfn.CONCAT(表格1[[#This Row],[Model]]," ",表格1[[#This Row],[inv no]])</f>
        <v xml:space="preserve">TP-25DR2UHK(W) </v>
      </c>
      <c r="S4085" s="86">
        <f>_xlfn.XLOOKUP(表格1[[#This Row],[Model]],表格3[Model-Input-Ref2],表格3[SRP PRICE])</f>
        <v>538</v>
      </c>
      <c r="T4085" s="43">
        <f>表格1[[#This Row],[Unit Price]]/表格1[[#This Row],[SRP]]</f>
        <v>0.67100371747211895</v>
      </c>
      <c r="U4085" s="86" t="str">
        <f>_xlfn.XLOOKUP(表格1[[#This Row],[Model]],表格3[Model-Input-Ref2],表格3[TOSHIBA/HIGHEST])</f>
        <v>Toshiba SRP</v>
      </c>
      <c r="W4085" s="86" t="str">
        <f>_xlfn.CONCAT(表格1[[#This Row],[欄4]],表格1[[#This Row],[inv no]])</f>
        <v/>
      </c>
    </row>
    <row r="4086" spans="1:23" hidden="1">
      <c r="A4086" s="81">
        <v>4084</v>
      </c>
      <c r="B4086" s="86" t="s">
        <v>1203</v>
      </c>
      <c r="C4086" s="86" t="s">
        <v>1977</v>
      </c>
      <c r="D4086" s="89" t="str">
        <f ca="1">OFFSET(Roster!$A$3,MATCH(表格1[[#This Row],[Location]]&amp;" "&amp;表格1[[#This Row],[Shop]]&amp;"*",Roster!$A$4:$A$72,0),DAY(表格1[[#This Row],[date]]),1,1)</f>
        <v>Jessica</v>
      </c>
      <c r="E4086" s="86">
        <f>MONTH(表格1[[#This Row],[date]])</f>
        <v>3</v>
      </c>
      <c r="F4086" s="90">
        <v>46096</v>
      </c>
      <c r="G4086" s="86" t="str">
        <f>VLOOKUP("*"&amp;表格1[[#This Row],[Input]]&amp;"*",'Ref-List'!$B:$D,2,)</f>
        <v>GR-RB360WE-PMA(06)</v>
      </c>
      <c r="H4086" s="86" t="str">
        <f>_xlfn.XLOOKUP(表格1[[#This Row],[Model]],表格3[Model-Input-Ref2],表格3[Product Line])</f>
        <v>變頻下置式雙門雪櫃系列270L</v>
      </c>
      <c r="I4086" s="86" t="str">
        <f>_xlfn.XLOOKUP(表格1[[#This Row],[Model]],表格3[Model-Input-Ref2],表格3[大小電])</f>
        <v>大電</v>
      </c>
      <c r="J4086" s="86" t="str">
        <f>_xlfn.XLOOKUP(表格1[[#This Row],[Model]],表格3[Model-Input-Ref2],表格3[Code])</f>
        <v>REF</v>
      </c>
      <c r="K4086" s="89" t="s">
        <v>1282</v>
      </c>
      <c r="L4086" s="86">
        <v>1</v>
      </c>
      <c r="M4086" s="87">
        <v>3781</v>
      </c>
      <c r="N4086" s="87">
        <f>IFERROR(表格1[[#This Row],[QTY]]*表格1[[#This Row],[Unit Price]],"-")</f>
        <v>3781</v>
      </c>
      <c r="O4086" s="86">
        <v>5725752</v>
      </c>
      <c r="R4086" s="86" t="str">
        <f>_xlfn.CONCAT(表格1[[#This Row],[Model]]," ",表格1[[#This Row],[inv no]])</f>
        <v>GR-RB360WE-PMA(06) 5725752</v>
      </c>
      <c r="S4086" s="86">
        <f>_xlfn.XLOOKUP(表格1[[#This Row],[Model]],表格3[Model-Input-Ref2],表格3[SRP PRICE])</f>
        <v>5080</v>
      </c>
      <c r="T4086" s="43">
        <f>表格1[[#This Row],[Unit Price]]/表格1[[#This Row],[SRP]]</f>
        <v>0.74429133858267715</v>
      </c>
      <c r="U4086" s="86" t="str">
        <f>_xlfn.XLOOKUP(表格1[[#This Row],[Model]],表格3[Model-Input-Ref2],表格3[TOSHIBA/HIGHEST])</f>
        <v>Toshiba SRP</v>
      </c>
      <c r="W4086" s="86" t="str">
        <f>_xlfn.CONCAT(表格1[[#This Row],[欄4]],表格1[[#This Row],[inv no]])</f>
        <v>5725752</v>
      </c>
    </row>
    <row r="4087" spans="1:23" hidden="1">
      <c r="A4087" s="81">
        <v>4085</v>
      </c>
      <c r="B4087" s="86" t="s">
        <v>1203</v>
      </c>
      <c r="C4087" s="86" t="s">
        <v>1977</v>
      </c>
      <c r="D4087" s="89" t="str">
        <f ca="1">OFFSET(Roster!$A$3,MATCH(表格1[[#This Row],[Location]]&amp;" "&amp;表格1[[#This Row],[Shop]]&amp;"*",Roster!$A$4:$A$72,0),DAY(表格1[[#This Row],[date]]),1,1)</f>
        <v>Jessica</v>
      </c>
      <c r="E4087" s="86">
        <f>MONTH(表格1[[#This Row],[date]])</f>
        <v>3</v>
      </c>
      <c r="F4087" s="90">
        <v>46096</v>
      </c>
      <c r="G4087" s="86" t="str">
        <f>VLOOKUP("*"&amp;表格1[[#This Row],[Input]]&amp;"*",'Ref-List'!$B:$D,2,)</f>
        <v>GR-RT416WE-PMA(06)</v>
      </c>
      <c r="H4087" s="86" t="str">
        <f>_xlfn.XLOOKUP(表格1[[#This Row],[Model]],表格3[Model-Input-Ref2],表格3[Product Line])</f>
        <v xml:space="preserve">變頻上置式雙門雪櫃313L </v>
      </c>
      <c r="I4087" s="86" t="str">
        <f>_xlfn.XLOOKUP(表格1[[#This Row],[Model]],表格3[Model-Input-Ref2],表格3[大小電])</f>
        <v>大電</v>
      </c>
      <c r="J4087" s="86" t="str">
        <f>_xlfn.XLOOKUP(表格1[[#This Row],[Model]],表格3[Model-Input-Ref2],表格3[Code])</f>
        <v>REF</v>
      </c>
      <c r="K4087" s="89" t="s">
        <v>1208</v>
      </c>
      <c r="L4087" s="86">
        <v>1</v>
      </c>
      <c r="M4087" s="87">
        <v>2888</v>
      </c>
      <c r="N4087" s="87">
        <f>IFERROR(表格1[[#This Row],[QTY]]*表格1[[#This Row],[Unit Price]],"-")</f>
        <v>2888</v>
      </c>
      <c r="R4087" s="86" t="str">
        <f>_xlfn.CONCAT(表格1[[#This Row],[Model]]," ",表格1[[#This Row],[inv no]])</f>
        <v xml:space="preserve">GR-RT416WE-PMA(06) </v>
      </c>
      <c r="S4087" s="86">
        <f>_xlfn.XLOOKUP(表格1[[#This Row],[Model]],表格3[Model-Input-Ref2],表格3[SRP PRICE])</f>
        <v>5380</v>
      </c>
      <c r="T4087" s="43">
        <f>表格1[[#This Row],[Unit Price]]/表格1[[#This Row],[SRP]]</f>
        <v>0.53680297397769516</v>
      </c>
      <c r="U4087" s="86" t="str">
        <f>_xlfn.XLOOKUP(表格1[[#This Row],[Model]],表格3[Model-Input-Ref2],表格3[TOSHIBA/HIGHEST])</f>
        <v>Toshiba SRP</v>
      </c>
      <c r="W4087" s="86" t="str">
        <f>_xlfn.CONCAT(表格1[[#This Row],[欄4]],表格1[[#This Row],[inv no]])</f>
        <v/>
      </c>
    </row>
    <row r="4088" spans="1:23" hidden="1">
      <c r="A4088" s="81">
        <v>4086</v>
      </c>
      <c r="B4088" s="86" t="s">
        <v>1203</v>
      </c>
      <c r="C4088" s="86" t="s">
        <v>1977</v>
      </c>
      <c r="D4088" s="89" t="str">
        <f ca="1">OFFSET(Roster!$A$3,MATCH(表格1[[#This Row],[Location]]&amp;" "&amp;表格1[[#This Row],[Shop]]&amp;"*",Roster!$A$4:$A$72,0),DAY(表格1[[#This Row],[date]]),1,1)</f>
        <v>Jessica</v>
      </c>
      <c r="E4088" s="86">
        <f>MONTH(表格1[[#This Row],[date]])</f>
        <v>3</v>
      </c>
      <c r="F4088" s="90">
        <v>46096</v>
      </c>
      <c r="G4088" s="86" t="str">
        <f>VLOOKUP("*"&amp;表格1[[#This Row],[Input]]&amp;"*",'Ref-List'!$B:$D,2,)</f>
        <v>AW-Q901BPH(WW)</v>
      </c>
      <c r="H4088" s="86" t="str">
        <f>_xlfn.XLOOKUP(表格1[[#This Row],[Model]],表格3[Model-Input-Ref2],表格3[Product Line])</f>
        <v>日式洗衣機 (8公斤 結合高低水位)</v>
      </c>
      <c r="I4088" s="86" t="str">
        <f>_xlfn.XLOOKUP(表格1[[#This Row],[Model]],表格3[Model-Input-Ref2],表格3[大小電])</f>
        <v>大電</v>
      </c>
      <c r="J4088" s="86" t="str">
        <f>_xlfn.XLOOKUP(表格1[[#This Row],[Model]],表格3[Model-Input-Ref2],表格3[Code])</f>
        <v>LAD</v>
      </c>
      <c r="K4088" s="89" t="s">
        <v>1411</v>
      </c>
      <c r="L4088" s="86">
        <v>1</v>
      </c>
      <c r="M4088" s="87">
        <v>2280</v>
      </c>
      <c r="N4088" s="87">
        <f>IFERROR(表格1[[#This Row],[QTY]]*表格1[[#This Row],[Unit Price]],"-")</f>
        <v>2280</v>
      </c>
      <c r="O4088" s="86">
        <v>6039099</v>
      </c>
      <c r="R4088" s="86" t="str">
        <f>_xlfn.CONCAT(表格1[[#This Row],[Model]]," ",表格1[[#This Row],[inv no]])</f>
        <v>AW-Q901BPH(WW) 6039099</v>
      </c>
      <c r="S4088" s="86">
        <f>_xlfn.XLOOKUP(表格1[[#This Row],[Model]],表格3[Model-Input-Ref2],表格3[SRP PRICE])</f>
        <v>3780</v>
      </c>
      <c r="T4088" s="43">
        <f>表格1[[#This Row],[Unit Price]]/表格1[[#This Row],[SRP]]</f>
        <v>0.60317460317460314</v>
      </c>
      <c r="U4088" s="86" t="str">
        <f>_xlfn.XLOOKUP(表格1[[#This Row],[Model]],表格3[Model-Input-Ref2],表格3[TOSHIBA/HIGHEST])</f>
        <v>Toshiba SRP</v>
      </c>
      <c r="W4088" s="86" t="str">
        <f>_xlfn.CONCAT(表格1[[#This Row],[欄4]],表格1[[#This Row],[inv no]])</f>
        <v>6039099</v>
      </c>
    </row>
    <row r="4089" spans="1:23" hidden="1">
      <c r="A4089" s="81">
        <v>4087</v>
      </c>
      <c r="B4089" s="86" t="s">
        <v>1203</v>
      </c>
      <c r="C4089" s="86" t="s">
        <v>1977</v>
      </c>
      <c r="D4089" s="89" t="str">
        <f ca="1">OFFSET(Roster!$A$3,MATCH(表格1[[#This Row],[Location]]&amp;" "&amp;表格1[[#This Row],[Shop]]&amp;"*",Roster!$A$4:$A$72,0),DAY(表格1[[#This Row],[date]]),1,1)</f>
        <v>Jessica</v>
      </c>
      <c r="E4089" s="86">
        <f>MONTH(表格1[[#This Row],[date]])</f>
        <v>3</v>
      </c>
      <c r="F4089" s="90">
        <v>46096</v>
      </c>
      <c r="G4089" s="86" t="str">
        <f>VLOOKUP("*"&amp;表格1[[#This Row],[Input]]&amp;"*",'Ref-List'!$B:$D,2,)</f>
        <v>AW-M901BPH(WW)</v>
      </c>
      <c r="H4089" s="86" t="str">
        <f>_xlfn.XLOOKUP(表格1[[#This Row],[Model]],表格3[Model-Input-Ref2],表格3[Product Line])</f>
        <v>全自動洗衣機 (8公斤 結合高低水位)</v>
      </c>
      <c r="I4089" s="86" t="str">
        <f>_xlfn.XLOOKUP(表格1[[#This Row],[Model]],表格3[Model-Input-Ref2],表格3[大小電])</f>
        <v>大電</v>
      </c>
      <c r="J4089" s="86" t="str">
        <f>_xlfn.XLOOKUP(表格1[[#This Row],[Model]],表格3[Model-Input-Ref2],表格3[Code])</f>
        <v>WM</v>
      </c>
      <c r="K4089" s="89" t="s">
        <v>1202</v>
      </c>
      <c r="L4089" s="86">
        <v>3</v>
      </c>
      <c r="M4089" s="87">
        <v>1500</v>
      </c>
      <c r="N4089" s="87">
        <f>IFERROR(表格1[[#This Row],[QTY]]*表格1[[#This Row],[Unit Price]],"-")</f>
        <v>4500</v>
      </c>
      <c r="R4089" s="86" t="str">
        <f>_xlfn.CONCAT(表格1[[#This Row],[Model]]," ",表格1[[#This Row],[inv no]])</f>
        <v xml:space="preserve">AW-M901BPH(WW) </v>
      </c>
      <c r="S4089" s="86">
        <f>_xlfn.XLOOKUP(表格1[[#This Row],[Model]],表格3[Model-Input-Ref2],表格3[SRP PRICE])</f>
        <v>3580</v>
      </c>
      <c r="T4089" s="43">
        <f>表格1[[#This Row],[Unit Price]]/表格1[[#This Row],[SRP]]</f>
        <v>0.41899441340782123</v>
      </c>
      <c r="U4089" s="86" t="str">
        <f>_xlfn.XLOOKUP(表格1[[#This Row],[Model]],表格3[Model-Input-Ref2],表格3[TOSHIBA/HIGHEST])</f>
        <v>Toshiba SRP</v>
      </c>
      <c r="W4089" s="86" t="str">
        <f>_xlfn.CONCAT(表格1[[#This Row],[欄4]],表格1[[#This Row],[inv no]])</f>
        <v/>
      </c>
    </row>
    <row r="4090" spans="1:23" hidden="1">
      <c r="A4090" s="81">
        <v>4088</v>
      </c>
      <c r="B4090" s="86" t="s">
        <v>1203</v>
      </c>
      <c r="C4090" s="86" t="s">
        <v>1977</v>
      </c>
      <c r="D4090" s="89" t="str">
        <f ca="1">OFFSET(Roster!$A$3,MATCH(表格1[[#This Row],[Location]]&amp;" "&amp;表格1[[#This Row],[Shop]]&amp;"*",Roster!$A$4:$A$72,0),DAY(表格1[[#This Row],[date]]),1,1)</f>
        <v>Jessica</v>
      </c>
      <c r="E4090" s="86">
        <f>MONTH(表格1[[#This Row],[date]])</f>
        <v>3</v>
      </c>
      <c r="F4090" s="90">
        <v>46096</v>
      </c>
      <c r="G4090" s="86" t="str">
        <f>VLOOKUP("*"&amp;表格1[[#This Row],[Input]]&amp;"*",'Ref-List'!$B:$D,2,)</f>
        <v>IC-21TSHK</v>
      </c>
      <c r="H4090" s="86" t="str">
        <f>_xlfn.XLOOKUP(表格1[[#This Row],[Model]],表格3[Model-Input-Ref2],表格3[Product Line])</f>
        <v>Induction Cooker</v>
      </c>
      <c r="I4090" s="86" t="str">
        <f>_xlfn.XLOOKUP(表格1[[#This Row],[Model]],表格3[Model-Input-Ref2],表格3[大小電])</f>
        <v>細電</v>
      </c>
      <c r="J4090" s="86" t="str">
        <f>_xlfn.XLOOKUP(表格1[[#This Row],[Model]],表格3[Model-Input-Ref2],表格3[Code])</f>
        <v>SDA</v>
      </c>
      <c r="K4090" s="89" t="s">
        <v>1242</v>
      </c>
      <c r="L4090" s="86">
        <v>1</v>
      </c>
      <c r="M4090" s="87">
        <v>500</v>
      </c>
      <c r="N4090" s="87">
        <f>IFERROR(表格1[[#This Row],[QTY]]*表格1[[#This Row],[Unit Price]],"-")</f>
        <v>500</v>
      </c>
      <c r="R4090" s="86" t="str">
        <f>_xlfn.CONCAT(表格1[[#This Row],[Model]]," ",表格1[[#This Row],[inv no]])</f>
        <v xml:space="preserve">IC-21TSHK </v>
      </c>
      <c r="S4090" s="86">
        <f>_xlfn.XLOOKUP(表格1[[#This Row],[Model]],表格3[Model-Input-Ref2],表格3[SRP PRICE])</f>
        <v>998</v>
      </c>
      <c r="T4090" s="43">
        <f>表格1[[#This Row],[Unit Price]]/表格1[[#This Row],[SRP]]</f>
        <v>0.50100200400801598</v>
      </c>
      <c r="U4090" s="86" t="str">
        <f>_xlfn.XLOOKUP(表格1[[#This Row],[Model]],表格3[Model-Input-Ref2],表格3[TOSHIBA/HIGHEST])</f>
        <v>web SRP</v>
      </c>
      <c r="W4090" s="86" t="str">
        <f>_xlfn.CONCAT(表格1[[#This Row],[欄4]],表格1[[#This Row],[inv no]])</f>
        <v/>
      </c>
    </row>
    <row r="4091" spans="1:23" hidden="1">
      <c r="A4091" s="81">
        <v>4089</v>
      </c>
      <c r="B4091" s="86" t="s">
        <v>1203</v>
      </c>
      <c r="C4091" s="86" t="s">
        <v>1977</v>
      </c>
      <c r="D4091" s="89" t="str">
        <f ca="1">OFFSET(Roster!$A$3,MATCH(表格1[[#This Row],[Location]]&amp;" "&amp;表格1[[#This Row],[Shop]]&amp;"*",Roster!$A$4:$A$72,0),DAY(表格1[[#This Row],[date]]),1,1)</f>
        <v>Jessica</v>
      </c>
      <c r="E4091" s="86">
        <f>MONTH(表格1[[#This Row],[date]])</f>
        <v>3</v>
      </c>
      <c r="F4091" s="90">
        <v>46096</v>
      </c>
      <c r="G4091" s="86" t="str">
        <f>VLOOKUP("*"&amp;表格1[[#This Row],[Input]]&amp;"*",'Ref-List'!$B:$D,2,)</f>
        <v>CWF-12CRFN8-AD5</v>
      </c>
      <c r="H4091" s="86" t="str">
        <f>_xlfn.XLOOKUP(表格1[[#This Row],[Model]],表格3[Model-Input-Ref2],表格3[Product Line])</f>
        <v>Comfee 1.5匹變頻窗口式冷氣機</v>
      </c>
      <c r="I4091" s="86" t="str">
        <f>_xlfn.XLOOKUP(表格1[[#This Row],[Model]],表格3[Model-Input-Ref2],表格3[大小電])</f>
        <v>大電</v>
      </c>
      <c r="J4091" s="86" t="str">
        <f>_xlfn.XLOOKUP(表格1[[#This Row],[Model]],表格3[Model-Input-Ref2],表格3[Code])</f>
        <v>RAC</v>
      </c>
      <c r="K4091" s="89" t="s">
        <v>1966</v>
      </c>
      <c r="L4091" s="86">
        <v>1</v>
      </c>
      <c r="M4091" s="87">
        <v>3528</v>
      </c>
      <c r="N4091" s="87">
        <f>IFERROR(表格1[[#This Row],[QTY]]*表格1[[#This Row],[Unit Price]],"-")</f>
        <v>3528</v>
      </c>
      <c r="R4091" s="86" t="str">
        <f>_xlfn.CONCAT(表格1[[#This Row],[Model]]," ",表格1[[#This Row],[inv no]])</f>
        <v xml:space="preserve">CWF-12CRFN8-AD5 </v>
      </c>
      <c r="S4091" s="86">
        <f>_xlfn.XLOOKUP(表格1[[#This Row],[Model]],表格3[Model-Input-Ref2],表格3[SRP PRICE])</f>
        <v>5200</v>
      </c>
      <c r="T4091" s="43">
        <f>表格1[[#This Row],[Unit Price]]/表格1[[#This Row],[SRP]]</f>
        <v>0.67846153846153845</v>
      </c>
      <c r="U4091" s="86" t="str">
        <f>_xlfn.XLOOKUP(表格1[[#This Row],[Model]],表格3[Model-Input-Ref2],表格3[TOSHIBA/HIGHEST])</f>
        <v>Shops Highest Price</v>
      </c>
      <c r="W4091" s="86" t="str">
        <f>_xlfn.CONCAT(表格1[[#This Row],[欄4]],表格1[[#This Row],[inv no]])</f>
        <v/>
      </c>
    </row>
    <row r="4092" spans="1:23" hidden="1">
      <c r="A4092" s="81">
        <v>4090</v>
      </c>
      <c r="B4092" s="86" t="s">
        <v>1203</v>
      </c>
      <c r="C4092" s="86" t="s">
        <v>1977</v>
      </c>
      <c r="D4092" s="89" t="str">
        <f ca="1">OFFSET(Roster!$A$3,MATCH(表格1[[#This Row],[Location]]&amp;" "&amp;表格1[[#This Row],[Shop]]&amp;"*",Roster!$A$4:$A$72,0),DAY(表格1[[#This Row],[date]]),1,1)</f>
        <v>Jessica</v>
      </c>
      <c r="E4092" s="86">
        <f>MONTH(表格1[[#This Row],[date]])</f>
        <v>3</v>
      </c>
      <c r="F4092" s="90">
        <v>46096</v>
      </c>
      <c r="G4092" s="86" t="str">
        <f>VLOOKUP("*"&amp;表格1[[#This Row],[Input]]&amp;"*",'Ref-List'!$B:$D,2,)</f>
        <v>CWF-18CRFN8-AD5</v>
      </c>
      <c r="H4092" s="86" t="str">
        <f>_xlfn.XLOOKUP(表格1[[#This Row],[Model]],表格3[Model-Input-Ref2],表格3[Product Line])</f>
        <v>Comfee 2匹變頻窗口式冷氣機</v>
      </c>
      <c r="I4092" s="86" t="str">
        <f>_xlfn.XLOOKUP(表格1[[#This Row],[Model]],表格3[Model-Input-Ref2],表格3[大小電])</f>
        <v>大電</v>
      </c>
      <c r="J4092" s="86" t="str">
        <f>_xlfn.XLOOKUP(表格1[[#This Row],[Model]],表格3[Model-Input-Ref2],表格3[Code])</f>
        <v>RAC</v>
      </c>
      <c r="K4092" s="89" t="s">
        <v>1970</v>
      </c>
      <c r="L4092" s="86">
        <v>1</v>
      </c>
      <c r="M4092" s="87">
        <v>4028</v>
      </c>
      <c r="N4092" s="87">
        <f>IFERROR(表格1[[#This Row],[QTY]]*表格1[[#This Row],[Unit Price]],"-")</f>
        <v>4028</v>
      </c>
      <c r="R4092" s="86" t="str">
        <f>_xlfn.CONCAT(表格1[[#This Row],[Model]]," ",表格1[[#This Row],[inv no]])</f>
        <v xml:space="preserve">CWF-18CRFN8-AD5 </v>
      </c>
      <c r="S4092" s="86">
        <f>_xlfn.XLOOKUP(表格1[[#This Row],[Model]],表格3[Model-Input-Ref2],表格3[SRP PRICE])</f>
        <v>6600</v>
      </c>
      <c r="T4092" s="43">
        <f>表格1[[#This Row],[Unit Price]]/表格1[[#This Row],[SRP]]</f>
        <v>0.61030303030303035</v>
      </c>
      <c r="U4092" s="86" t="str">
        <f>_xlfn.XLOOKUP(表格1[[#This Row],[Model]],表格3[Model-Input-Ref2],表格3[TOSHIBA/HIGHEST])</f>
        <v>Shops Highest Price</v>
      </c>
      <c r="W4092" s="86" t="str">
        <f>_xlfn.CONCAT(表格1[[#This Row],[欄4]],表格1[[#This Row],[inv no]])</f>
        <v/>
      </c>
    </row>
    <row r="4093" spans="1:23" hidden="1">
      <c r="A4093" s="81">
        <v>4091</v>
      </c>
      <c r="B4093" s="86" t="s">
        <v>1203</v>
      </c>
      <c r="C4093" s="86" t="s">
        <v>1977</v>
      </c>
      <c r="D4093" s="89" t="str">
        <f ca="1">OFFSET(Roster!$A$3,MATCH(表格1[[#This Row],[Location]]&amp;" "&amp;表格1[[#This Row],[Shop]]&amp;"*",Roster!$A$4:$A$72,0),DAY(表格1[[#This Row],[date]]),1,1)</f>
        <v>Jessica</v>
      </c>
      <c r="E4093" s="86">
        <f>MONTH(表格1[[#This Row],[date]])</f>
        <v>3</v>
      </c>
      <c r="F4093" s="90">
        <v>46096</v>
      </c>
      <c r="G4093" s="86" t="str">
        <f>VLOOKUP("*"&amp;表格1[[#This Row],[Input]]&amp;"*",'Ref-List'!$B:$D,2,)</f>
        <v>RC-15ISTHK(W)</v>
      </c>
      <c r="H4093" s="86" t="str">
        <f>_xlfn.XLOOKUP(表格1[[#This Row],[Model]],表格3[Model-Input-Ref2],表格3[Product Line])</f>
        <v>磁應電飯煲(1.5公升)</v>
      </c>
      <c r="I4093" s="86" t="str">
        <f>_xlfn.XLOOKUP(表格1[[#This Row],[Model]],表格3[Model-Input-Ref2],表格3[大小電])</f>
        <v>細電</v>
      </c>
      <c r="J4093" s="86" t="str">
        <f>_xlfn.XLOOKUP(表格1[[#This Row],[Model]],表格3[Model-Input-Ref2],表格3[Code])</f>
        <v>SDA</v>
      </c>
      <c r="K4093" s="89" t="s">
        <v>1204</v>
      </c>
      <c r="L4093" s="86">
        <v>16</v>
      </c>
      <c r="M4093" s="87">
        <v>500</v>
      </c>
      <c r="N4093" s="87">
        <f>IFERROR(表格1[[#This Row],[QTY]]*表格1[[#This Row],[Unit Price]],"-")</f>
        <v>8000</v>
      </c>
      <c r="R4093" s="86" t="str">
        <f>_xlfn.CONCAT(表格1[[#This Row],[Model]]," ",表格1[[#This Row],[inv no]])</f>
        <v xml:space="preserve">RC-15ISTHK(W) </v>
      </c>
      <c r="S4093" s="86">
        <f>_xlfn.XLOOKUP(表格1[[#This Row],[Model]],表格3[Model-Input-Ref2],表格3[SRP PRICE])</f>
        <v>1688</v>
      </c>
      <c r="T4093" s="43">
        <f>表格1[[#This Row],[Unit Price]]/表格1[[#This Row],[SRP]]</f>
        <v>0.29620853080568721</v>
      </c>
      <c r="U4093" s="86" t="str">
        <f>_xlfn.XLOOKUP(表格1[[#This Row],[Model]],表格3[Model-Input-Ref2],表格3[TOSHIBA/HIGHEST])</f>
        <v>Toshiba SRP</v>
      </c>
      <c r="W4093" s="86" t="str">
        <f>_xlfn.CONCAT(表格1[[#This Row],[欄4]],表格1[[#This Row],[inv no]])</f>
        <v/>
      </c>
    </row>
    <row r="4094" spans="1:23" hidden="1">
      <c r="A4094" s="81">
        <v>4092</v>
      </c>
      <c r="B4094" s="86" t="s">
        <v>1203</v>
      </c>
      <c r="C4094" s="86" t="s">
        <v>1977</v>
      </c>
      <c r="D4094" s="89" t="str">
        <f ca="1">OFFSET(Roster!$A$3,MATCH(表格1[[#This Row],[Location]]&amp;" "&amp;表格1[[#This Row],[Shop]]&amp;"*",Roster!$A$4:$A$72,0),DAY(表格1[[#This Row],[date]]),1,1)</f>
        <v>Jessica off</v>
      </c>
      <c r="E4094" s="86">
        <f>MONTH(表格1[[#This Row],[date]])</f>
        <v>3</v>
      </c>
      <c r="F4094" s="90">
        <v>46097</v>
      </c>
      <c r="G4094" s="86" t="str">
        <f>VLOOKUP("*"&amp;表格1[[#This Row],[Input]]&amp;"*",'Ref-List'!$B:$D,2,)</f>
        <v>AW-Q901BPH(WW)</v>
      </c>
      <c r="H4094" s="86" t="str">
        <f>_xlfn.XLOOKUP(表格1[[#This Row],[Model]],表格3[Model-Input-Ref2],表格3[Product Line])</f>
        <v>日式洗衣機 (8公斤 結合高低水位)</v>
      </c>
      <c r="I4094" s="86" t="str">
        <f>_xlfn.XLOOKUP(表格1[[#This Row],[Model]],表格3[Model-Input-Ref2],表格3[大小電])</f>
        <v>大電</v>
      </c>
      <c r="J4094" s="86" t="str">
        <f>_xlfn.XLOOKUP(表格1[[#This Row],[Model]],表格3[Model-Input-Ref2],表格3[Code])</f>
        <v>LAD</v>
      </c>
      <c r="K4094" s="89" t="s">
        <v>1411</v>
      </c>
      <c r="L4094" s="86">
        <v>1</v>
      </c>
      <c r="M4094" s="87">
        <v>2280</v>
      </c>
      <c r="N4094" s="87">
        <f>IFERROR(表格1[[#This Row],[QTY]]*表格1[[#This Row],[Unit Price]],"-")</f>
        <v>2280</v>
      </c>
      <c r="O4094" s="86">
        <v>6037008</v>
      </c>
      <c r="R4094" s="86" t="str">
        <f>_xlfn.CONCAT(表格1[[#This Row],[Model]]," ",表格1[[#This Row],[inv no]])</f>
        <v>AW-Q901BPH(WW) 6037008</v>
      </c>
      <c r="S4094" s="86">
        <f>_xlfn.XLOOKUP(表格1[[#This Row],[Model]],表格3[Model-Input-Ref2],表格3[SRP PRICE])</f>
        <v>3780</v>
      </c>
      <c r="T4094" s="43">
        <f>表格1[[#This Row],[Unit Price]]/表格1[[#This Row],[SRP]]</f>
        <v>0.60317460317460314</v>
      </c>
      <c r="U4094" s="86" t="str">
        <f>_xlfn.XLOOKUP(表格1[[#This Row],[Model]],表格3[Model-Input-Ref2],表格3[TOSHIBA/HIGHEST])</f>
        <v>Toshiba SRP</v>
      </c>
      <c r="W4094" s="86" t="str">
        <f>_xlfn.CONCAT(表格1[[#This Row],[欄4]],表格1[[#This Row],[inv no]])</f>
        <v>6037008</v>
      </c>
    </row>
    <row r="4095" spans="1:23" hidden="1">
      <c r="A4095" s="81">
        <v>4093</v>
      </c>
      <c r="B4095" s="86" t="s">
        <v>1203</v>
      </c>
      <c r="C4095" s="86" t="s">
        <v>1977</v>
      </c>
      <c r="D4095" s="89" t="str">
        <f ca="1">OFFSET(Roster!$A$3,MATCH(表格1[[#This Row],[Location]]&amp;" "&amp;表格1[[#This Row],[Shop]]&amp;"*",Roster!$A$4:$A$72,0),DAY(表格1[[#This Row],[date]]),1,1)</f>
        <v>Jessica off</v>
      </c>
      <c r="E4095" s="86">
        <f>MONTH(表格1[[#This Row],[date]])</f>
        <v>3</v>
      </c>
      <c r="F4095" s="90">
        <v>46097</v>
      </c>
      <c r="G4095" s="86" t="str">
        <f>VLOOKUP("*"&amp;表格1[[#This Row],[Input]]&amp;"*",'Ref-List'!$B:$D,2,)</f>
        <v>RAD-D200H</v>
      </c>
      <c r="H4095" s="86" t="str">
        <f>_xlfn.XLOOKUP(表格1[[#This Row],[Model]],表格3[Model-Input-Ref2],表格3[Product Line])</f>
        <v>壓縮式抽濕機 (22公升)</v>
      </c>
      <c r="I4095" s="86" t="str">
        <f>_xlfn.XLOOKUP(表格1[[#This Row],[Model]],表格3[Model-Input-Ref2],表格3[大小電])</f>
        <v>細電</v>
      </c>
      <c r="J4095" s="86" t="str">
        <f>_xlfn.XLOOKUP(表格1[[#This Row],[Model]],表格3[Model-Input-Ref2],表格3[Code])</f>
        <v>RAC</v>
      </c>
      <c r="K4095" s="89" t="s">
        <v>1250</v>
      </c>
      <c r="L4095" s="86">
        <v>1</v>
      </c>
      <c r="M4095" s="87">
        <v>1881</v>
      </c>
      <c r="N4095" s="87">
        <f>IFERROR(表格1[[#This Row],[QTY]]*表格1[[#This Row],[Unit Price]],"-")</f>
        <v>1881</v>
      </c>
      <c r="R4095" s="86" t="str">
        <f>_xlfn.CONCAT(表格1[[#This Row],[Model]]," ",表格1[[#This Row],[inv no]])</f>
        <v xml:space="preserve">RAD-D200H </v>
      </c>
      <c r="S4095" s="86">
        <f>_xlfn.XLOOKUP(表格1[[#This Row],[Model]],表格3[Model-Input-Ref2],表格3[SRP PRICE])</f>
        <v>2880</v>
      </c>
      <c r="T4095" s="43">
        <f>表格1[[#This Row],[Unit Price]]/表格1[[#This Row],[SRP]]</f>
        <v>0.65312499999999996</v>
      </c>
      <c r="U4095" s="86" t="str">
        <f>_xlfn.XLOOKUP(表格1[[#This Row],[Model]],表格3[Model-Input-Ref2],表格3[TOSHIBA/HIGHEST])</f>
        <v>Shops Highest Price</v>
      </c>
      <c r="W4095" s="86" t="str">
        <f>_xlfn.CONCAT(表格1[[#This Row],[欄4]],表格1[[#This Row],[inv no]])</f>
        <v/>
      </c>
    </row>
    <row r="4096" spans="1:23" hidden="1">
      <c r="A4096" s="81">
        <v>4094</v>
      </c>
      <c r="B4096" s="86" t="s">
        <v>1203</v>
      </c>
      <c r="C4096" s="86" t="s">
        <v>1977</v>
      </c>
      <c r="D4096" s="89" t="str">
        <f ca="1">OFFSET(Roster!$A$3,MATCH(表格1[[#This Row],[Location]]&amp;" "&amp;表格1[[#This Row],[Shop]]&amp;"*",Roster!$A$4:$A$72,0),DAY(表格1[[#This Row],[date]]),1,1)</f>
        <v>Jessica off</v>
      </c>
      <c r="E4096" s="86">
        <f>MONTH(表格1[[#This Row],[date]])</f>
        <v>3</v>
      </c>
      <c r="F4096" s="90">
        <v>46098</v>
      </c>
      <c r="G4096" s="86" t="str">
        <f>VLOOKUP("*"&amp;表格1[[#This Row],[Input]]&amp;"*",'Ref-List'!$B:$D,2,)</f>
        <v>IC-S19RH</v>
      </c>
      <c r="H4096" s="86" t="str">
        <f>_xlfn.XLOOKUP(表格1[[#This Row],[Model]],表格3[Model-Input-Ref2],表格3[Product Line])</f>
        <v>輕便式電磁爐7個功能</v>
      </c>
      <c r="I4096" s="86" t="str">
        <f>_xlfn.XLOOKUP(表格1[[#This Row],[Model]],表格3[Model-Input-Ref2],表格3[大小電])</f>
        <v>細電</v>
      </c>
      <c r="J4096" s="86" t="str">
        <f>_xlfn.XLOOKUP(表格1[[#This Row],[Model]],表格3[Model-Input-Ref2],表格3[Code])</f>
        <v>SDA</v>
      </c>
      <c r="K4096" s="89" t="s">
        <v>1289</v>
      </c>
      <c r="L4096" s="86">
        <v>1</v>
      </c>
      <c r="M4096" s="87">
        <v>550</v>
      </c>
      <c r="N4096" s="87">
        <f>IFERROR(表格1[[#This Row],[QTY]]*表格1[[#This Row],[Unit Price]],"-")</f>
        <v>550</v>
      </c>
      <c r="R4096" s="86" t="str">
        <f>_xlfn.CONCAT(表格1[[#This Row],[Model]]," ",表格1[[#This Row],[inv no]])</f>
        <v xml:space="preserve">IC-S19RH </v>
      </c>
      <c r="S4096" s="86">
        <f>_xlfn.XLOOKUP(表格1[[#This Row],[Model]],表格3[Model-Input-Ref2],表格3[SRP PRICE])</f>
        <v>638</v>
      </c>
      <c r="T4096" s="43">
        <f>表格1[[#This Row],[Unit Price]]/表格1[[#This Row],[SRP]]</f>
        <v>0.86206896551724133</v>
      </c>
      <c r="U4096" s="86" t="str">
        <f>_xlfn.XLOOKUP(表格1[[#This Row],[Model]],表格3[Model-Input-Ref2],表格3[TOSHIBA/HIGHEST])</f>
        <v>Toshiba SRP</v>
      </c>
      <c r="W4096" s="86" t="str">
        <f>_xlfn.CONCAT(表格1[[#This Row],[欄4]],表格1[[#This Row],[inv no]])</f>
        <v/>
      </c>
    </row>
    <row r="4097" spans="1:23" hidden="1">
      <c r="A4097" s="81">
        <v>4095</v>
      </c>
      <c r="B4097" s="86" t="s">
        <v>1203</v>
      </c>
      <c r="C4097" s="86" t="s">
        <v>1977</v>
      </c>
      <c r="D4097" s="89" t="str">
        <f ca="1">OFFSET(Roster!$A$3,MATCH(表格1[[#This Row],[Location]]&amp;" "&amp;表格1[[#This Row],[Shop]]&amp;"*",Roster!$A$4:$A$72,0),DAY(表格1[[#This Row],[date]]),1,1)</f>
        <v>Jessica off</v>
      </c>
      <c r="E4097" s="86">
        <f>MONTH(表格1[[#This Row],[date]])</f>
        <v>3</v>
      </c>
      <c r="F4097" s="90">
        <v>46098</v>
      </c>
      <c r="G4097" s="86" t="str">
        <f>VLOOKUP("*"&amp;表格1[[#This Row],[Input]]&amp;"*",'Ref-List'!$B:$D,2,)</f>
        <v>IC-20R1THK</v>
      </c>
      <c r="H4097" s="86" t="str">
        <f>_xlfn.XLOOKUP(表格1[[#This Row],[Model]],表格3[Model-Input-Ref2],表格3[Product Line])</f>
        <v>輕便式電磁爐</v>
      </c>
      <c r="I4097" s="86" t="str">
        <f>_xlfn.XLOOKUP(表格1[[#This Row],[Model]],表格3[Model-Input-Ref2],表格3[大小電])</f>
        <v>細電</v>
      </c>
      <c r="J4097" s="86" t="str">
        <f>_xlfn.XLOOKUP(表格1[[#This Row],[Model]],表格3[Model-Input-Ref2],表格3[Code])</f>
        <v>SDA</v>
      </c>
      <c r="K4097" s="89" t="s">
        <v>1243</v>
      </c>
      <c r="L4097" s="86">
        <v>1</v>
      </c>
      <c r="M4097" s="87">
        <v>290</v>
      </c>
      <c r="N4097" s="87">
        <f>IFERROR(表格1[[#This Row],[QTY]]*表格1[[#This Row],[Unit Price]],"-")</f>
        <v>290</v>
      </c>
      <c r="R4097" s="86" t="str">
        <f>_xlfn.CONCAT(表格1[[#This Row],[Model]]," ",表格1[[#This Row],[inv no]])</f>
        <v xml:space="preserve">IC-20R1THK </v>
      </c>
      <c r="S4097" s="86">
        <f>_xlfn.XLOOKUP(表格1[[#This Row],[Model]],表格3[Model-Input-Ref2],表格3[SRP PRICE])</f>
        <v>438</v>
      </c>
      <c r="T4097" s="43">
        <f>表格1[[#This Row],[Unit Price]]/表格1[[#This Row],[SRP]]</f>
        <v>0.66210045662100458</v>
      </c>
      <c r="U4097" s="86" t="str">
        <f>_xlfn.XLOOKUP(表格1[[#This Row],[Model]],表格3[Model-Input-Ref2],表格3[TOSHIBA/HIGHEST])</f>
        <v>Shops Highest Price</v>
      </c>
      <c r="W4097" s="86" t="str">
        <f>_xlfn.CONCAT(表格1[[#This Row],[欄4]],表格1[[#This Row],[inv no]])</f>
        <v/>
      </c>
    </row>
    <row r="4098" spans="1:23" hidden="1">
      <c r="A4098" s="81">
        <v>4096</v>
      </c>
      <c r="B4098" s="86" t="s">
        <v>1203</v>
      </c>
      <c r="C4098" s="86" t="s">
        <v>1977</v>
      </c>
      <c r="D4098" s="89" t="str">
        <f ca="1">OFFSET(Roster!$A$3,MATCH(表格1[[#This Row],[Location]]&amp;" "&amp;表格1[[#This Row],[Shop]]&amp;"*",Roster!$A$4:$A$72,0),DAY(表格1[[#This Row],[date]]),1,1)</f>
        <v>Jessica off</v>
      </c>
      <c r="E4098" s="86">
        <f>MONTH(表格1[[#This Row],[date]])</f>
        <v>3</v>
      </c>
      <c r="F4098" s="90">
        <v>46098</v>
      </c>
      <c r="G4098" s="86" t="str">
        <f>VLOOKUP("*"&amp;表格1[[#This Row],[Input]]&amp;"*",'Ref-List'!$B:$D,2,)</f>
        <v>RC-10AMXH(W)</v>
      </c>
      <c r="H4098" s="86" t="str">
        <f>_xlfn.XLOOKUP(表格1[[#This Row],[Model]],表格3[Model-Input-Ref2],表格3[Product Line])</f>
        <v>酵活炊電飯煲(1.0公升)</v>
      </c>
      <c r="I4098" s="86" t="str">
        <f>_xlfn.XLOOKUP(表格1[[#This Row],[Model]],表格3[Model-Input-Ref2],表格3[大小電])</f>
        <v>細電</v>
      </c>
      <c r="J4098" s="86" t="str">
        <f>_xlfn.XLOOKUP(表格1[[#This Row],[Model]],表格3[Model-Input-Ref2],表格3[Code])</f>
        <v>SDA</v>
      </c>
      <c r="K4098" s="89" t="s">
        <v>1279</v>
      </c>
      <c r="L4098" s="86">
        <v>1</v>
      </c>
      <c r="M4098" s="87">
        <v>990</v>
      </c>
      <c r="N4098" s="87">
        <f>IFERROR(表格1[[#This Row],[QTY]]*表格1[[#This Row],[Unit Price]],"-")</f>
        <v>990</v>
      </c>
      <c r="R4098" s="86" t="str">
        <f>_xlfn.CONCAT(表格1[[#This Row],[Model]]," ",表格1[[#This Row],[inv no]])</f>
        <v xml:space="preserve">RC-10AMXH(W) </v>
      </c>
      <c r="S4098" s="86">
        <f>_xlfn.XLOOKUP(表格1[[#This Row],[Model]],表格3[Model-Input-Ref2],表格3[SRP PRICE])</f>
        <v>1288</v>
      </c>
      <c r="T4098" s="43">
        <f>表格1[[#This Row],[Unit Price]]/表格1[[#This Row],[SRP]]</f>
        <v>0.76863354037267084</v>
      </c>
      <c r="U4098" s="86" t="str">
        <f>_xlfn.XLOOKUP(表格1[[#This Row],[Model]],表格3[Model-Input-Ref2],表格3[TOSHIBA/HIGHEST])</f>
        <v>Toshiba SRP</v>
      </c>
      <c r="W4098" s="86" t="str">
        <f>_xlfn.CONCAT(表格1[[#This Row],[欄4]],表格1[[#This Row],[inv no]])</f>
        <v/>
      </c>
    </row>
    <row r="4099" spans="1:23" hidden="1">
      <c r="A4099" s="81">
        <v>4097</v>
      </c>
      <c r="B4099" s="86" t="s">
        <v>1203</v>
      </c>
      <c r="C4099" s="86" t="s">
        <v>1977</v>
      </c>
      <c r="D4099" s="89" t="str">
        <f ca="1">OFFSET(Roster!$A$3,MATCH(表格1[[#This Row],[Location]]&amp;" "&amp;表格1[[#This Row],[Shop]]&amp;"*",Roster!$A$4:$A$72,0),DAY(表格1[[#This Row],[date]]),1,1)</f>
        <v>Jessica off</v>
      </c>
      <c r="E4099" s="86">
        <f>MONTH(表格1[[#This Row],[date]])</f>
        <v>3</v>
      </c>
      <c r="F4099" s="90">
        <v>46098</v>
      </c>
      <c r="G4099" s="86" t="str">
        <f>VLOOKUP("*"&amp;表格1[[#This Row],[Input]]&amp;"*",'Ref-List'!$B:$D,2,)</f>
        <v>TW-T22BU95UWH(WK)-B</v>
      </c>
      <c r="H4099" s="86" t="str">
        <f>_xlfn.XLOOKUP(表格1[[#This Row],[Model]],表格3[Model-Input-Ref2],表格3[Product Line])</f>
        <v>470MM超薄身前置式變頻洗衣機(8.5公斤, 可飛頂)</v>
      </c>
      <c r="I4099" s="86" t="str">
        <f>_xlfn.XLOOKUP(表格1[[#This Row],[Model]],表格3[Model-Input-Ref2],表格3[大小電])</f>
        <v>大電</v>
      </c>
      <c r="J4099" s="86" t="str">
        <f>_xlfn.XLOOKUP(表格1[[#This Row],[Model]],表格3[Model-Input-Ref2],表格3[Code])</f>
        <v>LAD</v>
      </c>
      <c r="K4099" s="89" t="s">
        <v>969</v>
      </c>
      <c r="L4099" s="86">
        <v>1</v>
      </c>
      <c r="M4099" s="87">
        <v>3680</v>
      </c>
      <c r="N4099" s="87">
        <f>IFERROR(表格1[[#This Row],[QTY]]*表格1[[#This Row],[Unit Price]],"-")</f>
        <v>3680</v>
      </c>
      <c r="O4099" s="86">
        <v>6039005</v>
      </c>
      <c r="R4099" s="86" t="str">
        <f>_xlfn.CONCAT(表格1[[#This Row],[Model]]," ",表格1[[#This Row],[inv no]])</f>
        <v>TW-T22BU95UWH(WK)-B 6039005</v>
      </c>
      <c r="S4099" s="86">
        <f>_xlfn.XLOOKUP(表格1[[#This Row],[Model]],表格3[Model-Input-Ref2],表格3[SRP PRICE])</f>
        <v>5880</v>
      </c>
      <c r="T4099" s="43">
        <f>表格1[[#This Row],[Unit Price]]/表格1[[#This Row],[SRP]]</f>
        <v>0.62585034013605445</v>
      </c>
      <c r="U4099" s="86" t="str">
        <f>_xlfn.XLOOKUP(表格1[[#This Row],[Model]],表格3[Model-Input-Ref2],表格3[TOSHIBA/HIGHEST])</f>
        <v>Toshiba SRP</v>
      </c>
      <c r="W4099" s="86" t="str">
        <f>_xlfn.CONCAT(表格1[[#This Row],[欄4]],表格1[[#This Row],[inv no]])</f>
        <v>6039005</v>
      </c>
    </row>
    <row r="4100" spans="1:23" hidden="1">
      <c r="A4100" s="81">
        <v>4098</v>
      </c>
      <c r="B4100" s="86" t="s">
        <v>1203</v>
      </c>
      <c r="C4100" s="86" t="s">
        <v>1977</v>
      </c>
      <c r="D4100" s="89" t="str">
        <f ca="1">OFFSET(Roster!$A$3,MATCH(表格1[[#This Row],[Location]]&amp;" "&amp;表格1[[#This Row],[Shop]]&amp;"*",Roster!$A$4:$A$72,0),DAY(表格1[[#This Row],[date]]),1,1)</f>
        <v>Jessica off</v>
      </c>
      <c r="E4100" s="86">
        <f>MONTH(表格1[[#This Row],[date]])</f>
        <v>3</v>
      </c>
      <c r="F4100" s="90">
        <v>46099</v>
      </c>
      <c r="G4100" s="86" t="str">
        <f>VLOOKUP("*"&amp;表格1[[#This Row],[Input]]&amp;"*",'Ref-List'!$B:$D,2,)</f>
        <v>RC-7HMH</v>
      </c>
      <c r="H4100" s="86" t="str">
        <f>_xlfn.XLOOKUP(表格1[[#This Row],[Model]],表格3[Model-Input-Ref2],表格3[Product Line])</f>
        <v>備長炭本厚釜電飯煲0.7L</v>
      </c>
      <c r="I4100" s="86" t="str">
        <f>_xlfn.XLOOKUP(表格1[[#This Row],[Model]],表格3[Model-Input-Ref2],表格3[大小電])</f>
        <v>細電</v>
      </c>
      <c r="J4100" s="86" t="str">
        <f>_xlfn.XLOOKUP(表格1[[#This Row],[Model]],表格3[Model-Input-Ref2],表格3[Code])</f>
        <v>SDA</v>
      </c>
      <c r="K4100" s="89" t="s">
        <v>1284</v>
      </c>
      <c r="L4100" s="86">
        <v>1</v>
      </c>
      <c r="M4100" s="87">
        <v>780</v>
      </c>
      <c r="N4100" s="87">
        <f>IFERROR(表格1[[#This Row],[QTY]]*表格1[[#This Row],[Unit Price]],"-")</f>
        <v>780</v>
      </c>
      <c r="R4100" s="86" t="str">
        <f>_xlfn.CONCAT(表格1[[#This Row],[Model]]," ",表格1[[#This Row],[inv no]])</f>
        <v xml:space="preserve">RC-7HMH </v>
      </c>
      <c r="S4100" s="86">
        <f>_xlfn.XLOOKUP(表格1[[#This Row],[Model]],表格3[Model-Input-Ref2],表格3[SRP PRICE])</f>
        <v>1288</v>
      </c>
      <c r="T4100" s="43">
        <f>表格1[[#This Row],[Unit Price]]/表格1[[#This Row],[SRP]]</f>
        <v>0.60559006211180122</v>
      </c>
      <c r="U4100" s="86" t="str">
        <f>_xlfn.XLOOKUP(表格1[[#This Row],[Model]],表格3[Model-Input-Ref2],表格3[TOSHIBA/HIGHEST])</f>
        <v>Toshiba SRP</v>
      </c>
      <c r="W4100" s="86" t="str">
        <f>_xlfn.CONCAT(表格1[[#This Row],[欄4]],表格1[[#This Row],[inv no]])</f>
        <v/>
      </c>
    </row>
    <row r="4101" spans="1:23" hidden="1">
      <c r="A4101" s="81">
        <v>4099</v>
      </c>
      <c r="B4101" s="86" t="s">
        <v>1203</v>
      </c>
      <c r="C4101" s="86" t="s">
        <v>1977</v>
      </c>
      <c r="D4101" s="89" t="str">
        <f ca="1">OFFSET(Roster!$A$3,MATCH(表格1[[#This Row],[Location]]&amp;" "&amp;表格1[[#This Row],[Shop]]&amp;"*",Roster!$A$4:$A$72,0),DAY(表格1[[#This Row],[date]]),1,1)</f>
        <v>Jessica off</v>
      </c>
      <c r="E4101" s="86">
        <f>MONTH(表格1[[#This Row],[date]])</f>
        <v>3</v>
      </c>
      <c r="F4101" s="90">
        <v>46099</v>
      </c>
      <c r="G4101" s="86" t="str">
        <f>VLOOKUP("*"&amp;表格1[[#This Row],[Input]]&amp;"*",'Ref-List'!$B:$D,2,)</f>
        <v>RC-DR18T(R)</v>
      </c>
      <c r="H4101" s="86" t="str">
        <f>_xlfn.XLOOKUP(表格1[[#This Row],[Model]],表格3[Model-Input-Ref2],表格3[Product Line])</f>
        <v>IH磁應電飯煲
鑽石銅鍋</v>
      </c>
      <c r="I4101" s="86" t="str">
        <f>_xlfn.XLOOKUP(表格1[[#This Row],[Model]],表格3[Model-Input-Ref2],表格3[大小電])</f>
        <v>細電</v>
      </c>
      <c r="J4101" s="86" t="str">
        <f>_xlfn.XLOOKUP(表格1[[#This Row],[Model]],表格3[Model-Input-Ref2],表格3[Code])</f>
        <v>SDA</v>
      </c>
      <c r="K4101" s="89" t="s">
        <v>1974</v>
      </c>
      <c r="L4101" s="86">
        <v>1</v>
      </c>
      <c r="M4101" s="87">
        <v>2880</v>
      </c>
      <c r="N4101" s="87">
        <f>IFERROR(表格1[[#This Row],[QTY]]*表格1[[#This Row],[Unit Price]],"-")</f>
        <v>2880</v>
      </c>
      <c r="R4101" s="86" t="str">
        <f>_xlfn.CONCAT(表格1[[#This Row],[Model]]," ",表格1[[#This Row],[inv no]])</f>
        <v xml:space="preserve">RC-DR18T(R) </v>
      </c>
      <c r="S4101" s="86">
        <f>_xlfn.XLOOKUP(表格1[[#This Row],[Model]],表格3[Model-Input-Ref2],表格3[SRP PRICE])</f>
        <v>3588</v>
      </c>
      <c r="T4101" s="43">
        <f>表格1[[#This Row],[Unit Price]]/表格1[[#This Row],[SRP]]</f>
        <v>0.80267558528428096</v>
      </c>
      <c r="U4101" s="86" t="str">
        <f>_xlfn.XLOOKUP(表格1[[#This Row],[Model]],表格3[Model-Input-Ref2],表格3[TOSHIBA/HIGHEST])</f>
        <v>Toshiba SRP</v>
      </c>
      <c r="W4101" s="86" t="str">
        <f>_xlfn.CONCAT(表格1[[#This Row],[欄4]],表格1[[#This Row],[inv no]])</f>
        <v/>
      </c>
    </row>
    <row r="4102" spans="1:23" hidden="1">
      <c r="A4102" s="81">
        <v>4100</v>
      </c>
      <c r="B4102" s="86" t="s">
        <v>1203</v>
      </c>
      <c r="C4102" s="86" t="s">
        <v>1977</v>
      </c>
      <c r="D4102" s="89" t="str">
        <f ca="1">OFFSET(Roster!$A$3,MATCH(表格1[[#This Row],[Location]]&amp;" "&amp;表格1[[#This Row],[Shop]]&amp;"*",Roster!$A$4:$A$72,0),DAY(表格1[[#This Row],[date]]),1,1)</f>
        <v>Jessica off</v>
      </c>
      <c r="E4102" s="86">
        <f>MONTH(表格1[[#This Row],[date]])</f>
        <v>3</v>
      </c>
      <c r="F4102" s="90">
        <v>46099</v>
      </c>
      <c r="G4102" s="86" t="str">
        <f>VLOOKUP("*"&amp;表格1[[#This Row],[Input]]&amp;"*",'Ref-List'!$B:$D,2,)</f>
        <v>MW3-SAC24SE(BK)</v>
      </c>
      <c r="H4102" s="86" t="str">
        <f>_xlfn.XLOOKUP(表格1[[#This Row],[Model]],表格3[Model-Input-Ref2],表格3[Product Line])</f>
        <v>智能氣炸烤焗爐(24公升)</v>
      </c>
      <c r="I4102" s="86" t="str">
        <f>_xlfn.XLOOKUP(表格1[[#This Row],[Model]],表格3[Model-Input-Ref2],表格3[大小電])</f>
        <v>細電</v>
      </c>
      <c r="J4102" s="86" t="str">
        <f>_xlfn.XLOOKUP(表格1[[#This Row],[Model]],表格3[Model-Input-Ref2],表格3[Code])</f>
        <v>MCA</v>
      </c>
      <c r="K4102" s="89" t="s">
        <v>1274</v>
      </c>
      <c r="L4102" s="86">
        <v>1</v>
      </c>
      <c r="M4102" s="87">
        <v>1390</v>
      </c>
      <c r="N4102" s="87">
        <f>IFERROR(表格1[[#This Row],[QTY]]*表格1[[#This Row],[Unit Price]],"-")</f>
        <v>1390</v>
      </c>
      <c r="R4102" s="86" t="str">
        <f>_xlfn.CONCAT(表格1[[#This Row],[Model]]," ",表格1[[#This Row],[inv no]])</f>
        <v xml:space="preserve">MW3-SAC24SE(BK) </v>
      </c>
      <c r="S4102" s="86">
        <f>_xlfn.XLOOKUP(表格1[[#This Row],[Model]],表格3[Model-Input-Ref2],表格3[SRP PRICE])</f>
        <v>1680</v>
      </c>
      <c r="T4102" s="43">
        <f>表格1[[#This Row],[Unit Price]]/表格1[[#This Row],[SRP]]</f>
        <v>0.82738095238095233</v>
      </c>
      <c r="U4102" s="86" t="str">
        <f>_xlfn.XLOOKUP(表格1[[#This Row],[Model]],表格3[Model-Input-Ref2],表格3[TOSHIBA/HIGHEST])</f>
        <v>Toshiba SRP</v>
      </c>
      <c r="W4102" s="86" t="str">
        <f>_xlfn.CONCAT(表格1[[#This Row],[欄4]],表格1[[#This Row],[inv no]])</f>
        <v/>
      </c>
    </row>
    <row r="4103" spans="1:23" hidden="1">
      <c r="A4103" s="81">
        <v>4101</v>
      </c>
      <c r="B4103" s="86" t="s">
        <v>1203</v>
      </c>
      <c r="C4103" s="86" t="s">
        <v>1977</v>
      </c>
      <c r="D4103" s="89" t="str">
        <f ca="1">OFFSET(Roster!$A$3,MATCH(表格1[[#This Row],[Location]]&amp;" "&amp;表格1[[#This Row],[Shop]]&amp;"*",Roster!$A$4:$A$72,0),DAY(表格1[[#This Row],[date]]),1,1)</f>
        <v>Jessica off</v>
      </c>
      <c r="E4103" s="86">
        <f>MONTH(表格1[[#This Row],[date]])</f>
        <v>3</v>
      </c>
      <c r="F4103" s="90">
        <v>46099</v>
      </c>
      <c r="G4103" s="86" t="str">
        <f>VLOOKUP("*"&amp;表格1[[#This Row],[Input]]&amp;"*",'Ref-List'!$B:$D,2,)</f>
        <v>TWP-W2265THK(W)</v>
      </c>
      <c r="H4103" s="86" t="str">
        <f>_xlfn.XLOOKUP(表格1[[#This Row],[Model]],表格3[Model-Input-Ref2],表格3[Product Line])</f>
        <v>RO座檯式冷熱飲水機</v>
      </c>
      <c r="I4103" s="86" t="str">
        <f>_xlfn.XLOOKUP(表格1[[#This Row],[Model]],表格3[Model-Input-Ref2],表格3[大小電])</f>
        <v>細電</v>
      </c>
      <c r="J4103" s="86" t="str">
        <f>_xlfn.XLOOKUP(表格1[[#This Row],[Model]],表格3[Model-Input-Ref2],表格3[Code])</f>
        <v>KWH</v>
      </c>
      <c r="K4103" s="89" t="s">
        <v>1694</v>
      </c>
      <c r="L4103" s="86">
        <v>1</v>
      </c>
      <c r="M4103" s="87">
        <v>3480</v>
      </c>
      <c r="N4103" s="87">
        <f>IFERROR(表格1[[#This Row],[QTY]]*表格1[[#This Row],[Unit Price]],"-")</f>
        <v>3480</v>
      </c>
      <c r="R4103" s="86" t="str">
        <f>_xlfn.CONCAT(表格1[[#This Row],[Model]]," ",表格1[[#This Row],[inv no]])</f>
        <v xml:space="preserve">TWP-W2265THK(W) </v>
      </c>
      <c r="S4103" s="86">
        <f>_xlfn.XLOOKUP(表格1[[#This Row],[Model]],表格3[Model-Input-Ref2],表格3[SRP PRICE])</f>
        <v>3480</v>
      </c>
      <c r="T4103" s="43">
        <f>表格1[[#This Row],[Unit Price]]/表格1[[#This Row],[SRP]]</f>
        <v>1</v>
      </c>
      <c r="U4103" s="86" t="str">
        <f>_xlfn.XLOOKUP(表格1[[#This Row],[Model]],表格3[Model-Input-Ref2],表格3[TOSHIBA/HIGHEST])</f>
        <v>Shops Highest Price</v>
      </c>
      <c r="W4103" s="86" t="str">
        <f>_xlfn.CONCAT(表格1[[#This Row],[欄4]],表格1[[#This Row],[inv no]])</f>
        <v/>
      </c>
    </row>
    <row r="4104" spans="1:23" hidden="1">
      <c r="A4104" s="81">
        <v>4102</v>
      </c>
      <c r="B4104" s="86" t="s">
        <v>1203</v>
      </c>
      <c r="C4104" s="86" t="s">
        <v>1977</v>
      </c>
      <c r="D4104" s="89" t="str">
        <f ca="1">OFFSET(Roster!$A$3,MATCH(表格1[[#This Row],[Location]]&amp;" "&amp;表格1[[#This Row],[Shop]]&amp;"*",Roster!$A$4:$A$72,0),DAY(表格1[[#This Row],[date]]),1,1)</f>
        <v>Jessica off</v>
      </c>
      <c r="E4104" s="86">
        <f>MONTH(表格1[[#This Row],[date]])</f>
        <v>3</v>
      </c>
      <c r="F4104" s="90">
        <v>46099</v>
      </c>
      <c r="G4104" s="86" t="str">
        <f>VLOOKUP("*"&amp;表格1[[#This Row],[Input]]&amp;"*",'Ref-List'!$B:$D,2,)</f>
        <v>KT-17DRTHK(H)</v>
      </c>
      <c r="H4104" s="86" t="str">
        <f>_xlfn.XLOOKUP(表格1[[#This Row],[Model]],表格3[Model-Input-Ref2],表格3[Product Line])</f>
        <v>無線雙層電熱水壺(1.7公升)</v>
      </c>
      <c r="I4104" s="86" t="str">
        <f>_xlfn.XLOOKUP(表格1[[#This Row],[Model]],表格3[Model-Input-Ref2],表格3[大小電])</f>
        <v>細電</v>
      </c>
      <c r="J4104" s="86" t="str">
        <f>_xlfn.XLOOKUP(表格1[[#This Row],[Model]],表格3[Model-Input-Ref2],表格3[Code])</f>
        <v>SDA</v>
      </c>
      <c r="K4104" s="89" t="s">
        <v>1271</v>
      </c>
      <c r="L4104" s="86">
        <v>1</v>
      </c>
      <c r="M4104" s="87">
        <v>350</v>
      </c>
      <c r="N4104" s="87">
        <f>IFERROR(表格1[[#This Row],[QTY]]*表格1[[#This Row],[Unit Price]],"-")</f>
        <v>350</v>
      </c>
      <c r="R4104" s="86" t="str">
        <f>_xlfn.CONCAT(表格1[[#This Row],[Model]]," ",表格1[[#This Row],[inv no]])</f>
        <v xml:space="preserve">KT-17DRTHK(H) </v>
      </c>
      <c r="S4104" s="86">
        <f>_xlfn.XLOOKUP(表格1[[#This Row],[Model]],表格3[Model-Input-Ref2],表格3[SRP PRICE])</f>
        <v>498</v>
      </c>
      <c r="T4104" s="43">
        <f>表格1[[#This Row],[Unit Price]]/表格1[[#This Row],[SRP]]</f>
        <v>0.70281124497991965</v>
      </c>
      <c r="U4104" s="86" t="str">
        <f>_xlfn.XLOOKUP(表格1[[#This Row],[Model]],表格3[Model-Input-Ref2],表格3[TOSHIBA/HIGHEST])</f>
        <v>Toshiba SRP</v>
      </c>
      <c r="W4104" s="86" t="str">
        <f>_xlfn.CONCAT(表格1[[#This Row],[欄4]],表格1[[#This Row],[inv no]])</f>
        <v/>
      </c>
    </row>
    <row r="4105" spans="1:23" hidden="1">
      <c r="A4105" s="81">
        <v>4103</v>
      </c>
      <c r="B4105" s="86" t="s">
        <v>1203</v>
      </c>
      <c r="C4105" s="86" t="s">
        <v>1977</v>
      </c>
      <c r="D4105" s="89" t="str">
        <f ca="1">OFFSET(Roster!$A$3,MATCH(表格1[[#This Row],[Location]]&amp;" "&amp;表格1[[#This Row],[Shop]]&amp;"*",Roster!$A$4:$A$72,0),DAY(表格1[[#This Row],[date]]),1,1)</f>
        <v>Jessica off</v>
      </c>
      <c r="E4105" s="86">
        <f>MONTH(表格1[[#This Row],[date]])</f>
        <v>3</v>
      </c>
      <c r="F4105" s="90">
        <v>46099</v>
      </c>
      <c r="G4105" s="86" t="str">
        <f>VLOOKUP("*"&amp;表格1[[#This Row],[Input]]&amp;"*",'Ref-List'!$B:$D,2,)</f>
        <v>IC-20R1THK</v>
      </c>
      <c r="H4105" s="86" t="str">
        <f>_xlfn.XLOOKUP(表格1[[#This Row],[Model]],表格3[Model-Input-Ref2],表格3[Product Line])</f>
        <v>輕便式電磁爐</v>
      </c>
      <c r="I4105" s="86" t="str">
        <f>_xlfn.XLOOKUP(表格1[[#This Row],[Model]],表格3[Model-Input-Ref2],表格3[大小電])</f>
        <v>細電</v>
      </c>
      <c r="J4105" s="86" t="str">
        <f>_xlfn.XLOOKUP(表格1[[#This Row],[Model]],表格3[Model-Input-Ref2],表格3[Code])</f>
        <v>SDA</v>
      </c>
      <c r="K4105" s="89" t="s">
        <v>1243</v>
      </c>
      <c r="L4105" s="86">
        <v>1</v>
      </c>
      <c r="M4105" s="87">
        <v>290</v>
      </c>
      <c r="N4105" s="87">
        <f>IFERROR(表格1[[#This Row],[QTY]]*表格1[[#This Row],[Unit Price]],"-")</f>
        <v>290</v>
      </c>
      <c r="R4105" s="86" t="str">
        <f>_xlfn.CONCAT(表格1[[#This Row],[Model]]," ",表格1[[#This Row],[inv no]])</f>
        <v xml:space="preserve">IC-20R1THK </v>
      </c>
      <c r="S4105" s="86">
        <f>_xlfn.XLOOKUP(表格1[[#This Row],[Model]],表格3[Model-Input-Ref2],表格3[SRP PRICE])</f>
        <v>438</v>
      </c>
      <c r="T4105" s="43">
        <f>表格1[[#This Row],[Unit Price]]/表格1[[#This Row],[SRP]]</f>
        <v>0.66210045662100458</v>
      </c>
      <c r="U4105" s="86" t="str">
        <f>_xlfn.XLOOKUP(表格1[[#This Row],[Model]],表格3[Model-Input-Ref2],表格3[TOSHIBA/HIGHEST])</f>
        <v>Shops Highest Price</v>
      </c>
      <c r="W4105" s="86" t="str">
        <f>_xlfn.CONCAT(表格1[[#This Row],[欄4]],表格1[[#This Row],[inv no]])</f>
        <v/>
      </c>
    </row>
    <row r="4106" spans="1:23" hidden="1">
      <c r="A4106" s="81">
        <v>4104</v>
      </c>
      <c r="B4106" s="86" t="s">
        <v>1203</v>
      </c>
      <c r="C4106" s="86" t="s">
        <v>1977</v>
      </c>
      <c r="D4106" s="89" t="str">
        <f ca="1">OFFSET(Roster!$A$3,MATCH(表格1[[#This Row],[Location]]&amp;" "&amp;表格1[[#This Row],[Shop]]&amp;"*",Roster!$A$4:$A$72,0),DAY(表格1[[#This Row],[date]]),1,1)</f>
        <v>Jessica</v>
      </c>
      <c r="E4106" s="86">
        <f>MONTH(表格1[[#This Row],[date]])</f>
        <v>3</v>
      </c>
      <c r="F4106" s="90">
        <v>46100</v>
      </c>
      <c r="G4106" s="86" t="str">
        <f>VLOOKUP("*"&amp;表格1[[#This Row],[Input]]&amp;"*",'Ref-List'!$B:$D,2,)</f>
        <v>RC-10NMFIH(WT)</v>
      </c>
      <c r="H4106" s="86" t="str">
        <f>_xlfn.XLOOKUP(表格1[[#This Row],[Model]],表格3[Model-Input-Ref2],表格3[Product Line])</f>
        <v>4毫米厚釜電飯煲1L</v>
      </c>
      <c r="I4106" s="86" t="str">
        <f>_xlfn.XLOOKUP(表格1[[#This Row],[Model]],表格3[Model-Input-Ref2],表格3[大小電])</f>
        <v>細電</v>
      </c>
      <c r="J4106" s="86" t="str">
        <f>_xlfn.XLOOKUP(表格1[[#This Row],[Model]],表格3[Model-Input-Ref2],表格3[Code])</f>
        <v>SDA</v>
      </c>
      <c r="K4106" s="89" t="s">
        <v>1244</v>
      </c>
      <c r="L4106" s="86">
        <v>1</v>
      </c>
      <c r="M4106" s="87">
        <v>720</v>
      </c>
      <c r="N4106" s="87">
        <f>IFERROR(表格1[[#This Row],[QTY]]*表格1[[#This Row],[Unit Price]],"-")</f>
        <v>720</v>
      </c>
      <c r="R4106" s="86" t="str">
        <f>_xlfn.CONCAT(表格1[[#This Row],[Model]]," ",表格1[[#This Row],[inv no]])</f>
        <v xml:space="preserve">RC-10NMFIH(WT) </v>
      </c>
      <c r="S4106" s="86">
        <f>_xlfn.XLOOKUP(表格1[[#This Row],[Model]],表格3[Model-Input-Ref2],表格3[SRP PRICE])</f>
        <v>898</v>
      </c>
      <c r="T4106" s="43">
        <f>表格1[[#This Row],[Unit Price]]/表格1[[#This Row],[SRP]]</f>
        <v>0.80178173719376389</v>
      </c>
      <c r="U4106" s="86" t="str">
        <f>_xlfn.XLOOKUP(表格1[[#This Row],[Model]],表格3[Model-Input-Ref2],表格3[TOSHIBA/HIGHEST])</f>
        <v>Toshiba SRP</v>
      </c>
      <c r="W4106" s="86" t="str">
        <f>_xlfn.CONCAT(表格1[[#This Row],[欄4]],表格1[[#This Row],[inv no]])</f>
        <v/>
      </c>
    </row>
    <row r="4107" spans="1:23" hidden="1">
      <c r="A4107" s="81">
        <v>4105</v>
      </c>
      <c r="B4107" s="86" t="s">
        <v>1203</v>
      </c>
      <c r="C4107" s="86" t="s">
        <v>1977</v>
      </c>
      <c r="D4107" s="89" t="str">
        <f ca="1">OFFSET(Roster!$A$3,MATCH(表格1[[#This Row],[Location]]&amp;" "&amp;表格1[[#This Row],[Shop]]&amp;"*",Roster!$A$4:$A$72,0),DAY(表格1[[#This Row],[date]]),1,1)</f>
        <v>Jessica</v>
      </c>
      <c r="E4107" s="86">
        <f>MONTH(表格1[[#This Row],[date]])</f>
        <v>3</v>
      </c>
      <c r="F4107" s="90">
        <v>46100</v>
      </c>
      <c r="G4107" s="86" t="str">
        <f>VLOOKUP("*"&amp;表格1[[#This Row],[Input]]&amp;"*",'Ref-List'!$B:$D,2,)</f>
        <v>RC-18NMFIH(WT)</v>
      </c>
      <c r="H4107" s="86" t="str">
        <f>_xlfn.XLOOKUP(表格1[[#This Row],[Model]],表格3[Model-Input-Ref2],表格3[Product Line])</f>
        <v>4毫米厚釜電飯煲1.8L</v>
      </c>
      <c r="I4107" s="86" t="str">
        <f>_xlfn.XLOOKUP(表格1[[#This Row],[Model]],表格3[Model-Input-Ref2],表格3[大小電])</f>
        <v>細電</v>
      </c>
      <c r="J4107" s="86" t="str">
        <f>_xlfn.XLOOKUP(表格1[[#This Row],[Model]],表格3[Model-Input-Ref2],表格3[Code])</f>
        <v>SDA</v>
      </c>
      <c r="K4107" s="89" t="s">
        <v>1267</v>
      </c>
      <c r="L4107" s="86">
        <v>1</v>
      </c>
      <c r="M4107" s="87">
        <v>800</v>
      </c>
      <c r="N4107" s="87">
        <f>IFERROR(表格1[[#This Row],[QTY]]*表格1[[#This Row],[Unit Price]],"-")</f>
        <v>800</v>
      </c>
      <c r="R4107" s="86" t="str">
        <f>_xlfn.CONCAT(表格1[[#This Row],[Model]]," ",表格1[[#This Row],[inv no]])</f>
        <v xml:space="preserve">RC-18NMFIH(WT) </v>
      </c>
      <c r="S4107" s="86">
        <f>_xlfn.XLOOKUP(表格1[[#This Row],[Model]],表格3[Model-Input-Ref2],表格3[SRP PRICE])</f>
        <v>998</v>
      </c>
      <c r="T4107" s="43">
        <f>表格1[[#This Row],[Unit Price]]/表格1[[#This Row],[SRP]]</f>
        <v>0.80160320641282568</v>
      </c>
      <c r="U4107" s="86" t="str">
        <f>_xlfn.XLOOKUP(表格1[[#This Row],[Model]],表格3[Model-Input-Ref2],表格3[TOSHIBA/HIGHEST])</f>
        <v>Toshiba SRP</v>
      </c>
      <c r="W4107" s="86" t="str">
        <f>_xlfn.CONCAT(表格1[[#This Row],[欄4]],表格1[[#This Row],[inv no]])</f>
        <v/>
      </c>
    </row>
    <row r="4108" spans="1:23" hidden="1">
      <c r="A4108" s="81">
        <v>4106</v>
      </c>
      <c r="B4108" s="86" t="s">
        <v>1203</v>
      </c>
      <c r="C4108" s="86" t="s">
        <v>1977</v>
      </c>
      <c r="D4108" s="89" t="str">
        <f ca="1">OFFSET(Roster!$A$3,MATCH(表格1[[#This Row],[Location]]&amp;" "&amp;表格1[[#This Row],[Shop]]&amp;"*",Roster!$A$4:$A$72,0),DAY(表格1[[#This Row],[date]]),1,1)</f>
        <v>Jessica</v>
      </c>
      <c r="E4108" s="86">
        <f>MONTH(表格1[[#This Row],[date]])</f>
        <v>3</v>
      </c>
      <c r="F4108" s="90">
        <v>46100</v>
      </c>
      <c r="G4108" s="86" t="str">
        <f>VLOOKUP("*"&amp;表格1[[#This Row],[Input]]&amp;"*",'Ref-List'!$B:$D,2,)</f>
        <v>RC-18AMXH(W)</v>
      </c>
      <c r="H4108" s="86" t="str">
        <f>_xlfn.XLOOKUP(表格1[[#This Row],[Model]],表格3[Model-Input-Ref2],表格3[Product Line])</f>
        <v>酵活炊電飯煲(1.8公升)</v>
      </c>
      <c r="I4108" s="86" t="str">
        <f>_xlfn.XLOOKUP(表格1[[#This Row],[Model]],表格3[Model-Input-Ref2],表格3[大小電])</f>
        <v>細電</v>
      </c>
      <c r="J4108" s="86" t="str">
        <f>_xlfn.XLOOKUP(表格1[[#This Row],[Model]],表格3[Model-Input-Ref2],表格3[Code])</f>
        <v>SDA</v>
      </c>
      <c r="K4108" s="89" t="s">
        <v>1362</v>
      </c>
      <c r="L4108" s="86">
        <v>1</v>
      </c>
      <c r="M4108" s="87">
        <v>990</v>
      </c>
      <c r="N4108" s="87">
        <f>IFERROR(表格1[[#This Row],[QTY]]*表格1[[#This Row],[Unit Price]],"-")</f>
        <v>990</v>
      </c>
      <c r="R4108" s="86" t="str">
        <f>_xlfn.CONCAT(表格1[[#This Row],[Model]]," ",表格1[[#This Row],[inv no]])</f>
        <v xml:space="preserve">RC-18AMXH(W) </v>
      </c>
      <c r="S4108" s="86">
        <f>_xlfn.XLOOKUP(表格1[[#This Row],[Model]],表格3[Model-Input-Ref2],表格3[SRP PRICE])</f>
        <v>1588</v>
      </c>
      <c r="T4108" s="43">
        <f>表格1[[#This Row],[Unit Price]]/表格1[[#This Row],[SRP]]</f>
        <v>0.62342569269521408</v>
      </c>
      <c r="U4108" s="86" t="str">
        <f>_xlfn.XLOOKUP(表格1[[#This Row],[Model]],表格3[Model-Input-Ref2],表格3[TOSHIBA/HIGHEST])</f>
        <v>Toshiba SRP</v>
      </c>
      <c r="W4108" s="86" t="str">
        <f>_xlfn.CONCAT(表格1[[#This Row],[欄4]],表格1[[#This Row],[inv no]])</f>
        <v/>
      </c>
    </row>
    <row r="4109" spans="1:23" hidden="1">
      <c r="A4109" s="81">
        <v>4107</v>
      </c>
      <c r="B4109" s="86" t="s">
        <v>1203</v>
      </c>
      <c r="C4109" s="86" t="s">
        <v>1977</v>
      </c>
      <c r="D4109" s="89" t="str">
        <f ca="1">OFFSET(Roster!$A$3,MATCH(表格1[[#This Row],[Location]]&amp;" "&amp;表格1[[#This Row],[Shop]]&amp;"*",Roster!$A$4:$A$72,0),DAY(表格1[[#This Row],[date]]),1,1)</f>
        <v>Jessica</v>
      </c>
      <c r="E4109" s="86">
        <f>MONTH(表格1[[#This Row],[date]])</f>
        <v>3</v>
      </c>
      <c r="F4109" s="90">
        <v>46100</v>
      </c>
      <c r="G4109" s="86" t="str">
        <f>VLOOKUP("*"&amp;表格1[[#This Row],[Input]]&amp;"*",'Ref-List'!$B:$D,2,)</f>
        <v>TW-T22BU95UWH(WK)-B</v>
      </c>
      <c r="H4109" s="86" t="str">
        <f>_xlfn.XLOOKUP(表格1[[#This Row],[Model]],表格3[Model-Input-Ref2],表格3[Product Line])</f>
        <v>470MM超薄身前置式變頻洗衣機(8.5公斤, 可飛頂)</v>
      </c>
      <c r="I4109" s="86" t="str">
        <f>_xlfn.XLOOKUP(表格1[[#This Row],[Model]],表格3[Model-Input-Ref2],表格3[大小電])</f>
        <v>大電</v>
      </c>
      <c r="J4109" s="86" t="str">
        <f>_xlfn.XLOOKUP(表格1[[#This Row],[Model]],表格3[Model-Input-Ref2],表格3[Code])</f>
        <v>LAD</v>
      </c>
      <c r="K4109" s="89" t="s">
        <v>969</v>
      </c>
      <c r="L4109" s="86">
        <v>1</v>
      </c>
      <c r="M4109" s="87">
        <v>3496</v>
      </c>
      <c r="N4109" s="87">
        <f>IFERROR(表格1[[#This Row],[QTY]]*表格1[[#This Row],[Unit Price]],"-")</f>
        <v>3496</v>
      </c>
      <c r="O4109" s="86">
        <v>6112660</v>
      </c>
      <c r="R4109" s="86" t="str">
        <f>_xlfn.CONCAT(表格1[[#This Row],[Model]]," ",表格1[[#This Row],[inv no]])</f>
        <v>TW-T22BU95UWH(WK)-B 6112660</v>
      </c>
      <c r="S4109" s="86">
        <f>_xlfn.XLOOKUP(表格1[[#This Row],[Model]],表格3[Model-Input-Ref2],表格3[SRP PRICE])</f>
        <v>5880</v>
      </c>
      <c r="T4109" s="43">
        <f>表格1[[#This Row],[Unit Price]]/表格1[[#This Row],[SRP]]</f>
        <v>0.59455782312925165</v>
      </c>
      <c r="U4109" s="86" t="str">
        <f>_xlfn.XLOOKUP(表格1[[#This Row],[Model]],表格3[Model-Input-Ref2],表格3[TOSHIBA/HIGHEST])</f>
        <v>Toshiba SRP</v>
      </c>
      <c r="W4109" s="86" t="str">
        <f>_xlfn.CONCAT(表格1[[#This Row],[欄4]],表格1[[#This Row],[inv no]])</f>
        <v>6112660</v>
      </c>
    </row>
    <row r="4110" spans="1:23" hidden="1">
      <c r="A4110" s="81">
        <v>4108</v>
      </c>
      <c r="B4110" s="86" t="s">
        <v>1203</v>
      </c>
      <c r="C4110" s="86" t="s">
        <v>1977</v>
      </c>
      <c r="D4110" s="89" t="str">
        <f ca="1">OFFSET(Roster!$A$3,MATCH(表格1[[#This Row],[Location]]&amp;" "&amp;表格1[[#This Row],[Shop]]&amp;"*",Roster!$A$4:$A$72,0),DAY(表格1[[#This Row],[date]]),1,1)</f>
        <v>Jessica</v>
      </c>
      <c r="E4110" s="86">
        <f>MONTH(表格1[[#This Row],[date]])</f>
        <v>3</v>
      </c>
      <c r="F4110" s="90">
        <v>46100</v>
      </c>
      <c r="G4110" s="86" t="str">
        <f>VLOOKUP("*"&amp;表格1[[#This Row],[Input]]&amp;"*",'Ref-List'!$B:$D,2,)</f>
        <v>AW-DQ110JPH(WW)</v>
      </c>
      <c r="H4110" s="86" t="str">
        <f>_xlfn.XLOOKUP(表格1[[#This Row],[Model]],表格3[Model-Input-Ref2],表格3[Product Line])</f>
        <v>變頻日式洗衣機 (10公斤 結合高低水位)</v>
      </c>
      <c r="I4110" s="86" t="str">
        <f>_xlfn.XLOOKUP(表格1[[#This Row],[Model]],表格3[Model-Input-Ref2],表格3[大小電])</f>
        <v>大電</v>
      </c>
      <c r="J4110" s="86" t="str">
        <f>_xlfn.XLOOKUP(表格1[[#This Row],[Model]],表格3[Model-Input-Ref2],表格3[Code])</f>
        <v>LAD</v>
      </c>
      <c r="K4110" s="89" t="s">
        <v>1831</v>
      </c>
      <c r="L4110" s="86">
        <v>1</v>
      </c>
      <c r="M4110" s="87">
        <v>2546</v>
      </c>
      <c r="N4110" s="87">
        <f>IFERROR(表格1[[#This Row],[QTY]]*表格1[[#This Row],[Unit Price]],"-")</f>
        <v>2546</v>
      </c>
      <c r="O4110" s="86">
        <v>5725441</v>
      </c>
      <c r="R4110" s="86" t="str">
        <f>_xlfn.CONCAT(表格1[[#This Row],[Model]]," ",表格1[[#This Row],[inv no]])</f>
        <v>AW-DQ110JPH(WW) 5725441</v>
      </c>
      <c r="S4110" s="86">
        <f>_xlfn.XLOOKUP(表格1[[#This Row],[Model]],表格3[Model-Input-Ref2],表格3[SRP PRICE])</f>
        <v>4680</v>
      </c>
      <c r="T4110" s="43">
        <f>表格1[[#This Row],[Unit Price]]/表格1[[#This Row],[SRP]]</f>
        <v>0.54401709401709397</v>
      </c>
      <c r="U4110" s="86" t="str">
        <f>_xlfn.XLOOKUP(表格1[[#This Row],[Model]],表格3[Model-Input-Ref2],表格3[TOSHIBA/HIGHEST])</f>
        <v>Toshiba SRP</v>
      </c>
      <c r="W4110" s="86" t="str">
        <f>_xlfn.CONCAT(表格1[[#This Row],[欄4]],表格1[[#This Row],[inv no]])</f>
        <v>5725441</v>
      </c>
    </row>
    <row r="4111" spans="1:23" hidden="1">
      <c r="A4111" s="81">
        <v>4109</v>
      </c>
      <c r="B4111" s="86" t="s">
        <v>1203</v>
      </c>
      <c r="C4111" s="86" t="s">
        <v>1977</v>
      </c>
      <c r="D4111" s="89" t="str">
        <f ca="1">OFFSET(Roster!$A$3,MATCH(表格1[[#This Row],[Location]]&amp;" "&amp;表格1[[#This Row],[Shop]]&amp;"*",Roster!$A$4:$A$72,0),DAY(表格1[[#This Row],[date]]),1,1)</f>
        <v>Jessica</v>
      </c>
      <c r="E4111" s="86">
        <f>MONTH(表格1[[#This Row],[date]])</f>
        <v>3</v>
      </c>
      <c r="F4111" s="90">
        <v>46101</v>
      </c>
      <c r="G4111" s="86" t="str">
        <f>VLOOKUP("*"&amp;表格1[[#This Row],[Input]]&amp;"*",'Ref-List'!$B:$D,2,)</f>
        <v>RC-10NMFIH(WT)</v>
      </c>
      <c r="H4111" s="86" t="str">
        <f>_xlfn.XLOOKUP(表格1[[#This Row],[Model]],表格3[Model-Input-Ref2],表格3[Product Line])</f>
        <v>4毫米厚釜電飯煲1L</v>
      </c>
      <c r="I4111" s="86" t="str">
        <f>_xlfn.XLOOKUP(表格1[[#This Row],[Model]],表格3[Model-Input-Ref2],表格3[大小電])</f>
        <v>細電</v>
      </c>
      <c r="J4111" s="86" t="str">
        <f>_xlfn.XLOOKUP(表格1[[#This Row],[Model]],表格3[Model-Input-Ref2],表格3[Code])</f>
        <v>SDA</v>
      </c>
      <c r="K4111" s="89" t="s">
        <v>1244</v>
      </c>
      <c r="L4111" s="86">
        <v>1</v>
      </c>
      <c r="M4111" s="87">
        <v>684</v>
      </c>
      <c r="N4111" s="87">
        <f>IFERROR(表格1[[#This Row],[QTY]]*表格1[[#This Row],[Unit Price]],"-")</f>
        <v>684</v>
      </c>
      <c r="R4111" s="86" t="str">
        <f>_xlfn.CONCAT(表格1[[#This Row],[Model]]," ",表格1[[#This Row],[inv no]])</f>
        <v xml:space="preserve">RC-10NMFIH(WT) </v>
      </c>
      <c r="S4111" s="86">
        <f>_xlfn.XLOOKUP(表格1[[#This Row],[Model]],表格3[Model-Input-Ref2],表格3[SRP PRICE])</f>
        <v>898</v>
      </c>
      <c r="T4111" s="43">
        <f>表格1[[#This Row],[Unit Price]]/表格1[[#This Row],[SRP]]</f>
        <v>0.76169265033407574</v>
      </c>
      <c r="U4111" s="86" t="str">
        <f>_xlfn.XLOOKUP(表格1[[#This Row],[Model]],表格3[Model-Input-Ref2],表格3[TOSHIBA/HIGHEST])</f>
        <v>Toshiba SRP</v>
      </c>
      <c r="W4111" s="86" t="str">
        <f>_xlfn.CONCAT(表格1[[#This Row],[欄4]],表格1[[#This Row],[inv no]])</f>
        <v/>
      </c>
    </row>
    <row r="4112" spans="1:23" hidden="1">
      <c r="A4112" s="81">
        <v>4110</v>
      </c>
      <c r="B4112" s="86" t="s">
        <v>1203</v>
      </c>
      <c r="C4112" s="86" t="s">
        <v>1977</v>
      </c>
      <c r="D4112" s="89" t="str">
        <f ca="1">OFFSET(Roster!$A$3,MATCH(表格1[[#This Row],[Location]]&amp;" "&amp;表格1[[#This Row],[Shop]]&amp;"*",Roster!$A$4:$A$72,0),DAY(表格1[[#This Row],[date]]),1,1)</f>
        <v>Jessica</v>
      </c>
      <c r="E4112" s="86">
        <f>MONTH(表格1[[#This Row],[date]])</f>
        <v>3</v>
      </c>
      <c r="F4112" s="90">
        <v>46101</v>
      </c>
      <c r="G4112" s="86" t="str">
        <f>VLOOKUP("*"&amp;表格1[[#This Row],[Input]]&amp;"*",'Ref-List'!$B:$D,2,)</f>
        <v>KT-17SHNH</v>
      </c>
      <c r="H4112" s="86" t="str">
        <f>_xlfn.XLOOKUP(表格1[[#This Row],[Model]],表格3[Model-Input-Ref2],表格3[Product Line])</f>
        <v>1.7L無線雙層電熱水壺</v>
      </c>
      <c r="I4112" s="86" t="str">
        <f>_xlfn.XLOOKUP(表格1[[#This Row],[Model]],表格3[Model-Input-Ref2],表格3[大小電])</f>
        <v>細電</v>
      </c>
      <c r="J4112" s="86" t="str">
        <f>_xlfn.XLOOKUP(表格1[[#This Row],[Model]],表格3[Model-Input-Ref2],表格3[Code])</f>
        <v>SDA</v>
      </c>
      <c r="K4112" s="89" t="s">
        <v>1283</v>
      </c>
      <c r="L4112" s="86">
        <v>1</v>
      </c>
      <c r="M4112" s="87">
        <v>180.5</v>
      </c>
      <c r="N4112" s="87">
        <f>IFERROR(表格1[[#This Row],[QTY]]*表格1[[#This Row],[Unit Price]],"-")</f>
        <v>180.5</v>
      </c>
      <c r="R4112" s="86" t="str">
        <f>_xlfn.CONCAT(表格1[[#This Row],[Model]]," ",表格1[[#This Row],[inv no]])</f>
        <v xml:space="preserve">KT-17SHNH </v>
      </c>
      <c r="S4112" s="86">
        <f>_xlfn.XLOOKUP(表格1[[#This Row],[Model]],表格3[Model-Input-Ref2],表格3[SRP PRICE])</f>
        <v>299</v>
      </c>
      <c r="T4112" s="43">
        <f>表格1[[#This Row],[Unit Price]]/表格1[[#This Row],[SRP]]</f>
        <v>0.60367892976588633</v>
      </c>
      <c r="U4112" s="86" t="str">
        <f>_xlfn.XLOOKUP(表格1[[#This Row],[Model]],表格3[Model-Input-Ref2],表格3[TOSHIBA/HIGHEST])</f>
        <v>Shops Highest Price</v>
      </c>
      <c r="W4112" s="86" t="str">
        <f>_xlfn.CONCAT(表格1[[#This Row],[欄4]],表格1[[#This Row],[inv no]])</f>
        <v/>
      </c>
    </row>
    <row r="4113" spans="1:23" hidden="1">
      <c r="A4113" s="81">
        <v>4111</v>
      </c>
      <c r="B4113" s="86" t="s">
        <v>1203</v>
      </c>
      <c r="C4113" s="86" t="s">
        <v>1977</v>
      </c>
      <c r="D4113" s="89" t="str">
        <f ca="1">OFFSET(Roster!$A$3,MATCH(表格1[[#This Row],[Location]]&amp;" "&amp;表格1[[#This Row],[Shop]]&amp;"*",Roster!$A$4:$A$72,0),DAY(表格1[[#This Row],[date]]),1,1)</f>
        <v>Jessica</v>
      </c>
      <c r="E4113" s="86">
        <f>MONTH(表格1[[#This Row],[date]])</f>
        <v>3</v>
      </c>
      <c r="F4113" s="90">
        <v>46101</v>
      </c>
      <c r="G4113" s="86" t="str">
        <f>VLOOKUP("*"&amp;表格1[[#This Row],[Input]]&amp;"*",'Ref-List'!$B:$D,2,)</f>
        <v>RC-5SLIH(W)</v>
      </c>
      <c r="H4113" s="86" t="str">
        <f>_xlfn.XLOOKUP(表格1[[#This Row],[Model]],表格3[Model-Input-Ref2],表格3[Product Line])</f>
        <v>微型電腦珍珠飯煲</v>
      </c>
      <c r="I4113" s="86" t="str">
        <f>_xlfn.XLOOKUP(表格1[[#This Row],[Model]],表格3[Model-Input-Ref2],表格3[大小電])</f>
        <v>細電</v>
      </c>
      <c r="J4113" s="86" t="str">
        <f>_xlfn.XLOOKUP(表格1[[#This Row],[Model]],表格3[Model-Input-Ref2],表格3[Code])</f>
        <v>SDA</v>
      </c>
      <c r="K4113" s="89" t="s">
        <v>1264</v>
      </c>
      <c r="L4113" s="86">
        <v>1</v>
      </c>
      <c r="M4113" s="87">
        <v>590</v>
      </c>
      <c r="N4113" s="87">
        <f>IFERROR(表格1[[#This Row],[QTY]]*表格1[[#This Row],[Unit Price]],"-")</f>
        <v>590</v>
      </c>
      <c r="R4113" s="86" t="str">
        <f>_xlfn.CONCAT(表格1[[#This Row],[Model]]," ",表格1[[#This Row],[inv no]])</f>
        <v xml:space="preserve">RC-5SLIH(W) </v>
      </c>
      <c r="S4113" s="86">
        <f>_xlfn.XLOOKUP(表格1[[#This Row],[Model]],表格3[Model-Input-Ref2],表格3[SRP PRICE])</f>
        <v>658</v>
      </c>
      <c r="T4113" s="43">
        <f>表格1[[#This Row],[Unit Price]]/表格1[[#This Row],[SRP]]</f>
        <v>0.89665653495440734</v>
      </c>
      <c r="U4113" s="86" t="str">
        <f>_xlfn.XLOOKUP(表格1[[#This Row],[Model]],表格3[Model-Input-Ref2],表格3[TOSHIBA/HIGHEST])</f>
        <v>Toshiba SRP</v>
      </c>
      <c r="W4113" s="86" t="str">
        <f>_xlfn.CONCAT(表格1[[#This Row],[欄4]],表格1[[#This Row],[inv no]])</f>
        <v/>
      </c>
    </row>
    <row r="4114" spans="1:23" hidden="1">
      <c r="A4114" s="81">
        <v>4112</v>
      </c>
      <c r="B4114" s="86" t="s">
        <v>1203</v>
      </c>
      <c r="C4114" s="86" t="s">
        <v>1977</v>
      </c>
      <c r="D4114" s="89" t="str">
        <f ca="1">OFFSET(Roster!$A$3,MATCH(表格1[[#This Row],[Location]]&amp;" "&amp;表格1[[#This Row],[Shop]]&amp;"*",Roster!$A$4:$A$72,0),DAY(表格1[[#This Row],[date]]),1,1)</f>
        <v>Jessica</v>
      </c>
      <c r="E4114" s="86">
        <f>MONTH(表格1[[#This Row],[date]])</f>
        <v>3</v>
      </c>
      <c r="F4114" s="90">
        <v>46101</v>
      </c>
      <c r="G4114" s="86" t="str">
        <f>VLOOKUP("*"&amp;表格1[[#This Row],[Input]]&amp;"*",'Ref-List'!$B:$D,2,)</f>
        <v>MX2-STR25SC(WH)</v>
      </c>
      <c r="H4114" s="86" t="str">
        <f>_xlfn.XLOOKUP(表格1[[#This Row],[Model]],表格3[Model-Input-Ref2],表格3[Product Line])</f>
        <v>4合1氣炸微波蒸焗爐(25公升)</v>
      </c>
      <c r="I4114" s="86" t="str">
        <f>_xlfn.XLOOKUP(表格1[[#This Row],[Model]],表格3[Model-Input-Ref2],表格3[大小電])</f>
        <v>細電</v>
      </c>
      <c r="J4114" s="86" t="str">
        <f>_xlfn.XLOOKUP(表格1[[#This Row],[Model]],表格3[Model-Input-Ref2],表格3[Code])</f>
        <v>MCA</v>
      </c>
      <c r="K4114" s="89" t="s">
        <v>1410</v>
      </c>
      <c r="L4114" s="86">
        <v>1</v>
      </c>
      <c r="M4114" s="87">
        <v>3580</v>
      </c>
      <c r="N4114" s="87">
        <f>IFERROR(表格1[[#This Row],[QTY]]*表格1[[#This Row],[Unit Price]],"-")</f>
        <v>3580</v>
      </c>
      <c r="R4114" s="86" t="str">
        <f>_xlfn.CONCAT(表格1[[#This Row],[Model]]," ",表格1[[#This Row],[inv no]])</f>
        <v xml:space="preserve">MX2-STR25SC(WH) </v>
      </c>
      <c r="S4114" s="86">
        <f>_xlfn.XLOOKUP(表格1[[#This Row],[Model]],表格3[Model-Input-Ref2],表格3[SRP PRICE])</f>
        <v>4998</v>
      </c>
      <c r="T4114" s="43">
        <f>表格1[[#This Row],[Unit Price]]/表格1[[#This Row],[SRP]]</f>
        <v>0.71628651460584236</v>
      </c>
      <c r="U4114" s="86" t="str">
        <f>_xlfn.XLOOKUP(表格1[[#This Row],[Model]],表格3[Model-Input-Ref2],表格3[TOSHIBA/HIGHEST])</f>
        <v>Toshiba SRP</v>
      </c>
      <c r="W4114" s="86" t="str">
        <f>_xlfn.CONCAT(表格1[[#This Row],[欄4]],表格1[[#This Row],[inv no]])</f>
        <v/>
      </c>
    </row>
    <row r="4115" spans="1:23" hidden="1">
      <c r="A4115" s="81">
        <v>4113</v>
      </c>
      <c r="B4115" s="86" t="s">
        <v>1203</v>
      </c>
      <c r="C4115" s="86" t="s">
        <v>1977</v>
      </c>
      <c r="D4115" s="89" t="str">
        <f ca="1">OFFSET(Roster!$A$3,MATCH(表格1[[#This Row],[Location]]&amp;" "&amp;表格1[[#This Row],[Shop]]&amp;"*",Roster!$A$4:$A$72,0),DAY(表格1[[#This Row],[date]]),1,1)</f>
        <v>Jessica</v>
      </c>
      <c r="E4115" s="86">
        <f>MONTH(表格1[[#This Row],[date]])</f>
        <v>3</v>
      </c>
      <c r="F4115" s="90">
        <v>46101</v>
      </c>
      <c r="G4115" s="86" t="str">
        <f>VLOOKUP("*"&amp;表格1[[#This Row],[Input]]&amp;"*",'Ref-List'!$B:$D,2,)</f>
        <v>GR-RT300WE-PMA(57)</v>
      </c>
      <c r="H4115" s="86" t="str">
        <f>_xlfn.XLOOKUP(表格1[[#This Row],[Model]],表格3[Model-Input-Ref2],表格3[Product Line])</f>
        <v>變頻式環保雙門雪櫃(233L)</v>
      </c>
      <c r="I4115" s="86" t="str">
        <f>_xlfn.XLOOKUP(表格1[[#This Row],[Model]],表格3[Model-Input-Ref2],表格3[大小電])</f>
        <v>大電</v>
      </c>
      <c r="J4115" s="86" t="str">
        <f>_xlfn.XLOOKUP(表格1[[#This Row],[Model]],表格3[Model-Input-Ref2],表格3[Code])</f>
        <v>REF</v>
      </c>
      <c r="K4115" s="89" t="s">
        <v>1462</v>
      </c>
      <c r="L4115" s="86">
        <v>1</v>
      </c>
      <c r="M4115" s="87">
        <v>2710</v>
      </c>
      <c r="N4115" s="87">
        <f>IFERROR(表格1[[#This Row],[QTY]]*表格1[[#This Row],[Unit Price]],"-")</f>
        <v>2710</v>
      </c>
      <c r="O4115" s="86">
        <v>6112662</v>
      </c>
      <c r="R4115" s="86" t="str">
        <f>_xlfn.CONCAT(表格1[[#This Row],[Model]]," ",表格1[[#This Row],[inv no]])</f>
        <v>GR-RT300WE-PMA(57) 6112662</v>
      </c>
      <c r="S4115" s="86">
        <f>_xlfn.XLOOKUP(表格1[[#This Row],[Model]],表格3[Model-Input-Ref2],表格3[SRP PRICE])</f>
        <v>4280</v>
      </c>
      <c r="T4115" s="43">
        <f>表格1[[#This Row],[Unit Price]]/表格1[[#This Row],[SRP]]</f>
        <v>0.63317757009345799</v>
      </c>
      <c r="U4115" s="86" t="str">
        <f>_xlfn.XLOOKUP(表格1[[#This Row],[Model]],表格3[Model-Input-Ref2],表格3[TOSHIBA/HIGHEST])</f>
        <v>Toshiba SRP</v>
      </c>
      <c r="W4115" s="86" t="str">
        <f>_xlfn.CONCAT(表格1[[#This Row],[欄4]],表格1[[#This Row],[inv no]])</f>
        <v>6112662</v>
      </c>
    </row>
    <row r="4116" spans="1:23" hidden="1">
      <c r="A4116" s="81">
        <v>4114</v>
      </c>
      <c r="B4116" s="86" t="s">
        <v>1203</v>
      </c>
      <c r="C4116" s="86" t="s">
        <v>1977</v>
      </c>
      <c r="D4116" s="89" t="str">
        <f ca="1">OFFSET(Roster!$A$3,MATCH(表格1[[#This Row],[Location]]&amp;" "&amp;表格1[[#This Row],[Shop]]&amp;"*",Roster!$A$4:$A$72,0),DAY(表格1[[#This Row],[date]]),1,1)</f>
        <v>Jessica</v>
      </c>
      <c r="E4116" s="86">
        <f>MONTH(表格1[[#This Row],[date]])</f>
        <v>3</v>
      </c>
      <c r="F4116" s="90">
        <v>46101</v>
      </c>
      <c r="G4116" s="86" t="str">
        <f>VLOOKUP("*"&amp;表格1[[#This Row],[Input]]&amp;"*",'Ref-List'!$B:$D,2,)</f>
        <v>GR-RT300WE-PMA(57)</v>
      </c>
      <c r="H4116" s="86" t="str">
        <f>_xlfn.XLOOKUP(表格1[[#This Row],[Model]],表格3[Model-Input-Ref2],表格3[Product Line])</f>
        <v>變頻式環保雙門雪櫃(233L)</v>
      </c>
      <c r="I4116" s="86" t="str">
        <f>_xlfn.XLOOKUP(表格1[[#This Row],[Model]],表格3[Model-Input-Ref2],表格3[大小電])</f>
        <v>大電</v>
      </c>
      <c r="J4116" s="86" t="str">
        <f>_xlfn.XLOOKUP(表格1[[#This Row],[Model]],表格3[Model-Input-Ref2],表格3[Code])</f>
        <v>REF</v>
      </c>
      <c r="K4116" s="89" t="s">
        <v>1462</v>
      </c>
      <c r="L4116" s="86">
        <v>1</v>
      </c>
      <c r="M4116" s="87">
        <v>2710</v>
      </c>
      <c r="N4116" s="87">
        <f>IFERROR(表格1[[#This Row],[QTY]]*表格1[[#This Row],[Unit Price]],"-")</f>
        <v>2710</v>
      </c>
      <c r="O4116" s="86">
        <v>5725440</v>
      </c>
      <c r="R4116" s="86" t="str">
        <f>_xlfn.CONCAT(表格1[[#This Row],[Model]]," ",表格1[[#This Row],[inv no]])</f>
        <v>GR-RT300WE-PMA(57) 5725440</v>
      </c>
      <c r="S4116" s="86">
        <f>_xlfn.XLOOKUP(表格1[[#This Row],[Model]],表格3[Model-Input-Ref2],表格3[SRP PRICE])</f>
        <v>4280</v>
      </c>
      <c r="T4116" s="43">
        <f>表格1[[#This Row],[Unit Price]]/表格1[[#This Row],[SRP]]</f>
        <v>0.63317757009345799</v>
      </c>
      <c r="U4116" s="86" t="str">
        <f>_xlfn.XLOOKUP(表格1[[#This Row],[Model]],表格3[Model-Input-Ref2],表格3[TOSHIBA/HIGHEST])</f>
        <v>Toshiba SRP</v>
      </c>
      <c r="W4116" s="86" t="str">
        <f>_xlfn.CONCAT(表格1[[#This Row],[欄4]],表格1[[#This Row],[inv no]])</f>
        <v>5725440</v>
      </c>
    </row>
    <row r="4117" spans="1:23" hidden="1">
      <c r="A4117" s="81">
        <v>4115</v>
      </c>
      <c r="B4117" s="86" t="s">
        <v>1203</v>
      </c>
      <c r="C4117" s="86" t="s">
        <v>1977</v>
      </c>
      <c r="D4117" s="89" t="str">
        <f ca="1">OFFSET(Roster!$A$3,MATCH(表格1[[#This Row],[Location]]&amp;" "&amp;表格1[[#This Row],[Shop]]&amp;"*",Roster!$A$4:$A$72,0),DAY(表格1[[#This Row],[date]]),1,1)</f>
        <v>Jessica</v>
      </c>
      <c r="E4117" s="86">
        <f>MONTH(表格1[[#This Row],[date]])</f>
        <v>3</v>
      </c>
      <c r="F4117" s="90">
        <v>46101</v>
      </c>
      <c r="G4117" s="86" t="str">
        <f>VLOOKUP("*"&amp;表格1[[#This Row],[Input]]&amp;"*",'Ref-List'!$B:$D,2,)</f>
        <v>RAD-D300H</v>
      </c>
      <c r="H4117" s="86" t="str">
        <f>_xlfn.XLOOKUP(表格1[[#This Row],[Model]],表格3[Model-Input-Ref2],表格3[Product Line])</f>
        <v>壓縮式抽濕機 (30公升)</v>
      </c>
      <c r="I4117" s="86" t="str">
        <f>_xlfn.XLOOKUP(表格1[[#This Row],[Model]],表格3[Model-Input-Ref2],表格3[大小電])</f>
        <v>細電</v>
      </c>
      <c r="J4117" s="86" t="str">
        <f>_xlfn.XLOOKUP(表格1[[#This Row],[Model]],表格3[Model-Input-Ref2],表格3[Code])</f>
        <v>RAC</v>
      </c>
      <c r="K4117" s="89" t="s">
        <v>1252</v>
      </c>
      <c r="L4117" s="86">
        <v>1</v>
      </c>
      <c r="M4117" s="87">
        <v>2166</v>
      </c>
      <c r="N4117" s="87">
        <f>IFERROR(表格1[[#This Row],[QTY]]*表格1[[#This Row],[Unit Price]],"-")</f>
        <v>2166</v>
      </c>
      <c r="R4117" s="86" t="str">
        <f>_xlfn.CONCAT(表格1[[#This Row],[Model]]," ",表格1[[#This Row],[inv no]])</f>
        <v xml:space="preserve">RAD-D300H </v>
      </c>
      <c r="S4117" s="86">
        <f>_xlfn.XLOOKUP(表格1[[#This Row],[Model]],表格3[Model-Input-Ref2],表格3[SRP PRICE])</f>
        <v>3380</v>
      </c>
      <c r="T4117" s="43">
        <f>表格1[[#This Row],[Unit Price]]/表格1[[#This Row],[SRP]]</f>
        <v>0.64082840236686389</v>
      </c>
      <c r="U4117" s="86" t="str">
        <f>_xlfn.XLOOKUP(表格1[[#This Row],[Model]],表格3[Model-Input-Ref2],表格3[TOSHIBA/HIGHEST])</f>
        <v>Shops Highest Price</v>
      </c>
      <c r="W4117" s="86" t="str">
        <f>_xlfn.CONCAT(表格1[[#This Row],[欄4]],表格1[[#This Row],[inv no]])</f>
        <v/>
      </c>
    </row>
    <row r="4118" spans="1:23" hidden="1">
      <c r="A4118" s="81">
        <v>4116</v>
      </c>
      <c r="B4118" s="86" t="s">
        <v>1203</v>
      </c>
      <c r="C4118" s="86" t="s">
        <v>1977</v>
      </c>
      <c r="D4118" s="89" t="str">
        <f ca="1">OFFSET(Roster!$A$3,MATCH(表格1[[#This Row],[Location]]&amp;" "&amp;表格1[[#This Row],[Shop]]&amp;"*",Roster!$A$4:$A$72,0),DAY(表格1[[#This Row],[date]]),1,1)</f>
        <v>Jessica</v>
      </c>
      <c r="E4118" s="86">
        <f>MONTH(表格1[[#This Row],[date]])</f>
        <v>3</v>
      </c>
      <c r="F4118" s="90">
        <v>46102</v>
      </c>
      <c r="G4118" s="86" t="str">
        <f>VLOOKUP("*"&amp;表格1[[#This Row],[Input]]&amp;"*",'Ref-List'!$B:$D,2,)</f>
        <v>KT-17SHNH</v>
      </c>
      <c r="H4118" s="86" t="str">
        <f>_xlfn.XLOOKUP(表格1[[#This Row],[Model]],表格3[Model-Input-Ref2],表格3[Product Line])</f>
        <v>1.7L無線雙層電熱水壺</v>
      </c>
      <c r="I4118" s="86" t="str">
        <f>_xlfn.XLOOKUP(表格1[[#This Row],[Model]],表格3[Model-Input-Ref2],表格3[大小電])</f>
        <v>細電</v>
      </c>
      <c r="J4118" s="86" t="str">
        <f>_xlfn.XLOOKUP(表格1[[#This Row],[Model]],表格3[Model-Input-Ref2],表格3[Code])</f>
        <v>SDA</v>
      </c>
      <c r="K4118" s="89" t="s">
        <v>1283</v>
      </c>
      <c r="L4118" s="86">
        <v>1</v>
      </c>
      <c r="M4118" s="87">
        <v>180.5</v>
      </c>
      <c r="N4118" s="87">
        <f>IFERROR(表格1[[#This Row],[QTY]]*表格1[[#This Row],[Unit Price]],"-")</f>
        <v>180.5</v>
      </c>
      <c r="R4118" s="86" t="str">
        <f>_xlfn.CONCAT(表格1[[#This Row],[Model]]," ",表格1[[#This Row],[inv no]])</f>
        <v xml:space="preserve">KT-17SHNH </v>
      </c>
      <c r="S4118" s="86">
        <f>_xlfn.XLOOKUP(表格1[[#This Row],[Model]],表格3[Model-Input-Ref2],表格3[SRP PRICE])</f>
        <v>299</v>
      </c>
      <c r="T4118" s="43">
        <f>表格1[[#This Row],[Unit Price]]/表格1[[#This Row],[SRP]]</f>
        <v>0.60367892976588633</v>
      </c>
      <c r="U4118" s="86" t="str">
        <f>_xlfn.XLOOKUP(表格1[[#This Row],[Model]],表格3[Model-Input-Ref2],表格3[TOSHIBA/HIGHEST])</f>
        <v>Shops Highest Price</v>
      </c>
      <c r="W4118" s="86" t="str">
        <f>_xlfn.CONCAT(表格1[[#This Row],[欄4]],表格1[[#This Row],[inv no]])</f>
        <v/>
      </c>
    </row>
    <row r="4119" spans="1:23" hidden="1">
      <c r="A4119" s="81">
        <v>4117</v>
      </c>
      <c r="B4119" s="86" t="s">
        <v>1203</v>
      </c>
      <c r="C4119" s="86" t="s">
        <v>1977</v>
      </c>
      <c r="D4119" s="89" t="str">
        <f ca="1">OFFSET(Roster!$A$3,MATCH(表格1[[#This Row],[Location]]&amp;" "&amp;表格1[[#This Row],[Shop]]&amp;"*",Roster!$A$4:$A$72,0),DAY(表格1[[#This Row],[date]]),1,1)</f>
        <v>Jessica</v>
      </c>
      <c r="E4119" s="86">
        <f>MONTH(表格1[[#This Row],[date]])</f>
        <v>3</v>
      </c>
      <c r="F4119" s="90">
        <v>46102</v>
      </c>
      <c r="G4119" s="86" t="str">
        <f>VLOOKUP("*"&amp;表格1[[#This Row],[Input]]&amp;"*",'Ref-List'!$B:$D,2,)</f>
        <v>RC-7HMH</v>
      </c>
      <c r="H4119" s="86" t="str">
        <f>_xlfn.XLOOKUP(表格1[[#This Row],[Model]],表格3[Model-Input-Ref2],表格3[Product Line])</f>
        <v>備長炭本厚釜電飯煲0.7L</v>
      </c>
      <c r="I4119" s="86" t="str">
        <f>_xlfn.XLOOKUP(表格1[[#This Row],[Model]],表格3[Model-Input-Ref2],表格3[大小電])</f>
        <v>細電</v>
      </c>
      <c r="J4119" s="86" t="str">
        <f>_xlfn.XLOOKUP(表格1[[#This Row],[Model]],表格3[Model-Input-Ref2],表格3[Code])</f>
        <v>SDA</v>
      </c>
      <c r="K4119" s="89" t="s">
        <v>1284</v>
      </c>
      <c r="L4119" s="86">
        <v>1</v>
      </c>
      <c r="M4119" s="87">
        <v>780</v>
      </c>
      <c r="N4119" s="87">
        <f>IFERROR(表格1[[#This Row],[QTY]]*表格1[[#This Row],[Unit Price]],"-")</f>
        <v>780</v>
      </c>
      <c r="R4119" s="86" t="str">
        <f>_xlfn.CONCAT(表格1[[#This Row],[Model]]," ",表格1[[#This Row],[inv no]])</f>
        <v xml:space="preserve">RC-7HMH </v>
      </c>
      <c r="S4119" s="86">
        <f>_xlfn.XLOOKUP(表格1[[#This Row],[Model]],表格3[Model-Input-Ref2],表格3[SRP PRICE])</f>
        <v>1288</v>
      </c>
      <c r="T4119" s="43">
        <f>表格1[[#This Row],[Unit Price]]/表格1[[#This Row],[SRP]]</f>
        <v>0.60559006211180122</v>
      </c>
      <c r="U4119" s="86" t="str">
        <f>_xlfn.XLOOKUP(表格1[[#This Row],[Model]],表格3[Model-Input-Ref2],表格3[TOSHIBA/HIGHEST])</f>
        <v>Toshiba SRP</v>
      </c>
      <c r="W4119" s="86" t="str">
        <f>_xlfn.CONCAT(表格1[[#This Row],[欄4]],表格1[[#This Row],[inv no]])</f>
        <v/>
      </c>
    </row>
    <row r="4120" spans="1:23" hidden="1">
      <c r="A4120" s="81">
        <v>4118</v>
      </c>
      <c r="B4120" s="86" t="s">
        <v>1203</v>
      </c>
      <c r="C4120" s="86" t="s">
        <v>1977</v>
      </c>
      <c r="D4120" s="89" t="str">
        <f ca="1">OFFSET(Roster!$A$3,MATCH(表格1[[#This Row],[Location]]&amp;" "&amp;表格1[[#This Row],[Shop]]&amp;"*",Roster!$A$4:$A$72,0),DAY(表格1[[#This Row],[date]]),1,1)</f>
        <v>Jessica</v>
      </c>
      <c r="E4120" s="86">
        <f>MONTH(表格1[[#This Row],[date]])</f>
        <v>3</v>
      </c>
      <c r="F4120" s="90">
        <v>46102</v>
      </c>
      <c r="G4120" s="86" t="str">
        <f>VLOOKUP("*"&amp;表格1[[#This Row],[Input]]&amp;"*",'Ref-List'!$B:$D,2,)</f>
        <v>KT-17DRTHK(H)</v>
      </c>
      <c r="H4120" s="86" t="str">
        <f>_xlfn.XLOOKUP(表格1[[#This Row],[Model]],表格3[Model-Input-Ref2],表格3[Product Line])</f>
        <v>無線雙層電熱水壺(1.7公升)</v>
      </c>
      <c r="I4120" s="86" t="str">
        <f>_xlfn.XLOOKUP(表格1[[#This Row],[Model]],表格3[Model-Input-Ref2],表格3[大小電])</f>
        <v>細電</v>
      </c>
      <c r="J4120" s="86" t="str">
        <f>_xlfn.XLOOKUP(表格1[[#This Row],[Model]],表格3[Model-Input-Ref2],表格3[Code])</f>
        <v>SDA</v>
      </c>
      <c r="K4120" s="89" t="s">
        <v>1271</v>
      </c>
      <c r="L4120" s="86">
        <v>1</v>
      </c>
      <c r="M4120" s="87">
        <v>332.5</v>
      </c>
      <c r="N4120" s="87">
        <f>IFERROR(表格1[[#This Row],[QTY]]*表格1[[#This Row],[Unit Price]],"-")</f>
        <v>332.5</v>
      </c>
      <c r="R4120" s="86" t="str">
        <f>_xlfn.CONCAT(表格1[[#This Row],[Model]]," ",表格1[[#This Row],[inv no]])</f>
        <v xml:space="preserve">KT-17DRTHK(H) </v>
      </c>
      <c r="S4120" s="86">
        <f>_xlfn.XLOOKUP(表格1[[#This Row],[Model]],表格3[Model-Input-Ref2],表格3[SRP PRICE])</f>
        <v>498</v>
      </c>
      <c r="T4120" s="43">
        <f>表格1[[#This Row],[Unit Price]]/表格1[[#This Row],[SRP]]</f>
        <v>0.66767068273092367</v>
      </c>
      <c r="U4120" s="86" t="str">
        <f>_xlfn.XLOOKUP(表格1[[#This Row],[Model]],表格3[Model-Input-Ref2],表格3[TOSHIBA/HIGHEST])</f>
        <v>Toshiba SRP</v>
      </c>
      <c r="W4120" s="86" t="str">
        <f>_xlfn.CONCAT(表格1[[#This Row],[欄4]],表格1[[#This Row],[inv no]])</f>
        <v/>
      </c>
    </row>
    <row r="4121" spans="1:23" hidden="1">
      <c r="A4121" s="81">
        <v>4119</v>
      </c>
      <c r="B4121" s="86" t="s">
        <v>1203</v>
      </c>
      <c r="C4121" s="86" t="s">
        <v>1977</v>
      </c>
      <c r="D4121" s="89" t="str">
        <f ca="1">OFFSET(Roster!$A$3,MATCH(表格1[[#This Row],[Location]]&amp;" "&amp;表格1[[#This Row],[Shop]]&amp;"*",Roster!$A$4:$A$72,0),DAY(表格1[[#This Row],[date]]),1,1)</f>
        <v>Jessica</v>
      </c>
      <c r="E4121" s="86">
        <f>MONTH(表格1[[#This Row],[date]])</f>
        <v>3</v>
      </c>
      <c r="F4121" s="90">
        <v>46102</v>
      </c>
      <c r="G4121" s="86" t="str">
        <f>VLOOKUP("*"&amp;表格1[[#This Row],[Input]]&amp;"*",'Ref-List'!$B:$D,2,)</f>
        <v>CFK01W75</v>
      </c>
      <c r="H4121" s="86" t="str">
        <f>_xlfn.XLOOKUP(表格1[[#This Row],[Model]],表格3[Model-Input-Ref2],表格3[Product Line])</f>
        <v>變頻頂揭式洗衣機 (7.5公斤)</v>
      </c>
      <c r="I4121" s="86" t="str">
        <f>_xlfn.XLOOKUP(表格1[[#This Row],[Model]],表格3[Model-Input-Ref2],表格3[大小電])</f>
        <v>大電</v>
      </c>
      <c r="J4121" s="86" t="str">
        <f>_xlfn.XLOOKUP(表格1[[#This Row],[Model]],表格3[Model-Input-Ref2],表格3[Code])</f>
        <v>LAD</v>
      </c>
      <c r="K4121" s="89" t="s">
        <v>1266</v>
      </c>
      <c r="L4121" s="86">
        <v>1</v>
      </c>
      <c r="M4121" s="87">
        <v>3401</v>
      </c>
      <c r="N4121" s="87">
        <f>IFERROR(表格1[[#This Row],[QTY]]*表格1[[#This Row],[Unit Price]],"-")</f>
        <v>3401</v>
      </c>
      <c r="O4121" s="86">
        <v>6112606</v>
      </c>
      <c r="R4121" s="86" t="str">
        <f>_xlfn.CONCAT(表格1[[#This Row],[Model]]," ",表格1[[#This Row],[inv no]])</f>
        <v>CFK01W75 6112606</v>
      </c>
      <c r="S4121" s="86">
        <f>_xlfn.XLOOKUP(表格1[[#This Row],[Model]],表格3[Model-Input-Ref2],表格3[SRP PRICE])</f>
        <v>3888</v>
      </c>
      <c r="T4121" s="43">
        <f>表格1[[#This Row],[Unit Price]]/表格1[[#This Row],[SRP]]</f>
        <v>0.87474279835390945</v>
      </c>
      <c r="U4121" s="86" t="str">
        <f>_xlfn.XLOOKUP(表格1[[#This Row],[Model]],表格3[Model-Input-Ref2],表格3[TOSHIBA/HIGHEST])</f>
        <v>Shops Highest Price</v>
      </c>
      <c r="W4121" s="86" t="str">
        <f>_xlfn.CONCAT(表格1[[#This Row],[欄4]],表格1[[#This Row],[inv no]])</f>
        <v>6112606</v>
      </c>
    </row>
    <row r="4122" spans="1:23" hidden="1">
      <c r="A4122" s="81">
        <v>4120</v>
      </c>
      <c r="B4122" s="86" t="s">
        <v>1203</v>
      </c>
      <c r="C4122" s="86" t="s">
        <v>1977</v>
      </c>
      <c r="D4122" s="89" t="str">
        <f ca="1">OFFSET(Roster!$A$3,MATCH(表格1[[#This Row],[Location]]&amp;" "&amp;表格1[[#This Row],[Shop]]&amp;"*",Roster!$A$4:$A$72,0),DAY(表格1[[#This Row],[date]]),1,1)</f>
        <v>Jessica</v>
      </c>
      <c r="E4122" s="86">
        <f>MONTH(表格1[[#This Row],[date]])</f>
        <v>3</v>
      </c>
      <c r="F4122" s="90">
        <v>46102</v>
      </c>
      <c r="G4122" s="86" t="str">
        <f>VLOOKUP("*"&amp;表格1[[#This Row],[Input]]&amp;"*",'Ref-List'!$B:$D,2,)</f>
        <v>TP-25DR2UHK(W)</v>
      </c>
      <c r="H4122" s="86" t="str">
        <f>_xlfn.XLOOKUP(表格1[[#This Row],[Model]],表格3[Model-Input-Ref2],表格3[Product Line])</f>
        <v>電熱水瓶 (2.5公升)</v>
      </c>
      <c r="I4122" s="86" t="str">
        <f>_xlfn.XLOOKUP(表格1[[#This Row],[Model]],表格3[Model-Input-Ref2],表格3[大小電])</f>
        <v>細電</v>
      </c>
      <c r="J4122" s="86" t="str">
        <f>_xlfn.XLOOKUP(表格1[[#This Row],[Model]],表格3[Model-Input-Ref2],表格3[Code])</f>
        <v>SDA</v>
      </c>
      <c r="K4122" s="89" t="s">
        <v>1285</v>
      </c>
      <c r="L4122" s="86">
        <v>1</v>
      </c>
      <c r="M4122" s="87">
        <v>361</v>
      </c>
      <c r="N4122" s="87">
        <f>IFERROR(表格1[[#This Row],[QTY]]*表格1[[#This Row],[Unit Price]],"-")</f>
        <v>361</v>
      </c>
      <c r="R4122" s="86" t="str">
        <f>_xlfn.CONCAT(表格1[[#This Row],[Model]]," ",表格1[[#This Row],[inv no]])</f>
        <v xml:space="preserve">TP-25DR2UHK(W) </v>
      </c>
      <c r="S4122" s="86">
        <f>_xlfn.XLOOKUP(表格1[[#This Row],[Model]],表格3[Model-Input-Ref2],表格3[SRP PRICE])</f>
        <v>538</v>
      </c>
      <c r="T4122" s="43">
        <f>表格1[[#This Row],[Unit Price]]/表格1[[#This Row],[SRP]]</f>
        <v>0.67100371747211895</v>
      </c>
      <c r="U4122" s="86" t="str">
        <f>_xlfn.XLOOKUP(表格1[[#This Row],[Model]],表格3[Model-Input-Ref2],表格3[TOSHIBA/HIGHEST])</f>
        <v>Toshiba SRP</v>
      </c>
      <c r="W4122" s="86" t="str">
        <f>_xlfn.CONCAT(表格1[[#This Row],[欄4]],表格1[[#This Row],[inv no]])</f>
        <v/>
      </c>
    </row>
    <row r="4123" spans="1:23" hidden="1">
      <c r="A4123" s="81">
        <v>4121</v>
      </c>
      <c r="B4123" s="86" t="s">
        <v>1203</v>
      </c>
      <c r="C4123" s="86" t="s">
        <v>1977</v>
      </c>
      <c r="D4123" s="89" t="str">
        <f ca="1">OFFSET(Roster!$A$3,MATCH(表格1[[#This Row],[Location]]&amp;" "&amp;表格1[[#This Row],[Shop]]&amp;"*",Roster!$A$4:$A$72,0),DAY(表格1[[#This Row],[date]]),1,1)</f>
        <v>Jessica</v>
      </c>
      <c r="E4123" s="86">
        <f>MONTH(表格1[[#This Row],[date]])</f>
        <v>3</v>
      </c>
      <c r="F4123" s="90">
        <v>46103</v>
      </c>
      <c r="G4123" s="86" t="str">
        <f>VLOOKUP("*"&amp;表格1[[#This Row],[Input]]&amp;"*",'Ref-List'!$B:$D,2,)</f>
        <v>KT-17SHNH</v>
      </c>
      <c r="H4123" s="86" t="str">
        <f>_xlfn.XLOOKUP(表格1[[#This Row],[Model]],表格3[Model-Input-Ref2],表格3[Product Line])</f>
        <v>1.7L無線雙層電熱水壺</v>
      </c>
      <c r="I4123" s="86" t="str">
        <f>_xlfn.XLOOKUP(表格1[[#This Row],[Model]],表格3[Model-Input-Ref2],表格3[大小電])</f>
        <v>細電</v>
      </c>
      <c r="J4123" s="86" t="str">
        <f>_xlfn.XLOOKUP(表格1[[#This Row],[Model]],表格3[Model-Input-Ref2],表格3[Code])</f>
        <v>SDA</v>
      </c>
      <c r="K4123" s="89" t="s">
        <v>1283</v>
      </c>
      <c r="L4123" s="86">
        <v>1</v>
      </c>
      <c r="M4123" s="87">
        <v>180.5</v>
      </c>
      <c r="N4123" s="87">
        <f>IFERROR(表格1[[#This Row],[QTY]]*表格1[[#This Row],[Unit Price]],"-")</f>
        <v>180.5</v>
      </c>
      <c r="R4123" s="86" t="str">
        <f>_xlfn.CONCAT(表格1[[#This Row],[Model]]," ",表格1[[#This Row],[inv no]])</f>
        <v xml:space="preserve">KT-17SHNH </v>
      </c>
      <c r="S4123" s="86">
        <f>_xlfn.XLOOKUP(表格1[[#This Row],[Model]],表格3[Model-Input-Ref2],表格3[SRP PRICE])</f>
        <v>299</v>
      </c>
      <c r="T4123" s="43">
        <f>表格1[[#This Row],[Unit Price]]/表格1[[#This Row],[SRP]]</f>
        <v>0.60367892976588633</v>
      </c>
      <c r="U4123" s="86" t="str">
        <f>_xlfn.XLOOKUP(表格1[[#This Row],[Model]],表格3[Model-Input-Ref2],表格3[TOSHIBA/HIGHEST])</f>
        <v>Shops Highest Price</v>
      </c>
      <c r="W4123" s="86" t="str">
        <f>_xlfn.CONCAT(表格1[[#This Row],[欄4]],表格1[[#This Row],[inv no]])</f>
        <v/>
      </c>
    </row>
    <row r="4124" spans="1:23" hidden="1">
      <c r="A4124" s="81">
        <v>4122</v>
      </c>
      <c r="B4124" s="86" t="s">
        <v>1203</v>
      </c>
      <c r="C4124" s="86" t="s">
        <v>1977</v>
      </c>
      <c r="D4124" s="89" t="str">
        <f ca="1">OFFSET(Roster!$A$3,MATCH(表格1[[#This Row],[Location]]&amp;" "&amp;表格1[[#This Row],[Shop]]&amp;"*",Roster!$A$4:$A$72,0),DAY(表格1[[#This Row],[date]]),1,1)</f>
        <v>Jessica</v>
      </c>
      <c r="E4124" s="86">
        <f>MONTH(表格1[[#This Row],[date]])</f>
        <v>3</v>
      </c>
      <c r="F4124" s="90">
        <v>46103</v>
      </c>
      <c r="G4124" s="86" t="str">
        <f>VLOOKUP("*"&amp;表格1[[#This Row],[Input]]&amp;"*",'Ref-List'!$B:$D,2,)</f>
        <v>RC-5SLIH(W)</v>
      </c>
      <c r="H4124" s="86" t="str">
        <f>_xlfn.XLOOKUP(表格1[[#This Row],[Model]],表格3[Model-Input-Ref2],表格3[Product Line])</f>
        <v>微型電腦珍珠飯煲</v>
      </c>
      <c r="I4124" s="86" t="str">
        <f>_xlfn.XLOOKUP(表格1[[#This Row],[Model]],表格3[Model-Input-Ref2],表格3[大小電])</f>
        <v>細電</v>
      </c>
      <c r="J4124" s="86" t="str">
        <f>_xlfn.XLOOKUP(表格1[[#This Row],[Model]],表格3[Model-Input-Ref2],表格3[Code])</f>
        <v>SDA</v>
      </c>
      <c r="K4124" s="89" t="s">
        <v>1264</v>
      </c>
      <c r="L4124" s="86">
        <v>1</v>
      </c>
      <c r="M4124" s="87">
        <v>560.5</v>
      </c>
      <c r="N4124" s="87">
        <f>IFERROR(表格1[[#This Row],[QTY]]*表格1[[#This Row],[Unit Price]],"-")</f>
        <v>560.5</v>
      </c>
      <c r="R4124" s="86" t="str">
        <f>_xlfn.CONCAT(表格1[[#This Row],[Model]]," ",表格1[[#This Row],[inv no]])</f>
        <v xml:space="preserve">RC-5SLIH(W) </v>
      </c>
      <c r="S4124" s="86">
        <f>_xlfn.XLOOKUP(表格1[[#This Row],[Model]],表格3[Model-Input-Ref2],表格3[SRP PRICE])</f>
        <v>658</v>
      </c>
      <c r="T4124" s="43">
        <f>表格1[[#This Row],[Unit Price]]/表格1[[#This Row],[SRP]]</f>
        <v>0.85182370820668696</v>
      </c>
      <c r="U4124" s="86" t="str">
        <f>_xlfn.XLOOKUP(表格1[[#This Row],[Model]],表格3[Model-Input-Ref2],表格3[TOSHIBA/HIGHEST])</f>
        <v>Toshiba SRP</v>
      </c>
      <c r="W4124" s="86" t="str">
        <f>_xlfn.CONCAT(表格1[[#This Row],[欄4]],表格1[[#This Row],[inv no]])</f>
        <v/>
      </c>
    </row>
    <row r="4125" spans="1:23" hidden="1">
      <c r="A4125" s="81">
        <v>4123</v>
      </c>
      <c r="B4125" s="86" t="s">
        <v>1203</v>
      </c>
      <c r="C4125" s="86" t="s">
        <v>1977</v>
      </c>
      <c r="D4125" s="89" t="str">
        <f ca="1">OFFSET(Roster!$A$3,MATCH(表格1[[#This Row],[Location]]&amp;" "&amp;表格1[[#This Row],[Shop]]&amp;"*",Roster!$A$4:$A$72,0),DAY(表格1[[#This Row],[date]]),1,1)</f>
        <v>Jessica</v>
      </c>
      <c r="E4125" s="86">
        <f>MONTH(表格1[[#This Row],[date]])</f>
        <v>3</v>
      </c>
      <c r="F4125" s="90">
        <v>46103</v>
      </c>
      <c r="G4125" s="86" t="str">
        <f>VLOOKUP("*"&amp;表格1[[#This Row],[Input]]&amp;"*",'Ref-List'!$B:$D,2,)</f>
        <v>TL-MC35Z</v>
      </c>
      <c r="H4125" s="86" t="str">
        <f>_xlfn.XLOOKUP(表格1[[#This Row],[Model]],表格3[Model-Input-Ref2],表格3[Product Line])</f>
        <v>35L多功能電焗爐</v>
      </c>
      <c r="I4125" s="86" t="str">
        <f>_xlfn.XLOOKUP(表格1[[#This Row],[Model]],表格3[Model-Input-Ref2],表格3[大小電])</f>
        <v>細電</v>
      </c>
      <c r="J4125" s="86" t="str">
        <f>_xlfn.XLOOKUP(表格1[[#This Row],[Model]],表格3[Model-Input-Ref2],表格3[Code])</f>
        <v>SDA</v>
      </c>
      <c r="K4125" s="89" t="s">
        <v>1295</v>
      </c>
      <c r="L4125" s="86">
        <v>1</v>
      </c>
      <c r="M4125" s="87">
        <v>845.5</v>
      </c>
      <c r="N4125" s="87">
        <f>IFERROR(表格1[[#This Row],[QTY]]*表格1[[#This Row],[Unit Price]],"-")</f>
        <v>845.5</v>
      </c>
      <c r="R4125" s="86" t="str">
        <f>_xlfn.CONCAT(表格1[[#This Row],[Model]]," ",表格1[[#This Row],[inv no]])</f>
        <v xml:space="preserve">TL-MC35Z </v>
      </c>
      <c r="S4125" s="86">
        <f>_xlfn.XLOOKUP(表格1[[#This Row],[Model]],表格3[Model-Input-Ref2],表格3[SRP PRICE])</f>
        <v>1098</v>
      </c>
      <c r="T4125" s="43">
        <f>表格1[[#This Row],[Unit Price]]/表格1[[#This Row],[SRP]]</f>
        <v>0.77003642987249543</v>
      </c>
      <c r="U4125" s="86" t="str">
        <f>_xlfn.XLOOKUP(表格1[[#This Row],[Model]],表格3[Model-Input-Ref2],表格3[TOSHIBA/HIGHEST])</f>
        <v>Toshiba SRP</v>
      </c>
      <c r="W4125" s="86" t="str">
        <f>_xlfn.CONCAT(表格1[[#This Row],[欄4]],表格1[[#This Row],[inv no]])</f>
        <v/>
      </c>
    </row>
    <row r="4126" spans="1:23" hidden="1">
      <c r="A4126" s="81">
        <v>4124</v>
      </c>
      <c r="B4126" s="86" t="s">
        <v>1203</v>
      </c>
      <c r="C4126" s="86" t="s">
        <v>1977</v>
      </c>
      <c r="D4126" s="89" t="str">
        <f ca="1">OFFSET(Roster!$A$3,MATCH(表格1[[#This Row],[Location]]&amp;" "&amp;表格1[[#This Row],[Shop]]&amp;"*",Roster!$A$4:$A$72,0),DAY(表格1[[#This Row],[date]]),1,1)</f>
        <v>Jessica</v>
      </c>
      <c r="E4126" s="86">
        <f>MONTH(表格1[[#This Row],[date]])</f>
        <v>3</v>
      </c>
      <c r="F4126" s="90">
        <v>46103</v>
      </c>
      <c r="G4126" s="86" t="str">
        <f>VLOOKUP("*"&amp;表格1[[#This Row],[Input]]&amp;"*",'Ref-List'!$B:$D,2,)</f>
        <v>KT-17DRTHK(H)</v>
      </c>
      <c r="H4126" s="86" t="str">
        <f>_xlfn.XLOOKUP(表格1[[#This Row],[Model]],表格3[Model-Input-Ref2],表格3[Product Line])</f>
        <v>無線雙層電熱水壺(1.7公升)</v>
      </c>
      <c r="I4126" s="86" t="str">
        <f>_xlfn.XLOOKUP(表格1[[#This Row],[Model]],表格3[Model-Input-Ref2],表格3[大小電])</f>
        <v>細電</v>
      </c>
      <c r="J4126" s="86" t="str">
        <f>_xlfn.XLOOKUP(表格1[[#This Row],[Model]],表格3[Model-Input-Ref2],表格3[Code])</f>
        <v>SDA</v>
      </c>
      <c r="K4126" s="89" t="s">
        <v>1271</v>
      </c>
      <c r="L4126" s="86">
        <v>3</v>
      </c>
      <c r="M4126" s="87">
        <v>338</v>
      </c>
      <c r="N4126" s="87">
        <f>IFERROR(表格1[[#This Row],[QTY]]*表格1[[#This Row],[Unit Price]],"-")</f>
        <v>1014</v>
      </c>
      <c r="R4126" s="86" t="str">
        <f>_xlfn.CONCAT(表格1[[#This Row],[Model]]," ",表格1[[#This Row],[inv no]])</f>
        <v xml:space="preserve">KT-17DRTHK(H) </v>
      </c>
      <c r="S4126" s="86">
        <f>_xlfn.XLOOKUP(表格1[[#This Row],[Model]],表格3[Model-Input-Ref2],表格3[SRP PRICE])</f>
        <v>498</v>
      </c>
      <c r="T4126" s="43">
        <f>表格1[[#This Row],[Unit Price]]/表格1[[#This Row],[SRP]]</f>
        <v>0.67871485943775101</v>
      </c>
      <c r="U4126" s="86" t="str">
        <f>_xlfn.XLOOKUP(表格1[[#This Row],[Model]],表格3[Model-Input-Ref2],表格3[TOSHIBA/HIGHEST])</f>
        <v>Toshiba SRP</v>
      </c>
      <c r="W4126" s="86" t="str">
        <f>_xlfn.CONCAT(表格1[[#This Row],[欄4]],表格1[[#This Row],[inv no]])</f>
        <v/>
      </c>
    </row>
    <row r="4127" spans="1:23" hidden="1">
      <c r="A4127" s="81">
        <v>4125</v>
      </c>
      <c r="B4127" s="86" t="s">
        <v>1203</v>
      </c>
      <c r="C4127" s="86" t="s">
        <v>1977</v>
      </c>
      <c r="D4127" s="89" t="str">
        <f ca="1">OFFSET(Roster!$A$3,MATCH(表格1[[#This Row],[Location]]&amp;" "&amp;表格1[[#This Row],[Shop]]&amp;"*",Roster!$A$4:$A$72,0),DAY(表格1[[#This Row],[date]]),1,1)</f>
        <v>Jessica</v>
      </c>
      <c r="E4127" s="86">
        <f>MONTH(表格1[[#This Row],[date]])</f>
        <v>3</v>
      </c>
      <c r="F4127" s="90">
        <v>46103</v>
      </c>
      <c r="G4127" s="86" t="str">
        <f>VLOOKUP("*"&amp;表格1[[#This Row],[Input]]&amp;"*",'Ref-List'!$B:$D,2,)</f>
        <v>GR-RT300WE-PMA(57)</v>
      </c>
      <c r="H4127" s="86" t="str">
        <f>_xlfn.XLOOKUP(表格1[[#This Row],[Model]],表格3[Model-Input-Ref2],表格3[Product Line])</f>
        <v>變頻式環保雙門雪櫃(233L)</v>
      </c>
      <c r="I4127" s="86" t="str">
        <f>_xlfn.XLOOKUP(表格1[[#This Row],[Model]],表格3[Model-Input-Ref2],表格3[大小電])</f>
        <v>大電</v>
      </c>
      <c r="J4127" s="86" t="str">
        <f>_xlfn.XLOOKUP(表格1[[#This Row],[Model]],表格3[Model-Input-Ref2],表格3[Code])</f>
        <v>REF</v>
      </c>
      <c r="K4127" s="89" t="s">
        <v>1462</v>
      </c>
      <c r="L4127" s="86">
        <v>1</v>
      </c>
      <c r="M4127" s="87">
        <v>2641</v>
      </c>
      <c r="N4127" s="87">
        <f>IFERROR(表格1[[#This Row],[QTY]]*表格1[[#This Row],[Unit Price]],"-")</f>
        <v>2641</v>
      </c>
      <c r="O4127" s="86">
        <v>5725446</v>
      </c>
      <c r="R4127" s="86" t="str">
        <f>_xlfn.CONCAT(表格1[[#This Row],[Model]]," ",表格1[[#This Row],[inv no]])</f>
        <v>GR-RT300WE-PMA(57) 5725446</v>
      </c>
      <c r="S4127" s="86">
        <f>_xlfn.XLOOKUP(表格1[[#This Row],[Model]],表格3[Model-Input-Ref2],表格3[SRP PRICE])</f>
        <v>4280</v>
      </c>
      <c r="T4127" s="43">
        <f>表格1[[#This Row],[Unit Price]]/表格1[[#This Row],[SRP]]</f>
        <v>0.61705607476635516</v>
      </c>
      <c r="U4127" s="86" t="str">
        <f>_xlfn.XLOOKUP(表格1[[#This Row],[Model]],表格3[Model-Input-Ref2],表格3[TOSHIBA/HIGHEST])</f>
        <v>Toshiba SRP</v>
      </c>
      <c r="W4127" s="86" t="str">
        <f>_xlfn.CONCAT(表格1[[#This Row],[欄4]],表格1[[#This Row],[inv no]])</f>
        <v>5725446</v>
      </c>
    </row>
    <row r="4128" spans="1:23" hidden="1">
      <c r="A4128" s="81">
        <v>4126</v>
      </c>
      <c r="B4128" s="86" t="s">
        <v>1203</v>
      </c>
      <c r="C4128" s="86" t="s">
        <v>1977</v>
      </c>
      <c r="D4128" s="89" t="str">
        <f ca="1">OFFSET(Roster!$A$3,MATCH(表格1[[#This Row],[Location]]&amp;" "&amp;表格1[[#This Row],[Shop]]&amp;"*",Roster!$A$4:$A$72,0),DAY(表格1[[#This Row],[date]]),1,1)</f>
        <v>Jessica</v>
      </c>
      <c r="E4128" s="86">
        <f>MONTH(表格1[[#This Row],[date]])</f>
        <v>3</v>
      </c>
      <c r="F4128" s="90">
        <v>46103</v>
      </c>
      <c r="G4128" s="86" t="str">
        <f>VLOOKUP("*"&amp;表格1[[#This Row],[Input]]&amp;"*",'Ref-List'!$B:$D,2,)</f>
        <v>RAD-D200H</v>
      </c>
      <c r="H4128" s="86" t="str">
        <f>_xlfn.XLOOKUP(表格1[[#This Row],[Model]],表格3[Model-Input-Ref2],表格3[Product Line])</f>
        <v>壓縮式抽濕機 (22公升)</v>
      </c>
      <c r="I4128" s="86" t="str">
        <f>_xlfn.XLOOKUP(表格1[[#This Row],[Model]],表格3[Model-Input-Ref2],表格3[大小電])</f>
        <v>細電</v>
      </c>
      <c r="J4128" s="86" t="str">
        <f>_xlfn.XLOOKUP(表格1[[#This Row],[Model]],表格3[Model-Input-Ref2],表格3[Code])</f>
        <v>RAC</v>
      </c>
      <c r="K4128" s="89" t="s">
        <v>1250</v>
      </c>
      <c r="L4128" s="86">
        <v>1</v>
      </c>
      <c r="M4128" s="87">
        <v>1786.9</v>
      </c>
      <c r="N4128" s="87">
        <f>IFERROR(表格1[[#This Row],[QTY]]*表格1[[#This Row],[Unit Price]],"-")</f>
        <v>1786.9</v>
      </c>
      <c r="R4128" s="86" t="str">
        <f>_xlfn.CONCAT(表格1[[#This Row],[Model]]," ",表格1[[#This Row],[inv no]])</f>
        <v xml:space="preserve">RAD-D200H </v>
      </c>
      <c r="S4128" s="86">
        <f>_xlfn.XLOOKUP(表格1[[#This Row],[Model]],表格3[Model-Input-Ref2],表格3[SRP PRICE])</f>
        <v>2880</v>
      </c>
      <c r="T4128" s="43">
        <f>表格1[[#This Row],[Unit Price]]/表格1[[#This Row],[SRP]]</f>
        <v>0.62045138888888896</v>
      </c>
      <c r="U4128" s="86" t="str">
        <f>_xlfn.XLOOKUP(表格1[[#This Row],[Model]],表格3[Model-Input-Ref2],表格3[TOSHIBA/HIGHEST])</f>
        <v>Shops Highest Price</v>
      </c>
      <c r="W4128" s="86" t="str">
        <f>_xlfn.CONCAT(表格1[[#This Row],[欄4]],表格1[[#This Row],[inv no]])</f>
        <v/>
      </c>
    </row>
    <row r="4129" spans="1:23" hidden="1">
      <c r="A4129" s="81">
        <v>4127</v>
      </c>
      <c r="B4129" s="86" t="s">
        <v>1203</v>
      </c>
      <c r="C4129" s="86" t="s">
        <v>1977</v>
      </c>
      <c r="D4129" s="89" t="str">
        <f ca="1">OFFSET(Roster!$A$3,MATCH(表格1[[#This Row],[Location]]&amp;" "&amp;表格1[[#This Row],[Shop]]&amp;"*",Roster!$A$4:$A$72,0),DAY(表格1[[#This Row],[date]]),1,1)</f>
        <v>Jessica</v>
      </c>
      <c r="E4129" s="86">
        <f>MONTH(表格1[[#This Row],[date]])</f>
        <v>3</v>
      </c>
      <c r="F4129" s="90">
        <v>46104</v>
      </c>
      <c r="G4129" s="86" t="str">
        <f>VLOOKUP("*"&amp;表格1[[#This Row],[Input]]&amp;"*",'Ref-List'!$B:$D,2,)</f>
        <v>F-LYA20(W)HKG</v>
      </c>
      <c r="H4129" s="86" t="str">
        <f>_xlfn.XLOOKUP(表格1[[#This Row],[Model]],表格3[Model-Input-Ref2],表格3[Product Line])</f>
        <v>12吋2合1座地座檯電風扇連遙控</v>
      </c>
      <c r="I4129" s="86" t="str">
        <f>_xlfn.XLOOKUP(表格1[[#This Row],[Model]],表格3[Model-Input-Ref2],表格3[大小電])</f>
        <v>細電</v>
      </c>
      <c r="J4129" s="86" t="str">
        <f>_xlfn.XLOOKUP(表格1[[#This Row],[Model]],表格3[Model-Input-Ref2],表格3[Code])</f>
        <v>EAD</v>
      </c>
      <c r="K4129" s="89" t="s">
        <v>1391</v>
      </c>
      <c r="L4129" s="86">
        <v>1</v>
      </c>
      <c r="M4129" s="87">
        <v>390</v>
      </c>
      <c r="N4129" s="87">
        <f>IFERROR(表格1[[#This Row],[QTY]]*表格1[[#This Row],[Unit Price]],"-")</f>
        <v>390</v>
      </c>
      <c r="R4129" s="86" t="str">
        <f>_xlfn.CONCAT(表格1[[#This Row],[Model]]," ",表格1[[#This Row],[inv no]])</f>
        <v xml:space="preserve">F-LYA20(W)HKG </v>
      </c>
      <c r="S4129" s="86">
        <f>_xlfn.XLOOKUP(表格1[[#This Row],[Model]],表格3[Model-Input-Ref2],表格3[SRP PRICE])</f>
        <v>988</v>
      </c>
      <c r="T4129" s="43">
        <f>表格1[[#This Row],[Unit Price]]/表格1[[#This Row],[SRP]]</f>
        <v>0.39473684210526316</v>
      </c>
      <c r="U4129" s="86" t="str">
        <f>_xlfn.XLOOKUP(表格1[[#This Row],[Model]],表格3[Model-Input-Ref2],表格3[TOSHIBA/HIGHEST])</f>
        <v>Toshiba SRP</v>
      </c>
      <c r="W4129" s="86" t="str">
        <f>_xlfn.CONCAT(表格1[[#This Row],[欄4]],表格1[[#This Row],[inv no]])</f>
        <v/>
      </c>
    </row>
    <row r="4130" spans="1:23" hidden="1">
      <c r="A4130" s="81">
        <v>4128</v>
      </c>
      <c r="B4130" s="86" t="s">
        <v>1203</v>
      </c>
      <c r="C4130" s="86" t="s">
        <v>1977</v>
      </c>
      <c r="D4130" s="89" t="str">
        <f ca="1">OFFSET(Roster!$A$3,MATCH(表格1[[#This Row],[Location]]&amp;" "&amp;表格1[[#This Row],[Shop]]&amp;"*",Roster!$A$4:$A$72,0),DAY(表格1[[#This Row],[date]]),1,1)</f>
        <v>Jessica</v>
      </c>
      <c r="E4130" s="86">
        <f>MONTH(表格1[[#This Row],[date]])</f>
        <v>3</v>
      </c>
      <c r="F4130" s="90">
        <v>46104</v>
      </c>
      <c r="G4130" s="86" t="str">
        <f>VLOOKUP("*"&amp;表格1[[#This Row],[Input]]&amp;"*",'Ref-List'!$B:$D,2,)</f>
        <v>GR-RB221WE-PMA(57)</v>
      </c>
      <c r="H4130" s="86" t="str">
        <f>_xlfn.XLOOKUP(表格1[[#This Row],[Model]],表格3[Model-Input-Ref2],表格3[Product Line])</f>
        <v>變頻下置式雙門雪櫃（163L）</v>
      </c>
      <c r="I4130" s="86" t="str">
        <f>_xlfn.XLOOKUP(表格1[[#This Row],[Model]],表格3[Model-Input-Ref2],表格3[大小電])</f>
        <v>大電</v>
      </c>
      <c r="J4130" s="86" t="str">
        <f>_xlfn.XLOOKUP(表格1[[#This Row],[Model]],表格3[Model-Input-Ref2],表格3[Code])</f>
        <v>REF</v>
      </c>
      <c r="K4130" s="89" t="s">
        <v>1386</v>
      </c>
      <c r="L4130" s="86">
        <v>1</v>
      </c>
      <c r="M4130" s="87">
        <v>1786</v>
      </c>
      <c r="N4130" s="87">
        <f>IFERROR(表格1[[#This Row],[QTY]]*表格1[[#This Row],[Unit Price]],"-")</f>
        <v>1786</v>
      </c>
      <c r="O4130" s="86">
        <v>5725746</v>
      </c>
      <c r="R4130" s="86" t="str">
        <f>_xlfn.CONCAT(表格1[[#This Row],[Model]]," ",表格1[[#This Row],[inv no]])</f>
        <v>GR-RB221WE-PMA(57) 5725746</v>
      </c>
      <c r="S4130" s="86">
        <f>_xlfn.XLOOKUP(表格1[[#This Row],[Model]],表格3[Model-Input-Ref2],表格3[SRP PRICE])</f>
        <v>3480</v>
      </c>
      <c r="T4130" s="43">
        <f>表格1[[#This Row],[Unit Price]]/表格1[[#This Row],[SRP]]</f>
        <v>0.51321839080459775</v>
      </c>
      <c r="U4130" s="86" t="str">
        <f>_xlfn.XLOOKUP(表格1[[#This Row],[Model]],表格3[Model-Input-Ref2],表格3[TOSHIBA/HIGHEST])</f>
        <v>Toshiba SRP</v>
      </c>
      <c r="W4130" s="86" t="str">
        <f>_xlfn.CONCAT(表格1[[#This Row],[欄4]],表格1[[#This Row],[inv no]])</f>
        <v>5725746</v>
      </c>
    </row>
    <row r="4131" spans="1:23" hidden="1">
      <c r="A4131" s="81">
        <v>4129</v>
      </c>
      <c r="B4131" s="86" t="s">
        <v>1203</v>
      </c>
      <c r="C4131" s="86" t="s">
        <v>1977</v>
      </c>
      <c r="D4131" s="89" t="str">
        <f ca="1">OFFSET(Roster!$A$3,MATCH(表格1[[#This Row],[Location]]&amp;" "&amp;表格1[[#This Row],[Shop]]&amp;"*",Roster!$A$4:$A$72,0),DAY(表格1[[#This Row],[date]]),1,1)</f>
        <v>Jessica</v>
      </c>
      <c r="E4131" s="86">
        <f>MONTH(表格1[[#This Row],[date]])</f>
        <v>3</v>
      </c>
      <c r="F4131" s="90">
        <v>46104</v>
      </c>
      <c r="G4131" s="86" t="str">
        <f>VLOOKUP("*"&amp;表格1[[#This Row],[Input]]&amp;"*",'Ref-List'!$B:$D,2,)</f>
        <v>GR-RM352WI-PMA(53)</v>
      </c>
      <c r="H4131" s="86" t="str">
        <f>_xlfn.XLOOKUP(表格1[[#This Row],[Model]],表格3[Model-Input-Ref2],表格3[Product Line])</f>
        <v>變頻三門雪櫃 (233L)</v>
      </c>
      <c r="I4131" s="86" t="str">
        <f>_xlfn.XLOOKUP(表格1[[#This Row],[Model]],表格3[Model-Input-Ref2],表格3[大小電])</f>
        <v>大電</v>
      </c>
      <c r="J4131" s="86" t="str">
        <f>_xlfn.XLOOKUP(表格1[[#This Row],[Model]],表格3[Model-Input-Ref2],表格3[Code])</f>
        <v>REF</v>
      </c>
      <c r="K4131" s="89" t="s">
        <v>1495</v>
      </c>
      <c r="L4131" s="86">
        <v>1</v>
      </c>
      <c r="M4131" s="87">
        <v>3790.5</v>
      </c>
      <c r="N4131" s="87">
        <f>IFERROR(表格1[[#This Row],[QTY]]*表格1[[#This Row],[Unit Price]],"-")</f>
        <v>3790.5</v>
      </c>
      <c r="O4131" s="86">
        <v>5725749</v>
      </c>
      <c r="R4131" s="86" t="str">
        <f>_xlfn.CONCAT(表格1[[#This Row],[Model]]," ",表格1[[#This Row],[inv no]])</f>
        <v>GR-RM352WI-PMA(53) 5725749</v>
      </c>
      <c r="S4131" s="86">
        <f>_xlfn.XLOOKUP(表格1[[#This Row],[Model]],表格3[Model-Input-Ref2],表格3[SRP PRICE])</f>
        <v>5580</v>
      </c>
      <c r="T4131" s="43">
        <f>表格1[[#This Row],[Unit Price]]/表格1[[#This Row],[SRP]]</f>
        <v>0.67930107526881722</v>
      </c>
      <c r="U4131" s="86" t="str">
        <f>_xlfn.XLOOKUP(表格1[[#This Row],[Model]],表格3[Model-Input-Ref2],表格3[TOSHIBA/HIGHEST])</f>
        <v>Toshiba SRP</v>
      </c>
      <c r="W4131" s="86" t="str">
        <f>_xlfn.CONCAT(表格1[[#This Row],[欄4]],表格1[[#This Row],[inv no]])</f>
        <v>5725749</v>
      </c>
    </row>
    <row r="4132" spans="1:23" hidden="1">
      <c r="A4132" s="81">
        <v>4130</v>
      </c>
      <c r="B4132" s="86" t="s">
        <v>1203</v>
      </c>
      <c r="C4132" s="86" t="s">
        <v>1977</v>
      </c>
      <c r="D4132" s="89" t="str">
        <f ca="1">OFFSET(Roster!$A$3,MATCH(表格1[[#This Row],[Location]]&amp;" "&amp;表格1[[#This Row],[Shop]]&amp;"*",Roster!$A$4:$A$72,0),DAY(表格1[[#This Row],[date]]),1,1)</f>
        <v>Jessica</v>
      </c>
      <c r="E4132" s="86">
        <f>MONTH(表格1[[#This Row],[date]])</f>
        <v>3</v>
      </c>
      <c r="F4132" s="90">
        <v>46104</v>
      </c>
      <c r="G4132" s="86" t="str">
        <f>VLOOKUP("*"&amp;表格1[[#This Row],[Input]]&amp;"*",'Ref-List'!$B:$D,2,)</f>
        <v>CWF-12CRFN8-AD5</v>
      </c>
      <c r="H4132" s="86" t="str">
        <f>_xlfn.XLOOKUP(表格1[[#This Row],[Model]],表格3[Model-Input-Ref2],表格3[Product Line])</f>
        <v>Comfee 1.5匹變頻窗口式冷氣機</v>
      </c>
      <c r="I4132" s="86" t="str">
        <f>_xlfn.XLOOKUP(表格1[[#This Row],[Model]],表格3[Model-Input-Ref2],表格3[大小電])</f>
        <v>大電</v>
      </c>
      <c r="J4132" s="86" t="str">
        <f>_xlfn.XLOOKUP(表格1[[#This Row],[Model]],表格3[Model-Input-Ref2],表格3[Code])</f>
        <v>RAC</v>
      </c>
      <c r="K4132" s="89" t="s">
        <v>1966</v>
      </c>
      <c r="L4132" s="86">
        <v>1</v>
      </c>
      <c r="M4132" s="87">
        <v>3068</v>
      </c>
      <c r="N4132" s="87">
        <f>IFERROR(表格1[[#This Row],[QTY]]*表格1[[#This Row],[Unit Price]],"-")</f>
        <v>3068</v>
      </c>
      <c r="O4132" s="86">
        <v>6039169</v>
      </c>
      <c r="R4132" s="86" t="str">
        <f>_xlfn.CONCAT(表格1[[#This Row],[Model]]," ",表格1[[#This Row],[inv no]])</f>
        <v>CWF-12CRFN8-AD5 6039169</v>
      </c>
      <c r="S4132" s="86">
        <f>_xlfn.XLOOKUP(表格1[[#This Row],[Model]],表格3[Model-Input-Ref2],表格3[SRP PRICE])</f>
        <v>5200</v>
      </c>
      <c r="T4132" s="43">
        <f>表格1[[#This Row],[Unit Price]]/表格1[[#This Row],[SRP]]</f>
        <v>0.59</v>
      </c>
      <c r="U4132" s="86" t="str">
        <f>_xlfn.XLOOKUP(表格1[[#This Row],[Model]],表格3[Model-Input-Ref2],表格3[TOSHIBA/HIGHEST])</f>
        <v>Shops Highest Price</v>
      </c>
      <c r="W4132" s="86" t="str">
        <f>_xlfn.CONCAT(表格1[[#This Row],[欄4]],表格1[[#This Row],[inv no]])</f>
        <v>6039169</v>
      </c>
    </row>
    <row r="4133" spans="1:23" hidden="1">
      <c r="A4133" s="81">
        <v>4131</v>
      </c>
      <c r="B4133" s="86" t="s">
        <v>1203</v>
      </c>
      <c r="C4133" s="86" t="s">
        <v>1977</v>
      </c>
      <c r="D4133" s="89" t="str">
        <f ca="1">OFFSET(Roster!$A$3,MATCH(表格1[[#This Row],[Location]]&amp;" "&amp;表格1[[#This Row],[Shop]]&amp;"*",Roster!$A$4:$A$72,0),DAY(表格1[[#This Row],[date]]),1,1)</f>
        <v>Jessica</v>
      </c>
      <c r="E4133" s="86">
        <f>MONTH(表格1[[#This Row],[date]])</f>
        <v>3</v>
      </c>
      <c r="F4133" s="90">
        <v>46104</v>
      </c>
      <c r="G4133" s="86" t="str">
        <f>VLOOKUP("*"&amp;表格1[[#This Row],[Input]]&amp;"*",'Ref-List'!$B:$D,2,)</f>
        <v>RAD-D300H</v>
      </c>
      <c r="H4133" s="86" t="str">
        <f>_xlfn.XLOOKUP(表格1[[#This Row],[Model]],表格3[Model-Input-Ref2],表格3[Product Line])</f>
        <v>壓縮式抽濕機 (30公升)</v>
      </c>
      <c r="I4133" s="86" t="str">
        <f>_xlfn.XLOOKUP(表格1[[#This Row],[Model]],表格3[Model-Input-Ref2],表格3[大小電])</f>
        <v>細電</v>
      </c>
      <c r="J4133" s="86" t="str">
        <f>_xlfn.XLOOKUP(表格1[[#This Row],[Model]],表格3[Model-Input-Ref2],表格3[Code])</f>
        <v>RAC</v>
      </c>
      <c r="K4133" s="89" t="s">
        <v>1252</v>
      </c>
      <c r="L4133" s="86">
        <v>1</v>
      </c>
      <c r="M4133" s="87">
        <v>2166</v>
      </c>
      <c r="N4133" s="87">
        <f>IFERROR(表格1[[#This Row],[QTY]]*表格1[[#This Row],[Unit Price]],"-")</f>
        <v>2166</v>
      </c>
      <c r="R4133" s="86" t="str">
        <f>_xlfn.CONCAT(表格1[[#This Row],[Model]]," ",表格1[[#This Row],[inv no]])</f>
        <v xml:space="preserve">RAD-D300H </v>
      </c>
      <c r="S4133" s="86">
        <f>_xlfn.XLOOKUP(表格1[[#This Row],[Model]],表格3[Model-Input-Ref2],表格3[SRP PRICE])</f>
        <v>3380</v>
      </c>
      <c r="T4133" s="43">
        <f>表格1[[#This Row],[Unit Price]]/表格1[[#This Row],[SRP]]</f>
        <v>0.64082840236686389</v>
      </c>
      <c r="U4133" s="86" t="str">
        <f>_xlfn.XLOOKUP(表格1[[#This Row],[Model]],表格3[Model-Input-Ref2],表格3[TOSHIBA/HIGHEST])</f>
        <v>Shops Highest Price</v>
      </c>
      <c r="W4133" s="86" t="str">
        <f>_xlfn.CONCAT(表格1[[#This Row],[欄4]],表格1[[#This Row],[inv no]])</f>
        <v/>
      </c>
    </row>
    <row r="4134" spans="1:23" hidden="1">
      <c r="A4134" s="81">
        <v>4132</v>
      </c>
      <c r="B4134" s="86" t="s">
        <v>1203</v>
      </c>
      <c r="C4134" s="86" t="s">
        <v>1977</v>
      </c>
      <c r="D4134" s="89" t="str">
        <f ca="1">OFFSET(Roster!$A$3,MATCH(表格1[[#This Row],[Location]]&amp;" "&amp;表格1[[#This Row],[Shop]]&amp;"*",Roster!$A$4:$A$72,0),DAY(表格1[[#This Row],[date]]),1,1)</f>
        <v>Jessica</v>
      </c>
      <c r="E4134" s="86">
        <f>MONTH(表格1[[#This Row],[date]])</f>
        <v>3</v>
      </c>
      <c r="F4134" s="90">
        <v>46105</v>
      </c>
      <c r="G4134" s="86" t="str">
        <f>VLOOKUP("*"&amp;表格1[[#This Row],[Input]]&amp;"*",'Ref-List'!$B:$D,2,)</f>
        <v>RC-18NMFIH(WT)</v>
      </c>
      <c r="H4134" s="86" t="str">
        <f>_xlfn.XLOOKUP(表格1[[#This Row],[Model]],表格3[Model-Input-Ref2],表格3[Product Line])</f>
        <v>4毫米厚釜電飯煲1.8L</v>
      </c>
      <c r="I4134" s="86" t="str">
        <f>_xlfn.XLOOKUP(表格1[[#This Row],[Model]],表格3[Model-Input-Ref2],表格3[大小電])</f>
        <v>細電</v>
      </c>
      <c r="J4134" s="86" t="str">
        <f>_xlfn.XLOOKUP(表格1[[#This Row],[Model]],表格3[Model-Input-Ref2],表格3[Code])</f>
        <v>SDA</v>
      </c>
      <c r="K4134" s="89" t="s">
        <v>1267</v>
      </c>
      <c r="L4134" s="86">
        <v>1</v>
      </c>
      <c r="M4134" s="87">
        <v>760</v>
      </c>
      <c r="N4134" s="87">
        <f>IFERROR(表格1[[#This Row],[QTY]]*表格1[[#This Row],[Unit Price]],"-")</f>
        <v>760</v>
      </c>
      <c r="R4134" s="86" t="str">
        <f>_xlfn.CONCAT(表格1[[#This Row],[Model]]," ",表格1[[#This Row],[inv no]])</f>
        <v xml:space="preserve">RC-18NMFIH(WT) </v>
      </c>
      <c r="S4134" s="86">
        <f>_xlfn.XLOOKUP(表格1[[#This Row],[Model]],表格3[Model-Input-Ref2],表格3[SRP PRICE])</f>
        <v>998</v>
      </c>
      <c r="T4134" s="43">
        <f>表格1[[#This Row],[Unit Price]]/表格1[[#This Row],[SRP]]</f>
        <v>0.76152304609218435</v>
      </c>
      <c r="U4134" s="86" t="str">
        <f>_xlfn.XLOOKUP(表格1[[#This Row],[Model]],表格3[Model-Input-Ref2],表格3[TOSHIBA/HIGHEST])</f>
        <v>Toshiba SRP</v>
      </c>
      <c r="W4134" s="86" t="str">
        <f>_xlfn.CONCAT(表格1[[#This Row],[欄4]],表格1[[#This Row],[inv no]])</f>
        <v/>
      </c>
    </row>
    <row r="4135" spans="1:23" hidden="1">
      <c r="A4135" s="81">
        <v>4133</v>
      </c>
      <c r="B4135" s="86" t="s">
        <v>1203</v>
      </c>
      <c r="C4135" s="86" t="s">
        <v>1977</v>
      </c>
      <c r="D4135" s="89" t="str">
        <f ca="1">OFFSET(Roster!$A$3,MATCH(表格1[[#This Row],[Location]]&amp;" "&amp;表格1[[#This Row],[Shop]]&amp;"*",Roster!$A$4:$A$72,0),DAY(表格1[[#This Row],[date]]),1,1)</f>
        <v>Jessica</v>
      </c>
      <c r="E4135" s="86">
        <f>MONTH(表格1[[#This Row],[date]])</f>
        <v>3</v>
      </c>
      <c r="F4135" s="90">
        <v>46105</v>
      </c>
      <c r="G4135" s="86" t="str">
        <f>VLOOKUP("*"&amp;表格1[[#This Row],[Input]]&amp;"*",'Ref-List'!$B:$D,2,)</f>
        <v>F-DSB35HK(W)</v>
      </c>
      <c r="H4135" s="86" t="str">
        <f>_xlfn.XLOOKUP(表格1[[#This Row],[Model]],表格3[Model-Input-Ref2],表格3[Product Line])</f>
        <v>Electric Fan</v>
      </c>
      <c r="I4135" s="86" t="str">
        <f>_xlfn.XLOOKUP(表格1[[#This Row],[Model]],表格3[Model-Input-Ref2],表格3[大小電])</f>
        <v>細電</v>
      </c>
      <c r="J4135" s="86" t="str">
        <f>_xlfn.XLOOKUP(表格1[[#This Row],[Model]],表格3[Model-Input-Ref2],表格3[Code])</f>
        <v>SDA</v>
      </c>
      <c r="K4135" s="89" t="s">
        <v>1453</v>
      </c>
      <c r="L4135" s="86">
        <v>1</v>
      </c>
      <c r="M4135" s="87">
        <v>550</v>
      </c>
      <c r="N4135" s="87">
        <f>IFERROR(表格1[[#This Row],[QTY]]*表格1[[#This Row],[Unit Price]],"-")</f>
        <v>550</v>
      </c>
      <c r="R4135" s="86" t="str">
        <f>_xlfn.CONCAT(表格1[[#This Row],[Model]]," ",表格1[[#This Row],[inv no]])</f>
        <v xml:space="preserve">F-DSB35HK(W) </v>
      </c>
      <c r="S4135" s="86">
        <f>_xlfn.XLOOKUP(表格1[[#This Row],[Model]],表格3[Model-Input-Ref2],表格3[SRP PRICE])</f>
        <v>1088</v>
      </c>
      <c r="T4135" s="43">
        <f>表格1[[#This Row],[Unit Price]]/表格1[[#This Row],[SRP]]</f>
        <v>0.50551470588235292</v>
      </c>
      <c r="U4135" s="86" t="str">
        <f>_xlfn.XLOOKUP(表格1[[#This Row],[Model]],表格3[Model-Input-Ref2],表格3[TOSHIBA/HIGHEST])</f>
        <v>Toshiba SRP</v>
      </c>
      <c r="W4135" s="86" t="str">
        <f>_xlfn.CONCAT(表格1[[#This Row],[欄4]],表格1[[#This Row],[inv no]])</f>
        <v/>
      </c>
    </row>
    <row r="4136" spans="1:23" hidden="1">
      <c r="A4136" s="81">
        <v>4134</v>
      </c>
      <c r="B4136" s="86" t="s">
        <v>1203</v>
      </c>
      <c r="C4136" s="86" t="s">
        <v>1977</v>
      </c>
      <c r="D4136" s="89" t="str">
        <f ca="1">OFFSET(Roster!$A$3,MATCH(表格1[[#This Row],[Location]]&amp;" "&amp;表格1[[#This Row],[Shop]]&amp;"*",Roster!$A$4:$A$72,0),DAY(表格1[[#This Row],[date]]),1,1)</f>
        <v>Jessica</v>
      </c>
      <c r="E4136" s="86">
        <f>MONTH(表格1[[#This Row],[date]])</f>
        <v>3</v>
      </c>
      <c r="F4136" s="90">
        <v>46105</v>
      </c>
      <c r="G4136" s="86" t="str">
        <f>VLOOKUP("*"&amp;表格1[[#This Row],[Input]]&amp;"*",'Ref-List'!$B:$D,2,)</f>
        <v>GR-RB221WE-PMA(57)</v>
      </c>
      <c r="H4136" s="86" t="str">
        <f>_xlfn.XLOOKUP(表格1[[#This Row],[Model]],表格3[Model-Input-Ref2],表格3[Product Line])</f>
        <v>變頻下置式雙門雪櫃（163L）</v>
      </c>
      <c r="I4136" s="86" t="str">
        <f>_xlfn.XLOOKUP(表格1[[#This Row],[Model]],表格3[Model-Input-Ref2],表格3[大小電])</f>
        <v>大電</v>
      </c>
      <c r="J4136" s="86" t="str">
        <f>_xlfn.XLOOKUP(表格1[[#This Row],[Model]],表格3[Model-Input-Ref2],表格3[Code])</f>
        <v>REF</v>
      </c>
      <c r="K4136" s="89" t="s">
        <v>1386</v>
      </c>
      <c r="L4136" s="86">
        <v>1</v>
      </c>
      <c r="M4136" s="87">
        <v>1786</v>
      </c>
      <c r="N4136" s="87">
        <f>IFERROR(表格1[[#This Row],[QTY]]*表格1[[#This Row],[Unit Price]],"-")</f>
        <v>1786</v>
      </c>
      <c r="O4136" s="86">
        <v>5725743</v>
      </c>
      <c r="R4136" s="86" t="str">
        <f>_xlfn.CONCAT(表格1[[#This Row],[Model]]," ",表格1[[#This Row],[inv no]])</f>
        <v>GR-RB221WE-PMA(57) 5725743</v>
      </c>
      <c r="S4136" s="86">
        <f>_xlfn.XLOOKUP(表格1[[#This Row],[Model]],表格3[Model-Input-Ref2],表格3[SRP PRICE])</f>
        <v>3480</v>
      </c>
      <c r="T4136" s="43">
        <f>表格1[[#This Row],[Unit Price]]/表格1[[#This Row],[SRP]]</f>
        <v>0.51321839080459775</v>
      </c>
      <c r="U4136" s="86" t="str">
        <f>_xlfn.XLOOKUP(表格1[[#This Row],[Model]],表格3[Model-Input-Ref2],表格3[TOSHIBA/HIGHEST])</f>
        <v>Toshiba SRP</v>
      </c>
      <c r="W4136" s="86" t="str">
        <f>_xlfn.CONCAT(表格1[[#This Row],[欄4]],表格1[[#This Row],[inv no]])</f>
        <v>5725743</v>
      </c>
    </row>
    <row r="4137" spans="1:23" hidden="1">
      <c r="A4137" s="81">
        <v>4135</v>
      </c>
      <c r="B4137" s="86" t="s">
        <v>1203</v>
      </c>
      <c r="C4137" s="86" t="s">
        <v>1977</v>
      </c>
      <c r="D4137" s="89" t="str">
        <f ca="1">OFFSET(Roster!$A$3,MATCH(表格1[[#This Row],[Location]]&amp;" "&amp;表格1[[#This Row],[Shop]]&amp;"*",Roster!$A$4:$A$72,0),DAY(表格1[[#This Row],[date]]),1,1)</f>
        <v>Jessica</v>
      </c>
      <c r="E4137" s="86">
        <f>MONTH(表格1[[#This Row],[date]])</f>
        <v>3</v>
      </c>
      <c r="F4137" s="90">
        <v>46105</v>
      </c>
      <c r="G4137" s="86" t="str">
        <f>VLOOKUP("*"&amp;表格1[[#This Row],[Input]]&amp;"*",'Ref-List'!$B:$D,2,)</f>
        <v>IC-20R1THK</v>
      </c>
      <c r="H4137" s="86" t="str">
        <f>_xlfn.XLOOKUP(表格1[[#This Row],[Model]],表格3[Model-Input-Ref2],表格3[Product Line])</f>
        <v>輕便式電磁爐</v>
      </c>
      <c r="I4137" s="86" t="str">
        <f>_xlfn.XLOOKUP(表格1[[#This Row],[Model]],表格3[Model-Input-Ref2],表格3[大小電])</f>
        <v>細電</v>
      </c>
      <c r="J4137" s="86" t="str">
        <f>_xlfn.XLOOKUP(表格1[[#This Row],[Model]],表格3[Model-Input-Ref2],表格3[Code])</f>
        <v>SDA</v>
      </c>
      <c r="K4137" s="89" t="s">
        <v>1243</v>
      </c>
      <c r="L4137" s="86">
        <v>1</v>
      </c>
      <c r="M4137" s="87">
        <v>275.5</v>
      </c>
      <c r="N4137" s="87">
        <f>IFERROR(表格1[[#This Row],[QTY]]*表格1[[#This Row],[Unit Price]],"-")</f>
        <v>275.5</v>
      </c>
      <c r="R4137" s="86" t="str">
        <f>_xlfn.CONCAT(表格1[[#This Row],[Model]]," ",表格1[[#This Row],[inv no]])</f>
        <v xml:space="preserve">IC-20R1THK </v>
      </c>
      <c r="S4137" s="86">
        <f>_xlfn.XLOOKUP(表格1[[#This Row],[Model]],表格3[Model-Input-Ref2],表格3[SRP PRICE])</f>
        <v>438</v>
      </c>
      <c r="T4137" s="43">
        <f>表格1[[#This Row],[Unit Price]]/表格1[[#This Row],[SRP]]</f>
        <v>0.62899543378995437</v>
      </c>
      <c r="U4137" s="86" t="str">
        <f>_xlfn.XLOOKUP(表格1[[#This Row],[Model]],表格3[Model-Input-Ref2],表格3[TOSHIBA/HIGHEST])</f>
        <v>Shops Highest Price</v>
      </c>
      <c r="W4137" s="86" t="str">
        <f>_xlfn.CONCAT(表格1[[#This Row],[欄4]],表格1[[#This Row],[inv no]])</f>
        <v/>
      </c>
    </row>
    <row r="4138" spans="1:23" hidden="1">
      <c r="A4138" s="81">
        <v>4136</v>
      </c>
      <c r="B4138" s="86" t="s">
        <v>1203</v>
      </c>
      <c r="C4138" s="86" t="s">
        <v>1977</v>
      </c>
      <c r="D4138" s="89" t="str">
        <f ca="1">OFFSET(Roster!$A$3,MATCH(表格1[[#This Row],[Location]]&amp;" "&amp;表格1[[#This Row],[Shop]]&amp;"*",Roster!$A$4:$A$72,0),DAY(表格1[[#This Row],[date]]),1,1)</f>
        <v>Jessica</v>
      </c>
      <c r="E4138" s="86">
        <f>MONTH(表格1[[#This Row],[date]])</f>
        <v>3</v>
      </c>
      <c r="F4138" s="90">
        <v>46105</v>
      </c>
      <c r="G4138" s="86" t="str">
        <f>VLOOKUP("*"&amp;表格1[[#This Row],[Input]]&amp;"*",'Ref-List'!$B:$D,2,)</f>
        <v>RAD-D300H</v>
      </c>
      <c r="H4138" s="86" t="str">
        <f>_xlfn.XLOOKUP(表格1[[#This Row],[Model]],表格3[Model-Input-Ref2],表格3[Product Line])</f>
        <v>壓縮式抽濕機 (30公升)</v>
      </c>
      <c r="I4138" s="86" t="str">
        <f>_xlfn.XLOOKUP(表格1[[#This Row],[Model]],表格3[Model-Input-Ref2],表格3[大小電])</f>
        <v>細電</v>
      </c>
      <c r="J4138" s="86" t="str">
        <f>_xlfn.XLOOKUP(表格1[[#This Row],[Model]],表格3[Model-Input-Ref2],表格3[Code])</f>
        <v>RAC</v>
      </c>
      <c r="K4138" s="89" t="s">
        <v>1252</v>
      </c>
      <c r="L4138" s="86">
        <v>1</v>
      </c>
      <c r="M4138" s="87">
        <v>2166</v>
      </c>
      <c r="N4138" s="87">
        <f>IFERROR(表格1[[#This Row],[QTY]]*表格1[[#This Row],[Unit Price]],"-")</f>
        <v>2166</v>
      </c>
      <c r="R4138" s="86" t="str">
        <f>_xlfn.CONCAT(表格1[[#This Row],[Model]]," ",表格1[[#This Row],[inv no]])</f>
        <v xml:space="preserve">RAD-D300H </v>
      </c>
      <c r="S4138" s="86">
        <f>_xlfn.XLOOKUP(表格1[[#This Row],[Model]],表格3[Model-Input-Ref2],表格3[SRP PRICE])</f>
        <v>3380</v>
      </c>
      <c r="T4138" s="43">
        <f>表格1[[#This Row],[Unit Price]]/表格1[[#This Row],[SRP]]</f>
        <v>0.64082840236686389</v>
      </c>
      <c r="U4138" s="86" t="str">
        <f>_xlfn.XLOOKUP(表格1[[#This Row],[Model]],表格3[Model-Input-Ref2],表格3[TOSHIBA/HIGHEST])</f>
        <v>Shops Highest Price</v>
      </c>
      <c r="W4138" s="86" t="str">
        <f>_xlfn.CONCAT(表格1[[#This Row],[欄4]],表格1[[#This Row],[inv no]])</f>
        <v/>
      </c>
    </row>
    <row r="4139" spans="1:23" hidden="1">
      <c r="A4139" s="81">
        <v>4137</v>
      </c>
      <c r="B4139" s="86" t="s">
        <v>1203</v>
      </c>
      <c r="C4139" s="86" t="s">
        <v>1977</v>
      </c>
      <c r="D4139" s="89" t="str">
        <f ca="1">OFFSET(Roster!$A$3,MATCH(表格1[[#This Row],[Location]]&amp;" "&amp;表格1[[#This Row],[Shop]]&amp;"*",Roster!$A$4:$A$72,0),DAY(表格1[[#This Row],[date]]),1,1)</f>
        <v>Jessica off</v>
      </c>
      <c r="E4139" s="86">
        <f>MONTH(表格1[[#This Row],[date]])</f>
        <v>3</v>
      </c>
      <c r="F4139" s="90">
        <v>46106</v>
      </c>
      <c r="G4139" s="86" t="str">
        <f>VLOOKUP("*"&amp;表格1[[#This Row],[Input]]&amp;"*",'Ref-List'!$B:$D,2,)</f>
        <v>KT-17SHNH</v>
      </c>
      <c r="H4139" s="86" t="str">
        <f>_xlfn.XLOOKUP(表格1[[#This Row],[Model]],表格3[Model-Input-Ref2],表格3[Product Line])</f>
        <v>1.7L無線雙層電熱水壺</v>
      </c>
      <c r="I4139" s="86" t="str">
        <f>_xlfn.XLOOKUP(表格1[[#This Row],[Model]],表格3[Model-Input-Ref2],表格3[大小電])</f>
        <v>細電</v>
      </c>
      <c r="J4139" s="86" t="str">
        <f>_xlfn.XLOOKUP(表格1[[#This Row],[Model]],表格3[Model-Input-Ref2],表格3[Code])</f>
        <v>SDA</v>
      </c>
      <c r="K4139" s="89" t="s">
        <v>1283</v>
      </c>
      <c r="L4139" s="86">
        <v>1</v>
      </c>
      <c r="M4139" s="87">
        <v>190</v>
      </c>
      <c r="N4139" s="87">
        <f>IFERROR(表格1[[#This Row],[QTY]]*表格1[[#This Row],[Unit Price]],"-")</f>
        <v>190</v>
      </c>
      <c r="R4139" s="86" t="str">
        <f>_xlfn.CONCAT(表格1[[#This Row],[Model]]," ",表格1[[#This Row],[inv no]])</f>
        <v xml:space="preserve">KT-17SHNH </v>
      </c>
      <c r="S4139" s="86">
        <f>_xlfn.XLOOKUP(表格1[[#This Row],[Model]],表格3[Model-Input-Ref2],表格3[SRP PRICE])</f>
        <v>299</v>
      </c>
      <c r="T4139" s="43">
        <f>表格1[[#This Row],[Unit Price]]/表格1[[#This Row],[SRP]]</f>
        <v>0.63545150501672243</v>
      </c>
      <c r="U4139" s="86" t="str">
        <f>_xlfn.XLOOKUP(表格1[[#This Row],[Model]],表格3[Model-Input-Ref2],表格3[TOSHIBA/HIGHEST])</f>
        <v>Shops Highest Price</v>
      </c>
      <c r="W4139" s="86" t="str">
        <f>_xlfn.CONCAT(表格1[[#This Row],[欄4]],表格1[[#This Row],[inv no]])</f>
        <v/>
      </c>
    </row>
    <row r="4140" spans="1:23" hidden="1">
      <c r="A4140" s="81">
        <v>4138</v>
      </c>
      <c r="B4140" s="86" t="s">
        <v>1203</v>
      </c>
      <c r="C4140" s="86" t="s">
        <v>1977</v>
      </c>
      <c r="D4140" s="89" t="str">
        <f ca="1">OFFSET(Roster!$A$3,MATCH(表格1[[#This Row],[Location]]&amp;" "&amp;表格1[[#This Row],[Shop]]&amp;"*",Roster!$A$4:$A$72,0),DAY(表格1[[#This Row],[date]]),1,1)</f>
        <v>Jessica off</v>
      </c>
      <c r="E4140" s="86">
        <f>MONTH(表格1[[#This Row],[date]])</f>
        <v>3</v>
      </c>
      <c r="F4140" s="90">
        <v>46106</v>
      </c>
      <c r="G4140" s="86" t="str">
        <f>VLOOKUP("*"&amp;表格1[[#This Row],[Input]]&amp;"*",'Ref-List'!$B:$D,2,)</f>
        <v>RC-5MMIH(WT)</v>
      </c>
      <c r="H4140" s="86" t="str">
        <f>_xlfn.XLOOKUP(表格1[[#This Row],[Model]],表格3[Model-Input-Ref2],表格3[Product Line])</f>
        <v>4毫米厚釜電飯煲0.54L</v>
      </c>
      <c r="I4140" s="86" t="str">
        <f>_xlfn.XLOOKUP(表格1[[#This Row],[Model]],表格3[Model-Input-Ref2],表格3[大小電])</f>
        <v>細電</v>
      </c>
      <c r="J4140" s="86" t="str">
        <f>_xlfn.XLOOKUP(表格1[[#This Row],[Model]],表格3[Model-Input-Ref2],表格3[Code])</f>
        <v>SDA</v>
      </c>
      <c r="K4140" s="89" t="s">
        <v>1195</v>
      </c>
      <c r="L4140" s="86">
        <v>1</v>
      </c>
      <c r="M4140" s="87">
        <v>490</v>
      </c>
      <c r="N4140" s="87">
        <f>IFERROR(表格1[[#This Row],[QTY]]*表格1[[#This Row],[Unit Price]],"-")</f>
        <v>490</v>
      </c>
      <c r="R4140" s="86" t="str">
        <f>_xlfn.CONCAT(表格1[[#This Row],[Model]]," ",表格1[[#This Row],[inv no]])</f>
        <v xml:space="preserve">RC-5MMIH(WT) </v>
      </c>
      <c r="S4140" s="86">
        <f>_xlfn.XLOOKUP(表格1[[#This Row],[Model]],表格3[Model-Input-Ref2],表格3[SRP PRICE])</f>
        <v>618</v>
      </c>
      <c r="T4140" s="43">
        <f>表格1[[#This Row],[Unit Price]]/表格1[[#This Row],[SRP]]</f>
        <v>0.79288025889967639</v>
      </c>
      <c r="U4140" s="86" t="str">
        <f>_xlfn.XLOOKUP(表格1[[#This Row],[Model]],表格3[Model-Input-Ref2],表格3[TOSHIBA/HIGHEST])</f>
        <v>Toshiba SRP</v>
      </c>
      <c r="W4140" s="86" t="str">
        <f>_xlfn.CONCAT(表格1[[#This Row],[欄4]],表格1[[#This Row],[inv no]])</f>
        <v/>
      </c>
    </row>
    <row r="4141" spans="1:23" hidden="1">
      <c r="A4141" s="81">
        <v>4139</v>
      </c>
      <c r="B4141" s="86" t="s">
        <v>1203</v>
      </c>
      <c r="C4141" s="86" t="s">
        <v>1977</v>
      </c>
      <c r="D4141" s="89" t="str">
        <f ca="1">OFFSET(Roster!$A$3,MATCH(表格1[[#This Row],[Location]]&amp;" "&amp;表格1[[#This Row],[Shop]]&amp;"*",Roster!$A$4:$A$72,0),DAY(表格1[[#This Row],[date]]),1,1)</f>
        <v>Jessica off</v>
      </c>
      <c r="E4141" s="86">
        <f>MONTH(表格1[[#This Row],[date]])</f>
        <v>3</v>
      </c>
      <c r="F4141" s="90">
        <v>46106</v>
      </c>
      <c r="G4141" s="86" t="str">
        <f>VLOOKUP("*"&amp;表格1[[#This Row],[Input]]&amp;"*",'Ref-List'!$B:$D,2,)</f>
        <v>MWP-MM20P(WH)</v>
      </c>
      <c r="H4141" s="86" t="str">
        <f>_xlfn.XLOOKUP(表格1[[#This Row],[Model]],表格3[Model-Input-Ref2],表格3[Product Line])</f>
        <v>旋鈕式燒烤微波爐20L</v>
      </c>
      <c r="I4141" s="86" t="str">
        <f>_xlfn.XLOOKUP(表格1[[#This Row],[Model]],表格3[Model-Input-Ref2],表格3[大小電])</f>
        <v>細電</v>
      </c>
      <c r="J4141" s="86" t="str">
        <f>_xlfn.XLOOKUP(表格1[[#This Row],[Model]],表格3[Model-Input-Ref2],表格3[Code])</f>
        <v>SDA</v>
      </c>
      <c r="K4141" s="89" t="s">
        <v>1270</v>
      </c>
      <c r="L4141" s="86">
        <v>1</v>
      </c>
      <c r="M4141" s="87">
        <v>580</v>
      </c>
      <c r="N4141" s="87">
        <f>IFERROR(表格1[[#This Row],[QTY]]*表格1[[#This Row],[Unit Price]],"-")</f>
        <v>580</v>
      </c>
      <c r="R4141" s="86" t="str">
        <f>_xlfn.CONCAT(表格1[[#This Row],[Model]]," ",表格1[[#This Row],[inv no]])</f>
        <v xml:space="preserve">MWP-MM20P(WH) </v>
      </c>
      <c r="S4141" s="86">
        <f>_xlfn.XLOOKUP(表格1[[#This Row],[Model]],表格3[Model-Input-Ref2],表格3[SRP PRICE])</f>
        <v>648</v>
      </c>
      <c r="T4141" s="43">
        <f>表格1[[#This Row],[Unit Price]]/表格1[[#This Row],[SRP]]</f>
        <v>0.89506172839506171</v>
      </c>
      <c r="U4141" s="86" t="str">
        <f>_xlfn.XLOOKUP(表格1[[#This Row],[Model]],表格3[Model-Input-Ref2],表格3[TOSHIBA/HIGHEST])</f>
        <v>Toshiba SRP</v>
      </c>
      <c r="W4141" s="86" t="str">
        <f>_xlfn.CONCAT(表格1[[#This Row],[欄4]],表格1[[#This Row],[inv no]])</f>
        <v/>
      </c>
    </row>
    <row r="4142" spans="1:23" hidden="1">
      <c r="A4142" s="81">
        <v>4140</v>
      </c>
      <c r="B4142" s="86" t="s">
        <v>1203</v>
      </c>
      <c r="C4142" s="86" t="s">
        <v>1977</v>
      </c>
      <c r="D4142" s="89" t="str">
        <f ca="1">OFFSET(Roster!$A$3,MATCH(表格1[[#This Row],[Location]]&amp;" "&amp;表格1[[#This Row],[Shop]]&amp;"*",Roster!$A$4:$A$72,0),DAY(表格1[[#This Row],[date]]),1,1)</f>
        <v>Jessica off</v>
      </c>
      <c r="E4142" s="86">
        <f>MONTH(表格1[[#This Row],[date]])</f>
        <v>3</v>
      </c>
      <c r="F4142" s="90">
        <v>46106</v>
      </c>
      <c r="G4142" s="86" t="str">
        <f>VLOOKUP("*"&amp;表格1[[#This Row],[Input]]&amp;"*",'Ref-List'!$B:$D,2,)</f>
        <v>MS3-STQ20SC(WH)</v>
      </c>
      <c r="H4142" s="86" t="str">
        <f>_xlfn.XLOOKUP(表格1[[#This Row],[Model]],表格3[Model-Input-Ref2],表格3[Product Line])</f>
        <v>20L 智能蒸氣焗爐</v>
      </c>
      <c r="I4142" s="86" t="str">
        <f>_xlfn.XLOOKUP(表格1[[#This Row],[Model]],表格3[Model-Input-Ref2],表格3[大小電])</f>
        <v>細電</v>
      </c>
      <c r="J4142" s="86" t="str">
        <f>_xlfn.XLOOKUP(表格1[[#This Row],[Model]],表格3[Model-Input-Ref2],表格3[Code])</f>
        <v>MCA</v>
      </c>
      <c r="K4142" s="89" t="s">
        <v>1383</v>
      </c>
      <c r="L4142" s="86">
        <v>1</v>
      </c>
      <c r="M4142" s="87">
        <v>1881</v>
      </c>
      <c r="N4142" s="87">
        <f>IFERROR(表格1[[#This Row],[QTY]]*表格1[[#This Row],[Unit Price]],"-")</f>
        <v>1881</v>
      </c>
      <c r="R4142" s="86" t="str">
        <f>_xlfn.CONCAT(表格1[[#This Row],[Model]]," ",表格1[[#This Row],[inv no]])</f>
        <v xml:space="preserve">MS3-STQ20SC(WH) </v>
      </c>
      <c r="S4142" s="86">
        <f>_xlfn.XLOOKUP(表格1[[#This Row],[Model]],表格3[Model-Input-Ref2],表格3[SRP PRICE])</f>
        <v>2880</v>
      </c>
      <c r="T4142" s="43">
        <f>表格1[[#This Row],[Unit Price]]/表格1[[#This Row],[SRP]]</f>
        <v>0.65312499999999996</v>
      </c>
      <c r="U4142" s="86" t="str">
        <f>_xlfn.XLOOKUP(表格1[[#This Row],[Model]],表格3[Model-Input-Ref2],表格3[TOSHIBA/HIGHEST])</f>
        <v>Toshiba SRP</v>
      </c>
      <c r="W4142" s="86" t="str">
        <f>_xlfn.CONCAT(表格1[[#This Row],[欄4]],表格1[[#This Row],[inv no]])</f>
        <v/>
      </c>
    </row>
    <row r="4143" spans="1:23" hidden="1">
      <c r="A4143" s="81">
        <v>4141</v>
      </c>
      <c r="B4143" s="86" t="s">
        <v>1203</v>
      </c>
      <c r="C4143" s="86" t="s">
        <v>1977</v>
      </c>
      <c r="D4143" s="89" t="str">
        <f ca="1">OFFSET(Roster!$A$3,MATCH(表格1[[#This Row],[Location]]&amp;" "&amp;表格1[[#This Row],[Shop]]&amp;"*",Roster!$A$4:$A$72,0),DAY(表格1[[#This Row],[date]]),1,1)</f>
        <v>Jessica off</v>
      </c>
      <c r="E4143" s="86">
        <f>MONTH(表格1[[#This Row],[date]])</f>
        <v>3</v>
      </c>
      <c r="F4143" s="90">
        <v>46106</v>
      </c>
      <c r="G4143" s="86" t="str">
        <f>VLOOKUP("*"&amp;表格1[[#This Row],[Input]]&amp;"*",'Ref-List'!$B:$D,2,)</f>
        <v>IC-20R1THK</v>
      </c>
      <c r="H4143" s="86" t="str">
        <f>_xlfn.XLOOKUP(表格1[[#This Row],[Model]],表格3[Model-Input-Ref2],表格3[Product Line])</f>
        <v>輕便式電磁爐</v>
      </c>
      <c r="I4143" s="86" t="str">
        <f>_xlfn.XLOOKUP(表格1[[#This Row],[Model]],表格3[Model-Input-Ref2],表格3[大小電])</f>
        <v>細電</v>
      </c>
      <c r="J4143" s="86" t="str">
        <f>_xlfn.XLOOKUP(表格1[[#This Row],[Model]],表格3[Model-Input-Ref2],表格3[Code])</f>
        <v>SDA</v>
      </c>
      <c r="K4143" s="89" t="s">
        <v>1243</v>
      </c>
      <c r="L4143" s="86">
        <v>1</v>
      </c>
      <c r="M4143" s="87">
        <v>290</v>
      </c>
      <c r="N4143" s="87">
        <f>IFERROR(表格1[[#This Row],[QTY]]*表格1[[#This Row],[Unit Price]],"-")</f>
        <v>290</v>
      </c>
      <c r="R4143" s="86" t="str">
        <f>_xlfn.CONCAT(表格1[[#This Row],[Model]]," ",表格1[[#This Row],[inv no]])</f>
        <v xml:space="preserve">IC-20R1THK </v>
      </c>
      <c r="S4143" s="86">
        <f>_xlfn.XLOOKUP(表格1[[#This Row],[Model]],表格3[Model-Input-Ref2],表格3[SRP PRICE])</f>
        <v>438</v>
      </c>
      <c r="T4143" s="43">
        <f>表格1[[#This Row],[Unit Price]]/表格1[[#This Row],[SRP]]</f>
        <v>0.66210045662100458</v>
      </c>
      <c r="U4143" s="86" t="str">
        <f>_xlfn.XLOOKUP(表格1[[#This Row],[Model]],表格3[Model-Input-Ref2],表格3[TOSHIBA/HIGHEST])</f>
        <v>Shops Highest Price</v>
      </c>
      <c r="W4143" s="86" t="str">
        <f>_xlfn.CONCAT(表格1[[#This Row],[欄4]],表格1[[#This Row],[inv no]])</f>
        <v/>
      </c>
    </row>
    <row r="4144" spans="1:23" hidden="1">
      <c r="A4144" s="81">
        <v>4142</v>
      </c>
      <c r="B4144" s="86" t="s">
        <v>1203</v>
      </c>
      <c r="C4144" s="86" t="s">
        <v>1977</v>
      </c>
      <c r="D4144" s="89" t="str">
        <f ca="1">OFFSET(Roster!$A$3,MATCH(表格1[[#This Row],[Location]]&amp;" "&amp;表格1[[#This Row],[Shop]]&amp;"*",Roster!$A$4:$A$72,0),DAY(表格1[[#This Row],[date]]),1,1)</f>
        <v>Jessica off</v>
      </c>
      <c r="E4144" s="86">
        <f>MONTH(表格1[[#This Row],[date]])</f>
        <v>3</v>
      </c>
      <c r="F4144" s="90">
        <v>46106</v>
      </c>
      <c r="G4144" s="86" t="str">
        <f>VLOOKUP("*"&amp;表格1[[#This Row],[Input]]&amp;"*",'Ref-List'!$B:$D,2,)</f>
        <v>RC-10AMXH(W)</v>
      </c>
      <c r="H4144" s="86" t="str">
        <f>_xlfn.XLOOKUP(表格1[[#This Row],[Model]],表格3[Model-Input-Ref2],表格3[Product Line])</f>
        <v>酵活炊電飯煲(1.0公升)</v>
      </c>
      <c r="I4144" s="86" t="str">
        <f>_xlfn.XLOOKUP(表格1[[#This Row],[Model]],表格3[Model-Input-Ref2],表格3[大小電])</f>
        <v>細電</v>
      </c>
      <c r="J4144" s="86" t="str">
        <f>_xlfn.XLOOKUP(表格1[[#This Row],[Model]],表格3[Model-Input-Ref2],表格3[Code])</f>
        <v>SDA</v>
      </c>
      <c r="K4144" s="89" t="s">
        <v>1279</v>
      </c>
      <c r="L4144" s="86">
        <v>1</v>
      </c>
      <c r="M4144" s="87">
        <v>990</v>
      </c>
      <c r="N4144" s="87">
        <f>IFERROR(表格1[[#This Row],[QTY]]*表格1[[#This Row],[Unit Price]],"-")</f>
        <v>990</v>
      </c>
      <c r="R4144" s="86" t="str">
        <f>_xlfn.CONCAT(表格1[[#This Row],[Model]]," ",表格1[[#This Row],[inv no]])</f>
        <v xml:space="preserve">RC-10AMXH(W) </v>
      </c>
      <c r="S4144" s="86">
        <f>_xlfn.XLOOKUP(表格1[[#This Row],[Model]],表格3[Model-Input-Ref2],表格3[SRP PRICE])</f>
        <v>1288</v>
      </c>
      <c r="T4144" s="43">
        <f>表格1[[#This Row],[Unit Price]]/表格1[[#This Row],[SRP]]</f>
        <v>0.76863354037267084</v>
      </c>
      <c r="U4144" s="86" t="str">
        <f>_xlfn.XLOOKUP(表格1[[#This Row],[Model]],表格3[Model-Input-Ref2],表格3[TOSHIBA/HIGHEST])</f>
        <v>Toshiba SRP</v>
      </c>
      <c r="W4144" s="86" t="str">
        <f>_xlfn.CONCAT(表格1[[#This Row],[欄4]],表格1[[#This Row],[inv no]])</f>
        <v/>
      </c>
    </row>
    <row r="4145" spans="1:23" hidden="1">
      <c r="A4145" s="81">
        <v>4143</v>
      </c>
      <c r="B4145" s="86" t="s">
        <v>1203</v>
      </c>
      <c r="C4145" s="86" t="s">
        <v>1977</v>
      </c>
      <c r="D4145" s="89" t="str">
        <f ca="1">OFFSET(Roster!$A$3,MATCH(表格1[[#This Row],[Location]]&amp;" "&amp;表格1[[#This Row],[Shop]]&amp;"*",Roster!$A$4:$A$72,0),DAY(表格1[[#This Row],[date]]),1,1)</f>
        <v>Jessica off</v>
      </c>
      <c r="E4145" s="86">
        <f>MONTH(表格1[[#This Row],[date]])</f>
        <v>3</v>
      </c>
      <c r="F4145" s="90">
        <v>46107</v>
      </c>
      <c r="G4145" s="86" t="str">
        <f>VLOOKUP("*"&amp;表格1[[#This Row],[Input]]&amp;"*",'Ref-List'!$B:$D,2,)</f>
        <v>F-LYA20(W)HKG</v>
      </c>
      <c r="H4145" s="86" t="str">
        <f>_xlfn.XLOOKUP(表格1[[#This Row],[Model]],表格3[Model-Input-Ref2],表格3[Product Line])</f>
        <v>12吋2合1座地座檯電風扇連遙控</v>
      </c>
      <c r="I4145" s="86" t="str">
        <f>_xlfn.XLOOKUP(表格1[[#This Row],[Model]],表格3[Model-Input-Ref2],表格3[大小電])</f>
        <v>細電</v>
      </c>
      <c r="J4145" s="86" t="str">
        <f>_xlfn.XLOOKUP(表格1[[#This Row],[Model]],表格3[Model-Input-Ref2],表格3[Code])</f>
        <v>EAD</v>
      </c>
      <c r="K4145" s="89" t="s">
        <v>1391</v>
      </c>
      <c r="L4145" s="86">
        <v>1</v>
      </c>
      <c r="M4145" s="87">
        <v>390</v>
      </c>
      <c r="N4145" s="87">
        <f>IFERROR(表格1[[#This Row],[QTY]]*表格1[[#This Row],[Unit Price]],"-")</f>
        <v>390</v>
      </c>
      <c r="R4145" s="86" t="str">
        <f>_xlfn.CONCAT(表格1[[#This Row],[Model]]," ",表格1[[#This Row],[inv no]])</f>
        <v xml:space="preserve">F-LYA20(W)HKG </v>
      </c>
      <c r="S4145" s="86">
        <f>_xlfn.XLOOKUP(表格1[[#This Row],[Model]],表格3[Model-Input-Ref2],表格3[SRP PRICE])</f>
        <v>988</v>
      </c>
      <c r="T4145" s="43">
        <f>表格1[[#This Row],[Unit Price]]/表格1[[#This Row],[SRP]]</f>
        <v>0.39473684210526316</v>
      </c>
      <c r="U4145" s="86" t="str">
        <f>_xlfn.XLOOKUP(表格1[[#This Row],[Model]],表格3[Model-Input-Ref2],表格3[TOSHIBA/HIGHEST])</f>
        <v>Toshiba SRP</v>
      </c>
      <c r="W4145" s="86" t="str">
        <f>_xlfn.CONCAT(表格1[[#This Row],[欄4]],表格1[[#This Row],[inv no]])</f>
        <v/>
      </c>
    </row>
    <row r="4146" spans="1:23" hidden="1">
      <c r="A4146" s="81">
        <v>4144</v>
      </c>
      <c r="B4146" s="86" t="s">
        <v>1203</v>
      </c>
      <c r="C4146" s="86" t="s">
        <v>1977</v>
      </c>
      <c r="D4146" s="89" t="str">
        <f ca="1">OFFSET(Roster!$A$3,MATCH(表格1[[#This Row],[Location]]&amp;" "&amp;表格1[[#This Row],[Shop]]&amp;"*",Roster!$A$4:$A$72,0),DAY(表格1[[#This Row],[date]]),1,1)</f>
        <v>Jessica off</v>
      </c>
      <c r="E4146" s="86">
        <f>MONTH(表格1[[#This Row],[date]])</f>
        <v>3</v>
      </c>
      <c r="F4146" s="90">
        <v>46107</v>
      </c>
      <c r="G4146" s="86" t="str">
        <f>VLOOKUP("*"&amp;表格1[[#This Row],[Input]]&amp;"*",'Ref-List'!$B:$D,2,)</f>
        <v>TW-T21BU80UWH(MG)</v>
      </c>
      <c r="H4146" s="86" t="str">
        <f>_xlfn.XLOOKUP(表格1[[#This Row],[Model]],表格3[Model-Input-Ref2],表格3[Product Line])</f>
        <v>400MM超薄身前置式變頻洗衣機(7公斤)</v>
      </c>
      <c r="I4146" s="86" t="str">
        <f>_xlfn.XLOOKUP(表格1[[#This Row],[Model]],表格3[Model-Input-Ref2],表格3[大小電])</f>
        <v>大電</v>
      </c>
      <c r="J4146" s="86" t="str">
        <f>_xlfn.XLOOKUP(表格1[[#This Row],[Model]],表格3[Model-Input-Ref2],表格3[Code])</f>
        <v>LAD</v>
      </c>
      <c r="K4146" s="89" t="s">
        <v>1280</v>
      </c>
      <c r="L4146" s="86">
        <v>1</v>
      </c>
      <c r="M4146" s="87">
        <v>3180</v>
      </c>
      <c r="N4146" s="87">
        <f>IFERROR(表格1[[#This Row],[QTY]]*表格1[[#This Row],[Unit Price]],"-")</f>
        <v>3180</v>
      </c>
      <c r="O4146" s="86">
        <v>5725744</v>
      </c>
      <c r="R4146" s="86" t="str">
        <f>_xlfn.CONCAT(表格1[[#This Row],[Model]]," ",表格1[[#This Row],[inv no]])</f>
        <v>TW-T21BU80UWH(MG) 5725744</v>
      </c>
      <c r="S4146" s="86">
        <f>_xlfn.XLOOKUP(表格1[[#This Row],[Model]],表格3[Model-Input-Ref2],表格3[SRP PRICE])</f>
        <v>5180</v>
      </c>
      <c r="T4146" s="43">
        <f>表格1[[#This Row],[Unit Price]]/表格1[[#This Row],[SRP]]</f>
        <v>0.61389961389961389</v>
      </c>
      <c r="U4146" s="86" t="str">
        <f>_xlfn.XLOOKUP(表格1[[#This Row],[Model]],表格3[Model-Input-Ref2],表格3[TOSHIBA/HIGHEST])</f>
        <v>Toshiba SRP</v>
      </c>
      <c r="W4146" s="86" t="str">
        <f>_xlfn.CONCAT(表格1[[#This Row],[欄4]],表格1[[#This Row],[inv no]])</f>
        <v>5725744</v>
      </c>
    </row>
    <row r="4147" spans="1:23" hidden="1">
      <c r="A4147" s="81">
        <v>4145</v>
      </c>
      <c r="B4147" s="86" t="s">
        <v>1203</v>
      </c>
      <c r="C4147" s="86" t="s">
        <v>1977</v>
      </c>
      <c r="D4147" s="89" t="str">
        <f ca="1">OFFSET(Roster!$A$3,MATCH(表格1[[#This Row],[Location]]&amp;" "&amp;表格1[[#This Row],[Shop]]&amp;"*",Roster!$A$4:$A$72,0),DAY(表格1[[#This Row],[date]]),1,1)</f>
        <v>Jessica</v>
      </c>
      <c r="E4147" s="86">
        <f>MONTH(表格1[[#This Row],[date]])</f>
        <v>3</v>
      </c>
      <c r="F4147" s="90">
        <v>46108</v>
      </c>
      <c r="G4147" s="86" t="str">
        <f>VLOOKUP("*"&amp;表格1[[#This Row],[Input]]&amp;"*",'Ref-List'!$B:$D,2,)</f>
        <v>RC-10NMFIH(WT)</v>
      </c>
      <c r="H4147" s="86" t="str">
        <f>_xlfn.XLOOKUP(表格1[[#This Row],[Model]],表格3[Model-Input-Ref2],表格3[Product Line])</f>
        <v>4毫米厚釜電飯煲1L</v>
      </c>
      <c r="I4147" s="86" t="str">
        <f>_xlfn.XLOOKUP(表格1[[#This Row],[Model]],表格3[Model-Input-Ref2],表格3[大小電])</f>
        <v>細電</v>
      </c>
      <c r="J4147" s="86" t="str">
        <f>_xlfn.XLOOKUP(表格1[[#This Row],[Model]],表格3[Model-Input-Ref2],表格3[Code])</f>
        <v>SDA</v>
      </c>
      <c r="K4147" s="89" t="s">
        <v>1244</v>
      </c>
      <c r="L4147" s="86">
        <v>1</v>
      </c>
      <c r="M4147" s="87">
        <v>720</v>
      </c>
      <c r="N4147" s="87">
        <f>IFERROR(表格1[[#This Row],[QTY]]*表格1[[#This Row],[Unit Price]],"-")</f>
        <v>720</v>
      </c>
      <c r="R4147" s="86" t="str">
        <f>_xlfn.CONCAT(表格1[[#This Row],[Model]]," ",表格1[[#This Row],[inv no]])</f>
        <v xml:space="preserve">RC-10NMFIH(WT) </v>
      </c>
      <c r="S4147" s="86">
        <f>_xlfn.XLOOKUP(表格1[[#This Row],[Model]],表格3[Model-Input-Ref2],表格3[SRP PRICE])</f>
        <v>898</v>
      </c>
      <c r="T4147" s="43">
        <f>表格1[[#This Row],[Unit Price]]/表格1[[#This Row],[SRP]]</f>
        <v>0.80178173719376389</v>
      </c>
      <c r="U4147" s="86" t="str">
        <f>_xlfn.XLOOKUP(表格1[[#This Row],[Model]],表格3[Model-Input-Ref2],表格3[TOSHIBA/HIGHEST])</f>
        <v>Toshiba SRP</v>
      </c>
      <c r="W4147" s="86" t="str">
        <f>_xlfn.CONCAT(表格1[[#This Row],[欄4]],表格1[[#This Row],[inv no]])</f>
        <v/>
      </c>
    </row>
    <row r="4148" spans="1:23" hidden="1">
      <c r="A4148" s="81">
        <v>4146</v>
      </c>
      <c r="B4148" s="86" t="s">
        <v>1203</v>
      </c>
      <c r="C4148" s="86" t="s">
        <v>1977</v>
      </c>
      <c r="D4148" s="89" t="str">
        <f ca="1">OFFSET(Roster!$A$3,MATCH(表格1[[#This Row],[Location]]&amp;" "&amp;表格1[[#This Row],[Shop]]&amp;"*",Roster!$A$4:$A$72,0),DAY(表格1[[#This Row],[date]]),1,1)</f>
        <v>Jessica</v>
      </c>
      <c r="E4148" s="86">
        <f>MONTH(表格1[[#This Row],[date]])</f>
        <v>3</v>
      </c>
      <c r="F4148" s="90">
        <v>46108</v>
      </c>
      <c r="G4148" s="86" t="str">
        <f>VLOOKUP("*"&amp;表格1[[#This Row],[Input]]&amp;"*",'Ref-List'!$B:$D,2,)</f>
        <v>F-LYA20(W)HKG</v>
      </c>
      <c r="H4148" s="86" t="str">
        <f>_xlfn.XLOOKUP(表格1[[#This Row],[Model]],表格3[Model-Input-Ref2],表格3[Product Line])</f>
        <v>12吋2合1座地座檯電風扇連遙控</v>
      </c>
      <c r="I4148" s="86" t="str">
        <f>_xlfn.XLOOKUP(表格1[[#This Row],[Model]],表格3[Model-Input-Ref2],表格3[大小電])</f>
        <v>細電</v>
      </c>
      <c r="J4148" s="86" t="str">
        <f>_xlfn.XLOOKUP(表格1[[#This Row],[Model]],表格3[Model-Input-Ref2],表格3[Code])</f>
        <v>EAD</v>
      </c>
      <c r="K4148" s="89" t="s">
        <v>1391</v>
      </c>
      <c r="L4148" s="86">
        <v>1</v>
      </c>
      <c r="M4148" s="87">
        <v>351.5</v>
      </c>
      <c r="N4148" s="87">
        <f>IFERROR(表格1[[#This Row],[QTY]]*表格1[[#This Row],[Unit Price]],"-")</f>
        <v>351.5</v>
      </c>
      <c r="R4148" s="86" t="str">
        <f>_xlfn.CONCAT(表格1[[#This Row],[Model]]," ",表格1[[#This Row],[inv no]])</f>
        <v xml:space="preserve">F-LYA20(W)HKG </v>
      </c>
      <c r="S4148" s="86">
        <f>_xlfn.XLOOKUP(表格1[[#This Row],[Model]],表格3[Model-Input-Ref2],表格3[SRP PRICE])</f>
        <v>988</v>
      </c>
      <c r="T4148" s="43">
        <f>表格1[[#This Row],[Unit Price]]/表格1[[#This Row],[SRP]]</f>
        <v>0.35576923076923078</v>
      </c>
      <c r="U4148" s="86" t="str">
        <f>_xlfn.XLOOKUP(表格1[[#This Row],[Model]],表格3[Model-Input-Ref2],表格3[TOSHIBA/HIGHEST])</f>
        <v>Toshiba SRP</v>
      </c>
      <c r="W4148" s="86" t="str">
        <f>_xlfn.CONCAT(表格1[[#This Row],[欄4]],表格1[[#This Row],[inv no]])</f>
        <v/>
      </c>
    </row>
    <row r="4149" spans="1:23" hidden="1">
      <c r="A4149" s="81">
        <v>4147</v>
      </c>
      <c r="B4149" s="86" t="s">
        <v>1203</v>
      </c>
      <c r="C4149" s="86" t="s">
        <v>1977</v>
      </c>
      <c r="D4149" s="89" t="str">
        <f ca="1">OFFSET(Roster!$A$3,MATCH(表格1[[#This Row],[Location]]&amp;" "&amp;表格1[[#This Row],[Shop]]&amp;"*",Roster!$A$4:$A$72,0),DAY(表格1[[#This Row],[date]]),1,1)</f>
        <v>Jessica</v>
      </c>
      <c r="E4149" s="86">
        <f>MONTH(表格1[[#This Row],[date]])</f>
        <v>3</v>
      </c>
      <c r="F4149" s="90">
        <v>46108</v>
      </c>
      <c r="G4149" s="86" t="str">
        <f>VLOOKUP("*"&amp;表格1[[#This Row],[Input]]&amp;"*",'Ref-List'!$B:$D,2,)</f>
        <v>CFK01W75</v>
      </c>
      <c r="H4149" s="86" t="str">
        <f>_xlfn.XLOOKUP(表格1[[#This Row],[Model]],表格3[Model-Input-Ref2],表格3[Product Line])</f>
        <v>變頻頂揭式洗衣機 (7.5公斤)</v>
      </c>
      <c r="I4149" s="86" t="str">
        <f>_xlfn.XLOOKUP(表格1[[#This Row],[Model]],表格3[Model-Input-Ref2],表格3[大小電])</f>
        <v>大電</v>
      </c>
      <c r="J4149" s="86" t="str">
        <f>_xlfn.XLOOKUP(表格1[[#This Row],[Model]],表格3[Model-Input-Ref2],表格3[Code])</f>
        <v>LAD</v>
      </c>
      <c r="K4149" s="89" t="s">
        <v>1266</v>
      </c>
      <c r="L4149" s="86">
        <v>1</v>
      </c>
      <c r="M4149" s="87">
        <v>3401</v>
      </c>
      <c r="N4149" s="87">
        <f>IFERROR(表格1[[#This Row],[QTY]]*表格1[[#This Row],[Unit Price]],"-")</f>
        <v>3401</v>
      </c>
      <c r="O4149" s="86">
        <v>6039233</v>
      </c>
      <c r="R4149" s="86" t="str">
        <f>_xlfn.CONCAT(表格1[[#This Row],[Model]]," ",表格1[[#This Row],[inv no]])</f>
        <v>CFK01W75 6039233</v>
      </c>
      <c r="S4149" s="86">
        <f>_xlfn.XLOOKUP(表格1[[#This Row],[Model]],表格3[Model-Input-Ref2],表格3[SRP PRICE])</f>
        <v>3888</v>
      </c>
      <c r="T4149" s="43">
        <f>表格1[[#This Row],[Unit Price]]/表格1[[#This Row],[SRP]]</f>
        <v>0.87474279835390945</v>
      </c>
      <c r="U4149" s="86" t="str">
        <f>_xlfn.XLOOKUP(表格1[[#This Row],[Model]],表格3[Model-Input-Ref2],表格3[TOSHIBA/HIGHEST])</f>
        <v>Shops Highest Price</v>
      </c>
      <c r="W4149" s="86" t="str">
        <f>_xlfn.CONCAT(表格1[[#This Row],[欄4]],表格1[[#This Row],[inv no]])</f>
        <v>6039233</v>
      </c>
    </row>
    <row r="4150" spans="1:23" hidden="1">
      <c r="A4150" s="81">
        <v>4148</v>
      </c>
      <c r="B4150" s="86" t="s">
        <v>1203</v>
      </c>
      <c r="C4150" s="86" t="s">
        <v>1977</v>
      </c>
      <c r="D4150" s="89" t="str">
        <f ca="1">OFFSET(Roster!$A$3,MATCH(表格1[[#This Row],[Location]]&amp;" "&amp;表格1[[#This Row],[Shop]]&amp;"*",Roster!$A$4:$A$72,0),DAY(表格1[[#This Row],[date]]),1,1)</f>
        <v>Jessica</v>
      </c>
      <c r="E4150" s="86">
        <f>MONTH(表格1[[#This Row],[date]])</f>
        <v>3</v>
      </c>
      <c r="F4150" s="90">
        <v>46108</v>
      </c>
      <c r="G4150" s="86" t="str">
        <f>VLOOKUP("*"&amp;表格1[[#This Row],[Input]]&amp;"*",'Ref-List'!$B:$D,2,)</f>
        <v>CWF-18CRFN8-AD5</v>
      </c>
      <c r="H4150" s="86" t="str">
        <f>_xlfn.XLOOKUP(表格1[[#This Row],[Model]],表格3[Model-Input-Ref2],表格3[Product Line])</f>
        <v>Comfee 2匹變頻窗口式冷氣機</v>
      </c>
      <c r="I4150" s="86" t="str">
        <f>_xlfn.XLOOKUP(表格1[[#This Row],[Model]],表格3[Model-Input-Ref2],表格3[大小電])</f>
        <v>大電</v>
      </c>
      <c r="J4150" s="86" t="str">
        <f>_xlfn.XLOOKUP(表格1[[#This Row],[Model]],表格3[Model-Input-Ref2],表格3[Code])</f>
        <v>RAC</v>
      </c>
      <c r="K4150" s="89" t="s">
        <v>1970</v>
      </c>
      <c r="L4150" s="86">
        <v>1</v>
      </c>
      <c r="M4150" s="87">
        <v>3468</v>
      </c>
      <c r="N4150" s="87">
        <f>IFERROR(表格1[[#This Row],[QTY]]*表格1[[#This Row],[Unit Price]],"-")</f>
        <v>3468</v>
      </c>
      <c r="O4150" s="86">
        <v>6039973</v>
      </c>
      <c r="R4150" s="86" t="str">
        <f>_xlfn.CONCAT(表格1[[#This Row],[Model]]," ",表格1[[#This Row],[inv no]])</f>
        <v>CWF-18CRFN8-AD5 6039973</v>
      </c>
      <c r="S4150" s="86">
        <f>_xlfn.XLOOKUP(表格1[[#This Row],[Model]],表格3[Model-Input-Ref2],表格3[SRP PRICE])</f>
        <v>6600</v>
      </c>
      <c r="T4150" s="43">
        <f>表格1[[#This Row],[Unit Price]]/表格1[[#This Row],[SRP]]</f>
        <v>0.52545454545454551</v>
      </c>
      <c r="U4150" s="86" t="str">
        <f>_xlfn.XLOOKUP(表格1[[#This Row],[Model]],表格3[Model-Input-Ref2],表格3[TOSHIBA/HIGHEST])</f>
        <v>Shops Highest Price</v>
      </c>
      <c r="W4150" s="86" t="str">
        <f>_xlfn.CONCAT(表格1[[#This Row],[欄4]],表格1[[#This Row],[inv no]])</f>
        <v>6039973</v>
      </c>
    </row>
    <row r="4151" spans="1:23" hidden="1">
      <c r="A4151" s="81">
        <v>4149</v>
      </c>
      <c r="B4151" s="86" t="s">
        <v>1203</v>
      </c>
      <c r="C4151" s="86" t="s">
        <v>1977</v>
      </c>
      <c r="D4151" s="89" t="str">
        <f ca="1">OFFSET(Roster!$A$3,MATCH(表格1[[#This Row],[Location]]&amp;" "&amp;表格1[[#This Row],[Shop]]&amp;"*",Roster!$A$4:$A$72,0),DAY(表格1[[#This Row],[date]]),1,1)</f>
        <v>Jessica</v>
      </c>
      <c r="E4151" s="86">
        <f>MONTH(表格1[[#This Row],[date]])</f>
        <v>3</v>
      </c>
      <c r="F4151" s="90">
        <v>46109</v>
      </c>
      <c r="G4151" s="86" t="str">
        <f>VLOOKUP("*"&amp;表格1[[#This Row],[Input]]&amp;"*",'Ref-List'!$B:$D,2,)</f>
        <v>KT-17SHNH</v>
      </c>
      <c r="H4151" s="86" t="str">
        <f>_xlfn.XLOOKUP(表格1[[#This Row],[Model]],表格3[Model-Input-Ref2],表格3[Product Line])</f>
        <v>1.7L無線雙層電熱水壺</v>
      </c>
      <c r="I4151" s="86" t="str">
        <f>_xlfn.XLOOKUP(表格1[[#This Row],[Model]],表格3[Model-Input-Ref2],表格3[大小電])</f>
        <v>細電</v>
      </c>
      <c r="J4151" s="86" t="str">
        <f>_xlfn.XLOOKUP(表格1[[#This Row],[Model]],表格3[Model-Input-Ref2],表格3[Code])</f>
        <v>SDA</v>
      </c>
      <c r="K4151" s="89" t="s">
        <v>1283</v>
      </c>
      <c r="L4151" s="86">
        <v>1</v>
      </c>
      <c r="M4151" s="87">
        <v>190</v>
      </c>
      <c r="N4151" s="87">
        <f>IFERROR(表格1[[#This Row],[QTY]]*表格1[[#This Row],[Unit Price]],"-")</f>
        <v>190</v>
      </c>
      <c r="R4151" s="86" t="str">
        <f>_xlfn.CONCAT(表格1[[#This Row],[Model]]," ",表格1[[#This Row],[inv no]])</f>
        <v xml:space="preserve">KT-17SHNH </v>
      </c>
      <c r="S4151" s="86">
        <f>_xlfn.XLOOKUP(表格1[[#This Row],[Model]],表格3[Model-Input-Ref2],表格3[SRP PRICE])</f>
        <v>299</v>
      </c>
      <c r="T4151" s="43">
        <f>表格1[[#This Row],[Unit Price]]/表格1[[#This Row],[SRP]]</f>
        <v>0.63545150501672243</v>
      </c>
      <c r="U4151" s="86" t="str">
        <f>_xlfn.XLOOKUP(表格1[[#This Row],[Model]],表格3[Model-Input-Ref2],表格3[TOSHIBA/HIGHEST])</f>
        <v>Shops Highest Price</v>
      </c>
      <c r="W4151" s="86" t="str">
        <f>_xlfn.CONCAT(表格1[[#This Row],[欄4]],表格1[[#This Row],[inv no]])</f>
        <v/>
      </c>
    </row>
    <row r="4152" spans="1:23" hidden="1">
      <c r="A4152" s="81">
        <v>4150</v>
      </c>
      <c r="B4152" s="86" t="s">
        <v>1203</v>
      </c>
      <c r="C4152" s="86" t="s">
        <v>1977</v>
      </c>
      <c r="D4152" s="89" t="str">
        <f ca="1">OFFSET(Roster!$A$3,MATCH(表格1[[#This Row],[Location]]&amp;" "&amp;表格1[[#This Row],[Shop]]&amp;"*",Roster!$A$4:$A$72,0),DAY(表格1[[#This Row],[date]]),1,1)</f>
        <v>Jessica</v>
      </c>
      <c r="E4152" s="86">
        <f>MONTH(表格1[[#This Row],[date]])</f>
        <v>3</v>
      </c>
      <c r="F4152" s="90">
        <v>46109</v>
      </c>
      <c r="G4152" s="86" t="str">
        <f>VLOOKUP("*"&amp;表格1[[#This Row],[Input]]&amp;"*",'Ref-List'!$B:$D,2,)</f>
        <v>RC-5SLIH(W)</v>
      </c>
      <c r="H4152" s="86" t="str">
        <f>_xlfn.XLOOKUP(表格1[[#This Row],[Model]],表格3[Model-Input-Ref2],表格3[Product Line])</f>
        <v>微型電腦珍珠飯煲</v>
      </c>
      <c r="I4152" s="86" t="str">
        <f>_xlfn.XLOOKUP(表格1[[#This Row],[Model]],表格3[Model-Input-Ref2],表格3[大小電])</f>
        <v>細電</v>
      </c>
      <c r="J4152" s="86" t="str">
        <f>_xlfn.XLOOKUP(表格1[[#This Row],[Model]],表格3[Model-Input-Ref2],表格3[Code])</f>
        <v>SDA</v>
      </c>
      <c r="K4152" s="89" t="s">
        <v>1264</v>
      </c>
      <c r="L4152" s="86">
        <v>1</v>
      </c>
      <c r="M4152" s="87">
        <v>590</v>
      </c>
      <c r="N4152" s="87">
        <f>IFERROR(表格1[[#This Row],[QTY]]*表格1[[#This Row],[Unit Price]],"-")</f>
        <v>590</v>
      </c>
      <c r="R4152" s="86" t="str">
        <f>_xlfn.CONCAT(表格1[[#This Row],[Model]]," ",表格1[[#This Row],[inv no]])</f>
        <v xml:space="preserve">RC-5SLIH(W) </v>
      </c>
      <c r="S4152" s="86">
        <f>_xlfn.XLOOKUP(表格1[[#This Row],[Model]],表格3[Model-Input-Ref2],表格3[SRP PRICE])</f>
        <v>658</v>
      </c>
      <c r="T4152" s="43">
        <f>表格1[[#This Row],[Unit Price]]/表格1[[#This Row],[SRP]]</f>
        <v>0.89665653495440734</v>
      </c>
      <c r="U4152" s="86" t="str">
        <f>_xlfn.XLOOKUP(表格1[[#This Row],[Model]],表格3[Model-Input-Ref2],表格3[TOSHIBA/HIGHEST])</f>
        <v>Toshiba SRP</v>
      </c>
      <c r="W4152" s="86" t="str">
        <f>_xlfn.CONCAT(表格1[[#This Row],[欄4]],表格1[[#This Row],[inv no]])</f>
        <v/>
      </c>
    </row>
    <row r="4153" spans="1:23" hidden="1">
      <c r="A4153" s="81">
        <v>4151</v>
      </c>
      <c r="B4153" s="86" t="s">
        <v>1203</v>
      </c>
      <c r="C4153" s="86" t="s">
        <v>1977</v>
      </c>
      <c r="D4153" s="89" t="str">
        <f ca="1">OFFSET(Roster!$A$3,MATCH(表格1[[#This Row],[Location]]&amp;" "&amp;表格1[[#This Row],[Shop]]&amp;"*",Roster!$A$4:$A$72,0),DAY(表格1[[#This Row],[date]]),1,1)</f>
        <v>Jessica</v>
      </c>
      <c r="E4153" s="86">
        <f>MONTH(表格1[[#This Row],[date]])</f>
        <v>3</v>
      </c>
      <c r="F4153" s="90">
        <v>46109</v>
      </c>
      <c r="G4153" s="86" t="str">
        <f>VLOOKUP("*"&amp;表格1[[#This Row],[Input]]&amp;"*",'Ref-List'!$B:$D,2,)</f>
        <v>MS3-STQ20SC(WH)</v>
      </c>
      <c r="H4153" s="86" t="str">
        <f>_xlfn.XLOOKUP(表格1[[#This Row],[Model]],表格3[Model-Input-Ref2],表格3[Product Line])</f>
        <v>20L 智能蒸氣焗爐</v>
      </c>
      <c r="I4153" s="86" t="str">
        <f>_xlfn.XLOOKUP(表格1[[#This Row],[Model]],表格3[Model-Input-Ref2],表格3[大小電])</f>
        <v>細電</v>
      </c>
      <c r="J4153" s="86" t="str">
        <f>_xlfn.XLOOKUP(表格1[[#This Row],[Model]],表格3[Model-Input-Ref2],表格3[Code])</f>
        <v>MCA</v>
      </c>
      <c r="K4153" s="89" t="s">
        <v>1383</v>
      </c>
      <c r="L4153" s="86">
        <v>1</v>
      </c>
      <c r="M4153" s="87">
        <v>1980</v>
      </c>
      <c r="N4153" s="87">
        <f>IFERROR(表格1[[#This Row],[QTY]]*表格1[[#This Row],[Unit Price]],"-")</f>
        <v>1980</v>
      </c>
      <c r="R4153" s="86" t="str">
        <f>_xlfn.CONCAT(表格1[[#This Row],[Model]]," ",表格1[[#This Row],[inv no]])</f>
        <v xml:space="preserve">MS3-STQ20SC(WH) </v>
      </c>
      <c r="S4153" s="86">
        <f>_xlfn.XLOOKUP(表格1[[#This Row],[Model]],表格3[Model-Input-Ref2],表格3[SRP PRICE])</f>
        <v>2880</v>
      </c>
      <c r="T4153" s="43">
        <f>表格1[[#This Row],[Unit Price]]/表格1[[#This Row],[SRP]]</f>
        <v>0.6875</v>
      </c>
      <c r="U4153" s="86" t="str">
        <f>_xlfn.XLOOKUP(表格1[[#This Row],[Model]],表格3[Model-Input-Ref2],表格3[TOSHIBA/HIGHEST])</f>
        <v>Toshiba SRP</v>
      </c>
      <c r="W4153" s="86" t="str">
        <f>_xlfn.CONCAT(表格1[[#This Row],[欄4]],表格1[[#This Row],[inv no]])</f>
        <v/>
      </c>
    </row>
    <row r="4154" spans="1:23" hidden="1">
      <c r="A4154" s="81">
        <v>4152</v>
      </c>
      <c r="B4154" s="86" t="s">
        <v>1203</v>
      </c>
      <c r="C4154" s="86" t="s">
        <v>1977</v>
      </c>
      <c r="D4154" s="89" t="str">
        <f ca="1">OFFSET(Roster!$A$3,MATCH(表格1[[#This Row],[Location]]&amp;" "&amp;表格1[[#This Row],[Shop]]&amp;"*",Roster!$A$4:$A$72,0),DAY(表格1[[#This Row],[date]]),1,1)</f>
        <v>Jessica</v>
      </c>
      <c r="E4154" s="86">
        <f>MONTH(表格1[[#This Row],[date]])</f>
        <v>3</v>
      </c>
      <c r="F4154" s="90">
        <v>46109</v>
      </c>
      <c r="G4154" s="86" t="str">
        <f>VLOOKUP("*"&amp;表格1[[#This Row],[Input]]&amp;"*",'Ref-List'!$B:$D,2,)</f>
        <v>F-LYA20(W)HKG</v>
      </c>
      <c r="H4154" s="86" t="str">
        <f>_xlfn.XLOOKUP(表格1[[#This Row],[Model]],表格3[Model-Input-Ref2],表格3[Product Line])</f>
        <v>12吋2合1座地座檯電風扇連遙控</v>
      </c>
      <c r="I4154" s="86" t="str">
        <f>_xlfn.XLOOKUP(表格1[[#This Row],[Model]],表格3[Model-Input-Ref2],表格3[大小電])</f>
        <v>細電</v>
      </c>
      <c r="J4154" s="86" t="str">
        <f>_xlfn.XLOOKUP(表格1[[#This Row],[Model]],表格3[Model-Input-Ref2],表格3[Code])</f>
        <v>EAD</v>
      </c>
      <c r="K4154" s="89" t="s">
        <v>1391</v>
      </c>
      <c r="L4154" s="86">
        <v>3</v>
      </c>
      <c r="M4154" s="87">
        <v>351.5</v>
      </c>
      <c r="N4154" s="87">
        <f>IFERROR(表格1[[#This Row],[QTY]]*表格1[[#This Row],[Unit Price]],"-")</f>
        <v>1054.5</v>
      </c>
      <c r="R4154" s="86" t="str">
        <f>_xlfn.CONCAT(表格1[[#This Row],[Model]]," ",表格1[[#This Row],[inv no]])</f>
        <v xml:space="preserve">F-LYA20(W)HKG </v>
      </c>
      <c r="S4154" s="86">
        <f>_xlfn.XLOOKUP(表格1[[#This Row],[Model]],表格3[Model-Input-Ref2],表格3[SRP PRICE])</f>
        <v>988</v>
      </c>
      <c r="T4154" s="43">
        <f>表格1[[#This Row],[Unit Price]]/表格1[[#This Row],[SRP]]</f>
        <v>0.35576923076923078</v>
      </c>
      <c r="U4154" s="86" t="str">
        <f>_xlfn.XLOOKUP(表格1[[#This Row],[Model]],表格3[Model-Input-Ref2],表格3[TOSHIBA/HIGHEST])</f>
        <v>Toshiba SRP</v>
      </c>
      <c r="W4154" s="86" t="str">
        <f>_xlfn.CONCAT(表格1[[#This Row],[欄4]],表格1[[#This Row],[inv no]])</f>
        <v/>
      </c>
    </row>
    <row r="4155" spans="1:23" hidden="1">
      <c r="A4155" s="81">
        <v>4153</v>
      </c>
      <c r="B4155" s="86" t="s">
        <v>1203</v>
      </c>
      <c r="C4155" s="86" t="s">
        <v>1977</v>
      </c>
      <c r="D4155" s="89" t="str">
        <f ca="1">OFFSET(Roster!$A$3,MATCH(表格1[[#This Row],[Location]]&amp;" "&amp;表格1[[#This Row],[Shop]]&amp;"*",Roster!$A$4:$A$72,0),DAY(表格1[[#This Row],[date]]),1,1)</f>
        <v>Jessica</v>
      </c>
      <c r="E4155" s="86">
        <f>MONTH(表格1[[#This Row],[date]])</f>
        <v>3</v>
      </c>
      <c r="F4155" s="90">
        <v>46109</v>
      </c>
      <c r="G4155" s="86" t="str">
        <f>VLOOKUP("*"&amp;表格1[[#This Row],[Input]]&amp;"*",'Ref-List'!$B:$D,2,)</f>
        <v>KT-17DRTHK(H)</v>
      </c>
      <c r="H4155" s="86" t="str">
        <f>_xlfn.XLOOKUP(表格1[[#This Row],[Model]],表格3[Model-Input-Ref2],表格3[Product Line])</f>
        <v>無線雙層電熱水壺(1.7公升)</v>
      </c>
      <c r="I4155" s="86" t="str">
        <f>_xlfn.XLOOKUP(表格1[[#This Row],[Model]],表格3[Model-Input-Ref2],表格3[大小電])</f>
        <v>細電</v>
      </c>
      <c r="J4155" s="86" t="str">
        <f>_xlfn.XLOOKUP(表格1[[#This Row],[Model]],表格3[Model-Input-Ref2],表格3[Code])</f>
        <v>SDA</v>
      </c>
      <c r="K4155" s="89" t="s">
        <v>1271</v>
      </c>
      <c r="L4155" s="86">
        <v>1</v>
      </c>
      <c r="M4155" s="87">
        <v>350</v>
      </c>
      <c r="N4155" s="87">
        <f>IFERROR(表格1[[#This Row],[QTY]]*表格1[[#This Row],[Unit Price]],"-")</f>
        <v>350</v>
      </c>
      <c r="R4155" s="86" t="str">
        <f>_xlfn.CONCAT(表格1[[#This Row],[Model]]," ",表格1[[#This Row],[inv no]])</f>
        <v xml:space="preserve">KT-17DRTHK(H) </v>
      </c>
      <c r="S4155" s="86">
        <f>_xlfn.XLOOKUP(表格1[[#This Row],[Model]],表格3[Model-Input-Ref2],表格3[SRP PRICE])</f>
        <v>498</v>
      </c>
      <c r="T4155" s="43">
        <f>表格1[[#This Row],[Unit Price]]/表格1[[#This Row],[SRP]]</f>
        <v>0.70281124497991965</v>
      </c>
      <c r="U4155" s="86" t="str">
        <f>_xlfn.XLOOKUP(表格1[[#This Row],[Model]],表格3[Model-Input-Ref2],表格3[TOSHIBA/HIGHEST])</f>
        <v>Toshiba SRP</v>
      </c>
      <c r="W4155" s="86" t="str">
        <f>_xlfn.CONCAT(表格1[[#This Row],[欄4]],表格1[[#This Row],[inv no]])</f>
        <v/>
      </c>
    </row>
    <row r="4156" spans="1:23" hidden="1">
      <c r="A4156" s="81">
        <v>4154</v>
      </c>
      <c r="B4156" s="86" t="s">
        <v>1203</v>
      </c>
      <c r="C4156" s="86" t="s">
        <v>1977</v>
      </c>
      <c r="D4156" s="89" t="str">
        <f ca="1">OFFSET(Roster!$A$3,MATCH(表格1[[#This Row],[Location]]&amp;" "&amp;表格1[[#This Row],[Shop]]&amp;"*",Roster!$A$4:$A$72,0),DAY(表格1[[#This Row],[date]]),1,1)</f>
        <v>Jessica</v>
      </c>
      <c r="E4156" s="86">
        <f>MONTH(表格1[[#This Row],[date]])</f>
        <v>3</v>
      </c>
      <c r="F4156" s="90">
        <v>46109</v>
      </c>
      <c r="G4156" s="86" t="str">
        <f>VLOOKUP("*"&amp;表格1[[#This Row],[Input]]&amp;"*",'Ref-List'!$B:$D,2,)</f>
        <v>F-DSB35HK(W)</v>
      </c>
      <c r="H4156" s="86" t="str">
        <f>_xlfn.XLOOKUP(表格1[[#This Row],[Model]],表格3[Model-Input-Ref2],表格3[Product Line])</f>
        <v>Electric Fan</v>
      </c>
      <c r="I4156" s="86" t="str">
        <f>_xlfn.XLOOKUP(表格1[[#This Row],[Model]],表格3[Model-Input-Ref2],表格3[大小電])</f>
        <v>細電</v>
      </c>
      <c r="J4156" s="86" t="str">
        <f>_xlfn.XLOOKUP(表格1[[#This Row],[Model]],表格3[Model-Input-Ref2],表格3[Code])</f>
        <v>SDA</v>
      </c>
      <c r="K4156" s="89" t="s">
        <v>1453</v>
      </c>
      <c r="L4156" s="86">
        <v>1</v>
      </c>
      <c r="M4156" s="87">
        <v>522.5</v>
      </c>
      <c r="N4156" s="87">
        <f>IFERROR(表格1[[#This Row],[QTY]]*表格1[[#This Row],[Unit Price]],"-")</f>
        <v>522.5</v>
      </c>
      <c r="R4156" s="86" t="str">
        <f>_xlfn.CONCAT(表格1[[#This Row],[Model]]," ",表格1[[#This Row],[inv no]])</f>
        <v xml:space="preserve">F-DSB35HK(W) </v>
      </c>
      <c r="S4156" s="86">
        <f>_xlfn.XLOOKUP(表格1[[#This Row],[Model]],表格3[Model-Input-Ref2],表格3[SRP PRICE])</f>
        <v>1088</v>
      </c>
      <c r="T4156" s="43">
        <f>表格1[[#This Row],[Unit Price]]/表格1[[#This Row],[SRP]]</f>
        <v>0.48023897058823528</v>
      </c>
      <c r="U4156" s="86" t="str">
        <f>_xlfn.XLOOKUP(表格1[[#This Row],[Model]],表格3[Model-Input-Ref2],表格3[TOSHIBA/HIGHEST])</f>
        <v>Toshiba SRP</v>
      </c>
      <c r="W4156" s="86" t="str">
        <f>_xlfn.CONCAT(表格1[[#This Row],[欄4]],表格1[[#This Row],[inv no]])</f>
        <v/>
      </c>
    </row>
    <row r="4157" spans="1:23" hidden="1">
      <c r="A4157" s="81">
        <v>4155</v>
      </c>
      <c r="B4157" s="86" t="s">
        <v>1203</v>
      </c>
      <c r="C4157" s="86" t="s">
        <v>1977</v>
      </c>
      <c r="D4157" s="89" t="str">
        <f ca="1">OFFSET(Roster!$A$3,MATCH(表格1[[#This Row],[Location]]&amp;" "&amp;表格1[[#This Row],[Shop]]&amp;"*",Roster!$A$4:$A$72,0),DAY(表格1[[#This Row],[date]]),1,1)</f>
        <v>Jessica</v>
      </c>
      <c r="E4157" s="86">
        <f>MONTH(表格1[[#This Row],[date]])</f>
        <v>3</v>
      </c>
      <c r="F4157" s="90">
        <v>46109</v>
      </c>
      <c r="G4157" s="86" t="str">
        <f>VLOOKUP("*"&amp;表格1[[#This Row],[Input]]&amp;"*",'Ref-List'!$B:$D,2,)</f>
        <v>IC-20R1THK</v>
      </c>
      <c r="H4157" s="86" t="str">
        <f>_xlfn.XLOOKUP(表格1[[#This Row],[Model]],表格3[Model-Input-Ref2],表格3[Product Line])</f>
        <v>輕便式電磁爐</v>
      </c>
      <c r="I4157" s="86" t="str">
        <f>_xlfn.XLOOKUP(表格1[[#This Row],[Model]],表格3[Model-Input-Ref2],表格3[大小電])</f>
        <v>細電</v>
      </c>
      <c r="J4157" s="86" t="str">
        <f>_xlfn.XLOOKUP(表格1[[#This Row],[Model]],表格3[Model-Input-Ref2],表格3[Code])</f>
        <v>SDA</v>
      </c>
      <c r="K4157" s="89" t="s">
        <v>1243</v>
      </c>
      <c r="L4157" s="86">
        <v>2</v>
      </c>
      <c r="M4157" s="87">
        <v>290</v>
      </c>
      <c r="N4157" s="87">
        <f>IFERROR(表格1[[#This Row],[QTY]]*表格1[[#This Row],[Unit Price]],"-")</f>
        <v>580</v>
      </c>
      <c r="R4157" s="86" t="str">
        <f>_xlfn.CONCAT(表格1[[#This Row],[Model]]," ",表格1[[#This Row],[inv no]])</f>
        <v xml:space="preserve">IC-20R1THK </v>
      </c>
      <c r="S4157" s="86">
        <f>_xlfn.XLOOKUP(表格1[[#This Row],[Model]],表格3[Model-Input-Ref2],表格3[SRP PRICE])</f>
        <v>438</v>
      </c>
      <c r="T4157" s="43">
        <f>表格1[[#This Row],[Unit Price]]/表格1[[#This Row],[SRP]]</f>
        <v>0.66210045662100458</v>
      </c>
      <c r="U4157" s="86" t="str">
        <f>_xlfn.XLOOKUP(表格1[[#This Row],[Model]],表格3[Model-Input-Ref2],表格3[TOSHIBA/HIGHEST])</f>
        <v>Shops Highest Price</v>
      </c>
      <c r="W4157" s="86" t="str">
        <f>_xlfn.CONCAT(表格1[[#This Row],[欄4]],表格1[[#This Row],[inv no]])</f>
        <v/>
      </c>
    </row>
    <row r="4158" spans="1:23" hidden="1">
      <c r="A4158" s="81">
        <v>4156</v>
      </c>
      <c r="B4158" s="86" t="s">
        <v>1203</v>
      </c>
      <c r="C4158" s="86" t="s">
        <v>1977</v>
      </c>
      <c r="D4158" s="89" t="str">
        <f ca="1">OFFSET(Roster!$A$3,MATCH(表格1[[#This Row],[Location]]&amp;" "&amp;表格1[[#This Row],[Shop]]&amp;"*",Roster!$A$4:$A$72,0),DAY(表格1[[#This Row],[date]]),1,1)</f>
        <v>Jessica</v>
      </c>
      <c r="E4158" s="86">
        <f>MONTH(表格1[[#This Row],[date]])</f>
        <v>3</v>
      </c>
      <c r="F4158" s="90">
        <v>46109</v>
      </c>
      <c r="G4158" s="86" t="str">
        <f>VLOOKUP("*"&amp;表格1[[#This Row],[Input]]&amp;"*",'Ref-List'!$B:$D,2,)</f>
        <v>RAD-D200H</v>
      </c>
      <c r="H4158" s="86" t="str">
        <f>_xlfn.XLOOKUP(表格1[[#This Row],[Model]],表格3[Model-Input-Ref2],表格3[Product Line])</f>
        <v>壓縮式抽濕機 (22公升)</v>
      </c>
      <c r="I4158" s="86" t="str">
        <f>_xlfn.XLOOKUP(表格1[[#This Row],[Model]],表格3[Model-Input-Ref2],表格3[大小電])</f>
        <v>細電</v>
      </c>
      <c r="J4158" s="86" t="str">
        <f>_xlfn.XLOOKUP(表格1[[#This Row],[Model]],表格3[Model-Input-Ref2],表格3[Code])</f>
        <v>RAC</v>
      </c>
      <c r="K4158" s="89" t="s">
        <v>1250</v>
      </c>
      <c r="L4158" s="86">
        <v>3</v>
      </c>
      <c r="M4158" s="87">
        <v>1914</v>
      </c>
      <c r="N4158" s="87">
        <f>IFERROR(表格1[[#This Row],[QTY]]*表格1[[#This Row],[Unit Price]],"-")</f>
        <v>5742</v>
      </c>
      <c r="R4158" s="86" t="str">
        <f>_xlfn.CONCAT(表格1[[#This Row],[Model]]," ",表格1[[#This Row],[inv no]])</f>
        <v xml:space="preserve">RAD-D200H </v>
      </c>
      <c r="S4158" s="86">
        <f>_xlfn.XLOOKUP(表格1[[#This Row],[Model]],表格3[Model-Input-Ref2],表格3[SRP PRICE])</f>
        <v>2880</v>
      </c>
      <c r="T4158" s="43">
        <f>表格1[[#This Row],[Unit Price]]/表格1[[#This Row],[SRP]]</f>
        <v>0.6645833333333333</v>
      </c>
      <c r="U4158" s="86" t="str">
        <f>_xlfn.XLOOKUP(表格1[[#This Row],[Model]],表格3[Model-Input-Ref2],表格3[TOSHIBA/HIGHEST])</f>
        <v>Shops Highest Price</v>
      </c>
      <c r="W4158" s="86" t="str">
        <f>_xlfn.CONCAT(表格1[[#This Row],[欄4]],表格1[[#This Row],[inv no]])</f>
        <v/>
      </c>
    </row>
    <row r="4159" spans="1:23" hidden="1">
      <c r="A4159" s="81">
        <v>4157</v>
      </c>
      <c r="B4159" s="86" t="s">
        <v>1203</v>
      </c>
      <c r="C4159" s="86" t="s">
        <v>1977</v>
      </c>
      <c r="D4159" s="89" t="str">
        <f ca="1">OFFSET(Roster!$A$3,MATCH(表格1[[#This Row],[Location]]&amp;" "&amp;表格1[[#This Row],[Shop]]&amp;"*",Roster!$A$4:$A$72,0),DAY(表格1[[#This Row],[date]]),1,1)</f>
        <v>Jessica</v>
      </c>
      <c r="E4159" s="86">
        <f>MONTH(表格1[[#This Row],[date]])</f>
        <v>3</v>
      </c>
      <c r="F4159" s="90">
        <v>46109</v>
      </c>
      <c r="G4159" s="86" t="str">
        <f>VLOOKUP("*"&amp;表格1[[#This Row],[Input]]&amp;"*",'Ref-List'!$B:$D,2,)</f>
        <v>RAD-D300H</v>
      </c>
      <c r="H4159" s="86" t="str">
        <f>_xlfn.XLOOKUP(表格1[[#This Row],[Model]],表格3[Model-Input-Ref2],表格3[Product Line])</f>
        <v>壓縮式抽濕機 (30公升)</v>
      </c>
      <c r="I4159" s="86" t="str">
        <f>_xlfn.XLOOKUP(表格1[[#This Row],[Model]],表格3[Model-Input-Ref2],表格3[大小電])</f>
        <v>細電</v>
      </c>
      <c r="J4159" s="86" t="str">
        <f>_xlfn.XLOOKUP(表格1[[#This Row],[Model]],表格3[Model-Input-Ref2],表格3[Code])</f>
        <v>RAC</v>
      </c>
      <c r="K4159" s="89" t="s">
        <v>1252</v>
      </c>
      <c r="L4159" s="86">
        <v>1</v>
      </c>
      <c r="M4159" s="87">
        <v>2166</v>
      </c>
      <c r="N4159" s="87">
        <f>IFERROR(表格1[[#This Row],[QTY]]*表格1[[#This Row],[Unit Price]],"-")</f>
        <v>2166</v>
      </c>
      <c r="R4159" s="86" t="str">
        <f>_xlfn.CONCAT(表格1[[#This Row],[Model]]," ",表格1[[#This Row],[inv no]])</f>
        <v xml:space="preserve">RAD-D300H </v>
      </c>
      <c r="S4159" s="86">
        <f>_xlfn.XLOOKUP(表格1[[#This Row],[Model]],表格3[Model-Input-Ref2],表格3[SRP PRICE])</f>
        <v>3380</v>
      </c>
      <c r="T4159" s="43">
        <f>表格1[[#This Row],[Unit Price]]/表格1[[#This Row],[SRP]]</f>
        <v>0.64082840236686389</v>
      </c>
      <c r="U4159" s="86" t="str">
        <f>_xlfn.XLOOKUP(表格1[[#This Row],[Model]],表格3[Model-Input-Ref2],表格3[TOSHIBA/HIGHEST])</f>
        <v>Shops Highest Price</v>
      </c>
      <c r="W4159" s="86" t="str">
        <f>_xlfn.CONCAT(表格1[[#This Row],[欄4]],表格1[[#This Row],[inv no]])</f>
        <v/>
      </c>
    </row>
    <row r="4160" spans="1:23" hidden="1">
      <c r="A4160" s="81">
        <v>4158</v>
      </c>
      <c r="B4160" s="86" t="s">
        <v>1203</v>
      </c>
      <c r="C4160" s="86" t="s">
        <v>1977</v>
      </c>
      <c r="D4160" s="89" t="str">
        <f ca="1">OFFSET(Roster!$A$3,MATCH(表格1[[#This Row],[Location]]&amp;" "&amp;表格1[[#This Row],[Shop]]&amp;"*",Roster!$A$4:$A$72,0),DAY(表格1[[#This Row],[date]]),1,1)</f>
        <v>Jessica off</v>
      </c>
      <c r="E4160" s="86">
        <f>MONTH(表格1[[#This Row],[date]])</f>
        <v>3</v>
      </c>
      <c r="F4160" s="90">
        <v>46110</v>
      </c>
      <c r="G4160" s="86" t="str">
        <f>VLOOKUP("*"&amp;表格1[[#This Row],[Input]]&amp;"*",'Ref-List'!$B:$D,2,)</f>
        <v>RC-10NMFIH(WT)</v>
      </c>
      <c r="H4160" s="86" t="str">
        <f>_xlfn.XLOOKUP(表格1[[#This Row],[Model]],表格3[Model-Input-Ref2],表格3[Product Line])</f>
        <v>4毫米厚釜電飯煲1L</v>
      </c>
      <c r="I4160" s="86" t="str">
        <f>_xlfn.XLOOKUP(表格1[[#This Row],[Model]],表格3[Model-Input-Ref2],表格3[大小電])</f>
        <v>細電</v>
      </c>
      <c r="J4160" s="86" t="str">
        <f>_xlfn.XLOOKUP(表格1[[#This Row],[Model]],表格3[Model-Input-Ref2],表格3[Code])</f>
        <v>SDA</v>
      </c>
      <c r="K4160" s="89" t="s">
        <v>1244</v>
      </c>
      <c r="L4160" s="86">
        <v>1</v>
      </c>
      <c r="M4160" s="87">
        <v>720</v>
      </c>
      <c r="N4160" s="87">
        <f>IFERROR(表格1[[#This Row],[QTY]]*表格1[[#This Row],[Unit Price]],"-")</f>
        <v>720</v>
      </c>
      <c r="R4160" s="86" t="str">
        <f>_xlfn.CONCAT(表格1[[#This Row],[Model]]," ",表格1[[#This Row],[inv no]])</f>
        <v xml:space="preserve">RC-10NMFIH(WT) </v>
      </c>
      <c r="S4160" s="86">
        <f>_xlfn.XLOOKUP(表格1[[#This Row],[Model]],表格3[Model-Input-Ref2],表格3[SRP PRICE])</f>
        <v>898</v>
      </c>
      <c r="T4160" s="43">
        <f>表格1[[#This Row],[Unit Price]]/表格1[[#This Row],[SRP]]</f>
        <v>0.80178173719376389</v>
      </c>
      <c r="U4160" s="86" t="str">
        <f>_xlfn.XLOOKUP(表格1[[#This Row],[Model]],表格3[Model-Input-Ref2],表格3[TOSHIBA/HIGHEST])</f>
        <v>Toshiba SRP</v>
      </c>
      <c r="W4160" s="86" t="str">
        <f>_xlfn.CONCAT(表格1[[#This Row],[欄4]],表格1[[#This Row],[inv no]])</f>
        <v/>
      </c>
    </row>
    <row r="4161" spans="1:23" hidden="1">
      <c r="A4161" s="81">
        <v>4159</v>
      </c>
      <c r="B4161" s="86" t="s">
        <v>1203</v>
      </c>
      <c r="C4161" s="86" t="s">
        <v>1977</v>
      </c>
      <c r="D4161" s="89" t="str">
        <f ca="1">OFFSET(Roster!$A$3,MATCH(表格1[[#This Row],[Location]]&amp;" "&amp;表格1[[#This Row],[Shop]]&amp;"*",Roster!$A$4:$A$72,0),DAY(表格1[[#This Row],[date]]),1,1)</f>
        <v>Jessica off</v>
      </c>
      <c r="E4161" s="86">
        <f>MONTH(表格1[[#This Row],[date]])</f>
        <v>3</v>
      </c>
      <c r="F4161" s="90">
        <v>46110</v>
      </c>
      <c r="G4161" s="86" t="str">
        <f>VLOOKUP("*"&amp;表格1[[#This Row],[Input]]&amp;"*",'Ref-List'!$B:$D,2,)</f>
        <v>RC-5SLIH(W)</v>
      </c>
      <c r="H4161" s="86" t="str">
        <f>_xlfn.XLOOKUP(表格1[[#This Row],[Model]],表格3[Model-Input-Ref2],表格3[Product Line])</f>
        <v>微型電腦珍珠飯煲</v>
      </c>
      <c r="I4161" s="86" t="str">
        <f>_xlfn.XLOOKUP(表格1[[#This Row],[Model]],表格3[Model-Input-Ref2],表格3[大小電])</f>
        <v>細電</v>
      </c>
      <c r="J4161" s="86" t="str">
        <f>_xlfn.XLOOKUP(表格1[[#This Row],[Model]],表格3[Model-Input-Ref2],表格3[Code])</f>
        <v>SDA</v>
      </c>
      <c r="K4161" s="89" t="s">
        <v>1264</v>
      </c>
      <c r="L4161" s="86">
        <v>1</v>
      </c>
      <c r="M4161" s="87">
        <v>590</v>
      </c>
      <c r="N4161" s="87">
        <f>IFERROR(表格1[[#This Row],[QTY]]*表格1[[#This Row],[Unit Price]],"-")</f>
        <v>590</v>
      </c>
      <c r="R4161" s="86" t="str">
        <f>_xlfn.CONCAT(表格1[[#This Row],[Model]]," ",表格1[[#This Row],[inv no]])</f>
        <v xml:space="preserve">RC-5SLIH(W) </v>
      </c>
      <c r="S4161" s="86">
        <f>_xlfn.XLOOKUP(表格1[[#This Row],[Model]],表格3[Model-Input-Ref2],表格3[SRP PRICE])</f>
        <v>658</v>
      </c>
      <c r="T4161" s="43">
        <f>表格1[[#This Row],[Unit Price]]/表格1[[#This Row],[SRP]]</f>
        <v>0.89665653495440734</v>
      </c>
      <c r="U4161" s="86" t="str">
        <f>_xlfn.XLOOKUP(表格1[[#This Row],[Model]],表格3[Model-Input-Ref2],表格3[TOSHIBA/HIGHEST])</f>
        <v>Toshiba SRP</v>
      </c>
      <c r="W4161" s="86" t="str">
        <f>_xlfn.CONCAT(表格1[[#This Row],[欄4]],表格1[[#This Row],[inv no]])</f>
        <v/>
      </c>
    </row>
    <row r="4162" spans="1:23" hidden="1">
      <c r="A4162" s="81">
        <v>4160</v>
      </c>
      <c r="B4162" s="86" t="s">
        <v>1203</v>
      </c>
      <c r="C4162" s="86" t="s">
        <v>1977</v>
      </c>
      <c r="D4162" s="89" t="str">
        <f ca="1">OFFSET(Roster!$A$3,MATCH(表格1[[#This Row],[Location]]&amp;" "&amp;表格1[[#This Row],[Shop]]&amp;"*",Roster!$A$4:$A$72,0),DAY(表格1[[#This Row],[date]]),1,1)</f>
        <v>Jessica off</v>
      </c>
      <c r="E4162" s="86">
        <f>MONTH(表格1[[#This Row],[date]])</f>
        <v>3</v>
      </c>
      <c r="F4162" s="90">
        <v>46110</v>
      </c>
      <c r="G4162" s="86" t="str">
        <f>VLOOKUP("*"&amp;表格1[[#This Row],[Input]]&amp;"*",'Ref-List'!$B:$D,2,)</f>
        <v>F-LYA20(W)HKG</v>
      </c>
      <c r="H4162" s="86" t="str">
        <f>_xlfn.XLOOKUP(表格1[[#This Row],[Model]],表格3[Model-Input-Ref2],表格3[Product Line])</f>
        <v>12吋2合1座地座檯電風扇連遙控</v>
      </c>
      <c r="I4162" s="86" t="str">
        <f>_xlfn.XLOOKUP(表格1[[#This Row],[Model]],表格3[Model-Input-Ref2],表格3[大小電])</f>
        <v>細電</v>
      </c>
      <c r="J4162" s="86" t="str">
        <f>_xlfn.XLOOKUP(表格1[[#This Row],[Model]],表格3[Model-Input-Ref2],表格3[Code])</f>
        <v>EAD</v>
      </c>
      <c r="K4162" s="89" t="s">
        <v>1391</v>
      </c>
      <c r="L4162" s="86">
        <v>2</v>
      </c>
      <c r="M4162" s="87">
        <v>351.5</v>
      </c>
      <c r="N4162" s="87">
        <f>IFERROR(表格1[[#This Row],[QTY]]*表格1[[#This Row],[Unit Price]],"-")</f>
        <v>703</v>
      </c>
      <c r="R4162" s="86" t="str">
        <f>_xlfn.CONCAT(表格1[[#This Row],[Model]]," ",表格1[[#This Row],[inv no]])</f>
        <v xml:space="preserve">F-LYA20(W)HKG </v>
      </c>
      <c r="S4162" s="86">
        <f>_xlfn.XLOOKUP(表格1[[#This Row],[Model]],表格3[Model-Input-Ref2],表格3[SRP PRICE])</f>
        <v>988</v>
      </c>
      <c r="T4162" s="43">
        <f>表格1[[#This Row],[Unit Price]]/表格1[[#This Row],[SRP]]</f>
        <v>0.35576923076923078</v>
      </c>
      <c r="U4162" s="86" t="str">
        <f>_xlfn.XLOOKUP(表格1[[#This Row],[Model]],表格3[Model-Input-Ref2],表格3[TOSHIBA/HIGHEST])</f>
        <v>Toshiba SRP</v>
      </c>
      <c r="W4162" s="86" t="str">
        <f>_xlfn.CONCAT(表格1[[#This Row],[欄4]],表格1[[#This Row],[inv no]])</f>
        <v/>
      </c>
    </row>
    <row r="4163" spans="1:23" hidden="1">
      <c r="A4163" s="81">
        <v>4161</v>
      </c>
      <c r="B4163" s="86" t="s">
        <v>1203</v>
      </c>
      <c r="C4163" s="86" t="s">
        <v>1977</v>
      </c>
      <c r="D4163" s="89" t="str">
        <f ca="1">OFFSET(Roster!$A$3,MATCH(表格1[[#This Row],[Location]]&amp;" "&amp;表格1[[#This Row],[Shop]]&amp;"*",Roster!$A$4:$A$72,0),DAY(表格1[[#This Row],[date]]),1,1)</f>
        <v>Jessica off</v>
      </c>
      <c r="E4163" s="86">
        <f>MONTH(表格1[[#This Row],[date]])</f>
        <v>3</v>
      </c>
      <c r="F4163" s="90">
        <v>46110</v>
      </c>
      <c r="G4163" s="86" t="str">
        <f>VLOOKUP("*"&amp;表格1[[#This Row],[Input]]&amp;"*",'Ref-List'!$B:$D,2,)</f>
        <v>KT-17DRTHK(H)</v>
      </c>
      <c r="H4163" s="86" t="str">
        <f>_xlfn.XLOOKUP(表格1[[#This Row],[Model]],表格3[Model-Input-Ref2],表格3[Product Line])</f>
        <v>無線雙層電熱水壺(1.7公升)</v>
      </c>
      <c r="I4163" s="86" t="str">
        <f>_xlfn.XLOOKUP(表格1[[#This Row],[Model]],表格3[Model-Input-Ref2],表格3[大小電])</f>
        <v>細電</v>
      </c>
      <c r="J4163" s="86" t="str">
        <f>_xlfn.XLOOKUP(表格1[[#This Row],[Model]],表格3[Model-Input-Ref2],表格3[Code])</f>
        <v>SDA</v>
      </c>
      <c r="K4163" s="89" t="s">
        <v>1271</v>
      </c>
      <c r="L4163" s="86">
        <v>1</v>
      </c>
      <c r="M4163" s="87">
        <v>350</v>
      </c>
      <c r="N4163" s="87">
        <f>IFERROR(表格1[[#This Row],[QTY]]*表格1[[#This Row],[Unit Price]],"-")</f>
        <v>350</v>
      </c>
      <c r="R4163" s="86" t="str">
        <f>_xlfn.CONCAT(表格1[[#This Row],[Model]]," ",表格1[[#This Row],[inv no]])</f>
        <v xml:space="preserve">KT-17DRTHK(H) </v>
      </c>
      <c r="S4163" s="86">
        <f>_xlfn.XLOOKUP(表格1[[#This Row],[Model]],表格3[Model-Input-Ref2],表格3[SRP PRICE])</f>
        <v>498</v>
      </c>
      <c r="T4163" s="43">
        <f>表格1[[#This Row],[Unit Price]]/表格1[[#This Row],[SRP]]</f>
        <v>0.70281124497991965</v>
      </c>
      <c r="U4163" s="86" t="str">
        <f>_xlfn.XLOOKUP(表格1[[#This Row],[Model]],表格3[Model-Input-Ref2],表格3[TOSHIBA/HIGHEST])</f>
        <v>Toshiba SRP</v>
      </c>
      <c r="W4163" s="86" t="str">
        <f>_xlfn.CONCAT(表格1[[#This Row],[欄4]],表格1[[#This Row],[inv no]])</f>
        <v/>
      </c>
    </row>
    <row r="4164" spans="1:23" hidden="1">
      <c r="A4164" s="81">
        <v>4162</v>
      </c>
      <c r="B4164" s="86" t="s">
        <v>1203</v>
      </c>
      <c r="C4164" s="86" t="s">
        <v>1977</v>
      </c>
      <c r="D4164" s="89" t="str">
        <f ca="1">OFFSET(Roster!$A$3,MATCH(表格1[[#This Row],[Location]]&amp;" "&amp;表格1[[#This Row],[Shop]]&amp;"*",Roster!$A$4:$A$72,0),DAY(表格1[[#This Row],[date]]),1,1)</f>
        <v>Jessica off</v>
      </c>
      <c r="E4164" s="86">
        <f>MONTH(表格1[[#This Row],[date]])</f>
        <v>3</v>
      </c>
      <c r="F4164" s="90">
        <v>46110</v>
      </c>
      <c r="G4164" s="86" t="str">
        <f>VLOOKUP("*"&amp;表格1[[#This Row],[Input]]&amp;"*",'Ref-List'!$B:$D,2,)</f>
        <v>GR-RT300WE-PMA(57)</v>
      </c>
      <c r="H4164" s="86" t="str">
        <f>_xlfn.XLOOKUP(表格1[[#This Row],[Model]],表格3[Model-Input-Ref2],表格3[Product Line])</f>
        <v>變頻式環保雙門雪櫃(233L)</v>
      </c>
      <c r="I4164" s="86" t="str">
        <f>_xlfn.XLOOKUP(表格1[[#This Row],[Model]],表格3[Model-Input-Ref2],表格3[大小電])</f>
        <v>大電</v>
      </c>
      <c r="J4164" s="86" t="str">
        <f>_xlfn.XLOOKUP(表格1[[#This Row],[Model]],表格3[Model-Input-Ref2],表格3[Code])</f>
        <v>REF</v>
      </c>
      <c r="K4164" s="89" t="s">
        <v>1462</v>
      </c>
      <c r="L4164" s="86">
        <v>1</v>
      </c>
      <c r="M4164" s="87">
        <v>2780</v>
      </c>
      <c r="N4164" s="87">
        <f>IFERROR(表格1[[#This Row],[QTY]]*表格1[[#This Row],[Unit Price]],"-")</f>
        <v>2780</v>
      </c>
      <c r="O4164" s="86">
        <v>6039975</v>
      </c>
      <c r="R4164" s="86" t="str">
        <f>_xlfn.CONCAT(表格1[[#This Row],[Model]]," ",表格1[[#This Row],[inv no]])</f>
        <v>GR-RT300WE-PMA(57) 6039975</v>
      </c>
      <c r="S4164" s="86">
        <f>_xlfn.XLOOKUP(表格1[[#This Row],[Model]],表格3[Model-Input-Ref2],表格3[SRP PRICE])</f>
        <v>4280</v>
      </c>
      <c r="T4164" s="43">
        <f>表格1[[#This Row],[Unit Price]]/表格1[[#This Row],[SRP]]</f>
        <v>0.64953271028037385</v>
      </c>
      <c r="U4164" s="86" t="str">
        <f>_xlfn.XLOOKUP(表格1[[#This Row],[Model]],表格3[Model-Input-Ref2],表格3[TOSHIBA/HIGHEST])</f>
        <v>Toshiba SRP</v>
      </c>
      <c r="W4164" s="86" t="str">
        <f>_xlfn.CONCAT(表格1[[#This Row],[欄4]],表格1[[#This Row],[inv no]])</f>
        <v>6039975</v>
      </c>
    </row>
    <row r="4165" spans="1:23" hidden="1">
      <c r="A4165" s="81">
        <v>4163</v>
      </c>
      <c r="B4165" s="86" t="s">
        <v>1203</v>
      </c>
      <c r="C4165" s="86" t="s">
        <v>1977</v>
      </c>
      <c r="D4165" s="89" t="str">
        <f ca="1">OFFSET(Roster!$A$3,MATCH(表格1[[#This Row],[Location]]&amp;" "&amp;表格1[[#This Row],[Shop]]&amp;"*",Roster!$A$4:$A$72,0),DAY(表格1[[#This Row],[date]]),1,1)</f>
        <v>Jessica off</v>
      </c>
      <c r="E4165" s="86">
        <f>MONTH(表格1[[#This Row],[date]])</f>
        <v>3</v>
      </c>
      <c r="F4165" s="90">
        <v>46110</v>
      </c>
      <c r="G4165" s="86" t="str">
        <f>VLOOKUP("*"&amp;表格1[[#This Row],[Input]]&amp;"*",'Ref-List'!$B:$D,2,)</f>
        <v>AW-Q901BPH(WW)</v>
      </c>
      <c r="H4165" s="86" t="str">
        <f>_xlfn.XLOOKUP(表格1[[#This Row],[Model]],表格3[Model-Input-Ref2],表格3[Product Line])</f>
        <v>日式洗衣機 (8公斤 結合高低水位)</v>
      </c>
      <c r="I4165" s="86" t="str">
        <f>_xlfn.XLOOKUP(表格1[[#This Row],[Model]],表格3[Model-Input-Ref2],表格3[大小電])</f>
        <v>大電</v>
      </c>
      <c r="J4165" s="86" t="str">
        <f>_xlfn.XLOOKUP(表格1[[#This Row],[Model]],表格3[Model-Input-Ref2],表格3[Code])</f>
        <v>LAD</v>
      </c>
      <c r="K4165" s="89" t="s">
        <v>1411</v>
      </c>
      <c r="L4165" s="86">
        <v>1</v>
      </c>
      <c r="M4165" s="87">
        <v>2166</v>
      </c>
      <c r="N4165" s="87">
        <f>IFERROR(表格1[[#This Row],[QTY]]*表格1[[#This Row],[Unit Price]],"-")</f>
        <v>2166</v>
      </c>
      <c r="O4165" s="86">
        <v>5725728</v>
      </c>
      <c r="R4165" s="86" t="str">
        <f>_xlfn.CONCAT(表格1[[#This Row],[Model]]," ",表格1[[#This Row],[inv no]])</f>
        <v>AW-Q901BPH(WW) 5725728</v>
      </c>
      <c r="S4165" s="86">
        <f>_xlfn.XLOOKUP(表格1[[#This Row],[Model]],表格3[Model-Input-Ref2],表格3[SRP PRICE])</f>
        <v>3780</v>
      </c>
      <c r="T4165" s="43">
        <f>表格1[[#This Row],[Unit Price]]/表格1[[#This Row],[SRP]]</f>
        <v>0.57301587301587298</v>
      </c>
      <c r="U4165" s="86" t="str">
        <f>_xlfn.XLOOKUP(表格1[[#This Row],[Model]],表格3[Model-Input-Ref2],表格3[TOSHIBA/HIGHEST])</f>
        <v>Toshiba SRP</v>
      </c>
      <c r="W4165" s="86" t="str">
        <f>_xlfn.CONCAT(表格1[[#This Row],[欄4]],表格1[[#This Row],[inv no]])</f>
        <v>5725728</v>
      </c>
    </row>
    <row r="4166" spans="1:23" hidden="1">
      <c r="A4166" s="81">
        <v>4164</v>
      </c>
      <c r="B4166" s="86" t="s">
        <v>1203</v>
      </c>
      <c r="C4166" s="86" t="s">
        <v>1977</v>
      </c>
      <c r="D4166" s="89" t="str">
        <f ca="1">OFFSET(Roster!$A$3,MATCH(表格1[[#This Row],[Location]]&amp;" "&amp;表格1[[#This Row],[Shop]]&amp;"*",Roster!$A$4:$A$72,0),DAY(表格1[[#This Row],[date]]),1,1)</f>
        <v>Jessica off</v>
      </c>
      <c r="E4166" s="86">
        <f>MONTH(表格1[[#This Row],[date]])</f>
        <v>3</v>
      </c>
      <c r="F4166" s="90">
        <v>46111</v>
      </c>
      <c r="G4166" s="86" t="str">
        <f>VLOOKUP("*"&amp;表格1[[#This Row],[Input]]&amp;"*",'Ref-List'!$B:$D,2,)</f>
        <v>RC-5SLIH(W)</v>
      </c>
      <c r="H4166" s="86" t="str">
        <f>_xlfn.XLOOKUP(表格1[[#This Row],[Model]],表格3[Model-Input-Ref2],表格3[Product Line])</f>
        <v>微型電腦珍珠飯煲</v>
      </c>
      <c r="I4166" s="86" t="str">
        <f>_xlfn.XLOOKUP(表格1[[#This Row],[Model]],表格3[Model-Input-Ref2],表格3[大小電])</f>
        <v>細電</v>
      </c>
      <c r="J4166" s="86" t="str">
        <f>_xlfn.XLOOKUP(表格1[[#This Row],[Model]],表格3[Model-Input-Ref2],表格3[Code])</f>
        <v>SDA</v>
      </c>
      <c r="K4166" s="89" t="s">
        <v>1264</v>
      </c>
      <c r="L4166" s="86">
        <v>2</v>
      </c>
      <c r="M4166" s="87">
        <v>590</v>
      </c>
      <c r="N4166" s="87">
        <f>IFERROR(表格1[[#This Row],[QTY]]*表格1[[#This Row],[Unit Price]],"-")</f>
        <v>1180</v>
      </c>
      <c r="R4166" s="86" t="str">
        <f>_xlfn.CONCAT(表格1[[#This Row],[Model]]," ",表格1[[#This Row],[inv no]])</f>
        <v xml:space="preserve">RC-5SLIH(W) </v>
      </c>
      <c r="S4166" s="86">
        <f>_xlfn.XLOOKUP(表格1[[#This Row],[Model]],表格3[Model-Input-Ref2],表格3[SRP PRICE])</f>
        <v>658</v>
      </c>
      <c r="T4166" s="43">
        <f>表格1[[#This Row],[Unit Price]]/表格1[[#This Row],[SRP]]</f>
        <v>0.89665653495440734</v>
      </c>
      <c r="U4166" s="86" t="str">
        <f>_xlfn.XLOOKUP(表格1[[#This Row],[Model]],表格3[Model-Input-Ref2],表格3[TOSHIBA/HIGHEST])</f>
        <v>Toshiba SRP</v>
      </c>
      <c r="W4166" s="86" t="str">
        <f>_xlfn.CONCAT(表格1[[#This Row],[欄4]],表格1[[#This Row],[inv no]])</f>
        <v/>
      </c>
    </row>
    <row r="4167" spans="1:23" hidden="1">
      <c r="A4167" s="81">
        <v>4165</v>
      </c>
      <c r="B4167" s="86" t="s">
        <v>1203</v>
      </c>
      <c r="C4167" s="86" t="s">
        <v>1977</v>
      </c>
      <c r="D4167" s="89" t="str">
        <f ca="1">OFFSET(Roster!$A$3,MATCH(表格1[[#This Row],[Location]]&amp;" "&amp;表格1[[#This Row],[Shop]]&amp;"*",Roster!$A$4:$A$72,0),DAY(表格1[[#This Row],[date]]),1,1)</f>
        <v>Jessica off</v>
      </c>
      <c r="E4167" s="86">
        <f>MONTH(表格1[[#This Row],[date]])</f>
        <v>3</v>
      </c>
      <c r="F4167" s="90">
        <v>46111</v>
      </c>
      <c r="G4167" s="86" t="str">
        <f>VLOOKUP("*"&amp;表格1[[#This Row],[Input]]&amp;"*",'Ref-List'!$B:$D,2,)</f>
        <v>F-LYA20(W)HKG</v>
      </c>
      <c r="H4167" s="86" t="str">
        <f>_xlfn.XLOOKUP(表格1[[#This Row],[Model]],表格3[Model-Input-Ref2],表格3[Product Line])</f>
        <v>12吋2合1座地座檯電風扇連遙控</v>
      </c>
      <c r="I4167" s="86" t="str">
        <f>_xlfn.XLOOKUP(表格1[[#This Row],[Model]],表格3[Model-Input-Ref2],表格3[大小電])</f>
        <v>細電</v>
      </c>
      <c r="J4167" s="86" t="str">
        <f>_xlfn.XLOOKUP(表格1[[#This Row],[Model]],表格3[Model-Input-Ref2],表格3[Code])</f>
        <v>EAD</v>
      </c>
      <c r="K4167" s="89" t="s">
        <v>1391</v>
      </c>
      <c r="L4167" s="86">
        <v>2</v>
      </c>
      <c r="M4167" s="87">
        <v>351.5</v>
      </c>
      <c r="N4167" s="87">
        <f>IFERROR(表格1[[#This Row],[QTY]]*表格1[[#This Row],[Unit Price]],"-")</f>
        <v>703</v>
      </c>
      <c r="R4167" s="86" t="str">
        <f>_xlfn.CONCAT(表格1[[#This Row],[Model]]," ",表格1[[#This Row],[inv no]])</f>
        <v xml:space="preserve">F-LYA20(W)HKG </v>
      </c>
      <c r="S4167" s="86">
        <f>_xlfn.XLOOKUP(表格1[[#This Row],[Model]],表格3[Model-Input-Ref2],表格3[SRP PRICE])</f>
        <v>988</v>
      </c>
      <c r="T4167" s="43">
        <f>表格1[[#This Row],[Unit Price]]/表格1[[#This Row],[SRP]]</f>
        <v>0.35576923076923078</v>
      </c>
      <c r="U4167" s="86" t="str">
        <f>_xlfn.XLOOKUP(表格1[[#This Row],[Model]],表格3[Model-Input-Ref2],表格3[TOSHIBA/HIGHEST])</f>
        <v>Toshiba SRP</v>
      </c>
      <c r="W4167" s="86" t="str">
        <f>_xlfn.CONCAT(表格1[[#This Row],[欄4]],表格1[[#This Row],[inv no]])</f>
        <v/>
      </c>
    </row>
    <row r="4168" spans="1:23" hidden="1">
      <c r="A4168" s="81">
        <v>4166</v>
      </c>
      <c r="B4168" s="86" t="s">
        <v>1203</v>
      </c>
      <c r="C4168" s="86" t="s">
        <v>1977</v>
      </c>
      <c r="D4168" s="89" t="str">
        <f ca="1">OFFSET(Roster!$A$3,MATCH(表格1[[#This Row],[Location]]&amp;" "&amp;表格1[[#This Row],[Shop]]&amp;"*",Roster!$A$4:$A$72,0),DAY(表格1[[#This Row],[date]]),1,1)</f>
        <v>Jessica</v>
      </c>
      <c r="E4168" s="86">
        <f>MONTH(表格1[[#This Row],[date]])</f>
        <v>3</v>
      </c>
      <c r="F4168" s="90">
        <v>46112</v>
      </c>
      <c r="G4168" s="86" t="str">
        <f>VLOOKUP("*"&amp;表格1[[#This Row],[Input]]&amp;"*",'Ref-List'!$B:$D,2,)</f>
        <v>KT-17SHNH</v>
      </c>
      <c r="H4168" s="86" t="str">
        <f>_xlfn.XLOOKUP(表格1[[#This Row],[Model]],表格3[Model-Input-Ref2],表格3[Product Line])</f>
        <v>1.7L無線雙層電熱水壺</v>
      </c>
      <c r="I4168" s="86" t="str">
        <f>_xlfn.XLOOKUP(表格1[[#This Row],[Model]],表格3[Model-Input-Ref2],表格3[大小電])</f>
        <v>細電</v>
      </c>
      <c r="J4168" s="86" t="str">
        <f>_xlfn.XLOOKUP(表格1[[#This Row],[Model]],表格3[Model-Input-Ref2],表格3[Code])</f>
        <v>SDA</v>
      </c>
      <c r="K4168" s="89" t="s">
        <v>1283</v>
      </c>
      <c r="L4168" s="86">
        <v>1</v>
      </c>
      <c r="M4168" s="87">
        <v>190</v>
      </c>
      <c r="N4168" s="87">
        <f>IFERROR(表格1[[#This Row],[QTY]]*表格1[[#This Row],[Unit Price]],"-")</f>
        <v>190</v>
      </c>
      <c r="R4168" s="86" t="str">
        <f>_xlfn.CONCAT(表格1[[#This Row],[Model]]," ",表格1[[#This Row],[inv no]])</f>
        <v xml:space="preserve">KT-17SHNH </v>
      </c>
      <c r="S4168" s="86">
        <f>_xlfn.XLOOKUP(表格1[[#This Row],[Model]],表格3[Model-Input-Ref2],表格3[SRP PRICE])</f>
        <v>299</v>
      </c>
      <c r="T4168" s="43">
        <f>表格1[[#This Row],[Unit Price]]/表格1[[#This Row],[SRP]]</f>
        <v>0.63545150501672243</v>
      </c>
      <c r="U4168" s="86" t="str">
        <f>_xlfn.XLOOKUP(表格1[[#This Row],[Model]],表格3[Model-Input-Ref2],表格3[TOSHIBA/HIGHEST])</f>
        <v>Shops Highest Price</v>
      </c>
      <c r="W4168" s="86" t="str">
        <f>_xlfn.CONCAT(表格1[[#This Row],[欄4]],表格1[[#This Row],[inv no]])</f>
        <v/>
      </c>
    </row>
    <row r="4169" spans="1:23" hidden="1">
      <c r="A4169" s="81">
        <v>4167</v>
      </c>
      <c r="B4169" s="86" t="s">
        <v>1203</v>
      </c>
      <c r="C4169" s="86" t="s">
        <v>1977</v>
      </c>
      <c r="D4169" s="89" t="str">
        <f ca="1">OFFSET(Roster!$A$3,MATCH(表格1[[#This Row],[Location]]&amp;" "&amp;表格1[[#This Row],[Shop]]&amp;"*",Roster!$A$4:$A$72,0),DAY(表格1[[#This Row],[date]]),1,1)</f>
        <v>Jessica</v>
      </c>
      <c r="E4169" s="86">
        <f>MONTH(表格1[[#This Row],[date]])</f>
        <v>3</v>
      </c>
      <c r="F4169" s="90">
        <v>46112</v>
      </c>
      <c r="G4169" s="86" t="str">
        <f>VLOOKUP("*"&amp;表格1[[#This Row],[Input]]&amp;"*",'Ref-List'!$B:$D,2,)</f>
        <v>RC-5MMIH(WT)</v>
      </c>
      <c r="H4169" s="86" t="str">
        <f>_xlfn.XLOOKUP(表格1[[#This Row],[Model]],表格3[Model-Input-Ref2],表格3[Product Line])</f>
        <v>4毫米厚釜電飯煲0.54L</v>
      </c>
      <c r="I4169" s="86" t="str">
        <f>_xlfn.XLOOKUP(表格1[[#This Row],[Model]],表格3[Model-Input-Ref2],表格3[大小電])</f>
        <v>細電</v>
      </c>
      <c r="J4169" s="86" t="str">
        <f>_xlfn.XLOOKUP(表格1[[#This Row],[Model]],表格3[Model-Input-Ref2],表格3[Code])</f>
        <v>SDA</v>
      </c>
      <c r="K4169" s="89" t="s">
        <v>1195</v>
      </c>
      <c r="L4169" s="86">
        <v>1</v>
      </c>
      <c r="M4169" s="87">
        <v>490</v>
      </c>
      <c r="N4169" s="87">
        <f>IFERROR(表格1[[#This Row],[QTY]]*表格1[[#This Row],[Unit Price]],"-")</f>
        <v>490</v>
      </c>
      <c r="R4169" s="86" t="str">
        <f>_xlfn.CONCAT(表格1[[#This Row],[Model]]," ",表格1[[#This Row],[inv no]])</f>
        <v xml:space="preserve">RC-5MMIH(WT) </v>
      </c>
      <c r="S4169" s="86">
        <f>_xlfn.XLOOKUP(表格1[[#This Row],[Model]],表格3[Model-Input-Ref2],表格3[SRP PRICE])</f>
        <v>618</v>
      </c>
      <c r="T4169" s="43">
        <f>表格1[[#This Row],[Unit Price]]/表格1[[#This Row],[SRP]]</f>
        <v>0.79288025889967639</v>
      </c>
      <c r="U4169" s="86" t="str">
        <f>_xlfn.XLOOKUP(表格1[[#This Row],[Model]],表格3[Model-Input-Ref2],表格3[TOSHIBA/HIGHEST])</f>
        <v>Toshiba SRP</v>
      </c>
      <c r="W4169" s="86" t="str">
        <f>_xlfn.CONCAT(表格1[[#This Row],[欄4]],表格1[[#This Row],[inv no]])</f>
        <v/>
      </c>
    </row>
    <row r="4170" spans="1:23" hidden="1">
      <c r="A4170" s="81">
        <v>4168</v>
      </c>
      <c r="B4170" s="86" t="s">
        <v>1203</v>
      </c>
      <c r="C4170" s="86" t="s">
        <v>1977</v>
      </c>
      <c r="D4170" s="89" t="str">
        <f ca="1">OFFSET(Roster!$A$3,MATCH(表格1[[#This Row],[Location]]&amp;" "&amp;表格1[[#This Row],[Shop]]&amp;"*",Roster!$A$4:$A$72,0),DAY(表格1[[#This Row],[date]]),1,1)</f>
        <v>Jessica</v>
      </c>
      <c r="E4170" s="86">
        <f>MONTH(表格1[[#This Row],[date]])</f>
        <v>3</v>
      </c>
      <c r="F4170" s="90">
        <v>46112</v>
      </c>
      <c r="G4170" s="86" t="str">
        <f>VLOOKUP("*"&amp;表格1[[#This Row],[Input]]&amp;"*",'Ref-List'!$B:$D,2,)</f>
        <v>MWP-MM20P(WH)</v>
      </c>
      <c r="H4170" s="86" t="str">
        <f>_xlfn.XLOOKUP(表格1[[#This Row],[Model]],表格3[Model-Input-Ref2],表格3[Product Line])</f>
        <v>旋鈕式燒烤微波爐20L</v>
      </c>
      <c r="I4170" s="86" t="str">
        <f>_xlfn.XLOOKUP(表格1[[#This Row],[Model]],表格3[Model-Input-Ref2],表格3[大小電])</f>
        <v>細電</v>
      </c>
      <c r="J4170" s="86" t="str">
        <f>_xlfn.XLOOKUP(表格1[[#This Row],[Model]],表格3[Model-Input-Ref2],表格3[Code])</f>
        <v>SDA</v>
      </c>
      <c r="K4170" s="89" t="s">
        <v>1270</v>
      </c>
      <c r="L4170" s="86">
        <v>1</v>
      </c>
      <c r="M4170" s="87">
        <v>580</v>
      </c>
      <c r="N4170" s="87">
        <f>IFERROR(表格1[[#This Row],[QTY]]*表格1[[#This Row],[Unit Price]],"-")</f>
        <v>580</v>
      </c>
      <c r="R4170" s="86" t="str">
        <f>_xlfn.CONCAT(表格1[[#This Row],[Model]]," ",表格1[[#This Row],[inv no]])</f>
        <v xml:space="preserve">MWP-MM20P(WH) </v>
      </c>
      <c r="S4170" s="86">
        <f>_xlfn.XLOOKUP(表格1[[#This Row],[Model]],表格3[Model-Input-Ref2],表格3[SRP PRICE])</f>
        <v>648</v>
      </c>
      <c r="T4170" s="43">
        <f>表格1[[#This Row],[Unit Price]]/表格1[[#This Row],[SRP]]</f>
        <v>0.89506172839506171</v>
      </c>
      <c r="U4170" s="86" t="str">
        <f>_xlfn.XLOOKUP(表格1[[#This Row],[Model]],表格3[Model-Input-Ref2],表格3[TOSHIBA/HIGHEST])</f>
        <v>Toshiba SRP</v>
      </c>
      <c r="W4170" s="86" t="str">
        <f>_xlfn.CONCAT(表格1[[#This Row],[欄4]],表格1[[#This Row],[inv no]])</f>
        <v/>
      </c>
    </row>
    <row r="4171" spans="1:23" hidden="1">
      <c r="A4171" s="81">
        <v>4169</v>
      </c>
      <c r="B4171" s="86" t="s">
        <v>1203</v>
      </c>
      <c r="C4171" s="86" t="s">
        <v>1977</v>
      </c>
      <c r="D4171" s="89" t="str">
        <f ca="1">OFFSET(Roster!$A$3,MATCH(表格1[[#This Row],[Location]]&amp;" "&amp;表格1[[#This Row],[Shop]]&amp;"*",Roster!$A$4:$A$72,0),DAY(表格1[[#This Row],[date]]),1,1)</f>
        <v>Jessica</v>
      </c>
      <c r="E4171" s="86">
        <f>MONTH(表格1[[#This Row],[date]])</f>
        <v>3</v>
      </c>
      <c r="F4171" s="90">
        <v>46112</v>
      </c>
      <c r="G4171" s="86" t="str">
        <f>VLOOKUP("*"&amp;表格1[[#This Row],[Input]]&amp;"*",'Ref-List'!$B:$D,2,)</f>
        <v>MW3-SAC24SE(BK)</v>
      </c>
      <c r="H4171" s="86" t="str">
        <f>_xlfn.XLOOKUP(表格1[[#This Row],[Model]],表格3[Model-Input-Ref2],表格3[Product Line])</f>
        <v>智能氣炸烤焗爐(24公升)</v>
      </c>
      <c r="I4171" s="86" t="str">
        <f>_xlfn.XLOOKUP(表格1[[#This Row],[Model]],表格3[Model-Input-Ref2],表格3[大小電])</f>
        <v>細電</v>
      </c>
      <c r="J4171" s="86" t="str">
        <f>_xlfn.XLOOKUP(表格1[[#This Row],[Model]],表格3[Model-Input-Ref2],表格3[Code])</f>
        <v>MCA</v>
      </c>
      <c r="K4171" s="89" t="s">
        <v>1274</v>
      </c>
      <c r="L4171" s="86">
        <v>1</v>
      </c>
      <c r="M4171" s="87">
        <v>1390</v>
      </c>
      <c r="N4171" s="87">
        <f>IFERROR(表格1[[#This Row],[QTY]]*表格1[[#This Row],[Unit Price]],"-")</f>
        <v>1390</v>
      </c>
      <c r="R4171" s="86" t="str">
        <f>_xlfn.CONCAT(表格1[[#This Row],[Model]]," ",表格1[[#This Row],[inv no]])</f>
        <v xml:space="preserve">MW3-SAC24SE(BK) </v>
      </c>
      <c r="S4171" s="86">
        <f>_xlfn.XLOOKUP(表格1[[#This Row],[Model]],表格3[Model-Input-Ref2],表格3[SRP PRICE])</f>
        <v>1680</v>
      </c>
      <c r="T4171" s="43">
        <f>表格1[[#This Row],[Unit Price]]/表格1[[#This Row],[SRP]]</f>
        <v>0.82738095238095233</v>
      </c>
      <c r="U4171" s="86" t="str">
        <f>_xlfn.XLOOKUP(表格1[[#This Row],[Model]],表格3[Model-Input-Ref2],表格3[TOSHIBA/HIGHEST])</f>
        <v>Toshiba SRP</v>
      </c>
      <c r="W4171" s="86" t="str">
        <f>_xlfn.CONCAT(表格1[[#This Row],[欄4]],表格1[[#This Row],[inv no]])</f>
        <v/>
      </c>
    </row>
    <row r="4172" spans="1:23" hidden="1">
      <c r="A4172" s="81">
        <v>4170</v>
      </c>
      <c r="B4172" s="86" t="s">
        <v>1203</v>
      </c>
      <c r="C4172" s="86" t="s">
        <v>1977</v>
      </c>
      <c r="D4172" s="89" t="str">
        <f ca="1">OFFSET(Roster!$A$3,MATCH(表格1[[#This Row],[Location]]&amp;" "&amp;表格1[[#This Row],[Shop]]&amp;"*",Roster!$A$4:$A$72,0),DAY(表格1[[#This Row],[date]]),1,1)</f>
        <v>Jessica</v>
      </c>
      <c r="E4172" s="86">
        <f>MONTH(表格1[[#This Row],[date]])</f>
        <v>3</v>
      </c>
      <c r="F4172" s="90">
        <v>46112</v>
      </c>
      <c r="G4172" s="86" t="str">
        <f>VLOOKUP("*"&amp;表格1[[#This Row],[Input]]&amp;"*",'Ref-List'!$B:$D,2,)</f>
        <v>F-LYA20(W)HKG</v>
      </c>
      <c r="H4172" s="86" t="str">
        <f>_xlfn.XLOOKUP(表格1[[#This Row],[Model]],表格3[Model-Input-Ref2],表格3[Product Line])</f>
        <v>12吋2合1座地座檯電風扇連遙控</v>
      </c>
      <c r="I4172" s="86" t="str">
        <f>_xlfn.XLOOKUP(表格1[[#This Row],[Model]],表格3[Model-Input-Ref2],表格3[大小電])</f>
        <v>細電</v>
      </c>
      <c r="J4172" s="86" t="str">
        <f>_xlfn.XLOOKUP(表格1[[#This Row],[Model]],表格3[Model-Input-Ref2],表格3[Code])</f>
        <v>EAD</v>
      </c>
      <c r="K4172" s="89" t="s">
        <v>1391</v>
      </c>
      <c r="L4172" s="86">
        <v>2</v>
      </c>
      <c r="M4172" s="87">
        <v>342.7</v>
      </c>
      <c r="N4172" s="87">
        <f>IFERROR(表格1[[#This Row],[QTY]]*表格1[[#This Row],[Unit Price]],"-")</f>
        <v>685.4</v>
      </c>
      <c r="R4172" s="86" t="str">
        <f>_xlfn.CONCAT(表格1[[#This Row],[Model]]," ",表格1[[#This Row],[inv no]])</f>
        <v xml:space="preserve">F-LYA20(W)HKG </v>
      </c>
      <c r="S4172" s="86">
        <f>_xlfn.XLOOKUP(表格1[[#This Row],[Model]],表格3[Model-Input-Ref2],表格3[SRP PRICE])</f>
        <v>988</v>
      </c>
      <c r="T4172" s="43">
        <f>表格1[[#This Row],[Unit Price]]/表格1[[#This Row],[SRP]]</f>
        <v>0.34686234817813766</v>
      </c>
      <c r="U4172" s="86" t="str">
        <f>_xlfn.XLOOKUP(表格1[[#This Row],[Model]],表格3[Model-Input-Ref2],表格3[TOSHIBA/HIGHEST])</f>
        <v>Toshiba SRP</v>
      </c>
      <c r="W4172" s="86" t="str">
        <f>_xlfn.CONCAT(表格1[[#This Row],[欄4]],表格1[[#This Row],[inv no]])</f>
        <v/>
      </c>
    </row>
    <row r="4173" spans="1:23" hidden="1">
      <c r="A4173" s="81">
        <v>4171</v>
      </c>
      <c r="B4173" s="86" t="s">
        <v>1417</v>
      </c>
      <c r="C4173" s="86" t="s">
        <v>1980</v>
      </c>
      <c r="D4173" s="89" t="str">
        <f ca="1">OFFSET(Roster!$A$3,MATCH(表格1[[#This Row],[Location]]&amp;" "&amp;表格1[[#This Row],[Shop]]&amp;"*",Roster!$A$4:$A$72,0),DAY(表格1[[#This Row],[date]]),1,1)</f>
        <v>Maggie Ho_2</v>
      </c>
      <c r="E4173" s="86">
        <f>MONTH(表格1[[#This Row],[date]])</f>
        <v>3</v>
      </c>
      <c r="F4173" s="90">
        <v>46097</v>
      </c>
      <c r="G4173" s="86" t="str">
        <f>VLOOKUP("*"&amp;表格1[[#This Row],[Input]]&amp;"*",'Ref-List'!$B:$D,2,)</f>
        <v>RC-10NMFIH(WT)</v>
      </c>
      <c r="H4173" s="86" t="str">
        <f>_xlfn.XLOOKUP(表格1[[#This Row],[Model]],表格3[Model-Input-Ref2],表格3[Product Line])</f>
        <v>4毫米厚釜電飯煲1L</v>
      </c>
      <c r="I4173" s="86" t="str">
        <f>_xlfn.XLOOKUP(表格1[[#This Row],[Model]],表格3[Model-Input-Ref2],表格3[大小電])</f>
        <v>細電</v>
      </c>
      <c r="J4173" s="86" t="str">
        <f>_xlfn.XLOOKUP(表格1[[#This Row],[Model]],表格3[Model-Input-Ref2],表格3[Code])</f>
        <v>SDA</v>
      </c>
      <c r="K4173" s="89" t="s">
        <v>1244</v>
      </c>
      <c r="L4173" s="86">
        <v>1</v>
      </c>
      <c r="M4173" s="87">
        <v>718</v>
      </c>
      <c r="N4173" s="87">
        <f>IFERROR(表格1[[#This Row],[QTY]]*表格1[[#This Row],[Unit Price]],"-")</f>
        <v>718</v>
      </c>
      <c r="O4173" s="86" t="s">
        <v>1983</v>
      </c>
      <c r="R4173" s="86" t="str">
        <f>_xlfn.CONCAT(表格1[[#This Row],[Model]]," ",表格1[[#This Row],[inv no]])</f>
        <v>RC-10NMFIH(WT) S161-621924</v>
      </c>
      <c r="S4173" s="86">
        <f>_xlfn.XLOOKUP(表格1[[#This Row],[Model]],表格3[Model-Input-Ref2],表格3[SRP PRICE])</f>
        <v>898</v>
      </c>
      <c r="T4173" s="43">
        <f>表格1[[#This Row],[Unit Price]]/表格1[[#This Row],[SRP]]</f>
        <v>0.79955456570155903</v>
      </c>
      <c r="U4173" s="86" t="str">
        <f>_xlfn.XLOOKUP(表格1[[#This Row],[Model]],表格3[Model-Input-Ref2],表格3[TOSHIBA/HIGHEST])</f>
        <v>Toshiba SRP</v>
      </c>
      <c r="W4173" s="86" t="str">
        <f>_xlfn.CONCAT(表格1[[#This Row],[欄4]],表格1[[#This Row],[inv no]])</f>
        <v>S161-621924</v>
      </c>
    </row>
    <row r="4174" spans="1:23" hidden="1">
      <c r="A4174" s="81">
        <v>4172</v>
      </c>
      <c r="B4174" s="86" t="s">
        <v>1417</v>
      </c>
      <c r="C4174" s="86" t="s">
        <v>1980</v>
      </c>
      <c r="D4174" s="89" t="str">
        <f ca="1">OFFSET(Roster!$A$3,MATCH(表格1[[#This Row],[Location]]&amp;" "&amp;表格1[[#This Row],[Shop]]&amp;"*",Roster!$A$4:$A$72,0),DAY(表格1[[#This Row],[date]]),1,1)</f>
        <v>Maggie Ho_2</v>
      </c>
      <c r="E4174" s="86">
        <f>MONTH(表格1[[#This Row],[date]])</f>
        <v>3</v>
      </c>
      <c r="F4174" s="90">
        <v>46097</v>
      </c>
      <c r="G4174" s="86" t="str">
        <f>VLOOKUP("*"&amp;表格1[[#This Row],[Input]]&amp;"*",'Ref-List'!$B:$D,2,)</f>
        <v>MM2-EM20PC(WH)</v>
      </c>
      <c r="H4174" s="86" t="str">
        <f>_xlfn.XLOOKUP(表格1[[#This Row],[Model]],表格3[Model-Input-Ref2],表格3[Product Line])</f>
        <v>輕觸式微波爐 (20公升)</v>
      </c>
      <c r="I4174" s="86" t="str">
        <f>_xlfn.XLOOKUP(表格1[[#This Row],[Model]],表格3[Model-Input-Ref2],表格3[大小電])</f>
        <v>細電</v>
      </c>
      <c r="J4174" s="86" t="str">
        <f>_xlfn.XLOOKUP(表格1[[#This Row],[Model]],表格3[Model-Input-Ref2],表格3[Code])</f>
        <v>MCA</v>
      </c>
      <c r="K4174" s="89" t="s">
        <v>1276</v>
      </c>
      <c r="L4174" s="86">
        <v>1</v>
      </c>
      <c r="M4174" s="87">
        <v>598</v>
      </c>
      <c r="N4174" s="87">
        <f>IFERROR(表格1[[#This Row],[QTY]]*表格1[[#This Row],[Unit Price]],"-")</f>
        <v>598</v>
      </c>
      <c r="O4174" s="86" t="s">
        <v>1981</v>
      </c>
      <c r="R4174" s="86" t="str">
        <f>_xlfn.CONCAT(表格1[[#This Row],[Model]]," ",表格1[[#This Row],[inv no]])</f>
        <v>MM2-EM20PC(WH) S909-4775</v>
      </c>
      <c r="S4174" s="86">
        <f>_xlfn.XLOOKUP(表格1[[#This Row],[Model]],表格3[Model-Input-Ref2],表格3[SRP PRICE])</f>
        <v>788</v>
      </c>
      <c r="T4174" s="43">
        <f>表格1[[#This Row],[Unit Price]]/表格1[[#This Row],[SRP]]</f>
        <v>0.75888324873096447</v>
      </c>
      <c r="U4174" s="86" t="str">
        <f>_xlfn.XLOOKUP(表格1[[#This Row],[Model]],表格3[Model-Input-Ref2],表格3[TOSHIBA/HIGHEST])</f>
        <v>Toshiba SRP</v>
      </c>
      <c r="W4174" s="86" t="str">
        <f>_xlfn.CONCAT(表格1[[#This Row],[欄4]],表格1[[#This Row],[inv no]])</f>
        <v>S909-4775</v>
      </c>
    </row>
    <row r="4175" spans="1:23" hidden="1">
      <c r="A4175" s="81">
        <v>4173</v>
      </c>
      <c r="B4175" s="86" t="s">
        <v>1417</v>
      </c>
      <c r="C4175" s="86" t="s">
        <v>1980</v>
      </c>
      <c r="D4175" s="89" t="str">
        <f ca="1">OFFSET(Roster!$A$3,MATCH(表格1[[#This Row],[Location]]&amp;" "&amp;表格1[[#This Row],[Shop]]&amp;"*",Roster!$A$4:$A$72,0),DAY(表格1[[#This Row],[date]]),1,1)</f>
        <v>Maggie Ho_2</v>
      </c>
      <c r="E4175" s="86">
        <f>MONTH(表格1[[#This Row],[date]])</f>
        <v>3</v>
      </c>
      <c r="F4175" s="90">
        <v>46097</v>
      </c>
      <c r="G4175" s="86" t="str">
        <f>VLOOKUP("*"&amp;表格1[[#This Row],[Input]]&amp;"*",'Ref-List'!$B:$D,2,)</f>
        <v>IC-21TSHK</v>
      </c>
      <c r="H4175" s="86" t="str">
        <f>_xlfn.XLOOKUP(表格1[[#This Row],[Model]],表格3[Model-Input-Ref2],表格3[Product Line])</f>
        <v>Induction Cooker</v>
      </c>
      <c r="I4175" s="86" t="str">
        <f>_xlfn.XLOOKUP(表格1[[#This Row],[Model]],表格3[Model-Input-Ref2],表格3[大小電])</f>
        <v>細電</v>
      </c>
      <c r="J4175" s="86" t="str">
        <f>_xlfn.XLOOKUP(表格1[[#This Row],[Model]],表格3[Model-Input-Ref2],表格3[Code])</f>
        <v>SDA</v>
      </c>
      <c r="K4175" s="89" t="s">
        <v>1242</v>
      </c>
      <c r="L4175" s="86">
        <v>1</v>
      </c>
      <c r="M4175" s="87">
        <v>698</v>
      </c>
      <c r="N4175" s="87">
        <f>IFERROR(表格1[[#This Row],[QTY]]*表格1[[#This Row],[Unit Price]],"-")</f>
        <v>698</v>
      </c>
      <c r="O4175" s="86" t="s">
        <v>1984</v>
      </c>
      <c r="R4175" s="86" t="str">
        <f>_xlfn.CONCAT(表格1[[#This Row],[Model]]," ",表格1[[#This Row],[inv no]])</f>
        <v>IC-21TSHK S161-621906</v>
      </c>
      <c r="S4175" s="86">
        <f>_xlfn.XLOOKUP(表格1[[#This Row],[Model]],表格3[Model-Input-Ref2],表格3[SRP PRICE])</f>
        <v>998</v>
      </c>
      <c r="T4175" s="43">
        <f>表格1[[#This Row],[Unit Price]]/表格1[[#This Row],[SRP]]</f>
        <v>0.69939879759519041</v>
      </c>
      <c r="U4175" s="86" t="str">
        <f>_xlfn.XLOOKUP(表格1[[#This Row],[Model]],表格3[Model-Input-Ref2],表格3[TOSHIBA/HIGHEST])</f>
        <v>web SRP</v>
      </c>
      <c r="W4175" s="86" t="str">
        <f>_xlfn.CONCAT(表格1[[#This Row],[欄4]],表格1[[#This Row],[inv no]])</f>
        <v>S161-621906</v>
      </c>
    </row>
    <row r="4176" spans="1:23" hidden="1">
      <c r="A4176" s="81">
        <v>4174</v>
      </c>
      <c r="B4176" s="86" t="s">
        <v>1417</v>
      </c>
      <c r="C4176" s="86" t="s">
        <v>1980</v>
      </c>
      <c r="D4176" s="89" t="str">
        <f ca="1">OFFSET(Roster!$A$3,MATCH(表格1[[#This Row],[Location]]&amp;" "&amp;表格1[[#This Row],[Shop]]&amp;"*",Roster!$A$4:$A$72,0),DAY(表格1[[#This Row],[date]]),1,1)</f>
        <v>Maggie Ho_2</v>
      </c>
      <c r="E4176" s="86">
        <f>MONTH(表格1[[#This Row],[date]])</f>
        <v>3</v>
      </c>
      <c r="F4176" s="90">
        <v>46097</v>
      </c>
      <c r="G4176" s="86" t="str">
        <f>VLOOKUP("*"&amp;表格1[[#This Row],[Input]]&amp;"*",'Ref-List'!$B:$D,2,)</f>
        <v>RC-10NMFIH(WT)</v>
      </c>
      <c r="H4176" s="86" t="str">
        <f>_xlfn.XLOOKUP(表格1[[#This Row],[Model]],表格3[Model-Input-Ref2],表格3[Product Line])</f>
        <v>4毫米厚釜電飯煲1L</v>
      </c>
      <c r="I4176" s="86" t="str">
        <f>_xlfn.XLOOKUP(表格1[[#This Row],[Model]],表格3[Model-Input-Ref2],表格3[大小電])</f>
        <v>細電</v>
      </c>
      <c r="J4176" s="86" t="str">
        <f>_xlfn.XLOOKUP(表格1[[#This Row],[Model]],表格3[Model-Input-Ref2],表格3[Code])</f>
        <v>SDA</v>
      </c>
      <c r="K4176" s="89" t="s">
        <v>1244</v>
      </c>
      <c r="L4176" s="86">
        <v>1</v>
      </c>
      <c r="M4176" s="87">
        <v>718</v>
      </c>
      <c r="N4176" s="87">
        <f>IFERROR(表格1[[#This Row],[QTY]]*表格1[[#This Row],[Unit Price]],"-")</f>
        <v>718</v>
      </c>
      <c r="O4176" s="86" t="s">
        <v>1982</v>
      </c>
      <c r="R4176" s="86" t="str">
        <f>_xlfn.CONCAT(表格1[[#This Row],[Model]]," ",表格1[[#This Row],[inv no]])</f>
        <v>RC-10NMFIH(WT) S161-621875</v>
      </c>
      <c r="S4176" s="86">
        <f>_xlfn.XLOOKUP(表格1[[#This Row],[Model]],表格3[Model-Input-Ref2],表格3[SRP PRICE])</f>
        <v>898</v>
      </c>
      <c r="T4176" s="43">
        <f>表格1[[#This Row],[Unit Price]]/表格1[[#This Row],[SRP]]</f>
        <v>0.79955456570155903</v>
      </c>
      <c r="U4176" s="86" t="str">
        <f>_xlfn.XLOOKUP(表格1[[#This Row],[Model]],表格3[Model-Input-Ref2],表格3[TOSHIBA/HIGHEST])</f>
        <v>Toshiba SRP</v>
      </c>
      <c r="W4176" s="86" t="str">
        <f>_xlfn.CONCAT(表格1[[#This Row],[欄4]],表格1[[#This Row],[inv no]])</f>
        <v>S161-621875</v>
      </c>
    </row>
    <row r="4177" spans="1:23" hidden="1">
      <c r="A4177" s="81">
        <v>4175</v>
      </c>
      <c r="B4177" s="86" t="s">
        <v>1417</v>
      </c>
      <c r="C4177" s="86" t="s">
        <v>1980</v>
      </c>
      <c r="D4177" s="89" t="str">
        <f ca="1">OFFSET(Roster!$A$3,MATCH(表格1[[#This Row],[Location]]&amp;" "&amp;表格1[[#This Row],[Shop]]&amp;"*",Roster!$A$4:$A$72,0),DAY(表格1[[#This Row],[date]]),1,1)</f>
        <v>Maggie Ho_2</v>
      </c>
      <c r="E4177" s="86">
        <f>MONTH(表格1[[#This Row],[date]])</f>
        <v>3</v>
      </c>
      <c r="F4177" s="90">
        <v>46098</v>
      </c>
      <c r="G4177" s="86" t="str">
        <f>VLOOKUP("*"&amp;表格1[[#This Row],[Input]]&amp;"*",'Ref-List'!$B:$D,2,)</f>
        <v>RC-7HMH</v>
      </c>
      <c r="H4177" s="86" t="str">
        <f>_xlfn.XLOOKUP(表格1[[#This Row],[Model]],表格3[Model-Input-Ref2],表格3[Product Line])</f>
        <v>備長炭本厚釜電飯煲0.7L</v>
      </c>
      <c r="I4177" s="86" t="str">
        <f>_xlfn.XLOOKUP(表格1[[#This Row],[Model]],表格3[Model-Input-Ref2],表格3[大小電])</f>
        <v>細電</v>
      </c>
      <c r="J4177" s="86" t="str">
        <f>_xlfn.XLOOKUP(表格1[[#This Row],[Model]],表格3[Model-Input-Ref2],表格3[Code])</f>
        <v>SDA</v>
      </c>
      <c r="K4177" s="89" t="s">
        <v>1284</v>
      </c>
      <c r="L4177" s="86">
        <v>1</v>
      </c>
      <c r="M4177" s="87">
        <v>838</v>
      </c>
      <c r="N4177" s="87">
        <f>IFERROR(表格1[[#This Row],[QTY]]*表格1[[#This Row],[Unit Price]],"-")</f>
        <v>838</v>
      </c>
      <c r="O4177" s="86" t="s">
        <v>1985</v>
      </c>
      <c r="R4177" s="86" t="str">
        <f>_xlfn.CONCAT(表格1[[#This Row],[Model]]," ",表格1[[#This Row],[inv no]])</f>
        <v>RC-7HMH S909-4776</v>
      </c>
      <c r="S4177" s="86">
        <f>_xlfn.XLOOKUP(表格1[[#This Row],[Model]],表格3[Model-Input-Ref2],表格3[SRP PRICE])</f>
        <v>1288</v>
      </c>
      <c r="T4177" s="43">
        <f>表格1[[#This Row],[Unit Price]]/表格1[[#This Row],[SRP]]</f>
        <v>0.65062111801242239</v>
      </c>
      <c r="U4177" s="86" t="str">
        <f>_xlfn.XLOOKUP(表格1[[#This Row],[Model]],表格3[Model-Input-Ref2],表格3[TOSHIBA/HIGHEST])</f>
        <v>Toshiba SRP</v>
      </c>
      <c r="W4177" s="86" t="str">
        <f>_xlfn.CONCAT(表格1[[#This Row],[欄4]],表格1[[#This Row],[inv no]])</f>
        <v>S909-4776</v>
      </c>
    </row>
    <row r="4178" spans="1:23" hidden="1">
      <c r="A4178" s="81">
        <v>4176</v>
      </c>
      <c r="B4178" s="86" t="s">
        <v>1417</v>
      </c>
      <c r="C4178" s="86" t="s">
        <v>1980</v>
      </c>
      <c r="D4178" s="89" t="str">
        <f ca="1">OFFSET(Roster!$A$3,MATCH(表格1[[#This Row],[Location]]&amp;" "&amp;表格1[[#This Row],[Shop]]&amp;"*",Roster!$A$4:$A$72,0),DAY(表格1[[#This Row],[date]]),1,1)</f>
        <v>Maggie Ho_2</v>
      </c>
      <c r="E4178" s="86">
        <f>MONTH(表格1[[#This Row],[date]])</f>
        <v>3</v>
      </c>
      <c r="F4178" s="90">
        <v>46098</v>
      </c>
      <c r="G4178" s="86" t="str">
        <f>VLOOKUP("*"&amp;表格1[[#This Row],[Input]]&amp;"*",'Ref-List'!$B:$D,2,)</f>
        <v>RC-18ISPH</v>
      </c>
      <c r="H4178" s="86" t="str">
        <f>_xlfn.XLOOKUP(表格1[[#This Row],[Model]],表格3[Model-Input-Ref2],表格3[Product Line])</f>
        <v>低醣磁應電飯煲1.8L</v>
      </c>
      <c r="I4178" s="86" t="str">
        <f>_xlfn.XLOOKUP(表格1[[#This Row],[Model]],表格3[Model-Input-Ref2],表格3[大小電])</f>
        <v>細電</v>
      </c>
      <c r="J4178" s="86" t="str">
        <f>_xlfn.XLOOKUP(表格1[[#This Row],[Model]],表格3[Model-Input-Ref2],表格3[Code])</f>
        <v>SDA</v>
      </c>
      <c r="K4178" s="89" t="s">
        <v>1281</v>
      </c>
      <c r="L4178" s="86">
        <v>1</v>
      </c>
      <c r="M4178" s="87">
        <v>998</v>
      </c>
      <c r="N4178" s="87">
        <f>IFERROR(表格1[[#This Row],[QTY]]*表格1[[#This Row],[Unit Price]],"-")</f>
        <v>998</v>
      </c>
      <c r="O4178" s="86" t="s">
        <v>1986</v>
      </c>
      <c r="R4178" s="86" t="str">
        <f>_xlfn.CONCAT(表格1[[#This Row],[Model]]," ",表格1[[#This Row],[inv no]])</f>
        <v>RC-18ISPH S909-4777</v>
      </c>
      <c r="S4178" s="86">
        <f>_xlfn.XLOOKUP(表格1[[#This Row],[Model]],表格3[Model-Input-Ref2],表格3[SRP PRICE])</f>
        <v>1436</v>
      </c>
      <c r="T4178" s="43">
        <f>表格1[[#This Row],[Unit Price]]/表格1[[#This Row],[SRP]]</f>
        <v>0.69498607242339838</v>
      </c>
      <c r="U4178" s="86" t="str">
        <f>_xlfn.XLOOKUP(表格1[[#This Row],[Model]],表格3[Model-Input-Ref2],表格3[TOSHIBA/HIGHEST])</f>
        <v>Shops Highest Price</v>
      </c>
      <c r="W4178" s="86" t="str">
        <f>_xlfn.CONCAT(表格1[[#This Row],[欄4]],表格1[[#This Row],[inv no]])</f>
        <v>S909-4777</v>
      </c>
    </row>
    <row r="4179" spans="1:23" hidden="1">
      <c r="A4179" s="81">
        <v>4177</v>
      </c>
      <c r="B4179" s="86" t="s">
        <v>1417</v>
      </c>
      <c r="C4179" s="86" t="s">
        <v>1980</v>
      </c>
      <c r="D4179" s="89" t="str">
        <f ca="1">OFFSET(Roster!$A$3,MATCH(表格1[[#This Row],[Location]]&amp;" "&amp;表格1[[#This Row],[Shop]]&amp;"*",Roster!$A$4:$A$72,0),DAY(表格1[[#This Row],[date]]),1,1)</f>
        <v>Maggie Ho_2</v>
      </c>
      <c r="E4179" s="86">
        <f>MONTH(表格1[[#This Row],[date]])</f>
        <v>3</v>
      </c>
      <c r="F4179" s="90">
        <v>46098</v>
      </c>
      <c r="G4179" s="86" t="str">
        <f>VLOOKUP("*"&amp;表格1[[#This Row],[Input]]&amp;"*",'Ref-List'!$B:$D,2,)</f>
        <v>PC-48DRSHK(K)</v>
      </c>
      <c r="H4179" s="86" t="str">
        <f>_xlfn.XLOOKUP(表格1[[#This Row],[Model]],表格3[Model-Input-Ref2],表格3[Product Line])</f>
        <v>電壓力鍋</v>
      </c>
      <c r="I4179" s="86" t="str">
        <f>_xlfn.XLOOKUP(表格1[[#This Row],[Model]],表格3[Model-Input-Ref2],表格3[大小電])</f>
        <v>細電</v>
      </c>
      <c r="J4179" s="86" t="str">
        <f>_xlfn.XLOOKUP(表格1[[#This Row],[Model]],表格3[Model-Input-Ref2],表格3[Code])</f>
        <v>SDA</v>
      </c>
      <c r="K4179" s="89" t="s">
        <v>1154</v>
      </c>
      <c r="L4179" s="86">
        <v>1</v>
      </c>
      <c r="M4179" s="87">
        <v>838</v>
      </c>
      <c r="N4179" s="87">
        <f>IFERROR(表格1[[#This Row],[QTY]]*表格1[[#This Row],[Unit Price]],"-")</f>
        <v>838</v>
      </c>
      <c r="O4179" s="86" t="s">
        <v>1986</v>
      </c>
      <c r="R4179" s="86" t="str">
        <f>_xlfn.CONCAT(表格1[[#This Row],[Model]]," ",表格1[[#This Row],[inv no]])</f>
        <v>PC-48DRSHK(K) S909-4777</v>
      </c>
      <c r="S4179" s="86">
        <f>_xlfn.XLOOKUP(表格1[[#This Row],[Model]],表格3[Model-Input-Ref2],表格3[SRP PRICE])</f>
        <v>1188</v>
      </c>
      <c r="T4179" s="43">
        <f>表格1[[#This Row],[Unit Price]]/表格1[[#This Row],[SRP]]</f>
        <v>0.70538720538720534</v>
      </c>
      <c r="U4179" s="86" t="str">
        <f>_xlfn.XLOOKUP(表格1[[#This Row],[Model]],表格3[Model-Input-Ref2],表格3[TOSHIBA/HIGHEST])</f>
        <v>Shops Highest Price</v>
      </c>
      <c r="W4179" s="86" t="str">
        <f>_xlfn.CONCAT(表格1[[#This Row],[欄4]],表格1[[#This Row],[inv no]])</f>
        <v>S909-4777</v>
      </c>
    </row>
    <row r="4180" spans="1:23" hidden="1">
      <c r="A4180" s="81">
        <v>4178</v>
      </c>
      <c r="B4180" s="86" t="s">
        <v>1417</v>
      </c>
      <c r="C4180" s="86" t="s">
        <v>1980</v>
      </c>
      <c r="D4180" s="89" t="str">
        <f ca="1">OFFSET(Roster!$A$3,MATCH(表格1[[#This Row],[Location]]&amp;" "&amp;表格1[[#This Row],[Shop]]&amp;"*",Roster!$A$4:$A$72,0),DAY(表格1[[#This Row],[date]]),1,1)</f>
        <v>Maggie Ho_2</v>
      </c>
      <c r="E4180" s="86">
        <f>MONTH(表格1[[#This Row],[date]])</f>
        <v>3</v>
      </c>
      <c r="F4180" s="90">
        <v>46098</v>
      </c>
      <c r="G4180" s="86" t="str">
        <f>VLOOKUP("*"&amp;表格1[[#This Row],[Input]]&amp;"*",'Ref-List'!$B:$D,2,)</f>
        <v>MW3-SAC24SE(BK)</v>
      </c>
      <c r="H4180" s="86" t="str">
        <f>_xlfn.XLOOKUP(表格1[[#This Row],[Model]],表格3[Model-Input-Ref2],表格3[Product Line])</f>
        <v>智能氣炸烤焗爐(24公升)</v>
      </c>
      <c r="I4180" s="86" t="str">
        <f>_xlfn.XLOOKUP(表格1[[#This Row],[Model]],表格3[Model-Input-Ref2],表格3[大小電])</f>
        <v>細電</v>
      </c>
      <c r="J4180" s="86" t="str">
        <f>_xlfn.XLOOKUP(表格1[[#This Row],[Model]],表格3[Model-Input-Ref2],表格3[Code])</f>
        <v>MCA</v>
      </c>
      <c r="K4180" s="89" t="s">
        <v>1274</v>
      </c>
      <c r="L4180" s="86">
        <v>1</v>
      </c>
      <c r="M4180" s="87">
        <v>1198</v>
      </c>
      <c r="N4180" s="87">
        <f>IFERROR(表格1[[#This Row],[QTY]]*表格1[[#This Row],[Unit Price]],"-")</f>
        <v>1198</v>
      </c>
      <c r="O4180" s="86" t="s">
        <v>1986</v>
      </c>
      <c r="R4180" s="86" t="str">
        <f>_xlfn.CONCAT(表格1[[#This Row],[Model]]," ",表格1[[#This Row],[inv no]])</f>
        <v>MW3-SAC24SE(BK) S909-4777</v>
      </c>
      <c r="S4180" s="86">
        <f>_xlfn.XLOOKUP(表格1[[#This Row],[Model]],表格3[Model-Input-Ref2],表格3[SRP PRICE])</f>
        <v>1680</v>
      </c>
      <c r="T4180" s="43">
        <f>表格1[[#This Row],[Unit Price]]/表格1[[#This Row],[SRP]]</f>
        <v>0.71309523809523812</v>
      </c>
      <c r="U4180" s="86" t="str">
        <f>_xlfn.XLOOKUP(表格1[[#This Row],[Model]],表格3[Model-Input-Ref2],表格3[TOSHIBA/HIGHEST])</f>
        <v>Toshiba SRP</v>
      </c>
      <c r="W4180" s="86" t="str">
        <f>_xlfn.CONCAT(表格1[[#This Row],[欄4]],表格1[[#This Row],[inv no]])</f>
        <v>S909-4777</v>
      </c>
    </row>
    <row r="4181" spans="1:23" hidden="1">
      <c r="A4181" s="81">
        <v>4179</v>
      </c>
      <c r="B4181" s="86" t="s">
        <v>1417</v>
      </c>
      <c r="C4181" s="86" t="s">
        <v>1980</v>
      </c>
      <c r="D4181" s="89" t="str">
        <f ca="1">OFFSET(Roster!$A$3,MATCH(表格1[[#This Row],[Location]]&amp;" "&amp;表格1[[#This Row],[Shop]]&amp;"*",Roster!$A$4:$A$72,0),DAY(表格1[[#This Row],[date]]),1,1)</f>
        <v>Maggie Ho_2</v>
      </c>
      <c r="E4181" s="86">
        <f>MONTH(表格1[[#This Row],[date]])</f>
        <v>3</v>
      </c>
      <c r="F4181" s="90">
        <v>46098</v>
      </c>
      <c r="G4181" s="86" t="str">
        <f>VLOOKUP("*"&amp;表格1[[#This Row],[Input]]&amp;"*",'Ref-List'!$B:$D,2,)</f>
        <v>ER-TD5000HK(XK)</v>
      </c>
      <c r="H4181" s="86" t="str">
        <f>_xlfn.XLOOKUP(表格1[[#This Row],[Model]],表格3[Model-Input-Ref2],表格3[Product Line])</f>
        <v>座檯式純蒸氣烤焗水波爐30L</v>
      </c>
      <c r="I4181" s="86" t="str">
        <f>_xlfn.XLOOKUP(表格1[[#This Row],[Model]],表格3[Model-Input-Ref2],表格3[大小電])</f>
        <v>細電</v>
      </c>
      <c r="J4181" s="86" t="str">
        <f>_xlfn.XLOOKUP(表格1[[#This Row],[Model]],表格3[Model-Input-Ref2],表格3[Code])</f>
        <v>SDA</v>
      </c>
      <c r="K4181" s="89" t="s">
        <v>1205</v>
      </c>
      <c r="L4181" s="86">
        <v>1</v>
      </c>
      <c r="M4181" s="87">
        <v>4998</v>
      </c>
      <c r="N4181" s="87">
        <f>IFERROR(表格1[[#This Row],[QTY]]*表格1[[#This Row],[Unit Price]],"-")</f>
        <v>4998</v>
      </c>
      <c r="O4181" s="86" t="s">
        <v>1987</v>
      </c>
      <c r="R4181" s="86" t="str">
        <f>_xlfn.CONCAT(表格1[[#This Row],[Model]]," ",表格1[[#This Row],[inv no]])</f>
        <v>ER-TD5000HK(XK) S909-4778</v>
      </c>
      <c r="S4181" s="86">
        <f>_xlfn.XLOOKUP(表格1[[#This Row],[Model]],表格3[Model-Input-Ref2],表格3[SRP PRICE])</f>
        <v>7998</v>
      </c>
      <c r="T4181" s="43">
        <f>表格1[[#This Row],[Unit Price]]/表格1[[#This Row],[SRP]]</f>
        <v>0.62490622655663919</v>
      </c>
      <c r="U4181" s="86" t="str">
        <f>_xlfn.XLOOKUP(表格1[[#This Row],[Model]],表格3[Model-Input-Ref2],表格3[TOSHIBA/HIGHEST])</f>
        <v>Toshiba SRP</v>
      </c>
      <c r="W4181" s="86" t="str">
        <f>_xlfn.CONCAT(表格1[[#This Row],[欄4]],表格1[[#This Row],[inv no]])</f>
        <v>S909-4778</v>
      </c>
    </row>
    <row r="4182" spans="1:23" hidden="1">
      <c r="A4182" s="81">
        <v>4180</v>
      </c>
      <c r="B4182" s="86" t="s">
        <v>1417</v>
      </c>
      <c r="C4182" s="86" t="s">
        <v>1980</v>
      </c>
      <c r="D4182" s="89" t="str">
        <f ca="1">OFFSET(Roster!$A$3,MATCH(表格1[[#This Row],[Location]]&amp;" "&amp;表格1[[#This Row],[Shop]]&amp;"*",Roster!$A$4:$A$72,0),DAY(表格1[[#This Row],[date]]),1,1)</f>
        <v>Maggie Ho_2</v>
      </c>
      <c r="E4182" s="86">
        <f>MONTH(表格1[[#This Row],[date]])</f>
        <v>3</v>
      </c>
      <c r="F4182" s="90">
        <v>46098</v>
      </c>
      <c r="G4182" s="86" t="str">
        <f>VLOOKUP("*"&amp;表格1[[#This Row],[Input]]&amp;"*",'Ref-List'!$B:$D,2,)</f>
        <v>KT-17DRTHK(H)</v>
      </c>
      <c r="H4182" s="86" t="str">
        <f>_xlfn.XLOOKUP(表格1[[#This Row],[Model]],表格3[Model-Input-Ref2],表格3[Product Line])</f>
        <v>無線雙層電熱水壺(1.7公升)</v>
      </c>
      <c r="I4182" s="86" t="str">
        <f>_xlfn.XLOOKUP(表格1[[#This Row],[Model]],表格3[Model-Input-Ref2],表格3[大小電])</f>
        <v>細電</v>
      </c>
      <c r="J4182" s="86" t="str">
        <f>_xlfn.XLOOKUP(表格1[[#This Row],[Model]],表格3[Model-Input-Ref2],表格3[Code])</f>
        <v>SDA</v>
      </c>
      <c r="K4182" s="89" t="s">
        <v>1271</v>
      </c>
      <c r="L4182" s="86">
        <v>1</v>
      </c>
      <c r="M4182" s="87">
        <v>388</v>
      </c>
      <c r="N4182" s="87">
        <f>IFERROR(表格1[[#This Row],[QTY]]*表格1[[#This Row],[Unit Price]],"-")</f>
        <v>388</v>
      </c>
      <c r="O4182" s="86" t="s">
        <v>1988</v>
      </c>
      <c r="R4182" s="86" t="str">
        <f>_xlfn.CONCAT(表格1[[#This Row],[Model]]," ",表格1[[#This Row],[inv no]])</f>
        <v>KT-17DRTHK(H) S909-4779</v>
      </c>
      <c r="S4182" s="86">
        <f>_xlfn.XLOOKUP(表格1[[#This Row],[Model]],表格3[Model-Input-Ref2],表格3[SRP PRICE])</f>
        <v>498</v>
      </c>
      <c r="T4182" s="43">
        <f>表格1[[#This Row],[Unit Price]]/表格1[[#This Row],[SRP]]</f>
        <v>0.77911646586345384</v>
      </c>
      <c r="U4182" s="86" t="str">
        <f>_xlfn.XLOOKUP(表格1[[#This Row],[Model]],表格3[Model-Input-Ref2],表格3[TOSHIBA/HIGHEST])</f>
        <v>Toshiba SRP</v>
      </c>
      <c r="W4182" s="86" t="str">
        <f>_xlfn.CONCAT(表格1[[#This Row],[欄4]],表格1[[#This Row],[inv no]])</f>
        <v>S909-4779</v>
      </c>
    </row>
    <row r="4183" spans="1:23" hidden="1">
      <c r="A4183" s="81">
        <v>4181</v>
      </c>
      <c r="B4183" s="86" t="s">
        <v>1417</v>
      </c>
      <c r="C4183" s="86" t="s">
        <v>1980</v>
      </c>
      <c r="D4183" s="89" t="str">
        <f ca="1">OFFSET(Roster!$A$3,MATCH(表格1[[#This Row],[Location]]&amp;" "&amp;表格1[[#This Row],[Shop]]&amp;"*",Roster!$A$4:$A$72,0),DAY(表格1[[#This Row],[date]]),1,1)</f>
        <v>Maggie Ho_2</v>
      </c>
      <c r="E4183" s="86">
        <f>MONTH(表格1[[#This Row],[date]])</f>
        <v>3</v>
      </c>
      <c r="F4183" s="90">
        <v>46098</v>
      </c>
      <c r="G4183" s="86" t="str">
        <f>VLOOKUP("*"&amp;表格1[[#This Row],[Input]]&amp;"*",'Ref-List'!$B:$D,2,)</f>
        <v>VC-CLS1BF(R)</v>
      </c>
      <c r="H4183" s="86" t="str">
        <f>_xlfn.XLOOKUP(表格1[[#This Row],[Model]],表格3[Model-Input-Ref2],表格3[Product Line])</f>
        <v>超輕巧2合1無線吸塵機</v>
      </c>
      <c r="I4183" s="86" t="str">
        <f>_xlfn.XLOOKUP(表格1[[#This Row],[Model]],表格3[Model-Input-Ref2],表格3[大小電])</f>
        <v>細電</v>
      </c>
      <c r="J4183" s="86" t="str">
        <f>_xlfn.XLOOKUP(表格1[[#This Row],[Model]],表格3[Model-Input-Ref2],表格3[Code])</f>
        <v>MCA</v>
      </c>
      <c r="K4183" s="89" t="s">
        <v>1265</v>
      </c>
      <c r="L4183" s="86">
        <v>1</v>
      </c>
      <c r="M4183" s="87">
        <v>1198</v>
      </c>
      <c r="N4183" s="87">
        <f>IFERROR(表格1[[#This Row],[QTY]]*表格1[[#This Row],[Unit Price]],"-")</f>
        <v>1198</v>
      </c>
      <c r="O4183" s="86" t="s">
        <v>1989</v>
      </c>
      <c r="R4183" s="86" t="str">
        <f>_xlfn.CONCAT(表格1[[#This Row],[Model]]," ",表格1[[#This Row],[inv no]])</f>
        <v>VC-CLS1BF(R) S161-621980</v>
      </c>
      <c r="S4183" s="86">
        <f>_xlfn.XLOOKUP(表格1[[#This Row],[Model]],表格3[Model-Input-Ref2],表格3[SRP PRICE])</f>
        <v>1888</v>
      </c>
      <c r="T4183" s="43">
        <f>表格1[[#This Row],[Unit Price]]/表格1[[#This Row],[SRP]]</f>
        <v>0.63453389830508478</v>
      </c>
      <c r="U4183" s="86" t="str">
        <f>_xlfn.XLOOKUP(表格1[[#This Row],[Model]],表格3[Model-Input-Ref2],表格3[TOSHIBA/HIGHEST])</f>
        <v>Toshiba SRP</v>
      </c>
      <c r="W4183" s="86" t="str">
        <f>_xlfn.CONCAT(表格1[[#This Row],[欄4]],表格1[[#This Row],[inv no]])</f>
        <v>S161-621980</v>
      </c>
    </row>
    <row r="4184" spans="1:23" hidden="1">
      <c r="A4184" s="81">
        <v>4182</v>
      </c>
      <c r="B4184" s="86" t="s">
        <v>1417</v>
      </c>
      <c r="C4184" s="86" t="s">
        <v>1980</v>
      </c>
      <c r="D4184" s="89" t="str">
        <f ca="1">OFFSET(Roster!$A$3,MATCH(表格1[[#This Row],[Location]]&amp;" "&amp;表格1[[#This Row],[Shop]]&amp;"*",Roster!$A$4:$A$72,0),DAY(表格1[[#This Row],[date]]),1,1)</f>
        <v>Maggie Ho_2</v>
      </c>
      <c r="E4184" s="86">
        <f>MONTH(表格1[[#This Row],[date]])</f>
        <v>3</v>
      </c>
      <c r="F4184" s="90">
        <v>46098</v>
      </c>
      <c r="G4184" s="86" t="str">
        <f>VLOOKUP("*"&amp;表格1[[#This Row],[Input]]&amp;"*",'Ref-List'!$B:$D,2,)</f>
        <v>RC-10AMXH(W)</v>
      </c>
      <c r="H4184" s="86" t="str">
        <f>_xlfn.XLOOKUP(表格1[[#This Row],[Model]],表格3[Model-Input-Ref2],表格3[Product Line])</f>
        <v>酵活炊電飯煲(1.0公升)</v>
      </c>
      <c r="I4184" s="86" t="str">
        <f>_xlfn.XLOOKUP(表格1[[#This Row],[Model]],表格3[Model-Input-Ref2],表格3[大小電])</f>
        <v>細電</v>
      </c>
      <c r="J4184" s="86" t="str">
        <f>_xlfn.XLOOKUP(表格1[[#This Row],[Model]],表格3[Model-Input-Ref2],表格3[Code])</f>
        <v>SDA</v>
      </c>
      <c r="K4184" s="89" t="s">
        <v>1279</v>
      </c>
      <c r="L4184" s="86">
        <v>1</v>
      </c>
      <c r="M4184" s="87">
        <v>998</v>
      </c>
      <c r="N4184" s="87">
        <f>IFERROR(表格1[[#This Row],[QTY]]*表格1[[#This Row],[Unit Price]],"-")</f>
        <v>998</v>
      </c>
      <c r="O4184" s="86" t="s">
        <v>1990</v>
      </c>
      <c r="R4184" s="86" t="str">
        <f>_xlfn.CONCAT(表格1[[#This Row],[Model]]," ",表格1[[#This Row],[inv no]])</f>
        <v>RC-10AMXH(W) S161-621983</v>
      </c>
      <c r="S4184" s="86">
        <f>_xlfn.XLOOKUP(表格1[[#This Row],[Model]],表格3[Model-Input-Ref2],表格3[SRP PRICE])</f>
        <v>1288</v>
      </c>
      <c r="T4184" s="43">
        <f>表格1[[#This Row],[Unit Price]]/表格1[[#This Row],[SRP]]</f>
        <v>0.77484472049689446</v>
      </c>
      <c r="U4184" s="86" t="str">
        <f>_xlfn.XLOOKUP(表格1[[#This Row],[Model]],表格3[Model-Input-Ref2],表格3[TOSHIBA/HIGHEST])</f>
        <v>Toshiba SRP</v>
      </c>
      <c r="W4184" s="86" t="str">
        <f>_xlfn.CONCAT(表格1[[#This Row],[欄4]],表格1[[#This Row],[inv no]])</f>
        <v>S161-621983</v>
      </c>
    </row>
    <row r="4185" spans="1:23" hidden="1">
      <c r="A4185" s="81">
        <v>4183</v>
      </c>
      <c r="B4185" s="86" t="s">
        <v>1417</v>
      </c>
      <c r="C4185" s="86" t="s">
        <v>1980</v>
      </c>
      <c r="D4185" s="89" t="str">
        <f ca="1">OFFSET(Roster!$A$3,MATCH(表格1[[#This Row],[Location]]&amp;" "&amp;表格1[[#This Row],[Shop]]&amp;"*",Roster!$A$4:$A$72,0),DAY(表格1[[#This Row],[date]]),1,1)</f>
        <v>Maggie Ho_2</v>
      </c>
      <c r="E4185" s="86">
        <f>MONTH(表格1[[#This Row],[date]])</f>
        <v>3</v>
      </c>
      <c r="F4185" s="90">
        <v>46098</v>
      </c>
      <c r="G4185" s="86" t="str">
        <f>VLOOKUP("*"&amp;表格1[[#This Row],[Input]]&amp;"*",'Ref-List'!$B:$D,2,)</f>
        <v>RC-DR10T(R)</v>
      </c>
      <c r="H4185" s="86" t="str">
        <f>_xlfn.XLOOKUP(表格1[[#This Row],[Model]],表格3[Model-Input-Ref2],表格3[Product Line])</f>
        <v>IH磁應電飯煲</v>
      </c>
      <c r="I4185" s="86" t="str">
        <f>_xlfn.XLOOKUP(表格1[[#This Row],[Model]],表格3[Model-Input-Ref2],表格3[大小電])</f>
        <v>細電</v>
      </c>
      <c r="J4185" s="86" t="str">
        <f>_xlfn.XLOOKUP(表格1[[#This Row],[Model]],表格3[Model-Input-Ref2],表格3[Code])</f>
        <v>SDA</v>
      </c>
      <c r="K4185" s="89" t="s">
        <v>1296</v>
      </c>
      <c r="L4185" s="86">
        <v>1</v>
      </c>
      <c r="M4185" s="87">
        <v>2354</v>
      </c>
      <c r="N4185" s="87">
        <f>IFERROR(表格1[[#This Row],[QTY]]*表格1[[#This Row],[Unit Price]],"-")</f>
        <v>2354</v>
      </c>
      <c r="O4185" s="86" t="s">
        <v>1991</v>
      </c>
      <c r="R4185" s="86" t="str">
        <f>_xlfn.CONCAT(表格1[[#This Row],[Model]]," ",表格1[[#This Row],[inv no]])</f>
        <v>RC-DR10T(R) S161-621994</v>
      </c>
      <c r="S4185" s="86">
        <f>_xlfn.XLOOKUP(表格1[[#This Row],[Model]],表格3[Model-Input-Ref2],表格3[SRP PRICE])</f>
        <v>3188</v>
      </c>
      <c r="T4185" s="43">
        <f>表格1[[#This Row],[Unit Price]]/表格1[[#This Row],[SRP]]</f>
        <v>0.73839397741530743</v>
      </c>
      <c r="U4185" s="86" t="str">
        <f>_xlfn.XLOOKUP(表格1[[#This Row],[Model]],表格3[Model-Input-Ref2],表格3[TOSHIBA/HIGHEST])</f>
        <v>Toshiba SRP</v>
      </c>
      <c r="W4185" s="86" t="str">
        <f>_xlfn.CONCAT(表格1[[#This Row],[欄4]],表格1[[#This Row],[inv no]])</f>
        <v>S161-621994</v>
      </c>
    </row>
    <row r="4186" spans="1:23" hidden="1">
      <c r="A4186" s="81">
        <v>4184</v>
      </c>
      <c r="B4186" s="86" t="s">
        <v>1417</v>
      </c>
      <c r="C4186" s="86" t="s">
        <v>1980</v>
      </c>
      <c r="D4186" s="89" t="str">
        <f ca="1">OFFSET(Roster!$A$3,MATCH(表格1[[#This Row],[Location]]&amp;" "&amp;表格1[[#This Row],[Shop]]&amp;"*",Roster!$A$4:$A$72,0),DAY(表格1[[#This Row],[date]]),1,1)</f>
        <v>Maggie Ho_2</v>
      </c>
      <c r="E4186" s="86">
        <f>MONTH(表格1[[#This Row],[date]])</f>
        <v>3</v>
      </c>
      <c r="F4186" s="90">
        <v>46101</v>
      </c>
      <c r="G4186" s="86" t="str">
        <f>VLOOKUP("*"&amp;表格1[[#This Row],[Input]]&amp;"*",'Ref-List'!$B:$D,2,)</f>
        <v>TP-25DR2UHK(W)</v>
      </c>
      <c r="H4186" s="86" t="str">
        <f>_xlfn.XLOOKUP(表格1[[#This Row],[Model]],表格3[Model-Input-Ref2],表格3[Product Line])</f>
        <v>電熱水瓶 (2.5公升)</v>
      </c>
      <c r="I4186" s="86" t="str">
        <f>_xlfn.XLOOKUP(表格1[[#This Row],[Model]],表格3[Model-Input-Ref2],表格3[大小電])</f>
        <v>細電</v>
      </c>
      <c r="J4186" s="86" t="str">
        <f>_xlfn.XLOOKUP(表格1[[#This Row],[Model]],表格3[Model-Input-Ref2],表格3[Code])</f>
        <v>SDA</v>
      </c>
      <c r="K4186" s="89" t="s">
        <v>1285</v>
      </c>
      <c r="L4186" s="86">
        <v>1</v>
      </c>
      <c r="M4186" s="87">
        <v>398</v>
      </c>
      <c r="N4186" s="87">
        <f>IFERROR(表格1[[#This Row],[QTY]]*表格1[[#This Row],[Unit Price]],"-")</f>
        <v>398</v>
      </c>
      <c r="O4186" s="86" t="s">
        <v>1992</v>
      </c>
      <c r="R4186" s="86" t="str">
        <f>_xlfn.CONCAT(表格1[[#This Row],[Model]]," ",表格1[[#This Row],[inv no]])</f>
        <v>TP-25DR2UHK(W) S909-4781</v>
      </c>
      <c r="S4186" s="86">
        <f>_xlfn.XLOOKUP(表格1[[#This Row],[Model]],表格3[Model-Input-Ref2],表格3[SRP PRICE])</f>
        <v>538</v>
      </c>
      <c r="T4186" s="43">
        <f>表格1[[#This Row],[Unit Price]]/表格1[[#This Row],[SRP]]</f>
        <v>0.7397769516728625</v>
      </c>
      <c r="U4186" s="86" t="str">
        <f>_xlfn.XLOOKUP(表格1[[#This Row],[Model]],表格3[Model-Input-Ref2],表格3[TOSHIBA/HIGHEST])</f>
        <v>Toshiba SRP</v>
      </c>
      <c r="W4186" s="86" t="str">
        <f>_xlfn.CONCAT(表格1[[#This Row],[欄4]],表格1[[#This Row],[inv no]])</f>
        <v>S909-4781</v>
      </c>
    </row>
    <row r="4187" spans="1:23" hidden="1">
      <c r="A4187" s="81">
        <v>4185</v>
      </c>
      <c r="B4187" s="86" t="s">
        <v>1417</v>
      </c>
      <c r="C4187" s="86" t="s">
        <v>1980</v>
      </c>
      <c r="D4187" s="89" t="str">
        <f ca="1">OFFSET(Roster!$A$3,MATCH(表格1[[#This Row],[Location]]&amp;" "&amp;表格1[[#This Row],[Shop]]&amp;"*",Roster!$A$4:$A$72,0),DAY(表格1[[#This Row],[date]]),1,1)</f>
        <v>Maggie Ho_2</v>
      </c>
      <c r="E4187" s="86">
        <f>MONTH(表格1[[#This Row],[date]])</f>
        <v>3</v>
      </c>
      <c r="F4187" s="90">
        <v>46101</v>
      </c>
      <c r="G4187" s="86" t="str">
        <f>VLOOKUP("*"&amp;表格1[[#This Row],[Input]]&amp;"*",'Ref-List'!$B:$D,2,)</f>
        <v>RC-DX18T(W)</v>
      </c>
      <c r="H4187" s="86" t="str">
        <f>_xlfn.XLOOKUP(表格1[[#This Row],[Model]],表格3[Model-Input-Ref2],表格3[Product Line])</f>
        <v>真空壓力磁應電飯煲(1.8公升)</v>
      </c>
      <c r="I4187" s="86" t="str">
        <f>_xlfn.XLOOKUP(表格1[[#This Row],[Model]],表格3[Model-Input-Ref2],表格3[大小電])</f>
        <v>細電</v>
      </c>
      <c r="J4187" s="86" t="str">
        <f>_xlfn.XLOOKUP(表格1[[#This Row],[Model]],表格3[Model-Input-Ref2],表格3[Code])</f>
        <v>SDA</v>
      </c>
      <c r="K4187" s="89" t="s">
        <v>1368</v>
      </c>
      <c r="L4187" s="86">
        <v>1</v>
      </c>
      <c r="M4187" s="87">
        <v>4988</v>
      </c>
      <c r="N4187" s="87">
        <f>IFERROR(表格1[[#This Row],[QTY]]*表格1[[#This Row],[Unit Price]],"-")</f>
        <v>4988</v>
      </c>
      <c r="O4187" s="86" t="s">
        <v>1993</v>
      </c>
      <c r="R4187" s="86" t="str">
        <f>_xlfn.CONCAT(表格1[[#This Row],[Model]]," ",表格1[[#This Row],[inv no]])</f>
        <v>RC-DX18T(W) S909-4780</v>
      </c>
      <c r="S4187" s="86">
        <f>_xlfn.XLOOKUP(表格1[[#This Row],[Model]],表格3[Model-Input-Ref2],表格3[SRP PRICE])</f>
        <v>6388</v>
      </c>
      <c r="T4187" s="43">
        <f>表格1[[#This Row],[Unit Price]]/表格1[[#This Row],[SRP]]</f>
        <v>0.7808390732623669</v>
      </c>
      <c r="U4187" s="86" t="str">
        <f>_xlfn.XLOOKUP(表格1[[#This Row],[Model]],表格3[Model-Input-Ref2],表格3[TOSHIBA/HIGHEST])</f>
        <v>Toshiba SRP</v>
      </c>
      <c r="W4187" s="86" t="str">
        <f>_xlfn.CONCAT(表格1[[#This Row],[欄4]],表格1[[#This Row],[inv no]])</f>
        <v>S909-4780</v>
      </c>
    </row>
    <row r="4188" spans="1:23" hidden="1">
      <c r="A4188" s="81">
        <v>4186</v>
      </c>
      <c r="B4188" s="86" t="s">
        <v>1417</v>
      </c>
      <c r="C4188" s="86" t="s">
        <v>1980</v>
      </c>
      <c r="D4188" s="89" t="str">
        <f ca="1">OFFSET(Roster!$A$3,MATCH(表格1[[#This Row],[Location]]&amp;" "&amp;表格1[[#This Row],[Shop]]&amp;"*",Roster!$A$4:$A$72,0),DAY(表格1[[#This Row],[date]]),1,1)</f>
        <v>Maggie Ho_2</v>
      </c>
      <c r="E4188" s="86">
        <f>MONTH(表格1[[#This Row],[date]])</f>
        <v>3</v>
      </c>
      <c r="F4188" s="90">
        <v>46101</v>
      </c>
      <c r="G4188" s="86" t="str">
        <f>VLOOKUP("*"&amp;表格1[[#This Row],[Input]]&amp;"*",'Ref-List'!$B:$D,2,)</f>
        <v>PC-48DRSHK(K)</v>
      </c>
      <c r="H4188" s="86" t="str">
        <f>_xlfn.XLOOKUP(表格1[[#This Row],[Model]],表格3[Model-Input-Ref2],表格3[Product Line])</f>
        <v>電壓力鍋</v>
      </c>
      <c r="I4188" s="86" t="str">
        <f>_xlfn.XLOOKUP(表格1[[#This Row],[Model]],表格3[Model-Input-Ref2],表格3[大小電])</f>
        <v>細電</v>
      </c>
      <c r="J4188" s="86" t="str">
        <f>_xlfn.XLOOKUP(表格1[[#This Row],[Model]],表格3[Model-Input-Ref2],表格3[Code])</f>
        <v>SDA</v>
      </c>
      <c r="K4188" s="89" t="s">
        <v>1154</v>
      </c>
      <c r="L4188" s="86">
        <v>1</v>
      </c>
      <c r="M4188" s="87">
        <v>838</v>
      </c>
      <c r="N4188" s="87">
        <f>IFERROR(表格1[[#This Row],[QTY]]*表格1[[#This Row],[Unit Price]],"-")</f>
        <v>838</v>
      </c>
      <c r="O4188" s="86" t="s">
        <v>1994</v>
      </c>
      <c r="R4188" s="86" t="str">
        <f>_xlfn.CONCAT(表格1[[#This Row],[Model]]," ",表格1[[#This Row],[inv no]])</f>
        <v>PC-48DRSHK(K) S160-248466</v>
      </c>
      <c r="S4188" s="86">
        <f>_xlfn.XLOOKUP(表格1[[#This Row],[Model]],表格3[Model-Input-Ref2],表格3[SRP PRICE])</f>
        <v>1188</v>
      </c>
      <c r="T4188" s="43">
        <f>表格1[[#This Row],[Unit Price]]/表格1[[#This Row],[SRP]]</f>
        <v>0.70538720538720534</v>
      </c>
      <c r="U4188" s="86" t="str">
        <f>_xlfn.XLOOKUP(表格1[[#This Row],[Model]],表格3[Model-Input-Ref2],表格3[TOSHIBA/HIGHEST])</f>
        <v>Shops Highest Price</v>
      </c>
      <c r="W4188" s="86" t="str">
        <f>_xlfn.CONCAT(表格1[[#This Row],[欄4]],表格1[[#This Row],[inv no]])</f>
        <v>S160-248466</v>
      </c>
    </row>
    <row r="4189" spans="1:23" hidden="1">
      <c r="A4189" s="81">
        <v>4187</v>
      </c>
      <c r="B4189" s="86" t="s">
        <v>1417</v>
      </c>
      <c r="C4189" s="86" t="s">
        <v>1980</v>
      </c>
      <c r="D4189" s="89" t="str">
        <f ca="1">OFFSET(Roster!$A$3,MATCH(表格1[[#This Row],[Location]]&amp;" "&amp;表格1[[#This Row],[Shop]]&amp;"*",Roster!$A$4:$A$72,0),DAY(表格1[[#This Row],[date]]),1,1)</f>
        <v>Maggie Ho_2</v>
      </c>
      <c r="E4189" s="86">
        <f>MONTH(表格1[[#This Row],[date]])</f>
        <v>3</v>
      </c>
      <c r="F4189" s="90">
        <v>46101</v>
      </c>
      <c r="G4189" s="86" t="str">
        <f>VLOOKUP("*"&amp;表格1[[#This Row],[Input]]&amp;"*",'Ref-List'!$B:$D,2,)</f>
        <v>TP-25DR2UHK(W)</v>
      </c>
      <c r="H4189" s="86" t="str">
        <f>_xlfn.XLOOKUP(表格1[[#This Row],[Model]],表格3[Model-Input-Ref2],表格3[Product Line])</f>
        <v>電熱水瓶 (2.5公升)</v>
      </c>
      <c r="I4189" s="86" t="str">
        <f>_xlfn.XLOOKUP(表格1[[#This Row],[Model]],表格3[Model-Input-Ref2],表格3[大小電])</f>
        <v>細電</v>
      </c>
      <c r="J4189" s="86" t="str">
        <f>_xlfn.XLOOKUP(表格1[[#This Row],[Model]],表格3[Model-Input-Ref2],表格3[Code])</f>
        <v>SDA</v>
      </c>
      <c r="K4189" s="89" t="s">
        <v>1285</v>
      </c>
      <c r="L4189" s="86">
        <v>1</v>
      </c>
      <c r="M4189" s="87">
        <v>398</v>
      </c>
      <c r="N4189" s="87">
        <f>IFERROR(表格1[[#This Row],[QTY]]*表格1[[#This Row],[Unit Price]],"-")</f>
        <v>398</v>
      </c>
      <c r="O4189" s="86" t="s">
        <v>1995</v>
      </c>
      <c r="R4189" s="86" t="str">
        <f>_xlfn.CONCAT(表格1[[#This Row],[Model]]," ",表格1[[#This Row],[inv no]])</f>
        <v>TP-25DR2UHK(W) S909-4782</v>
      </c>
      <c r="S4189" s="86">
        <f>_xlfn.XLOOKUP(表格1[[#This Row],[Model]],表格3[Model-Input-Ref2],表格3[SRP PRICE])</f>
        <v>538</v>
      </c>
      <c r="T4189" s="43">
        <f>表格1[[#This Row],[Unit Price]]/表格1[[#This Row],[SRP]]</f>
        <v>0.7397769516728625</v>
      </c>
      <c r="U4189" s="86" t="str">
        <f>_xlfn.XLOOKUP(表格1[[#This Row],[Model]],表格3[Model-Input-Ref2],表格3[TOSHIBA/HIGHEST])</f>
        <v>Toshiba SRP</v>
      </c>
      <c r="W4189" s="86" t="str">
        <f>_xlfn.CONCAT(表格1[[#This Row],[欄4]],表格1[[#This Row],[inv no]])</f>
        <v>S909-4782</v>
      </c>
    </row>
    <row r="4190" spans="1:23" hidden="1">
      <c r="A4190" s="81">
        <v>4188</v>
      </c>
      <c r="B4190" s="86" t="s">
        <v>1417</v>
      </c>
      <c r="C4190" s="86" t="s">
        <v>1980</v>
      </c>
      <c r="D4190" s="89" t="str">
        <f ca="1">OFFSET(Roster!$A$3,MATCH(表格1[[#This Row],[Location]]&amp;" "&amp;表格1[[#This Row],[Shop]]&amp;"*",Roster!$A$4:$A$72,0),DAY(表格1[[#This Row],[date]]),1,1)</f>
        <v>Maggie Ho_2</v>
      </c>
      <c r="E4190" s="86">
        <f>MONTH(表格1[[#This Row],[date]])</f>
        <v>3</v>
      </c>
      <c r="F4190" s="90">
        <v>46101</v>
      </c>
      <c r="G4190" s="86" t="str">
        <f>VLOOKUP("*"&amp;表格1[[#This Row],[Input]]&amp;"*",'Ref-List'!$B:$D,2,)</f>
        <v>MS3-STQ20SC(WH)</v>
      </c>
      <c r="H4190" s="86" t="str">
        <f>_xlfn.XLOOKUP(表格1[[#This Row],[Model]],表格3[Model-Input-Ref2],表格3[Product Line])</f>
        <v>20L 智能蒸氣焗爐</v>
      </c>
      <c r="I4190" s="86" t="str">
        <f>_xlfn.XLOOKUP(表格1[[#This Row],[Model]],表格3[Model-Input-Ref2],表格3[大小電])</f>
        <v>細電</v>
      </c>
      <c r="J4190" s="86" t="str">
        <f>_xlfn.XLOOKUP(表格1[[#This Row],[Model]],表格3[Model-Input-Ref2],表格3[Code])</f>
        <v>MCA</v>
      </c>
      <c r="K4190" s="89" t="s">
        <v>1383</v>
      </c>
      <c r="L4190" s="86">
        <v>1</v>
      </c>
      <c r="M4190" s="87">
        <v>2100</v>
      </c>
      <c r="N4190" s="87">
        <f>IFERROR(表格1[[#This Row],[QTY]]*表格1[[#This Row],[Unit Price]],"-")</f>
        <v>2100</v>
      </c>
      <c r="O4190" s="86" t="s">
        <v>1996</v>
      </c>
      <c r="R4190" s="86" t="str">
        <f>_xlfn.CONCAT(表格1[[#This Row],[Model]]," ",表格1[[#This Row],[inv no]])</f>
        <v>MS3-STQ20SC(WH) S161-622101</v>
      </c>
      <c r="S4190" s="86">
        <f>_xlfn.XLOOKUP(表格1[[#This Row],[Model]],表格3[Model-Input-Ref2],表格3[SRP PRICE])</f>
        <v>2880</v>
      </c>
      <c r="T4190" s="43">
        <f>表格1[[#This Row],[Unit Price]]/表格1[[#This Row],[SRP]]</f>
        <v>0.72916666666666663</v>
      </c>
      <c r="U4190" s="86" t="str">
        <f>_xlfn.XLOOKUP(表格1[[#This Row],[Model]],表格3[Model-Input-Ref2],表格3[TOSHIBA/HIGHEST])</f>
        <v>Toshiba SRP</v>
      </c>
      <c r="W4190" s="86" t="str">
        <f>_xlfn.CONCAT(表格1[[#This Row],[欄4]],表格1[[#This Row],[inv no]])</f>
        <v>S161-622101</v>
      </c>
    </row>
    <row r="4191" spans="1:23" hidden="1">
      <c r="A4191" s="81">
        <v>4189</v>
      </c>
      <c r="B4191" s="86" t="s">
        <v>1417</v>
      </c>
      <c r="C4191" s="86" t="s">
        <v>1980</v>
      </c>
      <c r="D4191" s="89" t="str">
        <f ca="1">OFFSET(Roster!$A$3,MATCH(表格1[[#This Row],[Location]]&amp;" "&amp;表格1[[#This Row],[Shop]]&amp;"*",Roster!$A$4:$A$72,0),DAY(表格1[[#This Row],[date]]),1,1)</f>
        <v>Maggie Ho_2</v>
      </c>
      <c r="E4191" s="86">
        <f>MONTH(表格1[[#This Row],[date]])</f>
        <v>3</v>
      </c>
      <c r="F4191" s="90">
        <v>46101</v>
      </c>
      <c r="G4191" s="86" t="str">
        <f>VLOOKUP("*"&amp;表格1[[#This Row],[Input]]&amp;"*",'Ref-List'!$B:$D,2,)</f>
        <v>RC-DX10T(W)</v>
      </c>
      <c r="H4191" s="86" t="str">
        <f>_xlfn.XLOOKUP(表格1[[#This Row],[Model]],表格3[Model-Input-Ref2],表格3[Product Line])</f>
        <v>真空壓力磁應電飯煲(1.0公升)</v>
      </c>
      <c r="I4191" s="86" t="str">
        <f>_xlfn.XLOOKUP(表格1[[#This Row],[Model]],表格3[Model-Input-Ref2],表格3[大小電])</f>
        <v>細電</v>
      </c>
      <c r="J4191" s="86" t="str">
        <f>_xlfn.XLOOKUP(表格1[[#This Row],[Model]],表格3[Model-Input-Ref2],表格3[Code])</f>
        <v>SDA</v>
      </c>
      <c r="K4191" s="89" t="s">
        <v>1579</v>
      </c>
      <c r="L4191" s="86">
        <v>1</v>
      </c>
      <c r="M4191" s="87">
        <v>4888</v>
      </c>
      <c r="N4191" s="87">
        <f>IFERROR(表格1[[#This Row],[QTY]]*表格1[[#This Row],[Unit Price]],"-")</f>
        <v>4888</v>
      </c>
      <c r="O4191" s="86" t="s">
        <v>1997</v>
      </c>
      <c r="R4191" s="86" t="str">
        <f>_xlfn.CONCAT(表格1[[#This Row],[Model]]," ",表格1[[#This Row],[inv no]])</f>
        <v>RC-DX10T(W) S909-4783</v>
      </c>
      <c r="S4191" s="86">
        <f>_xlfn.XLOOKUP(表格1[[#This Row],[Model]],表格3[Model-Input-Ref2],表格3[SRP PRICE])</f>
        <v>5988</v>
      </c>
      <c r="T4191" s="43">
        <f>表格1[[#This Row],[Unit Price]]/表格1[[#This Row],[SRP]]</f>
        <v>0.81629926519706075</v>
      </c>
      <c r="U4191" s="86" t="str">
        <f>_xlfn.XLOOKUP(表格1[[#This Row],[Model]],表格3[Model-Input-Ref2],表格3[TOSHIBA/HIGHEST])</f>
        <v>Toshiba SRP</v>
      </c>
      <c r="W4191" s="86" t="str">
        <f>_xlfn.CONCAT(表格1[[#This Row],[欄4]],表格1[[#This Row],[inv no]])</f>
        <v>S909-4783</v>
      </c>
    </row>
    <row r="4192" spans="1:23" hidden="1">
      <c r="A4192" s="81">
        <v>4190</v>
      </c>
      <c r="B4192" s="86" t="s">
        <v>1417</v>
      </c>
      <c r="C4192" s="86" t="s">
        <v>1980</v>
      </c>
      <c r="D4192" s="89" t="str">
        <f ca="1">OFFSET(Roster!$A$3,MATCH(表格1[[#This Row],[Location]]&amp;" "&amp;表格1[[#This Row],[Shop]]&amp;"*",Roster!$A$4:$A$72,0),DAY(表格1[[#This Row],[date]]),1,1)</f>
        <v>Maggie Ho_2</v>
      </c>
      <c r="E4192" s="86">
        <f>MONTH(表格1[[#This Row],[date]])</f>
        <v>3</v>
      </c>
      <c r="F4192" s="90">
        <v>46102</v>
      </c>
      <c r="G4192" s="86" t="str">
        <f>VLOOKUP("*"&amp;表格1[[#This Row],[Input]]&amp;"*",'Ref-List'!$B:$D,2,)</f>
        <v>MM2-EM20PC(WH)</v>
      </c>
      <c r="H4192" s="86" t="str">
        <f>_xlfn.XLOOKUP(表格1[[#This Row],[Model]],表格3[Model-Input-Ref2],表格3[Product Line])</f>
        <v>輕觸式微波爐 (20公升)</v>
      </c>
      <c r="I4192" s="86" t="str">
        <f>_xlfn.XLOOKUP(表格1[[#This Row],[Model]],表格3[Model-Input-Ref2],表格3[大小電])</f>
        <v>細電</v>
      </c>
      <c r="J4192" s="86" t="str">
        <f>_xlfn.XLOOKUP(表格1[[#This Row],[Model]],表格3[Model-Input-Ref2],表格3[Code])</f>
        <v>MCA</v>
      </c>
      <c r="K4192" s="89" t="s">
        <v>1276</v>
      </c>
      <c r="L4192" s="86">
        <v>1</v>
      </c>
      <c r="M4192" s="87">
        <v>598</v>
      </c>
      <c r="N4192" s="87">
        <f>IFERROR(表格1[[#This Row],[QTY]]*表格1[[#This Row],[Unit Price]],"-")</f>
        <v>598</v>
      </c>
      <c r="O4192" s="86" t="s">
        <v>1998</v>
      </c>
      <c r="R4192" s="86" t="str">
        <f>_xlfn.CONCAT(表格1[[#This Row],[Model]]," ",表格1[[#This Row],[inv no]])</f>
        <v>MM2-EM20PC(WH) S909-4784</v>
      </c>
      <c r="S4192" s="86">
        <f>_xlfn.XLOOKUP(表格1[[#This Row],[Model]],表格3[Model-Input-Ref2],表格3[SRP PRICE])</f>
        <v>788</v>
      </c>
      <c r="T4192" s="43">
        <f>表格1[[#This Row],[Unit Price]]/表格1[[#This Row],[SRP]]</f>
        <v>0.75888324873096447</v>
      </c>
      <c r="U4192" s="86" t="str">
        <f>_xlfn.XLOOKUP(表格1[[#This Row],[Model]],表格3[Model-Input-Ref2],表格3[TOSHIBA/HIGHEST])</f>
        <v>Toshiba SRP</v>
      </c>
      <c r="W4192" s="86" t="str">
        <f>_xlfn.CONCAT(表格1[[#This Row],[欄4]],表格1[[#This Row],[inv no]])</f>
        <v>S909-4784</v>
      </c>
    </row>
    <row r="4193" spans="1:23" hidden="1">
      <c r="A4193" s="81">
        <v>4191</v>
      </c>
      <c r="B4193" s="86" t="s">
        <v>1417</v>
      </c>
      <c r="C4193" s="86" t="s">
        <v>1980</v>
      </c>
      <c r="D4193" s="89" t="str">
        <f ca="1">OFFSET(Roster!$A$3,MATCH(表格1[[#This Row],[Location]]&amp;" "&amp;表格1[[#This Row],[Shop]]&amp;"*",Roster!$A$4:$A$72,0),DAY(表格1[[#This Row],[date]]),1,1)</f>
        <v>Maggie Ho_2</v>
      </c>
      <c r="E4193" s="86">
        <f>MONTH(表格1[[#This Row],[date]])</f>
        <v>3</v>
      </c>
      <c r="F4193" s="90">
        <v>46102</v>
      </c>
      <c r="G4193" s="86" t="str">
        <f>VLOOKUP("*"&amp;表格1[[#This Row],[Input]]&amp;"*",'Ref-List'!$B:$D,2,)</f>
        <v>RC-DX10T(W)</v>
      </c>
      <c r="H4193" s="86" t="str">
        <f>_xlfn.XLOOKUP(表格1[[#This Row],[Model]],表格3[Model-Input-Ref2],表格3[Product Line])</f>
        <v>真空壓力磁應電飯煲(1.0公升)</v>
      </c>
      <c r="I4193" s="86" t="str">
        <f>_xlfn.XLOOKUP(表格1[[#This Row],[Model]],表格3[Model-Input-Ref2],表格3[大小電])</f>
        <v>細電</v>
      </c>
      <c r="J4193" s="86" t="str">
        <f>_xlfn.XLOOKUP(表格1[[#This Row],[Model]],表格3[Model-Input-Ref2],表格3[Code])</f>
        <v>SDA</v>
      </c>
      <c r="K4193" s="89" t="s">
        <v>1579</v>
      </c>
      <c r="L4193" s="86">
        <v>1</v>
      </c>
      <c r="M4193" s="87">
        <v>4888</v>
      </c>
      <c r="N4193" s="87">
        <f>IFERROR(表格1[[#This Row],[QTY]]*表格1[[#This Row],[Unit Price]],"-")</f>
        <v>4888</v>
      </c>
      <c r="O4193" s="86" t="s">
        <v>1999</v>
      </c>
      <c r="R4193" s="86" t="str">
        <f>_xlfn.CONCAT(表格1[[#This Row],[Model]]," ",表格1[[#This Row],[inv no]])</f>
        <v>RC-DX10T(W) S909-4785</v>
      </c>
      <c r="S4193" s="86">
        <f>_xlfn.XLOOKUP(表格1[[#This Row],[Model]],表格3[Model-Input-Ref2],表格3[SRP PRICE])</f>
        <v>5988</v>
      </c>
      <c r="T4193" s="43">
        <f>表格1[[#This Row],[Unit Price]]/表格1[[#This Row],[SRP]]</f>
        <v>0.81629926519706075</v>
      </c>
      <c r="U4193" s="86" t="str">
        <f>_xlfn.XLOOKUP(表格1[[#This Row],[Model]],表格3[Model-Input-Ref2],表格3[TOSHIBA/HIGHEST])</f>
        <v>Toshiba SRP</v>
      </c>
      <c r="W4193" s="86" t="str">
        <f>_xlfn.CONCAT(表格1[[#This Row],[欄4]],表格1[[#This Row],[inv no]])</f>
        <v>S909-4785</v>
      </c>
    </row>
    <row r="4194" spans="1:23" hidden="1">
      <c r="A4194" s="81">
        <v>4192</v>
      </c>
      <c r="B4194" s="86" t="s">
        <v>1417</v>
      </c>
      <c r="C4194" s="86" t="s">
        <v>1980</v>
      </c>
      <c r="D4194" s="89" t="str">
        <f ca="1">OFFSET(Roster!$A$3,MATCH(表格1[[#This Row],[Location]]&amp;" "&amp;表格1[[#This Row],[Shop]]&amp;"*",Roster!$A$4:$A$72,0),DAY(表格1[[#This Row],[date]]),1,1)</f>
        <v>Maggie Ho_2</v>
      </c>
      <c r="E4194" s="86">
        <f>MONTH(表格1[[#This Row],[date]])</f>
        <v>3</v>
      </c>
      <c r="F4194" s="90">
        <v>46102</v>
      </c>
      <c r="G4194" s="86" t="str">
        <f>VLOOKUP("*"&amp;表格1[[#This Row],[Input]]&amp;"*",'Ref-List'!$B:$D,2,)</f>
        <v>RC-18NMFIH(WT)</v>
      </c>
      <c r="H4194" s="86" t="str">
        <f>_xlfn.XLOOKUP(表格1[[#This Row],[Model]],表格3[Model-Input-Ref2],表格3[Product Line])</f>
        <v>4毫米厚釜電飯煲1.8L</v>
      </c>
      <c r="I4194" s="86" t="str">
        <f>_xlfn.XLOOKUP(表格1[[#This Row],[Model]],表格3[Model-Input-Ref2],表格3[大小電])</f>
        <v>細電</v>
      </c>
      <c r="J4194" s="86" t="str">
        <f>_xlfn.XLOOKUP(表格1[[#This Row],[Model]],表格3[Model-Input-Ref2],表格3[Code])</f>
        <v>SDA</v>
      </c>
      <c r="K4194" s="89" t="s">
        <v>1267</v>
      </c>
      <c r="L4194" s="86">
        <v>1</v>
      </c>
      <c r="M4194" s="87">
        <v>798</v>
      </c>
      <c r="N4194" s="87">
        <f>IFERROR(表格1[[#This Row],[QTY]]*表格1[[#This Row],[Unit Price]],"-")</f>
        <v>798</v>
      </c>
      <c r="O4194" s="86" t="s">
        <v>2000</v>
      </c>
      <c r="R4194" s="86" t="str">
        <f>_xlfn.CONCAT(表格1[[#This Row],[Model]]," ",表格1[[#This Row],[inv no]])</f>
        <v>RC-18NMFIH(WT) S909-4786</v>
      </c>
      <c r="S4194" s="86">
        <f>_xlfn.XLOOKUP(表格1[[#This Row],[Model]],表格3[Model-Input-Ref2],表格3[SRP PRICE])</f>
        <v>998</v>
      </c>
      <c r="T4194" s="43">
        <f>表格1[[#This Row],[Unit Price]]/表格1[[#This Row],[SRP]]</f>
        <v>0.79959919839679361</v>
      </c>
      <c r="U4194" s="86" t="str">
        <f>_xlfn.XLOOKUP(表格1[[#This Row],[Model]],表格3[Model-Input-Ref2],表格3[TOSHIBA/HIGHEST])</f>
        <v>Toshiba SRP</v>
      </c>
      <c r="W4194" s="86" t="str">
        <f>_xlfn.CONCAT(表格1[[#This Row],[欄4]],表格1[[#This Row],[inv no]])</f>
        <v>S909-4786</v>
      </c>
    </row>
    <row r="4195" spans="1:23" hidden="1">
      <c r="A4195" s="81">
        <v>4193</v>
      </c>
      <c r="B4195" s="86" t="s">
        <v>1417</v>
      </c>
      <c r="C4195" s="86" t="s">
        <v>1980</v>
      </c>
      <c r="D4195" s="89" t="str">
        <f ca="1">OFFSET(Roster!$A$3,MATCH(表格1[[#This Row],[Location]]&amp;" "&amp;表格1[[#This Row],[Shop]]&amp;"*",Roster!$A$4:$A$72,0),DAY(表格1[[#This Row],[date]]),1,1)</f>
        <v>Maggie Ho_2</v>
      </c>
      <c r="E4195" s="86">
        <f>MONTH(表格1[[#This Row],[date]])</f>
        <v>3</v>
      </c>
      <c r="F4195" s="90">
        <v>46104</v>
      </c>
      <c r="G4195" s="86" t="str">
        <f>VLOOKUP("*"&amp;表格1[[#This Row],[Input]]&amp;"*",'Ref-List'!$B:$D,2,)</f>
        <v>RC-18ISPH</v>
      </c>
      <c r="H4195" s="86" t="str">
        <f>_xlfn.XLOOKUP(表格1[[#This Row],[Model]],表格3[Model-Input-Ref2],表格3[Product Line])</f>
        <v>低醣磁應電飯煲1.8L</v>
      </c>
      <c r="I4195" s="86" t="str">
        <f>_xlfn.XLOOKUP(表格1[[#This Row],[Model]],表格3[Model-Input-Ref2],表格3[大小電])</f>
        <v>細電</v>
      </c>
      <c r="J4195" s="86" t="str">
        <f>_xlfn.XLOOKUP(表格1[[#This Row],[Model]],表格3[Model-Input-Ref2],表格3[Code])</f>
        <v>SDA</v>
      </c>
      <c r="K4195" s="89" t="s">
        <v>1281</v>
      </c>
      <c r="L4195" s="86">
        <v>1</v>
      </c>
      <c r="M4195" s="87">
        <v>998</v>
      </c>
      <c r="N4195" s="87">
        <f>IFERROR(表格1[[#This Row],[QTY]]*表格1[[#This Row],[Unit Price]],"-")</f>
        <v>998</v>
      </c>
      <c r="O4195" s="86" t="s">
        <v>2001</v>
      </c>
      <c r="R4195" s="86" t="str">
        <f>_xlfn.CONCAT(表格1[[#This Row],[Model]]," ",表格1[[#This Row],[inv no]])</f>
        <v>RC-18ISPH S160-248520</v>
      </c>
      <c r="S4195" s="86">
        <f>_xlfn.XLOOKUP(表格1[[#This Row],[Model]],表格3[Model-Input-Ref2],表格3[SRP PRICE])</f>
        <v>1436</v>
      </c>
      <c r="T4195" s="43">
        <f>表格1[[#This Row],[Unit Price]]/表格1[[#This Row],[SRP]]</f>
        <v>0.69498607242339838</v>
      </c>
      <c r="U4195" s="86" t="str">
        <f>_xlfn.XLOOKUP(表格1[[#This Row],[Model]],表格3[Model-Input-Ref2],表格3[TOSHIBA/HIGHEST])</f>
        <v>Shops Highest Price</v>
      </c>
      <c r="W4195" s="86" t="str">
        <f>_xlfn.CONCAT(表格1[[#This Row],[欄4]],表格1[[#This Row],[inv no]])</f>
        <v>S160-248520</v>
      </c>
    </row>
    <row r="4196" spans="1:23" hidden="1">
      <c r="A4196" s="81">
        <v>4194</v>
      </c>
      <c r="B4196" s="86" t="s">
        <v>1417</v>
      </c>
      <c r="C4196" s="86" t="s">
        <v>1980</v>
      </c>
      <c r="D4196" s="89" t="str">
        <f ca="1">OFFSET(Roster!$A$3,MATCH(表格1[[#This Row],[Location]]&amp;" "&amp;表格1[[#This Row],[Shop]]&amp;"*",Roster!$A$4:$A$72,0),DAY(表格1[[#This Row],[date]]),1,1)</f>
        <v>Maggie Ho_2</v>
      </c>
      <c r="E4196" s="86">
        <f>MONTH(表格1[[#This Row],[date]])</f>
        <v>3</v>
      </c>
      <c r="F4196" s="90">
        <v>46104</v>
      </c>
      <c r="G4196" s="86" t="str">
        <f>VLOOKUP("*"&amp;表格1[[#This Row],[Input]]&amp;"*",'Ref-List'!$B:$D,2,)</f>
        <v>RC-10AMXH(W)</v>
      </c>
      <c r="H4196" s="86" t="str">
        <f>_xlfn.XLOOKUP(表格1[[#This Row],[Model]],表格3[Model-Input-Ref2],表格3[Product Line])</f>
        <v>酵活炊電飯煲(1.0公升)</v>
      </c>
      <c r="I4196" s="86" t="str">
        <f>_xlfn.XLOOKUP(表格1[[#This Row],[Model]],表格3[Model-Input-Ref2],表格3[大小電])</f>
        <v>細電</v>
      </c>
      <c r="J4196" s="86" t="str">
        <f>_xlfn.XLOOKUP(表格1[[#This Row],[Model]],表格3[Model-Input-Ref2],表格3[Code])</f>
        <v>SDA</v>
      </c>
      <c r="K4196" s="89" t="s">
        <v>1279</v>
      </c>
      <c r="L4196" s="86">
        <v>1</v>
      </c>
      <c r="M4196" s="87">
        <v>998</v>
      </c>
      <c r="N4196" s="87">
        <f>IFERROR(表格1[[#This Row],[QTY]]*表格1[[#This Row],[Unit Price]],"-")</f>
        <v>998</v>
      </c>
      <c r="O4196" s="86" t="s">
        <v>2002</v>
      </c>
      <c r="R4196" s="86" t="str">
        <f>_xlfn.CONCAT(表格1[[#This Row],[Model]]," ",表格1[[#This Row],[inv no]])</f>
        <v>RC-10AMXH(W) S161-622305</v>
      </c>
      <c r="S4196" s="86">
        <f>_xlfn.XLOOKUP(表格1[[#This Row],[Model]],表格3[Model-Input-Ref2],表格3[SRP PRICE])</f>
        <v>1288</v>
      </c>
      <c r="T4196" s="43">
        <f>表格1[[#This Row],[Unit Price]]/表格1[[#This Row],[SRP]]</f>
        <v>0.77484472049689446</v>
      </c>
      <c r="U4196" s="86" t="str">
        <f>_xlfn.XLOOKUP(表格1[[#This Row],[Model]],表格3[Model-Input-Ref2],表格3[TOSHIBA/HIGHEST])</f>
        <v>Toshiba SRP</v>
      </c>
      <c r="W4196" s="86" t="str">
        <f>_xlfn.CONCAT(表格1[[#This Row],[欄4]],表格1[[#This Row],[inv no]])</f>
        <v>S161-622305</v>
      </c>
    </row>
    <row r="4197" spans="1:23" hidden="1">
      <c r="A4197" s="81">
        <v>4195</v>
      </c>
      <c r="B4197" s="86" t="s">
        <v>1417</v>
      </c>
      <c r="C4197" s="86" t="s">
        <v>1980</v>
      </c>
      <c r="D4197" s="89" t="str">
        <f ca="1">OFFSET(Roster!$A$3,MATCH(表格1[[#This Row],[Location]]&amp;" "&amp;表格1[[#This Row],[Shop]]&amp;"*",Roster!$A$4:$A$72,0),DAY(表格1[[#This Row],[date]]),1,1)</f>
        <v>Maggie Ho_2</v>
      </c>
      <c r="E4197" s="86">
        <f>MONTH(表格1[[#This Row],[date]])</f>
        <v>3</v>
      </c>
      <c r="F4197" s="90">
        <v>46104</v>
      </c>
      <c r="G4197" s="86" t="str">
        <f>VLOOKUP("*"&amp;表格1[[#This Row],[Input]]&amp;"*",'Ref-List'!$B:$D,2,)</f>
        <v>TP-50DRUHK(W)</v>
      </c>
      <c r="H4197" s="86" t="str">
        <f>_xlfn.XLOOKUP(表格1[[#This Row],[Model]],表格3[Model-Input-Ref2],表格3[Product Line])</f>
        <v>電熱水瓶 (5公升)</v>
      </c>
      <c r="I4197" s="86" t="str">
        <f>_xlfn.XLOOKUP(表格1[[#This Row],[Model]],表格3[Model-Input-Ref2],表格3[大小電])</f>
        <v>細電</v>
      </c>
      <c r="J4197" s="86" t="str">
        <f>_xlfn.XLOOKUP(表格1[[#This Row],[Model]],表格3[Model-Input-Ref2],表格3[Code])</f>
        <v>SDA</v>
      </c>
      <c r="K4197" s="89" t="s">
        <v>1277</v>
      </c>
      <c r="L4197" s="86">
        <v>1</v>
      </c>
      <c r="M4197" s="87">
        <v>598</v>
      </c>
      <c r="N4197" s="87">
        <f>IFERROR(表格1[[#This Row],[QTY]]*表格1[[#This Row],[Unit Price]],"-")</f>
        <v>598</v>
      </c>
      <c r="O4197" s="86" t="s">
        <v>2003</v>
      </c>
      <c r="R4197" s="86" t="str">
        <f>_xlfn.CONCAT(表格1[[#This Row],[Model]]," ",表格1[[#This Row],[inv no]])</f>
        <v>TP-50DRUHK(W) S161-622264</v>
      </c>
      <c r="S4197" s="86">
        <f>_xlfn.XLOOKUP(表格1[[#This Row],[Model]],表格3[Model-Input-Ref2],表格3[SRP PRICE])</f>
        <v>718</v>
      </c>
      <c r="T4197" s="43">
        <f>表格1[[#This Row],[Unit Price]]/表格1[[#This Row],[SRP]]</f>
        <v>0.83286908077994426</v>
      </c>
      <c r="U4197" s="86" t="str">
        <f>_xlfn.XLOOKUP(表格1[[#This Row],[Model]],表格3[Model-Input-Ref2],表格3[TOSHIBA/HIGHEST])</f>
        <v>Toshiba SRP</v>
      </c>
      <c r="W4197" s="86" t="str">
        <f>_xlfn.CONCAT(表格1[[#This Row],[欄4]],表格1[[#This Row],[inv no]])</f>
        <v>S161-622264</v>
      </c>
    </row>
    <row r="4198" spans="1:23" hidden="1">
      <c r="A4198" s="81">
        <v>4196</v>
      </c>
      <c r="B4198" s="86" t="s">
        <v>1417</v>
      </c>
      <c r="C4198" s="86" t="s">
        <v>1980</v>
      </c>
      <c r="D4198" s="89" t="str">
        <f ca="1">OFFSET(Roster!$A$3,MATCH(表格1[[#This Row],[Location]]&amp;" "&amp;表格1[[#This Row],[Shop]]&amp;"*",Roster!$A$4:$A$72,0),DAY(表格1[[#This Row],[date]]),1,1)</f>
        <v>Maggie Ho_2</v>
      </c>
      <c r="E4198" s="86">
        <f>MONTH(表格1[[#This Row],[date]])</f>
        <v>3</v>
      </c>
      <c r="F4198" s="90">
        <v>46104</v>
      </c>
      <c r="G4198" s="86" t="str">
        <f>VLOOKUP("*"&amp;表格1[[#This Row],[Input]]&amp;"*",'Ref-List'!$B:$D,2,)</f>
        <v>MX2-TT20SC(WH)</v>
      </c>
      <c r="H4198" s="86" t="str">
        <f>_xlfn.XLOOKUP(表格1[[#This Row],[Model]],表格3[Model-Input-Ref2],表格3[Product Line])</f>
        <v>3合1 微波蒸焗爐 (20公升)</v>
      </c>
      <c r="I4198" s="86" t="str">
        <f>_xlfn.XLOOKUP(表格1[[#This Row],[Model]],表格3[Model-Input-Ref2],表格3[大小電])</f>
        <v>細電</v>
      </c>
      <c r="J4198" s="86" t="str">
        <f>_xlfn.XLOOKUP(表格1[[#This Row],[Model]],表格3[Model-Input-Ref2],表格3[Code])</f>
        <v>MCA</v>
      </c>
      <c r="K4198" s="89" t="s">
        <v>1287</v>
      </c>
      <c r="L4198" s="86">
        <v>1</v>
      </c>
      <c r="M4198" s="87">
        <v>2580</v>
      </c>
      <c r="N4198" s="87">
        <f>IFERROR(表格1[[#This Row],[QTY]]*表格1[[#This Row],[Unit Price]],"-")</f>
        <v>2580</v>
      </c>
      <c r="O4198" s="86" t="s">
        <v>2004</v>
      </c>
      <c r="R4198" s="86" t="str">
        <f>_xlfn.CONCAT(表格1[[#This Row],[Model]]," ",表格1[[#This Row],[inv no]])</f>
        <v>MX2-TT20SC(WH) S161-622268</v>
      </c>
      <c r="S4198" s="86">
        <f>_xlfn.XLOOKUP(表格1[[#This Row],[Model]],表格3[Model-Input-Ref2],表格3[SRP PRICE])</f>
        <v>3580</v>
      </c>
      <c r="T4198" s="43">
        <f>表格1[[#This Row],[Unit Price]]/表格1[[#This Row],[SRP]]</f>
        <v>0.72067039106145248</v>
      </c>
      <c r="U4198" s="86" t="str">
        <f>_xlfn.XLOOKUP(表格1[[#This Row],[Model]],表格3[Model-Input-Ref2],表格3[TOSHIBA/HIGHEST])</f>
        <v>Toshiba SRP</v>
      </c>
      <c r="W4198" s="86" t="str">
        <f>_xlfn.CONCAT(表格1[[#This Row],[欄4]],表格1[[#This Row],[inv no]])</f>
        <v>S161-622268</v>
      </c>
    </row>
    <row r="4199" spans="1:23" hidden="1">
      <c r="A4199" s="81">
        <v>4197</v>
      </c>
      <c r="B4199" s="86" t="s">
        <v>1417</v>
      </c>
      <c r="C4199" s="86" t="s">
        <v>1980</v>
      </c>
      <c r="D4199" s="89" t="str">
        <f ca="1">OFFSET(Roster!$A$3,MATCH(表格1[[#This Row],[Location]]&amp;" "&amp;表格1[[#This Row],[Shop]]&amp;"*",Roster!$A$4:$A$72,0),DAY(表格1[[#This Row],[date]]),1,1)</f>
        <v>Maggie Ho_2</v>
      </c>
      <c r="E4199" s="86">
        <f>MONTH(表格1[[#This Row],[date]])</f>
        <v>3</v>
      </c>
      <c r="F4199" s="90">
        <v>46104</v>
      </c>
      <c r="G4199" s="86" t="str">
        <f>VLOOKUP("*"&amp;表格1[[#This Row],[Input]]&amp;"*",'Ref-List'!$B:$D,2,)</f>
        <v>MWP-MM20P(WH)</v>
      </c>
      <c r="H4199" s="86" t="str">
        <f>_xlfn.XLOOKUP(表格1[[#This Row],[Model]],表格3[Model-Input-Ref2],表格3[Product Line])</f>
        <v>旋鈕式燒烤微波爐20L</v>
      </c>
      <c r="I4199" s="86" t="str">
        <f>_xlfn.XLOOKUP(表格1[[#This Row],[Model]],表格3[Model-Input-Ref2],表格3[大小電])</f>
        <v>細電</v>
      </c>
      <c r="J4199" s="86" t="str">
        <f>_xlfn.XLOOKUP(表格1[[#This Row],[Model]],表格3[Model-Input-Ref2],表格3[Code])</f>
        <v>SDA</v>
      </c>
      <c r="K4199" s="89" t="s">
        <v>1270</v>
      </c>
      <c r="L4199" s="86">
        <v>1</v>
      </c>
      <c r="M4199" s="87">
        <v>599</v>
      </c>
      <c r="N4199" s="87">
        <f>IFERROR(表格1[[#This Row],[QTY]]*表格1[[#This Row],[Unit Price]],"-")</f>
        <v>599</v>
      </c>
      <c r="O4199" s="86" t="s">
        <v>2005</v>
      </c>
      <c r="R4199" s="86" t="str">
        <f>_xlfn.CONCAT(表格1[[#This Row],[Model]]," ",表格1[[#This Row],[inv no]])</f>
        <v>MWP-MM20P(WH) S160-248531</v>
      </c>
      <c r="S4199" s="86">
        <f>_xlfn.XLOOKUP(表格1[[#This Row],[Model]],表格3[Model-Input-Ref2],表格3[SRP PRICE])</f>
        <v>648</v>
      </c>
      <c r="T4199" s="43">
        <f>表格1[[#This Row],[Unit Price]]/表格1[[#This Row],[SRP]]</f>
        <v>0.92438271604938271</v>
      </c>
      <c r="U4199" s="86" t="str">
        <f>_xlfn.XLOOKUP(表格1[[#This Row],[Model]],表格3[Model-Input-Ref2],表格3[TOSHIBA/HIGHEST])</f>
        <v>Toshiba SRP</v>
      </c>
      <c r="W4199" s="86" t="str">
        <f>_xlfn.CONCAT(表格1[[#This Row],[欄4]],表格1[[#This Row],[inv no]])</f>
        <v>S160-248531</v>
      </c>
    </row>
    <row r="4200" spans="1:23" hidden="1">
      <c r="A4200" s="81">
        <v>4198</v>
      </c>
      <c r="B4200" s="86" t="s">
        <v>1417</v>
      </c>
      <c r="C4200" s="86" t="s">
        <v>1980</v>
      </c>
      <c r="D4200" s="89" t="str">
        <f ca="1">OFFSET(Roster!$A$3,MATCH(表格1[[#This Row],[Location]]&amp;" "&amp;表格1[[#This Row],[Shop]]&amp;"*",Roster!$A$4:$A$72,0),DAY(表格1[[#This Row],[date]]),1,1)</f>
        <v>Maggie Ho_2</v>
      </c>
      <c r="E4200" s="86">
        <f>MONTH(表格1[[#This Row],[date]])</f>
        <v>3</v>
      </c>
      <c r="F4200" s="90">
        <v>46104</v>
      </c>
      <c r="G4200" s="86" t="str">
        <f>VLOOKUP("*"&amp;表格1[[#This Row],[Input]]&amp;"*",'Ref-List'!$B:$D,2,)</f>
        <v>FIST(PRO)</v>
      </c>
      <c r="H4200" s="86" t="str">
        <f>_xlfn.XLOOKUP(表格1[[#This Row],[Model]],表格3[Model-Input-Ref2],表格3[Product Line])</f>
        <v>濾芯</v>
      </c>
      <c r="I4200" s="86" t="str">
        <f>_xlfn.XLOOKUP(表格1[[#This Row],[Model]],表格3[Model-Input-Ref2],表格3[大小電])</f>
        <v>細電</v>
      </c>
      <c r="J4200" s="86" t="str">
        <f>_xlfn.XLOOKUP(表格1[[#This Row],[Model]],表格3[Model-Input-Ref2],表格3[Code])</f>
        <v>KWH</v>
      </c>
      <c r="K4200" s="89" t="s">
        <v>1489</v>
      </c>
      <c r="L4200" s="86">
        <v>1</v>
      </c>
      <c r="M4200" s="87">
        <v>798</v>
      </c>
      <c r="N4200" s="87">
        <f>IFERROR(表格1[[#This Row],[QTY]]*表格1[[#This Row],[Unit Price]],"-")</f>
        <v>798</v>
      </c>
      <c r="O4200" s="86" t="s">
        <v>2006</v>
      </c>
      <c r="R4200" s="86" t="str">
        <f>_xlfn.CONCAT(表格1[[#This Row],[Model]]," ",表格1[[#This Row],[inv no]])</f>
        <v>FIST(PRO) S909-4787</v>
      </c>
      <c r="S4200" s="86">
        <f>_xlfn.XLOOKUP(表格1[[#This Row],[Model]],表格3[Model-Input-Ref2],表格3[SRP PRICE])</f>
        <v>798</v>
      </c>
      <c r="T4200" s="43">
        <f>表格1[[#This Row],[Unit Price]]/表格1[[#This Row],[SRP]]</f>
        <v>1</v>
      </c>
      <c r="U4200" s="86" t="str">
        <f>_xlfn.XLOOKUP(表格1[[#This Row],[Model]],表格3[Model-Input-Ref2],表格3[TOSHIBA/HIGHEST])</f>
        <v>Shops Highest Price</v>
      </c>
      <c r="W4200" s="86" t="str">
        <f>_xlfn.CONCAT(表格1[[#This Row],[欄4]],表格1[[#This Row],[inv no]])</f>
        <v>S909-4787</v>
      </c>
    </row>
    <row r="4201" spans="1:23" hidden="1">
      <c r="A4201" s="81">
        <v>4199</v>
      </c>
      <c r="B4201" s="86" t="s">
        <v>1417</v>
      </c>
      <c r="C4201" s="86" t="s">
        <v>1980</v>
      </c>
      <c r="D4201" s="89" t="str">
        <f ca="1">OFFSET(Roster!$A$3,MATCH(表格1[[#This Row],[Location]]&amp;" "&amp;表格1[[#This Row],[Shop]]&amp;"*",Roster!$A$4:$A$72,0),DAY(表格1[[#This Row],[date]]),1,1)</f>
        <v>Maggie Ho_2</v>
      </c>
      <c r="E4201" s="86">
        <f>MONTH(表格1[[#This Row],[date]])</f>
        <v>3</v>
      </c>
      <c r="F4201" s="90">
        <v>46104</v>
      </c>
      <c r="G4201" s="86" t="str">
        <f>VLOOKUP("*"&amp;表格1[[#This Row],[Input]]&amp;"*",'Ref-List'!$B:$D,2,)</f>
        <v>IC-S19RH</v>
      </c>
      <c r="H4201" s="86" t="str">
        <f>_xlfn.XLOOKUP(表格1[[#This Row],[Model]],表格3[Model-Input-Ref2],表格3[Product Line])</f>
        <v>輕便式電磁爐7個功能</v>
      </c>
      <c r="I4201" s="86" t="str">
        <f>_xlfn.XLOOKUP(表格1[[#This Row],[Model]],表格3[Model-Input-Ref2],表格3[大小電])</f>
        <v>細電</v>
      </c>
      <c r="J4201" s="86" t="str">
        <f>_xlfn.XLOOKUP(表格1[[#This Row],[Model]],表格3[Model-Input-Ref2],表格3[Code])</f>
        <v>SDA</v>
      </c>
      <c r="K4201" s="89" t="s">
        <v>1289</v>
      </c>
      <c r="L4201" s="86">
        <v>1</v>
      </c>
      <c r="M4201" s="87">
        <v>418</v>
      </c>
      <c r="N4201" s="87">
        <f>IFERROR(表格1[[#This Row],[QTY]]*表格1[[#This Row],[Unit Price]],"-")</f>
        <v>418</v>
      </c>
      <c r="O4201" s="86" t="s">
        <v>2007</v>
      </c>
      <c r="R4201" s="86" t="str">
        <f>_xlfn.CONCAT(表格1[[#This Row],[Model]]," ",表格1[[#This Row],[inv no]])</f>
        <v>IC-S19RH S161-622313</v>
      </c>
      <c r="S4201" s="86">
        <f>_xlfn.XLOOKUP(表格1[[#This Row],[Model]],表格3[Model-Input-Ref2],表格3[SRP PRICE])</f>
        <v>638</v>
      </c>
      <c r="T4201" s="43">
        <f>表格1[[#This Row],[Unit Price]]/表格1[[#This Row],[SRP]]</f>
        <v>0.65517241379310343</v>
      </c>
      <c r="U4201" s="86" t="str">
        <f>_xlfn.XLOOKUP(表格1[[#This Row],[Model]],表格3[Model-Input-Ref2],表格3[TOSHIBA/HIGHEST])</f>
        <v>Toshiba SRP</v>
      </c>
      <c r="W4201" s="86" t="str">
        <f>_xlfn.CONCAT(表格1[[#This Row],[欄4]],表格1[[#This Row],[inv no]])</f>
        <v>S161-622313</v>
      </c>
    </row>
    <row r="4202" spans="1:23" hidden="1">
      <c r="A4202" s="81">
        <v>4200</v>
      </c>
      <c r="B4202" s="86" t="s">
        <v>1417</v>
      </c>
      <c r="C4202" s="86" t="s">
        <v>1980</v>
      </c>
      <c r="D4202" s="89" t="str">
        <f ca="1">OFFSET(Roster!$A$3,MATCH(表格1[[#This Row],[Location]]&amp;" "&amp;表格1[[#This Row],[Shop]]&amp;"*",Roster!$A$4:$A$72,0),DAY(表格1[[#This Row],[date]]),1,1)</f>
        <v>Maggie Ho_2</v>
      </c>
      <c r="E4202" s="86">
        <f>MONTH(表格1[[#This Row],[date]])</f>
        <v>3</v>
      </c>
      <c r="F4202" s="90">
        <v>46104</v>
      </c>
      <c r="G4202" s="86" t="str">
        <f>VLOOKUP("*"&amp;表格1[[#This Row],[Input]]&amp;"*",'Ref-List'!$B:$D,2,)</f>
        <v>RC-10ISSHK(W)</v>
      </c>
      <c r="H4202" s="86" t="str">
        <f>_xlfn.XLOOKUP(表格1[[#This Row],[Model]],表格3[Model-Input-Ref2],表格3[Product Line])</f>
        <v>磁應電飯煲(1公升)</v>
      </c>
      <c r="I4202" s="86" t="str">
        <f>_xlfn.XLOOKUP(表格1[[#This Row],[Model]],表格3[Model-Input-Ref2],表格3[大小電])</f>
        <v>細電</v>
      </c>
      <c r="J4202" s="86" t="str">
        <f>_xlfn.XLOOKUP(表格1[[#This Row],[Model]],表格3[Model-Input-Ref2],表格3[Code])</f>
        <v>SDA</v>
      </c>
      <c r="K4202" s="89" t="s">
        <v>1286</v>
      </c>
      <c r="L4202" s="86">
        <v>1</v>
      </c>
      <c r="M4202" s="87">
        <v>898</v>
      </c>
      <c r="N4202" s="87">
        <f>IFERROR(表格1[[#This Row],[QTY]]*表格1[[#This Row],[Unit Price]],"-")</f>
        <v>898</v>
      </c>
      <c r="O4202" s="86" t="s">
        <v>2008</v>
      </c>
      <c r="R4202" s="86" t="str">
        <f>_xlfn.CONCAT(表格1[[#This Row],[Model]]," ",表格1[[#This Row],[inv no]])</f>
        <v>RC-10ISSHK(W) S160-248550</v>
      </c>
      <c r="S4202" s="86">
        <f>_xlfn.XLOOKUP(表格1[[#This Row],[Model]],表格3[Model-Input-Ref2],表格3[SRP PRICE])</f>
        <v>1188</v>
      </c>
      <c r="T4202" s="43">
        <f>表格1[[#This Row],[Unit Price]]/表格1[[#This Row],[SRP]]</f>
        <v>0.75589225589225584</v>
      </c>
      <c r="U4202" s="86" t="str">
        <f>_xlfn.XLOOKUP(表格1[[#This Row],[Model]],表格3[Model-Input-Ref2],表格3[TOSHIBA/HIGHEST])</f>
        <v>Shops Highest Price</v>
      </c>
      <c r="W4202" s="86" t="str">
        <f>_xlfn.CONCAT(表格1[[#This Row],[欄4]],表格1[[#This Row],[inv no]])</f>
        <v>S160-248550</v>
      </c>
    </row>
    <row r="4203" spans="1:23" hidden="1">
      <c r="A4203" s="81">
        <v>4201</v>
      </c>
      <c r="B4203" s="86" t="s">
        <v>1417</v>
      </c>
      <c r="C4203" s="86" t="s">
        <v>1980</v>
      </c>
      <c r="D4203" s="89" t="str">
        <f ca="1">OFFSET(Roster!$A$3,MATCH(表格1[[#This Row],[Location]]&amp;" "&amp;表格1[[#This Row],[Shop]]&amp;"*",Roster!$A$4:$A$72,0),DAY(表格1[[#This Row],[date]]),1,1)</f>
        <v>Maggie Ho_2</v>
      </c>
      <c r="E4203" s="86">
        <f>MONTH(表格1[[#This Row],[date]])</f>
        <v>3</v>
      </c>
      <c r="F4203" s="90">
        <v>46104</v>
      </c>
      <c r="G4203" s="86" t="str">
        <f>VLOOKUP("*"&amp;表格1[[#This Row],[Input]]&amp;"*",'Ref-List'!$B:$D,2,)</f>
        <v>RC-10BHH(W)</v>
      </c>
      <c r="H4203" s="86" t="str">
        <f>_xlfn.XLOOKUP(表格1[[#This Row],[Model]],表格3[Model-Input-Ref2],表格3[Product Line])</f>
        <v>酵活炊磁應電飯煲</v>
      </c>
      <c r="I4203" s="86" t="str">
        <f>_xlfn.XLOOKUP(表格1[[#This Row],[Model]],表格3[Model-Input-Ref2],表格3[大小電])</f>
        <v>細電</v>
      </c>
      <c r="J4203" s="86" t="str">
        <f>_xlfn.XLOOKUP(表格1[[#This Row],[Model]],表格3[Model-Input-Ref2],表格3[Code])</f>
        <v>SDA</v>
      </c>
      <c r="K4203" s="89" t="s">
        <v>2009</v>
      </c>
      <c r="L4203" s="86">
        <v>1</v>
      </c>
      <c r="M4203" s="87">
        <v>1888</v>
      </c>
      <c r="N4203" s="87">
        <f>IFERROR(表格1[[#This Row],[QTY]]*表格1[[#This Row],[Unit Price]],"-")</f>
        <v>1888</v>
      </c>
      <c r="O4203" s="86" t="s">
        <v>2011</v>
      </c>
      <c r="R4203" s="86" t="str">
        <f>_xlfn.CONCAT(表格1[[#This Row],[Model]]," ",表格1[[#This Row],[inv no]])</f>
        <v>RC-10BHH(W) S909-4788</v>
      </c>
      <c r="S4203" s="86">
        <f>_xlfn.XLOOKUP(表格1[[#This Row],[Model]],表格3[Model-Input-Ref2],表格3[SRP PRICE])</f>
        <v>2088</v>
      </c>
      <c r="T4203" s="43">
        <f>表格1[[#This Row],[Unit Price]]/表格1[[#This Row],[SRP]]</f>
        <v>0.90421455938697315</v>
      </c>
      <c r="U4203" s="86" t="str">
        <f>_xlfn.XLOOKUP(表格1[[#This Row],[Model]],表格3[Model-Input-Ref2],表格3[TOSHIBA/HIGHEST])</f>
        <v>Shops Highest Price</v>
      </c>
      <c r="W4203" s="86" t="str">
        <f>_xlfn.CONCAT(表格1[[#This Row],[欄4]],表格1[[#This Row],[inv no]])</f>
        <v>S909-4788</v>
      </c>
    </row>
    <row r="4204" spans="1:23" hidden="1">
      <c r="A4204" s="81">
        <v>4202</v>
      </c>
      <c r="B4204" s="86" t="s">
        <v>1417</v>
      </c>
      <c r="C4204" s="86" t="s">
        <v>1980</v>
      </c>
      <c r="D4204" s="89" t="str">
        <f ca="1">OFFSET(Roster!$A$3,MATCH(表格1[[#This Row],[Location]]&amp;" "&amp;表格1[[#This Row],[Shop]]&amp;"*",Roster!$A$4:$A$72,0),DAY(表格1[[#This Row],[date]]),1,1)</f>
        <v>Maggie Ho_2</v>
      </c>
      <c r="E4204" s="86">
        <f>MONTH(表格1[[#This Row],[date]])</f>
        <v>3</v>
      </c>
      <c r="F4204" s="90">
        <v>46104</v>
      </c>
      <c r="G4204" s="86" t="str">
        <f>VLOOKUP("*"&amp;表格1[[#This Row],[Input]]&amp;"*",'Ref-List'!$B:$D,2,)</f>
        <v>RC-DR10T(W)</v>
      </c>
      <c r="H4204" s="86" t="str">
        <f>_xlfn.XLOOKUP(表格1[[#This Row],[Model]],表格3[Model-Input-Ref2],表格3[Product Line])</f>
        <v>IH磁應電飯煲</v>
      </c>
      <c r="I4204" s="86" t="str">
        <f>_xlfn.XLOOKUP(表格1[[#This Row],[Model]],表格3[Model-Input-Ref2],表格3[大小電])</f>
        <v>細電</v>
      </c>
      <c r="J4204" s="86" t="str">
        <f>_xlfn.XLOOKUP(表格1[[#This Row],[Model]],表格3[Model-Input-Ref2],表格3[Code])</f>
        <v>SDA</v>
      </c>
      <c r="K4204" s="89" t="s">
        <v>2010</v>
      </c>
      <c r="L4204" s="86">
        <v>1</v>
      </c>
      <c r="M4204" s="87">
        <v>2380</v>
      </c>
      <c r="N4204" s="87">
        <f>IFERROR(表格1[[#This Row],[QTY]]*表格1[[#This Row],[Unit Price]],"-")</f>
        <v>2380</v>
      </c>
      <c r="O4204" s="86" t="s">
        <v>2012</v>
      </c>
      <c r="R4204" s="86" t="str">
        <f>_xlfn.CONCAT(表格1[[#This Row],[Model]]," ",表格1[[#This Row],[inv no]])</f>
        <v>RC-DR10T(W) S161-622326</v>
      </c>
      <c r="S4204" s="86">
        <f>_xlfn.XLOOKUP(表格1[[#This Row],[Model]],表格3[Model-Input-Ref2],表格3[SRP PRICE])</f>
        <v>3188</v>
      </c>
      <c r="T4204" s="43">
        <f>表格1[[#This Row],[Unit Price]]/表格1[[#This Row],[SRP]]</f>
        <v>0.74654956085319946</v>
      </c>
      <c r="U4204" s="86" t="str">
        <f>_xlfn.XLOOKUP(表格1[[#This Row],[Model]],表格3[Model-Input-Ref2],表格3[TOSHIBA/HIGHEST])</f>
        <v>Toshiba SRP</v>
      </c>
      <c r="W4204" s="86" t="str">
        <f>_xlfn.CONCAT(表格1[[#This Row],[欄4]],表格1[[#This Row],[inv no]])</f>
        <v>S161-622326</v>
      </c>
    </row>
    <row r="4205" spans="1:23" hidden="1">
      <c r="A4205" s="81">
        <v>4203</v>
      </c>
      <c r="B4205" s="86" t="s">
        <v>1417</v>
      </c>
      <c r="C4205" s="86" t="s">
        <v>1980</v>
      </c>
      <c r="D4205" s="89" t="str">
        <f ca="1">OFFSET(Roster!$A$3,MATCH(表格1[[#This Row],[Location]]&amp;" "&amp;表格1[[#This Row],[Shop]]&amp;"*",Roster!$A$4:$A$72,0),DAY(表格1[[#This Row],[date]]),1,1)</f>
        <v>Maggie Ho_2</v>
      </c>
      <c r="E4205" s="86">
        <f>MONTH(表格1[[#This Row],[date]])</f>
        <v>3</v>
      </c>
      <c r="F4205" s="90">
        <v>46105</v>
      </c>
      <c r="G4205" s="86" t="str">
        <f>VLOOKUP("*"&amp;表格1[[#This Row],[Input]]&amp;"*",'Ref-List'!$B:$D,2,)</f>
        <v>MM2-EG20PC(WH)</v>
      </c>
      <c r="H4205" s="86" t="str">
        <f>_xlfn.XLOOKUP(表格1[[#This Row],[Model]],表格3[Model-Input-Ref2],表格3[Product Line])</f>
        <v>輕觸式燒烤微波爐</v>
      </c>
      <c r="I4205" s="86" t="str">
        <f>_xlfn.XLOOKUP(表格1[[#This Row],[Model]],表格3[Model-Input-Ref2],表格3[大小電])</f>
        <v>細電</v>
      </c>
      <c r="J4205" s="86" t="str">
        <f>_xlfn.XLOOKUP(表格1[[#This Row],[Model]],表格3[Model-Input-Ref2],表格3[Code])</f>
        <v>MCA</v>
      </c>
      <c r="K4205" s="89" t="s">
        <v>1273</v>
      </c>
      <c r="L4205" s="86">
        <v>1</v>
      </c>
      <c r="M4205" s="87">
        <v>698</v>
      </c>
      <c r="N4205" s="87">
        <f>IFERROR(表格1[[#This Row],[QTY]]*表格1[[#This Row],[Unit Price]],"-")</f>
        <v>698</v>
      </c>
      <c r="O4205" s="86" t="s">
        <v>2013</v>
      </c>
      <c r="R4205" s="86" t="str">
        <f>_xlfn.CONCAT(表格1[[#This Row],[Model]]," ",表格1[[#This Row],[inv no]])</f>
        <v>MM2-EG20PC(WH) S161-248570</v>
      </c>
      <c r="S4205" s="86">
        <f>_xlfn.XLOOKUP(表格1[[#This Row],[Model]],表格3[Model-Input-Ref2],表格3[SRP PRICE])</f>
        <v>918</v>
      </c>
      <c r="T4205" s="43">
        <f>表格1[[#This Row],[Unit Price]]/表格1[[#This Row],[SRP]]</f>
        <v>0.76034858387799564</v>
      </c>
      <c r="U4205" s="86" t="str">
        <f>_xlfn.XLOOKUP(表格1[[#This Row],[Model]],表格3[Model-Input-Ref2],表格3[TOSHIBA/HIGHEST])</f>
        <v>Shops Highest Price</v>
      </c>
      <c r="W4205" s="86" t="str">
        <f>_xlfn.CONCAT(表格1[[#This Row],[欄4]],表格1[[#This Row],[inv no]])</f>
        <v>S161-248570</v>
      </c>
    </row>
    <row r="4206" spans="1:23" hidden="1">
      <c r="A4206" s="81">
        <v>4204</v>
      </c>
      <c r="B4206" s="86" t="s">
        <v>1417</v>
      </c>
      <c r="C4206" s="86" t="s">
        <v>1980</v>
      </c>
      <c r="D4206" s="89" t="str">
        <f ca="1">OFFSET(Roster!$A$3,MATCH(表格1[[#This Row],[Location]]&amp;" "&amp;表格1[[#This Row],[Shop]]&amp;"*",Roster!$A$4:$A$72,0),DAY(表格1[[#This Row],[date]]),1,1)</f>
        <v>Maggie Ho_2</v>
      </c>
      <c r="E4206" s="86">
        <f>MONTH(表格1[[#This Row],[date]])</f>
        <v>3</v>
      </c>
      <c r="F4206" s="90">
        <v>46105</v>
      </c>
      <c r="G4206" s="86" t="str">
        <f>VLOOKUP("*"&amp;表格1[[#This Row],[Input]]&amp;"*",'Ref-List'!$B:$D,2,)</f>
        <v>KT-08DH1VHK(W)</v>
      </c>
      <c r="H4206" s="86" t="str">
        <f>_xlfn.XLOOKUP(表格1[[#This Row],[Model]],表格3[Model-Input-Ref2],表格3[Product Line])</f>
        <v>無線雙層電熱水壺-附可鎖壺蓋(0.8公升)</v>
      </c>
      <c r="I4206" s="86" t="str">
        <f>_xlfn.XLOOKUP(表格1[[#This Row],[Model]],表格3[Model-Input-Ref2],表格3[大小電])</f>
        <v>細電</v>
      </c>
      <c r="J4206" s="86" t="str">
        <f>_xlfn.XLOOKUP(表格1[[#This Row],[Model]],表格3[Model-Input-Ref2],表格3[Code])</f>
        <v>SDA</v>
      </c>
      <c r="K4206" s="89" t="s">
        <v>1268</v>
      </c>
      <c r="L4206" s="86">
        <v>1</v>
      </c>
      <c r="M4206" s="87">
        <v>268</v>
      </c>
      <c r="N4206" s="87">
        <f>IFERROR(表格1[[#This Row],[QTY]]*表格1[[#This Row],[Unit Price]],"-")</f>
        <v>268</v>
      </c>
      <c r="O4206" s="86" t="s">
        <v>2014</v>
      </c>
      <c r="R4206" s="86" t="str">
        <f>_xlfn.CONCAT(表格1[[#This Row],[Model]]," ",表格1[[#This Row],[inv no]])</f>
        <v>KT-08DH1VHK(W) S161-622352</v>
      </c>
      <c r="S4206" s="86">
        <f>_xlfn.XLOOKUP(表格1[[#This Row],[Model]],表格3[Model-Input-Ref2],表格3[SRP PRICE])</f>
        <v>428</v>
      </c>
      <c r="T4206" s="43">
        <f>表格1[[#This Row],[Unit Price]]/表格1[[#This Row],[SRP]]</f>
        <v>0.62616822429906538</v>
      </c>
      <c r="U4206" s="86" t="str">
        <f>_xlfn.XLOOKUP(表格1[[#This Row],[Model]],表格3[Model-Input-Ref2],表格3[TOSHIBA/HIGHEST])</f>
        <v>Toshiba SRP</v>
      </c>
      <c r="W4206" s="86" t="str">
        <f>_xlfn.CONCAT(表格1[[#This Row],[欄4]],表格1[[#This Row],[inv no]])</f>
        <v>S161-622352</v>
      </c>
    </row>
    <row r="4207" spans="1:23" hidden="1">
      <c r="A4207" s="81">
        <v>4205</v>
      </c>
      <c r="B4207" s="86" t="s">
        <v>1417</v>
      </c>
      <c r="C4207" s="86" t="s">
        <v>1980</v>
      </c>
      <c r="D4207" s="89" t="str">
        <f ca="1">OFFSET(Roster!$A$3,MATCH(表格1[[#This Row],[Location]]&amp;" "&amp;表格1[[#This Row],[Shop]]&amp;"*",Roster!$A$4:$A$72,0),DAY(表格1[[#This Row],[date]]),1,1)</f>
        <v>Maggie Ho_2</v>
      </c>
      <c r="E4207" s="86">
        <f>MONTH(表格1[[#This Row],[date]])</f>
        <v>3</v>
      </c>
      <c r="F4207" s="90">
        <v>46105</v>
      </c>
      <c r="G4207" s="86" t="str">
        <f>VLOOKUP("*"&amp;表格1[[#This Row],[Input]]&amp;"*",'Ref-List'!$B:$D,2,)</f>
        <v>ER-VD7000HK(XK)</v>
      </c>
      <c r="H4207" s="86" t="str">
        <f>_xlfn.XLOOKUP(表格1[[#This Row],[Model]],表格3[Model-Input-Ref2],表格3[Product Line])</f>
        <v>水波爐</v>
      </c>
      <c r="I4207" s="86" t="str">
        <f>_xlfn.XLOOKUP(表格1[[#This Row],[Model]],表格3[Model-Input-Ref2],表格3[大小電])</f>
        <v>細電</v>
      </c>
      <c r="J4207" s="86" t="str">
        <f>_xlfn.XLOOKUP(表格1[[#This Row],[Model]],表格3[Model-Input-Ref2],表格3[Code])</f>
        <v>MCA</v>
      </c>
      <c r="K4207" s="89" t="s">
        <v>1469</v>
      </c>
      <c r="L4207" s="86">
        <v>1</v>
      </c>
      <c r="M4207" s="87">
        <v>6798</v>
      </c>
      <c r="N4207" s="87">
        <f>IFERROR(表格1[[#This Row],[QTY]]*表格1[[#This Row],[Unit Price]],"-")</f>
        <v>6798</v>
      </c>
      <c r="O4207" s="86" t="s">
        <v>2015</v>
      </c>
      <c r="R4207" s="86" t="str">
        <f>_xlfn.CONCAT(表格1[[#This Row],[Model]]," ",表格1[[#This Row],[inv no]])</f>
        <v>ER-VD7000HK(XK) S909-4789</v>
      </c>
      <c r="S4207" s="86">
        <f>_xlfn.XLOOKUP(表格1[[#This Row],[Model]],表格3[Model-Input-Ref2],表格3[SRP PRICE])</f>
        <v>8998</v>
      </c>
      <c r="T4207" s="43">
        <f>表格1[[#This Row],[Unit Price]]/表格1[[#This Row],[SRP]]</f>
        <v>0.75550122249388751</v>
      </c>
      <c r="U4207" s="86" t="str">
        <f>_xlfn.XLOOKUP(表格1[[#This Row],[Model]],表格3[Model-Input-Ref2],表格3[TOSHIBA/HIGHEST])</f>
        <v>Toshiba SRP</v>
      </c>
      <c r="W4207" s="86" t="str">
        <f>_xlfn.CONCAT(表格1[[#This Row],[欄4]],表格1[[#This Row],[inv no]])</f>
        <v>S909-4789</v>
      </c>
    </row>
    <row r="4208" spans="1:23" hidden="1">
      <c r="A4208" s="81">
        <v>4206</v>
      </c>
      <c r="B4208" s="86" t="s">
        <v>1417</v>
      </c>
      <c r="C4208" s="86" t="s">
        <v>1980</v>
      </c>
      <c r="D4208" s="89" t="str">
        <f ca="1">OFFSET(Roster!$A$3,MATCH(表格1[[#This Row],[Location]]&amp;" "&amp;表格1[[#This Row],[Shop]]&amp;"*",Roster!$A$4:$A$72,0),DAY(表格1[[#This Row],[date]]),1,1)</f>
        <v>Maggie Ho_2</v>
      </c>
      <c r="E4208" s="86">
        <f>MONTH(表格1[[#This Row],[date]])</f>
        <v>3</v>
      </c>
      <c r="F4208" s="90">
        <v>46105</v>
      </c>
      <c r="G4208" s="86" t="str">
        <f>VLOOKUP("*"&amp;表格1[[#This Row],[Input]]&amp;"*",'Ref-List'!$B:$D,2,)</f>
        <v>KT-15DRTHK(W)</v>
      </c>
      <c r="H4208" s="86" t="str">
        <f>_xlfn.XLOOKUP(表格1[[#This Row],[Model]],表格3[Model-Input-Ref2],表格3[Product Line])</f>
        <v>無線雙層電熱水壺-附可鎖壺蓋</v>
      </c>
      <c r="I4208" s="86" t="str">
        <f>_xlfn.XLOOKUP(表格1[[#This Row],[Model]],表格3[Model-Input-Ref2],表格3[大小電])</f>
        <v>細電</v>
      </c>
      <c r="J4208" s="86" t="str">
        <f>_xlfn.XLOOKUP(表格1[[#This Row],[Model]],表格3[Model-Input-Ref2],表格3[Code])</f>
        <v>SDA</v>
      </c>
      <c r="K4208" s="89" t="s">
        <v>1278</v>
      </c>
      <c r="L4208" s="86">
        <v>1</v>
      </c>
      <c r="M4208" s="87">
        <v>358</v>
      </c>
      <c r="N4208" s="87">
        <f>IFERROR(表格1[[#This Row],[QTY]]*表格1[[#This Row],[Unit Price]],"-")</f>
        <v>358</v>
      </c>
      <c r="O4208" s="86" t="s">
        <v>2016</v>
      </c>
      <c r="R4208" s="86" t="str">
        <f>_xlfn.CONCAT(表格1[[#This Row],[Model]]," ",表格1[[#This Row],[inv no]])</f>
        <v>KT-15DRTHK(W) S161-622337</v>
      </c>
      <c r="S4208" s="86">
        <f>_xlfn.XLOOKUP(表格1[[#This Row],[Model]],表格3[Model-Input-Ref2],表格3[SRP PRICE])</f>
        <v>598</v>
      </c>
      <c r="T4208" s="43">
        <f>表格1[[#This Row],[Unit Price]]/表格1[[#This Row],[SRP]]</f>
        <v>0.59866220735785958</v>
      </c>
      <c r="U4208" s="86" t="str">
        <f>_xlfn.XLOOKUP(表格1[[#This Row],[Model]],表格3[Model-Input-Ref2],表格3[TOSHIBA/HIGHEST])</f>
        <v>Toshiba SRP</v>
      </c>
      <c r="W4208" s="86" t="str">
        <f>_xlfn.CONCAT(表格1[[#This Row],[欄4]],表格1[[#This Row],[inv no]])</f>
        <v>S161-622337</v>
      </c>
    </row>
    <row r="4209" spans="1:23" hidden="1">
      <c r="A4209" s="81">
        <v>4207</v>
      </c>
      <c r="B4209" s="86" t="s">
        <v>1417</v>
      </c>
      <c r="C4209" s="86" t="s">
        <v>1980</v>
      </c>
      <c r="D4209" s="89" t="str">
        <f ca="1">OFFSET(Roster!$A$3,MATCH(表格1[[#This Row],[Location]]&amp;" "&amp;表格1[[#This Row],[Shop]]&amp;"*",Roster!$A$4:$A$72,0),DAY(表格1[[#This Row],[date]]),1,1)</f>
        <v>Maggie Ho_2</v>
      </c>
      <c r="E4209" s="86">
        <f>MONTH(表格1[[#This Row],[date]])</f>
        <v>3</v>
      </c>
      <c r="F4209" s="90">
        <v>46107</v>
      </c>
      <c r="G4209" s="86" t="str">
        <f>VLOOKUP("*"&amp;表格1[[#This Row],[Input]]&amp;"*",'Ref-List'!$B:$D,2,)</f>
        <v>RC-18ISPH</v>
      </c>
      <c r="H4209" s="86" t="str">
        <f>_xlfn.XLOOKUP(表格1[[#This Row],[Model]],表格3[Model-Input-Ref2],表格3[Product Line])</f>
        <v>低醣磁應電飯煲1.8L</v>
      </c>
      <c r="I4209" s="86" t="str">
        <f>_xlfn.XLOOKUP(表格1[[#This Row],[Model]],表格3[Model-Input-Ref2],表格3[大小電])</f>
        <v>細電</v>
      </c>
      <c r="J4209" s="86" t="str">
        <f>_xlfn.XLOOKUP(表格1[[#This Row],[Model]],表格3[Model-Input-Ref2],表格3[Code])</f>
        <v>SDA</v>
      </c>
      <c r="K4209" s="89" t="s">
        <v>1281</v>
      </c>
      <c r="L4209" s="86">
        <v>1</v>
      </c>
      <c r="M4209" s="87">
        <v>998</v>
      </c>
      <c r="N4209" s="87">
        <f>IFERROR(表格1[[#This Row],[QTY]]*表格1[[#This Row],[Unit Price]],"-")</f>
        <v>998</v>
      </c>
      <c r="O4209" s="86" t="s">
        <v>2017</v>
      </c>
      <c r="R4209" s="86" t="str">
        <f>_xlfn.CONCAT(表格1[[#This Row],[Model]]," ",表格1[[#This Row],[inv no]])</f>
        <v>RC-18ISPH S909-4791</v>
      </c>
      <c r="S4209" s="86">
        <f>_xlfn.XLOOKUP(表格1[[#This Row],[Model]],表格3[Model-Input-Ref2],表格3[SRP PRICE])</f>
        <v>1436</v>
      </c>
      <c r="T4209" s="43">
        <f>表格1[[#This Row],[Unit Price]]/表格1[[#This Row],[SRP]]</f>
        <v>0.69498607242339838</v>
      </c>
      <c r="U4209" s="86" t="str">
        <f>_xlfn.XLOOKUP(表格1[[#This Row],[Model]],表格3[Model-Input-Ref2],表格3[TOSHIBA/HIGHEST])</f>
        <v>Shops Highest Price</v>
      </c>
      <c r="W4209" s="86" t="str">
        <f>_xlfn.CONCAT(表格1[[#This Row],[欄4]],表格1[[#This Row],[inv no]])</f>
        <v>S909-4791</v>
      </c>
    </row>
    <row r="4210" spans="1:23" hidden="1">
      <c r="A4210" s="81">
        <v>4208</v>
      </c>
      <c r="B4210" s="86" t="s">
        <v>1417</v>
      </c>
      <c r="C4210" s="86" t="s">
        <v>1980</v>
      </c>
      <c r="D4210" s="89" t="str">
        <f ca="1">OFFSET(Roster!$A$3,MATCH(表格1[[#This Row],[Location]]&amp;" "&amp;表格1[[#This Row],[Shop]]&amp;"*",Roster!$A$4:$A$72,0),DAY(表格1[[#This Row],[date]]),1,1)</f>
        <v>Maggie Ho_2</v>
      </c>
      <c r="E4210" s="86">
        <f>MONTH(表格1[[#This Row],[date]])</f>
        <v>3</v>
      </c>
      <c r="F4210" s="90">
        <v>46107</v>
      </c>
      <c r="G4210" s="86" t="str">
        <f>VLOOKUP("*"&amp;表格1[[#This Row],[Input]]&amp;"*",'Ref-List'!$B:$D,2,)</f>
        <v>RC-10NMFIH(WT)</v>
      </c>
      <c r="H4210" s="86" t="str">
        <f>_xlfn.XLOOKUP(表格1[[#This Row],[Model]],表格3[Model-Input-Ref2],表格3[Product Line])</f>
        <v>4毫米厚釜電飯煲1L</v>
      </c>
      <c r="I4210" s="86" t="str">
        <f>_xlfn.XLOOKUP(表格1[[#This Row],[Model]],表格3[Model-Input-Ref2],表格3[大小電])</f>
        <v>細電</v>
      </c>
      <c r="J4210" s="86" t="str">
        <f>_xlfn.XLOOKUP(表格1[[#This Row],[Model]],表格3[Model-Input-Ref2],表格3[Code])</f>
        <v>SDA</v>
      </c>
      <c r="K4210" s="89" t="s">
        <v>1244</v>
      </c>
      <c r="L4210" s="86">
        <v>1</v>
      </c>
      <c r="M4210" s="87">
        <v>718</v>
      </c>
      <c r="N4210" s="87">
        <f>IFERROR(表格1[[#This Row],[QTY]]*表格1[[#This Row],[Unit Price]],"-")</f>
        <v>718</v>
      </c>
      <c r="O4210" s="86" t="s">
        <v>2018</v>
      </c>
      <c r="R4210" s="86" t="str">
        <f>_xlfn.CONCAT(表格1[[#This Row],[Model]]," ",表格1[[#This Row],[inv no]])</f>
        <v>RC-10NMFIH(WT) S909-4790</v>
      </c>
      <c r="S4210" s="86">
        <f>_xlfn.XLOOKUP(表格1[[#This Row],[Model]],表格3[Model-Input-Ref2],表格3[SRP PRICE])</f>
        <v>898</v>
      </c>
      <c r="T4210" s="43">
        <f>表格1[[#This Row],[Unit Price]]/表格1[[#This Row],[SRP]]</f>
        <v>0.79955456570155903</v>
      </c>
      <c r="U4210" s="86" t="str">
        <f>_xlfn.XLOOKUP(表格1[[#This Row],[Model]],表格3[Model-Input-Ref2],表格3[TOSHIBA/HIGHEST])</f>
        <v>Toshiba SRP</v>
      </c>
      <c r="W4210" s="86" t="str">
        <f>_xlfn.CONCAT(表格1[[#This Row],[欄4]],表格1[[#This Row],[inv no]])</f>
        <v>S909-4790</v>
      </c>
    </row>
    <row r="4211" spans="1:23" hidden="1">
      <c r="A4211" s="81">
        <v>4209</v>
      </c>
      <c r="B4211" s="86" t="s">
        <v>1417</v>
      </c>
      <c r="C4211" s="86" t="s">
        <v>1980</v>
      </c>
      <c r="D4211" s="89" t="str">
        <f ca="1">OFFSET(Roster!$A$3,MATCH(表格1[[#This Row],[Location]]&amp;" "&amp;表格1[[#This Row],[Shop]]&amp;"*",Roster!$A$4:$A$72,0),DAY(表格1[[#This Row],[date]]),1,1)</f>
        <v>Maggie Ho_2</v>
      </c>
      <c r="E4211" s="86">
        <f>MONTH(表格1[[#This Row],[date]])</f>
        <v>3</v>
      </c>
      <c r="F4211" s="90">
        <v>46107</v>
      </c>
      <c r="G4211" s="86" t="str">
        <f>VLOOKUP("*"&amp;表格1[[#This Row],[Input]]&amp;"*",'Ref-List'!$B:$D,2,)</f>
        <v>ET-TD7080(PN)</v>
      </c>
      <c r="H4211" s="86" t="str">
        <f>_xlfn.XLOOKUP(表格1[[#This Row],[Model]],表格3[Model-Input-Ref2],表格3[Product Line])</f>
        <v>多士焗爐8L</v>
      </c>
      <c r="I4211" s="86" t="str">
        <f>_xlfn.XLOOKUP(表格1[[#This Row],[Model]],表格3[Model-Input-Ref2],表格3[大小電])</f>
        <v>細電</v>
      </c>
      <c r="J4211" s="86" t="str">
        <f>_xlfn.XLOOKUP(表格1[[#This Row],[Model]],表格3[Model-Input-Ref2],表格3[Code])</f>
        <v>SDA</v>
      </c>
      <c r="K4211" s="89">
        <v>7080</v>
      </c>
      <c r="L4211" s="86">
        <v>1</v>
      </c>
      <c r="M4211" s="87">
        <v>338</v>
      </c>
      <c r="N4211" s="87">
        <f>IFERROR(表格1[[#This Row],[QTY]]*表格1[[#This Row],[Unit Price]],"-")</f>
        <v>338</v>
      </c>
      <c r="O4211" s="86" t="s">
        <v>2019</v>
      </c>
      <c r="R4211" s="86" t="str">
        <f>_xlfn.CONCAT(表格1[[#This Row],[Model]]," ",表格1[[#This Row],[inv no]])</f>
        <v>ET-TD7080(PN) S161-622441</v>
      </c>
      <c r="S4211" s="86">
        <f>_xlfn.XLOOKUP(表格1[[#This Row],[Model]],表格3[Model-Input-Ref2],表格3[SRP PRICE])</f>
        <v>498</v>
      </c>
      <c r="T4211" s="43">
        <f>表格1[[#This Row],[Unit Price]]/表格1[[#This Row],[SRP]]</f>
        <v>0.67871485943775101</v>
      </c>
      <c r="U4211" s="86" t="str">
        <f>_xlfn.XLOOKUP(表格1[[#This Row],[Model]],表格3[Model-Input-Ref2],表格3[TOSHIBA/HIGHEST])</f>
        <v>Toshiba SRP</v>
      </c>
      <c r="W4211" s="86" t="str">
        <f>_xlfn.CONCAT(表格1[[#This Row],[欄4]],表格1[[#This Row],[inv no]])</f>
        <v>S161-622441</v>
      </c>
    </row>
    <row r="4212" spans="1:23" hidden="1">
      <c r="A4212" s="81">
        <v>4210</v>
      </c>
      <c r="B4212" s="86" t="s">
        <v>1417</v>
      </c>
      <c r="C4212" s="86" t="s">
        <v>1980</v>
      </c>
      <c r="D4212" s="89" t="str">
        <f ca="1">OFFSET(Roster!$A$3,MATCH(表格1[[#This Row],[Location]]&amp;" "&amp;表格1[[#This Row],[Shop]]&amp;"*",Roster!$A$4:$A$72,0),DAY(表格1[[#This Row],[date]]),1,1)</f>
        <v>Maggie Ho_2</v>
      </c>
      <c r="E4212" s="86">
        <f>MONTH(表格1[[#This Row],[date]])</f>
        <v>3</v>
      </c>
      <c r="F4212" s="90">
        <v>46107</v>
      </c>
      <c r="G4212" s="86" t="str">
        <f>VLOOKUP("*"&amp;表格1[[#This Row],[Input]]&amp;"*",'Ref-List'!$B:$D,2,)</f>
        <v>RC-DZ4K(N)</v>
      </c>
      <c r="H4212" s="86" t="str">
        <f>_xlfn.XLOOKUP(表格1[[#This Row],[Model]],表格3[Model-Input-Ref2],表格3[Product Line])</f>
        <v>IH磁應電飯煲</v>
      </c>
      <c r="I4212" s="86" t="str">
        <f>_xlfn.XLOOKUP(表格1[[#This Row],[Model]],表格3[Model-Input-Ref2],表格3[大小電])</f>
        <v>細電</v>
      </c>
      <c r="J4212" s="86" t="str">
        <f>_xlfn.XLOOKUP(表格1[[#This Row],[Model]],表格3[Model-Input-Ref2],表格3[Code])</f>
        <v>SDA</v>
      </c>
      <c r="K4212" s="89" t="s">
        <v>1561</v>
      </c>
      <c r="L4212" s="86">
        <v>1</v>
      </c>
      <c r="M4212" s="87">
        <v>3280</v>
      </c>
      <c r="N4212" s="87">
        <f>IFERROR(表格1[[#This Row],[QTY]]*表格1[[#This Row],[Unit Price]],"-")</f>
        <v>3280</v>
      </c>
      <c r="O4212" s="86" t="s">
        <v>2020</v>
      </c>
      <c r="R4212" s="86" t="str">
        <f>_xlfn.CONCAT(表格1[[#This Row],[Model]]," ",表格1[[#This Row],[inv no]])</f>
        <v>RC-DZ4K(N) S161-622479</v>
      </c>
      <c r="S4212" s="86">
        <f>_xlfn.XLOOKUP(表格1[[#This Row],[Model]],表格3[Model-Input-Ref2],表格3[SRP PRICE])</f>
        <v>3888</v>
      </c>
      <c r="T4212" s="43">
        <f>表格1[[#This Row],[Unit Price]]/表格1[[#This Row],[SRP]]</f>
        <v>0.84362139917695478</v>
      </c>
      <c r="U4212" s="86" t="str">
        <f>_xlfn.XLOOKUP(表格1[[#This Row],[Model]],表格3[Model-Input-Ref2],表格3[TOSHIBA/HIGHEST])</f>
        <v>Shops Highest Price</v>
      </c>
      <c r="W4212" s="86" t="str">
        <f>_xlfn.CONCAT(表格1[[#This Row],[欄4]],表格1[[#This Row],[inv no]])</f>
        <v>S161-622479</v>
      </c>
    </row>
    <row r="4213" spans="1:23" hidden="1">
      <c r="A4213" s="81">
        <v>4211</v>
      </c>
      <c r="B4213" s="86" t="s">
        <v>1417</v>
      </c>
      <c r="C4213" s="86" t="s">
        <v>1980</v>
      </c>
      <c r="D4213" s="89" t="str">
        <f ca="1">OFFSET(Roster!$A$3,MATCH(表格1[[#This Row],[Location]]&amp;" "&amp;表格1[[#This Row],[Shop]]&amp;"*",Roster!$A$4:$A$72,0),DAY(表格1[[#This Row],[date]]),1,1)</f>
        <v>Maggie Ho_2</v>
      </c>
      <c r="E4213" s="86">
        <f>MONTH(表格1[[#This Row],[date]])</f>
        <v>3</v>
      </c>
      <c r="F4213" s="90">
        <v>46107</v>
      </c>
      <c r="G4213" s="86" t="str">
        <f>VLOOKUP("*"&amp;表格1[[#This Row],[Input]]&amp;"*",'Ref-List'!$B:$D,2,)</f>
        <v>RC-10AMXH(W)</v>
      </c>
      <c r="H4213" s="86" t="str">
        <f>_xlfn.XLOOKUP(表格1[[#This Row],[Model]],表格3[Model-Input-Ref2],表格3[Product Line])</f>
        <v>酵活炊電飯煲(1.0公升)</v>
      </c>
      <c r="I4213" s="86" t="str">
        <f>_xlfn.XLOOKUP(表格1[[#This Row],[Model]],表格3[Model-Input-Ref2],表格3[大小電])</f>
        <v>細電</v>
      </c>
      <c r="J4213" s="86" t="str">
        <f>_xlfn.XLOOKUP(表格1[[#This Row],[Model]],表格3[Model-Input-Ref2],表格3[Code])</f>
        <v>SDA</v>
      </c>
      <c r="K4213" s="89" t="s">
        <v>1279</v>
      </c>
      <c r="L4213" s="86">
        <v>1</v>
      </c>
      <c r="M4213" s="87">
        <v>998</v>
      </c>
      <c r="N4213" s="87">
        <f>IFERROR(表格1[[#This Row],[QTY]]*表格1[[#This Row],[Unit Price]],"-")</f>
        <v>998</v>
      </c>
      <c r="O4213" s="86" t="s">
        <v>2021</v>
      </c>
      <c r="R4213" s="86" t="str">
        <f>_xlfn.CONCAT(表格1[[#This Row],[Model]]," ",表格1[[#This Row],[inv no]])</f>
        <v>RC-10AMXH(W) S161-622490</v>
      </c>
      <c r="S4213" s="86">
        <f>_xlfn.XLOOKUP(表格1[[#This Row],[Model]],表格3[Model-Input-Ref2],表格3[SRP PRICE])</f>
        <v>1288</v>
      </c>
      <c r="T4213" s="43">
        <f>表格1[[#This Row],[Unit Price]]/表格1[[#This Row],[SRP]]</f>
        <v>0.77484472049689446</v>
      </c>
      <c r="U4213" s="86" t="str">
        <f>_xlfn.XLOOKUP(表格1[[#This Row],[Model]],表格3[Model-Input-Ref2],表格3[TOSHIBA/HIGHEST])</f>
        <v>Toshiba SRP</v>
      </c>
      <c r="W4213" s="86" t="str">
        <f>_xlfn.CONCAT(表格1[[#This Row],[欄4]],表格1[[#This Row],[inv no]])</f>
        <v>S161-622490</v>
      </c>
    </row>
    <row r="4214" spans="1:23" hidden="1">
      <c r="A4214" s="81">
        <v>4212</v>
      </c>
      <c r="B4214" s="86" t="s">
        <v>1417</v>
      </c>
      <c r="C4214" s="86" t="s">
        <v>1980</v>
      </c>
      <c r="D4214" s="89" t="str">
        <f ca="1">OFFSET(Roster!$A$3,MATCH(表格1[[#This Row],[Location]]&amp;" "&amp;表格1[[#This Row],[Shop]]&amp;"*",Roster!$A$4:$A$72,0),DAY(表格1[[#This Row],[date]]),1,1)</f>
        <v>Maggie Ho_2</v>
      </c>
      <c r="E4214" s="86">
        <f>MONTH(表格1[[#This Row],[date]])</f>
        <v>3</v>
      </c>
      <c r="F4214" s="90">
        <v>46108</v>
      </c>
      <c r="G4214" s="86" t="str">
        <f>VLOOKUP("*"&amp;表格1[[#This Row],[Input]]&amp;"*",'Ref-List'!$B:$D,2,)</f>
        <v>RC-18AMXH(W)</v>
      </c>
      <c r="H4214" s="86" t="str">
        <f>_xlfn.XLOOKUP(表格1[[#This Row],[Model]],表格3[Model-Input-Ref2],表格3[Product Line])</f>
        <v>酵活炊電飯煲(1.8公升)</v>
      </c>
      <c r="I4214" s="86" t="str">
        <f>_xlfn.XLOOKUP(表格1[[#This Row],[Model]],表格3[Model-Input-Ref2],表格3[大小電])</f>
        <v>細電</v>
      </c>
      <c r="J4214" s="86" t="str">
        <f>_xlfn.XLOOKUP(表格1[[#This Row],[Model]],表格3[Model-Input-Ref2],表格3[Code])</f>
        <v>SDA</v>
      </c>
      <c r="K4214" s="89" t="s">
        <v>1362</v>
      </c>
      <c r="L4214" s="86">
        <v>1</v>
      </c>
      <c r="M4214" s="87">
        <v>1188</v>
      </c>
      <c r="N4214" s="87">
        <f>IFERROR(表格1[[#This Row],[QTY]]*表格1[[#This Row],[Unit Price]],"-")</f>
        <v>1188</v>
      </c>
      <c r="O4214" s="86" t="s">
        <v>2022</v>
      </c>
      <c r="R4214" s="86" t="str">
        <f>_xlfn.CONCAT(表格1[[#This Row],[Model]]," ",表格1[[#This Row],[inv no]])</f>
        <v>RC-18AMXH(W) S909-4792</v>
      </c>
      <c r="S4214" s="86">
        <f>_xlfn.XLOOKUP(表格1[[#This Row],[Model]],表格3[Model-Input-Ref2],表格3[SRP PRICE])</f>
        <v>1588</v>
      </c>
      <c r="T4214" s="43">
        <f>表格1[[#This Row],[Unit Price]]/表格1[[#This Row],[SRP]]</f>
        <v>0.74811083123425692</v>
      </c>
      <c r="U4214" s="86" t="str">
        <f>_xlfn.XLOOKUP(表格1[[#This Row],[Model]],表格3[Model-Input-Ref2],表格3[TOSHIBA/HIGHEST])</f>
        <v>Toshiba SRP</v>
      </c>
      <c r="W4214" s="86" t="str">
        <f>_xlfn.CONCAT(表格1[[#This Row],[欄4]],表格1[[#This Row],[inv no]])</f>
        <v>S909-4792</v>
      </c>
    </row>
    <row r="4215" spans="1:23" hidden="1">
      <c r="A4215" s="81">
        <v>4213</v>
      </c>
      <c r="B4215" s="86" t="s">
        <v>1417</v>
      </c>
      <c r="C4215" s="86" t="s">
        <v>1980</v>
      </c>
      <c r="D4215" s="89" t="str">
        <f ca="1">OFFSET(Roster!$A$3,MATCH(表格1[[#This Row],[Location]]&amp;" "&amp;表格1[[#This Row],[Shop]]&amp;"*",Roster!$A$4:$A$72,0),DAY(表格1[[#This Row],[date]]),1,1)</f>
        <v>Maggie Ho_2</v>
      </c>
      <c r="E4215" s="86">
        <f>MONTH(表格1[[#This Row],[date]])</f>
        <v>3</v>
      </c>
      <c r="F4215" s="90">
        <v>46108</v>
      </c>
      <c r="G4215" s="86" t="str">
        <f>VLOOKUP("*"&amp;表格1[[#This Row],[Input]]&amp;"*",'Ref-List'!$B:$D,2,)</f>
        <v>RC-DR18T(W)</v>
      </c>
      <c r="H4215" s="86" t="str">
        <f>_xlfn.XLOOKUP(表格1[[#This Row],[Model]],表格3[Model-Input-Ref2],表格3[Product Line])</f>
        <v>IH磁應電飯煲
鑽石銅鍋</v>
      </c>
      <c r="I4215" s="86" t="str">
        <f>_xlfn.XLOOKUP(表格1[[#This Row],[Model]],表格3[Model-Input-Ref2],表格3[大小電])</f>
        <v>細電</v>
      </c>
      <c r="J4215" s="86" t="str">
        <f>_xlfn.XLOOKUP(表格1[[#This Row],[Model]],表格3[Model-Input-Ref2],表格3[Code])</f>
        <v>SDA</v>
      </c>
      <c r="K4215" s="89" t="s">
        <v>1378</v>
      </c>
      <c r="L4215" s="86">
        <v>1</v>
      </c>
      <c r="M4215" s="87">
        <v>2800</v>
      </c>
      <c r="N4215" s="87">
        <f>IFERROR(表格1[[#This Row],[QTY]]*表格1[[#This Row],[Unit Price]],"-")</f>
        <v>2800</v>
      </c>
      <c r="O4215" s="86" t="s">
        <v>2022</v>
      </c>
      <c r="R4215" s="86" t="str">
        <f>_xlfn.CONCAT(表格1[[#This Row],[Model]]," ",表格1[[#This Row],[inv no]])</f>
        <v>RC-DR18T(W) S909-4792</v>
      </c>
      <c r="S4215" s="86">
        <f>_xlfn.XLOOKUP(表格1[[#This Row],[Model]],表格3[Model-Input-Ref2],表格3[SRP PRICE])</f>
        <v>3588</v>
      </c>
      <c r="T4215" s="43">
        <f>表格1[[#This Row],[Unit Price]]/表格1[[#This Row],[SRP]]</f>
        <v>0.78037904124860646</v>
      </c>
      <c r="U4215" s="86" t="str">
        <f>_xlfn.XLOOKUP(表格1[[#This Row],[Model]],表格3[Model-Input-Ref2],表格3[TOSHIBA/HIGHEST])</f>
        <v>Toshiba SRP</v>
      </c>
      <c r="W4215" s="86" t="str">
        <f>_xlfn.CONCAT(表格1[[#This Row],[欄4]],表格1[[#This Row],[inv no]])</f>
        <v>S909-4792</v>
      </c>
    </row>
    <row r="4216" spans="1:23" hidden="1">
      <c r="A4216" s="81">
        <v>4214</v>
      </c>
      <c r="B4216" s="86" t="s">
        <v>1417</v>
      </c>
      <c r="C4216" s="86" t="s">
        <v>1980</v>
      </c>
      <c r="D4216" s="89" t="str">
        <f ca="1">OFFSET(Roster!$A$3,MATCH(表格1[[#This Row],[Location]]&amp;" "&amp;表格1[[#This Row],[Shop]]&amp;"*",Roster!$A$4:$A$72,0),DAY(表格1[[#This Row],[date]]),1,1)</f>
        <v>Maggie Ho_2</v>
      </c>
      <c r="E4216" s="86">
        <f>MONTH(表格1[[#This Row],[date]])</f>
        <v>3</v>
      </c>
      <c r="F4216" s="90">
        <v>46108</v>
      </c>
      <c r="G4216" s="86" t="str">
        <f>VLOOKUP("*"&amp;表格1[[#This Row],[Input]]&amp;"*",'Ref-List'!$B:$D,2,)</f>
        <v>RC-10BHH(W)</v>
      </c>
      <c r="H4216" s="86" t="str">
        <f>_xlfn.XLOOKUP(表格1[[#This Row],[Model]],表格3[Model-Input-Ref2],表格3[Product Line])</f>
        <v>酵活炊磁應電飯煲</v>
      </c>
      <c r="I4216" s="86" t="str">
        <f>_xlfn.XLOOKUP(表格1[[#This Row],[Model]],表格3[Model-Input-Ref2],表格3[大小電])</f>
        <v>細電</v>
      </c>
      <c r="J4216" s="86" t="str">
        <f>_xlfn.XLOOKUP(表格1[[#This Row],[Model]],表格3[Model-Input-Ref2],表格3[Code])</f>
        <v>SDA</v>
      </c>
      <c r="K4216" s="89" t="s">
        <v>1269</v>
      </c>
      <c r="L4216" s="86">
        <v>1</v>
      </c>
      <c r="M4216" s="87">
        <v>1688</v>
      </c>
      <c r="N4216" s="87">
        <f>IFERROR(表格1[[#This Row],[QTY]]*表格1[[#This Row],[Unit Price]],"-")</f>
        <v>1688</v>
      </c>
      <c r="O4216" s="86" t="s">
        <v>2023</v>
      </c>
      <c r="R4216" s="86" t="str">
        <f>_xlfn.CONCAT(表格1[[#This Row],[Model]]," ",表格1[[#This Row],[inv no]])</f>
        <v>RC-10BHH(W) S909-4793</v>
      </c>
      <c r="S4216" s="86">
        <f>_xlfn.XLOOKUP(表格1[[#This Row],[Model]],表格3[Model-Input-Ref2],表格3[SRP PRICE])</f>
        <v>2088</v>
      </c>
      <c r="T4216" s="43">
        <f>表格1[[#This Row],[Unit Price]]/表格1[[#This Row],[SRP]]</f>
        <v>0.80842911877394641</v>
      </c>
      <c r="U4216" s="86" t="str">
        <f>_xlfn.XLOOKUP(表格1[[#This Row],[Model]],表格3[Model-Input-Ref2],表格3[TOSHIBA/HIGHEST])</f>
        <v>Shops Highest Price</v>
      </c>
      <c r="W4216" s="86" t="str">
        <f>_xlfn.CONCAT(表格1[[#This Row],[欄4]],表格1[[#This Row],[inv no]])</f>
        <v>S909-4793</v>
      </c>
    </row>
    <row r="4217" spans="1:23" hidden="1">
      <c r="A4217" s="81">
        <v>4215</v>
      </c>
      <c r="B4217" s="86" t="s">
        <v>1417</v>
      </c>
      <c r="C4217" s="86" t="s">
        <v>1980</v>
      </c>
      <c r="D4217" s="89" t="str">
        <f ca="1">OFFSET(Roster!$A$3,MATCH(表格1[[#This Row],[Location]]&amp;" "&amp;表格1[[#This Row],[Shop]]&amp;"*",Roster!$A$4:$A$72,0),DAY(表格1[[#This Row],[date]]),1,1)</f>
        <v>Maggie Ho_2</v>
      </c>
      <c r="E4217" s="86">
        <f>MONTH(表格1[[#This Row],[date]])</f>
        <v>3</v>
      </c>
      <c r="F4217" s="90">
        <v>46108</v>
      </c>
      <c r="G4217" s="86" t="str">
        <f>VLOOKUP("*"&amp;表格1[[#This Row],[Input]]&amp;"*",'Ref-List'!$B:$D,2,)</f>
        <v>KT-17DRTHK(H)</v>
      </c>
      <c r="H4217" s="86" t="str">
        <f>_xlfn.XLOOKUP(表格1[[#This Row],[Model]],表格3[Model-Input-Ref2],表格3[Product Line])</f>
        <v>無線雙層電熱水壺(1.7公升)</v>
      </c>
      <c r="I4217" s="86" t="str">
        <f>_xlfn.XLOOKUP(表格1[[#This Row],[Model]],表格3[Model-Input-Ref2],表格3[大小電])</f>
        <v>細電</v>
      </c>
      <c r="J4217" s="86" t="str">
        <f>_xlfn.XLOOKUP(表格1[[#This Row],[Model]],表格3[Model-Input-Ref2],表格3[Code])</f>
        <v>SDA</v>
      </c>
      <c r="K4217" s="89" t="s">
        <v>1271</v>
      </c>
      <c r="L4217" s="86">
        <v>1</v>
      </c>
      <c r="M4217" s="87">
        <v>388</v>
      </c>
      <c r="N4217" s="87">
        <f>IFERROR(表格1[[#This Row],[QTY]]*表格1[[#This Row],[Unit Price]],"-")</f>
        <v>388</v>
      </c>
      <c r="O4217" s="86" t="s">
        <v>2024</v>
      </c>
      <c r="R4217" s="86" t="str">
        <f>_xlfn.CONCAT(表格1[[#This Row],[Model]]," ",表格1[[#This Row],[inv no]])</f>
        <v>KT-17DRTHK(H) S161-622543</v>
      </c>
      <c r="S4217" s="86">
        <f>_xlfn.XLOOKUP(表格1[[#This Row],[Model]],表格3[Model-Input-Ref2],表格3[SRP PRICE])</f>
        <v>498</v>
      </c>
      <c r="T4217" s="43">
        <f>表格1[[#This Row],[Unit Price]]/表格1[[#This Row],[SRP]]</f>
        <v>0.77911646586345384</v>
      </c>
      <c r="U4217" s="86" t="str">
        <f>_xlfn.XLOOKUP(表格1[[#This Row],[Model]],表格3[Model-Input-Ref2],表格3[TOSHIBA/HIGHEST])</f>
        <v>Toshiba SRP</v>
      </c>
      <c r="W4217" s="86" t="str">
        <f>_xlfn.CONCAT(表格1[[#This Row],[欄4]],表格1[[#This Row],[inv no]])</f>
        <v>S161-622543</v>
      </c>
    </row>
    <row r="4218" spans="1:23" hidden="1">
      <c r="A4218" s="81">
        <v>4216</v>
      </c>
      <c r="B4218" s="86" t="s">
        <v>1417</v>
      </c>
      <c r="C4218" s="86" t="s">
        <v>1980</v>
      </c>
      <c r="D4218" s="89" t="str">
        <f ca="1">OFFSET(Roster!$A$3,MATCH(表格1[[#This Row],[Location]]&amp;" "&amp;表格1[[#This Row],[Shop]]&amp;"*",Roster!$A$4:$A$72,0),DAY(表格1[[#This Row],[date]]),1,1)</f>
        <v>Maggie Ho_2</v>
      </c>
      <c r="E4218" s="86">
        <f>MONTH(表格1[[#This Row],[date]])</f>
        <v>3</v>
      </c>
      <c r="F4218" s="90">
        <v>46108</v>
      </c>
      <c r="G4218" s="86" t="str">
        <f>VLOOKUP("*"&amp;表格1[[#This Row],[Input]]&amp;"*",'Ref-List'!$B:$D,2,)</f>
        <v>RAD-D300H</v>
      </c>
      <c r="H4218" s="86" t="str">
        <f>_xlfn.XLOOKUP(表格1[[#This Row],[Model]],表格3[Model-Input-Ref2],表格3[Product Line])</f>
        <v>壓縮式抽濕機 (30公升)</v>
      </c>
      <c r="I4218" s="86" t="str">
        <f>_xlfn.XLOOKUP(表格1[[#This Row],[Model]],表格3[Model-Input-Ref2],表格3[大小電])</f>
        <v>細電</v>
      </c>
      <c r="J4218" s="86" t="str">
        <f>_xlfn.XLOOKUP(表格1[[#This Row],[Model]],表格3[Model-Input-Ref2],表格3[Code])</f>
        <v>RAC</v>
      </c>
      <c r="K4218" s="89" t="s">
        <v>1252</v>
      </c>
      <c r="L4218" s="86">
        <v>1</v>
      </c>
      <c r="M4218" s="87">
        <v>2280</v>
      </c>
      <c r="N4218" s="87">
        <f>IFERROR(表格1[[#This Row],[QTY]]*表格1[[#This Row],[Unit Price]],"-")</f>
        <v>2280</v>
      </c>
      <c r="O4218" s="86" t="s">
        <v>2025</v>
      </c>
      <c r="R4218" s="86" t="str">
        <f>_xlfn.CONCAT(表格1[[#This Row],[Model]]," ",表格1[[#This Row],[inv no]])</f>
        <v>RAD-D300H S909-4794</v>
      </c>
      <c r="S4218" s="86">
        <f>_xlfn.XLOOKUP(表格1[[#This Row],[Model]],表格3[Model-Input-Ref2],表格3[SRP PRICE])</f>
        <v>3380</v>
      </c>
      <c r="T4218" s="43">
        <f>表格1[[#This Row],[Unit Price]]/表格1[[#This Row],[SRP]]</f>
        <v>0.67455621301775148</v>
      </c>
      <c r="U4218" s="86" t="str">
        <f>_xlfn.XLOOKUP(表格1[[#This Row],[Model]],表格3[Model-Input-Ref2],表格3[TOSHIBA/HIGHEST])</f>
        <v>Shops Highest Price</v>
      </c>
      <c r="W4218" s="86" t="str">
        <f>_xlfn.CONCAT(表格1[[#This Row],[欄4]],表格1[[#This Row],[inv no]])</f>
        <v>S909-4794</v>
      </c>
    </row>
    <row r="4219" spans="1:23" hidden="1">
      <c r="A4219" s="81">
        <v>4217</v>
      </c>
      <c r="B4219" s="86" t="s">
        <v>1417</v>
      </c>
      <c r="C4219" s="86" t="s">
        <v>1980</v>
      </c>
      <c r="D4219" s="89" t="str">
        <f ca="1">OFFSET(Roster!$A$3,MATCH(表格1[[#This Row],[Location]]&amp;" "&amp;表格1[[#This Row],[Shop]]&amp;"*",Roster!$A$4:$A$72,0),DAY(表格1[[#This Row],[date]]),1,1)</f>
        <v>Maggie Ho_2</v>
      </c>
      <c r="E4219" s="86">
        <f>MONTH(表格1[[#This Row],[date]])</f>
        <v>3</v>
      </c>
      <c r="F4219" s="90">
        <v>46108</v>
      </c>
      <c r="G4219" s="86" t="str">
        <f>VLOOKUP("*"&amp;表格1[[#This Row],[Input]]&amp;"*",'Ref-List'!$B:$D,2,)</f>
        <v>F-LYA20(W)HKG</v>
      </c>
      <c r="H4219" s="86" t="str">
        <f>_xlfn.XLOOKUP(表格1[[#This Row],[Model]],表格3[Model-Input-Ref2],表格3[Product Line])</f>
        <v>12吋2合1座地座檯電風扇連遙控</v>
      </c>
      <c r="I4219" s="86" t="str">
        <f>_xlfn.XLOOKUP(表格1[[#This Row],[Model]],表格3[Model-Input-Ref2],表格3[大小電])</f>
        <v>細電</v>
      </c>
      <c r="J4219" s="86" t="str">
        <f>_xlfn.XLOOKUP(表格1[[#This Row],[Model]],表格3[Model-Input-Ref2],表格3[Code])</f>
        <v>EAD</v>
      </c>
      <c r="K4219" s="89" t="s">
        <v>1391</v>
      </c>
      <c r="L4219" s="86">
        <v>1</v>
      </c>
      <c r="M4219" s="87">
        <v>398</v>
      </c>
      <c r="N4219" s="87">
        <f>IFERROR(表格1[[#This Row],[QTY]]*表格1[[#This Row],[Unit Price]],"-")</f>
        <v>398</v>
      </c>
      <c r="O4219" s="86" t="s">
        <v>2026</v>
      </c>
      <c r="R4219" s="86" t="str">
        <f>_xlfn.CONCAT(表格1[[#This Row],[Model]]," ",表格1[[#This Row],[inv no]])</f>
        <v>F-LYA20(W)HKG S909-4795</v>
      </c>
      <c r="S4219" s="86">
        <f>_xlfn.XLOOKUP(表格1[[#This Row],[Model]],表格3[Model-Input-Ref2],表格3[SRP PRICE])</f>
        <v>988</v>
      </c>
      <c r="T4219" s="43">
        <f>表格1[[#This Row],[Unit Price]]/表格1[[#This Row],[SRP]]</f>
        <v>0.40283400809716602</v>
      </c>
      <c r="U4219" s="86" t="str">
        <f>_xlfn.XLOOKUP(表格1[[#This Row],[Model]],表格3[Model-Input-Ref2],表格3[TOSHIBA/HIGHEST])</f>
        <v>Toshiba SRP</v>
      </c>
      <c r="W4219" s="86" t="str">
        <f>_xlfn.CONCAT(表格1[[#This Row],[欄4]],表格1[[#This Row],[inv no]])</f>
        <v>S909-4795</v>
      </c>
    </row>
    <row r="4220" spans="1:23">
      <c r="A4220" s="81">
        <v>4218</v>
      </c>
      <c r="B4220" s="86" t="s">
        <v>1203</v>
      </c>
      <c r="C4220" s="86" t="s">
        <v>2027</v>
      </c>
      <c r="D4220" s="89" t="str">
        <f ca="1">OFFSET(Roster!$A$3,MATCH(表格1[[#This Row],[Location]]&amp;" "&amp;表格1[[#This Row],[Shop]]&amp;"*",Roster!$A$4:$A$72,0),DAY(表格1[[#This Row],[date]]),1,1)</f>
        <v>May C</v>
      </c>
      <c r="E4220" s="86">
        <f>MONTH(表格1[[#This Row],[date]])</f>
        <v>3</v>
      </c>
      <c r="F4220" s="90">
        <v>46082</v>
      </c>
      <c r="G4220" s="86" t="str">
        <f>VLOOKUP("*"&amp;表格1[[#This Row],[Input]]&amp;"*",'Ref-List'!$B:$D,2,)</f>
        <v>IC-21TSHK</v>
      </c>
      <c r="H4220" s="86" t="str">
        <f>_xlfn.XLOOKUP(表格1[[#This Row],[Model]],表格3[Model-Input-Ref2],表格3[Product Line])</f>
        <v>Induction Cooker</v>
      </c>
      <c r="I4220" s="86" t="str">
        <f>_xlfn.XLOOKUP(表格1[[#This Row],[Model]],表格3[Model-Input-Ref2],表格3[大小電])</f>
        <v>細電</v>
      </c>
      <c r="J4220" s="86" t="str">
        <f>_xlfn.XLOOKUP(表格1[[#This Row],[Model]],表格3[Model-Input-Ref2],表格3[Code])</f>
        <v>SDA</v>
      </c>
      <c r="K4220" s="89" t="s">
        <v>1242</v>
      </c>
      <c r="L4220" s="86">
        <v>4</v>
      </c>
      <c r="M4220" s="87">
        <v>500</v>
      </c>
      <c r="N4220" s="87">
        <f>IFERROR(表格1[[#This Row],[QTY]]*表格1[[#This Row],[Unit Price]],"-")</f>
        <v>2000</v>
      </c>
      <c r="O4220" s="173"/>
      <c r="R4220" s="86" t="str">
        <f>_xlfn.CONCAT(表格1[[#This Row],[Model]]," ",表格1[[#This Row],[inv no]])</f>
        <v xml:space="preserve">IC-21TSHK </v>
      </c>
      <c r="S4220" s="86">
        <f>_xlfn.XLOOKUP(表格1[[#This Row],[Model]],表格3[Model-Input-Ref2],表格3[SRP PRICE])</f>
        <v>998</v>
      </c>
      <c r="T4220" s="43">
        <f>表格1[[#This Row],[Unit Price]]/表格1[[#This Row],[SRP]]</f>
        <v>0.50100200400801598</v>
      </c>
      <c r="U4220" s="86" t="str">
        <f>_xlfn.XLOOKUP(表格1[[#This Row],[Model]],表格3[Model-Input-Ref2],表格3[TOSHIBA/HIGHEST])</f>
        <v>web SRP</v>
      </c>
      <c r="W4220" s="86" t="str">
        <f>_xlfn.CONCAT(表格1[[#This Row],[欄4]],表格1[[#This Row],[inv no]])</f>
        <v/>
      </c>
    </row>
    <row r="4221" spans="1:23">
      <c r="A4221" s="81">
        <v>4219</v>
      </c>
      <c r="B4221" s="86" t="s">
        <v>1203</v>
      </c>
      <c r="C4221" s="86" t="s">
        <v>2027</v>
      </c>
      <c r="D4221" s="89" t="str">
        <f ca="1">OFFSET(Roster!$A$3,MATCH(表格1[[#This Row],[Location]]&amp;" "&amp;表格1[[#This Row],[Shop]]&amp;"*",Roster!$A$4:$A$72,0),DAY(表格1[[#This Row],[date]]),1,1)</f>
        <v>May C</v>
      </c>
      <c r="E4221" s="86">
        <f>MONTH(表格1[[#This Row],[date]])</f>
        <v>3</v>
      </c>
      <c r="F4221" s="90">
        <v>46082</v>
      </c>
      <c r="G4221" s="86" t="str">
        <f>VLOOKUP("*"&amp;表格1[[#This Row],[Input]]&amp;"*",'Ref-List'!$B:$D,2,)</f>
        <v>MW2-MM24PC(BK)</v>
      </c>
      <c r="H4221" s="86" t="str">
        <f>_xlfn.XLOOKUP(表格1[[#This Row],[Model]],表格3[Model-Input-Ref2],表格3[Product Line])</f>
        <v>旋鈕式微波爐24L</v>
      </c>
      <c r="I4221" s="86" t="str">
        <f>_xlfn.XLOOKUP(表格1[[#This Row],[Model]],表格3[Model-Input-Ref2],表格3[大小電])</f>
        <v>細電</v>
      </c>
      <c r="J4221" s="86" t="str">
        <f>_xlfn.XLOOKUP(表格1[[#This Row],[Model]],表格3[Model-Input-Ref2],表格3[Code])</f>
        <v>SDA</v>
      </c>
      <c r="K4221" s="89" t="s">
        <v>1196</v>
      </c>
      <c r="L4221" s="86">
        <v>5</v>
      </c>
      <c r="M4221" s="87">
        <v>500</v>
      </c>
      <c r="N4221" s="87">
        <f>IFERROR(表格1[[#This Row],[QTY]]*表格1[[#This Row],[Unit Price]],"-")</f>
        <v>2500</v>
      </c>
      <c r="O4221" s="173"/>
      <c r="R4221" s="86" t="str">
        <f>_xlfn.CONCAT(表格1[[#This Row],[Model]]," ",表格1[[#This Row],[inv no]])</f>
        <v xml:space="preserve">MW2-MM24PC(BK) </v>
      </c>
      <c r="S4221" s="86">
        <f>_xlfn.XLOOKUP(表格1[[#This Row],[Model]],表格3[Model-Input-Ref2],表格3[SRP PRICE])</f>
        <v>848</v>
      </c>
      <c r="T4221" s="43">
        <f>表格1[[#This Row],[Unit Price]]/表格1[[#This Row],[SRP]]</f>
        <v>0.589622641509434</v>
      </c>
      <c r="U4221" s="86" t="str">
        <f>_xlfn.XLOOKUP(表格1[[#This Row],[Model]],表格3[Model-Input-Ref2],表格3[TOSHIBA/HIGHEST])</f>
        <v>Toshiba SRP</v>
      </c>
      <c r="W4221" s="86" t="str">
        <f>_xlfn.CONCAT(表格1[[#This Row],[欄4]],表格1[[#This Row],[inv no]])</f>
        <v/>
      </c>
    </row>
    <row r="4222" spans="1:23">
      <c r="A4222" s="81">
        <v>4220</v>
      </c>
      <c r="B4222" s="86" t="s">
        <v>1203</v>
      </c>
      <c r="C4222" s="86" t="s">
        <v>2027</v>
      </c>
      <c r="D4222" s="89" t="str">
        <f ca="1">OFFSET(Roster!$A$3,MATCH(表格1[[#This Row],[Location]]&amp;" "&amp;表格1[[#This Row],[Shop]]&amp;"*",Roster!$A$4:$A$72,0),DAY(表格1[[#This Row],[date]]),1,1)</f>
        <v>May C</v>
      </c>
      <c r="E4222" s="86">
        <f>MONTH(表格1[[#This Row],[date]])</f>
        <v>3</v>
      </c>
      <c r="F4222" s="90">
        <v>46082</v>
      </c>
      <c r="G4222" s="86" t="str">
        <f>VLOOKUP("*"&amp;表格1[[#This Row],[Input]]&amp;"*",'Ref-List'!$B:$D,2,)</f>
        <v>PLK-45SFIH(WT)</v>
      </c>
      <c r="H4222" s="86" t="str">
        <f>_xlfn.XLOOKUP(表格1[[#This Row],[Model]],表格3[Model-Input-Ref2],表格3[Product Line])</f>
        <v>電熱水瓶4.5L</v>
      </c>
      <c r="I4222" s="86" t="str">
        <f>_xlfn.XLOOKUP(表格1[[#This Row],[Model]],表格3[Model-Input-Ref2],表格3[大小電])</f>
        <v>細電</v>
      </c>
      <c r="J4222" s="86" t="str">
        <f>_xlfn.XLOOKUP(表格1[[#This Row],[Model]],表格3[Model-Input-Ref2],表格3[Code])</f>
        <v>SDA</v>
      </c>
      <c r="K4222" s="89" t="s">
        <v>1117</v>
      </c>
      <c r="L4222" s="86">
        <v>4</v>
      </c>
      <c r="M4222" s="87">
        <v>500</v>
      </c>
      <c r="N4222" s="87">
        <f>IFERROR(表格1[[#This Row],[QTY]]*表格1[[#This Row],[Unit Price]],"-")</f>
        <v>2000</v>
      </c>
      <c r="O4222" s="173"/>
      <c r="R4222" s="86" t="str">
        <f>_xlfn.CONCAT(表格1[[#This Row],[Model]]," ",表格1[[#This Row],[inv no]])</f>
        <v xml:space="preserve">PLK-45SFIH(WT) </v>
      </c>
      <c r="S4222" s="86">
        <f>_xlfn.XLOOKUP(表格1[[#This Row],[Model]],表格3[Model-Input-Ref2],表格3[SRP PRICE])</f>
        <v>788</v>
      </c>
      <c r="T4222" s="43">
        <f>表格1[[#This Row],[Unit Price]]/表格1[[#This Row],[SRP]]</f>
        <v>0.63451776649746194</v>
      </c>
      <c r="U4222" s="86" t="str">
        <f>_xlfn.XLOOKUP(表格1[[#This Row],[Model]],表格3[Model-Input-Ref2],表格3[TOSHIBA/HIGHEST])</f>
        <v>Toshiba SRP</v>
      </c>
      <c r="W4222" s="86" t="str">
        <f>_xlfn.CONCAT(表格1[[#This Row],[欄4]],表格1[[#This Row],[inv no]])</f>
        <v/>
      </c>
    </row>
    <row r="4223" spans="1:23">
      <c r="A4223" s="81">
        <v>4221</v>
      </c>
      <c r="B4223" s="86" t="s">
        <v>1203</v>
      </c>
      <c r="C4223" s="86" t="s">
        <v>2027</v>
      </c>
      <c r="D4223" s="89" t="str">
        <f ca="1">OFFSET(Roster!$A$3,MATCH(表格1[[#This Row],[Location]]&amp;" "&amp;表格1[[#This Row],[Shop]]&amp;"*",Roster!$A$4:$A$72,0),DAY(表格1[[#This Row],[date]]),1,1)</f>
        <v>May C</v>
      </c>
      <c r="E4223" s="86">
        <f>MONTH(表格1[[#This Row],[date]])</f>
        <v>3</v>
      </c>
      <c r="F4223" s="90">
        <v>46082</v>
      </c>
      <c r="G4223" s="86" t="str">
        <f>VLOOKUP("*"&amp;表格1[[#This Row],[Input]]&amp;"*",'Ref-List'!$B:$D,2,)</f>
        <v>RC-15ISTHK(W)</v>
      </c>
      <c r="H4223" s="86" t="str">
        <f>_xlfn.XLOOKUP(表格1[[#This Row],[Model]],表格3[Model-Input-Ref2],表格3[Product Line])</f>
        <v>磁應電飯煲(1.5公升)</v>
      </c>
      <c r="I4223" s="86" t="str">
        <f>_xlfn.XLOOKUP(表格1[[#This Row],[Model]],表格3[Model-Input-Ref2],表格3[大小電])</f>
        <v>細電</v>
      </c>
      <c r="J4223" s="86" t="str">
        <f>_xlfn.XLOOKUP(表格1[[#This Row],[Model]],表格3[Model-Input-Ref2],表格3[Code])</f>
        <v>SDA</v>
      </c>
      <c r="K4223" s="89" t="s">
        <v>1204</v>
      </c>
      <c r="L4223" s="86">
        <v>21</v>
      </c>
      <c r="M4223" s="87">
        <v>500</v>
      </c>
      <c r="N4223" s="87">
        <f>IFERROR(表格1[[#This Row],[QTY]]*表格1[[#This Row],[Unit Price]],"-")</f>
        <v>10500</v>
      </c>
      <c r="O4223" s="173"/>
      <c r="R4223" s="86" t="str">
        <f>_xlfn.CONCAT(表格1[[#This Row],[Model]]," ",表格1[[#This Row],[inv no]])</f>
        <v xml:space="preserve">RC-15ISTHK(W) </v>
      </c>
      <c r="S4223" s="86">
        <f>_xlfn.XLOOKUP(表格1[[#This Row],[Model]],表格3[Model-Input-Ref2],表格3[SRP PRICE])</f>
        <v>1688</v>
      </c>
      <c r="T4223" s="43">
        <f>表格1[[#This Row],[Unit Price]]/表格1[[#This Row],[SRP]]</f>
        <v>0.29620853080568721</v>
      </c>
      <c r="U4223" s="86" t="str">
        <f>_xlfn.XLOOKUP(表格1[[#This Row],[Model]],表格3[Model-Input-Ref2],表格3[TOSHIBA/HIGHEST])</f>
        <v>Toshiba SRP</v>
      </c>
      <c r="W4223" s="86" t="str">
        <f>_xlfn.CONCAT(表格1[[#This Row],[欄4]],表格1[[#This Row],[inv no]])</f>
        <v/>
      </c>
    </row>
    <row r="4224" spans="1:23">
      <c r="A4224" s="81">
        <v>4222</v>
      </c>
      <c r="B4224" s="86" t="s">
        <v>1203</v>
      </c>
      <c r="C4224" s="86" t="s">
        <v>2027</v>
      </c>
      <c r="D4224" s="89" t="str">
        <f ca="1">OFFSET(Roster!$A$3,MATCH(表格1[[#This Row],[Location]]&amp;" "&amp;表格1[[#This Row],[Shop]]&amp;"*",Roster!$A$4:$A$72,0),DAY(表格1[[#This Row],[date]]),1,1)</f>
        <v>May C</v>
      </c>
      <c r="E4224" s="86">
        <f>MONTH(表格1[[#This Row],[date]])</f>
        <v>3</v>
      </c>
      <c r="F4224" s="90">
        <v>46082</v>
      </c>
      <c r="G4224" s="86" t="str">
        <f>VLOOKUP("*"&amp;表格1[[#This Row],[Input]]&amp;"*",'Ref-List'!$B:$D,2,)</f>
        <v>AW-M901BPH(WW)</v>
      </c>
      <c r="H4224" s="86" t="str">
        <f>_xlfn.XLOOKUP(表格1[[#This Row],[Model]],表格3[Model-Input-Ref2],表格3[Product Line])</f>
        <v>全自動洗衣機 (8公斤 結合高低水位)</v>
      </c>
      <c r="I4224" s="86" t="str">
        <f>_xlfn.XLOOKUP(表格1[[#This Row],[Model]],表格3[Model-Input-Ref2],表格3[大小電])</f>
        <v>大電</v>
      </c>
      <c r="J4224" s="86" t="str">
        <f>_xlfn.XLOOKUP(表格1[[#This Row],[Model]],表格3[Model-Input-Ref2],表格3[Code])</f>
        <v>WM</v>
      </c>
      <c r="K4224" s="89" t="s">
        <v>1202</v>
      </c>
      <c r="L4224" s="86">
        <v>2</v>
      </c>
      <c r="M4224" s="87">
        <v>1500</v>
      </c>
      <c r="N4224" s="87">
        <f>IFERROR(表格1[[#This Row],[QTY]]*表格1[[#This Row],[Unit Price]],"-")</f>
        <v>3000</v>
      </c>
      <c r="O4224" s="173"/>
      <c r="R4224" s="86" t="str">
        <f>_xlfn.CONCAT(表格1[[#This Row],[Model]]," ",表格1[[#This Row],[inv no]])</f>
        <v xml:space="preserve">AW-M901BPH(WW) </v>
      </c>
      <c r="S4224" s="86">
        <f>_xlfn.XLOOKUP(表格1[[#This Row],[Model]],表格3[Model-Input-Ref2],表格3[SRP PRICE])</f>
        <v>3580</v>
      </c>
      <c r="T4224" s="43">
        <f>表格1[[#This Row],[Unit Price]]/表格1[[#This Row],[SRP]]</f>
        <v>0.41899441340782123</v>
      </c>
      <c r="U4224" s="86" t="str">
        <f>_xlfn.XLOOKUP(表格1[[#This Row],[Model]],表格3[Model-Input-Ref2],表格3[TOSHIBA/HIGHEST])</f>
        <v>Toshiba SRP</v>
      </c>
      <c r="W4224" s="86" t="str">
        <f>_xlfn.CONCAT(表格1[[#This Row],[欄4]],表格1[[#This Row],[inv no]])</f>
        <v/>
      </c>
    </row>
    <row r="4225" spans="1:23">
      <c r="A4225" s="81">
        <v>4223</v>
      </c>
      <c r="B4225" s="86" t="s">
        <v>1203</v>
      </c>
      <c r="C4225" s="86" t="s">
        <v>2027</v>
      </c>
      <c r="D4225" s="89" t="str">
        <f ca="1">OFFSET(Roster!$A$3,MATCH(表格1[[#This Row],[Location]]&amp;" "&amp;表格1[[#This Row],[Shop]]&amp;"*",Roster!$A$4:$A$72,0),DAY(表格1[[#This Row],[date]]),1,1)</f>
        <v>May C</v>
      </c>
      <c r="E4225" s="86">
        <f>MONTH(表格1[[#This Row],[date]])</f>
        <v>3</v>
      </c>
      <c r="F4225" s="90">
        <v>46082</v>
      </c>
      <c r="G4225" s="86" t="str">
        <f>VLOOKUP("*"&amp;表格1[[#This Row],[Input]]&amp;"*",'Ref-List'!$B:$D,2,)</f>
        <v>DWS-34AHK</v>
      </c>
      <c r="H4225" s="86" t="str">
        <f>_xlfn.XLOOKUP(表格1[[#This Row],[Model]],表格3[Model-Input-Ref2],表格3[Product Line])</f>
        <v>獨立式免安裝洗碗碟機</v>
      </c>
      <c r="I4225" s="86" t="str">
        <f>_xlfn.XLOOKUP(表格1[[#This Row],[Model]],表格3[Model-Input-Ref2],表格3[大小電])</f>
        <v>細電</v>
      </c>
      <c r="J4225" s="86" t="str">
        <f>_xlfn.XLOOKUP(表格1[[#This Row],[Model]],表格3[Model-Input-Ref2],表格3[Code])</f>
        <v>DM</v>
      </c>
      <c r="K4225" s="89" t="s">
        <v>1240</v>
      </c>
      <c r="L4225" s="86">
        <v>2</v>
      </c>
      <c r="M4225" s="87">
        <v>1500</v>
      </c>
      <c r="N4225" s="87">
        <f>IFERROR(表格1[[#This Row],[QTY]]*表格1[[#This Row],[Unit Price]],"-")</f>
        <v>3000</v>
      </c>
      <c r="O4225" s="173"/>
      <c r="R4225" s="86" t="str">
        <f>_xlfn.CONCAT(表格1[[#This Row],[Model]]," ",表格1[[#This Row],[inv no]])</f>
        <v xml:space="preserve">DWS-34AHK </v>
      </c>
      <c r="S4225" s="86">
        <f>_xlfn.XLOOKUP(表格1[[#This Row],[Model]],表格3[Model-Input-Ref2],表格3[SRP PRICE])</f>
        <v>3999</v>
      </c>
      <c r="T4225" s="43">
        <f>表格1[[#This Row],[Unit Price]]/表格1[[#This Row],[SRP]]</f>
        <v>0.37509377344336087</v>
      </c>
      <c r="U4225" s="86" t="str">
        <f>_xlfn.XLOOKUP(表格1[[#This Row],[Model]],表格3[Model-Input-Ref2],表格3[TOSHIBA/HIGHEST])</f>
        <v>Web SRP</v>
      </c>
      <c r="W4225" s="86" t="str">
        <f>_xlfn.CONCAT(表格1[[#This Row],[欄4]],表格1[[#This Row],[inv no]])</f>
        <v/>
      </c>
    </row>
    <row r="4226" spans="1:23">
      <c r="A4226" s="81">
        <v>4224</v>
      </c>
      <c r="B4226" s="86" t="s">
        <v>1203</v>
      </c>
      <c r="C4226" s="86" t="s">
        <v>2027</v>
      </c>
      <c r="D4226" s="89" t="str">
        <f ca="1">OFFSET(Roster!$A$3,MATCH(表格1[[#This Row],[Location]]&amp;" "&amp;表格1[[#This Row],[Shop]]&amp;"*",Roster!$A$4:$A$72,0),DAY(表格1[[#This Row],[date]]),1,1)</f>
        <v>May C</v>
      </c>
      <c r="E4226" s="86">
        <f>MONTH(表格1[[#This Row],[date]])</f>
        <v>3</v>
      </c>
      <c r="F4226" s="90">
        <v>46082</v>
      </c>
      <c r="G4226" s="86" t="str">
        <f>VLOOKUP("*"&amp;表格1[[#This Row],[Input]]&amp;"*",'Ref-List'!$B:$D,2,)</f>
        <v>RAD-Y200H</v>
      </c>
      <c r="H4226" s="86" t="str">
        <f>_xlfn.XLOOKUP(表格1[[#This Row],[Model]],表格3[Model-Input-Ref2],表格3[Product Line])</f>
        <v>21L壓縮式抽濕機</v>
      </c>
      <c r="I4226" s="86" t="str">
        <f>_xlfn.XLOOKUP(表格1[[#This Row],[Model]],表格3[Model-Input-Ref2],表格3[大小電])</f>
        <v>大電</v>
      </c>
      <c r="J4226" s="86" t="str">
        <f>_xlfn.XLOOKUP(表格1[[#This Row],[Model]],表格3[Model-Input-Ref2],表格3[Code])</f>
        <v>RAC</v>
      </c>
      <c r="K4226" s="89" t="s">
        <v>1241</v>
      </c>
      <c r="L4226" s="86">
        <v>11</v>
      </c>
      <c r="M4226" s="87">
        <v>1500</v>
      </c>
      <c r="N4226" s="87">
        <f>IFERROR(表格1[[#This Row],[QTY]]*表格1[[#This Row],[Unit Price]],"-")</f>
        <v>16500</v>
      </c>
      <c r="O4226" s="173"/>
      <c r="R4226" s="86" t="str">
        <f>_xlfn.CONCAT(表格1[[#This Row],[Model]]," ",表格1[[#This Row],[inv no]])</f>
        <v xml:space="preserve">RAD-Y200H </v>
      </c>
      <c r="S4226" s="86">
        <f>_xlfn.XLOOKUP(表格1[[#This Row],[Model]],表格3[Model-Input-Ref2],表格3[SRP PRICE])</f>
        <v>3280</v>
      </c>
      <c r="T4226" s="43">
        <f>表格1[[#This Row],[Unit Price]]/表格1[[#This Row],[SRP]]</f>
        <v>0.45731707317073172</v>
      </c>
      <c r="U4226" s="86" t="str">
        <f>_xlfn.XLOOKUP(表格1[[#This Row],[Model]],表格3[Model-Input-Ref2],表格3[TOSHIBA/HIGHEST])</f>
        <v>Toshiba SRP</v>
      </c>
      <c r="W4226" s="86" t="str">
        <f>_xlfn.CONCAT(表格1[[#This Row],[欄4]],表格1[[#This Row],[inv no]])</f>
        <v/>
      </c>
    </row>
    <row r="4227" spans="1:23">
      <c r="A4227" s="81">
        <v>4225</v>
      </c>
      <c r="B4227" s="86" t="s">
        <v>1203</v>
      </c>
      <c r="C4227" s="86" t="s">
        <v>2027</v>
      </c>
      <c r="D4227" s="89" t="str">
        <f ca="1">OFFSET(Roster!$A$3,MATCH(表格1[[#This Row],[Location]]&amp;" "&amp;表格1[[#This Row],[Shop]]&amp;"*",Roster!$A$4:$A$72,0),DAY(表格1[[#This Row],[date]]),1,1)</f>
        <v>May C</v>
      </c>
      <c r="E4227" s="86">
        <f>MONTH(表格1[[#This Row],[date]])</f>
        <v>3</v>
      </c>
      <c r="F4227" s="90">
        <v>46082</v>
      </c>
      <c r="G4227" s="86" t="str">
        <f>VLOOKUP("*"&amp;表格1[[#This Row],[Input]]&amp;"*",'Ref-List'!$B:$D,2,)</f>
        <v>TWP-TSR76THK(W)</v>
      </c>
      <c r="H4227" s="86" t="str">
        <f>_xlfn.XLOOKUP(表格1[[#This Row],[Model]],表格3[Model-Input-Ref2],表格3[Product Line])</f>
        <v>RO座檯式飲水機</v>
      </c>
      <c r="I4227" s="86" t="str">
        <f>_xlfn.XLOOKUP(表格1[[#This Row],[Model]],表格3[Model-Input-Ref2],表格3[大小電])</f>
        <v>細電</v>
      </c>
      <c r="J4227" s="86" t="str">
        <f>_xlfn.XLOOKUP(表格1[[#This Row],[Model]],表格3[Model-Input-Ref2],表格3[Code])</f>
        <v>KWH</v>
      </c>
      <c r="K4227" s="89" t="s">
        <v>1197</v>
      </c>
      <c r="L4227" s="86">
        <v>2</v>
      </c>
      <c r="M4227" s="87">
        <v>1500</v>
      </c>
      <c r="N4227" s="87">
        <f>IFERROR(表格1[[#This Row],[QTY]]*表格1[[#This Row],[Unit Price]],"-")</f>
        <v>3000</v>
      </c>
      <c r="O4227" s="173"/>
      <c r="P4227" s="86" t="s">
        <v>2154</v>
      </c>
      <c r="R4227" s="86" t="str">
        <f>_xlfn.CONCAT(表格1[[#This Row],[Model]]," ",表格1[[#This Row],[inv no]])</f>
        <v xml:space="preserve">TWP-TSR76THK(W) </v>
      </c>
      <c r="S4227" s="86">
        <f>_xlfn.XLOOKUP(表格1[[#This Row],[Model]],表格3[Model-Input-Ref2],表格3[SRP PRICE])</f>
        <v>2680</v>
      </c>
      <c r="T4227" s="43">
        <f>表格1[[#This Row],[Unit Price]]/表格1[[#This Row],[SRP]]</f>
        <v>0.55970149253731338</v>
      </c>
      <c r="U4227" s="86" t="str">
        <f>_xlfn.XLOOKUP(表格1[[#This Row],[Model]],表格3[Model-Input-Ref2],表格3[TOSHIBA/HIGHEST])</f>
        <v>Toshiba SRP</v>
      </c>
      <c r="W4227" s="86" t="str">
        <f>_xlfn.CONCAT(表格1[[#This Row],[欄4]],表格1[[#This Row],[inv no]])</f>
        <v/>
      </c>
    </row>
    <row r="4228" spans="1:23">
      <c r="A4228" s="81">
        <v>4226</v>
      </c>
      <c r="B4228" s="86" t="s">
        <v>1203</v>
      </c>
      <c r="C4228" s="86" t="s">
        <v>2027</v>
      </c>
      <c r="D4228" s="89" t="str">
        <f ca="1">OFFSET(Roster!$A$3,MATCH(表格1[[#This Row],[Location]]&amp;" "&amp;表格1[[#This Row],[Shop]]&amp;"*",Roster!$A$4:$A$72,0),DAY(表格1[[#This Row],[date]]),1,1)</f>
        <v>May C</v>
      </c>
      <c r="E4228" s="86">
        <f>MONTH(表格1[[#This Row],[date]])</f>
        <v>3</v>
      </c>
      <c r="F4228" s="90">
        <v>46082</v>
      </c>
      <c r="G4228" s="86" t="str">
        <f>VLOOKUP("*"&amp;表格1[[#This Row],[Input]]&amp;"*",'Ref-List'!$B:$D,2,)</f>
        <v>GR-RT416WE-PMA(06)</v>
      </c>
      <c r="H4228" s="86" t="str">
        <f>_xlfn.XLOOKUP(表格1[[#This Row],[Model]],表格3[Model-Input-Ref2],表格3[Product Line])</f>
        <v xml:space="preserve">變頻上置式雙門雪櫃313L </v>
      </c>
      <c r="I4228" s="86" t="str">
        <f>_xlfn.XLOOKUP(表格1[[#This Row],[Model]],表格3[Model-Input-Ref2],表格3[大小電])</f>
        <v>大電</v>
      </c>
      <c r="J4228" s="86" t="str">
        <f>_xlfn.XLOOKUP(表格1[[#This Row],[Model]],表格3[Model-Input-Ref2],表格3[Code])</f>
        <v>REF</v>
      </c>
      <c r="K4228" s="89" t="s">
        <v>1208</v>
      </c>
      <c r="L4228" s="86">
        <v>1</v>
      </c>
      <c r="M4228" s="87">
        <v>2888</v>
      </c>
      <c r="N4228" s="87">
        <f>IFERROR(表格1[[#This Row],[QTY]]*表格1[[#This Row],[Unit Price]],"-")</f>
        <v>2888</v>
      </c>
      <c r="O4228" s="173"/>
      <c r="R4228" s="86" t="str">
        <f>_xlfn.CONCAT(表格1[[#This Row],[Model]]," ",表格1[[#This Row],[inv no]])</f>
        <v xml:space="preserve">GR-RT416WE-PMA(06) </v>
      </c>
      <c r="S4228" s="86">
        <f>_xlfn.XLOOKUP(表格1[[#This Row],[Model]],表格3[Model-Input-Ref2],表格3[SRP PRICE])</f>
        <v>5380</v>
      </c>
      <c r="T4228" s="43">
        <f>表格1[[#This Row],[Unit Price]]/表格1[[#This Row],[SRP]]</f>
        <v>0.53680297397769516</v>
      </c>
      <c r="U4228" s="86" t="str">
        <f>_xlfn.XLOOKUP(表格1[[#This Row],[Model]],表格3[Model-Input-Ref2],表格3[TOSHIBA/HIGHEST])</f>
        <v>Toshiba SRP</v>
      </c>
      <c r="W4228" s="86" t="str">
        <f>_xlfn.CONCAT(表格1[[#This Row],[欄4]],表格1[[#This Row],[inv no]])</f>
        <v/>
      </c>
    </row>
    <row r="4229" spans="1:23">
      <c r="A4229" s="81">
        <v>4227</v>
      </c>
      <c r="B4229" s="86" t="s">
        <v>1203</v>
      </c>
      <c r="C4229" s="86" t="s">
        <v>2027</v>
      </c>
      <c r="D4229" s="89" t="str">
        <f ca="1">OFFSET(Roster!$A$3,MATCH(表格1[[#This Row],[Location]]&amp;" "&amp;表格1[[#This Row],[Shop]]&amp;"*",Roster!$A$4:$A$72,0),DAY(表格1[[#This Row],[date]]),1,1)</f>
        <v>May C</v>
      </c>
      <c r="E4229" s="86">
        <f>MONTH(表格1[[#This Row],[date]])</f>
        <v>3</v>
      </c>
      <c r="F4229" s="90">
        <v>46082</v>
      </c>
      <c r="G4229" s="86" t="str">
        <f>VLOOKUP("*"&amp;表格1[[#This Row],[Input]]&amp;"*",'Ref-List'!$B:$D,2,)</f>
        <v>CWF-09CRFN8-AD5</v>
      </c>
      <c r="H4229" s="86" t="str">
        <f>_xlfn.XLOOKUP(表格1[[#This Row],[Model]],表格3[Model-Input-Ref2],表格3[Product Line])</f>
        <v>Comfee 1匹變頻窗口式冷氣機</v>
      </c>
      <c r="I4229" s="86" t="str">
        <f>_xlfn.XLOOKUP(表格1[[#This Row],[Model]],表格3[Model-Input-Ref2],表格3[大小電])</f>
        <v>大電</v>
      </c>
      <c r="J4229" s="86" t="str">
        <f>_xlfn.XLOOKUP(表格1[[#This Row],[Model]],表格3[Model-Input-Ref2],表格3[Code])</f>
        <v>RAC</v>
      </c>
      <c r="K4229" s="89" t="s">
        <v>1768</v>
      </c>
      <c r="L4229" s="86">
        <v>1</v>
      </c>
      <c r="M4229" s="87">
        <v>3028</v>
      </c>
      <c r="N4229" s="87">
        <f>IFERROR(表格1[[#This Row],[QTY]]*表格1[[#This Row],[Unit Price]],"-")</f>
        <v>3028</v>
      </c>
      <c r="O4229" s="173"/>
      <c r="P4229" s="86" t="s">
        <v>2144</v>
      </c>
      <c r="R4229" s="86" t="str">
        <f>_xlfn.CONCAT(表格1[[#This Row],[Model]]," ",表格1[[#This Row],[inv no]])</f>
        <v xml:space="preserve">CWF-09CRFN8-AD5 </v>
      </c>
      <c r="S4229" s="86">
        <f>_xlfn.XLOOKUP(表格1[[#This Row],[Model]],表格3[Model-Input-Ref2],表格3[SRP PRICE])</f>
        <v>4600</v>
      </c>
      <c r="T4229" s="43">
        <f>表格1[[#This Row],[Unit Price]]/表格1[[#This Row],[SRP]]</f>
        <v>0.65826086956521734</v>
      </c>
      <c r="U4229" s="86" t="str">
        <f>_xlfn.XLOOKUP(表格1[[#This Row],[Model]],表格3[Model-Input-Ref2],表格3[TOSHIBA/HIGHEST])</f>
        <v>Shops Highest Price</v>
      </c>
      <c r="W4229" s="86" t="str">
        <f>_xlfn.CONCAT(表格1[[#This Row],[欄4]],表格1[[#This Row],[inv no]])</f>
        <v/>
      </c>
    </row>
    <row r="4230" spans="1:23">
      <c r="A4230" s="81">
        <v>4228</v>
      </c>
      <c r="B4230" s="86" t="s">
        <v>1203</v>
      </c>
      <c r="C4230" s="86" t="s">
        <v>2027</v>
      </c>
      <c r="D4230" s="89" t="str">
        <f ca="1">OFFSET(Roster!$A$3,MATCH(表格1[[#This Row],[Location]]&amp;" "&amp;表格1[[#This Row],[Shop]]&amp;"*",Roster!$A$4:$A$72,0),DAY(表格1[[#This Row],[date]]),1,1)</f>
        <v>May C</v>
      </c>
      <c r="E4230" s="86">
        <f>MONTH(表格1[[#This Row],[date]])</f>
        <v>3</v>
      </c>
      <c r="F4230" s="90">
        <v>46082</v>
      </c>
      <c r="G4230" s="86" t="str">
        <f>VLOOKUP("*"&amp;表格1[[#This Row],[Input]]&amp;"*",'Ref-List'!$B:$D,2,)</f>
        <v>Model-Input-Ref2</v>
      </c>
      <c r="H4230" s="86" t="e">
        <f>_xlfn.XLOOKUP(表格1[[#This Row],[Model]],表格3[Model-Input-Ref2],表格3[Product Line])</f>
        <v>#N/A</v>
      </c>
      <c r="I4230" s="86" t="e">
        <f>_xlfn.XLOOKUP(表格1[[#This Row],[Model]],表格3[Model-Input-Ref2],表格3[大小電])</f>
        <v>#N/A</v>
      </c>
      <c r="J4230" s="86" t="e">
        <f>_xlfn.XLOOKUP(表格1[[#This Row],[Model]],表格3[Model-Input-Ref2],表格3[Code])</f>
        <v>#N/A</v>
      </c>
      <c r="N4230" s="87">
        <f>IFERROR(表格1[[#This Row],[QTY]]*表格1[[#This Row],[Unit Price]],"-")</f>
        <v>0</v>
      </c>
      <c r="O4230" s="173"/>
      <c r="P4230" s="86" t="s">
        <v>2150</v>
      </c>
      <c r="R4230" s="86" t="str">
        <f>_xlfn.CONCAT(表格1[[#This Row],[Model]]," ",表格1[[#This Row],[inv no]])</f>
        <v xml:space="preserve">Model-Input-Ref2 </v>
      </c>
      <c r="S4230" s="86" t="e">
        <f>_xlfn.XLOOKUP(表格1[[#This Row],[Model]],表格3[Model-Input-Ref2],表格3[SRP PRICE])</f>
        <v>#N/A</v>
      </c>
      <c r="T4230" s="43" t="e">
        <f>表格1[[#This Row],[Unit Price]]/表格1[[#This Row],[SRP]]</f>
        <v>#N/A</v>
      </c>
      <c r="U4230" s="86" t="e">
        <f>_xlfn.XLOOKUP(表格1[[#This Row],[Model]],表格3[Model-Input-Ref2],表格3[TOSHIBA/HIGHEST])</f>
        <v>#N/A</v>
      </c>
      <c r="W4230" s="86" t="str">
        <f>_xlfn.CONCAT(表格1[[#This Row],[欄4]],表格1[[#This Row],[inv no]])</f>
        <v/>
      </c>
    </row>
    <row r="4231" spans="1:23">
      <c r="A4231" s="81">
        <v>4229</v>
      </c>
      <c r="B4231" s="86" t="s">
        <v>1203</v>
      </c>
      <c r="C4231" s="86" t="s">
        <v>2027</v>
      </c>
      <c r="D4231" s="89" t="str">
        <f ca="1">OFFSET(Roster!$A$3,MATCH(表格1[[#This Row],[Location]]&amp;" "&amp;表格1[[#This Row],[Shop]]&amp;"*",Roster!$A$4:$A$72,0),DAY(表格1[[#This Row],[date]]),1,1)</f>
        <v>May C</v>
      </c>
      <c r="E4231" s="86">
        <f>MONTH(表格1[[#This Row],[date]])</f>
        <v>3</v>
      </c>
      <c r="F4231" s="90">
        <v>46082</v>
      </c>
      <c r="G4231" s="86" t="str">
        <f>VLOOKUP("*"&amp;表格1[[#This Row],[Input]]&amp;"*",'Ref-List'!$B:$D,2,)</f>
        <v>CWF-12CRFN8-AD5</v>
      </c>
      <c r="H4231" s="86" t="str">
        <f>_xlfn.XLOOKUP(表格1[[#This Row],[Model]],表格3[Model-Input-Ref2],表格3[Product Line])</f>
        <v>Comfee 1.5匹變頻窗口式冷氣機</v>
      </c>
      <c r="I4231" s="86" t="str">
        <f>_xlfn.XLOOKUP(表格1[[#This Row],[Model]],表格3[Model-Input-Ref2],表格3[大小電])</f>
        <v>大電</v>
      </c>
      <c r="J4231" s="86" t="str">
        <f>_xlfn.XLOOKUP(表格1[[#This Row],[Model]],表格3[Model-Input-Ref2],表格3[Code])</f>
        <v>RAC</v>
      </c>
      <c r="K4231" s="89" t="s">
        <v>1966</v>
      </c>
      <c r="L4231" s="86">
        <v>1</v>
      </c>
      <c r="M4231" s="87">
        <v>3528</v>
      </c>
      <c r="N4231" s="87">
        <f>IFERROR(表格1[[#This Row],[QTY]]*表格1[[#This Row],[Unit Price]],"-")</f>
        <v>3528</v>
      </c>
      <c r="O4231" s="173"/>
      <c r="P4231" s="86" t="s">
        <v>2146</v>
      </c>
      <c r="R4231" s="86" t="str">
        <f>_xlfn.CONCAT(表格1[[#This Row],[Model]]," ",表格1[[#This Row],[inv no]])</f>
        <v xml:space="preserve">CWF-12CRFN8-AD5 </v>
      </c>
      <c r="S4231" s="86">
        <f>_xlfn.XLOOKUP(表格1[[#This Row],[Model]],表格3[Model-Input-Ref2],表格3[SRP PRICE])</f>
        <v>5200</v>
      </c>
      <c r="T4231" s="43">
        <f>表格1[[#This Row],[Unit Price]]/表格1[[#This Row],[SRP]]</f>
        <v>0.67846153846153845</v>
      </c>
      <c r="U4231" s="86" t="str">
        <f>_xlfn.XLOOKUP(表格1[[#This Row],[Model]],表格3[Model-Input-Ref2],表格3[TOSHIBA/HIGHEST])</f>
        <v>Shops Highest Price</v>
      </c>
      <c r="W4231" s="86" t="str">
        <f>_xlfn.CONCAT(表格1[[#This Row],[欄4]],表格1[[#This Row],[inv no]])</f>
        <v/>
      </c>
    </row>
    <row r="4232" spans="1:23">
      <c r="A4232" s="81">
        <v>4230</v>
      </c>
      <c r="B4232" s="86" t="s">
        <v>1203</v>
      </c>
      <c r="C4232" s="86" t="s">
        <v>2027</v>
      </c>
      <c r="D4232" s="89" t="str">
        <f ca="1">OFFSET(Roster!$A$3,MATCH(表格1[[#This Row],[Location]]&amp;" "&amp;表格1[[#This Row],[Shop]]&amp;"*",Roster!$A$4:$A$72,0),DAY(表格1[[#This Row],[date]]),1,1)</f>
        <v>May C</v>
      </c>
      <c r="E4232" s="86">
        <f>MONTH(表格1[[#This Row],[date]])</f>
        <v>3</v>
      </c>
      <c r="F4232" s="90">
        <v>46083</v>
      </c>
      <c r="G4232" s="86" t="str">
        <f>VLOOKUP("*"&amp;表格1[[#This Row],[Input]]&amp;"*",'Ref-List'!$B:$D,2,)</f>
        <v>IC-21TSHK</v>
      </c>
      <c r="H4232" s="86" t="str">
        <f>_xlfn.XLOOKUP(表格1[[#This Row],[Model]],表格3[Model-Input-Ref2],表格3[Product Line])</f>
        <v>Induction Cooker</v>
      </c>
      <c r="I4232" s="86" t="str">
        <f>_xlfn.XLOOKUP(表格1[[#This Row],[Model]],表格3[Model-Input-Ref2],表格3[大小電])</f>
        <v>細電</v>
      </c>
      <c r="J4232" s="86" t="str">
        <f>_xlfn.XLOOKUP(表格1[[#This Row],[Model]],表格3[Model-Input-Ref2],表格3[Code])</f>
        <v>SDA</v>
      </c>
      <c r="K4232" s="89" t="s">
        <v>1242</v>
      </c>
      <c r="L4232" s="86">
        <v>2</v>
      </c>
      <c r="M4232" s="87">
        <v>500</v>
      </c>
      <c r="N4232" s="87">
        <f>IFERROR(表格1[[#This Row],[QTY]]*表格1[[#This Row],[Unit Price]],"-")</f>
        <v>1000</v>
      </c>
      <c r="O4232" s="173"/>
      <c r="R4232" s="86" t="str">
        <f>_xlfn.CONCAT(表格1[[#This Row],[Model]]," ",表格1[[#This Row],[inv no]])</f>
        <v xml:space="preserve">IC-21TSHK </v>
      </c>
      <c r="S4232" s="86">
        <f>_xlfn.XLOOKUP(表格1[[#This Row],[Model]],表格3[Model-Input-Ref2],表格3[SRP PRICE])</f>
        <v>998</v>
      </c>
      <c r="T4232" s="43">
        <f>表格1[[#This Row],[Unit Price]]/表格1[[#This Row],[SRP]]</f>
        <v>0.50100200400801598</v>
      </c>
      <c r="U4232" s="86" t="str">
        <f>_xlfn.XLOOKUP(表格1[[#This Row],[Model]],表格3[Model-Input-Ref2],表格3[TOSHIBA/HIGHEST])</f>
        <v>web SRP</v>
      </c>
      <c r="W4232" s="86" t="str">
        <f>_xlfn.CONCAT(表格1[[#This Row],[欄4]],表格1[[#This Row],[inv no]])</f>
        <v/>
      </c>
    </row>
    <row r="4233" spans="1:23">
      <c r="A4233" s="81">
        <v>4231</v>
      </c>
      <c r="B4233" s="86" t="s">
        <v>1203</v>
      </c>
      <c r="C4233" s="86" t="s">
        <v>2027</v>
      </c>
      <c r="D4233" s="89" t="str">
        <f ca="1">OFFSET(Roster!$A$3,MATCH(表格1[[#This Row],[Location]]&amp;" "&amp;表格1[[#This Row],[Shop]]&amp;"*",Roster!$A$4:$A$72,0),DAY(表格1[[#This Row],[date]]),1,1)</f>
        <v>May C</v>
      </c>
      <c r="E4233" s="86">
        <f>MONTH(表格1[[#This Row],[date]])</f>
        <v>3</v>
      </c>
      <c r="F4233" s="90">
        <v>46083</v>
      </c>
      <c r="G4233" s="86" t="str">
        <f>VLOOKUP("*"&amp;表格1[[#This Row],[Input]]&amp;"*",'Ref-List'!$B:$D,2,)</f>
        <v>RC-15ISTHK(W)</v>
      </c>
      <c r="H4233" s="86" t="str">
        <f>_xlfn.XLOOKUP(表格1[[#This Row],[Model]],表格3[Model-Input-Ref2],表格3[Product Line])</f>
        <v>磁應電飯煲(1.5公升)</v>
      </c>
      <c r="I4233" s="86" t="str">
        <f>_xlfn.XLOOKUP(表格1[[#This Row],[Model]],表格3[Model-Input-Ref2],表格3[大小電])</f>
        <v>細電</v>
      </c>
      <c r="J4233" s="86" t="str">
        <f>_xlfn.XLOOKUP(表格1[[#This Row],[Model]],表格3[Model-Input-Ref2],表格3[Code])</f>
        <v>SDA</v>
      </c>
      <c r="K4233" s="89" t="s">
        <v>1204</v>
      </c>
      <c r="L4233" s="86">
        <v>6</v>
      </c>
      <c r="M4233" s="87">
        <v>500</v>
      </c>
      <c r="N4233" s="87">
        <f>IFERROR(表格1[[#This Row],[QTY]]*表格1[[#This Row],[Unit Price]],"-")</f>
        <v>3000</v>
      </c>
      <c r="O4233" s="173"/>
      <c r="R4233" s="86" t="str">
        <f>_xlfn.CONCAT(表格1[[#This Row],[Model]]," ",表格1[[#This Row],[inv no]])</f>
        <v xml:space="preserve">RC-15ISTHK(W) </v>
      </c>
      <c r="S4233" s="86">
        <f>_xlfn.XLOOKUP(表格1[[#This Row],[Model]],表格3[Model-Input-Ref2],表格3[SRP PRICE])</f>
        <v>1688</v>
      </c>
      <c r="T4233" s="43">
        <f>表格1[[#This Row],[Unit Price]]/表格1[[#This Row],[SRP]]</f>
        <v>0.29620853080568721</v>
      </c>
      <c r="U4233" s="86" t="str">
        <f>_xlfn.XLOOKUP(表格1[[#This Row],[Model]],表格3[Model-Input-Ref2],表格3[TOSHIBA/HIGHEST])</f>
        <v>Toshiba SRP</v>
      </c>
      <c r="W4233" s="86" t="str">
        <f>_xlfn.CONCAT(表格1[[#This Row],[欄4]],表格1[[#This Row],[inv no]])</f>
        <v/>
      </c>
    </row>
    <row r="4234" spans="1:23">
      <c r="A4234" s="81">
        <v>4232</v>
      </c>
      <c r="B4234" s="86" t="s">
        <v>1203</v>
      </c>
      <c r="C4234" s="86" t="s">
        <v>2027</v>
      </c>
      <c r="D4234" s="89" t="str">
        <f ca="1">OFFSET(Roster!$A$3,MATCH(表格1[[#This Row],[Location]]&amp;" "&amp;表格1[[#This Row],[Shop]]&amp;"*",Roster!$A$4:$A$72,0),DAY(表格1[[#This Row],[date]]),1,1)</f>
        <v>May C</v>
      </c>
      <c r="E4234" s="86">
        <f>MONTH(表格1[[#This Row],[date]])</f>
        <v>3</v>
      </c>
      <c r="F4234" s="90">
        <v>46083</v>
      </c>
      <c r="G4234" s="86" t="str">
        <f>VLOOKUP("*"&amp;表格1[[#This Row],[Input]]&amp;"*",'Ref-List'!$B:$D,2,)</f>
        <v>AW-M901BPH(WW)</v>
      </c>
      <c r="H4234" s="86" t="str">
        <f>_xlfn.XLOOKUP(表格1[[#This Row],[Model]],表格3[Model-Input-Ref2],表格3[Product Line])</f>
        <v>全自動洗衣機 (8公斤 結合高低水位)</v>
      </c>
      <c r="I4234" s="86" t="str">
        <f>_xlfn.XLOOKUP(表格1[[#This Row],[Model]],表格3[Model-Input-Ref2],表格3[大小電])</f>
        <v>大電</v>
      </c>
      <c r="J4234" s="86" t="str">
        <f>_xlfn.XLOOKUP(表格1[[#This Row],[Model]],表格3[Model-Input-Ref2],表格3[Code])</f>
        <v>WM</v>
      </c>
      <c r="K4234" s="89" t="s">
        <v>1202</v>
      </c>
      <c r="L4234" s="86">
        <v>1</v>
      </c>
      <c r="M4234" s="87">
        <v>1500</v>
      </c>
      <c r="N4234" s="87">
        <f>IFERROR(表格1[[#This Row],[QTY]]*表格1[[#This Row],[Unit Price]],"-")</f>
        <v>1500</v>
      </c>
      <c r="O4234" s="173"/>
      <c r="R4234" s="86" t="str">
        <f>_xlfn.CONCAT(表格1[[#This Row],[Model]]," ",表格1[[#This Row],[inv no]])</f>
        <v xml:space="preserve">AW-M901BPH(WW) </v>
      </c>
      <c r="S4234" s="86">
        <f>_xlfn.XLOOKUP(表格1[[#This Row],[Model]],表格3[Model-Input-Ref2],表格3[SRP PRICE])</f>
        <v>3580</v>
      </c>
      <c r="T4234" s="43">
        <f>表格1[[#This Row],[Unit Price]]/表格1[[#This Row],[SRP]]</f>
        <v>0.41899441340782123</v>
      </c>
      <c r="U4234" s="86" t="str">
        <f>_xlfn.XLOOKUP(表格1[[#This Row],[Model]],表格3[Model-Input-Ref2],表格3[TOSHIBA/HIGHEST])</f>
        <v>Toshiba SRP</v>
      </c>
      <c r="W4234" s="86" t="str">
        <f>_xlfn.CONCAT(表格1[[#This Row],[欄4]],表格1[[#This Row],[inv no]])</f>
        <v/>
      </c>
    </row>
    <row r="4235" spans="1:23">
      <c r="A4235" s="81">
        <v>4233</v>
      </c>
      <c r="B4235" s="86" t="s">
        <v>1203</v>
      </c>
      <c r="C4235" s="86" t="s">
        <v>2027</v>
      </c>
      <c r="D4235" s="89" t="str">
        <f ca="1">OFFSET(Roster!$A$3,MATCH(表格1[[#This Row],[Location]]&amp;" "&amp;表格1[[#This Row],[Shop]]&amp;"*",Roster!$A$4:$A$72,0),DAY(表格1[[#This Row],[date]]),1,1)</f>
        <v>May C</v>
      </c>
      <c r="E4235" s="86">
        <f>MONTH(表格1[[#This Row],[date]])</f>
        <v>3</v>
      </c>
      <c r="F4235" s="90">
        <v>46084</v>
      </c>
      <c r="G4235" s="86" t="str">
        <f>VLOOKUP("*"&amp;表格1[[#This Row],[Input]]&amp;"*",'Ref-List'!$B:$D,2,)</f>
        <v>RC-15ISTHK(W)</v>
      </c>
      <c r="H4235" s="86" t="str">
        <f>_xlfn.XLOOKUP(表格1[[#This Row],[Model]],表格3[Model-Input-Ref2],表格3[Product Line])</f>
        <v>磁應電飯煲(1.5公升)</v>
      </c>
      <c r="I4235" s="86" t="str">
        <f>_xlfn.XLOOKUP(表格1[[#This Row],[Model]],表格3[Model-Input-Ref2],表格3[大小電])</f>
        <v>細電</v>
      </c>
      <c r="J4235" s="86" t="str">
        <f>_xlfn.XLOOKUP(表格1[[#This Row],[Model]],表格3[Model-Input-Ref2],表格3[Code])</f>
        <v>SDA</v>
      </c>
      <c r="K4235" s="89" t="s">
        <v>1204</v>
      </c>
      <c r="L4235" s="86">
        <v>3</v>
      </c>
      <c r="M4235" s="87">
        <v>500</v>
      </c>
      <c r="N4235" s="87">
        <f>IFERROR(表格1[[#This Row],[QTY]]*表格1[[#This Row],[Unit Price]],"-")</f>
        <v>1500</v>
      </c>
      <c r="O4235" s="173"/>
      <c r="R4235" s="86" t="str">
        <f>_xlfn.CONCAT(表格1[[#This Row],[Model]]," ",表格1[[#This Row],[inv no]])</f>
        <v xml:space="preserve">RC-15ISTHK(W) </v>
      </c>
      <c r="S4235" s="86">
        <f>_xlfn.XLOOKUP(表格1[[#This Row],[Model]],表格3[Model-Input-Ref2],表格3[SRP PRICE])</f>
        <v>1688</v>
      </c>
      <c r="T4235" s="43">
        <f>表格1[[#This Row],[Unit Price]]/表格1[[#This Row],[SRP]]</f>
        <v>0.29620853080568721</v>
      </c>
      <c r="U4235" s="86" t="str">
        <f>_xlfn.XLOOKUP(表格1[[#This Row],[Model]],表格3[Model-Input-Ref2],表格3[TOSHIBA/HIGHEST])</f>
        <v>Toshiba SRP</v>
      </c>
      <c r="W4235" s="86" t="str">
        <f>_xlfn.CONCAT(表格1[[#This Row],[欄4]],表格1[[#This Row],[inv no]])</f>
        <v/>
      </c>
    </row>
    <row r="4236" spans="1:23">
      <c r="A4236" s="81">
        <v>4234</v>
      </c>
      <c r="B4236" s="86" t="s">
        <v>1203</v>
      </c>
      <c r="C4236" s="86" t="s">
        <v>2027</v>
      </c>
      <c r="D4236" s="89" t="str">
        <f ca="1">OFFSET(Roster!$A$3,MATCH(表格1[[#This Row],[Location]]&amp;" "&amp;表格1[[#This Row],[Shop]]&amp;"*",Roster!$A$4:$A$72,0),DAY(表格1[[#This Row],[date]]),1,1)</f>
        <v>May C</v>
      </c>
      <c r="E4236" s="86">
        <f>MONTH(表格1[[#This Row],[date]])</f>
        <v>3</v>
      </c>
      <c r="F4236" s="90">
        <v>46084</v>
      </c>
      <c r="G4236" s="86" t="str">
        <f>VLOOKUP("*"&amp;表格1[[#This Row],[Input]]&amp;"*",'Ref-List'!$B:$D,2,)</f>
        <v>AW-M901BPH(WW)</v>
      </c>
      <c r="H4236" s="86" t="str">
        <f>_xlfn.XLOOKUP(表格1[[#This Row],[Model]],表格3[Model-Input-Ref2],表格3[Product Line])</f>
        <v>全自動洗衣機 (8公斤 結合高低水位)</v>
      </c>
      <c r="I4236" s="86" t="str">
        <f>_xlfn.XLOOKUP(表格1[[#This Row],[Model]],表格3[Model-Input-Ref2],表格3[大小電])</f>
        <v>大電</v>
      </c>
      <c r="J4236" s="86" t="str">
        <f>_xlfn.XLOOKUP(表格1[[#This Row],[Model]],表格3[Model-Input-Ref2],表格3[Code])</f>
        <v>WM</v>
      </c>
      <c r="K4236" s="89" t="s">
        <v>1202</v>
      </c>
      <c r="L4236" s="86">
        <v>1</v>
      </c>
      <c r="M4236" s="87">
        <v>1500</v>
      </c>
      <c r="N4236" s="87">
        <f>IFERROR(表格1[[#This Row],[QTY]]*表格1[[#This Row],[Unit Price]],"-")</f>
        <v>1500</v>
      </c>
      <c r="O4236" s="173"/>
      <c r="R4236" s="86" t="str">
        <f>_xlfn.CONCAT(表格1[[#This Row],[Model]]," ",表格1[[#This Row],[inv no]])</f>
        <v xml:space="preserve">AW-M901BPH(WW) </v>
      </c>
      <c r="S4236" s="86">
        <f>_xlfn.XLOOKUP(表格1[[#This Row],[Model]],表格3[Model-Input-Ref2],表格3[SRP PRICE])</f>
        <v>3580</v>
      </c>
      <c r="T4236" s="43">
        <f>表格1[[#This Row],[Unit Price]]/表格1[[#This Row],[SRP]]</f>
        <v>0.41899441340782123</v>
      </c>
      <c r="U4236" s="86" t="str">
        <f>_xlfn.XLOOKUP(表格1[[#This Row],[Model]],表格3[Model-Input-Ref2],表格3[TOSHIBA/HIGHEST])</f>
        <v>Toshiba SRP</v>
      </c>
      <c r="W4236" s="86" t="str">
        <f>_xlfn.CONCAT(表格1[[#This Row],[欄4]],表格1[[#This Row],[inv no]])</f>
        <v/>
      </c>
    </row>
    <row r="4237" spans="1:23">
      <c r="A4237" s="81">
        <v>4235</v>
      </c>
      <c r="B4237" s="86" t="s">
        <v>1203</v>
      </c>
      <c r="C4237" s="86" t="s">
        <v>2027</v>
      </c>
      <c r="D4237" s="89" t="str">
        <f ca="1">OFFSET(Roster!$A$3,MATCH(表格1[[#This Row],[Location]]&amp;" "&amp;表格1[[#This Row],[Shop]]&amp;"*",Roster!$A$4:$A$72,0),DAY(表格1[[#This Row],[date]]),1,1)</f>
        <v>May C</v>
      </c>
      <c r="E4237" s="86">
        <f>MONTH(表格1[[#This Row],[date]])</f>
        <v>3</v>
      </c>
      <c r="F4237" s="90">
        <v>46084</v>
      </c>
      <c r="G4237" s="86" t="str">
        <f>VLOOKUP("*"&amp;表格1[[#This Row],[Input]]&amp;"*",'Ref-List'!$B:$D,2,)</f>
        <v>DWS-34AHK</v>
      </c>
      <c r="H4237" s="86" t="str">
        <f>_xlfn.XLOOKUP(表格1[[#This Row],[Model]],表格3[Model-Input-Ref2],表格3[Product Line])</f>
        <v>獨立式免安裝洗碗碟機</v>
      </c>
      <c r="I4237" s="86" t="str">
        <f>_xlfn.XLOOKUP(表格1[[#This Row],[Model]],表格3[Model-Input-Ref2],表格3[大小電])</f>
        <v>細電</v>
      </c>
      <c r="J4237" s="86" t="str">
        <f>_xlfn.XLOOKUP(表格1[[#This Row],[Model]],表格3[Model-Input-Ref2],表格3[Code])</f>
        <v>DM</v>
      </c>
      <c r="K4237" s="89" t="s">
        <v>1240</v>
      </c>
      <c r="L4237" s="86">
        <v>1</v>
      </c>
      <c r="M4237" s="87">
        <v>1500</v>
      </c>
      <c r="N4237" s="87">
        <f>IFERROR(表格1[[#This Row],[QTY]]*表格1[[#This Row],[Unit Price]],"-")</f>
        <v>1500</v>
      </c>
      <c r="O4237" s="173"/>
      <c r="R4237" s="86" t="str">
        <f>_xlfn.CONCAT(表格1[[#This Row],[Model]]," ",表格1[[#This Row],[inv no]])</f>
        <v xml:space="preserve">DWS-34AHK </v>
      </c>
      <c r="S4237" s="86">
        <f>_xlfn.XLOOKUP(表格1[[#This Row],[Model]],表格3[Model-Input-Ref2],表格3[SRP PRICE])</f>
        <v>3999</v>
      </c>
      <c r="T4237" s="43">
        <f>表格1[[#This Row],[Unit Price]]/表格1[[#This Row],[SRP]]</f>
        <v>0.37509377344336087</v>
      </c>
      <c r="U4237" s="86" t="str">
        <f>_xlfn.XLOOKUP(表格1[[#This Row],[Model]],表格3[Model-Input-Ref2],表格3[TOSHIBA/HIGHEST])</f>
        <v>Web SRP</v>
      </c>
      <c r="W4237" s="86" t="str">
        <f>_xlfn.CONCAT(表格1[[#This Row],[欄4]],表格1[[#This Row],[inv no]])</f>
        <v/>
      </c>
    </row>
    <row r="4238" spans="1:23">
      <c r="A4238" s="81">
        <v>4236</v>
      </c>
      <c r="B4238" s="86" t="s">
        <v>1203</v>
      </c>
      <c r="C4238" s="86" t="s">
        <v>2027</v>
      </c>
      <c r="D4238" s="89" t="str">
        <f ca="1">OFFSET(Roster!$A$3,MATCH(表格1[[#This Row],[Location]]&amp;" "&amp;表格1[[#This Row],[Shop]]&amp;"*",Roster!$A$4:$A$72,0),DAY(表格1[[#This Row],[date]]),1,1)</f>
        <v>May C</v>
      </c>
      <c r="E4238" s="86">
        <f>MONTH(表格1[[#This Row],[date]])</f>
        <v>3</v>
      </c>
      <c r="F4238" s="90">
        <v>46084</v>
      </c>
      <c r="G4238" s="86" t="str">
        <f>VLOOKUP("*"&amp;表格1[[#This Row],[Input]]&amp;"*",'Ref-List'!$B:$D,2,)</f>
        <v>GR-A26HSZ(DS)</v>
      </c>
      <c r="H4238" s="86" t="str">
        <f>_xlfn.XLOOKUP(表格1[[#This Row],[Model]],表格3[Model-Input-Ref2],表格3[Product Line])</f>
        <v>雙門變頻式環保雪櫃</v>
      </c>
      <c r="I4238" s="86" t="str">
        <f>_xlfn.XLOOKUP(表格1[[#This Row],[Model]],表格3[Model-Input-Ref2],表格3[大小電])</f>
        <v>大電</v>
      </c>
      <c r="J4238" s="86" t="str">
        <f>_xlfn.XLOOKUP(表格1[[#This Row],[Model]],表格3[Model-Input-Ref2],表格3[Code])</f>
        <v>AC</v>
      </c>
      <c r="K4238" s="89" t="s">
        <v>1207</v>
      </c>
      <c r="L4238" s="86">
        <v>2</v>
      </c>
      <c r="M4238" s="87">
        <v>1500</v>
      </c>
      <c r="N4238" s="87">
        <f>IFERROR(表格1[[#This Row],[QTY]]*表格1[[#This Row],[Unit Price]],"-")</f>
        <v>3000</v>
      </c>
      <c r="O4238" s="173"/>
      <c r="R4238" s="86" t="str">
        <f>_xlfn.CONCAT(表格1[[#This Row],[Model]]," ",表格1[[#This Row],[inv no]])</f>
        <v xml:space="preserve">GR-A26HSZ(DS) </v>
      </c>
      <c r="S4238" s="86">
        <f>_xlfn.XLOOKUP(表格1[[#This Row],[Model]],表格3[Model-Input-Ref2],表格3[SRP PRICE])</f>
        <v>3780</v>
      </c>
      <c r="T4238" s="43">
        <f>表格1[[#This Row],[Unit Price]]/表格1[[#This Row],[SRP]]</f>
        <v>0.3968253968253968</v>
      </c>
      <c r="U4238" s="86" t="str">
        <f>_xlfn.XLOOKUP(表格1[[#This Row],[Model]],表格3[Model-Input-Ref2],表格3[TOSHIBA/HIGHEST])</f>
        <v>Toshiba SRP</v>
      </c>
      <c r="W4238" s="86" t="str">
        <f>_xlfn.CONCAT(表格1[[#This Row],[欄4]],表格1[[#This Row],[inv no]])</f>
        <v/>
      </c>
    </row>
    <row r="4239" spans="1:23">
      <c r="A4239" s="81">
        <v>4237</v>
      </c>
      <c r="B4239" s="86" t="s">
        <v>1203</v>
      </c>
      <c r="C4239" s="86" t="s">
        <v>2027</v>
      </c>
      <c r="D4239" s="89" t="str">
        <f ca="1">OFFSET(Roster!$A$3,MATCH(表格1[[#This Row],[Location]]&amp;" "&amp;表格1[[#This Row],[Shop]]&amp;"*",Roster!$A$4:$A$72,0),DAY(表格1[[#This Row],[date]]),1,1)</f>
        <v>May C</v>
      </c>
      <c r="E4239" s="86">
        <f>MONTH(表格1[[#This Row],[date]])</f>
        <v>3</v>
      </c>
      <c r="F4239" s="90">
        <v>46084</v>
      </c>
      <c r="G4239" s="86" t="str">
        <f>VLOOKUP("*"&amp;表格1[[#This Row],[Input]]&amp;"*",'Ref-List'!$B:$D,2,)</f>
        <v>MW2-MM24PC(BK)</v>
      </c>
      <c r="H4239" s="86" t="str">
        <f>_xlfn.XLOOKUP(表格1[[#This Row],[Model]],表格3[Model-Input-Ref2],表格3[Product Line])</f>
        <v>旋鈕式微波爐24L</v>
      </c>
      <c r="I4239" s="86" t="str">
        <f>_xlfn.XLOOKUP(表格1[[#This Row],[Model]],表格3[Model-Input-Ref2],表格3[大小電])</f>
        <v>細電</v>
      </c>
      <c r="J4239" s="86" t="str">
        <f>_xlfn.XLOOKUP(表格1[[#This Row],[Model]],表格3[Model-Input-Ref2],表格3[Code])</f>
        <v>SDA</v>
      </c>
      <c r="K4239" s="89" t="s">
        <v>1196</v>
      </c>
      <c r="L4239" s="86">
        <v>1</v>
      </c>
      <c r="M4239" s="87">
        <v>500</v>
      </c>
      <c r="N4239" s="87">
        <f>IFERROR(表格1[[#This Row],[QTY]]*表格1[[#This Row],[Unit Price]],"-")</f>
        <v>500</v>
      </c>
      <c r="O4239" s="173"/>
      <c r="R4239" s="86" t="str">
        <f>_xlfn.CONCAT(表格1[[#This Row],[Model]]," ",表格1[[#This Row],[inv no]])</f>
        <v xml:space="preserve">MW2-MM24PC(BK) </v>
      </c>
      <c r="S4239" s="86">
        <f>_xlfn.XLOOKUP(表格1[[#This Row],[Model]],表格3[Model-Input-Ref2],表格3[SRP PRICE])</f>
        <v>848</v>
      </c>
      <c r="T4239" s="43">
        <f>表格1[[#This Row],[Unit Price]]/表格1[[#This Row],[SRP]]</f>
        <v>0.589622641509434</v>
      </c>
      <c r="U4239" s="86" t="str">
        <f>_xlfn.XLOOKUP(表格1[[#This Row],[Model]],表格3[Model-Input-Ref2],表格3[TOSHIBA/HIGHEST])</f>
        <v>Toshiba SRP</v>
      </c>
      <c r="W4239" s="86" t="str">
        <f>_xlfn.CONCAT(表格1[[#This Row],[欄4]],表格1[[#This Row],[inv no]])</f>
        <v/>
      </c>
    </row>
    <row r="4240" spans="1:23">
      <c r="A4240" s="81">
        <v>4238</v>
      </c>
      <c r="B4240" s="86" t="s">
        <v>1203</v>
      </c>
      <c r="C4240" s="86" t="s">
        <v>2027</v>
      </c>
      <c r="D4240" s="89" t="str">
        <f ca="1">OFFSET(Roster!$A$3,MATCH(表格1[[#This Row],[Location]]&amp;" "&amp;表格1[[#This Row],[Shop]]&amp;"*",Roster!$A$4:$A$72,0),DAY(表格1[[#This Row],[date]]),1,1)</f>
        <v>May C</v>
      </c>
      <c r="E4240" s="86">
        <f>MONTH(表格1[[#This Row],[date]])</f>
        <v>3</v>
      </c>
      <c r="F4240" s="90">
        <v>46084</v>
      </c>
      <c r="G4240" s="86" t="str">
        <f>VLOOKUP("*"&amp;表格1[[#This Row],[Input]]&amp;"*",'Ref-List'!$B:$D,2,)</f>
        <v>CWF-09CRFN8-AD5</v>
      </c>
      <c r="H4240" s="86" t="str">
        <f>_xlfn.XLOOKUP(表格1[[#This Row],[Model]],表格3[Model-Input-Ref2],表格3[Product Line])</f>
        <v>Comfee 1匹變頻窗口式冷氣機</v>
      </c>
      <c r="I4240" s="86" t="str">
        <f>_xlfn.XLOOKUP(表格1[[#This Row],[Model]],表格3[Model-Input-Ref2],表格3[大小電])</f>
        <v>大電</v>
      </c>
      <c r="J4240" s="86" t="str">
        <f>_xlfn.XLOOKUP(表格1[[#This Row],[Model]],表格3[Model-Input-Ref2],表格3[Code])</f>
        <v>RAC</v>
      </c>
      <c r="K4240" s="89" t="s">
        <v>1768</v>
      </c>
      <c r="L4240" s="86">
        <v>1</v>
      </c>
      <c r="M4240" s="87">
        <v>3028</v>
      </c>
      <c r="N4240" s="87">
        <f>IFERROR(表格1[[#This Row],[QTY]]*表格1[[#This Row],[Unit Price]],"-")</f>
        <v>3028</v>
      </c>
      <c r="O4240" s="173"/>
      <c r="P4240" s="86" t="s">
        <v>2144</v>
      </c>
      <c r="R4240" s="86" t="str">
        <f>_xlfn.CONCAT(表格1[[#This Row],[Model]]," ",表格1[[#This Row],[inv no]])</f>
        <v xml:space="preserve">CWF-09CRFN8-AD5 </v>
      </c>
      <c r="S4240" s="86">
        <f>_xlfn.XLOOKUP(表格1[[#This Row],[Model]],表格3[Model-Input-Ref2],表格3[SRP PRICE])</f>
        <v>4600</v>
      </c>
      <c r="T4240" s="43">
        <f>表格1[[#This Row],[Unit Price]]/表格1[[#This Row],[SRP]]</f>
        <v>0.65826086956521734</v>
      </c>
      <c r="U4240" s="86" t="str">
        <f>_xlfn.XLOOKUP(表格1[[#This Row],[Model]],表格3[Model-Input-Ref2],表格3[TOSHIBA/HIGHEST])</f>
        <v>Shops Highest Price</v>
      </c>
      <c r="W4240" s="86" t="str">
        <f>_xlfn.CONCAT(表格1[[#This Row],[欄4]],表格1[[#This Row],[inv no]])</f>
        <v/>
      </c>
    </row>
    <row r="4241" spans="1:23">
      <c r="A4241" s="81">
        <v>4239</v>
      </c>
      <c r="B4241" s="86" t="s">
        <v>1203</v>
      </c>
      <c r="C4241" s="86" t="s">
        <v>2027</v>
      </c>
      <c r="D4241" s="89" t="str">
        <f ca="1">OFFSET(Roster!$A$3,MATCH(表格1[[#This Row],[Location]]&amp;" "&amp;表格1[[#This Row],[Shop]]&amp;"*",Roster!$A$4:$A$72,0),DAY(表格1[[#This Row],[date]]),1,1)</f>
        <v>May C</v>
      </c>
      <c r="E4241" s="86">
        <f>MONTH(表格1[[#This Row],[date]])</f>
        <v>3</v>
      </c>
      <c r="F4241" s="90">
        <v>46084</v>
      </c>
      <c r="G4241" s="86" t="str">
        <f>VLOOKUP("*"&amp;表格1[[#This Row],[Input]]&amp;"*",'Ref-List'!$B:$D,2,)</f>
        <v>TWD-BN90GF4H(WK)</v>
      </c>
      <c r="H4241" s="86" t="str">
        <f>_xlfn.XLOOKUP(表格1[[#This Row],[Model]],表格3[Model-Input-Ref2],表格3[Product Line])</f>
        <v>超薄身前置式洗衣乾衣機 (洗8公斤 乾5公斤)</v>
      </c>
      <c r="I4241" s="86" t="str">
        <f>_xlfn.XLOOKUP(表格1[[#This Row],[Model]],表格3[Model-Input-Ref2],表格3[大小電])</f>
        <v>大電</v>
      </c>
      <c r="J4241" s="86" t="str">
        <f>_xlfn.XLOOKUP(表格1[[#This Row],[Model]],表格3[Model-Input-Ref2],表格3[Code])</f>
        <v>WM</v>
      </c>
      <c r="K4241" s="89" t="s">
        <v>1199</v>
      </c>
      <c r="L4241" s="86">
        <v>2</v>
      </c>
      <c r="M4241" s="87">
        <v>3588</v>
      </c>
      <c r="N4241" s="87">
        <f>IFERROR(表格1[[#This Row],[QTY]]*表格1[[#This Row],[Unit Price]],"-")</f>
        <v>7176</v>
      </c>
      <c r="O4241" s="173"/>
      <c r="R4241" s="86" t="str">
        <f>_xlfn.CONCAT(表格1[[#This Row],[Model]]," ",表格1[[#This Row],[inv no]])</f>
        <v xml:space="preserve">TWD-BN90GF4H(WK) </v>
      </c>
      <c r="S4241" s="86">
        <f>_xlfn.XLOOKUP(表格1[[#This Row],[Model]],表格3[Model-Input-Ref2],表格3[SRP PRICE])</f>
        <v>5980</v>
      </c>
      <c r="T4241" s="43">
        <f>表格1[[#This Row],[Unit Price]]/表格1[[#This Row],[SRP]]</f>
        <v>0.6</v>
      </c>
      <c r="U4241" s="86" t="str">
        <f>_xlfn.XLOOKUP(表格1[[#This Row],[Model]],表格3[Model-Input-Ref2],表格3[TOSHIBA/HIGHEST])</f>
        <v>Toshiba SRP</v>
      </c>
      <c r="W4241" s="86" t="str">
        <f>_xlfn.CONCAT(表格1[[#This Row],[欄4]],表格1[[#This Row],[inv no]])</f>
        <v/>
      </c>
    </row>
    <row r="4242" spans="1:23">
      <c r="A4242" s="81">
        <v>4240</v>
      </c>
      <c r="B4242" s="86" t="s">
        <v>1203</v>
      </c>
      <c r="C4242" s="86" t="s">
        <v>2027</v>
      </c>
      <c r="D4242" s="89" t="str">
        <f ca="1">OFFSET(Roster!$A$3,MATCH(表格1[[#This Row],[Location]]&amp;" "&amp;表格1[[#This Row],[Shop]]&amp;"*",Roster!$A$4:$A$72,0),DAY(表格1[[#This Row],[date]]),1,1)</f>
        <v>May C</v>
      </c>
      <c r="E4242" s="86">
        <f>MONTH(表格1[[#This Row],[date]])</f>
        <v>3</v>
      </c>
      <c r="F4242" s="90">
        <v>46086</v>
      </c>
      <c r="G4242" s="86" t="str">
        <f>VLOOKUP("*"&amp;表格1[[#This Row],[Input]]&amp;"*",'Ref-List'!$B:$D,2,)</f>
        <v>IC-21TSHK</v>
      </c>
      <c r="H4242" s="86" t="str">
        <f>_xlfn.XLOOKUP(表格1[[#This Row],[Model]],表格3[Model-Input-Ref2],表格3[Product Line])</f>
        <v>Induction Cooker</v>
      </c>
      <c r="I4242" s="86" t="str">
        <f>_xlfn.XLOOKUP(表格1[[#This Row],[Model]],表格3[Model-Input-Ref2],表格3[大小電])</f>
        <v>細電</v>
      </c>
      <c r="J4242" s="86" t="str">
        <f>_xlfn.XLOOKUP(表格1[[#This Row],[Model]],表格3[Model-Input-Ref2],表格3[Code])</f>
        <v>SDA</v>
      </c>
      <c r="K4242" s="89" t="s">
        <v>1242</v>
      </c>
      <c r="L4242" s="86">
        <v>3</v>
      </c>
      <c r="M4242" s="87">
        <v>500</v>
      </c>
      <c r="N4242" s="87">
        <f>IFERROR(表格1[[#This Row],[QTY]]*表格1[[#This Row],[Unit Price]],"-")</f>
        <v>1500</v>
      </c>
      <c r="O4242" s="173"/>
      <c r="R4242" s="86" t="str">
        <f>_xlfn.CONCAT(表格1[[#This Row],[Model]]," ",表格1[[#This Row],[inv no]])</f>
        <v xml:space="preserve">IC-21TSHK </v>
      </c>
      <c r="S4242" s="86">
        <f>_xlfn.XLOOKUP(表格1[[#This Row],[Model]],表格3[Model-Input-Ref2],表格3[SRP PRICE])</f>
        <v>998</v>
      </c>
      <c r="T4242" s="43">
        <f>表格1[[#This Row],[Unit Price]]/表格1[[#This Row],[SRP]]</f>
        <v>0.50100200400801598</v>
      </c>
      <c r="U4242" s="86" t="str">
        <f>_xlfn.XLOOKUP(表格1[[#This Row],[Model]],表格3[Model-Input-Ref2],表格3[TOSHIBA/HIGHEST])</f>
        <v>web SRP</v>
      </c>
      <c r="W4242" s="86" t="str">
        <f>_xlfn.CONCAT(表格1[[#This Row],[欄4]],表格1[[#This Row],[inv no]])</f>
        <v/>
      </c>
    </row>
    <row r="4243" spans="1:23">
      <c r="A4243" s="81">
        <v>4241</v>
      </c>
      <c r="B4243" s="86" t="s">
        <v>1203</v>
      </c>
      <c r="C4243" s="86" t="s">
        <v>2027</v>
      </c>
      <c r="D4243" s="89" t="str">
        <f ca="1">OFFSET(Roster!$A$3,MATCH(表格1[[#This Row],[Location]]&amp;" "&amp;表格1[[#This Row],[Shop]]&amp;"*",Roster!$A$4:$A$72,0),DAY(表格1[[#This Row],[date]]),1,1)</f>
        <v>May C</v>
      </c>
      <c r="E4243" s="86">
        <f>MONTH(表格1[[#This Row],[date]])</f>
        <v>3</v>
      </c>
      <c r="F4243" s="90">
        <v>46086</v>
      </c>
      <c r="G4243" s="86" t="str">
        <f>VLOOKUP("*"&amp;表格1[[#This Row],[Input]]&amp;"*",'Ref-List'!$B:$D,2,)</f>
        <v>PLK-45SFIH(WT)</v>
      </c>
      <c r="H4243" s="86" t="str">
        <f>_xlfn.XLOOKUP(表格1[[#This Row],[Model]],表格3[Model-Input-Ref2],表格3[Product Line])</f>
        <v>電熱水瓶4.5L</v>
      </c>
      <c r="I4243" s="86" t="str">
        <f>_xlfn.XLOOKUP(表格1[[#This Row],[Model]],表格3[Model-Input-Ref2],表格3[大小電])</f>
        <v>細電</v>
      </c>
      <c r="J4243" s="86" t="str">
        <f>_xlfn.XLOOKUP(表格1[[#This Row],[Model]],表格3[Model-Input-Ref2],表格3[Code])</f>
        <v>SDA</v>
      </c>
      <c r="K4243" s="89" t="s">
        <v>1117</v>
      </c>
      <c r="L4243" s="86">
        <v>3</v>
      </c>
      <c r="M4243" s="87">
        <v>500</v>
      </c>
      <c r="N4243" s="87">
        <f>IFERROR(表格1[[#This Row],[QTY]]*表格1[[#This Row],[Unit Price]],"-")</f>
        <v>1500</v>
      </c>
      <c r="O4243" s="173"/>
      <c r="P4243" s="86" t="s">
        <v>2153</v>
      </c>
      <c r="R4243" s="86" t="str">
        <f>_xlfn.CONCAT(表格1[[#This Row],[Model]]," ",表格1[[#This Row],[inv no]])</f>
        <v xml:space="preserve">PLK-45SFIH(WT) </v>
      </c>
      <c r="S4243" s="86">
        <f>_xlfn.XLOOKUP(表格1[[#This Row],[Model]],表格3[Model-Input-Ref2],表格3[SRP PRICE])</f>
        <v>788</v>
      </c>
      <c r="T4243" s="43">
        <f>表格1[[#This Row],[Unit Price]]/表格1[[#This Row],[SRP]]</f>
        <v>0.63451776649746194</v>
      </c>
      <c r="U4243" s="86" t="str">
        <f>_xlfn.XLOOKUP(表格1[[#This Row],[Model]],表格3[Model-Input-Ref2],表格3[TOSHIBA/HIGHEST])</f>
        <v>Toshiba SRP</v>
      </c>
      <c r="W4243" s="86" t="str">
        <f>_xlfn.CONCAT(表格1[[#This Row],[欄4]],表格1[[#This Row],[inv no]])</f>
        <v/>
      </c>
    </row>
    <row r="4244" spans="1:23">
      <c r="A4244" s="81">
        <v>4242</v>
      </c>
      <c r="B4244" s="86" t="s">
        <v>1203</v>
      </c>
      <c r="C4244" s="86" t="s">
        <v>2027</v>
      </c>
      <c r="D4244" s="89" t="str">
        <f ca="1">OFFSET(Roster!$A$3,MATCH(表格1[[#This Row],[Location]]&amp;" "&amp;表格1[[#This Row],[Shop]]&amp;"*",Roster!$A$4:$A$72,0),DAY(表格1[[#This Row],[date]]),1,1)</f>
        <v>May C</v>
      </c>
      <c r="E4244" s="86">
        <f>MONTH(表格1[[#This Row],[date]])</f>
        <v>3</v>
      </c>
      <c r="F4244" s="90">
        <v>46086</v>
      </c>
      <c r="G4244" s="86" t="str">
        <f>VLOOKUP("*"&amp;表格1[[#This Row],[Input]]&amp;"*",'Ref-List'!$B:$D,2,)</f>
        <v>RC-15ISTHK(W)</v>
      </c>
      <c r="H4244" s="86" t="str">
        <f>_xlfn.XLOOKUP(表格1[[#This Row],[Model]],表格3[Model-Input-Ref2],表格3[Product Line])</f>
        <v>磁應電飯煲(1.5公升)</v>
      </c>
      <c r="I4244" s="86" t="str">
        <f>_xlfn.XLOOKUP(表格1[[#This Row],[Model]],表格3[Model-Input-Ref2],表格3[大小電])</f>
        <v>細電</v>
      </c>
      <c r="J4244" s="86" t="str">
        <f>_xlfn.XLOOKUP(表格1[[#This Row],[Model]],表格3[Model-Input-Ref2],表格3[Code])</f>
        <v>SDA</v>
      </c>
      <c r="K4244" s="89" t="s">
        <v>1204</v>
      </c>
      <c r="L4244" s="86">
        <v>11</v>
      </c>
      <c r="M4244" s="87">
        <v>500</v>
      </c>
      <c r="N4244" s="87">
        <f>IFERROR(表格1[[#This Row],[QTY]]*表格1[[#This Row],[Unit Price]],"-")</f>
        <v>5500</v>
      </c>
      <c r="O4244" s="173"/>
      <c r="R4244" s="86" t="str">
        <f>_xlfn.CONCAT(表格1[[#This Row],[Model]]," ",表格1[[#This Row],[inv no]])</f>
        <v xml:space="preserve">RC-15ISTHK(W) </v>
      </c>
      <c r="S4244" s="86">
        <f>_xlfn.XLOOKUP(表格1[[#This Row],[Model]],表格3[Model-Input-Ref2],表格3[SRP PRICE])</f>
        <v>1688</v>
      </c>
      <c r="T4244" s="43">
        <f>表格1[[#This Row],[Unit Price]]/表格1[[#This Row],[SRP]]</f>
        <v>0.29620853080568721</v>
      </c>
      <c r="U4244" s="86" t="str">
        <f>_xlfn.XLOOKUP(表格1[[#This Row],[Model]],表格3[Model-Input-Ref2],表格3[TOSHIBA/HIGHEST])</f>
        <v>Toshiba SRP</v>
      </c>
      <c r="W4244" s="86" t="str">
        <f>_xlfn.CONCAT(表格1[[#This Row],[欄4]],表格1[[#This Row],[inv no]])</f>
        <v/>
      </c>
    </row>
    <row r="4245" spans="1:23">
      <c r="A4245" s="81">
        <v>4243</v>
      </c>
      <c r="B4245" s="86" t="s">
        <v>1203</v>
      </c>
      <c r="C4245" s="86" t="s">
        <v>2027</v>
      </c>
      <c r="D4245" s="89" t="str">
        <f ca="1">OFFSET(Roster!$A$3,MATCH(表格1[[#This Row],[Location]]&amp;" "&amp;表格1[[#This Row],[Shop]]&amp;"*",Roster!$A$4:$A$72,0),DAY(表格1[[#This Row],[date]]),1,1)</f>
        <v>May C</v>
      </c>
      <c r="E4245" s="86">
        <f>MONTH(表格1[[#This Row],[date]])</f>
        <v>3</v>
      </c>
      <c r="F4245" s="90">
        <v>46086</v>
      </c>
      <c r="G4245" s="86" t="str">
        <f>VLOOKUP("*"&amp;表格1[[#This Row],[Input]]&amp;"*",'Ref-List'!$B:$D,2,)</f>
        <v>AW-M901BPH(WW)</v>
      </c>
      <c r="H4245" s="86" t="str">
        <f>_xlfn.XLOOKUP(表格1[[#This Row],[Model]],表格3[Model-Input-Ref2],表格3[Product Line])</f>
        <v>全自動洗衣機 (8公斤 結合高低水位)</v>
      </c>
      <c r="I4245" s="86" t="str">
        <f>_xlfn.XLOOKUP(表格1[[#This Row],[Model]],表格3[Model-Input-Ref2],表格3[大小電])</f>
        <v>大電</v>
      </c>
      <c r="J4245" s="86" t="str">
        <f>_xlfn.XLOOKUP(表格1[[#This Row],[Model]],表格3[Model-Input-Ref2],表格3[Code])</f>
        <v>WM</v>
      </c>
      <c r="K4245" s="89" t="s">
        <v>1202</v>
      </c>
      <c r="L4245" s="86">
        <v>2</v>
      </c>
      <c r="M4245" s="87">
        <v>1500</v>
      </c>
      <c r="N4245" s="87">
        <f>IFERROR(表格1[[#This Row],[QTY]]*表格1[[#This Row],[Unit Price]],"-")</f>
        <v>3000</v>
      </c>
      <c r="O4245" s="173"/>
      <c r="P4245" s="86" t="s">
        <v>2152</v>
      </c>
      <c r="R4245" s="86" t="str">
        <f>_xlfn.CONCAT(表格1[[#This Row],[Model]]," ",表格1[[#This Row],[inv no]])</f>
        <v xml:space="preserve">AW-M901BPH(WW) </v>
      </c>
      <c r="S4245" s="86">
        <f>_xlfn.XLOOKUP(表格1[[#This Row],[Model]],表格3[Model-Input-Ref2],表格3[SRP PRICE])</f>
        <v>3580</v>
      </c>
      <c r="T4245" s="43">
        <f>表格1[[#This Row],[Unit Price]]/表格1[[#This Row],[SRP]]</f>
        <v>0.41899441340782123</v>
      </c>
      <c r="U4245" s="86" t="str">
        <f>_xlfn.XLOOKUP(表格1[[#This Row],[Model]],表格3[Model-Input-Ref2],表格3[TOSHIBA/HIGHEST])</f>
        <v>Toshiba SRP</v>
      </c>
      <c r="W4245" s="86" t="str">
        <f>_xlfn.CONCAT(表格1[[#This Row],[欄4]],表格1[[#This Row],[inv no]])</f>
        <v/>
      </c>
    </row>
    <row r="4246" spans="1:23">
      <c r="A4246" s="81">
        <v>4244</v>
      </c>
      <c r="B4246" s="86" t="s">
        <v>1203</v>
      </c>
      <c r="C4246" s="86" t="s">
        <v>2027</v>
      </c>
      <c r="D4246" s="89" t="str">
        <f ca="1">OFFSET(Roster!$A$3,MATCH(表格1[[#This Row],[Location]]&amp;" "&amp;表格1[[#This Row],[Shop]]&amp;"*",Roster!$A$4:$A$72,0),DAY(表格1[[#This Row],[date]]),1,1)</f>
        <v>May C</v>
      </c>
      <c r="E4246" s="86">
        <f>MONTH(表格1[[#This Row],[date]])</f>
        <v>3</v>
      </c>
      <c r="F4246" s="90">
        <v>46086</v>
      </c>
      <c r="G4246" s="86" t="str">
        <f>VLOOKUP("*"&amp;表格1[[#This Row],[Input]]&amp;"*",'Ref-List'!$B:$D,2,)</f>
        <v>DWS-34AHK</v>
      </c>
      <c r="H4246" s="86" t="str">
        <f>_xlfn.XLOOKUP(表格1[[#This Row],[Model]],表格3[Model-Input-Ref2],表格3[Product Line])</f>
        <v>獨立式免安裝洗碗碟機</v>
      </c>
      <c r="I4246" s="86" t="str">
        <f>_xlfn.XLOOKUP(表格1[[#This Row],[Model]],表格3[Model-Input-Ref2],表格3[大小電])</f>
        <v>細電</v>
      </c>
      <c r="J4246" s="86" t="str">
        <f>_xlfn.XLOOKUP(表格1[[#This Row],[Model]],表格3[Model-Input-Ref2],表格3[Code])</f>
        <v>DM</v>
      </c>
      <c r="K4246" s="89" t="s">
        <v>1240</v>
      </c>
      <c r="L4246" s="86">
        <v>1</v>
      </c>
      <c r="M4246" s="87">
        <v>1500</v>
      </c>
      <c r="N4246" s="87">
        <f>IFERROR(表格1[[#This Row],[QTY]]*表格1[[#This Row],[Unit Price]],"-")</f>
        <v>1500</v>
      </c>
      <c r="O4246" s="173"/>
      <c r="R4246" s="86" t="str">
        <f>_xlfn.CONCAT(表格1[[#This Row],[Model]]," ",表格1[[#This Row],[inv no]])</f>
        <v xml:space="preserve">DWS-34AHK </v>
      </c>
      <c r="S4246" s="86">
        <f>_xlfn.XLOOKUP(表格1[[#This Row],[Model]],表格3[Model-Input-Ref2],表格3[SRP PRICE])</f>
        <v>3999</v>
      </c>
      <c r="T4246" s="43">
        <f>表格1[[#This Row],[Unit Price]]/表格1[[#This Row],[SRP]]</f>
        <v>0.37509377344336087</v>
      </c>
      <c r="U4246" s="86" t="str">
        <f>_xlfn.XLOOKUP(表格1[[#This Row],[Model]],表格3[Model-Input-Ref2],表格3[TOSHIBA/HIGHEST])</f>
        <v>Web SRP</v>
      </c>
      <c r="W4246" s="86" t="str">
        <f>_xlfn.CONCAT(表格1[[#This Row],[欄4]],表格1[[#This Row],[inv no]])</f>
        <v/>
      </c>
    </row>
    <row r="4247" spans="1:23">
      <c r="A4247" s="81">
        <v>4245</v>
      </c>
      <c r="B4247" s="86" t="s">
        <v>1203</v>
      </c>
      <c r="C4247" s="86" t="s">
        <v>2027</v>
      </c>
      <c r="D4247" s="89" t="str">
        <f ca="1">OFFSET(Roster!$A$3,MATCH(表格1[[#This Row],[Location]]&amp;" "&amp;表格1[[#This Row],[Shop]]&amp;"*",Roster!$A$4:$A$72,0),DAY(表格1[[#This Row],[date]]),1,1)</f>
        <v>May C</v>
      </c>
      <c r="E4247" s="86">
        <f>MONTH(表格1[[#This Row],[date]])</f>
        <v>3</v>
      </c>
      <c r="F4247" s="90">
        <v>46086</v>
      </c>
      <c r="G4247" s="86" t="str">
        <f>VLOOKUP("*"&amp;表格1[[#This Row],[Input]]&amp;"*",'Ref-List'!$B:$D,2,)</f>
        <v>GR-A26HSZ(DS)</v>
      </c>
      <c r="H4247" s="86" t="str">
        <f>_xlfn.XLOOKUP(表格1[[#This Row],[Model]],表格3[Model-Input-Ref2],表格3[Product Line])</f>
        <v>雙門變頻式環保雪櫃</v>
      </c>
      <c r="I4247" s="86" t="str">
        <f>_xlfn.XLOOKUP(表格1[[#This Row],[Model]],表格3[Model-Input-Ref2],表格3[大小電])</f>
        <v>大電</v>
      </c>
      <c r="J4247" s="86" t="str">
        <f>_xlfn.XLOOKUP(表格1[[#This Row],[Model]],表格3[Model-Input-Ref2],表格3[Code])</f>
        <v>AC</v>
      </c>
      <c r="K4247" s="89" t="s">
        <v>1207</v>
      </c>
      <c r="L4247" s="86">
        <v>2</v>
      </c>
      <c r="M4247" s="87">
        <v>1500</v>
      </c>
      <c r="N4247" s="87">
        <f>IFERROR(表格1[[#This Row],[QTY]]*表格1[[#This Row],[Unit Price]],"-")</f>
        <v>3000</v>
      </c>
      <c r="O4247" s="173"/>
      <c r="P4247" s="86" t="s">
        <v>2152</v>
      </c>
      <c r="R4247" s="86" t="str">
        <f>_xlfn.CONCAT(表格1[[#This Row],[Model]]," ",表格1[[#This Row],[inv no]])</f>
        <v xml:space="preserve">GR-A26HSZ(DS) </v>
      </c>
      <c r="S4247" s="86">
        <f>_xlfn.XLOOKUP(表格1[[#This Row],[Model]],表格3[Model-Input-Ref2],表格3[SRP PRICE])</f>
        <v>3780</v>
      </c>
      <c r="T4247" s="43">
        <f>表格1[[#This Row],[Unit Price]]/表格1[[#This Row],[SRP]]</f>
        <v>0.3968253968253968</v>
      </c>
      <c r="U4247" s="86" t="str">
        <f>_xlfn.XLOOKUP(表格1[[#This Row],[Model]],表格3[Model-Input-Ref2],表格3[TOSHIBA/HIGHEST])</f>
        <v>Toshiba SRP</v>
      </c>
      <c r="W4247" s="86" t="str">
        <f>_xlfn.CONCAT(表格1[[#This Row],[欄4]],表格1[[#This Row],[inv no]])</f>
        <v/>
      </c>
    </row>
    <row r="4248" spans="1:23">
      <c r="A4248" s="81">
        <v>4246</v>
      </c>
      <c r="B4248" s="86" t="s">
        <v>1203</v>
      </c>
      <c r="C4248" s="86" t="s">
        <v>2027</v>
      </c>
      <c r="D4248" s="89" t="str">
        <f ca="1">OFFSET(Roster!$A$3,MATCH(表格1[[#This Row],[Location]]&amp;" "&amp;表格1[[#This Row],[Shop]]&amp;"*",Roster!$A$4:$A$72,0),DAY(表格1[[#This Row],[date]]),1,1)</f>
        <v>May C</v>
      </c>
      <c r="E4248" s="86">
        <f>MONTH(表格1[[#This Row],[date]])</f>
        <v>3</v>
      </c>
      <c r="F4248" s="90">
        <v>46086</v>
      </c>
      <c r="G4248" s="86" t="str">
        <f>VLOOKUP("*"&amp;表格1[[#This Row],[Input]]&amp;"*",'Ref-List'!$B:$D,2,)</f>
        <v>TWD-BN90GF4H(WK)</v>
      </c>
      <c r="H4248" s="86" t="str">
        <f>_xlfn.XLOOKUP(表格1[[#This Row],[Model]],表格3[Model-Input-Ref2],表格3[Product Line])</f>
        <v>超薄身前置式洗衣乾衣機 (洗8公斤 乾5公斤)</v>
      </c>
      <c r="I4248" s="86" t="str">
        <f>_xlfn.XLOOKUP(表格1[[#This Row],[Model]],表格3[Model-Input-Ref2],表格3[大小電])</f>
        <v>大電</v>
      </c>
      <c r="J4248" s="86" t="str">
        <f>_xlfn.XLOOKUP(表格1[[#This Row],[Model]],表格3[Model-Input-Ref2],表格3[Code])</f>
        <v>WM</v>
      </c>
      <c r="K4248" s="89" t="s">
        <v>1199</v>
      </c>
      <c r="L4248" s="86">
        <v>1</v>
      </c>
      <c r="M4248" s="87">
        <v>3588</v>
      </c>
      <c r="N4248" s="87">
        <f>IFERROR(表格1[[#This Row],[QTY]]*表格1[[#This Row],[Unit Price]],"-")</f>
        <v>3588</v>
      </c>
      <c r="O4248" s="173"/>
      <c r="P4248" s="86" t="s">
        <v>2149</v>
      </c>
      <c r="R4248" s="86" t="str">
        <f>_xlfn.CONCAT(表格1[[#This Row],[Model]]," ",表格1[[#This Row],[inv no]])</f>
        <v xml:space="preserve">TWD-BN90GF4H(WK) </v>
      </c>
      <c r="S4248" s="86">
        <f>_xlfn.XLOOKUP(表格1[[#This Row],[Model]],表格3[Model-Input-Ref2],表格3[SRP PRICE])</f>
        <v>5980</v>
      </c>
      <c r="T4248" s="43">
        <f>表格1[[#This Row],[Unit Price]]/表格1[[#This Row],[SRP]]</f>
        <v>0.6</v>
      </c>
      <c r="U4248" s="86" t="str">
        <f>_xlfn.XLOOKUP(表格1[[#This Row],[Model]],表格3[Model-Input-Ref2],表格3[TOSHIBA/HIGHEST])</f>
        <v>Toshiba SRP</v>
      </c>
      <c r="W4248" s="86" t="str">
        <f>_xlfn.CONCAT(表格1[[#This Row],[欄4]],表格1[[#This Row],[inv no]])</f>
        <v/>
      </c>
    </row>
    <row r="4249" spans="1:23">
      <c r="A4249" s="81">
        <v>4247</v>
      </c>
      <c r="B4249" s="86" t="s">
        <v>1203</v>
      </c>
      <c r="C4249" s="86" t="s">
        <v>2027</v>
      </c>
      <c r="D4249" s="89" t="str">
        <f ca="1">OFFSET(Roster!$A$3,MATCH(表格1[[#This Row],[Location]]&amp;" "&amp;表格1[[#This Row],[Shop]]&amp;"*",Roster!$A$4:$A$72,0),DAY(表格1[[#This Row],[date]]),1,1)</f>
        <v>May C</v>
      </c>
      <c r="E4249" s="86">
        <f>MONTH(表格1[[#This Row],[date]])</f>
        <v>3</v>
      </c>
      <c r="F4249" s="90">
        <v>46087</v>
      </c>
      <c r="G4249" s="86" t="str">
        <f>VLOOKUP("*"&amp;表格1[[#This Row],[Input]]&amp;"*",'Ref-List'!$B:$D,2,)</f>
        <v>RC-15ISTHK(W)</v>
      </c>
      <c r="H4249" s="86" t="str">
        <f>_xlfn.XLOOKUP(表格1[[#This Row],[Model]],表格3[Model-Input-Ref2],表格3[Product Line])</f>
        <v>磁應電飯煲(1.5公升)</v>
      </c>
      <c r="I4249" s="86" t="str">
        <f>_xlfn.XLOOKUP(表格1[[#This Row],[Model]],表格3[Model-Input-Ref2],表格3[大小電])</f>
        <v>細電</v>
      </c>
      <c r="J4249" s="86" t="str">
        <f>_xlfn.XLOOKUP(表格1[[#This Row],[Model]],表格3[Model-Input-Ref2],表格3[Code])</f>
        <v>SDA</v>
      </c>
      <c r="K4249" s="89" t="s">
        <v>1204</v>
      </c>
      <c r="L4249" s="86">
        <v>3</v>
      </c>
      <c r="M4249" s="87">
        <v>500</v>
      </c>
      <c r="N4249" s="87">
        <f>IFERROR(表格1[[#This Row],[QTY]]*表格1[[#This Row],[Unit Price]],"-")</f>
        <v>1500</v>
      </c>
      <c r="O4249" s="173"/>
      <c r="R4249" s="86" t="str">
        <f>_xlfn.CONCAT(表格1[[#This Row],[Model]]," ",表格1[[#This Row],[inv no]])</f>
        <v xml:space="preserve">RC-15ISTHK(W) </v>
      </c>
      <c r="S4249" s="86">
        <f>_xlfn.XLOOKUP(表格1[[#This Row],[Model]],表格3[Model-Input-Ref2],表格3[SRP PRICE])</f>
        <v>1688</v>
      </c>
      <c r="T4249" s="43">
        <f>表格1[[#This Row],[Unit Price]]/表格1[[#This Row],[SRP]]</f>
        <v>0.29620853080568721</v>
      </c>
      <c r="U4249" s="86" t="str">
        <f>_xlfn.XLOOKUP(表格1[[#This Row],[Model]],表格3[Model-Input-Ref2],表格3[TOSHIBA/HIGHEST])</f>
        <v>Toshiba SRP</v>
      </c>
      <c r="W4249" s="86" t="str">
        <f>_xlfn.CONCAT(表格1[[#This Row],[欄4]],表格1[[#This Row],[inv no]])</f>
        <v/>
      </c>
    </row>
    <row r="4250" spans="1:23">
      <c r="A4250" s="81">
        <v>4248</v>
      </c>
      <c r="B4250" s="86" t="s">
        <v>1203</v>
      </c>
      <c r="C4250" s="86" t="s">
        <v>2027</v>
      </c>
      <c r="D4250" s="89" t="str">
        <f ca="1">OFFSET(Roster!$A$3,MATCH(表格1[[#This Row],[Location]]&amp;" "&amp;表格1[[#This Row],[Shop]]&amp;"*",Roster!$A$4:$A$72,0),DAY(表格1[[#This Row],[date]]),1,1)</f>
        <v>May C</v>
      </c>
      <c r="E4250" s="86">
        <f>MONTH(表格1[[#This Row],[date]])</f>
        <v>3</v>
      </c>
      <c r="F4250" s="90">
        <v>46087</v>
      </c>
      <c r="G4250" s="86" t="str">
        <f>VLOOKUP("*"&amp;表格1[[#This Row],[Input]]&amp;"*",'Ref-List'!$B:$D,2,)</f>
        <v>DWS-34AHK</v>
      </c>
      <c r="H4250" s="86" t="str">
        <f>_xlfn.XLOOKUP(表格1[[#This Row],[Model]],表格3[Model-Input-Ref2],表格3[Product Line])</f>
        <v>獨立式免安裝洗碗碟機</v>
      </c>
      <c r="I4250" s="86" t="str">
        <f>_xlfn.XLOOKUP(表格1[[#This Row],[Model]],表格3[Model-Input-Ref2],表格3[大小電])</f>
        <v>細電</v>
      </c>
      <c r="J4250" s="86" t="str">
        <f>_xlfn.XLOOKUP(表格1[[#This Row],[Model]],表格3[Model-Input-Ref2],表格3[Code])</f>
        <v>DM</v>
      </c>
      <c r="K4250" s="89" t="s">
        <v>1240</v>
      </c>
      <c r="L4250" s="86">
        <v>1</v>
      </c>
      <c r="M4250" s="87">
        <v>1500</v>
      </c>
      <c r="N4250" s="87">
        <f>IFERROR(表格1[[#This Row],[QTY]]*表格1[[#This Row],[Unit Price]],"-")</f>
        <v>1500</v>
      </c>
      <c r="O4250" s="173"/>
      <c r="R4250" s="86" t="str">
        <f>_xlfn.CONCAT(表格1[[#This Row],[Model]]," ",表格1[[#This Row],[inv no]])</f>
        <v xml:space="preserve">DWS-34AHK </v>
      </c>
      <c r="S4250" s="86">
        <f>_xlfn.XLOOKUP(表格1[[#This Row],[Model]],表格3[Model-Input-Ref2],表格3[SRP PRICE])</f>
        <v>3999</v>
      </c>
      <c r="T4250" s="43">
        <f>表格1[[#This Row],[Unit Price]]/表格1[[#This Row],[SRP]]</f>
        <v>0.37509377344336087</v>
      </c>
      <c r="U4250" s="86" t="str">
        <f>_xlfn.XLOOKUP(表格1[[#This Row],[Model]],表格3[Model-Input-Ref2],表格3[TOSHIBA/HIGHEST])</f>
        <v>Web SRP</v>
      </c>
      <c r="W4250" s="86" t="str">
        <f>_xlfn.CONCAT(表格1[[#This Row],[欄4]],表格1[[#This Row],[inv no]])</f>
        <v/>
      </c>
    </row>
    <row r="4251" spans="1:23">
      <c r="A4251" s="81">
        <v>4249</v>
      </c>
      <c r="B4251" s="86" t="s">
        <v>1203</v>
      </c>
      <c r="C4251" s="86" t="s">
        <v>2027</v>
      </c>
      <c r="D4251" s="89" t="str">
        <f ca="1">OFFSET(Roster!$A$3,MATCH(表格1[[#This Row],[Location]]&amp;" "&amp;表格1[[#This Row],[Shop]]&amp;"*",Roster!$A$4:$A$72,0),DAY(表格1[[#This Row],[date]]),1,1)</f>
        <v>May C</v>
      </c>
      <c r="E4251" s="86">
        <f>MONTH(表格1[[#This Row],[date]])</f>
        <v>3</v>
      </c>
      <c r="F4251" s="90">
        <v>46087</v>
      </c>
      <c r="G4251" s="86" t="str">
        <f>VLOOKUP("*"&amp;表格1[[#This Row],[Input]]&amp;"*",'Ref-List'!$B:$D,2,)</f>
        <v>GR-A26HSZ(DS)</v>
      </c>
      <c r="H4251" s="86" t="str">
        <f>_xlfn.XLOOKUP(表格1[[#This Row],[Model]],表格3[Model-Input-Ref2],表格3[Product Line])</f>
        <v>雙門變頻式環保雪櫃</v>
      </c>
      <c r="I4251" s="86" t="str">
        <f>_xlfn.XLOOKUP(表格1[[#This Row],[Model]],表格3[Model-Input-Ref2],表格3[大小電])</f>
        <v>大電</v>
      </c>
      <c r="J4251" s="86" t="str">
        <f>_xlfn.XLOOKUP(表格1[[#This Row],[Model]],表格3[Model-Input-Ref2],表格3[Code])</f>
        <v>AC</v>
      </c>
      <c r="K4251" s="89" t="s">
        <v>1207</v>
      </c>
      <c r="L4251" s="86">
        <v>1</v>
      </c>
      <c r="M4251" s="87">
        <v>1500</v>
      </c>
      <c r="N4251" s="87">
        <f>IFERROR(表格1[[#This Row],[QTY]]*表格1[[#This Row],[Unit Price]],"-")</f>
        <v>1500</v>
      </c>
      <c r="O4251" s="173"/>
      <c r="R4251" s="86" t="str">
        <f>_xlfn.CONCAT(表格1[[#This Row],[Model]]," ",表格1[[#This Row],[inv no]])</f>
        <v xml:space="preserve">GR-A26HSZ(DS) </v>
      </c>
      <c r="S4251" s="86">
        <f>_xlfn.XLOOKUP(表格1[[#This Row],[Model]],表格3[Model-Input-Ref2],表格3[SRP PRICE])</f>
        <v>3780</v>
      </c>
      <c r="T4251" s="43">
        <f>表格1[[#This Row],[Unit Price]]/表格1[[#This Row],[SRP]]</f>
        <v>0.3968253968253968</v>
      </c>
      <c r="U4251" s="86" t="str">
        <f>_xlfn.XLOOKUP(表格1[[#This Row],[Model]],表格3[Model-Input-Ref2],表格3[TOSHIBA/HIGHEST])</f>
        <v>Toshiba SRP</v>
      </c>
      <c r="W4251" s="86" t="str">
        <f>_xlfn.CONCAT(表格1[[#This Row],[欄4]],表格1[[#This Row],[inv no]])</f>
        <v/>
      </c>
    </row>
    <row r="4252" spans="1:23">
      <c r="A4252" s="81">
        <v>4250</v>
      </c>
      <c r="B4252" s="86" t="s">
        <v>1203</v>
      </c>
      <c r="C4252" s="86" t="s">
        <v>2027</v>
      </c>
      <c r="D4252" s="89" t="str">
        <f ca="1">OFFSET(Roster!$A$3,MATCH(表格1[[#This Row],[Location]]&amp;" "&amp;表格1[[#This Row],[Shop]]&amp;"*",Roster!$A$4:$A$72,0),DAY(表格1[[#This Row],[date]]),1,1)</f>
        <v>May C</v>
      </c>
      <c r="E4252" s="86">
        <f>MONTH(表格1[[#This Row],[date]])</f>
        <v>3</v>
      </c>
      <c r="F4252" s="90">
        <v>46087</v>
      </c>
      <c r="G4252" s="86" t="str">
        <f>VLOOKUP("*"&amp;表格1[[#This Row],[Input]]&amp;"*",'Ref-List'!$B:$D,2,)</f>
        <v>ER-TD5000HK(XK)</v>
      </c>
      <c r="H4252" s="86" t="str">
        <f>_xlfn.XLOOKUP(表格1[[#This Row],[Model]],表格3[Model-Input-Ref2],表格3[Product Line])</f>
        <v>座檯式純蒸氣烤焗水波爐30L</v>
      </c>
      <c r="I4252" s="86" t="str">
        <f>_xlfn.XLOOKUP(表格1[[#This Row],[Model]],表格3[Model-Input-Ref2],表格3[大小電])</f>
        <v>細電</v>
      </c>
      <c r="J4252" s="86" t="str">
        <f>_xlfn.XLOOKUP(表格1[[#This Row],[Model]],表格3[Model-Input-Ref2],表格3[Code])</f>
        <v>SDA</v>
      </c>
      <c r="K4252" s="89" t="s">
        <v>1205</v>
      </c>
      <c r="L4252" s="86">
        <v>1</v>
      </c>
      <c r="M4252" s="87">
        <v>3588</v>
      </c>
      <c r="N4252" s="87">
        <f>IFERROR(表格1[[#This Row],[QTY]]*表格1[[#This Row],[Unit Price]],"-")</f>
        <v>3588</v>
      </c>
      <c r="O4252" s="173"/>
      <c r="R4252" s="86" t="str">
        <f>_xlfn.CONCAT(表格1[[#This Row],[Model]]," ",表格1[[#This Row],[inv no]])</f>
        <v xml:space="preserve">ER-TD5000HK(XK) </v>
      </c>
      <c r="S4252" s="86">
        <f>_xlfn.XLOOKUP(表格1[[#This Row],[Model]],表格3[Model-Input-Ref2],表格3[SRP PRICE])</f>
        <v>7998</v>
      </c>
      <c r="T4252" s="43">
        <f>表格1[[#This Row],[Unit Price]]/表格1[[#This Row],[SRP]]</f>
        <v>0.44861215303825958</v>
      </c>
      <c r="U4252" s="86" t="str">
        <f>_xlfn.XLOOKUP(表格1[[#This Row],[Model]],表格3[Model-Input-Ref2],表格3[TOSHIBA/HIGHEST])</f>
        <v>Toshiba SRP</v>
      </c>
      <c r="W4252" s="86" t="str">
        <f>_xlfn.CONCAT(表格1[[#This Row],[欄4]],表格1[[#This Row],[inv no]])</f>
        <v/>
      </c>
    </row>
    <row r="4253" spans="1:23">
      <c r="A4253" s="81">
        <v>4251</v>
      </c>
      <c r="B4253" s="86" t="s">
        <v>1203</v>
      </c>
      <c r="C4253" s="86" t="s">
        <v>2027</v>
      </c>
      <c r="D4253" s="89" t="str">
        <f ca="1">OFFSET(Roster!$A$3,MATCH(表格1[[#This Row],[Location]]&amp;" "&amp;表格1[[#This Row],[Shop]]&amp;"*",Roster!$A$4:$A$72,0),DAY(表格1[[#This Row],[date]]),1,1)</f>
        <v>May C</v>
      </c>
      <c r="E4253" s="86">
        <f>MONTH(表格1[[#This Row],[date]])</f>
        <v>3</v>
      </c>
      <c r="F4253" s="90">
        <v>46087</v>
      </c>
      <c r="G4253" s="86" t="str">
        <f>VLOOKUP("*"&amp;表格1[[#This Row],[Input]]&amp;"*",'Ref-List'!$B:$D,2,)</f>
        <v>TWD-BN90GF4H(WK)</v>
      </c>
      <c r="H4253" s="86" t="str">
        <f>_xlfn.XLOOKUP(表格1[[#This Row],[Model]],表格3[Model-Input-Ref2],表格3[Product Line])</f>
        <v>超薄身前置式洗衣乾衣機 (洗8公斤 乾5公斤)</v>
      </c>
      <c r="I4253" s="86" t="str">
        <f>_xlfn.XLOOKUP(表格1[[#This Row],[Model]],表格3[Model-Input-Ref2],表格3[大小電])</f>
        <v>大電</v>
      </c>
      <c r="J4253" s="86" t="str">
        <f>_xlfn.XLOOKUP(表格1[[#This Row],[Model]],表格3[Model-Input-Ref2],表格3[Code])</f>
        <v>WM</v>
      </c>
      <c r="K4253" s="89" t="s">
        <v>1199</v>
      </c>
      <c r="L4253" s="86">
        <v>1</v>
      </c>
      <c r="M4253" s="87">
        <v>3588</v>
      </c>
      <c r="N4253" s="87">
        <f>IFERROR(表格1[[#This Row],[QTY]]*表格1[[#This Row],[Unit Price]],"-")</f>
        <v>3588</v>
      </c>
      <c r="O4253" s="173"/>
      <c r="R4253" s="86" t="str">
        <f>_xlfn.CONCAT(表格1[[#This Row],[Model]]," ",表格1[[#This Row],[inv no]])</f>
        <v xml:space="preserve">TWD-BN90GF4H(WK) </v>
      </c>
      <c r="S4253" s="86">
        <f>_xlfn.XLOOKUP(表格1[[#This Row],[Model]],表格3[Model-Input-Ref2],表格3[SRP PRICE])</f>
        <v>5980</v>
      </c>
      <c r="T4253" s="43">
        <f>表格1[[#This Row],[Unit Price]]/表格1[[#This Row],[SRP]]</f>
        <v>0.6</v>
      </c>
      <c r="U4253" s="86" t="str">
        <f>_xlfn.XLOOKUP(表格1[[#This Row],[Model]],表格3[Model-Input-Ref2],表格3[TOSHIBA/HIGHEST])</f>
        <v>Toshiba SRP</v>
      </c>
      <c r="W4253" s="86" t="str">
        <f>_xlfn.CONCAT(表格1[[#This Row],[欄4]],表格1[[#This Row],[inv no]])</f>
        <v/>
      </c>
    </row>
    <row r="4254" spans="1:23">
      <c r="A4254" s="81">
        <v>4252</v>
      </c>
      <c r="B4254" s="86" t="s">
        <v>1203</v>
      </c>
      <c r="C4254" s="86" t="s">
        <v>2027</v>
      </c>
      <c r="D4254" s="89" t="str">
        <f ca="1">OFFSET(Roster!$A$3,MATCH(表格1[[#This Row],[Location]]&amp;" "&amp;表格1[[#This Row],[Shop]]&amp;"*",Roster!$A$4:$A$72,0),DAY(表格1[[#This Row],[date]]),1,1)</f>
        <v>May C</v>
      </c>
      <c r="E4254" s="86">
        <f>MONTH(表格1[[#This Row],[date]])</f>
        <v>3</v>
      </c>
      <c r="F4254" s="90">
        <v>46088</v>
      </c>
      <c r="G4254" s="86" t="str">
        <f>VLOOKUP("*"&amp;表格1[[#This Row],[Input]]&amp;"*",'Ref-List'!$B:$D,2,)</f>
        <v>IC-21TSHK</v>
      </c>
      <c r="H4254" s="86" t="str">
        <f>_xlfn.XLOOKUP(表格1[[#This Row],[Model]],表格3[Model-Input-Ref2],表格3[Product Line])</f>
        <v>Induction Cooker</v>
      </c>
      <c r="I4254" s="86" t="str">
        <f>_xlfn.XLOOKUP(表格1[[#This Row],[Model]],表格3[Model-Input-Ref2],表格3[大小電])</f>
        <v>細電</v>
      </c>
      <c r="J4254" s="86" t="str">
        <f>_xlfn.XLOOKUP(表格1[[#This Row],[Model]],表格3[Model-Input-Ref2],表格3[Code])</f>
        <v>SDA</v>
      </c>
      <c r="K4254" s="89" t="s">
        <v>1242</v>
      </c>
      <c r="L4254" s="86">
        <v>2</v>
      </c>
      <c r="M4254" s="87">
        <v>500</v>
      </c>
      <c r="N4254" s="87">
        <f>IFERROR(表格1[[#This Row],[QTY]]*表格1[[#This Row],[Unit Price]],"-")</f>
        <v>1000</v>
      </c>
      <c r="O4254" s="173"/>
      <c r="R4254" s="86" t="str">
        <f>_xlfn.CONCAT(表格1[[#This Row],[Model]]," ",表格1[[#This Row],[inv no]])</f>
        <v xml:space="preserve">IC-21TSHK </v>
      </c>
      <c r="S4254" s="86">
        <f>_xlfn.XLOOKUP(表格1[[#This Row],[Model]],表格3[Model-Input-Ref2],表格3[SRP PRICE])</f>
        <v>998</v>
      </c>
      <c r="T4254" s="43">
        <f>表格1[[#This Row],[Unit Price]]/表格1[[#This Row],[SRP]]</f>
        <v>0.50100200400801598</v>
      </c>
      <c r="U4254" s="86" t="str">
        <f>_xlfn.XLOOKUP(表格1[[#This Row],[Model]],表格3[Model-Input-Ref2],表格3[TOSHIBA/HIGHEST])</f>
        <v>web SRP</v>
      </c>
      <c r="W4254" s="86" t="str">
        <f>_xlfn.CONCAT(表格1[[#This Row],[欄4]],表格1[[#This Row],[inv no]])</f>
        <v/>
      </c>
    </row>
    <row r="4255" spans="1:23">
      <c r="A4255" s="81">
        <v>4253</v>
      </c>
      <c r="B4255" s="86" t="s">
        <v>1203</v>
      </c>
      <c r="C4255" s="86" t="s">
        <v>2027</v>
      </c>
      <c r="D4255" s="89" t="str">
        <f ca="1">OFFSET(Roster!$A$3,MATCH(表格1[[#This Row],[Location]]&amp;" "&amp;表格1[[#This Row],[Shop]]&amp;"*",Roster!$A$4:$A$72,0),DAY(表格1[[#This Row],[date]]),1,1)</f>
        <v>May C</v>
      </c>
      <c r="E4255" s="86">
        <f>MONTH(表格1[[#This Row],[date]])</f>
        <v>3</v>
      </c>
      <c r="F4255" s="90">
        <v>46088</v>
      </c>
      <c r="G4255" s="86" t="str">
        <f>VLOOKUP("*"&amp;表格1[[#This Row],[Input]]&amp;"*",'Ref-List'!$B:$D,2,)</f>
        <v>RC-15ISTHK(W)</v>
      </c>
      <c r="H4255" s="86" t="str">
        <f>_xlfn.XLOOKUP(表格1[[#This Row],[Model]],表格3[Model-Input-Ref2],表格3[Product Line])</f>
        <v>磁應電飯煲(1.5公升)</v>
      </c>
      <c r="I4255" s="86" t="str">
        <f>_xlfn.XLOOKUP(表格1[[#This Row],[Model]],表格3[Model-Input-Ref2],表格3[大小電])</f>
        <v>細電</v>
      </c>
      <c r="J4255" s="86" t="str">
        <f>_xlfn.XLOOKUP(表格1[[#This Row],[Model]],表格3[Model-Input-Ref2],表格3[Code])</f>
        <v>SDA</v>
      </c>
      <c r="K4255" s="89" t="s">
        <v>1204</v>
      </c>
      <c r="L4255" s="86">
        <v>3</v>
      </c>
      <c r="M4255" s="87">
        <v>500</v>
      </c>
      <c r="N4255" s="87">
        <f>IFERROR(表格1[[#This Row],[QTY]]*表格1[[#This Row],[Unit Price]],"-")</f>
        <v>1500</v>
      </c>
      <c r="O4255" s="173"/>
      <c r="R4255" s="86" t="str">
        <f>_xlfn.CONCAT(表格1[[#This Row],[Model]]," ",表格1[[#This Row],[inv no]])</f>
        <v xml:space="preserve">RC-15ISTHK(W) </v>
      </c>
      <c r="S4255" s="86">
        <f>_xlfn.XLOOKUP(表格1[[#This Row],[Model]],表格3[Model-Input-Ref2],表格3[SRP PRICE])</f>
        <v>1688</v>
      </c>
      <c r="T4255" s="43">
        <f>表格1[[#This Row],[Unit Price]]/表格1[[#This Row],[SRP]]</f>
        <v>0.29620853080568721</v>
      </c>
      <c r="U4255" s="86" t="str">
        <f>_xlfn.XLOOKUP(表格1[[#This Row],[Model]],表格3[Model-Input-Ref2],表格3[TOSHIBA/HIGHEST])</f>
        <v>Toshiba SRP</v>
      </c>
      <c r="W4255" s="86" t="str">
        <f>_xlfn.CONCAT(表格1[[#This Row],[欄4]],表格1[[#This Row],[inv no]])</f>
        <v/>
      </c>
    </row>
    <row r="4256" spans="1:23">
      <c r="A4256" s="81">
        <v>4254</v>
      </c>
      <c r="B4256" s="86" t="s">
        <v>1203</v>
      </c>
      <c r="C4256" s="86" t="s">
        <v>2027</v>
      </c>
      <c r="D4256" s="89" t="str">
        <f ca="1">OFFSET(Roster!$A$3,MATCH(表格1[[#This Row],[Location]]&amp;" "&amp;表格1[[#This Row],[Shop]]&amp;"*",Roster!$A$4:$A$72,0),DAY(表格1[[#This Row],[date]]),1,1)</f>
        <v>May C</v>
      </c>
      <c r="E4256" s="86">
        <f>MONTH(表格1[[#This Row],[date]])</f>
        <v>3</v>
      </c>
      <c r="F4256" s="90">
        <v>46088</v>
      </c>
      <c r="G4256" s="86" t="str">
        <f>VLOOKUP("*"&amp;表格1[[#This Row],[Input]]&amp;"*",'Ref-List'!$B:$D,2,)</f>
        <v>AW-M901BPH(WW)</v>
      </c>
      <c r="H4256" s="86" t="str">
        <f>_xlfn.XLOOKUP(表格1[[#This Row],[Model]],表格3[Model-Input-Ref2],表格3[Product Line])</f>
        <v>全自動洗衣機 (8公斤 結合高低水位)</v>
      </c>
      <c r="I4256" s="86" t="str">
        <f>_xlfn.XLOOKUP(表格1[[#This Row],[Model]],表格3[Model-Input-Ref2],表格3[大小電])</f>
        <v>大電</v>
      </c>
      <c r="J4256" s="86" t="str">
        <f>_xlfn.XLOOKUP(表格1[[#This Row],[Model]],表格3[Model-Input-Ref2],表格3[Code])</f>
        <v>WM</v>
      </c>
      <c r="K4256" s="89" t="s">
        <v>1202</v>
      </c>
      <c r="L4256" s="86">
        <v>2</v>
      </c>
      <c r="M4256" s="87">
        <v>1500</v>
      </c>
      <c r="N4256" s="87">
        <f>IFERROR(表格1[[#This Row],[QTY]]*表格1[[#This Row],[Unit Price]],"-")</f>
        <v>3000</v>
      </c>
      <c r="O4256" s="173"/>
      <c r="P4256" s="86" t="s">
        <v>2152</v>
      </c>
      <c r="R4256" s="86" t="str">
        <f>_xlfn.CONCAT(表格1[[#This Row],[Model]]," ",表格1[[#This Row],[inv no]])</f>
        <v xml:space="preserve">AW-M901BPH(WW) </v>
      </c>
      <c r="S4256" s="86">
        <f>_xlfn.XLOOKUP(表格1[[#This Row],[Model]],表格3[Model-Input-Ref2],表格3[SRP PRICE])</f>
        <v>3580</v>
      </c>
      <c r="T4256" s="43">
        <f>表格1[[#This Row],[Unit Price]]/表格1[[#This Row],[SRP]]</f>
        <v>0.41899441340782123</v>
      </c>
      <c r="U4256" s="86" t="str">
        <f>_xlfn.XLOOKUP(表格1[[#This Row],[Model]],表格3[Model-Input-Ref2],表格3[TOSHIBA/HIGHEST])</f>
        <v>Toshiba SRP</v>
      </c>
      <c r="W4256" s="86" t="str">
        <f>_xlfn.CONCAT(表格1[[#This Row],[欄4]],表格1[[#This Row],[inv no]])</f>
        <v/>
      </c>
    </row>
    <row r="4257" spans="1:23">
      <c r="A4257" s="81">
        <v>4255</v>
      </c>
      <c r="B4257" s="86" t="s">
        <v>1203</v>
      </c>
      <c r="C4257" s="86" t="s">
        <v>2027</v>
      </c>
      <c r="D4257" s="89" t="str">
        <f ca="1">OFFSET(Roster!$A$3,MATCH(表格1[[#This Row],[Location]]&amp;" "&amp;表格1[[#This Row],[Shop]]&amp;"*",Roster!$A$4:$A$72,0),DAY(表格1[[#This Row],[date]]),1,1)</f>
        <v>May C</v>
      </c>
      <c r="E4257" s="86">
        <f>MONTH(表格1[[#This Row],[date]])</f>
        <v>3</v>
      </c>
      <c r="F4257" s="90">
        <v>46088</v>
      </c>
      <c r="G4257" s="86" t="str">
        <f>VLOOKUP("*"&amp;表格1[[#This Row],[Input]]&amp;"*",'Ref-List'!$B:$D,2,)</f>
        <v>DWS-34AHK</v>
      </c>
      <c r="H4257" s="86" t="str">
        <f>_xlfn.XLOOKUP(表格1[[#This Row],[Model]],表格3[Model-Input-Ref2],表格3[Product Line])</f>
        <v>獨立式免安裝洗碗碟機</v>
      </c>
      <c r="I4257" s="86" t="str">
        <f>_xlfn.XLOOKUP(表格1[[#This Row],[Model]],表格3[Model-Input-Ref2],表格3[大小電])</f>
        <v>細電</v>
      </c>
      <c r="J4257" s="86" t="str">
        <f>_xlfn.XLOOKUP(表格1[[#This Row],[Model]],表格3[Model-Input-Ref2],表格3[Code])</f>
        <v>DM</v>
      </c>
      <c r="K4257" s="89" t="s">
        <v>1240</v>
      </c>
      <c r="L4257" s="86">
        <v>1</v>
      </c>
      <c r="M4257" s="87">
        <v>1500</v>
      </c>
      <c r="N4257" s="87">
        <f>IFERROR(表格1[[#This Row],[QTY]]*表格1[[#This Row],[Unit Price]],"-")</f>
        <v>1500</v>
      </c>
      <c r="O4257" s="173"/>
      <c r="R4257" s="86" t="str">
        <f>_xlfn.CONCAT(表格1[[#This Row],[Model]]," ",表格1[[#This Row],[inv no]])</f>
        <v xml:space="preserve">DWS-34AHK </v>
      </c>
      <c r="S4257" s="86">
        <f>_xlfn.XLOOKUP(表格1[[#This Row],[Model]],表格3[Model-Input-Ref2],表格3[SRP PRICE])</f>
        <v>3999</v>
      </c>
      <c r="T4257" s="43">
        <f>表格1[[#This Row],[Unit Price]]/表格1[[#This Row],[SRP]]</f>
        <v>0.37509377344336087</v>
      </c>
      <c r="U4257" s="86" t="str">
        <f>_xlfn.XLOOKUP(表格1[[#This Row],[Model]],表格3[Model-Input-Ref2],表格3[TOSHIBA/HIGHEST])</f>
        <v>Web SRP</v>
      </c>
      <c r="W4257" s="86" t="str">
        <f>_xlfn.CONCAT(表格1[[#This Row],[欄4]],表格1[[#This Row],[inv no]])</f>
        <v/>
      </c>
    </row>
    <row r="4258" spans="1:23">
      <c r="A4258" s="81">
        <v>4256</v>
      </c>
      <c r="B4258" s="86" t="s">
        <v>1203</v>
      </c>
      <c r="C4258" s="86" t="s">
        <v>2027</v>
      </c>
      <c r="D4258" s="89" t="str">
        <f ca="1">OFFSET(Roster!$A$3,MATCH(表格1[[#This Row],[Location]]&amp;" "&amp;表格1[[#This Row],[Shop]]&amp;"*",Roster!$A$4:$A$72,0),DAY(表格1[[#This Row],[date]]),1,1)</f>
        <v>May C</v>
      </c>
      <c r="E4258" s="86">
        <f>MONTH(表格1[[#This Row],[date]])</f>
        <v>3</v>
      </c>
      <c r="F4258" s="90">
        <v>46088</v>
      </c>
      <c r="G4258" s="86" t="str">
        <f>VLOOKUP("*"&amp;表格1[[#This Row],[Input]]&amp;"*",'Ref-List'!$B:$D,2,)</f>
        <v>TWD-BN90GF4H(WK)</v>
      </c>
      <c r="H4258" s="86" t="str">
        <f>_xlfn.XLOOKUP(表格1[[#This Row],[Model]],表格3[Model-Input-Ref2],表格3[Product Line])</f>
        <v>超薄身前置式洗衣乾衣機 (洗8公斤 乾5公斤)</v>
      </c>
      <c r="I4258" s="86" t="str">
        <f>_xlfn.XLOOKUP(表格1[[#This Row],[Model]],表格3[Model-Input-Ref2],表格3[大小電])</f>
        <v>大電</v>
      </c>
      <c r="J4258" s="86" t="str">
        <f>_xlfn.XLOOKUP(表格1[[#This Row],[Model]],表格3[Model-Input-Ref2],表格3[Code])</f>
        <v>WM</v>
      </c>
      <c r="K4258" s="89" t="s">
        <v>1199</v>
      </c>
      <c r="L4258" s="86">
        <v>1</v>
      </c>
      <c r="M4258" s="87">
        <v>3588</v>
      </c>
      <c r="N4258" s="87">
        <f>IFERROR(表格1[[#This Row],[QTY]]*表格1[[#This Row],[Unit Price]],"-")</f>
        <v>3588</v>
      </c>
      <c r="O4258" s="173"/>
      <c r="R4258" s="86" t="str">
        <f>_xlfn.CONCAT(表格1[[#This Row],[Model]]," ",表格1[[#This Row],[inv no]])</f>
        <v xml:space="preserve">TWD-BN90GF4H(WK) </v>
      </c>
      <c r="S4258" s="86">
        <f>_xlfn.XLOOKUP(表格1[[#This Row],[Model]],表格3[Model-Input-Ref2],表格3[SRP PRICE])</f>
        <v>5980</v>
      </c>
      <c r="T4258" s="43">
        <f>表格1[[#This Row],[Unit Price]]/表格1[[#This Row],[SRP]]</f>
        <v>0.6</v>
      </c>
      <c r="U4258" s="86" t="str">
        <f>_xlfn.XLOOKUP(表格1[[#This Row],[Model]],表格3[Model-Input-Ref2],表格3[TOSHIBA/HIGHEST])</f>
        <v>Toshiba SRP</v>
      </c>
      <c r="W4258" s="86" t="str">
        <f>_xlfn.CONCAT(表格1[[#This Row],[欄4]],表格1[[#This Row],[inv no]])</f>
        <v/>
      </c>
    </row>
    <row r="4259" spans="1:23">
      <c r="A4259" s="81">
        <v>4257</v>
      </c>
      <c r="B4259" s="86" t="s">
        <v>1203</v>
      </c>
      <c r="C4259" s="86" t="s">
        <v>2027</v>
      </c>
      <c r="D4259" s="89" t="str">
        <f ca="1">OFFSET(Roster!$A$3,MATCH(表格1[[#This Row],[Location]]&amp;" "&amp;表格1[[#This Row],[Shop]]&amp;"*",Roster!$A$4:$A$72,0),DAY(表格1[[#This Row],[date]]),1,1)</f>
        <v>May C</v>
      </c>
      <c r="E4259" s="86">
        <f>MONTH(表格1[[#This Row],[date]])</f>
        <v>3</v>
      </c>
      <c r="F4259" s="90">
        <v>46089</v>
      </c>
      <c r="G4259" s="86" t="str">
        <f>VLOOKUP("*"&amp;表格1[[#This Row],[Input]]&amp;"*",'Ref-List'!$B:$D,2,)</f>
        <v>IC-21TSHK</v>
      </c>
      <c r="H4259" s="86" t="str">
        <f>_xlfn.XLOOKUP(表格1[[#This Row],[Model]],表格3[Model-Input-Ref2],表格3[Product Line])</f>
        <v>Induction Cooker</v>
      </c>
      <c r="I4259" s="86" t="str">
        <f>_xlfn.XLOOKUP(表格1[[#This Row],[Model]],表格3[Model-Input-Ref2],表格3[大小電])</f>
        <v>細電</v>
      </c>
      <c r="J4259" s="86" t="str">
        <f>_xlfn.XLOOKUP(表格1[[#This Row],[Model]],表格3[Model-Input-Ref2],表格3[Code])</f>
        <v>SDA</v>
      </c>
      <c r="K4259" s="89" t="s">
        <v>1242</v>
      </c>
      <c r="L4259" s="86">
        <v>2</v>
      </c>
      <c r="M4259" s="87">
        <v>500</v>
      </c>
      <c r="N4259" s="87">
        <f>IFERROR(表格1[[#This Row],[QTY]]*表格1[[#This Row],[Unit Price]],"-")</f>
        <v>1000</v>
      </c>
      <c r="O4259" s="173"/>
      <c r="R4259" s="86" t="str">
        <f>_xlfn.CONCAT(表格1[[#This Row],[Model]]," ",表格1[[#This Row],[inv no]])</f>
        <v xml:space="preserve">IC-21TSHK </v>
      </c>
      <c r="S4259" s="86">
        <f>_xlfn.XLOOKUP(表格1[[#This Row],[Model]],表格3[Model-Input-Ref2],表格3[SRP PRICE])</f>
        <v>998</v>
      </c>
      <c r="T4259" s="43">
        <f>表格1[[#This Row],[Unit Price]]/表格1[[#This Row],[SRP]]</f>
        <v>0.50100200400801598</v>
      </c>
      <c r="U4259" s="86" t="str">
        <f>_xlfn.XLOOKUP(表格1[[#This Row],[Model]],表格3[Model-Input-Ref2],表格3[TOSHIBA/HIGHEST])</f>
        <v>web SRP</v>
      </c>
      <c r="W4259" s="86" t="str">
        <f>_xlfn.CONCAT(表格1[[#This Row],[欄4]],表格1[[#This Row],[inv no]])</f>
        <v/>
      </c>
    </row>
    <row r="4260" spans="1:23">
      <c r="A4260" s="81">
        <v>4258</v>
      </c>
      <c r="B4260" s="86" t="s">
        <v>1203</v>
      </c>
      <c r="C4260" s="86" t="s">
        <v>2027</v>
      </c>
      <c r="D4260" s="89" t="str">
        <f ca="1">OFFSET(Roster!$A$3,MATCH(表格1[[#This Row],[Location]]&amp;" "&amp;表格1[[#This Row],[Shop]]&amp;"*",Roster!$A$4:$A$72,0),DAY(表格1[[#This Row],[date]]),1,1)</f>
        <v>May C</v>
      </c>
      <c r="E4260" s="86">
        <f>MONTH(表格1[[#This Row],[date]])</f>
        <v>3</v>
      </c>
      <c r="F4260" s="90">
        <v>46089</v>
      </c>
      <c r="G4260" s="86" t="str">
        <f>VLOOKUP("*"&amp;表格1[[#This Row],[Input]]&amp;"*",'Ref-List'!$B:$D,2,)</f>
        <v>RC-15ISTHK(W)</v>
      </c>
      <c r="H4260" s="86" t="str">
        <f>_xlfn.XLOOKUP(表格1[[#This Row],[Model]],表格3[Model-Input-Ref2],表格3[Product Line])</f>
        <v>磁應電飯煲(1.5公升)</v>
      </c>
      <c r="I4260" s="86" t="str">
        <f>_xlfn.XLOOKUP(表格1[[#This Row],[Model]],表格3[Model-Input-Ref2],表格3[大小電])</f>
        <v>細電</v>
      </c>
      <c r="J4260" s="86" t="str">
        <f>_xlfn.XLOOKUP(表格1[[#This Row],[Model]],表格3[Model-Input-Ref2],表格3[Code])</f>
        <v>SDA</v>
      </c>
      <c r="K4260" s="89" t="s">
        <v>1204</v>
      </c>
      <c r="L4260" s="86">
        <v>5</v>
      </c>
      <c r="M4260" s="87">
        <v>500</v>
      </c>
      <c r="N4260" s="87">
        <f>IFERROR(表格1[[#This Row],[QTY]]*表格1[[#This Row],[Unit Price]],"-")</f>
        <v>2500</v>
      </c>
      <c r="O4260" s="173"/>
      <c r="R4260" s="86" t="str">
        <f>_xlfn.CONCAT(表格1[[#This Row],[Model]]," ",表格1[[#This Row],[inv no]])</f>
        <v xml:space="preserve">RC-15ISTHK(W) </v>
      </c>
      <c r="S4260" s="86">
        <f>_xlfn.XLOOKUP(表格1[[#This Row],[Model]],表格3[Model-Input-Ref2],表格3[SRP PRICE])</f>
        <v>1688</v>
      </c>
      <c r="T4260" s="43">
        <f>表格1[[#This Row],[Unit Price]]/表格1[[#This Row],[SRP]]</f>
        <v>0.29620853080568721</v>
      </c>
      <c r="U4260" s="86" t="str">
        <f>_xlfn.XLOOKUP(表格1[[#This Row],[Model]],表格3[Model-Input-Ref2],表格3[TOSHIBA/HIGHEST])</f>
        <v>Toshiba SRP</v>
      </c>
      <c r="W4260" s="86" t="str">
        <f>_xlfn.CONCAT(表格1[[#This Row],[欄4]],表格1[[#This Row],[inv no]])</f>
        <v/>
      </c>
    </row>
    <row r="4261" spans="1:23">
      <c r="A4261" s="81">
        <v>4259</v>
      </c>
      <c r="B4261" s="86" t="s">
        <v>1203</v>
      </c>
      <c r="C4261" s="86" t="s">
        <v>2027</v>
      </c>
      <c r="D4261" s="89" t="str">
        <f ca="1">OFFSET(Roster!$A$3,MATCH(表格1[[#This Row],[Location]]&amp;" "&amp;表格1[[#This Row],[Shop]]&amp;"*",Roster!$A$4:$A$72,0),DAY(表格1[[#This Row],[date]]),1,1)</f>
        <v>May C</v>
      </c>
      <c r="E4261" s="86">
        <f>MONTH(表格1[[#This Row],[date]])</f>
        <v>3</v>
      </c>
      <c r="F4261" s="90">
        <v>46089</v>
      </c>
      <c r="G4261" s="86" t="str">
        <f>VLOOKUP("*"&amp;表格1[[#This Row],[Input]]&amp;"*",'Ref-List'!$B:$D,2,)</f>
        <v>AW-M901BPH(WW)</v>
      </c>
      <c r="H4261" s="86" t="str">
        <f>_xlfn.XLOOKUP(表格1[[#This Row],[Model]],表格3[Model-Input-Ref2],表格3[Product Line])</f>
        <v>全自動洗衣機 (8公斤 結合高低水位)</v>
      </c>
      <c r="I4261" s="86" t="str">
        <f>_xlfn.XLOOKUP(表格1[[#This Row],[Model]],表格3[Model-Input-Ref2],表格3[大小電])</f>
        <v>大電</v>
      </c>
      <c r="J4261" s="86" t="str">
        <f>_xlfn.XLOOKUP(表格1[[#This Row],[Model]],表格3[Model-Input-Ref2],表格3[Code])</f>
        <v>WM</v>
      </c>
      <c r="K4261" s="89" t="s">
        <v>1202</v>
      </c>
      <c r="L4261" s="86">
        <v>1</v>
      </c>
      <c r="M4261" s="87">
        <v>1500</v>
      </c>
      <c r="N4261" s="87">
        <f>IFERROR(表格1[[#This Row],[QTY]]*表格1[[#This Row],[Unit Price]],"-")</f>
        <v>1500</v>
      </c>
      <c r="O4261" s="173"/>
      <c r="R4261" s="86" t="str">
        <f>_xlfn.CONCAT(表格1[[#This Row],[Model]]," ",表格1[[#This Row],[inv no]])</f>
        <v xml:space="preserve">AW-M901BPH(WW) </v>
      </c>
      <c r="S4261" s="86">
        <f>_xlfn.XLOOKUP(表格1[[#This Row],[Model]],表格3[Model-Input-Ref2],表格3[SRP PRICE])</f>
        <v>3580</v>
      </c>
      <c r="T4261" s="43">
        <f>表格1[[#This Row],[Unit Price]]/表格1[[#This Row],[SRP]]</f>
        <v>0.41899441340782123</v>
      </c>
      <c r="U4261" s="86" t="str">
        <f>_xlfn.XLOOKUP(表格1[[#This Row],[Model]],表格3[Model-Input-Ref2],表格3[TOSHIBA/HIGHEST])</f>
        <v>Toshiba SRP</v>
      </c>
      <c r="W4261" s="86" t="str">
        <f>_xlfn.CONCAT(表格1[[#This Row],[欄4]],表格1[[#This Row],[inv no]])</f>
        <v/>
      </c>
    </row>
    <row r="4262" spans="1:23">
      <c r="A4262" s="81">
        <v>4260</v>
      </c>
      <c r="B4262" s="86" t="s">
        <v>1203</v>
      </c>
      <c r="C4262" s="86" t="s">
        <v>2027</v>
      </c>
      <c r="D4262" s="89" t="str">
        <f ca="1">OFFSET(Roster!$A$3,MATCH(表格1[[#This Row],[Location]]&amp;" "&amp;表格1[[#This Row],[Shop]]&amp;"*",Roster!$A$4:$A$72,0),DAY(表格1[[#This Row],[date]]),1,1)</f>
        <v>May C</v>
      </c>
      <c r="E4262" s="86">
        <f>MONTH(表格1[[#This Row],[date]])</f>
        <v>3</v>
      </c>
      <c r="F4262" s="90">
        <v>46089</v>
      </c>
      <c r="G4262" s="86" t="str">
        <f>VLOOKUP("*"&amp;表格1[[#This Row],[Input]]&amp;"*",'Ref-List'!$B:$D,2,)</f>
        <v>DWS-34AHK</v>
      </c>
      <c r="H4262" s="86" t="str">
        <f>_xlfn.XLOOKUP(表格1[[#This Row],[Model]],表格3[Model-Input-Ref2],表格3[Product Line])</f>
        <v>獨立式免安裝洗碗碟機</v>
      </c>
      <c r="I4262" s="86" t="str">
        <f>_xlfn.XLOOKUP(表格1[[#This Row],[Model]],表格3[Model-Input-Ref2],表格3[大小電])</f>
        <v>細電</v>
      </c>
      <c r="J4262" s="86" t="str">
        <f>_xlfn.XLOOKUP(表格1[[#This Row],[Model]],表格3[Model-Input-Ref2],表格3[Code])</f>
        <v>DM</v>
      </c>
      <c r="K4262" s="89" t="s">
        <v>1240</v>
      </c>
      <c r="L4262" s="86">
        <v>1</v>
      </c>
      <c r="M4262" s="87">
        <v>1500</v>
      </c>
      <c r="N4262" s="87">
        <f>IFERROR(表格1[[#This Row],[QTY]]*表格1[[#This Row],[Unit Price]],"-")</f>
        <v>1500</v>
      </c>
      <c r="O4262" s="173"/>
      <c r="R4262" s="86" t="str">
        <f>_xlfn.CONCAT(表格1[[#This Row],[Model]]," ",表格1[[#This Row],[inv no]])</f>
        <v xml:space="preserve">DWS-34AHK </v>
      </c>
      <c r="S4262" s="86">
        <f>_xlfn.XLOOKUP(表格1[[#This Row],[Model]],表格3[Model-Input-Ref2],表格3[SRP PRICE])</f>
        <v>3999</v>
      </c>
      <c r="T4262" s="43">
        <f>表格1[[#This Row],[Unit Price]]/表格1[[#This Row],[SRP]]</f>
        <v>0.37509377344336087</v>
      </c>
      <c r="U4262" s="86" t="str">
        <f>_xlfn.XLOOKUP(表格1[[#This Row],[Model]],表格3[Model-Input-Ref2],表格3[TOSHIBA/HIGHEST])</f>
        <v>Web SRP</v>
      </c>
      <c r="W4262" s="86" t="str">
        <f>_xlfn.CONCAT(表格1[[#This Row],[欄4]],表格1[[#This Row],[inv no]])</f>
        <v/>
      </c>
    </row>
    <row r="4263" spans="1:23">
      <c r="A4263" s="81">
        <v>4261</v>
      </c>
      <c r="B4263" s="86" t="s">
        <v>1203</v>
      </c>
      <c r="C4263" s="86" t="s">
        <v>2027</v>
      </c>
      <c r="D4263" s="89" t="str">
        <f ca="1">OFFSET(Roster!$A$3,MATCH(表格1[[#This Row],[Location]]&amp;" "&amp;表格1[[#This Row],[Shop]]&amp;"*",Roster!$A$4:$A$72,0),DAY(表格1[[#This Row],[date]]),1,1)</f>
        <v>May C</v>
      </c>
      <c r="E4263" s="86">
        <f>MONTH(表格1[[#This Row],[date]])</f>
        <v>3</v>
      </c>
      <c r="F4263" s="90">
        <v>46089</v>
      </c>
      <c r="G4263" s="86" t="str">
        <f>VLOOKUP("*"&amp;表格1[[#This Row],[Input]]&amp;"*",'Ref-List'!$B:$D,2,)</f>
        <v>ER-TD5000HK(XK)</v>
      </c>
      <c r="H4263" s="86" t="str">
        <f>_xlfn.XLOOKUP(表格1[[#This Row],[Model]],表格3[Model-Input-Ref2],表格3[Product Line])</f>
        <v>座檯式純蒸氣烤焗水波爐30L</v>
      </c>
      <c r="I4263" s="86" t="str">
        <f>_xlfn.XLOOKUP(表格1[[#This Row],[Model]],表格3[Model-Input-Ref2],表格3[大小電])</f>
        <v>細電</v>
      </c>
      <c r="J4263" s="86" t="str">
        <f>_xlfn.XLOOKUP(表格1[[#This Row],[Model]],表格3[Model-Input-Ref2],表格3[Code])</f>
        <v>SDA</v>
      </c>
      <c r="K4263" s="89" t="s">
        <v>1205</v>
      </c>
      <c r="L4263" s="86">
        <v>1</v>
      </c>
      <c r="M4263" s="87">
        <v>3588</v>
      </c>
      <c r="N4263" s="87">
        <f>IFERROR(表格1[[#This Row],[QTY]]*表格1[[#This Row],[Unit Price]],"-")</f>
        <v>3588</v>
      </c>
      <c r="O4263" s="173"/>
      <c r="R4263" s="86" t="str">
        <f>_xlfn.CONCAT(表格1[[#This Row],[Model]]," ",表格1[[#This Row],[inv no]])</f>
        <v xml:space="preserve">ER-TD5000HK(XK) </v>
      </c>
      <c r="S4263" s="86">
        <f>_xlfn.XLOOKUP(表格1[[#This Row],[Model]],表格3[Model-Input-Ref2],表格3[SRP PRICE])</f>
        <v>7998</v>
      </c>
      <c r="T4263" s="43">
        <f>表格1[[#This Row],[Unit Price]]/表格1[[#This Row],[SRP]]</f>
        <v>0.44861215303825958</v>
      </c>
      <c r="U4263" s="86" t="str">
        <f>_xlfn.XLOOKUP(表格1[[#This Row],[Model]],表格3[Model-Input-Ref2],表格3[TOSHIBA/HIGHEST])</f>
        <v>Toshiba SRP</v>
      </c>
      <c r="W4263" s="86" t="str">
        <f>_xlfn.CONCAT(表格1[[#This Row],[欄4]],表格1[[#This Row],[inv no]])</f>
        <v/>
      </c>
    </row>
    <row r="4264" spans="1:23">
      <c r="A4264" s="81">
        <v>4262</v>
      </c>
      <c r="B4264" s="86" t="s">
        <v>1203</v>
      </c>
      <c r="C4264" s="86" t="s">
        <v>2027</v>
      </c>
      <c r="D4264" s="89" t="str">
        <f ca="1">OFFSET(Roster!$A$3,MATCH(表格1[[#This Row],[Location]]&amp;" "&amp;表格1[[#This Row],[Shop]]&amp;"*",Roster!$A$4:$A$72,0),DAY(表格1[[#This Row],[date]]),1,1)</f>
        <v>May C</v>
      </c>
      <c r="E4264" s="86">
        <f>MONTH(表格1[[#This Row],[date]])</f>
        <v>3</v>
      </c>
      <c r="F4264" s="90">
        <v>46089</v>
      </c>
      <c r="G4264" s="86" t="str">
        <f>VLOOKUP("*"&amp;表格1[[#This Row],[Input]]&amp;"*",'Ref-List'!$B:$D,2,)</f>
        <v>Model-Input-Ref2</v>
      </c>
      <c r="H4264" s="86" t="e">
        <f>_xlfn.XLOOKUP(表格1[[#This Row],[Model]],表格3[Model-Input-Ref2],表格3[Product Line])</f>
        <v>#N/A</v>
      </c>
      <c r="I4264" s="86" t="e">
        <f>_xlfn.XLOOKUP(表格1[[#This Row],[Model]],表格3[Model-Input-Ref2],表格3[大小電])</f>
        <v>#N/A</v>
      </c>
      <c r="J4264" s="86" t="e">
        <f>_xlfn.XLOOKUP(表格1[[#This Row],[Model]],表格3[Model-Input-Ref2],表格3[Code])</f>
        <v>#N/A</v>
      </c>
      <c r="N4264" s="87">
        <f>IFERROR(表格1[[#This Row],[QTY]]*表格1[[#This Row],[Unit Price]],"-")</f>
        <v>0</v>
      </c>
      <c r="O4264" s="173"/>
      <c r="P4264" s="86" t="s">
        <v>2147</v>
      </c>
      <c r="R4264" s="86" t="str">
        <f>_xlfn.CONCAT(表格1[[#This Row],[Model]]," ",表格1[[#This Row],[inv no]])</f>
        <v xml:space="preserve">Model-Input-Ref2 </v>
      </c>
      <c r="S4264" s="86" t="e">
        <f>_xlfn.XLOOKUP(表格1[[#This Row],[Model]],表格3[Model-Input-Ref2],表格3[SRP PRICE])</f>
        <v>#N/A</v>
      </c>
      <c r="T4264" s="43" t="e">
        <f>表格1[[#This Row],[Unit Price]]/表格1[[#This Row],[SRP]]</f>
        <v>#N/A</v>
      </c>
      <c r="U4264" s="86" t="e">
        <f>_xlfn.XLOOKUP(表格1[[#This Row],[Model]],表格3[Model-Input-Ref2],表格3[TOSHIBA/HIGHEST])</f>
        <v>#N/A</v>
      </c>
      <c r="W4264" s="86" t="str">
        <f>_xlfn.CONCAT(表格1[[#This Row],[欄4]],表格1[[#This Row],[inv no]])</f>
        <v/>
      </c>
    </row>
    <row r="4265" spans="1:23">
      <c r="A4265" s="81">
        <v>4263</v>
      </c>
      <c r="B4265" s="86" t="s">
        <v>1203</v>
      </c>
      <c r="C4265" s="86" t="s">
        <v>2027</v>
      </c>
      <c r="D4265" s="89" t="str">
        <f ca="1">OFFSET(Roster!$A$3,MATCH(表格1[[#This Row],[Location]]&amp;" "&amp;表格1[[#This Row],[Shop]]&amp;"*",Roster!$A$4:$A$72,0),DAY(表格1[[#This Row],[date]]),1,1)</f>
        <v>May C</v>
      </c>
      <c r="E4265" s="86">
        <f>MONTH(表格1[[#This Row],[date]])</f>
        <v>3</v>
      </c>
      <c r="F4265" s="90">
        <v>46091</v>
      </c>
      <c r="G4265" s="86" t="str">
        <f>VLOOKUP("*"&amp;表格1[[#This Row],[Input]]&amp;"*",'Ref-List'!$B:$D,2,)</f>
        <v>MW2-MM24PC(BK)</v>
      </c>
      <c r="H4265" s="86" t="str">
        <f>_xlfn.XLOOKUP(表格1[[#This Row],[Model]],表格3[Model-Input-Ref2],表格3[Product Line])</f>
        <v>旋鈕式微波爐24L</v>
      </c>
      <c r="I4265" s="86" t="str">
        <f>_xlfn.XLOOKUP(表格1[[#This Row],[Model]],表格3[Model-Input-Ref2],表格3[大小電])</f>
        <v>細電</v>
      </c>
      <c r="J4265" s="86" t="str">
        <f>_xlfn.XLOOKUP(表格1[[#This Row],[Model]],表格3[Model-Input-Ref2],表格3[Code])</f>
        <v>SDA</v>
      </c>
      <c r="K4265" s="89" t="s">
        <v>1196</v>
      </c>
      <c r="L4265" s="86">
        <v>2</v>
      </c>
      <c r="M4265" s="87">
        <v>500</v>
      </c>
      <c r="N4265" s="87">
        <f>IFERROR(表格1[[#This Row],[QTY]]*表格1[[#This Row],[Unit Price]],"-")</f>
        <v>1000</v>
      </c>
      <c r="O4265" s="173"/>
      <c r="R4265" s="86" t="str">
        <f>_xlfn.CONCAT(表格1[[#This Row],[Model]]," ",表格1[[#This Row],[inv no]])</f>
        <v xml:space="preserve">MW2-MM24PC(BK) </v>
      </c>
      <c r="S4265" s="86">
        <f>_xlfn.XLOOKUP(表格1[[#This Row],[Model]],表格3[Model-Input-Ref2],表格3[SRP PRICE])</f>
        <v>848</v>
      </c>
      <c r="T4265" s="43">
        <f>表格1[[#This Row],[Unit Price]]/表格1[[#This Row],[SRP]]</f>
        <v>0.589622641509434</v>
      </c>
      <c r="U4265" s="86" t="str">
        <f>_xlfn.XLOOKUP(表格1[[#This Row],[Model]],表格3[Model-Input-Ref2],表格3[TOSHIBA/HIGHEST])</f>
        <v>Toshiba SRP</v>
      </c>
      <c r="W4265" s="86" t="str">
        <f>_xlfn.CONCAT(表格1[[#This Row],[欄4]],表格1[[#This Row],[inv no]])</f>
        <v/>
      </c>
    </row>
    <row r="4266" spans="1:23">
      <c r="A4266" s="81">
        <v>4264</v>
      </c>
      <c r="B4266" s="86" t="s">
        <v>1203</v>
      </c>
      <c r="C4266" s="86" t="s">
        <v>2027</v>
      </c>
      <c r="D4266" s="89" t="str">
        <f ca="1">OFFSET(Roster!$A$3,MATCH(表格1[[#This Row],[Location]]&amp;" "&amp;表格1[[#This Row],[Shop]]&amp;"*",Roster!$A$4:$A$72,0),DAY(表格1[[#This Row],[date]]),1,1)</f>
        <v>May C</v>
      </c>
      <c r="E4266" s="86">
        <f>MONTH(表格1[[#This Row],[date]])</f>
        <v>3</v>
      </c>
      <c r="F4266" s="90">
        <v>46091</v>
      </c>
      <c r="G4266" s="86" t="str">
        <f>VLOOKUP("*"&amp;表格1[[#This Row],[Input]]&amp;"*",'Ref-List'!$B:$D,2,)</f>
        <v>PLK-45SFIH(WT)</v>
      </c>
      <c r="H4266" s="86" t="str">
        <f>_xlfn.XLOOKUP(表格1[[#This Row],[Model]],表格3[Model-Input-Ref2],表格3[Product Line])</f>
        <v>電熱水瓶4.5L</v>
      </c>
      <c r="I4266" s="86" t="str">
        <f>_xlfn.XLOOKUP(表格1[[#This Row],[Model]],表格3[Model-Input-Ref2],表格3[大小電])</f>
        <v>細電</v>
      </c>
      <c r="J4266" s="86" t="str">
        <f>_xlfn.XLOOKUP(表格1[[#This Row],[Model]],表格3[Model-Input-Ref2],表格3[Code])</f>
        <v>SDA</v>
      </c>
      <c r="K4266" s="89" t="s">
        <v>1117</v>
      </c>
      <c r="L4266" s="86">
        <v>1</v>
      </c>
      <c r="M4266" s="87">
        <v>500</v>
      </c>
      <c r="N4266" s="87">
        <f>IFERROR(表格1[[#This Row],[QTY]]*表格1[[#This Row],[Unit Price]],"-")</f>
        <v>500</v>
      </c>
      <c r="O4266" s="173"/>
      <c r="R4266" s="86" t="str">
        <f>_xlfn.CONCAT(表格1[[#This Row],[Model]]," ",表格1[[#This Row],[inv no]])</f>
        <v xml:space="preserve">PLK-45SFIH(WT) </v>
      </c>
      <c r="S4266" s="86">
        <f>_xlfn.XLOOKUP(表格1[[#This Row],[Model]],表格3[Model-Input-Ref2],表格3[SRP PRICE])</f>
        <v>788</v>
      </c>
      <c r="T4266" s="43">
        <f>表格1[[#This Row],[Unit Price]]/表格1[[#This Row],[SRP]]</f>
        <v>0.63451776649746194</v>
      </c>
      <c r="U4266" s="86" t="str">
        <f>_xlfn.XLOOKUP(表格1[[#This Row],[Model]],表格3[Model-Input-Ref2],表格3[TOSHIBA/HIGHEST])</f>
        <v>Toshiba SRP</v>
      </c>
      <c r="W4266" s="86" t="str">
        <f>_xlfn.CONCAT(表格1[[#This Row],[欄4]],表格1[[#This Row],[inv no]])</f>
        <v/>
      </c>
    </row>
    <row r="4267" spans="1:23">
      <c r="A4267" s="81">
        <v>4265</v>
      </c>
      <c r="B4267" s="86" t="s">
        <v>1203</v>
      </c>
      <c r="C4267" s="86" t="s">
        <v>2027</v>
      </c>
      <c r="D4267" s="89" t="str">
        <f ca="1">OFFSET(Roster!$A$3,MATCH(表格1[[#This Row],[Location]]&amp;" "&amp;表格1[[#This Row],[Shop]]&amp;"*",Roster!$A$4:$A$72,0),DAY(表格1[[#This Row],[date]]),1,1)</f>
        <v>May C</v>
      </c>
      <c r="E4267" s="86">
        <f>MONTH(表格1[[#This Row],[date]])</f>
        <v>3</v>
      </c>
      <c r="F4267" s="90">
        <v>46091</v>
      </c>
      <c r="G4267" s="86" t="str">
        <f>VLOOKUP("*"&amp;表格1[[#This Row],[Input]]&amp;"*",'Ref-List'!$B:$D,2,)</f>
        <v>RC-15ISTHK(W)</v>
      </c>
      <c r="H4267" s="86" t="str">
        <f>_xlfn.XLOOKUP(表格1[[#This Row],[Model]],表格3[Model-Input-Ref2],表格3[Product Line])</f>
        <v>磁應電飯煲(1.5公升)</v>
      </c>
      <c r="I4267" s="86" t="str">
        <f>_xlfn.XLOOKUP(表格1[[#This Row],[Model]],表格3[Model-Input-Ref2],表格3[大小電])</f>
        <v>細電</v>
      </c>
      <c r="J4267" s="86" t="str">
        <f>_xlfn.XLOOKUP(表格1[[#This Row],[Model]],表格3[Model-Input-Ref2],表格3[Code])</f>
        <v>SDA</v>
      </c>
      <c r="K4267" s="89" t="s">
        <v>1204</v>
      </c>
      <c r="L4267" s="86">
        <v>6</v>
      </c>
      <c r="M4267" s="87">
        <v>500</v>
      </c>
      <c r="N4267" s="87">
        <f>IFERROR(表格1[[#This Row],[QTY]]*表格1[[#This Row],[Unit Price]],"-")</f>
        <v>3000</v>
      </c>
      <c r="O4267" s="173"/>
      <c r="P4267" s="86" t="s">
        <v>2156</v>
      </c>
      <c r="R4267" s="86" t="str">
        <f>_xlfn.CONCAT(表格1[[#This Row],[Model]]," ",表格1[[#This Row],[inv no]])</f>
        <v xml:space="preserve">RC-15ISTHK(W) </v>
      </c>
      <c r="S4267" s="86">
        <f>_xlfn.XLOOKUP(表格1[[#This Row],[Model]],表格3[Model-Input-Ref2],表格3[SRP PRICE])</f>
        <v>1688</v>
      </c>
      <c r="T4267" s="43">
        <f>表格1[[#This Row],[Unit Price]]/表格1[[#This Row],[SRP]]</f>
        <v>0.29620853080568721</v>
      </c>
      <c r="U4267" s="86" t="str">
        <f>_xlfn.XLOOKUP(表格1[[#This Row],[Model]],表格3[Model-Input-Ref2],表格3[TOSHIBA/HIGHEST])</f>
        <v>Toshiba SRP</v>
      </c>
      <c r="W4267" s="86" t="str">
        <f>_xlfn.CONCAT(表格1[[#This Row],[欄4]],表格1[[#This Row],[inv no]])</f>
        <v/>
      </c>
    </row>
    <row r="4268" spans="1:23">
      <c r="A4268" s="81">
        <v>4266</v>
      </c>
      <c r="B4268" s="86" t="s">
        <v>1203</v>
      </c>
      <c r="C4268" s="86" t="s">
        <v>2027</v>
      </c>
      <c r="D4268" s="89" t="str">
        <f ca="1">OFFSET(Roster!$A$3,MATCH(表格1[[#This Row],[Location]]&amp;" "&amp;表格1[[#This Row],[Shop]]&amp;"*",Roster!$A$4:$A$72,0),DAY(表格1[[#This Row],[date]]),1,1)</f>
        <v>May C</v>
      </c>
      <c r="E4268" s="86">
        <f>MONTH(表格1[[#This Row],[date]])</f>
        <v>3</v>
      </c>
      <c r="F4268" s="90">
        <v>46091</v>
      </c>
      <c r="G4268" s="86" t="str">
        <f>VLOOKUP("*"&amp;表格1[[#This Row],[Input]]&amp;"*",'Ref-List'!$B:$D,2,)</f>
        <v>AW-M901BPH(WW)</v>
      </c>
      <c r="H4268" s="86" t="str">
        <f>_xlfn.XLOOKUP(表格1[[#This Row],[Model]],表格3[Model-Input-Ref2],表格3[Product Line])</f>
        <v>全自動洗衣機 (8公斤 結合高低水位)</v>
      </c>
      <c r="I4268" s="86" t="str">
        <f>_xlfn.XLOOKUP(表格1[[#This Row],[Model]],表格3[Model-Input-Ref2],表格3[大小電])</f>
        <v>大電</v>
      </c>
      <c r="J4268" s="86" t="str">
        <f>_xlfn.XLOOKUP(表格1[[#This Row],[Model]],表格3[Model-Input-Ref2],表格3[Code])</f>
        <v>WM</v>
      </c>
      <c r="K4268" s="89" t="s">
        <v>1202</v>
      </c>
      <c r="L4268" s="86">
        <v>1</v>
      </c>
      <c r="M4268" s="87">
        <v>1500</v>
      </c>
      <c r="N4268" s="87">
        <f>IFERROR(表格1[[#This Row],[QTY]]*表格1[[#This Row],[Unit Price]],"-")</f>
        <v>1500</v>
      </c>
      <c r="O4268" s="173"/>
      <c r="R4268" s="86" t="str">
        <f>_xlfn.CONCAT(表格1[[#This Row],[Model]]," ",表格1[[#This Row],[inv no]])</f>
        <v xml:space="preserve">AW-M901BPH(WW) </v>
      </c>
      <c r="S4268" s="86">
        <f>_xlfn.XLOOKUP(表格1[[#This Row],[Model]],表格3[Model-Input-Ref2],表格3[SRP PRICE])</f>
        <v>3580</v>
      </c>
      <c r="T4268" s="43">
        <f>表格1[[#This Row],[Unit Price]]/表格1[[#This Row],[SRP]]</f>
        <v>0.41899441340782123</v>
      </c>
      <c r="U4268" s="86" t="str">
        <f>_xlfn.XLOOKUP(表格1[[#This Row],[Model]],表格3[Model-Input-Ref2],表格3[TOSHIBA/HIGHEST])</f>
        <v>Toshiba SRP</v>
      </c>
      <c r="W4268" s="86" t="str">
        <f>_xlfn.CONCAT(表格1[[#This Row],[欄4]],表格1[[#This Row],[inv no]])</f>
        <v/>
      </c>
    </row>
    <row r="4269" spans="1:23">
      <c r="A4269" s="81">
        <v>4267</v>
      </c>
      <c r="B4269" s="86" t="s">
        <v>1203</v>
      </c>
      <c r="C4269" s="86" t="s">
        <v>2027</v>
      </c>
      <c r="D4269" s="89" t="str">
        <f ca="1">OFFSET(Roster!$A$3,MATCH(表格1[[#This Row],[Location]]&amp;" "&amp;表格1[[#This Row],[Shop]]&amp;"*",Roster!$A$4:$A$72,0),DAY(表格1[[#This Row],[date]]),1,1)</f>
        <v>May C</v>
      </c>
      <c r="E4269" s="86">
        <f>MONTH(表格1[[#This Row],[date]])</f>
        <v>3</v>
      </c>
      <c r="F4269" s="90">
        <v>46091</v>
      </c>
      <c r="G4269" s="86" t="str">
        <f>VLOOKUP("*"&amp;表格1[[#This Row],[Input]]&amp;"*",'Ref-List'!$B:$D,2,)</f>
        <v>TW-BL85A2H(WW)</v>
      </c>
      <c r="H4269" s="86" t="str">
        <f>_xlfn.XLOOKUP(表格1[[#This Row],[Model]],表格3[Model-Input-Ref2],表格3[Product Line])</f>
        <v>7.5KG超薄身前置式變頻洗衣機</v>
      </c>
      <c r="I4269" s="86" t="str">
        <f>_xlfn.XLOOKUP(表格1[[#This Row],[Model]],表格3[Model-Input-Ref2],表格3[大小電])</f>
        <v>大電</v>
      </c>
      <c r="J4269" s="86" t="str">
        <f>_xlfn.XLOOKUP(表格1[[#This Row],[Model]],表格3[Model-Input-Ref2],表格3[Code])</f>
        <v>WM</v>
      </c>
      <c r="K4269" s="89" t="s">
        <v>1206</v>
      </c>
      <c r="L4269" s="86">
        <v>2</v>
      </c>
      <c r="M4269" s="87">
        <v>2588</v>
      </c>
      <c r="N4269" s="87">
        <f>IFERROR(表格1[[#This Row],[QTY]]*表格1[[#This Row],[Unit Price]],"-")</f>
        <v>5176</v>
      </c>
      <c r="O4269" s="173"/>
      <c r="P4269" s="86" t="s">
        <v>2154</v>
      </c>
      <c r="R4269" s="86" t="str">
        <f>_xlfn.CONCAT(表格1[[#This Row],[Model]]," ",表格1[[#This Row],[inv no]])</f>
        <v xml:space="preserve">TW-BL85A2H(WW) </v>
      </c>
      <c r="S4269" s="86">
        <f>_xlfn.XLOOKUP(表格1[[#This Row],[Model]],表格3[Model-Input-Ref2],表格3[SRP PRICE])</f>
        <v>5080</v>
      </c>
      <c r="T4269" s="43">
        <f>表格1[[#This Row],[Unit Price]]/表格1[[#This Row],[SRP]]</f>
        <v>0.50944881889763782</v>
      </c>
      <c r="U4269" s="86" t="str">
        <f>_xlfn.XLOOKUP(表格1[[#This Row],[Model]],表格3[Model-Input-Ref2],表格3[TOSHIBA/HIGHEST])</f>
        <v>Toshiba SRP</v>
      </c>
      <c r="W4269" s="86" t="str">
        <f>_xlfn.CONCAT(表格1[[#This Row],[欄4]],表格1[[#This Row],[inv no]])</f>
        <v/>
      </c>
    </row>
    <row r="4270" spans="1:23">
      <c r="A4270" s="81">
        <v>4268</v>
      </c>
      <c r="B4270" s="86" t="s">
        <v>1203</v>
      </c>
      <c r="C4270" s="86" t="s">
        <v>2027</v>
      </c>
      <c r="D4270" s="89" t="str">
        <f ca="1">OFFSET(Roster!$A$3,MATCH(表格1[[#This Row],[Location]]&amp;" "&amp;表格1[[#This Row],[Shop]]&amp;"*",Roster!$A$4:$A$72,0),DAY(表格1[[#This Row],[date]]),1,1)</f>
        <v>May C</v>
      </c>
      <c r="E4270" s="86">
        <f>MONTH(表格1[[#This Row],[date]])</f>
        <v>3</v>
      </c>
      <c r="F4270" s="90">
        <v>46091</v>
      </c>
      <c r="G4270" s="86" t="str">
        <f>VLOOKUP("*"&amp;表格1[[#This Row],[Input]]&amp;"*",'Ref-List'!$B:$D,2,)</f>
        <v>CWF-09CRFN8-AD5</v>
      </c>
      <c r="H4270" s="86" t="str">
        <f>_xlfn.XLOOKUP(表格1[[#This Row],[Model]],表格3[Model-Input-Ref2],表格3[Product Line])</f>
        <v>Comfee 1匹變頻窗口式冷氣機</v>
      </c>
      <c r="I4270" s="86" t="str">
        <f>_xlfn.XLOOKUP(表格1[[#This Row],[Model]],表格3[Model-Input-Ref2],表格3[大小電])</f>
        <v>大電</v>
      </c>
      <c r="J4270" s="86" t="str">
        <f>_xlfn.XLOOKUP(表格1[[#This Row],[Model]],表格3[Model-Input-Ref2],表格3[Code])</f>
        <v>RAC</v>
      </c>
      <c r="K4270" s="89" t="s">
        <v>2145</v>
      </c>
      <c r="L4270" s="86">
        <v>1</v>
      </c>
      <c r="M4270" s="87">
        <v>3028</v>
      </c>
      <c r="N4270" s="87">
        <f>IFERROR(表格1[[#This Row],[QTY]]*表格1[[#This Row],[Unit Price]],"-")</f>
        <v>3028</v>
      </c>
      <c r="O4270" s="173"/>
      <c r="P4270" s="86" t="s">
        <v>2144</v>
      </c>
      <c r="R4270" s="86" t="str">
        <f>_xlfn.CONCAT(表格1[[#This Row],[Model]]," ",表格1[[#This Row],[inv no]])</f>
        <v xml:space="preserve">CWF-09CRFN8-AD5 </v>
      </c>
      <c r="S4270" s="86">
        <f>_xlfn.XLOOKUP(表格1[[#This Row],[Model]],表格3[Model-Input-Ref2],表格3[SRP PRICE])</f>
        <v>4600</v>
      </c>
      <c r="T4270" s="43">
        <f>表格1[[#This Row],[Unit Price]]/表格1[[#This Row],[SRP]]</f>
        <v>0.65826086956521734</v>
      </c>
      <c r="U4270" s="86" t="str">
        <f>_xlfn.XLOOKUP(表格1[[#This Row],[Model]],表格3[Model-Input-Ref2],表格3[TOSHIBA/HIGHEST])</f>
        <v>Shops Highest Price</v>
      </c>
      <c r="W4270" s="86" t="str">
        <f>_xlfn.CONCAT(表格1[[#This Row],[欄4]],表格1[[#This Row],[inv no]])</f>
        <v/>
      </c>
    </row>
    <row r="4271" spans="1:23">
      <c r="A4271" s="81">
        <v>4269</v>
      </c>
      <c r="B4271" s="86" t="s">
        <v>1203</v>
      </c>
      <c r="C4271" s="86" t="s">
        <v>2027</v>
      </c>
      <c r="D4271" s="89" t="str">
        <f ca="1">OFFSET(Roster!$A$3,MATCH(表格1[[#This Row],[Location]]&amp;" "&amp;表格1[[#This Row],[Shop]]&amp;"*",Roster!$A$4:$A$72,0),DAY(表格1[[#This Row],[date]]),1,1)</f>
        <v>May C</v>
      </c>
      <c r="E4271" s="86">
        <f>MONTH(表格1[[#This Row],[date]])</f>
        <v>3</v>
      </c>
      <c r="F4271" s="90">
        <v>46091</v>
      </c>
      <c r="G4271" s="86" t="str">
        <f>VLOOKUP("*"&amp;表格1[[#This Row],[Input]]&amp;"*",'Ref-List'!$B:$D,2,)</f>
        <v>GR-RT416WE-PMA(06)</v>
      </c>
      <c r="H4271" s="86" t="str">
        <f>_xlfn.XLOOKUP(表格1[[#This Row],[Model]],表格3[Model-Input-Ref2],表格3[Product Line])</f>
        <v xml:space="preserve">變頻上置式雙門雪櫃313L </v>
      </c>
      <c r="I4271" s="86" t="str">
        <f>_xlfn.XLOOKUP(表格1[[#This Row],[Model]],表格3[Model-Input-Ref2],表格3[大小電])</f>
        <v>大電</v>
      </c>
      <c r="J4271" s="86" t="str">
        <f>_xlfn.XLOOKUP(表格1[[#This Row],[Model]],表格3[Model-Input-Ref2],表格3[Code])</f>
        <v>REF</v>
      </c>
      <c r="K4271" s="89" t="s">
        <v>1208</v>
      </c>
      <c r="L4271" s="86">
        <v>1</v>
      </c>
      <c r="M4271" s="87">
        <v>2888</v>
      </c>
      <c r="N4271" s="87">
        <f>IFERROR(表格1[[#This Row],[QTY]]*表格1[[#This Row],[Unit Price]],"-")</f>
        <v>2888</v>
      </c>
      <c r="O4271" s="173"/>
      <c r="R4271" s="86" t="str">
        <f>_xlfn.CONCAT(表格1[[#This Row],[Model]]," ",表格1[[#This Row],[inv no]])</f>
        <v xml:space="preserve">GR-RT416WE-PMA(06) </v>
      </c>
      <c r="S4271" s="86">
        <f>_xlfn.XLOOKUP(表格1[[#This Row],[Model]],表格3[Model-Input-Ref2],表格3[SRP PRICE])</f>
        <v>5380</v>
      </c>
      <c r="T4271" s="43">
        <f>表格1[[#This Row],[Unit Price]]/表格1[[#This Row],[SRP]]</f>
        <v>0.53680297397769516</v>
      </c>
      <c r="U4271" s="86" t="str">
        <f>_xlfn.XLOOKUP(表格1[[#This Row],[Model]],表格3[Model-Input-Ref2],表格3[TOSHIBA/HIGHEST])</f>
        <v>Toshiba SRP</v>
      </c>
      <c r="W4271" s="86" t="str">
        <f>_xlfn.CONCAT(表格1[[#This Row],[欄4]],表格1[[#This Row],[inv no]])</f>
        <v/>
      </c>
    </row>
    <row r="4272" spans="1:23">
      <c r="A4272" s="81">
        <v>4270</v>
      </c>
      <c r="B4272" s="86" t="s">
        <v>1203</v>
      </c>
      <c r="C4272" s="86" t="s">
        <v>2027</v>
      </c>
      <c r="D4272" s="89" t="str">
        <f ca="1">OFFSET(Roster!$A$3,MATCH(表格1[[#This Row],[Location]]&amp;" "&amp;表格1[[#This Row],[Shop]]&amp;"*",Roster!$A$4:$A$72,0),DAY(表格1[[#This Row],[date]]),1,1)</f>
        <v>May C</v>
      </c>
      <c r="E4272" s="86">
        <f>MONTH(表格1[[#This Row],[date]])</f>
        <v>3</v>
      </c>
      <c r="F4272" s="90">
        <v>46092</v>
      </c>
      <c r="G4272" s="86" t="str">
        <f>VLOOKUP("*"&amp;表格1[[#This Row],[Input]]&amp;"*",'Ref-List'!$B:$D,2,)</f>
        <v>MW2-MM24PC(BK)</v>
      </c>
      <c r="H4272" s="86" t="str">
        <f>_xlfn.XLOOKUP(表格1[[#This Row],[Model]],表格3[Model-Input-Ref2],表格3[Product Line])</f>
        <v>旋鈕式微波爐24L</v>
      </c>
      <c r="I4272" s="86" t="str">
        <f>_xlfn.XLOOKUP(表格1[[#This Row],[Model]],表格3[Model-Input-Ref2],表格3[大小電])</f>
        <v>細電</v>
      </c>
      <c r="J4272" s="86" t="str">
        <f>_xlfn.XLOOKUP(表格1[[#This Row],[Model]],表格3[Model-Input-Ref2],表格3[Code])</f>
        <v>SDA</v>
      </c>
      <c r="K4272" s="89" t="s">
        <v>1196</v>
      </c>
      <c r="L4272" s="86">
        <v>2</v>
      </c>
      <c r="M4272" s="87">
        <v>500</v>
      </c>
      <c r="N4272" s="87">
        <f>IFERROR(表格1[[#This Row],[QTY]]*表格1[[#This Row],[Unit Price]],"-")</f>
        <v>1000</v>
      </c>
      <c r="O4272" s="173"/>
      <c r="R4272" s="86" t="str">
        <f>_xlfn.CONCAT(表格1[[#This Row],[Model]]," ",表格1[[#This Row],[inv no]])</f>
        <v xml:space="preserve">MW2-MM24PC(BK) </v>
      </c>
      <c r="S4272" s="86">
        <f>_xlfn.XLOOKUP(表格1[[#This Row],[Model]],表格3[Model-Input-Ref2],表格3[SRP PRICE])</f>
        <v>848</v>
      </c>
      <c r="T4272" s="43">
        <f>表格1[[#This Row],[Unit Price]]/表格1[[#This Row],[SRP]]</f>
        <v>0.589622641509434</v>
      </c>
      <c r="U4272" s="86" t="str">
        <f>_xlfn.XLOOKUP(表格1[[#This Row],[Model]],表格3[Model-Input-Ref2],表格3[TOSHIBA/HIGHEST])</f>
        <v>Toshiba SRP</v>
      </c>
      <c r="W4272" s="86" t="str">
        <f>_xlfn.CONCAT(表格1[[#This Row],[欄4]],表格1[[#This Row],[inv no]])</f>
        <v/>
      </c>
    </row>
    <row r="4273" spans="1:23">
      <c r="A4273" s="81">
        <v>4271</v>
      </c>
      <c r="B4273" s="86" t="s">
        <v>1203</v>
      </c>
      <c r="C4273" s="86" t="s">
        <v>2027</v>
      </c>
      <c r="D4273" s="89" t="str">
        <f ca="1">OFFSET(Roster!$A$3,MATCH(表格1[[#This Row],[Location]]&amp;" "&amp;表格1[[#This Row],[Shop]]&amp;"*",Roster!$A$4:$A$72,0),DAY(表格1[[#This Row],[date]]),1,1)</f>
        <v>May C</v>
      </c>
      <c r="E4273" s="86">
        <f>MONTH(表格1[[#This Row],[date]])</f>
        <v>3</v>
      </c>
      <c r="F4273" s="90">
        <v>46092</v>
      </c>
      <c r="G4273" s="86" t="str">
        <f>VLOOKUP("*"&amp;表格1[[#This Row],[Input]]&amp;"*",'Ref-List'!$B:$D,2,)</f>
        <v>RC-15ISTHK(W)</v>
      </c>
      <c r="H4273" s="86" t="str">
        <f>_xlfn.XLOOKUP(表格1[[#This Row],[Model]],表格3[Model-Input-Ref2],表格3[Product Line])</f>
        <v>磁應電飯煲(1.5公升)</v>
      </c>
      <c r="I4273" s="86" t="str">
        <f>_xlfn.XLOOKUP(表格1[[#This Row],[Model]],表格3[Model-Input-Ref2],表格3[大小電])</f>
        <v>細電</v>
      </c>
      <c r="J4273" s="86" t="str">
        <f>_xlfn.XLOOKUP(表格1[[#This Row],[Model]],表格3[Model-Input-Ref2],表格3[Code])</f>
        <v>SDA</v>
      </c>
      <c r="K4273" s="89" t="s">
        <v>1204</v>
      </c>
      <c r="L4273" s="86">
        <v>3</v>
      </c>
      <c r="M4273" s="87">
        <v>500</v>
      </c>
      <c r="N4273" s="87">
        <f>IFERROR(表格1[[#This Row],[QTY]]*表格1[[#This Row],[Unit Price]],"-")</f>
        <v>1500</v>
      </c>
      <c r="O4273" s="173"/>
      <c r="R4273" s="86" t="str">
        <f>_xlfn.CONCAT(表格1[[#This Row],[Model]]," ",表格1[[#This Row],[inv no]])</f>
        <v xml:space="preserve">RC-15ISTHK(W) </v>
      </c>
      <c r="S4273" s="86">
        <f>_xlfn.XLOOKUP(表格1[[#This Row],[Model]],表格3[Model-Input-Ref2],表格3[SRP PRICE])</f>
        <v>1688</v>
      </c>
      <c r="T4273" s="43">
        <f>表格1[[#This Row],[Unit Price]]/表格1[[#This Row],[SRP]]</f>
        <v>0.29620853080568721</v>
      </c>
      <c r="U4273" s="86" t="str">
        <f>_xlfn.XLOOKUP(表格1[[#This Row],[Model]],表格3[Model-Input-Ref2],表格3[TOSHIBA/HIGHEST])</f>
        <v>Toshiba SRP</v>
      </c>
      <c r="W4273" s="86" t="str">
        <f>_xlfn.CONCAT(表格1[[#This Row],[欄4]],表格1[[#This Row],[inv no]])</f>
        <v/>
      </c>
    </row>
    <row r="4274" spans="1:23">
      <c r="A4274" s="81">
        <v>4272</v>
      </c>
      <c r="B4274" s="86" t="s">
        <v>1203</v>
      </c>
      <c r="C4274" s="86" t="s">
        <v>2027</v>
      </c>
      <c r="D4274" s="89" t="str">
        <f ca="1">OFFSET(Roster!$A$3,MATCH(表格1[[#This Row],[Location]]&amp;" "&amp;表格1[[#This Row],[Shop]]&amp;"*",Roster!$A$4:$A$72,0),DAY(表格1[[#This Row],[date]]),1,1)</f>
        <v>May C</v>
      </c>
      <c r="E4274" s="86">
        <f>MONTH(表格1[[#This Row],[date]])</f>
        <v>3</v>
      </c>
      <c r="F4274" s="90">
        <v>46092</v>
      </c>
      <c r="G4274" s="86" t="str">
        <f>VLOOKUP("*"&amp;表格1[[#This Row],[Input]]&amp;"*",'Ref-List'!$B:$D,2,)</f>
        <v>TWP-TSR76THK(W)</v>
      </c>
      <c r="H4274" s="86" t="str">
        <f>_xlfn.XLOOKUP(表格1[[#This Row],[Model]],表格3[Model-Input-Ref2],表格3[Product Line])</f>
        <v>RO座檯式飲水機</v>
      </c>
      <c r="I4274" s="86" t="str">
        <f>_xlfn.XLOOKUP(表格1[[#This Row],[Model]],表格3[Model-Input-Ref2],表格3[大小電])</f>
        <v>細電</v>
      </c>
      <c r="J4274" s="86" t="str">
        <f>_xlfn.XLOOKUP(表格1[[#This Row],[Model]],表格3[Model-Input-Ref2],表格3[Code])</f>
        <v>KWH</v>
      </c>
      <c r="K4274" s="89" t="s">
        <v>1197</v>
      </c>
      <c r="L4274" s="86">
        <v>1</v>
      </c>
      <c r="M4274" s="87">
        <v>1500</v>
      </c>
      <c r="N4274" s="87">
        <f>IFERROR(表格1[[#This Row],[QTY]]*表格1[[#This Row],[Unit Price]],"-")</f>
        <v>1500</v>
      </c>
      <c r="O4274" s="173"/>
      <c r="R4274" s="86" t="str">
        <f>_xlfn.CONCAT(表格1[[#This Row],[Model]]," ",表格1[[#This Row],[inv no]])</f>
        <v xml:space="preserve">TWP-TSR76THK(W) </v>
      </c>
      <c r="S4274" s="86">
        <f>_xlfn.XLOOKUP(表格1[[#This Row],[Model]],表格3[Model-Input-Ref2],表格3[SRP PRICE])</f>
        <v>2680</v>
      </c>
      <c r="T4274" s="43">
        <f>表格1[[#This Row],[Unit Price]]/表格1[[#This Row],[SRP]]</f>
        <v>0.55970149253731338</v>
      </c>
      <c r="U4274" s="86" t="str">
        <f>_xlfn.XLOOKUP(表格1[[#This Row],[Model]],表格3[Model-Input-Ref2],表格3[TOSHIBA/HIGHEST])</f>
        <v>Toshiba SRP</v>
      </c>
      <c r="W4274" s="86" t="str">
        <f>_xlfn.CONCAT(表格1[[#This Row],[欄4]],表格1[[#This Row],[inv no]])</f>
        <v/>
      </c>
    </row>
    <row r="4275" spans="1:23">
      <c r="A4275" s="81">
        <v>4273</v>
      </c>
      <c r="B4275" s="86" t="s">
        <v>1203</v>
      </c>
      <c r="C4275" s="86" t="s">
        <v>2027</v>
      </c>
      <c r="D4275" s="89" t="str">
        <f ca="1">OFFSET(Roster!$A$3,MATCH(表格1[[#This Row],[Location]]&amp;" "&amp;表格1[[#This Row],[Shop]]&amp;"*",Roster!$A$4:$A$72,0),DAY(表格1[[#This Row],[date]]),1,1)</f>
        <v>May C</v>
      </c>
      <c r="E4275" s="86">
        <f>MONTH(表格1[[#This Row],[date]])</f>
        <v>3</v>
      </c>
      <c r="F4275" s="90">
        <v>46093</v>
      </c>
      <c r="G4275" s="86" t="str">
        <f>VLOOKUP("*"&amp;表格1[[#This Row],[Input]]&amp;"*",'Ref-List'!$B:$D,2,)</f>
        <v>MW2-MM24PC(BK)</v>
      </c>
      <c r="H4275" s="86" t="str">
        <f>_xlfn.XLOOKUP(表格1[[#This Row],[Model]],表格3[Model-Input-Ref2],表格3[Product Line])</f>
        <v>旋鈕式微波爐24L</v>
      </c>
      <c r="I4275" s="86" t="str">
        <f>_xlfn.XLOOKUP(表格1[[#This Row],[Model]],表格3[Model-Input-Ref2],表格3[大小電])</f>
        <v>細電</v>
      </c>
      <c r="J4275" s="86" t="str">
        <f>_xlfn.XLOOKUP(表格1[[#This Row],[Model]],表格3[Model-Input-Ref2],表格3[Code])</f>
        <v>SDA</v>
      </c>
      <c r="K4275" s="89" t="s">
        <v>1196</v>
      </c>
      <c r="L4275" s="86">
        <v>2</v>
      </c>
      <c r="M4275" s="87">
        <v>500</v>
      </c>
      <c r="N4275" s="87">
        <f>IFERROR(表格1[[#This Row],[QTY]]*表格1[[#This Row],[Unit Price]],"-")</f>
        <v>1000</v>
      </c>
      <c r="O4275" s="173"/>
      <c r="R4275" s="86" t="str">
        <f>_xlfn.CONCAT(表格1[[#This Row],[Model]]," ",表格1[[#This Row],[inv no]])</f>
        <v xml:space="preserve">MW2-MM24PC(BK) </v>
      </c>
      <c r="S4275" s="86">
        <f>_xlfn.XLOOKUP(表格1[[#This Row],[Model]],表格3[Model-Input-Ref2],表格3[SRP PRICE])</f>
        <v>848</v>
      </c>
      <c r="T4275" s="43">
        <f>表格1[[#This Row],[Unit Price]]/表格1[[#This Row],[SRP]]</f>
        <v>0.589622641509434</v>
      </c>
      <c r="U4275" s="86" t="str">
        <f>_xlfn.XLOOKUP(表格1[[#This Row],[Model]],表格3[Model-Input-Ref2],表格3[TOSHIBA/HIGHEST])</f>
        <v>Toshiba SRP</v>
      </c>
      <c r="W4275" s="86" t="str">
        <f>_xlfn.CONCAT(表格1[[#This Row],[欄4]],表格1[[#This Row],[inv no]])</f>
        <v/>
      </c>
    </row>
    <row r="4276" spans="1:23">
      <c r="A4276" s="81">
        <v>4274</v>
      </c>
      <c r="B4276" s="86" t="s">
        <v>1203</v>
      </c>
      <c r="C4276" s="86" t="s">
        <v>2027</v>
      </c>
      <c r="D4276" s="89" t="str">
        <f ca="1">OFFSET(Roster!$A$3,MATCH(表格1[[#This Row],[Location]]&amp;" "&amp;表格1[[#This Row],[Shop]]&amp;"*",Roster!$A$4:$A$72,0),DAY(表格1[[#This Row],[date]]),1,1)</f>
        <v>May C</v>
      </c>
      <c r="E4276" s="86">
        <f>MONTH(表格1[[#This Row],[date]])</f>
        <v>3</v>
      </c>
      <c r="F4276" s="90">
        <v>46093</v>
      </c>
      <c r="G4276" s="86" t="str">
        <f>VLOOKUP("*"&amp;表格1[[#This Row],[Input]]&amp;"*",'Ref-List'!$B:$D,2,)</f>
        <v>PLK-45SFIH(WT)</v>
      </c>
      <c r="H4276" s="86" t="str">
        <f>_xlfn.XLOOKUP(表格1[[#This Row],[Model]],表格3[Model-Input-Ref2],表格3[Product Line])</f>
        <v>電熱水瓶4.5L</v>
      </c>
      <c r="I4276" s="86" t="str">
        <f>_xlfn.XLOOKUP(表格1[[#This Row],[Model]],表格3[Model-Input-Ref2],表格3[大小電])</f>
        <v>細電</v>
      </c>
      <c r="J4276" s="86" t="str">
        <f>_xlfn.XLOOKUP(表格1[[#This Row],[Model]],表格3[Model-Input-Ref2],表格3[Code])</f>
        <v>SDA</v>
      </c>
      <c r="K4276" s="89" t="s">
        <v>1117</v>
      </c>
      <c r="L4276" s="86">
        <v>3</v>
      </c>
      <c r="M4276" s="87">
        <v>500</v>
      </c>
      <c r="N4276" s="87">
        <f>IFERROR(表格1[[#This Row],[QTY]]*表格1[[#This Row],[Unit Price]],"-")</f>
        <v>1500</v>
      </c>
      <c r="O4276" s="173"/>
      <c r="R4276" s="86" t="str">
        <f>_xlfn.CONCAT(表格1[[#This Row],[Model]]," ",表格1[[#This Row],[inv no]])</f>
        <v xml:space="preserve">PLK-45SFIH(WT) </v>
      </c>
      <c r="S4276" s="86">
        <f>_xlfn.XLOOKUP(表格1[[#This Row],[Model]],表格3[Model-Input-Ref2],表格3[SRP PRICE])</f>
        <v>788</v>
      </c>
      <c r="T4276" s="43">
        <f>表格1[[#This Row],[Unit Price]]/表格1[[#This Row],[SRP]]</f>
        <v>0.63451776649746194</v>
      </c>
      <c r="U4276" s="86" t="str">
        <f>_xlfn.XLOOKUP(表格1[[#This Row],[Model]],表格3[Model-Input-Ref2],表格3[TOSHIBA/HIGHEST])</f>
        <v>Toshiba SRP</v>
      </c>
      <c r="W4276" s="86" t="str">
        <f>_xlfn.CONCAT(表格1[[#This Row],[欄4]],表格1[[#This Row],[inv no]])</f>
        <v/>
      </c>
    </row>
    <row r="4277" spans="1:23">
      <c r="A4277" s="81">
        <v>4275</v>
      </c>
      <c r="B4277" s="86" t="s">
        <v>1203</v>
      </c>
      <c r="C4277" s="86" t="s">
        <v>2027</v>
      </c>
      <c r="D4277" s="89" t="str">
        <f ca="1">OFFSET(Roster!$A$3,MATCH(表格1[[#This Row],[Location]]&amp;" "&amp;表格1[[#This Row],[Shop]]&amp;"*",Roster!$A$4:$A$72,0),DAY(表格1[[#This Row],[date]]),1,1)</f>
        <v>May C</v>
      </c>
      <c r="E4277" s="86">
        <f>MONTH(表格1[[#This Row],[date]])</f>
        <v>3</v>
      </c>
      <c r="F4277" s="90">
        <v>46093</v>
      </c>
      <c r="G4277" s="86" t="str">
        <f>VLOOKUP("*"&amp;表格1[[#This Row],[Input]]&amp;"*",'Ref-List'!$B:$D,2,)</f>
        <v>RC-15ISTHK(W)</v>
      </c>
      <c r="H4277" s="86" t="str">
        <f>_xlfn.XLOOKUP(表格1[[#This Row],[Model]],表格3[Model-Input-Ref2],表格3[Product Line])</f>
        <v>磁應電飯煲(1.5公升)</v>
      </c>
      <c r="I4277" s="86" t="str">
        <f>_xlfn.XLOOKUP(表格1[[#This Row],[Model]],表格3[Model-Input-Ref2],表格3[大小電])</f>
        <v>細電</v>
      </c>
      <c r="J4277" s="86" t="str">
        <f>_xlfn.XLOOKUP(表格1[[#This Row],[Model]],表格3[Model-Input-Ref2],表格3[Code])</f>
        <v>SDA</v>
      </c>
      <c r="K4277" s="89" t="s">
        <v>1204</v>
      </c>
      <c r="L4277" s="86">
        <v>4</v>
      </c>
      <c r="M4277" s="87">
        <v>500</v>
      </c>
      <c r="N4277" s="87">
        <f>IFERROR(表格1[[#This Row],[QTY]]*表格1[[#This Row],[Unit Price]],"-")</f>
        <v>2000</v>
      </c>
      <c r="O4277" s="173"/>
      <c r="R4277" s="86" t="str">
        <f>_xlfn.CONCAT(表格1[[#This Row],[Model]]," ",表格1[[#This Row],[inv no]])</f>
        <v xml:space="preserve">RC-15ISTHK(W) </v>
      </c>
      <c r="S4277" s="86">
        <f>_xlfn.XLOOKUP(表格1[[#This Row],[Model]],表格3[Model-Input-Ref2],表格3[SRP PRICE])</f>
        <v>1688</v>
      </c>
      <c r="T4277" s="43">
        <f>表格1[[#This Row],[Unit Price]]/表格1[[#This Row],[SRP]]</f>
        <v>0.29620853080568721</v>
      </c>
      <c r="U4277" s="86" t="str">
        <f>_xlfn.XLOOKUP(表格1[[#This Row],[Model]],表格3[Model-Input-Ref2],表格3[TOSHIBA/HIGHEST])</f>
        <v>Toshiba SRP</v>
      </c>
      <c r="W4277" s="86" t="str">
        <f>_xlfn.CONCAT(表格1[[#This Row],[欄4]],表格1[[#This Row],[inv no]])</f>
        <v/>
      </c>
    </row>
    <row r="4278" spans="1:23">
      <c r="A4278" s="81">
        <v>4276</v>
      </c>
      <c r="B4278" s="86" t="s">
        <v>1203</v>
      </c>
      <c r="C4278" s="86" t="s">
        <v>2027</v>
      </c>
      <c r="D4278" s="89" t="str">
        <f ca="1">OFFSET(Roster!$A$3,MATCH(表格1[[#This Row],[Location]]&amp;" "&amp;表格1[[#This Row],[Shop]]&amp;"*",Roster!$A$4:$A$72,0),DAY(表格1[[#This Row],[date]]),1,1)</f>
        <v>May C</v>
      </c>
      <c r="E4278" s="86">
        <f>MONTH(表格1[[#This Row],[date]])</f>
        <v>3</v>
      </c>
      <c r="F4278" s="90">
        <v>46093</v>
      </c>
      <c r="G4278" s="86" t="str">
        <f>VLOOKUP("*"&amp;表格1[[#This Row],[Input]]&amp;"*",'Ref-List'!$B:$D,2,)</f>
        <v>AW-M901BPH(WW)</v>
      </c>
      <c r="H4278" s="86" t="str">
        <f>_xlfn.XLOOKUP(表格1[[#This Row],[Model]],表格3[Model-Input-Ref2],表格3[Product Line])</f>
        <v>全自動洗衣機 (8公斤 結合高低水位)</v>
      </c>
      <c r="I4278" s="86" t="str">
        <f>_xlfn.XLOOKUP(表格1[[#This Row],[Model]],表格3[Model-Input-Ref2],表格3[大小電])</f>
        <v>大電</v>
      </c>
      <c r="J4278" s="86" t="str">
        <f>_xlfn.XLOOKUP(表格1[[#This Row],[Model]],表格3[Model-Input-Ref2],表格3[Code])</f>
        <v>WM</v>
      </c>
      <c r="K4278" s="89" t="s">
        <v>1202</v>
      </c>
      <c r="L4278" s="86">
        <v>2</v>
      </c>
      <c r="M4278" s="87">
        <v>1500</v>
      </c>
      <c r="N4278" s="87">
        <f>IFERROR(表格1[[#This Row],[QTY]]*表格1[[#This Row],[Unit Price]],"-")</f>
        <v>3000</v>
      </c>
      <c r="O4278" s="173"/>
      <c r="R4278" s="86" t="str">
        <f>_xlfn.CONCAT(表格1[[#This Row],[Model]]," ",表格1[[#This Row],[inv no]])</f>
        <v xml:space="preserve">AW-M901BPH(WW) </v>
      </c>
      <c r="S4278" s="86">
        <f>_xlfn.XLOOKUP(表格1[[#This Row],[Model]],表格3[Model-Input-Ref2],表格3[SRP PRICE])</f>
        <v>3580</v>
      </c>
      <c r="T4278" s="43">
        <f>表格1[[#This Row],[Unit Price]]/表格1[[#This Row],[SRP]]</f>
        <v>0.41899441340782123</v>
      </c>
      <c r="U4278" s="86" t="str">
        <f>_xlfn.XLOOKUP(表格1[[#This Row],[Model]],表格3[Model-Input-Ref2],表格3[TOSHIBA/HIGHEST])</f>
        <v>Toshiba SRP</v>
      </c>
      <c r="W4278" s="86" t="str">
        <f>_xlfn.CONCAT(表格1[[#This Row],[欄4]],表格1[[#This Row],[inv no]])</f>
        <v/>
      </c>
    </row>
    <row r="4279" spans="1:23">
      <c r="A4279" s="81">
        <v>4277</v>
      </c>
      <c r="B4279" s="86" t="s">
        <v>1203</v>
      </c>
      <c r="C4279" s="86" t="s">
        <v>2027</v>
      </c>
      <c r="D4279" s="89" t="str">
        <f ca="1">OFFSET(Roster!$A$3,MATCH(表格1[[#This Row],[Location]]&amp;" "&amp;表格1[[#This Row],[Shop]]&amp;"*",Roster!$A$4:$A$72,0),DAY(表格1[[#This Row],[date]]),1,1)</f>
        <v>May C</v>
      </c>
      <c r="E4279" s="86">
        <f>MONTH(表格1[[#This Row],[date]])</f>
        <v>3</v>
      </c>
      <c r="F4279" s="90">
        <v>46093</v>
      </c>
      <c r="G4279" s="86" t="str">
        <f>VLOOKUP("*"&amp;表格1[[#This Row],[Input]]&amp;"*",'Ref-List'!$B:$D,2,)</f>
        <v>Model-Input-Ref2</v>
      </c>
      <c r="H4279" s="86" t="e">
        <f>_xlfn.XLOOKUP(表格1[[#This Row],[Model]],表格3[Model-Input-Ref2],表格3[Product Line])</f>
        <v>#N/A</v>
      </c>
      <c r="I4279" s="86" t="e">
        <f>_xlfn.XLOOKUP(表格1[[#This Row],[Model]],表格3[Model-Input-Ref2],表格3[大小電])</f>
        <v>#N/A</v>
      </c>
      <c r="J4279" s="86" t="e">
        <f>_xlfn.XLOOKUP(表格1[[#This Row],[Model]],表格3[Model-Input-Ref2],表格3[Code])</f>
        <v>#N/A</v>
      </c>
      <c r="N4279" s="87">
        <f>IFERROR(表格1[[#This Row],[QTY]]*表格1[[#This Row],[Unit Price]],"-")</f>
        <v>0</v>
      </c>
      <c r="O4279" s="173"/>
      <c r="P4279" s="86" t="s">
        <v>2148</v>
      </c>
      <c r="R4279" s="86" t="str">
        <f>_xlfn.CONCAT(表格1[[#This Row],[Model]]," ",表格1[[#This Row],[inv no]])</f>
        <v xml:space="preserve">Model-Input-Ref2 </v>
      </c>
      <c r="S4279" s="86" t="e">
        <f>_xlfn.XLOOKUP(表格1[[#This Row],[Model]],表格3[Model-Input-Ref2],表格3[SRP PRICE])</f>
        <v>#N/A</v>
      </c>
      <c r="T4279" s="43" t="e">
        <f>表格1[[#This Row],[Unit Price]]/表格1[[#This Row],[SRP]]</f>
        <v>#N/A</v>
      </c>
      <c r="U4279" s="86" t="e">
        <f>_xlfn.XLOOKUP(表格1[[#This Row],[Model]],表格3[Model-Input-Ref2],表格3[TOSHIBA/HIGHEST])</f>
        <v>#N/A</v>
      </c>
      <c r="W4279" s="86" t="str">
        <f>_xlfn.CONCAT(表格1[[#This Row],[欄4]],表格1[[#This Row],[inv no]])</f>
        <v/>
      </c>
    </row>
    <row r="4280" spans="1:23">
      <c r="A4280" s="81">
        <v>4278</v>
      </c>
      <c r="B4280" s="86" t="s">
        <v>1203</v>
      </c>
      <c r="C4280" s="86" t="s">
        <v>2027</v>
      </c>
      <c r="D4280" s="89" t="str">
        <f ca="1">OFFSET(Roster!$A$3,MATCH(表格1[[#This Row],[Location]]&amp;" "&amp;表格1[[#This Row],[Shop]]&amp;"*",Roster!$A$4:$A$72,0),DAY(表格1[[#This Row],[date]]),1,1)</f>
        <v>May C</v>
      </c>
      <c r="E4280" s="86">
        <f>MONTH(表格1[[#This Row],[date]])</f>
        <v>3</v>
      </c>
      <c r="F4280" s="90">
        <v>46093</v>
      </c>
      <c r="G4280" s="86" t="str">
        <f>VLOOKUP("*"&amp;表格1[[#This Row],[Input]]&amp;"*",'Ref-List'!$B:$D,2,)</f>
        <v>TWP-TSR76THK(W)</v>
      </c>
      <c r="H4280" s="86" t="str">
        <f>_xlfn.XLOOKUP(表格1[[#This Row],[Model]],表格3[Model-Input-Ref2],表格3[Product Line])</f>
        <v>RO座檯式飲水機</v>
      </c>
      <c r="I4280" s="86" t="str">
        <f>_xlfn.XLOOKUP(表格1[[#This Row],[Model]],表格3[Model-Input-Ref2],表格3[大小電])</f>
        <v>細電</v>
      </c>
      <c r="J4280" s="86" t="str">
        <f>_xlfn.XLOOKUP(表格1[[#This Row],[Model]],表格3[Model-Input-Ref2],表格3[Code])</f>
        <v>KWH</v>
      </c>
      <c r="K4280" s="89" t="s">
        <v>1197</v>
      </c>
      <c r="L4280" s="86">
        <v>1</v>
      </c>
      <c r="M4280" s="87">
        <v>1500</v>
      </c>
      <c r="N4280" s="87">
        <f>IFERROR(表格1[[#This Row],[QTY]]*表格1[[#This Row],[Unit Price]],"-")</f>
        <v>1500</v>
      </c>
      <c r="O4280" s="173"/>
      <c r="R4280" s="86" t="str">
        <f>_xlfn.CONCAT(表格1[[#This Row],[Model]]," ",表格1[[#This Row],[inv no]])</f>
        <v xml:space="preserve">TWP-TSR76THK(W) </v>
      </c>
      <c r="S4280" s="86">
        <f>_xlfn.XLOOKUP(表格1[[#This Row],[Model]],表格3[Model-Input-Ref2],表格3[SRP PRICE])</f>
        <v>2680</v>
      </c>
      <c r="T4280" s="43">
        <f>表格1[[#This Row],[Unit Price]]/表格1[[#This Row],[SRP]]</f>
        <v>0.55970149253731338</v>
      </c>
      <c r="U4280" s="86" t="str">
        <f>_xlfn.XLOOKUP(表格1[[#This Row],[Model]],表格3[Model-Input-Ref2],表格3[TOSHIBA/HIGHEST])</f>
        <v>Toshiba SRP</v>
      </c>
      <c r="W4280" s="86" t="str">
        <f>_xlfn.CONCAT(表格1[[#This Row],[欄4]],表格1[[#This Row],[inv no]])</f>
        <v/>
      </c>
    </row>
    <row r="4281" spans="1:23">
      <c r="A4281" s="81">
        <v>4279</v>
      </c>
      <c r="B4281" s="86" t="s">
        <v>1203</v>
      </c>
      <c r="C4281" s="86" t="s">
        <v>2027</v>
      </c>
      <c r="D4281" s="89" t="str">
        <f ca="1">OFFSET(Roster!$A$3,MATCH(表格1[[#This Row],[Location]]&amp;" "&amp;表格1[[#This Row],[Shop]]&amp;"*",Roster!$A$4:$A$72,0),DAY(表格1[[#This Row],[date]]),1,1)</f>
        <v>May C</v>
      </c>
      <c r="E4281" s="86">
        <f>MONTH(表格1[[#This Row],[date]])</f>
        <v>3</v>
      </c>
      <c r="F4281" s="90">
        <v>46094</v>
      </c>
      <c r="G4281" s="86" t="str">
        <f>VLOOKUP("*"&amp;表格1[[#This Row],[Input]]&amp;"*",'Ref-List'!$B:$D,2,)</f>
        <v>PLK-45SFIH(WT)</v>
      </c>
      <c r="H4281" s="86" t="str">
        <f>_xlfn.XLOOKUP(表格1[[#This Row],[Model]],表格3[Model-Input-Ref2],表格3[Product Line])</f>
        <v>電熱水瓶4.5L</v>
      </c>
      <c r="I4281" s="86" t="str">
        <f>_xlfn.XLOOKUP(表格1[[#This Row],[Model]],表格3[Model-Input-Ref2],表格3[大小電])</f>
        <v>細電</v>
      </c>
      <c r="J4281" s="86" t="str">
        <f>_xlfn.XLOOKUP(表格1[[#This Row],[Model]],表格3[Model-Input-Ref2],表格3[Code])</f>
        <v>SDA</v>
      </c>
      <c r="K4281" s="89" t="s">
        <v>1117</v>
      </c>
      <c r="L4281" s="86">
        <v>1</v>
      </c>
      <c r="M4281" s="87">
        <v>500</v>
      </c>
      <c r="N4281" s="87">
        <f>IFERROR(表格1[[#This Row],[QTY]]*表格1[[#This Row],[Unit Price]],"-")</f>
        <v>500</v>
      </c>
      <c r="O4281" s="173"/>
      <c r="R4281" s="86" t="str">
        <f>_xlfn.CONCAT(表格1[[#This Row],[Model]]," ",表格1[[#This Row],[inv no]])</f>
        <v xml:space="preserve">PLK-45SFIH(WT) </v>
      </c>
      <c r="S4281" s="86">
        <f>_xlfn.XLOOKUP(表格1[[#This Row],[Model]],表格3[Model-Input-Ref2],表格3[SRP PRICE])</f>
        <v>788</v>
      </c>
      <c r="T4281" s="43">
        <f>表格1[[#This Row],[Unit Price]]/表格1[[#This Row],[SRP]]</f>
        <v>0.63451776649746194</v>
      </c>
      <c r="U4281" s="86" t="str">
        <f>_xlfn.XLOOKUP(表格1[[#This Row],[Model]],表格3[Model-Input-Ref2],表格3[TOSHIBA/HIGHEST])</f>
        <v>Toshiba SRP</v>
      </c>
      <c r="W4281" s="86" t="str">
        <f>_xlfn.CONCAT(表格1[[#This Row],[欄4]],表格1[[#This Row],[inv no]])</f>
        <v/>
      </c>
    </row>
    <row r="4282" spans="1:23">
      <c r="A4282" s="81">
        <v>4280</v>
      </c>
      <c r="B4282" s="86" t="s">
        <v>1203</v>
      </c>
      <c r="C4282" s="86" t="s">
        <v>2027</v>
      </c>
      <c r="D4282" s="89" t="str">
        <f ca="1">OFFSET(Roster!$A$3,MATCH(表格1[[#This Row],[Location]]&amp;" "&amp;表格1[[#This Row],[Shop]]&amp;"*",Roster!$A$4:$A$72,0),DAY(表格1[[#This Row],[date]]),1,1)</f>
        <v>May C</v>
      </c>
      <c r="E4282" s="86">
        <f>MONTH(表格1[[#This Row],[date]])</f>
        <v>3</v>
      </c>
      <c r="F4282" s="90">
        <v>46094</v>
      </c>
      <c r="G4282" s="86" t="str">
        <f>VLOOKUP("*"&amp;表格1[[#This Row],[Input]]&amp;"*",'Ref-List'!$B:$D,2,)</f>
        <v>RC-15ISTHK(W)</v>
      </c>
      <c r="H4282" s="86" t="str">
        <f>_xlfn.XLOOKUP(表格1[[#This Row],[Model]],表格3[Model-Input-Ref2],表格3[Product Line])</f>
        <v>磁應電飯煲(1.5公升)</v>
      </c>
      <c r="I4282" s="86" t="str">
        <f>_xlfn.XLOOKUP(表格1[[#This Row],[Model]],表格3[Model-Input-Ref2],表格3[大小電])</f>
        <v>細電</v>
      </c>
      <c r="J4282" s="86" t="str">
        <f>_xlfn.XLOOKUP(表格1[[#This Row],[Model]],表格3[Model-Input-Ref2],表格3[Code])</f>
        <v>SDA</v>
      </c>
      <c r="K4282" s="89" t="s">
        <v>1204</v>
      </c>
      <c r="L4282" s="86">
        <v>2</v>
      </c>
      <c r="M4282" s="87">
        <v>500</v>
      </c>
      <c r="N4282" s="87">
        <f>IFERROR(表格1[[#This Row],[QTY]]*表格1[[#This Row],[Unit Price]],"-")</f>
        <v>1000</v>
      </c>
      <c r="O4282" s="173"/>
      <c r="R4282" s="86" t="str">
        <f>_xlfn.CONCAT(表格1[[#This Row],[Model]]," ",表格1[[#This Row],[inv no]])</f>
        <v xml:space="preserve">RC-15ISTHK(W) </v>
      </c>
      <c r="S4282" s="86">
        <f>_xlfn.XLOOKUP(表格1[[#This Row],[Model]],表格3[Model-Input-Ref2],表格3[SRP PRICE])</f>
        <v>1688</v>
      </c>
      <c r="T4282" s="43">
        <f>表格1[[#This Row],[Unit Price]]/表格1[[#This Row],[SRP]]</f>
        <v>0.29620853080568721</v>
      </c>
      <c r="U4282" s="86" t="str">
        <f>_xlfn.XLOOKUP(表格1[[#This Row],[Model]],表格3[Model-Input-Ref2],表格3[TOSHIBA/HIGHEST])</f>
        <v>Toshiba SRP</v>
      </c>
      <c r="W4282" s="86" t="str">
        <f>_xlfn.CONCAT(表格1[[#This Row],[欄4]],表格1[[#This Row],[inv no]])</f>
        <v/>
      </c>
    </row>
    <row r="4283" spans="1:23">
      <c r="A4283" s="81">
        <v>4281</v>
      </c>
      <c r="B4283" s="86" t="s">
        <v>1203</v>
      </c>
      <c r="C4283" s="86" t="s">
        <v>2027</v>
      </c>
      <c r="D4283" s="89" t="str">
        <f ca="1">OFFSET(Roster!$A$3,MATCH(表格1[[#This Row],[Location]]&amp;" "&amp;表格1[[#This Row],[Shop]]&amp;"*",Roster!$A$4:$A$72,0),DAY(表格1[[#This Row],[date]]),1,1)</f>
        <v>May C</v>
      </c>
      <c r="E4283" s="86">
        <f>MONTH(表格1[[#This Row],[date]])</f>
        <v>3</v>
      </c>
      <c r="F4283" s="90">
        <v>46094</v>
      </c>
      <c r="G4283" s="86" t="str">
        <f>VLOOKUP("*"&amp;表格1[[#This Row],[Input]]&amp;"*",'Ref-List'!$B:$D,2,)</f>
        <v>AW-M901BPH(WW)</v>
      </c>
      <c r="H4283" s="86" t="str">
        <f>_xlfn.XLOOKUP(表格1[[#This Row],[Model]],表格3[Model-Input-Ref2],表格3[Product Line])</f>
        <v>全自動洗衣機 (8公斤 結合高低水位)</v>
      </c>
      <c r="I4283" s="86" t="str">
        <f>_xlfn.XLOOKUP(表格1[[#This Row],[Model]],表格3[Model-Input-Ref2],表格3[大小電])</f>
        <v>大電</v>
      </c>
      <c r="J4283" s="86" t="str">
        <f>_xlfn.XLOOKUP(表格1[[#This Row],[Model]],表格3[Model-Input-Ref2],表格3[Code])</f>
        <v>WM</v>
      </c>
      <c r="K4283" s="89" t="s">
        <v>1202</v>
      </c>
      <c r="L4283" s="86">
        <v>2</v>
      </c>
      <c r="M4283" s="87">
        <v>1500</v>
      </c>
      <c r="N4283" s="87">
        <f>IFERROR(表格1[[#This Row],[QTY]]*表格1[[#This Row],[Unit Price]],"-")</f>
        <v>3000</v>
      </c>
      <c r="O4283" s="173"/>
      <c r="R4283" s="86" t="str">
        <f>_xlfn.CONCAT(表格1[[#This Row],[Model]]," ",表格1[[#This Row],[inv no]])</f>
        <v xml:space="preserve">AW-M901BPH(WW) </v>
      </c>
      <c r="S4283" s="86">
        <f>_xlfn.XLOOKUP(表格1[[#This Row],[Model]],表格3[Model-Input-Ref2],表格3[SRP PRICE])</f>
        <v>3580</v>
      </c>
      <c r="T4283" s="43">
        <f>表格1[[#This Row],[Unit Price]]/表格1[[#This Row],[SRP]]</f>
        <v>0.41899441340782123</v>
      </c>
      <c r="U4283" s="86" t="str">
        <f>_xlfn.XLOOKUP(表格1[[#This Row],[Model]],表格3[Model-Input-Ref2],表格3[TOSHIBA/HIGHEST])</f>
        <v>Toshiba SRP</v>
      </c>
      <c r="W4283" s="86" t="str">
        <f>_xlfn.CONCAT(表格1[[#This Row],[欄4]],表格1[[#This Row],[inv no]])</f>
        <v/>
      </c>
    </row>
    <row r="4284" spans="1:23">
      <c r="A4284" s="81">
        <v>4282</v>
      </c>
      <c r="B4284" s="86" t="s">
        <v>1203</v>
      </c>
      <c r="C4284" s="86" t="s">
        <v>2027</v>
      </c>
      <c r="D4284" s="89" t="str">
        <f ca="1">OFFSET(Roster!$A$3,MATCH(表格1[[#This Row],[Location]]&amp;" "&amp;表格1[[#This Row],[Shop]]&amp;"*",Roster!$A$4:$A$72,0),DAY(表格1[[#This Row],[date]]),1,1)</f>
        <v>May C</v>
      </c>
      <c r="E4284" s="86">
        <f>MONTH(表格1[[#This Row],[date]])</f>
        <v>3</v>
      </c>
      <c r="F4284" s="90">
        <v>46094</v>
      </c>
      <c r="G4284" s="86" t="str">
        <f>VLOOKUP("*"&amp;表格1[[#This Row],[Input]]&amp;"*",'Ref-List'!$B:$D,2,)</f>
        <v>TW-BL85A2H(WW)</v>
      </c>
      <c r="H4284" s="86" t="str">
        <f>_xlfn.XLOOKUP(表格1[[#This Row],[Model]],表格3[Model-Input-Ref2],表格3[Product Line])</f>
        <v>7.5KG超薄身前置式變頻洗衣機</v>
      </c>
      <c r="I4284" s="86" t="str">
        <f>_xlfn.XLOOKUP(表格1[[#This Row],[Model]],表格3[Model-Input-Ref2],表格3[大小電])</f>
        <v>大電</v>
      </c>
      <c r="J4284" s="86" t="str">
        <f>_xlfn.XLOOKUP(表格1[[#This Row],[Model]],表格3[Model-Input-Ref2],表格3[Code])</f>
        <v>WM</v>
      </c>
      <c r="K4284" s="89" t="s">
        <v>1206</v>
      </c>
      <c r="L4284" s="86">
        <v>2</v>
      </c>
      <c r="M4284" s="87">
        <v>2588</v>
      </c>
      <c r="N4284" s="87">
        <f>IFERROR(表格1[[#This Row],[QTY]]*表格1[[#This Row],[Unit Price]],"-")</f>
        <v>5176</v>
      </c>
      <c r="O4284" s="173"/>
      <c r="P4284" s="86" t="s">
        <v>2155</v>
      </c>
      <c r="R4284" s="86" t="str">
        <f>_xlfn.CONCAT(表格1[[#This Row],[Model]]," ",表格1[[#This Row],[inv no]])</f>
        <v xml:space="preserve">TW-BL85A2H(WW) </v>
      </c>
      <c r="S4284" s="86">
        <f>_xlfn.XLOOKUP(表格1[[#This Row],[Model]],表格3[Model-Input-Ref2],表格3[SRP PRICE])</f>
        <v>5080</v>
      </c>
      <c r="T4284" s="43">
        <f>表格1[[#This Row],[Unit Price]]/表格1[[#This Row],[SRP]]</f>
        <v>0.50944881889763782</v>
      </c>
      <c r="U4284" s="86" t="str">
        <f>_xlfn.XLOOKUP(表格1[[#This Row],[Model]],表格3[Model-Input-Ref2],表格3[TOSHIBA/HIGHEST])</f>
        <v>Toshiba SRP</v>
      </c>
      <c r="W4284" s="86" t="str">
        <f>_xlfn.CONCAT(表格1[[#This Row],[欄4]],表格1[[#This Row],[inv no]])</f>
        <v/>
      </c>
    </row>
    <row r="4285" spans="1:23">
      <c r="A4285" s="81">
        <v>4283</v>
      </c>
      <c r="B4285" s="86" t="s">
        <v>1203</v>
      </c>
      <c r="C4285" s="86" t="s">
        <v>2027</v>
      </c>
      <c r="D4285" s="89" t="str">
        <f ca="1">OFFSET(Roster!$A$3,MATCH(表格1[[#This Row],[Location]]&amp;" "&amp;表格1[[#This Row],[Shop]]&amp;"*",Roster!$A$4:$A$72,0),DAY(表格1[[#This Row],[date]]),1,1)</f>
        <v>May C</v>
      </c>
      <c r="E4285" s="86">
        <f>MONTH(表格1[[#This Row],[date]])</f>
        <v>3</v>
      </c>
      <c r="F4285" s="90">
        <v>46083</v>
      </c>
      <c r="G4285" s="86" t="str">
        <f>VLOOKUP("*"&amp;表格1[[#This Row],[Input]]&amp;"*",'Ref-List'!$B:$D,2,)</f>
        <v>CFK01W75</v>
      </c>
      <c r="H4285" s="86" t="str">
        <f>_xlfn.XLOOKUP(表格1[[#This Row],[Model]],表格3[Model-Input-Ref2],表格3[Product Line])</f>
        <v>變頻頂揭式洗衣機 (7.5公斤)</v>
      </c>
      <c r="I4285" s="86" t="str">
        <f>_xlfn.XLOOKUP(表格1[[#This Row],[Model]],表格3[Model-Input-Ref2],表格3[大小電])</f>
        <v>大電</v>
      </c>
      <c r="J4285" s="86" t="str">
        <f>_xlfn.XLOOKUP(表格1[[#This Row],[Model]],表格3[Model-Input-Ref2],表格3[Code])</f>
        <v>LAD</v>
      </c>
      <c r="K4285" s="89" t="s">
        <v>1266</v>
      </c>
      <c r="L4285" s="86">
        <v>1</v>
      </c>
      <c r="M4285" s="87">
        <v>3401</v>
      </c>
      <c r="N4285" s="87">
        <f>IFERROR(表格1[[#This Row],[QTY]]*表格1[[#This Row],[Unit Price]],"-")</f>
        <v>3401</v>
      </c>
      <c r="O4285" s="173">
        <v>6179744</v>
      </c>
      <c r="R4285" s="86" t="str">
        <f>_xlfn.CONCAT(表格1[[#This Row],[Model]]," ",表格1[[#This Row],[inv no]])</f>
        <v>CFK01W75 6179744</v>
      </c>
      <c r="S4285" s="86">
        <f>_xlfn.XLOOKUP(表格1[[#This Row],[Model]],表格3[Model-Input-Ref2],表格3[SRP PRICE])</f>
        <v>3888</v>
      </c>
      <c r="T4285" s="43">
        <f>表格1[[#This Row],[Unit Price]]/表格1[[#This Row],[SRP]]</f>
        <v>0.87474279835390945</v>
      </c>
      <c r="U4285" s="86" t="str">
        <f>_xlfn.XLOOKUP(表格1[[#This Row],[Model]],表格3[Model-Input-Ref2],表格3[TOSHIBA/HIGHEST])</f>
        <v>Shops Highest Price</v>
      </c>
      <c r="W4285" s="86" t="str">
        <f>_xlfn.CONCAT(表格1[[#This Row],[欄4]],表格1[[#This Row],[inv no]])</f>
        <v>6179744</v>
      </c>
    </row>
    <row r="4286" spans="1:23">
      <c r="A4286" s="81">
        <v>4284</v>
      </c>
      <c r="B4286" s="86" t="s">
        <v>1203</v>
      </c>
      <c r="C4286" s="86" t="s">
        <v>2027</v>
      </c>
      <c r="D4286" s="89" t="str">
        <f ca="1">OFFSET(Roster!$A$3,MATCH(表格1[[#This Row],[Location]]&amp;" "&amp;表格1[[#This Row],[Shop]]&amp;"*",Roster!$A$4:$A$72,0),DAY(表格1[[#This Row],[date]]),1,1)</f>
        <v>May C</v>
      </c>
      <c r="E4286" s="86">
        <f>MONTH(表格1[[#This Row],[date]])</f>
        <v>3</v>
      </c>
      <c r="F4286" s="90">
        <v>46083</v>
      </c>
      <c r="G4286" s="86" t="str">
        <f>VLOOKUP("*"&amp;表格1[[#This Row],[Input]]&amp;"*",'Ref-List'!$B:$D,2,)</f>
        <v>CFK01W75</v>
      </c>
      <c r="H4286" s="86" t="str">
        <f>_xlfn.XLOOKUP(表格1[[#This Row],[Model]],表格3[Model-Input-Ref2],表格3[Product Line])</f>
        <v>變頻頂揭式洗衣機 (7.5公斤)</v>
      </c>
      <c r="I4286" s="86" t="str">
        <f>_xlfn.XLOOKUP(表格1[[#This Row],[Model]],表格3[Model-Input-Ref2],表格3[大小電])</f>
        <v>大電</v>
      </c>
      <c r="J4286" s="86" t="str">
        <f>_xlfn.XLOOKUP(表格1[[#This Row],[Model]],表格3[Model-Input-Ref2],表格3[Code])</f>
        <v>LAD</v>
      </c>
      <c r="K4286" s="89" t="s">
        <v>1266</v>
      </c>
      <c r="L4286" s="86">
        <v>1</v>
      </c>
      <c r="M4286" s="87">
        <v>3580</v>
      </c>
      <c r="N4286" s="87">
        <f>IFERROR(表格1[[#This Row],[QTY]]*表格1[[#This Row],[Unit Price]],"-")</f>
        <v>3580</v>
      </c>
      <c r="O4286" s="173">
        <v>6029045</v>
      </c>
      <c r="R4286" s="86" t="str">
        <f>_xlfn.CONCAT(表格1[[#This Row],[Model]]," ",表格1[[#This Row],[inv no]])</f>
        <v>CFK01W75 6029045</v>
      </c>
      <c r="S4286" s="86">
        <f>_xlfn.XLOOKUP(表格1[[#This Row],[Model]],表格3[Model-Input-Ref2],表格3[SRP PRICE])</f>
        <v>3888</v>
      </c>
      <c r="T4286" s="43">
        <f>表格1[[#This Row],[Unit Price]]/表格1[[#This Row],[SRP]]</f>
        <v>0.92078189300411528</v>
      </c>
      <c r="U4286" s="86" t="str">
        <f>_xlfn.XLOOKUP(表格1[[#This Row],[Model]],表格3[Model-Input-Ref2],表格3[TOSHIBA/HIGHEST])</f>
        <v>Shops Highest Price</v>
      </c>
      <c r="W4286" s="86" t="str">
        <f>_xlfn.CONCAT(表格1[[#This Row],[欄4]],表格1[[#This Row],[inv no]])</f>
        <v>6029045</v>
      </c>
    </row>
    <row r="4287" spans="1:23">
      <c r="A4287" s="81">
        <v>4285</v>
      </c>
      <c r="B4287" s="86" t="s">
        <v>1203</v>
      </c>
      <c r="C4287" s="86" t="s">
        <v>2027</v>
      </c>
      <c r="D4287" s="89" t="str">
        <f ca="1">OFFSET(Roster!$A$3,MATCH(表格1[[#This Row],[Location]]&amp;" "&amp;表格1[[#This Row],[Shop]]&amp;"*",Roster!$A$4:$A$72,0),DAY(表格1[[#This Row],[date]]),1,1)</f>
        <v>May C</v>
      </c>
      <c r="E4287" s="86">
        <f>MONTH(表格1[[#This Row],[date]])</f>
        <v>3</v>
      </c>
      <c r="F4287" s="90">
        <v>46083</v>
      </c>
      <c r="G4287" s="86" t="str">
        <f>VLOOKUP("*"&amp;表格1[[#This Row],[Input]]&amp;"*",'Ref-List'!$B:$D,2,)</f>
        <v>TW-T22BU95UWH(WK)-B</v>
      </c>
      <c r="H4287" s="86" t="str">
        <f>_xlfn.XLOOKUP(表格1[[#This Row],[Model]],表格3[Model-Input-Ref2],表格3[Product Line])</f>
        <v>470MM超薄身前置式變頻洗衣機(8.5公斤, 可飛頂)</v>
      </c>
      <c r="I4287" s="86" t="str">
        <f>_xlfn.XLOOKUP(表格1[[#This Row],[Model]],表格3[Model-Input-Ref2],表格3[大小電])</f>
        <v>大電</v>
      </c>
      <c r="J4287" s="86" t="str">
        <f>_xlfn.XLOOKUP(表格1[[#This Row],[Model]],表格3[Model-Input-Ref2],表格3[Code])</f>
        <v>LAD</v>
      </c>
      <c r="K4287" s="89" t="s">
        <v>969</v>
      </c>
      <c r="L4287" s="86">
        <v>1</v>
      </c>
      <c r="M4287" s="87">
        <v>3680</v>
      </c>
      <c r="N4287" s="87">
        <f>IFERROR(表格1[[#This Row],[QTY]]*表格1[[#This Row],[Unit Price]],"-")</f>
        <v>3680</v>
      </c>
      <c r="O4287" s="173">
        <v>6029823</v>
      </c>
      <c r="R4287" s="86" t="str">
        <f>_xlfn.CONCAT(表格1[[#This Row],[Model]]," ",表格1[[#This Row],[inv no]])</f>
        <v>TW-T22BU95UWH(WK)-B 6029823</v>
      </c>
      <c r="S4287" s="86">
        <f>_xlfn.XLOOKUP(表格1[[#This Row],[Model]],表格3[Model-Input-Ref2],表格3[SRP PRICE])</f>
        <v>5880</v>
      </c>
      <c r="T4287" s="43">
        <f>表格1[[#This Row],[Unit Price]]/表格1[[#This Row],[SRP]]</f>
        <v>0.62585034013605445</v>
      </c>
      <c r="U4287" s="86" t="str">
        <f>_xlfn.XLOOKUP(表格1[[#This Row],[Model]],表格3[Model-Input-Ref2],表格3[TOSHIBA/HIGHEST])</f>
        <v>Toshiba SRP</v>
      </c>
      <c r="W4287" s="86" t="str">
        <f>_xlfn.CONCAT(表格1[[#This Row],[欄4]],表格1[[#This Row],[inv no]])</f>
        <v>6029823</v>
      </c>
    </row>
    <row r="4288" spans="1:23">
      <c r="A4288" s="81">
        <v>4286</v>
      </c>
      <c r="B4288" s="86" t="s">
        <v>1203</v>
      </c>
      <c r="C4288" s="86" t="s">
        <v>2027</v>
      </c>
      <c r="D4288" s="89" t="str">
        <f ca="1">OFFSET(Roster!$A$3,MATCH(表格1[[#This Row],[Location]]&amp;" "&amp;表格1[[#This Row],[Shop]]&amp;"*",Roster!$A$4:$A$72,0),DAY(表格1[[#This Row],[date]]),1,1)</f>
        <v>May C</v>
      </c>
      <c r="E4288" s="86">
        <f>MONTH(表格1[[#This Row],[date]])</f>
        <v>3</v>
      </c>
      <c r="F4288" s="90">
        <v>46084</v>
      </c>
      <c r="G4288" s="86" t="str">
        <f>VLOOKUP("*"&amp;表格1[[#This Row],[Input]]&amp;"*",'Ref-List'!$B:$D,2,)</f>
        <v>CFK01W75</v>
      </c>
      <c r="H4288" s="86" t="str">
        <f>_xlfn.XLOOKUP(表格1[[#This Row],[Model]],表格3[Model-Input-Ref2],表格3[Product Line])</f>
        <v>變頻頂揭式洗衣機 (7.5公斤)</v>
      </c>
      <c r="I4288" s="86" t="str">
        <f>_xlfn.XLOOKUP(表格1[[#This Row],[Model]],表格3[Model-Input-Ref2],表格3[大小電])</f>
        <v>大電</v>
      </c>
      <c r="J4288" s="86" t="str">
        <f>_xlfn.XLOOKUP(表格1[[#This Row],[Model]],表格3[Model-Input-Ref2],表格3[Code])</f>
        <v>LAD</v>
      </c>
      <c r="K4288" s="89" t="s">
        <v>1266</v>
      </c>
      <c r="L4288" s="86">
        <v>1</v>
      </c>
      <c r="M4288" s="87">
        <v>3401</v>
      </c>
      <c r="N4288" s="87">
        <f>IFERROR(表格1[[#This Row],[QTY]]*表格1[[#This Row],[Unit Price]],"-")</f>
        <v>3401</v>
      </c>
      <c r="O4288" s="173">
        <v>6029951</v>
      </c>
      <c r="R4288" s="86" t="str">
        <f>_xlfn.CONCAT(表格1[[#This Row],[Model]]," ",表格1[[#This Row],[inv no]])</f>
        <v>CFK01W75 6029951</v>
      </c>
      <c r="S4288" s="86">
        <f>_xlfn.XLOOKUP(表格1[[#This Row],[Model]],表格3[Model-Input-Ref2],表格3[SRP PRICE])</f>
        <v>3888</v>
      </c>
      <c r="T4288" s="43">
        <f>表格1[[#This Row],[Unit Price]]/表格1[[#This Row],[SRP]]</f>
        <v>0.87474279835390945</v>
      </c>
      <c r="U4288" s="86" t="str">
        <f>_xlfn.XLOOKUP(表格1[[#This Row],[Model]],表格3[Model-Input-Ref2],表格3[TOSHIBA/HIGHEST])</f>
        <v>Shops Highest Price</v>
      </c>
      <c r="W4288" s="86" t="str">
        <f>_xlfn.CONCAT(表格1[[#This Row],[欄4]],表格1[[#This Row],[inv no]])</f>
        <v>6029951</v>
      </c>
    </row>
    <row r="4289" spans="1:23">
      <c r="A4289" s="81">
        <v>4287</v>
      </c>
      <c r="B4289" s="86" t="s">
        <v>1203</v>
      </c>
      <c r="C4289" s="86" t="s">
        <v>2027</v>
      </c>
      <c r="D4289" s="89" t="str">
        <f ca="1">OFFSET(Roster!$A$3,MATCH(表格1[[#This Row],[Location]]&amp;" "&amp;表格1[[#This Row],[Shop]]&amp;"*",Roster!$A$4:$A$72,0),DAY(表格1[[#This Row],[date]]),1,1)</f>
        <v>May C</v>
      </c>
      <c r="E4289" s="86">
        <f>MONTH(表格1[[#This Row],[date]])</f>
        <v>3</v>
      </c>
      <c r="F4289" s="90">
        <v>46084</v>
      </c>
      <c r="G4289" s="86" t="str">
        <f>VLOOKUP("*"&amp;表格1[[#This Row],[Input]]&amp;"*",'Ref-List'!$B:$D,2,)</f>
        <v>TW-T22BU95UWH(WK)-B</v>
      </c>
      <c r="H4289" s="86" t="str">
        <f>_xlfn.XLOOKUP(表格1[[#This Row],[Model]],表格3[Model-Input-Ref2],表格3[Product Line])</f>
        <v>470MM超薄身前置式變頻洗衣機(8.5公斤, 可飛頂)</v>
      </c>
      <c r="I4289" s="86" t="str">
        <f>_xlfn.XLOOKUP(表格1[[#This Row],[Model]],表格3[Model-Input-Ref2],表格3[大小電])</f>
        <v>大電</v>
      </c>
      <c r="J4289" s="86" t="str">
        <f>_xlfn.XLOOKUP(表格1[[#This Row],[Model]],表格3[Model-Input-Ref2],表格3[Code])</f>
        <v>LAD</v>
      </c>
      <c r="K4289" s="89" t="s">
        <v>969</v>
      </c>
      <c r="L4289" s="86">
        <v>1</v>
      </c>
      <c r="M4289" s="87">
        <v>3496</v>
      </c>
      <c r="N4289" s="87">
        <f>IFERROR(表格1[[#This Row],[QTY]]*表格1[[#This Row],[Unit Price]],"-")</f>
        <v>3496</v>
      </c>
      <c r="O4289" s="173">
        <v>6032353</v>
      </c>
      <c r="R4289" s="86" t="str">
        <f>_xlfn.CONCAT(表格1[[#This Row],[Model]]," ",表格1[[#This Row],[inv no]])</f>
        <v>TW-T22BU95UWH(WK)-B 6032353</v>
      </c>
      <c r="S4289" s="86">
        <f>_xlfn.XLOOKUP(表格1[[#This Row],[Model]],表格3[Model-Input-Ref2],表格3[SRP PRICE])</f>
        <v>5880</v>
      </c>
      <c r="T4289" s="43">
        <f>表格1[[#This Row],[Unit Price]]/表格1[[#This Row],[SRP]]</f>
        <v>0.59455782312925165</v>
      </c>
      <c r="U4289" s="86" t="str">
        <f>_xlfn.XLOOKUP(表格1[[#This Row],[Model]],表格3[Model-Input-Ref2],表格3[TOSHIBA/HIGHEST])</f>
        <v>Toshiba SRP</v>
      </c>
      <c r="W4289" s="86" t="str">
        <f>_xlfn.CONCAT(表格1[[#This Row],[欄4]],表格1[[#This Row],[inv no]])</f>
        <v>6032353</v>
      </c>
    </row>
    <row r="4290" spans="1:23">
      <c r="A4290" s="81">
        <v>4288</v>
      </c>
      <c r="B4290" s="86" t="s">
        <v>1203</v>
      </c>
      <c r="C4290" s="86" t="s">
        <v>2027</v>
      </c>
      <c r="D4290" s="89" t="str">
        <f ca="1">OFFSET(Roster!$A$3,MATCH(表格1[[#This Row],[Location]]&amp;" "&amp;表格1[[#This Row],[Shop]]&amp;"*",Roster!$A$4:$A$72,0),DAY(表格1[[#This Row],[date]]),1,1)</f>
        <v>May C</v>
      </c>
      <c r="E4290" s="86">
        <f>MONTH(表格1[[#This Row],[date]])</f>
        <v>3</v>
      </c>
      <c r="F4290" s="90">
        <v>46084</v>
      </c>
      <c r="G4290" s="86" t="str">
        <f>VLOOKUP("*"&amp;表格1[[#This Row],[Input]]&amp;"*",'Ref-List'!$B:$D,2,)</f>
        <v>CFK01W75</v>
      </c>
      <c r="H4290" s="86" t="str">
        <f>_xlfn.XLOOKUP(表格1[[#This Row],[Model]],表格3[Model-Input-Ref2],表格3[Product Line])</f>
        <v>變頻頂揭式洗衣機 (7.5公斤)</v>
      </c>
      <c r="I4290" s="86" t="str">
        <f>_xlfn.XLOOKUP(表格1[[#This Row],[Model]],表格3[Model-Input-Ref2],表格3[大小電])</f>
        <v>大電</v>
      </c>
      <c r="J4290" s="86" t="str">
        <f>_xlfn.XLOOKUP(表格1[[#This Row],[Model]],表格3[Model-Input-Ref2],表格3[Code])</f>
        <v>LAD</v>
      </c>
      <c r="K4290" s="89" t="s">
        <v>1266</v>
      </c>
      <c r="L4290" s="86">
        <v>1</v>
      </c>
      <c r="M4290" s="87">
        <v>3580</v>
      </c>
      <c r="N4290" s="87">
        <f>IFERROR(表格1[[#This Row],[QTY]]*表格1[[#This Row],[Unit Price]],"-")</f>
        <v>3580</v>
      </c>
      <c r="O4290" s="173">
        <v>6032470</v>
      </c>
      <c r="R4290" s="86" t="str">
        <f>_xlfn.CONCAT(表格1[[#This Row],[Model]]," ",表格1[[#This Row],[inv no]])</f>
        <v>CFK01W75 6032470</v>
      </c>
      <c r="S4290" s="86">
        <f>_xlfn.XLOOKUP(表格1[[#This Row],[Model]],表格3[Model-Input-Ref2],表格3[SRP PRICE])</f>
        <v>3888</v>
      </c>
      <c r="T4290" s="43">
        <f>表格1[[#This Row],[Unit Price]]/表格1[[#This Row],[SRP]]</f>
        <v>0.92078189300411528</v>
      </c>
      <c r="U4290" s="86" t="str">
        <f>_xlfn.XLOOKUP(表格1[[#This Row],[Model]],表格3[Model-Input-Ref2],表格3[TOSHIBA/HIGHEST])</f>
        <v>Shops Highest Price</v>
      </c>
      <c r="W4290" s="86" t="str">
        <f>_xlfn.CONCAT(表格1[[#This Row],[欄4]],表格1[[#This Row],[inv no]])</f>
        <v>6032470</v>
      </c>
    </row>
    <row r="4291" spans="1:23">
      <c r="A4291" s="81">
        <v>4289</v>
      </c>
      <c r="B4291" s="86" t="s">
        <v>1203</v>
      </c>
      <c r="C4291" s="86" t="s">
        <v>2027</v>
      </c>
      <c r="D4291" s="89" t="str">
        <f ca="1">OFFSET(Roster!$A$3,MATCH(表格1[[#This Row],[Location]]&amp;" "&amp;表格1[[#This Row],[Shop]]&amp;"*",Roster!$A$4:$A$72,0),DAY(表格1[[#This Row],[date]]),1,1)</f>
        <v>May C</v>
      </c>
      <c r="E4291" s="86">
        <f>MONTH(表格1[[#This Row],[date]])</f>
        <v>3</v>
      </c>
      <c r="F4291" s="90">
        <v>46084</v>
      </c>
      <c r="G4291" s="86" t="str">
        <f>VLOOKUP("*"&amp;表格1[[#This Row],[Input]]&amp;"*",'Ref-List'!$B:$D,2,)</f>
        <v>GR-RT300WE-PMA(57)</v>
      </c>
      <c r="H4291" s="86" t="str">
        <f>_xlfn.XLOOKUP(表格1[[#This Row],[Model]],表格3[Model-Input-Ref2],表格3[Product Line])</f>
        <v>變頻式環保雙門雪櫃(233L)</v>
      </c>
      <c r="I4291" s="86" t="str">
        <f>_xlfn.XLOOKUP(表格1[[#This Row],[Model]],表格3[Model-Input-Ref2],表格3[大小電])</f>
        <v>大電</v>
      </c>
      <c r="J4291" s="86" t="str">
        <f>_xlfn.XLOOKUP(表格1[[#This Row],[Model]],表格3[Model-Input-Ref2],表格3[Code])</f>
        <v>REF</v>
      </c>
      <c r="K4291" s="89" t="s">
        <v>1462</v>
      </c>
      <c r="L4291" s="86">
        <v>1</v>
      </c>
      <c r="M4291" s="87">
        <v>2641</v>
      </c>
      <c r="N4291" s="87">
        <f>IFERROR(表格1[[#This Row],[QTY]]*表格1[[#This Row],[Unit Price]],"-")</f>
        <v>2641</v>
      </c>
      <c r="O4291" s="173">
        <v>6032603</v>
      </c>
      <c r="R4291" s="86" t="str">
        <f>_xlfn.CONCAT(表格1[[#This Row],[Model]]," ",表格1[[#This Row],[inv no]])</f>
        <v>GR-RT300WE-PMA(57) 6032603</v>
      </c>
      <c r="S4291" s="86">
        <f>_xlfn.XLOOKUP(表格1[[#This Row],[Model]],表格3[Model-Input-Ref2],表格3[SRP PRICE])</f>
        <v>4280</v>
      </c>
      <c r="T4291" s="43">
        <f>表格1[[#This Row],[Unit Price]]/表格1[[#This Row],[SRP]]</f>
        <v>0.61705607476635516</v>
      </c>
      <c r="U4291" s="86" t="str">
        <f>_xlfn.XLOOKUP(表格1[[#This Row],[Model]],表格3[Model-Input-Ref2],表格3[TOSHIBA/HIGHEST])</f>
        <v>Toshiba SRP</v>
      </c>
      <c r="W4291" s="86" t="str">
        <f>_xlfn.CONCAT(表格1[[#This Row],[欄4]],表格1[[#This Row],[inv no]])</f>
        <v>6032603</v>
      </c>
    </row>
    <row r="4292" spans="1:23">
      <c r="A4292" s="81">
        <v>4290</v>
      </c>
      <c r="B4292" s="86" t="s">
        <v>1203</v>
      </c>
      <c r="C4292" s="86" t="s">
        <v>2027</v>
      </c>
      <c r="D4292" s="89" t="str">
        <f ca="1">OFFSET(Roster!$A$3,MATCH(表格1[[#This Row],[Location]]&amp;" "&amp;表格1[[#This Row],[Shop]]&amp;"*",Roster!$A$4:$A$72,0),DAY(表格1[[#This Row],[date]]),1,1)</f>
        <v>May C</v>
      </c>
      <c r="E4292" s="86">
        <f>MONTH(表格1[[#This Row],[date]])</f>
        <v>3</v>
      </c>
      <c r="F4292" s="90">
        <v>46086</v>
      </c>
      <c r="G4292" s="86" t="str">
        <f>VLOOKUP("*"&amp;表格1[[#This Row],[Input]]&amp;"*",'Ref-List'!$B:$D,2,)</f>
        <v>GR-RB221WE-PMA(57)</v>
      </c>
      <c r="H4292" s="86" t="str">
        <f>_xlfn.XLOOKUP(表格1[[#This Row],[Model]],表格3[Model-Input-Ref2],表格3[Product Line])</f>
        <v>變頻下置式雙門雪櫃（163L）</v>
      </c>
      <c r="I4292" s="86" t="str">
        <f>_xlfn.XLOOKUP(表格1[[#This Row],[Model]],表格3[Model-Input-Ref2],表格3[大小電])</f>
        <v>大電</v>
      </c>
      <c r="J4292" s="86" t="str">
        <f>_xlfn.XLOOKUP(表格1[[#This Row],[Model]],表格3[Model-Input-Ref2],表格3[Code])</f>
        <v>REF</v>
      </c>
      <c r="K4292" s="89" t="s">
        <v>1386</v>
      </c>
      <c r="L4292" s="86">
        <v>1</v>
      </c>
      <c r="M4292" s="87">
        <v>1786</v>
      </c>
      <c r="N4292" s="87">
        <f>IFERROR(表格1[[#This Row],[QTY]]*表格1[[#This Row],[Unit Price]],"-")</f>
        <v>1786</v>
      </c>
      <c r="O4292" s="173">
        <v>6032721</v>
      </c>
      <c r="R4292" s="86" t="str">
        <f>_xlfn.CONCAT(表格1[[#This Row],[Model]]," ",表格1[[#This Row],[inv no]])</f>
        <v>GR-RB221WE-PMA(57) 6032721</v>
      </c>
      <c r="S4292" s="86">
        <f>_xlfn.XLOOKUP(表格1[[#This Row],[Model]],表格3[Model-Input-Ref2],表格3[SRP PRICE])</f>
        <v>3480</v>
      </c>
      <c r="T4292" s="43">
        <f>表格1[[#This Row],[Unit Price]]/表格1[[#This Row],[SRP]]</f>
        <v>0.51321839080459775</v>
      </c>
      <c r="U4292" s="86" t="str">
        <f>_xlfn.XLOOKUP(表格1[[#This Row],[Model]],表格3[Model-Input-Ref2],表格3[TOSHIBA/HIGHEST])</f>
        <v>Toshiba SRP</v>
      </c>
      <c r="W4292" s="86" t="str">
        <f>_xlfn.CONCAT(表格1[[#This Row],[欄4]],表格1[[#This Row],[inv no]])</f>
        <v>6032721</v>
      </c>
    </row>
    <row r="4293" spans="1:23">
      <c r="A4293" s="81">
        <v>4291</v>
      </c>
      <c r="B4293" s="86" t="s">
        <v>1203</v>
      </c>
      <c r="C4293" s="86" t="s">
        <v>2027</v>
      </c>
      <c r="D4293" s="89" t="str">
        <f ca="1">OFFSET(Roster!$A$3,MATCH(表格1[[#This Row],[Location]]&amp;" "&amp;表格1[[#This Row],[Shop]]&amp;"*",Roster!$A$4:$A$72,0),DAY(表格1[[#This Row],[date]]),1,1)</f>
        <v>May C</v>
      </c>
      <c r="E4293" s="86">
        <f>MONTH(表格1[[#This Row],[date]])</f>
        <v>3</v>
      </c>
      <c r="F4293" s="90">
        <v>46086</v>
      </c>
      <c r="G4293" s="86" t="str">
        <f>VLOOKUP("*"&amp;表格1[[#This Row],[Input]]&amp;"*",'Ref-List'!$B:$D,2,)</f>
        <v>CFK01W75</v>
      </c>
      <c r="H4293" s="86" t="str">
        <f>_xlfn.XLOOKUP(表格1[[#This Row],[Model]],表格3[Model-Input-Ref2],表格3[Product Line])</f>
        <v>變頻頂揭式洗衣機 (7.5公斤)</v>
      </c>
      <c r="I4293" s="86" t="str">
        <f>_xlfn.XLOOKUP(表格1[[#This Row],[Model]],表格3[Model-Input-Ref2],表格3[大小電])</f>
        <v>大電</v>
      </c>
      <c r="J4293" s="86" t="str">
        <f>_xlfn.XLOOKUP(表格1[[#This Row],[Model]],表格3[Model-Input-Ref2],表格3[Code])</f>
        <v>LAD</v>
      </c>
      <c r="K4293" s="89" t="s">
        <v>1266</v>
      </c>
      <c r="L4293" s="86">
        <v>1</v>
      </c>
      <c r="M4293" s="87">
        <v>3401</v>
      </c>
      <c r="N4293" s="87">
        <f>IFERROR(表格1[[#This Row],[QTY]]*表格1[[#This Row],[Unit Price]],"-")</f>
        <v>3401</v>
      </c>
      <c r="O4293" s="173">
        <v>6032673</v>
      </c>
      <c r="R4293" s="86" t="str">
        <f>_xlfn.CONCAT(表格1[[#This Row],[Model]]," ",表格1[[#This Row],[inv no]])</f>
        <v>CFK01W75 6032673</v>
      </c>
      <c r="S4293" s="86">
        <f>_xlfn.XLOOKUP(表格1[[#This Row],[Model]],表格3[Model-Input-Ref2],表格3[SRP PRICE])</f>
        <v>3888</v>
      </c>
      <c r="T4293" s="43">
        <f>表格1[[#This Row],[Unit Price]]/表格1[[#This Row],[SRP]]</f>
        <v>0.87474279835390945</v>
      </c>
      <c r="U4293" s="86" t="str">
        <f>_xlfn.XLOOKUP(表格1[[#This Row],[Model]],表格3[Model-Input-Ref2],表格3[TOSHIBA/HIGHEST])</f>
        <v>Shops Highest Price</v>
      </c>
      <c r="W4293" s="86" t="str">
        <f>_xlfn.CONCAT(表格1[[#This Row],[欄4]],表格1[[#This Row],[inv no]])</f>
        <v>6032673</v>
      </c>
    </row>
    <row r="4294" spans="1:23">
      <c r="A4294" s="81">
        <v>4292</v>
      </c>
      <c r="B4294" s="86" t="s">
        <v>1203</v>
      </c>
      <c r="C4294" s="86" t="s">
        <v>2027</v>
      </c>
      <c r="D4294" s="89" t="str">
        <f ca="1">OFFSET(Roster!$A$3,MATCH(表格1[[#This Row],[Location]]&amp;" "&amp;表格1[[#This Row],[Shop]]&amp;"*",Roster!$A$4:$A$72,0),DAY(表格1[[#This Row],[date]]),1,1)</f>
        <v>May C</v>
      </c>
      <c r="E4294" s="86">
        <f>MONTH(表格1[[#This Row],[date]])</f>
        <v>3</v>
      </c>
      <c r="F4294" s="90">
        <v>46086</v>
      </c>
      <c r="G4294" s="86" t="str">
        <f>VLOOKUP("*"&amp;表格1[[#This Row],[Input]]&amp;"*",'Ref-List'!$B:$D,2,)</f>
        <v>TW-T22BU95UWH(WK)-B</v>
      </c>
      <c r="H4294" s="86" t="str">
        <f>_xlfn.XLOOKUP(表格1[[#This Row],[Model]],表格3[Model-Input-Ref2],表格3[Product Line])</f>
        <v>470MM超薄身前置式變頻洗衣機(8.5公斤, 可飛頂)</v>
      </c>
      <c r="I4294" s="86" t="str">
        <f>_xlfn.XLOOKUP(表格1[[#This Row],[Model]],表格3[Model-Input-Ref2],表格3[大小電])</f>
        <v>大電</v>
      </c>
      <c r="J4294" s="86" t="str">
        <f>_xlfn.XLOOKUP(表格1[[#This Row],[Model]],表格3[Model-Input-Ref2],表格3[Code])</f>
        <v>LAD</v>
      </c>
      <c r="K4294" s="89" t="s">
        <v>969</v>
      </c>
      <c r="L4294" s="86">
        <v>1</v>
      </c>
      <c r="M4294" s="87">
        <v>3496</v>
      </c>
      <c r="N4294" s="87">
        <f>IFERROR(表格1[[#This Row],[QTY]]*表格1[[#This Row],[Unit Price]],"-")</f>
        <v>3496</v>
      </c>
      <c r="O4294" s="173">
        <v>6032702</v>
      </c>
      <c r="R4294" s="86" t="str">
        <f>_xlfn.CONCAT(表格1[[#This Row],[Model]]," ",表格1[[#This Row],[inv no]])</f>
        <v>TW-T22BU95UWH(WK)-B 6032702</v>
      </c>
      <c r="S4294" s="86">
        <f>_xlfn.XLOOKUP(表格1[[#This Row],[Model]],表格3[Model-Input-Ref2],表格3[SRP PRICE])</f>
        <v>5880</v>
      </c>
      <c r="T4294" s="43">
        <f>表格1[[#This Row],[Unit Price]]/表格1[[#This Row],[SRP]]</f>
        <v>0.59455782312925165</v>
      </c>
      <c r="U4294" s="86" t="str">
        <f>_xlfn.XLOOKUP(表格1[[#This Row],[Model]],表格3[Model-Input-Ref2],表格3[TOSHIBA/HIGHEST])</f>
        <v>Toshiba SRP</v>
      </c>
      <c r="W4294" s="86" t="str">
        <f>_xlfn.CONCAT(表格1[[#This Row],[欄4]],表格1[[#This Row],[inv no]])</f>
        <v>6032702</v>
      </c>
    </row>
    <row r="4295" spans="1:23">
      <c r="A4295" s="81">
        <v>4293</v>
      </c>
      <c r="B4295" s="86" t="s">
        <v>1203</v>
      </c>
      <c r="C4295" s="86" t="s">
        <v>2027</v>
      </c>
      <c r="D4295" s="89" t="str">
        <f ca="1">OFFSET(Roster!$A$3,MATCH(表格1[[#This Row],[Location]]&amp;" "&amp;表格1[[#This Row],[Shop]]&amp;"*",Roster!$A$4:$A$72,0),DAY(表格1[[#This Row],[date]]),1,1)</f>
        <v>May C</v>
      </c>
      <c r="E4295" s="86">
        <f>MONTH(表格1[[#This Row],[date]])</f>
        <v>3</v>
      </c>
      <c r="F4295" s="90">
        <v>46087</v>
      </c>
      <c r="G4295" s="86" t="str">
        <f>VLOOKUP("*"&amp;表格1[[#This Row],[Input]]&amp;"*",'Ref-List'!$B:$D,2,)</f>
        <v>AW-Q901BPH(WW)</v>
      </c>
      <c r="H4295" s="86" t="str">
        <f>_xlfn.XLOOKUP(表格1[[#This Row],[Model]],表格3[Model-Input-Ref2],表格3[Product Line])</f>
        <v>日式洗衣機 (8公斤 結合高低水位)</v>
      </c>
      <c r="I4295" s="86" t="str">
        <f>_xlfn.XLOOKUP(表格1[[#This Row],[Model]],表格3[Model-Input-Ref2],表格3[大小電])</f>
        <v>大電</v>
      </c>
      <c r="J4295" s="86" t="str">
        <f>_xlfn.XLOOKUP(表格1[[#This Row],[Model]],表格3[Model-Input-Ref2],表格3[Code])</f>
        <v>LAD</v>
      </c>
      <c r="K4295" s="89" t="s">
        <v>1411</v>
      </c>
      <c r="L4295" s="86">
        <v>1</v>
      </c>
      <c r="M4295" s="87">
        <v>2546</v>
      </c>
      <c r="N4295" s="87">
        <f>IFERROR(表格1[[#This Row],[QTY]]*表格1[[#This Row],[Unit Price]],"-")</f>
        <v>2546</v>
      </c>
      <c r="O4295" s="173">
        <v>6032671</v>
      </c>
      <c r="P4295" s="86" t="s">
        <v>2160</v>
      </c>
      <c r="R4295" s="86" t="str">
        <f>_xlfn.CONCAT(表格1[[#This Row],[Model]]," ",表格1[[#This Row],[inv no]])</f>
        <v>AW-Q901BPH(WW) 6032671</v>
      </c>
      <c r="S4295" s="86">
        <f>_xlfn.XLOOKUP(表格1[[#This Row],[Model]],表格3[Model-Input-Ref2],表格3[SRP PRICE])</f>
        <v>3780</v>
      </c>
      <c r="T4295" s="43">
        <f>表格1[[#This Row],[Unit Price]]/表格1[[#This Row],[SRP]]</f>
        <v>0.67354497354497356</v>
      </c>
      <c r="U4295" s="86" t="str">
        <f>_xlfn.XLOOKUP(表格1[[#This Row],[Model]],表格3[Model-Input-Ref2],表格3[TOSHIBA/HIGHEST])</f>
        <v>Toshiba SRP</v>
      </c>
      <c r="W4295" s="86" t="str">
        <f>_xlfn.CONCAT(表格1[[#This Row],[欄4]],表格1[[#This Row],[inv no]])</f>
        <v>6032671</v>
      </c>
    </row>
    <row r="4296" spans="1:23">
      <c r="A4296" s="81">
        <v>4294</v>
      </c>
      <c r="B4296" s="86" t="s">
        <v>1203</v>
      </c>
      <c r="C4296" s="86" t="s">
        <v>2027</v>
      </c>
      <c r="D4296" s="89" t="str">
        <f ca="1">OFFSET(Roster!$A$3,MATCH(表格1[[#This Row],[Location]]&amp;" "&amp;表格1[[#This Row],[Shop]]&amp;"*",Roster!$A$4:$A$72,0),DAY(表格1[[#This Row],[date]]),1,1)</f>
        <v>May C</v>
      </c>
      <c r="E4296" s="86">
        <f>MONTH(表格1[[#This Row],[date]])</f>
        <v>3</v>
      </c>
      <c r="F4296" s="90">
        <v>46087</v>
      </c>
      <c r="G4296" s="86" t="str">
        <f>VLOOKUP("*"&amp;表格1[[#This Row],[Input]]&amp;"*",'Ref-List'!$B:$D,2,)</f>
        <v>AW-Q901BPH(WW)</v>
      </c>
      <c r="H4296" s="86" t="str">
        <f>_xlfn.XLOOKUP(表格1[[#This Row],[Model]],表格3[Model-Input-Ref2],表格3[Product Line])</f>
        <v>日式洗衣機 (8公斤 結合高低水位)</v>
      </c>
      <c r="I4296" s="86" t="str">
        <f>_xlfn.XLOOKUP(表格1[[#This Row],[Model]],表格3[Model-Input-Ref2],表格3[大小電])</f>
        <v>大電</v>
      </c>
      <c r="J4296" s="86" t="str">
        <f>_xlfn.XLOOKUP(表格1[[#This Row],[Model]],表格3[Model-Input-Ref2],表格3[Code])</f>
        <v>LAD</v>
      </c>
      <c r="K4296" s="89" t="s">
        <v>1411</v>
      </c>
      <c r="L4296" s="86">
        <v>1</v>
      </c>
      <c r="M4296" s="87">
        <v>2166</v>
      </c>
      <c r="N4296" s="87">
        <f>IFERROR(表格1[[#This Row],[QTY]]*表格1[[#This Row],[Unit Price]],"-")</f>
        <v>2166</v>
      </c>
      <c r="O4296" s="173">
        <v>6032705</v>
      </c>
      <c r="R4296" s="86" t="str">
        <f>_xlfn.CONCAT(表格1[[#This Row],[Model]]," ",表格1[[#This Row],[inv no]])</f>
        <v>AW-Q901BPH(WW) 6032705</v>
      </c>
      <c r="S4296" s="86">
        <f>_xlfn.XLOOKUP(表格1[[#This Row],[Model]],表格3[Model-Input-Ref2],表格3[SRP PRICE])</f>
        <v>3780</v>
      </c>
      <c r="T4296" s="43">
        <f>表格1[[#This Row],[Unit Price]]/表格1[[#This Row],[SRP]]</f>
        <v>0.57301587301587298</v>
      </c>
      <c r="U4296" s="86" t="str">
        <f>_xlfn.XLOOKUP(表格1[[#This Row],[Model]],表格3[Model-Input-Ref2],表格3[TOSHIBA/HIGHEST])</f>
        <v>Toshiba SRP</v>
      </c>
      <c r="W4296" s="86" t="str">
        <f>_xlfn.CONCAT(表格1[[#This Row],[欄4]],表格1[[#This Row],[inv no]])</f>
        <v>6032705</v>
      </c>
    </row>
    <row r="4297" spans="1:23">
      <c r="A4297" s="81">
        <v>4295</v>
      </c>
      <c r="B4297" s="86" t="s">
        <v>1203</v>
      </c>
      <c r="C4297" s="86" t="s">
        <v>2027</v>
      </c>
      <c r="D4297" s="89" t="str">
        <f ca="1">OFFSET(Roster!$A$3,MATCH(表格1[[#This Row],[Location]]&amp;" "&amp;表格1[[#This Row],[Shop]]&amp;"*",Roster!$A$4:$A$72,0),DAY(表格1[[#This Row],[date]]),1,1)</f>
        <v>May C</v>
      </c>
      <c r="E4297" s="86">
        <f>MONTH(表格1[[#This Row],[date]])</f>
        <v>3</v>
      </c>
      <c r="F4297" s="90">
        <v>46088</v>
      </c>
      <c r="G4297" s="86" t="str">
        <f>VLOOKUP("*"&amp;表格1[[#This Row],[Input]]&amp;"*",'Ref-List'!$B:$D,2,)</f>
        <v>TW-T22BU95UWH(WK)-B</v>
      </c>
      <c r="H4297" s="86" t="str">
        <f>_xlfn.XLOOKUP(表格1[[#This Row],[Model]],表格3[Model-Input-Ref2],表格3[Product Line])</f>
        <v>470MM超薄身前置式變頻洗衣機(8.5公斤, 可飛頂)</v>
      </c>
      <c r="I4297" s="86" t="str">
        <f>_xlfn.XLOOKUP(表格1[[#This Row],[Model]],表格3[Model-Input-Ref2],表格3[大小電])</f>
        <v>大電</v>
      </c>
      <c r="J4297" s="86" t="str">
        <f>_xlfn.XLOOKUP(表格1[[#This Row],[Model]],表格3[Model-Input-Ref2],表格3[Code])</f>
        <v>LAD</v>
      </c>
      <c r="K4297" s="89" t="s">
        <v>969</v>
      </c>
      <c r="L4297" s="86">
        <v>1</v>
      </c>
      <c r="M4297" s="87">
        <v>3496</v>
      </c>
      <c r="N4297" s="87">
        <f>IFERROR(表格1[[#This Row],[QTY]]*表格1[[#This Row],[Unit Price]],"-")</f>
        <v>3496</v>
      </c>
      <c r="O4297" s="173">
        <v>6032742</v>
      </c>
      <c r="R4297" s="86" t="str">
        <f>_xlfn.CONCAT(表格1[[#This Row],[Model]]," ",表格1[[#This Row],[inv no]])</f>
        <v>TW-T22BU95UWH(WK)-B 6032742</v>
      </c>
      <c r="S4297" s="86">
        <f>_xlfn.XLOOKUP(表格1[[#This Row],[Model]],表格3[Model-Input-Ref2],表格3[SRP PRICE])</f>
        <v>5880</v>
      </c>
      <c r="T4297" s="43">
        <f>表格1[[#This Row],[Unit Price]]/表格1[[#This Row],[SRP]]</f>
        <v>0.59455782312925165</v>
      </c>
      <c r="U4297" s="86" t="str">
        <f>_xlfn.XLOOKUP(表格1[[#This Row],[Model]],表格3[Model-Input-Ref2],表格3[TOSHIBA/HIGHEST])</f>
        <v>Toshiba SRP</v>
      </c>
      <c r="W4297" s="86" t="str">
        <f>_xlfn.CONCAT(表格1[[#This Row],[欄4]],表格1[[#This Row],[inv no]])</f>
        <v>6032742</v>
      </c>
    </row>
    <row r="4298" spans="1:23">
      <c r="A4298" s="81">
        <v>4296</v>
      </c>
      <c r="B4298" s="86" t="s">
        <v>1203</v>
      </c>
      <c r="C4298" s="86" t="s">
        <v>2027</v>
      </c>
      <c r="D4298" s="89" t="str">
        <f ca="1">OFFSET(Roster!$A$3,MATCH(表格1[[#This Row],[Location]]&amp;" "&amp;表格1[[#This Row],[Shop]]&amp;"*",Roster!$A$4:$A$72,0),DAY(表格1[[#This Row],[date]]),1,1)</f>
        <v>May C</v>
      </c>
      <c r="E4298" s="86">
        <f>MONTH(表格1[[#This Row],[date]])</f>
        <v>3</v>
      </c>
      <c r="F4298" s="90">
        <v>46088</v>
      </c>
      <c r="G4298" s="86" t="str">
        <f>VLOOKUP("*"&amp;表格1[[#This Row],[Input]]&amp;"*",'Ref-List'!$B:$D,2,)</f>
        <v>GR-RT300WE-PMA(57)</v>
      </c>
      <c r="H4298" s="86" t="str">
        <f>_xlfn.XLOOKUP(表格1[[#This Row],[Model]],表格3[Model-Input-Ref2],表格3[Product Line])</f>
        <v>變頻式環保雙門雪櫃(233L)</v>
      </c>
      <c r="I4298" s="86" t="str">
        <f>_xlfn.XLOOKUP(表格1[[#This Row],[Model]],表格3[Model-Input-Ref2],表格3[大小電])</f>
        <v>大電</v>
      </c>
      <c r="J4298" s="86" t="str">
        <f>_xlfn.XLOOKUP(表格1[[#This Row],[Model]],表格3[Model-Input-Ref2],表格3[Code])</f>
        <v>REF</v>
      </c>
      <c r="K4298" s="89" t="s">
        <v>1462</v>
      </c>
      <c r="L4298" s="86">
        <v>1</v>
      </c>
      <c r="M4298" s="87">
        <v>2641</v>
      </c>
      <c r="N4298" s="87">
        <f>IFERROR(表格1[[#This Row],[QTY]]*表格1[[#This Row],[Unit Price]],"-")</f>
        <v>2641</v>
      </c>
      <c r="O4298" s="173">
        <v>6009020</v>
      </c>
      <c r="R4298" s="86" t="str">
        <f>_xlfn.CONCAT(表格1[[#This Row],[Model]]," ",表格1[[#This Row],[inv no]])</f>
        <v>GR-RT300WE-PMA(57) 6009020</v>
      </c>
      <c r="S4298" s="86">
        <f>_xlfn.XLOOKUP(表格1[[#This Row],[Model]],表格3[Model-Input-Ref2],表格3[SRP PRICE])</f>
        <v>4280</v>
      </c>
      <c r="T4298" s="43">
        <f>表格1[[#This Row],[Unit Price]]/表格1[[#This Row],[SRP]]</f>
        <v>0.61705607476635516</v>
      </c>
      <c r="U4298" s="86" t="str">
        <f>_xlfn.XLOOKUP(表格1[[#This Row],[Model]],表格3[Model-Input-Ref2],表格3[TOSHIBA/HIGHEST])</f>
        <v>Toshiba SRP</v>
      </c>
      <c r="W4298" s="86" t="str">
        <f>_xlfn.CONCAT(表格1[[#This Row],[欄4]],表格1[[#This Row],[inv no]])</f>
        <v>6009020</v>
      </c>
    </row>
    <row r="4299" spans="1:23">
      <c r="A4299" s="81">
        <v>4297</v>
      </c>
      <c r="B4299" s="86" t="s">
        <v>1203</v>
      </c>
      <c r="C4299" s="86" t="s">
        <v>2027</v>
      </c>
      <c r="D4299" s="89" t="str">
        <f ca="1">OFFSET(Roster!$A$3,MATCH(表格1[[#This Row],[Location]]&amp;" "&amp;表格1[[#This Row],[Shop]]&amp;"*",Roster!$A$4:$A$72,0),DAY(表格1[[#This Row],[date]]),1,1)</f>
        <v>May C</v>
      </c>
      <c r="E4299" s="86">
        <f>MONTH(表格1[[#This Row],[date]])</f>
        <v>3</v>
      </c>
      <c r="F4299" s="90">
        <v>46088</v>
      </c>
      <c r="G4299" s="86" t="str">
        <f>VLOOKUP("*"&amp;表格1[[#This Row],[Input]]&amp;"*",'Ref-List'!$B:$D,2,)</f>
        <v>CFK01W75</v>
      </c>
      <c r="H4299" s="86" t="str">
        <f>_xlfn.XLOOKUP(表格1[[#This Row],[Model]],表格3[Model-Input-Ref2],表格3[Product Line])</f>
        <v>變頻頂揭式洗衣機 (7.5公斤)</v>
      </c>
      <c r="I4299" s="86" t="str">
        <f>_xlfn.XLOOKUP(表格1[[#This Row],[Model]],表格3[Model-Input-Ref2],表格3[大小電])</f>
        <v>大電</v>
      </c>
      <c r="J4299" s="86" t="str">
        <f>_xlfn.XLOOKUP(表格1[[#This Row],[Model]],表格3[Model-Input-Ref2],表格3[Code])</f>
        <v>LAD</v>
      </c>
      <c r="K4299" s="89" t="s">
        <v>1266</v>
      </c>
      <c r="L4299" s="86">
        <v>1</v>
      </c>
      <c r="M4299" s="87">
        <v>3580</v>
      </c>
      <c r="N4299" s="87">
        <f>IFERROR(表格1[[#This Row],[QTY]]*表格1[[#This Row],[Unit Price]],"-")</f>
        <v>3580</v>
      </c>
      <c r="O4299" s="173">
        <v>6009002</v>
      </c>
      <c r="R4299" s="86" t="str">
        <f>_xlfn.CONCAT(表格1[[#This Row],[Model]]," ",表格1[[#This Row],[inv no]])</f>
        <v>CFK01W75 6009002</v>
      </c>
      <c r="S4299" s="86">
        <f>_xlfn.XLOOKUP(表格1[[#This Row],[Model]],表格3[Model-Input-Ref2],表格3[SRP PRICE])</f>
        <v>3888</v>
      </c>
      <c r="T4299" s="43">
        <f>表格1[[#This Row],[Unit Price]]/表格1[[#This Row],[SRP]]</f>
        <v>0.92078189300411528</v>
      </c>
      <c r="U4299" s="86" t="str">
        <f>_xlfn.XLOOKUP(表格1[[#This Row],[Model]],表格3[Model-Input-Ref2],表格3[TOSHIBA/HIGHEST])</f>
        <v>Shops Highest Price</v>
      </c>
      <c r="W4299" s="86" t="str">
        <f>_xlfn.CONCAT(表格1[[#This Row],[欄4]],表格1[[#This Row],[inv no]])</f>
        <v>6009002</v>
      </c>
    </row>
    <row r="4300" spans="1:23">
      <c r="A4300" s="81">
        <v>4298</v>
      </c>
      <c r="B4300" s="86" t="s">
        <v>1203</v>
      </c>
      <c r="C4300" s="86" t="s">
        <v>2027</v>
      </c>
      <c r="D4300" s="89" t="str">
        <f ca="1">OFFSET(Roster!$A$3,MATCH(表格1[[#This Row],[Location]]&amp;" "&amp;表格1[[#This Row],[Shop]]&amp;"*",Roster!$A$4:$A$72,0),DAY(表格1[[#This Row],[date]]),1,1)</f>
        <v>May C</v>
      </c>
      <c r="E4300" s="86">
        <f>MONTH(表格1[[#This Row],[date]])</f>
        <v>3</v>
      </c>
      <c r="F4300" s="90">
        <v>46091</v>
      </c>
      <c r="G4300" s="86" t="str">
        <f>VLOOKUP("*"&amp;表格1[[#This Row],[Input]]&amp;"*",'Ref-List'!$B:$D,2,)</f>
        <v>CWF-07CRFN8-AD5</v>
      </c>
      <c r="H4300" s="86" t="str">
        <f>_xlfn.XLOOKUP(表格1[[#This Row],[Model]],表格3[Model-Input-Ref2],表格3[Product Line])</f>
        <v>Comfee 3/4匹變頻窗口式冷氣機</v>
      </c>
      <c r="I4300" s="86" t="str">
        <f>_xlfn.XLOOKUP(表格1[[#This Row],[Model]],表格3[Model-Input-Ref2],表格3[大小電])</f>
        <v>大電</v>
      </c>
      <c r="J4300" s="86" t="str">
        <f>_xlfn.XLOOKUP(表格1[[#This Row],[Model]],表格3[Model-Input-Ref2],表格3[Code])</f>
        <v>RAC</v>
      </c>
      <c r="K4300" s="89" t="s">
        <v>1769</v>
      </c>
      <c r="L4300" s="86">
        <v>1</v>
      </c>
      <c r="M4300" s="87">
        <v>2530</v>
      </c>
      <c r="N4300" s="87">
        <f>IFERROR(表格1[[#This Row],[QTY]]*表格1[[#This Row],[Unit Price]],"-")</f>
        <v>2530</v>
      </c>
      <c r="O4300" s="173">
        <v>6009052</v>
      </c>
      <c r="P4300" s="86" t="s">
        <v>2161</v>
      </c>
      <c r="R4300" s="86" t="str">
        <f>_xlfn.CONCAT(表格1[[#This Row],[Model]]," ",表格1[[#This Row],[inv no]])</f>
        <v>CWF-07CRFN8-AD5 6009052</v>
      </c>
      <c r="S4300" s="86">
        <f>_xlfn.XLOOKUP(表格1[[#This Row],[Model]],表格3[Model-Input-Ref2],表格3[SRP PRICE])</f>
        <v>3800</v>
      </c>
      <c r="T4300" s="43">
        <f>表格1[[#This Row],[Unit Price]]/表格1[[#This Row],[SRP]]</f>
        <v>0.66578947368421049</v>
      </c>
      <c r="U4300" s="86" t="str">
        <f>_xlfn.XLOOKUP(表格1[[#This Row],[Model]],表格3[Model-Input-Ref2],表格3[TOSHIBA/HIGHEST])</f>
        <v>Shops Highest Price</v>
      </c>
      <c r="W4300" s="86" t="str">
        <f>_xlfn.CONCAT(表格1[[#This Row],[欄4]],表格1[[#This Row],[inv no]])</f>
        <v>6009052</v>
      </c>
    </row>
    <row r="4301" spans="1:23">
      <c r="A4301" s="81">
        <v>4299</v>
      </c>
      <c r="B4301" s="86" t="s">
        <v>1203</v>
      </c>
      <c r="C4301" s="86" t="s">
        <v>2027</v>
      </c>
      <c r="D4301" s="89" t="str">
        <f ca="1">OFFSET(Roster!$A$3,MATCH(表格1[[#This Row],[Location]]&amp;" "&amp;表格1[[#This Row],[Shop]]&amp;"*",Roster!$A$4:$A$72,0),DAY(表格1[[#This Row],[date]]),1,1)</f>
        <v>May C</v>
      </c>
      <c r="E4301" s="86">
        <f>MONTH(表格1[[#This Row],[date]])</f>
        <v>3</v>
      </c>
      <c r="F4301" s="90">
        <v>46091</v>
      </c>
      <c r="G4301" s="86" t="str">
        <f>VLOOKUP("*"&amp;表格1[[#This Row],[Input]]&amp;"*",'Ref-List'!$B:$D,2,)</f>
        <v>CFK01W75</v>
      </c>
      <c r="H4301" s="86" t="str">
        <f>_xlfn.XLOOKUP(表格1[[#This Row],[Model]],表格3[Model-Input-Ref2],表格3[Product Line])</f>
        <v>變頻頂揭式洗衣機 (7.5公斤)</v>
      </c>
      <c r="I4301" s="86" t="str">
        <f>_xlfn.XLOOKUP(表格1[[#This Row],[Model]],表格3[Model-Input-Ref2],表格3[大小電])</f>
        <v>大電</v>
      </c>
      <c r="J4301" s="86" t="str">
        <f>_xlfn.XLOOKUP(表格1[[#This Row],[Model]],表格3[Model-Input-Ref2],表格3[Code])</f>
        <v>LAD</v>
      </c>
      <c r="K4301" s="89" t="s">
        <v>1266</v>
      </c>
      <c r="L4301" s="86">
        <v>1</v>
      </c>
      <c r="M4301" s="87">
        <v>3580</v>
      </c>
      <c r="N4301" s="87">
        <f>IFERROR(表格1[[#This Row],[QTY]]*表格1[[#This Row],[Unit Price]],"-")</f>
        <v>3580</v>
      </c>
      <c r="O4301" s="173">
        <v>6009054</v>
      </c>
      <c r="R4301" s="86" t="str">
        <f>_xlfn.CONCAT(表格1[[#This Row],[Model]]," ",表格1[[#This Row],[inv no]])</f>
        <v>CFK01W75 6009054</v>
      </c>
      <c r="S4301" s="86">
        <f>_xlfn.XLOOKUP(表格1[[#This Row],[Model]],表格3[Model-Input-Ref2],表格3[SRP PRICE])</f>
        <v>3888</v>
      </c>
      <c r="T4301" s="43">
        <f>表格1[[#This Row],[Unit Price]]/表格1[[#This Row],[SRP]]</f>
        <v>0.92078189300411528</v>
      </c>
      <c r="U4301" s="86" t="str">
        <f>_xlfn.XLOOKUP(表格1[[#This Row],[Model]],表格3[Model-Input-Ref2],表格3[TOSHIBA/HIGHEST])</f>
        <v>Shops Highest Price</v>
      </c>
      <c r="W4301" s="86" t="str">
        <f>_xlfn.CONCAT(表格1[[#This Row],[欄4]],表格1[[#This Row],[inv no]])</f>
        <v>6009054</v>
      </c>
    </row>
    <row r="4302" spans="1:23">
      <c r="A4302" s="81">
        <v>4300</v>
      </c>
      <c r="B4302" s="86" t="s">
        <v>1203</v>
      </c>
      <c r="C4302" s="86" t="s">
        <v>2027</v>
      </c>
      <c r="D4302" s="89" t="str">
        <f ca="1">OFFSET(Roster!$A$3,MATCH(表格1[[#This Row],[Location]]&amp;" "&amp;表格1[[#This Row],[Shop]]&amp;"*",Roster!$A$4:$A$72,0),DAY(表格1[[#This Row],[date]]),1,1)</f>
        <v>May C</v>
      </c>
      <c r="E4302" s="86">
        <f>MONTH(表格1[[#This Row],[date]])</f>
        <v>3</v>
      </c>
      <c r="F4302" s="90">
        <v>46094</v>
      </c>
      <c r="G4302" s="86" t="str">
        <f>VLOOKUP("*"&amp;表格1[[#This Row],[Input]]&amp;"*",'Ref-List'!$B:$D,2,)</f>
        <v>CFW-07FF-H</v>
      </c>
      <c r="H4302" s="86" t="str">
        <f>_xlfn.XLOOKUP(表格1[[#This Row],[Model]],表格3[Model-Input-Ref2],表格3[Product Line])</f>
        <v>Comfee 窗口冷氣機</v>
      </c>
      <c r="I4302" s="86" t="str">
        <f>_xlfn.XLOOKUP(表格1[[#This Row],[Model]],表格3[Model-Input-Ref2],表格3[大小電])</f>
        <v>大電</v>
      </c>
      <c r="J4302" s="86" t="str">
        <f>_xlfn.XLOOKUP(表格1[[#This Row],[Model]],表格3[Model-Input-Ref2],表格3[Code])</f>
        <v>AC</v>
      </c>
      <c r="K4302" s="89" t="s">
        <v>2127</v>
      </c>
      <c r="L4302" s="86">
        <v>1</v>
      </c>
      <c r="M4302" s="87">
        <v>2130</v>
      </c>
      <c r="N4302" s="87">
        <f>IFERROR(表格1[[#This Row],[QTY]]*表格1[[#This Row],[Unit Price]],"-")</f>
        <v>2130</v>
      </c>
      <c r="O4302" s="173">
        <v>6009066</v>
      </c>
      <c r="P4302" s="86" t="s">
        <v>2162</v>
      </c>
      <c r="R4302" s="86" t="str">
        <f>_xlfn.CONCAT(表格1[[#This Row],[Model]]," ",表格1[[#This Row],[inv no]])</f>
        <v>CFW-07FF-H 6009066</v>
      </c>
      <c r="S4302" s="86">
        <f>_xlfn.XLOOKUP(表格1[[#This Row],[Model]],表格3[Model-Input-Ref2],表格3[SRP PRICE])</f>
        <v>2880</v>
      </c>
      <c r="T4302" s="43">
        <f>表格1[[#This Row],[Unit Price]]/表格1[[#This Row],[SRP]]</f>
        <v>0.73958333333333337</v>
      </c>
      <c r="U4302" s="86" t="str">
        <f>_xlfn.XLOOKUP(表格1[[#This Row],[Model]],表格3[Model-Input-Ref2],表格3[TOSHIBA/HIGHEST])</f>
        <v>web SRP</v>
      </c>
      <c r="W4302" s="86" t="str">
        <f>_xlfn.CONCAT(表格1[[#This Row],[欄4]],表格1[[#This Row],[inv no]])</f>
        <v>6009066</v>
      </c>
    </row>
    <row r="4303" spans="1:23">
      <c r="A4303" s="81">
        <v>4301</v>
      </c>
      <c r="B4303" s="86" t="s">
        <v>1203</v>
      </c>
      <c r="C4303" s="86" t="s">
        <v>2027</v>
      </c>
      <c r="D4303" s="89" t="str">
        <f ca="1">OFFSET(Roster!$A$3,MATCH(表格1[[#This Row],[Location]]&amp;" "&amp;表格1[[#This Row],[Shop]]&amp;"*",Roster!$A$4:$A$72,0),DAY(表格1[[#This Row],[date]]),1,1)</f>
        <v>May C</v>
      </c>
      <c r="E4303" s="86">
        <f>MONTH(表格1[[#This Row],[date]])</f>
        <v>3</v>
      </c>
      <c r="F4303" s="90">
        <v>46094</v>
      </c>
      <c r="G4303" s="86" t="str">
        <f>VLOOKUP("*"&amp;表格1[[#This Row],[Input]]&amp;"*",'Ref-List'!$B:$D,2,)</f>
        <v>TW-T22BU95UWH(WK)-B</v>
      </c>
      <c r="H4303" s="86" t="str">
        <f>_xlfn.XLOOKUP(表格1[[#This Row],[Model]],表格3[Model-Input-Ref2],表格3[Product Line])</f>
        <v>470MM超薄身前置式變頻洗衣機(8.5公斤, 可飛頂)</v>
      </c>
      <c r="I4303" s="86" t="str">
        <f>_xlfn.XLOOKUP(表格1[[#This Row],[Model]],表格3[Model-Input-Ref2],表格3[大小電])</f>
        <v>大電</v>
      </c>
      <c r="J4303" s="86" t="str">
        <f>_xlfn.XLOOKUP(表格1[[#This Row],[Model]],表格3[Model-Input-Ref2],表格3[Code])</f>
        <v>LAD</v>
      </c>
      <c r="K4303" s="89" t="s">
        <v>969</v>
      </c>
      <c r="L4303" s="86">
        <v>1</v>
      </c>
      <c r="M4303" s="87">
        <v>3680</v>
      </c>
      <c r="N4303" s="87">
        <f>IFERROR(表格1[[#This Row],[QTY]]*表格1[[#This Row],[Unit Price]],"-")</f>
        <v>3680</v>
      </c>
      <c r="O4303" s="173">
        <v>6009078</v>
      </c>
      <c r="R4303" s="86" t="str">
        <f>_xlfn.CONCAT(表格1[[#This Row],[Model]]," ",表格1[[#This Row],[inv no]])</f>
        <v>TW-T22BU95UWH(WK)-B 6009078</v>
      </c>
      <c r="S4303" s="86">
        <f>_xlfn.XLOOKUP(表格1[[#This Row],[Model]],表格3[Model-Input-Ref2],表格3[SRP PRICE])</f>
        <v>5880</v>
      </c>
      <c r="T4303" s="43">
        <f>表格1[[#This Row],[Unit Price]]/表格1[[#This Row],[SRP]]</f>
        <v>0.62585034013605445</v>
      </c>
      <c r="U4303" s="86" t="str">
        <f>_xlfn.XLOOKUP(表格1[[#This Row],[Model]],表格3[Model-Input-Ref2],表格3[TOSHIBA/HIGHEST])</f>
        <v>Toshiba SRP</v>
      </c>
      <c r="W4303" s="86" t="str">
        <f>_xlfn.CONCAT(表格1[[#This Row],[欄4]],表格1[[#This Row],[inv no]])</f>
        <v>6009078</v>
      </c>
    </row>
    <row r="4304" spans="1:23">
      <c r="A4304" s="81">
        <v>4302</v>
      </c>
      <c r="B4304" s="86" t="s">
        <v>1203</v>
      </c>
      <c r="C4304" s="86" t="s">
        <v>2027</v>
      </c>
      <c r="D4304" s="89" t="str">
        <f ca="1">OFFSET(Roster!$A$3,MATCH(表格1[[#This Row],[Location]]&amp;" "&amp;表格1[[#This Row],[Shop]]&amp;"*",Roster!$A$4:$A$72,0),DAY(表格1[[#This Row],[date]]),1,1)</f>
        <v>May C</v>
      </c>
      <c r="E4304" s="86">
        <f>MONTH(表格1[[#This Row],[date]])</f>
        <v>3</v>
      </c>
      <c r="F4304" s="90">
        <v>46094</v>
      </c>
      <c r="G4304" s="86" t="str">
        <f>VLOOKUP("*"&amp;表格1[[#This Row],[Input]]&amp;"*",'Ref-List'!$B:$D,2,)</f>
        <v>AW-Q901BPH(WW)</v>
      </c>
      <c r="H4304" s="86" t="str">
        <f>_xlfn.XLOOKUP(表格1[[#This Row],[Model]],表格3[Model-Input-Ref2],表格3[Product Line])</f>
        <v>日式洗衣機 (8公斤 結合高低水位)</v>
      </c>
      <c r="I4304" s="86" t="str">
        <f>_xlfn.XLOOKUP(表格1[[#This Row],[Model]],表格3[Model-Input-Ref2],表格3[大小電])</f>
        <v>大電</v>
      </c>
      <c r="J4304" s="86" t="str">
        <f>_xlfn.XLOOKUP(表格1[[#This Row],[Model]],表格3[Model-Input-Ref2],表格3[Code])</f>
        <v>LAD</v>
      </c>
      <c r="K4304" s="89" t="s">
        <v>1411</v>
      </c>
      <c r="L4304" s="86">
        <v>1</v>
      </c>
      <c r="M4304" s="87">
        <v>2166</v>
      </c>
      <c r="N4304" s="87">
        <f>IFERROR(表格1[[#This Row],[QTY]]*表格1[[#This Row],[Unit Price]],"-")</f>
        <v>2166</v>
      </c>
      <c r="O4304" s="173">
        <v>6009069</v>
      </c>
      <c r="R4304" s="86" t="str">
        <f>_xlfn.CONCAT(表格1[[#This Row],[Model]]," ",表格1[[#This Row],[inv no]])</f>
        <v>AW-Q901BPH(WW) 6009069</v>
      </c>
      <c r="S4304" s="86">
        <f>_xlfn.XLOOKUP(表格1[[#This Row],[Model]],表格3[Model-Input-Ref2],表格3[SRP PRICE])</f>
        <v>3780</v>
      </c>
      <c r="T4304" s="43">
        <f>表格1[[#This Row],[Unit Price]]/表格1[[#This Row],[SRP]]</f>
        <v>0.57301587301587298</v>
      </c>
      <c r="U4304" s="86" t="str">
        <f>_xlfn.XLOOKUP(表格1[[#This Row],[Model]],表格3[Model-Input-Ref2],表格3[TOSHIBA/HIGHEST])</f>
        <v>Toshiba SRP</v>
      </c>
      <c r="W4304" s="86" t="str">
        <f>_xlfn.CONCAT(表格1[[#This Row],[欄4]],表格1[[#This Row],[inv no]])</f>
        <v>6009069</v>
      </c>
    </row>
    <row r="4305" spans="1:23">
      <c r="A4305" s="81">
        <v>4303</v>
      </c>
      <c r="B4305" s="86" t="s">
        <v>1203</v>
      </c>
      <c r="C4305" s="86" t="s">
        <v>2027</v>
      </c>
      <c r="D4305" s="89" t="str">
        <f ca="1">OFFSET(Roster!$A$3,MATCH(表格1[[#This Row],[Location]]&amp;" "&amp;表格1[[#This Row],[Shop]]&amp;"*",Roster!$A$4:$A$72,0),DAY(表格1[[#This Row],[date]]),1,1)</f>
        <v>May C</v>
      </c>
      <c r="E4305" s="86">
        <f>MONTH(表格1[[#This Row],[date]])</f>
        <v>3</v>
      </c>
      <c r="F4305" s="90">
        <v>46096</v>
      </c>
      <c r="G4305" s="86" t="str">
        <f>VLOOKUP("*"&amp;表格1[[#This Row],[Input]]&amp;"*",'Ref-List'!$B:$D,2,)</f>
        <v>AW-Q901BPH(WW)</v>
      </c>
      <c r="H4305" s="86" t="str">
        <f>_xlfn.XLOOKUP(表格1[[#This Row],[Model]],表格3[Model-Input-Ref2],表格3[Product Line])</f>
        <v>日式洗衣機 (8公斤 結合高低水位)</v>
      </c>
      <c r="I4305" s="86" t="str">
        <f>_xlfn.XLOOKUP(表格1[[#This Row],[Model]],表格3[Model-Input-Ref2],表格3[大小電])</f>
        <v>大電</v>
      </c>
      <c r="J4305" s="86" t="str">
        <f>_xlfn.XLOOKUP(表格1[[#This Row],[Model]],表格3[Model-Input-Ref2],表格3[Code])</f>
        <v>LAD</v>
      </c>
      <c r="K4305" s="89" t="s">
        <v>1411</v>
      </c>
      <c r="L4305" s="86">
        <v>1</v>
      </c>
      <c r="M4305" s="87">
        <v>2166</v>
      </c>
      <c r="N4305" s="87">
        <f>IFERROR(表格1[[#This Row],[QTY]]*表格1[[#This Row],[Unit Price]],"-")</f>
        <v>2166</v>
      </c>
      <c r="O4305" s="173">
        <v>6009083</v>
      </c>
      <c r="R4305" s="86" t="str">
        <f>_xlfn.CONCAT(表格1[[#This Row],[Model]]," ",表格1[[#This Row],[inv no]])</f>
        <v>AW-Q901BPH(WW) 6009083</v>
      </c>
      <c r="S4305" s="86">
        <f>_xlfn.XLOOKUP(表格1[[#This Row],[Model]],表格3[Model-Input-Ref2],表格3[SRP PRICE])</f>
        <v>3780</v>
      </c>
      <c r="T4305" s="43">
        <f>表格1[[#This Row],[Unit Price]]/表格1[[#This Row],[SRP]]</f>
        <v>0.57301587301587298</v>
      </c>
      <c r="U4305" s="86" t="str">
        <f>_xlfn.XLOOKUP(表格1[[#This Row],[Model]],表格3[Model-Input-Ref2],表格3[TOSHIBA/HIGHEST])</f>
        <v>Toshiba SRP</v>
      </c>
      <c r="W4305" s="86" t="str">
        <f>_xlfn.CONCAT(表格1[[#This Row],[欄4]],表格1[[#This Row],[inv no]])</f>
        <v>6009083</v>
      </c>
    </row>
    <row r="4306" spans="1:23">
      <c r="A4306" s="81">
        <v>4304</v>
      </c>
      <c r="B4306" s="86" t="s">
        <v>1203</v>
      </c>
      <c r="C4306" s="86" t="s">
        <v>2027</v>
      </c>
      <c r="D4306" s="89" t="str">
        <f ca="1">OFFSET(Roster!$A$3,MATCH(表格1[[#This Row],[Location]]&amp;" "&amp;表格1[[#This Row],[Shop]]&amp;"*",Roster!$A$4:$A$72,0),DAY(表格1[[#This Row],[date]]),1,1)</f>
        <v>May C</v>
      </c>
      <c r="E4306" s="86">
        <f>MONTH(表格1[[#This Row],[date]])</f>
        <v>3</v>
      </c>
      <c r="F4306" s="90">
        <v>46101</v>
      </c>
      <c r="G4306" s="86" t="str">
        <f>VLOOKUP("*"&amp;表格1[[#This Row],[Input]]&amp;"*",'Ref-List'!$B:$D,2,)</f>
        <v>RAC-18G3CVRGR-HK</v>
      </c>
      <c r="H4306" s="86" t="str">
        <f>_xlfn.XLOOKUP(表格1[[#This Row],[Model]],表格3[Model-Input-Ref2],表格3[Product Line])</f>
        <v>2 匹 R32變頻窗口式冷氣機 (remote)</v>
      </c>
      <c r="I4306" s="86" t="str">
        <f>_xlfn.XLOOKUP(表格1[[#This Row],[Model]],表格3[Model-Input-Ref2],表格3[大小電])</f>
        <v>大電</v>
      </c>
      <c r="J4306" s="86" t="str">
        <f>_xlfn.XLOOKUP(表格1[[#This Row],[Model]],表格3[Model-Input-Ref2],表格3[Code])</f>
        <v>AC</v>
      </c>
      <c r="K4306" s="89" t="s">
        <v>1471</v>
      </c>
      <c r="L4306" s="86">
        <v>1</v>
      </c>
      <c r="M4306" s="87">
        <v>6980</v>
      </c>
      <c r="N4306" s="87">
        <f>IFERROR(表格1[[#This Row],[QTY]]*表格1[[#This Row],[Unit Price]],"-")</f>
        <v>6980</v>
      </c>
      <c r="O4306" s="173">
        <v>6009100</v>
      </c>
      <c r="R4306" s="86" t="str">
        <f>_xlfn.CONCAT(表格1[[#This Row],[Model]]," ",表格1[[#This Row],[inv no]])</f>
        <v>RAC-18G3CVRGR-HK 6009100</v>
      </c>
      <c r="S4306" s="86">
        <f>_xlfn.XLOOKUP(表格1[[#This Row],[Model]],表格3[Model-Input-Ref2],表格3[SRP PRICE])</f>
        <v>10380</v>
      </c>
      <c r="T4306" s="43">
        <f>表格1[[#This Row],[Unit Price]]/表格1[[#This Row],[SRP]]</f>
        <v>0.67244701348747593</v>
      </c>
      <c r="U4306" s="86" t="str">
        <f>_xlfn.XLOOKUP(表格1[[#This Row],[Model]],表格3[Model-Input-Ref2],表格3[TOSHIBA/HIGHEST])</f>
        <v>Toshiba SRP</v>
      </c>
      <c r="W4306" s="86" t="str">
        <f>_xlfn.CONCAT(表格1[[#This Row],[欄4]],表格1[[#This Row],[inv no]])</f>
        <v>6009100</v>
      </c>
    </row>
    <row r="4307" spans="1:23">
      <c r="A4307" s="81">
        <v>4305</v>
      </c>
      <c r="B4307" s="86" t="s">
        <v>1203</v>
      </c>
      <c r="C4307" s="86" t="s">
        <v>2027</v>
      </c>
      <c r="D4307" s="89" t="str">
        <f ca="1">OFFSET(Roster!$A$3,MATCH(表格1[[#This Row],[Location]]&amp;" "&amp;表格1[[#This Row],[Shop]]&amp;"*",Roster!$A$4:$A$72,0),DAY(表格1[[#This Row],[date]]),1,1)</f>
        <v>May C</v>
      </c>
      <c r="E4307" s="86">
        <f>MONTH(表格1[[#This Row],[date]])</f>
        <v>3</v>
      </c>
      <c r="F4307" s="90">
        <v>46102</v>
      </c>
      <c r="G4307" s="86" t="str">
        <f>VLOOKUP("*"&amp;表格1[[#This Row],[Input]]&amp;"*",'Ref-List'!$B:$D,2,)</f>
        <v>TW-T21BU80UWH(MG)</v>
      </c>
      <c r="H4307" s="86" t="str">
        <f>_xlfn.XLOOKUP(表格1[[#This Row],[Model]],表格3[Model-Input-Ref2],表格3[Product Line])</f>
        <v>400MM超薄身前置式變頻洗衣機(7公斤)</v>
      </c>
      <c r="I4307" s="86" t="str">
        <f>_xlfn.XLOOKUP(表格1[[#This Row],[Model]],表格3[Model-Input-Ref2],表格3[大小電])</f>
        <v>大電</v>
      </c>
      <c r="J4307" s="86" t="str">
        <f>_xlfn.XLOOKUP(表格1[[#This Row],[Model]],表格3[Model-Input-Ref2],表格3[Code])</f>
        <v>LAD</v>
      </c>
      <c r="K4307" s="89" t="s">
        <v>1280</v>
      </c>
      <c r="L4307" s="86">
        <v>1</v>
      </c>
      <c r="M4307" s="87">
        <v>3021</v>
      </c>
      <c r="N4307" s="87">
        <f>IFERROR(表格1[[#This Row],[QTY]]*表格1[[#This Row],[Unit Price]],"-")</f>
        <v>3021</v>
      </c>
      <c r="O4307" s="173">
        <v>6009373</v>
      </c>
      <c r="R4307" s="86" t="str">
        <f>_xlfn.CONCAT(表格1[[#This Row],[Model]]," ",表格1[[#This Row],[inv no]])</f>
        <v>TW-T21BU80UWH(MG) 6009373</v>
      </c>
      <c r="S4307" s="86">
        <f>_xlfn.XLOOKUP(表格1[[#This Row],[Model]],表格3[Model-Input-Ref2],表格3[SRP PRICE])</f>
        <v>5180</v>
      </c>
      <c r="T4307" s="43">
        <f>表格1[[#This Row],[Unit Price]]/表格1[[#This Row],[SRP]]</f>
        <v>0.58320463320463323</v>
      </c>
      <c r="U4307" s="86" t="str">
        <f>_xlfn.XLOOKUP(表格1[[#This Row],[Model]],表格3[Model-Input-Ref2],表格3[TOSHIBA/HIGHEST])</f>
        <v>Toshiba SRP</v>
      </c>
      <c r="W4307" s="86" t="str">
        <f>_xlfn.CONCAT(表格1[[#This Row],[欄4]],表格1[[#This Row],[inv no]])</f>
        <v>6009373</v>
      </c>
    </row>
    <row r="4308" spans="1:23">
      <c r="A4308" s="81">
        <v>4306</v>
      </c>
      <c r="B4308" s="86" t="s">
        <v>1203</v>
      </c>
      <c r="C4308" s="86" t="s">
        <v>2027</v>
      </c>
      <c r="D4308" s="89" t="str">
        <f ca="1">OFFSET(Roster!$A$3,MATCH(表格1[[#This Row],[Location]]&amp;" "&amp;表格1[[#This Row],[Shop]]&amp;"*",Roster!$A$4:$A$72,0),DAY(表格1[[#This Row],[date]]),1,1)</f>
        <v>May C</v>
      </c>
      <c r="E4308" s="86">
        <f>MONTH(表格1[[#This Row],[date]])</f>
        <v>3</v>
      </c>
      <c r="F4308" s="90">
        <v>46102</v>
      </c>
      <c r="G4308" s="86" t="str">
        <f>VLOOKUP("*"&amp;表格1[[#This Row],[Input]]&amp;"*",'Ref-List'!$B:$D,2,)</f>
        <v>GR-RT300WE-PMA(57)</v>
      </c>
      <c r="H4308" s="86" t="str">
        <f>_xlfn.XLOOKUP(表格1[[#This Row],[Model]],表格3[Model-Input-Ref2],表格3[Product Line])</f>
        <v>變頻式環保雙門雪櫃(233L)</v>
      </c>
      <c r="I4308" s="86" t="str">
        <f>_xlfn.XLOOKUP(表格1[[#This Row],[Model]],表格3[Model-Input-Ref2],表格3[大小電])</f>
        <v>大電</v>
      </c>
      <c r="J4308" s="86" t="str">
        <f>_xlfn.XLOOKUP(表格1[[#This Row],[Model]],表格3[Model-Input-Ref2],表格3[Code])</f>
        <v>REF</v>
      </c>
      <c r="K4308" s="89" t="s">
        <v>1462</v>
      </c>
      <c r="L4308" s="86">
        <v>1</v>
      </c>
      <c r="M4308" s="87">
        <v>2641</v>
      </c>
      <c r="N4308" s="87">
        <f>IFERROR(表格1[[#This Row],[QTY]]*表格1[[#This Row],[Unit Price]],"-")</f>
        <v>2641</v>
      </c>
      <c r="O4308" s="173">
        <v>6009091</v>
      </c>
      <c r="R4308" s="86" t="str">
        <f>_xlfn.CONCAT(表格1[[#This Row],[Model]]," ",表格1[[#This Row],[inv no]])</f>
        <v>GR-RT300WE-PMA(57) 6009091</v>
      </c>
      <c r="S4308" s="86">
        <f>_xlfn.XLOOKUP(表格1[[#This Row],[Model]],表格3[Model-Input-Ref2],表格3[SRP PRICE])</f>
        <v>4280</v>
      </c>
      <c r="T4308" s="43">
        <f>表格1[[#This Row],[Unit Price]]/表格1[[#This Row],[SRP]]</f>
        <v>0.61705607476635516</v>
      </c>
      <c r="U4308" s="86" t="str">
        <f>_xlfn.XLOOKUP(表格1[[#This Row],[Model]],表格3[Model-Input-Ref2],表格3[TOSHIBA/HIGHEST])</f>
        <v>Toshiba SRP</v>
      </c>
      <c r="W4308" s="86" t="str">
        <f>_xlfn.CONCAT(表格1[[#This Row],[欄4]],表格1[[#This Row],[inv no]])</f>
        <v>6009091</v>
      </c>
    </row>
    <row r="4309" spans="1:23">
      <c r="A4309" s="81">
        <v>4307</v>
      </c>
      <c r="B4309" s="86" t="s">
        <v>1203</v>
      </c>
      <c r="C4309" s="86" t="s">
        <v>2027</v>
      </c>
      <c r="D4309" s="89" t="str">
        <f ca="1">OFFSET(Roster!$A$3,MATCH(表格1[[#This Row],[Location]]&amp;" "&amp;表格1[[#This Row],[Shop]]&amp;"*",Roster!$A$4:$A$72,0),DAY(表格1[[#This Row],[date]]),1,1)</f>
        <v>May C</v>
      </c>
      <c r="E4309" s="86">
        <f>MONTH(表格1[[#This Row],[date]])</f>
        <v>3</v>
      </c>
      <c r="F4309" s="90">
        <v>46110</v>
      </c>
      <c r="G4309" s="86" t="str">
        <f>VLOOKUP("*"&amp;表格1[[#This Row],[Input]]&amp;"*",'Ref-List'!$B:$D,2,)</f>
        <v>RAC-07G3CVRGR-HK</v>
      </c>
      <c r="H4309" s="86" t="str">
        <f>_xlfn.XLOOKUP(表格1[[#This Row],[Model]],表格3[Model-Input-Ref2],表格3[Product Line])</f>
        <v>3/4 匹 窗口式冷氣機(remote)</v>
      </c>
      <c r="I4309" s="86" t="str">
        <f>_xlfn.XLOOKUP(表格1[[#This Row],[Model]],表格3[Model-Input-Ref2],表格3[大小電])</f>
        <v>大電</v>
      </c>
      <c r="J4309" s="86" t="str">
        <f>_xlfn.XLOOKUP(表格1[[#This Row],[Model]],表格3[Model-Input-Ref2],表格3[Code])</f>
        <v>AC</v>
      </c>
      <c r="K4309" s="89" t="s">
        <v>656</v>
      </c>
      <c r="L4309" s="86">
        <v>1</v>
      </c>
      <c r="M4309" s="87">
        <v>3880</v>
      </c>
      <c r="N4309" s="87">
        <f>IFERROR(表格1[[#This Row],[QTY]]*表格1[[#This Row],[Unit Price]],"-")</f>
        <v>3880</v>
      </c>
      <c r="O4309" s="173">
        <v>6009321</v>
      </c>
      <c r="R4309" s="86" t="str">
        <f>_xlfn.CONCAT(表格1[[#This Row],[Model]]," ",表格1[[#This Row],[inv no]])</f>
        <v>RAC-07G3CVRGR-HK 6009321</v>
      </c>
      <c r="S4309" s="86">
        <f>_xlfn.XLOOKUP(表格1[[#This Row],[Model]],表格3[Model-Input-Ref2],表格3[SRP PRICE])</f>
        <v>5580</v>
      </c>
      <c r="T4309" s="43">
        <f>表格1[[#This Row],[Unit Price]]/表格1[[#This Row],[SRP]]</f>
        <v>0.69534050179211471</v>
      </c>
      <c r="U4309" s="86" t="str">
        <f>_xlfn.XLOOKUP(表格1[[#This Row],[Model]],表格3[Model-Input-Ref2],表格3[TOSHIBA/HIGHEST])</f>
        <v>Toshiba SRP</v>
      </c>
      <c r="W4309" s="86" t="str">
        <f>_xlfn.CONCAT(表格1[[#This Row],[欄4]],表格1[[#This Row],[inv no]])</f>
        <v>6009321</v>
      </c>
    </row>
    <row r="4310" spans="1:23" hidden="1">
      <c r="A4310" s="81">
        <v>4308</v>
      </c>
      <c r="B4310" s="86" t="s">
        <v>1477</v>
      </c>
      <c r="C4310" s="86" t="s">
        <v>2028</v>
      </c>
      <c r="D4310" s="89" t="str">
        <f ca="1">OFFSET(Roster!$A$3,MATCH(表格1[[#This Row],[Location]]&amp;" "&amp;表格1[[#This Row],[Shop]]&amp;"*",Roster!$A$4:$A$72,0),DAY(表格1[[#This Row],[date]]),1,1)</f>
        <v>Kandy</v>
      </c>
      <c r="E4310" s="86">
        <f>MONTH(表格1[[#This Row],[date]])</f>
        <v>3</v>
      </c>
      <c r="F4310" s="90">
        <v>46109</v>
      </c>
      <c r="G4310" s="86" t="str">
        <f>VLOOKUP("*"&amp;表格1[[#This Row],[Input]]&amp;"*",'Ref-List'!$B:$D,2,)</f>
        <v>GR-RM598WE-PGA(B3)</v>
      </c>
      <c r="H4310" s="86" t="str">
        <f>_xlfn.XLOOKUP(表格1[[#This Row],[Model]],表格3[Model-Input-Ref2],表格3[Product Line])</f>
        <v>變頻六門雪櫃(451L)</v>
      </c>
      <c r="I4310" s="86" t="str">
        <f>_xlfn.XLOOKUP(表格1[[#This Row],[Model]],表格3[Model-Input-Ref2],表格3[大小電])</f>
        <v>大電</v>
      </c>
      <c r="J4310" s="86" t="str">
        <f>_xlfn.XLOOKUP(表格1[[#This Row],[Model]],表格3[Model-Input-Ref2],表格3[Code])</f>
        <v>REF</v>
      </c>
      <c r="K4310" s="89" t="s">
        <v>1491</v>
      </c>
      <c r="L4310" s="86">
        <v>1</v>
      </c>
      <c r="M4310" s="87">
        <v>10990</v>
      </c>
      <c r="N4310" s="87">
        <f>IFERROR(表格1[[#This Row],[QTY]]*表格1[[#This Row],[Unit Price]],"-")</f>
        <v>10990</v>
      </c>
      <c r="O4310" s="86">
        <v>1016342</v>
      </c>
      <c r="R4310" s="86" t="str">
        <f>_xlfn.CONCAT(表格1[[#This Row],[Model]]," ",表格1[[#This Row],[inv no]])</f>
        <v>GR-RM598WE-PGA(B3) 1016342</v>
      </c>
      <c r="S4310" s="86">
        <f>_xlfn.XLOOKUP(表格1[[#This Row],[Model]],表格3[Model-Input-Ref2],表格3[SRP PRICE])</f>
        <v>14980</v>
      </c>
      <c r="T4310" s="43">
        <f>表格1[[#This Row],[Unit Price]]/表格1[[#This Row],[SRP]]</f>
        <v>0.73364485981308414</v>
      </c>
      <c r="U4310" s="86" t="str">
        <f>_xlfn.XLOOKUP(表格1[[#This Row],[Model]],表格3[Model-Input-Ref2],表格3[TOSHIBA/HIGHEST])</f>
        <v>Toshiba SRP</v>
      </c>
      <c r="W4310" s="86" t="str">
        <f>_xlfn.CONCAT(表格1[[#This Row],[欄4]],表格1[[#This Row],[inv no]])</f>
        <v>1016342</v>
      </c>
    </row>
    <row r="4311" spans="1:23" hidden="1">
      <c r="A4311" s="81">
        <v>4309</v>
      </c>
      <c r="B4311" s="86" t="s">
        <v>1477</v>
      </c>
      <c r="C4311" s="86" t="s">
        <v>2028</v>
      </c>
      <c r="D4311" s="89" t="str">
        <f ca="1">OFFSET(Roster!$A$3,MATCH(表格1[[#This Row],[Location]]&amp;" "&amp;表格1[[#This Row],[Shop]]&amp;"*",Roster!$A$4:$A$72,0),DAY(表格1[[#This Row],[date]]),1,1)</f>
        <v>Kandy</v>
      </c>
      <c r="E4311" s="86">
        <f>MONTH(表格1[[#This Row],[date]])</f>
        <v>3</v>
      </c>
      <c r="F4311" s="90">
        <v>46109</v>
      </c>
      <c r="G4311" s="86" t="str">
        <f>VLOOKUP("*"&amp;表格1[[#This Row],[Input]]&amp;"*",'Ref-List'!$B:$D,2,)</f>
        <v>DW-05T2-HK</v>
      </c>
      <c r="H4311" s="86" t="str">
        <f>_xlfn.XLOOKUP(表格1[[#This Row],[Model]],表格3[Model-Input-Ref2],表格3[Product Line])</f>
        <v>座檯式洗碗碟機</v>
      </c>
      <c r="I4311" s="86" t="str">
        <f>_xlfn.XLOOKUP(表格1[[#This Row],[Model]],表格3[Model-Input-Ref2],表格3[大小電])</f>
        <v>細電</v>
      </c>
      <c r="J4311" s="86" t="str">
        <f>_xlfn.XLOOKUP(表格1[[#This Row],[Model]],表格3[Model-Input-Ref2],表格3[Code])</f>
        <v>DW</v>
      </c>
      <c r="K4311" s="89" t="s">
        <v>1475</v>
      </c>
      <c r="L4311" s="86">
        <v>1</v>
      </c>
      <c r="M4311" s="87">
        <v>3780</v>
      </c>
      <c r="N4311" s="87">
        <f>IFERROR(表格1[[#This Row],[QTY]]*表格1[[#This Row],[Unit Price]],"-")</f>
        <v>3780</v>
      </c>
      <c r="O4311" s="86">
        <v>1016171</v>
      </c>
      <c r="R4311" s="86" t="str">
        <f>_xlfn.CONCAT(表格1[[#This Row],[Model]]," ",表格1[[#This Row],[inv no]])</f>
        <v>DW-05T2-HK 1016171</v>
      </c>
      <c r="S4311" s="86">
        <f>_xlfn.XLOOKUP(表格1[[#This Row],[Model]],表格3[Model-Input-Ref2],表格3[SRP PRICE])</f>
        <v>4580</v>
      </c>
      <c r="T4311" s="43">
        <f>表格1[[#This Row],[Unit Price]]/表格1[[#This Row],[SRP]]</f>
        <v>0.8253275109170306</v>
      </c>
      <c r="U4311" s="86" t="str">
        <f>_xlfn.XLOOKUP(表格1[[#This Row],[Model]],表格3[Model-Input-Ref2],表格3[TOSHIBA/HIGHEST])</f>
        <v>Toshiba SRP</v>
      </c>
      <c r="W4311" s="86" t="str">
        <f>_xlfn.CONCAT(表格1[[#This Row],[欄4]],表格1[[#This Row],[inv no]])</f>
        <v>1016171</v>
      </c>
    </row>
    <row r="4312" spans="1:23" hidden="1">
      <c r="A4312" s="81">
        <v>4310</v>
      </c>
      <c r="B4312" s="86" t="s">
        <v>1477</v>
      </c>
      <c r="C4312" s="86" t="s">
        <v>2028</v>
      </c>
      <c r="D4312" s="89" t="str">
        <f ca="1">OFFSET(Roster!$A$3,MATCH(表格1[[#This Row],[Location]]&amp;" "&amp;表格1[[#This Row],[Shop]]&amp;"*",Roster!$A$4:$A$72,0),DAY(表格1[[#This Row],[date]]),1,1)</f>
        <v>Kandy</v>
      </c>
      <c r="E4312" s="86">
        <f>MONTH(表格1[[#This Row],[date]])</f>
        <v>3</v>
      </c>
      <c r="F4312" s="90">
        <v>46109</v>
      </c>
      <c r="G4312" s="86" t="str">
        <f>VLOOKUP("*"&amp;表格1[[#This Row],[Input]]&amp;"*",'Ref-List'!$B:$D,2,)</f>
        <v>GR-RT300WE-PMA(57)</v>
      </c>
      <c r="H4312" s="86" t="str">
        <f>_xlfn.XLOOKUP(表格1[[#This Row],[Model]],表格3[Model-Input-Ref2],表格3[Product Line])</f>
        <v>變頻式環保雙門雪櫃(233L)</v>
      </c>
      <c r="I4312" s="86" t="str">
        <f>_xlfn.XLOOKUP(表格1[[#This Row],[Model]],表格3[Model-Input-Ref2],表格3[大小電])</f>
        <v>大電</v>
      </c>
      <c r="J4312" s="86" t="str">
        <f>_xlfn.XLOOKUP(表格1[[#This Row],[Model]],表格3[Model-Input-Ref2],表格3[Code])</f>
        <v>REF</v>
      </c>
      <c r="K4312" s="89" t="s">
        <v>1462</v>
      </c>
      <c r="L4312" s="86">
        <v>1</v>
      </c>
      <c r="M4312" s="87">
        <v>2780</v>
      </c>
      <c r="N4312" s="87">
        <f>IFERROR(表格1[[#This Row],[QTY]]*表格1[[#This Row],[Unit Price]],"-")</f>
        <v>2780</v>
      </c>
      <c r="O4312" s="86">
        <v>1016373</v>
      </c>
      <c r="R4312" s="86" t="str">
        <f>_xlfn.CONCAT(表格1[[#This Row],[Model]]," ",表格1[[#This Row],[inv no]])</f>
        <v>GR-RT300WE-PMA(57) 1016373</v>
      </c>
      <c r="S4312" s="86">
        <f>_xlfn.XLOOKUP(表格1[[#This Row],[Model]],表格3[Model-Input-Ref2],表格3[SRP PRICE])</f>
        <v>4280</v>
      </c>
      <c r="T4312" s="43">
        <f>表格1[[#This Row],[Unit Price]]/表格1[[#This Row],[SRP]]</f>
        <v>0.64953271028037385</v>
      </c>
      <c r="U4312" s="86" t="str">
        <f>_xlfn.XLOOKUP(表格1[[#This Row],[Model]],表格3[Model-Input-Ref2],表格3[TOSHIBA/HIGHEST])</f>
        <v>Toshiba SRP</v>
      </c>
      <c r="W4312" s="86" t="str">
        <f>_xlfn.CONCAT(表格1[[#This Row],[欄4]],表格1[[#This Row],[inv no]])</f>
        <v>1016373</v>
      </c>
    </row>
    <row r="4313" spans="1:23" hidden="1">
      <c r="A4313" s="81">
        <v>4311</v>
      </c>
      <c r="B4313" s="86" t="s">
        <v>1477</v>
      </c>
      <c r="C4313" s="86" t="s">
        <v>2028</v>
      </c>
      <c r="D4313" s="89" t="str">
        <f ca="1">OFFSET(Roster!$A$3,MATCH(表格1[[#This Row],[Location]]&amp;" "&amp;表格1[[#This Row],[Shop]]&amp;"*",Roster!$A$4:$A$72,0),DAY(表格1[[#This Row],[date]]),1,1)</f>
        <v>Kandy</v>
      </c>
      <c r="E4313" s="86">
        <f>MONTH(表格1[[#This Row],[date]])</f>
        <v>3</v>
      </c>
      <c r="F4313" s="90">
        <v>46109</v>
      </c>
      <c r="G4313" s="86" t="str">
        <f>VLOOKUP("*"&amp;表格1[[#This Row],[Input]]&amp;"*",'Ref-List'!$B:$D,2,)</f>
        <v>KT-17SHNH</v>
      </c>
      <c r="H4313" s="86" t="str">
        <f>_xlfn.XLOOKUP(表格1[[#This Row],[Model]],表格3[Model-Input-Ref2],表格3[Product Line])</f>
        <v>1.7L無線雙層電熱水壺</v>
      </c>
      <c r="I4313" s="86" t="str">
        <f>_xlfn.XLOOKUP(表格1[[#This Row],[Model]],表格3[Model-Input-Ref2],表格3[大小電])</f>
        <v>細電</v>
      </c>
      <c r="J4313" s="86" t="str">
        <f>_xlfn.XLOOKUP(表格1[[#This Row],[Model]],表格3[Model-Input-Ref2],表格3[Code])</f>
        <v>SDA</v>
      </c>
      <c r="K4313" s="89" t="s">
        <v>1283</v>
      </c>
      <c r="L4313" s="86">
        <v>1</v>
      </c>
      <c r="M4313" s="87">
        <v>198</v>
      </c>
      <c r="N4313" s="87">
        <f>IFERROR(表格1[[#This Row],[QTY]]*表格1[[#This Row],[Unit Price]],"-")</f>
        <v>198</v>
      </c>
      <c r="O4313" s="86">
        <v>1016485</v>
      </c>
      <c r="R4313" s="86" t="str">
        <f>_xlfn.CONCAT(表格1[[#This Row],[Model]]," ",表格1[[#This Row],[inv no]])</f>
        <v>KT-17SHNH 1016485</v>
      </c>
      <c r="S4313" s="86">
        <f>_xlfn.XLOOKUP(表格1[[#This Row],[Model]],表格3[Model-Input-Ref2],表格3[SRP PRICE])</f>
        <v>299</v>
      </c>
      <c r="T4313" s="43">
        <f>表格1[[#This Row],[Unit Price]]/表格1[[#This Row],[SRP]]</f>
        <v>0.66220735785953178</v>
      </c>
      <c r="U4313" s="86" t="str">
        <f>_xlfn.XLOOKUP(表格1[[#This Row],[Model]],表格3[Model-Input-Ref2],表格3[TOSHIBA/HIGHEST])</f>
        <v>Shops Highest Price</v>
      </c>
      <c r="W4313" s="86" t="str">
        <f>_xlfn.CONCAT(表格1[[#This Row],[欄4]],表格1[[#This Row],[inv no]])</f>
        <v>1016485</v>
      </c>
    </row>
    <row r="4314" spans="1:23" hidden="1">
      <c r="A4314" s="81">
        <v>4312</v>
      </c>
      <c r="B4314" s="86" t="s">
        <v>1477</v>
      </c>
      <c r="C4314" s="86" t="s">
        <v>2028</v>
      </c>
      <c r="D4314" s="89" t="str">
        <f ca="1">OFFSET(Roster!$A$3,MATCH(表格1[[#This Row],[Location]]&amp;" "&amp;表格1[[#This Row],[Shop]]&amp;"*",Roster!$A$4:$A$72,0),DAY(表格1[[#This Row],[date]]),1,1)</f>
        <v>Kandy</v>
      </c>
      <c r="E4314" s="86">
        <f>MONTH(表格1[[#This Row],[date]])</f>
        <v>3</v>
      </c>
      <c r="F4314" s="90">
        <v>46109</v>
      </c>
      <c r="G4314" s="86" t="str">
        <f>VLOOKUP("*"&amp;表格1[[#This Row],[Input]]&amp;"*",'Ref-List'!$B:$D,2,)</f>
        <v>MX2-TT20SC(WH)</v>
      </c>
      <c r="H4314" s="86" t="str">
        <f>_xlfn.XLOOKUP(表格1[[#This Row],[Model]],表格3[Model-Input-Ref2],表格3[Product Line])</f>
        <v>3合1 微波蒸焗爐 (20公升)</v>
      </c>
      <c r="I4314" s="86" t="str">
        <f>_xlfn.XLOOKUP(表格1[[#This Row],[Model]],表格3[Model-Input-Ref2],表格3[大小電])</f>
        <v>細電</v>
      </c>
      <c r="J4314" s="86" t="str">
        <f>_xlfn.XLOOKUP(表格1[[#This Row],[Model]],表格3[Model-Input-Ref2],表格3[Code])</f>
        <v>MCA</v>
      </c>
      <c r="K4314" s="89" t="s">
        <v>1287</v>
      </c>
      <c r="L4314" s="86">
        <v>1</v>
      </c>
      <c r="M4314" s="87">
        <v>2580</v>
      </c>
      <c r="N4314" s="87">
        <f>IFERROR(表格1[[#This Row],[QTY]]*表格1[[#This Row],[Unit Price]],"-")</f>
        <v>2580</v>
      </c>
      <c r="O4314" s="86">
        <v>1016485</v>
      </c>
      <c r="R4314" s="86" t="str">
        <f>_xlfn.CONCAT(表格1[[#This Row],[Model]]," ",表格1[[#This Row],[inv no]])</f>
        <v>MX2-TT20SC(WH) 1016485</v>
      </c>
      <c r="S4314" s="86">
        <f>_xlfn.XLOOKUP(表格1[[#This Row],[Model]],表格3[Model-Input-Ref2],表格3[SRP PRICE])</f>
        <v>3580</v>
      </c>
      <c r="T4314" s="43">
        <f>表格1[[#This Row],[Unit Price]]/表格1[[#This Row],[SRP]]</f>
        <v>0.72067039106145248</v>
      </c>
      <c r="U4314" s="86" t="str">
        <f>_xlfn.XLOOKUP(表格1[[#This Row],[Model]],表格3[Model-Input-Ref2],表格3[TOSHIBA/HIGHEST])</f>
        <v>Toshiba SRP</v>
      </c>
      <c r="W4314" s="86" t="str">
        <f>_xlfn.CONCAT(表格1[[#This Row],[欄4]],表格1[[#This Row],[inv no]])</f>
        <v>1016485</v>
      </c>
    </row>
    <row r="4315" spans="1:23" hidden="1">
      <c r="A4315" s="81">
        <v>4313</v>
      </c>
      <c r="B4315" s="86" t="s">
        <v>1477</v>
      </c>
      <c r="C4315" s="86" t="s">
        <v>2028</v>
      </c>
      <c r="D4315" s="89" t="str">
        <f ca="1">OFFSET(Roster!$A$3,MATCH(表格1[[#This Row],[Location]]&amp;" "&amp;表格1[[#This Row],[Shop]]&amp;"*",Roster!$A$4:$A$72,0),DAY(表格1[[#This Row],[date]]),1,1)</f>
        <v>Kandy</v>
      </c>
      <c r="E4315" s="86">
        <f>MONTH(表格1[[#This Row],[date]])</f>
        <v>3</v>
      </c>
      <c r="F4315" s="90">
        <v>46109</v>
      </c>
      <c r="G4315" s="86" t="str">
        <f>VLOOKUP("*"&amp;表格1[[#This Row],[Input]]&amp;"*",'Ref-List'!$B:$D,2,)</f>
        <v>RAD-D300H</v>
      </c>
      <c r="H4315" s="86" t="str">
        <f>_xlfn.XLOOKUP(表格1[[#This Row],[Model]],表格3[Model-Input-Ref2],表格3[Product Line])</f>
        <v>壓縮式抽濕機 (30公升)</v>
      </c>
      <c r="I4315" s="86" t="str">
        <f>_xlfn.XLOOKUP(表格1[[#This Row],[Model]],表格3[Model-Input-Ref2],表格3[大小電])</f>
        <v>細電</v>
      </c>
      <c r="J4315" s="86" t="str">
        <f>_xlfn.XLOOKUP(表格1[[#This Row],[Model]],表格3[Model-Input-Ref2],表格3[Code])</f>
        <v>RAC</v>
      </c>
      <c r="K4315" s="89" t="s">
        <v>1252</v>
      </c>
      <c r="L4315" s="86">
        <v>1</v>
      </c>
      <c r="M4315" s="87">
        <v>2580</v>
      </c>
      <c r="N4315" s="87">
        <f>IFERROR(表格1[[#This Row],[QTY]]*表格1[[#This Row],[Unit Price]],"-")</f>
        <v>2580</v>
      </c>
      <c r="O4315" s="86">
        <v>1016186</v>
      </c>
      <c r="R4315" s="86" t="str">
        <f>_xlfn.CONCAT(表格1[[#This Row],[Model]]," ",表格1[[#This Row],[inv no]])</f>
        <v>RAD-D300H 1016186</v>
      </c>
      <c r="S4315" s="86">
        <f>_xlfn.XLOOKUP(表格1[[#This Row],[Model]],表格3[Model-Input-Ref2],表格3[SRP PRICE])</f>
        <v>3380</v>
      </c>
      <c r="T4315" s="43">
        <f>表格1[[#This Row],[Unit Price]]/表格1[[#This Row],[SRP]]</f>
        <v>0.76331360946745563</v>
      </c>
      <c r="U4315" s="86" t="str">
        <f>_xlfn.XLOOKUP(表格1[[#This Row],[Model]],表格3[Model-Input-Ref2],表格3[TOSHIBA/HIGHEST])</f>
        <v>Shops Highest Price</v>
      </c>
      <c r="W4315" s="86" t="str">
        <f>_xlfn.CONCAT(表格1[[#This Row],[欄4]],表格1[[#This Row],[inv no]])</f>
        <v>1016186</v>
      </c>
    </row>
    <row r="4316" spans="1:23" hidden="1">
      <c r="A4316" s="81">
        <v>4314</v>
      </c>
      <c r="B4316" s="86" t="s">
        <v>1477</v>
      </c>
      <c r="C4316" s="86" t="s">
        <v>2028</v>
      </c>
      <c r="D4316" s="89" t="str">
        <f ca="1">OFFSET(Roster!$A$3,MATCH(表格1[[#This Row],[Location]]&amp;" "&amp;表格1[[#This Row],[Shop]]&amp;"*",Roster!$A$4:$A$72,0),DAY(表格1[[#This Row],[date]]),1,1)</f>
        <v>Kandy</v>
      </c>
      <c r="E4316" s="86">
        <f>MONTH(表格1[[#This Row],[date]])</f>
        <v>3</v>
      </c>
      <c r="F4316" s="90">
        <v>46109</v>
      </c>
      <c r="G4316" s="86" t="str">
        <f>VLOOKUP("*"&amp;表格1[[#This Row],[Input]]&amp;"*",'Ref-List'!$B:$D,2,)</f>
        <v>RC-10AMXH(W)</v>
      </c>
      <c r="H4316" s="86" t="str">
        <f>_xlfn.XLOOKUP(表格1[[#This Row],[Model]],表格3[Model-Input-Ref2],表格3[Product Line])</f>
        <v>酵活炊電飯煲(1.0公升)</v>
      </c>
      <c r="I4316" s="86" t="str">
        <f>_xlfn.XLOOKUP(表格1[[#This Row],[Model]],表格3[Model-Input-Ref2],表格3[大小電])</f>
        <v>細電</v>
      </c>
      <c r="J4316" s="86" t="str">
        <f>_xlfn.XLOOKUP(表格1[[#This Row],[Model]],表格3[Model-Input-Ref2],表格3[Code])</f>
        <v>SDA</v>
      </c>
      <c r="K4316" s="89" t="s">
        <v>1279</v>
      </c>
      <c r="L4316" s="86">
        <v>1</v>
      </c>
      <c r="M4316" s="87">
        <v>990</v>
      </c>
      <c r="N4316" s="87">
        <f>IFERROR(表格1[[#This Row],[QTY]]*表格1[[#This Row],[Unit Price]],"-")</f>
        <v>990</v>
      </c>
      <c r="O4316" s="86">
        <v>1016181</v>
      </c>
      <c r="R4316" s="86" t="str">
        <f>_xlfn.CONCAT(表格1[[#This Row],[Model]]," ",表格1[[#This Row],[inv no]])</f>
        <v>RC-10AMXH(W) 1016181</v>
      </c>
      <c r="S4316" s="86">
        <f>_xlfn.XLOOKUP(表格1[[#This Row],[Model]],表格3[Model-Input-Ref2],表格3[SRP PRICE])</f>
        <v>1288</v>
      </c>
      <c r="T4316" s="43">
        <f>表格1[[#This Row],[Unit Price]]/表格1[[#This Row],[SRP]]</f>
        <v>0.76863354037267084</v>
      </c>
      <c r="U4316" s="86" t="str">
        <f>_xlfn.XLOOKUP(表格1[[#This Row],[Model]],表格3[Model-Input-Ref2],表格3[TOSHIBA/HIGHEST])</f>
        <v>Toshiba SRP</v>
      </c>
      <c r="W4316" s="86" t="str">
        <f>_xlfn.CONCAT(表格1[[#This Row],[欄4]],表格1[[#This Row],[inv no]])</f>
        <v>1016181</v>
      </c>
    </row>
    <row r="4317" spans="1:23" hidden="1">
      <c r="A4317" s="81">
        <v>4315</v>
      </c>
      <c r="B4317" s="86" t="s">
        <v>1477</v>
      </c>
      <c r="C4317" s="86" t="s">
        <v>2028</v>
      </c>
      <c r="D4317" s="89" t="str">
        <f ca="1">OFFSET(Roster!$A$3,MATCH(表格1[[#This Row],[Location]]&amp;" "&amp;表格1[[#This Row],[Shop]]&amp;"*",Roster!$A$4:$A$72,0),DAY(表格1[[#This Row],[date]]),1,1)</f>
        <v>Kandy</v>
      </c>
      <c r="E4317" s="86">
        <f>MONTH(表格1[[#This Row],[date]])</f>
        <v>3</v>
      </c>
      <c r="F4317" s="90">
        <v>46109</v>
      </c>
      <c r="G4317" s="86" t="str">
        <f>VLOOKUP("*"&amp;表格1[[#This Row],[Input]]&amp;"*",'Ref-List'!$B:$D,2,)</f>
        <v>MWP-MM20P(WH)</v>
      </c>
      <c r="H4317" s="86" t="str">
        <f>_xlfn.XLOOKUP(表格1[[#This Row],[Model]],表格3[Model-Input-Ref2],表格3[Product Line])</f>
        <v>旋鈕式燒烤微波爐20L</v>
      </c>
      <c r="I4317" s="86" t="str">
        <f>_xlfn.XLOOKUP(表格1[[#This Row],[Model]],表格3[Model-Input-Ref2],表格3[大小電])</f>
        <v>細電</v>
      </c>
      <c r="J4317" s="86" t="str">
        <f>_xlfn.XLOOKUP(表格1[[#This Row],[Model]],表格3[Model-Input-Ref2],表格3[Code])</f>
        <v>SDA</v>
      </c>
      <c r="K4317" s="89" t="s">
        <v>1270</v>
      </c>
      <c r="L4317" s="86">
        <v>1</v>
      </c>
      <c r="M4317" s="87">
        <v>488</v>
      </c>
      <c r="N4317" s="87">
        <f>IFERROR(表格1[[#This Row],[QTY]]*表格1[[#This Row],[Unit Price]],"-")</f>
        <v>488</v>
      </c>
      <c r="O4317" s="86">
        <v>1016040</v>
      </c>
      <c r="R4317" s="86" t="str">
        <f>_xlfn.CONCAT(表格1[[#This Row],[Model]]," ",表格1[[#This Row],[inv no]])</f>
        <v>MWP-MM20P(WH) 1016040</v>
      </c>
      <c r="S4317" s="86">
        <f>_xlfn.XLOOKUP(表格1[[#This Row],[Model]],表格3[Model-Input-Ref2],表格3[SRP PRICE])</f>
        <v>648</v>
      </c>
      <c r="T4317" s="43">
        <f>表格1[[#This Row],[Unit Price]]/表格1[[#This Row],[SRP]]</f>
        <v>0.75308641975308643</v>
      </c>
      <c r="U4317" s="86" t="str">
        <f>_xlfn.XLOOKUP(表格1[[#This Row],[Model]],表格3[Model-Input-Ref2],表格3[TOSHIBA/HIGHEST])</f>
        <v>Toshiba SRP</v>
      </c>
      <c r="W4317" s="86" t="str">
        <f>_xlfn.CONCAT(表格1[[#This Row],[欄4]],表格1[[#This Row],[inv no]])</f>
        <v>1016040</v>
      </c>
    </row>
    <row r="4318" spans="1:23" hidden="1">
      <c r="A4318" s="81">
        <v>4316</v>
      </c>
      <c r="B4318" s="86" t="s">
        <v>1477</v>
      </c>
      <c r="C4318" s="86" t="s">
        <v>2028</v>
      </c>
      <c r="D4318" s="89" t="str">
        <f ca="1">OFFSET(Roster!$A$3,MATCH(表格1[[#This Row],[Location]]&amp;" "&amp;表格1[[#This Row],[Shop]]&amp;"*",Roster!$A$4:$A$72,0),DAY(表格1[[#This Row],[date]]),1,1)</f>
        <v>Kandy</v>
      </c>
      <c r="E4318" s="86">
        <f>MONTH(表格1[[#This Row],[date]])</f>
        <v>3</v>
      </c>
      <c r="F4318" s="90">
        <v>46109</v>
      </c>
      <c r="G4318" s="86" t="str">
        <f>VLOOKUP("*"&amp;表格1[[#This Row],[Input]]&amp;"*",'Ref-List'!$B:$D,2,)</f>
        <v>MM2-EM20PC(WH)</v>
      </c>
      <c r="H4318" s="86" t="str">
        <f>_xlfn.XLOOKUP(表格1[[#This Row],[Model]],表格3[Model-Input-Ref2],表格3[Product Line])</f>
        <v>輕觸式微波爐 (20公升)</v>
      </c>
      <c r="I4318" s="86" t="str">
        <f>_xlfn.XLOOKUP(表格1[[#This Row],[Model]],表格3[Model-Input-Ref2],表格3[大小電])</f>
        <v>細電</v>
      </c>
      <c r="J4318" s="86" t="str">
        <f>_xlfn.XLOOKUP(表格1[[#This Row],[Model]],表格3[Model-Input-Ref2],表格3[Code])</f>
        <v>MCA</v>
      </c>
      <c r="K4318" s="89" t="s">
        <v>1276</v>
      </c>
      <c r="L4318" s="86">
        <v>1</v>
      </c>
      <c r="M4318" s="87">
        <v>598</v>
      </c>
      <c r="N4318" s="87">
        <f>IFERROR(表格1[[#This Row],[QTY]]*表格1[[#This Row],[Unit Price]],"-")</f>
        <v>598</v>
      </c>
      <c r="O4318" s="86">
        <v>1016128</v>
      </c>
      <c r="R4318" s="86" t="str">
        <f>_xlfn.CONCAT(表格1[[#This Row],[Model]]," ",表格1[[#This Row],[inv no]])</f>
        <v>MM2-EM20PC(WH) 1016128</v>
      </c>
      <c r="S4318" s="86">
        <f>_xlfn.XLOOKUP(表格1[[#This Row],[Model]],表格3[Model-Input-Ref2],表格3[SRP PRICE])</f>
        <v>788</v>
      </c>
      <c r="T4318" s="43">
        <f>表格1[[#This Row],[Unit Price]]/表格1[[#This Row],[SRP]]</f>
        <v>0.75888324873096447</v>
      </c>
      <c r="U4318" s="86" t="str">
        <f>_xlfn.XLOOKUP(表格1[[#This Row],[Model]],表格3[Model-Input-Ref2],表格3[TOSHIBA/HIGHEST])</f>
        <v>Toshiba SRP</v>
      </c>
      <c r="W4318" s="86" t="str">
        <f>_xlfn.CONCAT(表格1[[#This Row],[欄4]],表格1[[#This Row],[inv no]])</f>
        <v>1016128</v>
      </c>
    </row>
    <row r="4319" spans="1:23" hidden="1">
      <c r="A4319" s="81">
        <v>4317</v>
      </c>
      <c r="B4319" s="86" t="s">
        <v>1477</v>
      </c>
      <c r="C4319" s="86" t="s">
        <v>2028</v>
      </c>
      <c r="D4319" s="89" t="str">
        <f ca="1">OFFSET(Roster!$A$3,MATCH(表格1[[#This Row],[Location]]&amp;" "&amp;表格1[[#This Row],[Shop]]&amp;"*",Roster!$A$4:$A$72,0),DAY(表格1[[#This Row],[date]]),1,1)</f>
        <v>Kandy</v>
      </c>
      <c r="E4319" s="86">
        <f>MONTH(表格1[[#This Row],[date]])</f>
        <v>3</v>
      </c>
      <c r="F4319" s="90">
        <v>46109</v>
      </c>
      <c r="G4319" s="86" t="str">
        <f>VLOOKUP("*"&amp;表格1[[#This Row],[Input]]&amp;"*",'Ref-List'!$B:$D,2,)</f>
        <v>RC-10AMXH(W)</v>
      </c>
      <c r="H4319" s="86" t="str">
        <f>_xlfn.XLOOKUP(表格1[[#This Row],[Model]],表格3[Model-Input-Ref2],表格3[Product Line])</f>
        <v>酵活炊電飯煲(1.0公升)</v>
      </c>
      <c r="I4319" s="86" t="str">
        <f>_xlfn.XLOOKUP(表格1[[#This Row],[Model]],表格3[Model-Input-Ref2],表格3[大小電])</f>
        <v>細電</v>
      </c>
      <c r="J4319" s="86" t="str">
        <f>_xlfn.XLOOKUP(表格1[[#This Row],[Model]],表格3[Model-Input-Ref2],表格3[Code])</f>
        <v>SDA</v>
      </c>
      <c r="K4319" s="89" t="s">
        <v>1279</v>
      </c>
      <c r="L4319" s="86">
        <v>1</v>
      </c>
      <c r="M4319" s="87">
        <v>990</v>
      </c>
      <c r="N4319" s="87">
        <f>IFERROR(表格1[[#This Row],[QTY]]*表格1[[#This Row],[Unit Price]],"-")</f>
        <v>990</v>
      </c>
      <c r="O4319" s="86">
        <v>1016526</v>
      </c>
      <c r="R4319" s="86" t="str">
        <f>_xlfn.CONCAT(表格1[[#This Row],[Model]]," ",表格1[[#This Row],[inv no]])</f>
        <v>RC-10AMXH(W) 1016526</v>
      </c>
      <c r="S4319" s="86">
        <f>_xlfn.XLOOKUP(表格1[[#This Row],[Model]],表格3[Model-Input-Ref2],表格3[SRP PRICE])</f>
        <v>1288</v>
      </c>
      <c r="T4319" s="43">
        <f>表格1[[#This Row],[Unit Price]]/表格1[[#This Row],[SRP]]</f>
        <v>0.76863354037267084</v>
      </c>
      <c r="U4319" s="86" t="str">
        <f>_xlfn.XLOOKUP(表格1[[#This Row],[Model]],表格3[Model-Input-Ref2],表格3[TOSHIBA/HIGHEST])</f>
        <v>Toshiba SRP</v>
      </c>
      <c r="W4319" s="86" t="str">
        <f>_xlfn.CONCAT(表格1[[#This Row],[欄4]],表格1[[#This Row],[inv no]])</f>
        <v>1016526</v>
      </c>
    </row>
    <row r="4320" spans="1:23" hidden="1">
      <c r="A4320" s="81">
        <v>4318</v>
      </c>
      <c r="B4320" s="86" t="s">
        <v>1477</v>
      </c>
      <c r="C4320" s="86" t="s">
        <v>2028</v>
      </c>
      <c r="D4320" s="89" t="str">
        <f ca="1">OFFSET(Roster!$A$3,MATCH(表格1[[#This Row],[Location]]&amp;" "&amp;表格1[[#This Row],[Shop]]&amp;"*",Roster!$A$4:$A$72,0),DAY(表格1[[#This Row],[date]]),1,1)</f>
        <v>Kandy</v>
      </c>
      <c r="E4320" s="86">
        <f>MONTH(表格1[[#This Row],[date]])</f>
        <v>3</v>
      </c>
      <c r="F4320" s="90">
        <v>46109</v>
      </c>
      <c r="G4320" s="86" t="str">
        <f>VLOOKUP("*"&amp;表格1[[#This Row],[Input]]&amp;"*",'Ref-List'!$B:$D,2,)</f>
        <v>TWP-W2265THK(W)</v>
      </c>
      <c r="H4320" s="86" t="str">
        <f>_xlfn.XLOOKUP(表格1[[#This Row],[Model]],表格3[Model-Input-Ref2],表格3[Product Line])</f>
        <v>RO座檯式冷熱飲水機</v>
      </c>
      <c r="I4320" s="86" t="str">
        <f>_xlfn.XLOOKUP(表格1[[#This Row],[Model]],表格3[Model-Input-Ref2],表格3[大小電])</f>
        <v>細電</v>
      </c>
      <c r="J4320" s="86" t="str">
        <f>_xlfn.XLOOKUP(表格1[[#This Row],[Model]],表格3[Model-Input-Ref2],表格3[Code])</f>
        <v>KWH</v>
      </c>
      <c r="K4320" s="89" t="s">
        <v>1694</v>
      </c>
      <c r="L4320" s="86">
        <v>1</v>
      </c>
      <c r="M4320" s="87">
        <v>3080</v>
      </c>
      <c r="N4320" s="87">
        <f>IFERROR(表格1[[#This Row],[QTY]]*表格1[[#This Row],[Unit Price]],"-")</f>
        <v>3080</v>
      </c>
      <c r="O4320" s="86">
        <v>1016501</v>
      </c>
      <c r="R4320" s="86" t="str">
        <f>_xlfn.CONCAT(表格1[[#This Row],[Model]]," ",表格1[[#This Row],[inv no]])</f>
        <v>TWP-W2265THK(W) 1016501</v>
      </c>
      <c r="S4320" s="86">
        <f>_xlfn.XLOOKUP(表格1[[#This Row],[Model]],表格3[Model-Input-Ref2],表格3[SRP PRICE])</f>
        <v>3480</v>
      </c>
      <c r="T4320" s="43">
        <f>表格1[[#This Row],[Unit Price]]/表格1[[#This Row],[SRP]]</f>
        <v>0.88505747126436785</v>
      </c>
      <c r="U4320" s="86" t="str">
        <f>_xlfn.XLOOKUP(表格1[[#This Row],[Model]],表格3[Model-Input-Ref2],表格3[TOSHIBA/HIGHEST])</f>
        <v>Shops Highest Price</v>
      </c>
      <c r="W4320" s="86" t="str">
        <f>_xlfn.CONCAT(表格1[[#This Row],[欄4]],表格1[[#This Row],[inv no]])</f>
        <v>1016501</v>
      </c>
    </row>
    <row r="4321" spans="1:23" hidden="1">
      <c r="A4321" s="81">
        <v>4319</v>
      </c>
      <c r="B4321" s="86" t="s">
        <v>1477</v>
      </c>
      <c r="C4321" s="86" t="s">
        <v>2028</v>
      </c>
      <c r="D4321" s="89" t="str">
        <f ca="1">OFFSET(Roster!$A$3,MATCH(表格1[[#This Row],[Location]]&amp;" "&amp;表格1[[#This Row],[Shop]]&amp;"*",Roster!$A$4:$A$72,0),DAY(表格1[[#This Row],[date]]),1,1)</f>
        <v>Kandy</v>
      </c>
      <c r="E4321" s="86">
        <f>MONTH(表格1[[#This Row],[date]])</f>
        <v>3</v>
      </c>
      <c r="F4321" s="90">
        <v>46110</v>
      </c>
      <c r="G4321" s="86" t="str">
        <f>VLOOKUP("*"&amp;表格1[[#This Row],[Input]]&amp;"*",'Ref-List'!$B:$D,2,)</f>
        <v>RAD-D300H</v>
      </c>
      <c r="H4321" s="86" t="str">
        <f>_xlfn.XLOOKUP(表格1[[#This Row],[Model]],表格3[Model-Input-Ref2],表格3[Product Line])</f>
        <v>壓縮式抽濕機 (30公升)</v>
      </c>
      <c r="I4321" s="86" t="str">
        <f>_xlfn.XLOOKUP(表格1[[#This Row],[Model]],表格3[Model-Input-Ref2],表格3[大小電])</f>
        <v>細電</v>
      </c>
      <c r="J4321" s="86" t="str">
        <f>_xlfn.XLOOKUP(表格1[[#This Row],[Model]],表格3[Model-Input-Ref2],表格3[Code])</f>
        <v>RAC</v>
      </c>
      <c r="K4321" s="89" t="s">
        <v>1252</v>
      </c>
      <c r="L4321" s="86">
        <v>1</v>
      </c>
      <c r="M4321" s="87">
        <v>2580</v>
      </c>
      <c r="N4321" s="87">
        <f>IFERROR(表格1[[#This Row],[QTY]]*表格1[[#This Row],[Unit Price]],"-")</f>
        <v>2580</v>
      </c>
      <c r="O4321" s="86">
        <v>1016653</v>
      </c>
      <c r="R4321" s="86" t="str">
        <f>_xlfn.CONCAT(表格1[[#This Row],[Model]]," ",表格1[[#This Row],[inv no]])</f>
        <v>RAD-D300H 1016653</v>
      </c>
      <c r="S4321" s="86">
        <f>_xlfn.XLOOKUP(表格1[[#This Row],[Model]],表格3[Model-Input-Ref2],表格3[SRP PRICE])</f>
        <v>3380</v>
      </c>
      <c r="T4321" s="43">
        <f>表格1[[#This Row],[Unit Price]]/表格1[[#This Row],[SRP]]</f>
        <v>0.76331360946745563</v>
      </c>
      <c r="U4321" s="86" t="str">
        <f>_xlfn.XLOOKUP(表格1[[#This Row],[Model]],表格3[Model-Input-Ref2],表格3[TOSHIBA/HIGHEST])</f>
        <v>Shops Highest Price</v>
      </c>
      <c r="W4321" s="86" t="str">
        <f>_xlfn.CONCAT(表格1[[#This Row],[欄4]],表格1[[#This Row],[inv no]])</f>
        <v>1016653</v>
      </c>
    </row>
    <row r="4322" spans="1:23" hidden="1">
      <c r="A4322" s="81">
        <v>4320</v>
      </c>
      <c r="B4322" s="86" t="s">
        <v>1477</v>
      </c>
      <c r="C4322" s="86" t="s">
        <v>2028</v>
      </c>
      <c r="D4322" s="89" t="str">
        <f ca="1">OFFSET(Roster!$A$3,MATCH(表格1[[#This Row],[Location]]&amp;" "&amp;表格1[[#This Row],[Shop]]&amp;"*",Roster!$A$4:$A$72,0),DAY(表格1[[#This Row],[date]]),1,1)</f>
        <v>Kandy</v>
      </c>
      <c r="E4322" s="86">
        <f>MONTH(表格1[[#This Row],[date]])</f>
        <v>3</v>
      </c>
      <c r="F4322" s="90">
        <v>46110</v>
      </c>
      <c r="G4322" s="86" t="str">
        <f>VLOOKUP("*"&amp;表格1[[#This Row],[Input]]&amp;"*",'Ref-List'!$B:$D,2,)</f>
        <v>RAD-D300H</v>
      </c>
      <c r="H4322" s="86" t="str">
        <f>_xlfn.XLOOKUP(表格1[[#This Row],[Model]],表格3[Model-Input-Ref2],表格3[Product Line])</f>
        <v>壓縮式抽濕機 (30公升)</v>
      </c>
      <c r="I4322" s="86" t="str">
        <f>_xlfn.XLOOKUP(表格1[[#This Row],[Model]],表格3[Model-Input-Ref2],表格3[大小電])</f>
        <v>細電</v>
      </c>
      <c r="J4322" s="86" t="str">
        <f>_xlfn.XLOOKUP(表格1[[#This Row],[Model]],表格3[Model-Input-Ref2],表格3[Code])</f>
        <v>RAC</v>
      </c>
      <c r="K4322" s="89" t="s">
        <v>1252</v>
      </c>
      <c r="L4322" s="86">
        <v>1</v>
      </c>
      <c r="M4322" s="87">
        <v>2580</v>
      </c>
      <c r="N4322" s="87">
        <f>IFERROR(表格1[[#This Row],[QTY]]*表格1[[#This Row],[Unit Price]],"-")</f>
        <v>2580</v>
      </c>
      <c r="O4322" s="86">
        <v>1016659</v>
      </c>
      <c r="R4322" s="86" t="str">
        <f>_xlfn.CONCAT(表格1[[#This Row],[Model]]," ",表格1[[#This Row],[inv no]])</f>
        <v>RAD-D300H 1016659</v>
      </c>
      <c r="S4322" s="86">
        <f>_xlfn.XLOOKUP(表格1[[#This Row],[Model]],表格3[Model-Input-Ref2],表格3[SRP PRICE])</f>
        <v>3380</v>
      </c>
      <c r="T4322" s="43">
        <f>表格1[[#This Row],[Unit Price]]/表格1[[#This Row],[SRP]]</f>
        <v>0.76331360946745563</v>
      </c>
      <c r="U4322" s="86" t="str">
        <f>_xlfn.XLOOKUP(表格1[[#This Row],[Model]],表格3[Model-Input-Ref2],表格3[TOSHIBA/HIGHEST])</f>
        <v>Shops Highest Price</v>
      </c>
      <c r="W4322" s="86" t="str">
        <f>_xlfn.CONCAT(表格1[[#This Row],[欄4]],表格1[[#This Row],[inv no]])</f>
        <v>1016659</v>
      </c>
    </row>
    <row r="4323" spans="1:23" hidden="1">
      <c r="A4323" s="81">
        <v>4321</v>
      </c>
      <c r="B4323" s="86" t="s">
        <v>1477</v>
      </c>
      <c r="C4323" s="86" t="s">
        <v>2028</v>
      </c>
      <c r="D4323" s="89" t="str">
        <f ca="1">OFFSET(Roster!$A$3,MATCH(表格1[[#This Row],[Location]]&amp;" "&amp;表格1[[#This Row],[Shop]]&amp;"*",Roster!$A$4:$A$72,0),DAY(表格1[[#This Row],[date]]),1,1)</f>
        <v>Kandy</v>
      </c>
      <c r="E4323" s="86">
        <f>MONTH(表格1[[#This Row],[date]])</f>
        <v>3</v>
      </c>
      <c r="F4323" s="90">
        <v>46110</v>
      </c>
      <c r="G4323" s="86" t="str">
        <f>VLOOKUP("*"&amp;表格1[[#This Row],[Input]]&amp;"*",'Ref-List'!$B:$D,2,)</f>
        <v>VC-CLX50BF(R)</v>
      </c>
      <c r="H4323" s="86" t="str">
        <f>_xlfn.XLOOKUP(表格1[[#This Row],[Model]],表格3[Model-Input-Ref2],表格3[Product Line])</f>
        <v>All-in-one 輕巧無線吸塵機</v>
      </c>
      <c r="I4323" s="86" t="str">
        <f>_xlfn.XLOOKUP(表格1[[#This Row],[Model]],表格3[Model-Input-Ref2],表格3[大小電])</f>
        <v>細電</v>
      </c>
      <c r="J4323" s="86" t="str">
        <f>_xlfn.XLOOKUP(表格1[[#This Row],[Model]],表格3[Model-Input-Ref2],表格3[Code])</f>
        <v>MCA</v>
      </c>
      <c r="K4323" s="89" t="s">
        <v>1774</v>
      </c>
      <c r="L4323" s="86">
        <v>1</v>
      </c>
      <c r="M4323" s="87">
        <v>1798</v>
      </c>
      <c r="N4323" s="87">
        <f>IFERROR(表格1[[#This Row],[QTY]]*表格1[[#This Row],[Unit Price]],"-")</f>
        <v>1798</v>
      </c>
      <c r="O4323" s="86">
        <v>1016710</v>
      </c>
      <c r="R4323" s="86" t="str">
        <f>_xlfn.CONCAT(表格1[[#This Row],[Model]]," ",表格1[[#This Row],[inv no]])</f>
        <v>VC-CLX50BF(R) 1016710</v>
      </c>
      <c r="S4323" s="86">
        <f>_xlfn.XLOOKUP(表格1[[#This Row],[Model]],表格3[Model-Input-Ref2],表格3[SRP PRICE])</f>
        <v>3188</v>
      </c>
      <c r="T4323" s="43">
        <f>表格1[[#This Row],[Unit Price]]/表格1[[#This Row],[SRP]]</f>
        <v>0.56398996235884569</v>
      </c>
      <c r="U4323" s="86" t="str">
        <f>_xlfn.XLOOKUP(表格1[[#This Row],[Model]],表格3[Model-Input-Ref2],表格3[TOSHIBA/HIGHEST])</f>
        <v>Toshiba SRP</v>
      </c>
      <c r="W4323" s="86" t="str">
        <f>_xlfn.CONCAT(表格1[[#This Row],[欄4]],表格1[[#This Row],[inv no]])</f>
        <v>1016710</v>
      </c>
    </row>
    <row r="4324" spans="1:23" hidden="1">
      <c r="A4324" s="81">
        <v>4322</v>
      </c>
      <c r="B4324" s="86" t="s">
        <v>1477</v>
      </c>
      <c r="C4324" s="86" t="s">
        <v>2028</v>
      </c>
      <c r="D4324" s="89" t="str">
        <f ca="1">OFFSET(Roster!$A$3,MATCH(表格1[[#This Row],[Location]]&amp;" "&amp;表格1[[#This Row],[Shop]]&amp;"*",Roster!$A$4:$A$72,0),DAY(表格1[[#This Row],[date]]),1,1)</f>
        <v>Kandy</v>
      </c>
      <c r="E4324" s="86">
        <f>MONTH(表格1[[#This Row],[date]])</f>
        <v>3</v>
      </c>
      <c r="F4324" s="90">
        <v>46110</v>
      </c>
      <c r="G4324" s="86" t="str">
        <f>VLOOKUP("*"&amp;表格1[[#This Row],[Input]]&amp;"*",'Ref-List'!$B:$D,2,)</f>
        <v>MW3-SAC24SE(BK)</v>
      </c>
      <c r="H4324" s="86" t="str">
        <f>_xlfn.XLOOKUP(表格1[[#This Row],[Model]],表格3[Model-Input-Ref2],表格3[Product Line])</f>
        <v>智能氣炸烤焗爐(24公升)</v>
      </c>
      <c r="I4324" s="86" t="str">
        <f>_xlfn.XLOOKUP(表格1[[#This Row],[Model]],表格3[Model-Input-Ref2],表格3[大小電])</f>
        <v>細電</v>
      </c>
      <c r="J4324" s="86" t="str">
        <f>_xlfn.XLOOKUP(表格1[[#This Row],[Model]],表格3[Model-Input-Ref2],表格3[Code])</f>
        <v>MCA</v>
      </c>
      <c r="K4324" s="89" t="s">
        <v>1274</v>
      </c>
      <c r="L4324" s="86">
        <v>1</v>
      </c>
      <c r="M4324" s="87">
        <v>1320</v>
      </c>
      <c r="N4324" s="87">
        <f>IFERROR(表格1[[#This Row],[QTY]]*表格1[[#This Row],[Unit Price]],"-")</f>
        <v>1320</v>
      </c>
      <c r="O4324" s="86">
        <v>1016693</v>
      </c>
      <c r="R4324" s="86" t="str">
        <f>_xlfn.CONCAT(表格1[[#This Row],[Model]]," ",表格1[[#This Row],[inv no]])</f>
        <v>MW3-SAC24SE(BK) 1016693</v>
      </c>
      <c r="S4324" s="86">
        <f>_xlfn.XLOOKUP(表格1[[#This Row],[Model]],表格3[Model-Input-Ref2],表格3[SRP PRICE])</f>
        <v>1680</v>
      </c>
      <c r="T4324" s="43">
        <f>表格1[[#This Row],[Unit Price]]/表格1[[#This Row],[SRP]]</f>
        <v>0.7857142857142857</v>
      </c>
      <c r="U4324" s="86" t="str">
        <f>_xlfn.XLOOKUP(表格1[[#This Row],[Model]],表格3[Model-Input-Ref2],表格3[TOSHIBA/HIGHEST])</f>
        <v>Toshiba SRP</v>
      </c>
      <c r="W4324" s="86" t="str">
        <f>_xlfn.CONCAT(表格1[[#This Row],[欄4]],表格1[[#This Row],[inv no]])</f>
        <v>1016693</v>
      </c>
    </row>
    <row r="4325" spans="1:23" hidden="1">
      <c r="A4325" s="81">
        <v>4323</v>
      </c>
      <c r="B4325" s="86" t="s">
        <v>1477</v>
      </c>
      <c r="C4325" s="86" t="s">
        <v>2028</v>
      </c>
      <c r="D4325" s="89" t="str">
        <f ca="1">OFFSET(Roster!$A$3,MATCH(表格1[[#This Row],[Location]]&amp;" "&amp;表格1[[#This Row],[Shop]]&amp;"*",Roster!$A$4:$A$72,0),DAY(表格1[[#This Row],[date]]),1,1)</f>
        <v>Kandy</v>
      </c>
      <c r="E4325" s="86">
        <f>MONTH(表格1[[#This Row],[date]])</f>
        <v>3</v>
      </c>
      <c r="F4325" s="90">
        <v>46110</v>
      </c>
      <c r="G4325" s="86" t="str">
        <f>VLOOKUP("*"&amp;表格1[[#This Row],[Input]]&amp;"*",'Ref-List'!$B:$D,2,)</f>
        <v>MX1-TH23SC(WH)</v>
      </c>
      <c r="H4325" s="86" t="str">
        <f>_xlfn.XLOOKUP(表格1[[#This Row],[Model]],表格3[Model-Input-Ref2],表格3[Product Line])</f>
        <v>微波蒸焗爐23L</v>
      </c>
      <c r="I4325" s="86" t="str">
        <f>_xlfn.XLOOKUP(表格1[[#This Row],[Model]],表格3[Model-Input-Ref2],表格3[大小電])</f>
        <v>細電</v>
      </c>
      <c r="J4325" s="86" t="str">
        <f>_xlfn.XLOOKUP(表格1[[#This Row],[Model]],表格3[Model-Input-Ref2],表格3[Code])</f>
        <v>SDA</v>
      </c>
      <c r="K4325" s="89" t="s">
        <v>1496</v>
      </c>
      <c r="L4325" s="86">
        <v>1</v>
      </c>
      <c r="M4325" s="87">
        <v>2580</v>
      </c>
      <c r="N4325" s="87">
        <f>IFERROR(表格1[[#This Row],[QTY]]*表格1[[#This Row],[Unit Price]],"-")</f>
        <v>2580</v>
      </c>
      <c r="O4325" s="86">
        <v>1016821</v>
      </c>
      <c r="R4325" s="86" t="str">
        <f>_xlfn.CONCAT(表格1[[#This Row],[Model]]," ",表格1[[#This Row],[inv no]])</f>
        <v>MX1-TH23SC(WH) 1016821</v>
      </c>
      <c r="S4325" s="86">
        <f>_xlfn.XLOOKUP(表格1[[#This Row],[Model]],表格3[Model-Input-Ref2],表格3[SRP PRICE])</f>
        <v>3380</v>
      </c>
      <c r="T4325" s="43">
        <f>表格1[[#This Row],[Unit Price]]/表格1[[#This Row],[SRP]]</f>
        <v>0.76331360946745563</v>
      </c>
      <c r="U4325" s="86" t="str">
        <f>_xlfn.XLOOKUP(表格1[[#This Row],[Model]],表格3[Model-Input-Ref2],表格3[TOSHIBA/HIGHEST])</f>
        <v>Toshiba SRP</v>
      </c>
      <c r="W4325" s="86" t="str">
        <f>_xlfn.CONCAT(表格1[[#This Row],[欄4]],表格1[[#This Row],[inv no]])</f>
        <v>1016821</v>
      </c>
    </row>
    <row r="4326" spans="1:23" hidden="1">
      <c r="A4326" s="81">
        <v>4324</v>
      </c>
      <c r="B4326" s="86" t="s">
        <v>1477</v>
      </c>
      <c r="C4326" s="86" t="s">
        <v>2028</v>
      </c>
      <c r="D4326" s="89" t="str">
        <f ca="1">OFFSET(Roster!$A$3,MATCH(表格1[[#This Row],[Location]]&amp;" "&amp;表格1[[#This Row],[Shop]]&amp;"*",Roster!$A$4:$A$72,0),DAY(表格1[[#This Row],[date]]),1,1)</f>
        <v>Kandy</v>
      </c>
      <c r="E4326" s="86">
        <f>MONTH(表格1[[#This Row],[date]])</f>
        <v>3</v>
      </c>
      <c r="F4326" s="90">
        <v>46110</v>
      </c>
      <c r="G4326" s="86" t="str">
        <f>VLOOKUP("*"&amp;表格1[[#This Row],[Input]]&amp;"*",'Ref-List'!$B:$D,2,)</f>
        <v>PLK-45SFIH(WT)</v>
      </c>
      <c r="H4326" s="86" t="str">
        <f>_xlfn.XLOOKUP(表格1[[#This Row],[Model]],表格3[Model-Input-Ref2],表格3[Product Line])</f>
        <v>電熱水瓶4.5L</v>
      </c>
      <c r="I4326" s="86" t="str">
        <f>_xlfn.XLOOKUP(表格1[[#This Row],[Model]],表格3[Model-Input-Ref2],表格3[大小電])</f>
        <v>細電</v>
      </c>
      <c r="J4326" s="86" t="str">
        <f>_xlfn.XLOOKUP(表格1[[#This Row],[Model]],表格3[Model-Input-Ref2],表格3[Code])</f>
        <v>SDA</v>
      </c>
      <c r="K4326" s="89" t="s">
        <v>1117</v>
      </c>
      <c r="L4326" s="86">
        <v>1</v>
      </c>
      <c r="M4326" s="87">
        <v>589</v>
      </c>
      <c r="N4326" s="87">
        <f>IFERROR(表格1[[#This Row],[QTY]]*表格1[[#This Row],[Unit Price]],"-")</f>
        <v>589</v>
      </c>
      <c r="O4326" s="86">
        <v>1016828</v>
      </c>
      <c r="R4326" s="86" t="str">
        <f>_xlfn.CONCAT(表格1[[#This Row],[Model]]," ",表格1[[#This Row],[inv no]])</f>
        <v>PLK-45SFIH(WT) 1016828</v>
      </c>
      <c r="S4326" s="86">
        <f>_xlfn.XLOOKUP(表格1[[#This Row],[Model]],表格3[Model-Input-Ref2],表格3[SRP PRICE])</f>
        <v>788</v>
      </c>
      <c r="T4326" s="43">
        <f>表格1[[#This Row],[Unit Price]]/表格1[[#This Row],[SRP]]</f>
        <v>0.7474619289340102</v>
      </c>
      <c r="U4326" s="86" t="str">
        <f>_xlfn.XLOOKUP(表格1[[#This Row],[Model]],表格3[Model-Input-Ref2],表格3[TOSHIBA/HIGHEST])</f>
        <v>Toshiba SRP</v>
      </c>
      <c r="W4326" s="86" t="str">
        <f>_xlfn.CONCAT(表格1[[#This Row],[欄4]],表格1[[#This Row],[inv no]])</f>
        <v>1016828</v>
      </c>
    </row>
    <row r="4327" spans="1:23" hidden="1">
      <c r="A4327" s="81">
        <v>4325</v>
      </c>
      <c r="B4327" s="86" t="s">
        <v>1477</v>
      </c>
      <c r="C4327" s="86" t="s">
        <v>2028</v>
      </c>
      <c r="D4327" s="89" t="str">
        <f ca="1">OFFSET(Roster!$A$3,MATCH(表格1[[#This Row],[Location]]&amp;" "&amp;表格1[[#This Row],[Shop]]&amp;"*",Roster!$A$4:$A$72,0),DAY(表格1[[#This Row],[date]]),1,1)</f>
        <v>Kandy</v>
      </c>
      <c r="E4327" s="86">
        <f>MONTH(表格1[[#This Row],[date]])</f>
        <v>3</v>
      </c>
      <c r="F4327" s="90">
        <v>46110</v>
      </c>
      <c r="G4327" s="86" t="str">
        <f>VLOOKUP("*"&amp;表格1[[#This Row],[Input]]&amp;"*",'Ref-List'!$B:$D,2,)</f>
        <v>GR-RB221WE-PMA(57)</v>
      </c>
      <c r="H4327" s="86" t="str">
        <f>_xlfn.XLOOKUP(表格1[[#This Row],[Model]],表格3[Model-Input-Ref2],表格3[Product Line])</f>
        <v>變頻下置式雙門雪櫃（163L）</v>
      </c>
      <c r="I4327" s="86" t="str">
        <f>_xlfn.XLOOKUP(表格1[[#This Row],[Model]],表格3[Model-Input-Ref2],表格3[大小電])</f>
        <v>大電</v>
      </c>
      <c r="J4327" s="86" t="str">
        <f>_xlfn.XLOOKUP(表格1[[#This Row],[Model]],表格3[Model-Input-Ref2],表格3[Code])</f>
        <v>REF</v>
      </c>
      <c r="K4327" s="89" t="s">
        <v>1386</v>
      </c>
      <c r="L4327" s="86">
        <v>1</v>
      </c>
      <c r="M4327" s="87">
        <v>1880</v>
      </c>
      <c r="N4327" s="87">
        <f>IFERROR(表格1[[#This Row],[QTY]]*表格1[[#This Row],[Unit Price]],"-")</f>
        <v>1880</v>
      </c>
      <c r="O4327" s="86">
        <v>1016714</v>
      </c>
      <c r="R4327" s="86" t="str">
        <f>_xlfn.CONCAT(表格1[[#This Row],[Model]]," ",表格1[[#This Row],[inv no]])</f>
        <v>GR-RB221WE-PMA(57) 1016714</v>
      </c>
      <c r="S4327" s="86">
        <f>_xlfn.XLOOKUP(表格1[[#This Row],[Model]],表格3[Model-Input-Ref2],表格3[SRP PRICE])</f>
        <v>3480</v>
      </c>
      <c r="T4327" s="43">
        <f>表格1[[#This Row],[Unit Price]]/表格1[[#This Row],[SRP]]</f>
        <v>0.54022988505747127</v>
      </c>
      <c r="U4327" s="86" t="str">
        <f>_xlfn.XLOOKUP(表格1[[#This Row],[Model]],表格3[Model-Input-Ref2],表格3[TOSHIBA/HIGHEST])</f>
        <v>Toshiba SRP</v>
      </c>
      <c r="W4327" s="86" t="str">
        <f>_xlfn.CONCAT(表格1[[#This Row],[欄4]],表格1[[#This Row],[inv no]])</f>
        <v>1016714</v>
      </c>
    </row>
    <row r="4328" spans="1:23" hidden="1">
      <c r="A4328" s="81">
        <v>4326</v>
      </c>
      <c r="B4328" s="86" t="s">
        <v>1477</v>
      </c>
      <c r="C4328" s="86" t="s">
        <v>2028</v>
      </c>
      <c r="D4328" s="89" t="str">
        <f ca="1">OFFSET(Roster!$A$3,MATCH(表格1[[#This Row],[Location]]&amp;" "&amp;表格1[[#This Row],[Shop]]&amp;"*",Roster!$A$4:$A$72,0),DAY(表格1[[#This Row],[date]]),1,1)</f>
        <v>Kandy</v>
      </c>
      <c r="E4328" s="86">
        <f>MONTH(表格1[[#This Row],[date]])</f>
        <v>3</v>
      </c>
      <c r="F4328" s="90">
        <v>46110</v>
      </c>
      <c r="G4328" s="86" t="str">
        <f>VLOOKUP("*"&amp;表格1[[#This Row],[Input]]&amp;"*",'Ref-List'!$B:$D,2,)</f>
        <v>MX1-TH23SC(WH)</v>
      </c>
      <c r="H4328" s="86" t="str">
        <f>_xlfn.XLOOKUP(表格1[[#This Row],[Model]],表格3[Model-Input-Ref2],表格3[Product Line])</f>
        <v>微波蒸焗爐23L</v>
      </c>
      <c r="I4328" s="86" t="str">
        <f>_xlfn.XLOOKUP(表格1[[#This Row],[Model]],表格3[Model-Input-Ref2],表格3[大小電])</f>
        <v>細電</v>
      </c>
      <c r="J4328" s="86" t="str">
        <f>_xlfn.XLOOKUP(表格1[[#This Row],[Model]],表格3[Model-Input-Ref2],表格3[Code])</f>
        <v>SDA</v>
      </c>
      <c r="K4328" s="89" t="s">
        <v>1496</v>
      </c>
      <c r="L4328" s="86">
        <v>1</v>
      </c>
      <c r="M4328" s="87">
        <v>2580</v>
      </c>
      <c r="N4328" s="87">
        <f>IFERROR(表格1[[#This Row],[QTY]]*表格1[[#This Row],[Unit Price]],"-")</f>
        <v>2580</v>
      </c>
      <c r="O4328" s="86">
        <v>1016613</v>
      </c>
      <c r="R4328" s="86" t="str">
        <f>_xlfn.CONCAT(表格1[[#This Row],[Model]]," ",表格1[[#This Row],[inv no]])</f>
        <v>MX1-TH23SC(WH) 1016613</v>
      </c>
      <c r="S4328" s="86">
        <f>_xlfn.XLOOKUP(表格1[[#This Row],[Model]],表格3[Model-Input-Ref2],表格3[SRP PRICE])</f>
        <v>3380</v>
      </c>
      <c r="T4328" s="43">
        <f>表格1[[#This Row],[Unit Price]]/表格1[[#This Row],[SRP]]</f>
        <v>0.76331360946745563</v>
      </c>
      <c r="U4328" s="86" t="str">
        <f>_xlfn.XLOOKUP(表格1[[#This Row],[Model]],表格3[Model-Input-Ref2],表格3[TOSHIBA/HIGHEST])</f>
        <v>Toshiba SRP</v>
      </c>
      <c r="W4328" s="86" t="str">
        <f>_xlfn.CONCAT(表格1[[#This Row],[欄4]],表格1[[#This Row],[inv no]])</f>
        <v>1016613</v>
      </c>
    </row>
    <row r="4329" spans="1:23" hidden="1">
      <c r="A4329" s="81">
        <v>4327</v>
      </c>
      <c r="B4329" s="86" t="s">
        <v>1477</v>
      </c>
      <c r="C4329" s="86" t="s">
        <v>2028</v>
      </c>
      <c r="D4329" s="89" t="str">
        <f ca="1">OFFSET(Roster!$A$3,MATCH(表格1[[#This Row],[Location]]&amp;" "&amp;表格1[[#This Row],[Shop]]&amp;"*",Roster!$A$4:$A$72,0),DAY(表格1[[#This Row],[date]]),1,1)</f>
        <v>Kandy</v>
      </c>
      <c r="E4329" s="86">
        <f>MONTH(表格1[[#This Row],[date]])</f>
        <v>3</v>
      </c>
      <c r="F4329" s="90">
        <v>46110</v>
      </c>
      <c r="G4329" s="86" t="str">
        <f>VLOOKUP("*"&amp;表格1[[#This Row],[Input]]&amp;"*",'Ref-List'!$B:$D,2,)</f>
        <v>KT-17SHNH</v>
      </c>
      <c r="H4329" s="86" t="str">
        <f>_xlfn.XLOOKUP(表格1[[#This Row],[Model]],表格3[Model-Input-Ref2],表格3[Product Line])</f>
        <v>1.7L無線雙層電熱水壺</v>
      </c>
      <c r="I4329" s="86" t="str">
        <f>_xlfn.XLOOKUP(表格1[[#This Row],[Model]],表格3[Model-Input-Ref2],表格3[大小電])</f>
        <v>細電</v>
      </c>
      <c r="J4329" s="86" t="str">
        <f>_xlfn.XLOOKUP(表格1[[#This Row],[Model]],表格3[Model-Input-Ref2],表格3[Code])</f>
        <v>SDA</v>
      </c>
      <c r="K4329" s="89" t="s">
        <v>1283</v>
      </c>
      <c r="L4329" s="86">
        <v>1</v>
      </c>
      <c r="M4329" s="87">
        <v>198</v>
      </c>
      <c r="N4329" s="87">
        <f>IFERROR(表格1[[#This Row],[QTY]]*表格1[[#This Row],[Unit Price]],"-")</f>
        <v>198</v>
      </c>
      <c r="O4329" s="86">
        <v>1016813</v>
      </c>
      <c r="R4329" s="86" t="str">
        <f>_xlfn.CONCAT(表格1[[#This Row],[Model]]," ",表格1[[#This Row],[inv no]])</f>
        <v>KT-17SHNH 1016813</v>
      </c>
      <c r="S4329" s="86">
        <f>_xlfn.XLOOKUP(表格1[[#This Row],[Model]],表格3[Model-Input-Ref2],表格3[SRP PRICE])</f>
        <v>299</v>
      </c>
      <c r="T4329" s="43">
        <f>表格1[[#This Row],[Unit Price]]/表格1[[#This Row],[SRP]]</f>
        <v>0.66220735785953178</v>
      </c>
      <c r="U4329" s="86" t="str">
        <f>_xlfn.XLOOKUP(表格1[[#This Row],[Model]],表格3[Model-Input-Ref2],表格3[TOSHIBA/HIGHEST])</f>
        <v>Shops Highest Price</v>
      </c>
      <c r="W4329" s="86" t="str">
        <f>_xlfn.CONCAT(表格1[[#This Row],[欄4]],表格1[[#This Row],[inv no]])</f>
        <v>1016813</v>
      </c>
    </row>
    <row r="4330" spans="1:23" hidden="1">
      <c r="A4330" s="81">
        <v>4328</v>
      </c>
      <c r="B4330" s="86" t="s">
        <v>1260</v>
      </c>
      <c r="C4330" s="86" t="s">
        <v>2034</v>
      </c>
      <c r="D4330" s="89" t="str">
        <f ca="1">OFFSET(Roster!$A$3,MATCH(表格1[[#This Row],[Location]]&amp;" "&amp;表格1[[#This Row],[Shop]]&amp;"*",Roster!$A$4:$A$72,0),DAY(表格1[[#This Row],[date]]),1,1)</f>
        <v>Yee</v>
      </c>
      <c r="E4330" s="86">
        <f>MONTH(表格1[[#This Row],[date]])</f>
        <v>3</v>
      </c>
      <c r="F4330" s="90">
        <v>46082</v>
      </c>
      <c r="G4330" s="86" t="str">
        <f>VLOOKUP("*"&amp;表格1[[#This Row],[Input]]&amp;"*",'Ref-List'!$B:$D,2,)</f>
        <v>MM2-EM20PC(WH)</v>
      </c>
      <c r="H4330" s="86" t="str">
        <f>_xlfn.XLOOKUP(表格1[[#This Row],[Model]],表格3[Model-Input-Ref2],表格3[Product Line])</f>
        <v>輕觸式微波爐 (20公升)</v>
      </c>
      <c r="I4330" s="86" t="str">
        <f>_xlfn.XLOOKUP(表格1[[#This Row],[Model]],表格3[Model-Input-Ref2],表格3[大小電])</f>
        <v>細電</v>
      </c>
      <c r="J4330" s="86" t="str">
        <f>_xlfn.XLOOKUP(表格1[[#This Row],[Model]],表格3[Model-Input-Ref2],表格3[Code])</f>
        <v>MCA</v>
      </c>
      <c r="K4330" s="89" t="s">
        <v>1276</v>
      </c>
      <c r="L4330" s="86">
        <v>1</v>
      </c>
      <c r="M4330" s="87">
        <v>628</v>
      </c>
      <c r="N4330" s="87">
        <f>IFERROR(表格1[[#This Row],[QTY]]*表格1[[#This Row],[Unit Price]],"-")</f>
        <v>628</v>
      </c>
      <c r="O4330" s="86">
        <v>127875</v>
      </c>
      <c r="R4330" s="86" t="str">
        <f>_xlfn.CONCAT(表格1[[#This Row],[Model]]," ",表格1[[#This Row],[inv no]])</f>
        <v>MM2-EM20PC(WH) 127875</v>
      </c>
      <c r="S4330" s="86">
        <f>_xlfn.XLOOKUP(表格1[[#This Row],[Model]],表格3[Model-Input-Ref2],表格3[SRP PRICE])</f>
        <v>788</v>
      </c>
      <c r="T4330" s="43">
        <f>表格1[[#This Row],[Unit Price]]/表格1[[#This Row],[SRP]]</f>
        <v>0.79695431472081213</v>
      </c>
      <c r="U4330" s="86" t="str">
        <f>_xlfn.XLOOKUP(表格1[[#This Row],[Model]],表格3[Model-Input-Ref2],表格3[TOSHIBA/HIGHEST])</f>
        <v>Toshiba SRP</v>
      </c>
      <c r="W4330" s="86" t="str">
        <f>_xlfn.CONCAT(表格1[[#This Row],[欄4]],表格1[[#This Row],[inv no]])</f>
        <v>127875</v>
      </c>
    </row>
    <row r="4331" spans="1:23" hidden="1">
      <c r="A4331" s="81">
        <v>4329</v>
      </c>
      <c r="B4331" s="86" t="s">
        <v>1260</v>
      </c>
      <c r="C4331" s="86" t="s">
        <v>2034</v>
      </c>
      <c r="D4331" s="89" t="str">
        <f ca="1">OFFSET(Roster!$A$3,MATCH(表格1[[#This Row],[Location]]&amp;" "&amp;表格1[[#This Row],[Shop]]&amp;"*",Roster!$A$4:$A$72,0),DAY(表格1[[#This Row],[date]]),1,1)</f>
        <v>Yee</v>
      </c>
      <c r="E4331" s="86">
        <f>MONTH(表格1[[#This Row],[date]])</f>
        <v>3</v>
      </c>
      <c r="F4331" s="90">
        <v>46082</v>
      </c>
      <c r="G4331" s="86" t="str">
        <f>VLOOKUP("*"&amp;表格1[[#This Row],[Input]]&amp;"*",'Ref-List'!$B:$D,2,)</f>
        <v>TW-T21BU90UWH(WW)</v>
      </c>
      <c r="H4331" s="86" t="str">
        <f>_xlfn.XLOOKUP(表格1[[#This Row],[Model]],表格3[Model-Input-Ref2],表格3[Product Line])</f>
        <v>8公斤超薄身前置式變頻洗衣機</v>
      </c>
      <c r="I4331" s="86" t="str">
        <f>_xlfn.XLOOKUP(表格1[[#This Row],[Model]],表格3[Model-Input-Ref2],表格3[大小電])</f>
        <v>大電</v>
      </c>
      <c r="J4331" s="86" t="str">
        <f>_xlfn.XLOOKUP(表格1[[#This Row],[Model]],表格3[Model-Input-Ref2],表格3[Code])</f>
        <v>LAD</v>
      </c>
      <c r="K4331" s="89" t="s">
        <v>1472</v>
      </c>
      <c r="L4331" s="86">
        <v>1</v>
      </c>
      <c r="M4331" s="87">
        <v>3480</v>
      </c>
      <c r="N4331" s="87">
        <f>IFERROR(表格1[[#This Row],[QTY]]*表格1[[#This Row],[Unit Price]],"-")</f>
        <v>3480</v>
      </c>
      <c r="O4331" s="86">
        <v>199412</v>
      </c>
      <c r="R4331" s="86" t="str">
        <f>_xlfn.CONCAT(表格1[[#This Row],[Model]]," ",表格1[[#This Row],[inv no]])</f>
        <v>TW-T21BU90UWH(WW) 199412</v>
      </c>
      <c r="S4331" s="86">
        <f>_xlfn.XLOOKUP(表格1[[#This Row],[Model]],表格3[Model-Input-Ref2],表格3[SRP PRICE])</f>
        <v>5480</v>
      </c>
      <c r="T4331" s="43">
        <f>表格1[[#This Row],[Unit Price]]/表格1[[#This Row],[SRP]]</f>
        <v>0.63503649635036497</v>
      </c>
      <c r="U4331" s="86" t="str">
        <f>_xlfn.XLOOKUP(表格1[[#This Row],[Model]],表格3[Model-Input-Ref2],表格3[TOSHIBA/HIGHEST])</f>
        <v>Toshiba SRP</v>
      </c>
      <c r="W4331" s="86" t="str">
        <f>_xlfn.CONCAT(表格1[[#This Row],[欄4]],表格1[[#This Row],[inv no]])</f>
        <v>199412</v>
      </c>
    </row>
    <row r="4332" spans="1:23" hidden="1">
      <c r="A4332" s="81">
        <v>4330</v>
      </c>
      <c r="B4332" s="86" t="s">
        <v>1260</v>
      </c>
      <c r="C4332" s="86" t="s">
        <v>2034</v>
      </c>
      <c r="D4332" s="89" t="str">
        <f ca="1">OFFSET(Roster!$A$3,MATCH(表格1[[#This Row],[Location]]&amp;" "&amp;表格1[[#This Row],[Shop]]&amp;"*",Roster!$A$4:$A$72,0),DAY(表格1[[#This Row],[date]]),1,1)</f>
        <v>Yee</v>
      </c>
      <c r="E4332" s="86">
        <f>MONTH(表格1[[#This Row],[date]])</f>
        <v>3</v>
      </c>
      <c r="F4332" s="90">
        <v>46082</v>
      </c>
      <c r="G4332" s="86" t="str">
        <f>VLOOKUP("*"&amp;表格1[[#This Row],[Input]]&amp;"*",'Ref-List'!$B:$D,2,)</f>
        <v>MWP-MM20P(WH)</v>
      </c>
      <c r="H4332" s="86" t="str">
        <f>_xlfn.XLOOKUP(表格1[[#This Row],[Model]],表格3[Model-Input-Ref2],表格3[Product Line])</f>
        <v>旋鈕式燒烤微波爐20L</v>
      </c>
      <c r="I4332" s="86" t="str">
        <f>_xlfn.XLOOKUP(表格1[[#This Row],[Model]],表格3[Model-Input-Ref2],表格3[大小電])</f>
        <v>細電</v>
      </c>
      <c r="J4332" s="86" t="str">
        <f>_xlfn.XLOOKUP(表格1[[#This Row],[Model]],表格3[Model-Input-Ref2],表格3[Code])</f>
        <v>SDA</v>
      </c>
      <c r="K4332" s="89" t="s">
        <v>1270</v>
      </c>
      <c r="L4332" s="86">
        <v>1</v>
      </c>
      <c r="M4332" s="87">
        <v>488</v>
      </c>
      <c r="N4332" s="87">
        <f>IFERROR(表格1[[#This Row],[QTY]]*表格1[[#This Row],[Unit Price]],"-")</f>
        <v>488</v>
      </c>
      <c r="O4332" s="86">
        <v>127974</v>
      </c>
      <c r="R4332" s="86" t="str">
        <f>_xlfn.CONCAT(表格1[[#This Row],[Model]]," ",表格1[[#This Row],[inv no]])</f>
        <v>MWP-MM20P(WH) 127974</v>
      </c>
      <c r="S4332" s="86">
        <f>_xlfn.XLOOKUP(表格1[[#This Row],[Model]],表格3[Model-Input-Ref2],表格3[SRP PRICE])</f>
        <v>648</v>
      </c>
      <c r="T4332" s="43">
        <f>表格1[[#This Row],[Unit Price]]/表格1[[#This Row],[SRP]]</f>
        <v>0.75308641975308643</v>
      </c>
      <c r="U4332" s="86" t="str">
        <f>_xlfn.XLOOKUP(表格1[[#This Row],[Model]],表格3[Model-Input-Ref2],表格3[TOSHIBA/HIGHEST])</f>
        <v>Toshiba SRP</v>
      </c>
      <c r="W4332" s="86" t="str">
        <f>_xlfn.CONCAT(表格1[[#This Row],[欄4]],表格1[[#This Row],[inv no]])</f>
        <v>127974</v>
      </c>
    </row>
    <row r="4333" spans="1:23" hidden="1">
      <c r="A4333" s="81">
        <v>4331</v>
      </c>
      <c r="B4333" s="86" t="s">
        <v>1260</v>
      </c>
      <c r="C4333" s="86" t="s">
        <v>2034</v>
      </c>
      <c r="D4333" s="89" t="str">
        <f ca="1">OFFSET(Roster!$A$3,MATCH(表格1[[#This Row],[Location]]&amp;" "&amp;表格1[[#This Row],[Shop]]&amp;"*",Roster!$A$4:$A$72,0),DAY(表格1[[#This Row],[date]]),1,1)</f>
        <v>Yee</v>
      </c>
      <c r="E4333" s="86">
        <f>MONTH(表格1[[#This Row],[date]])</f>
        <v>3</v>
      </c>
      <c r="F4333" s="90">
        <v>46082</v>
      </c>
      <c r="G4333" s="86" t="str">
        <f>VLOOKUP("*"&amp;表格1[[#This Row],[Input]]&amp;"*",'Ref-List'!$B:$D,2,)</f>
        <v>KT-17DRTHK(H)</v>
      </c>
      <c r="H4333" s="86" t="str">
        <f>_xlfn.XLOOKUP(表格1[[#This Row],[Model]],表格3[Model-Input-Ref2],表格3[Product Line])</f>
        <v>無線雙層電熱水壺(1.7公升)</v>
      </c>
      <c r="I4333" s="86" t="str">
        <f>_xlfn.XLOOKUP(表格1[[#This Row],[Model]],表格3[Model-Input-Ref2],表格3[大小電])</f>
        <v>細電</v>
      </c>
      <c r="J4333" s="86" t="str">
        <f>_xlfn.XLOOKUP(表格1[[#This Row],[Model]],表格3[Model-Input-Ref2],表格3[Code])</f>
        <v>SDA</v>
      </c>
      <c r="K4333" s="89" t="s">
        <v>1271</v>
      </c>
      <c r="L4333" s="86">
        <v>1</v>
      </c>
      <c r="M4333" s="87">
        <v>388</v>
      </c>
      <c r="N4333" s="87">
        <f>IFERROR(表格1[[#This Row],[QTY]]*表格1[[#This Row],[Unit Price]],"-")</f>
        <v>388</v>
      </c>
      <c r="O4333" s="86">
        <v>128084</v>
      </c>
      <c r="R4333" s="86" t="str">
        <f>_xlfn.CONCAT(表格1[[#This Row],[Model]]," ",表格1[[#This Row],[inv no]])</f>
        <v>KT-17DRTHK(H) 128084</v>
      </c>
      <c r="S4333" s="86">
        <f>_xlfn.XLOOKUP(表格1[[#This Row],[Model]],表格3[Model-Input-Ref2],表格3[SRP PRICE])</f>
        <v>498</v>
      </c>
      <c r="T4333" s="43">
        <f>表格1[[#This Row],[Unit Price]]/表格1[[#This Row],[SRP]]</f>
        <v>0.77911646586345384</v>
      </c>
      <c r="U4333" s="86" t="str">
        <f>_xlfn.XLOOKUP(表格1[[#This Row],[Model]],表格3[Model-Input-Ref2],表格3[TOSHIBA/HIGHEST])</f>
        <v>Toshiba SRP</v>
      </c>
      <c r="W4333" s="86" t="str">
        <f>_xlfn.CONCAT(表格1[[#This Row],[欄4]],表格1[[#This Row],[inv no]])</f>
        <v>128084</v>
      </c>
    </row>
    <row r="4334" spans="1:23" hidden="1">
      <c r="A4334" s="81">
        <v>4332</v>
      </c>
      <c r="B4334" s="86" t="s">
        <v>1260</v>
      </c>
      <c r="C4334" s="86" t="s">
        <v>2034</v>
      </c>
      <c r="D4334" s="89" t="str">
        <f ca="1">OFFSET(Roster!$A$3,MATCH(表格1[[#This Row],[Location]]&amp;" "&amp;表格1[[#This Row],[Shop]]&amp;"*",Roster!$A$4:$A$72,0),DAY(表格1[[#This Row],[date]]),1,1)</f>
        <v>Yee</v>
      </c>
      <c r="E4334" s="86">
        <f>MONTH(表格1[[#This Row],[date]])</f>
        <v>3</v>
      </c>
      <c r="F4334" s="90">
        <v>46086</v>
      </c>
      <c r="G4334" s="86" t="str">
        <f>VLOOKUP("*"&amp;表格1[[#This Row],[Input]]&amp;"*",'Ref-List'!$B:$D,2,)</f>
        <v>RC-18DRNH</v>
      </c>
      <c r="H4334" s="86" t="str">
        <f>_xlfn.XLOOKUP(表格1[[#This Row],[Model]],表格3[Model-Input-Ref2],表格3[Product Line])</f>
        <v>多功能備長炭本厚釜電飯煲1.8L</v>
      </c>
      <c r="I4334" s="86" t="str">
        <f>_xlfn.XLOOKUP(表格1[[#This Row],[Model]],表格3[Model-Input-Ref2],表格3[大小電])</f>
        <v>細電</v>
      </c>
      <c r="J4334" s="86" t="str">
        <f>_xlfn.XLOOKUP(表格1[[#This Row],[Model]],表格3[Model-Input-Ref2],表格3[Code])</f>
        <v>SDA</v>
      </c>
      <c r="K4334" s="89" t="s">
        <v>1389</v>
      </c>
      <c r="L4334" s="86">
        <v>1</v>
      </c>
      <c r="M4334" s="87">
        <v>619</v>
      </c>
      <c r="N4334" s="87">
        <f>IFERROR(表格1[[#This Row],[QTY]]*表格1[[#This Row],[Unit Price]],"-")</f>
        <v>619</v>
      </c>
      <c r="O4334" s="86">
        <v>503150</v>
      </c>
      <c r="R4334" s="86" t="str">
        <f>_xlfn.CONCAT(表格1[[#This Row],[Model]]," ",表格1[[#This Row],[inv no]])</f>
        <v>RC-18DRNH 503150</v>
      </c>
      <c r="S4334" s="86">
        <f>_xlfn.XLOOKUP(表格1[[#This Row],[Model]],表格3[Model-Input-Ref2],表格3[SRP PRICE])</f>
        <v>898</v>
      </c>
      <c r="T4334" s="43">
        <f>表格1[[#This Row],[Unit Price]]/表格1[[#This Row],[SRP]]</f>
        <v>0.68930957683741645</v>
      </c>
      <c r="U4334" s="86" t="str">
        <f>_xlfn.XLOOKUP(表格1[[#This Row],[Model]],表格3[Model-Input-Ref2],表格3[TOSHIBA/HIGHEST])</f>
        <v>Toshiba SRP</v>
      </c>
      <c r="W4334" s="86" t="str">
        <f>_xlfn.CONCAT(表格1[[#This Row],[欄4]],表格1[[#This Row],[inv no]])</f>
        <v>503150</v>
      </c>
    </row>
    <row r="4335" spans="1:23" hidden="1">
      <c r="A4335" s="81">
        <v>4333</v>
      </c>
      <c r="B4335" s="86" t="s">
        <v>1260</v>
      </c>
      <c r="C4335" s="86" t="s">
        <v>2034</v>
      </c>
      <c r="D4335" s="89" t="str">
        <f ca="1">OFFSET(Roster!$A$3,MATCH(表格1[[#This Row],[Location]]&amp;" "&amp;表格1[[#This Row],[Shop]]&amp;"*",Roster!$A$4:$A$72,0),DAY(表格1[[#This Row],[date]]),1,1)</f>
        <v>Yee</v>
      </c>
      <c r="E4335" s="86">
        <f>MONTH(表格1[[#This Row],[date]])</f>
        <v>3</v>
      </c>
      <c r="F4335" s="90">
        <v>46086</v>
      </c>
      <c r="G4335" s="86" t="str">
        <f>VLOOKUP("*"&amp;表格1[[#This Row],[Input]]&amp;"*",'Ref-List'!$B:$D,2,)</f>
        <v>RC-10NMFIH(WT)</v>
      </c>
      <c r="H4335" s="86" t="str">
        <f>_xlfn.XLOOKUP(表格1[[#This Row],[Model]],表格3[Model-Input-Ref2],表格3[Product Line])</f>
        <v>4毫米厚釜電飯煲1L</v>
      </c>
      <c r="I4335" s="86" t="str">
        <f>_xlfn.XLOOKUP(表格1[[#This Row],[Model]],表格3[Model-Input-Ref2],表格3[大小電])</f>
        <v>細電</v>
      </c>
      <c r="J4335" s="86" t="str">
        <f>_xlfn.XLOOKUP(表格1[[#This Row],[Model]],表格3[Model-Input-Ref2],表格3[Code])</f>
        <v>SDA</v>
      </c>
      <c r="K4335" s="89" t="s">
        <v>1244</v>
      </c>
      <c r="L4335" s="86">
        <v>1</v>
      </c>
      <c r="M4335" s="87">
        <v>719</v>
      </c>
      <c r="N4335" s="87">
        <f>IFERROR(表格1[[#This Row],[QTY]]*表格1[[#This Row],[Unit Price]],"-")</f>
        <v>719</v>
      </c>
      <c r="O4335" s="86">
        <v>128457</v>
      </c>
      <c r="R4335" s="86" t="str">
        <f>_xlfn.CONCAT(表格1[[#This Row],[Model]]," ",表格1[[#This Row],[inv no]])</f>
        <v>RC-10NMFIH(WT) 128457</v>
      </c>
      <c r="S4335" s="86">
        <f>_xlfn.XLOOKUP(表格1[[#This Row],[Model]],表格3[Model-Input-Ref2],表格3[SRP PRICE])</f>
        <v>898</v>
      </c>
      <c r="T4335" s="43">
        <f>表格1[[#This Row],[Unit Price]]/表格1[[#This Row],[SRP]]</f>
        <v>0.80066815144766146</v>
      </c>
      <c r="U4335" s="86" t="str">
        <f>_xlfn.XLOOKUP(表格1[[#This Row],[Model]],表格3[Model-Input-Ref2],表格3[TOSHIBA/HIGHEST])</f>
        <v>Toshiba SRP</v>
      </c>
      <c r="W4335" s="86" t="str">
        <f>_xlfn.CONCAT(表格1[[#This Row],[欄4]],表格1[[#This Row],[inv no]])</f>
        <v>128457</v>
      </c>
    </row>
    <row r="4336" spans="1:23" hidden="1">
      <c r="A4336" s="81">
        <v>4334</v>
      </c>
      <c r="B4336" s="86" t="s">
        <v>1260</v>
      </c>
      <c r="C4336" s="86" t="s">
        <v>2034</v>
      </c>
      <c r="D4336" s="89" t="str">
        <f ca="1">OFFSET(Roster!$A$3,MATCH(表格1[[#This Row],[Location]]&amp;" "&amp;表格1[[#This Row],[Shop]]&amp;"*",Roster!$A$4:$A$72,0),DAY(表格1[[#This Row],[date]]),1,1)</f>
        <v>Yee</v>
      </c>
      <c r="E4336" s="86">
        <f>MONTH(表格1[[#This Row],[date]])</f>
        <v>3</v>
      </c>
      <c r="F4336" s="90">
        <v>46086</v>
      </c>
      <c r="G4336" s="86" t="str">
        <f>VLOOKUP("*"&amp;表格1[[#This Row],[Input]]&amp;"*",'Ref-List'!$B:$D,2,)</f>
        <v>RC-18DRNH</v>
      </c>
      <c r="H4336" s="86" t="str">
        <f>_xlfn.XLOOKUP(表格1[[#This Row],[Model]],表格3[Model-Input-Ref2],表格3[Product Line])</f>
        <v>多功能備長炭本厚釜電飯煲1.8L</v>
      </c>
      <c r="I4336" s="86" t="str">
        <f>_xlfn.XLOOKUP(表格1[[#This Row],[Model]],表格3[Model-Input-Ref2],表格3[大小電])</f>
        <v>細電</v>
      </c>
      <c r="J4336" s="86" t="str">
        <f>_xlfn.XLOOKUP(表格1[[#This Row],[Model]],表格3[Model-Input-Ref2],表格3[Code])</f>
        <v>SDA</v>
      </c>
      <c r="K4336" s="89" t="s">
        <v>1389</v>
      </c>
      <c r="L4336" s="86">
        <v>1</v>
      </c>
      <c r="M4336" s="87">
        <v>619</v>
      </c>
      <c r="N4336" s="87">
        <f>IFERROR(表格1[[#This Row],[QTY]]*表格1[[#This Row],[Unit Price]],"-")</f>
        <v>619</v>
      </c>
      <c r="O4336" s="86">
        <v>504269</v>
      </c>
      <c r="R4336" s="86" t="str">
        <f>_xlfn.CONCAT(表格1[[#This Row],[Model]]," ",表格1[[#This Row],[inv no]])</f>
        <v>RC-18DRNH 504269</v>
      </c>
      <c r="S4336" s="86">
        <f>_xlfn.XLOOKUP(表格1[[#This Row],[Model]],表格3[Model-Input-Ref2],表格3[SRP PRICE])</f>
        <v>898</v>
      </c>
      <c r="T4336" s="43">
        <f>表格1[[#This Row],[Unit Price]]/表格1[[#This Row],[SRP]]</f>
        <v>0.68930957683741645</v>
      </c>
      <c r="U4336" s="86" t="str">
        <f>_xlfn.XLOOKUP(表格1[[#This Row],[Model]],表格3[Model-Input-Ref2],表格3[TOSHIBA/HIGHEST])</f>
        <v>Toshiba SRP</v>
      </c>
      <c r="W4336" s="86" t="str">
        <f>_xlfn.CONCAT(表格1[[#This Row],[欄4]],表格1[[#This Row],[inv no]])</f>
        <v>504269</v>
      </c>
    </row>
    <row r="4337" spans="1:23" hidden="1">
      <c r="A4337" s="81">
        <v>4335</v>
      </c>
      <c r="B4337" s="86" t="s">
        <v>1260</v>
      </c>
      <c r="C4337" s="86" t="s">
        <v>2034</v>
      </c>
      <c r="D4337" s="89" t="str">
        <f ca="1">OFFSET(Roster!$A$3,MATCH(表格1[[#This Row],[Location]]&amp;" "&amp;表格1[[#This Row],[Shop]]&amp;"*",Roster!$A$4:$A$72,0),DAY(表格1[[#This Row],[date]]),1,1)</f>
        <v>Yee</v>
      </c>
      <c r="E4337" s="86">
        <f>MONTH(表格1[[#This Row],[date]])</f>
        <v>3</v>
      </c>
      <c r="F4337" s="90">
        <v>46086</v>
      </c>
      <c r="G4337" s="86" t="str">
        <f>VLOOKUP("*"&amp;表格1[[#This Row],[Input]]&amp;"*",'Ref-List'!$B:$D,2,)</f>
        <v>KT-17DRTHK(H)</v>
      </c>
      <c r="H4337" s="86" t="str">
        <f>_xlfn.XLOOKUP(表格1[[#This Row],[Model]],表格3[Model-Input-Ref2],表格3[Product Line])</f>
        <v>無線雙層電熱水壺(1.7公升)</v>
      </c>
      <c r="I4337" s="86" t="str">
        <f>_xlfn.XLOOKUP(表格1[[#This Row],[Model]],表格3[Model-Input-Ref2],表格3[大小電])</f>
        <v>細電</v>
      </c>
      <c r="J4337" s="86" t="str">
        <f>_xlfn.XLOOKUP(表格1[[#This Row],[Model]],表格3[Model-Input-Ref2],表格3[Code])</f>
        <v>SDA</v>
      </c>
      <c r="K4337" s="89" t="s">
        <v>1271</v>
      </c>
      <c r="L4337" s="86">
        <v>1</v>
      </c>
      <c r="M4337" s="87">
        <v>388</v>
      </c>
      <c r="N4337" s="87">
        <f>IFERROR(表格1[[#This Row],[QTY]]*表格1[[#This Row],[Unit Price]],"-")</f>
        <v>388</v>
      </c>
      <c r="O4337" s="86">
        <v>504269</v>
      </c>
      <c r="R4337" s="86" t="str">
        <f>_xlfn.CONCAT(表格1[[#This Row],[Model]]," ",表格1[[#This Row],[inv no]])</f>
        <v>KT-17DRTHK(H) 504269</v>
      </c>
      <c r="S4337" s="86">
        <f>_xlfn.XLOOKUP(表格1[[#This Row],[Model]],表格3[Model-Input-Ref2],表格3[SRP PRICE])</f>
        <v>498</v>
      </c>
      <c r="T4337" s="43">
        <f>表格1[[#This Row],[Unit Price]]/表格1[[#This Row],[SRP]]</f>
        <v>0.77911646586345384</v>
      </c>
      <c r="U4337" s="86" t="str">
        <f>_xlfn.XLOOKUP(表格1[[#This Row],[Model]],表格3[Model-Input-Ref2],表格3[TOSHIBA/HIGHEST])</f>
        <v>Toshiba SRP</v>
      </c>
      <c r="W4337" s="86" t="str">
        <f>_xlfn.CONCAT(表格1[[#This Row],[欄4]],表格1[[#This Row],[inv no]])</f>
        <v>504269</v>
      </c>
    </row>
    <row r="4338" spans="1:23" hidden="1">
      <c r="A4338" s="81">
        <v>4336</v>
      </c>
      <c r="B4338" s="86" t="s">
        <v>1260</v>
      </c>
      <c r="C4338" s="86" t="s">
        <v>2034</v>
      </c>
      <c r="D4338" s="89" t="str">
        <f ca="1">OFFSET(Roster!$A$3,MATCH(表格1[[#This Row],[Location]]&amp;" "&amp;表格1[[#This Row],[Shop]]&amp;"*",Roster!$A$4:$A$72,0),DAY(表格1[[#This Row],[date]]),1,1)</f>
        <v>Yee</v>
      </c>
      <c r="E4338" s="86">
        <f>MONTH(表格1[[#This Row],[date]])</f>
        <v>3</v>
      </c>
      <c r="F4338" s="90">
        <v>46086</v>
      </c>
      <c r="G4338" s="86" t="str">
        <f>VLOOKUP("*"&amp;表格1[[#This Row],[Input]]&amp;"*",'Ref-List'!$B:$D,2,)</f>
        <v>TW-T22BU95UWH(WK)-B</v>
      </c>
      <c r="H4338" s="86" t="str">
        <f>_xlfn.XLOOKUP(表格1[[#This Row],[Model]],表格3[Model-Input-Ref2],表格3[Product Line])</f>
        <v>470MM超薄身前置式變頻洗衣機(8.5公斤, 可飛頂)</v>
      </c>
      <c r="I4338" s="86" t="str">
        <f>_xlfn.XLOOKUP(表格1[[#This Row],[Model]],表格3[Model-Input-Ref2],表格3[大小電])</f>
        <v>大電</v>
      </c>
      <c r="J4338" s="86" t="str">
        <f>_xlfn.XLOOKUP(表格1[[#This Row],[Model]],表格3[Model-Input-Ref2],表格3[Code])</f>
        <v>LAD</v>
      </c>
      <c r="K4338" s="89" t="s">
        <v>969</v>
      </c>
      <c r="L4338" s="86">
        <v>1</v>
      </c>
      <c r="M4338" s="87">
        <v>3680</v>
      </c>
      <c r="N4338" s="87">
        <f>IFERROR(表格1[[#This Row],[QTY]]*表格1[[#This Row],[Unit Price]],"-")</f>
        <v>3680</v>
      </c>
      <c r="O4338" s="86">
        <v>200109</v>
      </c>
      <c r="R4338" s="86" t="str">
        <f>_xlfn.CONCAT(表格1[[#This Row],[Model]]," ",表格1[[#This Row],[inv no]])</f>
        <v>TW-T22BU95UWH(WK)-B 200109</v>
      </c>
      <c r="S4338" s="86">
        <f>_xlfn.XLOOKUP(表格1[[#This Row],[Model]],表格3[Model-Input-Ref2],表格3[SRP PRICE])</f>
        <v>5880</v>
      </c>
      <c r="T4338" s="43">
        <f>表格1[[#This Row],[Unit Price]]/表格1[[#This Row],[SRP]]</f>
        <v>0.62585034013605445</v>
      </c>
      <c r="U4338" s="86" t="str">
        <f>_xlfn.XLOOKUP(表格1[[#This Row],[Model]],表格3[Model-Input-Ref2],表格3[TOSHIBA/HIGHEST])</f>
        <v>Toshiba SRP</v>
      </c>
      <c r="W4338" s="86" t="str">
        <f>_xlfn.CONCAT(表格1[[#This Row],[欄4]],表格1[[#This Row],[inv no]])</f>
        <v>200109</v>
      </c>
    </row>
    <row r="4339" spans="1:23" hidden="1">
      <c r="A4339" s="81">
        <v>4337</v>
      </c>
      <c r="B4339" s="86" t="s">
        <v>1260</v>
      </c>
      <c r="C4339" s="86" t="s">
        <v>2034</v>
      </c>
      <c r="D4339" s="89" t="str">
        <f ca="1">OFFSET(Roster!$A$3,MATCH(表格1[[#This Row],[Location]]&amp;" "&amp;表格1[[#This Row],[Shop]]&amp;"*",Roster!$A$4:$A$72,0),DAY(表格1[[#This Row],[date]]),1,1)</f>
        <v>Yee</v>
      </c>
      <c r="E4339" s="86">
        <f>MONTH(表格1[[#This Row],[date]])</f>
        <v>3</v>
      </c>
      <c r="F4339" s="90">
        <v>46086</v>
      </c>
      <c r="G4339" s="86" t="str">
        <f>VLOOKUP("*"&amp;表格1[[#This Row],[Input]]&amp;"*",'Ref-List'!$B:$D,2,)</f>
        <v>PLK-45SFIH(WT)</v>
      </c>
      <c r="H4339" s="86" t="str">
        <f>_xlfn.XLOOKUP(表格1[[#This Row],[Model]],表格3[Model-Input-Ref2],表格3[Product Line])</f>
        <v>電熱水瓶4.5L</v>
      </c>
      <c r="I4339" s="86" t="str">
        <f>_xlfn.XLOOKUP(表格1[[#This Row],[Model]],表格3[Model-Input-Ref2],表格3[大小電])</f>
        <v>細電</v>
      </c>
      <c r="J4339" s="86" t="str">
        <f>_xlfn.XLOOKUP(表格1[[#This Row],[Model]],表格3[Model-Input-Ref2],表格3[Code])</f>
        <v>SDA</v>
      </c>
      <c r="K4339" s="89" t="s">
        <v>1117</v>
      </c>
      <c r="L4339" s="86">
        <v>1</v>
      </c>
      <c r="M4339" s="87">
        <v>578</v>
      </c>
      <c r="N4339" s="87">
        <f>IFERROR(表格1[[#This Row],[QTY]]*表格1[[#This Row],[Unit Price]],"-")</f>
        <v>578</v>
      </c>
      <c r="O4339" s="86">
        <v>504433</v>
      </c>
      <c r="R4339" s="86" t="str">
        <f>_xlfn.CONCAT(表格1[[#This Row],[Model]]," ",表格1[[#This Row],[inv no]])</f>
        <v>PLK-45SFIH(WT) 504433</v>
      </c>
      <c r="S4339" s="86">
        <f>_xlfn.XLOOKUP(表格1[[#This Row],[Model]],表格3[Model-Input-Ref2],表格3[SRP PRICE])</f>
        <v>788</v>
      </c>
      <c r="T4339" s="43">
        <f>表格1[[#This Row],[Unit Price]]/表格1[[#This Row],[SRP]]</f>
        <v>0.73350253807106602</v>
      </c>
      <c r="U4339" s="86" t="str">
        <f>_xlfn.XLOOKUP(表格1[[#This Row],[Model]],表格3[Model-Input-Ref2],表格3[TOSHIBA/HIGHEST])</f>
        <v>Toshiba SRP</v>
      </c>
      <c r="W4339" s="86" t="str">
        <f>_xlfn.CONCAT(表格1[[#This Row],[欄4]],表格1[[#This Row],[inv no]])</f>
        <v>504433</v>
      </c>
    </row>
    <row r="4340" spans="1:23" hidden="1">
      <c r="A4340" s="81">
        <v>4338</v>
      </c>
      <c r="B4340" s="86" t="s">
        <v>1260</v>
      </c>
      <c r="C4340" s="86" t="s">
        <v>2034</v>
      </c>
      <c r="D4340" s="89" t="str">
        <f ca="1">OFFSET(Roster!$A$3,MATCH(表格1[[#This Row],[Location]]&amp;" "&amp;表格1[[#This Row],[Shop]]&amp;"*",Roster!$A$4:$A$72,0),DAY(表格1[[#This Row],[date]]),1,1)</f>
        <v>Yee</v>
      </c>
      <c r="E4340" s="86">
        <f>MONTH(表格1[[#This Row],[date]])</f>
        <v>3</v>
      </c>
      <c r="F4340" s="90">
        <v>46087</v>
      </c>
      <c r="G4340" s="86" t="str">
        <f>VLOOKUP("*"&amp;表格1[[#This Row],[Input]]&amp;"*",'Ref-List'!$B:$D,2,)</f>
        <v>AW-Q801APH(WW)</v>
      </c>
      <c r="H4340" s="86" t="str">
        <f>_xlfn.XLOOKUP(表格1[[#This Row],[Model]],表格3[Model-Input-Ref2],表格3[Product Line])</f>
        <v>日式洗衣機 (7公斤 結合高低水位)</v>
      </c>
      <c r="I4340" s="86" t="str">
        <f>_xlfn.XLOOKUP(表格1[[#This Row],[Model]],表格3[Model-Input-Ref2],表格3[大小電])</f>
        <v>大電</v>
      </c>
      <c r="J4340" s="86" t="str">
        <f>_xlfn.XLOOKUP(表格1[[#This Row],[Model]],表格3[Model-Input-Ref2],表格3[Code])</f>
        <v>LAD</v>
      </c>
      <c r="K4340" s="89" t="s">
        <v>1420</v>
      </c>
      <c r="L4340" s="86">
        <v>1</v>
      </c>
      <c r="M4340" s="87">
        <v>1980</v>
      </c>
      <c r="N4340" s="87">
        <f>IFERROR(表格1[[#This Row],[QTY]]*表格1[[#This Row],[Unit Price]],"-")</f>
        <v>1980</v>
      </c>
      <c r="O4340" s="86">
        <v>128757</v>
      </c>
      <c r="R4340" s="86" t="str">
        <f>_xlfn.CONCAT(表格1[[#This Row],[Model]]," ",表格1[[#This Row],[inv no]])</f>
        <v>AW-Q801APH(WW) 128757</v>
      </c>
      <c r="S4340" s="86">
        <f>_xlfn.XLOOKUP(表格1[[#This Row],[Model]],表格3[Model-Input-Ref2],表格3[SRP PRICE])</f>
        <v>3380</v>
      </c>
      <c r="T4340" s="43">
        <f>表格1[[#This Row],[Unit Price]]/表格1[[#This Row],[SRP]]</f>
        <v>0.58579881656804733</v>
      </c>
      <c r="U4340" s="86" t="str">
        <f>_xlfn.XLOOKUP(表格1[[#This Row],[Model]],表格3[Model-Input-Ref2],表格3[TOSHIBA/HIGHEST])</f>
        <v>Toshiba SRP</v>
      </c>
      <c r="W4340" s="86" t="str">
        <f>_xlfn.CONCAT(表格1[[#This Row],[欄4]],表格1[[#This Row],[inv no]])</f>
        <v>128757</v>
      </c>
    </row>
    <row r="4341" spans="1:23" hidden="1">
      <c r="A4341" s="81">
        <v>4339</v>
      </c>
      <c r="B4341" s="86" t="s">
        <v>1260</v>
      </c>
      <c r="C4341" s="86" t="s">
        <v>2034</v>
      </c>
      <c r="D4341" s="89" t="str">
        <f ca="1">OFFSET(Roster!$A$3,MATCH(表格1[[#This Row],[Location]]&amp;" "&amp;表格1[[#This Row],[Shop]]&amp;"*",Roster!$A$4:$A$72,0),DAY(表格1[[#This Row],[date]]),1,1)</f>
        <v>Yee</v>
      </c>
      <c r="E4341" s="86">
        <f>MONTH(表格1[[#This Row],[date]])</f>
        <v>3</v>
      </c>
      <c r="F4341" s="90">
        <v>46087</v>
      </c>
      <c r="G4341" s="86" t="str">
        <f>VLOOKUP("*"&amp;表格1[[#This Row],[Input]]&amp;"*",'Ref-List'!$B:$D,2,)</f>
        <v>RC-5SLIH(W)</v>
      </c>
      <c r="H4341" s="86" t="str">
        <f>_xlfn.XLOOKUP(表格1[[#This Row],[Model]],表格3[Model-Input-Ref2],表格3[Product Line])</f>
        <v>微型電腦珍珠飯煲</v>
      </c>
      <c r="I4341" s="86" t="str">
        <f>_xlfn.XLOOKUP(表格1[[#This Row],[Model]],表格3[Model-Input-Ref2],表格3[大小電])</f>
        <v>細電</v>
      </c>
      <c r="J4341" s="86" t="str">
        <f>_xlfn.XLOOKUP(表格1[[#This Row],[Model]],表格3[Model-Input-Ref2],表格3[Code])</f>
        <v>SDA</v>
      </c>
      <c r="K4341" s="89" t="s">
        <v>1264</v>
      </c>
      <c r="L4341" s="86">
        <v>1</v>
      </c>
      <c r="M4341" s="87">
        <v>593</v>
      </c>
      <c r="N4341" s="87">
        <f>IFERROR(表格1[[#This Row],[QTY]]*表格1[[#This Row],[Unit Price]],"-")</f>
        <v>593</v>
      </c>
      <c r="O4341" s="86">
        <v>504637</v>
      </c>
      <c r="R4341" s="86" t="str">
        <f>_xlfn.CONCAT(表格1[[#This Row],[Model]]," ",表格1[[#This Row],[inv no]])</f>
        <v>RC-5SLIH(W) 504637</v>
      </c>
      <c r="S4341" s="86">
        <f>_xlfn.XLOOKUP(表格1[[#This Row],[Model]],表格3[Model-Input-Ref2],表格3[SRP PRICE])</f>
        <v>658</v>
      </c>
      <c r="T4341" s="43">
        <f>表格1[[#This Row],[Unit Price]]/表格1[[#This Row],[SRP]]</f>
        <v>0.90121580547112456</v>
      </c>
      <c r="U4341" s="86" t="str">
        <f>_xlfn.XLOOKUP(表格1[[#This Row],[Model]],表格3[Model-Input-Ref2],表格3[TOSHIBA/HIGHEST])</f>
        <v>Toshiba SRP</v>
      </c>
      <c r="W4341" s="86" t="str">
        <f>_xlfn.CONCAT(表格1[[#This Row],[欄4]],表格1[[#This Row],[inv no]])</f>
        <v>504637</v>
      </c>
    </row>
    <row r="4342" spans="1:23" hidden="1">
      <c r="A4342" s="81">
        <v>4340</v>
      </c>
      <c r="B4342" s="86" t="s">
        <v>1260</v>
      </c>
      <c r="C4342" s="86" t="s">
        <v>2034</v>
      </c>
      <c r="D4342" s="89" t="str">
        <f ca="1">OFFSET(Roster!$A$3,MATCH(表格1[[#This Row],[Location]]&amp;" "&amp;表格1[[#This Row],[Shop]]&amp;"*",Roster!$A$4:$A$72,0),DAY(表格1[[#This Row],[date]]),1,1)</f>
        <v>Yee</v>
      </c>
      <c r="E4342" s="86">
        <f>MONTH(表格1[[#This Row],[date]])</f>
        <v>3</v>
      </c>
      <c r="F4342" s="90">
        <v>46087</v>
      </c>
      <c r="G4342" s="86" t="str">
        <f>VLOOKUP("*"&amp;表格1[[#This Row],[Input]]&amp;"*",'Ref-List'!$B:$D,2,)</f>
        <v>KT-17DRTHK(H)</v>
      </c>
      <c r="H4342" s="86" t="str">
        <f>_xlfn.XLOOKUP(表格1[[#This Row],[Model]],表格3[Model-Input-Ref2],表格3[Product Line])</f>
        <v>無線雙層電熱水壺(1.7公升)</v>
      </c>
      <c r="I4342" s="86" t="str">
        <f>_xlfn.XLOOKUP(表格1[[#This Row],[Model]],表格3[Model-Input-Ref2],表格3[大小電])</f>
        <v>細電</v>
      </c>
      <c r="J4342" s="86" t="str">
        <f>_xlfn.XLOOKUP(表格1[[#This Row],[Model]],表格3[Model-Input-Ref2],表格3[Code])</f>
        <v>SDA</v>
      </c>
      <c r="K4342" s="89" t="s">
        <v>1271</v>
      </c>
      <c r="L4342" s="86">
        <v>1</v>
      </c>
      <c r="M4342" s="87">
        <v>388</v>
      </c>
      <c r="N4342" s="87">
        <f>IFERROR(表格1[[#This Row],[QTY]]*表格1[[#This Row],[Unit Price]],"-")</f>
        <v>388</v>
      </c>
      <c r="O4342" s="86">
        <v>504637</v>
      </c>
      <c r="R4342" s="86" t="str">
        <f>_xlfn.CONCAT(表格1[[#This Row],[Model]]," ",表格1[[#This Row],[inv no]])</f>
        <v>KT-17DRTHK(H) 504637</v>
      </c>
      <c r="S4342" s="86">
        <f>_xlfn.XLOOKUP(表格1[[#This Row],[Model]],表格3[Model-Input-Ref2],表格3[SRP PRICE])</f>
        <v>498</v>
      </c>
      <c r="T4342" s="43">
        <f>表格1[[#This Row],[Unit Price]]/表格1[[#This Row],[SRP]]</f>
        <v>0.77911646586345384</v>
      </c>
      <c r="U4342" s="86" t="str">
        <f>_xlfn.XLOOKUP(表格1[[#This Row],[Model]],表格3[Model-Input-Ref2],表格3[TOSHIBA/HIGHEST])</f>
        <v>Toshiba SRP</v>
      </c>
      <c r="W4342" s="86" t="str">
        <f>_xlfn.CONCAT(表格1[[#This Row],[欄4]],表格1[[#This Row],[inv no]])</f>
        <v>504637</v>
      </c>
    </row>
    <row r="4343" spans="1:23" hidden="1">
      <c r="A4343" s="81">
        <v>4341</v>
      </c>
      <c r="B4343" s="86" t="s">
        <v>1260</v>
      </c>
      <c r="C4343" s="86" t="s">
        <v>2034</v>
      </c>
      <c r="D4343" s="89" t="str">
        <f ca="1">OFFSET(Roster!$A$3,MATCH(表格1[[#This Row],[Location]]&amp;" "&amp;表格1[[#This Row],[Shop]]&amp;"*",Roster!$A$4:$A$72,0),DAY(表格1[[#This Row],[date]]),1,1)</f>
        <v>Yee</v>
      </c>
      <c r="E4343" s="86">
        <f>MONTH(表格1[[#This Row],[date]])</f>
        <v>3</v>
      </c>
      <c r="F4343" s="90">
        <v>46087</v>
      </c>
      <c r="G4343" s="86" t="str">
        <f>VLOOKUP("*"&amp;表格1[[#This Row],[Input]]&amp;"*",'Ref-List'!$B:$D,2,)</f>
        <v>RC-18JRUH(N)</v>
      </c>
      <c r="H4343" s="86" t="str">
        <f>_xlfn.XLOOKUP(表格1[[#This Row],[Model]],表格3[Model-Input-Ref2],表格3[Product Line])</f>
        <v>1.8公升電飯煲</v>
      </c>
      <c r="I4343" s="86" t="str">
        <f>_xlfn.XLOOKUP(表格1[[#This Row],[Model]],表格3[Model-Input-Ref2],表格3[大小電])</f>
        <v>細電</v>
      </c>
      <c r="J4343" s="86" t="str">
        <f>_xlfn.XLOOKUP(表格1[[#This Row],[Model]],表格3[Model-Input-Ref2],表格3[Code])</f>
        <v>SDA</v>
      </c>
      <c r="K4343" s="89" t="s">
        <v>1275</v>
      </c>
      <c r="L4343" s="86">
        <v>1</v>
      </c>
      <c r="M4343" s="87">
        <v>300</v>
      </c>
      <c r="N4343" s="87">
        <f>IFERROR(表格1[[#This Row],[QTY]]*表格1[[#This Row],[Unit Price]],"-")</f>
        <v>300</v>
      </c>
      <c r="O4343" s="86">
        <v>128850</v>
      </c>
      <c r="R4343" s="86" t="str">
        <f>_xlfn.CONCAT(表格1[[#This Row],[Model]]," ",表格1[[#This Row],[inv no]])</f>
        <v>RC-18JRUH(N) 128850</v>
      </c>
      <c r="S4343" s="86">
        <f>_xlfn.XLOOKUP(表格1[[#This Row],[Model]],表格3[Model-Input-Ref2],表格3[SRP PRICE])</f>
        <v>458</v>
      </c>
      <c r="T4343" s="43">
        <f>表格1[[#This Row],[Unit Price]]/表格1[[#This Row],[SRP]]</f>
        <v>0.65502183406113534</v>
      </c>
      <c r="U4343" s="86" t="str">
        <f>_xlfn.XLOOKUP(表格1[[#This Row],[Model]],表格3[Model-Input-Ref2],表格3[TOSHIBA/HIGHEST])</f>
        <v>Shops Highest Price</v>
      </c>
      <c r="W4343" s="86" t="str">
        <f>_xlfn.CONCAT(表格1[[#This Row],[欄4]],表格1[[#This Row],[inv no]])</f>
        <v>128850</v>
      </c>
    </row>
    <row r="4344" spans="1:23" hidden="1">
      <c r="A4344" s="81">
        <v>4342</v>
      </c>
      <c r="B4344" s="86" t="s">
        <v>1260</v>
      </c>
      <c r="C4344" s="86" t="s">
        <v>2034</v>
      </c>
      <c r="D4344" s="89" t="str">
        <f ca="1">OFFSET(Roster!$A$3,MATCH(表格1[[#This Row],[Location]]&amp;" "&amp;表格1[[#This Row],[Shop]]&amp;"*",Roster!$A$4:$A$72,0),DAY(表格1[[#This Row],[date]]),1,1)</f>
        <v>Yee</v>
      </c>
      <c r="E4344" s="86">
        <f>MONTH(表格1[[#This Row],[date]])</f>
        <v>3</v>
      </c>
      <c r="F4344" s="90">
        <v>46087</v>
      </c>
      <c r="G4344" s="86" t="str">
        <f>VLOOKUP("*"&amp;表格1[[#This Row],[Input]]&amp;"*",'Ref-List'!$B:$D,2,)</f>
        <v>IC-20R1THK</v>
      </c>
      <c r="H4344" s="86" t="str">
        <f>_xlfn.XLOOKUP(表格1[[#This Row],[Model]],表格3[Model-Input-Ref2],表格3[Product Line])</f>
        <v>輕便式電磁爐</v>
      </c>
      <c r="I4344" s="86" t="str">
        <f>_xlfn.XLOOKUP(表格1[[#This Row],[Model]],表格3[Model-Input-Ref2],表格3[大小電])</f>
        <v>細電</v>
      </c>
      <c r="J4344" s="86" t="str">
        <f>_xlfn.XLOOKUP(表格1[[#This Row],[Model]],表格3[Model-Input-Ref2],表格3[Code])</f>
        <v>SDA</v>
      </c>
      <c r="K4344" s="89" t="s">
        <v>1243</v>
      </c>
      <c r="L4344" s="86">
        <v>1</v>
      </c>
      <c r="M4344" s="87">
        <v>298</v>
      </c>
      <c r="N4344" s="87">
        <f>IFERROR(表格1[[#This Row],[QTY]]*表格1[[#This Row],[Unit Price]],"-")</f>
        <v>298</v>
      </c>
      <c r="O4344" s="86">
        <v>128850</v>
      </c>
      <c r="R4344" s="86" t="str">
        <f>_xlfn.CONCAT(表格1[[#This Row],[Model]]," ",表格1[[#This Row],[inv no]])</f>
        <v>IC-20R1THK 128850</v>
      </c>
      <c r="S4344" s="86">
        <f>_xlfn.XLOOKUP(表格1[[#This Row],[Model]],表格3[Model-Input-Ref2],表格3[SRP PRICE])</f>
        <v>438</v>
      </c>
      <c r="T4344" s="43">
        <f>表格1[[#This Row],[Unit Price]]/表格1[[#This Row],[SRP]]</f>
        <v>0.68036529680365299</v>
      </c>
      <c r="U4344" s="86" t="str">
        <f>_xlfn.XLOOKUP(表格1[[#This Row],[Model]],表格3[Model-Input-Ref2],表格3[TOSHIBA/HIGHEST])</f>
        <v>Shops Highest Price</v>
      </c>
      <c r="W4344" s="86" t="str">
        <f>_xlfn.CONCAT(表格1[[#This Row],[欄4]],表格1[[#This Row],[inv no]])</f>
        <v>128850</v>
      </c>
    </row>
    <row r="4345" spans="1:23" hidden="1">
      <c r="A4345" s="81">
        <v>4343</v>
      </c>
      <c r="B4345" s="86" t="s">
        <v>1260</v>
      </c>
      <c r="C4345" s="86" t="s">
        <v>2034</v>
      </c>
      <c r="D4345" s="89" t="str">
        <f ca="1">OFFSET(Roster!$A$3,MATCH(表格1[[#This Row],[Location]]&amp;" "&amp;表格1[[#This Row],[Shop]]&amp;"*",Roster!$A$4:$A$72,0),DAY(表格1[[#This Row],[date]]),1,1)</f>
        <v>Yee</v>
      </c>
      <c r="E4345" s="86">
        <f>MONTH(表格1[[#This Row],[date]])</f>
        <v>3</v>
      </c>
      <c r="F4345" s="90">
        <v>46087</v>
      </c>
      <c r="G4345" s="86" t="str">
        <f>VLOOKUP("*"&amp;表格1[[#This Row],[Input]]&amp;"*",'Ref-List'!$B:$D,2,)</f>
        <v>RAD-D200H</v>
      </c>
      <c r="H4345" s="86" t="str">
        <f>_xlfn.XLOOKUP(表格1[[#This Row],[Model]],表格3[Model-Input-Ref2],表格3[Product Line])</f>
        <v>壓縮式抽濕機 (22公升)</v>
      </c>
      <c r="I4345" s="86" t="str">
        <f>_xlfn.XLOOKUP(表格1[[#This Row],[Model]],表格3[Model-Input-Ref2],表格3[大小電])</f>
        <v>細電</v>
      </c>
      <c r="J4345" s="86" t="str">
        <f>_xlfn.XLOOKUP(表格1[[#This Row],[Model]],表格3[Model-Input-Ref2],表格3[Code])</f>
        <v>RAC</v>
      </c>
      <c r="K4345" s="89" t="s">
        <v>1250</v>
      </c>
      <c r="L4345" s="86">
        <v>1</v>
      </c>
      <c r="M4345" s="87">
        <v>1980</v>
      </c>
      <c r="N4345" s="87">
        <f>IFERROR(表格1[[#This Row],[QTY]]*表格1[[#This Row],[Unit Price]],"-")</f>
        <v>1980</v>
      </c>
      <c r="O4345" s="86">
        <v>503330</v>
      </c>
      <c r="R4345" s="86" t="str">
        <f>_xlfn.CONCAT(表格1[[#This Row],[Model]]," ",表格1[[#This Row],[inv no]])</f>
        <v>RAD-D200H 503330</v>
      </c>
      <c r="S4345" s="86">
        <f>_xlfn.XLOOKUP(表格1[[#This Row],[Model]],表格3[Model-Input-Ref2],表格3[SRP PRICE])</f>
        <v>2880</v>
      </c>
      <c r="T4345" s="43">
        <f>表格1[[#This Row],[Unit Price]]/表格1[[#This Row],[SRP]]</f>
        <v>0.6875</v>
      </c>
      <c r="U4345" s="86" t="str">
        <f>_xlfn.XLOOKUP(表格1[[#This Row],[Model]],表格3[Model-Input-Ref2],表格3[TOSHIBA/HIGHEST])</f>
        <v>Shops Highest Price</v>
      </c>
      <c r="W4345" s="86" t="str">
        <f>_xlfn.CONCAT(表格1[[#This Row],[欄4]],表格1[[#This Row],[inv no]])</f>
        <v>503330</v>
      </c>
    </row>
    <row r="4346" spans="1:23" hidden="1">
      <c r="A4346" s="81">
        <v>4344</v>
      </c>
      <c r="B4346" s="86" t="s">
        <v>1260</v>
      </c>
      <c r="C4346" s="86" t="s">
        <v>2034</v>
      </c>
      <c r="D4346" s="89" t="str">
        <f ca="1">OFFSET(Roster!$A$3,MATCH(表格1[[#This Row],[Location]]&amp;" "&amp;表格1[[#This Row],[Shop]]&amp;"*",Roster!$A$4:$A$72,0),DAY(表格1[[#This Row],[date]]),1,1)</f>
        <v>Yee</v>
      </c>
      <c r="E4346" s="86">
        <f>MONTH(表格1[[#This Row],[date]])</f>
        <v>3</v>
      </c>
      <c r="F4346" s="90">
        <v>46088</v>
      </c>
      <c r="G4346" s="86" t="str">
        <f>VLOOKUP("*"&amp;表格1[[#This Row],[Input]]&amp;"*",'Ref-List'!$B:$D,2,)</f>
        <v>RC-10IRPH</v>
      </c>
      <c r="H4346" s="86" t="str">
        <f>_xlfn.XLOOKUP(表格1[[#This Row],[Model]],表格3[Model-Input-Ref2],表格3[Product Line])</f>
        <v>低醣磁應電飯煲1L</v>
      </c>
      <c r="I4346" s="86" t="str">
        <f>_xlfn.XLOOKUP(表格1[[#This Row],[Model]],表格3[Model-Input-Ref2],表格3[大小電])</f>
        <v>細電</v>
      </c>
      <c r="J4346" s="86" t="str">
        <f>_xlfn.XLOOKUP(表格1[[#This Row],[Model]],表格3[Model-Input-Ref2],表格3[Code])</f>
        <v>SDA</v>
      </c>
      <c r="K4346" s="89" t="s">
        <v>1297</v>
      </c>
      <c r="L4346" s="86">
        <v>1</v>
      </c>
      <c r="M4346" s="87">
        <v>898</v>
      </c>
      <c r="N4346" s="87">
        <f>IFERROR(表格1[[#This Row],[QTY]]*表格1[[#This Row],[Unit Price]],"-")</f>
        <v>898</v>
      </c>
      <c r="O4346" s="86">
        <v>128917</v>
      </c>
      <c r="R4346" s="86" t="str">
        <f>_xlfn.CONCAT(表格1[[#This Row],[Model]]," ",表格1[[#This Row],[inv no]])</f>
        <v>RC-10IRPH 128917</v>
      </c>
      <c r="S4346" s="86">
        <f>_xlfn.XLOOKUP(表格1[[#This Row],[Model]],表格3[Model-Input-Ref2],表格3[SRP PRICE])</f>
        <v>1388</v>
      </c>
      <c r="T4346" s="43">
        <f>表格1[[#This Row],[Unit Price]]/表格1[[#This Row],[SRP]]</f>
        <v>0.64697406340057639</v>
      </c>
      <c r="U4346" s="86" t="str">
        <f>_xlfn.XLOOKUP(表格1[[#This Row],[Model]],表格3[Model-Input-Ref2],表格3[TOSHIBA/HIGHEST])</f>
        <v>Toshiba SRP</v>
      </c>
      <c r="W4346" s="86" t="str">
        <f>_xlfn.CONCAT(表格1[[#This Row],[欄4]],表格1[[#This Row],[inv no]])</f>
        <v>128917</v>
      </c>
    </row>
    <row r="4347" spans="1:23" hidden="1">
      <c r="A4347" s="81">
        <v>4345</v>
      </c>
      <c r="B4347" s="86" t="s">
        <v>1260</v>
      </c>
      <c r="C4347" s="86" t="s">
        <v>2034</v>
      </c>
      <c r="D4347" s="89" t="str">
        <f ca="1">OFFSET(Roster!$A$3,MATCH(表格1[[#This Row],[Location]]&amp;" "&amp;表格1[[#This Row],[Shop]]&amp;"*",Roster!$A$4:$A$72,0),DAY(表格1[[#This Row],[date]]),1,1)</f>
        <v>Yee</v>
      </c>
      <c r="E4347" s="86">
        <f>MONTH(表格1[[#This Row],[date]])</f>
        <v>3</v>
      </c>
      <c r="F4347" s="90">
        <v>46088</v>
      </c>
      <c r="G4347" s="86" t="str">
        <f>VLOOKUP("*"&amp;表格1[[#This Row],[Input]]&amp;"*",'Ref-List'!$B:$D,2,)</f>
        <v>RC-10DRNH</v>
      </c>
      <c r="H4347" s="86" t="str">
        <f>_xlfn.XLOOKUP(表格1[[#This Row],[Model]],表格3[Model-Input-Ref2],表格3[Product Line])</f>
        <v>多功能備長炭本厚釜電飯煲1L</v>
      </c>
      <c r="I4347" s="86" t="str">
        <f>_xlfn.XLOOKUP(表格1[[#This Row],[Model]],表格3[Model-Input-Ref2],表格3[大小電])</f>
        <v>細電</v>
      </c>
      <c r="J4347" s="86" t="str">
        <f>_xlfn.XLOOKUP(表格1[[#This Row],[Model]],表格3[Model-Input-Ref2],表格3[Code])</f>
        <v>SDA</v>
      </c>
      <c r="K4347" s="89" t="s">
        <v>1376</v>
      </c>
      <c r="L4347" s="86">
        <v>1</v>
      </c>
      <c r="M4347" s="87">
        <v>549</v>
      </c>
      <c r="N4347" s="87">
        <f>IFERROR(表格1[[#This Row],[QTY]]*表格1[[#This Row],[Unit Price]],"-")</f>
        <v>549</v>
      </c>
      <c r="O4347" s="86">
        <v>505000</v>
      </c>
      <c r="R4347" s="86" t="str">
        <f>_xlfn.CONCAT(表格1[[#This Row],[Model]]," ",表格1[[#This Row],[inv no]])</f>
        <v>RC-10DRNH 505000</v>
      </c>
      <c r="S4347" s="86">
        <f>_xlfn.XLOOKUP(表格1[[#This Row],[Model]],表格3[Model-Input-Ref2],表格3[SRP PRICE])</f>
        <v>798</v>
      </c>
      <c r="T4347" s="43">
        <f>表格1[[#This Row],[Unit Price]]/表格1[[#This Row],[SRP]]</f>
        <v>0.68796992481203012</v>
      </c>
      <c r="U4347" s="86" t="str">
        <f>_xlfn.XLOOKUP(表格1[[#This Row],[Model]],表格3[Model-Input-Ref2],表格3[TOSHIBA/HIGHEST])</f>
        <v>Toshiba SRP</v>
      </c>
      <c r="W4347" s="86" t="str">
        <f>_xlfn.CONCAT(表格1[[#This Row],[欄4]],表格1[[#This Row],[inv no]])</f>
        <v>505000</v>
      </c>
    </row>
    <row r="4348" spans="1:23" hidden="1">
      <c r="A4348" s="81">
        <v>4346</v>
      </c>
      <c r="B4348" s="86" t="s">
        <v>1260</v>
      </c>
      <c r="C4348" s="86" t="s">
        <v>2034</v>
      </c>
      <c r="D4348" s="89" t="str">
        <f ca="1">OFFSET(Roster!$A$3,MATCH(表格1[[#This Row],[Location]]&amp;" "&amp;表格1[[#This Row],[Shop]]&amp;"*",Roster!$A$4:$A$72,0),DAY(表格1[[#This Row],[date]]),1,1)</f>
        <v>Yee</v>
      </c>
      <c r="E4348" s="86">
        <f>MONTH(表格1[[#This Row],[date]])</f>
        <v>3</v>
      </c>
      <c r="F4348" s="90">
        <v>46088</v>
      </c>
      <c r="G4348" s="86" t="str">
        <f>VLOOKUP("*"&amp;表格1[[#This Row],[Input]]&amp;"*",'Ref-List'!$B:$D,2,)</f>
        <v>RC-18JRUH(N)</v>
      </c>
      <c r="H4348" s="86" t="str">
        <f>_xlfn.XLOOKUP(表格1[[#This Row],[Model]],表格3[Model-Input-Ref2],表格3[Product Line])</f>
        <v>1.8公升電飯煲</v>
      </c>
      <c r="I4348" s="86" t="str">
        <f>_xlfn.XLOOKUP(表格1[[#This Row],[Model]],表格3[Model-Input-Ref2],表格3[大小電])</f>
        <v>細電</v>
      </c>
      <c r="J4348" s="86" t="str">
        <f>_xlfn.XLOOKUP(表格1[[#This Row],[Model]],表格3[Model-Input-Ref2],表格3[Code])</f>
        <v>SDA</v>
      </c>
      <c r="K4348" s="89" t="s">
        <v>1275</v>
      </c>
      <c r="L4348" s="86">
        <v>1</v>
      </c>
      <c r="M4348" s="87">
        <v>300</v>
      </c>
      <c r="N4348" s="87">
        <f>IFERROR(表格1[[#This Row],[QTY]]*表格1[[#This Row],[Unit Price]],"-")</f>
        <v>300</v>
      </c>
      <c r="O4348" s="86">
        <v>129077</v>
      </c>
      <c r="R4348" s="86" t="str">
        <f>_xlfn.CONCAT(表格1[[#This Row],[Model]]," ",表格1[[#This Row],[inv no]])</f>
        <v>RC-18JRUH(N) 129077</v>
      </c>
      <c r="S4348" s="86">
        <f>_xlfn.XLOOKUP(表格1[[#This Row],[Model]],表格3[Model-Input-Ref2],表格3[SRP PRICE])</f>
        <v>458</v>
      </c>
      <c r="T4348" s="43">
        <f>表格1[[#This Row],[Unit Price]]/表格1[[#This Row],[SRP]]</f>
        <v>0.65502183406113534</v>
      </c>
      <c r="U4348" s="86" t="str">
        <f>_xlfn.XLOOKUP(表格1[[#This Row],[Model]],表格3[Model-Input-Ref2],表格3[TOSHIBA/HIGHEST])</f>
        <v>Shops Highest Price</v>
      </c>
      <c r="W4348" s="86" t="str">
        <f>_xlfn.CONCAT(表格1[[#This Row],[欄4]],表格1[[#This Row],[inv no]])</f>
        <v>129077</v>
      </c>
    </row>
    <row r="4349" spans="1:23" hidden="1">
      <c r="A4349" s="81">
        <v>4347</v>
      </c>
      <c r="B4349" s="86" t="s">
        <v>1260</v>
      </c>
      <c r="C4349" s="86" t="s">
        <v>2034</v>
      </c>
      <c r="D4349" s="89" t="str">
        <f ca="1">OFFSET(Roster!$A$3,MATCH(表格1[[#This Row],[Location]]&amp;" "&amp;表格1[[#This Row],[Shop]]&amp;"*",Roster!$A$4:$A$72,0),DAY(表格1[[#This Row],[date]]),1,1)</f>
        <v>Yee</v>
      </c>
      <c r="E4349" s="86">
        <f>MONTH(表格1[[#This Row],[date]])</f>
        <v>3</v>
      </c>
      <c r="F4349" s="90">
        <v>46088</v>
      </c>
      <c r="G4349" s="86" t="str">
        <f>VLOOKUP("*"&amp;表格1[[#This Row],[Input]]&amp;"*",'Ref-List'!$B:$D,2,)</f>
        <v>RC-10JRUH(N)</v>
      </c>
      <c r="H4349" s="86" t="str">
        <f>_xlfn.XLOOKUP(表格1[[#This Row],[Model]],表格3[Model-Input-Ref2],表格3[Product Line])</f>
        <v>電飯煲</v>
      </c>
      <c r="I4349" s="86" t="str">
        <f>_xlfn.XLOOKUP(表格1[[#This Row],[Model]],表格3[Model-Input-Ref2],表格3[大小電])</f>
        <v>細電</v>
      </c>
      <c r="J4349" s="86" t="str">
        <f>_xlfn.XLOOKUP(表格1[[#This Row],[Model]],表格3[Model-Input-Ref2],表格3[Code])</f>
        <v>SDA</v>
      </c>
      <c r="K4349" s="89" t="s">
        <v>1263</v>
      </c>
      <c r="L4349" s="86">
        <v>1</v>
      </c>
      <c r="M4349" s="87">
        <v>250</v>
      </c>
      <c r="N4349" s="87">
        <f>IFERROR(表格1[[#This Row],[QTY]]*表格1[[#This Row],[Unit Price]],"-")</f>
        <v>250</v>
      </c>
      <c r="O4349" s="86">
        <v>505174</v>
      </c>
      <c r="R4349" s="86" t="str">
        <f>_xlfn.CONCAT(表格1[[#This Row],[Model]]," ",表格1[[#This Row],[inv no]])</f>
        <v>RC-10JRUH(N) 505174</v>
      </c>
      <c r="S4349" s="86">
        <f>_xlfn.XLOOKUP(表格1[[#This Row],[Model]],表格3[Model-Input-Ref2],表格3[SRP PRICE])</f>
        <v>398</v>
      </c>
      <c r="T4349" s="43">
        <f>表格1[[#This Row],[Unit Price]]/表格1[[#This Row],[SRP]]</f>
        <v>0.62814070351758799</v>
      </c>
      <c r="U4349" s="86" t="str">
        <f>_xlfn.XLOOKUP(表格1[[#This Row],[Model]],表格3[Model-Input-Ref2],表格3[TOSHIBA/HIGHEST])</f>
        <v>Shops Highest Price</v>
      </c>
      <c r="W4349" s="86" t="str">
        <f>_xlfn.CONCAT(表格1[[#This Row],[欄4]],表格1[[#This Row],[inv no]])</f>
        <v>505174</v>
      </c>
    </row>
    <row r="4350" spans="1:23" hidden="1">
      <c r="A4350" s="81">
        <v>4348</v>
      </c>
      <c r="B4350" s="86" t="s">
        <v>1260</v>
      </c>
      <c r="C4350" s="86" t="s">
        <v>2034</v>
      </c>
      <c r="D4350" s="89" t="str">
        <f ca="1">OFFSET(Roster!$A$3,MATCH(表格1[[#This Row],[Location]]&amp;" "&amp;表格1[[#This Row],[Shop]]&amp;"*",Roster!$A$4:$A$72,0),DAY(表格1[[#This Row],[date]]),1,1)</f>
        <v>Yee</v>
      </c>
      <c r="E4350" s="86">
        <f>MONTH(表格1[[#This Row],[date]])</f>
        <v>3</v>
      </c>
      <c r="F4350" s="90">
        <v>46088</v>
      </c>
      <c r="G4350" s="86" t="str">
        <f>VLOOKUP("*"&amp;表格1[[#This Row],[Input]]&amp;"*",'Ref-List'!$B:$D,2,)</f>
        <v>RAD-D300H</v>
      </c>
      <c r="H4350" s="86" t="str">
        <f>_xlfn.XLOOKUP(表格1[[#This Row],[Model]],表格3[Model-Input-Ref2],表格3[Product Line])</f>
        <v>壓縮式抽濕機 (30公升)</v>
      </c>
      <c r="I4350" s="86" t="str">
        <f>_xlfn.XLOOKUP(表格1[[#This Row],[Model]],表格3[Model-Input-Ref2],表格3[大小電])</f>
        <v>細電</v>
      </c>
      <c r="J4350" s="86" t="str">
        <f>_xlfn.XLOOKUP(表格1[[#This Row],[Model]],表格3[Model-Input-Ref2],表格3[Code])</f>
        <v>RAC</v>
      </c>
      <c r="K4350" s="89" t="s">
        <v>1252</v>
      </c>
      <c r="L4350" s="86">
        <v>1</v>
      </c>
      <c r="M4350" s="87">
        <v>2280</v>
      </c>
      <c r="N4350" s="87">
        <f>IFERROR(表格1[[#This Row],[QTY]]*表格1[[#This Row],[Unit Price]],"-")</f>
        <v>2280</v>
      </c>
      <c r="O4350" s="86">
        <v>503375</v>
      </c>
      <c r="R4350" s="86" t="str">
        <f>_xlfn.CONCAT(表格1[[#This Row],[Model]]," ",表格1[[#This Row],[inv no]])</f>
        <v>RAD-D300H 503375</v>
      </c>
      <c r="S4350" s="86">
        <f>_xlfn.XLOOKUP(表格1[[#This Row],[Model]],表格3[Model-Input-Ref2],表格3[SRP PRICE])</f>
        <v>3380</v>
      </c>
      <c r="T4350" s="43">
        <f>表格1[[#This Row],[Unit Price]]/表格1[[#This Row],[SRP]]</f>
        <v>0.67455621301775148</v>
      </c>
      <c r="U4350" s="86" t="str">
        <f>_xlfn.XLOOKUP(表格1[[#This Row],[Model]],表格3[Model-Input-Ref2],表格3[TOSHIBA/HIGHEST])</f>
        <v>Shops Highest Price</v>
      </c>
      <c r="W4350" s="86" t="str">
        <f>_xlfn.CONCAT(表格1[[#This Row],[欄4]],表格1[[#This Row],[inv no]])</f>
        <v>503375</v>
      </c>
    </row>
    <row r="4351" spans="1:23" hidden="1">
      <c r="A4351" s="81">
        <v>4349</v>
      </c>
      <c r="B4351" s="86" t="s">
        <v>1260</v>
      </c>
      <c r="C4351" s="86" t="s">
        <v>2034</v>
      </c>
      <c r="D4351" s="89" t="str">
        <f ca="1">OFFSET(Roster!$A$3,MATCH(表格1[[#This Row],[Location]]&amp;" "&amp;表格1[[#This Row],[Shop]]&amp;"*",Roster!$A$4:$A$72,0),DAY(表格1[[#This Row],[date]]),1,1)</f>
        <v>Yee</v>
      </c>
      <c r="E4351" s="86">
        <f>MONTH(表格1[[#This Row],[date]])</f>
        <v>3</v>
      </c>
      <c r="F4351" s="90">
        <v>46089</v>
      </c>
      <c r="G4351" s="86" t="str">
        <f>VLOOKUP("*"&amp;表格1[[#This Row],[Input]]&amp;"*",'Ref-List'!$B:$D,2,)</f>
        <v>RC-10NMFIH(WT)</v>
      </c>
      <c r="H4351" s="86" t="str">
        <f>_xlfn.XLOOKUP(表格1[[#This Row],[Model]],表格3[Model-Input-Ref2],表格3[Product Line])</f>
        <v>4毫米厚釜電飯煲1L</v>
      </c>
      <c r="I4351" s="86" t="str">
        <f>_xlfn.XLOOKUP(表格1[[#This Row],[Model]],表格3[Model-Input-Ref2],表格3[大小電])</f>
        <v>細電</v>
      </c>
      <c r="J4351" s="86" t="str">
        <f>_xlfn.XLOOKUP(表格1[[#This Row],[Model]],表格3[Model-Input-Ref2],表格3[Code])</f>
        <v>SDA</v>
      </c>
      <c r="K4351" s="89" t="s">
        <v>1244</v>
      </c>
      <c r="L4351" s="86">
        <v>2</v>
      </c>
      <c r="M4351" s="87">
        <v>719</v>
      </c>
      <c r="N4351" s="87">
        <f>IFERROR(表格1[[#This Row],[QTY]]*表格1[[#This Row],[Unit Price]],"-")</f>
        <v>1438</v>
      </c>
      <c r="O4351" s="86">
        <v>505361</v>
      </c>
      <c r="R4351" s="86" t="str">
        <f>_xlfn.CONCAT(表格1[[#This Row],[Model]]," ",表格1[[#This Row],[inv no]])</f>
        <v>RC-10NMFIH(WT) 505361</v>
      </c>
      <c r="S4351" s="86">
        <f>_xlfn.XLOOKUP(表格1[[#This Row],[Model]],表格3[Model-Input-Ref2],表格3[SRP PRICE])</f>
        <v>898</v>
      </c>
      <c r="T4351" s="43">
        <f>表格1[[#This Row],[Unit Price]]/表格1[[#This Row],[SRP]]</f>
        <v>0.80066815144766146</v>
      </c>
      <c r="U4351" s="86" t="str">
        <f>_xlfn.XLOOKUP(表格1[[#This Row],[Model]],表格3[Model-Input-Ref2],表格3[TOSHIBA/HIGHEST])</f>
        <v>Toshiba SRP</v>
      </c>
      <c r="W4351" s="86" t="str">
        <f>_xlfn.CONCAT(表格1[[#This Row],[欄4]],表格1[[#This Row],[inv no]])</f>
        <v>505361</v>
      </c>
    </row>
    <row r="4352" spans="1:23" hidden="1">
      <c r="A4352" s="81">
        <v>4350</v>
      </c>
      <c r="B4352" s="86" t="s">
        <v>1260</v>
      </c>
      <c r="C4352" s="86" t="s">
        <v>2034</v>
      </c>
      <c r="D4352" s="89" t="str">
        <f ca="1">OFFSET(Roster!$A$3,MATCH(表格1[[#This Row],[Location]]&amp;" "&amp;表格1[[#This Row],[Shop]]&amp;"*",Roster!$A$4:$A$72,0),DAY(表格1[[#This Row],[date]]),1,1)</f>
        <v>Yee</v>
      </c>
      <c r="E4352" s="86">
        <f>MONTH(表格1[[#This Row],[date]])</f>
        <v>3</v>
      </c>
      <c r="F4352" s="90">
        <v>46089</v>
      </c>
      <c r="G4352" s="86" t="str">
        <f>VLOOKUP("*"&amp;表格1[[#This Row],[Input]]&amp;"*",'Ref-List'!$B:$D,2,)</f>
        <v>KT-17DRTHK(H)</v>
      </c>
      <c r="H4352" s="86" t="str">
        <f>_xlfn.XLOOKUP(表格1[[#This Row],[Model]],表格3[Model-Input-Ref2],表格3[Product Line])</f>
        <v>無線雙層電熱水壺(1.7公升)</v>
      </c>
      <c r="I4352" s="86" t="str">
        <f>_xlfn.XLOOKUP(表格1[[#This Row],[Model]],表格3[Model-Input-Ref2],表格3[大小電])</f>
        <v>細電</v>
      </c>
      <c r="J4352" s="86" t="str">
        <f>_xlfn.XLOOKUP(表格1[[#This Row],[Model]],表格3[Model-Input-Ref2],表格3[Code])</f>
        <v>SDA</v>
      </c>
      <c r="K4352" s="89" t="s">
        <v>1271</v>
      </c>
      <c r="L4352" s="86">
        <v>1</v>
      </c>
      <c r="M4352" s="87">
        <v>388</v>
      </c>
      <c r="N4352" s="87">
        <f>IFERROR(表格1[[#This Row],[QTY]]*表格1[[#This Row],[Unit Price]],"-")</f>
        <v>388</v>
      </c>
      <c r="O4352" s="86">
        <v>505388</v>
      </c>
      <c r="R4352" s="86" t="str">
        <f>_xlfn.CONCAT(表格1[[#This Row],[Model]]," ",表格1[[#This Row],[inv no]])</f>
        <v>KT-17DRTHK(H) 505388</v>
      </c>
      <c r="S4352" s="86">
        <f>_xlfn.XLOOKUP(表格1[[#This Row],[Model]],表格3[Model-Input-Ref2],表格3[SRP PRICE])</f>
        <v>498</v>
      </c>
      <c r="T4352" s="43">
        <f>表格1[[#This Row],[Unit Price]]/表格1[[#This Row],[SRP]]</f>
        <v>0.77911646586345384</v>
      </c>
      <c r="U4352" s="86" t="str">
        <f>_xlfn.XLOOKUP(表格1[[#This Row],[Model]],表格3[Model-Input-Ref2],表格3[TOSHIBA/HIGHEST])</f>
        <v>Toshiba SRP</v>
      </c>
      <c r="W4352" s="86" t="str">
        <f>_xlfn.CONCAT(表格1[[#This Row],[欄4]],表格1[[#This Row],[inv no]])</f>
        <v>505388</v>
      </c>
    </row>
    <row r="4353" spans="1:23" hidden="1">
      <c r="A4353" s="81">
        <v>4351</v>
      </c>
      <c r="B4353" s="86" t="s">
        <v>1260</v>
      </c>
      <c r="C4353" s="86" t="s">
        <v>2034</v>
      </c>
      <c r="D4353" s="89" t="str">
        <f ca="1">OFFSET(Roster!$A$3,MATCH(表格1[[#This Row],[Location]]&amp;" "&amp;表格1[[#This Row],[Shop]]&amp;"*",Roster!$A$4:$A$72,0),DAY(表格1[[#This Row],[date]]),1,1)</f>
        <v>Yee</v>
      </c>
      <c r="E4353" s="86">
        <f>MONTH(表格1[[#This Row],[date]])</f>
        <v>3</v>
      </c>
      <c r="F4353" s="90">
        <v>46089</v>
      </c>
      <c r="G4353" s="86" t="str">
        <f>VLOOKUP("*"&amp;表格1[[#This Row],[Input]]&amp;"*",'Ref-List'!$B:$D,2,)</f>
        <v>VC-CLS1BF(R)</v>
      </c>
      <c r="H4353" s="86" t="str">
        <f>_xlfn.XLOOKUP(表格1[[#This Row],[Model]],表格3[Model-Input-Ref2],表格3[Product Line])</f>
        <v>超輕巧2合1無線吸塵機</v>
      </c>
      <c r="I4353" s="86" t="str">
        <f>_xlfn.XLOOKUP(表格1[[#This Row],[Model]],表格3[Model-Input-Ref2],表格3[大小電])</f>
        <v>細電</v>
      </c>
      <c r="J4353" s="86" t="str">
        <f>_xlfn.XLOOKUP(表格1[[#This Row],[Model]],表格3[Model-Input-Ref2],表格3[Code])</f>
        <v>MCA</v>
      </c>
      <c r="K4353" s="89" t="s">
        <v>1265</v>
      </c>
      <c r="L4353" s="86">
        <v>1</v>
      </c>
      <c r="M4353" s="87">
        <v>1510</v>
      </c>
      <c r="N4353" s="87">
        <f>IFERROR(表格1[[#This Row],[QTY]]*表格1[[#This Row],[Unit Price]],"-")</f>
        <v>1510</v>
      </c>
      <c r="O4353" s="142" t="s">
        <v>2044</v>
      </c>
      <c r="R4353" s="86" t="str">
        <f>_xlfn.CONCAT(表格1[[#This Row],[Model]]," ",表格1[[#This Row],[inv no]])</f>
        <v>VC-CLS1BF(R) 010525</v>
      </c>
      <c r="S4353" s="86">
        <f>_xlfn.XLOOKUP(表格1[[#This Row],[Model]],表格3[Model-Input-Ref2],表格3[SRP PRICE])</f>
        <v>1888</v>
      </c>
      <c r="T4353" s="43">
        <f>表格1[[#This Row],[Unit Price]]/表格1[[#This Row],[SRP]]</f>
        <v>0.79978813559322037</v>
      </c>
      <c r="U4353" s="86" t="str">
        <f>_xlfn.XLOOKUP(表格1[[#This Row],[Model]],表格3[Model-Input-Ref2],表格3[TOSHIBA/HIGHEST])</f>
        <v>Toshiba SRP</v>
      </c>
      <c r="W4353" s="86" t="str">
        <f>_xlfn.CONCAT(表格1[[#This Row],[欄4]],表格1[[#This Row],[inv no]])</f>
        <v>010525</v>
      </c>
    </row>
    <row r="4354" spans="1:23" hidden="1">
      <c r="A4354" s="81">
        <v>4352</v>
      </c>
      <c r="B4354" s="86" t="s">
        <v>1260</v>
      </c>
      <c r="C4354" s="86" t="s">
        <v>2034</v>
      </c>
      <c r="D4354" s="89" t="str">
        <f ca="1">OFFSET(Roster!$A$3,MATCH(表格1[[#This Row],[Location]]&amp;" "&amp;表格1[[#This Row],[Shop]]&amp;"*",Roster!$A$4:$A$72,0),DAY(表格1[[#This Row],[date]]),1,1)</f>
        <v>Yee</v>
      </c>
      <c r="E4354" s="86">
        <f>MONTH(表格1[[#This Row],[date]])</f>
        <v>3</v>
      </c>
      <c r="F4354" s="90">
        <v>46089</v>
      </c>
      <c r="G4354" s="86" t="str">
        <f>VLOOKUP("*"&amp;表格1[[#This Row],[Input]]&amp;"*",'Ref-List'!$B:$D,2,)</f>
        <v>RC-18NMFIH(WT)</v>
      </c>
      <c r="H4354" s="86" t="str">
        <f>_xlfn.XLOOKUP(表格1[[#This Row],[Model]],表格3[Model-Input-Ref2],表格3[Product Line])</f>
        <v>4毫米厚釜電飯煲1.8L</v>
      </c>
      <c r="I4354" s="86" t="str">
        <f>_xlfn.XLOOKUP(表格1[[#This Row],[Model]],表格3[Model-Input-Ref2],表格3[大小電])</f>
        <v>細電</v>
      </c>
      <c r="J4354" s="86" t="str">
        <f>_xlfn.XLOOKUP(表格1[[#This Row],[Model]],表格3[Model-Input-Ref2],表格3[Code])</f>
        <v>SDA</v>
      </c>
      <c r="K4354" s="89" t="s">
        <v>1267</v>
      </c>
      <c r="L4354" s="86">
        <v>1</v>
      </c>
      <c r="M4354" s="87">
        <v>799</v>
      </c>
      <c r="N4354" s="87">
        <f>IFERROR(表格1[[#This Row],[QTY]]*表格1[[#This Row],[Unit Price]],"-")</f>
        <v>799</v>
      </c>
      <c r="O4354" s="86">
        <v>657849</v>
      </c>
      <c r="R4354" s="86" t="str">
        <f>_xlfn.CONCAT(表格1[[#This Row],[Model]]," ",表格1[[#This Row],[inv no]])</f>
        <v>RC-18NMFIH(WT) 657849</v>
      </c>
      <c r="S4354" s="86">
        <f>_xlfn.XLOOKUP(表格1[[#This Row],[Model]],表格3[Model-Input-Ref2],表格3[SRP PRICE])</f>
        <v>998</v>
      </c>
      <c r="T4354" s="43">
        <f>表格1[[#This Row],[Unit Price]]/表格1[[#This Row],[SRP]]</f>
        <v>0.80060120240480959</v>
      </c>
      <c r="U4354" s="86" t="str">
        <f>_xlfn.XLOOKUP(表格1[[#This Row],[Model]],表格3[Model-Input-Ref2],表格3[TOSHIBA/HIGHEST])</f>
        <v>Toshiba SRP</v>
      </c>
      <c r="W4354" s="86" t="str">
        <f>_xlfn.CONCAT(表格1[[#This Row],[欄4]],表格1[[#This Row],[inv no]])</f>
        <v>657849</v>
      </c>
    </row>
    <row r="4355" spans="1:23" hidden="1">
      <c r="A4355" s="81">
        <v>4353</v>
      </c>
      <c r="B4355" s="86" t="s">
        <v>1260</v>
      </c>
      <c r="C4355" s="86" t="s">
        <v>2034</v>
      </c>
      <c r="D4355" s="89" t="str">
        <f ca="1">OFFSET(Roster!$A$3,MATCH(表格1[[#This Row],[Location]]&amp;" "&amp;表格1[[#This Row],[Shop]]&amp;"*",Roster!$A$4:$A$72,0),DAY(表格1[[#This Row],[date]]),1,1)</f>
        <v>Yee</v>
      </c>
      <c r="E4355" s="86">
        <f>MONTH(表格1[[#This Row],[date]])</f>
        <v>3</v>
      </c>
      <c r="F4355" s="90">
        <v>46089</v>
      </c>
      <c r="G4355" s="86" t="str">
        <f>VLOOKUP("*"&amp;表格1[[#This Row],[Input]]&amp;"*",'Ref-List'!$B:$D,2,)</f>
        <v>RAD-D300H</v>
      </c>
      <c r="H4355" s="86" t="str">
        <f>_xlfn.XLOOKUP(表格1[[#This Row],[Model]],表格3[Model-Input-Ref2],表格3[Product Line])</f>
        <v>壓縮式抽濕機 (30公升)</v>
      </c>
      <c r="I4355" s="86" t="str">
        <f>_xlfn.XLOOKUP(表格1[[#This Row],[Model]],表格3[Model-Input-Ref2],表格3[大小電])</f>
        <v>細電</v>
      </c>
      <c r="J4355" s="86" t="str">
        <f>_xlfn.XLOOKUP(表格1[[#This Row],[Model]],表格3[Model-Input-Ref2],表格3[Code])</f>
        <v>RAC</v>
      </c>
      <c r="K4355" s="89" t="s">
        <v>1252</v>
      </c>
      <c r="L4355" s="86">
        <v>1</v>
      </c>
      <c r="M4355" s="87">
        <v>2280</v>
      </c>
      <c r="N4355" s="87">
        <f>IFERROR(表格1[[#This Row],[QTY]]*表格1[[#This Row],[Unit Price]],"-")</f>
        <v>2280</v>
      </c>
      <c r="O4355" s="86">
        <v>172331</v>
      </c>
      <c r="R4355" s="86" t="str">
        <f>_xlfn.CONCAT(表格1[[#This Row],[Model]]," ",表格1[[#This Row],[inv no]])</f>
        <v>RAD-D300H 172331</v>
      </c>
      <c r="S4355" s="86">
        <f>_xlfn.XLOOKUP(表格1[[#This Row],[Model]],表格3[Model-Input-Ref2],表格3[SRP PRICE])</f>
        <v>3380</v>
      </c>
      <c r="T4355" s="43">
        <f>表格1[[#This Row],[Unit Price]]/表格1[[#This Row],[SRP]]</f>
        <v>0.67455621301775148</v>
      </c>
      <c r="U4355" s="86" t="str">
        <f>_xlfn.XLOOKUP(表格1[[#This Row],[Model]],表格3[Model-Input-Ref2],表格3[TOSHIBA/HIGHEST])</f>
        <v>Shops Highest Price</v>
      </c>
      <c r="W4355" s="86" t="str">
        <f>_xlfn.CONCAT(表格1[[#This Row],[欄4]],表格1[[#This Row],[inv no]])</f>
        <v>172331</v>
      </c>
    </row>
    <row r="4356" spans="1:23" hidden="1">
      <c r="A4356" s="81">
        <v>4354</v>
      </c>
      <c r="B4356" s="86" t="s">
        <v>1260</v>
      </c>
      <c r="C4356" s="86" t="s">
        <v>2034</v>
      </c>
      <c r="D4356" s="89" t="str">
        <f ca="1">OFFSET(Roster!$A$3,MATCH(表格1[[#This Row],[Location]]&amp;" "&amp;表格1[[#This Row],[Shop]]&amp;"*",Roster!$A$4:$A$72,0),DAY(表格1[[#This Row],[date]]),1,1)</f>
        <v>Yee</v>
      </c>
      <c r="E4356" s="86">
        <f>MONTH(表格1[[#This Row],[date]])</f>
        <v>3</v>
      </c>
      <c r="F4356" s="90">
        <v>46089</v>
      </c>
      <c r="G4356" s="86" t="str">
        <f>VLOOKUP("*"&amp;表格1[[#This Row],[Input]]&amp;"*",'Ref-List'!$B:$D,2,)</f>
        <v>MM2-EG20PC(WH)</v>
      </c>
      <c r="H4356" s="86" t="str">
        <f>_xlfn.XLOOKUP(表格1[[#This Row],[Model]],表格3[Model-Input-Ref2],表格3[Product Line])</f>
        <v>輕觸式燒烤微波爐</v>
      </c>
      <c r="I4356" s="86" t="str">
        <f>_xlfn.XLOOKUP(表格1[[#This Row],[Model]],表格3[Model-Input-Ref2],表格3[大小電])</f>
        <v>細電</v>
      </c>
      <c r="J4356" s="86" t="str">
        <f>_xlfn.XLOOKUP(表格1[[#This Row],[Model]],表格3[Model-Input-Ref2],表格3[Code])</f>
        <v>MCA</v>
      </c>
      <c r="K4356" s="89" t="s">
        <v>1273</v>
      </c>
      <c r="L4356" s="86">
        <v>1</v>
      </c>
      <c r="M4356" s="87">
        <v>698</v>
      </c>
      <c r="N4356" s="87">
        <f>IFERROR(表格1[[#This Row],[QTY]]*表格1[[#This Row],[Unit Price]],"-")</f>
        <v>698</v>
      </c>
      <c r="O4356" s="86">
        <v>505428</v>
      </c>
      <c r="R4356" s="86" t="str">
        <f>_xlfn.CONCAT(表格1[[#This Row],[Model]]," ",表格1[[#This Row],[inv no]])</f>
        <v>MM2-EG20PC(WH) 505428</v>
      </c>
      <c r="S4356" s="86">
        <f>_xlfn.XLOOKUP(表格1[[#This Row],[Model]],表格3[Model-Input-Ref2],表格3[SRP PRICE])</f>
        <v>918</v>
      </c>
      <c r="T4356" s="43">
        <f>表格1[[#This Row],[Unit Price]]/表格1[[#This Row],[SRP]]</f>
        <v>0.76034858387799564</v>
      </c>
      <c r="U4356" s="86" t="str">
        <f>_xlfn.XLOOKUP(表格1[[#This Row],[Model]],表格3[Model-Input-Ref2],表格3[TOSHIBA/HIGHEST])</f>
        <v>Shops Highest Price</v>
      </c>
      <c r="W4356" s="86" t="str">
        <f>_xlfn.CONCAT(表格1[[#This Row],[欄4]],表格1[[#This Row],[inv no]])</f>
        <v>505428</v>
      </c>
    </row>
    <row r="4357" spans="1:23" hidden="1">
      <c r="A4357" s="81">
        <v>4355</v>
      </c>
      <c r="B4357" s="86" t="s">
        <v>1260</v>
      </c>
      <c r="C4357" s="86" t="s">
        <v>2034</v>
      </c>
      <c r="D4357" s="89" t="str">
        <f ca="1">OFFSET(Roster!$A$3,MATCH(表格1[[#This Row],[Location]]&amp;" "&amp;表格1[[#This Row],[Shop]]&amp;"*",Roster!$A$4:$A$72,0),DAY(表格1[[#This Row],[date]]),1,1)</f>
        <v>Yee</v>
      </c>
      <c r="E4357" s="86">
        <f>MONTH(表格1[[#This Row],[date]])</f>
        <v>3</v>
      </c>
      <c r="F4357" s="90">
        <v>46090</v>
      </c>
      <c r="G4357" s="86" t="str">
        <f>VLOOKUP("*"&amp;表格1[[#This Row],[Input]]&amp;"*",'Ref-List'!$B:$D,2,)</f>
        <v>RC-10NMFIH(WT)</v>
      </c>
      <c r="H4357" s="86" t="str">
        <f>_xlfn.XLOOKUP(表格1[[#This Row],[Model]],表格3[Model-Input-Ref2],表格3[Product Line])</f>
        <v>4毫米厚釜電飯煲1L</v>
      </c>
      <c r="I4357" s="86" t="str">
        <f>_xlfn.XLOOKUP(表格1[[#This Row],[Model]],表格3[Model-Input-Ref2],表格3[大小電])</f>
        <v>細電</v>
      </c>
      <c r="J4357" s="86" t="str">
        <f>_xlfn.XLOOKUP(表格1[[#This Row],[Model]],表格3[Model-Input-Ref2],表格3[Code])</f>
        <v>SDA</v>
      </c>
      <c r="K4357" s="89" t="s">
        <v>1244</v>
      </c>
      <c r="L4357" s="86">
        <v>1</v>
      </c>
      <c r="M4357" s="87">
        <v>719</v>
      </c>
      <c r="N4357" s="87">
        <f>IFERROR(表格1[[#This Row],[QTY]]*表格1[[#This Row],[Unit Price]],"-")</f>
        <v>719</v>
      </c>
      <c r="O4357" s="142" t="s">
        <v>2049</v>
      </c>
      <c r="R4357" s="86" t="str">
        <f>_xlfn.CONCAT(表格1[[#This Row],[Model]]," ",表格1[[#This Row],[inv no]])</f>
        <v>RC-10NMFIH(WT) 008091</v>
      </c>
      <c r="S4357" s="86">
        <f>_xlfn.XLOOKUP(表格1[[#This Row],[Model]],表格3[Model-Input-Ref2],表格3[SRP PRICE])</f>
        <v>898</v>
      </c>
      <c r="T4357" s="43">
        <f>表格1[[#This Row],[Unit Price]]/表格1[[#This Row],[SRP]]</f>
        <v>0.80066815144766146</v>
      </c>
      <c r="U4357" s="86" t="str">
        <f>_xlfn.XLOOKUP(表格1[[#This Row],[Model]],表格3[Model-Input-Ref2],表格3[TOSHIBA/HIGHEST])</f>
        <v>Toshiba SRP</v>
      </c>
      <c r="W4357" s="86" t="str">
        <f>_xlfn.CONCAT(表格1[[#This Row],[欄4]],表格1[[#This Row],[inv no]])</f>
        <v>008091</v>
      </c>
    </row>
    <row r="4358" spans="1:23" hidden="1">
      <c r="A4358" s="81">
        <v>4356</v>
      </c>
      <c r="B4358" s="86" t="s">
        <v>1260</v>
      </c>
      <c r="C4358" s="86" t="s">
        <v>2034</v>
      </c>
      <c r="D4358" s="89" t="str">
        <f ca="1">OFFSET(Roster!$A$3,MATCH(表格1[[#This Row],[Location]]&amp;" "&amp;表格1[[#This Row],[Shop]]&amp;"*",Roster!$A$4:$A$72,0),DAY(表格1[[#This Row],[date]]),1,1)</f>
        <v>Yee</v>
      </c>
      <c r="E4358" s="86">
        <f>MONTH(表格1[[#This Row],[date]])</f>
        <v>3</v>
      </c>
      <c r="F4358" s="90">
        <v>46090</v>
      </c>
      <c r="G4358" s="86" t="str">
        <f>VLOOKUP("*"&amp;表格1[[#This Row],[Input]]&amp;"*",'Ref-List'!$B:$D,2,)</f>
        <v>RC-18DRNH</v>
      </c>
      <c r="H4358" s="86" t="str">
        <f>_xlfn.XLOOKUP(表格1[[#This Row],[Model]],表格3[Model-Input-Ref2],表格3[Product Line])</f>
        <v>多功能備長炭本厚釜電飯煲1.8L</v>
      </c>
      <c r="I4358" s="86" t="str">
        <f>_xlfn.XLOOKUP(表格1[[#This Row],[Model]],表格3[Model-Input-Ref2],表格3[大小電])</f>
        <v>細電</v>
      </c>
      <c r="J4358" s="86" t="str">
        <f>_xlfn.XLOOKUP(表格1[[#This Row],[Model]],表格3[Model-Input-Ref2],表格3[Code])</f>
        <v>SDA</v>
      </c>
      <c r="K4358" s="89" t="s">
        <v>1389</v>
      </c>
      <c r="L4358" s="86">
        <v>1</v>
      </c>
      <c r="M4358" s="87">
        <v>619</v>
      </c>
      <c r="N4358" s="87">
        <f>IFERROR(表格1[[#This Row],[QTY]]*表格1[[#This Row],[Unit Price]],"-")</f>
        <v>619</v>
      </c>
      <c r="O4358" s="86">
        <v>129505</v>
      </c>
      <c r="R4358" s="86" t="str">
        <f>_xlfn.CONCAT(表格1[[#This Row],[Model]]," ",表格1[[#This Row],[inv no]])</f>
        <v>RC-18DRNH 129505</v>
      </c>
      <c r="S4358" s="86">
        <f>_xlfn.XLOOKUP(表格1[[#This Row],[Model]],表格3[Model-Input-Ref2],表格3[SRP PRICE])</f>
        <v>898</v>
      </c>
      <c r="T4358" s="43">
        <f>表格1[[#This Row],[Unit Price]]/表格1[[#This Row],[SRP]]</f>
        <v>0.68930957683741645</v>
      </c>
      <c r="U4358" s="86" t="str">
        <f>_xlfn.XLOOKUP(表格1[[#This Row],[Model]],表格3[Model-Input-Ref2],表格3[TOSHIBA/HIGHEST])</f>
        <v>Toshiba SRP</v>
      </c>
      <c r="W4358" s="86" t="str">
        <f>_xlfn.CONCAT(表格1[[#This Row],[欄4]],表格1[[#This Row],[inv no]])</f>
        <v>129505</v>
      </c>
    </row>
    <row r="4359" spans="1:23" hidden="1">
      <c r="A4359" s="81">
        <v>4357</v>
      </c>
      <c r="B4359" s="86" t="s">
        <v>1260</v>
      </c>
      <c r="C4359" s="86" t="s">
        <v>2034</v>
      </c>
      <c r="D4359" s="89" t="str">
        <f ca="1">OFFSET(Roster!$A$3,MATCH(表格1[[#This Row],[Location]]&amp;" "&amp;表格1[[#This Row],[Shop]]&amp;"*",Roster!$A$4:$A$72,0),DAY(表格1[[#This Row],[date]]),1,1)</f>
        <v>Yee</v>
      </c>
      <c r="E4359" s="86">
        <f>MONTH(表格1[[#This Row],[date]])</f>
        <v>3</v>
      </c>
      <c r="F4359" s="90">
        <v>46090</v>
      </c>
      <c r="G4359" s="86" t="str">
        <f>VLOOKUP("*"&amp;表格1[[#This Row],[Input]]&amp;"*",'Ref-List'!$B:$D,2,)</f>
        <v>TW-BL115A2H(WW)</v>
      </c>
      <c r="H4359" s="86" t="str">
        <f>_xlfn.XLOOKUP(表格1[[#This Row],[Model]],表格3[Model-Input-Ref2],表格3[Product Line])</f>
        <v>10.5KG前置式變頻洗衣機</v>
      </c>
      <c r="I4359" s="86" t="str">
        <f>_xlfn.XLOOKUP(表格1[[#This Row],[Model]],表格3[Model-Input-Ref2],表格3[大小電])</f>
        <v>大電</v>
      </c>
      <c r="J4359" s="86" t="str">
        <f>_xlfn.XLOOKUP(表格1[[#This Row],[Model]],表格3[Model-Input-Ref2],表格3[Code])</f>
        <v>WM</v>
      </c>
      <c r="K4359" s="89" t="s">
        <v>2045</v>
      </c>
      <c r="L4359" s="86">
        <v>1</v>
      </c>
      <c r="M4359" s="87">
        <v>4580</v>
      </c>
      <c r="N4359" s="87">
        <f>IFERROR(表格1[[#This Row],[QTY]]*表格1[[#This Row],[Unit Price]],"-")</f>
        <v>4580</v>
      </c>
      <c r="O4359" s="86">
        <v>505816</v>
      </c>
      <c r="R4359" s="86" t="str">
        <f>_xlfn.CONCAT(表格1[[#This Row],[Model]]," ",表格1[[#This Row],[inv no]])</f>
        <v>TW-BL115A2H(WW) 505816</v>
      </c>
      <c r="S4359" s="86">
        <f>_xlfn.XLOOKUP(表格1[[#This Row],[Model]],表格3[Model-Input-Ref2],表格3[SRP PRICE])</f>
        <v>6480</v>
      </c>
      <c r="T4359" s="43">
        <f>表格1[[#This Row],[Unit Price]]/表格1[[#This Row],[SRP]]</f>
        <v>0.70679012345679015</v>
      </c>
      <c r="U4359" s="86" t="str">
        <f>_xlfn.XLOOKUP(表格1[[#This Row],[Model]],表格3[Model-Input-Ref2],表格3[TOSHIBA/HIGHEST])</f>
        <v>Toshiba SRP</v>
      </c>
      <c r="W4359" s="86" t="str">
        <f>_xlfn.CONCAT(表格1[[#This Row],[欄4]],表格1[[#This Row],[inv no]])</f>
        <v>505816</v>
      </c>
    </row>
    <row r="4360" spans="1:23" hidden="1">
      <c r="A4360" s="81">
        <v>4358</v>
      </c>
      <c r="B4360" s="86" t="s">
        <v>1260</v>
      </c>
      <c r="C4360" s="86" t="s">
        <v>2034</v>
      </c>
      <c r="D4360" s="89" t="str">
        <f ca="1">OFFSET(Roster!$A$3,MATCH(表格1[[#This Row],[Location]]&amp;" "&amp;表格1[[#This Row],[Shop]]&amp;"*",Roster!$A$4:$A$72,0),DAY(表格1[[#This Row],[date]]),1,1)</f>
        <v>Yee</v>
      </c>
      <c r="E4360" s="86">
        <f>MONTH(表格1[[#This Row],[date]])</f>
        <v>3</v>
      </c>
      <c r="F4360" s="90">
        <v>46090</v>
      </c>
      <c r="G4360" s="86" t="str">
        <f>VLOOKUP("*"&amp;表格1[[#This Row],[Input]]&amp;"*",'Ref-List'!$B:$D,2,)</f>
        <v>ET-TD7080(PN)</v>
      </c>
      <c r="H4360" s="86" t="str">
        <f>_xlfn.XLOOKUP(表格1[[#This Row],[Model]],表格3[Model-Input-Ref2],表格3[Product Line])</f>
        <v>多士焗爐8L</v>
      </c>
      <c r="I4360" s="86" t="str">
        <f>_xlfn.XLOOKUP(表格1[[#This Row],[Model]],表格3[Model-Input-Ref2],表格3[大小電])</f>
        <v>細電</v>
      </c>
      <c r="J4360" s="86" t="str">
        <f>_xlfn.XLOOKUP(表格1[[#This Row],[Model]],表格3[Model-Input-Ref2],表格3[Code])</f>
        <v>SDA</v>
      </c>
      <c r="K4360" s="89">
        <v>7080</v>
      </c>
      <c r="L4360" s="86">
        <v>1</v>
      </c>
      <c r="M4360" s="87">
        <v>338</v>
      </c>
      <c r="N4360" s="87">
        <f>IFERROR(表格1[[#This Row],[QTY]]*表格1[[#This Row],[Unit Price]],"-")</f>
        <v>338</v>
      </c>
      <c r="O4360" s="142" t="s">
        <v>2050</v>
      </c>
      <c r="R4360" s="86" t="str">
        <f>_xlfn.CONCAT(表格1[[#This Row],[Model]]," ",表格1[[#This Row],[inv no]])</f>
        <v>ET-TD7080(PN) 008099</v>
      </c>
      <c r="S4360" s="86">
        <f>_xlfn.XLOOKUP(表格1[[#This Row],[Model]],表格3[Model-Input-Ref2],表格3[SRP PRICE])</f>
        <v>498</v>
      </c>
      <c r="T4360" s="43">
        <f>表格1[[#This Row],[Unit Price]]/表格1[[#This Row],[SRP]]</f>
        <v>0.67871485943775101</v>
      </c>
      <c r="U4360" s="86" t="str">
        <f>_xlfn.XLOOKUP(表格1[[#This Row],[Model]],表格3[Model-Input-Ref2],表格3[TOSHIBA/HIGHEST])</f>
        <v>Toshiba SRP</v>
      </c>
      <c r="W4360" s="86" t="str">
        <f>_xlfn.CONCAT(表格1[[#This Row],[欄4]],表格1[[#This Row],[inv no]])</f>
        <v>008099</v>
      </c>
    </row>
    <row r="4361" spans="1:23" hidden="1">
      <c r="A4361" s="81">
        <v>4359</v>
      </c>
      <c r="B4361" s="86" t="s">
        <v>1260</v>
      </c>
      <c r="C4361" s="86" t="s">
        <v>2034</v>
      </c>
      <c r="D4361" s="89" t="str">
        <f ca="1">OFFSET(Roster!$A$3,MATCH(表格1[[#This Row],[Location]]&amp;" "&amp;表格1[[#This Row],[Shop]]&amp;"*",Roster!$A$4:$A$72,0),DAY(表格1[[#This Row],[date]]),1,1)</f>
        <v>Yee</v>
      </c>
      <c r="E4361" s="86">
        <f>MONTH(表格1[[#This Row],[date]])</f>
        <v>3</v>
      </c>
      <c r="F4361" s="90">
        <v>46090</v>
      </c>
      <c r="G4361" s="86" t="str">
        <f>VLOOKUP("*"&amp;表格1[[#This Row],[Input]]&amp;"*",'Ref-List'!$B:$D,2,)</f>
        <v>MWP-MM20P(WH)</v>
      </c>
      <c r="H4361" s="86" t="str">
        <f>_xlfn.XLOOKUP(表格1[[#This Row],[Model]],表格3[Model-Input-Ref2],表格3[Product Line])</f>
        <v>旋鈕式燒烤微波爐20L</v>
      </c>
      <c r="I4361" s="86" t="str">
        <f>_xlfn.XLOOKUP(表格1[[#This Row],[Model]],表格3[Model-Input-Ref2],表格3[大小電])</f>
        <v>細電</v>
      </c>
      <c r="J4361" s="86" t="str">
        <f>_xlfn.XLOOKUP(表格1[[#This Row],[Model]],表格3[Model-Input-Ref2],表格3[Code])</f>
        <v>SDA</v>
      </c>
      <c r="K4361" s="89" t="s">
        <v>1270</v>
      </c>
      <c r="L4361" s="86">
        <v>1</v>
      </c>
      <c r="M4361" s="87">
        <v>488</v>
      </c>
      <c r="N4361" s="87">
        <f>IFERROR(表格1[[#This Row],[QTY]]*表格1[[#This Row],[Unit Price]],"-")</f>
        <v>488</v>
      </c>
      <c r="O4361" s="86">
        <v>129652</v>
      </c>
      <c r="R4361" s="86" t="str">
        <f>_xlfn.CONCAT(表格1[[#This Row],[Model]]," ",表格1[[#This Row],[inv no]])</f>
        <v>MWP-MM20P(WH) 129652</v>
      </c>
      <c r="S4361" s="86">
        <f>_xlfn.XLOOKUP(表格1[[#This Row],[Model]],表格3[Model-Input-Ref2],表格3[SRP PRICE])</f>
        <v>648</v>
      </c>
      <c r="T4361" s="43">
        <f>表格1[[#This Row],[Unit Price]]/表格1[[#This Row],[SRP]]</f>
        <v>0.75308641975308643</v>
      </c>
      <c r="U4361" s="86" t="str">
        <f>_xlfn.XLOOKUP(表格1[[#This Row],[Model]],表格3[Model-Input-Ref2],表格3[TOSHIBA/HIGHEST])</f>
        <v>Toshiba SRP</v>
      </c>
      <c r="W4361" s="86" t="str">
        <f>_xlfn.CONCAT(表格1[[#This Row],[欄4]],表格1[[#This Row],[inv no]])</f>
        <v>129652</v>
      </c>
    </row>
    <row r="4362" spans="1:23" hidden="1">
      <c r="A4362" s="81">
        <v>4360</v>
      </c>
      <c r="B4362" s="86" t="s">
        <v>1260</v>
      </c>
      <c r="C4362" s="86" t="s">
        <v>2034</v>
      </c>
      <c r="D4362" s="89" t="str">
        <f ca="1">OFFSET(Roster!$A$3,MATCH(表格1[[#This Row],[Location]]&amp;" "&amp;表格1[[#This Row],[Shop]]&amp;"*",Roster!$A$4:$A$72,0),DAY(表格1[[#This Row],[date]]),1,1)</f>
        <v>Yee</v>
      </c>
      <c r="E4362" s="86">
        <f>MONTH(表格1[[#This Row],[date]])</f>
        <v>3</v>
      </c>
      <c r="F4362" s="90">
        <v>46090</v>
      </c>
      <c r="G4362" s="86" t="str">
        <f>VLOOKUP("*"&amp;表格1[[#This Row],[Input]]&amp;"*",'Ref-List'!$B:$D,2,)</f>
        <v>MM2-EM20PC(WH)</v>
      </c>
      <c r="H4362" s="86" t="str">
        <f>_xlfn.XLOOKUP(表格1[[#This Row],[Model]],表格3[Model-Input-Ref2],表格3[Product Line])</f>
        <v>輕觸式微波爐 (20公升)</v>
      </c>
      <c r="I4362" s="86" t="str">
        <f>_xlfn.XLOOKUP(表格1[[#This Row],[Model]],表格3[Model-Input-Ref2],表格3[大小電])</f>
        <v>細電</v>
      </c>
      <c r="J4362" s="86" t="str">
        <f>_xlfn.XLOOKUP(表格1[[#This Row],[Model]],表格3[Model-Input-Ref2],表格3[Code])</f>
        <v>MCA</v>
      </c>
      <c r="K4362" s="89" t="s">
        <v>1276</v>
      </c>
      <c r="L4362" s="86">
        <v>1</v>
      </c>
      <c r="M4362" s="87">
        <v>628</v>
      </c>
      <c r="N4362" s="87">
        <f>IFERROR(表格1[[#This Row],[QTY]]*表格1[[#This Row],[Unit Price]],"-")</f>
        <v>628</v>
      </c>
      <c r="O4362" s="86">
        <v>506021</v>
      </c>
      <c r="R4362" s="86" t="str">
        <f>_xlfn.CONCAT(表格1[[#This Row],[Model]]," ",表格1[[#This Row],[inv no]])</f>
        <v>MM2-EM20PC(WH) 506021</v>
      </c>
      <c r="S4362" s="86">
        <f>_xlfn.XLOOKUP(表格1[[#This Row],[Model]],表格3[Model-Input-Ref2],表格3[SRP PRICE])</f>
        <v>788</v>
      </c>
      <c r="T4362" s="43">
        <f>表格1[[#This Row],[Unit Price]]/表格1[[#This Row],[SRP]]</f>
        <v>0.79695431472081213</v>
      </c>
      <c r="U4362" s="86" t="str">
        <f>_xlfn.XLOOKUP(表格1[[#This Row],[Model]],表格3[Model-Input-Ref2],表格3[TOSHIBA/HIGHEST])</f>
        <v>Toshiba SRP</v>
      </c>
      <c r="W4362" s="86" t="str">
        <f>_xlfn.CONCAT(表格1[[#This Row],[欄4]],表格1[[#This Row],[inv no]])</f>
        <v>506021</v>
      </c>
    </row>
    <row r="4363" spans="1:23" hidden="1">
      <c r="A4363" s="81">
        <v>4361</v>
      </c>
      <c r="B4363" s="86" t="s">
        <v>1260</v>
      </c>
      <c r="C4363" s="86" t="s">
        <v>2034</v>
      </c>
      <c r="D4363" s="89" t="str">
        <f ca="1">OFFSET(Roster!$A$3,MATCH(表格1[[#This Row],[Location]]&amp;" "&amp;表格1[[#This Row],[Shop]]&amp;"*",Roster!$A$4:$A$72,0),DAY(表格1[[#This Row],[date]]),1,1)</f>
        <v>Yee</v>
      </c>
      <c r="E4363" s="86">
        <f>MONTH(表格1[[#This Row],[date]])</f>
        <v>3</v>
      </c>
      <c r="F4363" s="90">
        <v>46093</v>
      </c>
      <c r="G4363" s="86" t="str">
        <f>VLOOKUP("*"&amp;表格1[[#This Row],[Input]]&amp;"*",'Ref-List'!$B:$D,2,)</f>
        <v>RC-5MMIH(WT)</v>
      </c>
      <c r="H4363" s="86" t="str">
        <f>_xlfn.XLOOKUP(表格1[[#This Row],[Model]],表格3[Model-Input-Ref2],表格3[Product Line])</f>
        <v>4毫米厚釜電飯煲0.54L</v>
      </c>
      <c r="I4363" s="86" t="str">
        <f>_xlfn.XLOOKUP(表格1[[#This Row],[Model]],表格3[Model-Input-Ref2],表格3[大小電])</f>
        <v>細電</v>
      </c>
      <c r="J4363" s="86" t="str">
        <f>_xlfn.XLOOKUP(表格1[[#This Row],[Model]],表格3[Model-Input-Ref2],表格3[Code])</f>
        <v>SDA</v>
      </c>
      <c r="K4363" s="89" t="s">
        <v>1195</v>
      </c>
      <c r="L4363" s="86">
        <v>1</v>
      </c>
      <c r="M4363" s="87">
        <v>548</v>
      </c>
      <c r="N4363" s="87">
        <f>IFERROR(表格1[[#This Row],[QTY]]*表格1[[#This Row],[Unit Price]],"-")</f>
        <v>548</v>
      </c>
      <c r="O4363" s="86">
        <v>130071</v>
      </c>
      <c r="R4363" s="86" t="str">
        <f>_xlfn.CONCAT(表格1[[#This Row],[Model]]," ",表格1[[#This Row],[inv no]])</f>
        <v>RC-5MMIH(WT) 130071</v>
      </c>
      <c r="S4363" s="86">
        <f>_xlfn.XLOOKUP(表格1[[#This Row],[Model]],表格3[Model-Input-Ref2],表格3[SRP PRICE])</f>
        <v>618</v>
      </c>
      <c r="T4363" s="43">
        <f>表格1[[#This Row],[Unit Price]]/表格1[[#This Row],[SRP]]</f>
        <v>0.88673139158576053</v>
      </c>
      <c r="U4363" s="86" t="str">
        <f>_xlfn.XLOOKUP(表格1[[#This Row],[Model]],表格3[Model-Input-Ref2],表格3[TOSHIBA/HIGHEST])</f>
        <v>Toshiba SRP</v>
      </c>
      <c r="W4363" s="86" t="str">
        <f>_xlfn.CONCAT(表格1[[#This Row],[欄4]],表格1[[#This Row],[inv no]])</f>
        <v>130071</v>
      </c>
    </row>
    <row r="4364" spans="1:23" hidden="1">
      <c r="A4364" s="81">
        <v>4362</v>
      </c>
      <c r="B4364" s="86" t="s">
        <v>1260</v>
      </c>
      <c r="C4364" s="86" t="s">
        <v>2034</v>
      </c>
      <c r="D4364" s="89" t="str">
        <f ca="1">OFFSET(Roster!$A$3,MATCH(表格1[[#This Row],[Location]]&amp;" "&amp;表格1[[#This Row],[Shop]]&amp;"*",Roster!$A$4:$A$72,0),DAY(表格1[[#This Row],[date]]),1,1)</f>
        <v>Yee</v>
      </c>
      <c r="E4364" s="86">
        <f>MONTH(表格1[[#This Row],[date]])</f>
        <v>3</v>
      </c>
      <c r="F4364" s="90">
        <v>46093</v>
      </c>
      <c r="G4364" s="86" t="str">
        <f>VLOOKUP("*"&amp;表格1[[#This Row],[Input]]&amp;"*",'Ref-List'!$B:$D,2,)</f>
        <v>TP-50DRUHK(W)</v>
      </c>
      <c r="H4364" s="86" t="str">
        <f>_xlfn.XLOOKUP(表格1[[#This Row],[Model]],表格3[Model-Input-Ref2],表格3[Product Line])</f>
        <v>電熱水瓶 (5公升)</v>
      </c>
      <c r="I4364" s="86" t="str">
        <f>_xlfn.XLOOKUP(表格1[[#This Row],[Model]],表格3[Model-Input-Ref2],表格3[大小電])</f>
        <v>細電</v>
      </c>
      <c r="J4364" s="86" t="str">
        <f>_xlfn.XLOOKUP(表格1[[#This Row],[Model]],表格3[Model-Input-Ref2],表格3[Code])</f>
        <v>SDA</v>
      </c>
      <c r="K4364" s="89" t="s">
        <v>1277</v>
      </c>
      <c r="L4364" s="86">
        <v>1</v>
      </c>
      <c r="M4364" s="87">
        <v>628</v>
      </c>
      <c r="N4364" s="87">
        <f>IFERROR(表格1[[#This Row],[QTY]]*表格1[[#This Row],[Unit Price]],"-")</f>
        <v>628</v>
      </c>
      <c r="O4364" s="86">
        <v>130071</v>
      </c>
      <c r="R4364" s="86" t="str">
        <f>_xlfn.CONCAT(表格1[[#This Row],[Model]]," ",表格1[[#This Row],[inv no]])</f>
        <v>TP-50DRUHK(W) 130071</v>
      </c>
      <c r="S4364" s="86">
        <f>_xlfn.XLOOKUP(表格1[[#This Row],[Model]],表格3[Model-Input-Ref2],表格3[SRP PRICE])</f>
        <v>718</v>
      </c>
      <c r="T4364" s="43">
        <f>表格1[[#This Row],[Unit Price]]/表格1[[#This Row],[SRP]]</f>
        <v>0.87465181058495822</v>
      </c>
      <c r="U4364" s="86" t="str">
        <f>_xlfn.XLOOKUP(表格1[[#This Row],[Model]],表格3[Model-Input-Ref2],表格3[TOSHIBA/HIGHEST])</f>
        <v>Toshiba SRP</v>
      </c>
      <c r="W4364" s="86" t="str">
        <f>_xlfn.CONCAT(表格1[[#This Row],[欄4]],表格1[[#This Row],[inv no]])</f>
        <v>130071</v>
      </c>
    </row>
    <row r="4365" spans="1:23" hidden="1">
      <c r="A4365" s="81">
        <v>4363</v>
      </c>
      <c r="B4365" s="86" t="s">
        <v>1260</v>
      </c>
      <c r="C4365" s="86" t="s">
        <v>2034</v>
      </c>
      <c r="D4365" s="89" t="str">
        <f ca="1">OFFSET(Roster!$A$3,MATCH(表格1[[#This Row],[Location]]&amp;" "&amp;表格1[[#This Row],[Shop]]&amp;"*",Roster!$A$4:$A$72,0),DAY(表格1[[#This Row],[date]]),1,1)</f>
        <v>Yee</v>
      </c>
      <c r="E4365" s="86">
        <f>MONTH(表格1[[#This Row],[date]])</f>
        <v>3</v>
      </c>
      <c r="F4365" s="90">
        <v>46093</v>
      </c>
      <c r="G4365" s="86" t="str">
        <f>VLOOKUP("*"&amp;表格1[[#This Row],[Input]]&amp;"*",'Ref-List'!$B:$D,2,)</f>
        <v>TP-50DRUHK(W)</v>
      </c>
      <c r="H4365" s="86" t="str">
        <f>_xlfn.XLOOKUP(表格1[[#This Row],[Model]],表格3[Model-Input-Ref2],表格3[Product Line])</f>
        <v>電熱水瓶 (5公升)</v>
      </c>
      <c r="I4365" s="86" t="str">
        <f>_xlfn.XLOOKUP(表格1[[#This Row],[Model]],表格3[Model-Input-Ref2],表格3[大小電])</f>
        <v>細電</v>
      </c>
      <c r="J4365" s="86" t="str">
        <f>_xlfn.XLOOKUP(表格1[[#This Row],[Model]],表格3[Model-Input-Ref2],表格3[Code])</f>
        <v>SDA</v>
      </c>
      <c r="K4365" s="89" t="s">
        <v>1277</v>
      </c>
      <c r="L4365" s="86">
        <v>1</v>
      </c>
      <c r="M4365" s="87">
        <v>628</v>
      </c>
      <c r="N4365" s="87">
        <f>IFERROR(表格1[[#This Row],[QTY]]*表格1[[#This Row],[Unit Price]],"-")</f>
        <v>628</v>
      </c>
      <c r="O4365" s="86">
        <v>130075</v>
      </c>
      <c r="R4365" s="86" t="str">
        <f>_xlfn.CONCAT(表格1[[#This Row],[Model]]," ",表格1[[#This Row],[inv no]])</f>
        <v>TP-50DRUHK(W) 130075</v>
      </c>
      <c r="S4365" s="86">
        <f>_xlfn.XLOOKUP(表格1[[#This Row],[Model]],表格3[Model-Input-Ref2],表格3[SRP PRICE])</f>
        <v>718</v>
      </c>
      <c r="T4365" s="43">
        <f>表格1[[#This Row],[Unit Price]]/表格1[[#This Row],[SRP]]</f>
        <v>0.87465181058495822</v>
      </c>
      <c r="U4365" s="86" t="str">
        <f>_xlfn.XLOOKUP(表格1[[#This Row],[Model]],表格3[Model-Input-Ref2],表格3[TOSHIBA/HIGHEST])</f>
        <v>Toshiba SRP</v>
      </c>
      <c r="W4365" s="86" t="str">
        <f>_xlfn.CONCAT(表格1[[#This Row],[欄4]],表格1[[#This Row],[inv no]])</f>
        <v>130075</v>
      </c>
    </row>
    <row r="4366" spans="1:23" hidden="1">
      <c r="A4366" s="81">
        <v>4364</v>
      </c>
      <c r="B4366" s="86" t="s">
        <v>1260</v>
      </c>
      <c r="C4366" s="86" t="s">
        <v>2034</v>
      </c>
      <c r="D4366" s="89" t="str">
        <f ca="1">OFFSET(Roster!$A$3,MATCH(表格1[[#This Row],[Location]]&amp;" "&amp;表格1[[#This Row],[Shop]]&amp;"*",Roster!$A$4:$A$72,0),DAY(表格1[[#This Row],[date]]),1,1)</f>
        <v>Yee</v>
      </c>
      <c r="E4366" s="86">
        <f>MONTH(表格1[[#This Row],[date]])</f>
        <v>3</v>
      </c>
      <c r="F4366" s="90">
        <v>46093</v>
      </c>
      <c r="G4366" s="86" t="str">
        <f>VLOOKUP("*"&amp;表格1[[#This Row],[Input]]&amp;"*",'Ref-List'!$B:$D,2,)</f>
        <v>MM2-EG20PC(WH)</v>
      </c>
      <c r="H4366" s="86" t="str">
        <f>_xlfn.XLOOKUP(表格1[[#This Row],[Model]],表格3[Model-Input-Ref2],表格3[Product Line])</f>
        <v>輕觸式燒烤微波爐</v>
      </c>
      <c r="I4366" s="86" t="str">
        <f>_xlfn.XLOOKUP(表格1[[#This Row],[Model]],表格3[Model-Input-Ref2],表格3[大小電])</f>
        <v>細電</v>
      </c>
      <c r="J4366" s="86" t="str">
        <f>_xlfn.XLOOKUP(表格1[[#This Row],[Model]],表格3[Model-Input-Ref2],表格3[Code])</f>
        <v>MCA</v>
      </c>
      <c r="K4366" s="89" t="s">
        <v>1273</v>
      </c>
      <c r="L4366" s="86">
        <v>1</v>
      </c>
      <c r="M4366" s="87">
        <v>888</v>
      </c>
      <c r="N4366" s="87">
        <f>IFERROR(表格1[[#This Row],[QTY]]*表格1[[#This Row],[Unit Price]],"-")</f>
        <v>888</v>
      </c>
      <c r="O4366" s="86">
        <v>109997</v>
      </c>
      <c r="R4366" s="86" t="str">
        <f>_xlfn.CONCAT(表格1[[#This Row],[Model]]," ",表格1[[#This Row],[inv no]])</f>
        <v>MM2-EG20PC(WH) 109997</v>
      </c>
      <c r="S4366" s="86">
        <f>_xlfn.XLOOKUP(表格1[[#This Row],[Model]],表格3[Model-Input-Ref2],表格3[SRP PRICE])</f>
        <v>918</v>
      </c>
      <c r="T4366" s="43">
        <f>表格1[[#This Row],[Unit Price]]/表格1[[#This Row],[SRP]]</f>
        <v>0.9673202614379085</v>
      </c>
      <c r="U4366" s="86" t="str">
        <f>_xlfn.XLOOKUP(表格1[[#This Row],[Model]],表格3[Model-Input-Ref2],表格3[TOSHIBA/HIGHEST])</f>
        <v>Shops Highest Price</v>
      </c>
      <c r="W4366" s="86" t="str">
        <f>_xlfn.CONCAT(表格1[[#This Row],[欄4]],表格1[[#This Row],[inv no]])</f>
        <v>109997</v>
      </c>
    </row>
    <row r="4367" spans="1:23" hidden="1">
      <c r="A4367" s="81">
        <v>4365</v>
      </c>
      <c r="B4367" s="86" t="s">
        <v>1260</v>
      </c>
      <c r="C4367" s="86" t="s">
        <v>2034</v>
      </c>
      <c r="D4367" s="89" t="str">
        <f ca="1">OFFSET(Roster!$A$3,MATCH(表格1[[#This Row],[Location]]&amp;" "&amp;表格1[[#This Row],[Shop]]&amp;"*",Roster!$A$4:$A$72,0),DAY(表格1[[#This Row],[date]]),1,1)</f>
        <v>Yee</v>
      </c>
      <c r="E4367" s="86">
        <f>MONTH(表格1[[#This Row],[date]])</f>
        <v>3</v>
      </c>
      <c r="F4367" s="90">
        <v>46093</v>
      </c>
      <c r="G4367" s="86" t="str">
        <f>VLOOKUP("*"&amp;表格1[[#This Row],[Input]]&amp;"*",'Ref-List'!$B:$D,2,)</f>
        <v>TL-MC35Z</v>
      </c>
      <c r="H4367" s="86" t="str">
        <f>_xlfn.XLOOKUP(表格1[[#This Row],[Model]],表格3[Model-Input-Ref2],表格3[Product Line])</f>
        <v>35L多功能電焗爐</v>
      </c>
      <c r="I4367" s="86" t="str">
        <f>_xlfn.XLOOKUP(表格1[[#This Row],[Model]],表格3[Model-Input-Ref2],表格3[大小電])</f>
        <v>細電</v>
      </c>
      <c r="J4367" s="86" t="str">
        <f>_xlfn.XLOOKUP(表格1[[#This Row],[Model]],表格3[Model-Input-Ref2],表格3[Code])</f>
        <v>SDA</v>
      </c>
      <c r="K4367" s="89" t="s">
        <v>1295</v>
      </c>
      <c r="L4367" s="86">
        <v>1</v>
      </c>
      <c r="M4367" s="87">
        <v>888</v>
      </c>
      <c r="N4367" s="87">
        <f>IFERROR(表格1[[#This Row],[QTY]]*表格1[[#This Row],[Unit Price]],"-")</f>
        <v>888</v>
      </c>
      <c r="O4367" s="86">
        <v>130097</v>
      </c>
      <c r="R4367" s="86" t="str">
        <f>_xlfn.CONCAT(表格1[[#This Row],[Model]]," ",表格1[[#This Row],[inv no]])</f>
        <v>TL-MC35Z 130097</v>
      </c>
      <c r="S4367" s="86">
        <f>_xlfn.XLOOKUP(表格1[[#This Row],[Model]],表格3[Model-Input-Ref2],表格3[SRP PRICE])</f>
        <v>1098</v>
      </c>
      <c r="T4367" s="43">
        <f>表格1[[#This Row],[Unit Price]]/表格1[[#This Row],[SRP]]</f>
        <v>0.80874316939890711</v>
      </c>
      <c r="U4367" s="86" t="str">
        <f>_xlfn.XLOOKUP(表格1[[#This Row],[Model]],表格3[Model-Input-Ref2],表格3[TOSHIBA/HIGHEST])</f>
        <v>Toshiba SRP</v>
      </c>
      <c r="W4367" s="86" t="str">
        <f>_xlfn.CONCAT(表格1[[#This Row],[欄4]],表格1[[#This Row],[inv no]])</f>
        <v>130097</v>
      </c>
    </row>
    <row r="4368" spans="1:23" hidden="1">
      <c r="A4368" s="81">
        <v>4366</v>
      </c>
      <c r="B4368" s="86" t="s">
        <v>1260</v>
      </c>
      <c r="C4368" s="86" t="s">
        <v>2034</v>
      </c>
      <c r="D4368" s="89" t="str">
        <f ca="1">OFFSET(Roster!$A$3,MATCH(表格1[[#This Row],[Location]]&amp;" "&amp;表格1[[#This Row],[Shop]]&amp;"*",Roster!$A$4:$A$72,0),DAY(表格1[[#This Row],[date]]),1,1)</f>
        <v>Yee</v>
      </c>
      <c r="E4368" s="86">
        <f>MONTH(表格1[[#This Row],[date]])</f>
        <v>3</v>
      </c>
      <c r="F4368" s="90">
        <v>46093</v>
      </c>
      <c r="G4368" s="86" t="str">
        <f>VLOOKUP("*"&amp;表格1[[#This Row],[Input]]&amp;"*",'Ref-List'!$B:$D,2,)</f>
        <v>IC-20R1THK</v>
      </c>
      <c r="H4368" s="86" t="str">
        <f>_xlfn.XLOOKUP(表格1[[#This Row],[Model]],表格3[Model-Input-Ref2],表格3[Product Line])</f>
        <v>輕便式電磁爐</v>
      </c>
      <c r="I4368" s="86" t="str">
        <f>_xlfn.XLOOKUP(表格1[[#This Row],[Model]],表格3[Model-Input-Ref2],表格3[大小電])</f>
        <v>細電</v>
      </c>
      <c r="J4368" s="86" t="str">
        <f>_xlfn.XLOOKUP(表格1[[#This Row],[Model]],表格3[Model-Input-Ref2],表格3[Code])</f>
        <v>SDA</v>
      </c>
      <c r="K4368" s="89" t="s">
        <v>1243</v>
      </c>
      <c r="L4368" s="86">
        <v>1</v>
      </c>
      <c r="M4368" s="87">
        <v>298</v>
      </c>
      <c r="N4368" s="87">
        <f>IFERROR(表格1[[#This Row],[QTY]]*表格1[[#This Row],[Unit Price]],"-")</f>
        <v>298</v>
      </c>
      <c r="O4368" s="86">
        <v>130138</v>
      </c>
      <c r="R4368" s="86" t="str">
        <f>_xlfn.CONCAT(表格1[[#This Row],[Model]]," ",表格1[[#This Row],[inv no]])</f>
        <v>IC-20R1THK 130138</v>
      </c>
      <c r="S4368" s="86">
        <f>_xlfn.XLOOKUP(表格1[[#This Row],[Model]],表格3[Model-Input-Ref2],表格3[SRP PRICE])</f>
        <v>438</v>
      </c>
      <c r="T4368" s="43">
        <f>表格1[[#This Row],[Unit Price]]/表格1[[#This Row],[SRP]]</f>
        <v>0.68036529680365299</v>
      </c>
      <c r="U4368" s="86" t="str">
        <f>_xlfn.XLOOKUP(表格1[[#This Row],[Model]],表格3[Model-Input-Ref2],表格3[TOSHIBA/HIGHEST])</f>
        <v>Shops Highest Price</v>
      </c>
      <c r="W4368" s="86" t="str">
        <f>_xlfn.CONCAT(表格1[[#This Row],[欄4]],表格1[[#This Row],[inv no]])</f>
        <v>130138</v>
      </c>
    </row>
    <row r="4369" spans="1:23" hidden="1">
      <c r="A4369" s="81">
        <v>4367</v>
      </c>
      <c r="B4369" s="86" t="s">
        <v>1260</v>
      </c>
      <c r="C4369" s="86" t="s">
        <v>2034</v>
      </c>
      <c r="D4369" s="89" t="str">
        <f ca="1">OFFSET(Roster!$A$3,MATCH(表格1[[#This Row],[Location]]&amp;" "&amp;表格1[[#This Row],[Shop]]&amp;"*",Roster!$A$4:$A$72,0),DAY(表格1[[#This Row],[date]]),1,1)</f>
        <v>Yee</v>
      </c>
      <c r="E4369" s="86">
        <f>MONTH(表格1[[#This Row],[date]])</f>
        <v>3</v>
      </c>
      <c r="F4369" s="90">
        <v>46093</v>
      </c>
      <c r="G4369" s="86" t="str">
        <f>VLOOKUP("*"&amp;表格1[[#This Row],[Input]]&amp;"*",'Ref-List'!$B:$D,2,)</f>
        <v>RC-10NMFIH(WT)</v>
      </c>
      <c r="H4369" s="86" t="str">
        <f>_xlfn.XLOOKUP(表格1[[#This Row],[Model]],表格3[Model-Input-Ref2],表格3[Product Line])</f>
        <v>4毫米厚釜電飯煲1L</v>
      </c>
      <c r="I4369" s="86" t="str">
        <f>_xlfn.XLOOKUP(表格1[[#This Row],[Model]],表格3[Model-Input-Ref2],表格3[大小電])</f>
        <v>細電</v>
      </c>
      <c r="J4369" s="86" t="str">
        <f>_xlfn.XLOOKUP(表格1[[#This Row],[Model]],表格3[Model-Input-Ref2],表格3[Code])</f>
        <v>SDA</v>
      </c>
      <c r="K4369" s="89" t="s">
        <v>1244</v>
      </c>
      <c r="L4369" s="86">
        <v>1</v>
      </c>
      <c r="M4369" s="87">
        <v>719</v>
      </c>
      <c r="N4369" s="87">
        <f>IFERROR(表格1[[#This Row],[QTY]]*表格1[[#This Row],[Unit Price]],"-")</f>
        <v>719</v>
      </c>
      <c r="O4369" s="86">
        <v>506937</v>
      </c>
      <c r="R4369" s="86" t="str">
        <f>_xlfn.CONCAT(表格1[[#This Row],[Model]]," ",表格1[[#This Row],[inv no]])</f>
        <v>RC-10NMFIH(WT) 506937</v>
      </c>
      <c r="S4369" s="86">
        <f>_xlfn.XLOOKUP(表格1[[#This Row],[Model]],表格3[Model-Input-Ref2],表格3[SRP PRICE])</f>
        <v>898</v>
      </c>
      <c r="T4369" s="43">
        <f>表格1[[#This Row],[Unit Price]]/表格1[[#This Row],[SRP]]</f>
        <v>0.80066815144766146</v>
      </c>
      <c r="U4369" s="86" t="str">
        <f>_xlfn.XLOOKUP(表格1[[#This Row],[Model]],表格3[Model-Input-Ref2],表格3[TOSHIBA/HIGHEST])</f>
        <v>Toshiba SRP</v>
      </c>
      <c r="W4369" s="86" t="str">
        <f>_xlfn.CONCAT(表格1[[#This Row],[欄4]],表格1[[#This Row],[inv no]])</f>
        <v>506937</v>
      </c>
    </row>
    <row r="4370" spans="1:23" hidden="1">
      <c r="A4370" s="81">
        <v>4368</v>
      </c>
      <c r="B4370" s="86" t="s">
        <v>1260</v>
      </c>
      <c r="C4370" s="86" t="s">
        <v>2034</v>
      </c>
      <c r="D4370" s="89" t="str">
        <f ca="1">OFFSET(Roster!$A$3,MATCH(表格1[[#This Row],[Location]]&amp;" "&amp;表格1[[#This Row],[Shop]]&amp;"*",Roster!$A$4:$A$72,0),DAY(表格1[[#This Row],[date]]),1,1)</f>
        <v>Yee</v>
      </c>
      <c r="E4370" s="86">
        <f>MONTH(表格1[[#This Row],[date]])</f>
        <v>3</v>
      </c>
      <c r="F4370" s="90">
        <v>46093</v>
      </c>
      <c r="G4370" s="86" t="str">
        <f>VLOOKUP("*"&amp;表格1[[#This Row],[Input]]&amp;"*",'Ref-List'!$B:$D,2,)</f>
        <v>KT-17DRTHK(H)</v>
      </c>
      <c r="H4370" s="86" t="str">
        <f>_xlfn.XLOOKUP(表格1[[#This Row],[Model]],表格3[Model-Input-Ref2],表格3[Product Line])</f>
        <v>無線雙層電熱水壺(1.7公升)</v>
      </c>
      <c r="I4370" s="86" t="str">
        <f>_xlfn.XLOOKUP(表格1[[#This Row],[Model]],表格3[Model-Input-Ref2],表格3[大小電])</f>
        <v>細電</v>
      </c>
      <c r="J4370" s="86" t="str">
        <f>_xlfn.XLOOKUP(表格1[[#This Row],[Model]],表格3[Model-Input-Ref2],表格3[Code])</f>
        <v>SDA</v>
      </c>
      <c r="K4370" s="89" t="s">
        <v>1271</v>
      </c>
      <c r="L4370" s="86">
        <v>1</v>
      </c>
      <c r="M4370" s="87">
        <v>388</v>
      </c>
      <c r="N4370" s="87">
        <f>IFERROR(表格1[[#This Row],[QTY]]*表格1[[#This Row],[Unit Price]],"-")</f>
        <v>388</v>
      </c>
      <c r="O4370" s="86">
        <v>506943</v>
      </c>
      <c r="R4370" s="86" t="str">
        <f>_xlfn.CONCAT(表格1[[#This Row],[Model]]," ",表格1[[#This Row],[inv no]])</f>
        <v>KT-17DRTHK(H) 506943</v>
      </c>
      <c r="S4370" s="86">
        <f>_xlfn.XLOOKUP(表格1[[#This Row],[Model]],表格3[Model-Input-Ref2],表格3[SRP PRICE])</f>
        <v>498</v>
      </c>
      <c r="T4370" s="43">
        <f>表格1[[#This Row],[Unit Price]]/表格1[[#This Row],[SRP]]</f>
        <v>0.77911646586345384</v>
      </c>
      <c r="U4370" s="86" t="str">
        <f>_xlfn.XLOOKUP(表格1[[#This Row],[Model]],表格3[Model-Input-Ref2],表格3[TOSHIBA/HIGHEST])</f>
        <v>Toshiba SRP</v>
      </c>
      <c r="W4370" s="86" t="str">
        <f>_xlfn.CONCAT(表格1[[#This Row],[欄4]],表格1[[#This Row],[inv no]])</f>
        <v>506943</v>
      </c>
    </row>
    <row r="4371" spans="1:23" hidden="1">
      <c r="A4371" s="81">
        <v>4369</v>
      </c>
      <c r="B4371" s="86" t="s">
        <v>1260</v>
      </c>
      <c r="C4371" s="86" t="s">
        <v>2034</v>
      </c>
      <c r="D4371" s="89" t="str">
        <f ca="1">OFFSET(Roster!$A$3,MATCH(表格1[[#This Row],[Location]]&amp;" "&amp;表格1[[#This Row],[Shop]]&amp;"*",Roster!$A$4:$A$72,0),DAY(表格1[[#This Row],[date]]),1,1)</f>
        <v>Yee</v>
      </c>
      <c r="E4371" s="86">
        <f>MONTH(表格1[[#This Row],[date]])</f>
        <v>3</v>
      </c>
      <c r="F4371" s="90">
        <v>46093</v>
      </c>
      <c r="G4371" s="86" t="str">
        <f>VLOOKUP("*"&amp;表格1[[#This Row],[Input]]&amp;"*",'Ref-List'!$B:$D,2,)</f>
        <v>RC-5MMIH(WT)</v>
      </c>
      <c r="H4371" s="86" t="str">
        <f>_xlfn.XLOOKUP(表格1[[#This Row],[Model]],表格3[Model-Input-Ref2],表格3[Product Line])</f>
        <v>4毫米厚釜電飯煲0.54L</v>
      </c>
      <c r="I4371" s="86" t="str">
        <f>_xlfn.XLOOKUP(表格1[[#This Row],[Model]],表格3[Model-Input-Ref2],表格3[大小電])</f>
        <v>細電</v>
      </c>
      <c r="J4371" s="86" t="str">
        <f>_xlfn.XLOOKUP(表格1[[#This Row],[Model]],表格3[Model-Input-Ref2],表格3[Code])</f>
        <v>SDA</v>
      </c>
      <c r="K4371" s="89" t="s">
        <v>1195</v>
      </c>
      <c r="L4371" s="86">
        <v>1</v>
      </c>
      <c r="M4371" s="87">
        <v>548</v>
      </c>
      <c r="N4371" s="87">
        <f>IFERROR(表格1[[#This Row],[QTY]]*表格1[[#This Row],[Unit Price]],"-")</f>
        <v>548</v>
      </c>
      <c r="O4371" s="86">
        <v>506984</v>
      </c>
      <c r="R4371" s="86" t="str">
        <f>_xlfn.CONCAT(表格1[[#This Row],[Model]]," ",表格1[[#This Row],[inv no]])</f>
        <v>RC-5MMIH(WT) 506984</v>
      </c>
      <c r="S4371" s="86">
        <f>_xlfn.XLOOKUP(表格1[[#This Row],[Model]],表格3[Model-Input-Ref2],表格3[SRP PRICE])</f>
        <v>618</v>
      </c>
      <c r="T4371" s="43">
        <f>表格1[[#This Row],[Unit Price]]/表格1[[#This Row],[SRP]]</f>
        <v>0.88673139158576053</v>
      </c>
      <c r="U4371" s="86" t="str">
        <f>_xlfn.XLOOKUP(表格1[[#This Row],[Model]],表格3[Model-Input-Ref2],表格3[TOSHIBA/HIGHEST])</f>
        <v>Toshiba SRP</v>
      </c>
      <c r="W4371" s="86" t="str">
        <f>_xlfn.CONCAT(表格1[[#This Row],[欄4]],表格1[[#This Row],[inv no]])</f>
        <v>506984</v>
      </c>
    </row>
    <row r="4372" spans="1:23" hidden="1">
      <c r="A4372" s="81">
        <v>4370</v>
      </c>
      <c r="B4372" s="86" t="s">
        <v>1260</v>
      </c>
      <c r="C4372" s="86" t="s">
        <v>2034</v>
      </c>
      <c r="D4372" s="89" t="str">
        <f ca="1">OFFSET(Roster!$A$3,MATCH(表格1[[#This Row],[Location]]&amp;" "&amp;表格1[[#This Row],[Shop]]&amp;"*",Roster!$A$4:$A$72,0),DAY(表格1[[#This Row],[date]]),1,1)</f>
        <v>Yee</v>
      </c>
      <c r="E4372" s="86">
        <f>MONTH(表格1[[#This Row],[date]])</f>
        <v>3</v>
      </c>
      <c r="F4372" s="90">
        <v>46093</v>
      </c>
      <c r="G4372" s="86" t="str">
        <f>VLOOKUP("*"&amp;表格1[[#This Row],[Input]]&amp;"*",'Ref-List'!$B:$D,2,)</f>
        <v>RC-5SLIH(W)</v>
      </c>
      <c r="H4372" s="86" t="str">
        <f>_xlfn.XLOOKUP(表格1[[#This Row],[Model]],表格3[Model-Input-Ref2],表格3[Product Line])</f>
        <v>微型電腦珍珠飯煲</v>
      </c>
      <c r="I4372" s="86" t="str">
        <f>_xlfn.XLOOKUP(表格1[[#This Row],[Model]],表格3[Model-Input-Ref2],表格3[大小電])</f>
        <v>細電</v>
      </c>
      <c r="J4372" s="86" t="str">
        <f>_xlfn.XLOOKUP(表格1[[#This Row],[Model]],表格3[Model-Input-Ref2],表格3[Code])</f>
        <v>SDA</v>
      </c>
      <c r="K4372" s="89" t="s">
        <v>1264</v>
      </c>
      <c r="L4372" s="86">
        <v>3</v>
      </c>
      <c r="M4372" s="87">
        <v>593</v>
      </c>
      <c r="N4372" s="87">
        <f>IFERROR(表格1[[#This Row],[QTY]]*表格1[[#This Row],[Unit Price]],"-")</f>
        <v>1779</v>
      </c>
      <c r="O4372" s="86">
        <v>506984</v>
      </c>
      <c r="R4372" s="86" t="str">
        <f>_xlfn.CONCAT(表格1[[#This Row],[Model]]," ",表格1[[#This Row],[inv no]])</f>
        <v>RC-5SLIH(W) 506984</v>
      </c>
      <c r="S4372" s="86">
        <f>_xlfn.XLOOKUP(表格1[[#This Row],[Model]],表格3[Model-Input-Ref2],表格3[SRP PRICE])</f>
        <v>658</v>
      </c>
      <c r="T4372" s="43">
        <f>表格1[[#This Row],[Unit Price]]/表格1[[#This Row],[SRP]]</f>
        <v>0.90121580547112456</v>
      </c>
      <c r="U4372" s="86" t="str">
        <f>_xlfn.XLOOKUP(表格1[[#This Row],[Model]],表格3[Model-Input-Ref2],表格3[TOSHIBA/HIGHEST])</f>
        <v>Toshiba SRP</v>
      </c>
      <c r="W4372" s="86" t="str">
        <f>_xlfn.CONCAT(表格1[[#This Row],[欄4]],表格1[[#This Row],[inv no]])</f>
        <v>506984</v>
      </c>
    </row>
    <row r="4373" spans="1:23" hidden="1">
      <c r="A4373" s="81">
        <v>4371</v>
      </c>
      <c r="B4373" s="86" t="s">
        <v>1260</v>
      </c>
      <c r="C4373" s="86" t="s">
        <v>2034</v>
      </c>
      <c r="D4373" s="89" t="str">
        <f ca="1">OFFSET(Roster!$A$3,MATCH(表格1[[#This Row],[Location]]&amp;" "&amp;表格1[[#This Row],[Shop]]&amp;"*",Roster!$A$4:$A$72,0),DAY(表格1[[#This Row],[date]]),1,1)</f>
        <v>Yee</v>
      </c>
      <c r="E4373" s="86">
        <f>MONTH(表格1[[#This Row],[date]])</f>
        <v>3</v>
      </c>
      <c r="F4373" s="90">
        <v>46093</v>
      </c>
      <c r="G4373" s="86" t="str">
        <f>VLOOKUP("*"&amp;表格1[[#This Row],[Input]]&amp;"*",'Ref-List'!$B:$D,2,)</f>
        <v>RC-10DRNH</v>
      </c>
      <c r="H4373" s="86" t="str">
        <f>_xlfn.XLOOKUP(表格1[[#This Row],[Model]],表格3[Model-Input-Ref2],表格3[Product Line])</f>
        <v>多功能備長炭本厚釜電飯煲1L</v>
      </c>
      <c r="I4373" s="86" t="str">
        <f>_xlfn.XLOOKUP(表格1[[#This Row],[Model]],表格3[Model-Input-Ref2],表格3[大小電])</f>
        <v>細電</v>
      </c>
      <c r="J4373" s="86" t="str">
        <f>_xlfn.XLOOKUP(表格1[[#This Row],[Model]],表格3[Model-Input-Ref2],表格3[Code])</f>
        <v>SDA</v>
      </c>
      <c r="K4373" s="89" t="s">
        <v>1376</v>
      </c>
      <c r="L4373" s="86">
        <v>2</v>
      </c>
      <c r="M4373" s="87">
        <v>549</v>
      </c>
      <c r="N4373" s="87">
        <f>IFERROR(表格1[[#This Row],[QTY]]*表格1[[#This Row],[Unit Price]],"-")</f>
        <v>1098</v>
      </c>
      <c r="O4373" s="86">
        <v>506984</v>
      </c>
      <c r="R4373" s="86" t="str">
        <f>_xlfn.CONCAT(表格1[[#This Row],[Model]]," ",表格1[[#This Row],[inv no]])</f>
        <v>RC-10DRNH 506984</v>
      </c>
      <c r="S4373" s="86">
        <f>_xlfn.XLOOKUP(表格1[[#This Row],[Model]],表格3[Model-Input-Ref2],表格3[SRP PRICE])</f>
        <v>798</v>
      </c>
      <c r="T4373" s="43">
        <f>表格1[[#This Row],[Unit Price]]/表格1[[#This Row],[SRP]]</f>
        <v>0.68796992481203012</v>
      </c>
      <c r="U4373" s="86" t="str">
        <f>_xlfn.XLOOKUP(表格1[[#This Row],[Model]],表格3[Model-Input-Ref2],表格3[TOSHIBA/HIGHEST])</f>
        <v>Toshiba SRP</v>
      </c>
      <c r="W4373" s="86" t="str">
        <f>_xlfn.CONCAT(表格1[[#This Row],[欄4]],表格1[[#This Row],[inv no]])</f>
        <v>506984</v>
      </c>
    </row>
    <row r="4374" spans="1:23" hidden="1">
      <c r="A4374" s="81">
        <v>4372</v>
      </c>
      <c r="B4374" s="86" t="s">
        <v>1260</v>
      </c>
      <c r="C4374" s="86" t="s">
        <v>2034</v>
      </c>
      <c r="D4374" s="89" t="str">
        <f ca="1">OFFSET(Roster!$A$3,MATCH(表格1[[#This Row],[Location]]&amp;" "&amp;表格1[[#This Row],[Shop]]&amp;"*",Roster!$A$4:$A$72,0),DAY(表格1[[#This Row],[date]]),1,1)</f>
        <v>Yee</v>
      </c>
      <c r="E4374" s="86">
        <f>MONTH(表格1[[#This Row],[date]])</f>
        <v>3</v>
      </c>
      <c r="F4374" s="90">
        <v>46094</v>
      </c>
      <c r="G4374" s="86" t="str">
        <f>VLOOKUP("*"&amp;表格1[[#This Row],[Input]]&amp;"*",'Ref-List'!$B:$D,2,)</f>
        <v>RC-10AMXH(W)</v>
      </c>
      <c r="H4374" s="86" t="str">
        <f>_xlfn.XLOOKUP(表格1[[#This Row],[Model]],表格3[Model-Input-Ref2],表格3[Product Line])</f>
        <v>酵活炊電飯煲(1.0公升)</v>
      </c>
      <c r="I4374" s="86" t="str">
        <f>_xlfn.XLOOKUP(表格1[[#This Row],[Model]],表格3[Model-Input-Ref2],表格3[大小電])</f>
        <v>細電</v>
      </c>
      <c r="J4374" s="86" t="str">
        <f>_xlfn.XLOOKUP(表格1[[#This Row],[Model]],表格3[Model-Input-Ref2],表格3[Code])</f>
        <v>SDA</v>
      </c>
      <c r="K4374" s="89" t="s">
        <v>1279</v>
      </c>
      <c r="L4374" s="86">
        <v>1</v>
      </c>
      <c r="M4374" s="87">
        <v>990</v>
      </c>
      <c r="N4374" s="87">
        <f>IFERROR(表格1[[#This Row],[QTY]]*表格1[[#This Row],[Unit Price]],"-")</f>
        <v>990</v>
      </c>
      <c r="O4374" s="86">
        <v>130254</v>
      </c>
      <c r="R4374" s="86" t="str">
        <f>_xlfn.CONCAT(表格1[[#This Row],[Model]]," ",表格1[[#This Row],[inv no]])</f>
        <v>RC-10AMXH(W) 130254</v>
      </c>
      <c r="S4374" s="86">
        <f>_xlfn.XLOOKUP(表格1[[#This Row],[Model]],表格3[Model-Input-Ref2],表格3[SRP PRICE])</f>
        <v>1288</v>
      </c>
      <c r="T4374" s="43">
        <f>表格1[[#This Row],[Unit Price]]/表格1[[#This Row],[SRP]]</f>
        <v>0.76863354037267084</v>
      </c>
      <c r="U4374" s="86" t="str">
        <f>_xlfn.XLOOKUP(表格1[[#This Row],[Model]],表格3[Model-Input-Ref2],表格3[TOSHIBA/HIGHEST])</f>
        <v>Toshiba SRP</v>
      </c>
      <c r="W4374" s="86" t="str">
        <f>_xlfn.CONCAT(表格1[[#This Row],[欄4]],表格1[[#This Row],[inv no]])</f>
        <v>130254</v>
      </c>
    </row>
    <row r="4375" spans="1:23" hidden="1">
      <c r="A4375" s="81">
        <v>4373</v>
      </c>
      <c r="B4375" s="86" t="s">
        <v>1260</v>
      </c>
      <c r="C4375" s="86" t="s">
        <v>2034</v>
      </c>
      <c r="D4375" s="89" t="str">
        <f ca="1">OFFSET(Roster!$A$3,MATCH(表格1[[#This Row],[Location]]&amp;" "&amp;表格1[[#This Row],[Shop]]&amp;"*",Roster!$A$4:$A$72,0),DAY(表格1[[#This Row],[date]]),1,1)</f>
        <v>Yee</v>
      </c>
      <c r="E4375" s="86">
        <f>MONTH(表格1[[#This Row],[date]])</f>
        <v>3</v>
      </c>
      <c r="F4375" s="90">
        <v>46094</v>
      </c>
      <c r="G4375" s="86" t="str">
        <f>VLOOKUP("*"&amp;表格1[[#This Row],[Input]]&amp;"*",'Ref-List'!$B:$D,2,)</f>
        <v>MV2-EG26PEI(BK)</v>
      </c>
      <c r="H4375" s="86" t="str">
        <f>_xlfn.XLOOKUP(表格1[[#This Row],[Model]],表格3[Model-Input-Ref2],表格3[Product Line])</f>
        <v>輕觸式平板燒烤微波爐 (26公升)</v>
      </c>
      <c r="I4375" s="86" t="str">
        <f>_xlfn.XLOOKUP(表格1[[#This Row],[Model]],表格3[Model-Input-Ref2],表格3[大小電])</f>
        <v>細電</v>
      </c>
      <c r="J4375" s="86" t="str">
        <f>_xlfn.XLOOKUP(表格1[[#This Row],[Model]],表格3[Model-Input-Ref2],表格3[Code])</f>
        <v>MCA</v>
      </c>
      <c r="K4375" s="89" t="s">
        <v>1394</v>
      </c>
      <c r="L4375" s="86">
        <v>1</v>
      </c>
      <c r="M4375" s="87">
        <v>888</v>
      </c>
      <c r="N4375" s="87">
        <f>IFERROR(表格1[[#This Row],[QTY]]*表格1[[#This Row],[Unit Price]],"-")</f>
        <v>888</v>
      </c>
      <c r="O4375" s="86">
        <v>130260</v>
      </c>
      <c r="R4375" s="86" t="str">
        <f>_xlfn.CONCAT(表格1[[#This Row],[Model]]," ",表格1[[#This Row],[inv no]])</f>
        <v>MV2-EG26PEI(BK) 130260</v>
      </c>
      <c r="S4375" s="86">
        <f>_xlfn.XLOOKUP(表格1[[#This Row],[Model]],表格3[Model-Input-Ref2],表格3[SRP PRICE])</f>
        <v>1180</v>
      </c>
      <c r="T4375" s="43">
        <f>表格1[[#This Row],[Unit Price]]/表格1[[#This Row],[SRP]]</f>
        <v>0.75254237288135595</v>
      </c>
      <c r="U4375" s="86" t="str">
        <f>_xlfn.XLOOKUP(表格1[[#This Row],[Model]],表格3[Model-Input-Ref2],表格3[TOSHIBA/HIGHEST])</f>
        <v>Toshiba SRP</v>
      </c>
      <c r="W4375" s="86" t="str">
        <f>_xlfn.CONCAT(表格1[[#This Row],[欄4]],表格1[[#This Row],[inv no]])</f>
        <v>130260</v>
      </c>
    </row>
    <row r="4376" spans="1:23" hidden="1">
      <c r="A4376" s="81">
        <v>4374</v>
      </c>
      <c r="B4376" s="86" t="s">
        <v>1260</v>
      </c>
      <c r="C4376" s="86" t="s">
        <v>2034</v>
      </c>
      <c r="D4376" s="89" t="str">
        <f ca="1">OFFSET(Roster!$A$3,MATCH(表格1[[#This Row],[Location]]&amp;" "&amp;表格1[[#This Row],[Shop]]&amp;"*",Roster!$A$4:$A$72,0),DAY(表格1[[#This Row],[date]]),1,1)</f>
        <v>Yee</v>
      </c>
      <c r="E4376" s="86">
        <f>MONTH(表格1[[#This Row],[date]])</f>
        <v>3</v>
      </c>
      <c r="F4376" s="90">
        <v>46094</v>
      </c>
      <c r="G4376" s="86" t="str">
        <f>VLOOKUP("*"&amp;表格1[[#This Row],[Input]]&amp;"*",'Ref-List'!$B:$D,2,)</f>
        <v>RC-10NMFIH(WT)</v>
      </c>
      <c r="H4376" s="86" t="str">
        <f>_xlfn.XLOOKUP(表格1[[#This Row],[Model]],表格3[Model-Input-Ref2],表格3[Product Line])</f>
        <v>4毫米厚釜電飯煲1L</v>
      </c>
      <c r="I4376" s="86" t="str">
        <f>_xlfn.XLOOKUP(表格1[[#This Row],[Model]],表格3[Model-Input-Ref2],表格3[大小電])</f>
        <v>細電</v>
      </c>
      <c r="J4376" s="86" t="str">
        <f>_xlfn.XLOOKUP(表格1[[#This Row],[Model]],表格3[Model-Input-Ref2],表格3[Code])</f>
        <v>SDA</v>
      </c>
      <c r="K4376" s="89" t="s">
        <v>1244</v>
      </c>
      <c r="L4376" s="86">
        <v>1</v>
      </c>
      <c r="M4376" s="87">
        <v>719</v>
      </c>
      <c r="N4376" s="87">
        <f>IFERROR(表格1[[#This Row],[QTY]]*表格1[[#This Row],[Unit Price]],"-")</f>
        <v>719</v>
      </c>
      <c r="O4376" s="86">
        <v>130307</v>
      </c>
      <c r="R4376" s="86" t="str">
        <f>_xlfn.CONCAT(表格1[[#This Row],[Model]]," ",表格1[[#This Row],[inv no]])</f>
        <v>RC-10NMFIH(WT) 130307</v>
      </c>
      <c r="S4376" s="86">
        <f>_xlfn.XLOOKUP(表格1[[#This Row],[Model]],表格3[Model-Input-Ref2],表格3[SRP PRICE])</f>
        <v>898</v>
      </c>
      <c r="T4376" s="43">
        <f>表格1[[#This Row],[Unit Price]]/表格1[[#This Row],[SRP]]</f>
        <v>0.80066815144766146</v>
      </c>
      <c r="U4376" s="86" t="str">
        <f>_xlfn.XLOOKUP(表格1[[#This Row],[Model]],表格3[Model-Input-Ref2],表格3[TOSHIBA/HIGHEST])</f>
        <v>Toshiba SRP</v>
      </c>
      <c r="W4376" s="86" t="str">
        <f>_xlfn.CONCAT(表格1[[#This Row],[欄4]],表格1[[#This Row],[inv no]])</f>
        <v>130307</v>
      </c>
    </row>
    <row r="4377" spans="1:23" hidden="1">
      <c r="A4377" s="81">
        <v>4375</v>
      </c>
      <c r="B4377" s="86" t="s">
        <v>1260</v>
      </c>
      <c r="C4377" s="86" t="s">
        <v>2034</v>
      </c>
      <c r="D4377" s="89" t="str">
        <f ca="1">OFFSET(Roster!$A$3,MATCH(表格1[[#This Row],[Location]]&amp;" "&amp;表格1[[#This Row],[Shop]]&amp;"*",Roster!$A$4:$A$72,0),DAY(表格1[[#This Row],[date]]),1,1)</f>
        <v>Yee</v>
      </c>
      <c r="E4377" s="86">
        <f>MONTH(表格1[[#This Row],[date]])</f>
        <v>3</v>
      </c>
      <c r="F4377" s="90">
        <v>46094</v>
      </c>
      <c r="G4377" s="86" t="str">
        <f>VLOOKUP("*"&amp;表格1[[#This Row],[Input]]&amp;"*",'Ref-List'!$B:$D,2,)</f>
        <v>PLK-30FLIH(WT)</v>
      </c>
      <c r="H4377" s="86" t="str">
        <f>_xlfn.XLOOKUP(表格1[[#This Row],[Model]],表格3[Model-Input-Ref2],表格3[Product Line])</f>
        <v>電熱水瓶3L</v>
      </c>
      <c r="I4377" s="86" t="str">
        <f>_xlfn.XLOOKUP(表格1[[#This Row],[Model]],表格3[Model-Input-Ref2],表格3[大小電])</f>
        <v>細電</v>
      </c>
      <c r="J4377" s="86" t="str">
        <f>_xlfn.XLOOKUP(表格1[[#This Row],[Model]],表格3[Model-Input-Ref2],表格3[Code])</f>
        <v>SDA</v>
      </c>
      <c r="K4377" s="89" t="s">
        <v>1272</v>
      </c>
      <c r="L4377" s="86">
        <v>1</v>
      </c>
      <c r="M4377" s="87">
        <v>478</v>
      </c>
      <c r="N4377" s="87">
        <f>IFERROR(表格1[[#This Row],[QTY]]*表格1[[#This Row],[Unit Price]],"-")</f>
        <v>478</v>
      </c>
      <c r="O4377" s="86">
        <v>130346</v>
      </c>
      <c r="R4377" s="86" t="str">
        <f>_xlfn.CONCAT(表格1[[#This Row],[Model]]," ",表格1[[#This Row],[inv no]])</f>
        <v>PLK-30FLIH(WT) 130346</v>
      </c>
      <c r="S4377" s="86">
        <f>_xlfn.XLOOKUP(表格1[[#This Row],[Model]],表格3[Model-Input-Ref2],表格3[SRP PRICE])</f>
        <v>658</v>
      </c>
      <c r="T4377" s="43">
        <f>表格1[[#This Row],[Unit Price]]/表格1[[#This Row],[SRP]]</f>
        <v>0.7264437689969605</v>
      </c>
      <c r="U4377" s="86" t="str">
        <f>_xlfn.XLOOKUP(表格1[[#This Row],[Model]],表格3[Model-Input-Ref2],表格3[TOSHIBA/HIGHEST])</f>
        <v>Toshiba SRP</v>
      </c>
      <c r="W4377" s="86" t="str">
        <f>_xlfn.CONCAT(表格1[[#This Row],[欄4]],表格1[[#This Row],[inv no]])</f>
        <v>130346</v>
      </c>
    </row>
    <row r="4378" spans="1:23" hidden="1">
      <c r="A4378" s="81">
        <v>4376</v>
      </c>
      <c r="B4378" s="86" t="s">
        <v>1260</v>
      </c>
      <c r="C4378" s="86" t="s">
        <v>2034</v>
      </c>
      <c r="D4378" s="89" t="str">
        <f ca="1">OFFSET(Roster!$A$3,MATCH(表格1[[#This Row],[Location]]&amp;" "&amp;表格1[[#This Row],[Shop]]&amp;"*",Roster!$A$4:$A$72,0),DAY(表格1[[#This Row],[date]]),1,1)</f>
        <v>Yee</v>
      </c>
      <c r="E4378" s="86">
        <f>MONTH(表格1[[#This Row],[date]])</f>
        <v>3</v>
      </c>
      <c r="F4378" s="90">
        <v>46094</v>
      </c>
      <c r="G4378" s="86" t="str">
        <f>VLOOKUP("*"&amp;表格1[[#This Row],[Input]]&amp;"*",'Ref-List'!$B:$D,2,)</f>
        <v>TP-25DR2UHK(W)</v>
      </c>
      <c r="H4378" s="86" t="str">
        <f>_xlfn.XLOOKUP(表格1[[#This Row],[Model]],表格3[Model-Input-Ref2],表格3[Product Line])</f>
        <v>電熱水瓶 (2.5公升)</v>
      </c>
      <c r="I4378" s="86" t="str">
        <f>_xlfn.XLOOKUP(表格1[[#This Row],[Model]],表格3[Model-Input-Ref2],表格3[大小電])</f>
        <v>細電</v>
      </c>
      <c r="J4378" s="86" t="str">
        <f>_xlfn.XLOOKUP(表格1[[#This Row],[Model]],表格3[Model-Input-Ref2],表格3[Code])</f>
        <v>SDA</v>
      </c>
      <c r="K4378" s="89" t="s">
        <v>1285</v>
      </c>
      <c r="L4378" s="86">
        <v>1</v>
      </c>
      <c r="M4378" s="87">
        <v>398</v>
      </c>
      <c r="N4378" s="87">
        <f>IFERROR(表格1[[#This Row],[QTY]]*表格1[[#This Row],[Unit Price]],"-")</f>
        <v>398</v>
      </c>
      <c r="O4378" s="86">
        <v>507297</v>
      </c>
      <c r="R4378" s="86" t="str">
        <f>_xlfn.CONCAT(表格1[[#This Row],[Model]]," ",表格1[[#This Row],[inv no]])</f>
        <v>TP-25DR2UHK(W) 507297</v>
      </c>
      <c r="S4378" s="86">
        <f>_xlfn.XLOOKUP(表格1[[#This Row],[Model]],表格3[Model-Input-Ref2],表格3[SRP PRICE])</f>
        <v>538</v>
      </c>
      <c r="T4378" s="43">
        <f>表格1[[#This Row],[Unit Price]]/表格1[[#This Row],[SRP]]</f>
        <v>0.7397769516728625</v>
      </c>
      <c r="U4378" s="86" t="str">
        <f>_xlfn.XLOOKUP(表格1[[#This Row],[Model]],表格3[Model-Input-Ref2],表格3[TOSHIBA/HIGHEST])</f>
        <v>Toshiba SRP</v>
      </c>
      <c r="W4378" s="86" t="str">
        <f>_xlfn.CONCAT(表格1[[#This Row],[欄4]],表格1[[#This Row],[inv no]])</f>
        <v>507297</v>
      </c>
    </row>
    <row r="4379" spans="1:23" hidden="1">
      <c r="A4379" s="81">
        <v>4377</v>
      </c>
      <c r="B4379" s="86" t="s">
        <v>1260</v>
      </c>
      <c r="C4379" s="86" t="s">
        <v>2034</v>
      </c>
      <c r="D4379" s="89" t="str">
        <f ca="1">OFFSET(Roster!$A$3,MATCH(表格1[[#This Row],[Location]]&amp;" "&amp;表格1[[#This Row],[Shop]]&amp;"*",Roster!$A$4:$A$72,0),DAY(表格1[[#This Row],[date]]),1,1)</f>
        <v>Yee</v>
      </c>
      <c r="E4379" s="86">
        <f>MONTH(表格1[[#This Row],[date]])</f>
        <v>3</v>
      </c>
      <c r="F4379" s="90">
        <v>46095</v>
      </c>
      <c r="G4379" s="86" t="str">
        <f>VLOOKUP("*"&amp;表格1[[#This Row],[Input]]&amp;"*",'Ref-List'!$B:$D,2,)</f>
        <v>RC-10DRNH</v>
      </c>
      <c r="H4379" s="86" t="str">
        <f>_xlfn.XLOOKUP(表格1[[#This Row],[Model]],表格3[Model-Input-Ref2],表格3[Product Line])</f>
        <v>多功能備長炭本厚釜電飯煲1L</v>
      </c>
      <c r="I4379" s="86" t="str">
        <f>_xlfn.XLOOKUP(表格1[[#This Row],[Model]],表格3[Model-Input-Ref2],表格3[大小電])</f>
        <v>細電</v>
      </c>
      <c r="J4379" s="86" t="str">
        <f>_xlfn.XLOOKUP(表格1[[#This Row],[Model]],表格3[Model-Input-Ref2],表格3[Code])</f>
        <v>SDA</v>
      </c>
      <c r="K4379" s="89" t="s">
        <v>1376</v>
      </c>
      <c r="L4379" s="86">
        <v>1</v>
      </c>
      <c r="M4379" s="87">
        <v>549</v>
      </c>
      <c r="N4379" s="87">
        <f>IFERROR(表格1[[#This Row],[QTY]]*表格1[[#This Row],[Unit Price]],"-")</f>
        <v>549</v>
      </c>
      <c r="O4379" s="86">
        <v>507429</v>
      </c>
      <c r="R4379" s="86" t="str">
        <f>_xlfn.CONCAT(表格1[[#This Row],[Model]]," ",表格1[[#This Row],[inv no]])</f>
        <v>RC-10DRNH 507429</v>
      </c>
      <c r="S4379" s="86">
        <f>_xlfn.XLOOKUP(表格1[[#This Row],[Model]],表格3[Model-Input-Ref2],表格3[SRP PRICE])</f>
        <v>798</v>
      </c>
      <c r="T4379" s="43">
        <f>表格1[[#This Row],[Unit Price]]/表格1[[#This Row],[SRP]]</f>
        <v>0.68796992481203012</v>
      </c>
      <c r="U4379" s="86" t="str">
        <f>_xlfn.XLOOKUP(表格1[[#This Row],[Model]],表格3[Model-Input-Ref2],表格3[TOSHIBA/HIGHEST])</f>
        <v>Toshiba SRP</v>
      </c>
      <c r="W4379" s="86" t="str">
        <f>_xlfn.CONCAT(表格1[[#This Row],[欄4]],表格1[[#This Row],[inv no]])</f>
        <v>507429</v>
      </c>
    </row>
    <row r="4380" spans="1:23" hidden="1">
      <c r="A4380" s="81">
        <v>4378</v>
      </c>
      <c r="B4380" s="86" t="s">
        <v>1260</v>
      </c>
      <c r="C4380" s="86" t="s">
        <v>2034</v>
      </c>
      <c r="D4380" s="89" t="str">
        <f ca="1">OFFSET(Roster!$A$3,MATCH(表格1[[#This Row],[Location]]&amp;" "&amp;表格1[[#This Row],[Shop]]&amp;"*",Roster!$A$4:$A$72,0),DAY(表格1[[#This Row],[date]]),1,1)</f>
        <v>Yee</v>
      </c>
      <c r="E4380" s="86">
        <f>MONTH(表格1[[#This Row],[date]])</f>
        <v>3</v>
      </c>
      <c r="F4380" s="90">
        <v>46095</v>
      </c>
      <c r="G4380" s="86" t="str">
        <f>VLOOKUP("*"&amp;表格1[[#This Row],[Input]]&amp;"*",'Ref-List'!$B:$D,2,)</f>
        <v>RC-18JRUH(N)</v>
      </c>
      <c r="H4380" s="86" t="str">
        <f>_xlfn.XLOOKUP(表格1[[#This Row],[Model]],表格3[Model-Input-Ref2],表格3[Product Line])</f>
        <v>1.8公升電飯煲</v>
      </c>
      <c r="I4380" s="86" t="str">
        <f>_xlfn.XLOOKUP(表格1[[#This Row],[Model]],表格3[Model-Input-Ref2],表格3[大小電])</f>
        <v>細電</v>
      </c>
      <c r="J4380" s="86" t="str">
        <f>_xlfn.XLOOKUP(表格1[[#This Row],[Model]],表格3[Model-Input-Ref2],表格3[Code])</f>
        <v>SDA</v>
      </c>
      <c r="K4380" s="89" t="s">
        <v>1275</v>
      </c>
      <c r="L4380" s="86">
        <v>1</v>
      </c>
      <c r="M4380" s="87">
        <v>300</v>
      </c>
      <c r="N4380" s="87">
        <f>IFERROR(表格1[[#This Row],[QTY]]*表格1[[#This Row],[Unit Price]],"-")</f>
        <v>300</v>
      </c>
      <c r="O4380" s="86">
        <v>507450</v>
      </c>
      <c r="R4380" s="86" t="str">
        <f>_xlfn.CONCAT(表格1[[#This Row],[Model]]," ",表格1[[#This Row],[inv no]])</f>
        <v>RC-18JRUH(N) 507450</v>
      </c>
      <c r="S4380" s="86">
        <f>_xlfn.XLOOKUP(表格1[[#This Row],[Model]],表格3[Model-Input-Ref2],表格3[SRP PRICE])</f>
        <v>458</v>
      </c>
      <c r="T4380" s="43">
        <f>表格1[[#This Row],[Unit Price]]/表格1[[#This Row],[SRP]]</f>
        <v>0.65502183406113534</v>
      </c>
      <c r="U4380" s="86" t="str">
        <f>_xlfn.XLOOKUP(表格1[[#This Row],[Model]],表格3[Model-Input-Ref2],表格3[TOSHIBA/HIGHEST])</f>
        <v>Shops Highest Price</v>
      </c>
      <c r="W4380" s="86" t="str">
        <f>_xlfn.CONCAT(表格1[[#This Row],[欄4]],表格1[[#This Row],[inv no]])</f>
        <v>507450</v>
      </c>
    </row>
    <row r="4381" spans="1:23" hidden="1">
      <c r="A4381" s="81">
        <v>4379</v>
      </c>
      <c r="B4381" s="86" t="s">
        <v>1260</v>
      </c>
      <c r="C4381" s="86" t="s">
        <v>2034</v>
      </c>
      <c r="D4381" s="89" t="str">
        <f ca="1">OFFSET(Roster!$A$3,MATCH(表格1[[#This Row],[Location]]&amp;" "&amp;表格1[[#This Row],[Shop]]&amp;"*",Roster!$A$4:$A$72,0),DAY(表格1[[#This Row],[date]]),1,1)</f>
        <v>Yee</v>
      </c>
      <c r="E4381" s="86">
        <f>MONTH(表格1[[#This Row],[date]])</f>
        <v>3</v>
      </c>
      <c r="F4381" s="90">
        <v>46095</v>
      </c>
      <c r="G4381" s="86" t="str">
        <f>VLOOKUP("*"&amp;表格1[[#This Row],[Input]]&amp;"*",'Ref-List'!$B:$D,2,)</f>
        <v>RC-10AMXH(W)</v>
      </c>
      <c r="H4381" s="86" t="str">
        <f>_xlfn.XLOOKUP(表格1[[#This Row],[Model]],表格3[Model-Input-Ref2],表格3[Product Line])</f>
        <v>酵活炊電飯煲(1.0公升)</v>
      </c>
      <c r="I4381" s="86" t="str">
        <f>_xlfn.XLOOKUP(表格1[[#This Row],[Model]],表格3[Model-Input-Ref2],表格3[大小電])</f>
        <v>細電</v>
      </c>
      <c r="J4381" s="86" t="str">
        <f>_xlfn.XLOOKUP(表格1[[#This Row],[Model]],表格3[Model-Input-Ref2],表格3[Code])</f>
        <v>SDA</v>
      </c>
      <c r="K4381" s="89" t="s">
        <v>1279</v>
      </c>
      <c r="L4381" s="86">
        <v>1</v>
      </c>
      <c r="M4381" s="87">
        <v>990</v>
      </c>
      <c r="N4381" s="87">
        <f>IFERROR(表格1[[#This Row],[QTY]]*表格1[[#This Row],[Unit Price]],"-")</f>
        <v>990</v>
      </c>
      <c r="O4381" s="86">
        <v>130589</v>
      </c>
      <c r="R4381" s="86" t="str">
        <f>_xlfn.CONCAT(表格1[[#This Row],[Model]]," ",表格1[[#This Row],[inv no]])</f>
        <v>RC-10AMXH(W) 130589</v>
      </c>
      <c r="S4381" s="86">
        <f>_xlfn.XLOOKUP(表格1[[#This Row],[Model]],表格3[Model-Input-Ref2],表格3[SRP PRICE])</f>
        <v>1288</v>
      </c>
      <c r="T4381" s="43">
        <f>表格1[[#This Row],[Unit Price]]/表格1[[#This Row],[SRP]]</f>
        <v>0.76863354037267084</v>
      </c>
      <c r="U4381" s="86" t="str">
        <f>_xlfn.XLOOKUP(表格1[[#This Row],[Model]],表格3[Model-Input-Ref2],表格3[TOSHIBA/HIGHEST])</f>
        <v>Toshiba SRP</v>
      </c>
      <c r="W4381" s="86" t="str">
        <f>_xlfn.CONCAT(表格1[[#This Row],[欄4]],表格1[[#This Row],[inv no]])</f>
        <v>130589</v>
      </c>
    </row>
    <row r="4382" spans="1:23" hidden="1">
      <c r="A4382" s="81">
        <v>4380</v>
      </c>
      <c r="B4382" s="86" t="s">
        <v>1260</v>
      </c>
      <c r="C4382" s="86" t="s">
        <v>2034</v>
      </c>
      <c r="D4382" s="89" t="str">
        <f ca="1">OFFSET(Roster!$A$3,MATCH(表格1[[#This Row],[Location]]&amp;" "&amp;表格1[[#This Row],[Shop]]&amp;"*",Roster!$A$4:$A$72,0),DAY(表格1[[#This Row],[date]]),1,1)</f>
        <v>Yee</v>
      </c>
      <c r="E4382" s="86">
        <f>MONTH(表格1[[#This Row],[date]])</f>
        <v>3</v>
      </c>
      <c r="F4382" s="90">
        <v>46095</v>
      </c>
      <c r="G4382" s="86" t="str">
        <f>VLOOKUP("*"&amp;表格1[[#This Row],[Input]]&amp;"*",'Ref-List'!$B:$D,2,)</f>
        <v>TP-50DRUHK(W)</v>
      </c>
      <c r="H4382" s="86" t="str">
        <f>_xlfn.XLOOKUP(表格1[[#This Row],[Model]],表格3[Model-Input-Ref2],表格3[Product Line])</f>
        <v>電熱水瓶 (5公升)</v>
      </c>
      <c r="I4382" s="86" t="str">
        <f>_xlfn.XLOOKUP(表格1[[#This Row],[Model]],表格3[Model-Input-Ref2],表格3[大小電])</f>
        <v>細電</v>
      </c>
      <c r="J4382" s="86" t="str">
        <f>_xlfn.XLOOKUP(表格1[[#This Row],[Model]],表格3[Model-Input-Ref2],表格3[Code])</f>
        <v>SDA</v>
      </c>
      <c r="K4382" s="89" t="s">
        <v>1277</v>
      </c>
      <c r="L4382" s="86">
        <v>1</v>
      </c>
      <c r="M4382" s="87">
        <v>628</v>
      </c>
      <c r="N4382" s="87">
        <f>IFERROR(表格1[[#This Row],[QTY]]*表格1[[#This Row],[Unit Price]],"-")</f>
        <v>628</v>
      </c>
      <c r="O4382" s="86">
        <v>507579</v>
      </c>
      <c r="R4382" s="86" t="str">
        <f>_xlfn.CONCAT(表格1[[#This Row],[Model]]," ",表格1[[#This Row],[inv no]])</f>
        <v>TP-50DRUHK(W) 507579</v>
      </c>
      <c r="S4382" s="86">
        <f>_xlfn.XLOOKUP(表格1[[#This Row],[Model]],表格3[Model-Input-Ref2],表格3[SRP PRICE])</f>
        <v>718</v>
      </c>
      <c r="T4382" s="43">
        <f>表格1[[#This Row],[Unit Price]]/表格1[[#This Row],[SRP]]</f>
        <v>0.87465181058495822</v>
      </c>
      <c r="U4382" s="86" t="str">
        <f>_xlfn.XLOOKUP(表格1[[#This Row],[Model]],表格3[Model-Input-Ref2],表格3[TOSHIBA/HIGHEST])</f>
        <v>Toshiba SRP</v>
      </c>
      <c r="W4382" s="86" t="str">
        <f>_xlfn.CONCAT(表格1[[#This Row],[欄4]],表格1[[#This Row],[inv no]])</f>
        <v>507579</v>
      </c>
    </row>
    <row r="4383" spans="1:23" hidden="1">
      <c r="A4383" s="81">
        <v>4381</v>
      </c>
      <c r="B4383" s="86" t="s">
        <v>1260</v>
      </c>
      <c r="C4383" s="86" t="s">
        <v>2034</v>
      </c>
      <c r="D4383" s="89" t="str">
        <f ca="1">OFFSET(Roster!$A$3,MATCH(表格1[[#This Row],[Location]]&amp;" "&amp;表格1[[#This Row],[Shop]]&amp;"*",Roster!$A$4:$A$72,0),DAY(表格1[[#This Row],[date]]),1,1)</f>
        <v>Yee</v>
      </c>
      <c r="E4383" s="86">
        <f>MONTH(表格1[[#This Row],[date]])</f>
        <v>3</v>
      </c>
      <c r="F4383" s="90">
        <v>46095</v>
      </c>
      <c r="G4383" s="86" t="str">
        <f>VLOOKUP("*"&amp;表格1[[#This Row],[Input]]&amp;"*",'Ref-List'!$B:$D,2,)</f>
        <v>IC-20R1THK</v>
      </c>
      <c r="H4383" s="86" t="str">
        <f>_xlfn.XLOOKUP(表格1[[#This Row],[Model]],表格3[Model-Input-Ref2],表格3[Product Line])</f>
        <v>輕便式電磁爐</v>
      </c>
      <c r="I4383" s="86" t="str">
        <f>_xlfn.XLOOKUP(表格1[[#This Row],[Model]],表格3[Model-Input-Ref2],表格3[大小電])</f>
        <v>細電</v>
      </c>
      <c r="J4383" s="86" t="str">
        <f>_xlfn.XLOOKUP(表格1[[#This Row],[Model]],表格3[Model-Input-Ref2],表格3[Code])</f>
        <v>SDA</v>
      </c>
      <c r="K4383" s="89" t="s">
        <v>1243</v>
      </c>
      <c r="L4383" s="86">
        <v>1</v>
      </c>
      <c r="M4383" s="87">
        <v>298</v>
      </c>
      <c r="N4383" s="87">
        <f>IFERROR(表格1[[#This Row],[QTY]]*表格1[[#This Row],[Unit Price]],"-")</f>
        <v>298</v>
      </c>
      <c r="O4383" s="86">
        <v>507568</v>
      </c>
      <c r="R4383" s="86" t="str">
        <f>_xlfn.CONCAT(表格1[[#This Row],[Model]]," ",表格1[[#This Row],[inv no]])</f>
        <v>IC-20R1THK 507568</v>
      </c>
      <c r="S4383" s="86">
        <f>_xlfn.XLOOKUP(表格1[[#This Row],[Model]],表格3[Model-Input-Ref2],表格3[SRP PRICE])</f>
        <v>438</v>
      </c>
      <c r="T4383" s="43">
        <f>表格1[[#This Row],[Unit Price]]/表格1[[#This Row],[SRP]]</f>
        <v>0.68036529680365299</v>
      </c>
      <c r="U4383" s="86" t="str">
        <f>_xlfn.XLOOKUP(表格1[[#This Row],[Model]],表格3[Model-Input-Ref2],表格3[TOSHIBA/HIGHEST])</f>
        <v>Shops Highest Price</v>
      </c>
      <c r="W4383" s="86" t="str">
        <f>_xlfn.CONCAT(表格1[[#This Row],[欄4]],表格1[[#This Row],[inv no]])</f>
        <v>507568</v>
      </c>
    </row>
    <row r="4384" spans="1:23" hidden="1">
      <c r="A4384" s="81">
        <v>4382</v>
      </c>
      <c r="B4384" s="86" t="s">
        <v>1260</v>
      </c>
      <c r="C4384" s="86" t="s">
        <v>2034</v>
      </c>
      <c r="D4384" s="89" t="str">
        <f ca="1">OFFSET(Roster!$A$3,MATCH(表格1[[#This Row],[Location]]&amp;" "&amp;表格1[[#This Row],[Shop]]&amp;"*",Roster!$A$4:$A$72,0),DAY(表格1[[#This Row],[date]]),1,1)</f>
        <v>Yee</v>
      </c>
      <c r="E4384" s="86">
        <f>MONTH(表格1[[#This Row],[date]])</f>
        <v>3</v>
      </c>
      <c r="F4384" s="90">
        <v>46095</v>
      </c>
      <c r="G4384" s="86" t="str">
        <f>VLOOKUP("*"&amp;表格1[[#This Row],[Input]]&amp;"*",'Ref-List'!$B:$D,2,)</f>
        <v>RC-5SLIH(W)</v>
      </c>
      <c r="H4384" s="86" t="str">
        <f>_xlfn.XLOOKUP(表格1[[#This Row],[Model]],表格3[Model-Input-Ref2],表格3[Product Line])</f>
        <v>微型電腦珍珠飯煲</v>
      </c>
      <c r="I4384" s="86" t="str">
        <f>_xlfn.XLOOKUP(表格1[[#This Row],[Model]],表格3[Model-Input-Ref2],表格3[大小電])</f>
        <v>細電</v>
      </c>
      <c r="J4384" s="86" t="str">
        <f>_xlfn.XLOOKUP(表格1[[#This Row],[Model]],表格3[Model-Input-Ref2],表格3[Code])</f>
        <v>SDA</v>
      </c>
      <c r="K4384" s="89" t="s">
        <v>1264</v>
      </c>
      <c r="L4384" s="86">
        <v>1</v>
      </c>
      <c r="M4384" s="87">
        <v>593</v>
      </c>
      <c r="N4384" s="87">
        <f>IFERROR(表格1[[#This Row],[QTY]]*表格1[[#This Row],[Unit Price]],"-")</f>
        <v>593</v>
      </c>
      <c r="O4384" s="86">
        <v>507527</v>
      </c>
      <c r="R4384" s="86" t="str">
        <f>_xlfn.CONCAT(表格1[[#This Row],[Model]]," ",表格1[[#This Row],[inv no]])</f>
        <v>RC-5SLIH(W) 507527</v>
      </c>
      <c r="S4384" s="86">
        <f>_xlfn.XLOOKUP(表格1[[#This Row],[Model]],表格3[Model-Input-Ref2],表格3[SRP PRICE])</f>
        <v>658</v>
      </c>
      <c r="T4384" s="43">
        <f>表格1[[#This Row],[Unit Price]]/表格1[[#This Row],[SRP]]</f>
        <v>0.90121580547112456</v>
      </c>
      <c r="U4384" s="86" t="str">
        <f>_xlfn.XLOOKUP(表格1[[#This Row],[Model]],表格3[Model-Input-Ref2],表格3[TOSHIBA/HIGHEST])</f>
        <v>Toshiba SRP</v>
      </c>
      <c r="W4384" s="86" t="str">
        <f>_xlfn.CONCAT(表格1[[#This Row],[欄4]],表格1[[#This Row],[inv no]])</f>
        <v>507527</v>
      </c>
    </row>
    <row r="4385" spans="1:23" hidden="1">
      <c r="A4385" s="81">
        <v>4383</v>
      </c>
      <c r="B4385" s="86" t="s">
        <v>1260</v>
      </c>
      <c r="C4385" s="86" t="s">
        <v>2034</v>
      </c>
      <c r="D4385" s="89" t="str">
        <f ca="1">OFFSET(Roster!$A$3,MATCH(表格1[[#This Row],[Location]]&amp;" "&amp;表格1[[#This Row],[Shop]]&amp;"*",Roster!$A$4:$A$72,0),DAY(表格1[[#This Row],[date]]),1,1)</f>
        <v>Yee</v>
      </c>
      <c r="E4385" s="86">
        <f>MONTH(表格1[[#This Row],[date]])</f>
        <v>3</v>
      </c>
      <c r="F4385" s="90">
        <v>46095</v>
      </c>
      <c r="G4385" s="86" t="str">
        <f>VLOOKUP("*"&amp;表格1[[#This Row],[Input]]&amp;"*",'Ref-List'!$B:$D,2,)</f>
        <v>KT-17DRTHK(H)</v>
      </c>
      <c r="H4385" s="86" t="str">
        <f>_xlfn.XLOOKUP(表格1[[#This Row],[Model]],表格3[Model-Input-Ref2],表格3[Product Line])</f>
        <v>無線雙層電熱水壺(1.7公升)</v>
      </c>
      <c r="I4385" s="86" t="str">
        <f>_xlfn.XLOOKUP(表格1[[#This Row],[Model]],表格3[Model-Input-Ref2],表格3[大小電])</f>
        <v>細電</v>
      </c>
      <c r="J4385" s="86" t="str">
        <f>_xlfn.XLOOKUP(表格1[[#This Row],[Model]],表格3[Model-Input-Ref2],表格3[Code])</f>
        <v>SDA</v>
      </c>
      <c r="K4385" s="89" t="s">
        <v>1271</v>
      </c>
      <c r="L4385" s="86">
        <v>1</v>
      </c>
      <c r="M4385" s="87">
        <v>388</v>
      </c>
      <c r="N4385" s="87">
        <f>IFERROR(表格1[[#This Row],[QTY]]*表格1[[#This Row],[Unit Price]],"-")</f>
        <v>388</v>
      </c>
      <c r="O4385" s="86">
        <v>507534</v>
      </c>
      <c r="R4385" s="86" t="str">
        <f>_xlfn.CONCAT(表格1[[#This Row],[Model]]," ",表格1[[#This Row],[inv no]])</f>
        <v>KT-17DRTHK(H) 507534</v>
      </c>
      <c r="S4385" s="86">
        <f>_xlfn.XLOOKUP(表格1[[#This Row],[Model]],表格3[Model-Input-Ref2],表格3[SRP PRICE])</f>
        <v>498</v>
      </c>
      <c r="T4385" s="43">
        <f>表格1[[#This Row],[Unit Price]]/表格1[[#This Row],[SRP]]</f>
        <v>0.77911646586345384</v>
      </c>
      <c r="U4385" s="86" t="str">
        <f>_xlfn.XLOOKUP(表格1[[#This Row],[Model]],表格3[Model-Input-Ref2],表格3[TOSHIBA/HIGHEST])</f>
        <v>Toshiba SRP</v>
      </c>
      <c r="W4385" s="86" t="str">
        <f>_xlfn.CONCAT(表格1[[#This Row],[欄4]],表格1[[#This Row],[inv no]])</f>
        <v>507534</v>
      </c>
    </row>
    <row r="4386" spans="1:23" hidden="1">
      <c r="A4386" s="81">
        <v>4384</v>
      </c>
      <c r="B4386" s="86" t="s">
        <v>1260</v>
      </c>
      <c r="C4386" s="86" t="s">
        <v>2034</v>
      </c>
      <c r="D4386" s="89" t="str">
        <f ca="1">OFFSET(Roster!$A$3,MATCH(表格1[[#This Row],[Location]]&amp;" "&amp;表格1[[#This Row],[Shop]]&amp;"*",Roster!$A$4:$A$72,0),DAY(表格1[[#This Row],[date]]),1,1)</f>
        <v>Yee</v>
      </c>
      <c r="E4386" s="86">
        <f>MONTH(表格1[[#This Row],[date]])</f>
        <v>3</v>
      </c>
      <c r="F4386" s="90">
        <v>46095</v>
      </c>
      <c r="G4386" s="86" t="str">
        <f>VLOOKUP("*"&amp;表格1[[#This Row],[Input]]&amp;"*",'Ref-List'!$B:$D,2,)</f>
        <v>TP-25DR2UHK(W)</v>
      </c>
      <c r="H4386" s="86" t="str">
        <f>_xlfn.XLOOKUP(表格1[[#This Row],[Model]],表格3[Model-Input-Ref2],表格3[Product Line])</f>
        <v>電熱水瓶 (2.5公升)</v>
      </c>
      <c r="I4386" s="86" t="str">
        <f>_xlfn.XLOOKUP(表格1[[#This Row],[Model]],表格3[Model-Input-Ref2],表格3[大小電])</f>
        <v>細電</v>
      </c>
      <c r="J4386" s="86" t="str">
        <f>_xlfn.XLOOKUP(表格1[[#This Row],[Model]],表格3[Model-Input-Ref2],表格3[Code])</f>
        <v>SDA</v>
      </c>
      <c r="K4386" s="89" t="s">
        <v>1285</v>
      </c>
      <c r="L4386" s="86">
        <v>1</v>
      </c>
      <c r="M4386" s="87">
        <v>398</v>
      </c>
      <c r="N4386" s="87">
        <f>IFERROR(表格1[[#This Row],[QTY]]*表格1[[#This Row],[Unit Price]],"-")</f>
        <v>398</v>
      </c>
      <c r="O4386" s="86">
        <v>507645</v>
      </c>
      <c r="R4386" s="86" t="str">
        <f>_xlfn.CONCAT(表格1[[#This Row],[Model]]," ",表格1[[#This Row],[inv no]])</f>
        <v>TP-25DR2UHK(W) 507645</v>
      </c>
      <c r="S4386" s="86">
        <f>_xlfn.XLOOKUP(表格1[[#This Row],[Model]],表格3[Model-Input-Ref2],表格3[SRP PRICE])</f>
        <v>538</v>
      </c>
      <c r="T4386" s="43">
        <f>表格1[[#This Row],[Unit Price]]/表格1[[#This Row],[SRP]]</f>
        <v>0.7397769516728625</v>
      </c>
      <c r="U4386" s="86" t="str">
        <f>_xlfn.XLOOKUP(表格1[[#This Row],[Model]],表格3[Model-Input-Ref2],表格3[TOSHIBA/HIGHEST])</f>
        <v>Toshiba SRP</v>
      </c>
      <c r="W4386" s="86" t="str">
        <f>_xlfn.CONCAT(表格1[[#This Row],[欄4]],表格1[[#This Row],[inv no]])</f>
        <v>507645</v>
      </c>
    </row>
    <row r="4387" spans="1:23" hidden="1">
      <c r="A4387" s="81">
        <v>4385</v>
      </c>
      <c r="B4387" s="86" t="s">
        <v>1260</v>
      </c>
      <c r="C4387" s="86" t="s">
        <v>2034</v>
      </c>
      <c r="D4387" s="89" t="str">
        <f ca="1">OFFSET(Roster!$A$3,MATCH(表格1[[#This Row],[Location]]&amp;" "&amp;表格1[[#This Row],[Shop]]&amp;"*",Roster!$A$4:$A$72,0),DAY(表格1[[#This Row],[date]]),1,1)</f>
        <v>Yee</v>
      </c>
      <c r="E4387" s="86">
        <f>MONTH(表格1[[#This Row],[date]])</f>
        <v>3</v>
      </c>
      <c r="F4387" s="90">
        <v>46096</v>
      </c>
      <c r="G4387" s="86" t="str">
        <f>VLOOKUP("*"&amp;表格1[[#This Row],[Input]]&amp;"*",'Ref-List'!$B:$D,2,)</f>
        <v>RC-10BHH(W)</v>
      </c>
      <c r="H4387" s="86" t="str">
        <f>_xlfn.XLOOKUP(表格1[[#This Row],[Model]],表格3[Model-Input-Ref2],表格3[Product Line])</f>
        <v>酵活炊磁應電飯煲</v>
      </c>
      <c r="I4387" s="86" t="str">
        <f>_xlfn.XLOOKUP(表格1[[#This Row],[Model]],表格3[Model-Input-Ref2],表格3[大小電])</f>
        <v>細電</v>
      </c>
      <c r="J4387" s="86" t="str">
        <f>_xlfn.XLOOKUP(表格1[[#This Row],[Model]],表格3[Model-Input-Ref2],表格3[Code])</f>
        <v>SDA</v>
      </c>
      <c r="K4387" s="89" t="s">
        <v>1269</v>
      </c>
      <c r="L4387" s="86">
        <v>1</v>
      </c>
      <c r="M4387" s="87">
        <v>1688</v>
      </c>
      <c r="N4387" s="87">
        <f>IFERROR(表格1[[#This Row],[QTY]]*表格1[[#This Row],[Unit Price]],"-")</f>
        <v>1688</v>
      </c>
      <c r="O4387" s="86">
        <v>507705</v>
      </c>
      <c r="R4387" s="86" t="str">
        <f>_xlfn.CONCAT(表格1[[#This Row],[Model]]," ",表格1[[#This Row],[inv no]])</f>
        <v>RC-10BHH(W) 507705</v>
      </c>
      <c r="S4387" s="86">
        <f>_xlfn.XLOOKUP(表格1[[#This Row],[Model]],表格3[Model-Input-Ref2],表格3[SRP PRICE])</f>
        <v>2088</v>
      </c>
      <c r="T4387" s="43">
        <f>表格1[[#This Row],[Unit Price]]/表格1[[#This Row],[SRP]]</f>
        <v>0.80842911877394641</v>
      </c>
      <c r="U4387" s="86" t="str">
        <f>_xlfn.XLOOKUP(表格1[[#This Row],[Model]],表格3[Model-Input-Ref2],表格3[TOSHIBA/HIGHEST])</f>
        <v>Shops Highest Price</v>
      </c>
      <c r="W4387" s="86" t="str">
        <f>_xlfn.CONCAT(表格1[[#This Row],[欄4]],表格1[[#This Row],[inv no]])</f>
        <v>507705</v>
      </c>
    </row>
    <row r="4388" spans="1:23" hidden="1">
      <c r="A4388" s="81">
        <v>4386</v>
      </c>
      <c r="B4388" s="86" t="s">
        <v>1260</v>
      </c>
      <c r="C4388" s="86" t="s">
        <v>2034</v>
      </c>
      <c r="D4388" s="89" t="str">
        <f ca="1">OFFSET(Roster!$A$3,MATCH(表格1[[#This Row],[Location]]&amp;" "&amp;表格1[[#This Row],[Shop]]&amp;"*",Roster!$A$4:$A$72,0),DAY(表格1[[#This Row],[date]]),1,1)</f>
        <v>Yee</v>
      </c>
      <c r="E4388" s="86">
        <f>MONTH(表格1[[#This Row],[date]])</f>
        <v>3</v>
      </c>
      <c r="F4388" s="90">
        <v>46096</v>
      </c>
      <c r="G4388" s="86" t="str">
        <f>VLOOKUP("*"&amp;表格1[[#This Row],[Input]]&amp;"*",'Ref-List'!$B:$D,2,)</f>
        <v>IC-S19RH</v>
      </c>
      <c r="H4388" s="86" t="str">
        <f>_xlfn.XLOOKUP(表格1[[#This Row],[Model]],表格3[Model-Input-Ref2],表格3[Product Line])</f>
        <v>輕便式電磁爐7個功能</v>
      </c>
      <c r="I4388" s="86" t="str">
        <f>_xlfn.XLOOKUP(表格1[[#This Row],[Model]],表格3[Model-Input-Ref2],表格3[大小電])</f>
        <v>細電</v>
      </c>
      <c r="J4388" s="86" t="str">
        <f>_xlfn.XLOOKUP(表格1[[#This Row],[Model]],表格3[Model-Input-Ref2],表格3[Code])</f>
        <v>SDA</v>
      </c>
      <c r="K4388" s="89" t="s">
        <v>1289</v>
      </c>
      <c r="L4388" s="86">
        <v>1</v>
      </c>
      <c r="M4388" s="87">
        <v>418</v>
      </c>
      <c r="N4388" s="87">
        <f>IFERROR(表格1[[#This Row],[QTY]]*表格1[[#This Row],[Unit Price]],"-")</f>
        <v>418</v>
      </c>
      <c r="O4388" s="86">
        <v>507794</v>
      </c>
      <c r="R4388" s="86" t="str">
        <f>_xlfn.CONCAT(表格1[[#This Row],[Model]]," ",表格1[[#This Row],[inv no]])</f>
        <v>IC-S19RH 507794</v>
      </c>
      <c r="S4388" s="86">
        <f>_xlfn.XLOOKUP(表格1[[#This Row],[Model]],表格3[Model-Input-Ref2],表格3[SRP PRICE])</f>
        <v>638</v>
      </c>
      <c r="T4388" s="43">
        <f>表格1[[#This Row],[Unit Price]]/表格1[[#This Row],[SRP]]</f>
        <v>0.65517241379310343</v>
      </c>
      <c r="U4388" s="86" t="str">
        <f>_xlfn.XLOOKUP(表格1[[#This Row],[Model]],表格3[Model-Input-Ref2],表格3[TOSHIBA/HIGHEST])</f>
        <v>Toshiba SRP</v>
      </c>
      <c r="W4388" s="86" t="str">
        <f>_xlfn.CONCAT(表格1[[#This Row],[欄4]],表格1[[#This Row],[inv no]])</f>
        <v>507794</v>
      </c>
    </row>
    <row r="4389" spans="1:23" hidden="1">
      <c r="A4389" s="81">
        <v>4387</v>
      </c>
      <c r="B4389" s="86" t="s">
        <v>1260</v>
      </c>
      <c r="C4389" s="86" t="s">
        <v>2034</v>
      </c>
      <c r="D4389" s="89" t="str">
        <f ca="1">OFFSET(Roster!$A$3,MATCH(表格1[[#This Row],[Location]]&amp;" "&amp;表格1[[#This Row],[Shop]]&amp;"*",Roster!$A$4:$A$72,0),DAY(表格1[[#This Row],[date]]),1,1)</f>
        <v>Yee</v>
      </c>
      <c r="E4389" s="86">
        <f>MONTH(表格1[[#This Row],[date]])</f>
        <v>3</v>
      </c>
      <c r="F4389" s="90">
        <v>46096</v>
      </c>
      <c r="G4389" s="86" t="str">
        <f>VLOOKUP("*"&amp;表格1[[#This Row],[Input]]&amp;"*",'Ref-List'!$B:$D,2,)</f>
        <v>IC-S19RH</v>
      </c>
      <c r="H4389" s="86" t="str">
        <f>_xlfn.XLOOKUP(表格1[[#This Row],[Model]],表格3[Model-Input-Ref2],表格3[Product Line])</f>
        <v>輕便式電磁爐7個功能</v>
      </c>
      <c r="I4389" s="86" t="str">
        <f>_xlfn.XLOOKUP(表格1[[#This Row],[Model]],表格3[Model-Input-Ref2],表格3[大小電])</f>
        <v>細電</v>
      </c>
      <c r="J4389" s="86" t="str">
        <f>_xlfn.XLOOKUP(表格1[[#This Row],[Model]],表格3[Model-Input-Ref2],表格3[Code])</f>
        <v>SDA</v>
      </c>
      <c r="K4389" s="89" t="s">
        <v>1289</v>
      </c>
      <c r="L4389" s="86">
        <v>1</v>
      </c>
      <c r="M4389" s="87">
        <v>418</v>
      </c>
      <c r="N4389" s="87">
        <f>IFERROR(表格1[[#This Row],[QTY]]*表格1[[#This Row],[Unit Price]],"-")</f>
        <v>418</v>
      </c>
      <c r="O4389" s="86">
        <v>130844</v>
      </c>
      <c r="R4389" s="86" t="str">
        <f>_xlfn.CONCAT(表格1[[#This Row],[Model]]," ",表格1[[#This Row],[inv no]])</f>
        <v>IC-S19RH 130844</v>
      </c>
      <c r="S4389" s="86">
        <f>_xlfn.XLOOKUP(表格1[[#This Row],[Model]],表格3[Model-Input-Ref2],表格3[SRP PRICE])</f>
        <v>638</v>
      </c>
      <c r="T4389" s="43">
        <f>表格1[[#This Row],[Unit Price]]/表格1[[#This Row],[SRP]]</f>
        <v>0.65517241379310343</v>
      </c>
      <c r="U4389" s="86" t="str">
        <f>_xlfn.XLOOKUP(表格1[[#This Row],[Model]],表格3[Model-Input-Ref2],表格3[TOSHIBA/HIGHEST])</f>
        <v>Toshiba SRP</v>
      </c>
      <c r="W4389" s="86" t="str">
        <f>_xlfn.CONCAT(表格1[[#This Row],[欄4]],表格1[[#This Row],[inv no]])</f>
        <v>130844</v>
      </c>
    </row>
    <row r="4390" spans="1:23" hidden="1">
      <c r="A4390" s="81">
        <v>4388</v>
      </c>
      <c r="B4390" s="86" t="s">
        <v>1260</v>
      </c>
      <c r="C4390" s="86" t="s">
        <v>2034</v>
      </c>
      <c r="D4390" s="89" t="str">
        <f ca="1">OFFSET(Roster!$A$3,MATCH(表格1[[#This Row],[Location]]&amp;" "&amp;表格1[[#This Row],[Shop]]&amp;"*",Roster!$A$4:$A$72,0),DAY(表格1[[#This Row],[date]]),1,1)</f>
        <v>Yee</v>
      </c>
      <c r="E4390" s="86">
        <f>MONTH(表格1[[#This Row],[date]])</f>
        <v>3</v>
      </c>
      <c r="F4390" s="90">
        <v>46096</v>
      </c>
      <c r="G4390" s="86" t="str">
        <f>VLOOKUP("*"&amp;表格1[[#This Row],[Input]]&amp;"*",'Ref-List'!$B:$D,2,)</f>
        <v>RC-10JRUH(N)</v>
      </c>
      <c r="H4390" s="86" t="str">
        <f>_xlfn.XLOOKUP(表格1[[#This Row],[Model]],表格3[Model-Input-Ref2],表格3[Product Line])</f>
        <v>電飯煲</v>
      </c>
      <c r="I4390" s="86" t="str">
        <f>_xlfn.XLOOKUP(表格1[[#This Row],[Model]],表格3[Model-Input-Ref2],表格3[大小電])</f>
        <v>細電</v>
      </c>
      <c r="J4390" s="86" t="str">
        <f>_xlfn.XLOOKUP(表格1[[#This Row],[Model]],表格3[Model-Input-Ref2],表格3[Code])</f>
        <v>SDA</v>
      </c>
      <c r="K4390" s="89" t="s">
        <v>1263</v>
      </c>
      <c r="L4390" s="86">
        <v>1</v>
      </c>
      <c r="M4390" s="87">
        <v>250</v>
      </c>
      <c r="N4390" s="87">
        <f>IFERROR(表格1[[#This Row],[QTY]]*表格1[[#This Row],[Unit Price]],"-")</f>
        <v>250</v>
      </c>
      <c r="O4390" s="86">
        <v>507943</v>
      </c>
      <c r="R4390" s="86" t="str">
        <f>_xlfn.CONCAT(表格1[[#This Row],[Model]]," ",表格1[[#This Row],[inv no]])</f>
        <v>RC-10JRUH(N) 507943</v>
      </c>
      <c r="S4390" s="86">
        <f>_xlfn.XLOOKUP(表格1[[#This Row],[Model]],表格3[Model-Input-Ref2],表格3[SRP PRICE])</f>
        <v>398</v>
      </c>
      <c r="T4390" s="43">
        <f>表格1[[#This Row],[Unit Price]]/表格1[[#This Row],[SRP]]</f>
        <v>0.62814070351758799</v>
      </c>
      <c r="U4390" s="86" t="str">
        <f>_xlfn.XLOOKUP(表格1[[#This Row],[Model]],表格3[Model-Input-Ref2],表格3[TOSHIBA/HIGHEST])</f>
        <v>Shops Highest Price</v>
      </c>
      <c r="W4390" s="86" t="str">
        <f>_xlfn.CONCAT(表格1[[#This Row],[欄4]],表格1[[#This Row],[inv no]])</f>
        <v>507943</v>
      </c>
    </row>
    <row r="4391" spans="1:23" hidden="1">
      <c r="A4391" s="81">
        <v>4389</v>
      </c>
      <c r="B4391" s="86" t="s">
        <v>1260</v>
      </c>
      <c r="C4391" s="86" t="s">
        <v>2034</v>
      </c>
      <c r="D4391" s="89" t="str">
        <f ca="1">OFFSET(Roster!$A$3,MATCH(表格1[[#This Row],[Location]]&amp;" "&amp;表格1[[#This Row],[Shop]]&amp;"*",Roster!$A$4:$A$72,0),DAY(表格1[[#This Row],[date]]),1,1)</f>
        <v>Yee</v>
      </c>
      <c r="E4391" s="86">
        <f>MONTH(表格1[[#This Row],[date]])</f>
        <v>3</v>
      </c>
      <c r="F4391" s="90">
        <v>46097</v>
      </c>
      <c r="G4391" s="86" t="str">
        <f>VLOOKUP("*"&amp;表格1[[#This Row],[Input]]&amp;"*",'Ref-List'!$B:$D,2,)</f>
        <v>MM2-EM20PC(WH)</v>
      </c>
      <c r="H4391" s="86" t="str">
        <f>_xlfn.XLOOKUP(表格1[[#This Row],[Model]],表格3[Model-Input-Ref2],表格3[Product Line])</f>
        <v>輕觸式微波爐 (20公升)</v>
      </c>
      <c r="I4391" s="86" t="str">
        <f>_xlfn.XLOOKUP(表格1[[#This Row],[Model]],表格3[Model-Input-Ref2],表格3[大小電])</f>
        <v>細電</v>
      </c>
      <c r="J4391" s="86" t="str">
        <f>_xlfn.XLOOKUP(表格1[[#This Row],[Model]],表格3[Model-Input-Ref2],表格3[Code])</f>
        <v>MCA</v>
      </c>
      <c r="K4391" s="89" t="s">
        <v>1276</v>
      </c>
      <c r="L4391" s="86">
        <v>1</v>
      </c>
      <c r="M4391" s="87">
        <v>628</v>
      </c>
      <c r="N4391" s="87">
        <f>IFERROR(表格1[[#This Row],[QTY]]*表格1[[#This Row],[Unit Price]],"-")</f>
        <v>628</v>
      </c>
      <c r="O4391" s="86">
        <v>508135</v>
      </c>
      <c r="R4391" s="86" t="str">
        <f>_xlfn.CONCAT(表格1[[#This Row],[Model]]," ",表格1[[#This Row],[inv no]])</f>
        <v>MM2-EM20PC(WH) 508135</v>
      </c>
      <c r="S4391" s="86">
        <f>_xlfn.XLOOKUP(表格1[[#This Row],[Model]],表格3[Model-Input-Ref2],表格3[SRP PRICE])</f>
        <v>788</v>
      </c>
      <c r="T4391" s="43">
        <f>表格1[[#This Row],[Unit Price]]/表格1[[#This Row],[SRP]]</f>
        <v>0.79695431472081213</v>
      </c>
      <c r="U4391" s="86" t="str">
        <f>_xlfn.XLOOKUP(表格1[[#This Row],[Model]],表格3[Model-Input-Ref2],表格3[TOSHIBA/HIGHEST])</f>
        <v>Toshiba SRP</v>
      </c>
      <c r="W4391" s="86" t="str">
        <f>_xlfn.CONCAT(表格1[[#This Row],[欄4]],表格1[[#This Row],[inv no]])</f>
        <v>508135</v>
      </c>
    </row>
    <row r="4392" spans="1:23" hidden="1">
      <c r="A4392" s="81">
        <v>4390</v>
      </c>
      <c r="B4392" s="86" t="s">
        <v>1260</v>
      </c>
      <c r="C4392" s="86" t="s">
        <v>2034</v>
      </c>
      <c r="D4392" s="89" t="str">
        <f ca="1">OFFSET(Roster!$A$3,MATCH(表格1[[#This Row],[Location]]&amp;" "&amp;表格1[[#This Row],[Shop]]&amp;"*",Roster!$A$4:$A$72,0),DAY(表格1[[#This Row],[date]]),1,1)</f>
        <v>Yee</v>
      </c>
      <c r="E4392" s="86">
        <f>MONTH(表格1[[#This Row],[date]])</f>
        <v>3</v>
      </c>
      <c r="F4392" s="90">
        <v>46097</v>
      </c>
      <c r="G4392" s="86" t="str">
        <f>VLOOKUP("*"&amp;表格1[[#This Row],[Input]]&amp;"*",'Ref-List'!$B:$D,2,)</f>
        <v>MWP-MM20P(WH)</v>
      </c>
      <c r="H4392" s="86" t="str">
        <f>_xlfn.XLOOKUP(表格1[[#This Row],[Model]],表格3[Model-Input-Ref2],表格3[Product Line])</f>
        <v>旋鈕式燒烤微波爐20L</v>
      </c>
      <c r="I4392" s="86" t="str">
        <f>_xlfn.XLOOKUP(表格1[[#This Row],[Model]],表格3[Model-Input-Ref2],表格3[大小電])</f>
        <v>細電</v>
      </c>
      <c r="J4392" s="86" t="str">
        <f>_xlfn.XLOOKUP(表格1[[#This Row],[Model]],表格3[Model-Input-Ref2],表格3[Code])</f>
        <v>SDA</v>
      </c>
      <c r="K4392" s="89" t="s">
        <v>1270</v>
      </c>
      <c r="L4392" s="86">
        <v>1</v>
      </c>
      <c r="M4392" s="87">
        <v>488</v>
      </c>
      <c r="N4392" s="87">
        <f>IFERROR(表格1[[#This Row],[QTY]]*表格1[[#This Row],[Unit Price]],"-")</f>
        <v>488</v>
      </c>
      <c r="O4392" s="86">
        <v>131041</v>
      </c>
      <c r="R4392" s="86" t="str">
        <f>_xlfn.CONCAT(表格1[[#This Row],[Model]]," ",表格1[[#This Row],[inv no]])</f>
        <v>MWP-MM20P(WH) 131041</v>
      </c>
      <c r="S4392" s="86">
        <f>_xlfn.XLOOKUP(表格1[[#This Row],[Model]],表格3[Model-Input-Ref2],表格3[SRP PRICE])</f>
        <v>648</v>
      </c>
      <c r="T4392" s="43">
        <f>表格1[[#This Row],[Unit Price]]/表格1[[#This Row],[SRP]]</f>
        <v>0.75308641975308643</v>
      </c>
      <c r="U4392" s="86" t="str">
        <f>_xlfn.XLOOKUP(表格1[[#This Row],[Model]],表格3[Model-Input-Ref2],表格3[TOSHIBA/HIGHEST])</f>
        <v>Toshiba SRP</v>
      </c>
      <c r="W4392" s="86" t="str">
        <f>_xlfn.CONCAT(表格1[[#This Row],[欄4]],表格1[[#This Row],[inv no]])</f>
        <v>131041</v>
      </c>
    </row>
    <row r="4393" spans="1:23" hidden="1">
      <c r="A4393" s="81">
        <v>4391</v>
      </c>
      <c r="B4393" s="86" t="s">
        <v>1260</v>
      </c>
      <c r="C4393" s="86" t="s">
        <v>2034</v>
      </c>
      <c r="D4393" s="89" t="str">
        <f ca="1">OFFSET(Roster!$A$3,MATCH(表格1[[#This Row],[Location]]&amp;" "&amp;表格1[[#This Row],[Shop]]&amp;"*",Roster!$A$4:$A$72,0),DAY(表格1[[#This Row],[date]]),1,1)</f>
        <v>Yee</v>
      </c>
      <c r="E4393" s="86">
        <f>MONTH(表格1[[#This Row],[date]])</f>
        <v>3</v>
      </c>
      <c r="F4393" s="90">
        <v>46097</v>
      </c>
      <c r="G4393" s="86" t="str">
        <f>VLOOKUP("*"&amp;表格1[[#This Row],[Input]]&amp;"*",'Ref-List'!$B:$D,2,)</f>
        <v>TP-50DRUHK(W)</v>
      </c>
      <c r="H4393" s="86" t="str">
        <f>_xlfn.XLOOKUP(表格1[[#This Row],[Model]],表格3[Model-Input-Ref2],表格3[Product Line])</f>
        <v>電熱水瓶 (5公升)</v>
      </c>
      <c r="I4393" s="86" t="str">
        <f>_xlfn.XLOOKUP(表格1[[#This Row],[Model]],表格3[Model-Input-Ref2],表格3[大小電])</f>
        <v>細電</v>
      </c>
      <c r="J4393" s="86" t="str">
        <f>_xlfn.XLOOKUP(表格1[[#This Row],[Model]],表格3[Model-Input-Ref2],表格3[Code])</f>
        <v>SDA</v>
      </c>
      <c r="K4393" s="89" t="s">
        <v>1277</v>
      </c>
      <c r="L4393" s="86">
        <v>1</v>
      </c>
      <c r="M4393" s="87">
        <v>628</v>
      </c>
      <c r="N4393" s="87">
        <f>IFERROR(表格1[[#This Row],[QTY]]*表格1[[#This Row],[Unit Price]],"-")</f>
        <v>628</v>
      </c>
      <c r="O4393" s="86">
        <v>131071</v>
      </c>
      <c r="R4393" s="86" t="str">
        <f>_xlfn.CONCAT(表格1[[#This Row],[Model]]," ",表格1[[#This Row],[inv no]])</f>
        <v>TP-50DRUHK(W) 131071</v>
      </c>
      <c r="S4393" s="86">
        <f>_xlfn.XLOOKUP(表格1[[#This Row],[Model]],表格3[Model-Input-Ref2],表格3[SRP PRICE])</f>
        <v>718</v>
      </c>
      <c r="T4393" s="43">
        <f>表格1[[#This Row],[Unit Price]]/表格1[[#This Row],[SRP]]</f>
        <v>0.87465181058495822</v>
      </c>
      <c r="U4393" s="86" t="str">
        <f>_xlfn.XLOOKUP(表格1[[#This Row],[Model]],表格3[Model-Input-Ref2],表格3[TOSHIBA/HIGHEST])</f>
        <v>Toshiba SRP</v>
      </c>
      <c r="W4393" s="86" t="str">
        <f>_xlfn.CONCAT(表格1[[#This Row],[欄4]],表格1[[#This Row],[inv no]])</f>
        <v>131071</v>
      </c>
    </row>
    <row r="4394" spans="1:23" hidden="1">
      <c r="A4394" s="81">
        <v>4392</v>
      </c>
      <c r="B4394" s="86" t="s">
        <v>1260</v>
      </c>
      <c r="C4394" s="86" t="s">
        <v>2034</v>
      </c>
      <c r="D4394" s="89" t="str">
        <f ca="1">OFFSET(Roster!$A$3,MATCH(表格1[[#This Row],[Location]]&amp;" "&amp;表格1[[#This Row],[Shop]]&amp;"*",Roster!$A$4:$A$72,0),DAY(表格1[[#This Row],[date]]),1,1)</f>
        <v>Yee</v>
      </c>
      <c r="E4394" s="86">
        <f>MONTH(表格1[[#This Row],[date]])</f>
        <v>3</v>
      </c>
      <c r="F4394" s="90">
        <v>46097</v>
      </c>
      <c r="G4394" s="86" t="str">
        <f>VLOOKUP("*"&amp;表格1[[#This Row],[Input]]&amp;"*",'Ref-List'!$B:$D,2,)</f>
        <v>RC-10DRNH</v>
      </c>
      <c r="H4394" s="86" t="str">
        <f>_xlfn.XLOOKUP(表格1[[#This Row],[Model]],表格3[Model-Input-Ref2],表格3[Product Line])</f>
        <v>多功能備長炭本厚釜電飯煲1L</v>
      </c>
      <c r="I4394" s="86" t="str">
        <f>_xlfn.XLOOKUP(表格1[[#This Row],[Model]],表格3[Model-Input-Ref2],表格3[大小電])</f>
        <v>細電</v>
      </c>
      <c r="J4394" s="86" t="str">
        <f>_xlfn.XLOOKUP(表格1[[#This Row],[Model]],表格3[Model-Input-Ref2],表格3[Code])</f>
        <v>SDA</v>
      </c>
      <c r="K4394" s="89" t="s">
        <v>1376</v>
      </c>
      <c r="L4394" s="86">
        <v>1</v>
      </c>
      <c r="M4394" s="87">
        <v>549</v>
      </c>
      <c r="N4394" s="87">
        <f>IFERROR(表格1[[#This Row],[QTY]]*表格1[[#This Row],[Unit Price]],"-")</f>
        <v>549</v>
      </c>
      <c r="O4394" s="86">
        <v>508312</v>
      </c>
      <c r="R4394" s="86" t="str">
        <f>_xlfn.CONCAT(表格1[[#This Row],[Model]]," ",表格1[[#This Row],[inv no]])</f>
        <v>RC-10DRNH 508312</v>
      </c>
      <c r="S4394" s="86">
        <f>_xlfn.XLOOKUP(表格1[[#This Row],[Model]],表格3[Model-Input-Ref2],表格3[SRP PRICE])</f>
        <v>798</v>
      </c>
      <c r="T4394" s="43">
        <f>表格1[[#This Row],[Unit Price]]/表格1[[#This Row],[SRP]]</f>
        <v>0.68796992481203012</v>
      </c>
      <c r="U4394" s="86" t="str">
        <f>_xlfn.XLOOKUP(表格1[[#This Row],[Model]],表格3[Model-Input-Ref2],表格3[TOSHIBA/HIGHEST])</f>
        <v>Toshiba SRP</v>
      </c>
      <c r="W4394" s="86" t="str">
        <f>_xlfn.CONCAT(表格1[[#This Row],[欄4]],表格1[[#This Row],[inv no]])</f>
        <v>508312</v>
      </c>
    </row>
    <row r="4395" spans="1:23" hidden="1">
      <c r="A4395" s="81">
        <v>4393</v>
      </c>
      <c r="B4395" s="86" t="s">
        <v>1260</v>
      </c>
      <c r="C4395" s="86" t="s">
        <v>2034</v>
      </c>
      <c r="D4395" s="89" t="str">
        <f ca="1">OFFSET(Roster!$A$3,MATCH(表格1[[#This Row],[Location]]&amp;" "&amp;表格1[[#This Row],[Shop]]&amp;"*",Roster!$A$4:$A$72,0),DAY(表格1[[#This Row],[date]]),1,1)</f>
        <v>Yee</v>
      </c>
      <c r="E4395" s="86">
        <f>MONTH(表格1[[#This Row],[date]])</f>
        <v>3</v>
      </c>
      <c r="F4395" s="90">
        <v>46097</v>
      </c>
      <c r="G4395" s="86" t="str">
        <f>VLOOKUP("*"&amp;表格1[[#This Row],[Input]]&amp;"*",'Ref-List'!$B:$D,2,)</f>
        <v>RAD-D200H</v>
      </c>
      <c r="H4395" s="86" t="str">
        <f>_xlfn.XLOOKUP(表格1[[#This Row],[Model]],表格3[Model-Input-Ref2],表格3[Product Line])</f>
        <v>壓縮式抽濕機 (22公升)</v>
      </c>
      <c r="I4395" s="86" t="str">
        <f>_xlfn.XLOOKUP(表格1[[#This Row],[Model]],表格3[Model-Input-Ref2],表格3[大小電])</f>
        <v>細電</v>
      </c>
      <c r="J4395" s="86" t="str">
        <f>_xlfn.XLOOKUP(表格1[[#This Row],[Model]],表格3[Model-Input-Ref2],表格3[Code])</f>
        <v>RAC</v>
      </c>
      <c r="K4395" s="89" t="s">
        <v>1250</v>
      </c>
      <c r="L4395" s="86">
        <v>1</v>
      </c>
      <c r="M4395" s="87">
        <v>1880</v>
      </c>
      <c r="N4395" s="87">
        <f>IFERROR(表格1[[#This Row],[QTY]]*表格1[[#This Row],[Unit Price]],"-")</f>
        <v>1880</v>
      </c>
      <c r="O4395" s="86">
        <v>508340</v>
      </c>
      <c r="R4395" s="86" t="str">
        <f>_xlfn.CONCAT(表格1[[#This Row],[Model]]," ",表格1[[#This Row],[inv no]])</f>
        <v>RAD-D200H 508340</v>
      </c>
      <c r="S4395" s="86">
        <f>_xlfn.XLOOKUP(表格1[[#This Row],[Model]],表格3[Model-Input-Ref2],表格3[SRP PRICE])</f>
        <v>2880</v>
      </c>
      <c r="T4395" s="43">
        <f>表格1[[#This Row],[Unit Price]]/表格1[[#This Row],[SRP]]</f>
        <v>0.65277777777777779</v>
      </c>
      <c r="U4395" s="86" t="str">
        <f>_xlfn.XLOOKUP(表格1[[#This Row],[Model]],表格3[Model-Input-Ref2],表格3[TOSHIBA/HIGHEST])</f>
        <v>Shops Highest Price</v>
      </c>
      <c r="W4395" s="86" t="str">
        <f>_xlfn.CONCAT(表格1[[#This Row],[欄4]],表格1[[#This Row],[inv no]])</f>
        <v>508340</v>
      </c>
    </row>
    <row r="4396" spans="1:23" hidden="1">
      <c r="A4396" s="81">
        <v>4394</v>
      </c>
      <c r="B4396" s="86" t="s">
        <v>1260</v>
      </c>
      <c r="C4396" s="86" t="s">
        <v>2034</v>
      </c>
      <c r="D4396" s="89" t="str">
        <f ca="1">OFFSET(Roster!$A$3,MATCH(表格1[[#This Row],[Location]]&amp;" "&amp;表格1[[#This Row],[Shop]]&amp;"*",Roster!$A$4:$A$72,0),DAY(表格1[[#This Row],[date]]),1,1)</f>
        <v>Yee</v>
      </c>
      <c r="E4396" s="86">
        <f>MONTH(表格1[[#This Row],[date]])</f>
        <v>3</v>
      </c>
      <c r="F4396" s="90">
        <v>46100</v>
      </c>
      <c r="G4396" s="86" t="str">
        <f>VLOOKUP("*"&amp;表格1[[#This Row],[Input]]&amp;"*",'Ref-List'!$B:$D,2,)</f>
        <v>F-LYA20(W)HKG</v>
      </c>
      <c r="H4396" s="86" t="str">
        <f>_xlfn.XLOOKUP(表格1[[#This Row],[Model]],表格3[Model-Input-Ref2],表格3[Product Line])</f>
        <v>12吋2合1座地座檯電風扇連遙控</v>
      </c>
      <c r="I4396" s="86" t="str">
        <f>_xlfn.XLOOKUP(表格1[[#This Row],[Model]],表格3[Model-Input-Ref2],表格3[大小電])</f>
        <v>細電</v>
      </c>
      <c r="J4396" s="86" t="str">
        <f>_xlfn.XLOOKUP(表格1[[#This Row],[Model]],表格3[Model-Input-Ref2],表格3[Code])</f>
        <v>EAD</v>
      </c>
      <c r="K4396" s="89" t="s">
        <v>1391</v>
      </c>
      <c r="L4396" s="86">
        <v>1</v>
      </c>
      <c r="M4396" s="87">
        <v>368</v>
      </c>
      <c r="N4396" s="87">
        <f>IFERROR(表格1[[#This Row],[QTY]]*表格1[[#This Row],[Unit Price]],"-")</f>
        <v>368</v>
      </c>
      <c r="O4396" s="86">
        <v>509112</v>
      </c>
      <c r="R4396" s="86" t="str">
        <f>_xlfn.CONCAT(表格1[[#This Row],[Model]]," ",表格1[[#This Row],[inv no]])</f>
        <v>F-LYA20(W)HKG 509112</v>
      </c>
      <c r="S4396" s="86">
        <f>_xlfn.XLOOKUP(表格1[[#This Row],[Model]],表格3[Model-Input-Ref2],表格3[SRP PRICE])</f>
        <v>988</v>
      </c>
      <c r="T4396" s="43">
        <f>表格1[[#This Row],[Unit Price]]/表格1[[#This Row],[SRP]]</f>
        <v>0.37246963562753038</v>
      </c>
      <c r="U4396" s="86" t="str">
        <f>_xlfn.XLOOKUP(表格1[[#This Row],[Model]],表格3[Model-Input-Ref2],表格3[TOSHIBA/HIGHEST])</f>
        <v>Toshiba SRP</v>
      </c>
      <c r="W4396" s="86" t="str">
        <f>_xlfn.CONCAT(表格1[[#This Row],[欄4]],表格1[[#This Row],[inv no]])</f>
        <v>509112</v>
      </c>
    </row>
    <row r="4397" spans="1:23" hidden="1">
      <c r="A4397" s="81">
        <v>4395</v>
      </c>
      <c r="B4397" s="86" t="s">
        <v>1260</v>
      </c>
      <c r="C4397" s="86" t="s">
        <v>2034</v>
      </c>
      <c r="D4397" s="89" t="str">
        <f ca="1">OFFSET(Roster!$A$3,MATCH(表格1[[#This Row],[Location]]&amp;" "&amp;表格1[[#This Row],[Shop]]&amp;"*",Roster!$A$4:$A$72,0),DAY(表格1[[#This Row],[date]]),1,1)</f>
        <v>Yee</v>
      </c>
      <c r="E4397" s="86">
        <f>MONTH(表格1[[#This Row],[date]])</f>
        <v>3</v>
      </c>
      <c r="F4397" s="90">
        <v>46100</v>
      </c>
      <c r="G4397" s="86" t="str">
        <f>VLOOKUP("*"&amp;表格1[[#This Row],[Input]]&amp;"*",'Ref-List'!$B:$D,2,)</f>
        <v>RAD-D200H</v>
      </c>
      <c r="H4397" s="86" t="str">
        <f>_xlfn.XLOOKUP(表格1[[#This Row],[Model]],表格3[Model-Input-Ref2],表格3[Product Line])</f>
        <v>壓縮式抽濕機 (22公升)</v>
      </c>
      <c r="I4397" s="86" t="str">
        <f>_xlfn.XLOOKUP(表格1[[#This Row],[Model]],表格3[Model-Input-Ref2],表格3[大小電])</f>
        <v>細電</v>
      </c>
      <c r="J4397" s="86" t="str">
        <f>_xlfn.XLOOKUP(表格1[[#This Row],[Model]],表格3[Model-Input-Ref2],表格3[Code])</f>
        <v>RAC</v>
      </c>
      <c r="K4397" s="89" t="s">
        <v>1250</v>
      </c>
      <c r="L4397" s="86">
        <v>1</v>
      </c>
      <c r="M4397" s="87">
        <v>1880</v>
      </c>
      <c r="N4397" s="87">
        <f>IFERROR(表格1[[#This Row],[QTY]]*表格1[[#This Row],[Unit Price]],"-")</f>
        <v>1880</v>
      </c>
      <c r="O4397" s="86">
        <v>131556</v>
      </c>
      <c r="R4397" s="86" t="str">
        <f>_xlfn.CONCAT(表格1[[#This Row],[Model]]," ",表格1[[#This Row],[inv no]])</f>
        <v>RAD-D200H 131556</v>
      </c>
      <c r="S4397" s="86">
        <f>_xlfn.XLOOKUP(表格1[[#This Row],[Model]],表格3[Model-Input-Ref2],表格3[SRP PRICE])</f>
        <v>2880</v>
      </c>
      <c r="T4397" s="43">
        <f>表格1[[#This Row],[Unit Price]]/表格1[[#This Row],[SRP]]</f>
        <v>0.65277777777777779</v>
      </c>
      <c r="U4397" s="86" t="str">
        <f>_xlfn.XLOOKUP(表格1[[#This Row],[Model]],表格3[Model-Input-Ref2],表格3[TOSHIBA/HIGHEST])</f>
        <v>Shops Highest Price</v>
      </c>
      <c r="W4397" s="86" t="str">
        <f>_xlfn.CONCAT(表格1[[#This Row],[欄4]],表格1[[#This Row],[inv no]])</f>
        <v>131556</v>
      </c>
    </row>
    <row r="4398" spans="1:23" hidden="1">
      <c r="A4398" s="81">
        <v>4396</v>
      </c>
      <c r="B4398" s="86" t="s">
        <v>1260</v>
      </c>
      <c r="C4398" s="86" t="s">
        <v>2034</v>
      </c>
      <c r="D4398" s="89" t="str">
        <f ca="1">OFFSET(Roster!$A$3,MATCH(表格1[[#This Row],[Location]]&amp;" "&amp;表格1[[#This Row],[Shop]]&amp;"*",Roster!$A$4:$A$72,0),DAY(表格1[[#This Row],[date]]),1,1)</f>
        <v>Yee</v>
      </c>
      <c r="E4398" s="86">
        <f>MONTH(表格1[[#This Row],[date]])</f>
        <v>3</v>
      </c>
      <c r="F4398" s="90">
        <v>46100</v>
      </c>
      <c r="G4398" s="86" t="str">
        <f>VLOOKUP("*"&amp;表格1[[#This Row],[Input]]&amp;"*",'Ref-List'!$B:$D,2,)</f>
        <v>RC-5SLIH(W)</v>
      </c>
      <c r="H4398" s="86" t="str">
        <f>_xlfn.XLOOKUP(表格1[[#This Row],[Model]],表格3[Model-Input-Ref2],表格3[Product Line])</f>
        <v>微型電腦珍珠飯煲</v>
      </c>
      <c r="I4398" s="86" t="str">
        <f>_xlfn.XLOOKUP(表格1[[#This Row],[Model]],表格3[Model-Input-Ref2],表格3[大小電])</f>
        <v>細電</v>
      </c>
      <c r="J4398" s="86" t="str">
        <f>_xlfn.XLOOKUP(表格1[[#This Row],[Model]],表格3[Model-Input-Ref2],表格3[Code])</f>
        <v>SDA</v>
      </c>
      <c r="K4398" s="89" t="s">
        <v>1264</v>
      </c>
      <c r="L4398" s="86">
        <v>1</v>
      </c>
      <c r="M4398" s="87">
        <v>593</v>
      </c>
      <c r="N4398" s="87">
        <f>IFERROR(表格1[[#This Row],[QTY]]*表格1[[#This Row],[Unit Price]],"-")</f>
        <v>593</v>
      </c>
      <c r="O4398" s="86">
        <v>131673</v>
      </c>
      <c r="R4398" s="86" t="str">
        <f>_xlfn.CONCAT(表格1[[#This Row],[Model]]," ",表格1[[#This Row],[inv no]])</f>
        <v>RC-5SLIH(W) 131673</v>
      </c>
      <c r="S4398" s="86">
        <f>_xlfn.XLOOKUP(表格1[[#This Row],[Model]],表格3[Model-Input-Ref2],表格3[SRP PRICE])</f>
        <v>658</v>
      </c>
      <c r="T4398" s="43">
        <f>表格1[[#This Row],[Unit Price]]/表格1[[#This Row],[SRP]]</f>
        <v>0.90121580547112456</v>
      </c>
      <c r="U4398" s="86" t="str">
        <f>_xlfn.XLOOKUP(表格1[[#This Row],[Model]],表格3[Model-Input-Ref2],表格3[TOSHIBA/HIGHEST])</f>
        <v>Toshiba SRP</v>
      </c>
      <c r="W4398" s="86" t="str">
        <f>_xlfn.CONCAT(表格1[[#This Row],[欄4]],表格1[[#This Row],[inv no]])</f>
        <v>131673</v>
      </c>
    </row>
    <row r="4399" spans="1:23" hidden="1">
      <c r="A4399" s="81">
        <v>4397</v>
      </c>
      <c r="B4399" s="86" t="s">
        <v>1260</v>
      </c>
      <c r="C4399" s="86" t="s">
        <v>2034</v>
      </c>
      <c r="D4399" s="89" t="str">
        <f ca="1">OFFSET(Roster!$A$3,MATCH(表格1[[#This Row],[Location]]&amp;" "&amp;表格1[[#This Row],[Shop]]&amp;"*",Roster!$A$4:$A$72,0),DAY(表格1[[#This Row],[date]]),1,1)</f>
        <v>Yee</v>
      </c>
      <c r="E4399" s="86">
        <f>MONTH(表格1[[#This Row],[date]])</f>
        <v>3</v>
      </c>
      <c r="F4399" s="90">
        <v>46100</v>
      </c>
      <c r="G4399" s="86" t="str">
        <f>VLOOKUP("*"&amp;表格1[[#This Row],[Input]]&amp;"*",'Ref-List'!$B:$D,2,)</f>
        <v>KT-17DRTHK(H)</v>
      </c>
      <c r="H4399" s="86" t="str">
        <f>_xlfn.XLOOKUP(表格1[[#This Row],[Model]],表格3[Model-Input-Ref2],表格3[Product Line])</f>
        <v>無線雙層電熱水壺(1.7公升)</v>
      </c>
      <c r="I4399" s="86" t="str">
        <f>_xlfn.XLOOKUP(表格1[[#This Row],[Model]],表格3[Model-Input-Ref2],表格3[大小電])</f>
        <v>細電</v>
      </c>
      <c r="J4399" s="86" t="str">
        <f>_xlfn.XLOOKUP(表格1[[#This Row],[Model]],表格3[Model-Input-Ref2],表格3[Code])</f>
        <v>SDA</v>
      </c>
      <c r="K4399" s="89" t="s">
        <v>1271</v>
      </c>
      <c r="L4399" s="86">
        <v>1</v>
      </c>
      <c r="M4399" s="87">
        <v>388</v>
      </c>
      <c r="N4399" s="87">
        <f>IFERROR(表格1[[#This Row],[QTY]]*表格1[[#This Row],[Unit Price]],"-")</f>
        <v>388</v>
      </c>
      <c r="O4399" s="86">
        <v>509155</v>
      </c>
      <c r="R4399" s="86" t="str">
        <f>_xlfn.CONCAT(表格1[[#This Row],[Model]]," ",表格1[[#This Row],[inv no]])</f>
        <v>KT-17DRTHK(H) 509155</v>
      </c>
      <c r="S4399" s="86">
        <f>_xlfn.XLOOKUP(表格1[[#This Row],[Model]],表格3[Model-Input-Ref2],表格3[SRP PRICE])</f>
        <v>498</v>
      </c>
      <c r="T4399" s="43">
        <f>表格1[[#This Row],[Unit Price]]/表格1[[#This Row],[SRP]]</f>
        <v>0.77911646586345384</v>
      </c>
      <c r="U4399" s="86" t="str">
        <f>_xlfn.XLOOKUP(表格1[[#This Row],[Model]],表格3[Model-Input-Ref2],表格3[TOSHIBA/HIGHEST])</f>
        <v>Toshiba SRP</v>
      </c>
      <c r="W4399" s="86" t="str">
        <f>_xlfn.CONCAT(表格1[[#This Row],[欄4]],表格1[[#This Row],[inv no]])</f>
        <v>509155</v>
      </c>
    </row>
    <row r="4400" spans="1:23" hidden="1">
      <c r="A4400" s="81">
        <v>4398</v>
      </c>
      <c r="B4400" s="86" t="s">
        <v>1260</v>
      </c>
      <c r="C4400" s="86" t="s">
        <v>2034</v>
      </c>
      <c r="D4400" s="89" t="str">
        <f ca="1">OFFSET(Roster!$A$3,MATCH(表格1[[#This Row],[Location]]&amp;" "&amp;表格1[[#This Row],[Shop]]&amp;"*",Roster!$A$4:$A$72,0),DAY(表格1[[#This Row],[date]]),1,1)</f>
        <v>Yee</v>
      </c>
      <c r="E4400" s="86">
        <f>MONTH(表格1[[#This Row],[date]])</f>
        <v>3</v>
      </c>
      <c r="F4400" s="90">
        <v>46100</v>
      </c>
      <c r="G4400" s="86" t="str">
        <f>VLOOKUP("*"&amp;表格1[[#This Row],[Input]]&amp;"*",'Ref-List'!$B:$D,2,)</f>
        <v>RC-18NMFIH(WT)</v>
      </c>
      <c r="H4400" s="86" t="str">
        <f>_xlfn.XLOOKUP(表格1[[#This Row],[Model]],表格3[Model-Input-Ref2],表格3[Product Line])</f>
        <v>4毫米厚釜電飯煲1.8L</v>
      </c>
      <c r="I4400" s="86" t="str">
        <f>_xlfn.XLOOKUP(表格1[[#This Row],[Model]],表格3[Model-Input-Ref2],表格3[大小電])</f>
        <v>細電</v>
      </c>
      <c r="J4400" s="86" t="str">
        <f>_xlfn.XLOOKUP(表格1[[#This Row],[Model]],表格3[Model-Input-Ref2],表格3[Code])</f>
        <v>SDA</v>
      </c>
      <c r="K4400" s="89" t="s">
        <v>1267</v>
      </c>
      <c r="L4400" s="86">
        <v>1</v>
      </c>
      <c r="M4400" s="87">
        <v>799</v>
      </c>
      <c r="N4400" s="87">
        <f>IFERROR(表格1[[#This Row],[QTY]]*表格1[[#This Row],[Unit Price]],"-")</f>
        <v>799</v>
      </c>
      <c r="O4400" s="86">
        <v>131688</v>
      </c>
      <c r="R4400" s="86" t="str">
        <f>_xlfn.CONCAT(表格1[[#This Row],[Model]]," ",表格1[[#This Row],[inv no]])</f>
        <v>RC-18NMFIH(WT) 131688</v>
      </c>
      <c r="S4400" s="86">
        <f>_xlfn.XLOOKUP(表格1[[#This Row],[Model]],表格3[Model-Input-Ref2],表格3[SRP PRICE])</f>
        <v>998</v>
      </c>
      <c r="T4400" s="43">
        <f>表格1[[#This Row],[Unit Price]]/表格1[[#This Row],[SRP]]</f>
        <v>0.80060120240480959</v>
      </c>
      <c r="U4400" s="86" t="str">
        <f>_xlfn.XLOOKUP(表格1[[#This Row],[Model]],表格3[Model-Input-Ref2],表格3[TOSHIBA/HIGHEST])</f>
        <v>Toshiba SRP</v>
      </c>
      <c r="W4400" s="86" t="str">
        <f>_xlfn.CONCAT(表格1[[#This Row],[欄4]],表格1[[#This Row],[inv no]])</f>
        <v>131688</v>
      </c>
    </row>
    <row r="4401" spans="1:23" hidden="1">
      <c r="A4401" s="81">
        <v>4399</v>
      </c>
      <c r="B4401" s="86" t="s">
        <v>1260</v>
      </c>
      <c r="C4401" s="86" t="s">
        <v>2034</v>
      </c>
      <c r="D4401" s="89" t="str">
        <f ca="1">OFFSET(Roster!$A$3,MATCH(表格1[[#This Row],[Location]]&amp;" "&amp;表格1[[#This Row],[Shop]]&amp;"*",Roster!$A$4:$A$72,0),DAY(表格1[[#This Row],[date]]),1,1)</f>
        <v>Yee</v>
      </c>
      <c r="E4401" s="86">
        <f>MONTH(表格1[[#This Row],[date]])</f>
        <v>3</v>
      </c>
      <c r="F4401" s="90">
        <v>46100</v>
      </c>
      <c r="G4401" s="86" t="str">
        <f>VLOOKUP("*"&amp;表格1[[#This Row],[Input]]&amp;"*",'Ref-List'!$B:$D,2,)</f>
        <v>RC-10BHH(W)</v>
      </c>
      <c r="H4401" s="86" t="str">
        <f>_xlfn.XLOOKUP(表格1[[#This Row],[Model]],表格3[Model-Input-Ref2],表格3[Product Line])</f>
        <v>酵活炊磁應電飯煲</v>
      </c>
      <c r="I4401" s="86" t="str">
        <f>_xlfn.XLOOKUP(表格1[[#This Row],[Model]],表格3[Model-Input-Ref2],表格3[大小電])</f>
        <v>細電</v>
      </c>
      <c r="J4401" s="86" t="str">
        <f>_xlfn.XLOOKUP(表格1[[#This Row],[Model]],表格3[Model-Input-Ref2],表格3[Code])</f>
        <v>SDA</v>
      </c>
      <c r="K4401" s="89" t="s">
        <v>1269</v>
      </c>
      <c r="L4401" s="86">
        <v>1</v>
      </c>
      <c r="M4401" s="87">
        <v>1688</v>
      </c>
      <c r="N4401" s="87">
        <f>IFERROR(表格1[[#This Row],[QTY]]*表格1[[#This Row],[Unit Price]],"-")</f>
        <v>1688</v>
      </c>
      <c r="O4401" s="86">
        <v>509192</v>
      </c>
      <c r="R4401" s="86" t="str">
        <f>_xlfn.CONCAT(表格1[[#This Row],[Model]]," ",表格1[[#This Row],[inv no]])</f>
        <v>RC-10BHH(W) 509192</v>
      </c>
      <c r="S4401" s="86">
        <f>_xlfn.XLOOKUP(表格1[[#This Row],[Model]],表格3[Model-Input-Ref2],表格3[SRP PRICE])</f>
        <v>2088</v>
      </c>
      <c r="T4401" s="43">
        <f>表格1[[#This Row],[Unit Price]]/表格1[[#This Row],[SRP]]</f>
        <v>0.80842911877394641</v>
      </c>
      <c r="U4401" s="86" t="str">
        <f>_xlfn.XLOOKUP(表格1[[#This Row],[Model]],表格3[Model-Input-Ref2],表格3[TOSHIBA/HIGHEST])</f>
        <v>Shops Highest Price</v>
      </c>
      <c r="W4401" s="86" t="str">
        <f>_xlfn.CONCAT(表格1[[#This Row],[欄4]],表格1[[#This Row],[inv no]])</f>
        <v>509192</v>
      </c>
    </row>
    <row r="4402" spans="1:23" hidden="1">
      <c r="A4402" s="81">
        <v>4400</v>
      </c>
      <c r="B4402" s="86" t="s">
        <v>1260</v>
      </c>
      <c r="C4402" s="86" t="s">
        <v>2034</v>
      </c>
      <c r="D4402" s="89" t="str">
        <f ca="1">OFFSET(Roster!$A$3,MATCH(表格1[[#This Row],[Location]]&amp;" "&amp;表格1[[#This Row],[Shop]]&amp;"*",Roster!$A$4:$A$72,0),DAY(表格1[[#This Row],[date]]),1,1)</f>
        <v>Yee</v>
      </c>
      <c r="E4402" s="86">
        <f>MONTH(表格1[[#This Row],[date]])</f>
        <v>3</v>
      </c>
      <c r="F4402" s="90">
        <v>46101</v>
      </c>
      <c r="G4402" s="86" t="str">
        <f>VLOOKUP("*"&amp;表格1[[#This Row],[Input]]&amp;"*",'Ref-List'!$B:$D,2,)</f>
        <v>MM2-EM20PC(WH)</v>
      </c>
      <c r="H4402" s="86" t="str">
        <f>_xlfn.XLOOKUP(表格1[[#This Row],[Model]],表格3[Model-Input-Ref2],表格3[Product Line])</f>
        <v>輕觸式微波爐 (20公升)</v>
      </c>
      <c r="I4402" s="86" t="str">
        <f>_xlfn.XLOOKUP(表格1[[#This Row],[Model]],表格3[Model-Input-Ref2],表格3[大小電])</f>
        <v>細電</v>
      </c>
      <c r="J4402" s="86" t="str">
        <f>_xlfn.XLOOKUP(表格1[[#This Row],[Model]],表格3[Model-Input-Ref2],表格3[Code])</f>
        <v>MCA</v>
      </c>
      <c r="K4402" s="89" t="s">
        <v>1276</v>
      </c>
      <c r="L4402" s="86">
        <v>1</v>
      </c>
      <c r="M4402" s="87">
        <v>628</v>
      </c>
      <c r="N4402" s="87">
        <f>IFERROR(表格1[[#This Row],[QTY]]*表格1[[#This Row],[Unit Price]],"-")</f>
        <v>628</v>
      </c>
      <c r="O4402" s="86">
        <v>131727</v>
      </c>
      <c r="R4402" s="86" t="str">
        <f>_xlfn.CONCAT(表格1[[#This Row],[Model]]," ",表格1[[#This Row],[inv no]])</f>
        <v>MM2-EM20PC(WH) 131727</v>
      </c>
      <c r="S4402" s="86">
        <f>_xlfn.XLOOKUP(表格1[[#This Row],[Model]],表格3[Model-Input-Ref2],表格3[SRP PRICE])</f>
        <v>788</v>
      </c>
      <c r="T4402" s="43">
        <f>表格1[[#This Row],[Unit Price]]/表格1[[#This Row],[SRP]]</f>
        <v>0.79695431472081213</v>
      </c>
      <c r="U4402" s="86" t="str">
        <f>_xlfn.XLOOKUP(表格1[[#This Row],[Model]],表格3[Model-Input-Ref2],表格3[TOSHIBA/HIGHEST])</f>
        <v>Toshiba SRP</v>
      </c>
      <c r="W4402" s="86" t="str">
        <f>_xlfn.CONCAT(表格1[[#This Row],[欄4]],表格1[[#This Row],[inv no]])</f>
        <v>131727</v>
      </c>
    </row>
    <row r="4403" spans="1:23" hidden="1">
      <c r="A4403" s="81">
        <v>4401</v>
      </c>
      <c r="B4403" s="86" t="s">
        <v>1260</v>
      </c>
      <c r="C4403" s="86" t="s">
        <v>2034</v>
      </c>
      <c r="D4403" s="89" t="str">
        <f ca="1">OFFSET(Roster!$A$3,MATCH(表格1[[#This Row],[Location]]&amp;" "&amp;表格1[[#This Row],[Shop]]&amp;"*",Roster!$A$4:$A$72,0),DAY(表格1[[#This Row],[date]]),1,1)</f>
        <v>Yee</v>
      </c>
      <c r="E4403" s="86">
        <f>MONTH(表格1[[#This Row],[date]])</f>
        <v>3</v>
      </c>
      <c r="F4403" s="90">
        <v>46101</v>
      </c>
      <c r="G4403" s="86" t="str">
        <f>VLOOKUP("*"&amp;表格1[[#This Row],[Input]]&amp;"*",'Ref-List'!$B:$D,2,)</f>
        <v>KT-17DRTHK(H)</v>
      </c>
      <c r="H4403" s="86" t="str">
        <f>_xlfn.XLOOKUP(表格1[[#This Row],[Model]],表格3[Model-Input-Ref2],表格3[Product Line])</f>
        <v>無線雙層電熱水壺(1.7公升)</v>
      </c>
      <c r="I4403" s="86" t="str">
        <f>_xlfn.XLOOKUP(表格1[[#This Row],[Model]],表格3[Model-Input-Ref2],表格3[大小電])</f>
        <v>細電</v>
      </c>
      <c r="J4403" s="86" t="str">
        <f>_xlfn.XLOOKUP(表格1[[#This Row],[Model]],表格3[Model-Input-Ref2],表格3[Code])</f>
        <v>SDA</v>
      </c>
      <c r="K4403" s="89" t="s">
        <v>1271</v>
      </c>
      <c r="L4403" s="86">
        <v>1</v>
      </c>
      <c r="M4403" s="87">
        <v>388</v>
      </c>
      <c r="N4403" s="87">
        <f>IFERROR(表格1[[#This Row],[QTY]]*表格1[[#This Row],[Unit Price]],"-")</f>
        <v>388</v>
      </c>
      <c r="O4403" s="86">
        <v>509283</v>
      </c>
      <c r="R4403" s="86" t="str">
        <f>_xlfn.CONCAT(表格1[[#This Row],[Model]]," ",表格1[[#This Row],[inv no]])</f>
        <v>KT-17DRTHK(H) 509283</v>
      </c>
      <c r="S4403" s="86">
        <f>_xlfn.XLOOKUP(表格1[[#This Row],[Model]],表格3[Model-Input-Ref2],表格3[SRP PRICE])</f>
        <v>498</v>
      </c>
      <c r="T4403" s="43">
        <f>表格1[[#This Row],[Unit Price]]/表格1[[#This Row],[SRP]]</f>
        <v>0.77911646586345384</v>
      </c>
      <c r="U4403" s="86" t="str">
        <f>_xlfn.XLOOKUP(表格1[[#This Row],[Model]],表格3[Model-Input-Ref2],表格3[TOSHIBA/HIGHEST])</f>
        <v>Toshiba SRP</v>
      </c>
      <c r="W4403" s="86" t="str">
        <f>_xlfn.CONCAT(表格1[[#This Row],[欄4]],表格1[[#This Row],[inv no]])</f>
        <v>509283</v>
      </c>
    </row>
    <row r="4404" spans="1:23" hidden="1">
      <c r="A4404" s="81">
        <v>4402</v>
      </c>
      <c r="B4404" s="86" t="s">
        <v>1260</v>
      </c>
      <c r="C4404" s="86" t="s">
        <v>2034</v>
      </c>
      <c r="D4404" s="89" t="str">
        <f ca="1">OFFSET(Roster!$A$3,MATCH(表格1[[#This Row],[Location]]&amp;" "&amp;表格1[[#This Row],[Shop]]&amp;"*",Roster!$A$4:$A$72,0),DAY(表格1[[#This Row],[date]]),1,1)</f>
        <v>Yee</v>
      </c>
      <c r="E4404" s="86">
        <f>MONTH(表格1[[#This Row],[date]])</f>
        <v>3</v>
      </c>
      <c r="F4404" s="90">
        <v>46101</v>
      </c>
      <c r="G4404" s="86" t="str">
        <f>VLOOKUP("*"&amp;表格1[[#This Row],[Input]]&amp;"*",'Ref-List'!$B:$D,2,)</f>
        <v>RC-5MMIH(WT)</v>
      </c>
      <c r="H4404" s="86" t="str">
        <f>_xlfn.XLOOKUP(表格1[[#This Row],[Model]],表格3[Model-Input-Ref2],表格3[Product Line])</f>
        <v>4毫米厚釜電飯煲0.54L</v>
      </c>
      <c r="I4404" s="86" t="str">
        <f>_xlfn.XLOOKUP(表格1[[#This Row],[Model]],表格3[Model-Input-Ref2],表格3[大小電])</f>
        <v>細電</v>
      </c>
      <c r="J4404" s="86" t="str">
        <f>_xlfn.XLOOKUP(表格1[[#This Row],[Model]],表格3[Model-Input-Ref2],表格3[Code])</f>
        <v>SDA</v>
      </c>
      <c r="K4404" s="89" t="s">
        <v>1195</v>
      </c>
      <c r="L4404" s="86">
        <v>1</v>
      </c>
      <c r="M4404" s="87">
        <v>548</v>
      </c>
      <c r="N4404" s="87">
        <f>IFERROR(表格1[[#This Row],[QTY]]*表格1[[#This Row],[Unit Price]],"-")</f>
        <v>548</v>
      </c>
      <c r="O4404" s="86">
        <v>131751</v>
      </c>
      <c r="R4404" s="86" t="str">
        <f>_xlfn.CONCAT(表格1[[#This Row],[Model]]," ",表格1[[#This Row],[inv no]])</f>
        <v>RC-5MMIH(WT) 131751</v>
      </c>
      <c r="S4404" s="86">
        <f>_xlfn.XLOOKUP(表格1[[#This Row],[Model]],表格3[Model-Input-Ref2],表格3[SRP PRICE])</f>
        <v>618</v>
      </c>
      <c r="T4404" s="43">
        <f>表格1[[#This Row],[Unit Price]]/表格1[[#This Row],[SRP]]</f>
        <v>0.88673139158576053</v>
      </c>
      <c r="U4404" s="86" t="str">
        <f>_xlfn.XLOOKUP(表格1[[#This Row],[Model]],表格3[Model-Input-Ref2],表格3[TOSHIBA/HIGHEST])</f>
        <v>Toshiba SRP</v>
      </c>
      <c r="W4404" s="86" t="str">
        <f>_xlfn.CONCAT(表格1[[#This Row],[欄4]],表格1[[#This Row],[inv no]])</f>
        <v>131751</v>
      </c>
    </row>
    <row r="4405" spans="1:23" hidden="1">
      <c r="A4405" s="81">
        <v>4403</v>
      </c>
      <c r="B4405" s="86" t="s">
        <v>1260</v>
      </c>
      <c r="C4405" s="86" t="s">
        <v>2034</v>
      </c>
      <c r="D4405" s="89" t="str">
        <f ca="1">OFFSET(Roster!$A$3,MATCH(表格1[[#This Row],[Location]]&amp;" "&amp;表格1[[#This Row],[Shop]]&amp;"*",Roster!$A$4:$A$72,0),DAY(表格1[[#This Row],[date]]),1,1)</f>
        <v>Yee</v>
      </c>
      <c r="E4405" s="86">
        <f>MONTH(表格1[[#This Row],[date]])</f>
        <v>3</v>
      </c>
      <c r="F4405" s="90">
        <v>46101</v>
      </c>
      <c r="G4405" s="86" t="str">
        <f>VLOOKUP("*"&amp;表格1[[#This Row],[Input]]&amp;"*",'Ref-List'!$B:$D,2,)</f>
        <v>RC-10NMFIH(WT)</v>
      </c>
      <c r="H4405" s="86" t="str">
        <f>_xlfn.XLOOKUP(表格1[[#This Row],[Model]],表格3[Model-Input-Ref2],表格3[Product Line])</f>
        <v>4毫米厚釜電飯煲1L</v>
      </c>
      <c r="I4405" s="86" t="str">
        <f>_xlfn.XLOOKUP(表格1[[#This Row],[Model]],表格3[Model-Input-Ref2],表格3[大小電])</f>
        <v>細電</v>
      </c>
      <c r="J4405" s="86" t="str">
        <f>_xlfn.XLOOKUP(表格1[[#This Row],[Model]],表格3[Model-Input-Ref2],表格3[Code])</f>
        <v>SDA</v>
      </c>
      <c r="K4405" s="89" t="s">
        <v>1244</v>
      </c>
      <c r="L4405" s="86">
        <v>1</v>
      </c>
      <c r="M4405" s="87">
        <v>719</v>
      </c>
      <c r="N4405" s="87">
        <f>IFERROR(表格1[[#This Row],[QTY]]*表格1[[#This Row],[Unit Price]],"-")</f>
        <v>719</v>
      </c>
      <c r="O4405" s="86">
        <v>509325</v>
      </c>
      <c r="R4405" s="86" t="str">
        <f>_xlfn.CONCAT(表格1[[#This Row],[Model]]," ",表格1[[#This Row],[inv no]])</f>
        <v>RC-10NMFIH(WT) 509325</v>
      </c>
      <c r="S4405" s="86">
        <f>_xlfn.XLOOKUP(表格1[[#This Row],[Model]],表格3[Model-Input-Ref2],表格3[SRP PRICE])</f>
        <v>898</v>
      </c>
      <c r="T4405" s="43">
        <f>表格1[[#This Row],[Unit Price]]/表格1[[#This Row],[SRP]]</f>
        <v>0.80066815144766146</v>
      </c>
      <c r="U4405" s="86" t="str">
        <f>_xlfn.XLOOKUP(表格1[[#This Row],[Model]],表格3[Model-Input-Ref2],表格3[TOSHIBA/HIGHEST])</f>
        <v>Toshiba SRP</v>
      </c>
      <c r="W4405" s="86" t="str">
        <f>_xlfn.CONCAT(表格1[[#This Row],[欄4]],表格1[[#This Row],[inv no]])</f>
        <v>509325</v>
      </c>
    </row>
    <row r="4406" spans="1:23" hidden="1">
      <c r="A4406" s="81">
        <v>4404</v>
      </c>
      <c r="B4406" s="86" t="s">
        <v>1260</v>
      </c>
      <c r="C4406" s="86" t="s">
        <v>2034</v>
      </c>
      <c r="D4406" s="89" t="str">
        <f ca="1">OFFSET(Roster!$A$3,MATCH(表格1[[#This Row],[Location]]&amp;" "&amp;表格1[[#This Row],[Shop]]&amp;"*",Roster!$A$4:$A$72,0),DAY(表格1[[#This Row],[date]]),1,1)</f>
        <v>Yee</v>
      </c>
      <c r="E4406" s="86">
        <f>MONTH(表格1[[#This Row],[date]])</f>
        <v>3</v>
      </c>
      <c r="F4406" s="90">
        <v>46101</v>
      </c>
      <c r="G4406" s="86" t="str">
        <f>VLOOKUP("*"&amp;表格1[[#This Row],[Input]]&amp;"*",'Ref-List'!$B:$D,2,)</f>
        <v>RC-10NMFIH(WT)</v>
      </c>
      <c r="H4406" s="86" t="str">
        <f>_xlfn.XLOOKUP(表格1[[#This Row],[Model]],表格3[Model-Input-Ref2],表格3[Product Line])</f>
        <v>4毫米厚釜電飯煲1L</v>
      </c>
      <c r="I4406" s="86" t="str">
        <f>_xlfn.XLOOKUP(表格1[[#This Row],[Model]],表格3[Model-Input-Ref2],表格3[大小電])</f>
        <v>細電</v>
      </c>
      <c r="J4406" s="86" t="str">
        <f>_xlfn.XLOOKUP(表格1[[#This Row],[Model]],表格3[Model-Input-Ref2],表格3[Code])</f>
        <v>SDA</v>
      </c>
      <c r="K4406" s="89" t="s">
        <v>1244</v>
      </c>
      <c r="L4406" s="86">
        <v>1</v>
      </c>
      <c r="M4406" s="87">
        <v>719</v>
      </c>
      <c r="N4406" s="87">
        <f>IFERROR(表格1[[#This Row],[QTY]]*表格1[[#This Row],[Unit Price]],"-")</f>
        <v>719</v>
      </c>
      <c r="O4406" s="86">
        <v>509383</v>
      </c>
      <c r="R4406" s="86" t="str">
        <f>_xlfn.CONCAT(表格1[[#This Row],[Model]]," ",表格1[[#This Row],[inv no]])</f>
        <v>RC-10NMFIH(WT) 509383</v>
      </c>
      <c r="S4406" s="86">
        <f>_xlfn.XLOOKUP(表格1[[#This Row],[Model]],表格3[Model-Input-Ref2],表格3[SRP PRICE])</f>
        <v>898</v>
      </c>
      <c r="T4406" s="43">
        <f>表格1[[#This Row],[Unit Price]]/表格1[[#This Row],[SRP]]</f>
        <v>0.80066815144766146</v>
      </c>
      <c r="U4406" s="86" t="str">
        <f>_xlfn.XLOOKUP(表格1[[#This Row],[Model]],表格3[Model-Input-Ref2],表格3[TOSHIBA/HIGHEST])</f>
        <v>Toshiba SRP</v>
      </c>
      <c r="W4406" s="86" t="str">
        <f>_xlfn.CONCAT(表格1[[#This Row],[欄4]],表格1[[#This Row],[inv no]])</f>
        <v>509383</v>
      </c>
    </row>
    <row r="4407" spans="1:23" hidden="1">
      <c r="A4407" s="81">
        <v>4405</v>
      </c>
      <c r="B4407" s="86" t="s">
        <v>1260</v>
      </c>
      <c r="C4407" s="86" t="s">
        <v>2034</v>
      </c>
      <c r="D4407" s="89" t="str">
        <f ca="1">OFFSET(Roster!$A$3,MATCH(表格1[[#This Row],[Location]]&amp;" "&amp;表格1[[#This Row],[Shop]]&amp;"*",Roster!$A$4:$A$72,0),DAY(表格1[[#This Row],[date]]),1,1)</f>
        <v>Yee</v>
      </c>
      <c r="E4407" s="86">
        <f>MONTH(表格1[[#This Row],[date]])</f>
        <v>3</v>
      </c>
      <c r="F4407" s="90">
        <v>46101</v>
      </c>
      <c r="G4407" s="86" t="str">
        <f>VLOOKUP("*"&amp;表格1[[#This Row],[Input]]&amp;"*",'Ref-List'!$B:$D,2,)</f>
        <v>MM2-EG20PC(WH)</v>
      </c>
      <c r="H4407" s="86" t="str">
        <f>_xlfn.XLOOKUP(表格1[[#This Row],[Model]],表格3[Model-Input-Ref2],表格3[Product Line])</f>
        <v>輕觸式燒烤微波爐</v>
      </c>
      <c r="I4407" s="86" t="str">
        <f>_xlfn.XLOOKUP(表格1[[#This Row],[Model]],表格3[Model-Input-Ref2],表格3[大小電])</f>
        <v>細電</v>
      </c>
      <c r="J4407" s="86" t="str">
        <f>_xlfn.XLOOKUP(表格1[[#This Row],[Model]],表格3[Model-Input-Ref2],表格3[Code])</f>
        <v>MCA</v>
      </c>
      <c r="K4407" s="89" t="s">
        <v>1273</v>
      </c>
      <c r="L4407" s="86">
        <v>1</v>
      </c>
      <c r="M4407" s="87">
        <v>698</v>
      </c>
      <c r="N4407" s="87">
        <f>IFERROR(表格1[[#This Row],[QTY]]*表格1[[#This Row],[Unit Price]],"-")</f>
        <v>698</v>
      </c>
      <c r="O4407" s="86">
        <v>131779</v>
      </c>
      <c r="R4407" s="86" t="str">
        <f>_xlfn.CONCAT(表格1[[#This Row],[Model]]," ",表格1[[#This Row],[inv no]])</f>
        <v>MM2-EG20PC(WH) 131779</v>
      </c>
      <c r="S4407" s="86">
        <f>_xlfn.XLOOKUP(表格1[[#This Row],[Model]],表格3[Model-Input-Ref2],表格3[SRP PRICE])</f>
        <v>918</v>
      </c>
      <c r="T4407" s="43">
        <f>表格1[[#This Row],[Unit Price]]/表格1[[#This Row],[SRP]]</f>
        <v>0.76034858387799564</v>
      </c>
      <c r="U4407" s="86" t="str">
        <f>_xlfn.XLOOKUP(表格1[[#This Row],[Model]],表格3[Model-Input-Ref2],表格3[TOSHIBA/HIGHEST])</f>
        <v>Shops Highest Price</v>
      </c>
      <c r="W4407" s="86" t="str">
        <f>_xlfn.CONCAT(表格1[[#This Row],[欄4]],表格1[[#This Row],[inv no]])</f>
        <v>131779</v>
      </c>
    </row>
    <row r="4408" spans="1:23" hidden="1">
      <c r="A4408" s="81">
        <v>4406</v>
      </c>
      <c r="B4408" s="86" t="s">
        <v>1260</v>
      </c>
      <c r="C4408" s="86" t="s">
        <v>2034</v>
      </c>
      <c r="D4408" s="89" t="str">
        <f ca="1">OFFSET(Roster!$A$3,MATCH(表格1[[#This Row],[Location]]&amp;" "&amp;表格1[[#This Row],[Shop]]&amp;"*",Roster!$A$4:$A$72,0),DAY(表格1[[#This Row],[date]]),1,1)</f>
        <v>Yee</v>
      </c>
      <c r="E4408" s="86">
        <f>MONTH(表格1[[#This Row],[date]])</f>
        <v>3</v>
      </c>
      <c r="F4408" s="90">
        <v>46101</v>
      </c>
      <c r="G4408" s="86" t="str">
        <f>VLOOKUP("*"&amp;表格1[[#This Row],[Input]]&amp;"*",'Ref-List'!$B:$D,2,)</f>
        <v>RC-5SLIH(W)</v>
      </c>
      <c r="H4408" s="86" t="str">
        <f>_xlfn.XLOOKUP(表格1[[#This Row],[Model]],表格3[Model-Input-Ref2],表格3[Product Line])</f>
        <v>微型電腦珍珠飯煲</v>
      </c>
      <c r="I4408" s="86" t="str">
        <f>_xlfn.XLOOKUP(表格1[[#This Row],[Model]],表格3[Model-Input-Ref2],表格3[大小電])</f>
        <v>細電</v>
      </c>
      <c r="J4408" s="86" t="str">
        <f>_xlfn.XLOOKUP(表格1[[#This Row],[Model]],表格3[Model-Input-Ref2],表格3[Code])</f>
        <v>SDA</v>
      </c>
      <c r="K4408" s="89" t="s">
        <v>1264</v>
      </c>
      <c r="L4408" s="86">
        <v>1</v>
      </c>
      <c r="M4408" s="87">
        <v>593</v>
      </c>
      <c r="N4408" s="87">
        <f>IFERROR(表格1[[#This Row],[QTY]]*表格1[[#This Row],[Unit Price]],"-")</f>
        <v>593</v>
      </c>
      <c r="O4408" s="86">
        <v>509421</v>
      </c>
      <c r="R4408" s="86" t="str">
        <f>_xlfn.CONCAT(表格1[[#This Row],[Model]]," ",表格1[[#This Row],[inv no]])</f>
        <v>RC-5SLIH(W) 509421</v>
      </c>
      <c r="S4408" s="86">
        <f>_xlfn.XLOOKUP(表格1[[#This Row],[Model]],表格3[Model-Input-Ref2],表格3[SRP PRICE])</f>
        <v>658</v>
      </c>
      <c r="T4408" s="43">
        <f>表格1[[#This Row],[Unit Price]]/表格1[[#This Row],[SRP]]</f>
        <v>0.90121580547112456</v>
      </c>
      <c r="U4408" s="86" t="str">
        <f>_xlfn.XLOOKUP(表格1[[#This Row],[Model]],表格3[Model-Input-Ref2],表格3[TOSHIBA/HIGHEST])</f>
        <v>Toshiba SRP</v>
      </c>
      <c r="W4408" s="86" t="str">
        <f>_xlfn.CONCAT(表格1[[#This Row],[欄4]],表格1[[#This Row],[inv no]])</f>
        <v>509421</v>
      </c>
    </row>
    <row r="4409" spans="1:23" hidden="1">
      <c r="A4409" s="81">
        <v>4407</v>
      </c>
      <c r="B4409" s="86" t="s">
        <v>1260</v>
      </c>
      <c r="C4409" s="86" t="s">
        <v>2034</v>
      </c>
      <c r="D4409" s="89" t="str">
        <f ca="1">OFFSET(Roster!$A$3,MATCH(表格1[[#This Row],[Location]]&amp;" "&amp;表格1[[#This Row],[Shop]]&amp;"*",Roster!$A$4:$A$72,0),DAY(表格1[[#This Row],[date]]),1,1)</f>
        <v>Yee</v>
      </c>
      <c r="E4409" s="86">
        <f>MONTH(表格1[[#This Row],[date]])</f>
        <v>3</v>
      </c>
      <c r="F4409" s="90">
        <v>46101</v>
      </c>
      <c r="G4409" s="86" t="str">
        <f>VLOOKUP("*"&amp;表格1[[#This Row],[Input]]&amp;"*",'Ref-List'!$B:$D,2,)</f>
        <v>RC-10DRNH</v>
      </c>
      <c r="H4409" s="86" t="str">
        <f>_xlfn.XLOOKUP(表格1[[#This Row],[Model]],表格3[Model-Input-Ref2],表格3[Product Line])</f>
        <v>多功能備長炭本厚釜電飯煲1L</v>
      </c>
      <c r="I4409" s="86" t="str">
        <f>_xlfn.XLOOKUP(表格1[[#This Row],[Model]],表格3[Model-Input-Ref2],表格3[大小電])</f>
        <v>細電</v>
      </c>
      <c r="J4409" s="86" t="str">
        <f>_xlfn.XLOOKUP(表格1[[#This Row],[Model]],表格3[Model-Input-Ref2],表格3[Code])</f>
        <v>SDA</v>
      </c>
      <c r="K4409" s="89" t="s">
        <v>1376</v>
      </c>
      <c r="L4409" s="86">
        <v>1</v>
      </c>
      <c r="M4409" s="87">
        <v>549</v>
      </c>
      <c r="N4409" s="87">
        <f>IFERROR(表格1[[#This Row],[QTY]]*表格1[[#This Row],[Unit Price]],"-")</f>
        <v>549</v>
      </c>
      <c r="O4409" s="86">
        <v>131829</v>
      </c>
      <c r="R4409" s="86" t="str">
        <f>_xlfn.CONCAT(表格1[[#This Row],[Model]]," ",表格1[[#This Row],[inv no]])</f>
        <v>RC-10DRNH 131829</v>
      </c>
      <c r="S4409" s="86">
        <f>_xlfn.XLOOKUP(表格1[[#This Row],[Model]],表格3[Model-Input-Ref2],表格3[SRP PRICE])</f>
        <v>798</v>
      </c>
      <c r="T4409" s="43">
        <f>表格1[[#This Row],[Unit Price]]/表格1[[#This Row],[SRP]]</f>
        <v>0.68796992481203012</v>
      </c>
      <c r="U4409" s="86" t="str">
        <f>_xlfn.XLOOKUP(表格1[[#This Row],[Model]],表格3[Model-Input-Ref2],表格3[TOSHIBA/HIGHEST])</f>
        <v>Toshiba SRP</v>
      </c>
      <c r="W4409" s="86" t="str">
        <f>_xlfn.CONCAT(表格1[[#This Row],[欄4]],表格1[[#This Row],[inv no]])</f>
        <v>131829</v>
      </c>
    </row>
    <row r="4410" spans="1:23" hidden="1">
      <c r="A4410" s="81">
        <v>4408</v>
      </c>
      <c r="B4410" s="86" t="s">
        <v>1260</v>
      </c>
      <c r="C4410" s="86" t="s">
        <v>2034</v>
      </c>
      <c r="D4410" s="89" t="str">
        <f ca="1">OFFSET(Roster!$A$3,MATCH(表格1[[#This Row],[Location]]&amp;" "&amp;表格1[[#This Row],[Shop]]&amp;"*",Roster!$A$4:$A$72,0),DAY(表格1[[#This Row],[date]]),1,1)</f>
        <v>Yee</v>
      </c>
      <c r="E4410" s="86">
        <f>MONTH(表格1[[#This Row],[date]])</f>
        <v>3</v>
      </c>
      <c r="F4410" s="90">
        <v>46101</v>
      </c>
      <c r="G4410" s="86" t="str">
        <f>VLOOKUP("*"&amp;表格1[[#This Row],[Input]]&amp;"*",'Ref-List'!$B:$D,2,)</f>
        <v>IC-20R1THK</v>
      </c>
      <c r="H4410" s="86" t="str">
        <f>_xlfn.XLOOKUP(表格1[[#This Row],[Model]],表格3[Model-Input-Ref2],表格3[Product Line])</f>
        <v>輕便式電磁爐</v>
      </c>
      <c r="I4410" s="86" t="str">
        <f>_xlfn.XLOOKUP(表格1[[#This Row],[Model]],表格3[Model-Input-Ref2],表格3[大小電])</f>
        <v>細電</v>
      </c>
      <c r="J4410" s="86" t="str">
        <f>_xlfn.XLOOKUP(表格1[[#This Row],[Model]],表格3[Model-Input-Ref2],表格3[Code])</f>
        <v>SDA</v>
      </c>
      <c r="K4410" s="89" t="s">
        <v>1243</v>
      </c>
      <c r="L4410" s="86">
        <v>1</v>
      </c>
      <c r="M4410" s="87">
        <v>298</v>
      </c>
      <c r="N4410" s="87">
        <f>IFERROR(表格1[[#This Row],[QTY]]*表格1[[#This Row],[Unit Price]],"-")</f>
        <v>298</v>
      </c>
      <c r="O4410" s="86">
        <v>357591</v>
      </c>
      <c r="R4410" s="86" t="str">
        <f>_xlfn.CONCAT(表格1[[#This Row],[Model]]," ",表格1[[#This Row],[inv no]])</f>
        <v>IC-20R1THK 357591</v>
      </c>
      <c r="S4410" s="86">
        <f>_xlfn.XLOOKUP(表格1[[#This Row],[Model]],表格3[Model-Input-Ref2],表格3[SRP PRICE])</f>
        <v>438</v>
      </c>
      <c r="T4410" s="43">
        <f>表格1[[#This Row],[Unit Price]]/表格1[[#This Row],[SRP]]</f>
        <v>0.68036529680365299</v>
      </c>
      <c r="U4410" s="86" t="str">
        <f>_xlfn.XLOOKUP(表格1[[#This Row],[Model]],表格3[Model-Input-Ref2],表格3[TOSHIBA/HIGHEST])</f>
        <v>Shops Highest Price</v>
      </c>
      <c r="W4410" s="86" t="str">
        <f>_xlfn.CONCAT(表格1[[#This Row],[欄4]],表格1[[#This Row],[inv no]])</f>
        <v>357591</v>
      </c>
    </row>
    <row r="4411" spans="1:23" hidden="1">
      <c r="A4411" s="81">
        <v>4409</v>
      </c>
      <c r="B4411" s="86" t="s">
        <v>1260</v>
      </c>
      <c r="C4411" s="86" t="s">
        <v>2034</v>
      </c>
      <c r="D4411" s="89" t="str">
        <f ca="1">OFFSET(Roster!$A$3,MATCH(表格1[[#This Row],[Location]]&amp;" "&amp;表格1[[#This Row],[Shop]]&amp;"*",Roster!$A$4:$A$72,0),DAY(表格1[[#This Row],[date]]),1,1)</f>
        <v>Yee</v>
      </c>
      <c r="E4411" s="86">
        <f>MONTH(表格1[[#This Row],[date]])</f>
        <v>3</v>
      </c>
      <c r="F4411" s="90">
        <v>46102</v>
      </c>
      <c r="G4411" s="86" t="str">
        <f>VLOOKUP("*"&amp;表格1[[#This Row],[Input]]&amp;"*",'Ref-List'!$B:$D,2,)</f>
        <v>ET-TD7080(PN)</v>
      </c>
      <c r="H4411" s="86" t="str">
        <f>_xlfn.XLOOKUP(表格1[[#This Row],[Model]],表格3[Model-Input-Ref2],表格3[Product Line])</f>
        <v>多士焗爐8L</v>
      </c>
      <c r="I4411" s="86" t="str">
        <f>_xlfn.XLOOKUP(表格1[[#This Row],[Model]],表格3[Model-Input-Ref2],表格3[大小電])</f>
        <v>細電</v>
      </c>
      <c r="J4411" s="86" t="str">
        <f>_xlfn.XLOOKUP(表格1[[#This Row],[Model]],表格3[Model-Input-Ref2],表格3[Code])</f>
        <v>SDA</v>
      </c>
      <c r="K4411" s="89">
        <v>7080</v>
      </c>
      <c r="L4411" s="86">
        <v>1</v>
      </c>
      <c r="M4411" s="87">
        <v>338</v>
      </c>
      <c r="N4411" s="87">
        <f>IFERROR(表格1[[#This Row],[QTY]]*表格1[[#This Row],[Unit Price]],"-")</f>
        <v>338</v>
      </c>
      <c r="O4411" s="86">
        <v>509560</v>
      </c>
      <c r="R4411" s="86" t="str">
        <f>_xlfn.CONCAT(表格1[[#This Row],[Model]]," ",表格1[[#This Row],[inv no]])</f>
        <v>ET-TD7080(PN) 509560</v>
      </c>
      <c r="S4411" s="86">
        <f>_xlfn.XLOOKUP(表格1[[#This Row],[Model]],表格3[Model-Input-Ref2],表格3[SRP PRICE])</f>
        <v>498</v>
      </c>
      <c r="T4411" s="43">
        <f>表格1[[#This Row],[Unit Price]]/表格1[[#This Row],[SRP]]</f>
        <v>0.67871485943775101</v>
      </c>
      <c r="U4411" s="86" t="str">
        <f>_xlfn.XLOOKUP(表格1[[#This Row],[Model]],表格3[Model-Input-Ref2],表格3[TOSHIBA/HIGHEST])</f>
        <v>Toshiba SRP</v>
      </c>
      <c r="W4411" s="86" t="str">
        <f>_xlfn.CONCAT(表格1[[#This Row],[欄4]],表格1[[#This Row],[inv no]])</f>
        <v>509560</v>
      </c>
    </row>
    <row r="4412" spans="1:23" hidden="1">
      <c r="A4412" s="81">
        <v>4410</v>
      </c>
      <c r="B4412" s="86" t="s">
        <v>1260</v>
      </c>
      <c r="C4412" s="86" t="s">
        <v>2034</v>
      </c>
      <c r="D4412" s="89" t="str">
        <f ca="1">OFFSET(Roster!$A$3,MATCH(表格1[[#This Row],[Location]]&amp;" "&amp;表格1[[#This Row],[Shop]]&amp;"*",Roster!$A$4:$A$72,0),DAY(表格1[[#This Row],[date]]),1,1)</f>
        <v>Yee</v>
      </c>
      <c r="E4412" s="86">
        <f>MONTH(表格1[[#This Row],[date]])</f>
        <v>3</v>
      </c>
      <c r="F4412" s="90">
        <v>46102</v>
      </c>
      <c r="G4412" s="86" t="str">
        <f>VLOOKUP("*"&amp;表格1[[#This Row],[Input]]&amp;"*",'Ref-List'!$B:$D,2,)</f>
        <v>MX2-TT20SC(WH)</v>
      </c>
      <c r="H4412" s="86" t="str">
        <f>_xlfn.XLOOKUP(表格1[[#This Row],[Model]],表格3[Model-Input-Ref2],表格3[Product Line])</f>
        <v>3合1 微波蒸焗爐 (20公升)</v>
      </c>
      <c r="I4412" s="86" t="str">
        <f>_xlfn.XLOOKUP(表格1[[#This Row],[Model]],表格3[Model-Input-Ref2],表格3[大小電])</f>
        <v>細電</v>
      </c>
      <c r="J4412" s="86" t="str">
        <f>_xlfn.XLOOKUP(表格1[[#This Row],[Model]],表格3[Model-Input-Ref2],表格3[Code])</f>
        <v>MCA</v>
      </c>
      <c r="K4412" s="89" t="s">
        <v>1287</v>
      </c>
      <c r="L4412" s="86">
        <v>1</v>
      </c>
      <c r="M4412" s="87">
        <v>2580</v>
      </c>
      <c r="N4412" s="87">
        <f>IFERROR(表格1[[#This Row],[QTY]]*表格1[[#This Row],[Unit Price]],"-")</f>
        <v>2580</v>
      </c>
      <c r="O4412" s="86">
        <v>509566</v>
      </c>
      <c r="R4412" s="86" t="str">
        <f>_xlfn.CONCAT(表格1[[#This Row],[Model]]," ",表格1[[#This Row],[inv no]])</f>
        <v>MX2-TT20SC(WH) 509566</v>
      </c>
      <c r="S4412" s="86">
        <f>_xlfn.XLOOKUP(表格1[[#This Row],[Model]],表格3[Model-Input-Ref2],表格3[SRP PRICE])</f>
        <v>3580</v>
      </c>
      <c r="T4412" s="43">
        <f>表格1[[#This Row],[Unit Price]]/表格1[[#This Row],[SRP]]</f>
        <v>0.72067039106145248</v>
      </c>
      <c r="U4412" s="86" t="str">
        <f>_xlfn.XLOOKUP(表格1[[#This Row],[Model]],表格3[Model-Input-Ref2],表格3[TOSHIBA/HIGHEST])</f>
        <v>Toshiba SRP</v>
      </c>
      <c r="W4412" s="86" t="str">
        <f>_xlfn.CONCAT(表格1[[#This Row],[欄4]],表格1[[#This Row],[inv no]])</f>
        <v>509566</v>
      </c>
    </row>
    <row r="4413" spans="1:23" hidden="1">
      <c r="A4413" s="81">
        <v>4411</v>
      </c>
      <c r="B4413" s="86" t="s">
        <v>1260</v>
      </c>
      <c r="C4413" s="86" t="s">
        <v>2034</v>
      </c>
      <c r="D4413" s="89" t="str">
        <f ca="1">OFFSET(Roster!$A$3,MATCH(表格1[[#This Row],[Location]]&amp;" "&amp;表格1[[#This Row],[Shop]]&amp;"*",Roster!$A$4:$A$72,0),DAY(表格1[[#This Row],[date]]),1,1)</f>
        <v>Yee</v>
      </c>
      <c r="E4413" s="86">
        <f>MONTH(表格1[[#This Row],[date]])</f>
        <v>3</v>
      </c>
      <c r="F4413" s="90">
        <v>46102</v>
      </c>
      <c r="G4413" s="86" t="str">
        <f>VLOOKUP("*"&amp;表格1[[#This Row],[Input]]&amp;"*",'Ref-List'!$B:$D,2,)</f>
        <v>F-LYA20(W)HKG</v>
      </c>
      <c r="H4413" s="86" t="str">
        <f>_xlfn.XLOOKUP(表格1[[#This Row],[Model]],表格3[Model-Input-Ref2],表格3[Product Line])</f>
        <v>12吋2合1座地座檯電風扇連遙控</v>
      </c>
      <c r="I4413" s="86" t="str">
        <f>_xlfn.XLOOKUP(表格1[[#This Row],[Model]],表格3[Model-Input-Ref2],表格3[大小電])</f>
        <v>細電</v>
      </c>
      <c r="J4413" s="86" t="str">
        <f>_xlfn.XLOOKUP(表格1[[#This Row],[Model]],表格3[Model-Input-Ref2],表格3[Code])</f>
        <v>EAD</v>
      </c>
      <c r="K4413" s="89" t="s">
        <v>1391</v>
      </c>
      <c r="L4413" s="86">
        <v>1</v>
      </c>
      <c r="M4413" s="87">
        <v>368</v>
      </c>
      <c r="N4413" s="87">
        <f>IFERROR(表格1[[#This Row],[QTY]]*表格1[[#This Row],[Unit Price]],"-")</f>
        <v>368</v>
      </c>
      <c r="O4413" s="86">
        <v>509560</v>
      </c>
      <c r="R4413" s="86" t="str">
        <f>_xlfn.CONCAT(表格1[[#This Row],[Model]]," ",表格1[[#This Row],[inv no]])</f>
        <v>F-LYA20(W)HKG 509560</v>
      </c>
      <c r="S4413" s="86">
        <f>_xlfn.XLOOKUP(表格1[[#This Row],[Model]],表格3[Model-Input-Ref2],表格3[SRP PRICE])</f>
        <v>988</v>
      </c>
      <c r="T4413" s="43">
        <f>表格1[[#This Row],[Unit Price]]/表格1[[#This Row],[SRP]]</f>
        <v>0.37246963562753038</v>
      </c>
      <c r="U4413" s="86" t="str">
        <f>_xlfn.XLOOKUP(表格1[[#This Row],[Model]],表格3[Model-Input-Ref2],表格3[TOSHIBA/HIGHEST])</f>
        <v>Toshiba SRP</v>
      </c>
      <c r="W4413" s="86" t="str">
        <f>_xlfn.CONCAT(表格1[[#This Row],[欄4]],表格1[[#This Row],[inv no]])</f>
        <v>509560</v>
      </c>
    </row>
    <row r="4414" spans="1:23" hidden="1">
      <c r="A4414" s="81">
        <v>4412</v>
      </c>
      <c r="B4414" s="86" t="s">
        <v>1260</v>
      </c>
      <c r="C4414" s="86" t="s">
        <v>2034</v>
      </c>
      <c r="D4414" s="89" t="str">
        <f ca="1">OFFSET(Roster!$A$3,MATCH(表格1[[#This Row],[Location]]&amp;" "&amp;表格1[[#This Row],[Shop]]&amp;"*",Roster!$A$4:$A$72,0),DAY(表格1[[#This Row],[date]]),1,1)</f>
        <v>Yee</v>
      </c>
      <c r="E4414" s="86">
        <f>MONTH(表格1[[#This Row],[date]])</f>
        <v>3</v>
      </c>
      <c r="F4414" s="90">
        <v>46102</v>
      </c>
      <c r="G4414" s="86" t="str">
        <f>VLOOKUP("*"&amp;表格1[[#This Row],[Input]]&amp;"*",'Ref-List'!$B:$D,2,)</f>
        <v>RC-10IRPH</v>
      </c>
      <c r="H4414" s="86" t="str">
        <f>_xlfn.XLOOKUP(表格1[[#This Row],[Model]],表格3[Model-Input-Ref2],表格3[Product Line])</f>
        <v>低醣磁應電飯煲1L</v>
      </c>
      <c r="I4414" s="86" t="str">
        <f>_xlfn.XLOOKUP(表格1[[#This Row],[Model]],表格3[Model-Input-Ref2],表格3[大小電])</f>
        <v>細電</v>
      </c>
      <c r="J4414" s="86" t="str">
        <f>_xlfn.XLOOKUP(表格1[[#This Row],[Model]],表格3[Model-Input-Ref2],表格3[Code])</f>
        <v>SDA</v>
      </c>
      <c r="K4414" s="89" t="s">
        <v>1297</v>
      </c>
      <c r="L4414" s="86">
        <v>1</v>
      </c>
      <c r="M4414" s="87">
        <v>898</v>
      </c>
      <c r="N4414" s="87">
        <f>IFERROR(表格1[[#This Row],[QTY]]*表格1[[#This Row],[Unit Price]],"-")</f>
        <v>898</v>
      </c>
      <c r="O4414" s="86">
        <v>131959</v>
      </c>
      <c r="R4414" s="86" t="str">
        <f>_xlfn.CONCAT(表格1[[#This Row],[Model]]," ",表格1[[#This Row],[inv no]])</f>
        <v>RC-10IRPH 131959</v>
      </c>
      <c r="S4414" s="86">
        <f>_xlfn.XLOOKUP(表格1[[#This Row],[Model]],表格3[Model-Input-Ref2],表格3[SRP PRICE])</f>
        <v>1388</v>
      </c>
      <c r="T4414" s="43">
        <f>表格1[[#This Row],[Unit Price]]/表格1[[#This Row],[SRP]]</f>
        <v>0.64697406340057639</v>
      </c>
      <c r="U4414" s="86" t="str">
        <f>_xlfn.XLOOKUP(表格1[[#This Row],[Model]],表格3[Model-Input-Ref2],表格3[TOSHIBA/HIGHEST])</f>
        <v>Toshiba SRP</v>
      </c>
      <c r="W4414" s="86" t="str">
        <f>_xlfn.CONCAT(表格1[[#This Row],[欄4]],表格1[[#This Row],[inv no]])</f>
        <v>131959</v>
      </c>
    </row>
    <row r="4415" spans="1:23" hidden="1">
      <c r="A4415" s="81">
        <v>4413</v>
      </c>
      <c r="B4415" s="86" t="s">
        <v>1260</v>
      </c>
      <c r="C4415" s="86" t="s">
        <v>2034</v>
      </c>
      <c r="D4415" s="89" t="str">
        <f ca="1">OFFSET(Roster!$A$3,MATCH(表格1[[#This Row],[Location]]&amp;" "&amp;表格1[[#This Row],[Shop]]&amp;"*",Roster!$A$4:$A$72,0),DAY(表格1[[#This Row],[date]]),1,1)</f>
        <v>Yee</v>
      </c>
      <c r="E4415" s="86">
        <f>MONTH(表格1[[#This Row],[date]])</f>
        <v>3</v>
      </c>
      <c r="F4415" s="90">
        <v>46102</v>
      </c>
      <c r="G4415" s="86" t="str">
        <f>VLOOKUP("*"&amp;表格1[[#This Row],[Input]]&amp;"*",'Ref-List'!$B:$D,2,)</f>
        <v>RC-5SLIH(W)</v>
      </c>
      <c r="H4415" s="86" t="str">
        <f>_xlfn.XLOOKUP(表格1[[#This Row],[Model]],表格3[Model-Input-Ref2],表格3[Product Line])</f>
        <v>微型電腦珍珠飯煲</v>
      </c>
      <c r="I4415" s="86" t="str">
        <f>_xlfn.XLOOKUP(表格1[[#This Row],[Model]],表格3[Model-Input-Ref2],表格3[大小電])</f>
        <v>細電</v>
      </c>
      <c r="J4415" s="86" t="str">
        <f>_xlfn.XLOOKUP(表格1[[#This Row],[Model]],表格3[Model-Input-Ref2],表格3[Code])</f>
        <v>SDA</v>
      </c>
      <c r="K4415" s="89" t="s">
        <v>1264</v>
      </c>
      <c r="L4415" s="86">
        <v>1</v>
      </c>
      <c r="M4415" s="87">
        <v>593</v>
      </c>
      <c r="N4415" s="87">
        <f>IFERROR(表格1[[#This Row],[QTY]]*表格1[[#This Row],[Unit Price]],"-")</f>
        <v>593</v>
      </c>
      <c r="O4415" s="86">
        <v>509661</v>
      </c>
      <c r="R4415" s="86" t="str">
        <f>_xlfn.CONCAT(表格1[[#This Row],[Model]]," ",表格1[[#This Row],[inv no]])</f>
        <v>RC-5SLIH(W) 509661</v>
      </c>
      <c r="S4415" s="86">
        <f>_xlfn.XLOOKUP(表格1[[#This Row],[Model]],表格3[Model-Input-Ref2],表格3[SRP PRICE])</f>
        <v>658</v>
      </c>
      <c r="T4415" s="43">
        <f>表格1[[#This Row],[Unit Price]]/表格1[[#This Row],[SRP]]</f>
        <v>0.90121580547112456</v>
      </c>
      <c r="U4415" s="86" t="str">
        <f>_xlfn.XLOOKUP(表格1[[#This Row],[Model]],表格3[Model-Input-Ref2],表格3[TOSHIBA/HIGHEST])</f>
        <v>Toshiba SRP</v>
      </c>
      <c r="W4415" s="86" t="str">
        <f>_xlfn.CONCAT(表格1[[#This Row],[欄4]],表格1[[#This Row],[inv no]])</f>
        <v>509661</v>
      </c>
    </row>
    <row r="4416" spans="1:23" hidden="1">
      <c r="A4416" s="81">
        <v>4414</v>
      </c>
      <c r="B4416" s="86" t="s">
        <v>1260</v>
      </c>
      <c r="C4416" s="86" t="s">
        <v>2034</v>
      </c>
      <c r="D4416" s="89" t="str">
        <f ca="1">OFFSET(Roster!$A$3,MATCH(表格1[[#This Row],[Location]]&amp;" "&amp;表格1[[#This Row],[Shop]]&amp;"*",Roster!$A$4:$A$72,0),DAY(表格1[[#This Row],[date]]),1,1)</f>
        <v>Yee</v>
      </c>
      <c r="E4416" s="86">
        <f>MONTH(表格1[[#This Row],[date]])</f>
        <v>3</v>
      </c>
      <c r="F4416" s="90">
        <v>46102</v>
      </c>
      <c r="G4416" s="86" t="str">
        <f>VLOOKUP("*"&amp;表格1[[#This Row],[Input]]&amp;"*",'Ref-List'!$B:$D,2,)</f>
        <v>KT-17SHNH</v>
      </c>
      <c r="H4416" s="86" t="str">
        <f>_xlfn.XLOOKUP(表格1[[#This Row],[Model]],表格3[Model-Input-Ref2],表格3[Product Line])</f>
        <v>1.7L無線雙層電熱水壺</v>
      </c>
      <c r="I4416" s="86" t="str">
        <f>_xlfn.XLOOKUP(表格1[[#This Row],[Model]],表格3[Model-Input-Ref2],表格3[大小電])</f>
        <v>細電</v>
      </c>
      <c r="J4416" s="86" t="str">
        <f>_xlfn.XLOOKUP(表格1[[#This Row],[Model]],表格3[Model-Input-Ref2],表格3[Code])</f>
        <v>SDA</v>
      </c>
      <c r="K4416" s="89" t="s">
        <v>1283</v>
      </c>
      <c r="L4416" s="86">
        <v>1</v>
      </c>
      <c r="M4416" s="87">
        <v>228</v>
      </c>
      <c r="N4416" s="87">
        <f>IFERROR(表格1[[#This Row],[QTY]]*表格1[[#This Row],[Unit Price]],"-")</f>
        <v>228</v>
      </c>
      <c r="O4416" s="86">
        <v>132089</v>
      </c>
      <c r="R4416" s="86" t="str">
        <f>_xlfn.CONCAT(表格1[[#This Row],[Model]]," ",表格1[[#This Row],[inv no]])</f>
        <v>KT-17SHNH 132089</v>
      </c>
      <c r="S4416" s="86">
        <f>_xlfn.XLOOKUP(表格1[[#This Row],[Model]],表格3[Model-Input-Ref2],表格3[SRP PRICE])</f>
        <v>299</v>
      </c>
      <c r="T4416" s="43">
        <f>表格1[[#This Row],[Unit Price]]/表格1[[#This Row],[SRP]]</f>
        <v>0.76254180602006694</v>
      </c>
      <c r="U4416" s="86" t="str">
        <f>_xlfn.XLOOKUP(表格1[[#This Row],[Model]],表格3[Model-Input-Ref2],表格3[TOSHIBA/HIGHEST])</f>
        <v>Shops Highest Price</v>
      </c>
      <c r="W4416" s="86" t="str">
        <f>_xlfn.CONCAT(表格1[[#This Row],[欄4]],表格1[[#This Row],[inv no]])</f>
        <v>132089</v>
      </c>
    </row>
    <row r="4417" spans="1:23" hidden="1">
      <c r="A4417" s="81">
        <v>4415</v>
      </c>
      <c r="B4417" s="86" t="s">
        <v>1260</v>
      </c>
      <c r="C4417" s="86" t="s">
        <v>2034</v>
      </c>
      <c r="D4417" s="89" t="str">
        <f ca="1">OFFSET(Roster!$A$3,MATCH(表格1[[#This Row],[Location]]&amp;" "&amp;表格1[[#This Row],[Shop]]&amp;"*",Roster!$A$4:$A$72,0),DAY(表格1[[#This Row],[date]]),1,1)</f>
        <v>Yee</v>
      </c>
      <c r="E4417" s="86">
        <f>MONTH(表格1[[#This Row],[date]])</f>
        <v>3</v>
      </c>
      <c r="F4417" s="90">
        <v>46102</v>
      </c>
      <c r="G4417" s="86" t="str">
        <f>VLOOKUP("*"&amp;表格1[[#This Row],[Input]]&amp;"*",'Ref-List'!$B:$D,2,)</f>
        <v>RC-10JRUH(N)</v>
      </c>
      <c r="H4417" s="86" t="str">
        <f>_xlfn.XLOOKUP(表格1[[#This Row],[Model]],表格3[Model-Input-Ref2],表格3[Product Line])</f>
        <v>電飯煲</v>
      </c>
      <c r="I4417" s="86" t="str">
        <f>_xlfn.XLOOKUP(表格1[[#This Row],[Model]],表格3[Model-Input-Ref2],表格3[大小電])</f>
        <v>細電</v>
      </c>
      <c r="J4417" s="86" t="str">
        <f>_xlfn.XLOOKUP(表格1[[#This Row],[Model]],表格3[Model-Input-Ref2],表格3[Code])</f>
        <v>SDA</v>
      </c>
      <c r="K4417" s="89" t="s">
        <v>1263</v>
      </c>
      <c r="L4417" s="86">
        <v>1</v>
      </c>
      <c r="M4417" s="87">
        <v>250</v>
      </c>
      <c r="N4417" s="87">
        <f>IFERROR(表格1[[#This Row],[QTY]]*表格1[[#This Row],[Unit Price]],"-")</f>
        <v>250</v>
      </c>
      <c r="O4417" s="86">
        <v>509774</v>
      </c>
      <c r="R4417" s="86" t="str">
        <f>_xlfn.CONCAT(表格1[[#This Row],[Model]]," ",表格1[[#This Row],[inv no]])</f>
        <v>RC-10JRUH(N) 509774</v>
      </c>
      <c r="S4417" s="86">
        <f>_xlfn.XLOOKUP(表格1[[#This Row],[Model]],表格3[Model-Input-Ref2],表格3[SRP PRICE])</f>
        <v>398</v>
      </c>
      <c r="T4417" s="43">
        <f>表格1[[#This Row],[Unit Price]]/表格1[[#This Row],[SRP]]</f>
        <v>0.62814070351758799</v>
      </c>
      <c r="U4417" s="86" t="str">
        <f>_xlfn.XLOOKUP(表格1[[#This Row],[Model]],表格3[Model-Input-Ref2],表格3[TOSHIBA/HIGHEST])</f>
        <v>Shops Highest Price</v>
      </c>
      <c r="W4417" s="86" t="str">
        <f>_xlfn.CONCAT(表格1[[#This Row],[欄4]],表格1[[#This Row],[inv no]])</f>
        <v>509774</v>
      </c>
    </row>
    <row r="4418" spans="1:23" hidden="1">
      <c r="A4418" s="81">
        <v>4416</v>
      </c>
      <c r="B4418" s="86" t="s">
        <v>1260</v>
      </c>
      <c r="C4418" s="86" t="s">
        <v>2034</v>
      </c>
      <c r="D4418" s="89" t="str">
        <f ca="1">OFFSET(Roster!$A$3,MATCH(表格1[[#This Row],[Location]]&amp;" "&amp;表格1[[#This Row],[Shop]]&amp;"*",Roster!$A$4:$A$72,0),DAY(表格1[[#This Row],[date]]),1,1)</f>
        <v>Yee</v>
      </c>
      <c r="E4418" s="86">
        <f>MONTH(表格1[[#This Row],[date]])</f>
        <v>3</v>
      </c>
      <c r="F4418" s="90">
        <v>46102</v>
      </c>
      <c r="G4418" s="86" t="str">
        <f>VLOOKUP("*"&amp;表格1[[#This Row],[Input]]&amp;"*",'Ref-List'!$B:$D,2,)</f>
        <v>RC-5SLIH(W)</v>
      </c>
      <c r="H4418" s="86" t="str">
        <f>_xlfn.XLOOKUP(表格1[[#This Row],[Model]],表格3[Model-Input-Ref2],表格3[Product Line])</f>
        <v>微型電腦珍珠飯煲</v>
      </c>
      <c r="I4418" s="86" t="str">
        <f>_xlfn.XLOOKUP(表格1[[#This Row],[Model]],表格3[Model-Input-Ref2],表格3[大小電])</f>
        <v>細電</v>
      </c>
      <c r="J4418" s="86" t="str">
        <f>_xlfn.XLOOKUP(表格1[[#This Row],[Model]],表格3[Model-Input-Ref2],表格3[Code])</f>
        <v>SDA</v>
      </c>
      <c r="K4418" s="89" t="s">
        <v>1264</v>
      </c>
      <c r="L4418" s="86">
        <v>1</v>
      </c>
      <c r="M4418" s="87">
        <v>593</v>
      </c>
      <c r="N4418" s="87">
        <f>IFERROR(表格1[[#This Row],[QTY]]*表格1[[#This Row],[Unit Price]],"-")</f>
        <v>593</v>
      </c>
      <c r="O4418" s="86">
        <v>509789</v>
      </c>
      <c r="R4418" s="86" t="str">
        <f>_xlfn.CONCAT(表格1[[#This Row],[Model]]," ",表格1[[#This Row],[inv no]])</f>
        <v>RC-5SLIH(W) 509789</v>
      </c>
      <c r="S4418" s="86">
        <f>_xlfn.XLOOKUP(表格1[[#This Row],[Model]],表格3[Model-Input-Ref2],表格3[SRP PRICE])</f>
        <v>658</v>
      </c>
      <c r="T4418" s="43">
        <f>表格1[[#This Row],[Unit Price]]/表格1[[#This Row],[SRP]]</f>
        <v>0.90121580547112456</v>
      </c>
      <c r="U4418" s="86" t="str">
        <f>_xlfn.XLOOKUP(表格1[[#This Row],[Model]],表格3[Model-Input-Ref2],表格3[TOSHIBA/HIGHEST])</f>
        <v>Toshiba SRP</v>
      </c>
      <c r="W4418" s="86" t="str">
        <f>_xlfn.CONCAT(表格1[[#This Row],[欄4]],表格1[[#This Row],[inv no]])</f>
        <v>509789</v>
      </c>
    </row>
    <row r="4419" spans="1:23" hidden="1">
      <c r="A4419" s="81">
        <v>4417</v>
      </c>
      <c r="B4419" s="86" t="s">
        <v>1260</v>
      </c>
      <c r="C4419" s="86" t="s">
        <v>2034</v>
      </c>
      <c r="D4419" s="89" t="str">
        <f ca="1">OFFSET(Roster!$A$3,MATCH(表格1[[#This Row],[Location]]&amp;" "&amp;表格1[[#This Row],[Shop]]&amp;"*",Roster!$A$4:$A$72,0),DAY(表格1[[#This Row],[date]]),1,1)</f>
        <v>Yee</v>
      </c>
      <c r="E4419" s="86">
        <f>MONTH(表格1[[#This Row],[date]])</f>
        <v>3</v>
      </c>
      <c r="F4419" s="90">
        <v>46102</v>
      </c>
      <c r="G4419" s="86" t="str">
        <f>VLOOKUP("*"&amp;表格1[[#This Row],[Input]]&amp;"*",'Ref-List'!$B:$D,2,)</f>
        <v>MWP-MM20P(WH)</v>
      </c>
      <c r="H4419" s="86" t="str">
        <f>_xlfn.XLOOKUP(表格1[[#This Row],[Model]],表格3[Model-Input-Ref2],表格3[Product Line])</f>
        <v>旋鈕式燒烤微波爐20L</v>
      </c>
      <c r="I4419" s="86" t="str">
        <f>_xlfn.XLOOKUP(表格1[[#This Row],[Model]],表格3[Model-Input-Ref2],表格3[大小電])</f>
        <v>細電</v>
      </c>
      <c r="J4419" s="86" t="str">
        <f>_xlfn.XLOOKUP(表格1[[#This Row],[Model]],表格3[Model-Input-Ref2],表格3[Code])</f>
        <v>SDA</v>
      </c>
      <c r="K4419" s="89" t="s">
        <v>1270</v>
      </c>
      <c r="L4419" s="86">
        <v>1</v>
      </c>
      <c r="M4419" s="87">
        <v>488</v>
      </c>
      <c r="N4419" s="87">
        <f>IFERROR(表格1[[#This Row],[QTY]]*表格1[[#This Row],[Unit Price]],"-")</f>
        <v>488</v>
      </c>
      <c r="O4419" s="86">
        <v>132145</v>
      </c>
      <c r="R4419" s="86" t="str">
        <f>_xlfn.CONCAT(表格1[[#This Row],[Model]]," ",表格1[[#This Row],[inv no]])</f>
        <v>MWP-MM20P(WH) 132145</v>
      </c>
      <c r="S4419" s="86">
        <f>_xlfn.XLOOKUP(表格1[[#This Row],[Model]],表格3[Model-Input-Ref2],表格3[SRP PRICE])</f>
        <v>648</v>
      </c>
      <c r="T4419" s="43">
        <f>表格1[[#This Row],[Unit Price]]/表格1[[#This Row],[SRP]]</f>
        <v>0.75308641975308643</v>
      </c>
      <c r="U4419" s="86" t="str">
        <f>_xlfn.XLOOKUP(表格1[[#This Row],[Model]],表格3[Model-Input-Ref2],表格3[TOSHIBA/HIGHEST])</f>
        <v>Toshiba SRP</v>
      </c>
      <c r="W4419" s="86" t="str">
        <f>_xlfn.CONCAT(表格1[[#This Row],[欄4]],表格1[[#This Row],[inv no]])</f>
        <v>132145</v>
      </c>
    </row>
    <row r="4420" spans="1:23" hidden="1">
      <c r="A4420" s="81">
        <v>4418</v>
      </c>
      <c r="B4420" s="86" t="s">
        <v>1260</v>
      </c>
      <c r="C4420" s="86" t="s">
        <v>2034</v>
      </c>
      <c r="D4420" s="89" t="str">
        <f ca="1">OFFSET(Roster!$A$3,MATCH(表格1[[#This Row],[Location]]&amp;" "&amp;表格1[[#This Row],[Shop]]&amp;"*",Roster!$A$4:$A$72,0),DAY(表格1[[#This Row],[date]]),1,1)</f>
        <v>Yee</v>
      </c>
      <c r="E4420" s="86">
        <f>MONTH(表格1[[#This Row],[date]])</f>
        <v>3</v>
      </c>
      <c r="F4420" s="90">
        <v>46102</v>
      </c>
      <c r="G4420" s="86" t="str">
        <f>VLOOKUP("*"&amp;表格1[[#This Row],[Input]]&amp;"*",'Ref-List'!$B:$D,2,)</f>
        <v>TP-25DR2UHK(W)</v>
      </c>
      <c r="H4420" s="86" t="str">
        <f>_xlfn.XLOOKUP(表格1[[#This Row],[Model]],表格3[Model-Input-Ref2],表格3[Product Line])</f>
        <v>電熱水瓶 (2.5公升)</v>
      </c>
      <c r="I4420" s="86" t="str">
        <f>_xlfn.XLOOKUP(表格1[[#This Row],[Model]],表格3[Model-Input-Ref2],表格3[大小電])</f>
        <v>細電</v>
      </c>
      <c r="J4420" s="86" t="str">
        <f>_xlfn.XLOOKUP(表格1[[#This Row],[Model]],表格3[Model-Input-Ref2],表格3[Code])</f>
        <v>SDA</v>
      </c>
      <c r="K4420" s="89" t="s">
        <v>1285</v>
      </c>
      <c r="L4420" s="86">
        <v>1</v>
      </c>
      <c r="M4420" s="87">
        <v>398</v>
      </c>
      <c r="N4420" s="87">
        <f>IFERROR(表格1[[#This Row],[QTY]]*表格1[[#This Row],[Unit Price]],"-")</f>
        <v>398</v>
      </c>
      <c r="O4420" s="86">
        <v>509868</v>
      </c>
      <c r="R4420" s="86" t="str">
        <f>_xlfn.CONCAT(表格1[[#This Row],[Model]]," ",表格1[[#This Row],[inv no]])</f>
        <v>TP-25DR2UHK(W) 509868</v>
      </c>
      <c r="S4420" s="86">
        <f>_xlfn.XLOOKUP(表格1[[#This Row],[Model]],表格3[Model-Input-Ref2],表格3[SRP PRICE])</f>
        <v>538</v>
      </c>
      <c r="T4420" s="43">
        <f>表格1[[#This Row],[Unit Price]]/表格1[[#This Row],[SRP]]</f>
        <v>0.7397769516728625</v>
      </c>
      <c r="U4420" s="86" t="str">
        <f>_xlfn.XLOOKUP(表格1[[#This Row],[Model]],表格3[Model-Input-Ref2],表格3[TOSHIBA/HIGHEST])</f>
        <v>Toshiba SRP</v>
      </c>
      <c r="W4420" s="86" t="str">
        <f>_xlfn.CONCAT(表格1[[#This Row],[欄4]],表格1[[#This Row],[inv no]])</f>
        <v>509868</v>
      </c>
    </row>
    <row r="4421" spans="1:23" hidden="1">
      <c r="A4421" s="81">
        <v>4419</v>
      </c>
      <c r="B4421" s="86" t="s">
        <v>1260</v>
      </c>
      <c r="C4421" s="86" t="s">
        <v>2034</v>
      </c>
      <c r="D4421" s="89" t="str">
        <f ca="1">OFFSET(Roster!$A$3,MATCH(表格1[[#This Row],[Location]]&amp;" "&amp;表格1[[#This Row],[Shop]]&amp;"*",Roster!$A$4:$A$72,0),DAY(表格1[[#This Row],[date]]),1,1)</f>
        <v>Yee</v>
      </c>
      <c r="E4421" s="86">
        <f>MONTH(表格1[[#This Row],[date]])</f>
        <v>3</v>
      </c>
      <c r="F4421" s="90">
        <v>46103</v>
      </c>
      <c r="G4421" s="86" t="str">
        <f>VLOOKUP("*"&amp;表格1[[#This Row],[Input]]&amp;"*",'Ref-List'!$B:$D,2,)</f>
        <v>KT-17DRTHK(H)</v>
      </c>
      <c r="H4421" s="86" t="str">
        <f>_xlfn.XLOOKUP(表格1[[#This Row],[Model]],表格3[Model-Input-Ref2],表格3[Product Line])</f>
        <v>無線雙層電熱水壺(1.7公升)</v>
      </c>
      <c r="I4421" s="86" t="str">
        <f>_xlfn.XLOOKUP(表格1[[#This Row],[Model]],表格3[Model-Input-Ref2],表格3[大小電])</f>
        <v>細電</v>
      </c>
      <c r="J4421" s="86" t="str">
        <f>_xlfn.XLOOKUP(表格1[[#This Row],[Model]],表格3[Model-Input-Ref2],表格3[Code])</f>
        <v>SDA</v>
      </c>
      <c r="K4421" s="89" t="s">
        <v>1271</v>
      </c>
      <c r="L4421" s="86">
        <v>1</v>
      </c>
      <c r="M4421" s="87">
        <v>388</v>
      </c>
      <c r="N4421" s="87">
        <f>IFERROR(表格1[[#This Row],[QTY]]*表格1[[#This Row],[Unit Price]],"-")</f>
        <v>388</v>
      </c>
      <c r="O4421" s="86">
        <v>132192</v>
      </c>
      <c r="R4421" s="86" t="str">
        <f>_xlfn.CONCAT(表格1[[#This Row],[Model]]," ",表格1[[#This Row],[inv no]])</f>
        <v>KT-17DRTHK(H) 132192</v>
      </c>
      <c r="S4421" s="86">
        <f>_xlfn.XLOOKUP(表格1[[#This Row],[Model]],表格3[Model-Input-Ref2],表格3[SRP PRICE])</f>
        <v>498</v>
      </c>
      <c r="T4421" s="43">
        <f>表格1[[#This Row],[Unit Price]]/表格1[[#This Row],[SRP]]</f>
        <v>0.77911646586345384</v>
      </c>
      <c r="U4421" s="86" t="str">
        <f>_xlfn.XLOOKUP(表格1[[#This Row],[Model]],表格3[Model-Input-Ref2],表格3[TOSHIBA/HIGHEST])</f>
        <v>Toshiba SRP</v>
      </c>
      <c r="W4421" s="86" t="str">
        <f>_xlfn.CONCAT(表格1[[#This Row],[欄4]],表格1[[#This Row],[inv no]])</f>
        <v>132192</v>
      </c>
    </row>
    <row r="4422" spans="1:23" hidden="1">
      <c r="A4422" s="81">
        <v>4420</v>
      </c>
      <c r="B4422" s="86" t="s">
        <v>1260</v>
      </c>
      <c r="C4422" s="86" t="s">
        <v>2034</v>
      </c>
      <c r="D4422" s="89" t="str">
        <f ca="1">OFFSET(Roster!$A$3,MATCH(表格1[[#This Row],[Location]]&amp;" "&amp;表格1[[#This Row],[Shop]]&amp;"*",Roster!$A$4:$A$72,0),DAY(表格1[[#This Row],[date]]),1,1)</f>
        <v>Yee</v>
      </c>
      <c r="E4422" s="86">
        <f>MONTH(表格1[[#This Row],[date]])</f>
        <v>3</v>
      </c>
      <c r="F4422" s="90">
        <v>46103</v>
      </c>
      <c r="G4422" s="86" t="str">
        <f>VLOOKUP("*"&amp;表格1[[#This Row],[Input]]&amp;"*",'Ref-List'!$B:$D,2,)</f>
        <v>RC-5MMIH(WT)</v>
      </c>
      <c r="H4422" s="86" t="str">
        <f>_xlfn.XLOOKUP(表格1[[#This Row],[Model]],表格3[Model-Input-Ref2],表格3[Product Line])</f>
        <v>4毫米厚釜電飯煲0.54L</v>
      </c>
      <c r="I4422" s="86" t="str">
        <f>_xlfn.XLOOKUP(表格1[[#This Row],[Model]],表格3[Model-Input-Ref2],表格3[大小電])</f>
        <v>細電</v>
      </c>
      <c r="J4422" s="86" t="str">
        <f>_xlfn.XLOOKUP(表格1[[#This Row],[Model]],表格3[Model-Input-Ref2],表格3[Code])</f>
        <v>SDA</v>
      </c>
      <c r="K4422" s="89" t="s">
        <v>1195</v>
      </c>
      <c r="L4422" s="86">
        <v>1</v>
      </c>
      <c r="M4422" s="87">
        <v>548</v>
      </c>
      <c r="N4422" s="87">
        <f>IFERROR(表格1[[#This Row],[QTY]]*表格1[[#This Row],[Unit Price]],"-")</f>
        <v>548</v>
      </c>
      <c r="O4422" s="86">
        <v>510002</v>
      </c>
      <c r="R4422" s="86" t="str">
        <f>_xlfn.CONCAT(表格1[[#This Row],[Model]]," ",表格1[[#This Row],[inv no]])</f>
        <v>RC-5MMIH(WT) 510002</v>
      </c>
      <c r="S4422" s="86">
        <f>_xlfn.XLOOKUP(表格1[[#This Row],[Model]],表格3[Model-Input-Ref2],表格3[SRP PRICE])</f>
        <v>618</v>
      </c>
      <c r="T4422" s="43">
        <f>表格1[[#This Row],[Unit Price]]/表格1[[#This Row],[SRP]]</f>
        <v>0.88673139158576053</v>
      </c>
      <c r="U4422" s="86" t="str">
        <f>_xlfn.XLOOKUP(表格1[[#This Row],[Model]],表格3[Model-Input-Ref2],表格3[TOSHIBA/HIGHEST])</f>
        <v>Toshiba SRP</v>
      </c>
      <c r="W4422" s="86" t="str">
        <f>_xlfn.CONCAT(表格1[[#This Row],[欄4]],表格1[[#This Row],[inv no]])</f>
        <v>510002</v>
      </c>
    </row>
    <row r="4423" spans="1:23" hidden="1">
      <c r="A4423" s="81">
        <v>4421</v>
      </c>
      <c r="B4423" s="86" t="s">
        <v>1260</v>
      </c>
      <c r="C4423" s="86" t="s">
        <v>2034</v>
      </c>
      <c r="D4423" s="89" t="str">
        <f ca="1">OFFSET(Roster!$A$3,MATCH(表格1[[#This Row],[Location]]&amp;" "&amp;表格1[[#This Row],[Shop]]&amp;"*",Roster!$A$4:$A$72,0),DAY(表格1[[#This Row],[date]]),1,1)</f>
        <v>Yee</v>
      </c>
      <c r="E4423" s="86">
        <f>MONTH(表格1[[#This Row],[date]])</f>
        <v>3</v>
      </c>
      <c r="F4423" s="90">
        <v>46103</v>
      </c>
      <c r="G4423" s="86" t="str">
        <f>VLOOKUP("*"&amp;表格1[[#This Row],[Input]]&amp;"*",'Ref-List'!$B:$D,2,)</f>
        <v>RC-10JRUH(N)</v>
      </c>
      <c r="H4423" s="86" t="str">
        <f>_xlfn.XLOOKUP(表格1[[#This Row],[Model]],表格3[Model-Input-Ref2],表格3[Product Line])</f>
        <v>電飯煲</v>
      </c>
      <c r="I4423" s="86" t="str">
        <f>_xlfn.XLOOKUP(表格1[[#This Row],[Model]],表格3[Model-Input-Ref2],表格3[大小電])</f>
        <v>細電</v>
      </c>
      <c r="J4423" s="86" t="str">
        <f>_xlfn.XLOOKUP(表格1[[#This Row],[Model]],表格3[Model-Input-Ref2],表格3[Code])</f>
        <v>SDA</v>
      </c>
      <c r="K4423" s="89" t="s">
        <v>1263</v>
      </c>
      <c r="L4423" s="86">
        <v>1</v>
      </c>
      <c r="M4423" s="87">
        <v>250</v>
      </c>
      <c r="N4423" s="87">
        <f>IFERROR(表格1[[#This Row],[QTY]]*表格1[[#This Row],[Unit Price]],"-")</f>
        <v>250</v>
      </c>
      <c r="O4423" s="86">
        <v>132252</v>
      </c>
      <c r="R4423" s="86" t="str">
        <f>_xlfn.CONCAT(表格1[[#This Row],[Model]]," ",表格1[[#This Row],[inv no]])</f>
        <v>RC-10JRUH(N) 132252</v>
      </c>
      <c r="S4423" s="86">
        <f>_xlfn.XLOOKUP(表格1[[#This Row],[Model]],表格3[Model-Input-Ref2],表格3[SRP PRICE])</f>
        <v>398</v>
      </c>
      <c r="T4423" s="43">
        <f>表格1[[#This Row],[Unit Price]]/表格1[[#This Row],[SRP]]</f>
        <v>0.62814070351758799</v>
      </c>
      <c r="U4423" s="86" t="str">
        <f>_xlfn.XLOOKUP(表格1[[#This Row],[Model]],表格3[Model-Input-Ref2],表格3[TOSHIBA/HIGHEST])</f>
        <v>Shops Highest Price</v>
      </c>
      <c r="W4423" s="86" t="str">
        <f>_xlfn.CONCAT(表格1[[#This Row],[欄4]],表格1[[#This Row],[inv no]])</f>
        <v>132252</v>
      </c>
    </row>
    <row r="4424" spans="1:23" hidden="1">
      <c r="A4424" s="81">
        <v>4422</v>
      </c>
      <c r="B4424" s="86" t="s">
        <v>1260</v>
      </c>
      <c r="C4424" s="86" t="s">
        <v>2034</v>
      </c>
      <c r="D4424" s="89" t="str">
        <f ca="1">OFFSET(Roster!$A$3,MATCH(表格1[[#This Row],[Location]]&amp;" "&amp;表格1[[#This Row],[Shop]]&amp;"*",Roster!$A$4:$A$72,0),DAY(表格1[[#This Row],[date]]),1,1)</f>
        <v>Yee</v>
      </c>
      <c r="E4424" s="86">
        <f>MONTH(表格1[[#This Row],[date]])</f>
        <v>3</v>
      </c>
      <c r="F4424" s="90">
        <v>46103</v>
      </c>
      <c r="G4424" s="86" t="str">
        <f>VLOOKUP("*"&amp;表格1[[#This Row],[Input]]&amp;"*",'Ref-List'!$B:$D,2,)</f>
        <v>F-LYA20(W)HKG</v>
      </c>
      <c r="H4424" s="86" t="str">
        <f>_xlfn.XLOOKUP(表格1[[#This Row],[Model]],表格3[Model-Input-Ref2],表格3[Product Line])</f>
        <v>12吋2合1座地座檯電風扇連遙控</v>
      </c>
      <c r="I4424" s="86" t="str">
        <f>_xlfn.XLOOKUP(表格1[[#This Row],[Model]],表格3[Model-Input-Ref2],表格3[大小電])</f>
        <v>細電</v>
      </c>
      <c r="J4424" s="86" t="str">
        <f>_xlfn.XLOOKUP(表格1[[#This Row],[Model]],表格3[Model-Input-Ref2],表格3[Code])</f>
        <v>EAD</v>
      </c>
      <c r="K4424" s="89" t="s">
        <v>1391</v>
      </c>
      <c r="L4424" s="86">
        <v>1</v>
      </c>
      <c r="M4424" s="87">
        <v>368</v>
      </c>
      <c r="N4424" s="87">
        <f>IFERROR(表格1[[#This Row],[QTY]]*表格1[[#This Row],[Unit Price]],"-")</f>
        <v>368</v>
      </c>
      <c r="O4424" s="86">
        <v>132263</v>
      </c>
      <c r="R4424" s="86" t="str">
        <f>_xlfn.CONCAT(表格1[[#This Row],[Model]]," ",表格1[[#This Row],[inv no]])</f>
        <v>F-LYA20(W)HKG 132263</v>
      </c>
      <c r="S4424" s="86">
        <f>_xlfn.XLOOKUP(表格1[[#This Row],[Model]],表格3[Model-Input-Ref2],表格3[SRP PRICE])</f>
        <v>988</v>
      </c>
      <c r="T4424" s="43">
        <f>表格1[[#This Row],[Unit Price]]/表格1[[#This Row],[SRP]]</f>
        <v>0.37246963562753038</v>
      </c>
      <c r="U4424" s="86" t="str">
        <f>_xlfn.XLOOKUP(表格1[[#This Row],[Model]],表格3[Model-Input-Ref2],表格3[TOSHIBA/HIGHEST])</f>
        <v>Toshiba SRP</v>
      </c>
      <c r="W4424" s="86" t="str">
        <f>_xlfn.CONCAT(表格1[[#This Row],[欄4]],表格1[[#This Row],[inv no]])</f>
        <v>132263</v>
      </c>
    </row>
    <row r="4425" spans="1:23" hidden="1">
      <c r="A4425" s="81">
        <v>4423</v>
      </c>
      <c r="B4425" s="86" t="s">
        <v>1260</v>
      </c>
      <c r="C4425" s="86" t="s">
        <v>2034</v>
      </c>
      <c r="D4425" s="89" t="str">
        <f ca="1">OFFSET(Roster!$A$3,MATCH(表格1[[#This Row],[Location]]&amp;" "&amp;表格1[[#This Row],[Shop]]&amp;"*",Roster!$A$4:$A$72,0),DAY(表格1[[#This Row],[date]]),1,1)</f>
        <v>Yee</v>
      </c>
      <c r="E4425" s="86">
        <f>MONTH(表格1[[#This Row],[date]])</f>
        <v>3</v>
      </c>
      <c r="F4425" s="90">
        <v>46103</v>
      </c>
      <c r="G4425" s="86" t="str">
        <f>VLOOKUP("*"&amp;表格1[[#This Row],[Input]]&amp;"*",'Ref-List'!$B:$D,2,)</f>
        <v>RC-10JRUH(N)</v>
      </c>
      <c r="H4425" s="86" t="str">
        <f>_xlfn.XLOOKUP(表格1[[#This Row],[Model]],表格3[Model-Input-Ref2],表格3[Product Line])</f>
        <v>電飯煲</v>
      </c>
      <c r="I4425" s="86" t="str">
        <f>_xlfn.XLOOKUP(表格1[[#This Row],[Model]],表格3[Model-Input-Ref2],表格3[大小電])</f>
        <v>細電</v>
      </c>
      <c r="J4425" s="86" t="str">
        <f>_xlfn.XLOOKUP(表格1[[#This Row],[Model]],表格3[Model-Input-Ref2],表格3[Code])</f>
        <v>SDA</v>
      </c>
      <c r="K4425" s="89" t="s">
        <v>1263</v>
      </c>
      <c r="L4425" s="86">
        <v>1</v>
      </c>
      <c r="M4425" s="87">
        <v>250</v>
      </c>
      <c r="N4425" s="87">
        <f>IFERROR(表格1[[#This Row],[QTY]]*表格1[[#This Row],[Unit Price]],"-")</f>
        <v>250</v>
      </c>
      <c r="O4425" s="142" t="s">
        <v>2064</v>
      </c>
      <c r="R4425" s="86" t="str">
        <f>_xlfn.CONCAT(表格1[[#This Row],[Model]]," ",表格1[[#This Row],[inv no]])</f>
        <v>RC-10JRUH(N) 008111</v>
      </c>
      <c r="S4425" s="86">
        <f>_xlfn.XLOOKUP(表格1[[#This Row],[Model]],表格3[Model-Input-Ref2],表格3[SRP PRICE])</f>
        <v>398</v>
      </c>
      <c r="T4425" s="43">
        <f>表格1[[#This Row],[Unit Price]]/表格1[[#This Row],[SRP]]</f>
        <v>0.62814070351758799</v>
      </c>
      <c r="U4425" s="86" t="str">
        <f>_xlfn.XLOOKUP(表格1[[#This Row],[Model]],表格3[Model-Input-Ref2],表格3[TOSHIBA/HIGHEST])</f>
        <v>Shops Highest Price</v>
      </c>
      <c r="W4425" s="86" t="str">
        <f>_xlfn.CONCAT(表格1[[#This Row],[欄4]],表格1[[#This Row],[inv no]])</f>
        <v>008111</v>
      </c>
    </row>
    <row r="4426" spans="1:23" hidden="1">
      <c r="A4426" s="81">
        <v>4424</v>
      </c>
      <c r="B4426" s="86" t="s">
        <v>1260</v>
      </c>
      <c r="C4426" s="86" t="s">
        <v>2034</v>
      </c>
      <c r="D4426" s="89" t="str">
        <f ca="1">OFFSET(Roster!$A$3,MATCH(表格1[[#This Row],[Location]]&amp;" "&amp;表格1[[#This Row],[Shop]]&amp;"*",Roster!$A$4:$A$72,0),DAY(表格1[[#This Row],[date]]),1,1)</f>
        <v>Yee</v>
      </c>
      <c r="E4426" s="86">
        <f>MONTH(表格1[[#This Row],[date]])</f>
        <v>3</v>
      </c>
      <c r="F4426" s="90">
        <v>46103</v>
      </c>
      <c r="G4426" s="86" t="str">
        <f>VLOOKUP("*"&amp;表格1[[#This Row],[Input]]&amp;"*",'Ref-List'!$B:$D,2,)</f>
        <v>KT-08DH1VHK(W)</v>
      </c>
      <c r="H4426" s="86" t="str">
        <f>_xlfn.XLOOKUP(表格1[[#This Row],[Model]],表格3[Model-Input-Ref2],表格3[Product Line])</f>
        <v>無線雙層電熱水壺-附可鎖壺蓋(0.8公升)</v>
      </c>
      <c r="I4426" s="86" t="str">
        <f>_xlfn.XLOOKUP(表格1[[#This Row],[Model]],表格3[Model-Input-Ref2],表格3[大小電])</f>
        <v>細電</v>
      </c>
      <c r="J4426" s="86" t="str">
        <f>_xlfn.XLOOKUP(表格1[[#This Row],[Model]],表格3[Model-Input-Ref2],表格3[Code])</f>
        <v>SDA</v>
      </c>
      <c r="K4426" s="89" t="s">
        <v>1268</v>
      </c>
      <c r="L4426" s="86">
        <v>1</v>
      </c>
      <c r="M4426" s="87">
        <v>268</v>
      </c>
      <c r="N4426" s="87">
        <f>IFERROR(表格1[[#This Row],[QTY]]*表格1[[#This Row],[Unit Price]],"-")</f>
        <v>268</v>
      </c>
      <c r="O4426" s="142" t="s">
        <v>2054</v>
      </c>
      <c r="R4426" s="86" t="str">
        <f>_xlfn.CONCAT(表格1[[#This Row],[Model]]," ",表格1[[#This Row],[inv no]])</f>
        <v>KT-08DH1VHK(W) 008136</v>
      </c>
      <c r="S4426" s="86">
        <f>_xlfn.XLOOKUP(表格1[[#This Row],[Model]],表格3[Model-Input-Ref2],表格3[SRP PRICE])</f>
        <v>428</v>
      </c>
      <c r="T4426" s="43">
        <f>表格1[[#This Row],[Unit Price]]/表格1[[#This Row],[SRP]]</f>
        <v>0.62616822429906538</v>
      </c>
      <c r="U4426" s="86" t="str">
        <f>_xlfn.XLOOKUP(表格1[[#This Row],[Model]],表格3[Model-Input-Ref2],表格3[TOSHIBA/HIGHEST])</f>
        <v>Toshiba SRP</v>
      </c>
      <c r="W4426" s="86" t="str">
        <f>_xlfn.CONCAT(表格1[[#This Row],[欄4]],表格1[[#This Row],[inv no]])</f>
        <v>008136</v>
      </c>
    </row>
    <row r="4427" spans="1:23" hidden="1">
      <c r="A4427" s="81">
        <v>4425</v>
      </c>
      <c r="B4427" s="86" t="s">
        <v>1260</v>
      </c>
      <c r="C4427" s="86" t="s">
        <v>2034</v>
      </c>
      <c r="D4427" s="89" t="str">
        <f ca="1">OFFSET(Roster!$A$3,MATCH(表格1[[#This Row],[Location]]&amp;" "&amp;表格1[[#This Row],[Shop]]&amp;"*",Roster!$A$4:$A$72,0),DAY(表格1[[#This Row],[date]]),1,1)</f>
        <v>Yee</v>
      </c>
      <c r="E4427" s="86">
        <f>MONTH(表格1[[#This Row],[date]])</f>
        <v>3</v>
      </c>
      <c r="F4427" s="90">
        <v>46103</v>
      </c>
      <c r="G4427" s="86" t="str">
        <f>VLOOKUP("*"&amp;表格1[[#This Row],[Input]]&amp;"*",'Ref-List'!$B:$D,2,)</f>
        <v>IC-20R1THK</v>
      </c>
      <c r="H4427" s="86" t="str">
        <f>_xlfn.XLOOKUP(表格1[[#This Row],[Model]],表格3[Model-Input-Ref2],表格3[Product Line])</f>
        <v>輕便式電磁爐</v>
      </c>
      <c r="I4427" s="86" t="str">
        <f>_xlfn.XLOOKUP(表格1[[#This Row],[Model]],表格3[Model-Input-Ref2],表格3[大小電])</f>
        <v>細電</v>
      </c>
      <c r="J4427" s="86" t="str">
        <f>_xlfn.XLOOKUP(表格1[[#This Row],[Model]],表格3[Model-Input-Ref2],表格3[Code])</f>
        <v>SDA</v>
      </c>
      <c r="K4427" s="89" t="s">
        <v>1243</v>
      </c>
      <c r="L4427" s="86">
        <v>1</v>
      </c>
      <c r="M4427" s="87">
        <v>298</v>
      </c>
      <c r="N4427" s="87">
        <f>IFERROR(表格1[[#This Row],[QTY]]*表格1[[#This Row],[Unit Price]],"-")</f>
        <v>298</v>
      </c>
      <c r="O4427" s="142" t="s">
        <v>2055</v>
      </c>
      <c r="R4427" s="86" t="str">
        <f>_xlfn.CONCAT(表格1[[#This Row],[Model]]," ",表格1[[#This Row],[inv no]])</f>
        <v>IC-20R1THK 008137</v>
      </c>
      <c r="S4427" s="86">
        <f>_xlfn.XLOOKUP(表格1[[#This Row],[Model]],表格3[Model-Input-Ref2],表格3[SRP PRICE])</f>
        <v>438</v>
      </c>
      <c r="T4427" s="43">
        <f>表格1[[#This Row],[Unit Price]]/表格1[[#This Row],[SRP]]</f>
        <v>0.68036529680365299</v>
      </c>
      <c r="U4427" s="86" t="str">
        <f>_xlfn.XLOOKUP(表格1[[#This Row],[Model]],表格3[Model-Input-Ref2],表格3[TOSHIBA/HIGHEST])</f>
        <v>Shops Highest Price</v>
      </c>
      <c r="W4427" s="86" t="str">
        <f>_xlfn.CONCAT(表格1[[#This Row],[欄4]],表格1[[#This Row],[inv no]])</f>
        <v>008137</v>
      </c>
    </row>
    <row r="4428" spans="1:23" hidden="1">
      <c r="A4428" s="81">
        <v>4426</v>
      </c>
      <c r="B4428" s="86" t="s">
        <v>1260</v>
      </c>
      <c r="C4428" s="86" t="s">
        <v>2034</v>
      </c>
      <c r="D4428" s="89" t="str">
        <f ca="1">OFFSET(Roster!$A$3,MATCH(表格1[[#This Row],[Location]]&amp;" "&amp;表格1[[#This Row],[Shop]]&amp;"*",Roster!$A$4:$A$72,0),DAY(表格1[[#This Row],[date]]),1,1)</f>
        <v>Yee</v>
      </c>
      <c r="E4428" s="86">
        <f>MONTH(表格1[[#This Row],[date]])</f>
        <v>3</v>
      </c>
      <c r="F4428" s="90">
        <v>46103</v>
      </c>
      <c r="G4428" s="86" t="str">
        <f>VLOOKUP("*"&amp;表格1[[#This Row],[Input]]&amp;"*",'Ref-List'!$B:$D,2,)</f>
        <v>RC-15BHH(W)</v>
      </c>
      <c r="H4428" s="86" t="str">
        <f>_xlfn.XLOOKUP(表格1[[#This Row],[Model]],表格3[Model-Input-Ref2],表格3[Product Line])</f>
        <v>酵活炊磁應電飯煲(1.5公升)</v>
      </c>
      <c r="I4428" s="86" t="str">
        <f>_xlfn.XLOOKUP(表格1[[#This Row],[Model]],表格3[Model-Input-Ref2],表格3[大小電])</f>
        <v>細電</v>
      </c>
      <c r="J4428" s="86" t="str">
        <f>_xlfn.XLOOKUP(表格1[[#This Row],[Model]],表格3[Model-Input-Ref2],表格3[Code])</f>
        <v>SDA</v>
      </c>
      <c r="K4428" s="89" t="s">
        <v>1381</v>
      </c>
      <c r="L4428" s="86">
        <v>1</v>
      </c>
      <c r="M4428" s="87">
        <v>1888</v>
      </c>
      <c r="N4428" s="87">
        <f>IFERROR(表格1[[#This Row],[QTY]]*表格1[[#This Row],[Unit Price]],"-")</f>
        <v>1888</v>
      </c>
      <c r="O4428" s="86">
        <v>510198</v>
      </c>
      <c r="P4428" s="86" t="s">
        <v>2056</v>
      </c>
      <c r="R4428" s="86" t="str">
        <f>_xlfn.CONCAT(表格1[[#This Row],[Model]]," ",表格1[[#This Row],[inv no]])</f>
        <v>RC-15BHH(W) 510198</v>
      </c>
      <c r="S4428" s="86">
        <f>_xlfn.XLOOKUP(表格1[[#This Row],[Model]],表格3[Model-Input-Ref2],表格3[SRP PRICE])</f>
        <v>2388</v>
      </c>
      <c r="T4428" s="43">
        <f>表格1[[#This Row],[Unit Price]]/表格1[[#This Row],[SRP]]</f>
        <v>0.79061976549413737</v>
      </c>
      <c r="U4428" s="86" t="str">
        <f>_xlfn.XLOOKUP(表格1[[#This Row],[Model]],表格3[Model-Input-Ref2],表格3[TOSHIBA/HIGHEST])</f>
        <v>Toshiba SRP</v>
      </c>
      <c r="W4428" s="86" t="str">
        <f>_xlfn.CONCAT(表格1[[#This Row],[欄4]],表格1[[#This Row],[inv no]])</f>
        <v>510198</v>
      </c>
    </row>
    <row r="4429" spans="1:23" hidden="1">
      <c r="A4429" s="81">
        <v>4427</v>
      </c>
      <c r="B4429" s="86" t="s">
        <v>1260</v>
      </c>
      <c r="C4429" s="86" t="s">
        <v>2034</v>
      </c>
      <c r="D4429" s="89" t="str">
        <f ca="1">OFFSET(Roster!$A$3,MATCH(表格1[[#This Row],[Location]]&amp;" "&amp;表格1[[#This Row],[Shop]]&amp;"*",Roster!$A$4:$A$72,0),DAY(表格1[[#This Row],[date]]),1,1)</f>
        <v>Yee</v>
      </c>
      <c r="E4429" s="86">
        <f>MONTH(表格1[[#This Row],[date]])</f>
        <v>3</v>
      </c>
      <c r="F4429" s="90">
        <v>46103</v>
      </c>
      <c r="G4429" s="86" t="str">
        <f>VLOOKUP("*"&amp;表格1[[#This Row],[Input]]&amp;"*",'Ref-List'!$B:$D,2,)</f>
        <v>RAD-D200H</v>
      </c>
      <c r="H4429" s="86" t="str">
        <f>_xlfn.XLOOKUP(表格1[[#This Row],[Model]],表格3[Model-Input-Ref2],表格3[Product Line])</f>
        <v>壓縮式抽濕機 (22公升)</v>
      </c>
      <c r="I4429" s="86" t="str">
        <f>_xlfn.XLOOKUP(表格1[[#This Row],[Model]],表格3[Model-Input-Ref2],表格3[大小電])</f>
        <v>細電</v>
      </c>
      <c r="J4429" s="86" t="str">
        <f>_xlfn.XLOOKUP(表格1[[#This Row],[Model]],表格3[Model-Input-Ref2],表格3[Code])</f>
        <v>RAC</v>
      </c>
      <c r="K4429" s="89" t="s">
        <v>1250</v>
      </c>
      <c r="L4429" s="86">
        <v>1</v>
      </c>
      <c r="M4429" s="87">
        <v>1880</v>
      </c>
      <c r="N4429" s="87">
        <f>IFERROR(表格1[[#This Row],[QTY]]*表格1[[#This Row],[Unit Price]],"-")</f>
        <v>1880</v>
      </c>
      <c r="O4429" s="86">
        <v>510257</v>
      </c>
      <c r="R4429" s="86" t="str">
        <f>_xlfn.CONCAT(表格1[[#This Row],[Model]]," ",表格1[[#This Row],[inv no]])</f>
        <v>RAD-D200H 510257</v>
      </c>
      <c r="S4429" s="86">
        <f>_xlfn.XLOOKUP(表格1[[#This Row],[Model]],表格3[Model-Input-Ref2],表格3[SRP PRICE])</f>
        <v>2880</v>
      </c>
      <c r="T4429" s="43">
        <f>表格1[[#This Row],[Unit Price]]/表格1[[#This Row],[SRP]]</f>
        <v>0.65277777777777779</v>
      </c>
      <c r="U4429" s="86" t="str">
        <f>_xlfn.XLOOKUP(表格1[[#This Row],[Model]],表格3[Model-Input-Ref2],表格3[TOSHIBA/HIGHEST])</f>
        <v>Shops Highest Price</v>
      </c>
      <c r="W4429" s="86" t="str">
        <f>_xlfn.CONCAT(表格1[[#This Row],[欄4]],表格1[[#This Row],[inv no]])</f>
        <v>510257</v>
      </c>
    </row>
    <row r="4430" spans="1:23" hidden="1">
      <c r="A4430" s="81">
        <v>4428</v>
      </c>
      <c r="B4430" s="86" t="s">
        <v>1260</v>
      </c>
      <c r="C4430" s="86" t="s">
        <v>2034</v>
      </c>
      <c r="D4430" s="89" t="str">
        <f ca="1">OFFSET(Roster!$A$3,MATCH(表格1[[#This Row],[Location]]&amp;" "&amp;表格1[[#This Row],[Shop]]&amp;"*",Roster!$A$4:$A$72,0),DAY(表格1[[#This Row],[date]]),1,1)</f>
        <v>Yee</v>
      </c>
      <c r="E4430" s="86">
        <f>MONTH(表格1[[#This Row],[date]])</f>
        <v>3</v>
      </c>
      <c r="F4430" s="90">
        <v>46107</v>
      </c>
      <c r="G4430" s="86" t="str">
        <f>VLOOKUP("*"&amp;表格1[[#This Row],[Input]]&amp;"*",'Ref-List'!$B:$D,2,)</f>
        <v>F-LYA20(W)HKG</v>
      </c>
      <c r="H4430" s="86" t="str">
        <f>_xlfn.XLOOKUP(表格1[[#This Row],[Model]],表格3[Model-Input-Ref2],表格3[Product Line])</f>
        <v>12吋2合1座地座檯電風扇連遙控</v>
      </c>
      <c r="I4430" s="86" t="str">
        <f>_xlfn.XLOOKUP(表格1[[#This Row],[Model]],表格3[Model-Input-Ref2],表格3[大小電])</f>
        <v>細電</v>
      </c>
      <c r="J4430" s="86" t="str">
        <f>_xlfn.XLOOKUP(表格1[[#This Row],[Model]],表格3[Model-Input-Ref2],表格3[Code])</f>
        <v>EAD</v>
      </c>
      <c r="K4430" s="89" t="s">
        <v>1391</v>
      </c>
      <c r="L4430" s="86">
        <v>1</v>
      </c>
      <c r="M4430" s="87">
        <v>399</v>
      </c>
      <c r="N4430" s="87">
        <f>IFERROR(表格1[[#This Row],[QTY]]*表格1[[#This Row],[Unit Price]],"-")</f>
        <v>399</v>
      </c>
      <c r="O4430" s="142" t="s">
        <v>2065</v>
      </c>
      <c r="R4430" s="86" t="str">
        <f>_xlfn.CONCAT(表格1[[#This Row],[Model]]," ",表格1[[#This Row],[inv no]])</f>
        <v>F-LYA20(W)HKG 010471</v>
      </c>
      <c r="S4430" s="86">
        <f>_xlfn.XLOOKUP(表格1[[#This Row],[Model]],表格3[Model-Input-Ref2],表格3[SRP PRICE])</f>
        <v>988</v>
      </c>
      <c r="T4430" s="43">
        <f>表格1[[#This Row],[Unit Price]]/表格1[[#This Row],[SRP]]</f>
        <v>0.40384615384615385</v>
      </c>
      <c r="U4430" s="86" t="str">
        <f>_xlfn.XLOOKUP(表格1[[#This Row],[Model]],表格3[Model-Input-Ref2],表格3[TOSHIBA/HIGHEST])</f>
        <v>Toshiba SRP</v>
      </c>
      <c r="W4430" s="86" t="str">
        <f>_xlfn.CONCAT(表格1[[#This Row],[欄4]],表格1[[#This Row],[inv no]])</f>
        <v>010471</v>
      </c>
    </row>
    <row r="4431" spans="1:23" hidden="1">
      <c r="A4431" s="81">
        <v>4429</v>
      </c>
      <c r="B4431" s="86" t="s">
        <v>1260</v>
      </c>
      <c r="C4431" s="86" t="s">
        <v>2034</v>
      </c>
      <c r="D4431" s="89" t="str">
        <f ca="1">OFFSET(Roster!$A$3,MATCH(表格1[[#This Row],[Location]]&amp;" "&amp;表格1[[#This Row],[Shop]]&amp;"*",Roster!$A$4:$A$72,0),DAY(表格1[[#This Row],[date]]),1,1)</f>
        <v>Yee</v>
      </c>
      <c r="E4431" s="86">
        <f>MONTH(表格1[[#This Row],[date]])</f>
        <v>3</v>
      </c>
      <c r="F4431" s="90">
        <v>46107</v>
      </c>
      <c r="G4431" s="86" t="str">
        <f>VLOOKUP("*"&amp;表格1[[#This Row],[Input]]&amp;"*",'Ref-List'!$B:$D,2,)</f>
        <v>F-LYA20(W)HKG</v>
      </c>
      <c r="H4431" s="86" t="str">
        <f>_xlfn.XLOOKUP(表格1[[#This Row],[Model]],表格3[Model-Input-Ref2],表格3[Product Line])</f>
        <v>12吋2合1座地座檯電風扇連遙控</v>
      </c>
      <c r="I4431" s="86" t="str">
        <f>_xlfn.XLOOKUP(表格1[[#This Row],[Model]],表格3[Model-Input-Ref2],表格3[大小電])</f>
        <v>細電</v>
      </c>
      <c r="J4431" s="86" t="str">
        <f>_xlfn.XLOOKUP(表格1[[#This Row],[Model]],表格3[Model-Input-Ref2],表格3[Code])</f>
        <v>EAD</v>
      </c>
      <c r="K4431" s="89" t="s">
        <v>1391</v>
      </c>
      <c r="L4431" s="86">
        <v>1</v>
      </c>
      <c r="M4431" s="87">
        <v>399</v>
      </c>
      <c r="N4431" s="87">
        <f>IFERROR(表格1[[#This Row],[QTY]]*表格1[[#This Row],[Unit Price]],"-")</f>
        <v>399</v>
      </c>
      <c r="O4431" s="142" t="s">
        <v>2066</v>
      </c>
      <c r="R4431" s="86" t="str">
        <f>_xlfn.CONCAT(表格1[[#This Row],[Model]]," ",表格1[[#This Row],[inv no]])</f>
        <v>F-LYA20(W)HKG 010495</v>
      </c>
      <c r="S4431" s="86">
        <f>_xlfn.XLOOKUP(表格1[[#This Row],[Model]],表格3[Model-Input-Ref2],表格3[SRP PRICE])</f>
        <v>988</v>
      </c>
      <c r="T4431" s="43">
        <f>表格1[[#This Row],[Unit Price]]/表格1[[#This Row],[SRP]]</f>
        <v>0.40384615384615385</v>
      </c>
      <c r="U4431" s="86" t="str">
        <f>_xlfn.XLOOKUP(表格1[[#This Row],[Model]],表格3[Model-Input-Ref2],表格3[TOSHIBA/HIGHEST])</f>
        <v>Toshiba SRP</v>
      </c>
      <c r="W4431" s="86" t="str">
        <f>_xlfn.CONCAT(表格1[[#This Row],[欄4]],表格1[[#This Row],[inv no]])</f>
        <v>010495</v>
      </c>
    </row>
    <row r="4432" spans="1:23" hidden="1">
      <c r="A4432" s="81">
        <v>4430</v>
      </c>
      <c r="B4432" s="86" t="s">
        <v>1260</v>
      </c>
      <c r="C4432" s="86" t="s">
        <v>2034</v>
      </c>
      <c r="D4432" s="89" t="str">
        <f ca="1">OFFSET(Roster!$A$3,MATCH(表格1[[#This Row],[Location]]&amp;" "&amp;表格1[[#This Row],[Shop]]&amp;"*",Roster!$A$4:$A$72,0),DAY(表格1[[#This Row],[date]]),1,1)</f>
        <v>Yee</v>
      </c>
      <c r="E4432" s="86">
        <f>MONTH(表格1[[#This Row],[date]])</f>
        <v>3</v>
      </c>
      <c r="F4432" s="90">
        <v>46107</v>
      </c>
      <c r="G4432" s="86" t="str">
        <f>VLOOKUP("*"&amp;表格1[[#This Row],[Input]]&amp;"*",'Ref-List'!$B:$D,2,)</f>
        <v>RC-10IRPH</v>
      </c>
      <c r="H4432" s="86" t="str">
        <f>_xlfn.XLOOKUP(表格1[[#This Row],[Model]],表格3[Model-Input-Ref2],表格3[Product Line])</f>
        <v>低醣磁應電飯煲1L</v>
      </c>
      <c r="I4432" s="86" t="str">
        <f>_xlfn.XLOOKUP(表格1[[#This Row],[Model]],表格3[Model-Input-Ref2],表格3[大小電])</f>
        <v>細電</v>
      </c>
      <c r="J4432" s="86" t="str">
        <f>_xlfn.XLOOKUP(表格1[[#This Row],[Model]],表格3[Model-Input-Ref2],表格3[Code])</f>
        <v>SDA</v>
      </c>
      <c r="K4432" s="89" t="s">
        <v>1297</v>
      </c>
      <c r="L4432" s="86">
        <v>1</v>
      </c>
      <c r="M4432" s="87">
        <v>898</v>
      </c>
      <c r="N4432" s="87">
        <f>IFERROR(表格1[[#This Row],[QTY]]*表格1[[#This Row],[Unit Price]],"-")</f>
        <v>898</v>
      </c>
      <c r="O4432" s="86">
        <v>511283</v>
      </c>
      <c r="R4432" s="86" t="str">
        <f>_xlfn.CONCAT(表格1[[#This Row],[Model]]," ",表格1[[#This Row],[inv no]])</f>
        <v>RC-10IRPH 511283</v>
      </c>
      <c r="S4432" s="86">
        <f>_xlfn.XLOOKUP(表格1[[#This Row],[Model]],表格3[Model-Input-Ref2],表格3[SRP PRICE])</f>
        <v>1388</v>
      </c>
      <c r="T4432" s="43">
        <f>表格1[[#This Row],[Unit Price]]/表格1[[#This Row],[SRP]]</f>
        <v>0.64697406340057639</v>
      </c>
      <c r="U4432" s="86" t="str">
        <f>_xlfn.XLOOKUP(表格1[[#This Row],[Model]],表格3[Model-Input-Ref2],表格3[TOSHIBA/HIGHEST])</f>
        <v>Toshiba SRP</v>
      </c>
      <c r="W4432" s="86" t="str">
        <f>_xlfn.CONCAT(表格1[[#This Row],[欄4]],表格1[[#This Row],[inv no]])</f>
        <v>511283</v>
      </c>
    </row>
    <row r="4433" spans="1:23" hidden="1">
      <c r="A4433" s="81">
        <v>4431</v>
      </c>
      <c r="B4433" s="86" t="s">
        <v>1260</v>
      </c>
      <c r="C4433" s="86" t="s">
        <v>2034</v>
      </c>
      <c r="D4433" s="89" t="str">
        <f ca="1">OFFSET(Roster!$A$3,MATCH(表格1[[#This Row],[Location]]&amp;" "&amp;表格1[[#This Row],[Shop]]&amp;"*",Roster!$A$4:$A$72,0),DAY(表格1[[#This Row],[date]]),1,1)</f>
        <v>Yee</v>
      </c>
      <c r="E4433" s="86">
        <f>MONTH(表格1[[#This Row],[date]])</f>
        <v>3</v>
      </c>
      <c r="F4433" s="90">
        <v>46107</v>
      </c>
      <c r="G4433" s="86" t="str">
        <f>VLOOKUP("*"&amp;表格1[[#This Row],[Input]]&amp;"*",'Ref-List'!$B:$D,2,)</f>
        <v>F-LYA20(W)HKG</v>
      </c>
      <c r="H4433" s="86" t="str">
        <f>_xlfn.XLOOKUP(表格1[[#This Row],[Model]],表格3[Model-Input-Ref2],表格3[Product Line])</f>
        <v>12吋2合1座地座檯電風扇連遙控</v>
      </c>
      <c r="I4433" s="86" t="str">
        <f>_xlfn.XLOOKUP(表格1[[#This Row],[Model]],表格3[Model-Input-Ref2],表格3[大小電])</f>
        <v>細電</v>
      </c>
      <c r="J4433" s="86" t="str">
        <f>_xlfn.XLOOKUP(表格1[[#This Row],[Model]],表格3[Model-Input-Ref2],表格3[Code])</f>
        <v>EAD</v>
      </c>
      <c r="K4433" s="89" t="s">
        <v>1391</v>
      </c>
      <c r="L4433" s="86">
        <v>2</v>
      </c>
      <c r="M4433" s="87">
        <v>399</v>
      </c>
      <c r="N4433" s="87">
        <f>IFERROR(表格1[[#This Row],[QTY]]*表格1[[#This Row],[Unit Price]],"-")</f>
        <v>798</v>
      </c>
      <c r="O4433" s="86">
        <v>133115</v>
      </c>
      <c r="R4433" s="86" t="str">
        <f>_xlfn.CONCAT(表格1[[#This Row],[Model]]," ",表格1[[#This Row],[inv no]])</f>
        <v>F-LYA20(W)HKG 133115</v>
      </c>
      <c r="S4433" s="86">
        <f>_xlfn.XLOOKUP(表格1[[#This Row],[Model]],表格3[Model-Input-Ref2],表格3[SRP PRICE])</f>
        <v>988</v>
      </c>
      <c r="T4433" s="43">
        <f>表格1[[#This Row],[Unit Price]]/表格1[[#This Row],[SRP]]</f>
        <v>0.40384615384615385</v>
      </c>
      <c r="U4433" s="86" t="str">
        <f>_xlfn.XLOOKUP(表格1[[#This Row],[Model]],表格3[Model-Input-Ref2],表格3[TOSHIBA/HIGHEST])</f>
        <v>Toshiba SRP</v>
      </c>
      <c r="W4433" s="86" t="str">
        <f>_xlfn.CONCAT(表格1[[#This Row],[欄4]],表格1[[#This Row],[inv no]])</f>
        <v>133115</v>
      </c>
    </row>
    <row r="4434" spans="1:23" hidden="1">
      <c r="A4434" s="81">
        <v>4432</v>
      </c>
      <c r="B4434" s="86" t="s">
        <v>1260</v>
      </c>
      <c r="C4434" s="86" t="s">
        <v>2034</v>
      </c>
      <c r="D4434" s="89" t="str">
        <f ca="1">OFFSET(Roster!$A$3,MATCH(表格1[[#This Row],[Location]]&amp;" "&amp;表格1[[#This Row],[Shop]]&amp;"*",Roster!$A$4:$A$72,0),DAY(表格1[[#This Row],[date]]),1,1)</f>
        <v>Yee</v>
      </c>
      <c r="E4434" s="86">
        <f>MONTH(表格1[[#This Row],[date]])</f>
        <v>3</v>
      </c>
      <c r="F4434" s="90">
        <v>46107</v>
      </c>
      <c r="G4434" s="86" t="str">
        <f>VLOOKUP("*"&amp;表格1[[#This Row],[Input]]&amp;"*",'Ref-List'!$B:$D,2,)</f>
        <v>RC-10JRUH(N)</v>
      </c>
      <c r="H4434" s="86" t="str">
        <f>_xlfn.XLOOKUP(表格1[[#This Row],[Model]],表格3[Model-Input-Ref2],表格3[Product Line])</f>
        <v>電飯煲</v>
      </c>
      <c r="I4434" s="86" t="str">
        <f>_xlfn.XLOOKUP(表格1[[#This Row],[Model]],表格3[Model-Input-Ref2],表格3[大小電])</f>
        <v>細電</v>
      </c>
      <c r="J4434" s="86" t="str">
        <f>_xlfn.XLOOKUP(表格1[[#This Row],[Model]],表格3[Model-Input-Ref2],表格3[Code])</f>
        <v>SDA</v>
      </c>
      <c r="K4434" s="89" t="s">
        <v>1263</v>
      </c>
      <c r="L4434" s="86">
        <v>1</v>
      </c>
      <c r="M4434" s="87">
        <v>250</v>
      </c>
      <c r="N4434" s="87">
        <f>IFERROR(表格1[[#This Row],[QTY]]*表格1[[#This Row],[Unit Price]],"-")</f>
        <v>250</v>
      </c>
      <c r="O4434" s="86">
        <v>133180</v>
      </c>
      <c r="R4434" s="86" t="str">
        <f>_xlfn.CONCAT(表格1[[#This Row],[Model]]," ",表格1[[#This Row],[inv no]])</f>
        <v>RC-10JRUH(N) 133180</v>
      </c>
      <c r="S4434" s="86">
        <f>_xlfn.XLOOKUP(表格1[[#This Row],[Model]],表格3[Model-Input-Ref2],表格3[SRP PRICE])</f>
        <v>398</v>
      </c>
      <c r="T4434" s="43">
        <f>表格1[[#This Row],[Unit Price]]/表格1[[#This Row],[SRP]]</f>
        <v>0.62814070351758799</v>
      </c>
      <c r="U4434" s="86" t="str">
        <f>_xlfn.XLOOKUP(表格1[[#This Row],[Model]],表格3[Model-Input-Ref2],表格3[TOSHIBA/HIGHEST])</f>
        <v>Shops Highest Price</v>
      </c>
      <c r="W4434" s="86" t="str">
        <f>_xlfn.CONCAT(表格1[[#This Row],[欄4]],表格1[[#This Row],[inv no]])</f>
        <v>133180</v>
      </c>
    </row>
    <row r="4435" spans="1:23" hidden="1">
      <c r="A4435" s="81">
        <v>4433</v>
      </c>
      <c r="B4435" s="86" t="s">
        <v>1260</v>
      </c>
      <c r="C4435" s="86" t="s">
        <v>2034</v>
      </c>
      <c r="D4435" s="89" t="str">
        <f ca="1">OFFSET(Roster!$A$3,MATCH(表格1[[#This Row],[Location]]&amp;" "&amp;表格1[[#This Row],[Shop]]&amp;"*",Roster!$A$4:$A$72,0),DAY(表格1[[#This Row],[date]]),1,1)</f>
        <v>Yee</v>
      </c>
      <c r="E4435" s="86">
        <f>MONTH(表格1[[#This Row],[date]])</f>
        <v>3</v>
      </c>
      <c r="F4435" s="90">
        <v>46107</v>
      </c>
      <c r="G4435" s="86" t="str">
        <f>VLOOKUP("*"&amp;表格1[[#This Row],[Input]]&amp;"*",'Ref-List'!$B:$D,2,)</f>
        <v>RC-10AMXH(W)</v>
      </c>
      <c r="H4435" s="86" t="str">
        <f>_xlfn.XLOOKUP(表格1[[#This Row],[Model]],表格3[Model-Input-Ref2],表格3[Product Line])</f>
        <v>酵活炊電飯煲(1.0公升)</v>
      </c>
      <c r="I4435" s="86" t="str">
        <f>_xlfn.XLOOKUP(表格1[[#This Row],[Model]],表格3[Model-Input-Ref2],表格3[大小電])</f>
        <v>細電</v>
      </c>
      <c r="J4435" s="86" t="str">
        <f>_xlfn.XLOOKUP(表格1[[#This Row],[Model]],表格3[Model-Input-Ref2],表格3[Code])</f>
        <v>SDA</v>
      </c>
      <c r="K4435" s="89" t="s">
        <v>1279</v>
      </c>
      <c r="L4435" s="86">
        <v>1</v>
      </c>
      <c r="M4435" s="87">
        <v>990</v>
      </c>
      <c r="N4435" s="87">
        <f>IFERROR(表格1[[#This Row],[QTY]]*表格1[[#This Row],[Unit Price]],"-")</f>
        <v>990</v>
      </c>
      <c r="O4435" s="86">
        <v>511398</v>
      </c>
      <c r="R4435" s="86" t="str">
        <f>_xlfn.CONCAT(表格1[[#This Row],[Model]]," ",表格1[[#This Row],[inv no]])</f>
        <v>RC-10AMXH(W) 511398</v>
      </c>
      <c r="S4435" s="86">
        <f>_xlfn.XLOOKUP(表格1[[#This Row],[Model]],表格3[Model-Input-Ref2],表格3[SRP PRICE])</f>
        <v>1288</v>
      </c>
      <c r="T4435" s="43">
        <f>表格1[[#This Row],[Unit Price]]/表格1[[#This Row],[SRP]]</f>
        <v>0.76863354037267084</v>
      </c>
      <c r="U4435" s="86" t="str">
        <f>_xlfn.XLOOKUP(表格1[[#This Row],[Model]],表格3[Model-Input-Ref2],表格3[TOSHIBA/HIGHEST])</f>
        <v>Toshiba SRP</v>
      </c>
      <c r="W4435" s="86" t="str">
        <f>_xlfn.CONCAT(表格1[[#This Row],[欄4]],表格1[[#This Row],[inv no]])</f>
        <v>511398</v>
      </c>
    </row>
    <row r="4436" spans="1:23" hidden="1">
      <c r="A4436" s="81">
        <v>4434</v>
      </c>
      <c r="B4436" s="86" t="s">
        <v>1260</v>
      </c>
      <c r="C4436" s="86" t="s">
        <v>2034</v>
      </c>
      <c r="D4436" s="89" t="str">
        <f ca="1">OFFSET(Roster!$A$3,MATCH(表格1[[#This Row],[Location]]&amp;" "&amp;表格1[[#This Row],[Shop]]&amp;"*",Roster!$A$4:$A$72,0),DAY(表格1[[#This Row],[date]]),1,1)</f>
        <v>Yee</v>
      </c>
      <c r="E4436" s="86">
        <f>MONTH(表格1[[#This Row],[date]])</f>
        <v>3</v>
      </c>
      <c r="F4436" s="90">
        <v>46107</v>
      </c>
      <c r="G4436" s="86" t="str">
        <f>VLOOKUP("*"&amp;表格1[[#This Row],[Input]]&amp;"*",'Ref-List'!$B:$D,2,)</f>
        <v>RC-10NMFIH(WT)</v>
      </c>
      <c r="H4436" s="86" t="str">
        <f>_xlfn.XLOOKUP(表格1[[#This Row],[Model]],表格3[Model-Input-Ref2],表格3[Product Line])</f>
        <v>4毫米厚釜電飯煲1L</v>
      </c>
      <c r="I4436" s="86" t="str">
        <f>_xlfn.XLOOKUP(表格1[[#This Row],[Model]],表格3[Model-Input-Ref2],表格3[大小電])</f>
        <v>細電</v>
      </c>
      <c r="J4436" s="86" t="str">
        <f>_xlfn.XLOOKUP(表格1[[#This Row],[Model]],表格3[Model-Input-Ref2],表格3[Code])</f>
        <v>SDA</v>
      </c>
      <c r="K4436" s="89" t="s">
        <v>1244</v>
      </c>
      <c r="L4436" s="86">
        <v>1</v>
      </c>
      <c r="M4436" s="87">
        <v>719</v>
      </c>
      <c r="N4436" s="87">
        <f>IFERROR(表格1[[#This Row],[QTY]]*表格1[[#This Row],[Unit Price]],"-")</f>
        <v>719</v>
      </c>
      <c r="O4436" s="86">
        <v>511252</v>
      </c>
      <c r="R4436" s="86" t="str">
        <f>_xlfn.CONCAT(表格1[[#This Row],[Model]]," ",表格1[[#This Row],[inv no]])</f>
        <v>RC-10NMFIH(WT) 511252</v>
      </c>
      <c r="S4436" s="86">
        <f>_xlfn.XLOOKUP(表格1[[#This Row],[Model]],表格3[Model-Input-Ref2],表格3[SRP PRICE])</f>
        <v>898</v>
      </c>
      <c r="T4436" s="43">
        <f>表格1[[#This Row],[Unit Price]]/表格1[[#This Row],[SRP]]</f>
        <v>0.80066815144766146</v>
      </c>
      <c r="U4436" s="86" t="str">
        <f>_xlfn.XLOOKUP(表格1[[#This Row],[Model]],表格3[Model-Input-Ref2],表格3[TOSHIBA/HIGHEST])</f>
        <v>Toshiba SRP</v>
      </c>
      <c r="W4436" s="86" t="str">
        <f>_xlfn.CONCAT(表格1[[#This Row],[欄4]],表格1[[#This Row],[inv no]])</f>
        <v>511252</v>
      </c>
    </row>
    <row r="4437" spans="1:23" hidden="1">
      <c r="A4437" s="81">
        <v>4435</v>
      </c>
      <c r="B4437" s="86" t="s">
        <v>1260</v>
      </c>
      <c r="C4437" s="86" t="s">
        <v>2034</v>
      </c>
      <c r="D4437" s="89" t="str">
        <f ca="1">OFFSET(Roster!$A$3,MATCH(表格1[[#This Row],[Location]]&amp;" "&amp;表格1[[#This Row],[Shop]]&amp;"*",Roster!$A$4:$A$72,0),DAY(表格1[[#This Row],[date]]),1,1)</f>
        <v>Yee</v>
      </c>
      <c r="E4437" s="86">
        <f>MONTH(表格1[[#This Row],[date]])</f>
        <v>3</v>
      </c>
      <c r="F4437" s="90">
        <v>46107</v>
      </c>
      <c r="G4437" s="86" t="str">
        <f>VLOOKUP("*"&amp;表格1[[#This Row],[Input]]&amp;"*",'Ref-List'!$B:$D,2,)</f>
        <v>TP-25DR2UHK(W)</v>
      </c>
      <c r="H4437" s="86" t="str">
        <f>_xlfn.XLOOKUP(表格1[[#This Row],[Model]],表格3[Model-Input-Ref2],表格3[Product Line])</f>
        <v>電熱水瓶 (2.5公升)</v>
      </c>
      <c r="I4437" s="86" t="str">
        <f>_xlfn.XLOOKUP(表格1[[#This Row],[Model]],表格3[Model-Input-Ref2],表格3[大小電])</f>
        <v>細電</v>
      </c>
      <c r="J4437" s="86" t="str">
        <f>_xlfn.XLOOKUP(表格1[[#This Row],[Model]],表格3[Model-Input-Ref2],表格3[Code])</f>
        <v>SDA</v>
      </c>
      <c r="K4437" s="89" t="s">
        <v>1285</v>
      </c>
      <c r="L4437" s="86">
        <v>1</v>
      </c>
      <c r="M4437" s="87">
        <v>398</v>
      </c>
      <c r="N4437" s="87">
        <f>IFERROR(表格1[[#This Row],[QTY]]*表格1[[#This Row],[Unit Price]],"-")</f>
        <v>398</v>
      </c>
      <c r="O4437" s="142" t="s">
        <v>2067</v>
      </c>
      <c r="R4437" s="86" t="str">
        <f>_xlfn.CONCAT(表格1[[#This Row],[Model]]," ",表格1[[#This Row],[inv no]])</f>
        <v>TP-25DR2UHK(W) 010501</v>
      </c>
      <c r="S4437" s="86">
        <f>_xlfn.XLOOKUP(表格1[[#This Row],[Model]],表格3[Model-Input-Ref2],表格3[SRP PRICE])</f>
        <v>538</v>
      </c>
      <c r="T4437" s="43">
        <f>表格1[[#This Row],[Unit Price]]/表格1[[#This Row],[SRP]]</f>
        <v>0.7397769516728625</v>
      </c>
      <c r="U4437" s="86" t="str">
        <f>_xlfn.XLOOKUP(表格1[[#This Row],[Model]],表格3[Model-Input-Ref2],表格3[TOSHIBA/HIGHEST])</f>
        <v>Toshiba SRP</v>
      </c>
      <c r="W4437" s="86" t="str">
        <f>_xlfn.CONCAT(表格1[[#This Row],[欄4]],表格1[[#This Row],[inv no]])</f>
        <v>010501</v>
      </c>
    </row>
    <row r="4438" spans="1:23" hidden="1">
      <c r="A4438" s="81">
        <v>4436</v>
      </c>
      <c r="B4438" s="86" t="s">
        <v>1260</v>
      </c>
      <c r="C4438" s="86" t="s">
        <v>2034</v>
      </c>
      <c r="D4438" s="89" t="str">
        <f ca="1">OFFSET(Roster!$A$3,MATCH(表格1[[#This Row],[Location]]&amp;" "&amp;表格1[[#This Row],[Shop]]&amp;"*",Roster!$A$4:$A$72,0),DAY(表格1[[#This Row],[date]]),1,1)</f>
        <v>Yee</v>
      </c>
      <c r="E4438" s="86">
        <f>MONTH(表格1[[#This Row],[date]])</f>
        <v>3</v>
      </c>
      <c r="F4438" s="90">
        <v>46107</v>
      </c>
      <c r="G4438" s="86" t="str">
        <f>VLOOKUP("*"&amp;表格1[[#This Row],[Input]]&amp;"*",'Ref-List'!$B:$D,2,)</f>
        <v>TP-25DR2UHK(W)</v>
      </c>
      <c r="H4438" s="86" t="str">
        <f>_xlfn.XLOOKUP(表格1[[#This Row],[Model]],表格3[Model-Input-Ref2],表格3[Product Line])</f>
        <v>電熱水瓶 (2.5公升)</v>
      </c>
      <c r="I4438" s="86" t="str">
        <f>_xlfn.XLOOKUP(表格1[[#This Row],[Model]],表格3[Model-Input-Ref2],表格3[大小電])</f>
        <v>細電</v>
      </c>
      <c r="J4438" s="86" t="str">
        <f>_xlfn.XLOOKUP(表格1[[#This Row],[Model]],表格3[Model-Input-Ref2],表格3[Code])</f>
        <v>SDA</v>
      </c>
      <c r="K4438" s="89" t="s">
        <v>1285</v>
      </c>
      <c r="L4438" s="86">
        <v>1</v>
      </c>
      <c r="M4438" s="87">
        <v>398</v>
      </c>
      <c r="N4438" s="87">
        <f>IFERROR(表格1[[#This Row],[QTY]]*表格1[[#This Row],[Unit Price]],"-")</f>
        <v>398</v>
      </c>
      <c r="O4438" s="142" t="s">
        <v>2068</v>
      </c>
      <c r="R4438" s="86" t="str">
        <f>_xlfn.CONCAT(表格1[[#This Row],[Model]]," ",表格1[[#This Row],[inv no]])</f>
        <v>TP-25DR2UHK(W) 010519</v>
      </c>
      <c r="S4438" s="86">
        <f>_xlfn.XLOOKUP(表格1[[#This Row],[Model]],表格3[Model-Input-Ref2],表格3[SRP PRICE])</f>
        <v>538</v>
      </c>
      <c r="T4438" s="43">
        <f>表格1[[#This Row],[Unit Price]]/表格1[[#This Row],[SRP]]</f>
        <v>0.7397769516728625</v>
      </c>
      <c r="U4438" s="86" t="str">
        <f>_xlfn.XLOOKUP(表格1[[#This Row],[Model]],表格3[Model-Input-Ref2],表格3[TOSHIBA/HIGHEST])</f>
        <v>Toshiba SRP</v>
      </c>
      <c r="W4438" s="86" t="str">
        <f>_xlfn.CONCAT(表格1[[#This Row],[欄4]],表格1[[#This Row],[inv no]])</f>
        <v>010519</v>
      </c>
    </row>
    <row r="4439" spans="1:23" hidden="1">
      <c r="A4439" s="81">
        <v>4437</v>
      </c>
      <c r="B4439" s="86" t="s">
        <v>1260</v>
      </c>
      <c r="C4439" s="86" t="s">
        <v>2034</v>
      </c>
      <c r="D4439" s="89" t="str">
        <f ca="1">OFFSET(Roster!$A$3,MATCH(表格1[[#This Row],[Location]]&amp;" "&amp;表格1[[#This Row],[Shop]]&amp;"*",Roster!$A$4:$A$72,0),DAY(表格1[[#This Row],[date]]),1,1)</f>
        <v>Yee</v>
      </c>
      <c r="E4439" s="86">
        <f>MONTH(表格1[[#This Row],[date]])</f>
        <v>3</v>
      </c>
      <c r="F4439" s="90">
        <v>46107</v>
      </c>
      <c r="G4439" s="86" t="str">
        <f>VLOOKUP("*"&amp;表格1[[#This Row],[Input]]&amp;"*",'Ref-List'!$B:$D,2,)</f>
        <v>F-LYA20(W)HKG</v>
      </c>
      <c r="H4439" s="86" t="str">
        <f>_xlfn.XLOOKUP(表格1[[#This Row],[Model]],表格3[Model-Input-Ref2],表格3[Product Line])</f>
        <v>12吋2合1座地座檯電風扇連遙控</v>
      </c>
      <c r="I4439" s="86" t="str">
        <f>_xlfn.XLOOKUP(表格1[[#This Row],[Model]],表格3[Model-Input-Ref2],表格3[大小電])</f>
        <v>細電</v>
      </c>
      <c r="J4439" s="86" t="str">
        <f>_xlfn.XLOOKUP(表格1[[#This Row],[Model]],表格3[Model-Input-Ref2],表格3[Code])</f>
        <v>EAD</v>
      </c>
      <c r="K4439" s="89" t="s">
        <v>1391</v>
      </c>
      <c r="L4439" s="86">
        <v>1</v>
      </c>
      <c r="M4439" s="87">
        <v>399</v>
      </c>
      <c r="N4439" s="87">
        <f>IFERROR(表格1[[#This Row],[QTY]]*表格1[[#This Row],[Unit Price]],"-")</f>
        <v>399</v>
      </c>
      <c r="O4439" s="142" t="s">
        <v>2069</v>
      </c>
      <c r="R4439" s="86" t="str">
        <f>_xlfn.CONCAT(表格1[[#This Row],[Model]]," ",表格1[[#This Row],[inv no]])</f>
        <v>F-LYA20(W)HKG 010522</v>
      </c>
      <c r="S4439" s="86">
        <f>_xlfn.XLOOKUP(表格1[[#This Row],[Model]],表格3[Model-Input-Ref2],表格3[SRP PRICE])</f>
        <v>988</v>
      </c>
      <c r="T4439" s="43">
        <f>表格1[[#This Row],[Unit Price]]/表格1[[#This Row],[SRP]]</f>
        <v>0.40384615384615385</v>
      </c>
      <c r="U4439" s="86" t="str">
        <f>_xlfn.XLOOKUP(表格1[[#This Row],[Model]],表格3[Model-Input-Ref2],表格3[TOSHIBA/HIGHEST])</f>
        <v>Toshiba SRP</v>
      </c>
      <c r="W4439" s="86" t="str">
        <f>_xlfn.CONCAT(表格1[[#This Row],[欄4]],表格1[[#This Row],[inv no]])</f>
        <v>010522</v>
      </c>
    </row>
    <row r="4440" spans="1:23" hidden="1">
      <c r="A4440" s="81">
        <v>4438</v>
      </c>
      <c r="B4440" s="86" t="s">
        <v>1260</v>
      </c>
      <c r="C4440" s="86" t="s">
        <v>2034</v>
      </c>
      <c r="D4440" s="89" t="str">
        <f ca="1">OFFSET(Roster!$A$3,MATCH(表格1[[#This Row],[Location]]&amp;" "&amp;表格1[[#This Row],[Shop]]&amp;"*",Roster!$A$4:$A$72,0),DAY(表格1[[#This Row],[date]]),1,1)</f>
        <v>Yee</v>
      </c>
      <c r="E4440" s="86">
        <f>MONTH(表格1[[#This Row],[date]])</f>
        <v>3</v>
      </c>
      <c r="F4440" s="90">
        <v>46107</v>
      </c>
      <c r="G4440" s="86" t="str">
        <f>VLOOKUP("*"&amp;表格1[[#This Row],[Input]]&amp;"*",'Ref-List'!$B:$D,2,)</f>
        <v>F-LYA20(W)HKG</v>
      </c>
      <c r="H4440" s="86" t="str">
        <f>_xlfn.XLOOKUP(表格1[[#This Row],[Model]],表格3[Model-Input-Ref2],表格3[Product Line])</f>
        <v>12吋2合1座地座檯電風扇連遙控</v>
      </c>
      <c r="I4440" s="86" t="str">
        <f>_xlfn.XLOOKUP(表格1[[#This Row],[Model]],表格3[Model-Input-Ref2],表格3[大小電])</f>
        <v>細電</v>
      </c>
      <c r="J4440" s="86" t="str">
        <f>_xlfn.XLOOKUP(表格1[[#This Row],[Model]],表格3[Model-Input-Ref2],表格3[Code])</f>
        <v>EAD</v>
      </c>
      <c r="K4440" s="89" t="s">
        <v>1391</v>
      </c>
      <c r="L4440" s="86">
        <v>1</v>
      </c>
      <c r="M4440" s="87">
        <v>399</v>
      </c>
      <c r="N4440" s="87">
        <f>IFERROR(表格1[[#This Row],[QTY]]*表格1[[#This Row],[Unit Price]],"-")</f>
        <v>399</v>
      </c>
      <c r="O4440" s="142" t="s">
        <v>2070</v>
      </c>
      <c r="R4440" s="86" t="str">
        <f>_xlfn.CONCAT(表格1[[#This Row],[Model]]," ",表格1[[#This Row],[inv no]])</f>
        <v>F-LYA20(W)HKG 010544</v>
      </c>
      <c r="S4440" s="86">
        <f>_xlfn.XLOOKUP(表格1[[#This Row],[Model]],表格3[Model-Input-Ref2],表格3[SRP PRICE])</f>
        <v>988</v>
      </c>
      <c r="T4440" s="43">
        <f>表格1[[#This Row],[Unit Price]]/表格1[[#This Row],[SRP]]</f>
        <v>0.40384615384615385</v>
      </c>
      <c r="U4440" s="86" t="str">
        <f>_xlfn.XLOOKUP(表格1[[#This Row],[Model]],表格3[Model-Input-Ref2],表格3[TOSHIBA/HIGHEST])</f>
        <v>Toshiba SRP</v>
      </c>
      <c r="W4440" s="86" t="str">
        <f>_xlfn.CONCAT(表格1[[#This Row],[欄4]],表格1[[#This Row],[inv no]])</f>
        <v>010544</v>
      </c>
    </row>
    <row r="4441" spans="1:23" hidden="1">
      <c r="A4441" s="81">
        <v>4439</v>
      </c>
      <c r="B4441" s="86" t="s">
        <v>1260</v>
      </c>
      <c r="C4441" s="86" t="s">
        <v>2034</v>
      </c>
      <c r="D4441" s="89" t="str">
        <f ca="1">OFFSET(Roster!$A$3,MATCH(表格1[[#This Row],[Location]]&amp;" "&amp;表格1[[#This Row],[Shop]]&amp;"*",Roster!$A$4:$A$72,0),DAY(表格1[[#This Row],[date]]),1,1)</f>
        <v>Yee</v>
      </c>
      <c r="E4441" s="86">
        <f>MONTH(表格1[[#This Row],[date]])</f>
        <v>3</v>
      </c>
      <c r="F4441" s="90">
        <v>46107</v>
      </c>
      <c r="G4441" s="86" t="str">
        <f>VLOOKUP("*"&amp;表格1[[#This Row],[Input]]&amp;"*",'Ref-List'!$B:$D,2,)</f>
        <v>F-LYA20(W)HKG</v>
      </c>
      <c r="H4441" s="86" t="str">
        <f>_xlfn.XLOOKUP(表格1[[#This Row],[Model]],表格3[Model-Input-Ref2],表格3[Product Line])</f>
        <v>12吋2合1座地座檯電風扇連遙控</v>
      </c>
      <c r="I4441" s="86" t="str">
        <f>_xlfn.XLOOKUP(表格1[[#This Row],[Model]],表格3[Model-Input-Ref2],表格3[大小電])</f>
        <v>細電</v>
      </c>
      <c r="J4441" s="86" t="str">
        <f>_xlfn.XLOOKUP(表格1[[#This Row],[Model]],表格3[Model-Input-Ref2],表格3[Code])</f>
        <v>EAD</v>
      </c>
      <c r="K4441" s="89" t="s">
        <v>1391</v>
      </c>
      <c r="L4441" s="86">
        <v>1</v>
      </c>
      <c r="M4441" s="87">
        <v>399</v>
      </c>
      <c r="N4441" s="87">
        <f>IFERROR(表格1[[#This Row],[QTY]]*表格1[[#This Row],[Unit Price]],"-")</f>
        <v>399</v>
      </c>
      <c r="O4441" s="142" t="s">
        <v>2071</v>
      </c>
      <c r="R4441" s="86" t="str">
        <f>_xlfn.CONCAT(表格1[[#This Row],[Model]]," ",表格1[[#This Row],[inv no]])</f>
        <v>F-LYA20(W)HKG 010567</v>
      </c>
      <c r="S4441" s="86">
        <f>_xlfn.XLOOKUP(表格1[[#This Row],[Model]],表格3[Model-Input-Ref2],表格3[SRP PRICE])</f>
        <v>988</v>
      </c>
      <c r="T4441" s="43">
        <f>表格1[[#This Row],[Unit Price]]/表格1[[#This Row],[SRP]]</f>
        <v>0.40384615384615385</v>
      </c>
      <c r="U4441" s="86" t="str">
        <f>_xlfn.XLOOKUP(表格1[[#This Row],[Model]],表格3[Model-Input-Ref2],表格3[TOSHIBA/HIGHEST])</f>
        <v>Toshiba SRP</v>
      </c>
      <c r="W4441" s="86" t="str">
        <f>_xlfn.CONCAT(表格1[[#This Row],[欄4]],表格1[[#This Row],[inv no]])</f>
        <v>010567</v>
      </c>
    </row>
    <row r="4442" spans="1:23" hidden="1">
      <c r="A4442" s="81">
        <v>4440</v>
      </c>
      <c r="B4442" s="86" t="s">
        <v>1260</v>
      </c>
      <c r="C4442" s="86" t="s">
        <v>2034</v>
      </c>
      <c r="D4442" s="89" t="str">
        <f ca="1">OFFSET(Roster!$A$3,MATCH(表格1[[#This Row],[Location]]&amp;" "&amp;表格1[[#This Row],[Shop]]&amp;"*",Roster!$A$4:$A$72,0),DAY(表格1[[#This Row],[date]]),1,1)</f>
        <v>Yee</v>
      </c>
      <c r="E4442" s="86">
        <f>MONTH(表格1[[#This Row],[date]])</f>
        <v>3</v>
      </c>
      <c r="F4442" s="90">
        <v>46107</v>
      </c>
      <c r="G4442" s="86" t="str">
        <f>VLOOKUP("*"&amp;表格1[[#This Row],[Input]]&amp;"*",'Ref-List'!$B:$D,2,)</f>
        <v>MM2-EM20PC(WH)</v>
      </c>
      <c r="H4442" s="86" t="str">
        <f>_xlfn.XLOOKUP(表格1[[#This Row],[Model]],表格3[Model-Input-Ref2],表格3[Product Line])</f>
        <v>輕觸式微波爐 (20公升)</v>
      </c>
      <c r="I4442" s="86" t="str">
        <f>_xlfn.XLOOKUP(表格1[[#This Row],[Model]],表格3[Model-Input-Ref2],表格3[大小電])</f>
        <v>細電</v>
      </c>
      <c r="J4442" s="86" t="str">
        <f>_xlfn.XLOOKUP(表格1[[#This Row],[Model]],表格3[Model-Input-Ref2],表格3[Code])</f>
        <v>MCA</v>
      </c>
      <c r="K4442" s="89" t="s">
        <v>1276</v>
      </c>
      <c r="L4442" s="86">
        <v>1</v>
      </c>
      <c r="M4442" s="87">
        <v>628</v>
      </c>
      <c r="N4442" s="87">
        <f>IFERROR(表格1[[#This Row],[QTY]]*表格1[[#This Row],[Unit Price]],"-")</f>
        <v>628</v>
      </c>
      <c r="O4442" s="86">
        <v>511448</v>
      </c>
      <c r="R4442" s="86" t="str">
        <f>_xlfn.CONCAT(表格1[[#This Row],[Model]]," ",表格1[[#This Row],[inv no]])</f>
        <v>MM2-EM20PC(WH) 511448</v>
      </c>
      <c r="S4442" s="86">
        <f>_xlfn.XLOOKUP(表格1[[#This Row],[Model]],表格3[Model-Input-Ref2],表格3[SRP PRICE])</f>
        <v>788</v>
      </c>
      <c r="T4442" s="43">
        <f>表格1[[#This Row],[Unit Price]]/表格1[[#This Row],[SRP]]</f>
        <v>0.79695431472081213</v>
      </c>
      <c r="U4442" s="86" t="str">
        <f>_xlfn.XLOOKUP(表格1[[#This Row],[Model]],表格3[Model-Input-Ref2],表格3[TOSHIBA/HIGHEST])</f>
        <v>Toshiba SRP</v>
      </c>
      <c r="W4442" s="86" t="str">
        <f>_xlfn.CONCAT(表格1[[#This Row],[欄4]],表格1[[#This Row],[inv no]])</f>
        <v>511448</v>
      </c>
    </row>
    <row r="4443" spans="1:23" hidden="1">
      <c r="A4443" s="81">
        <v>4441</v>
      </c>
      <c r="B4443" s="86" t="s">
        <v>1260</v>
      </c>
      <c r="C4443" s="86" t="s">
        <v>2034</v>
      </c>
      <c r="D4443" s="89" t="str">
        <f ca="1">OFFSET(Roster!$A$3,MATCH(表格1[[#This Row],[Location]]&amp;" "&amp;表格1[[#This Row],[Shop]]&amp;"*",Roster!$A$4:$A$72,0),DAY(表格1[[#This Row],[date]]),1,1)</f>
        <v>Yee</v>
      </c>
      <c r="E4443" s="86">
        <f>MONTH(表格1[[#This Row],[date]])</f>
        <v>3</v>
      </c>
      <c r="F4443" s="90">
        <v>46107</v>
      </c>
      <c r="G4443" s="86" t="str">
        <f>VLOOKUP("*"&amp;表格1[[#This Row],[Input]]&amp;"*",'Ref-List'!$B:$D,2,)</f>
        <v>F-LYA20(W)HKG</v>
      </c>
      <c r="H4443" s="86" t="str">
        <f>_xlfn.XLOOKUP(表格1[[#This Row],[Model]],表格3[Model-Input-Ref2],表格3[Product Line])</f>
        <v>12吋2合1座地座檯電風扇連遙控</v>
      </c>
      <c r="I4443" s="86" t="str">
        <f>_xlfn.XLOOKUP(表格1[[#This Row],[Model]],表格3[Model-Input-Ref2],表格3[大小電])</f>
        <v>細電</v>
      </c>
      <c r="J4443" s="86" t="str">
        <f>_xlfn.XLOOKUP(表格1[[#This Row],[Model]],表格3[Model-Input-Ref2],表格3[Code])</f>
        <v>EAD</v>
      </c>
      <c r="K4443" s="89" t="s">
        <v>1391</v>
      </c>
      <c r="L4443" s="86">
        <v>1</v>
      </c>
      <c r="M4443" s="87">
        <v>399</v>
      </c>
      <c r="N4443" s="87">
        <f>IFERROR(表格1[[#This Row],[QTY]]*表格1[[#This Row],[Unit Price]],"-")</f>
        <v>399</v>
      </c>
      <c r="O4443" s="86">
        <v>657967</v>
      </c>
      <c r="R4443" s="86" t="str">
        <f>_xlfn.CONCAT(表格1[[#This Row],[Model]]," ",表格1[[#This Row],[inv no]])</f>
        <v>F-LYA20(W)HKG 657967</v>
      </c>
      <c r="S4443" s="86">
        <f>_xlfn.XLOOKUP(表格1[[#This Row],[Model]],表格3[Model-Input-Ref2],表格3[SRP PRICE])</f>
        <v>988</v>
      </c>
      <c r="T4443" s="43">
        <f>表格1[[#This Row],[Unit Price]]/表格1[[#This Row],[SRP]]</f>
        <v>0.40384615384615385</v>
      </c>
      <c r="U4443" s="86" t="str">
        <f>_xlfn.XLOOKUP(表格1[[#This Row],[Model]],表格3[Model-Input-Ref2],表格3[TOSHIBA/HIGHEST])</f>
        <v>Toshiba SRP</v>
      </c>
      <c r="W4443" s="86" t="str">
        <f>_xlfn.CONCAT(表格1[[#This Row],[欄4]],表格1[[#This Row],[inv no]])</f>
        <v>657967</v>
      </c>
    </row>
    <row r="4444" spans="1:23" hidden="1">
      <c r="A4444" s="81">
        <v>4442</v>
      </c>
      <c r="B4444" s="86" t="s">
        <v>1260</v>
      </c>
      <c r="C4444" s="86" t="s">
        <v>2034</v>
      </c>
      <c r="D4444" s="89" t="str">
        <f ca="1">OFFSET(Roster!$A$3,MATCH(表格1[[#This Row],[Location]]&amp;" "&amp;表格1[[#This Row],[Shop]]&amp;"*",Roster!$A$4:$A$72,0),DAY(表格1[[#This Row],[date]]),1,1)</f>
        <v>Yee</v>
      </c>
      <c r="E4444" s="86">
        <f>MONTH(表格1[[#This Row],[date]])</f>
        <v>3</v>
      </c>
      <c r="F4444" s="90">
        <v>46107</v>
      </c>
      <c r="G4444" s="86" t="str">
        <f>VLOOKUP("*"&amp;表格1[[#This Row],[Input]]&amp;"*",'Ref-List'!$B:$D,2,)</f>
        <v>F-LYA20(W)HKG</v>
      </c>
      <c r="H4444" s="86" t="str">
        <f>_xlfn.XLOOKUP(表格1[[#This Row],[Model]],表格3[Model-Input-Ref2],表格3[Product Line])</f>
        <v>12吋2合1座地座檯電風扇連遙控</v>
      </c>
      <c r="I4444" s="86" t="str">
        <f>_xlfn.XLOOKUP(表格1[[#This Row],[Model]],表格3[Model-Input-Ref2],表格3[大小電])</f>
        <v>細電</v>
      </c>
      <c r="J4444" s="86" t="str">
        <f>_xlfn.XLOOKUP(表格1[[#This Row],[Model]],表格3[Model-Input-Ref2],表格3[Code])</f>
        <v>EAD</v>
      </c>
      <c r="K4444" s="89" t="s">
        <v>1391</v>
      </c>
      <c r="L4444" s="86">
        <v>1</v>
      </c>
      <c r="M4444" s="87">
        <v>399</v>
      </c>
      <c r="N4444" s="87">
        <f>IFERROR(表格1[[#This Row],[QTY]]*表格1[[#This Row],[Unit Price]],"-")</f>
        <v>399</v>
      </c>
      <c r="O4444" s="142" t="s">
        <v>2058</v>
      </c>
      <c r="R4444" s="86" t="str">
        <f>_xlfn.CONCAT(表格1[[#This Row],[Model]]," ",表格1[[#This Row],[inv no]])</f>
        <v>F-LYA20(W)HKG 010654</v>
      </c>
      <c r="S4444" s="86">
        <f>_xlfn.XLOOKUP(表格1[[#This Row],[Model]],表格3[Model-Input-Ref2],表格3[SRP PRICE])</f>
        <v>988</v>
      </c>
      <c r="T4444" s="43">
        <f>表格1[[#This Row],[Unit Price]]/表格1[[#This Row],[SRP]]</f>
        <v>0.40384615384615385</v>
      </c>
      <c r="U4444" s="86" t="str">
        <f>_xlfn.XLOOKUP(表格1[[#This Row],[Model]],表格3[Model-Input-Ref2],表格3[TOSHIBA/HIGHEST])</f>
        <v>Toshiba SRP</v>
      </c>
      <c r="W4444" s="86" t="str">
        <f>_xlfn.CONCAT(表格1[[#This Row],[欄4]],表格1[[#This Row],[inv no]])</f>
        <v>010654</v>
      </c>
    </row>
    <row r="4445" spans="1:23" hidden="1">
      <c r="A4445" s="81">
        <v>4443</v>
      </c>
      <c r="B4445" s="86" t="s">
        <v>1260</v>
      </c>
      <c r="C4445" s="86" t="s">
        <v>2034</v>
      </c>
      <c r="D4445" s="89" t="str">
        <f ca="1">OFFSET(Roster!$A$3,MATCH(表格1[[#This Row],[Location]]&amp;" "&amp;表格1[[#This Row],[Shop]]&amp;"*",Roster!$A$4:$A$72,0),DAY(表格1[[#This Row],[date]]),1,1)</f>
        <v>Yee</v>
      </c>
      <c r="E4445" s="86">
        <f>MONTH(表格1[[#This Row],[date]])</f>
        <v>3</v>
      </c>
      <c r="F4445" s="90">
        <v>46107</v>
      </c>
      <c r="G4445" s="86" t="str">
        <f>VLOOKUP("*"&amp;表格1[[#This Row],[Input]]&amp;"*",'Ref-List'!$B:$D,2,)</f>
        <v>RC-7HMH</v>
      </c>
      <c r="H4445" s="86" t="str">
        <f>_xlfn.XLOOKUP(表格1[[#This Row],[Model]],表格3[Model-Input-Ref2],表格3[Product Line])</f>
        <v>備長炭本厚釜電飯煲0.7L</v>
      </c>
      <c r="I4445" s="86" t="str">
        <f>_xlfn.XLOOKUP(表格1[[#This Row],[Model]],表格3[Model-Input-Ref2],表格3[大小電])</f>
        <v>細電</v>
      </c>
      <c r="J4445" s="86" t="str">
        <f>_xlfn.XLOOKUP(表格1[[#This Row],[Model]],表格3[Model-Input-Ref2],表格3[Code])</f>
        <v>SDA</v>
      </c>
      <c r="K4445" s="89" t="s">
        <v>1284</v>
      </c>
      <c r="L4445" s="86">
        <v>1</v>
      </c>
      <c r="M4445" s="87">
        <v>788</v>
      </c>
      <c r="N4445" s="87">
        <f>IFERROR(表格1[[#This Row],[QTY]]*表格1[[#This Row],[Unit Price]],"-")</f>
        <v>788</v>
      </c>
      <c r="O4445" s="86">
        <v>133294</v>
      </c>
      <c r="R4445" s="86" t="str">
        <f>_xlfn.CONCAT(表格1[[#This Row],[Model]]," ",表格1[[#This Row],[inv no]])</f>
        <v>RC-7HMH 133294</v>
      </c>
      <c r="S4445" s="86">
        <f>_xlfn.XLOOKUP(表格1[[#This Row],[Model]],表格3[Model-Input-Ref2],表格3[SRP PRICE])</f>
        <v>1288</v>
      </c>
      <c r="T4445" s="43">
        <f>表格1[[#This Row],[Unit Price]]/表格1[[#This Row],[SRP]]</f>
        <v>0.61180124223602483</v>
      </c>
      <c r="U4445" s="86" t="str">
        <f>_xlfn.XLOOKUP(表格1[[#This Row],[Model]],表格3[Model-Input-Ref2],表格3[TOSHIBA/HIGHEST])</f>
        <v>Toshiba SRP</v>
      </c>
      <c r="W4445" s="86" t="str">
        <f>_xlfn.CONCAT(表格1[[#This Row],[欄4]],表格1[[#This Row],[inv no]])</f>
        <v>133294</v>
      </c>
    </row>
    <row r="4446" spans="1:23" hidden="1">
      <c r="A4446" s="81">
        <v>4444</v>
      </c>
      <c r="B4446" s="86" t="s">
        <v>1260</v>
      </c>
      <c r="C4446" s="86" t="s">
        <v>2034</v>
      </c>
      <c r="D4446" s="89" t="str">
        <f ca="1">OFFSET(Roster!$A$3,MATCH(表格1[[#This Row],[Location]]&amp;" "&amp;表格1[[#This Row],[Shop]]&amp;"*",Roster!$A$4:$A$72,0),DAY(表格1[[#This Row],[date]]),1,1)</f>
        <v>Yee</v>
      </c>
      <c r="E4446" s="86">
        <f>MONTH(表格1[[#This Row],[date]])</f>
        <v>3</v>
      </c>
      <c r="F4446" s="90">
        <v>46107</v>
      </c>
      <c r="G4446" s="86" t="str">
        <f>VLOOKUP("*"&amp;表格1[[#This Row],[Input]]&amp;"*",'Ref-List'!$B:$D,2,)</f>
        <v>TW-T22BU85UWH(WK)-B</v>
      </c>
      <c r="H4446" s="86" t="str">
        <f>_xlfn.XLOOKUP(表格1[[#This Row],[Model]],表格3[Model-Input-Ref2],表格3[Product Line])</f>
        <v>470MM超薄身前置式變頻洗衣機(7.5公斤, 可飛頂)</v>
      </c>
      <c r="I4446" s="86" t="str">
        <f>_xlfn.XLOOKUP(表格1[[#This Row],[Model]],表格3[Model-Input-Ref2],表格3[大小電])</f>
        <v>大電</v>
      </c>
      <c r="J4446" s="86" t="str">
        <f>_xlfn.XLOOKUP(表格1[[#This Row],[Model]],表格3[Model-Input-Ref2],表格3[Code])</f>
        <v>LAD</v>
      </c>
      <c r="K4446" s="89" t="s">
        <v>972</v>
      </c>
      <c r="L4446" s="86">
        <v>1</v>
      </c>
      <c r="M4446" s="87">
        <v>3480</v>
      </c>
      <c r="N4446" s="87">
        <f>IFERROR(表格1[[#This Row],[QTY]]*表格1[[#This Row],[Unit Price]],"-")</f>
        <v>3480</v>
      </c>
      <c r="O4446" s="86">
        <v>169683</v>
      </c>
      <c r="R4446" s="86" t="str">
        <f>_xlfn.CONCAT(表格1[[#This Row],[Model]]," ",表格1[[#This Row],[inv no]])</f>
        <v>TW-T22BU85UWH(WK)-B 169683</v>
      </c>
      <c r="S4446" s="86">
        <f>_xlfn.XLOOKUP(表格1[[#This Row],[Model]],表格3[Model-Input-Ref2],表格3[SRP PRICE])</f>
        <v>5480</v>
      </c>
      <c r="T4446" s="43">
        <f>表格1[[#This Row],[Unit Price]]/表格1[[#This Row],[SRP]]</f>
        <v>0.63503649635036497</v>
      </c>
      <c r="U4446" s="86" t="str">
        <f>_xlfn.XLOOKUP(表格1[[#This Row],[Model]],表格3[Model-Input-Ref2],表格3[TOSHIBA/HIGHEST])</f>
        <v>Toshiba SRP</v>
      </c>
      <c r="W4446" s="86" t="str">
        <f>_xlfn.CONCAT(表格1[[#This Row],[欄4]],表格1[[#This Row],[inv no]])</f>
        <v>169683</v>
      </c>
    </row>
    <row r="4447" spans="1:23" hidden="1">
      <c r="A4447" s="81">
        <v>4445</v>
      </c>
      <c r="B4447" s="86" t="s">
        <v>1260</v>
      </c>
      <c r="C4447" s="86" t="s">
        <v>2034</v>
      </c>
      <c r="D4447" s="89" t="str">
        <f ca="1">OFFSET(Roster!$A$3,MATCH(表格1[[#This Row],[Location]]&amp;" "&amp;表格1[[#This Row],[Shop]]&amp;"*",Roster!$A$4:$A$72,0),DAY(表格1[[#This Row],[date]]),1,1)</f>
        <v>Yee</v>
      </c>
      <c r="E4447" s="86">
        <f>MONTH(表格1[[#This Row],[date]])</f>
        <v>3</v>
      </c>
      <c r="F4447" s="90">
        <v>46107</v>
      </c>
      <c r="G4447" s="86" t="str">
        <f>VLOOKUP("*"&amp;表格1[[#This Row],[Input]]&amp;"*",'Ref-List'!$B:$D,2,)</f>
        <v>GR-RB221WE-PMA(57)</v>
      </c>
      <c r="H4447" s="86" t="str">
        <f>_xlfn.XLOOKUP(表格1[[#This Row],[Model]],表格3[Model-Input-Ref2],表格3[Product Line])</f>
        <v>變頻下置式雙門雪櫃（163L）</v>
      </c>
      <c r="I4447" s="86" t="str">
        <f>_xlfn.XLOOKUP(表格1[[#This Row],[Model]],表格3[Model-Input-Ref2],表格3[大小電])</f>
        <v>大電</v>
      </c>
      <c r="J4447" s="86" t="str">
        <f>_xlfn.XLOOKUP(表格1[[#This Row],[Model]],表格3[Model-Input-Ref2],表格3[Code])</f>
        <v>REF</v>
      </c>
      <c r="K4447" s="89" t="s">
        <v>1386</v>
      </c>
      <c r="L4447" s="86">
        <v>1</v>
      </c>
      <c r="M4447" s="87">
        <v>1880</v>
      </c>
      <c r="N4447" s="87">
        <f>IFERROR(表格1[[#This Row],[QTY]]*表格1[[#This Row],[Unit Price]],"-")</f>
        <v>1880</v>
      </c>
      <c r="O4447" s="86">
        <v>155549</v>
      </c>
      <c r="R4447" s="86" t="str">
        <f>_xlfn.CONCAT(表格1[[#This Row],[Model]]," ",表格1[[#This Row],[inv no]])</f>
        <v>GR-RB221WE-PMA(57) 155549</v>
      </c>
      <c r="S4447" s="86">
        <f>_xlfn.XLOOKUP(表格1[[#This Row],[Model]],表格3[Model-Input-Ref2],表格3[SRP PRICE])</f>
        <v>3480</v>
      </c>
      <c r="T4447" s="43">
        <f>表格1[[#This Row],[Unit Price]]/表格1[[#This Row],[SRP]]</f>
        <v>0.54022988505747127</v>
      </c>
      <c r="U4447" s="86" t="str">
        <f>_xlfn.XLOOKUP(表格1[[#This Row],[Model]],表格3[Model-Input-Ref2],表格3[TOSHIBA/HIGHEST])</f>
        <v>Toshiba SRP</v>
      </c>
      <c r="W4447" s="86" t="str">
        <f>_xlfn.CONCAT(表格1[[#This Row],[欄4]],表格1[[#This Row],[inv no]])</f>
        <v>155549</v>
      </c>
    </row>
    <row r="4448" spans="1:23" hidden="1">
      <c r="A4448" s="81">
        <v>4446</v>
      </c>
      <c r="B4448" s="86" t="s">
        <v>1260</v>
      </c>
      <c r="C4448" s="86" t="s">
        <v>2034</v>
      </c>
      <c r="D4448" s="89" t="str">
        <f ca="1">OFFSET(Roster!$A$3,MATCH(表格1[[#This Row],[Location]]&amp;" "&amp;表格1[[#This Row],[Shop]]&amp;"*",Roster!$A$4:$A$72,0),DAY(表格1[[#This Row],[date]]),1,1)</f>
        <v>Yee</v>
      </c>
      <c r="E4448" s="86">
        <f>MONTH(表格1[[#This Row],[date]])</f>
        <v>3</v>
      </c>
      <c r="F4448" s="90">
        <v>46107</v>
      </c>
      <c r="G4448" s="86" t="str">
        <f>VLOOKUP("*"&amp;表格1[[#This Row],[Input]]&amp;"*",'Ref-List'!$B:$D,2,)</f>
        <v>MX2-TT20SC(WH)</v>
      </c>
      <c r="H4448" s="86" t="str">
        <f>_xlfn.XLOOKUP(表格1[[#This Row],[Model]],表格3[Model-Input-Ref2],表格3[Product Line])</f>
        <v>3合1 微波蒸焗爐 (20公升)</v>
      </c>
      <c r="I4448" s="86" t="str">
        <f>_xlfn.XLOOKUP(表格1[[#This Row],[Model]],表格3[Model-Input-Ref2],表格3[大小電])</f>
        <v>細電</v>
      </c>
      <c r="J4448" s="86" t="str">
        <f>_xlfn.XLOOKUP(表格1[[#This Row],[Model]],表格3[Model-Input-Ref2],表格3[Code])</f>
        <v>MCA</v>
      </c>
      <c r="K4448" s="89" t="s">
        <v>1287</v>
      </c>
      <c r="L4448" s="86">
        <v>1</v>
      </c>
      <c r="M4448" s="87">
        <v>2451</v>
      </c>
      <c r="N4448" s="87">
        <f>IFERROR(表格1[[#This Row],[QTY]]*表格1[[#This Row],[Unit Price]],"-")</f>
        <v>2451</v>
      </c>
      <c r="O4448" s="86">
        <v>657937</v>
      </c>
      <c r="R4448" s="86" t="str">
        <f>_xlfn.CONCAT(表格1[[#This Row],[Model]]," ",表格1[[#This Row],[inv no]])</f>
        <v>MX2-TT20SC(WH) 657937</v>
      </c>
      <c r="S4448" s="86">
        <f>_xlfn.XLOOKUP(表格1[[#This Row],[Model]],表格3[Model-Input-Ref2],表格3[SRP PRICE])</f>
        <v>3580</v>
      </c>
      <c r="T4448" s="43">
        <f>表格1[[#This Row],[Unit Price]]/表格1[[#This Row],[SRP]]</f>
        <v>0.68463687150837993</v>
      </c>
      <c r="U4448" s="86" t="str">
        <f>_xlfn.XLOOKUP(表格1[[#This Row],[Model]],表格3[Model-Input-Ref2],表格3[TOSHIBA/HIGHEST])</f>
        <v>Toshiba SRP</v>
      </c>
      <c r="W4448" s="86" t="str">
        <f>_xlfn.CONCAT(表格1[[#This Row],[欄4]],表格1[[#This Row],[inv no]])</f>
        <v>657937</v>
      </c>
    </row>
    <row r="4449" spans="1:23" hidden="1">
      <c r="A4449" s="81">
        <v>4447</v>
      </c>
      <c r="B4449" s="86" t="s">
        <v>1260</v>
      </c>
      <c r="C4449" s="86" t="s">
        <v>2034</v>
      </c>
      <c r="D4449" s="89" t="str">
        <f ca="1">OFFSET(Roster!$A$3,MATCH(表格1[[#This Row],[Location]]&amp;" "&amp;表格1[[#This Row],[Shop]]&amp;"*",Roster!$A$4:$A$72,0),DAY(表格1[[#This Row],[date]]),1,1)</f>
        <v>Yee</v>
      </c>
      <c r="E4449" s="86">
        <f>MONTH(表格1[[#This Row],[date]])</f>
        <v>3</v>
      </c>
      <c r="F4449" s="90">
        <v>46107</v>
      </c>
      <c r="G4449" s="86" t="str">
        <f>VLOOKUP("*"&amp;表格1[[#This Row],[Input]]&amp;"*",'Ref-List'!$B:$D,2,)</f>
        <v>MX2-TT20SC(WH)</v>
      </c>
      <c r="H4449" s="86" t="str">
        <f>_xlfn.XLOOKUP(表格1[[#This Row],[Model]],表格3[Model-Input-Ref2],表格3[Product Line])</f>
        <v>3合1 微波蒸焗爐 (20公升)</v>
      </c>
      <c r="I4449" s="86" t="str">
        <f>_xlfn.XLOOKUP(表格1[[#This Row],[Model]],表格3[Model-Input-Ref2],表格3[大小電])</f>
        <v>細電</v>
      </c>
      <c r="J4449" s="86" t="str">
        <f>_xlfn.XLOOKUP(表格1[[#This Row],[Model]],表格3[Model-Input-Ref2],表格3[Code])</f>
        <v>MCA</v>
      </c>
      <c r="K4449" s="89" t="s">
        <v>1287</v>
      </c>
      <c r="L4449" s="86">
        <v>1</v>
      </c>
      <c r="M4449" s="87">
        <v>2451</v>
      </c>
      <c r="N4449" s="87">
        <f>IFERROR(表格1[[#This Row],[QTY]]*表格1[[#This Row],[Unit Price]],"-")</f>
        <v>2451</v>
      </c>
      <c r="O4449" s="86">
        <v>168211</v>
      </c>
      <c r="R4449" s="86" t="str">
        <f>_xlfn.CONCAT(表格1[[#This Row],[Model]]," ",表格1[[#This Row],[inv no]])</f>
        <v>MX2-TT20SC(WH) 168211</v>
      </c>
      <c r="S4449" s="86">
        <f>_xlfn.XLOOKUP(表格1[[#This Row],[Model]],表格3[Model-Input-Ref2],表格3[SRP PRICE])</f>
        <v>3580</v>
      </c>
      <c r="T4449" s="43">
        <f>表格1[[#This Row],[Unit Price]]/表格1[[#This Row],[SRP]]</f>
        <v>0.68463687150837993</v>
      </c>
      <c r="U4449" s="86" t="str">
        <f>_xlfn.XLOOKUP(表格1[[#This Row],[Model]],表格3[Model-Input-Ref2],表格3[TOSHIBA/HIGHEST])</f>
        <v>Toshiba SRP</v>
      </c>
      <c r="W4449" s="86" t="str">
        <f>_xlfn.CONCAT(表格1[[#This Row],[欄4]],表格1[[#This Row],[inv no]])</f>
        <v>168211</v>
      </c>
    </row>
    <row r="4450" spans="1:23" hidden="1">
      <c r="A4450" s="81">
        <v>4448</v>
      </c>
      <c r="B4450" s="86" t="s">
        <v>1260</v>
      </c>
      <c r="C4450" s="86" t="s">
        <v>2034</v>
      </c>
      <c r="D4450" s="89" t="str">
        <f ca="1">OFFSET(Roster!$A$3,MATCH(表格1[[#This Row],[Location]]&amp;" "&amp;表格1[[#This Row],[Shop]]&amp;"*",Roster!$A$4:$A$72,0),DAY(表格1[[#This Row],[date]]),1,1)</f>
        <v>Yee</v>
      </c>
      <c r="E4450" s="86">
        <f>MONTH(表格1[[#This Row],[date]])</f>
        <v>3</v>
      </c>
      <c r="F4450" s="90">
        <v>46108</v>
      </c>
      <c r="G4450" s="86" t="str">
        <f>VLOOKUP("*"&amp;表格1[[#This Row],[Input]]&amp;"*",'Ref-List'!$B:$D,2,)</f>
        <v>RC-18NMFIH(WT)</v>
      </c>
      <c r="H4450" s="86" t="str">
        <f>_xlfn.XLOOKUP(表格1[[#This Row],[Model]],表格3[Model-Input-Ref2],表格3[Product Line])</f>
        <v>4毫米厚釜電飯煲1.8L</v>
      </c>
      <c r="I4450" s="86" t="str">
        <f>_xlfn.XLOOKUP(表格1[[#This Row],[Model]],表格3[Model-Input-Ref2],表格3[大小電])</f>
        <v>細電</v>
      </c>
      <c r="J4450" s="86" t="str">
        <f>_xlfn.XLOOKUP(表格1[[#This Row],[Model]],表格3[Model-Input-Ref2],表格3[Code])</f>
        <v>SDA</v>
      </c>
      <c r="K4450" s="89" t="s">
        <v>1267</v>
      </c>
      <c r="L4450" s="86">
        <v>1</v>
      </c>
      <c r="M4450" s="87">
        <v>799</v>
      </c>
      <c r="N4450" s="87">
        <f>IFERROR(表格1[[#This Row],[QTY]]*表格1[[#This Row],[Unit Price]],"-")</f>
        <v>799</v>
      </c>
      <c r="O4450" s="86">
        <v>133373</v>
      </c>
      <c r="R4450" s="86" t="str">
        <f>_xlfn.CONCAT(表格1[[#This Row],[Model]]," ",表格1[[#This Row],[inv no]])</f>
        <v>RC-18NMFIH(WT) 133373</v>
      </c>
      <c r="S4450" s="86">
        <f>_xlfn.XLOOKUP(表格1[[#This Row],[Model]],表格3[Model-Input-Ref2],表格3[SRP PRICE])</f>
        <v>998</v>
      </c>
      <c r="T4450" s="43">
        <f>表格1[[#This Row],[Unit Price]]/表格1[[#This Row],[SRP]]</f>
        <v>0.80060120240480959</v>
      </c>
      <c r="U4450" s="86" t="str">
        <f>_xlfn.XLOOKUP(表格1[[#This Row],[Model]],表格3[Model-Input-Ref2],表格3[TOSHIBA/HIGHEST])</f>
        <v>Toshiba SRP</v>
      </c>
      <c r="W4450" s="86" t="str">
        <f>_xlfn.CONCAT(表格1[[#This Row],[欄4]],表格1[[#This Row],[inv no]])</f>
        <v>133373</v>
      </c>
    </row>
    <row r="4451" spans="1:23" hidden="1">
      <c r="A4451" s="81">
        <v>4449</v>
      </c>
      <c r="B4451" s="86" t="s">
        <v>1260</v>
      </c>
      <c r="C4451" s="86" t="s">
        <v>2034</v>
      </c>
      <c r="D4451" s="89" t="str">
        <f ca="1">OFFSET(Roster!$A$3,MATCH(表格1[[#This Row],[Location]]&amp;" "&amp;表格1[[#This Row],[Shop]]&amp;"*",Roster!$A$4:$A$72,0),DAY(表格1[[#This Row],[date]]),1,1)</f>
        <v>Yee</v>
      </c>
      <c r="E4451" s="86">
        <f>MONTH(表格1[[#This Row],[date]])</f>
        <v>3</v>
      </c>
      <c r="F4451" s="90">
        <v>46108</v>
      </c>
      <c r="G4451" s="86" t="str">
        <f>VLOOKUP("*"&amp;表格1[[#This Row],[Input]]&amp;"*",'Ref-List'!$B:$D,2,)</f>
        <v>RC-18JRUH(N)</v>
      </c>
      <c r="H4451" s="86" t="str">
        <f>_xlfn.XLOOKUP(表格1[[#This Row],[Model]],表格3[Model-Input-Ref2],表格3[Product Line])</f>
        <v>1.8公升電飯煲</v>
      </c>
      <c r="I4451" s="86" t="str">
        <f>_xlfn.XLOOKUP(表格1[[#This Row],[Model]],表格3[Model-Input-Ref2],表格3[大小電])</f>
        <v>細電</v>
      </c>
      <c r="J4451" s="86" t="str">
        <f>_xlfn.XLOOKUP(表格1[[#This Row],[Model]],表格3[Model-Input-Ref2],表格3[Code])</f>
        <v>SDA</v>
      </c>
      <c r="K4451" s="89" t="s">
        <v>1275</v>
      </c>
      <c r="L4451" s="86">
        <v>1</v>
      </c>
      <c r="M4451" s="87">
        <v>300</v>
      </c>
      <c r="N4451" s="87">
        <f>IFERROR(表格1[[#This Row],[QTY]]*表格1[[#This Row],[Unit Price]],"-")</f>
        <v>300</v>
      </c>
      <c r="O4451" s="86">
        <v>133415</v>
      </c>
      <c r="R4451" s="86" t="str">
        <f>_xlfn.CONCAT(表格1[[#This Row],[Model]]," ",表格1[[#This Row],[inv no]])</f>
        <v>RC-18JRUH(N) 133415</v>
      </c>
      <c r="S4451" s="86">
        <f>_xlfn.XLOOKUP(表格1[[#This Row],[Model]],表格3[Model-Input-Ref2],表格3[SRP PRICE])</f>
        <v>458</v>
      </c>
      <c r="T4451" s="43">
        <f>表格1[[#This Row],[Unit Price]]/表格1[[#This Row],[SRP]]</f>
        <v>0.65502183406113534</v>
      </c>
      <c r="U4451" s="86" t="str">
        <f>_xlfn.XLOOKUP(表格1[[#This Row],[Model]],表格3[Model-Input-Ref2],表格3[TOSHIBA/HIGHEST])</f>
        <v>Shops Highest Price</v>
      </c>
      <c r="W4451" s="86" t="str">
        <f>_xlfn.CONCAT(表格1[[#This Row],[欄4]],表格1[[#This Row],[inv no]])</f>
        <v>133415</v>
      </c>
    </row>
    <row r="4452" spans="1:23" hidden="1">
      <c r="A4452" s="81">
        <v>4450</v>
      </c>
      <c r="B4452" s="86" t="s">
        <v>1260</v>
      </c>
      <c r="C4452" s="86" t="s">
        <v>2034</v>
      </c>
      <c r="D4452" s="89" t="str">
        <f ca="1">OFFSET(Roster!$A$3,MATCH(表格1[[#This Row],[Location]]&amp;" "&amp;表格1[[#This Row],[Shop]]&amp;"*",Roster!$A$4:$A$72,0),DAY(表格1[[#This Row],[date]]),1,1)</f>
        <v>Yee</v>
      </c>
      <c r="E4452" s="86">
        <f>MONTH(表格1[[#This Row],[date]])</f>
        <v>3</v>
      </c>
      <c r="F4452" s="90">
        <v>46108</v>
      </c>
      <c r="G4452" s="86" t="str">
        <f>VLOOKUP("*"&amp;表格1[[#This Row],[Input]]&amp;"*",'Ref-List'!$B:$D,2,)</f>
        <v>RC-10JRUH(N)</v>
      </c>
      <c r="H4452" s="86" t="str">
        <f>_xlfn.XLOOKUP(表格1[[#This Row],[Model]],表格3[Model-Input-Ref2],表格3[Product Line])</f>
        <v>電飯煲</v>
      </c>
      <c r="I4452" s="86" t="str">
        <f>_xlfn.XLOOKUP(表格1[[#This Row],[Model]],表格3[Model-Input-Ref2],表格3[大小電])</f>
        <v>細電</v>
      </c>
      <c r="J4452" s="86" t="str">
        <f>_xlfn.XLOOKUP(表格1[[#This Row],[Model]],表格3[Model-Input-Ref2],表格3[Code])</f>
        <v>SDA</v>
      </c>
      <c r="K4452" s="89" t="s">
        <v>1263</v>
      </c>
      <c r="L4452" s="86">
        <v>1</v>
      </c>
      <c r="M4452" s="87">
        <v>250</v>
      </c>
      <c r="N4452" s="87">
        <f>IFERROR(表格1[[#This Row],[QTY]]*表格1[[#This Row],[Unit Price]],"-")</f>
        <v>250</v>
      </c>
      <c r="O4452" s="86">
        <v>511779</v>
      </c>
      <c r="R4452" s="86" t="str">
        <f>_xlfn.CONCAT(表格1[[#This Row],[Model]]," ",表格1[[#This Row],[inv no]])</f>
        <v>RC-10JRUH(N) 511779</v>
      </c>
      <c r="S4452" s="86">
        <f>_xlfn.XLOOKUP(表格1[[#This Row],[Model]],表格3[Model-Input-Ref2],表格3[SRP PRICE])</f>
        <v>398</v>
      </c>
      <c r="T4452" s="43">
        <f>表格1[[#This Row],[Unit Price]]/表格1[[#This Row],[SRP]]</f>
        <v>0.62814070351758799</v>
      </c>
      <c r="U4452" s="86" t="str">
        <f>_xlfn.XLOOKUP(表格1[[#This Row],[Model]],表格3[Model-Input-Ref2],表格3[TOSHIBA/HIGHEST])</f>
        <v>Shops Highest Price</v>
      </c>
      <c r="W4452" s="86" t="str">
        <f>_xlfn.CONCAT(表格1[[#This Row],[欄4]],表格1[[#This Row],[inv no]])</f>
        <v>511779</v>
      </c>
    </row>
    <row r="4453" spans="1:23" hidden="1">
      <c r="A4453" s="81">
        <v>4451</v>
      </c>
      <c r="B4453" s="86" t="s">
        <v>1260</v>
      </c>
      <c r="C4453" s="86" t="s">
        <v>2034</v>
      </c>
      <c r="D4453" s="89" t="str">
        <f ca="1">OFFSET(Roster!$A$3,MATCH(表格1[[#This Row],[Location]]&amp;" "&amp;表格1[[#This Row],[Shop]]&amp;"*",Roster!$A$4:$A$72,0),DAY(表格1[[#This Row],[date]]),1,1)</f>
        <v>Yee</v>
      </c>
      <c r="E4453" s="86">
        <f>MONTH(表格1[[#This Row],[date]])</f>
        <v>3</v>
      </c>
      <c r="F4453" s="90">
        <v>46108</v>
      </c>
      <c r="G4453" s="86" t="str">
        <f>VLOOKUP("*"&amp;表格1[[#This Row],[Input]]&amp;"*",'Ref-List'!$B:$D,2,)</f>
        <v>RC-18DRNH</v>
      </c>
      <c r="H4453" s="86" t="str">
        <f>_xlfn.XLOOKUP(表格1[[#This Row],[Model]],表格3[Model-Input-Ref2],表格3[Product Line])</f>
        <v>多功能備長炭本厚釜電飯煲1.8L</v>
      </c>
      <c r="I4453" s="86" t="str">
        <f>_xlfn.XLOOKUP(表格1[[#This Row],[Model]],表格3[Model-Input-Ref2],表格3[大小電])</f>
        <v>細電</v>
      </c>
      <c r="J4453" s="86" t="str">
        <f>_xlfn.XLOOKUP(表格1[[#This Row],[Model]],表格3[Model-Input-Ref2],表格3[Code])</f>
        <v>SDA</v>
      </c>
      <c r="K4453" s="89" t="s">
        <v>1389</v>
      </c>
      <c r="L4453" s="86">
        <v>1</v>
      </c>
      <c r="M4453" s="87">
        <v>619</v>
      </c>
      <c r="N4453" s="87">
        <f>IFERROR(表格1[[#This Row],[QTY]]*表格1[[#This Row],[Unit Price]],"-")</f>
        <v>619</v>
      </c>
      <c r="O4453" s="86">
        <v>511790</v>
      </c>
      <c r="R4453" s="86" t="str">
        <f>_xlfn.CONCAT(表格1[[#This Row],[Model]]," ",表格1[[#This Row],[inv no]])</f>
        <v>RC-18DRNH 511790</v>
      </c>
      <c r="S4453" s="86">
        <f>_xlfn.XLOOKUP(表格1[[#This Row],[Model]],表格3[Model-Input-Ref2],表格3[SRP PRICE])</f>
        <v>898</v>
      </c>
      <c r="T4453" s="43">
        <f>表格1[[#This Row],[Unit Price]]/表格1[[#This Row],[SRP]]</f>
        <v>0.68930957683741645</v>
      </c>
      <c r="U4453" s="86" t="str">
        <f>_xlfn.XLOOKUP(表格1[[#This Row],[Model]],表格3[Model-Input-Ref2],表格3[TOSHIBA/HIGHEST])</f>
        <v>Toshiba SRP</v>
      </c>
      <c r="W4453" s="86" t="str">
        <f>_xlfn.CONCAT(表格1[[#This Row],[欄4]],表格1[[#This Row],[inv no]])</f>
        <v>511790</v>
      </c>
    </row>
    <row r="4454" spans="1:23" hidden="1">
      <c r="A4454" s="81">
        <v>4452</v>
      </c>
      <c r="B4454" s="86" t="s">
        <v>1260</v>
      </c>
      <c r="C4454" s="86" t="s">
        <v>2034</v>
      </c>
      <c r="D4454" s="89" t="str">
        <f ca="1">OFFSET(Roster!$A$3,MATCH(表格1[[#This Row],[Location]]&amp;" "&amp;表格1[[#This Row],[Shop]]&amp;"*",Roster!$A$4:$A$72,0),DAY(表格1[[#This Row],[date]]),1,1)</f>
        <v>Yee</v>
      </c>
      <c r="E4454" s="86">
        <f>MONTH(表格1[[#This Row],[date]])</f>
        <v>3</v>
      </c>
      <c r="F4454" s="90">
        <v>46108</v>
      </c>
      <c r="G4454" s="86" t="str">
        <f>VLOOKUP("*"&amp;表格1[[#This Row],[Input]]&amp;"*",'Ref-List'!$B:$D,2,)</f>
        <v>F-LYA20(W)HKG</v>
      </c>
      <c r="H4454" s="86" t="str">
        <f>_xlfn.XLOOKUP(表格1[[#This Row],[Model]],表格3[Model-Input-Ref2],表格3[Product Line])</f>
        <v>12吋2合1座地座檯電風扇連遙控</v>
      </c>
      <c r="I4454" s="86" t="str">
        <f>_xlfn.XLOOKUP(表格1[[#This Row],[Model]],表格3[Model-Input-Ref2],表格3[大小電])</f>
        <v>細電</v>
      </c>
      <c r="J4454" s="86" t="str">
        <f>_xlfn.XLOOKUP(表格1[[#This Row],[Model]],表格3[Model-Input-Ref2],表格3[Code])</f>
        <v>EAD</v>
      </c>
      <c r="K4454" s="89" t="s">
        <v>1391</v>
      </c>
      <c r="L4454" s="86">
        <v>1</v>
      </c>
      <c r="M4454" s="87">
        <v>399</v>
      </c>
      <c r="N4454" s="87">
        <f>IFERROR(表格1[[#This Row],[QTY]]*表格1[[#This Row],[Unit Price]],"-")</f>
        <v>399</v>
      </c>
      <c r="O4454" s="86">
        <v>133567</v>
      </c>
      <c r="R4454" s="86" t="str">
        <f>_xlfn.CONCAT(表格1[[#This Row],[Model]]," ",表格1[[#This Row],[inv no]])</f>
        <v>F-LYA20(W)HKG 133567</v>
      </c>
      <c r="S4454" s="86">
        <f>_xlfn.XLOOKUP(表格1[[#This Row],[Model]],表格3[Model-Input-Ref2],表格3[SRP PRICE])</f>
        <v>988</v>
      </c>
      <c r="T4454" s="43">
        <f>表格1[[#This Row],[Unit Price]]/表格1[[#This Row],[SRP]]</f>
        <v>0.40384615384615385</v>
      </c>
      <c r="U4454" s="86" t="str">
        <f>_xlfn.XLOOKUP(表格1[[#This Row],[Model]],表格3[Model-Input-Ref2],表格3[TOSHIBA/HIGHEST])</f>
        <v>Toshiba SRP</v>
      </c>
      <c r="W4454" s="86" t="str">
        <f>_xlfn.CONCAT(表格1[[#This Row],[欄4]],表格1[[#This Row],[inv no]])</f>
        <v>133567</v>
      </c>
    </row>
    <row r="4455" spans="1:23" hidden="1">
      <c r="A4455" s="81">
        <v>4453</v>
      </c>
      <c r="B4455" s="86" t="s">
        <v>1260</v>
      </c>
      <c r="C4455" s="86" t="s">
        <v>2034</v>
      </c>
      <c r="D4455" s="89" t="str">
        <f ca="1">OFFSET(Roster!$A$3,MATCH(表格1[[#This Row],[Location]]&amp;" "&amp;表格1[[#This Row],[Shop]]&amp;"*",Roster!$A$4:$A$72,0),DAY(表格1[[#This Row],[date]]),1,1)</f>
        <v>Yee</v>
      </c>
      <c r="E4455" s="86">
        <f>MONTH(表格1[[#This Row],[date]])</f>
        <v>3</v>
      </c>
      <c r="F4455" s="90">
        <v>46108</v>
      </c>
      <c r="G4455" s="86" t="str">
        <f>VLOOKUP("*"&amp;表格1[[#This Row],[Input]]&amp;"*",'Ref-List'!$B:$D,2,)</f>
        <v>KT-17DRTHK(H)</v>
      </c>
      <c r="H4455" s="86" t="str">
        <f>_xlfn.XLOOKUP(表格1[[#This Row],[Model]],表格3[Model-Input-Ref2],表格3[Product Line])</f>
        <v>無線雙層電熱水壺(1.7公升)</v>
      </c>
      <c r="I4455" s="86" t="str">
        <f>_xlfn.XLOOKUP(表格1[[#This Row],[Model]],表格3[Model-Input-Ref2],表格3[大小電])</f>
        <v>細電</v>
      </c>
      <c r="J4455" s="86" t="str">
        <f>_xlfn.XLOOKUP(表格1[[#This Row],[Model]],表格3[Model-Input-Ref2],表格3[Code])</f>
        <v>SDA</v>
      </c>
      <c r="K4455" s="89" t="s">
        <v>1271</v>
      </c>
      <c r="L4455" s="86">
        <v>1</v>
      </c>
      <c r="M4455" s="87">
        <v>388</v>
      </c>
      <c r="N4455" s="87">
        <f>IFERROR(表格1[[#This Row],[QTY]]*表格1[[#This Row],[Unit Price]],"-")</f>
        <v>388</v>
      </c>
      <c r="O4455" s="86">
        <v>133572</v>
      </c>
      <c r="R4455" s="86" t="str">
        <f>_xlfn.CONCAT(表格1[[#This Row],[Model]]," ",表格1[[#This Row],[inv no]])</f>
        <v>KT-17DRTHK(H) 133572</v>
      </c>
      <c r="S4455" s="86">
        <f>_xlfn.XLOOKUP(表格1[[#This Row],[Model]],表格3[Model-Input-Ref2],表格3[SRP PRICE])</f>
        <v>498</v>
      </c>
      <c r="T4455" s="43">
        <f>表格1[[#This Row],[Unit Price]]/表格1[[#This Row],[SRP]]</f>
        <v>0.77911646586345384</v>
      </c>
      <c r="U4455" s="86" t="str">
        <f>_xlfn.XLOOKUP(表格1[[#This Row],[Model]],表格3[Model-Input-Ref2],表格3[TOSHIBA/HIGHEST])</f>
        <v>Toshiba SRP</v>
      </c>
      <c r="W4455" s="86" t="str">
        <f>_xlfn.CONCAT(表格1[[#This Row],[欄4]],表格1[[#This Row],[inv no]])</f>
        <v>133572</v>
      </c>
    </row>
    <row r="4456" spans="1:23" hidden="1">
      <c r="A4456" s="81">
        <v>4454</v>
      </c>
      <c r="B4456" s="86" t="s">
        <v>1260</v>
      </c>
      <c r="C4456" s="86" t="s">
        <v>2034</v>
      </c>
      <c r="D4456" s="89" t="str">
        <f ca="1">OFFSET(Roster!$A$3,MATCH(表格1[[#This Row],[Location]]&amp;" "&amp;表格1[[#This Row],[Shop]]&amp;"*",Roster!$A$4:$A$72,0),DAY(表格1[[#This Row],[date]]),1,1)</f>
        <v>Yee</v>
      </c>
      <c r="E4456" s="86">
        <f>MONTH(表格1[[#This Row],[date]])</f>
        <v>3</v>
      </c>
      <c r="F4456" s="90">
        <v>46109</v>
      </c>
      <c r="G4456" s="86" t="str">
        <f>VLOOKUP("*"&amp;表格1[[#This Row],[Input]]&amp;"*",'Ref-List'!$B:$D,2,)</f>
        <v>RC-10NMFIH(WT)</v>
      </c>
      <c r="H4456" s="86" t="str">
        <f>_xlfn.XLOOKUP(表格1[[#This Row],[Model]],表格3[Model-Input-Ref2],表格3[Product Line])</f>
        <v>4毫米厚釜電飯煲1L</v>
      </c>
      <c r="I4456" s="86" t="str">
        <f>_xlfn.XLOOKUP(表格1[[#This Row],[Model]],表格3[Model-Input-Ref2],表格3[大小電])</f>
        <v>細電</v>
      </c>
      <c r="J4456" s="86" t="str">
        <f>_xlfn.XLOOKUP(表格1[[#This Row],[Model]],表格3[Model-Input-Ref2],表格3[Code])</f>
        <v>SDA</v>
      </c>
      <c r="K4456" s="89" t="s">
        <v>1244</v>
      </c>
      <c r="L4456" s="86">
        <v>1</v>
      </c>
      <c r="M4456" s="87">
        <v>719</v>
      </c>
      <c r="N4456" s="87">
        <f>IFERROR(表格1[[#This Row],[QTY]]*表格1[[#This Row],[Unit Price]],"-")</f>
        <v>719</v>
      </c>
      <c r="O4456" s="86">
        <v>658012</v>
      </c>
      <c r="R4456" s="86" t="str">
        <f>_xlfn.CONCAT(表格1[[#This Row],[Model]]," ",表格1[[#This Row],[inv no]])</f>
        <v>RC-10NMFIH(WT) 658012</v>
      </c>
      <c r="S4456" s="86">
        <f>_xlfn.XLOOKUP(表格1[[#This Row],[Model]],表格3[Model-Input-Ref2],表格3[SRP PRICE])</f>
        <v>898</v>
      </c>
      <c r="T4456" s="43">
        <f>表格1[[#This Row],[Unit Price]]/表格1[[#This Row],[SRP]]</f>
        <v>0.80066815144766146</v>
      </c>
      <c r="U4456" s="86" t="str">
        <f>_xlfn.XLOOKUP(表格1[[#This Row],[Model]],表格3[Model-Input-Ref2],表格3[TOSHIBA/HIGHEST])</f>
        <v>Toshiba SRP</v>
      </c>
      <c r="W4456" s="86" t="str">
        <f>_xlfn.CONCAT(表格1[[#This Row],[欄4]],表格1[[#This Row],[inv no]])</f>
        <v>658012</v>
      </c>
    </row>
    <row r="4457" spans="1:23" hidden="1">
      <c r="A4457" s="81">
        <v>4455</v>
      </c>
      <c r="B4457" s="86" t="s">
        <v>1260</v>
      </c>
      <c r="C4457" s="86" t="s">
        <v>2034</v>
      </c>
      <c r="D4457" s="89" t="str">
        <f ca="1">OFFSET(Roster!$A$3,MATCH(表格1[[#This Row],[Location]]&amp;" "&amp;表格1[[#This Row],[Shop]]&amp;"*",Roster!$A$4:$A$72,0),DAY(表格1[[#This Row],[date]]),1,1)</f>
        <v>Yee</v>
      </c>
      <c r="E4457" s="86">
        <f>MONTH(表格1[[#This Row],[date]])</f>
        <v>3</v>
      </c>
      <c r="F4457" s="90">
        <v>46109</v>
      </c>
      <c r="G4457" s="86" t="str">
        <f>VLOOKUP("*"&amp;表格1[[#This Row],[Input]]&amp;"*",'Ref-List'!$B:$D,2,)</f>
        <v>VC-CLS1BF(R)</v>
      </c>
      <c r="H4457" s="86" t="str">
        <f>_xlfn.XLOOKUP(表格1[[#This Row],[Model]],表格3[Model-Input-Ref2],表格3[Product Line])</f>
        <v>超輕巧2合1無線吸塵機</v>
      </c>
      <c r="I4457" s="86" t="str">
        <f>_xlfn.XLOOKUP(表格1[[#This Row],[Model]],表格3[Model-Input-Ref2],表格3[大小電])</f>
        <v>細電</v>
      </c>
      <c r="J4457" s="86" t="str">
        <f>_xlfn.XLOOKUP(表格1[[#This Row],[Model]],表格3[Model-Input-Ref2],表格3[Code])</f>
        <v>MCA</v>
      </c>
      <c r="K4457" s="89" t="s">
        <v>1265</v>
      </c>
      <c r="L4457" s="86">
        <v>1</v>
      </c>
      <c r="M4457" s="87">
        <v>1510</v>
      </c>
      <c r="N4457" s="87">
        <f>IFERROR(表格1[[#This Row],[QTY]]*表格1[[#This Row],[Unit Price]],"-")</f>
        <v>1510</v>
      </c>
      <c r="O4457" s="86">
        <v>133690</v>
      </c>
      <c r="R4457" s="86" t="str">
        <f>_xlfn.CONCAT(表格1[[#This Row],[Model]]," ",表格1[[#This Row],[inv no]])</f>
        <v>VC-CLS1BF(R) 133690</v>
      </c>
      <c r="S4457" s="86">
        <f>_xlfn.XLOOKUP(表格1[[#This Row],[Model]],表格3[Model-Input-Ref2],表格3[SRP PRICE])</f>
        <v>1888</v>
      </c>
      <c r="T4457" s="43">
        <f>表格1[[#This Row],[Unit Price]]/表格1[[#This Row],[SRP]]</f>
        <v>0.79978813559322037</v>
      </c>
      <c r="U4457" s="86" t="str">
        <f>_xlfn.XLOOKUP(表格1[[#This Row],[Model]],表格3[Model-Input-Ref2],表格3[TOSHIBA/HIGHEST])</f>
        <v>Toshiba SRP</v>
      </c>
      <c r="W4457" s="86" t="str">
        <f>_xlfn.CONCAT(表格1[[#This Row],[欄4]],表格1[[#This Row],[inv no]])</f>
        <v>133690</v>
      </c>
    </row>
    <row r="4458" spans="1:23" hidden="1">
      <c r="A4458" s="81">
        <v>4456</v>
      </c>
      <c r="B4458" s="86" t="s">
        <v>1260</v>
      </c>
      <c r="C4458" s="86" t="s">
        <v>2034</v>
      </c>
      <c r="D4458" s="89" t="str">
        <f ca="1">OFFSET(Roster!$A$3,MATCH(表格1[[#This Row],[Location]]&amp;" "&amp;表格1[[#This Row],[Shop]]&amp;"*",Roster!$A$4:$A$72,0),DAY(表格1[[#This Row],[date]]),1,1)</f>
        <v>Yee</v>
      </c>
      <c r="E4458" s="86">
        <f>MONTH(表格1[[#This Row],[date]])</f>
        <v>3</v>
      </c>
      <c r="F4458" s="90">
        <v>46109</v>
      </c>
      <c r="G4458" s="86" t="str">
        <f>VLOOKUP("*"&amp;表格1[[#This Row],[Input]]&amp;"*",'Ref-List'!$B:$D,2,)</f>
        <v>F-LYA20(W)HKG</v>
      </c>
      <c r="H4458" s="86" t="str">
        <f>_xlfn.XLOOKUP(表格1[[#This Row],[Model]],表格3[Model-Input-Ref2],表格3[Product Line])</f>
        <v>12吋2合1座地座檯電風扇連遙控</v>
      </c>
      <c r="I4458" s="86" t="str">
        <f>_xlfn.XLOOKUP(表格1[[#This Row],[Model]],表格3[Model-Input-Ref2],表格3[大小電])</f>
        <v>細電</v>
      </c>
      <c r="J4458" s="86" t="str">
        <f>_xlfn.XLOOKUP(表格1[[#This Row],[Model]],表格3[Model-Input-Ref2],表格3[Code])</f>
        <v>EAD</v>
      </c>
      <c r="K4458" s="89" t="s">
        <v>1391</v>
      </c>
      <c r="L4458" s="86">
        <v>1</v>
      </c>
      <c r="M4458" s="87">
        <v>399</v>
      </c>
      <c r="N4458" s="87">
        <f>IFERROR(表格1[[#This Row],[QTY]]*表格1[[#This Row],[Unit Price]],"-")</f>
        <v>399</v>
      </c>
      <c r="O4458" s="142" t="s">
        <v>2059</v>
      </c>
      <c r="R4458" s="86" t="str">
        <f>_xlfn.CONCAT(表格1[[#This Row],[Model]]," ",表格1[[#This Row],[inv no]])</f>
        <v>F-LYA20(W)HKG 001318</v>
      </c>
      <c r="S4458" s="86">
        <f>_xlfn.XLOOKUP(表格1[[#This Row],[Model]],表格3[Model-Input-Ref2],表格3[SRP PRICE])</f>
        <v>988</v>
      </c>
      <c r="T4458" s="43">
        <f>表格1[[#This Row],[Unit Price]]/表格1[[#This Row],[SRP]]</f>
        <v>0.40384615384615385</v>
      </c>
      <c r="U4458" s="86" t="str">
        <f>_xlfn.XLOOKUP(表格1[[#This Row],[Model]],表格3[Model-Input-Ref2],表格3[TOSHIBA/HIGHEST])</f>
        <v>Toshiba SRP</v>
      </c>
      <c r="W4458" s="86" t="str">
        <f>_xlfn.CONCAT(表格1[[#This Row],[欄4]],表格1[[#This Row],[inv no]])</f>
        <v>001318</v>
      </c>
    </row>
    <row r="4459" spans="1:23" hidden="1">
      <c r="A4459" s="81">
        <v>4457</v>
      </c>
      <c r="B4459" s="86" t="s">
        <v>1260</v>
      </c>
      <c r="C4459" s="86" t="s">
        <v>2034</v>
      </c>
      <c r="D4459" s="89" t="str">
        <f ca="1">OFFSET(Roster!$A$3,MATCH(表格1[[#This Row],[Location]]&amp;" "&amp;表格1[[#This Row],[Shop]]&amp;"*",Roster!$A$4:$A$72,0),DAY(表格1[[#This Row],[date]]),1,1)</f>
        <v>Yee</v>
      </c>
      <c r="E4459" s="86">
        <f>MONTH(表格1[[#This Row],[date]])</f>
        <v>3</v>
      </c>
      <c r="F4459" s="90">
        <v>46109</v>
      </c>
      <c r="G4459" s="86" t="str">
        <f>VLOOKUP("*"&amp;表格1[[#This Row],[Input]]&amp;"*",'Ref-List'!$B:$D,2,)</f>
        <v>F-LYA20(W)HKG</v>
      </c>
      <c r="H4459" s="86" t="str">
        <f>_xlfn.XLOOKUP(表格1[[#This Row],[Model]],表格3[Model-Input-Ref2],表格3[Product Line])</f>
        <v>12吋2合1座地座檯電風扇連遙控</v>
      </c>
      <c r="I4459" s="86" t="str">
        <f>_xlfn.XLOOKUP(表格1[[#This Row],[Model]],表格3[Model-Input-Ref2],表格3[大小電])</f>
        <v>細電</v>
      </c>
      <c r="J4459" s="86" t="str">
        <f>_xlfn.XLOOKUP(表格1[[#This Row],[Model]],表格3[Model-Input-Ref2],表格3[Code])</f>
        <v>EAD</v>
      </c>
      <c r="K4459" s="89" t="s">
        <v>1391</v>
      </c>
      <c r="L4459" s="86">
        <v>1</v>
      </c>
      <c r="M4459" s="87">
        <v>399</v>
      </c>
      <c r="N4459" s="87">
        <f>IFERROR(表格1[[#This Row],[QTY]]*表格1[[#This Row],[Unit Price]],"-")</f>
        <v>399</v>
      </c>
      <c r="O4459" s="142" t="s">
        <v>2063</v>
      </c>
      <c r="R4459" s="86" t="str">
        <f>_xlfn.CONCAT(表格1[[#This Row],[Model]]," ",表格1[[#This Row],[inv no]])</f>
        <v>F-LYA20(W)HKG 001322</v>
      </c>
      <c r="S4459" s="86">
        <f>_xlfn.XLOOKUP(表格1[[#This Row],[Model]],表格3[Model-Input-Ref2],表格3[SRP PRICE])</f>
        <v>988</v>
      </c>
      <c r="T4459" s="43">
        <f>表格1[[#This Row],[Unit Price]]/表格1[[#This Row],[SRP]]</f>
        <v>0.40384615384615385</v>
      </c>
      <c r="U4459" s="86" t="str">
        <f>_xlfn.XLOOKUP(表格1[[#This Row],[Model]],表格3[Model-Input-Ref2],表格3[TOSHIBA/HIGHEST])</f>
        <v>Toshiba SRP</v>
      </c>
      <c r="W4459" s="86" t="str">
        <f>_xlfn.CONCAT(表格1[[#This Row],[欄4]],表格1[[#This Row],[inv no]])</f>
        <v>001322</v>
      </c>
    </row>
    <row r="4460" spans="1:23" hidden="1">
      <c r="A4460" s="81">
        <v>4458</v>
      </c>
      <c r="B4460" s="86" t="s">
        <v>1260</v>
      </c>
      <c r="C4460" s="86" t="s">
        <v>2034</v>
      </c>
      <c r="D4460" s="89" t="str">
        <f ca="1">OFFSET(Roster!$A$3,MATCH(表格1[[#This Row],[Location]]&amp;" "&amp;表格1[[#This Row],[Shop]]&amp;"*",Roster!$A$4:$A$72,0),DAY(表格1[[#This Row],[date]]),1,1)</f>
        <v>Yee</v>
      </c>
      <c r="E4460" s="86">
        <f>MONTH(表格1[[#This Row],[date]])</f>
        <v>3</v>
      </c>
      <c r="F4460" s="90">
        <v>46109</v>
      </c>
      <c r="G4460" s="86" t="str">
        <f>VLOOKUP("*"&amp;表格1[[#This Row],[Input]]&amp;"*",'Ref-List'!$B:$D,2,)</f>
        <v>RC-10BHH(W)</v>
      </c>
      <c r="H4460" s="86" t="str">
        <f>_xlfn.XLOOKUP(表格1[[#This Row],[Model]],表格3[Model-Input-Ref2],表格3[Product Line])</f>
        <v>酵活炊磁應電飯煲</v>
      </c>
      <c r="I4460" s="86" t="str">
        <f>_xlfn.XLOOKUP(表格1[[#This Row],[Model]],表格3[Model-Input-Ref2],表格3[大小電])</f>
        <v>細電</v>
      </c>
      <c r="J4460" s="86" t="str">
        <f>_xlfn.XLOOKUP(表格1[[#This Row],[Model]],表格3[Model-Input-Ref2],表格3[Code])</f>
        <v>SDA</v>
      </c>
      <c r="K4460" s="89" t="s">
        <v>1269</v>
      </c>
      <c r="L4460" s="86">
        <v>1</v>
      </c>
      <c r="M4460" s="87">
        <v>1688</v>
      </c>
      <c r="N4460" s="87">
        <f>IFERROR(表格1[[#This Row],[QTY]]*表格1[[#This Row],[Unit Price]],"-")</f>
        <v>1688</v>
      </c>
      <c r="O4460" s="86">
        <v>133721</v>
      </c>
      <c r="R4460" s="86" t="str">
        <f>_xlfn.CONCAT(表格1[[#This Row],[Model]]," ",表格1[[#This Row],[inv no]])</f>
        <v>RC-10BHH(W) 133721</v>
      </c>
      <c r="S4460" s="86">
        <f>_xlfn.XLOOKUP(表格1[[#This Row],[Model]],表格3[Model-Input-Ref2],表格3[SRP PRICE])</f>
        <v>2088</v>
      </c>
      <c r="T4460" s="43">
        <f>表格1[[#This Row],[Unit Price]]/表格1[[#This Row],[SRP]]</f>
        <v>0.80842911877394641</v>
      </c>
      <c r="U4460" s="86" t="str">
        <f>_xlfn.XLOOKUP(表格1[[#This Row],[Model]],表格3[Model-Input-Ref2],表格3[TOSHIBA/HIGHEST])</f>
        <v>Shops Highest Price</v>
      </c>
      <c r="W4460" s="86" t="str">
        <f>_xlfn.CONCAT(表格1[[#This Row],[欄4]],表格1[[#This Row],[inv no]])</f>
        <v>133721</v>
      </c>
    </row>
    <row r="4461" spans="1:23" hidden="1">
      <c r="A4461" s="81">
        <v>4459</v>
      </c>
      <c r="B4461" s="86" t="s">
        <v>1260</v>
      </c>
      <c r="C4461" s="86" t="s">
        <v>2034</v>
      </c>
      <c r="D4461" s="89" t="str">
        <f ca="1">OFFSET(Roster!$A$3,MATCH(表格1[[#This Row],[Location]]&amp;" "&amp;表格1[[#This Row],[Shop]]&amp;"*",Roster!$A$4:$A$72,0),DAY(表格1[[#This Row],[date]]),1,1)</f>
        <v>Yee</v>
      </c>
      <c r="E4461" s="86">
        <f>MONTH(表格1[[#This Row],[date]])</f>
        <v>3</v>
      </c>
      <c r="F4461" s="90">
        <v>46110</v>
      </c>
      <c r="G4461" s="86" t="str">
        <f>VLOOKUP("*"&amp;表格1[[#This Row],[Input]]&amp;"*",'Ref-List'!$B:$D,2,)</f>
        <v>RC-15BHH(W)</v>
      </c>
      <c r="H4461" s="86" t="str">
        <f>_xlfn.XLOOKUP(表格1[[#This Row],[Model]],表格3[Model-Input-Ref2],表格3[Product Line])</f>
        <v>酵活炊磁應電飯煲(1.5公升)</v>
      </c>
      <c r="I4461" s="86" t="str">
        <f>_xlfn.XLOOKUP(表格1[[#This Row],[Model]],表格3[Model-Input-Ref2],表格3[大小電])</f>
        <v>細電</v>
      </c>
      <c r="J4461" s="86" t="str">
        <f>_xlfn.XLOOKUP(表格1[[#This Row],[Model]],表格3[Model-Input-Ref2],表格3[Code])</f>
        <v>SDA</v>
      </c>
      <c r="K4461" s="89" t="s">
        <v>1381</v>
      </c>
      <c r="L4461" s="86">
        <v>1</v>
      </c>
      <c r="M4461" s="87">
        <v>1888</v>
      </c>
      <c r="N4461" s="87">
        <f>IFERROR(表格1[[#This Row],[QTY]]*表格1[[#This Row],[Unit Price]],"-")</f>
        <v>1888</v>
      </c>
      <c r="O4461" s="142" t="s">
        <v>2060</v>
      </c>
      <c r="R4461" s="86" t="str">
        <f>_xlfn.CONCAT(表格1[[#This Row],[Model]]," ",表格1[[#This Row],[inv no]])</f>
        <v>RC-15BHH(W) 010693</v>
      </c>
      <c r="S4461" s="86">
        <f>_xlfn.XLOOKUP(表格1[[#This Row],[Model]],表格3[Model-Input-Ref2],表格3[SRP PRICE])</f>
        <v>2388</v>
      </c>
      <c r="T4461" s="43">
        <f>表格1[[#This Row],[Unit Price]]/表格1[[#This Row],[SRP]]</f>
        <v>0.79061976549413737</v>
      </c>
      <c r="U4461" s="86" t="str">
        <f>_xlfn.XLOOKUP(表格1[[#This Row],[Model]],表格3[Model-Input-Ref2],表格3[TOSHIBA/HIGHEST])</f>
        <v>Toshiba SRP</v>
      </c>
      <c r="W4461" s="86" t="str">
        <f>_xlfn.CONCAT(表格1[[#This Row],[欄4]],表格1[[#This Row],[inv no]])</f>
        <v>010693</v>
      </c>
    </row>
    <row r="4462" spans="1:23" hidden="1">
      <c r="A4462" s="81">
        <v>4460</v>
      </c>
      <c r="B4462" s="86" t="s">
        <v>1260</v>
      </c>
      <c r="C4462" s="86" t="s">
        <v>2034</v>
      </c>
      <c r="D4462" s="89" t="str">
        <f ca="1">OFFSET(Roster!$A$3,MATCH(表格1[[#This Row],[Location]]&amp;" "&amp;表格1[[#This Row],[Shop]]&amp;"*",Roster!$A$4:$A$72,0),DAY(表格1[[#This Row],[date]]),1,1)</f>
        <v>Yee</v>
      </c>
      <c r="E4462" s="86">
        <f>MONTH(表格1[[#This Row],[date]])</f>
        <v>3</v>
      </c>
      <c r="F4462" s="90">
        <v>46110</v>
      </c>
      <c r="G4462" s="86" t="str">
        <f>VLOOKUP("*"&amp;表格1[[#This Row],[Input]]&amp;"*",'Ref-List'!$B:$D,2,)</f>
        <v>RC-10NMFIH(WT)</v>
      </c>
      <c r="H4462" s="86" t="str">
        <f>_xlfn.XLOOKUP(表格1[[#This Row],[Model]],表格3[Model-Input-Ref2],表格3[Product Line])</f>
        <v>4毫米厚釜電飯煲1L</v>
      </c>
      <c r="I4462" s="86" t="str">
        <f>_xlfn.XLOOKUP(表格1[[#This Row],[Model]],表格3[Model-Input-Ref2],表格3[大小電])</f>
        <v>細電</v>
      </c>
      <c r="J4462" s="86" t="str">
        <f>_xlfn.XLOOKUP(表格1[[#This Row],[Model]],表格3[Model-Input-Ref2],表格3[Code])</f>
        <v>SDA</v>
      </c>
      <c r="K4462" s="89" t="s">
        <v>1244</v>
      </c>
      <c r="L4462" s="86">
        <v>1</v>
      </c>
      <c r="M4462" s="87">
        <v>719</v>
      </c>
      <c r="N4462" s="87">
        <f>IFERROR(表格1[[#This Row],[QTY]]*表格1[[#This Row],[Unit Price]],"-")</f>
        <v>719</v>
      </c>
      <c r="O4462" s="86">
        <v>512456</v>
      </c>
      <c r="R4462" s="86" t="str">
        <f>_xlfn.CONCAT(表格1[[#This Row],[Model]]," ",表格1[[#This Row],[inv no]])</f>
        <v>RC-10NMFIH(WT) 512456</v>
      </c>
      <c r="S4462" s="86">
        <f>_xlfn.XLOOKUP(表格1[[#This Row],[Model]],表格3[Model-Input-Ref2],表格3[SRP PRICE])</f>
        <v>898</v>
      </c>
      <c r="T4462" s="43">
        <f>表格1[[#This Row],[Unit Price]]/表格1[[#This Row],[SRP]]</f>
        <v>0.80066815144766146</v>
      </c>
      <c r="U4462" s="86" t="str">
        <f>_xlfn.XLOOKUP(表格1[[#This Row],[Model]],表格3[Model-Input-Ref2],表格3[TOSHIBA/HIGHEST])</f>
        <v>Toshiba SRP</v>
      </c>
      <c r="W4462" s="86" t="str">
        <f>_xlfn.CONCAT(表格1[[#This Row],[欄4]],表格1[[#This Row],[inv no]])</f>
        <v>512456</v>
      </c>
    </row>
    <row r="4463" spans="1:23" hidden="1">
      <c r="A4463" s="81">
        <v>4461</v>
      </c>
      <c r="B4463" s="86" t="s">
        <v>1260</v>
      </c>
      <c r="C4463" s="86" t="s">
        <v>2034</v>
      </c>
      <c r="D4463" s="89" t="str">
        <f ca="1">OFFSET(Roster!$A$3,MATCH(表格1[[#This Row],[Location]]&amp;" "&amp;表格1[[#This Row],[Shop]]&amp;"*",Roster!$A$4:$A$72,0),DAY(表格1[[#This Row],[date]]),1,1)</f>
        <v>Yee</v>
      </c>
      <c r="E4463" s="86">
        <f>MONTH(表格1[[#This Row],[date]])</f>
        <v>3</v>
      </c>
      <c r="F4463" s="90">
        <v>46110</v>
      </c>
      <c r="G4463" s="86" t="str">
        <f>VLOOKUP("*"&amp;表格1[[#This Row],[Input]]&amp;"*",'Ref-List'!$B:$D,2,)</f>
        <v>F-LYA20(W)HKG</v>
      </c>
      <c r="H4463" s="86" t="str">
        <f>_xlfn.XLOOKUP(表格1[[#This Row],[Model]],表格3[Model-Input-Ref2],表格3[Product Line])</f>
        <v>12吋2合1座地座檯電風扇連遙控</v>
      </c>
      <c r="I4463" s="86" t="str">
        <f>_xlfn.XLOOKUP(表格1[[#This Row],[Model]],表格3[Model-Input-Ref2],表格3[大小電])</f>
        <v>細電</v>
      </c>
      <c r="J4463" s="86" t="str">
        <f>_xlfn.XLOOKUP(表格1[[#This Row],[Model]],表格3[Model-Input-Ref2],表格3[Code])</f>
        <v>EAD</v>
      </c>
      <c r="K4463" s="89" t="s">
        <v>1391</v>
      </c>
      <c r="L4463" s="86">
        <v>1</v>
      </c>
      <c r="M4463" s="87">
        <v>399</v>
      </c>
      <c r="N4463" s="87">
        <f>IFERROR(表格1[[#This Row],[QTY]]*表格1[[#This Row],[Unit Price]],"-")</f>
        <v>399</v>
      </c>
      <c r="O4463" s="86">
        <v>512442</v>
      </c>
      <c r="R4463" s="86" t="str">
        <f>_xlfn.CONCAT(表格1[[#This Row],[Model]]," ",表格1[[#This Row],[inv no]])</f>
        <v>F-LYA20(W)HKG 512442</v>
      </c>
      <c r="S4463" s="86">
        <f>_xlfn.XLOOKUP(表格1[[#This Row],[Model]],表格3[Model-Input-Ref2],表格3[SRP PRICE])</f>
        <v>988</v>
      </c>
      <c r="T4463" s="43">
        <f>表格1[[#This Row],[Unit Price]]/表格1[[#This Row],[SRP]]</f>
        <v>0.40384615384615385</v>
      </c>
      <c r="U4463" s="86" t="str">
        <f>_xlfn.XLOOKUP(表格1[[#This Row],[Model]],表格3[Model-Input-Ref2],表格3[TOSHIBA/HIGHEST])</f>
        <v>Toshiba SRP</v>
      </c>
      <c r="W4463" s="86" t="str">
        <f>_xlfn.CONCAT(表格1[[#This Row],[欄4]],表格1[[#This Row],[inv no]])</f>
        <v>512442</v>
      </c>
    </row>
    <row r="4464" spans="1:23" hidden="1">
      <c r="A4464" s="81">
        <v>4462</v>
      </c>
      <c r="B4464" s="86" t="s">
        <v>1260</v>
      </c>
      <c r="C4464" s="86" t="s">
        <v>2034</v>
      </c>
      <c r="D4464" s="89" t="str">
        <f ca="1">OFFSET(Roster!$A$3,MATCH(表格1[[#This Row],[Location]]&amp;" "&amp;表格1[[#This Row],[Shop]]&amp;"*",Roster!$A$4:$A$72,0),DAY(表格1[[#This Row],[date]]),1,1)</f>
        <v>Yee</v>
      </c>
      <c r="E4464" s="86">
        <f>MONTH(表格1[[#This Row],[date]])</f>
        <v>3</v>
      </c>
      <c r="F4464" s="90">
        <v>46110</v>
      </c>
      <c r="G4464" s="86" t="str">
        <f>VLOOKUP("*"&amp;表格1[[#This Row],[Input]]&amp;"*",'Ref-List'!$B:$D,2,)</f>
        <v>RC-10NMFIH(WT)</v>
      </c>
      <c r="H4464" s="86" t="str">
        <f>_xlfn.XLOOKUP(表格1[[#This Row],[Model]],表格3[Model-Input-Ref2],表格3[Product Line])</f>
        <v>4毫米厚釜電飯煲1L</v>
      </c>
      <c r="I4464" s="86" t="str">
        <f>_xlfn.XLOOKUP(表格1[[#This Row],[Model]],表格3[Model-Input-Ref2],表格3[大小電])</f>
        <v>細電</v>
      </c>
      <c r="J4464" s="86" t="str">
        <f>_xlfn.XLOOKUP(表格1[[#This Row],[Model]],表格3[Model-Input-Ref2],表格3[Code])</f>
        <v>SDA</v>
      </c>
      <c r="K4464" s="89" t="s">
        <v>1244</v>
      </c>
      <c r="L4464" s="86">
        <v>1</v>
      </c>
      <c r="M4464" s="87">
        <v>719</v>
      </c>
      <c r="N4464" s="87">
        <f>IFERROR(表格1[[#This Row],[QTY]]*表格1[[#This Row],[Unit Price]],"-")</f>
        <v>719</v>
      </c>
      <c r="O4464" s="86">
        <v>512460</v>
      </c>
      <c r="R4464" s="86" t="str">
        <f>_xlfn.CONCAT(表格1[[#This Row],[Model]]," ",表格1[[#This Row],[inv no]])</f>
        <v>RC-10NMFIH(WT) 512460</v>
      </c>
      <c r="S4464" s="86">
        <f>_xlfn.XLOOKUP(表格1[[#This Row],[Model]],表格3[Model-Input-Ref2],表格3[SRP PRICE])</f>
        <v>898</v>
      </c>
      <c r="T4464" s="43">
        <f>表格1[[#This Row],[Unit Price]]/表格1[[#This Row],[SRP]]</f>
        <v>0.80066815144766146</v>
      </c>
      <c r="U4464" s="86" t="str">
        <f>_xlfn.XLOOKUP(表格1[[#This Row],[Model]],表格3[Model-Input-Ref2],表格3[TOSHIBA/HIGHEST])</f>
        <v>Toshiba SRP</v>
      </c>
      <c r="W4464" s="86" t="str">
        <f>_xlfn.CONCAT(表格1[[#This Row],[欄4]],表格1[[#This Row],[inv no]])</f>
        <v>512460</v>
      </c>
    </row>
    <row r="4465" spans="1:23" hidden="1">
      <c r="A4465" s="81">
        <v>4463</v>
      </c>
      <c r="B4465" s="86" t="s">
        <v>1260</v>
      </c>
      <c r="C4465" s="86" t="s">
        <v>2034</v>
      </c>
      <c r="D4465" s="89" t="str">
        <f ca="1">OFFSET(Roster!$A$3,MATCH(表格1[[#This Row],[Location]]&amp;" "&amp;表格1[[#This Row],[Shop]]&amp;"*",Roster!$A$4:$A$72,0),DAY(表格1[[#This Row],[date]]),1,1)</f>
        <v>Yee</v>
      </c>
      <c r="E4465" s="86">
        <f>MONTH(表格1[[#This Row],[date]])</f>
        <v>3</v>
      </c>
      <c r="F4465" s="90">
        <v>46110</v>
      </c>
      <c r="G4465" s="86" t="str">
        <f>VLOOKUP("*"&amp;表格1[[#This Row],[Input]]&amp;"*",'Ref-List'!$B:$D,2,)</f>
        <v>MX2-STR25SC(WH)</v>
      </c>
      <c r="H4465" s="86" t="str">
        <f>_xlfn.XLOOKUP(表格1[[#This Row],[Model]],表格3[Model-Input-Ref2],表格3[Product Line])</f>
        <v>4合1氣炸微波蒸焗爐(25公升)</v>
      </c>
      <c r="I4465" s="86" t="str">
        <f>_xlfn.XLOOKUP(表格1[[#This Row],[Model]],表格3[Model-Input-Ref2],表格3[大小電])</f>
        <v>細電</v>
      </c>
      <c r="J4465" s="86" t="str">
        <f>_xlfn.XLOOKUP(表格1[[#This Row],[Model]],表格3[Model-Input-Ref2],表格3[Code])</f>
        <v>MCA</v>
      </c>
      <c r="K4465" s="89" t="s">
        <v>1410</v>
      </c>
      <c r="L4465" s="86">
        <v>1</v>
      </c>
      <c r="M4465" s="87">
        <v>3580</v>
      </c>
      <c r="N4465" s="87">
        <f>IFERROR(表格1[[#This Row],[QTY]]*表格1[[#This Row],[Unit Price]],"-")</f>
        <v>3580</v>
      </c>
      <c r="O4465" s="86">
        <v>134042</v>
      </c>
      <c r="R4465" s="86" t="str">
        <f>_xlfn.CONCAT(表格1[[#This Row],[Model]]," ",表格1[[#This Row],[inv no]])</f>
        <v>MX2-STR25SC(WH) 134042</v>
      </c>
      <c r="S4465" s="86">
        <f>_xlfn.XLOOKUP(表格1[[#This Row],[Model]],表格3[Model-Input-Ref2],表格3[SRP PRICE])</f>
        <v>4998</v>
      </c>
      <c r="T4465" s="43">
        <f>表格1[[#This Row],[Unit Price]]/表格1[[#This Row],[SRP]]</f>
        <v>0.71628651460584236</v>
      </c>
      <c r="U4465" s="86" t="str">
        <f>_xlfn.XLOOKUP(表格1[[#This Row],[Model]],表格3[Model-Input-Ref2],表格3[TOSHIBA/HIGHEST])</f>
        <v>Toshiba SRP</v>
      </c>
      <c r="W4465" s="86" t="str">
        <f>_xlfn.CONCAT(表格1[[#This Row],[欄4]],表格1[[#This Row],[inv no]])</f>
        <v>134042</v>
      </c>
    </row>
    <row r="4466" spans="1:23" hidden="1">
      <c r="A4466" s="81">
        <v>4464</v>
      </c>
      <c r="B4466" s="86" t="s">
        <v>1260</v>
      </c>
      <c r="C4466" s="86" t="s">
        <v>2034</v>
      </c>
      <c r="D4466" s="89" t="str">
        <f ca="1">OFFSET(Roster!$A$3,MATCH(表格1[[#This Row],[Location]]&amp;" "&amp;表格1[[#This Row],[Shop]]&amp;"*",Roster!$A$4:$A$72,0),DAY(表格1[[#This Row],[date]]),1,1)</f>
        <v>Yee</v>
      </c>
      <c r="E4466" s="86">
        <f>MONTH(表格1[[#This Row],[date]])</f>
        <v>3</v>
      </c>
      <c r="F4466" s="90">
        <v>46110</v>
      </c>
      <c r="G4466" s="86" t="str">
        <f>VLOOKUP("*"&amp;表格1[[#This Row],[Input]]&amp;"*",'Ref-List'!$B:$D,2,)</f>
        <v>F-LYA20(W)HKG</v>
      </c>
      <c r="H4466" s="86" t="str">
        <f>_xlfn.XLOOKUP(表格1[[#This Row],[Model]],表格3[Model-Input-Ref2],表格3[Product Line])</f>
        <v>12吋2合1座地座檯電風扇連遙控</v>
      </c>
      <c r="I4466" s="86" t="str">
        <f>_xlfn.XLOOKUP(表格1[[#This Row],[Model]],表格3[Model-Input-Ref2],表格3[大小電])</f>
        <v>細電</v>
      </c>
      <c r="J4466" s="86" t="str">
        <f>_xlfn.XLOOKUP(表格1[[#This Row],[Model]],表格3[Model-Input-Ref2],表格3[Code])</f>
        <v>EAD</v>
      </c>
      <c r="K4466" s="89" t="s">
        <v>1391</v>
      </c>
      <c r="L4466" s="86">
        <v>1</v>
      </c>
      <c r="M4466" s="87">
        <v>399</v>
      </c>
      <c r="N4466" s="87">
        <f>IFERROR(表格1[[#This Row],[QTY]]*表格1[[#This Row],[Unit Price]],"-")</f>
        <v>399</v>
      </c>
      <c r="O4466" s="86">
        <v>658234</v>
      </c>
      <c r="R4466" s="86" t="str">
        <f>_xlfn.CONCAT(表格1[[#This Row],[Model]]," ",表格1[[#This Row],[inv no]])</f>
        <v>F-LYA20(W)HKG 658234</v>
      </c>
      <c r="S4466" s="86">
        <f>_xlfn.XLOOKUP(表格1[[#This Row],[Model]],表格3[Model-Input-Ref2],表格3[SRP PRICE])</f>
        <v>988</v>
      </c>
      <c r="T4466" s="43">
        <f>表格1[[#This Row],[Unit Price]]/表格1[[#This Row],[SRP]]</f>
        <v>0.40384615384615385</v>
      </c>
      <c r="U4466" s="86" t="str">
        <f>_xlfn.XLOOKUP(表格1[[#This Row],[Model]],表格3[Model-Input-Ref2],表格3[TOSHIBA/HIGHEST])</f>
        <v>Toshiba SRP</v>
      </c>
      <c r="W4466" s="86" t="str">
        <f>_xlfn.CONCAT(表格1[[#This Row],[欄4]],表格1[[#This Row],[inv no]])</f>
        <v>658234</v>
      </c>
    </row>
    <row r="4467" spans="1:23" hidden="1">
      <c r="A4467" s="81">
        <v>4465</v>
      </c>
      <c r="B4467" s="86" t="s">
        <v>1260</v>
      </c>
      <c r="C4467" s="86" t="s">
        <v>2034</v>
      </c>
      <c r="D4467" s="89" t="str">
        <f ca="1">OFFSET(Roster!$A$3,MATCH(表格1[[#This Row],[Location]]&amp;" "&amp;表格1[[#This Row],[Shop]]&amp;"*",Roster!$A$4:$A$72,0),DAY(表格1[[#This Row],[date]]),1,1)</f>
        <v>Yee</v>
      </c>
      <c r="E4467" s="86">
        <f>MONTH(表格1[[#This Row],[date]])</f>
        <v>3</v>
      </c>
      <c r="F4467" s="90">
        <v>46110</v>
      </c>
      <c r="G4467" s="86" t="str">
        <f>VLOOKUP("*"&amp;表格1[[#This Row],[Input]]&amp;"*",'Ref-List'!$B:$D,2,)</f>
        <v>RC-10BHH(W)</v>
      </c>
      <c r="H4467" s="86" t="str">
        <f>_xlfn.XLOOKUP(表格1[[#This Row],[Model]],表格3[Model-Input-Ref2],表格3[Product Line])</f>
        <v>酵活炊磁應電飯煲</v>
      </c>
      <c r="I4467" s="86" t="str">
        <f>_xlfn.XLOOKUP(表格1[[#This Row],[Model]],表格3[Model-Input-Ref2],表格3[大小電])</f>
        <v>細電</v>
      </c>
      <c r="J4467" s="86" t="str">
        <f>_xlfn.XLOOKUP(表格1[[#This Row],[Model]],表格3[Model-Input-Ref2],表格3[Code])</f>
        <v>SDA</v>
      </c>
      <c r="K4467" s="89" t="s">
        <v>1269</v>
      </c>
      <c r="L4467" s="86">
        <v>1</v>
      </c>
      <c r="M4467" s="87">
        <v>1688</v>
      </c>
      <c r="N4467" s="87">
        <f>IFERROR(表格1[[#This Row],[QTY]]*表格1[[#This Row],[Unit Price]],"-")</f>
        <v>1688</v>
      </c>
      <c r="O4467" s="86">
        <v>134114</v>
      </c>
      <c r="R4467" s="86" t="str">
        <f>_xlfn.CONCAT(表格1[[#This Row],[Model]]," ",表格1[[#This Row],[inv no]])</f>
        <v>RC-10BHH(W) 134114</v>
      </c>
      <c r="S4467" s="86">
        <f>_xlfn.XLOOKUP(表格1[[#This Row],[Model]],表格3[Model-Input-Ref2],表格3[SRP PRICE])</f>
        <v>2088</v>
      </c>
      <c r="T4467" s="43">
        <f>表格1[[#This Row],[Unit Price]]/表格1[[#This Row],[SRP]]</f>
        <v>0.80842911877394641</v>
      </c>
      <c r="U4467" s="86" t="str">
        <f>_xlfn.XLOOKUP(表格1[[#This Row],[Model]],表格3[Model-Input-Ref2],表格3[TOSHIBA/HIGHEST])</f>
        <v>Shops Highest Price</v>
      </c>
      <c r="W4467" s="86" t="str">
        <f>_xlfn.CONCAT(表格1[[#This Row],[欄4]],表格1[[#This Row],[inv no]])</f>
        <v>134114</v>
      </c>
    </row>
    <row r="4468" spans="1:23" hidden="1">
      <c r="A4468" s="81">
        <v>4466</v>
      </c>
      <c r="B4468" s="86" t="s">
        <v>1260</v>
      </c>
      <c r="C4468" s="86" t="s">
        <v>2034</v>
      </c>
      <c r="D4468" s="89" t="str">
        <f ca="1">OFFSET(Roster!$A$3,MATCH(表格1[[#This Row],[Location]]&amp;" "&amp;表格1[[#This Row],[Shop]]&amp;"*",Roster!$A$4:$A$72,0),DAY(表格1[[#This Row],[date]]),1,1)</f>
        <v>Yee</v>
      </c>
      <c r="E4468" s="86">
        <f>MONTH(表格1[[#This Row],[date]])</f>
        <v>3</v>
      </c>
      <c r="F4468" s="90">
        <v>46110</v>
      </c>
      <c r="G4468" s="86" t="str">
        <f>VLOOKUP("*"&amp;表格1[[#This Row],[Input]]&amp;"*",'Ref-List'!$B:$D,2,)</f>
        <v>RC-15BHH(W)</v>
      </c>
      <c r="H4468" s="86" t="str">
        <f>_xlfn.XLOOKUP(表格1[[#This Row],[Model]],表格3[Model-Input-Ref2],表格3[Product Line])</f>
        <v>酵活炊磁應電飯煲(1.5公升)</v>
      </c>
      <c r="I4468" s="86" t="str">
        <f>_xlfn.XLOOKUP(表格1[[#This Row],[Model]],表格3[Model-Input-Ref2],表格3[大小電])</f>
        <v>細電</v>
      </c>
      <c r="J4468" s="86" t="str">
        <f>_xlfn.XLOOKUP(表格1[[#This Row],[Model]],表格3[Model-Input-Ref2],表格3[Code])</f>
        <v>SDA</v>
      </c>
      <c r="K4468" s="89" t="s">
        <v>1381</v>
      </c>
      <c r="L4468" s="86">
        <v>1</v>
      </c>
      <c r="M4468" s="87">
        <v>1888</v>
      </c>
      <c r="N4468" s="87">
        <f>IFERROR(表格1[[#This Row],[QTY]]*表格1[[#This Row],[Unit Price]],"-")</f>
        <v>1888</v>
      </c>
      <c r="O4468" s="86">
        <v>134104</v>
      </c>
      <c r="R4468" s="86" t="str">
        <f>_xlfn.CONCAT(表格1[[#This Row],[Model]]," ",表格1[[#This Row],[inv no]])</f>
        <v>RC-15BHH(W) 134104</v>
      </c>
      <c r="S4468" s="86">
        <f>_xlfn.XLOOKUP(表格1[[#This Row],[Model]],表格3[Model-Input-Ref2],表格3[SRP PRICE])</f>
        <v>2388</v>
      </c>
      <c r="T4468" s="43">
        <f>表格1[[#This Row],[Unit Price]]/表格1[[#This Row],[SRP]]</f>
        <v>0.79061976549413737</v>
      </c>
      <c r="U4468" s="86" t="str">
        <f>_xlfn.XLOOKUP(表格1[[#This Row],[Model]],表格3[Model-Input-Ref2],表格3[TOSHIBA/HIGHEST])</f>
        <v>Toshiba SRP</v>
      </c>
      <c r="W4468" s="86" t="str">
        <f>_xlfn.CONCAT(表格1[[#This Row],[欄4]],表格1[[#This Row],[inv no]])</f>
        <v>134104</v>
      </c>
    </row>
    <row r="4469" spans="1:23" hidden="1">
      <c r="A4469" s="81">
        <v>4467</v>
      </c>
      <c r="B4469" s="86" t="s">
        <v>1260</v>
      </c>
      <c r="C4469" s="86" t="s">
        <v>2034</v>
      </c>
      <c r="D4469" s="89" t="str">
        <f ca="1">OFFSET(Roster!$A$3,MATCH(表格1[[#This Row],[Location]]&amp;" "&amp;表格1[[#This Row],[Shop]]&amp;"*",Roster!$A$4:$A$72,0),DAY(表格1[[#This Row],[date]]),1,1)</f>
        <v>Yee</v>
      </c>
      <c r="E4469" s="86">
        <f>MONTH(表格1[[#This Row],[date]])</f>
        <v>3</v>
      </c>
      <c r="F4469" s="90">
        <v>46110</v>
      </c>
      <c r="G4469" s="86" t="str">
        <f>VLOOKUP("*"&amp;表格1[[#This Row],[Input]]&amp;"*",'Ref-List'!$B:$D,2,)</f>
        <v>F-LYA20(W)HKG</v>
      </c>
      <c r="H4469" s="86" t="str">
        <f>_xlfn.XLOOKUP(表格1[[#This Row],[Model]],表格3[Model-Input-Ref2],表格3[Product Line])</f>
        <v>12吋2合1座地座檯電風扇連遙控</v>
      </c>
      <c r="I4469" s="86" t="str">
        <f>_xlfn.XLOOKUP(表格1[[#This Row],[Model]],表格3[Model-Input-Ref2],表格3[大小電])</f>
        <v>細電</v>
      </c>
      <c r="J4469" s="86" t="str">
        <f>_xlfn.XLOOKUP(表格1[[#This Row],[Model]],表格3[Model-Input-Ref2],表格3[Code])</f>
        <v>EAD</v>
      </c>
      <c r="K4469" s="89" t="s">
        <v>1391</v>
      </c>
      <c r="L4469" s="86">
        <v>1</v>
      </c>
      <c r="M4469" s="87">
        <v>399</v>
      </c>
      <c r="N4469" s="87">
        <f>IFERROR(表格1[[#This Row],[QTY]]*表格1[[#This Row],[Unit Price]],"-")</f>
        <v>399</v>
      </c>
      <c r="O4469" s="86">
        <v>134221</v>
      </c>
      <c r="R4469" s="86" t="str">
        <f>_xlfn.CONCAT(表格1[[#This Row],[Model]]," ",表格1[[#This Row],[inv no]])</f>
        <v>F-LYA20(W)HKG 134221</v>
      </c>
      <c r="S4469" s="86">
        <f>_xlfn.XLOOKUP(表格1[[#This Row],[Model]],表格3[Model-Input-Ref2],表格3[SRP PRICE])</f>
        <v>988</v>
      </c>
      <c r="T4469" s="43">
        <f>表格1[[#This Row],[Unit Price]]/表格1[[#This Row],[SRP]]</f>
        <v>0.40384615384615385</v>
      </c>
      <c r="U4469" s="86" t="str">
        <f>_xlfn.XLOOKUP(表格1[[#This Row],[Model]],表格3[Model-Input-Ref2],表格3[TOSHIBA/HIGHEST])</f>
        <v>Toshiba SRP</v>
      </c>
      <c r="W4469" s="86" t="str">
        <f>_xlfn.CONCAT(表格1[[#This Row],[欄4]],表格1[[#This Row],[inv no]])</f>
        <v>134221</v>
      </c>
    </row>
    <row r="4470" spans="1:23" hidden="1">
      <c r="A4470" s="81">
        <v>4468</v>
      </c>
      <c r="B4470" s="86" t="s">
        <v>1260</v>
      </c>
      <c r="C4470" s="86" t="s">
        <v>2034</v>
      </c>
      <c r="D4470" s="89" t="str">
        <f ca="1">OFFSET(Roster!$A$3,MATCH(表格1[[#This Row],[Location]]&amp;" "&amp;表格1[[#This Row],[Shop]]&amp;"*",Roster!$A$4:$A$72,0),DAY(表格1[[#This Row],[date]]),1,1)</f>
        <v>Yee</v>
      </c>
      <c r="E4470" s="86">
        <f>MONTH(表格1[[#This Row],[date]])</f>
        <v>3</v>
      </c>
      <c r="F4470" s="90">
        <v>46110</v>
      </c>
      <c r="G4470" s="86" t="str">
        <f>VLOOKUP("*"&amp;表格1[[#This Row],[Input]]&amp;"*",'Ref-List'!$B:$D,2,)</f>
        <v>RC-10BHH(W)</v>
      </c>
      <c r="H4470" s="86" t="str">
        <f>_xlfn.XLOOKUP(表格1[[#This Row],[Model]],表格3[Model-Input-Ref2],表格3[Product Line])</f>
        <v>酵活炊磁應電飯煲</v>
      </c>
      <c r="I4470" s="86" t="str">
        <f>_xlfn.XLOOKUP(表格1[[#This Row],[Model]],表格3[Model-Input-Ref2],表格3[大小電])</f>
        <v>細電</v>
      </c>
      <c r="J4470" s="86" t="str">
        <f>_xlfn.XLOOKUP(表格1[[#This Row],[Model]],表格3[Model-Input-Ref2],表格3[Code])</f>
        <v>SDA</v>
      </c>
      <c r="K4470" s="89" t="s">
        <v>1269</v>
      </c>
      <c r="L4470" s="86">
        <v>1</v>
      </c>
      <c r="M4470" s="87">
        <v>1688</v>
      </c>
      <c r="N4470" s="87">
        <f>IFERROR(表格1[[#This Row],[QTY]]*表格1[[#This Row],[Unit Price]],"-")</f>
        <v>1688</v>
      </c>
      <c r="O4470" s="86">
        <v>512748</v>
      </c>
      <c r="R4470" s="86" t="str">
        <f>_xlfn.CONCAT(表格1[[#This Row],[Model]]," ",表格1[[#This Row],[inv no]])</f>
        <v>RC-10BHH(W) 512748</v>
      </c>
      <c r="S4470" s="86">
        <f>_xlfn.XLOOKUP(表格1[[#This Row],[Model]],表格3[Model-Input-Ref2],表格3[SRP PRICE])</f>
        <v>2088</v>
      </c>
      <c r="T4470" s="43">
        <f>表格1[[#This Row],[Unit Price]]/表格1[[#This Row],[SRP]]</f>
        <v>0.80842911877394641</v>
      </c>
      <c r="U4470" s="86" t="str">
        <f>_xlfn.XLOOKUP(表格1[[#This Row],[Model]],表格3[Model-Input-Ref2],表格3[TOSHIBA/HIGHEST])</f>
        <v>Shops Highest Price</v>
      </c>
      <c r="W4470" s="86" t="str">
        <f>_xlfn.CONCAT(表格1[[#This Row],[欄4]],表格1[[#This Row],[inv no]])</f>
        <v>512748</v>
      </c>
    </row>
    <row r="4471" spans="1:23" hidden="1">
      <c r="A4471" s="81">
        <v>4469</v>
      </c>
      <c r="B4471" s="86" t="s">
        <v>1260</v>
      </c>
      <c r="C4471" s="86" t="s">
        <v>2034</v>
      </c>
      <c r="D4471" s="89" t="str">
        <f ca="1">OFFSET(Roster!$A$3,MATCH(表格1[[#This Row],[Location]]&amp;" "&amp;表格1[[#This Row],[Shop]]&amp;"*",Roster!$A$4:$A$72,0),DAY(表格1[[#This Row],[date]]),1,1)</f>
        <v>Yee</v>
      </c>
      <c r="E4471" s="86">
        <f>MONTH(表格1[[#This Row],[date]])</f>
        <v>3</v>
      </c>
      <c r="F4471" s="90">
        <v>46110</v>
      </c>
      <c r="G4471" s="86" t="str">
        <f>VLOOKUP("*"&amp;表格1[[#This Row],[Input]]&amp;"*",'Ref-List'!$B:$D,2,)</f>
        <v>MWP-MM20P(WH)</v>
      </c>
      <c r="H4471" s="86" t="str">
        <f>_xlfn.XLOOKUP(表格1[[#This Row],[Model]],表格3[Model-Input-Ref2],表格3[Product Line])</f>
        <v>旋鈕式燒烤微波爐20L</v>
      </c>
      <c r="I4471" s="86" t="str">
        <f>_xlfn.XLOOKUP(表格1[[#This Row],[Model]],表格3[Model-Input-Ref2],表格3[大小電])</f>
        <v>細電</v>
      </c>
      <c r="J4471" s="86" t="str">
        <f>_xlfn.XLOOKUP(表格1[[#This Row],[Model]],表格3[Model-Input-Ref2],表格3[Code])</f>
        <v>SDA</v>
      </c>
      <c r="K4471" s="89" t="s">
        <v>1270</v>
      </c>
      <c r="L4471" s="86">
        <v>1</v>
      </c>
      <c r="M4471" s="87">
        <v>488</v>
      </c>
      <c r="N4471" s="87">
        <f>IFERROR(表格1[[#This Row],[QTY]]*表格1[[#This Row],[Unit Price]],"-")</f>
        <v>488</v>
      </c>
      <c r="O4471" s="86">
        <v>134263</v>
      </c>
      <c r="R4471" s="86" t="str">
        <f>_xlfn.CONCAT(表格1[[#This Row],[Model]]," ",表格1[[#This Row],[inv no]])</f>
        <v>MWP-MM20P(WH) 134263</v>
      </c>
      <c r="S4471" s="86">
        <f>_xlfn.XLOOKUP(表格1[[#This Row],[Model]],表格3[Model-Input-Ref2],表格3[SRP PRICE])</f>
        <v>648</v>
      </c>
      <c r="T4471" s="43">
        <f>表格1[[#This Row],[Unit Price]]/表格1[[#This Row],[SRP]]</f>
        <v>0.75308641975308643</v>
      </c>
      <c r="U4471" s="86" t="str">
        <f>_xlfn.XLOOKUP(表格1[[#This Row],[Model]],表格3[Model-Input-Ref2],表格3[TOSHIBA/HIGHEST])</f>
        <v>Toshiba SRP</v>
      </c>
      <c r="W4471" s="86" t="str">
        <f>_xlfn.CONCAT(表格1[[#This Row],[欄4]],表格1[[#This Row],[inv no]])</f>
        <v>134263</v>
      </c>
    </row>
    <row r="4472" spans="1:23" hidden="1">
      <c r="A4472" s="81">
        <v>4470</v>
      </c>
      <c r="B4472" s="86" t="s">
        <v>1260</v>
      </c>
      <c r="C4472" s="86" t="s">
        <v>2034</v>
      </c>
      <c r="D4472" s="89" t="str">
        <f ca="1">OFFSET(Roster!$A$3,MATCH(表格1[[#This Row],[Location]]&amp;" "&amp;表格1[[#This Row],[Shop]]&amp;"*",Roster!$A$4:$A$72,0),DAY(表格1[[#This Row],[date]]),1,1)</f>
        <v>Yee</v>
      </c>
      <c r="E4472" s="86">
        <f>MONTH(表格1[[#This Row],[date]])</f>
        <v>3</v>
      </c>
      <c r="F4472" s="90">
        <v>46111</v>
      </c>
      <c r="G4472" s="86" t="str">
        <f>VLOOKUP("*"&amp;表格1[[#This Row],[Input]]&amp;"*",'Ref-List'!$B:$D,2,)</f>
        <v>RC-7HMH</v>
      </c>
      <c r="H4472" s="86" t="str">
        <f>_xlfn.XLOOKUP(表格1[[#This Row],[Model]],表格3[Model-Input-Ref2],表格3[Product Line])</f>
        <v>備長炭本厚釜電飯煲0.7L</v>
      </c>
      <c r="I4472" s="86" t="str">
        <f>_xlfn.XLOOKUP(表格1[[#This Row],[Model]],表格3[Model-Input-Ref2],表格3[大小電])</f>
        <v>細電</v>
      </c>
      <c r="J4472" s="86" t="str">
        <f>_xlfn.XLOOKUP(表格1[[#This Row],[Model]],表格3[Model-Input-Ref2],表格3[Code])</f>
        <v>SDA</v>
      </c>
      <c r="K4472" s="89" t="s">
        <v>1284</v>
      </c>
      <c r="L4472" s="86">
        <v>1</v>
      </c>
      <c r="M4472" s="87">
        <v>788</v>
      </c>
      <c r="N4472" s="87">
        <f>IFERROR(表格1[[#This Row],[QTY]]*表格1[[#This Row],[Unit Price]],"-")</f>
        <v>788</v>
      </c>
      <c r="O4472" s="86">
        <v>512900</v>
      </c>
      <c r="R4472" s="86" t="str">
        <f>_xlfn.CONCAT(表格1[[#This Row],[Model]]," ",表格1[[#This Row],[inv no]])</f>
        <v>RC-7HMH 512900</v>
      </c>
      <c r="S4472" s="86">
        <f>_xlfn.XLOOKUP(表格1[[#This Row],[Model]],表格3[Model-Input-Ref2],表格3[SRP PRICE])</f>
        <v>1288</v>
      </c>
      <c r="T4472" s="43">
        <f>表格1[[#This Row],[Unit Price]]/表格1[[#This Row],[SRP]]</f>
        <v>0.61180124223602483</v>
      </c>
      <c r="U4472" s="86" t="str">
        <f>_xlfn.XLOOKUP(表格1[[#This Row],[Model]],表格3[Model-Input-Ref2],表格3[TOSHIBA/HIGHEST])</f>
        <v>Toshiba SRP</v>
      </c>
      <c r="W4472" s="86" t="str">
        <f>_xlfn.CONCAT(表格1[[#This Row],[欄4]],表格1[[#This Row],[inv no]])</f>
        <v>512900</v>
      </c>
    </row>
    <row r="4473" spans="1:23" hidden="1">
      <c r="A4473" s="81">
        <v>4471</v>
      </c>
      <c r="B4473" s="86" t="s">
        <v>1260</v>
      </c>
      <c r="C4473" s="86" t="s">
        <v>2034</v>
      </c>
      <c r="D4473" s="89" t="str">
        <f ca="1">OFFSET(Roster!$A$3,MATCH(表格1[[#This Row],[Location]]&amp;" "&amp;表格1[[#This Row],[Shop]]&amp;"*",Roster!$A$4:$A$72,0),DAY(表格1[[#This Row],[date]]),1,1)</f>
        <v>Yee</v>
      </c>
      <c r="E4473" s="86">
        <f>MONTH(表格1[[#This Row],[date]])</f>
        <v>3</v>
      </c>
      <c r="F4473" s="90">
        <v>46111</v>
      </c>
      <c r="G4473" s="86" t="str">
        <f>VLOOKUP("*"&amp;表格1[[#This Row],[Input]]&amp;"*",'Ref-List'!$B:$D,2,)</f>
        <v>RC-18NMFIH(WT)</v>
      </c>
      <c r="H4473" s="86" t="str">
        <f>_xlfn.XLOOKUP(表格1[[#This Row],[Model]],表格3[Model-Input-Ref2],表格3[Product Line])</f>
        <v>4毫米厚釜電飯煲1.8L</v>
      </c>
      <c r="I4473" s="86" t="str">
        <f>_xlfn.XLOOKUP(表格1[[#This Row],[Model]],表格3[Model-Input-Ref2],表格3[大小電])</f>
        <v>細電</v>
      </c>
      <c r="J4473" s="86" t="str">
        <f>_xlfn.XLOOKUP(表格1[[#This Row],[Model]],表格3[Model-Input-Ref2],表格3[Code])</f>
        <v>SDA</v>
      </c>
      <c r="K4473" s="89" t="s">
        <v>1267</v>
      </c>
      <c r="L4473" s="86">
        <v>1</v>
      </c>
      <c r="M4473" s="87">
        <v>799</v>
      </c>
      <c r="N4473" s="87">
        <f>IFERROR(表格1[[#This Row],[QTY]]*表格1[[#This Row],[Unit Price]],"-")</f>
        <v>799</v>
      </c>
      <c r="O4473" s="86">
        <v>134328</v>
      </c>
      <c r="R4473" s="86" t="str">
        <f>_xlfn.CONCAT(表格1[[#This Row],[Model]]," ",表格1[[#This Row],[inv no]])</f>
        <v>RC-18NMFIH(WT) 134328</v>
      </c>
      <c r="S4473" s="86">
        <f>_xlfn.XLOOKUP(表格1[[#This Row],[Model]],表格3[Model-Input-Ref2],表格3[SRP PRICE])</f>
        <v>998</v>
      </c>
      <c r="T4473" s="43">
        <f>表格1[[#This Row],[Unit Price]]/表格1[[#This Row],[SRP]]</f>
        <v>0.80060120240480959</v>
      </c>
      <c r="U4473" s="86" t="str">
        <f>_xlfn.XLOOKUP(表格1[[#This Row],[Model]],表格3[Model-Input-Ref2],表格3[TOSHIBA/HIGHEST])</f>
        <v>Toshiba SRP</v>
      </c>
      <c r="W4473" s="86" t="str">
        <f>_xlfn.CONCAT(表格1[[#This Row],[欄4]],表格1[[#This Row],[inv no]])</f>
        <v>134328</v>
      </c>
    </row>
    <row r="4474" spans="1:23" hidden="1">
      <c r="A4474" s="81">
        <v>4472</v>
      </c>
      <c r="B4474" s="86" t="s">
        <v>1260</v>
      </c>
      <c r="C4474" s="86" t="s">
        <v>2034</v>
      </c>
      <c r="D4474" s="89" t="str">
        <f ca="1">OFFSET(Roster!$A$3,MATCH(表格1[[#This Row],[Location]]&amp;" "&amp;表格1[[#This Row],[Shop]]&amp;"*",Roster!$A$4:$A$72,0),DAY(表格1[[#This Row],[date]]),1,1)</f>
        <v>Yee</v>
      </c>
      <c r="E4474" s="86">
        <f>MONTH(表格1[[#This Row],[date]])</f>
        <v>3</v>
      </c>
      <c r="F4474" s="90">
        <v>46111</v>
      </c>
      <c r="G4474" s="86" t="str">
        <f>VLOOKUP("*"&amp;表格1[[#This Row],[Input]]&amp;"*",'Ref-List'!$B:$D,2,)</f>
        <v>RC-10DRNH</v>
      </c>
      <c r="H4474" s="86" t="str">
        <f>_xlfn.XLOOKUP(表格1[[#This Row],[Model]],表格3[Model-Input-Ref2],表格3[Product Line])</f>
        <v>多功能備長炭本厚釜電飯煲1L</v>
      </c>
      <c r="I4474" s="86" t="str">
        <f>_xlfn.XLOOKUP(表格1[[#This Row],[Model]],表格3[Model-Input-Ref2],表格3[大小電])</f>
        <v>細電</v>
      </c>
      <c r="J4474" s="86" t="str">
        <f>_xlfn.XLOOKUP(表格1[[#This Row],[Model]],表格3[Model-Input-Ref2],表格3[Code])</f>
        <v>SDA</v>
      </c>
      <c r="K4474" s="89" t="s">
        <v>1376</v>
      </c>
      <c r="L4474" s="86">
        <v>1</v>
      </c>
      <c r="M4474" s="87">
        <v>549</v>
      </c>
      <c r="N4474" s="87">
        <f>IFERROR(表格1[[#This Row],[QTY]]*表格1[[#This Row],[Unit Price]],"-")</f>
        <v>549</v>
      </c>
      <c r="O4474" s="86">
        <v>134402</v>
      </c>
      <c r="R4474" s="86" t="str">
        <f>_xlfn.CONCAT(表格1[[#This Row],[Model]]," ",表格1[[#This Row],[inv no]])</f>
        <v>RC-10DRNH 134402</v>
      </c>
      <c r="S4474" s="86">
        <f>_xlfn.XLOOKUP(表格1[[#This Row],[Model]],表格3[Model-Input-Ref2],表格3[SRP PRICE])</f>
        <v>798</v>
      </c>
      <c r="T4474" s="43">
        <f>表格1[[#This Row],[Unit Price]]/表格1[[#This Row],[SRP]]</f>
        <v>0.68796992481203012</v>
      </c>
      <c r="U4474" s="86" t="str">
        <f>_xlfn.XLOOKUP(表格1[[#This Row],[Model]],表格3[Model-Input-Ref2],表格3[TOSHIBA/HIGHEST])</f>
        <v>Toshiba SRP</v>
      </c>
      <c r="W4474" s="86" t="str">
        <f>_xlfn.CONCAT(表格1[[#This Row],[欄4]],表格1[[#This Row],[inv no]])</f>
        <v>134402</v>
      </c>
    </row>
    <row r="4475" spans="1:23" hidden="1">
      <c r="A4475" s="81">
        <v>4473</v>
      </c>
      <c r="B4475" s="86" t="s">
        <v>1260</v>
      </c>
      <c r="C4475" s="86" t="s">
        <v>2034</v>
      </c>
      <c r="D4475" s="89" t="str">
        <f ca="1">OFFSET(Roster!$A$3,MATCH(表格1[[#This Row],[Location]]&amp;" "&amp;表格1[[#This Row],[Shop]]&amp;"*",Roster!$A$4:$A$72,0),DAY(表格1[[#This Row],[date]]),1,1)</f>
        <v>Yee</v>
      </c>
      <c r="E4475" s="86">
        <f>MONTH(表格1[[#This Row],[date]])</f>
        <v>3</v>
      </c>
      <c r="F4475" s="90">
        <v>46111</v>
      </c>
      <c r="G4475" s="86" t="str">
        <f>VLOOKUP("*"&amp;表格1[[#This Row],[Input]]&amp;"*",'Ref-List'!$B:$D,2,)</f>
        <v>KT-17DRTHK(H)</v>
      </c>
      <c r="H4475" s="86" t="str">
        <f>_xlfn.XLOOKUP(表格1[[#This Row],[Model]],表格3[Model-Input-Ref2],表格3[Product Line])</f>
        <v>無線雙層電熱水壺(1.7公升)</v>
      </c>
      <c r="I4475" s="86" t="str">
        <f>_xlfn.XLOOKUP(表格1[[#This Row],[Model]],表格3[Model-Input-Ref2],表格3[大小電])</f>
        <v>細電</v>
      </c>
      <c r="J4475" s="86" t="str">
        <f>_xlfn.XLOOKUP(表格1[[#This Row],[Model]],表格3[Model-Input-Ref2],表格3[Code])</f>
        <v>SDA</v>
      </c>
      <c r="K4475" s="89" t="s">
        <v>1271</v>
      </c>
      <c r="L4475" s="86">
        <v>1</v>
      </c>
      <c r="M4475" s="87">
        <v>388</v>
      </c>
      <c r="N4475" s="87">
        <f>IFERROR(表格1[[#This Row],[QTY]]*表格1[[#This Row],[Unit Price]],"-")</f>
        <v>388</v>
      </c>
      <c r="O4475" s="86">
        <v>134431</v>
      </c>
      <c r="R4475" s="86" t="str">
        <f>_xlfn.CONCAT(表格1[[#This Row],[Model]]," ",表格1[[#This Row],[inv no]])</f>
        <v>KT-17DRTHK(H) 134431</v>
      </c>
      <c r="S4475" s="86">
        <f>_xlfn.XLOOKUP(表格1[[#This Row],[Model]],表格3[Model-Input-Ref2],表格3[SRP PRICE])</f>
        <v>498</v>
      </c>
      <c r="T4475" s="43">
        <f>表格1[[#This Row],[Unit Price]]/表格1[[#This Row],[SRP]]</f>
        <v>0.77911646586345384</v>
      </c>
      <c r="U4475" s="86" t="str">
        <f>_xlfn.XLOOKUP(表格1[[#This Row],[Model]],表格3[Model-Input-Ref2],表格3[TOSHIBA/HIGHEST])</f>
        <v>Toshiba SRP</v>
      </c>
      <c r="W4475" s="86" t="str">
        <f>_xlfn.CONCAT(表格1[[#This Row],[欄4]],表格1[[#This Row],[inv no]])</f>
        <v>134431</v>
      </c>
    </row>
    <row r="4476" spans="1:23" hidden="1">
      <c r="A4476" s="81">
        <v>4474</v>
      </c>
      <c r="B4476" s="86" t="s">
        <v>1260</v>
      </c>
      <c r="C4476" s="86" t="s">
        <v>2034</v>
      </c>
      <c r="D4476" s="89" t="str">
        <f ca="1">OFFSET(Roster!$A$3,MATCH(表格1[[#This Row],[Location]]&amp;" "&amp;表格1[[#This Row],[Shop]]&amp;"*",Roster!$A$4:$A$72,0),DAY(表格1[[#This Row],[date]]),1,1)</f>
        <v>Yee</v>
      </c>
      <c r="E4476" s="86">
        <f>MONTH(表格1[[#This Row],[date]])</f>
        <v>3</v>
      </c>
      <c r="F4476" s="90">
        <v>46111</v>
      </c>
      <c r="G4476" s="86" t="str">
        <f>VLOOKUP("*"&amp;表格1[[#This Row],[Input]]&amp;"*",'Ref-List'!$B:$D,2,)</f>
        <v>F-LYA20(W)HKG</v>
      </c>
      <c r="H4476" s="86" t="str">
        <f>_xlfn.XLOOKUP(表格1[[#This Row],[Model]],表格3[Model-Input-Ref2],表格3[Product Line])</f>
        <v>12吋2合1座地座檯電風扇連遙控</v>
      </c>
      <c r="I4476" s="86" t="str">
        <f>_xlfn.XLOOKUP(表格1[[#This Row],[Model]],表格3[Model-Input-Ref2],表格3[大小電])</f>
        <v>細電</v>
      </c>
      <c r="J4476" s="86" t="str">
        <f>_xlfn.XLOOKUP(表格1[[#This Row],[Model]],表格3[Model-Input-Ref2],表格3[Code])</f>
        <v>EAD</v>
      </c>
      <c r="K4476" s="89" t="s">
        <v>1391</v>
      </c>
      <c r="L4476" s="86">
        <v>1</v>
      </c>
      <c r="M4476" s="87">
        <v>399</v>
      </c>
      <c r="N4476" s="87">
        <f>IFERROR(表格1[[#This Row],[QTY]]*表格1[[#This Row],[Unit Price]],"-")</f>
        <v>399</v>
      </c>
      <c r="O4476" s="86">
        <v>513089</v>
      </c>
      <c r="R4476" s="86" t="str">
        <f>_xlfn.CONCAT(表格1[[#This Row],[Model]]," ",表格1[[#This Row],[inv no]])</f>
        <v>F-LYA20(W)HKG 513089</v>
      </c>
      <c r="S4476" s="86">
        <f>_xlfn.XLOOKUP(表格1[[#This Row],[Model]],表格3[Model-Input-Ref2],表格3[SRP PRICE])</f>
        <v>988</v>
      </c>
      <c r="T4476" s="43">
        <f>表格1[[#This Row],[Unit Price]]/表格1[[#This Row],[SRP]]</f>
        <v>0.40384615384615385</v>
      </c>
      <c r="U4476" s="86" t="str">
        <f>_xlfn.XLOOKUP(表格1[[#This Row],[Model]],表格3[Model-Input-Ref2],表格3[TOSHIBA/HIGHEST])</f>
        <v>Toshiba SRP</v>
      </c>
      <c r="W4476" s="86" t="str">
        <f>_xlfn.CONCAT(表格1[[#This Row],[欄4]],表格1[[#This Row],[inv no]])</f>
        <v>513089</v>
      </c>
    </row>
    <row r="4477" spans="1:23" hidden="1">
      <c r="A4477" s="81">
        <v>4475</v>
      </c>
      <c r="B4477" s="86" t="s">
        <v>39</v>
      </c>
      <c r="C4477" s="86" t="s">
        <v>2093</v>
      </c>
      <c r="D4477" s="89" t="str">
        <f ca="1">OFFSET(Roster!$A$3,MATCH(表格1[[#This Row],[Location]]&amp;" "&amp;表格1[[#This Row],[Shop]]&amp;"*",Roster!$A$4:$A$72,0),DAY(表格1[[#This Row],[date]]),1,1)</f>
        <v>Wendy Wong_2</v>
      </c>
      <c r="E4477" s="86">
        <v>3</v>
      </c>
      <c r="F4477" s="90">
        <v>46108</v>
      </c>
      <c r="G4477" s="86" t="str">
        <f>VLOOKUP("*"&amp;表格1[[#This Row],[Input]]&amp;"*",'Ref-List'!$B:$D,2,)</f>
        <v>IC-21TSHK</v>
      </c>
      <c r="H4477" s="86" t="str">
        <f>_xlfn.XLOOKUP(表格1[[#This Row],[Model]],表格3[Model-Input-Ref2],表格3[Product Line])</f>
        <v>Induction Cooker</v>
      </c>
      <c r="I4477" s="86" t="str">
        <f>_xlfn.XLOOKUP(表格1[[#This Row],[Model]],表格3[Model-Input-Ref2],表格3[大小電])</f>
        <v>細電</v>
      </c>
      <c r="J4477" s="86" t="str">
        <f>_xlfn.XLOOKUP(表格1[[#This Row],[Model]],表格3[Model-Input-Ref2],表格3[Code])</f>
        <v>SDA</v>
      </c>
      <c r="K4477" s="89" t="s">
        <v>2081</v>
      </c>
      <c r="L4477" s="86">
        <v>1</v>
      </c>
      <c r="M4477" s="87">
        <v>698</v>
      </c>
      <c r="N4477" s="87">
        <f>IFERROR(表格1[[#This Row],[QTY]]*表格1[[#This Row],[Unit Price]],"-")</f>
        <v>698</v>
      </c>
      <c r="O4477" s="86">
        <v>367578</v>
      </c>
      <c r="R4477" s="86" t="str">
        <f>_xlfn.CONCAT(表格1[[#This Row],[Model]]," ",表格1[[#This Row],[inv no]])</f>
        <v>IC-21TSHK 367578</v>
      </c>
      <c r="S4477" s="86">
        <f>_xlfn.XLOOKUP(表格1[[#This Row],[Model]],表格3[Model-Input-Ref2],表格3[SRP PRICE])</f>
        <v>998</v>
      </c>
      <c r="T4477" s="43">
        <f>表格1[[#This Row],[Unit Price]]/表格1[[#This Row],[SRP]]</f>
        <v>0.69939879759519041</v>
      </c>
      <c r="U4477" s="86" t="str">
        <f>_xlfn.XLOOKUP(表格1[[#This Row],[Model]],表格3[Model-Input-Ref2],表格3[TOSHIBA/HIGHEST])</f>
        <v>web SRP</v>
      </c>
      <c r="W4477" s="86" t="str">
        <f>_xlfn.CONCAT(表格1[[#This Row],[欄4]],表格1[[#This Row],[inv no]])</f>
        <v>367578</v>
      </c>
    </row>
    <row r="4478" spans="1:23" hidden="1">
      <c r="A4478" s="81">
        <v>4476</v>
      </c>
      <c r="B4478" s="86" t="s">
        <v>39</v>
      </c>
      <c r="C4478" s="86" t="s">
        <v>2093</v>
      </c>
      <c r="D4478" s="89" t="str">
        <f ca="1">OFFSET(Roster!$A$3,MATCH(表格1[[#This Row],[Location]]&amp;" "&amp;表格1[[#This Row],[Shop]]&amp;"*",Roster!$A$4:$A$72,0),DAY(表格1[[#This Row],[date]]),1,1)</f>
        <v>Wendy Wong_2</v>
      </c>
      <c r="E4478" s="86">
        <v>3</v>
      </c>
      <c r="F4478" s="90">
        <v>46108</v>
      </c>
      <c r="G4478" s="86" t="str">
        <f>VLOOKUP("*"&amp;表格1[[#This Row],[Input]]&amp;"*",'Ref-List'!$B:$D,2,)</f>
        <v>KT-17DRTHK(H)</v>
      </c>
      <c r="H4478" s="86" t="str">
        <f>_xlfn.XLOOKUP(表格1[[#This Row],[Model]],表格3[Model-Input-Ref2],表格3[Product Line])</f>
        <v>無線雙層電熱水壺(1.7公升)</v>
      </c>
      <c r="I4478" s="86" t="str">
        <f>_xlfn.XLOOKUP(表格1[[#This Row],[Model]],表格3[Model-Input-Ref2],表格3[大小電])</f>
        <v>細電</v>
      </c>
      <c r="J4478" s="86" t="str">
        <f>_xlfn.XLOOKUP(表格1[[#This Row],[Model]],表格3[Model-Input-Ref2],表格3[Code])</f>
        <v>SDA</v>
      </c>
      <c r="K4478" s="89" t="s">
        <v>2035</v>
      </c>
      <c r="L4478" s="86">
        <v>1</v>
      </c>
      <c r="M4478" s="87">
        <v>388</v>
      </c>
      <c r="N4478" s="87">
        <f>IFERROR(表格1[[#This Row],[QTY]]*表格1[[#This Row],[Unit Price]],"-")</f>
        <v>388</v>
      </c>
      <c r="O4478" s="86">
        <v>367646</v>
      </c>
      <c r="R4478" s="86" t="str">
        <f>_xlfn.CONCAT(表格1[[#This Row],[Model]]," ",表格1[[#This Row],[inv no]])</f>
        <v>KT-17DRTHK(H) 367646</v>
      </c>
      <c r="S4478" s="86">
        <f>_xlfn.XLOOKUP(表格1[[#This Row],[Model]],表格3[Model-Input-Ref2],表格3[SRP PRICE])</f>
        <v>498</v>
      </c>
      <c r="T4478" s="43">
        <f>表格1[[#This Row],[Unit Price]]/表格1[[#This Row],[SRP]]</f>
        <v>0.77911646586345384</v>
      </c>
      <c r="U4478" s="86" t="str">
        <f>_xlfn.XLOOKUP(表格1[[#This Row],[Model]],表格3[Model-Input-Ref2],表格3[TOSHIBA/HIGHEST])</f>
        <v>Toshiba SRP</v>
      </c>
      <c r="W4478" s="86" t="str">
        <f>_xlfn.CONCAT(表格1[[#This Row],[欄4]],表格1[[#This Row],[inv no]])</f>
        <v>367646</v>
      </c>
    </row>
    <row r="4479" spans="1:23" hidden="1">
      <c r="A4479" s="81">
        <v>4477</v>
      </c>
      <c r="B4479" s="86" t="s">
        <v>39</v>
      </c>
      <c r="C4479" s="86" t="s">
        <v>2093</v>
      </c>
      <c r="D4479" s="89" t="str">
        <f ca="1">OFFSET(Roster!$A$3,MATCH(表格1[[#This Row],[Location]]&amp;" "&amp;表格1[[#This Row],[Shop]]&amp;"*",Roster!$A$4:$A$72,0),DAY(表格1[[#This Row],[date]]),1,1)</f>
        <v>Wendy Wong_2</v>
      </c>
      <c r="E4479" s="86">
        <v>3</v>
      </c>
      <c r="F4479" s="90">
        <v>46108</v>
      </c>
      <c r="G4479" s="86" t="str">
        <f>VLOOKUP("*"&amp;表格1[[#This Row],[Input]]&amp;"*",'Ref-List'!$B:$D,2,)</f>
        <v>RC-18NMFIH(WT)</v>
      </c>
      <c r="H4479" s="86" t="str">
        <f>_xlfn.XLOOKUP(表格1[[#This Row],[Model]],表格3[Model-Input-Ref2],表格3[Product Line])</f>
        <v>4毫米厚釜電飯煲1.8L</v>
      </c>
      <c r="I4479" s="86" t="str">
        <f>_xlfn.XLOOKUP(表格1[[#This Row],[Model]],表格3[Model-Input-Ref2],表格3[大小電])</f>
        <v>細電</v>
      </c>
      <c r="J4479" s="86" t="str">
        <f>_xlfn.XLOOKUP(表格1[[#This Row],[Model]],表格3[Model-Input-Ref2],表格3[Code])</f>
        <v>SDA</v>
      </c>
      <c r="K4479" s="89" t="s">
        <v>2043</v>
      </c>
      <c r="L4479" s="86">
        <v>1</v>
      </c>
      <c r="M4479" s="87">
        <v>799</v>
      </c>
      <c r="N4479" s="87">
        <f>IFERROR(表格1[[#This Row],[QTY]]*表格1[[#This Row],[Unit Price]],"-")</f>
        <v>799</v>
      </c>
      <c r="O4479" s="86">
        <v>367572</v>
      </c>
      <c r="R4479" s="86" t="str">
        <f>_xlfn.CONCAT(表格1[[#This Row],[Model]]," ",表格1[[#This Row],[inv no]])</f>
        <v>RC-18NMFIH(WT) 367572</v>
      </c>
      <c r="S4479" s="86">
        <f>_xlfn.XLOOKUP(表格1[[#This Row],[Model]],表格3[Model-Input-Ref2],表格3[SRP PRICE])</f>
        <v>998</v>
      </c>
      <c r="T4479" s="43">
        <f>表格1[[#This Row],[Unit Price]]/表格1[[#This Row],[SRP]]</f>
        <v>0.80060120240480959</v>
      </c>
      <c r="U4479" s="86" t="str">
        <f>_xlfn.XLOOKUP(表格1[[#This Row],[Model]],表格3[Model-Input-Ref2],表格3[TOSHIBA/HIGHEST])</f>
        <v>Toshiba SRP</v>
      </c>
      <c r="W4479" s="86" t="str">
        <f>_xlfn.CONCAT(表格1[[#This Row],[欄4]],表格1[[#This Row],[inv no]])</f>
        <v>367572</v>
      </c>
    </row>
    <row r="4480" spans="1:23" hidden="1">
      <c r="A4480" s="81">
        <v>4478</v>
      </c>
      <c r="B4480" s="86" t="s">
        <v>39</v>
      </c>
      <c r="C4480" s="86" t="s">
        <v>2093</v>
      </c>
      <c r="D4480" s="89" t="str">
        <f ca="1">OFFSET(Roster!$A$3,MATCH(表格1[[#This Row],[Location]]&amp;" "&amp;表格1[[#This Row],[Shop]]&amp;"*",Roster!$A$4:$A$72,0),DAY(表格1[[#This Row],[date]]),1,1)</f>
        <v>Wendy Wong_2</v>
      </c>
      <c r="E4480" s="86">
        <v>3</v>
      </c>
      <c r="F4480" s="90">
        <v>46108</v>
      </c>
      <c r="G4480" s="86" t="str">
        <f>VLOOKUP("*"&amp;表格1[[#This Row],[Input]]&amp;"*",'Ref-List'!$B:$D,2,)</f>
        <v>RC-10NMFIH(WT)</v>
      </c>
      <c r="H4480" s="86" t="str">
        <f>_xlfn.XLOOKUP(表格1[[#This Row],[Model]],表格3[Model-Input-Ref2],表格3[Product Line])</f>
        <v>4毫米厚釜電飯煲1L</v>
      </c>
      <c r="I4480" s="86" t="str">
        <f>_xlfn.XLOOKUP(表格1[[#This Row],[Model]],表格3[Model-Input-Ref2],表格3[大小電])</f>
        <v>細電</v>
      </c>
      <c r="J4480" s="86" t="str">
        <f>_xlfn.XLOOKUP(表格1[[#This Row],[Model]],表格3[Model-Input-Ref2],表格3[Code])</f>
        <v>SDA</v>
      </c>
      <c r="K4480" s="89" t="s">
        <v>1377</v>
      </c>
      <c r="L4480" s="86">
        <v>1</v>
      </c>
      <c r="M4480" s="87">
        <v>719</v>
      </c>
      <c r="N4480" s="87">
        <f>IFERROR(表格1[[#This Row],[QTY]]*表格1[[#This Row],[Unit Price]],"-")</f>
        <v>719</v>
      </c>
      <c r="O4480" s="86">
        <v>367576</v>
      </c>
      <c r="R4480" s="86" t="str">
        <f>_xlfn.CONCAT(表格1[[#This Row],[Model]]," ",表格1[[#This Row],[inv no]])</f>
        <v>RC-10NMFIH(WT) 367576</v>
      </c>
      <c r="S4480" s="86">
        <f>_xlfn.XLOOKUP(表格1[[#This Row],[Model]],表格3[Model-Input-Ref2],表格3[SRP PRICE])</f>
        <v>898</v>
      </c>
      <c r="T4480" s="43">
        <f>表格1[[#This Row],[Unit Price]]/表格1[[#This Row],[SRP]]</f>
        <v>0.80066815144766146</v>
      </c>
      <c r="U4480" s="86" t="str">
        <f>_xlfn.XLOOKUP(表格1[[#This Row],[Model]],表格3[Model-Input-Ref2],表格3[TOSHIBA/HIGHEST])</f>
        <v>Toshiba SRP</v>
      </c>
      <c r="W4480" s="86" t="str">
        <f>_xlfn.CONCAT(表格1[[#This Row],[欄4]],表格1[[#This Row],[inv no]])</f>
        <v>367576</v>
      </c>
    </row>
    <row r="4481" spans="1:23" hidden="1">
      <c r="A4481" s="81">
        <v>4479</v>
      </c>
      <c r="B4481" s="86" t="s">
        <v>39</v>
      </c>
      <c r="C4481" s="86" t="s">
        <v>2093</v>
      </c>
      <c r="D4481" s="89" t="str">
        <f ca="1">OFFSET(Roster!$A$3,MATCH(表格1[[#This Row],[Location]]&amp;" "&amp;表格1[[#This Row],[Shop]]&amp;"*",Roster!$A$4:$A$72,0),DAY(表格1[[#This Row],[date]]),1,1)</f>
        <v>Wendy Wong_2</v>
      </c>
      <c r="E4481" s="86">
        <v>3</v>
      </c>
      <c r="F4481" s="90">
        <v>46108</v>
      </c>
      <c r="G4481" s="86" t="str">
        <f>VLOOKUP("*"&amp;表格1[[#This Row],[Input]]&amp;"*",'Ref-List'!$B:$D,2,)</f>
        <v>RC-5SLIH(W)</v>
      </c>
      <c r="H4481" s="86" t="str">
        <f>_xlfn.XLOOKUP(表格1[[#This Row],[Model]],表格3[Model-Input-Ref2],表格3[Product Line])</f>
        <v>微型電腦珍珠飯煲</v>
      </c>
      <c r="I4481" s="86" t="str">
        <f>_xlfn.XLOOKUP(表格1[[#This Row],[Model]],表格3[Model-Input-Ref2],表格3[大小電])</f>
        <v>細電</v>
      </c>
      <c r="J4481" s="86" t="str">
        <f>_xlfn.XLOOKUP(表格1[[#This Row],[Model]],表格3[Model-Input-Ref2],表格3[Code])</f>
        <v>SDA</v>
      </c>
      <c r="K4481" s="89" t="s">
        <v>2037</v>
      </c>
      <c r="L4481" s="86">
        <v>1</v>
      </c>
      <c r="M4481" s="87">
        <v>550</v>
      </c>
      <c r="N4481" s="87">
        <f>IFERROR(表格1[[#This Row],[QTY]]*表格1[[#This Row],[Unit Price]],"-")</f>
        <v>550</v>
      </c>
      <c r="O4481" s="86">
        <v>367575</v>
      </c>
      <c r="R4481" s="86" t="str">
        <f>_xlfn.CONCAT(表格1[[#This Row],[Model]]," ",表格1[[#This Row],[inv no]])</f>
        <v>RC-5SLIH(W) 367575</v>
      </c>
      <c r="S4481" s="86">
        <f>_xlfn.XLOOKUP(表格1[[#This Row],[Model]],表格3[Model-Input-Ref2],表格3[SRP PRICE])</f>
        <v>658</v>
      </c>
      <c r="T4481" s="43">
        <f>表格1[[#This Row],[Unit Price]]/表格1[[#This Row],[SRP]]</f>
        <v>0.83586626139817632</v>
      </c>
      <c r="U4481" s="86" t="str">
        <f>_xlfn.XLOOKUP(表格1[[#This Row],[Model]],表格3[Model-Input-Ref2],表格3[TOSHIBA/HIGHEST])</f>
        <v>Toshiba SRP</v>
      </c>
      <c r="W4481" s="86" t="str">
        <f>_xlfn.CONCAT(表格1[[#This Row],[欄4]],表格1[[#This Row],[inv no]])</f>
        <v>367575</v>
      </c>
    </row>
    <row r="4482" spans="1:23" hidden="1">
      <c r="A4482" s="81">
        <v>4480</v>
      </c>
      <c r="B4482" s="86" t="s">
        <v>39</v>
      </c>
      <c r="C4482" s="86" t="s">
        <v>2093</v>
      </c>
      <c r="D4482" s="89" t="str">
        <f ca="1">OFFSET(Roster!$A$3,MATCH(表格1[[#This Row],[Location]]&amp;" "&amp;表格1[[#This Row],[Shop]]&amp;"*",Roster!$A$4:$A$72,0),DAY(表格1[[#This Row],[date]]),1,1)</f>
        <v>Wendy Wong_2</v>
      </c>
      <c r="E4482" s="86">
        <v>3</v>
      </c>
      <c r="F4482" s="90">
        <v>46108</v>
      </c>
      <c r="G4482" s="86" t="str">
        <f>VLOOKUP("*"&amp;表格1[[#This Row],[Input]]&amp;"*",'Ref-List'!$B:$D,2,)</f>
        <v>RC-DR18T(W)</v>
      </c>
      <c r="H4482" s="86" t="str">
        <f>_xlfn.XLOOKUP(表格1[[#This Row],[Model]],表格3[Model-Input-Ref2],表格3[Product Line])</f>
        <v>IH磁應電飯煲
鑽石銅鍋</v>
      </c>
      <c r="I4482" s="86" t="str">
        <f>_xlfn.XLOOKUP(表格1[[#This Row],[Model]],表格3[Model-Input-Ref2],表格3[大小電])</f>
        <v>細電</v>
      </c>
      <c r="J4482" s="86" t="str">
        <f>_xlfn.XLOOKUP(表格1[[#This Row],[Model]],表格3[Model-Input-Ref2],表格3[Code])</f>
        <v>SDA</v>
      </c>
      <c r="K4482" s="89" t="s">
        <v>2082</v>
      </c>
      <c r="L4482" s="86">
        <v>1</v>
      </c>
      <c r="M4482" s="87">
        <v>2690</v>
      </c>
      <c r="N4482" s="87">
        <f>IFERROR(表格1[[#This Row],[QTY]]*表格1[[#This Row],[Unit Price]],"-")</f>
        <v>2690</v>
      </c>
      <c r="O4482" s="86">
        <v>367586</v>
      </c>
      <c r="R4482" s="86" t="str">
        <f>_xlfn.CONCAT(表格1[[#This Row],[Model]]," ",表格1[[#This Row],[inv no]])</f>
        <v>RC-DR18T(W) 367586</v>
      </c>
      <c r="S4482" s="86">
        <f>_xlfn.XLOOKUP(表格1[[#This Row],[Model]],表格3[Model-Input-Ref2],表格3[SRP PRICE])</f>
        <v>3588</v>
      </c>
      <c r="T4482" s="43">
        <f>表格1[[#This Row],[Unit Price]]/表格1[[#This Row],[SRP]]</f>
        <v>0.74972129319955405</v>
      </c>
      <c r="U4482" s="86" t="str">
        <f>_xlfn.XLOOKUP(表格1[[#This Row],[Model]],表格3[Model-Input-Ref2],表格3[TOSHIBA/HIGHEST])</f>
        <v>Toshiba SRP</v>
      </c>
      <c r="W4482" s="86" t="str">
        <f>_xlfn.CONCAT(表格1[[#This Row],[欄4]],表格1[[#This Row],[inv no]])</f>
        <v>367586</v>
      </c>
    </row>
    <row r="4483" spans="1:23" hidden="1">
      <c r="A4483" s="81">
        <v>4481</v>
      </c>
      <c r="B4483" s="86" t="s">
        <v>39</v>
      </c>
      <c r="C4483" s="86" t="s">
        <v>2093</v>
      </c>
      <c r="D4483" s="89" t="str">
        <f ca="1">OFFSET(Roster!$A$3,MATCH(表格1[[#This Row],[Location]]&amp;" "&amp;表格1[[#This Row],[Shop]]&amp;"*",Roster!$A$4:$A$72,0),DAY(表格1[[#This Row],[date]]),1,1)</f>
        <v>Wendy Wong_2</v>
      </c>
      <c r="E4483" s="86">
        <v>3</v>
      </c>
      <c r="F4483" s="90">
        <v>46108</v>
      </c>
      <c r="G4483" s="86" t="str">
        <f>VLOOKUP("*"&amp;表格1[[#This Row],[Input]]&amp;"*",'Ref-List'!$B:$D,2,)</f>
        <v>TP-25DR2UHK(W)</v>
      </c>
      <c r="H4483" s="86" t="str">
        <f>_xlfn.XLOOKUP(表格1[[#This Row],[Model]],表格3[Model-Input-Ref2],表格3[Product Line])</f>
        <v>電熱水瓶 (2.5公升)</v>
      </c>
      <c r="I4483" s="86" t="str">
        <f>_xlfn.XLOOKUP(表格1[[#This Row],[Model]],表格3[Model-Input-Ref2],表格3[大小電])</f>
        <v>細電</v>
      </c>
      <c r="J4483" s="86" t="str">
        <f>_xlfn.XLOOKUP(表格1[[#This Row],[Model]],表格3[Model-Input-Ref2],表格3[Code])</f>
        <v>SDA</v>
      </c>
      <c r="K4483" s="89" t="s">
        <v>2048</v>
      </c>
      <c r="L4483" s="86">
        <v>1</v>
      </c>
      <c r="M4483" s="87">
        <v>398</v>
      </c>
      <c r="N4483" s="87">
        <f>IFERROR(表格1[[#This Row],[QTY]]*表格1[[#This Row],[Unit Price]],"-")</f>
        <v>398</v>
      </c>
      <c r="O4483" s="86">
        <v>367579</v>
      </c>
      <c r="R4483" s="86" t="str">
        <f>_xlfn.CONCAT(表格1[[#This Row],[Model]]," ",表格1[[#This Row],[inv no]])</f>
        <v>TP-25DR2UHK(W) 367579</v>
      </c>
      <c r="S4483" s="86">
        <f>_xlfn.XLOOKUP(表格1[[#This Row],[Model]],表格3[Model-Input-Ref2],表格3[SRP PRICE])</f>
        <v>538</v>
      </c>
      <c r="T4483" s="43">
        <f>表格1[[#This Row],[Unit Price]]/表格1[[#This Row],[SRP]]</f>
        <v>0.7397769516728625</v>
      </c>
      <c r="U4483" s="86" t="str">
        <f>_xlfn.XLOOKUP(表格1[[#This Row],[Model]],表格3[Model-Input-Ref2],表格3[TOSHIBA/HIGHEST])</f>
        <v>Toshiba SRP</v>
      </c>
      <c r="W4483" s="86" t="str">
        <f>_xlfn.CONCAT(表格1[[#This Row],[欄4]],表格1[[#This Row],[inv no]])</f>
        <v>367579</v>
      </c>
    </row>
    <row r="4484" spans="1:23" hidden="1">
      <c r="A4484" s="81">
        <v>4482</v>
      </c>
      <c r="B4484" s="86" t="s">
        <v>39</v>
      </c>
      <c r="C4484" s="86" t="s">
        <v>2093</v>
      </c>
      <c r="D4484" s="89" t="str">
        <f ca="1">OFFSET(Roster!$A$3,MATCH(表格1[[#This Row],[Location]]&amp;" "&amp;表格1[[#This Row],[Shop]]&amp;"*",Roster!$A$4:$A$72,0),DAY(表格1[[#This Row],[date]]),1,1)</f>
        <v>Wendy Wong_2</v>
      </c>
      <c r="E4484" s="86">
        <v>3</v>
      </c>
      <c r="F4484" s="90">
        <v>46108</v>
      </c>
      <c r="G4484" s="86" t="str">
        <f>VLOOKUP("*"&amp;表格1[[#This Row],[Input]]&amp;"*",'Ref-List'!$B:$D,2,)</f>
        <v>RC-18NMFIH(WT)</v>
      </c>
      <c r="H4484" s="86" t="str">
        <f>_xlfn.XLOOKUP(表格1[[#This Row],[Model]],表格3[Model-Input-Ref2],表格3[Product Line])</f>
        <v>4毫米厚釜電飯煲1.8L</v>
      </c>
      <c r="I4484" s="86" t="str">
        <f>_xlfn.XLOOKUP(表格1[[#This Row],[Model]],表格3[Model-Input-Ref2],表格3[大小電])</f>
        <v>細電</v>
      </c>
      <c r="J4484" s="86" t="str">
        <f>_xlfn.XLOOKUP(表格1[[#This Row],[Model]],表格3[Model-Input-Ref2],表格3[Code])</f>
        <v>SDA</v>
      </c>
      <c r="K4484" s="89" t="s">
        <v>2043</v>
      </c>
      <c r="L4484" s="86">
        <v>1</v>
      </c>
      <c r="M4484" s="87">
        <v>799</v>
      </c>
      <c r="N4484" s="87">
        <f>IFERROR(表格1[[#This Row],[QTY]]*表格1[[#This Row],[Unit Price]],"-")</f>
        <v>799</v>
      </c>
      <c r="O4484" s="86">
        <v>416146</v>
      </c>
      <c r="R4484" s="86" t="str">
        <f>_xlfn.CONCAT(表格1[[#This Row],[Model]]," ",表格1[[#This Row],[inv no]])</f>
        <v>RC-18NMFIH(WT) 416146</v>
      </c>
      <c r="S4484" s="86">
        <f>_xlfn.XLOOKUP(表格1[[#This Row],[Model]],表格3[Model-Input-Ref2],表格3[SRP PRICE])</f>
        <v>998</v>
      </c>
      <c r="T4484" s="43">
        <f>表格1[[#This Row],[Unit Price]]/表格1[[#This Row],[SRP]]</f>
        <v>0.80060120240480959</v>
      </c>
      <c r="U4484" s="86" t="str">
        <f>_xlfn.XLOOKUP(表格1[[#This Row],[Model]],表格3[Model-Input-Ref2],表格3[TOSHIBA/HIGHEST])</f>
        <v>Toshiba SRP</v>
      </c>
      <c r="W4484" s="86" t="str">
        <f>_xlfn.CONCAT(表格1[[#This Row],[欄4]],表格1[[#This Row],[inv no]])</f>
        <v>416146</v>
      </c>
    </row>
    <row r="4485" spans="1:23" hidden="1">
      <c r="A4485" s="81">
        <v>4483</v>
      </c>
      <c r="B4485" s="86" t="s">
        <v>39</v>
      </c>
      <c r="C4485" s="86" t="s">
        <v>2093</v>
      </c>
      <c r="D4485" s="89" t="str">
        <f ca="1">OFFSET(Roster!$A$3,MATCH(表格1[[#This Row],[Location]]&amp;" "&amp;表格1[[#This Row],[Shop]]&amp;"*",Roster!$A$4:$A$72,0),DAY(表格1[[#This Row],[date]]),1,1)</f>
        <v>Wendy Wong_2</v>
      </c>
      <c r="E4485" s="86">
        <v>3</v>
      </c>
      <c r="F4485" s="90">
        <v>46108</v>
      </c>
      <c r="G4485" s="86" t="str">
        <f>VLOOKUP("*"&amp;表格1[[#This Row],[Input]]&amp;"*",'Ref-List'!$B:$D,2,)</f>
        <v>RC-7HMH</v>
      </c>
      <c r="H4485" s="86" t="str">
        <f>_xlfn.XLOOKUP(表格1[[#This Row],[Model]],表格3[Model-Input-Ref2],表格3[Product Line])</f>
        <v>備長炭本厚釜電飯煲0.7L</v>
      </c>
      <c r="I4485" s="86" t="str">
        <f>_xlfn.XLOOKUP(表格1[[#This Row],[Model]],表格3[Model-Input-Ref2],表格3[大小電])</f>
        <v>細電</v>
      </c>
      <c r="J4485" s="86" t="str">
        <f>_xlfn.XLOOKUP(表格1[[#This Row],[Model]],表格3[Model-Input-Ref2],表格3[Code])</f>
        <v>SDA</v>
      </c>
      <c r="K4485" s="89" t="s">
        <v>2057</v>
      </c>
      <c r="L4485" s="86">
        <v>1</v>
      </c>
      <c r="M4485" s="87">
        <v>788</v>
      </c>
      <c r="N4485" s="87">
        <f>IFERROR(表格1[[#This Row],[QTY]]*表格1[[#This Row],[Unit Price]],"-")</f>
        <v>788</v>
      </c>
      <c r="O4485" s="86">
        <v>606333</v>
      </c>
      <c r="R4485" s="86" t="str">
        <f>_xlfn.CONCAT(表格1[[#This Row],[Model]]," ",表格1[[#This Row],[inv no]])</f>
        <v>RC-7HMH 606333</v>
      </c>
      <c r="S4485" s="86">
        <f>_xlfn.XLOOKUP(表格1[[#This Row],[Model]],表格3[Model-Input-Ref2],表格3[SRP PRICE])</f>
        <v>1288</v>
      </c>
      <c r="T4485" s="43">
        <f>表格1[[#This Row],[Unit Price]]/表格1[[#This Row],[SRP]]</f>
        <v>0.61180124223602483</v>
      </c>
      <c r="U4485" s="86" t="str">
        <f>_xlfn.XLOOKUP(表格1[[#This Row],[Model]],表格3[Model-Input-Ref2],表格3[TOSHIBA/HIGHEST])</f>
        <v>Toshiba SRP</v>
      </c>
      <c r="W4485" s="86" t="str">
        <f>_xlfn.CONCAT(表格1[[#This Row],[欄4]],表格1[[#This Row],[inv no]])</f>
        <v>606333</v>
      </c>
    </row>
    <row r="4486" spans="1:23" hidden="1">
      <c r="A4486" s="81">
        <v>4484</v>
      </c>
      <c r="B4486" s="86" t="s">
        <v>39</v>
      </c>
      <c r="C4486" s="86" t="s">
        <v>2093</v>
      </c>
      <c r="D4486" s="89" t="str">
        <f ca="1">OFFSET(Roster!$A$3,MATCH(表格1[[#This Row],[Location]]&amp;" "&amp;表格1[[#This Row],[Shop]]&amp;"*",Roster!$A$4:$A$72,0),DAY(表格1[[#This Row],[date]]),1,1)</f>
        <v>Wendy Wong_2</v>
      </c>
      <c r="E4486" s="86">
        <v>3</v>
      </c>
      <c r="F4486" s="90">
        <v>46108</v>
      </c>
      <c r="G4486" s="86" t="str">
        <f>VLOOKUP("*"&amp;表格1[[#This Row],[Input]]&amp;"*",'Ref-List'!$B:$D,2,)</f>
        <v>RC-5MMIH(WT)</v>
      </c>
      <c r="H4486" s="86" t="str">
        <f>_xlfn.XLOOKUP(表格1[[#This Row],[Model]],表格3[Model-Input-Ref2],表格3[Product Line])</f>
        <v>4毫米厚釜電飯煲0.54L</v>
      </c>
      <c r="I4486" s="86" t="str">
        <f>_xlfn.XLOOKUP(表格1[[#This Row],[Model]],表格3[Model-Input-Ref2],表格3[大小電])</f>
        <v>細電</v>
      </c>
      <c r="J4486" s="86" t="str">
        <f>_xlfn.XLOOKUP(表格1[[#This Row],[Model]],表格3[Model-Input-Ref2],表格3[Code])</f>
        <v>SDA</v>
      </c>
      <c r="K4486" s="89" t="s">
        <v>2046</v>
      </c>
      <c r="L4486" s="86">
        <v>1</v>
      </c>
      <c r="M4486" s="87">
        <v>450</v>
      </c>
      <c r="N4486" s="87">
        <f>IFERROR(表格1[[#This Row],[QTY]]*表格1[[#This Row],[Unit Price]],"-")</f>
        <v>450</v>
      </c>
      <c r="O4486" s="86">
        <v>367667</v>
      </c>
      <c r="R4486" s="86" t="str">
        <f>_xlfn.CONCAT(表格1[[#This Row],[Model]]," ",表格1[[#This Row],[inv no]])</f>
        <v>RC-5MMIH(WT) 367667</v>
      </c>
      <c r="S4486" s="86">
        <f>_xlfn.XLOOKUP(表格1[[#This Row],[Model]],表格3[Model-Input-Ref2],表格3[SRP PRICE])</f>
        <v>618</v>
      </c>
      <c r="T4486" s="43">
        <f>表格1[[#This Row],[Unit Price]]/表格1[[#This Row],[SRP]]</f>
        <v>0.72815533980582525</v>
      </c>
      <c r="U4486" s="86" t="str">
        <f>_xlfn.XLOOKUP(表格1[[#This Row],[Model]],表格3[Model-Input-Ref2],表格3[TOSHIBA/HIGHEST])</f>
        <v>Toshiba SRP</v>
      </c>
      <c r="W4486" s="86" t="str">
        <f>_xlfn.CONCAT(表格1[[#This Row],[欄4]],表格1[[#This Row],[inv no]])</f>
        <v>367667</v>
      </c>
    </row>
    <row r="4487" spans="1:23" hidden="1">
      <c r="A4487" s="81">
        <v>4485</v>
      </c>
      <c r="B4487" s="86" t="s">
        <v>39</v>
      </c>
      <c r="C4487" s="86" t="s">
        <v>2093</v>
      </c>
      <c r="D4487" s="89" t="str">
        <f ca="1">OFFSET(Roster!$A$3,MATCH(表格1[[#This Row],[Location]]&amp;" "&amp;表格1[[#This Row],[Shop]]&amp;"*",Roster!$A$4:$A$72,0),DAY(表格1[[#This Row],[date]]),1,1)</f>
        <v>Wendy Wong_2</v>
      </c>
      <c r="E4487" s="86">
        <v>3</v>
      </c>
      <c r="F4487" s="90">
        <v>46108</v>
      </c>
      <c r="G4487" s="86" t="str">
        <f>VLOOKUP("*"&amp;表格1[[#This Row],[Input]]&amp;"*",'Ref-List'!$B:$D,2,)</f>
        <v>RC-10JRUH(N)</v>
      </c>
      <c r="H4487" s="86" t="str">
        <f>_xlfn.XLOOKUP(表格1[[#This Row],[Model]],表格3[Model-Input-Ref2],表格3[Product Line])</f>
        <v>電飯煲</v>
      </c>
      <c r="I4487" s="86" t="str">
        <f>_xlfn.XLOOKUP(表格1[[#This Row],[Model]],表格3[Model-Input-Ref2],表格3[大小電])</f>
        <v>細電</v>
      </c>
      <c r="J4487" s="86" t="str">
        <f>_xlfn.XLOOKUP(表格1[[#This Row],[Model]],表格3[Model-Input-Ref2],表格3[Code])</f>
        <v>SDA</v>
      </c>
      <c r="K4487" s="89" t="s">
        <v>2042</v>
      </c>
      <c r="L4487" s="86">
        <v>1</v>
      </c>
      <c r="M4487" s="87">
        <v>250</v>
      </c>
      <c r="N4487" s="87">
        <f>IFERROR(表格1[[#This Row],[QTY]]*表格1[[#This Row],[Unit Price]],"-")</f>
        <v>250</v>
      </c>
      <c r="O4487" s="86">
        <v>367670</v>
      </c>
      <c r="R4487" s="86" t="str">
        <f>_xlfn.CONCAT(表格1[[#This Row],[Model]]," ",表格1[[#This Row],[inv no]])</f>
        <v>RC-10JRUH(N) 367670</v>
      </c>
      <c r="S4487" s="86">
        <f>_xlfn.XLOOKUP(表格1[[#This Row],[Model]],表格3[Model-Input-Ref2],表格3[SRP PRICE])</f>
        <v>398</v>
      </c>
      <c r="T4487" s="43">
        <f>表格1[[#This Row],[Unit Price]]/表格1[[#This Row],[SRP]]</f>
        <v>0.62814070351758799</v>
      </c>
      <c r="U4487" s="86" t="str">
        <f>_xlfn.XLOOKUP(表格1[[#This Row],[Model]],表格3[Model-Input-Ref2],表格3[TOSHIBA/HIGHEST])</f>
        <v>Shops Highest Price</v>
      </c>
      <c r="W4487" s="86" t="str">
        <f>_xlfn.CONCAT(表格1[[#This Row],[欄4]],表格1[[#This Row],[inv no]])</f>
        <v>367670</v>
      </c>
    </row>
    <row r="4488" spans="1:23" hidden="1">
      <c r="A4488" s="81">
        <v>4486</v>
      </c>
      <c r="B4488" s="86" t="s">
        <v>39</v>
      </c>
      <c r="C4488" s="86" t="s">
        <v>2093</v>
      </c>
      <c r="D4488" s="89" t="str">
        <f ca="1">OFFSET(Roster!$A$3,MATCH(表格1[[#This Row],[Location]]&amp;" "&amp;表格1[[#This Row],[Shop]]&amp;"*",Roster!$A$4:$A$72,0),DAY(表格1[[#This Row],[date]]),1,1)</f>
        <v>Wendy Wong_2</v>
      </c>
      <c r="E4488" s="86">
        <v>3</v>
      </c>
      <c r="F4488" s="90">
        <v>46108</v>
      </c>
      <c r="G4488" s="86" t="str">
        <f>VLOOKUP("*"&amp;表格1[[#This Row],[Input]]&amp;"*",'Ref-List'!$B:$D,2,)</f>
        <v>RC-5MMIH(WT)</v>
      </c>
      <c r="H4488" s="86" t="str">
        <f>_xlfn.XLOOKUP(表格1[[#This Row],[Model]],表格3[Model-Input-Ref2],表格3[Product Line])</f>
        <v>4毫米厚釜電飯煲0.54L</v>
      </c>
      <c r="I4488" s="86" t="str">
        <f>_xlfn.XLOOKUP(表格1[[#This Row],[Model]],表格3[Model-Input-Ref2],表格3[大小電])</f>
        <v>細電</v>
      </c>
      <c r="J4488" s="86" t="str">
        <f>_xlfn.XLOOKUP(表格1[[#This Row],[Model]],表格3[Model-Input-Ref2],表格3[Code])</f>
        <v>SDA</v>
      </c>
      <c r="K4488" s="89" t="s">
        <v>2046</v>
      </c>
      <c r="L4488" s="86">
        <v>1</v>
      </c>
      <c r="M4488" s="87">
        <v>450</v>
      </c>
      <c r="N4488" s="87">
        <f>IFERROR(表格1[[#This Row],[QTY]]*表格1[[#This Row],[Unit Price]],"-")</f>
        <v>450</v>
      </c>
      <c r="O4488" s="86">
        <v>367690</v>
      </c>
      <c r="R4488" s="86" t="str">
        <f>_xlfn.CONCAT(表格1[[#This Row],[Model]]," ",表格1[[#This Row],[inv no]])</f>
        <v>RC-5MMIH(WT) 367690</v>
      </c>
      <c r="S4488" s="86">
        <f>_xlfn.XLOOKUP(表格1[[#This Row],[Model]],表格3[Model-Input-Ref2],表格3[SRP PRICE])</f>
        <v>618</v>
      </c>
      <c r="T4488" s="43">
        <f>表格1[[#This Row],[Unit Price]]/表格1[[#This Row],[SRP]]</f>
        <v>0.72815533980582525</v>
      </c>
      <c r="U4488" s="86" t="str">
        <f>_xlfn.XLOOKUP(表格1[[#This Row],[Model]],表格3[Model-Input-Ref2],表格3[TOSHIBA/HIGHEST])</f>
        <v>Toshiba SRP</v>
      </c>
      <c r="W4488" s="86" t="str">
        <f>_xlfn.CONCAT(表格1[[#This Row],[欄4]],表格1[[#This Row],[inv no]])</f>
        <v>367690</v>
      </c>
    </row>
    <row r="4489" spans="1:23" hidden="1">
      <c r="A4489" s="81">
        <v>4487</v>
      </c>
      <c r="B4489" s="86" t="s">
        <v>39</v>
      </c>
      <c r="C4489" s="86" t="s">
        <v>2093</v>
      </c>
      <c r="D4489" s="89" t="str">
        <f ca="1">OFFSET(Roster!$A$3,MATCH(表格1[[#This Row],[Location]]&amp;" "&amp;表格1[[#This Row],[Shop]]&amp;"*",Roster!$A$4:$A$72,0),DAY(表格1[[#This Row],[date]]),1,1)</f>
        <v>Wendy Wong_2</v>
      </c>
      <c r="E4489" s="86">
        <v>3</v>
      </c>
      <c r="F4489" s="90">
        <v>46108</v>
      </c>
      <c r="G4489" s="86" t="str">
        <f>VLOOKUP("*"&amp;表格1[[#This Row],[Input]]&amp;"*",'Ref-List'!$B:$D,2,)</f>
        <v>RC-10AMXH(W)</v>
      </c>
      <c r="H4489" s="86" t="str">
        <f>_xlfn.XLOOKUP(表格1[[#This Row],[Model]],表格3[Model-Input-Ref2],表格3[Product Line])</f>
        <v>酵活炊電飯煲(1.0公升)</v>
      </c>
      <c r="I4489" s="86" t="str">
        <f>_xlfn.XLOOKUP(表格1[[#This Row],[Model]],表格3[Model-Input-Ref2],表格3[大小電])</f>
        <v>細電</v>
      </c>
      <c r="J4489" s="86" t="str">
        <f>_xlfn.XLOOKUP(表格1[[#This Row],[Model]],表格3[Model-Input-Ref2],表格3[Code])</f>
        <v>SDA</v>
      </c>
      <c r="K4489" s="89" t="s">
        <v>1956</v>
      </c>
      <c r="L4489" s="86">
        <v>1</v>
      </c>
      <c r="M4489" s="87">
        <v>990</v>
      </c>
      <c r="N4489" s="87">
        <f>IFERROR(表格1[[#This Row],[QTY]]*表格1[[#This Row],[Unit Price]],"-")</f>
        <v>990</v>
      </c>
      <c r="O4489" s="86">
        <v>367702</v>
      </c>
      <c r="R4489" s="86" t="str">
        <f>_xlfn.CONCAT(表格1[[#This Row],[Model]]," ",表格1[[#This Row],[inv no]])</f>
        <v>RC-10AMXH(W) 367702</v>
      </c>
      <c r="S4489" s="86">
        <f>_xlfn.XLOOKUP(表格1[[#This Row],[Model]],表格3[Model-Input-Ref2],表格3[SRP PRICE])</f>
        <v>1288</v>
      </c>
      <c r="T4489" s="43">
        <f>表格1[[#This Row],[Unit Price]]/表格1[[#This Row],[SRP]]</f>
        <v>0.76863354037267084</v>
      </c>
      <c r="U4489" s="86" t="str">
        <f>_xlfn.XLOOKUP(表格1[[#This Row],[Model]],表格3[Model-Input-Ref2],表格3[TOSHIBA/HIGHEST])</f>
        <v>Toshiba SRP</v>
      </c>
      <c r="W4489" s="86" t="str">
        <f>_xlfn.CONCAT(表格1[[#This Row],[欄4]],表格1[[#This Row],[inv no]])</f>
        <v>367702</v>
      </c>
    </row>
    <row r="4490" spans="1:23" hidden="1">
      <c r="A4490" s="81">
        <v>4488</v>
      </c>
      <c r="B4490" s="86" t="s">
        <v>39</v>
      </c>
      <c r="C4490" s="86" t="s">
        <v>2093</v>
      </c>
      <c r="D4490" s="89" t="str">
        <f ca="1">OFFSET(Roster!$A$3,MATCH(表格1[[#This Row],[Location]]&amp;" "&amp;表格1[[#This Row],[Shop]]&amp;"*",Roster!$A$4:$A$72,0),DAY(表格1[[#This Row],[date]]),1,1)</f>
        <v>Wendy Wong_2</v>
      </c>
      <c r="E4490" s="86">
        <v>3</v>
      </c>
      <c r="F4490" s="90">
        <v>46108</v>
      </c>
      <c r="G4490" s="86" t="str">
        <f>VLOOKUP("*"&amp;表格1[[#This Row],[Input]]&amp;"*",'Ref-List'!$B:$D,2,)</f>
        <v>MWP-MM20P(WH)</v>
      </c>
      <c r="H4490" s="86" t="str">
        <f>_xlfn.XLOOKUP(表格1[[#This Row],[Model]],表格3[Model-Input-Ref2],表格3[Product Line])</f>
        <v>旋鈕式燒烤微波爐20L</v>
      </c>
      <c r="I4490" s="86" t="str">
        <f>_xlfn.XLOOKUP(表格1[[#This Row],[Model]],表格3[Model-Input-Ref2],表格3[大小電])</f>
        <v>細電</v>
      </c>
      <c r="J4490" s="86" t="str">
        <f>_xlfn.XLOOKUP(表格1[[#This Row],[Model]],表格3[Model-Input-Ref2],表格3[Code])</f>
        <v>SDA</v>
      </c>
      <c r="K4490" s="89" t="s">
        <v>1375</v>
      </c>
      <c r="L4490" s="86">
        <v>1</v>
      </c>
      <c r="M4490" s="87">
        <v>488</v>
      </c>
      <c r="N4490" s="87">
        <f>IFERROR(表格1[[#This Row],[QTY]]*表格1[[#This Row],[Unit Price]],"-")</f>
        <v>488</v>
      </c>
      <c r="O4490" s="86">
        <v>367709</v>
      </c>
      <c r="R4490" s="86" t="str">
        <f>_xlfn.CONCAT(表格1[[#This Row],[Model]]," ",表格1[[#This Row],[inv no]])</f>
        <v>MWP-MM20P(WH) 367709</v>
      </c>
      <c r="S4490" s="86">
        <f>_xlfn.XLOOKUP(表格1[[#This Row],[Model]],表格3[Model-Input-Ref2],表格3[SRP PRICE])</f>
        <v>648</v>
      </c>
      <c r="T4490" s="43">
        <f>表格1[[#This Row],[Unit Price]]/表格1[[#This Row],[SRP]]</f>
        <v>0.75308641975308643</v>
      </c>
      <c r="U4490" s="86" t="str">
        <f>_xlfn.XLOOKUP(表格1[[#This Row],[Model]],表格3[Model-Input-Ref2],表格3[TOSHIBA/HIGHEST])</f>
        <v>Toshiba SRP</v>
      </c>
      <c r="W4490" s="86" t="str">
        <f>_xlfn.CONCAT(表格1[[#This Row],[欄4]],表格1[[#This Row],[inv no]])</f>
        <v>367709</v>
      </c>
    </row>
    <row r="4491" spans="1:23" hidden="1">
      <c r="A4491" s="81">
        <v>4489</v>
      </c>
      <c r="B4491" s="86" t="s">
        <v>39</v>
      </c>
      <c r="C4491" s="86" t="s">
        <v>2093</v>
      </c>
      <c r="D4491" s="89" t="str">
        <f ca="1">OFFSET(Roster!$A$3,MATCH(表格1[[#This Row],[Location]]&amp;" "&amp;表格1[[#This Row],[Shop]]&amp;"*",Roster!$A$4:$A$72,0),DAY(表格1[[#This Row],[date]]),1,1)</f>
        <v>Wendy Wong_2</v>
      </c>
      <c r="E4491" s="86">
        <v>3</v>
      </c>
      <c r="F4491" s="90">
        <v>46108</v>
      </c>
      <c r="G4491" s="86" t="str">
        <f>VLOOKUP("*"&amp;表格1[[#This Row],[Input]]&amp;"*",'Ref-List'!$B:$D,2,)</f>
        <v>CWF-09CRFN8-AD5</v>
      </c>
      <c r="H4491" s="86" t="str">
        <f>_xlfn.XLOOKUP(表格1[[#This Row],[Model]],表格3[Model-Input-Ref2],表格3[Product Line])</f>
        <v>Comfee 1匹變頻窗口式冷氣機</v>
      </c>
      <c r="I4491" s="86" t="str">
        <f>_xlfn.XLOOKUP(表格1[[#This Row],[Model]],表格3[Model-Input-Ref2],表格3[大小電])</f>
        <v>大電</v>
      </c>
      <c r="J4491" s="86" t="str">
        <f>_xlfn.XLOOKUP(表格1[[#This Row],[Model]],表格3[Model-Input-Ref2],表格3[Code])</f>
        <v>RAC</v>
      </c>
      <c r="K4491" s="89" t="s">
        <v>2083</v>
      </c>
      <c r="L4491" s="86">
        <v>1</v>
      </c>
      <c r="M4491" s="87">
        <v>3890</v>
      </c>
      <c r="N4491" s="87">
        <f>IFERROR(表格1[[#This Row],[QTY]]*表格1[[#This Row],[Unit Price]],"-")</f>
        <v>3890</v>
      </c>
      <c r="O4491" s="86">
        <v>156452</v>
      </c>
      <c r="R4491" s="86" t="str">
        <f>_xlfn.CONCAT(表格1[[#This Row],[Model]]," ",表格1[[#This Row],[inv no]])</f>
        <v>CWF-09CRFN8-AD5 156452</v>
      </c>
      <c r="S4491" s="86">
        <f>_xlfn.XLOOKUP(表格1[[#This Row],[Model]],表格3[Model-Input-Ref2],表格3[SRP PRICE])</f>
        <v>4600</v>
      </c>
      <c r="T4491" s="43">
        <f>表格1[[#This Row],[Unit Price]]/表格1[[#This Row],[SRP]]</f>
        <v>0.84565217391304348</v>
      </c>
      <c r="U4491" s="86" t="str">
        <f>_xlfn.XLOOKUP(表格1[[#This Row],[Model]],表格3[Model-Input-Ref2],表格3[TOSHIBA/HIGHEST])</f>
        <v>Shops Highest Price</v>
      </c>
      <c r="W4491" s="86" t="str">
        <f>_xlfn.CONCAT(表格1[[#This Row],[欄4]],表格1[[#This Row],[inv no]])</f>
        <v>156452</v>
      </c>
    </row>
    <row r="4492" spans="1:23" hidden="1">
      <c r="A4492" s="81">
        <v>4490</v>
      </c>
      <c r="B4492" s="86" t="s">
        <v>39</v>
      </c>
      <c r="C4492" s="86" t="s">
        <v>2093</v>
      </c>
      <c r="D4492" s="89" t="str">
        <f ca="1">OFFSET(Roster!$A$3,MATCH(表格1[[#This Row],[Location]]&amp;" "&amp;表格1[[#This Row],[Shop]]&amp;"*",Roster!$A$4:$A$72,0),DAY(表格1[[#This Row],[date]]),1,1)</f>
        <v>Wendy Wong_2</v>
      </c>
      <c r="E4492" s="86">
        <v>3</v>
      </c>
      <c r="F4492" s="90">
        <v>46108</v>
      </c>
      <c r="G4492" s="86" t="str">
        <f>VLOOKUP("*"&amp;表格1[[#This Row],[Input]]&amp;"*",'Ref-List'!$B:$D,2,)</f>
        <v>RAD-D300H</v>
      </c>
      <c r="H4492" s="86" t="str">
        <f>_xlfn.XLOOKUP(表格1[[#This Row],[Model]],表格3[Model-Input-Ref2],表格3[Product Line])</f>
        <v>壓縮式抽濕機 (30公升)</v>
      </c>
      <c r="I4492" s="86" t="str">
        <f>_xlfn.XLOOKUP(表格1[[#This Row],[Model]],表格3[Model-Input-Ref2],表格3[大小電])</f>
        <v>細電</v>
      </c>
      <c r="J4492" s="86" t="str">
        <f>_xlfn.XLOOKUP(表格1[[#This Row],[Model]],表格3[Model-Input-Ref2],表格3[Code])</f>
        <v>RAC</v>
      </c>
      <c r="K4492" s="89" t="s">
        <v>1761</v>
      </c>
      <c r="L4492" s="86">
        <v>1</v>
      </c>
      <c r="M4492" s="87">
        <v>2280</v>
      </c>
      <c r="N4492" s="87">
        <f>IFERROR(表格1[[#This Row],[QTY]]*表格1[[#This Row],[Unit Price]],"-")</f>
        <v>2280</v>
      </c>
      <c r="O4492" s="86">
        <v>156456</v>
      </c>
      <c r="R4492" s="86" t="str">
        <f>_xlfn.CONCAT(表格1[[#This Row],[Model]]," ",表格1[[#This Row],[inv no]])</f>
        <v>RAD-D300H 156456</v>
      </c>
      <c r="S4492" s="86">
        <f>_xlfn.XLOOKUP(表格1[[#This Row],[Model]],表格3[Model-Input-Ref2],表格3[SRP PRICE])</f>
        <v>3380</v>
      </c>
      <c r="T4492" s="43">
        <f>表格1[[#This Row],[Unit Price]]/表格1[[#This Row],[SRP]]</f>
        <v>0.67455621301775148</v>
      </c>
      <c r="U4492" s="86" t="str">
        <f>_xlfn.XLOOKUP(表格1[[#This Row],[Model]],表格3[Model-Input-Ref2],表格3[TOSHIBA/HIGHEST])</f>
        <v>Shops Highest Price</v>
      </c>
      <c r="W4492" s="86" t="str">
        <f>_xlfn.CONCAT(表格1[[#This Row],[欄4]],表格1[[#This Row],[inv no]])</f>
        <v>156456</v>
      </c>
    </row>
    <row r="4493" spans="1:23" hidden="1">
      <c r="A4493" s="81">
        <v>4491</v>
      </c>
      <c r="B4493" s="86" t="s">
        <v>39</v>
      </c>
      <c r="C4493" s="86" t="s">
        <v>2093</v>
      </c>
      <c r="D4493" s="89" t="str">
        <f ca="1">OFFSET(Roster!$A$3,MATCH(表格1[[#This Row],[Location]]&amp;" "&amp;表格1[[#This Row],[Shop]]&amp;"*",Roster!$A$4:$A$72,0),DAY(表格1[[#This Row],[date]]),1,1)</f>
        <v>Wendy Wong_2</v>
      </c>
      <c r="E4493" s="86">
        <v>3</v>
      </c>
      <c r="F4493" s="90">
        <v>46108</v>
      </c>
      <c r="G4493" s="86" t="str">
        <f>VLOOKUP("*"&amp;表格1[[#This Row],[Input]]&amp;"*",'Ref-List'!$B:$D,2,)</f>
        <v>RC-5SLIH(W)</v>
      </c>
      <c r="H4493" s="86" t="str">
        <f>_xlfn.XLOOKUP(表格1[[#This Row],[Model]],表格3[Model-Input-Ref2],表格3[Product Line])</f>
        <v>微型電腦珍珠飯煲</v>
      </c>
      <c r="I4493" s="86" t="str">
        <f>_xlfn.XLOOKUP(表格1[[#This Row],[Model]],表格3[Model-Input-Ref2],表格3[大小電])</f>
        <v>細電</v>
      </c>
      <c r="J4493" s="86" t="str">
        <f>_xlfn.XLOOKUP(表格1[[#This Row],[Model]],表格3[Model-Input-Ref2],表格3[Code])</f>
        <v>SDA</v>
      </c>
      <c r="K4493" s="89" t="s">
        <v>2037</v>
      </c>
      <c r="L4493" s="86">
        <v>1</v>
      </c>
      <c r="M4493" s="87">
        <v>550</v>
      </c>
      <c r="N4493" s="87">
        <f>IFERROR(表格1[[#This Row],[QTY]]*表格1[[#This Row],[Unit Price]],"-")</f>
        <v>550</v>
      </c>
      <c r="O4493" s="86">
        <v>367716</v>
      </c>
      <c r="R4493" s="86" t="str">
        <f>_xlfn.CONCAT(表格1[[#This Row],[Model]]," ",表格1[[#This Row],[inv no]])</f>
        <v>RC-5SLIH(W) 367716</v>
      </c>
      <c r="S4493" s="86">
        <f>_xlfn.XLOOKUP(表格1[[#This Row],[Model]],表格3[Model-Input-Ref2],表格3[SRP PRICE])</f>
        <v>658</v>
      </c>
      <c r="T4493" s="43">
        <f>表格1[[#This Row],[Unit Price]]/表格1[[#This Row],[SRP]]</f>
        <v>0.83586626139817632</v>
      </c>
      <c r="U4493" s="86" t="str">
        <f>_xlfn.XLOOKUP(表格1[[#This Row],[Model]],表格3[Model-Input-Ref2],表格3[TOSHIBA/HIGHEST])</f>
        <v>Toshiba SRP</v>
      </c>
      <c r="W4493" s="86" t="str">
        <f>_xlfn.CONCAT(表格1[[#This Row],[欄4]],表格1[[#This Row],[inv no]])</f>
        <v>367716</v>
      </c>
    </row>
    <row r="4494" spans="1:23" hidden="1">
      <c r="A4494" s="81">
        <v>4492</v>
      </c>
      <c r="B4494" s="86" t="s">
        <v>39</v>
      </c>
      <c r="C4494" s="86" t="s">
        <v>2093</v>
      </c>
      <c r="D4494" s="89" t="str">
        <f ca="1">OFFSET(Roster!$A$3,MATCH(表格1[[#This Row],[Location]]&amp;" "&amp;表格1[[#This Row],[Shop]]&amp;"*",Roster!$A$4:$A$72,0),DAY(表格1[[#This Row],[date]]),1,1)</f>
        <v>Wendy Wong_2</v>
      </c>
      <c r="E4494" s="86">
        <v>3</v>
      </c>
      <c r="F4494" s="90">
        <v>46108</v>
      </c>
      <c r="G4494" s="86" t="str">
        <f>VLOOKUP("*"&amp;表格1[[#This Row],[Input]]&amp;"*",'Ref-List'!$B:$D,2,)</f>
        <v>RC-10DRNH</v>
      </c>
      <c r="H4494" s="86" t="str">
        <f>_xlfn.XLOOKUP(表格1[[#This Row],[Model]],表格3[Model-Input-Ref2],表格3[Product Line])</f>
        <v>多功能備長炭本厚釜電飯煲1L</v>
      </c>
      <c r="I4494" s="86" t="str">
        <f>_xlfn.XLOOKUP(表格1[[#This Row],[Model]],表格3[Model-Input-Ref2],表格3[大小電])</f>
        <v>細電</v>
      </c>
      <c r="J4494" s="86" t="str">
        <f>_xlfn.XLOOKUP(表格1[[#This Row],[Model]],表格3[Model-Input-Ref2],表格3[Code])</f>
        <v>SDA</v>
      </c>
      <c r="K4494" s="89" t="s">
        <v>2041</v>
      </c>
      <c r="L4494" s="86">
        <v>1</v>
      </c>
      <c r="M4494" s="87">
        <v>499</v>
      </c>
      <c r="N4494" s="87">
        <f>IFERROR(表格1[[#This Row],[QTY]]*表格1[[#This Row],[Unit Price]],"-")</f>
        <v>499</v>
      </c>
      <c r="O4494" s="86">
        <v>367714</v>
      </c>
      <c r="R4494" s="86" t="str">
        <f>_xlfn.CONCAT(表格1[[#This Row],[Model]]," ",表格1[[#This Row],[inv no]])</f>
        <v>RC-10DRNH 367714</v>
      </c>
      <c r="S4494" s="86">
        <f>_xlfn.XLOOKUP(表格1[[#This Row],[Model]],表格3[Model-Input-Ref2],表格3[SRP PRICE])</f>
        <v>798</v>
      </c>
      <c r="T4494" s="43">
        <f>表格1[[#This Row],[Unit Price]]/表格1[[#This Row],[SRP]]</f>
        <v>0.62531328320802004</v>
      </c>
      <c r="U4494" s="86" t="str">
        <f>_xlfn.XLOOKUP(表格1[[#This Row],[Model]],表格3[Model-Input-Ref2],表格3[TOSHIBA/HIGHEST])</f>
        <v>Toshiba SRP</v>
      </c>
      <c r="W4494" s="86" t="str">
        <f>_xlfn.CONCAT(表格1[[#This Row],[欄4]],表格1[[#This Row],[inv no]])</f>
        <v>367714</v>
      </c>
    </row>
    <row r="4495" spans="1:23" hidden="1">
      <c r="A4495" s="81">
        <v>4493</v>
      </c>
      <c r="B4495" s="86" t="s">
        <v>39</v>
      </c>
      <c r="C4495" s="86" t="s">
        <v>2093</v>
      </c>
      <c r="D4495" s="89" t="str">
        <f ca="1">OFFSET(Roster!$A$3,MATCH(表格1[[#This Row],[Location]]&amp;" "&amp;表格1[[#This Row],[Shop]]&amp;"*",Roster!$A$4:$A$72,0),DAY(表格1[[#This Row],[date]]),1,1)</f>
        <v>Wendy Wong_2</v>
      </c>
      <c r="E4495" s="86">
        <v>3</v>
      </c>
      <c r="F4495" s="90">
        <v>46108</v>
      </c>
      <c r="G4495" s="86" t="str">
        <f>VLOOKUP("*"&amp;表格1[[#This Row],[Input]]&amp;"*",'Ref-List'!$B:$D,2,)</f>
        <v>KT-14DHUHK(W)</v>
      </c>
      <c r="H4495" s="86" t="str">
        <f>_xlfn.XLOOKUP(表格1[[#This Row],[Model]],表格3[Model-Input-Ref2],表格3[Product Line])</f>
        <v>無線雙層電熱水壺(1.4公升)</v>
      </c>
      <c r="I4495" s="86" t="str">
        <f>_xlfn.XLOOKUP(表格1[[#This Row],[Model]],表格3[Model-Input-Ref2],表格3[大小電])</f>
        <v>細電</v>
      </c>
      <c r="J4495" s="86" t="str">
        <f>_xlfn.XLOOKUP(表格1[[#This Row],[Model]],表格3[Model-Input-Ref2],表格3[Code])</f>
        <v>SDA</v>
      </c>
      <c r="K4495" s="89" t="s">
        <v>2084</v>
      </c>
      <c r="L4495" s="86">
        <v>1</v>
      </c>
      <c r="M4495" s="87">
        <v>298</v>
      </c>
      <c r="N4495" s="87">
        <f>IFERROR(表格1[[#This Row],[QTY]]*表格1[[#This Row],[Unit Price]],"-")</f>
        <v>298</v>
      </c>
      <c r="O4495" s="86">
        <v>367732</v>
      </c>
      <c r="R4495" s="86" t="str">
        <f>_xlfn.CONCAT(表格1[[#This Row],[Model]]," ",表格1[[#This Row],[inv no]])</f>
        <v>KT-14DHUHK(W) 367732</v>
      </c>
      <c r="S4495" s="86">
        <f>_xlfn.XLOOKUP(表格1[[#This Row],[Model]],表格3[Model-Input-Ref2],表格3[SRP PRICE])</f>
        <v>458</v>
      </c>
      <c r="T4495" s="43">
        <f>表格1[[#This Row],[Unit Price]]/表格1[[#This Row],[SRP]]</f>
        <v>0.6506550218340611</v>
      </c>
      <c r="U4495" s="86" t="str">
        <f>_xlfn.XLOOKUP(表格1[[#This Row],[Model]],表格3[Model-Input-Ref2],表格3[TOSHIBA/HIGHEST])</f>
        <v>Toshiba SRP</v>
      </c>
      <c r="W4495" s="86" t="str">
        <f>_xlfn.CONCAT(表格1[[#This Row],[欄4]],表格1[[#This Row],[inv no]])</f>
        <v>367732</v>
      </c>
    </row>
    <row r="4496" spans="1:23" hidden="1">
      <c r="A4496" s="81">
        <v>4494</v>
      </c>
      <c r="B4496" s="86" t="s">
        <v>39</v>
      </c>
      <c r="C4496" s="86" t="s">
        <v>2093</v>
      </c>
      <c r="D4496" s="89" t="str">
        <f ca="1">OFFSET(Roster!$A$3,MATCH(表格1[[#This Row],[Location]]&amp;" "&amp;表格1[[#This Row],[Shop]]&amp;"*",Roster!$A$4:$A$72,0),DAY(表格1[[#This Row],[date]]),1,1)</f>
        <v>Wendy Wong_2</v>
      </c>
      <c r="E4496" s="86">
        <v>3</v>
      </c>
      <c r="F4496" s="90">
        <v>46108</v>
      </c>
      <c r="G4496" s="86" t="str">
        <f>VLOOKUP("*"&amp;表格1[[#This Row],[Input]]&amp;"*",'Ref-List'!$B:$D,2,)</f>
        <v>RC-10JRUH(N)</v>
      </c>
      <c r="H4496" s="86" t="str">
        <f>_xlfn.XLOOKUP(表格1[[#This Row],[Model]],表格3[Model-Input-Ref2],表格3[Product Line])</f>
        <v>電飯煲</v>
      </c>
      <c r="I4496" s="86" t="str">
        <f>_xlfn.XLOOKUP(表格1[[#This Row],[Model]],表格3[Model-Input-Ref2],表格3[大小電])</f>
        <v>細電</v>
      </c>
      <c r="J4496" s="86" t="str">
        <f>_xlfn.XLOOKUP(表格1[[#This Row],[Model]],表格3[Model-Input-Ref2],表格3[Code])</f>
        <v>SDA</v>
      </c>
      <c r="K4496" s="89" t="s">
        <v>2042</v>
      </c>
      <c r="L4496" s="86">
        <v>1</v>
      </c>
      <c r="M4496" s="87">
        <v>250</v>
      </c>
      <c r="N4496" s="87">
        <f>IFERROR(表格1[[#This Row],[QTY]]*表格1[[#This Row],[Unit Price]],"-")</f>
        <v>250</v>
      </c>
      <c r="O4496" s="86">
        <v>367729</v>
      </c>
      <c r="R4496" s="86" t="str">
        <f>_xlfn.CONCAT(表格1[[#This Row],[Model]]," ",表格1[[#This Row],[inv no]])</f>
        <v>RC-10JRUH(N) 367729</v>
      </c>
      <c r="S4496" s="86">
        <f>_xlfn.XLOOKUP(表格1[[#This Row],[Model]],表格3[Model-Input-Ref2],表格3[SRP PRICE])</f>
        <v>398</v>
      </c>
      <c r="T4496" s="43">
        <f>表格1[[#This Row],[Unit Price]]/表格1[[#This Row],[SRP]]</f>
        <v>0.62814070351758799</v>
      </c>
      <c r="U4496" s="86" t="str">
        <f>_xlfn.XLOOKUP(表格1[[#This Row],[Model]],表格3[Model-Input-Ref2],表格3[TOSHIBA/HIGHEST])</f>
        <v>Shops Highest Price</v>
      </c>
      <c r="W4496" s="86" t="str">
        <f>_xlfn.CONCAT(表格1[[#This Row],[欄4]],表格1[[#This Row],[inv no]])</f>
        <v>367729</v>
      </c>
    </row>
    <row r="4497" spans="1:23" hidden="1">
      <c r="A4497" s="81">
        <v>4495</v>
      </c>
      <c r="B4497" s="86" t="s">
        <v>39</v>
      </c>
      <c r="C4497" s="86" t="s">
        <v>2093</v>
      </c>
      <c r="D4497" s="89" t="str">
        <f ca="1">OFFSET(Roster!$A$3,MATCH(表格1[[#This Row],[Location]]&amp;" "&amp;表格1[[#This Row],[Shop]]&amp;"*",Roster!$A$4:$A$72,0),DAY(表格1[[#This Row],[date]]),1,1)</f>
        <v>Wendy Wong_2</v>
      </c>
      <c r="E4497" s="86">
        <v>3</v>
      </c>
      <c r="F4497" s="90">
        <v>46108</v>
      </c>
      <c r="G4497" s="86" t="str">
        <f>VLOOKUP("*"&amp;表格1[[#This Row],[Input]]&amp;"*",'Ref-List'!$B:$D,2,)</f>
        <v>RC-10JRUH(N)</v>
      </c>
      <c r="H4497" s="86" t="str">
        <f>_xlfn.XLOOKUP(表格1[[#This Row],[Model]],表格3[Model-Input-Ref2],表格3[Product Line])</f>
        <v>電飯煲</v>
      </c>
      <c r="I4497" s="86" t="str">
        <f>_xlfn.XLOOKUP(表格1[[#This Row],[Model]],表格3[Model-Input-Ref2],表格3[大小電])</f>
        <v>細電</v>
      </c>
      <c r="J4497" s="86" t="str">
        <f>_xlfn.XLOOKUP(表格1[[#This Row],[Model]],表格3[Model-Input-Ref2],表格3[Code])</f>
        <v>SDA</v>
      </c>
      <c r="K4497" s="89" t="s">
        <v>2042</v>
      </c>
      <c r="L4497" s="86">
        <v>1</v>
      </c>
      <c r="M4497" s="87">
        <v>250</v>
      </c>
      <c r="N4497" s="87">
        <f>IFERROR(表格1[[#This Row],[QTY]]*表格1[[#This Row],[Unit Price]],"-")</f>
        <v>250</v>
      </c>
      <c r="O4497" s="86">
        <v>367721</v>
      </c>
      <c r="R4497" s="86" t="str">
        <f>_xlfn.CONCAT(表格1[[#This Row],[Model]]," ",表格1[[#This Row],[inv no]])</f>
        <v>RC-10JRUH(N) 367721</v>
      </c>
      <c r="S4497" s="86">
        <f>_xlfn.XLOOKUP(表格1[[#This Row],[Model]],表格3[Model-Input-Ref2],表格3[SRP PRICE])</f>
        <v>398</v>
      </c>
      <c r="T4497" s="43">
        <f>表格1[[#This Row],[Unit Price]]/表格1[[#This Row],[SRP]]</f>
        <v>0.62814070351758799</v>
      </c>
      <c r="U4497" s="86" t="str">
        <f>_xlfn.XLOOKUP(表格1[[#This Row],[Model]],表格3[Model-Input-Ref2],表格3[TOSHIBA/HIGHEST])</f>
        <v>Shops Highest Price</v>
      </c>
      <c r="W4497" s="86" t="str">
        <f>_xlfn.CONCAT(表格1[[#This Row],[欄4]],表格1[[#This Row],[inv no]])</f>
        <v>367721</v>
      </c>
    </row>
    <row r="4498" spans="1:23" hidden="1">
      <c r="A4498" s="81">
        <v>4496</v>
      </c>
      <c r="B4498" s="86" t="s">
        <v>39</v>
      </c>
      <c r="C4498" s="86" t="s">
        <v>2093</v>
      </c>
      <c r="D4498" s="89" t="str">
        <f ca="1">OFFSET(Roster!$A$3,MATCH(表格1[[#This Row],[Location]]&amp;" "&amp;表格1[[#This Row],[Shop]]&amp;"*",Roster!$A$4:$A$72,0),DAY(表格1[[#This Row],[date]]),1,1)</f>
        <v>Wendy Wong_2</v>
      </c>
      <c r="E4498" s="86">
        <v>3</v>
      </c>
      <c r="F4498" s="90">
        <v>46108</v>
      </c>
      <c r="G4498" s="86" t="str">
        <f>VLOOKUP("*"&amp;表格1[[#This Row],[Input]]&amp;"*",'Ref-List'!$B:$D,2,)</f>
        <v>RC-18AMXH(W)</v>
      </c>
      <c r="H4498" s="86" t="str">
        <f>_xlfn.XLOOKUP(表格1[[#This Row],[Model]],表格3[Model-Input-Ref2],表格3[Product Line])</f>
        <v>酵活炊電飯煲(1.8公升)</v>
      </c>
      <c r="I4498" s="86" t="str">
        <f>_xlfn.XLOOKUP(表格1[[#This Row],[Model]],表格3[Model-Input-Ref2],表格3[大小電])</f>
        <v>細電</v>
      </c>
      <c r="J4498" s="86" t="str">
        <f>_xlfn.XLOOKUP(表格1[[#This Row],[Model]],表格3[Model-Input-Ref2],表格3[Code])</f>
        <v>SDA</v>
      </c>
      <c r="K4498" s="89" t="s">
        <v>2085</v>
      </c>
      <c r="L4498" s="86">
        <v>1</v>
      </c>
      <c r="M4498" s="87">
        <v>990</v>
      </c>
      <c r="N4498" s="87">
        <f>IFERROR(表格1[[#This Row],[QTY]]*表格1[[#This Row],[Unit Price]],"-")</f>
        <v>990</v>
      </c>
      <c r="O4498" s="86">
        <v>367783</v>
      </c>
      <c r="R4498" s="86" t="str">
        <f>_xlfn.CONCAT(表格1[[#This Row],[Model]]," ",表格1[[#This Row],[inv no]])</f>
        <v>RC-18AMXH(W) 367783</v>
      </c>
      <c r="S4498" s="86">
        <f>_xlfn.XLOOKUP(表格1[[#This Row],[Model]],表格3[Model-Input-Ref2],表格3[SRP PRICE])</f>
        <v>1588</v>
      </c>
      <c r="T4498" s="43">
        <f>表格1[[#This Row],[Unit Price]]/表格1[[#This Row],[SRP]]</f>
        <v>0.62342569269521408</v>
      </c>
      <c r="U4498" s="86" t="str">
        <f>_xlfn.XLOOKUP(表格1[[#This Row],[Model]],表格3[Model-Input-Ref2],表格3[TOSHIBA/HIGHEST])</f>
        <v>Toshiba SRP</v>
      </c>
      <c r="W4498" s="86" t="str">
        <f>_xlfn.CONCAT(表格1[[#This Row],[欄4]],表格1[[#This Row],[inv no]])</f>
        <v>367783</v>
      </c>
    </row>
    <row r="4499" spans="1:23" hidden="1">
      <c r="A4499" s="81">
        <v>4497</v>
      </c>
      <c r="B4499" s="86" t="s">
        <v>39</v>
      </c>
      <c r="C4499" s="86" t="s">
        <v>2093</v>
      </c>
      <c r="D4499" s="89" t="str">
        <f ca="1">OFFSET(Roster!$A$3,MATCH(表格1[[#This Row],[Location]]&amp;" "&amp;表格1[[#This Row],[Shop]]&amp;"*",Roster!$A$4:$A$72,0),DAY(表格1[[#This Row],[date]]),1,1)</f>
        <v>Wendy Wong_2</v>
      </c>
      <c r="E4499" s="86">
        <v>3</v>
      </c>
      <c r="F4499" s="90">
        <v>46108</v>
      </c>
      <c r="G4499" s="86" t="str">
        <f>VLOOKUP("*"&amp;表格1[[#This Row],[Input]]&amp;"*",'Ref-List'!$B:$D,2,)</f>
        <v>GR-RB360WE-PMA(06)</v>
      </c>
      <c r="H4499" s="86" t="str">
        <f>_xlfn.XLOOKUP(表格1[[#This Row],[Model]],表格3[Model-Input-Ref2],表格3[Product Line])</f>
        <v>變頻下置式雙門雪櫃系列270L</v>
      </c>
      <c r="I4499" s="86" t="str">
        <f>_xlfn.XLOOKUP(表格1[[#This Row],[Model]],表格3[Model-Input-Ref2],表格3[大小電])</f>
        <v>大電</v>
      </c>
      <c r="J4499" s="86" t="str">
        <f>_xlfn.XLOOKUP(表格1[[#This Row],[Model]],表格3[Model-Input-Ref2],表格3[Code])</f>
        <v>REF</v>
      </c>
      <c r="K4499" s="89" t="s">
        <v>2086</v>
      </c>
      <c r="L4499" s="86">
        <v>1</v>
      </c>
      <c r="M4499" s="87">
        <v>3680</v>
      </c>
      <c r="N4499" s="87">
        <f>IFERROR(表格1[[#This Row],[QTY]]*表格1[[#This Row],[Unit Price]],"-")</f>
        <v>3680</v>
      </c>
      <c r="O4499" s="86">
        <v>367782</v>
      </c>
      <c r="R4499" s="86" t="str">
        <f>_xlfn.CONCAT(表格1[[#This Row],[Model]]," ",表格1[[#This Row],[inv no]])</f>
        <v>GR-RB360WE-PMA(06) 367782</v>
      </c>
      <c r="S4499" s="86">
        <f>_xlfn.XLOOKUP(表格1[[#This Row],[Model]],表格3[Model-Input-Ref2],表格3[SRP PRICE])</f>
        <v>5080</v>
      </c>
      <c r="T4499" s="43">
        <f>表格1[[#This Row],[Unit Price]]/表格1[[#This Row],[SRP]]</f>
        <v>0.72440944881889768</v>
      </c>
      <c r="U4499" s="86" t="str">
        <f>_xlfn.XLOOKUP(表格1[[#This Row],[Model]],表格3[Model-Input-Ref2],表格3[TOSHIBA/HIGHEST])</f>
        <v>Toshiba SRP</v>
      </c>
      <c r="W4499" s="86" t="str">
        <f>_xlfn.CONCAT(表格1[[#This Row],[欄4]],表格1[[#This Row],[inv no]])</f>
        <v>367782</v>
      </c>
    </row>
    <row r="4500" spans="1:23" hidden="1">
      <c r="A4500" s="81">
        <v>4498</v>
      </c>
      <c r="B4500" s="86" t="s">
        <v>39</v>
      </c>
      <c r="C4500" s="86" t="s">
        <v>2093</v>
      </c>
      <c r="D4500" s="89" t="str">
        <f ca="1">OFFSET(Roster!$A$3,MATCH(表格1[[#This Row],[Location]]&amp;" "&amp;表格1[[#This Row],[Shop]]&amp;"*",Roster!$A$4:$A$72,0),DAY(表格1[[#This Row],[date]]),1,1)</f>
        <v>Wendy Wong_2</v>
      </c>
      <c r="E4500" s="86">
        <v>3</v>
      </c>
      <c r="F4500" s="90">
        <v>46108</v>
      </c>
      <c r="G4500" s="86" t="str">
        <f>VLOOKUP("*"&amp;表格1[[#This Row],[Input]]&amp;"*",'Ref-List'!$B:$D,2,)</f>
        <v>MWP-MM20P(WH)</v>
      </c>
      <c r="H4500" s="86" t="str">
        <f>_xlfn.XLOOKUP(表格1[[#This Row],[Model]],表格3[Model-Input-Ref2],表格3[Product Line])</f>
        <v>旋鈕式燒烤微波爐20L</v>
      </c>
      <c r="I4500" s="86" t="str">
        <f>_xlfn.XLOOKUP(表格1[[#This Row],[Model]],表格3[Model-Input-Ref2],表格3[大小電])</f>
        <v>細電</v>
      </c>
      <c r="J4500" s="86" t="str">
        <f>_xlfn.XLOOKUP(表格1[[#This Row],[Model]],表格3[Model-Input-Ref2],表格3[Code])</f>
        <v>SDA</v>
      </c>
      <c r="K4500" s="89" t="s">
        <v>1375</v>
      </c>
      <c r="L4500" s="86">
        <v>1</v>
      </c>
      <c r="M4500" s="87">
        <v>488</v>
      </c>
      <c r="N4500" s="87">
        <f>IFERROR(表格1[[#This Row],[QTY]]*表格1[[#This Row],[Unit Price]],"-")</f>
        <v>488</v>
      </c>
      <c r="O4500" s="86">
        <v>367812</v>
      </c>
      <c r="R4500" s="86" t="str">
        <f>_xlfn.CONCAT(表格1[[#This Row],[Model]]," ",表格1[[#This Row],[inv no]])</f>
        <v>MWP-MM20P(WH) 367812</v>
      </c>
      <c r="S4500" s="86">
        <f>_xlfn.XLOOKUP(表格1[[#This Row],[Model]],表格3[Model-Input-Ref2],表格3[SRP PRICE])</f>
        <v>648</v>
      </c>
      <c r="T4500" s="43">
        <f>表格1[[#This Row],[Unit Price]]/表格1[[#This Row],[SRP]]</f>
        <v>0.75308641975308643</v>
      </c>
      <c r="U4500" s="86" t="str">
        <f>_xlfn.XLOOKUP(表格1[[#This Row],[Model]],表格3[Model-Input-Ref2],表格3[TOSHIBA/HIGHEST])</f>
        <v>Toshiba SRP</v>
      </c>
      <c r="W4500" s="86" t="str">
        <f>_xlfn.CONCAT(表格1[[#This Row],[欄4]],表格1[[#This Row],[inv no]])</f>
        <v>367812</v>
      </c>
    </row>
    <row r="4501" spans="1:23" hidden="1">
      <c r="A4501" s="81">
        <v>4499</v>
      </c>
      <c r="B4501" s="86" t="s">
        <v>39</v>
      </c>
      <c r="C4501" s="86" t="s">
        <v>2093</v>
      </c>
      <c r="D4501" s="89" t="str">
        <f ca="1">OFFSET(Roster!$A$3,MATCH(表格1[[#This Row],[Location]]&amp;" "&amp;表格1[[#This Row],[Shop]]&amp;"*",Roster!$A$4:$A$72,0),DAY(表格1[[#This Row],[date]]),1,1)</f>
        <v>Wendy Wong_2</v>
      </c>
      <c r="E4501" s="86">
        <v>3</v>
      </c>
      <c r="F4501" s="90">
        <v>46108</v>
      </c>
      <c r="G4501" s="86" t="str">
        <f>VLOOKUP("*"&amp;表格1[[#This Row],[Input]]&amp;"*",'Ref-List'!$B:$D,2,)</f>
        <v>RC-10JRUH(N)</v>
      </c>
      <c r="H4501" s="86" t="str">
        <f>_xlfn.XLOOKUP(表格1[[#This Row],[Model]],表格3[Model-Input-Ref2],表格3[Product Line])</f>
        <v>電飯煲</v>
      </c>
      <c r="I4501" s="86" t="str">
        <f>_xlfn.XLOOKUP(表格1[[#This Row],[Model]],表格3[Model-Input-Ref2],表格3[大小電])</f>
        <v>細電</v>
      </c>
      <c r="J4501" s="86" t="str">
        <f>_xlfn.XLOOKUP(表格1[[#This Row],[Model]],表格3[Model-Input-Ref2],表格3[Code])</f>
        <v>SDA</v>
      </c>
      <c r="K4501" s="89" t="s">
        <v>2042</v>
      </c>
      <c r="L4501" s="86">
        <v>1</v>
      </c>
      <c r="M4501" s="87">
        <v>250</v>
      </c>
      <c r="N4501" s="87">
        <f>IFERROR(表格1[[#This Row],[QTY]]*表格1[[#This Row],[Unit Price]],"-")</f>
        <v>250</v>
      </c>
      <c r="O4501" s="86">
        <v>367828</v>
      </c>
      <c r="R4501" s="86" t="str">
        <f>_xlfn.CONCAT(表格1[[#This Row],[Model]]," ",表格1[[#This Row],[inv no]])</f>
        <v>RC-10JRUH(N) 367828</v>
      </c>
      <c r="S4501" s="86">
        <f>_xlfn.XLOOKUP(表格1[[#This Row],[Model]],表格3[Model-Input-Ref2],表格3[SRP PRICE])</f>
        <v>398</v>
      </c>
      <c r="T4501" s="43">
        <f>表格1[[#This Row],[Unit Price]]/表格1[[#This Row],[SRP]]</f>
        <v>0.62814070351758799</v>
      </c>
      <c r="U4501" s="86" t="str">
        <f>_xlfn.XLOOKUP(表格1[[#This Row],[Model]],表格3[Model-Input-Ref2],表格3[TOSHIBA/HIGHEST])</f>
        <v>Shops Highest Price</v>
      </c>
      <c r="W4501" s="86" t="str">
        <f>_xlfn.CONCAT(表格1[[#This Row],[欄4]],表格1[[#This Row],[inv no]])</f>
        <v>367828</v>
      </c>
    </row>
    <row r="4502" spans="1:23" hidden="1">
      <c r="A4502" s="81">
        <v>4500</v>
      </c>
      <c r="B4502" s="86" t="s">
        <v>39</v>
      </c>
      <c r="C4502" s="86" t="s">
        <v>2093</v>
      </c>
      <c r="D4502" s="89" t="str">
        <f ca="1">OFFSET(Roster!$A$3,MATCH(表格1[[#This Row],[Location]]&amp;" "&amp;表格1[[#This Row],[Shop]]&amp;"*",Roster!$A$4:$A$72,0),DAY(表格1[[#This Row],[date]]),1,1)</f>
        <v>Wendy Wong_2</v>
      </c>
      <c r="E4502" s="86">
        <v>3</v>
      </c>
      <c r="F4502" s="90">
        <v>46108</v>
      </c>
      <c r="G4502" s="86" t="str">
        <f>VLOOKUP("*"&amp;表格1[[#This Row],[Input]]&amp;"*",'Ref-List'!$B:$D,2,)</f>
        <v>RC-10JRUH(N)</v>
      </c>
      <c r="H4502" s="86" t="str">
        <f>_xlfn.XLOOKUP(表格1[[#This Row],[Model]],表格3[Model-Input-Ref2],表格3[Product Line])</f>
        <v>電飯煲</v>
      </c>
      <c r="I4502" s="86" t="str">
        <f>_xlfn.XLOOKUP(表格1[[#This Row],[Model]],表格3[Model-Input-Ref2],表格3[大小電])</f>
        <v>細電</v>
      </c>
      <c r="J4502" s="86" t="str">
        <f>_xlfn.XLOOKUP(表格1[[#This Row],[Model]],表格3[Model-Input-Ref2],表格3[Code])</f>
        <v>SDA</v>
      </c>
      <c r="K4502" s="89" t="s">
        <v>2042</v>
      </c>
      <c r="L4502" s="86">
        <v>1</v>
      </c>
      <c r="M4502" s="87">
        <v>250</v>
      </c>
      <c r="N4502" s="87">
        <f>IFERROR(表格1[[#This Row],[QTY]]*表格1[[#This Row],[Unit Price]],"-")</f>
        <v>250</v>
      </c>
      <c r="O4502" s="86">
        <v>367834</v>
      </c>
      <c r="R4502" s="86" t="str">
        <f>_xlfn.CONCAT(表格1[[#This Row],[Model]]," ",表格1[[#This Row],[inv no]])</f>
        <v>RC-10JRUH(N) 367834</v>
      </c>
      <c r="S4502" s="86">
        <f>_xlfn.XLOOKUP(表格1[[#This Row],[Model]],表格3[Model-Input-Ref2],表格3[SRP PRICE])</f>
        <v>398</v>
      </c>
      <c r="T4502" s="43">
        <f>表格1[[#This Row],[Unit Price]]/表格1[[#This Row],[SRP]]</f>
        <v>0.62814070351758799</v>
      </c>
      <c r="U4502" s="86" t="str">
        <f>_xlfn.XLOOKUP(表格1[[#This Row],[Model]],表格3[Model-Input-Ref2],表格3[TOSHIBA/HIGHEST])</f>
        <v>Shops Highest Price</v>
      </c>
      <c r="W4502" s="86" t="str">
        <f>_xlfn.CONCAT(表格1[[#This Row],[欄4]],表格1[[#This Row],[inv no]])</f>
        <v>367834</v>
      </c>
    </row>
    <row r="4503" spans="1:23" hidden="1">
      <c r="A4503" s="81">
        <v>4501</v>
      </c>
      <c r="B4503" s="86" t="s">
        <v>39</v>
      </c>
      <c r="C4503" s="86" t="s">
        <v>2093</v>
      </c>
      <c r="D4503" s="89" t="str">
        <f ca="1">OFFSET(Roster!$A$3,MATCH(表格1[[#This Row],[Location]]&amp;" "&amp;表格1[[#This Row],[Shop]]&amp;"*",Roster!$A$4:$A$72,0),DAY(表格1[[#This Row],[date]]),1,1)</f>
        <v>Wendy Wong_2</v>
      </c>
      <c r="E4503" s="86">
        <v>3</v>
      </c>
      <c r="F4503" s="90">
        <v>46108</v>
      </c>
      <c r="G4503" s="86" t="str">
        <f>VLOOKUP("*"&amp;表格1[[#This Row],[Input]]&amp;"*",'Ref-List'!$B:$D,2,)</f>
        <v>RC-10AMXH(W)</v>
      </c>
      <c r="H4503" s="86" t="str">
        <f>_xlfn.XLOOKUP(表格1[[#This Row],[Model]],表格3[Model-Input-Ref2],表格3[Product Line])</f>
        <v>酵活炊電飯煲(1.0公升)</v>
      </c>
      <c r="I4503" s="86" t="str">
        <f>_xlfn.XLOOKUP(表格1[[#This Row],[Model]],表格3[Model-Input-Ref2],表格3[大小電])</f>
        <v>細電</v>
      </c>
      <c r="J4503" s="86" t="str">
        <f>_xlfn.XLOOKUP(表格1[[#This Row],[Model]],表格3[Model-Input-Ref2],表格3[Code])</f>
        <v>SDA</v>
      </c>
      <c r="K4503" s="89" t="s">
        <v>1956</v>
      </c>
      <c r="L4503" s="86">
        <v>1</v>
      </c>
      <c r="M4503" s="87">
        <v>990</v>
      </c>
      <c r="N4503" s="87">
        <f>IFERROR(表格1[[#This Row],[QTY]]*表格1[[#This Row],[Unit Price]],"-")</f>
        <v>990</v>
      </c>
      <c r="O4503" s="86">
        <v>367851</v>
      </c>
      <c r="R4503" s="86" t="str">
        <f>_xlfn.CONCAT(表格1[[#This Row],[Model]]," ",表格1[[#This Row],[inv no]])</f>
        <v>RC-10AMXH(W) 367851</v>
      </c>
      <c r="S4503" s="86">
        <f>_xlfn.XLOOKUP(表格1[[#This Row],[Model]],表格3[Model-Input-Ref2],表格3[SRP PRICE])</f>
        <v>1288</v>
      </c>
      <c r="T4503" s="43">
        <f>表格1[[#This Row],[Unit Price]]/表格1[[#This Row],[SRP]]</f>
        <v>0.76863354037267084</v>
      </c>
      <c r="U4503" s="86" t="str">
        <f>_xlfn.XLOOKUP(表格1[[#This Row],[Model]],表格3[Model-Input-Ref2],表格3[TOSHIBA/HIGHEST])</f>
        <v>Toshiba SRP</v>
      </c>
      <c r="W4503" s="86" t="str">
        <f>_xlfn.CONCAT(表格1[[#This Row],[欄4]],表格1[[#This Row],[inv no]])</f>
        <v>367851</v>
      </c>
    </row>
    <row r="4504" spans="1:23" hidden="1">
      <c r="A4504" s="81">
        <v>4502</v>
      </c>
      <c r="B4504" s="86" t="s">
        <v>39</v>
      </c>
      <c r="C4504" s="86" t="s">
        <v>2093</v>
      </c>
      <c r="D4504" s="89" t="str">
        <f ca="1">OFFSET(Roster!$A$3,MATCH(表格1[[#This Row],[Location]]&amp;" "&amp;表格1[[#This Row],[Shop]]&amp;"*",Roster!$A$4:$A$72,0),DAY(表格1[[#This Row],[date]]),1,1)</f>
        <v>Wendy Wong_2</v>
      </c>
      <c r="E4504" s="86">
        <v>3</v>
      </c>
      <c r="F4504" s="90">
        <v>46109</v>
      </c>
      <c r="G4504" s="86" t="str">
        <f>VLOOKUP("*"&amp;表格1[[#This Row],[Input]]&amp;"*",'Ref-List'!$B:$D,2,)</f>
        <v>TP-25DR2UHK(W)</v>
      </c>
      <c r="H4504" s="86" t="str">
        <f>_xlfn.XLOOKUP(表格1[[#This Row],[Model]],表格3[Model-Input-Ref2],表格3[Product Line])</f>
        <v>電熱水瓶 (2.5公升)</v>
      </c>
      <c r="I4504" s="86" t="str">
        <f>_xlfn.XLOOKUP(表格1[[#This Row],[Model]],表格3[Model-Input-Ref2],表格3[大小電])</f>
        <v>細電</v>
      </c>
      <c r="J4504" s="86" t="str">
        <f>_xlfn.XLOOKUP(表格1[[#This Row],[Model]],表格3[Model-Input-Ref2],表格3[Code])</f>
        <v>SDA</v>
      </c>
      <c r="K4504" s="89" t="s">
        <v>2048</v>
      </c>
      <c r="L4504" s="86">
        <v>1</v>
      </c>
      <c r="M4504" s="87">
        <v>398</v>
      </c>
      <c r="N4504" s="87">
        <f>IFERROR(表格1[[#This Row],[QTY]]*表格1[[#This Row],[Unit Price]],"-")</f>
        <v>398</v>
      </c>
      <c r="O4504" s="86">
        <v>387814</v>
      </c>
      <c r="R4504" s="86" t="str">
        <f>_xlfn.CONCAT(表格1[[#This Row],[Model]]," ",表格1[[#This Row],[inv no]])</f>
        <v>TP-25DR2UHK(W) 387814</v>
      </c>
      <c r="S4504" s="86">
        <f>_xlfn.XLOOKUP(表格1[[#This Row],[Model]],表格3[Model-Input-Ref2],表格3[SRP PRICE])</f>
        <v>538</v>
      </c>
      <c r="T4504" s="43">
        <f>表格1[[#This Row],[Unit Price]]/表格1[[#This Row],[SRP]]</f>
        <v>0.7397769516728625</v>
      </c>
      <c r="U4504" s="86" t="str">
        <f>_xlfn.XLOOKUP(表格1[[#This Row],[Model]],表格3[Model-Input-Ref2],表格3[TOSHIBA/HIGHEST])</f>
        <v>Toshiba SRP</v>
      </c>
      <c r="W4504" s="86" t="str">
        <f>_xlfn.CONCAT(表格1[[#This Row],[欄4]],表格1[[#This Row],[inv no]])</f>
        <v>387814</v>
      </c>
    </row>
    <row r="4505" spans="1:23" hidden="1">
      <c r="A4505" s="81">
        <v>4503</v>
      </c>
      <c r="B4505" s="86" t="s">
        <v>39</v>
      </c>
      <c r="C4505" s="86" t="s">
        <v>2093</v>
      </c>
      <c r="D4505" s="89" t="str">
        <f ca="1">OFFSET(Roster!$A$3,MATCH(表格1[[#This Row],[Location]]&amp;" "&amp;表格1[[#This Row],[Shop]]&amp;"*",Roster!$A$4:$A$72,0),DAY(表格1[[#This Row],[date]]),1,1)</f>
        <v>Wendy Wong_2</v>
      </c>
      <c r="E4505" s="86">
        <v>3</v>
      </c>
      <c r="F4505" s="90">
        <v>46109</v>
      </c>
      <c r="G4505" s="86" t="str">
        <f>VLOOKUP("*"&amp;表格1[[#This Row],[Input]]&amp;"*",'Ref-List'!$B:$D,2,)</f>
        <v>RC-10AMXH(W)</v>
      </c>
      <c r="H4505" s="86" t="str">
        <f>_xlfn.XLOOKUP(表格1[[#This Row],[Model]],表格3[Model-Input-Ref2],表格3[Product Line])</f>
        <v>酵活炊電飯煲(1.0公升)</v>
      </c>
      <c r="I4505" s="86" t="str">
        <f>_xlfn.XLOOKUP(表格1[[#This Row],[Model]],表格3[Model-Input-Ref2],表格3[大小電])</f>
        <v>細電</v>
      </c>
      <c r="J4505" s="86" t="str">
        <f>_xlfn.XLOOKUP(表格1[[#This Row],[Model]],表格3[Model-Input-Ref2],表格3[Code])</f>
        <v>SDA</v>
      </c>
      <c r="K4505" s="89" t="s">
        <v>1956</v>
      </c>
      <c r="L4505" s="86">
        <v>1</v>
      </c>
      <c r="M4505" s="87">
        <v>990</v>
      </c>
      <c r="N4505" s="87">
        <f>IFERROR(表格1[[#This Row],[QTY]]*表格1[[#This Row],[Unit Price]],"-")</f>
        <v>990</v>
      </c>
      <c r="O4505" s="86">
        <v>387885</v>
      </c>
      <c r="R4505" s="86" t="str">
        <f>_xlfn.CONCAT(表格1[[#This Row],[Model]]," ",表格1[[#This Row],[inv no]])</f>
        <v>RC-10AMXH(W) 387885</v>
      </c>
      <c r="S4505" s="86">
        <f>_xlfn.XLOOKUP(表格1[[#This Row],[Model]],表格3[Model-Input-Ref2],表格3[SRP PRICE])</f>
        <v>1288</v>
      </c>
      <c r="T4505" s="43">
        <f>表格1[[#This Row],[Unit Price]]/表格1[[#This Row],[SRP]]</f>
        <v>0.76863354037267084</v>
      </c>
      <c r="U4505" s="86" t="str">
        <f>_xlfn.XLOOKUP(表格1[[#This Row],[Model]],表格3[Model-Input-Ref2],表格3[TOSHIBA/HIGHEST])</f>
        <v>Toshiba SRP</v>
      </c>
      <c r="W4505" s="86" t="str">
        <f>_xlfn.CONCAT(表格1[[#This Row],[欄4]],表格1[[#This Row],[inv no]])</f>
        <v>387885</v>
      </c>
    </row>
    <row r="4506" spans="1:23" hidden="1">
      <c r="A4506" s="81">
        <v>4504</v>
      </c>
      <c r="B4506" s="86" t="s">
        <v>39</v>
      </c>
      <c r="C4506" s="86" t="s">
        <v>2093</v>
      </c>
      <c r="D4506" s="89" t="str">
        <f ca="1">OFFSET(Roster!$A$3,MATCH(表格1[[#This Row],[Location]]&amp;" "&amp;表格1[[#This Row],[Shop]]&amp;"*",Roster!$A$4:$A$72,0),DAY(表格1[[#This Row],[date]]),1,1)</f>
        <v>Wendy Wong_2</v>
      </c>
      <c r="E4506" s="86">
        <v>3</v>
      </c>
      <c r="F4506" s="90">
        <v>46109</v>
      </c>
      <c r="G4506" s="86" t="str">
        <f>VLOOKUP("*"&amp;表格1[[#This Row],[Input]]&amp;"*",'Ref-List'!$B:$D,2,)</f>
        <v>RAD-D300H</v>
      </c>
      <c r="H4506" s="86" t="str">
        <f>_xlfn.XLOOKUP(表格1[[#This Row],[Model]],表格3[Model-Input-Ref2],表格3[Product Line])</f>
        <v>壓縮式抽濕機 (30公升)</v>
      </c>
      <c r="I4506" s="86" t="str">
        <f>_xlfn.XLOOKUP(表格1[[#This Row],[Model]],表格3[Model-Input-Ref2],表格3[大小電])</f>
        <v>細電</v>
      </c>
      <c r="J4506" s="86" t="str">
        <f>_xlfn.XLOOKUP(表格1[[#This Row],[Model]],表格3[Model-Input-Ref2],表格3[Code])</f>
        <v>RAC</v>
      </c>
      <c r="K4506" s="89" t="s">
        <v>1761</v>
      </c>
      <c r="L4506" s="86">
        <v>1</v>
      </c>
      <c r="M4506" s="87">
        <v>2180</v>
      </c>
      <c r="N4506" s="87">
        <f>IFERROR(表格1[[#This Row],[QTY]]*表格1[[#This Row],[Unit Price]],"-")</f>
        <v>2180</v>
      </c>
      <c r="O4506" s="86">
        <v>367891</v>
      </c>
      <c r="R4506" s="86" t="str">
        <f>_xlfn.CONCAT(表格1[[#This Row],[Model]]," ",表格1[[#This Row],[inv no]])</f>
        <v>RAD-D300H 367891</v>
      </c>
      <c r="S4506" s="86">
        <f>_xlfn.XLOOKUP(表格1[[#This Row],[Model]],表格3[Model-Input-Ref2],表格3[SRP PRICE])</f>
        <v>3380</v>
      </c>
      <c r="T4506" s="43">
        <f>表格1[[#This Row],[Unit Price]]/表格1[[#This Row],[SRP]]</f>
        <v>0.6449704142011834</v>
      </c>
      <c r="U4506" s="86" t="str">
        <f>_xlfn.XLOOKUP(表格1[[#This Row],[Model]],表格3[Model-Input-Ref2],表格3[TOSHIBA/HIGHEST])</f>
        <v>Shops Highest Price</v>
      </c>
      <c r="W4506" s="86" t="str">
        <f>_xlfn.CONCAT(表格1[[#This Row],[欄4]],表格1[[#This Row],[inv no]])</f>
        <v>367891</v>
      </c>
    </row>
    <row r="4507" spans="1:23" hidden="1">
      <c r="A4507" s="81">
        <v>4505</v>
      </c>
      <c r="B4507" s="86" t="s">
        <v>39</v>
      </c>
      <c r="C4507" s="86" t="s">
        <v>2093</v>
      </c>
      <c r="D4507" s="89" t="str">
        <f ca="1">OFFSET(Roster!$A$3,MATCH(表格1[[#This Row],[Location]]&amp;" "&amp;表格1[[#This Row],[Shop]]&amp;"*",Roster!$A$4:$A$72,0),DAY(表格1[[#This Row],[date]]),1,1)</f>
        <v>Wendy Wong_2</v>
      </c>
      <c r="E4507" s="86">
        <v>3</v>
      </c>
      <c r="F4507" s="90">
        <v>46109</v>
      </c>
      <c r="G4507" s="86" t="str">
        <f>VLOOKUP("*"&amp;表格1[[#This Row],[Input]]&amp;"*",'Ref-List'!$B:$D,2,)</f>
        <v>KT-08DH1VHK(W)</v>
      </c>
      <c r="H4507" s="86" t="str">
        <f>_xlfn.XLOOKUP(表格1[[#This Row],[Model]],表格3[Model-Input-Ref2],表格3[Product Line])</f>
        <v>無線雙層電熱水壺-附可鎖壺蓋(0.8公升)</v>
      </c>
      <c r="I4507" s="86" t="str">
        <f>_xlfn.XLOOKUP(表格1[[#This Row],[Model]],表格3[Model-Input-Ref2],表格3[大小電])</f>
        <v>細電</v>
      </c>
      <c r="J4507" s="86" t="str">
        <f>_xlfn.XLOOKUP(表格1[[#This Row],[Model]],表格3[Model-Input-Ref2],表格3[Code])</f>
        <v>SDA</v>
      </c>
      <c r="K4507" s="89" t="s">
        <v>2053</v>
      </c>
      <c r="L4507" s="86">
        <v>1</v>
      </c>
      <c r="M4507" s="87">
        <v>268</v>
      </c>
      <c r="N4507" s="87">
        <f>IFERROR(表格1[[#This Row],[QTY]]*表格1[[#This Row],[Unit Price]],"-")</f>
        <v>268</v>
      </c>
      <c r="O4507" s="86">
        <v>367895</v>
      </c>
      <c r="R4507" s="86" t="str">
        <f>_xlfn.CONCAT(表格1[[#This Row],[Model]]," ",表格1[[#This Row],[inv no]])</f>
        <v>KT-08DH1VHK(W) 367895</v>
      </c>
      <c r="S4507" s="86">
        <f>_xlfn.XLOOKUP(表格1[[#This Row],[Model]],表格3[Model-Input-Ref2],表格3[SRP PRICE])</f>
        <v>428</v>
      </c>
      <c r="T4507" s="43">
        <f>表格1[[#This Row],[Unit Price]]/表格1[[#This Row],[SRP]]</f>
        <v>0.62616822429906538</v>
      </c>
      <c r="U4507" s="86" t="str">
        <f>_xlfn.XLOOKUP(表格1[[#This Row],[Model]],表格3[Model-Input-Ref2],表格3[TOSHIBA/HIGHEST])</f>
        <v>Toshiba SRP</v>
      </c>
      <c r="W4507" s="86" t="str">
        <f>_xlfn.CONCAT(表格1[[#This Row],[欄4]],表格1[[#This Row],[inv no]])</f>
        <v>367895</v>
      </c>
    </row>
    <row r="4508" spans="1:23" hidden="1">
      <c r="A4508" s="81">
        <v>4506</v>
      </c>
      <c r="B4508" s="86" t="s">
        <v>39</v>
      </c>
      <c r="C4508" s="86" t="s">
        <v>2093</v>
      </c>
      <c r="D4508" s="89" t="str">
        <f ca="1">OFFSET(Roster!$A$3,MATCH(表格1[[#This Row],[Location]]&amp;" "&amp;表格1[[#This Row],[Shop]]&amp;"*",Roster!$A$4:$A$72,0),DAY(表格1[[#This Row],[date]]),1,1)</f>
        <v>Wendy Wong_2</v>
      </c>
      <c r="E4508" s="86">
        <v>3</v>
      </c>
      <c r="F4508" s="90">
        <v>46109</v>
      </c>
      <c r="G4508" s="86" t="str">
        <f>VLOOKUP("*"&amp;表格1[[#This Row],[Input]]&amp;"*",'Ref-List'!$B:$D,2,)</f>
        <v>RC-DR10T(W)</v>
      </c>
      <c r="H4508" s="86" t="str">
        <f>_xlfn.XLOOKUP(表格1[[#This Row],[Model]],表格3[Model-Input-Ref2],表格3[Product Line])</f>
        <v>IH磁應電飯煲</v>
      </c>
      <c r="I4508" s="86" t="str">
        <f>_xlfn.XLOOKUP(表格1[[#This Row],[Model]],表格3[Model-Input-Ref2],表格3[大小電])</f>
        <v>細電</v>
      </c>
      <c r="J4508" s="86" t="str">
        <f>_xlfn.XLOOKUP(表格1[[#This Row],[Model]],表格3[Model-Input-Ref2],表格3[Code])</f>
        <v>SDA</v>
      </c>
      <c r="K4508" s="89" t="s">
        <v>2087</v>
      </c>
      <c r="L4508" s="86">
        <v>1</v>
      </c>
      <c r="M4508" s="87">
        <v>2290</v>
      </c>
      <c r="N4508" s="87">
        <f>IFERROR(表格1[[#This Row],[QTY]]*表格1[[#This Row],[Unit Price]],"-")</f>
        <v>2290</v>
      </c>
      <c r="O4508" s="86">
        <v>367913</v>
      </c>
      <c r="R4508" s="86" t="str">
        <f>_xlfn.CONCAT(表格1[[#This Row],[Model]]," ",表格1[[#This Row],[inv no]])</f>
        <v>RC-DR10T(W) 367913</v>
      </c>
      <c r="S4508" s="86">
        <f>_xlfn.XLOOKUP(表格1[[#This Row],[Model]],表格3[Model-Input-Ref2],表格3[SRP PRICE])</f>
        <v>3188</v>
      </c>
      <c r="T4508" s="43">
        <f>表格1[[#This Row],[Unit Price]]/表格1[[#This Row],[SRP]]</f>
        <v>0.71831869510664992</v>
      </c>
      <c r="U4508" s="86" t="str">
        <f>_xlfn.XLOOKUP(表格1[[#This Row],[Model]],表格3[Model-Input-Ref2],表格3[TOSHIBA/HIGHEST])</f>
        <v>Toshiba SRP</v>
      </c>
      <c r="W4508" s="86" t="str">
        <f>_xlfn.CONCAT(表格1[[#This Row],[欄4]],表格1[[#This Row],[inv no]])</f>
        <v>367913</v>
      </c>
    </row>
    <row r="4509" spans="1:23" hidden="1">
      <c r="A4509" s="81">
        <v>4507</v>
      </c>
      <c r="B4509" s="86" t="s">
        <v>39</v>
      </c>
      <c r="C4509" s="86" t="s">
        <v>2093</v>
      </c>
      <c r="D4509" s="89" t="str">
        <f ca="1">OFFSET(Roster!$A$3,MATCH(表格1[[#This Row],[Location]]&amp;" "&amp;表格1[[#This Row],[Shop]]&amp;"*",Roster!$A$4:$A$72,0),DAY(表格1[[#This Row],[date]]),1,1)</f>
        <v>Wendy Wong_2</v>
      </c>
      <c r="E4509" s="86">
        <v>3</v>
      </c>
      <c r="F4509" s="90">
        <v>46109</v>
      </c>
      <c r="G4509" s="86" t="str">
        <f>VLOOKUP("*"&amp;表格1[[#This Row],[Input]]&amp;"*",'Ref-List'!$B:$D,2,)</f>
        <v>RC-7HMH</v>
      </c>
      <c r="H4509" s="86" t="str">
        <f>_xlfn.XLOOKUP(表格1[[#This Row],[Model]],表格3[Model-Input-Ref2],表格3[Product Line])</f>
        <v>備長炭本厚釜電飯煲0.7L</v>
      </c>
      <c r="I4509" s="86" t="str">
        <f>_xlfn.XLOOKUP(表格1[[#This Row],[Model]],表格3[Model-Input-Ref2],表格3[大小電])</f>
        <v>細電</v>
      </c>
      <c r="J4509" s="86" t="str">
        <f>_xlfn.XLOOKUP(表格1[[#This Row],[Model]],表格3[Model-Input-Ref2],表格3[Code])</f>
        <v>SDA</v>
      </c>
      <c r="K4509" s="89" t="s">
        <v>2057</v>
      </c>
      <c r="L4509" s="86">
        <v>1</v>
      </c>
      <c r="M4509" s="87">
        <v>788</v>
      </c>
      <c r="N4509" s="87">
        <f>IFERROR(表格1[[#This Row],[QTY]]*表格1[[#This Row],[Unit Price]],"-")</f>
        <v>788</v>
      </c>
      <c r="O4509" s="86">
        <v>367953</v>
      </c>
      <c r="R4509" s="86" t="str">
        <f>_xlfn.CONCAT(表格1[[#This Row],[Model]]," ",表格1[[#This Row],[inv no]])</f>
        <v>RC-7HMH 367953</v>
      </c>
      <c r="S4509" s="86">
        <f>_xlfn.XLOOKUP(表格1[[#This Row],[Model]],表格3[Model-Input-Ref2],表格3[SRP PRICE])</f>
        <v>1288</v>
      </c>
      <c r="T4509" s="43">
        <f>表格1[[#This Row],[Unit Price]]/表格1[[#This Row],[SRP]]</f>
        <v>0.61180124223602483</v>
      </c>
      <c r="U4509" s="86" t="str">
        <f>_xlfn.XLOOKUP(表格1[[#This Row],[Model]],表格3[Model-Input-Ref2],表格3[TOSHIBA/HIGHEST])</f>
        <v>Toshiba SRP</v>
      </c>
      <c r="W4509" s="86" t="str">
        <f>_xlfn.CONCAT(表格1[[#This Row],[欄4]],表格1[[#This Row],[inv no]])</f>
        <v>367953</v>
      </c>
    </row>
    <row r="4510" spans="1:23" hidden="1">
      <c r="A4510" s="81">
        <v>4508</v>
      </c>
      <c r="B4510" s="86" t="s">
        <v>39</v>
      </c>
      <c r="C4510" s="86" t="s">
        <v>2093</v>
      </c>
      <c r="D4510" s="89" t="str">
        <f ca="1">OFFSET(Roster!$A$3,MATCH(表格1[[#This Row],[Location]]&amp;" "&amp;表格1[[#This Row],[Shop]]&amp;"*",Roster!$A$4:$A$72,0),DAY(表格1[[#This Row],[date]]),1,1)</f>
        <v>Wendy Wong_2</v>
      </c>
      <c r="E4510" s="86">
        <v>3</v>
      </c>
      <c r="F4510" s="90">
        <v>46109</v>
      </c>
      <c r="G4510" s="86" t="str">
        <f>VLOOKUP("*"&amp;表格1[[#This Row],[Input]]&amp;"*",'Ref-List'!$B:$D,2,)</f>
        <v>MM2-EM20PC(WH)</v>
      </c>
      <c r="H4510" s="86" t="str">
        <f>_xlfn.XLOOKUP(表格1[[#This Row],[Model]],表格3[Model-Input-Ref2],表格3[Product Line])</f>
        <v>輕觸式微波爐 (20公升)</v>
      </c>
      <c r="I4510" s="86" t="str">
        <f>_xlfn.XLOOKUP(表格1[[#This Row],[Model]],表格3[Model-Input-Ref2],表格3[大小電])</f>
        <v>細電</v>
      </c>
      <c r="J4510" s="86" t="str">
        <f>_xlfn.XLOOKUP(表格1[[#This Row],[Model]],表格3[Model-Input-Ref2],表格3[Code])</f>
        <v>MCA</v>
      </c>
      <c r="K4510" s="89" t="s">
        <v>1947</v>
      </c>
      <c r="L4510" s="86">
        <v>1</v>
      </c>
      <c r="M4510" s="87">
        <v>598</v>
      </c>
      <c r="N4510" s="87">
        <f>IFERROR(表格1[[#This Row],[QTY]]*表格1[[#This Row],[Unit Price]],"-")</f>
        <v>598</v>
      </c>
      <c r="O4510" s="86">
        <v>367960</v>
      </c>
      <c r="R4510" s="86" t="str">
        <f>_xlfn.CONCAT(表格1[[#This Row],[Model]]," ",表格1[[#This Row],[inv no]])</f>
        <v>MM2-EM20PC(WH) 367960</v>
      </c>
      <c r="S4510" s="86">
        <f>_xlfn.XLOOKUP(表格1[[#This Row],[Model]],表格3[Model-Input-Ref2],表格3[SRP PRICE])</f>
        <v>788</v>
      </c>
      <c r="T4510" s="43">
        <f>表格1[[#This Row],[Unit Price]]/表格1[[#This Row],[SRP]]</f>
        <v>0.75888324873096447</v>
      </c>
      <c r="U4510" s="86" t="str">
        <f>_xlfn.XLOOKUP(表格1[[#This Row],[Model]],表格3[Model-Input-Ref2],表格3[TOSHIBA/HIGHEST])</f>
        <v>Toshiba SRP</v>
      </c>
      <c r="W4510" s="86" t="str">
        <f>_xlfn.CONCAT(表格1[[#This Row],[欄4]],表格1[[#This Row],[inv no]])</f>
        <v>367960</v>
      </c>
    </row>
    <row r="4511" spans="1:23" hidden="1">
      <c r="A4511" s="81">
        <v>4509</v>
      </c>
      <c r="B4511" s="86" t="s">
        <v>39</v>
      </c>
      <c r="C4511" s="86" t="s">
        <v>2093</v>
      </c>
      <c r="D4511" s="89" t="str">
        <f ca="1">OFFSET(Roster!$A$3,MATCH(表格1[[#This Row],[Location]]&amp;" "&amp;表格1[[#This Row],[Shop]]&amp;"*",Roster!$A$4:$A$72,0),DAY(表格1[[#This Row],[date]]),1,1)</f>
        <v>Wendy Wong_2</v>
      </c>
      <c r="E4511" s="86">
        <v>3</v>
      </c>
      <c r="F4511" s="90">
        <v>46109</v>
      </c>
      <c r="G4511" s="86" t="str">
        <f>VLOOKUP("*"&amp;表格1[[#This Row],[Input]]&amp;"*",'Ref-List'!$B:$D,2,)</f>
        <v>IC-21TSHK</v>
      </c>
      <c r="H4511" s="86" t="str">
        <f>_xlfn.XLOOKUP(表格1[[#This Row],[Model]],表格3[Model-Input-Ref2],表格3[Product Line])</f>
        <v>Induction Cooker</v>
      </c>
      <c r="I4511" s="86" t="str">
        <f>_xlfn.XLOOKUP(表格1[[#This Row],[Model]],表格3[Model-Input-Ref2],表格3[大小電])</f>
        <v>細電</v>
      </c>
      <c r="J4511" s="86" t="str">
        <f>_xlfn.XLOOKUP(表格1[[#This Row],[Model]],表格3[Model-Input-Ref2],表格3[Code])</f>
        <v>SDA</v>
      </c>
      <c r="K4511" s="89" t="s">
        <v>2081</v>
      </c>
      <c r="L4511" s="86">
        <v>1</v>
      </c>
      <c r="M4511" s="87">
        <v>698</v>
      </c>
      <c r="N4511" s="87">
        <f>IFERROR(表格1[[#This Row],[QTY]]*表格1[[#This Row],[Unit Price]],"-")</f>
        <v>698</v>
      </c>
      <c r="O4511" s="86">
        <v>375451</v>
      </c>
      <c r="R4511" s="86" t="str">
        <f>_xlfn.CONCAT(表格1[[#This Row],[Model]]," ",表格1[[#This Row],[inv no]])</f>
        <v>IC-21TSHK 375451</v>
      </c>
      <c r="S4511" s="86">
        <f>_xlfn.XLOOKUP(表格1[[#This Row],[Model]],表格3[Model-Input-Ref2],表格3[SRP PRICE])</f>
        <v>998</v>
      </c>
      <c r="T4511" s="43">
        <f>表格1[[#This Row],[Unit Price]]/表格1[[#This Row],[SRP]]</f>
        <v>0.69939879759519041</v>
      </c>
      <c r="U4511" s="86" t="str">
        <f>_xlfn.XLOOKUP(表格1[[#This Row],[Model]],表格3[Model-Input-Ref2],表格3[TOSHIBA/HIGHEST])</f>
        <v>web SRP</v>
      </c>
      <c r="W4511" s="86" t="str">
        <f>_xlfn.CONCAT(表格1[[#This Row],[欄4]],表格1[[#This Row],[inv no]])</f>
        <v>375451</v>
      </c>
    </row>
    <row r="4512" spans="1:23" hidden="1">
      <c r="A4512" s="81">
        <v>4510</v>
      </c>
      <c r="B4512" s="86" t="s">
        <v>39</v>
      </c>
      <c r="C4512" s="86" t="s">
        <v>2093</v>
      </c>
      <c r="D4512" s="89" t="str">
        <f ca="1">OFFSET(Roster!$A$3,MATCH(表格1[[#This Row],[Location]]&amp;" "&amp;表格1[[#This Row],[Shop]]&amp;"*",Roster!$A$4:$A$72,0),DAY(表格1[[#This Row],[date]]),1,1)</f>
        <v>Wendy Wong_2</v>
      </c>
      <c r="E4512" s="86">
        <v>3</v>
      </c>
      <c r="F4512" s="90">
        <v>46109</v>
      </c>
      <c r="G4512" s="86" t="str">
        <f>VLOOKUP("*"&amp;表格1[[#This Row],[Input]]&amp;"*",'Ref-List'!$B:$D,2,)</f>
        <v>KT-08DH1VHK(W)</v>
      </c>
      <c r="H4512" s="86" t="str">
        <f>_xlfn.XLOOKUP(表格1[[#This Row],[Model]],表格3[Model-Input-Ref2],表格3[Product Line])</f>
        <v>無線雙層電熱水壺-附可鎖壺蓋(0.8公升)</v>
      </c>
      <c r="I4512" s="86" t="str">
        <f>_xlfn.XLOOKUP(表格1[[#This Row],[Model]],表格3[Model-Input-Ref2],表格3[大小電])</f>
        <v>細電</v>
      </c>
      <c r="J4512" s="86" t="str">
        <f>_xlfn.XLOOKUP(表格1[[#This Row],[Model]],表格3[Model-Input-Ref2],表格3[Code])</f>
        <v>SDA</v>
      </c>
      <c r="K4512" s="89" t="s">
        <v>2053</v>
      </c>
      <c r="L4512" s="86">
        <v>1</v>
      </c>
      <c r="M4512" s="87">
        <v>268</v>
      </c>
      <c r="N4512" s="87">
        <f>IFERROR(表格1[[#This Row],[QTY]]*表格1[[#This Row],[Unit Price]],"-")</f>
        <v>268</v>
      </c>
      <c r="O4512" s="86">
        <v>375451</v>
      </c>
      <c r="R4512" s="86" t="str">
        <f>_xlfn.CONCAT(表格1[[#This Row],[Model]]," ",表格1[[#This Row],[inv no]])</f>
        <v>KT-08DH1VHK(W) 375451</v>
      </c>
      <c r="S4512" s="86">
        <f>_xlfn.XLOOKUP(表格1[[#This Row],[Model]],表格3[Model-Input-Ref2],表格3[SRP PRICE])</f>
        <v>428</v>
      </c>
      <c r="T4512" s="43">
        <f>表格1[[#This Row],[Unit Price]]/表格1[[#This Row],[SRP]]</f>
        <v>0.62616822429906538</v>
      </c>
      <c r="U4512" s="86" t="str">
        <f>_xlfn.XLOOKUP(表格1[[#This Row],[Model]],表格3[Model-Input-Ref2],表格3[TOSHIBA/HIGHEST])</f>
        <v>Toshiba SRP</v>
      </c>
      <c r="W4512" s="86" t="str">
        <f>_xlfn.CONCAT(表格1[[#This Row],[欄4]],表格1[[#This Row],[inv no]])</f>
        <v>375451</v>
      </c>
    </row>
    <row r="4513" spans="1:23" hidden="1">
      <c r="A4513" s="81">
        <v>4511</v>
      </c>
      <c r="B4513" s="86" t="s">
        <v>39</v>
      </c>
      <c r="C4513" s="86" t="s">
        <v>2093</v>
      </c>
      <c r="D4513" s="89" t="str">
        <f ca="1">OFFSET(Roster!$A$3,MATCH(表格1[[#This Row],[Location]]&amp;" "&amp;表格1[[#This Row],[Shop]]&amp;"*",Roster!$A$4:$A$72,0),DAY(表格1[[#This Row],[date]]),1,1)</f>
        <v>Wendy Wong_2</v>
      </c>
      <c r="E4513" s="86">
        <v>3</v>
      </c>
      <c r="F4513" s="90">
        <v>46109</v>
      </c>
      <c r="G4513" s="86" t="str">
        <f>VLOOKUP("*"&amp;表格1[[#This Row],[Input]]&amp;"*",'Ref-List'!$B:$D,2,)</f>
        <v>RC-10JRUH(N)</v>
      </c>
      <c r="H4513" s="86" t="str">
        <f>_xlfn.XLOOKUP(表格1[[#This Row],[Model]],表格3[Model-Input-Ref2],表格3[Product Line])</f>
        <v>電飯煲</v>
      </c>
      <c r="I4513" s="86" t="str">
        <f>_xlfn.XLOOKUP(表格1[[#This Row],[Model]],表格3[Model-Input-Ref2],表格3[大小電])</f>
        <v>細電</v>
      </c>
      <c r="J4513" s="86" t="str">
        <f>_xlfn.XLOOKUP(表格1[[#This Row],[Model]],表格3[Model-Input-Ref2],表格3[Code])</f>
        <v>SDA</v>
      </c>
      <c r="K4513" s="89" t="s">
        <v>2042</v>
      </c>
      <c r="L4513" s="86">
        <v>1</v>
      </c>
      <c r="M4513" s="87">
        <v>250</v>
      </c>
      <c r="N4513" s="87">
        <f>IFERROR(表格1[[#This Row],[QTY]]*表格1[[#This Row],[Unit Price]],"-")</f>
        <v>250</v>
      </c>
      <c r="O4513" s="86">
        <v>368006</v>
      </c>
      <c r="R4513" s="86" t="str">
        <f>_xlfn.CONCAT(表格1[[#This Row],[Model]]," ",表格1[[#This Row],[inv no]])</f>
        <v>RC-10JRUH(N) 368006</v>
      </c>
      <c r="S4513" s="86">
        <f>_xlfn.XLOOKUP(表格1[[#This Row],[Model]],表格3[Model-Input-Ref2],表格3[SRP PRICE])</f>
        <v>398</v>
      </c>
      <c r="T4513" s="43">
        <f>表格1[[#This Row],[Unit Price]]/表格1[[#This Row],[SRP]]</f>
        <v>0.62814070351758799</v>
      </c>
      <c r="U4513" s="86" t="str">
        <f>_xlfn.XLOOKUP(表格1[[#This Row],[Model]],表格3[Model-Input-Ref2],表格3[TOSHIBA/HIGHEST])</f>
        <v>Shops Highest Price</v>
      </c>
      <c r="W4513" s="86" t="str">
        <f>_xlfn.CONCAT(表格1[[#This Row],[欄4]],表格1[[#This Row],[inv no]])</f>
        <v>368006</v>
      </c>
    </row>
    <row r="4514" spans="1:23" hidden="1">
      <c r="A4514" s="81">
        <v>4512</v>
      </c>
      <c r="B4514" s="86" t="s">
        <v>39</v>
      </c>
      <c r="C4514" s="86" t="s">
        <v>2093</v>
      </c>
      <c r="D4514" s="89" t="str">
        <f ca="1">OFFSET(Roster!$A$3,MATCH(表格1[[#This Row],[Location]]&amp;" "&amp;表格1[[#This Row],[Shop]]&amp;"*",Roster!$A$4:$A$72,0),DAY(表格1[[#This Row],[date]]),1,1)</f>
        <v>Wendy Wong_2</v>
      </c>
      <c r="E4514" s="86">
        <v>3</v>
      </c>
      <c r="F4514" s="90">
        <v>46109</v>
      </c>
      <c r="G4514" s="86" t="str">
        <f>VLOOKUP("*"&amp;表格1[[#This Row],[Input]]&amp;"*",'Ref-List'!$B:$D,2,)</f>
        <v>KT-17SHNH</v>
      </c>
      <c r="H4514" s="86" t="str">
        <f>_xlfn.XLOOKUP(表格1[[#This Row],[Model]],表格3[Model-Input-Ref2],表格3[Product Line])</f>
        <v>1.7L無線雙層電熱水壺</v>
      </c>
      <c r="I4514" s="86" t="str">
        <f>_xlfn.XLOOKUP(表格1[[#This Row],[Model]],表格3[Model-Input-Ref2],表格3[大小電])</f>
        <v>細電</v>
      </c>
      <c r="J4514" s="86" t="str">
        <f>_xlfn.XLOOKUP(表格1[[#This Row],[Model]],表格3[Model-Input-Ref2],表格3[Code])</f>
        <v>SDA</v>
      </c>
      <c r="K4514" s="89" t="s">
        <v>2030</v>
      </c>
      <c r="L4514" s="86">
        <v>1</v>
      </c>
      <c r="M4514" s="87">
        <v>198</v>
      </c>
      <c r="N4514" s="87">
        <f>IFERROR(表格1[[#This Row],[QTY]]*表格1[[#This Row],[Unit Price]],"-")</f>
        <v>198</v>
      </c>
      <c r="O4514" s="86">
        <v>606967</v>
      </c>
      <c r="R4514" s="86" t="str">
        <f>_xlfn.CONCAT(表格1[[#This Row],[Model]]," ",表格1[[#This Row],[inv no]])</f>
        <v>KT-17SHNH 606967</v>
      </c>
      <c r="S4514" s="86">
        <f>_xlfn.XLOOKUP(表格1[[#This Row],[Model]],表格3[Model-Input-Ref2],表格3[SRP PRICE])</f>
        <v>299</v>
      </c>
      <c r="T4514" s="43">
        <f>表格1[[#This Row],[Unit Price]]/表格1[[#This Row],[SRP]]</f>
        <v>0.66220735785953178</v>
      </c>
      <c r="U4514" s="86" t="str">
        <f>_xlfn.XLOOKUP(表格1[[#This Row],[Model]],表格3[Model-Input-Ref2],表格3[TOSHIBA/HIGHEST])</f>
        <v>Shops Highest Price</v>
      </c>
      <c r="W4514" s="86" t="str">
        <f>_xlfn.CONCAT(表格1[[#This Row],[欄4]],表格1[[#This Row],[inv no]])</f>
        <v>606967</v>
      </c>
    </row>
    <row r="4515" spans="1:23" hidden="1">
      <c r="A4515" s="81">
        <v>4513</v>
      </c>
      <c r="B4515" s="86" t="s">
        <v>39</v>
      </c>
      <c r="C4515" s="86" t="s">
        <v>2093</v>
      </c>
      <c r="D4515" s="89" t="str">
        <f ca="1">OFFSET(Roster!$A$3,MATCH(表格1[[#This Row],[Location]]&amp;" "&amp;表格1[[#This Row],[Shop]]&amp;"*",Roster!$A$4:$A$72,0),DAY(表格1[[#This Row],[date]]),1,1)</f>
        <v>Wendy Wong_2</v>
      </c>
      <c r="E4515" s="86">
        <v>3</v>
      </c>
      <c r="F4515" s="90">
        <v>46109</v>
      </c>
      <c r="G4515" s="86" t="str">
        <f>VLOOKUP("*"&amp;表格1[[#This Row],[Input]]&amp;"*",'Ref-List'!$B:$D,2,)</f>
        <v>RC-10JRUH(N)</v>
      </c>
      <c r="H4515" s="86" t="str">
        <f>_xlfn.XLOOKUP(表格1[[#This Row],[Model]],表格3[Model-Input-Ref2],表格3[Product Line])</f>
        <v>電飯煲</v>
      </c>
      <c r="I4515" s="86" t="str">
        <f>_xlfn.XLOOKUP(表格1[[#This Row],[Model]],表格3[Model-Input-Ref2],表格3[大小電])</f>
        <v>細電</v>
      </c>
      <c r="J4515" s="86" t="str">
        <f>_xlfn.XLOOKUP(表格1[[#This Row],[Model]],表格3[Model-Input-Ref2],表格3[Code])</f>
        <v>SDA</v>
      </c>
      <c r="K4515" s="89" t="s">
        <v>2042</v>
      </c>
      <c r="L4515" s="86">
        <v>1</v>
      </c>
      <c r="M4515" s="87">
        <v>250</v>
      </c>
      <c r="N4515" s="87">
        <f>IFERROR(表格1[[#This Row],[QTY]]*表格1[[#This Row],[Unit Price]],"-")</f>
        <v>250</v>
      </c>
      <c r="O4515" s="86">
        <v>368069</v>
      </c>
      <c r="R4515" s="86" t="str">
        <f>_xlfn.CONCAT(表格1[[#This Row],[Model]]," ",表格1[[#This Row],[inv no]])</f>
        <v>RC-10JRUH(N) 368069</v>
      </c>
      <c r="S4515" s="86">
        <f>_xlfn.XLOOKUP(表格1[[#This Row],[Model]],表格3[Model-Input-Ref2],表格3[SRP PRICE])</f>
        <v>398</v>
      </c>
      <c r="T4515" s="43">
        <f>表格1[[#This Row],[Unit Price]]/表格1[[#This Row],[SRP]]</f>
        <v>0.62814070351758799</v>
      </c>
      <c r="U4515" s="86" t="str">
        <f>_xlfn.XLOOKUP(表格1[[#This Row],[Model]],表格3[Model-Input-Ref2],表格3[TOSHIBA/HIGHEST])</f>
        <v>Shops Highest Price</v>
      </c>
      <c r="W4515" s="86" t="str">
        <f>_xlfn.CONCAT(表格1[[#This Row],[欄4]],表格1[[#This Row],[inv no]])</f>
        <v>368069</v>
      </c>
    </row>
    <row r="4516" spans="1:23" hidden="1">
      <c r="A4516" s="81">
        <v>4514</v>
      </c>
      <c r="B4516" s="86" t="s">
        <v>39</v>
      </c>
      <c r="C4516" s="86" t="s">
        <v>2093</v>
      </c>
      <c r="D4516" s="89" t="str">
        <f ca="1">OFFSET(Roster!$A$3,MATCH(表格1[[#This Row],[Location]]&amp;" "&amp;表格1[[#This Row],[Shop]]&amp;"*",Roster!$A$4:$A$72,0),DAY(表格1[[#This Row],[date]]),1,1)</f>
        <v>Wendy Wong_2</v>
      </c>
      <c r="E4516" s="86">
        <v>3</v>
      </c>
      <c r="F4516" s="90">
        <v>46109</v>
      </c>
      <c r="G4516" s="86" t="str">
        <f>VLOOKUP("*"&amp;表格1[[#This Row],[Input]]&amp;"*",'Ref-List'!$B:$D,2,)</f>
        <v>RC-10IRPH</v>
      </c>
      <c r="H4516" s="86" t="str">
        <f>_xlfn.XLOOKUP(表格1[[#This Row],[Model]],表格3[Model-Input-Ref2],表格3[Product Line])</f>
        <v>低醣磁應電飯煲1L</v>
      </c>
      <c r="I4516" s="86" t="str">
        <f>_xlfn.XLOOKUP(表格1[[#This Row],[Model]],表格3[Model-Input-Ref2],表格3[大小電])</f>
        <v>細電</v>
      </c>
      <c r="J4516" s="86" t="str">
        <f>_xlfn.XLOOKUP(表格1[[#This Row],[Model]],表格3[Model-Input-Ref2],表格3[Code])</f>
        <v>SDA</v>
      </c>
      <c r="K4516" s="89" t="s">
        <v>2040</v>
      </c>
      <c r="L4516" s="86">
        <v>1</v>
      </c>
      <c r="M4516" s="87">
        <v>798</v>
      </c>
      <c r="N4516" s="87">
        <f>IFERROR(表格1[[#This Row],[QTY]]*表格1[[#This Row],[Unit Price]],"-")</f>
        <v>798</v>
      </c>
      <c r="O4516" s="86">
        <v>368100</v>
      </c>
      <c r="R4516" s="86" t="str">
        <f>_xlfn.CONCAT(表格1[[#This Row],[Model]]," ",表格1[[#This Row],[inv no]])</f>
        <v>RC-10IRPH 368100</v>
      </c>
      <c r="S4516" s="86">
        <f>_xlfn.XLOOKUP(表格1[[#This Row],[Model]],表格3[Model-Input-Ref2],表格3[SRP PRICE])</f>
        <v>1388</v>
      </c>
      <c r="T4516" s="43">
        <f>表格1[[#This Row],[Unit Price]]/表格1[[#This Row],[SRP]]</f>
        <v>0.5749279538904899</v>
      </c>
      <c r="U4516" s="86" t="str">
        <f>_xlfn.XLOOKUP(表格1[[#This Row],[Model]],表格3[Model-Input-Ref2],表格3[TOSHIBA/HIGHEST])</f>
        <v>Toshiba SRP</v>
      </c>
      <c r="W4516" s="86" t="str">
        <f>_xlfn.CONCAT(表格1[[#This Row],[欄4]],表格1[[#This Row],[inv no]])</f>
        <v>368100</v>
      </c>
    </row>
    <row r="4517" spans="1:23" hidden="1">
      <c r="A4517" s="81">
        <v>4515</v>
      </c>
      <c r="B4517" s="86" t="s">
        <v>39</v>
      </c>
      <c r="C4517" s="86" t="s">
        <v>2093</v>
      </c>
      <c r="D4517" s="89" t="str">
        <f ca="1">OFFSET(Roster!$A$3,MATCH(表格1[[#This Row],[Location]]&amp;" "&amp;表格1[[#This Row],[Shop]]&amp;"*",Roster!$A$4:$A$72,0),DAY(表格1[[#This Row],[date]]),1,1)</f>
        <v>Wendy Wong_2</v>
      </c>
      <c r="E4517" s="86">
        <v>3</v>
      </c>
      <c r="F4517" s="90">
        <v>46109</v>
      </c>
      <c r="G4517" s="86" t="str">
        <f>VLOOKUP("*"&amp;表格1[[#This Row],[Input]]&amp;"*",'Ref-List'!$B:$D,2,)</f>
        <v>F-LYA20(W)HKG</v>
      </c>
      <c r="H4517" s="86" t="str">
        <f>_xlfn.XLOOKUP(表格1[[#This Row],[Model]],表格3[Model-Input-Ref2],表格3[Product Line])</f>
        <v>12吋2合1座地座檯電風扇連遙控</v>
      </c>
      <c r="I4517" s="86" t="str">
        <f>_xlfn.XLOOKUP(表格1[[#This Row],[Model]],表格3[Model-Input-Ref2],表格3[大小電])</f>
        <v>細電</v>
      </c>
      <c r="J4517" s="86" t="str">
        <f>_xlfn.XLOOKUP(表格1[[#This Row],[Model]],表格3[Model-Input-Ref2],表格3[Code])</f>
        <v>EAD</v>
      </c>
      <c r="K4517" s="89" t="s">
        <v>2052</v>
      </c>
      <c r="L4517" s="86">
        <v>1</v>
      </c>
      <c r="M4517" s="87">
        <v>399</v>
      </c>
      <c r="N4517" s="87">
        <f>IFERROR(表格1[[#This Row],[QTY]]*表格1[[#This Row],[Unit Price]],"-")</f>
        <v>399</v>
      </c>
      <c r="O4517" s="86">
        <v>368114</v>
      </c>
      <c r="R4517" s="86" t="str">
        <f>_xlfn.CONCAT(表格1[[#This Row],[Model]]," ",表格1[[#This Row],[inv no]])</f>
        <v>F-LYA20(W)HKG 368114</v>
      </c>
      <c r="S4517" s="86">
        <f>_xlfn.XLOOKUP(表格1[[#This Row],[Model]],表格3[Model-Input-Ref2],表格3[SRP PRICE])</f>
        <v>988</v>
      </c>
      <c r="T4517" s="43">
        <f>表格1[[#This Row],[Unit Price]]/表格1[[#This Row],[SRP]]</f>
        <v>0.40384615384615385</v>
      </c>
      <c r="U4517" s="86" t="str">
        <f>_xlfn.XLOOKUP(表格1[[#This Row],[Model]],表格3[Model-Input-Ref2],表格3[TOSHIBA/HIGHEST])</f>
        <v>Toshiba SRP</v>
      </c>
      <c r="W4517" s="86" t="str">
        <f>_xlfn.CONCAT(表格1[[#This Row],[欄4]],表格1[[#This Row],[inv no]])</f>
        <v>368114</v>
      </c>
    </row>
    <row r="4518" spans="1:23" hidden="1">
      <c r="A4518" s="81">
        <v>4516</v>
      </c>
      <c r="B4518" s="86" t="s">
        <v>39</v>
      </c>
      <c r="C4518" s="86" t="s">
        <v>2093</v>
      </c>
      <c r="D4518" s="89" t="str">
        <f ca="1">OFFSET(Roster!$A$3,MATCH(表格1[[#This Row],[Location]]&amp;" "&amp;表格1[[#This Row],[Shop]]&amp;"*",Roster!$A$4:$A$72,0),DAY(表格1[[#This Row],[date]]),1,1)</f>
        <v>Wendy Wong_2</v>
      </c>
      <c r="E4518" s="86">
        <v>3</v>
      </c>
      <c r="F4518" s="90">
        <v>46109</v>
      </c>
      <c r="G4518" s="86" t="str">
        <f>VLOOKUP("*"&amp;表格1[[#This Row],[Input]]&amp;"*",'Ref-List'!$B:$D,2,)</f>
        <v>RC-18NMFIH(WT)</v>
      </c>
      <c r="H4518" s="86" t="str">
        <f>_xlfn.XLOOKUP(表格1[[#This Row],[Model]],表格3[Model-Input-Ref2],表格3[Product Line])</f>
        <v>4毫米厚釜電飯煲1.8L</v>
      </c>
      <c r="I4518" s="86" t="str">
        <f>_xlfn.XLOOKUP(表格1[[#This Row],[Model]],表格3[Model-Input-Ref2],表格3[大小電])</f>
        <v>細電</v>
      </c>
      <c r="J4518" s="86" t="str">
        <f>_xlfn.XLOOKUP(表格1[[#This Row],[Model]],表格3[Model-Input-Ref2],表格3[Code])</f>
        <v>SDA</v>
      </c>
      <c r="K4518" s="89" t="s">
        <v>2043</v>
      </c>
      <c r="L4518" s="86">
        <v>1</v>
      </c>
      <c r="M4518" s="87">
        <v>799</v>
      </c>
      <c r="N4518" s="87">
        <f>IFERROR(表格1[[#This Row],[QTY]]*表格1[[#This Row],[Unit Price]],"-")</f>
        <v>799</v>
      </c>
      <c r="O4518" s="86">
        <v>368127</v>
      </c>
      <c r="R4518" s="86" t="str">
        <f>_xlfn.CONCAT(表格1[[#This Row],[Model]]," ",表格1[[#This Row],[inv no]])</f>
        <v>RC-18NMFIH(WT) 368127</v>
      </c>
      <c r="S4518" s="86">
        <f>_xlfn.XLOOKUP(表格1[[#This Row],[Model]],表格3[Model-Input-Ref2],表格3[SRP PRICE])</f>
        <v>998</v>
      </c>
      <c r="T4518" s="43">
        <f>表格1[[#This Row],[Unit Price]]/表格1[[#This Row],[SRP]]</f>
        <v>0.80060120240480959</v>
      </c>
      <c r="U4518" s="86" t="str">
        <f>_xlfn.XLOOKUP(表格1[[#This Row],[Model]],表格3[Model-Input-Ref2],表格3[TOSHIBA/HIGHEST])</f>
        <v>Toshiba SRP</v>
      </c>
      <c r="W4518" s="86" t="str">
        <f>_xlfn.CONCAT(表格1[[#This Row],[欄4]],表格1[[#This Row],[inv no]])</f>
        <v>368127</v>
      </c>
    </row>
    <row r="4519" spans="1:23" hidden="1">
      <c r="A4519" s="81">
        <v>4517</v>
      </c>
      <c r="B4519" s="86" t="s">
        <v>39</v>
      </c>
      <c r="C4519" s="86" t="s">
        <v>2093</v>
      </c>
      <c r="D4519" s="89" t="str">
        <f ca="1">OFFSET(Roster!$A$3,MATCH(表格1[[#This Row],[Location]]&amp;" "&amp;表格1[[#This Row],[Shop]]&amp;"*",Roster!$A$4:$A$72,0),DAY(表格1[[#This Row],[date]]),1,1)</f>
        <v>Wendy Wong_2</v>
      </c>
      <c r="E4519" s="86">
        <v>3</v>
      </c>
      <c r="F4519" s="90">
        <v>46109</v>
      </c>
      <c r="G4519" s="86" t="str">
        <f>VLOOKUP("*"&amp;表格1[[#This Row],[Input]]&amp;"*",'Ref-List'!$B:$D,2,)</f>
        <v>RC-10BHH(W)</v>
      </c>
      <c r="H4519" s="86" t="str">
        <f>_xlfn.XLOOKUP(表格1[[#This Row],[Model]],表格3[Model-Input-Ref2],表格3[Product Line])</f>
        <v>酵活炊磁應電飯煲</v>
      </c>
      <c r="I4519" s="86" t="str">
        <f>_xlfn.XLOOKUP(表格1[[#This Row],[Model]],表格3[Model-Input-Ref2],表格3[大小電])</f>
        <v>細電</v>
      </c>
      <c r="J4519" s="86" t="str">
        <f>_xlfn.XLOOKUP(表格1[[#This Row],[Model]],表格3[Model-Input-Ref2],表格3[Code])</f>
        <v>SDA</v>
      </c>
      <c r="K4519" s="89" t="s">
        <v>2051</v>
      </c>
      <c r="L4519" s="86">
        <v>1</v>
      </c>
      <c r="M4519" s="87">
        <v>1688</v>
      </c>
      <c r="N4519" s="87">
        <f>IFERROR(表格1[[#This Row],[QTY]]*表格1[[#This Row],[Unit Price]],"-")</f>
        <v>1688</v>
      </c>
      <c r="O4519" s="86">
        <v>368135</v>
      </c>
      <c r="R4519" s="86" t="str">
        <f>_xlfn.CONCAT(表格1[[#This Row],[Model]]," ",表格1[[#This Row],[inv no]])</f>
        <v>RC-10BHH(W) 368135</v>
      </c>
      <c r="S4519" s="86">
        <f>_xlfn.XLOOKUP(表格1[[#This Row],[Model]],表格3[Model-Input-Ref2],表格3[SRP PRICE])</f>
        <v>2088</v>
      </c>
      <c r="T4519" s="43">
        <f>表格1[[#This Row],[Unit Price]]/表格1[[#This Row],[SRP]]</f>
        <v>0.80842911877394641</v>
      </c>
      <c r="U4519" s="86" t="str">
        <f>_xlfn.XLOOKUP(表格1[[#This Row],[Model]],表格3[Model-Input-Ref2],表格3[TOSHIBA/HIGHEST])</f>
        <v>Shops Highest Price</v>
      </c>
      <c r="W4519" s="86" t="str">
        <f>_xlfn.CONCAT(表格1[[#This Row],[欄4]],表格1[[#This Row],[inv no]])</f>
        <v>368135</v>
      </c>
    </row>
    <row r="4520" spans="1:23" hidden="1">
      <c r="A4520" s="81">
        <v>4518</v>
      </c>
      <c r="B4520" s="86" t="s">
        <v>39</v>
      </c>
      <c r="C4520" s="86" t="s">
        <v>2093</v>
      </c>
      <c r="D4520" s="89" t="str">
        <f ca="1">OFFSET(Roster!$A$3,MATCH(表格1[[#This Row],[Location]]&amp;" "&amp;表格1[[#This Row],[Shop]]&amp;"*",Roster!$A$4:$A$72,0),DAY(表格1[[#This Row],[date]]),1,1)</f>
        <v>Wendy Wong_2</v>
      </c>
      <c r="E4520" s="86">
        <v>3</v>
      </c>
      <c r="F4520" s="90">
        <v>46109</v>
      </c>
      <c r="G4520" s="86" t="str">
        <f>VLOOKUP("*"&amp;表格1[[#This Row],[Input]]&amp;"*",'Ref-List'!$B:$D,2,)</f>
        <v>F-LYA20(W)HKG</v>
      </c>
      <c r="H4520" s="86" t="str">
        <f>_xlfn.XLOOKUP(表格1[[#This Row],[Model]],表格3[Model-Input-Ref2],表格3[Product Line])</f>
        <v>12吋2合1座地座檯電風扇連遙控</v>
      </c>
      <c r="I4520" s="86" t="str">
        <f>_xlfn.XLOOKUP(表格1[[#This Row],[Model]],表格3[Model-Input-Ref2],表格3[大小電])</f>
        <v>細電</v>
      </c>
      <c r="J4520" s="86" t="str">
        <f>_xlfn.XLOOKUP(表格1[[#This Row],[Model]],表格3[Model-Input-Ref2],表格3[Code])</f>
        <v>EAD</v>
      </c>
      <c r="K4520" s="89" t="s">
        <v>2052</v>
      </c>
      <c r="L4520" s="86">
        <v>1</v>
      </c>
      <c r="M4520" s="87">
        <v>399</v>
      </c>
      <c r="N4520" s="87">
        <f>IFERROR(表格1[[#This Row],[QTY]]*表格1[[#This Row],[Unit Price]],"-")</f>
        <v>399</v>
      </c>
      <c r="O4520" s="86">
        <v>368195</v>
      </c>
      <c r="R4520" s="86" t="str">
        <f>_xlfn.CONCAT(表格1[[#This Row],[Model]]," ",表格1[[#This Row],[inv no]])</f>
        <v>F-LYA20(W)HKG 368195</v>
      </c>
      <c r="S4520" s="86">
        <f>_xlfn.XLOOKUP(表格1[[#This Row],[Model]],表格3[Model-Input-Ref2],表格3[SRP PRICE])</f>
        <v>988</v>
      </c>
      <c r="T4520" s="43">
        <f>表格1[[#This Row],[Unit Price]]/表格1[[#This Row],[SRP]]</f>
        <v>0.40384615384615385</v>
      </c>
      <c r="U4520" s="86" t="str">
        <f>_xlfn.XLOOKUP(表格1[[#This Row],[Model]],表格3[Model-Input-Ref2],表格3[TOSHIBA/HIGHEST])</f>
        <v>Toshiba SRP</v>
      </c>
      <c r="W4520" s="86" t="str">
        <f>_xlfn.CONCAT(表格1[[#This Row],[欄4]],表格1[[#This Row],[inv no]])</f>
        <v>368195</v>
      </c>
    </row>
    <row r="4521" spans="1:23" hidden="1">
      <c r="A4521" s="81">
        <v>4519</v>
      </c>
      <c r="B4521" s="86" t="s">
        <v>39</v>
      </c>
      <c r="C4521" s="86" t="s">
        <v>2093</v>
      </c>
      <c r="D4521" s="89" t="str">
        <f ca="1">OFFSET(Roster!$A$3,MATCH(表格1[[#This Row],[Location]]&amp;" "&amp;表格1[[#This Row],[Shop]]&amp;"*",Roster!$A$4:$A$72,0),DAY(表格1[[#This Row],[date]]),1,1)</f>
        <v>Wendy Wong_2</v>
      </c>
      <c r="E4521" s="86">
        <v>3</v>
      </c>
      <c r="F4521" s="90">
        <v>46110</v>
      </c>
      <c r="G4521" s="86" t="str">
        <f>VLOOKUP("*"&amp;表格1[[#This Row],[Input]]&amp;"*",'Ref-List'!$B:$D,2,)</f>
        <v>MWP-MM20P(WH)</v>
      </c>
      <c r="H4521" s="86" t="str">
        <f>_xlfn.XLOOKUP(表格1[[#This Row],[Model]],表格3[Model-Input-Ref2],表格3[Product Line])</f>
        <v>旋鈕式燒烤微波爐20L</v>
      </c>
      <c r="I4521" s="86" t="str">
        <f>_xlfn.XLOOKUP(表格1[[#This Row],[Model]],表格3[Model-Input-Ref2],表格3[大小電])</f>
        <v>細電</v>
      </c>
      <c r="J4521" s="86" t="str">
        <f>_xlfn.XLOOKUP(表格1[[#This Row],[Model]],表格3[Model-Input-Ref2],表格3[Code])</f>
        <v>SDA</v>
      </c>
      <c r="K4521" s="89" t="s">
        <v>1375</v>
      </c>
      <c r="L4521" s="86">
        <v>1</v>
      </c>
      <c r="M4521" s="87">
        <v>488</v>
      </c>
      <c r="N4521" s="87">
        <f>IFERROR(表格1[[#This Row],[QTY]]*表格1[[#This Row],[Unit Price]],"-")</f>
        <v>488</v>
      </c>
      <c r="O4521" s="86">
        <v>368315</v>
      </c>
      <c r="R4521" s="86" t="str">
        <f>_xlfn.CONCAT(表格1[[#This Row],[Model]]," ",表格1[[#This Row],[inv no]])</f>
        <v>MWP-MM20P(WH) 368315</v>
      </c>
      <c r="S4521" s="86">
        <f>_xlfn.XLOOKUP(表格1[[#This Row],[Model]],表格3[Model-Input-Ref2],表格3[SRP PRICE])</f>
        <v>648</v>
      </c>
      <c r="T4521" s="43">
        <f>表格1[[#This Row],[Unit Price]]/表格1[[#This Row],[SRP]]</f>
        <v>0.75308641975308643</v>
      </c>
      <c r="U4521" s="86" t="str">
        <f>_xlfn.XLOOKUP(表格1[[#This Row],[Model]],表格3[Model-Input-Ref2],表格3[TOSHIBA/HIGHEST])</f>
        <v>Toshiba SRP</v>
      </c>
      <c r="W4521" s="86" t="str">
        <f>_xlfn.CONCAT(表格1[[#This Row],[欄4]],表格1[[#This Row],[inv no]])</f>
        <v>368315</v>
      </c>
    </row>
    <row r="4522" spans="1:23" hidden="1">
      <c r="A4522" s="81">
        <v>4520</v>
      </c>
      <c r="B4522" s="86" t="s">
        <v>39</v>
      </c>
      <c r="C4522" s="86" t="s">
        <v>2093</v>
      </c>
      <c r="D4522" s="89" t="str">
        <f ca="1">OFFSET(Roster!$A$3,MATCH(表格1[[#This Row],[Location]]&amp;" "&amp;表格1[[#This Row],[Shop]]&amp;"*",Roster!$A$4:$A$72,0),DAY(表格1[[#This Row],[date]]),1,1)</f>
        <v>Wendy Wong_2</v>
      </c>
      <c r="E4522" s="86">
        <v>3</v>
      </c>
      <c r="F4522" s="90">
        <v>46110</v>
      </c>
      <c r="G4522" s="86" t="str">
        <f>VLOOKUP("*"&amp;表格1[[#This Row],[Input]]&amp;"*",'Ref-List'!$B:$D,2,)</f>
        <v>GR-RM352WI-PMA(53)</v>
      </c>
      <c r="H4522" s="86" t="str">
        <f>_xlfn.XLOOKUP(表格1[[#This Row],[Model]],表格3[Model-Input-Ref2],表格3[Product Line])</f>
        <v>變頻三門雪櫃 (233L)</v>
      </c>
      <c r="I4522" s="86" t="str">
        <f>_xlfn.XLOOKUP(表格1[[#This Row],[Model]],表格3[Model-Input-Ref2],表格3[大小電])</f>
        <v>大電</v>
      </c>
      <c r="J4522" s="86" t="str">
        <f>_xlfn.XLOOKUP(表格1[[#This Row],[Model]],表格3[Model-Input-Ref2],表格3[Code])</f>
        <v>REF</v>
      </c>
      <c r="K4522" s="89" t="s">
        <v>2088</v>
      </c>
      <c r="L4522" s="86">
        <v>1</v>
      </c>
      <c r="M4522" s="87">
        <v>3490</v>
      </c>
      <c r="N4522" s="87">
        <f>IFERROR(表格1[[#This Row],[QTY]]*表格1[[#This Row],[Unit Price]],"-")</f>
        <v>3490</v>
      </c>
      <c r="O4522" s="86">
        <v>368345</v>
      </c>
      <c r="R4522" s="86" t="str">
        <f>_xlfn.CONCAT(表格1[[#This Row],[Model]]," ",表格1[[#This Row],[inv no]])</f>
        <v>GR-RM352WI-PMA(53) 368345</v>
      </c>
      <c r="S4522" s="86">
        <f>_xlfn.XLOOKUP(表格1[[#This Row],[Model]],表格3[Model-Input-Ref2],表格3[SRP PRICE])</f>
        <v>5580</v>
      </c>
      <c r="T4522" s="43">
        <f>表格1[[#This Row],[Unit Price]]/表格1[[#This Row],[SRP]]</f>
        <v>0.62544802867383509</v>
      </c>
      <c r="U4522" s="86" t="str">
        <f>_xlfn.XLOOKUP(表格1[[#This Row],[Model]],表格3[Model-Input-Ref2],表格3[TOSHIBA/HIGHEST])</f>
        <v>Toshiba SRP</v>
      </c>
      <c r="W4522" s="86" t="str">
        <f>_xlfn.CONCAT(表格1[[#This Row],[欄4]],表格1[[#This Row],[inv no]])</f>
        <v>368345</v>
      </c>
    </row>
    <row r="4523" spans="1:23" hidden="1">
      <c r="A4523" s="81">
        <v>4521</v>
      </c>
      <c r="B4523" s="86" t="s">
        <v>39</v>
      </c>
      <c r="C4523" s="86" t="s">
        <v>2093</v>
      </c>
      <c r="D4523" s="89" t="str">
        <f ca="1">OFFSET(Roster!$A$3,MATCH(表格1[[#This Row],[Location]]&amp;" "&amp;表格1[[#This Row],[Shop]]&amp;"*",Roster!$A$4:$A$72,0),DAY(表格1[[#This Row],[date]]),1,1)</f>
        <v>Wendy Wong_2</v>
      </c>
      <c r="E4523" s="86">
        <v>3</v>
      </c>
      <c r="F4523" s="90">
        <v>46110</v>
      </c>
      <c r="G4523" s="86" t="str">
        <f>VLOOKUP("*"&amp;表格1[[#This Row],[Input]]&amp;"*",'Ref-List'!$B:$D,2,)</f>
        <v>RC-5MMIH(WT)</v>
      </c>
      <c r="H4523" s="86" t="str">
        <f>_xlfn.XLOOKUP(表格1[[#This Row],[Model]],表格3[Model-Input-Ref2],表格3[Product Line])</f>
        <v>4毫米厚釜電飯煲0.54L</v>
      </c>
      <c r="I4523" s="86" t="str">
        <f>_xlfn.XLOOKUP(表格1[[#This Row],[Model]],表格3[Model-Input-Ref2],表格3[大小電])</f>
        <v>細電</v>
      </c>
      <c r="J4523" s="86" t="str">
        <f>_xlfn.XLOOKUP(表格1[[#This Row],[Model]],表格3[Model-Input-Ref2],表格3[Code])</f>
        <v>SDA</v>
      </c>
      <c r="K4523" s="89" t="s">
        <v>2046</v>
      </c>
      <c r="L4523" s="86">
        <v>1</v>
      </c>
      <c r="M4523" s="87">
        <v>450</v>
      </c>
      <c r="N4523" s="87">
        <f>IFERROR(表格1[[#This Row],[QTY]]*表格1[[#This Row],[Unit Price]],"-")</f>
        <v>450</v>
      </c>
      <c r="O4523" s="86">
        <v>368366</v>
      </c>
      <c r="R4523" s="86" t="str">
        <f>_xlfn.CONCAT(表格1[[#This Row],[Model]]," ",表格1[[#This Row],[inv no]])</f>
        <v>RC-5MMIH(WT) 368366</v>
      </c>
      <c r="S4523" s="86">
        <f>_xlfn.XLOOKUP(表格1[[#This Row],[Model]],表格3[Model-Input-Ref2],表格3[SRP PRICE])</f>
        <v>618</v>
      </c>
      <c r="T4523" s="43">
        <f>表格1[[#This Row],[Unit Price]]/表格1[[#This Row],[SRP]]</f>
        <v>0.72815533980582525</v>
      </c>
      <c r="U4523" s="86" t="str">
        <f>_xlfn.XLOOKUP(表格1[[#This Row],[Model]],表格3[Model-Input-Ref2],表格3[TOSHIBA/HIGHEST])</f>
        <v>Toshiba SRP</v>
      </c>
      <c r="W4523" s="86" t="str">
        <f>_xlfn.CONCAT(表格1[[#This Row],[欄4]],表格1[[#This Row],[inv no]])</f>
        <v>368366</v>
      </c>
    </row>
    <row r="4524" spans="1:23" hidden="1">
      <c r="A4524" s="81">
        <v>4522</v>
      </c>
      <c r="B4524" s="86" t="s">
        <v>39</v>
      </c>
      <c r="C4524" s="86" t="s">
        <v>2093</v>
      </c>
      <c r="D4524" s="89" t="str">
        <f ca="1">OFFSET(Roster!$A$3,MATCH(表格1[[#This Row],[Location]]&amp;" "&amp;表格1[[#This Row],[Shop]]&amp;"*",Roster!$A$4:$A$72,0),DAY(表格1[[#This Row],[date]]),1,1)</f>
        <v>Wendy Wong_2</v>
      </c>
      <c r="E4524" s="86">
        <v>3</v>
      </c>
      <c r="F4524" s="90">
        <v>46110</v>
      </c>
      <c r="G4524" s="86" t="str">
        <f>VLOOKUP("*"&amp;表格1[[#This Row],[Input]]&amp;"*",'Ref-List'!$B:$D,2,)</f>
        <v>KT-08DH1VHK(W)</v>
      </c>
      <c r="H4524" s="86" t="str">
        <f>_xlfn.XLOOKUP(表格1[[#This Row],[Model]],表格3[Model-Input-Ref2],表格3[Product Line])</f>
        <v>無線雙層電熱水壺-附可鎖壺蓋(0.8公升)</v>
      </c>
      <c r="I4524" s="86" t="str">
        <f>_xlfn.XLOOKUP(表格1[[#This Row],[Model]],表格3[Model-Input-Ref2],表格3[大小電])</f>
        <v>細電</v>
      </c>
      <c r="J4524" s="86" t="str">
        <f>_xlfn.XLOOKUP(表格1[[#This Row],[Model]],表格3[Model-Input-Ref2],表格3[Code])</f>
        <v>SDA</v>
      </c>
      <c r="K4524" s="89" t="s">
        <v>2053</v>
      </c>
      <c r="L4524" s="86">
        <v>1</v>
      </c>
      <c r="M4524" s="87">
        <v>268</v>
      </c>
      <c r="N4524" s="87">
        <f>IFERROR(表格1[[#This Row],[QTY]]*表格1[[#This Row],[Unit Price]],"-")</f>
        <v>268</v>
      </c>
      <c r="O4524" s="86">
        <v>368379</v>
      </c>
      <c r="R4524" s="86" t="str">
        <f>_xlfn.CONCAT(表格1[[#This Row],[Model]]," ",表格1[[#This Row],[inv no]])</f>
        <v>KT-08DH1VHK(W) 368379</v>
      </c>
      <c r="S4524" s="86">
        <f>_xlfn.XLOOKUP(表格1[[#This Row],[Model]],表格3[Model-Input-Ref2],表格3[SRP PRICE])</f>
        <v>428</v>
      </c>
      <c r="T4524" s="43">
        <f>表格1[[#This Row],[Unit Price]]/表格1[[#This Row],[SRP]]</f>
        <v>0.62616822429906538</v>
      </c>
      <c r="U4524" s="86" t="str">
        <f>_xlfn.XLOOKUP(表格1[[#This Row],[Model]],表格3[Model-Input-Ref2],表格3[TOSHIBA/HIGHEST])</f>
        <v>Toshiba SRP</v>
      </c>
      <c r="W4524" s="86" t="str">
        <f>_xlfn.CONCAT(表格1[[#This Row],[欄4]],表格1[[#This Row],[inv no]])</f>
        <v>368379</v>
      </c>
    </row>
    <row r="4525" spans="1:23" hidden="1">
      <c r="A4525" s="81">
        <v>4523</v>
      </c>
      <c r="B4525" s="86" t="s">
        <v>39</v>
      </c>
      <c r="C4525" s="86" t="s">
        <v>2093</v>
      </c>
      <c r="D4525" s="89" t="str">
        <f ca="1">OFFSET(Roster!$A$3,MATCH(表格1[[#This Row],[Location]]&amp;" "&amp;表格1[[#This Row],[Shop]]&amp;"*",Roster!$A$4:$A$72,0),DAY(表格1[[#This Row],[date]]),1,1)</f>
        <v>Wendy Wong_2</v>
      </c>
      <c r="E4525" s="86">
        <v>3</v>
      </c>
      <c r="F4525" s="90">
        <v>46110</v>
      </c>
      <c r="G4525" s="86" t="str">
        <f>VLOOKUP("*"&amp;表格1[[#This Row],[Input]]&amp;"*",'Ref-List'!$B:$D,2,)</f>
        <v>KT-17SHNH</v>
      </c>
      <c r="H4525" s="86" t="str">
        <f>_xlfn.XLOOKUP(表格1[[#This Row],[Model]],表格3[Model-Input-Ref2],表格3[Product Line])</f>
        <v>1.7L無線雙層電熱水壺</v>
      </c>
      <c r="I4525" s="86" t="str">
        <f>_xlfn.XLOOKUP(表格1[[#This Row],[Model]],表格3[Model-Input-Ref2],表格3[大小電])</f>
        <v>細電</v>
      </c>
      <c r="J4525" s="86" t="str">
        <f>_xlfn.XLOOKUP(表格1[[#This Row],[Model]],表格3[Model-Input-Ref2],表格3[Code])</f>
        <v>SDA</v>
      </c>
      <c r="K4525" s="89" t="s">
        <v>2030</v>
      </c>
      <c r="L4525" s="86">
        <v>1</v>
      </c>
      <c r="M4525" s="87">
        <v>198</v>
      </c>
      <c r="N4525" s="87">
        <f>IFERROR(表格1[[#This Row],[QTY]]*表格1[[#This Row],[Unit Price]],"-")</f>
        <v>198</v>
      </c>
      <c r="O4525" s="86">
        <v>368385</v>
      </c>
      <c r="R4525" s="86" t="str">
        <f>_xlfn.CONCAT(表格1[[#This Row],[Model]]," ",表格1[[#This Row],[inv no]])</f>
        <v>KT-17SHNH 368385</v>
      </c>
      <c r="S4525" s="86">
        <f>_xlfn.XLOOKUP(表格1[[#This Row],[Model]],表格3[Model-Input-Ref2],表格3[SRP PRICE])</f>
        <v>299</v>
      </c>
      <c r="T4525" s="43">
        <f>表格1[[#This Row],[Unit Price]]/表格1[[#This Row],[SRP]]</f>
        <v>0.66220735785953178</v>
      </c>
      <c r="U4525" s="86" t="str">
        <f>_xlfn.XLOOKUP(表格1[[#This Row],[Model]],表格3[Model-Input-Ref2],表格3[TOSHIBA/HIGHEST])</f>
        <v>Shops Highest Price</v>
      </c>
      <c r="W4525" s="86" t="str">
        <f>_xlfn.CONCAT(表格1[[#This Row],[欄4]],表格1[[#This Row],[inv no]])</f>
        <v>368385</v>
      </c>
    </row>
    <row r="4526" spans="1:23" hidden="1">
      <c r="A4526" s="81">
        <v>4524</v>
      </c>
      <c r="B4526" s="86" t="s">
        <v>39</v>
      </c>
      <c r="C4526" s="86" t="s">
        <v>2093</v>
      </c>
      <c r="D4526" s="89" t="str">
        <f ca="1">OFFSET(Roster!$A$3,MATCH(表格1[[#This Row],[Location]]&amp;" "&amp;表格1[[#This Row],[Shop]]&amp;"*",Roster!$A$4:$A$72,0),DAY(表格1[[#This Row],[date]]),1,1)</f>
        <v>Wendy Wong_2</v>
      </c>
      <c r="E4526" s="86">
        <v>3</v>
      </c>
      <c r="F4526" s="90">
        <v>46110</v>
      </c>
      <c r="G4526" s="86" t="str">
        <f>VLOOKUP("*"&amp;表格1[[#This Row],[Input]]&amp;"*",'Ref-List'!$B:$D,2,)</f>
        <v>RC-18AMXH(W)</v>
      </c>
      <c r="H4526" s="86" t="str">
        <f>_xlfn.XLOOKUP(表格1[[#This Row],[Model]],表格3[Model-Input-Ref2],表格3[Product Line])</f>
        <v>酵活炊電飯煲(1.8公升)</v>
      </c>
      <c r="I4526" s="86" t="str">
        <f>_xlfn.XLOOKUP(表格1[[#This Row],[Model]],表格3[Model-Input-Ref2],表格3[大小電])</f>
        <v>細電</v>
      </c>
      <c r="J4526" s="86" t="str">
        <f>_xlfn.XLOOKUP(表格1[[#This Row],[Model]],表格3[Model-Input-Ref2],表格3[Code])</f>
        <v>SDA</v>
      </c>
      <c r="K4526" s="89" t="s">
        <v>2085</v>
      </c>
      <c r="L4526" s="86">
        <v>1</v>
      </c>
      <c r="M4526" s="87">
        <v>990</v>
      </c>
      <c r="N4526" s="87">
        <f>IFERROR(表格1[[#This Row],[QTY]]*表格1[[#This Row],[Unit Price]],"-")</f>
        <v>990</v>
      </c>
      <c r="O4526" s="86">
        <v>368403</v>
      </c>
      <c r="R4526" s="86" t="str">
        <f>_xlfn.CONCAT(表格1[[#This Row],[Model]]," ",表格1[[#This Row],[inv no]])</f>
        <v>RC-18AMXH(W) 368403</v>
      </c>
      <c r="S4526" s="86">
        <f>_xlfn.XLOOKUP(表格1[[#This Row],[Model]],表格3[Model-Input-Ref2],表格3[SRP PRICE])</f>
        <v>1588</v>
      </c>
      <c r="T4526" s="43">
        <f>表格1[[#This Row],[Unit Price]]/表格1[[#This Row],[SRP]]</f>
        <v>0.62342569269521408</v>
      </c>
      <c r="U4526" s="86" t="str">
        <f>_xlfn.XLOOKUP(表格1[[#This Row],[Model]],表格3[Model-Input-Ref2],表格3[TOSHIBA/HIGHEST])</f>
        <v>Toshiba SRP</v>
      </c>
      <c r="W4526" s="86" t="str">
        <f>_xlfn.CONCAT(表格1[[#This Row],[欄4]],表格1[[#This Row],[inv no]])</f>
        <v>368403</v>
      </c>
    </row>
    <row r="4527" spans="1:23" hidden="1">
      <c r="A4527" s="81">
        <v>4525</v>
      </c>
      <c r="B4527" s="86" t="s">
        <v>39</v>
      </c>
      <c r="C4527" s="86" t="s">
        <v>2093</v>
      </c>
      <c r="D4527" s="89" t="str">
        <f ca="1">OFFSET(Roster!$A$3,MATCH(表格1[[#This Row],[Location]]&amp;" "&amp;表格1[[#This Row],[Shop]]&amp;"*",Roster!$A$4:$A$72,0),DAY(表格1[[#This Row],[date]]),1,1)</f>
        <v>Wendy Wong_2</v>
      </c>
      <c r="E4527" s="86">
        <v>3</v>
      </c>
      <c r="F4527" s="90">
        <v>46110</v>
      </c>
      <c r="G4527" s="86" t="str">
        <f>VLOOKUP("*"&amp;表格1[[#This Row],[Input]]&amp;"*",'Ref-List'!$B:$D,2,)</f>
        <v>RC-18JRUH(N)</v>
      </c>
      <c r="H4527" s="86" t="str">
        <f>_xlfn.XLOOKUP(表格1[[#This Row],[Model]],表格3[Model-Input-Ref2],表格3[Product Line])</f>
        <v>1.8公升電飯煲</v>
      </c>
      <c r="I4527" s="86" t="str">
        <f>_xlfn.XLOOKUP(表格1[[#This Row],[Model]],表格3[Model-Input-Ref2],表格3[大小電])</f>
        <v>細電</v>
      </c>
      <c r="J4527" s="86" t="str">
        <f>_xlfn.XLOOKUP(表格1[[#This Row],[Model]],表格3[Model-Input-Ref2],表格3[Code])</f>
        <v>SDA</v>
      </c>
      <c r="K4527" s="89" t="s">
        <v>2038</v>
      </c>
      <c r="L4527" s="86">
        <v>1</v>
      </c>
      <c r="M4527" s="87">
        <v>300</v>
      </c>
      <c r="N4527" s="87">
        <f>IFERROR(表格1[[#This Row],[QTY]]*表格1[[#This Row],[Unit Price]],"-")</f>
        <v>300</v>
      </c>
      <c r="O4527" s="86">
        <v>607541</v>
      </c>
      <c r="R4527" s="86" t="str">
        <f>_xlfn.CONCAT(表格1[[#This Row],[Model]]," ",表格1[[#This Row],[inv no]])</f>
        <v>RC-18JRUH(N) 607541</v>
      </c>
      <c r="S4527" s="86">
        <f>_xlfn.XLOOKUP(表格1[[#This Row],[Model]],表格3[Model-Input-Ref2],表格3[SRP PRICE])</f>
        <v>458</v>
      </c>
      <c r="T4527" s="43">
        <f>表格1[[#This Row],[Unit Price]]/表格1[[#This Row],[SRP]]</f>
        <v>0.65502183406113534</v>
      </c>
      <c r="U4527" s="86" t="str">
        <f>_xlfn.XLOOKUP(表格1[[#This Row],[Model]],表格3[Model-Input-Ref2],表格3[TOSHIBA/HIGHEST])</f>
        <v>Shops Highest Price</v>
      </c>
      <c r="W4527" s="86" t="str">
        <f>_xlfn.CONCAT(表格1[[#This Row],[欄4]],表格1[[#This Row],[inv no]])</f>
        <v>607541</v>
      </c>
    </row>
    <row r="4528" spans="1:23" hidden="1">
      <c r="A4528" s="81">
        <v>4526</v>
      </c>
      <c r="B4528" s="86" t="s">
        <v>39</v>
      </c>
      <c r="C4528" s="86" t="s">
        <v>2093</v>
      </c>
      <c r="D4528" s="89" t="str">
        <f ca="1">OFFSET(Roster!$A$3,MATCH(表格1[[#This Row],[Location]]&amp;" "&amp;表格1[[#This Row],[Shop]]&amp;"*",Roster!$A$4:$A$72,0),DAY(表格1[[#This Row],[date]]),1,1)</f>
        <v>Wendy Wong_2</v>
      </c>
      <c r="E4528" s="86">
        <v>3</v>
      </c>
      <c r="F4528" s="90">
        <v>46110</v>
      </c>
      <c r="G4528" s="86" t="str">
        <f>VLOOKUP("*"&amp;表格1[[#This Row],[Input]]&amp;"*",'Ref-List'!$B:$D,2,)</f>
        <v>GR-RB360WE-PMA(06)</v>
      </c>
      <c r="H4528" s="86" t="str">
        <f>_xlfn.XLOOKUP(表格1[[#This Row],[Model]],表格3[Model-Input-Ref2],表格3[Product Line])</f>
        <v>變頻下置式雙門雪櫃系列270L</v>
      </c>
      <c r="I4528" s="86" t="str">
        <f>_xlfn.XLOOKUP(表格1[[#This Row],[Model]],表格3[Model-Input-Ref2],表格3[大小電])</f>
        <v>大電</v>
      </c>
      <c r="J4528" s="86" t="str">
        <f>_xlfn.XLOOKUP(表格1[[#This Row],[Model]],表格3[Model-Input-Ref2],表格3[Code])</f>
        <v>REF</v>
      </c>
      <c r="K4528" s="89" t="s">
        <v>2086</v>
      </c>
      <c r="L4528" s="86">
        <v>1</v>
      </c>
      <c r="M4528" s="87">
        <v>3580</v>
      </c>
      <c r="N4528" s="87">
        <f>IFERROR(表格1[[#This Row],[QTY]]*表格1[[#This Row],[Unit Price]],"-")</f>
        <v>3580</v>
      </c>
      <c r="O4528" s="86">
        <v>368416</v>
      </c>
      <c r="R4528" s="86" t="str">
        <f>_xlfn.CONCAT(表格1[[#This Row],[Model]]," ",表格1[[#This Row],[inv no]])</f>
        <v>GR-RB360WE-PMA(06) 368416</v>
      </c>
      <c r="S4528" s="86">
        <f>_xlfn.XLOOKUP(表格1[[#This Row],[Model]],表格3[Model-Input-Ref2],表格3[SRP PRICE])</f>
        <v>5080</v>
      </c>
      <c r="T4528" s="43">
        <f>表格1[[#This Row],[Unit Price]]/表格1[[#This Row],[SRP]]</f>
        <v>0.70472440944881887</v>
      </c>
      <c r="U4528" s="86" t="str">
        <f>_xlfn.XLOOKUP(表格1[[#This Row],[Model]],表格3[Model-Input-Ref2],表格3[TOSHIBA/HIGHEST])</f>
        <v>Toshiba SRP</v>
      </c>
      <c r="W4528" s="86" t="str">
        <f>_xlfn.CONCAT(表格1[[#This Row],[欄4]],表格1[[#This Row],[inv no]])</f>
        <v>368416</v>
      </c>
    </row>
    <row r="4529" spans="1:23" hidden="1">
      <c r="A4529" s="81">
        <v>4527</v>
      </c>
      <c r="B4529" s="86" t="s">
        <v>39</v>
      </c>
      <c r="C4529" s="86" t="s">
        <v>2093</v>
      </c>
      <c r="D4529" s="89" t="str">
        <f ca="1">OFFSET(Roster!$A$3,MATCH(表格1[[#This Row],[Location]]&amp;" "&amp;表格1[[#This Row],[Shop]]&amp;"*",Roster!$A$4:$A$72,0),DAY(表格1[[#This Row],[date]]),1,1)</f>
        <v>Wendy Wong_2</v>
      </c>
      <c r="E4529" s="86">
        <v>3</v>
      </c>
      <c r="F4529" s="90">
        <v>46110</v>
      </c>
      <c r="G4529" s="86" t="str">
        <f>VLOOKUP("*"&amp;表格1[[#This Row],[Input]]&amp;"*",'Ref-List'!$B:$D,2,)</f>
        <v>RC-DR10T(W)</v>
      </c>
      <c r="H4529" s="86" t="str">
        <f>_xlfn.XLOOKUP(表格1[[#This Row],[Model]],表格3[Model-Input-Ref2],表格3[Product Line])</f>
        <v>IH磁應電飯煲</v>
      </c>
      <c r="I4529" s="86" t="str">
        <f>_xlfn.XLOOKUP(表格1[[#This Row],[Model]],表格3[Model-Input-Ref2],表格3[大小電])</f>
        <v>細電</v>
      </c>
      <c r="J4529" s="86" t="str">
        <f>_xlfn.XLOOKUP(表格1[[#This Row],[Model]],表格3[Model-Input-Ref2],表格3[Code])</f>
        <v>SDA</v>
      </c>
      <c r="K4529" s="89" t="s">
        <v>2087</v>
      </c>
      <c r="L4529" s="86">
        <v>1</v>
      </c>
      <c r="M4529" s="87">
        <v>2290</v>
      </c>
      <c r="N4529" s="87">
        <f>IFERROR(表格1[[#This Row],[QTY]]*表格1[[#This Row],[Unit Price]],"-")</f>
        <v>2290</v>
      </c>
      <c r="O4529" s="86">
        <v>368421</v>
      </c>
      <c r="R4529" s="86" t="str">
        <f>_xlfn.CONCAT(表格1[[#This Row],[Model]]," ",表格1[[#This Row],[inv no]])</f>
        <v>RC-DR10T(W) 368421</v>
      </c>
      <c r="S4529" s="86">
        <f>_xlfn.XLOOKUP(表格1[[#This Row],[Model]],表格3[Model-Input-Ref2],表格3[SRP PRICE])</f>
        <v>3188</v>
      </c>
      <c r="T4529" s="43">
        <f>表格1[[#This Row],[Unit Price]]/表格1[[#This Row],[SRP]]</f>
        <v>0.71831869510664992</v>
      </c>
      <c r="U4529" s="86" t="str">
        <f>_xlfn.XLOOKUP(表格1[[#This Row],[Model]],表格3[Model-Input-Ref2],表格3[TOSHIBA/HIGHEST])</f>
        <v>Toshiba SRP</v>
      </c>
      <c r="W4529" s="86" t="str">
        <f>_xlfn.CONCAT(表格1[[#This Row],[欄4]],表格1[[#This Row],[inv no]])</f>
        <v>368421</v>
      </c>
    </row>
    <row r="4530" spans="1:23" hidden="1">
      <c r="A4530" s="81">
        <v>4528</v>
      </c>
      <c r="B4530" s="86" t="s">
        <v>39</v>
      </c>
      <c r="C4530" s="86" t="s">
        <v>2093</v>
      </c>
      <c r="D4530" s="89" t="str">
        <f ca="1">OFFSET(Roster!$A$3,MATCH(表格1[[#This Row],[Location]]&amp;" "&amp;表格1[[#This Row],[Shop]]&amp;"*",Roster!$A$4:$A$72,0),DAY(表格1[[#This Row],[date]]),1,1)</f>
        <v>Wendy Wong_2</v>
      </c>
      <c r="E4530" s="86">
        <v>3</v>
      </c>
      <c r="F4530" s="90">
        <v>46110</v>
      </c>
      <c r="G4530" s="86" t="str">
        <f>VLOOKUP("*"&amp;表格1[[#This Row],[Input]]&amp;"*",'Ref-List'!$B:$D,2,)</f>
        <v>MW3-MM25PC(BK)</v>
      </c>
      <c r="H4530" s="86" t="str">
        <f>_xlfn.XLOOKUP(表格1[[#This Row],[Model]],表格3[Model-Input-Ref2],表格3[Product Line])</f>
        <v>旋鈕式微波爐 (25公升)</v>
      </c>
      <c r="I4530" s="86" t="str">
        <f>_xlfn.XLOOKUP(表格1[[#This Row],[Model]],表格3[Model-Input-Ref2],表格3[大小電])</f>
        <v>細電</v>
      </c>
      <c r="J4530" s="86" t="str">
        <f>_xlfn.XLOOKUP(表格1[[#This Row],[Model]],表格3[Model-Input-Ref2],表格3[Code])</f>
        <v>MOA</v>
      </c>
      <c r="K4530" s="89" t="s">
        <v>2089</v>
      </c>
      <c r="L4530" s="86">
        <v>1</v>
      </c>
      <c r="M4530" s="87">
        <v>698</v>
      </c>
      <c r="N4530" s="87">
        <f>IFERROR(表格1[[#This Row],[QTY]]*表格1[[#This Row],[Unit Price]],"-")</f>
        <v>698</v>
      </c>
      <c r="O4530" s="86">
        <v>368423</v>
      </c>
      <c r="R4530" s="86" t="str">
        <f>_xlfn.CONCAT(表格1[[#This Row],[Model]]," ",表格1[[#This Row],[inv no]])</f>
        <v>MW3-MM25PC(BK) 368423</v>
      </c>
      <c r="S4530" s="86">
        <f>_xlfn.XLOOKUP(表格1[[#This Row],[Model]],表格3[Model-Input-Ref2],表格3[SRP PRICE])</f>
        <v>998</v>
      </c>
      <c r="T4530" s="43">
        <f>表格1[[#This Row],[Unit Price]]/表格1[[#This Row],[SRP]]</f>
        <v>0.69939879759519041</v>
      </c>
      <c r="U4530" s="86" t="str">
        <f>_xlfn.XLOOKUP(表格1[[#This Row],[Model]],表格3[Model-Input-Ref2],表格3[TOSHIBA/HIGHEST])</f>
        <v>Toshiba SRP</v>
      </c>
      <c r="W4530" s="86" t="str">
        <f>_xlfn.CONCAT(表格1[[#This Row],[欄4]],表格1[[#This Row],[inv no]])</f>
        <v>368423</v>
      </c>
    </row>
    <row r="4531" spans="1:23" hidden="1">
      <c r="A4531" s="81">
        <v>4529</v>
      </c>
      <c r="B4531" s="86" t="s">
        <v>39</v>
      </c>
      <c r="C4531" s="86" t="s">
        <v>2093</v>
      </c>
      <c r="D4531" s="89" t="str">
        <f ca="1">OFFSET(Roster!$A$3,MATCH(表格1[[#This Row],[Location]]&amp;" "&amp;表格1[[#This Row],[Shop]]&amp;"*",Roster!$A$4:$A$72,0),DAY(表格1[[#This Row],[date]]),1,1)</f>
        <v>Wendy Wong_2</v>
      </c>
      <c r="E4531" s="86">
        <v>3</v>
      </c>
      <c r="F4531" s="90">
        <v>46110</v>
      </c>
      <c r="G4531" s="86" t="str">
        <f>VLOOKUP("*"&amp;表格1[[#This Row],[Input]]&amp;"*",'Ref-List'!$B:$D,2,)</f>
        <v>RC-DR10T(W)</v>
      </c>
      <c r="H4531" s="86" t="str">
        <f>_xlfn.XLOOKUP(表格1[[#This Row],[Model]],表格3[Model-Input-Ref2],表格3[Product Line])</f>
        <v>IH磁應電飯煲</v>
      </c>
      <c r="I4531" s="86" t="str">
        <f>_xlfn.XLOOKUP(表格1[[#This Row],[Model]],表格3[Model-Input-Ref2],表格3[大小電])</f>
        <v>細電</v>
      </c>
      <c r="J4531" s="86" t="str">
        <f>_xlfn.XLOOKUP(表格1[[#This Row],[Model]],表格3[Model-Input-Ref2],表格3[Code])</f>
        <v>SDA</v>
      </c>
      <c r="K4531" s="89" t="s">
        <v>2087</v>
      </c>
      <c r="L4531" s="86">
        <v>1</v>
      </c>
      <c r="M4531" s="87">
        <v>2290</v>
      </c>
      <c r="N4531" s="87">
        <f>IFERROR(表格1[[#This Row],[QTY]]*表格1[[#This Row],[Unit Price]],"-")</f>
        <v>2290</v>
      </c>
      <c r="O4531" s="86">
        <v>368423</v>
      </c>
      <c r="R4531" s="86" t="str">
        <f>_xlfn.CONCAT(表格1[[#This Row],[Model]]," ",表格1[[#This Row],[inv no]])</f>
        <v>RC-DR10T(W) 368423</v>
      </c>
      <c r="S4531" s="86">
        <f>_xlfn.XLOOKUP(表格1[[#This Row],[Model]],表格3[Model-Input-Ref2],表格3[SRP PRICE])</f>
        <v>3188</v>
      </c>
      <c r="T4531" s="43">
        <f>表格1[[#This Row],[Unit Price]]/表格1[[#This Row],[SRP]]</f>
        <v>0.71831869510664992</v>
      </c>
      <c r="U4531" s="86" t="str">
        <f>_xlfn.XLOOKUP(表格1[[#This Row],[Model]],表格3[Model-Input-Ref2],表格3[TOSHIBA/HIGHEST])</f>
        <v>Toshiba SRP</v>
      </c>
      <c r="W4531" s="86" t="str">
        <f>_xlfn.CONCAT(表格1[[#This Row],[欄4]],表格1[[#This Row],[inv no]])</f>
        <v>368423</v>
      </c>
    </row>
    <row r="4532" spans="1:23" hidden="1">
      <c r="A4532" s="81">
        <v>4530</v>
      </c>
      <c r="B4532" s="86" t="s">
        <v>39</v>
      </c>
      <c r="C4532" s="86" t="s">
        <v>2093</v>
      </c>
      <c r="D4532" s="89" t="str">
        <f ca="1">OFFSET(Roster!$A$3,MATCH(表格1[[#This Row],[Location]]&amp;" "&amp;表格1[[#This Row],[Shop]]&amp;"*",Roster!$A$4:$A$72,0),DAY(表格1[[#This Row],[date]]),1,1)</f>
        <v>Wendy Wong_2</v>
      </c>
      <c r="E4532" s="86">
        <v>3</v>
      </c>
      <c r="F4532" s="90">
        <v>46110</v>
      </c>
      <c r="G4532" s="86" t="str">
        <f>VLOOKUP("*"&amp;表格1[[#This Row],[Input]]&amp;"*",'Ref-List'!$B:$D,2,)</f>
        <v>RAD-D300H</v>
      </c>
      <c r="H4532" s="86" t="str">
        <f>_xlfn.XLOOKUP(表格1[[#This Row],[Model]],表格3[Model-Input-Ref2],表格3[Product Line])</f>
        <v>壓縮式抽濕機 (30公升)</v>
      </c>
      <c r="I4532" s="86" t="str">
        <f>_xlfn.XLOOKUP(表格1[[#This Row],[Model]],表格3[Model-Input-Ref2],表格3[大小電])</f>
        <v>細電</v>
      </c>
      <c r="J4532" s="86" t="str">
        <f>_xlfn.XLOOKUP(表格1[[#This Row],[Model]],表格3[Model-Input-Ref2],表格3[Code])</f>
        <v>RAC</v>
      </c>
      <c r="K4532" s="89" t="s">
        <v>1761</v>
      </c>
      <c r="L4532" s="86">
        <v>1</v>
      </c>
      <c r="M4532" s="87">
        <v>2180</v>
      </c>
      <c r="N4532" s="87">
        <f>IFERROR(表格1[[#This Row],[QTY]]*表格1[[#This Row],[Unit Price]],"-")</f>
        <v>2180</v>
      </c>
      <c r="O4532" s="86">
        <v>376007</v>
      </c>
      <c r="R4532" s="86" t="str">
        <f>_xlfn.CONCAT(表格1[[#This Row],[Model]]," ",表格1[[#This Row],[inv no]])</f>
        <v>RAD-D300H 376007</v>
      </c>
      <c r="S4532" s="86">
        <f>_xlfn.XLOOKUP(表格1[[#This Row],[Model]],表格3[Model-Input-Ref2],表格3[SRP PRICE])</f>
        <v>3380</v>
      </c>
      <c r="T4532" s="43">
        <f>表格1[[#This Row],[Unit Price]]/表格1[[#This Row],[SRP]]</f>
        <v>0.6449704142011834</v>
      </c>
      <c r="U4532" s="86" t="str">
        <f>_xlfn.XLOOKUP(表格1[[#This Row],[Model]],表格3[Model-Input-Ref2],表格3[TOSHIBA/HIGHEST])</f>
        <v>Shops Highest Price</v>
      </c>
      <c r="W4532" s="86" t="str">
        <f>_xlfn.CONCAT(表格1[[#This Row],[欄4]],表格1[[#This Row],[inv no]])</f>
        <v>376007</v>
      </c>
    </row>
    <row r="4533" spans="1:23" hidden="1">
      <c r="A4533" s="81">
        <v>4531</v>
      </c>
      <c r="B4533" s="86" t="s">
        <v>39</v>
      </c>
      <c r="C4533" s="86" t="s">
        <v>2093</v>
      </c>
      <c r="D4533" s="89" t="str">
        <f ca="1">OFFSET(Roster!$A$3,MATCH(表格1[[#This Row],[Location]]&amp;" "&amp;表格1[[#This Row],[Shop]]&amp;"*",Roster!$A$4:$A$72,0),DAY(表格1[[#This Row],[date]]),1,1)</f>
        <v>Wendy Wong_2</v>
      </c>
      <c r="E4533" s="86">
        <v>3</v>
      </c>
      <c r="F4533" s="90">
        <v>46110</v>
      </c>
      <c r="G4533" s="86" t="str">
        <f>VLOOKUP("*"&amp;表格1[[#This Row],[Input]]&amp;"*",'Ref-List'!$B:$D,2,)</f>
        <v>TW-T22BU95UWH(WK)-B</v>
      </c>
      <c r="H4533" s="86" t="str">
        <f>_xlfn.XLOOKUP(表格1[[#This Row],[Model]],表格3[Model-Input-Ref2],表格3[Product Line])</f>
        <v>470MM超薄身前置式變頻洗衣機(8.5公斤, 可飛頂)</v>
      </c>
      <c r="I4533" s="86" t="str">
        <f>_xlfn.XLOOKUP(表格1[[#This Row],[Model]],表格3[Model-Input-Ref2],表格3[大小電])</f>
        <v>大電</v>
      </c>
      <c r="J4533" s="86" t="str">
        <f>_xlfn.XLOOKUP(表格1[[#This Row],[Model]],表格3[Model-Input-Ref2],表格3[Code])</f>
        <v>LAD</v>
      </c>
      <c r="K4533" s="89" t="s">
        <v>2036</v>
      </c>
      <c r="L4533" s="86">
        <v>1</v>
      </c>
      <c r="M4533" s="87">
        <v>3680</v>
      </c>
      <c r="N4533" s="87">
        <f>IFERROR(表格1[[#This Row],[QTY]]*表格1[[#This Row],[Unit Price]],"-")</f>
        <v>3680</v>
      </c>
      <c r="O4533" s="86">
        <v>376007</v>
      </c>
      <c r="R4533" s="86" t="str">
        <f>_xlfn.CONCAT(表格1[[#This Row],[Model]]," ",表格1[[#This Row],[inv no]])</f>
        <v>TW-T22BU95UWH(WK)-B 376007</v>
      </c>
      <c r="S4533" s="86">
        <f>_xlfn.XLOOKUP(表格1[[#This Row],[Model]],表格3[Model-Input-Ref2],表格3[SRP PRICE])</f>
        <v>5880</v>
      </c>
      <c r="T4533" s="43">
        <f>表格1[[#This Row],[Unit Price]]/表格1[[#This Row],[SRP]]</f>
        <v>0.62585034013605445</v>
      </c>
      <c r="U4533" s="86" t="str">
        <f>_xlfn.XLOOKUP(表格1[[#This Row],[Model]],表格3[Model-Input-Ref2],表格3[TOSHIBA/HIGHEST])</f>
        <v>Toshiba SRP</v>
      </c>
      <c r="W4533" s="86" t="str">
        <f>_xlfn.CONCAT(表格1[[#This Row],[欄4]],表格1[[#This Row],[inv no]])</f>
        <v>376007</v>
      </c>
    </row>
    <row r="4534" spans="1:23" hidden="1">
      <c r="A4534" s="81">
        <v>4532</v>
      </c>
      <c r="B4534" s="86" t="s">
        <v>39</v>
      </c>
      <c r="C4534" s="86" t="s">
        <v>2093</v>
      </c>
      <c r="D4534" s="89" t="str">
        <f ca="1">OFFSET(Roster!$A$3,MATCH(表格1[[#This Row],[Location]]&amp;" "&amp;表格1[[#This Row],[Shop]]&amp;"*",Roster!$A$4:$A$72,0),DAY(表格1[[#This Row],[date]]),1,1)</f>
        <v>Wendy Wong_2</v>
      </c>
      <c r="E4534" s="86">
        <v>3</v>
      </c>
      <c r="F4534" s="90">
        <v>46110</v>
      </c>
      <c r="G4534" s="86" t="str">
        <f>VLOOKUP("*"&amp;表格1[[#This Row],[Input]]&amp;"*",'Ref-List'!$B:$D,2,)</f>
        <v>RC-5SLIH(W)</v>
      </c>
      <c r="H4534" s="86" t="str">
        <f>_xlfn.XLOOKUP(表格1[[#This Row],[Model]],表格3[Model-Input-Ref2],表格3[Product Line])</f>
        <v>微型電腦珍珠飯煲</v>
      </c>
      <c r="I4534" s="86" t="str">
        <f>_xlfn.XLOOKUP(表格1[[#This Row],[Model]],表格3[Model-Input-Ref2],表格3[大小電])</f>
        <v>細電</v>
      </c>
      <c r="J4534" s="86" t="str">
        <f>_xlfn.XLOOKUP(表格1[[#This Row],[Model]],表格3[Model-Input-Ref2],表格3[Code])</f>
        <v>SDA</v>
      </c>
      <c r="K4534" s="89" t="s">
        <v>2037</v>
      </c>
      <c r="L4534" s="86">
        <v>1</v>
      </c>
      <c r="M4534" s="87">
        <v>550</v>
      </c>
      <c r="N4534" s="87">
        <f>IFERROR(表格1[[#This Row],[QTY]]*表格1[[#This Row],[Unit Price]],"-")</f>
        <v>550</v>
      </c>
      <c r="O4534" s="86">
        <v>368476</v>
      </c>
      <c r="R4534" s="86" t="str">
        <f>_xlfn.CONCAT(表格1[[#This Row],[Model]]," ",表格1[[#This Row],[inv no]])</f>
        <v>RC-5SLIH(W) 368476</v>
      </c>
      <c r="S4534" s="86">
        <f>_xlfn.XLOOKUP(表格1[[#This Row],[Model]],表格3[Model-Input-Ref2],表格3[SRP PRICE])</f>
        <v>658</v>
      </c>
      <c r="T4534" s="43">
        <f>表格1[[#This Row],[Unit Price]]/表格1[[#This Row],[SRP]]</f>
        <v>0.83586626139817632</v>
      </c>
      <c r="U4534" s="86" t="str">
        <f>_xlfn.XLOOKUP(表格1[[#This Row],[Model]],表格3[Model-Input-Ref2],表格3[TOSHIBA/HIGHEST])</f>
        <v>Toshiba SRP</v>
      </c>
      <c r="W4534" s="86" t="str">
        <f>_xlfn.CONCAT(表格1[[#This Row],[欄4]],表格1[[#This Row],[inv no]])</f>
        <v>368476</v>
      </c>
    </row>
    <row r="4535" spans="1:23" hidden="1">
      <c r="A4535" s="81">
        <v>4533</v>
      </c>
      <c r="B4535" s="86" t="s">
        <v>39</v>
      </c>
      <c r="C4535" s="86" t="s">
        <v>2093</v>
      </c>
      <c r="D4535" s="89" t="str">
        <f ca="1">OFFSET(Roster!$A$3,MATCH(表格1[[#This Row],[Location]]&amp;" "&amp;表格1[[#This Row],[Shop]]&amp;"*",Roster!$A$4:$A$72,0),DAY(表格1[[#This Row],[date]]),1,1)</f>
        <v>Wendy Wong_2</v>
      </c>
      <c r="E4535" s="86">
        <v>3</v>
      </c>
      <c r="F4535" s="90">
        <v>46110</v>
      </c>
      <c r="G4535" s="86" t="str">
        <f>VLOOKUP("*"&amp;表格1[[#This Row],[Input]]&amp;"*",'Ref-List'!$B:$D,2,)</f>
        <v>IC-21TSHK</v>
      </c>
      <c r="H4535" s="86" t="str">
        <f>_xlfn.XLOOKUP(表格1[[#This Row],[Model]],表格3[Model-Input-Ref2],表格3[Product Line])</f>
        <v>Induction Cooker</v>
      </c>
      <c r="I4535" s="86" t="str">
        <f>_xlfn.XLOOKUP(表格1[[#This Row],[Model]],表格3[Model-Input-Ref2],表格3[大小電])</f>
        <v>細電</v>
      </c>
      <c r="J4535" s="86" t="str">
        <f>_xlfn.XLOOKUP(表格1[[#This Row],[Model]],表格3[Model-Input-Ref2],表格3[Code])</f>
        <v>SDA</v>
      </c>
      <c r="K4535" s="89" t="s">
        <v>2081</v>
      </c>
      <c r="L4535" s="86">
        <v>1</v>
      </c>
      <c r="M4535" s="87">
        <v>698</v>
      </c>
      <c r="N4535" s="87">
        <f>IFERROR(表格1[[#This Row],[QTY]]*表格1[[#This Row],[Unit Price]],"-")</f>
        <v>698</v>
      </c>
      <c r="O4535" s="86">
        <v>490587</v>
      </c>
      <c r="R4535" s="86" t="str">
        <f>_xlfn.CONCAT(表格1[[#This Row],[Model]]," ",表格1[[#This Row],[inv no]])</f>
        <v>IC-21TSHK 490587</v>
      </c>
      <c r="S4535" s="86">
        <f>_xlfn.XLOOKUP(表格1[[#This Row],[Model]],表格3[Model-Input-Ref2],表格3[SRP PRICE])</f>
        <v>998</v>
      </c>
      <c r="T4535" s="43">
        <f>表格1[[#This Row],[Unit Price]]/表格1[[#This Row],[SRP]]</f>
        <v>0.69939879759519041</v>
      </c>
      <c r="U4535" s="86" t="str">
        <f>_xlfn.XLOOKUP(表格1[[#This Row],[Model]],表格3[Model-Input-Ref2],表格3[TOSHIBA/HIGHEST])</f>
        <v>web SRP</v>
      </c>
      <c r="W4535" s="86" t="str">
        <f>_xlfn.CONCAT(表格1[[#This Row],[欄4]],表格1[[#This Row],[inv no]])</f>
        <v>490587</v>
      </c>
    </row>
    <row r="4536" spans="1:23" hidden="1">
      <c r="A4536" s="81">
        <v>4534</v>
      </c>
      <c r="B4536" s="86" t="s">
        <v>39</v>
      </c>
      <c r="C4536" s="86" t="s">
        <v>2093</v>
      </c>
      <c r="D4536" s="89" t="str">
        <f ca="1">OFFSET(Roster!$A$3,MATCH(表格1[[#This Row],[Location]]&amp;" "&amp;表格1[[#This Row],[Shop]]&amp;"*",Roster!$A$4:$A$72,0),DAY(表格1[[#This Row],[date]]),1,1)</f>
        <v>Wendy Wong_2</v>
      </c>
      <c r="E4536" s="86">
        <v>3</v>
      </c>
      <c r="F4536" s="90">
        <v>46110</v>
      </c>
      <c r="G4536" s="86" t="str">
        <f>VLOOKUP("*"&amp;表格1[[#This Row],[Input]]&amp;"*",'Ref-List'!$B:$D,2,)</f>
        <v>F-LYA20(W)HKG</v>
      </c>
      <c r="H4536" s="86" t="str">
        <f>_xlfn.XLOOKUP(表格1[[#This Row],[Model]],表格3[Model-Input-Ref2],表格3[Product Line])</f>
        <v>12吋2合1座地座檯電風扇連遙控</v>
      </c>
      <c r="I4536" s="86" t="str">
        <f>_xlfn.XLOOKUP(表格1[[#This Row],[Model]],表格3[Model-Input-Ref2],表格3[大小電])</f>
        <v>細電</v>
      </c>
      <c r="J4536" s="86" t="str">
        <f>_xlfn.XLOOKUP(表格1[[#This Row],[Model]],表格3[Model-Input-Ref2],表格3[Code])</f>
        <v>EAD</v>
      </c>
      <c r="K4536" s="89" t="s">
        <v>2052</v>
      </c>
      <c r="L4536" s="86">
        <v>1</v>
      </c>
      <c r="M4536" s="87">
        <v>399</v>
      </c>
      <c r="N4536" s="87">
        <f>IFERROR(表格1[[#This Row],[QTY]]*表格1[[#This Row],[Unit Price]],"-")</f>
        <v>399</v>
      </c>
      <c r="O4536" s="86">
        <v>453121</v>
      </c>
      <c r="R4536" s="86" t="str">
        <f>_xlfn.CONCAT(表格1[[#This Row],[Model]]," ",表格1[[#This Row],[inv no]])</f>
        <v>F-LYA20(W)HKG 453121</v>
      </c>
      <c r="S4536" s="86">
        <f>_xlfn.XLOOKUP(表格1[[#This Row],[Model]],表格3[Model-Input-Ref2],表格3[SRP PRICE])</f>
        <v>988</v>
      </c>
      <c r="T4536" s="43">
        <f>表格1[[#This Row],[Unit Price]]/表格1[[#This Row],[SRP]]</f>
        <v>0.40384615384615385</v>
      </c>
      <c r="U4536" s="86" t="str">
        <f>_xlfn.XLOOKUP(表格1[[#This Row],[Model]],表格3[Model-Input-Ref2],表格3[TOSHIBA/HIGHEST])</f>
        <v>Toshiba SRP</v>
      </c>
      <c r="W4536" s="86" t="str">
        <f>_xlfn.CONCAT(表格1[[#This Row],[欄4]],表格1[[#This Row],[inv no]])</f>
        <v>453121</v>
      </c>
    </row>
    <row r="4537" spans="1:23" hidden="1">
      <c r="A4537" s="81">
        <v>4535</v>
      </c>
      <c r="B4537" s="86" t="s">
        <v>39</v>
      </c>
      <c r="C4537" s="86" t="s">
        <v>2093</v>
      </c>
      <c r="D4537" s="89" t="str">
        <f ca="1">OFFSET(Roster!$A$3,MATCH(表格1[[#This Row],[Location]]&amp;" "&amp;表格1[[#This Row],[Shop]]&amp;"*",Roster!$A$4:$A$72,0),DAY(表格1[[#This Row],[date]]),1,1)</f>
        <v>Wendy Wong_2</v>
      </c>
      <c r="E4537" s="86">
        <v>3</v>
      </c>
      <c r="F4537" s="90">
        <v>46110</v>
      </c>
      <c r="G4537" s="86" t="str">
        <f>VLOOKUP("*"&amp;表格1[[#This Row],[Input]]&amp;"*",'Ref-List'!$B:$D,2,)</f>
        <v>RC-10DRNH</v>
      </c>
      <c r="H4537" s="86" t="str">
        <f>_xlfn.XLOOKUP(表格1[[#This Row],[Model]],表格3[Model-Input-Ref2],表格3[Product Line])</f>
        <v>多功能備長炭本厚釜電飯煲1L</v>
      </c>
      <c r="I4537" s="86" t="str">
        <f>_xlfn.XLOOKUP(表格1[[#This Row],[Model]],表格3[Model-Input-Ref2],表格3[大小電])</f>
        <v>細電</v>
      </c>
      <c r="J4537" s="86" t="str">
        <f>_xlfn.XLOOKUP(表格1[[#This Row],[Model]],表格3[Model-Input-Ref2],表格3[Code])</f>
        <v>SDA</v>
      </c>
      <c r="K4537" s="89" t="s">
        <v>2041</v>
      </c>
      <c r="L4537" s="86">
        <v>1</v>
      </c>
      <c r="M4537" s="87">
        <v>499</v>
      </c>
      <c r="N4537" s="87">
        <f>IFERROR(表格1[[#This Row],[QTY]]*表格1[[#This Row],[Unit Price]],"-")</f>
        <v>499</v>
      </c>
      <c r="O4537" s="86">
        <v>368561</v>
      </c>
      <c r="R4537" s="86" t="str">
        <f>_xlfn.CONCAT(表格1[[#This Row],[Model]]," ",表格1[[#This Row],[inv no]])</f>
        <v>RC-10DRNH 368561</v>
      </c>
      <c r="S4537" s="86">
        <f>_xlfn.XLOOKUP(表格1[[#This Row],[Model]],表格3[Model-Input-Ref2],表格3[SRP PRICE])</f>
        <v>798</v>
      </c>
      <c r="T4537" s="43">
        <f>表格1[[#This Row],[Unit Price]]/表格1[[#This Row],[SRP]]</f>
        <v>0.62531328320802004</v>
      </c>
      <c r="U4537" s="86" t="str">
        <f>_xlfn.XLOOKUP(表格1[[#This Row],[Model]],表格3[Model-Input-Ref2],表格3[TOSHIBA/HIGHEST])</f>
        <v>Toshiba SRP</v>
      </c>
      <c r="W4537" s="86" t="str">
        <f>_xlfn.CONCAT(表格1[[#This Row],[欄4]],表格1[[#This Row],[inv no]])</f>
        <v>368561</v>
      </c>
    </row>
    <row r="4538" spans="1:23" hidden="1">
      <c r="A4538" s="81">
        <v>4536</v>
      </c>
      <c r="B4538" s="86" t="s">
        <v>39</v>
      </c>
      <c r="C4538" s="86" t="s">
        <v>2093</v>
      </c>
      <c r="D4538" s="89" t="str">
        <f ca="1">OFFSET(Roster!$A$3,MATCH(表格1[[#This Row],[Location]]&amp;" "&amp;表格1[[#This Row],[Shop]]&amp;"*",Roster!$A$4:$A$72,0),DAY(表格1[[#This Row],[date]]),1,1)</f>
        <v>Wendy Wong_2</v>
      </c>
      <c r="E4538" s="86">
        <v>3</v>
      </c>
      <c r="F4538" s="90">
        <v>46110</v>
      </c>
      <c r="G4538" s="86" t="str">
        <f>VLOOKUP("*"&amp;表格1[[#This Row],[Input]]&amp;"*",'Ref-List'!$B:$D,2,)</f>
        <v>RC-DX18T(W)</v>
      </c>
      <c r="H4538" s="86" t="str">
        <f>_xlfn.XLOOKUP(表格1[[#This Row],[Model]],表格3[Model-Input-Ref2],表格3[Product Line])</f>
        <v>真空壓力磁應電飯煲(1.8公升)</v>
      </c>
      <c r="I4538" s="86" t="str">
        <f>_xlfn.XLOOKUP(表格1[[#This Row],[Model]],表格3[Model-Input-Ref2],表格3[大小電])</f>
        <v>細電</v>
      </c>
      <c r="J4538" s="86" t="str">
        <f>_xlfn.XLOOKUP(表格1[[#This Row],[Model]],表格3[Model-Input-Ref2],表格3[Code])</f>
        <v>SDA</v>
      </c>
      <c r="K4538" s="89" t="s">
        <v>2090</v>
      </c>
      <c r="L4538" s="86">
        <v>1</v>
      </c>
      <c r="M4538" s="87">
        <v>4988</v>
      </c>
      <c r="N4538" s="87">
        <f>IFERROR(表格1[[#This Row],[QTY]]*表格1[[#This Row],[Unit Price]],"-")</f>
        <v>4988</v>
      </c>
      <c r="O4538" s="86">
        <v>368559</v>
      </c>
      <c r="R4538" s="86" t="str">
        <f>_xlfn.CONCAT(表格1[[#This Row],[Model]]," ",表格1[[#This Row],[inv no]])</f>
        <v>RC-DX18T(W) 368559</v>
      </c>
      <c r="S4538" s="86">
        <f>_xlfn.XLOOKUP(表格1[[#This Row],[Model]],表格3[Model-Input-Ref2],表格3[SRP PRICE])</f>
        <v>6388</v>
      </c>
      <c r="T4538" s="43">
        <f>表格1[[#This Row],[Unit Price]]/表格1[[#This Row],[SRP]]</f>
        <v>0.7808390732623669</v>
      </c>
      <c r="U4538" s="86" t="str">
        <f>_xlfn.XLOOKUP(表格1[[#This Row],[Model]],表格3[Model-Input-Ref2],表格3[TOSHIBA/HIGHEST])</f>
        <v>Toshiba SRP</v>
      </c>
      <c r="W4538" s="86" t="str">
        <f>_xlfn.CONCAT(表格1[[#This Row],[欄4]],表格1[[#This Row],[inv no]])</f>
        <v>368559</v>
      </c>
    </row>
    <row r="4539" spans="1:23" hidden="1">
      <c r="A4539" s="81">
        <v>4537</v>
      </c>
      <c r="B4539" s="86" t="s">
        <v>39</v>
      </c>
      <c r="C4539" s="86" t="s">
        <v>2093</v>
      </c>
      <c r="D4539" s="89" t="str">
        <f ca="1">OFFSET(Roster!$A$3,MATCH(表格1[[#This Row],[Location]]&amp;" "&amp;表格1[[#This Row],[Shop]]&amp;"*",Roster!$A$4:$A$72,0),DAY(表格1[[#This Row],[date]]),1,1)</f>
        <v>Wendy Wong_2</v>
      </c>
      <c r="E4539" s="86">
        <v>3</v>
      </c>
      <c r="F4539" s="90">
        <v>46110</v>
      </c>
      <c r="G4539" s="86" t="str">
        <f>VLOOKUP("*"&amp;表格1[[#This Row],[Input]]&amp;"*",'Ref-List'!$B:$D,2,)</f>
        <v>RC-7HMH</v>
      </c>
      <c r="H4539" s="86" t="str">
        <f>_xlfn.XLOOKUP(表格1[[#This Row],[Model]],表格3[Model-Input-Ref2],表格3[Product Line])</f>
        <v>備長炭本厚釜電飯煲0.7L</v>
      </c>
      <c r="I4539" s="86" t="str">
        <f>_xlfn.XLOOKUP(表格1[[#This Row],[Model]],表格3[Model-Input-Ref2],表格3[大小電])</f>
        <v>細電</v>
      </c>
      <c r="J4539" s="86" t="str">
        <f>_xlfn.XLOOKUP(表格1[[#This Row],[Model]],表格3[Model-Input-Ref2],表格3[Code])</f>
        <v>SDA</v>
      </c>
      <c r="K4539" s="89" t="s">
        <v>2057</v>
      </c>
      <c r="L4539" s="86">
        <v>1</v>
      </c>
      <c r="M4539" s="87">
        <v>788</v>
      </c>
      <c r="N4539" s="87">
        <f>IFERROR(表格1[[#This Row],[QTY]]*表格1[[#This Row],[Unit Price]],"-")</f>
        <v>788</v>
      </c>
      <c r="O4539" s="86">
        <v>368551</v>
      </c>
      <c r="R4539" s="86" t="str">
        <f>_xlfn.CONCAT(表格1[[#This Row],[Model]]," ",表格1[[#This Row],[inv no]])</f>
        <v>RC-7HMH 368551</v>
      </c>
      <c r="S4539" s="86">
        <f>_xlfn.XLOOKUP(表格1[[#This Row],[Model]],表格3[Model-Input-Ref2],表格3[SRP PRICE])</f>
        <v>1288</v>
      </c>
      <c r="T4539" s="43">
        <f>表格1[[#This Row],[Unit Price]]/表格1[[#This Row],[SRP]]</f>
        <v>0.61180124223602483</v>
      </c>
      <c r="U4539" s="86" t="str">
        <f>_xlfn.XLOOKUP(表格1[[#This Row],[Model]],表格3[Model-Input-Ref2],表格3[TOSHIBA/HIGHEST])</f>
        <v>Toshiba SRP</v>
      </c>
      <c r="W4539" s="86" t="str">
        <f>_xlfn.CONCAT(表格1[[#This Row],[欄4]],表格1[[#This Row],[inv no]])</f>
        <v>368551</v>
      </c>
    </row>
    <row r="4540" spans="1:23" hidden="1">
      <c r="A4540" s="81">
        <v>4538</v>
      </c>
      <c r="B4540" s="86" t="s">
        <v>39</v>
      </c>
      <c r="C4540" s="86" t="s">
        <v>2093</v>
      </c>
      <c r="D4540" s="89" t="str">
        <f ca="1">OFFSET(Roster!$A$3,MATCH(表格1[[#This Row],[Location]]&amp;" "&amp;表格1[[#This Row],[Shop]]&amp;"*",Roster!$A$4:$A$72,0),DAY(表格1[[#This Row],[date]]),1,1)</f>
        <v>Wendy Wong_2</v>
      </c>
      <c r="E4540" s="86">
        <v>3</v>
      </c>
      <c r="F4540" s="90">
        <v>46110</v>
      </c>
      <c r="G4540" s="86" t="str">
        <f>VLOOKUP("*"&amp;表格1[[#This Row],[Input]]&amp;"*",'Ref-List'!$B:$D,2,)</f>
        <v>RC-18AMXH(W)</v>
      </c>
      <c r="H4540" s="86" t="str">
        <f>_xlfn.XLOOKUP(表格1[[#This Row],[Model]],表格3[Model-Input-Ref2],表格3[Product Line])</f>
        <v>酵活炊電飯煲(1.8公升)</v>
      </c>
      <c r="I4540" s="86" t="str">
        <f>_xlfn.XLOOKUP(表格1[[#This Row],[Model]],表格3[Model-Input-Ref2],表格3[大小電])</f>
        <v>細電</v>
      </c>
      <c r="J4540" s="86" t="str">
        <f>_xlfn.XLOOKUP(表格1[[#This Row],[Model]],表格3[Model-Input-Ref2],表格3[Code])</f>
        <v>SDA</v>
      </c>
      <c r="K4540" s="89" t="s">
        <v>2085</v>
      </c>
      <c r="L4540" s="86">
        <v>1</v>
      </c>
      <c r="M4540" s="87">
        <v>990</v>
      </c>
      <c r="N4540" s="87">
        <f>IFERROR(表格1[[#This Row],[QTY]]*表格1[[#This Row],[Unit Price]],"-")</f>
        <v>990</v>
      </c>
      <c r="O4540" s="86">
        <v>368539</v>
      </c>
      <c r="R4540" s="86" t="str">
        <f>_xlfn.CONCAT(表格1[[#This Row],[Model]]," ",表格1[[#This Row],[inv no]])</f>
        <v>RC-18AMXH(W) 368539</v>
      </c>
      <c r="S4540" s="86">
        <f>_xlfn.XLOOKUP(表格1[[#This Row],[Model]],表格3[Model-Input-Ref2],表格3[SRP PRICE])</f>
        <v>1588</v>
      </c>
      <c r="T4540" s="43">
        <f>表格1[[#This Row],[Unit Price]]/表格1[[#This Row],[SRP]]</f>
        <v>0.62342569269521408</v>
      </c>
      <c r="U4540" s="86" t="str">
        <f>_xlfn.XLOOKUP(表格1[[#This Row],[Model]],表格3[Model-Input-Ref2],表格3[TOSHIBA/HIGHEST])</f>
        <v>Toshiba SRP</v>
      </c>
      <c r="W4540" s="86" t="str">
        <f>_xlfn.CONCAT(表格1[[#This Row],[欄4]],表格1[[#This Row],[inv no]])</f>
        <v>368539</v>
      </c>
    </row>
    <row r="4541" spans="1:23" hidden="1">
      <c r="A4541" s="81">
        <v>4539</v>
      </c>
      <c r="B4541" s="86" t="s">
        <v>39</v>
      </c>
      <c r="C4541" s="86" t="s">
        <v>2093</v>
      </c>
      <c r="D4541" s="89" t="str">
        <f ca="1">OFFSET(Roster!$A$3,MATCH(表格1[[#This Row],[Location]]&amp;" "&amp;表格1[[#This Row],[Shop]]&amp;"*",Roster!$A$4:$A$72,0),DAY(表格1[[#This Row],[date]]),1,1)</f>
        <v>Wendy Wong_2</v>
      </c>
      <c r="E4541" s="86">
        <v>3</v>
      </c>
      <c r="F4541" s="90">
        <v>46110</v>
      </c>
      <c r="G4541" s="86" t="str">
        <f>VLOOKUP("*"&amp;表格1[[#This Row],[Input]]&amp;"*",'Ref-List'!$B:$D,2,)</f>
        <v>F-LYA20(W)HKG</v>
      </c>
      <c r="H4541" s="86" t="str">
        <f>_xlfn.XLOOKUP(表格1[[#This Row],[Model]],表格3[Model-Input-Ref2],表格3[Product Line])</f>
        <v>12吋2合1座地座檯電風扇連遙控</v>
      </c>
      <c r="I4541" s="86" t="str">
        <f>_xlfn.XLOOKUP(表格1[[#This Row],[Model]],表格3[Model-Input-Ref2],表格3[大小電])</f>
        <v>細電</v>
      </c>
      <c r="J4541" s="86" t="str">
        <f>_xlfn.XLOOKUP(表格1[[#This Row],[Model]],表格3[Model-Input-Ref2],表格3[Code])</f>
        <v>EAD</v>
      </c>
      <c r="K4541" s="89" t="s">
        <v>2052</v>
      </c>
      <c r="L4541" s="86">
        <v>1</v>
      </c>
      <c r="M4541" s="87">
        <v>399</v>
      </c>
      <c r="N4541" s="87">
        <f>IFERROR(表格1[[#This Row],[QTY]]*表格1[[#This Row],[Unit Price]],"-")</f>
        <v>399</v>
      </c>
      <c r="O4541" s="86">
        <v>368589</v>
      </c>
      <c r="R4541" s="86" t="str">
        <f>_xlfn.CONCAT(表格1[[#This Row],[Model]]," ",表格1[[#This Row],[inv no]])</f>
        <v>F-LYA20(W)HKG 368589</v>
      </c>
      <c r="S4541" s="86">
        <f>_xlfn.XLOOKUP(表格1[[#This Row],[Model]],表格3[Model-Input-Ref2],表格3[SRP PRICE])</f>
        <v>988</v>
      </c>
      <c r="T4541" s="43">
        <f>表格1[[#This Row],[Unit Price]]/表格1[[#This Row],[SRP]]</f>
        <v>0.40384615384615385</v>
      </c>
      <c r="U4541" s="86" t="str">
        <f>_xlfn.XLOOKUP(表格1[[#This Row],[Model]],表格3[Model-Input-Ref2],表格3[TOSHIBA/HIGHEST])</f>
        <v>Toshiba SRP</v>
      </c>
      <c r="W4541" s="86" t="str">
        <f>_xlfn.CONCAT(表格1[[#This Row],[欄4]],表格1[[#This Row],[inv no]])</f>
        <v>368589</v>
      </c>
    </row>
    <row r="4542" spans="1:23" hidden="1">
      <c r="A4542" s="81">
        <v>4540</v>
      </c>
      <c r="B4542" s="86" t="s">
        <v>39</v>
      </c>
      <c r="C4542" s="86" t="s">
        <v>2093</v>
      </c>
      <c r="D4542" s="89" t="str">
        <f ca="1">OFFSET(Roster!$A$3,MATCH(表格1[[#This Row],[Location]]&amp;" "&amp;表格1[[#This Row],[Shop]]&amp;"*",Roster!$A$4:$A$72,0),DAY(表格1[[#This Row],[date]]),1,1)</f>
        <v>Wendy Wong_2</v>
      </c>
      <c r="E4542" s="86">
        <v>3</v>
      </c>
      <c r="F4542" s="90">
        <v>46110</v>
      </c>
      <c r="G4542" s="86" t="str">
        <f>VLOOKUP("*"&amp;表格1[[#This Row],[Input]]&amp;"*",'Ref-List'!$B:$D,2,)</f>
        <v>RC-18AMXH(W)</v>
      </c>
      <c r="H4542" s="86" t="str">
        <f>_xlfn.XLOOKUP(表格1[[#This Row],[Model]],表格3[Model-Input-Ref2],表格3[Product Line])</f>
        <v>酵活炊電飯煲(1.8公升)</v>
      </c>
      <c r="I4542" s="86" t="str">
        <f>_xlfn.XLOOKUP(表格1[[#This Row],[Model]],表格3[Model-Input-Ref2],表格3[大小電])</f>
        <v>細電</v>
      </c>
      <c r="J4542" s="86" t="str">
        <f>_xlfn.XLOOKUP(表格1[[#This Row],[Model]],表格3[Model-Input-Ref2],表格3[Code])</f>
        <v>SDA</v>
      </c>
      <c r="K4542" s="89" t="s">
        <v>2085</v>
      </c>
      <c r="L4542" s="86">
        <v>1</v>
      </c>
      <c r="M4542" s="87">
        <v>990</v>
      </c>
      <c r="N4542" s="87">
        <f>IFERROR(表格1[[#This Row],[QTY]]*表格1[[#This Row],[Unit Price]],"-")</f>
        <v>990</v>
      </c>
      <c r="O4542" s="86">
        <v>368593</v>
      </c>
      <c r="R4542" s="86" t="str">
        <f>_xlfn.CONCAT(表格1[[#This Row],[Model]]," ",表格1[[#This Row],[inv no]])</f>
        <v>RC-18AMXH(W) 368593</v>
      </c>
      <c r="S4542" s="86">
        <f>_xlfn.XLOOKUP(表格1[[#This Row],[Model]],表格3[Model-Input-Ref2],表格3[SRP PRICE])</f>
        <v>1588</v>
      </c>
      <c r="T4542" s="43">
        <f>表格1[[#This Row],[Unit Price]]/表格1[[#This Row],[SRP]]</f>
        <v>0.62342569269521408</v>
      </c>
      <c r="U4542" s="86" t="str">
        <f>_xlfn.XLOOKUP(表格1[[#This Row],[Model]],表格3[Model-Input-Ref2],表格3[TOSHIBA/HIGHEST])</f>
        <v>Toshiba SRP</v>
      </c>
      <c r="W4542" s="86" t="str">
        <f>_xlfn.CONCAT(表格1[[#This Row],[欄4]],表格1[[#This Row],[inv no]])</f>
        <v>368593</v>
      </c>
    </row>
    <row r="4543" spans="1:23" hidden="1">
      <c r="A4543" s="81">
        <v>4541</v>
      </c>
      <c r="B4543" s="86" t="s">
        <v>39</v>
      </c>
      <c r="C4543" s="86" t="s">
        <v>2093</v>
      </c>
      <c r="D4543" s="89" t="str">
        <f ca="1">OFFSET(Roster!$A$3,MATCH(表格1[[#This Row],[Location]]&amp;" "&amp;表格1[[#This Row],[Shop]]&amp;"*",Roster!$A$4:$A$72,0),DAY(表格1[[#This Row],[date]]),1,1)</f>
        <v>Wendy Wong_2</v>
      </c>
      <c r="E4543" s="86">
        <v>3</v>
      </c>
      <c r="F4543" s="90">
        <v>46110</v>
      </c>
      <c r="G4543" s="86" t="str">
        <f>VLOOKUP("*"&amp;表格1[[#This Row],[Input]]&amp;"*",'Ref-List'!$B:$D,2,)</f>
        <v>RAD-D200H</v>
      </c>
      <c r="H4543" s="86" t="str">
        <f>_xlfn.XLOOKUP(表格1[[#This Row],[Model]],表格3[Model-Input-Ref2],表格3[Product Line])</f>
        <v>壓縮式抽濕機 (22公升)</v>
      </c>
      <c r="I4543" s="86" t="str">
        <f>_xlfn.XLOOKUP(表格1[[#This Row],[Model]],表格3[Model-Input-Ref2],表格3[大小電])</f>
        <v>細電</v>
      </c>
      <c r="J4543" s="86" t="str">
        <f>_xlfn.XLOOKUP(表格1[[#This Row],[Model]],表格3[Model-Input-Ref2],表格3[Code])</f>
        <v>RAC</v>
      </c>
      <c r="K4543" s="89" t="s">
        <v>2039</v>
      </c>
      <c r="L4543" s="86">
        <v>1</v>
      </c>
      <c r="M4543" s="87">
        <v>1880</v>
      </c>
      <c r="N4543" s="87">
        <f>IFERROR(表格1[[#This Row],[QTY]]*表格1[[#This Row],[Unit Price]],"-")</f>
        <v>1880</v>
      </c>
      <c r="O4543" s="86">
        <v>453382</v>
      </c>
      <c r="R4543" s="86" t="str">
        <f>_xlfn.CONCAT(表格1[[#This Row],[Model]]," ",表格1[[#This Row],[inv no]])</f>
        <v>RAD-D200H 453382</v>
      </c>
      <c r="S4543" s="86">
        <f>_xlfn.XLOOKUP(表格1[[#This Row],[Model]],表格3[Model-Input-Ref2],表格3[SRP PRICE])</f>
        <v>2880</v>
      </c>
      <c r="T4543" s="43">
        <f>表格1[[#This Row],[Unit Price]]/表格1[[#This Row],[SRP]]</f>
        <v>0.65277777777777779</v>
      </c>
      <c r="U4543" s="86" t="str">
        <f>_xlfn.XLOOKUP(表格1[[#This Row],[Model]],表格3[Model-Input-Ref2],表格3[TOSHIBA/HIGHEST])</f>
        <v>Shops Highest Price</v>
      </c>
      <c r="W4543" s="86" t="str">
        <f>_xlfn.CONCAT(表格1[[#This Row],[欄4]],表格1[[#This Row],[inv no]])</f>
        <v>453382</v>
      </c>
    </row>
    <row r="4544" spans="1:23" hidden="1">
      <c r="A4544" s="81">
        <v>4542</v>
      </c>
      <c r="B4544" s="86" t="s">
        <v>39</v>
      </c>
      <c r="C4544" s="86" t="s">
        <v>2093</v>
      </c>
      <c r="D4544" s="89" t="str">
        <f ca="1">OFFSET(Roster!$A$3,MATCH(表格1[[#This Row],[Location]]&amp;" "&amp;表格1[[#This Row],[Shop]]&amp;"*",Roster!$A$4:$A$72,0),DAY(表格1[[#This Row],[date]]),1,1)</f>
        <v>Wendy Wong_2</v>
      </c>
      <c r="E4544" s="86">
        <v>3</v>
      </c>
      <c r="F4544" s="90">
        <v>46110</v>
      </c>
      <c r="G4544" s="86" t="str">
        <f>VLOOKUP("*"&amp;表格1[[#This Row],[Input]]&amp;"*",'Ref-List'!$B:$D,2,)</f>
        <v>RC-18AMXH(W)</v>
      </c>
      <c r="H4544" s="86" t="str">
        <f>_xlfn.XLOOKUP(表格1[[#This Row],[Model]],表格3[Model-Input-Ref2],表格3[Product Line])</f>
        <v>酵活炊電飯煲(1.8公升)</v>
      </c>
      <c r="I4544" s="86" t="str">
        <f>_xlfn.XLOOKUP(表格1[[#This Row],[Model]],表格3[Model-Input-Ref2],表格3[大小電])</f>
        <v>細電</v>
      </c>
      <c r="J4544" s="86" t="str">
        <f>_xlfn.XLOOKUP(表格1[[#This Row],[Model]],表格3[Model-Input-Ref2],表格3[Code])</f>
        <v>SDA</v>
      </c>
      <c r="K4544" s="89" t="s">
        <v>2085</v>
      </c>
      <c r="L4544" s="86">
        <v>1</v>
      </c>
      <c r="M4544" s="87">
        <v>990</v>
      </c>
      <c r="N4544" s="87">
        <f>IFERROR(表格1[[#This Row],[QTY]]*表格1[[#This Row],[Unit Price]],"-")</f>
        <v>990</v>
      </c>
      <c r="O4544" s="86">
        <v>490792</v>
      </c>
      <c r="R4544" s="86" t="str">
        <f>_xlfn.CONCAT(表格1[[#This Row],[Model]]," ",表格1[[#This Row],[inv no]])</f>
        <v>RC-18AMXH(W) 490792</v>
      </c>
      <c r="S4544" s="86">
        <f>_xlfn.XLOOKUP(表格1[[#This Row],[Model]],表格3[Model-Input-Ref2],表格3[SRP PRICE])</f>
        <v>1588</v>
      </c>
      <c r="T4544" s="43">
        <f>表格1[[#This Row],[Unit Price]]/表格1[[#This Row],[SRP]]</f>
        <v>0.62342569269521408</v>
      </c>
      <c r="U4544" s="86" t="str">
        <f>_xlfn.XLOOKUP(表格1[[#This Row],[Model]],表格3[Model-Input-Ref2],表格3[TOSHIBA/HIGHEST])</f>
        <v>Toshiba SRP</v>
      </c>
      <c r="W4544" s="86" t="str">
        <f>_xlfn.CONCAT(表格1[[#This Row],[欄4]],表格1[[#This Row],[inv no]])</f>
        <v>490792</v>
      </c>
    </row>
    <row r="4545" spans="1:23" hidden="1">
      <c r="A4545" s="81">
        <v>4543</v>
      </c>
      <c r="B4545" s="86" t="s">
        <v>39</v>
      </c>
      <c r="C4545" s="86" t="s">
        <v>2093</v>
      </c>
      <c r="D4545" s="89" t="str">
        <f ca="1">OFFSET(Roster!$A$3,MATCH(表格1[[#This Row],[Location]]&amp;" "&amp;表格1[[#This Row],[Shop]]&amp;"*",Roster!$A$4:$A$72,0),DAY(表格1[[#This Row],[date]]),1,1)</f>
        <v>Wendy Wong_2</v>
      </c>
      <c r="E4545" s="86">
        <v>3</v>
      </c>
      <c r="F4545" s="90">
        <v>46110</v>
      </c>
      <c r="G4545" s="86" t="str">
        <f>VLOOKUP("*"&amp;表格1[[#This Row],[Input]]&amp;"*",'Ref-List'!$B:$D,2,)</f>
        <v>TWD-T21BU95UWH(WW)</v>
      </c>
      <c r="H4545" s="86" t="str">
        <f>_xlfn.XLOOKUP(表格1[[#This Row],[Model]],表格3[Model-Input-Ref2],表格3[Product Line])</f>
        <v>470MM超薄身前置式變頻洗衣乾衣機 (洗8.5公斤 乾6公斤)</v>
      </c>
      <c r="I4545" s="86" t="str">
        <f>_xlfn.XLOOKUP(表格1[[#This Row],[Model]],表格3[Model-Input-Ref2],表格3[大小電])</f>
        <v>大電</v>
      </c>
      <c r="J4545" s="86" t="str">
        <f>_xlfn.XLOOKUP(表格1[[#This Row],[Model]],表格3[Model-Input-Ref2],表格3[Code])</f>
        <v>LAD</v>
      </c>
      <c r="K4545" s="89" t="s">
        <v>2091</v>
      </c>
      <c r="L4545" s="86">
        <v>1</v>
      </c>
      <c r="M4545" s="87">
        <v>4480</v>
      </c>
      <c r="N4545" s="87">
        <f>IFERROR(表格1[[#This Row],[QTY]]*表格1[[#This Row],[Unit Price]],"-")</f>
        <v>4480</v>
      </c>
      <c r="O4545" s="86">
        <v>368610</v>
      </c>
      <c r="R4545" s="86" t="str">
        <f>_xlfn.CONCAT(表格1[[#This Row],[Model]]," ",表格1[[#This Row],[inv no]])</f>
        <v>TWD-T21BU95UWH(WW) 368610</v>
      </c>
      <c r="S4545" s="86">
        <f>_xlfn.XLOOKUP(表格1[[#This Row],[Model]],表格3[Model-Input-Ref2],表格3[SRP PRICE])</f>
        <v>7280</v>
      </c>
      <c r="T4545" s="43">
        <f>表格1[[#This Row],[Unit Price]]/表格1[[#This Row],[SRP]]</f>
        <v>0.61538461538461542</v>
      </c>
      <c r="U4545" s="86" t="str">
        <f>_xlfn.XLOOKUP(表格1[[#This Row],[Model]],表格3[Model-Input-Ref2],表格3[TOSHIBA/HIGHEST])</f>
        <v>Toshiba SRP</v>
      </c>
      <c r="W4545" s="86" t="str">
        <f>_xlfn.CONCAT(表格1[[#This Row],[欄4]],表格1[[#This Row],[inv no]])</f>
        <v>368610</v>
      </c>
    </row>
    <row r="4546" spans="1:23" hidden="1">
      <c r="A4546" s="81">
        <v>4544</v>
      </c>
      <c r="B4546" s="86" t="s">
        <v>39</v>
      </c>
      <c r="C4546" s="86" t="s">
        <v>2093</v>
      </c>
      <c r="D4546" s="89" t="str">
        <f ca="1">OFFSET(Roster!$A$3,MATCH(表格1[[#This Row],[Location]]&amp;" "&amp;表格1[[#This Row],[Shop]]&amp;"*",Roster!$A$4:$A$72,0),DAY(表格1[[#This Row],[date]]),1,1)</f>
        <v>Wendy Wong_2</v>
      </c>
      <c r="E4546" s="86">
        <v>3</v>
      </c>
      <c r="F4546" s="90">
        <v>46110</v>
      </c>
      <c r="G4546" s="86" t="str">
        <f>VLOOKUP("*"&amp;表格1[[#This Row],[Input]]&amp;"*",'Ref-List'!$B:$D,2,)</f>
        <v>KT-17DRNH</v>
      </c>
      <c r="H4546" s="86" t="str">
        <f>_xlfn.XLOOKUP(表格1[[#This Row],[Model]],表格3[Model-Input-Ref2],表格3[Product Line])</f>
        <v>1.7L電熱水壺</v>
      </c>
      <c r="I4546" s="86" t="str">
        <f>_xlfn.XLOOKUP(表格1[[#This Row],[Model]],表格3[Model-Input-Ref2],表格3[大小電])</f>
        <v>細電</v>
      </c>
      <c r="J4546" s="86" t="str">
        <f>_xlfn.XLOOKUP(表格1[[#This Row],[Model]],表格3[Model-Input-Ref2],表格3[Code])</f>
        <v>SDA</v>
      </c>
      <c r="K4546" s="89" t="s">
        <v>2092</v>
      </c>
      <c r="L4546" s="86">
        <v>1</v>
      </c>
      <c r="M4546" s="87">
        <v>388</v>
      </c>
      <c r="N4546" s="87">
        <f>IFERROR(表格1[[#This Row],[QTY]]*表格1[[#This Row],[Unit Price]],"-")</f>
        <v>388</v>
      </c>
      <c r="O4546" s="86">
        <v>368640</v>
      </c>
      <c r="R4546" s="86" t="str">
        <f>_xlfn.CONCAT(表格1[[#This Row],[Model]]," ",表格1[[#This Row],[inv no]])</f>
        <v>KT-17DRNH 368640</v>
      </c>
      <c r="S4546" s="86">
        <f>_xlfn.XLOOKUP(表格1[[#This Row],[Model]],表格3[Model-Input-Ref2],表格3[SRP PRICE])</f>
        <v>498</v>
      </c>
      <c r="T4546" s="43">
        <f>表格1[[#This Row],[Unit Price]]/表格1[[#This Row],[SRP]]</f>
        <v>0.77911646586345384</v>
      </c>
      <c r="U4546" s="86" t="str">
        <f>_xlfn.XLOOKUP(表格1[[#This Row],[Model]],表格3[Model-Input-Ref2],表格3[TOSHIBA/HIGHEST])</f>
        <v>Toshiba SRP</v>
      </c>
      <c r="W4546" s="86" t="str">
        <f>_xlfn.CONCAT(表格1[[#This Row],[欄4]],表格1[[#This Row],[inv no]])</f>
        <v>368640</v>
      </c>
    </row>
    <row r="4547" spans="1:23" hidden="1">
      <c r="A4547" s="81">
        <v>4545</v>
      </c>
      <c r="B4547" s="86" t="s">
        <v>39</v>
      </c>
      <c r="C4547" s="86" t="s">
        <v>2093</v>
      </c>
      <c r="D4547" s="89" t="str">
        <f ca="1">OFFSET(Roster!$A$3,MATCH(表格1[[#This Row],[Location]]&amp;" "&amp;表格1[[#This Row],[Shop]]&amp;"*",Roster!$A$4:$A$72,0),DAY(表格1[[#This Row],[date]]),1,1)</f>
        <v>Wendy Wong_2</v>
      </c>
      <c r="E4547" s="86">
        <v>3</v>
      </c>
      <c r="F4547" s="90">
        <v>46110</v>
      </c>
      <c r="G4547" s="86" t="str">
        <f>VLOOKUP("*"&amp;表格1[[#This Row],[Input]]&amp;"*",'Ref-List'!$B:$D,2,)</f>
        <v>MV2-EG26PEI(BK)</v>
      </c>
      <c r="H4547" s="86" t="str">
        <f>_xlfn.XLOOKUP(表格1[[#This Row],[Model]],表格3[Model-Input-Ref2],表格3[Product Line])</f>
        <v>輕觸式平板燒烤微波爐 (26公升)</v>
      </c>
      <c r="I4547" s="86" t="str">
        <f>_xlfn.XLOOKUP(表格1[[#This Row],[Model]],表格3[Model-Input-Ref2],表格3[大小電])</f>
        <v>細電</v>
      </c>
      <c r="J4547" s="86" t="str">
        <f>_xlfn.XLOOKUP(表格1[[#This Row],[Model]],表格3[Model-Input-Ref2],表格3[Code])</f>
        <v>MCA</v>
      </c>
      <c r="K4547" s="89" t="s">
        <v>2047</v>
      </c>
      <c r="L4547" s="86">
        <v>1</v>
      </c>
      <c r="M4547" s="87">
        <v>888</v>
      </c>
      <c r="N4547" s="87">
        <f>IFERROR(表格1[[#This Row],[QTY]]*表格1[[#This Row],[Unit Price]],"-")</f>
        <v>888</v>
      </c>
      <c r="O4547" s="86">
        <v>448304</v>
      </c>
      <c r="R4547" s="86" t="str">
        <f>_xlfn.CONCAT(表格1[[#This Row],[Model]]," ",表格1[[#This Row],[inv no]])</f>
        <v>MV2-EG26PEI(BK) 448304</v>
      </c>
      <c r="S4547" s="86">
        <f>_xlfn.XLOOKUP(表格1[[#This Row],[Model]],表格3[Model-Input-Ref2],表格3[SRP PRICE])</f>
        <v>1180</v>
      </c>
      <c r="T4547" s="43">
        <f>表格1[[#This Row],[Unit Price]]/表格1[[#This Row],[SRP]]</f>
        <v>0.75254237288135595</v>
      </c>
      <c r="U4547" s="86" t="str">
        <f>_xlfn.XLOOKUP(表格1[[#This Row],[Model]],表格3[Model-Input-Ref2],表格3[TOSHIBA/HIGHEST])</f>
        <v>Toshiba SRP</v>
      </c>
      <c r="W4547" s="86" t="str">
        <f>_xlfn.CONCAT(表格1[[#This Row],[欄4]],表格1[[#This Row],[inv no]])</f>
        <v>448304</v>
      </c>
    </row>
    <row r="4548" spans="1:23" hidden="1">
      <c r="A4548" s="81">
        <v>4546</v>
      </c>
      <c r="B4548" s="86" t="s">
        <v>39</v>
      </c>
      <c r="C4548" s="86" t="s">
        <v>2093</v>
      </c>
      <c r="D4548" s="89" t="str">
        <f ca="1">OFFSET(Roster!$A$3,MATCH(表格1[[#This Row],[Location]]&amp;" "&amp;表格1[[#This Row],[Shop]]&amp;"*",Roster!$A$4:$A$72,0),DAY(表格1[[#This Row],[date]]),1,1)</f>
        <v>Wendy Wong_2</v>
      </c>
      <c r="E4548" s="86">
        <v>3</v>
      </c>
      <c r="F4548" s="90">
        <v>46110</v>
      </c>
      <c r="G4548" s="86" t="str">
        <f>VLOOKUP("*"&amp;表格1[[#This Row],[Input]]&amp;"*",'Ref-List'!$B:$D,2,)</f>
        <v>RC-5SLIH(W)</v>
      </c>
      <c r="H4548" s="86" t="str">
        <f>_xlfn.XLOOKUP(表格1[[#This Row],[Model]],表格3[Model-Input-Ref2],表格3[Product Line])</f>
        <v>微型電腦珍珠飯煲</v>
      </c>
      <c r="I4548" s="86" t="str">
        <f>_xlfn.XLOOKUP(表格1[[#This Row],[Model]],表格3[Model-Input-Ref2],表格3[大小電])</f>
        <v>細電</v>
      </c>
      <c r="J4548" s="86" t="str">
        <f>_xlfn.XLOOKUP(表格1[[#This Row],[Model]],表格3[Model-Input-Ref2],表格3[Code])</f>
        <v>SDA</v>
      </c>
      <c r="K4548" s="89" t="s">
        <v>2037</v>
      </c>
      <c r="L4548" s="86">
        <v>1</v>
      </c>
      <c r="M4548" s="87">
        <v>550</v>
      </c>
      <c r="N4548" s="87">
        <f>IFERROR(表格1[[#This Row],[QTY]]*表格1[[#This Row],[Unit Price]],"-")</f>
        <v>550</v>
      </c>
      <c r="O4548" s="86">
        <v>368672</v>
      </c>
      <c r="R4548" s="86" t="str">
        <f>_xlfn.CONCAT(表格1[[#This Row],[Model]]," ",表格1[[#This Row],[inv no]])</f>
        <v>RC-5SLIH(W) 368672</v>
      </c>
      <c r="S4548" s="86">
        <f>_xlfn.XLOOKUP(表格1[[#This Row],[Model]],表格3[Model-Input-Ref2],表格3[SRP PRICE])</f>
        <v>658</v>
      </c>
      <c r="T4548" s="43">
        <f>表格1[[#This Row],[Unit Price]]/表格1[[#This Row],[SRP]]</f>
        <v>0.83586626139817632</v>
      </c>
      <c r="U4548" s="86" t="str">
        <f>_xlfn.XLOOKUP(表格1[[#This Row],[Model]],表格3[Model-Input-Ref2],表格3[TOSHIBA/HIGHEST])</f>
        <v>Toshiba SRP</v>
      </c>
      <c r="W4548" s="86" t="str">
        <f>_xlfn.CONCAT(表格1[[#This Row],[欄4]],表格1[[#This Row],[inv no]])</f>
        <v>368672</v>
      </c>
    </row>
    <row r="4549" spans="1:23" hidden="1">
      <c r="A4549" s="81">
        <v>4547</v>
      </c>
      <c r="B4549" s="86" t="s">
        <v>39</v>
      </c>
      <c r="C4549" s="86" t="s">
        <v>2093</v>
      </c>
      <c r="D4549" s="89" t="str">
        <f ca="1">OFFSET(Roster!$A$3,MATCH(表格1[[#This Row],[Location]]&amp;" "&amp;表格1[[#This Row],[Shop]]&amp;"*",Roster!$A$4:$A$72,0),DAY(表格1[[#This Row],[date]]),1,1)</f>
        <v>Wendy Wong_2</v>
      </c>
      <c r="E4549" s="86">
        <v>3</v>
      </c>
      <c r="F4549" s="90">
        <v>46110</v>
      </c>
      <c r="G4549" s="86" t="str">
        <f>VLOOKUP("*"&amp;表格1[[#This Row],[Input]]&amp;"*",'Ref-List'!$B:$D,2,)</f>
        <v>KT-14DHUHK(W)</v>
      </c>
      <c r="H4549" s="86" t="str">
        <f>_xlfn.XLOOKUP(表格1[[#This Row],[Model]],表格3[Model-Input-Ref2],表格3[Product Line])</f>
        <v>無線雙層電熱水壺(1.4公升)</v>
      </c>
      <c r="I4549" s="86" t="str">
        <f>_xlfn.XLOOKUP(表格1[[#This Row],[Model]],表格3[Model-Input-Ref2],表格3[大小電])</f>
        <v>細電</v>
      </c>
      <c r="J4549" s="86" t="str">
        <f>_xlfn.XLOOKUP(表格1[[#This Row],[Model]],表格3[Model-Input-Ref2],表格3[Code])</f>
        <v>SDA</v>
      </c>
      <c r="K4549" s="89" t="s">
        <v>2084</v>
      </c>
      <c r="L4549" s="86">
        <v>1</v>
      </c>
      <c r="M4549" s="87">
        <v>298</v>
      </c>
      <c r="N4549" s="87">
        <f>IFERROR(表格1[[#This Row],[QTY]]*表格1[[#This Row],[Unit Price]],"-")</f>
        <v>298</v>
      </c>
      <c r="O4549" s="86">
        <v>368705</v>
      </c>
      <c r="R4549" s="86" t="str">
        <f>_xlfn.CONCAT(表格1[[#This Row],[Model]]," ",表格1[[#This Row],[inv no]])</f>
        <v>KT-14DHUHK(W) 368705</v>
      </c>
      <c r="S4549" s="86">
        <f>_xlfn.XLOOKUP(表格1[[#This Row],[Model]],表格3[Model-Input-Ref2],表格3[SRP PRICE])</f>
        <v>458</v>
      </c>
      <c r="T4549" s="43">
        <f>表格1[[#This Row],[Unit Price]]/表格1[[#This Row],[SRP]]</f>
        <v>0.6506550218340611</v>
      </c>
      <c r="U4549" s="86" t="str">
        <f>_xlfn.XLOOKUP(表格1[[#This Row],[Model]],表格3[Model-Input-Ref2],表格3[TOSHIBA/HIGHEST])</f>
        <v>Toshiba SRP</v>
      </c>
      <c r="W4549" s="86" t="str">
        <f>_xlfn.CONCAT(表格1[[#This Row],[欄4]],表格1[[#This Row],[inv no]])</f>
        <v>368705</v>
      </c>
    </row>
    <row r="4550" spans="1:23" hidden="1">
      <c r="A4550" s="81">
        <v>4548</v>
      </c>
      <c r="B4550" s="86" t="s">
        <v>39</v>
      </c>
      <c r="C4550" s="86" t="s">
        <v>2093</v>
      </c>
      <c r="D4550" s="89" t="str">
        <f ca="1">OFFSET(Roster!$A$3,MATCH(表格1[[#This Row],[Location]]&amp;" "&amp;表格1[[#This Row],[Shop]]&amp;"*",Roster!$A$4:$A$72,0),DAY(表格1[[#This Row],[date]]),1,1)</f>
        <v>Wendy Wong_2</v>
      </c>
      <c r="E4550" s="86">
        <v>3</v>
      </c>
      <c r="F4550" s="90">
        <v>46110</v>
      </c>
      <c r="G4550" s="86" t="str">
        <f>VLOOKUP("*"&amp;表格1[[#This Row],[Input]]&amp;"*",'Ref-List'!$B:$D,2,)</f>
        <v>KT-17DRTHK(H)</v>
      </c>
      <c r="H4550" s="86" t="str">
        <f>_xlfn.XLOOKUP(表格1[[#This Row],[Model]],表格3[Model-Input-Ref2],表格3[Product Line])</f>
        <v>無線雙層電熱水壺(1.7公升)</v>
      </c>
      <c r="I4550" s="86" t="str">
        <f>_xlfn.XLOOKUP(表格1[[#This Row],[Model]],表格3[Model-Input-Ref2],表格3[大小電])</f>
        <v>細電</v>
      </c>
      <c r="J4550" s="86" t="str">
        <f>_xlfn.XLOOKUP(表格1[[#This Row],[Model]],表格3[Model-Input-Ref2],表格3[Code])</f>
        <v>SDA</v>
      </c>
      <c r="K4550" s="89" t="s">
        <v>2035</v>
      </c>
      <c r="L4550" s="86">
        <v>1</v>
      </c>
      <c r="M4550" s="87">
        <v>388</v>
      </c>
      <c r="N4550" s="87">
        <f>IFERROR(表格1[[#This Row],[QTY]]*表格1[[#This Row],[Unit Price]],"-")</f>
        <v>388</v>
      </c>
      <c r="O4550" s="86">
        <v>368720</v>
      </c>
      <c r="R4550" s="86" t="str">
        <f>_xlfn.CONCAT(表格1[[#This Row],[Model]]," ",表格1[[#This Row],[inv no]])</f>
        <v>KT-17DRTHK(H) 368720</v>
      </c>
      <c r="S4550" s="86">
        <f>_xlfn.XLOOKUP(表格1[[#This Row],[Model]],表格3[Model-Input-Ref2],表格3[SRP PRICE])</f>
        <v>498</v>
      </c>
      <c r="T4550" s="43">
        <f>表格1[[#This Row],[Unit Price]]/表格1[[#This Row],[SRP]]</f>
        <v>0.77911646586345384</v>
      </c>
      <c r="U4550" s="86" t="str">
        <f>_xlfn.XLOOKUP(表格1[[#This Row],[Model]],表格3[Model-Input-Ref2],表格3[TOSHIBA/HIGHEST])</f>
        <v>Toshiba SRP</v>
      </c>
      <c r="W4550" s="86" t="str">
        <f>_xlfn.CONCAT(表格1[[#This Row],[欄4]],表格1[[#This Row],[inv no]])</f>
        <v>368720</v>
      </c>
    </row>
    <row r="4551" spans="1:23" hidden="1">
      <c r="A4551" s="81">
        <v>4549</v>
      </c>
      <c r="B4551" s="86" t="s">
        <v>39</v>
      </c>
      <c r="C4551" s="86" t="s">
        <v>2093</v>
      </c>
      <c r="D4551" s="89" t="str">
        <f ca="1">OFFSET(Roster!$A$3,MATCH(表格1[[#This Row],[Location]]&amp;" "&amp;表格1[[#This Row],[Shop]]&amp;"*",Roster!$A$4:$A$72,0),DAY(表格1[[#This Row],[date]]),1,1)</f>
        <v>Wendy Wong_2</v>
      </c>
      <c r="E4551" s="86">
        <v>3</v>
      </c>
      <c r="F4551" s="90">
        <v>46110</v>
      </c>
      <c r="G4551" s="86" t="str">
        <f>VLOOKUP("*"&amp;表格1[[#This Row],[Input]]&amp;"*",'Ref-List'!$B:$D,2,)</f>
        <v>F-LYA20(W)HKG</v>
      </c>
      <c r="H4551" s="86" t="str">
        <f>_xlfn.XLOOKUP(表格1[[#This Row],[Model]],表格3[Model-Input-Ref2],表格3[Product Line])</f>
        <v>12吋2合1座地座檯電風扇連遙控</v>
      </c>
      <c r="I4551" s="86" t="str">
        <f>_xlfn.XLOOKUP(表格1[[#This Row],[Model]],表格3[Model-Input-Ref2],表格3[大小電])</f>
        <v>細電</v>
      </c>
      <c r="J4551" s="86" t="str">
        <f>_xlfn.XLOOKUP(表格1[[#This Row],[Model]],表格3[Model-Input-Ref2],表格3[Code])</f>
        <v>EAD</v>
      </c>
      <c r="K4551" s="89" t="s">
        <v>2052</v>
      </c>
      <c r="L4551" s="86">
        <v>1</v>
      </c>
      <c r="M4551" s="87">
        <v>399</v>
      </c>
      <c r="N4551" s="87">
        <f>IFERROR(表格1[[#This Row],[QTY]]*表格1[[#This Row],[Unit Price]],"-")</f>
        <v>399</v>
      </c>
      <c r="O4551" s="86">
        <v>368757</v>
      </c>
      <c r="R4551" s="86" t="str">
        <f>_xlfn.CONCAT(表格1[[#This Row],[Model]]," ",表格1[[#This Row],[inv no]])</f>
        <v>F-LYA20(W)HKG 368757</v>
      </c>
      <c r="S4551" s="86">
        <f>_xlfn.XLOOKUP(表格1[[#This Row],[Model]],表格3[Model-Input-Ref2],表格3[SRP PRICE])</f>
        <v>988</v>
      </c>
      <c r="T4551" s="43">
        <f>表格1[[#This Row],[Unit Price]]/表格1[[#This Row],[SRP]]</f>
        <v>0.40384615384615385</v>
      </c>
      <c r="U4551" s="86" t="str">
        <f>_xlfn.XLOOKUP(表格1[[#This Row],[Model]],表格3[Model-Input-Ref2],表格3[TOSHIBA/HIGHEST])</f>
        <v>Toshiba SRP</v>
      </c>
      <c r="W4551" s="86" t="str">
        <f>_xlfn.CONCAT(表格1[[#This Row],[欄4]],表格1[[#This Row],[inv no]])</f>
        <v>368757</v>
      </c>
    </row>
    <row r="4552" spans="1:23">
      <c r="A4552" s="81">
        <v>4550</v>
      </c>
      <c r="B4552" s="86" t="s">
        <v>1203</v>
      </c>
      <c r="C4552" s="86" t="s">
        <v>2027</v>
      </c>
      <c r="D4552" s="89" t="str">
        <f ca="1">OFFSET(Roster!$A$3,MATCH(表格1[[#This Row],[Location]]&amp;" "&amp;表格1[[#This Row],[Shop]]&amp;"*",Roster!$A$4:$A$72,0),DAY(表格1[[#This Row],[date]]),1,1)</f>
        <v>May C off</v>
      </c>
      <c r="E4552" s="86">
        <f>MONTH(表格1[[#This Row],[date]])</f>
        <v>3</v>
      </c>
      <c r="F4552" s="90">
        <v>46095</v>
      </c>
      <c r="G4552" s="86" t="str">
        <f>VLOOKUP("*"&amp;表格1[[#This Row],[Input]]&amp;"*",'Ref-List'!$B:$D,2,)</f>
        <v>AW-M901BPH(WW)</v>
      </c>
      <c r="H4552" s="86" t="str">
        <f>_xlfn.XLOOKUP(表格1[[#This Row],[Model]],表格3[Model-Input-Ref2],表格3[Product Line])</f>
        <v>全自動洗衣機 (8公斤 結合高低水位)</v>
      </c>
      <c r="I4552" s="86" t="str">
        <f>_xlfn.XLOOKUP(表格1[[#This Row],[Model]],表格3[Model-Input-Ref2],表格3[大小電])</f>
        <v>大電</v>
      </c>
      <c r="J4552" s="86" t="str">
        <f>_xlfn.XLOOKUP(表格1[[#This Row],[Model]],表格3[Model-Input-Ref2],表格3[Code])</f>
        <v>WM</v>
      </c>
      <c r="K4552" s="89" t="s">
        <v>1202</v>
      </c>
      <c r="L4552" s="86">
        <v>1</v>
      </c>
      <c r="M4552" s="87">
        <v>1500</v>
      </c>
      <c r="N4552" s="87">
        <f>IFERROR(表格1[[#This Row],[QTY]]*表格1[[#This Row],[Unit Price]],"-")</f>
        <v>1500</v>
      </c>
      <c r="O4552" s="173"/>
      <c r="P4552" s="86" t="s">
        <v>2151</v>
      </c>
      <c r="R4552" s="86" t="str">
        <f>_xlfn.CONCAT(表格1[[#This Row],[Model]]," ",表格1[[#This Row],[inv no]])</f>
        <v xml:space="preserve">AW-M901BPH(WW) </v>
      </c>
      <c r="S4552" s="86">
        <f>_xlfn.XLOOKUP(表格1[[#This Row],[Model]],表格3[Model-Input-Ref2],表格3[SRP PRICE])</f>
        <v>3580</v>
      </c>
      <c r="T4552" s="43">
        <f>表格1[[#This Row],[Unit Price]]/表格1[[#This Row],[SRP]]</f>
        <v>0.41899441340782123</v>
      </c>
      <c r="U4552" s="86" t="str">
        <f>_xlfn.XLOOKUP(表格1[[#This Row],[Model]],表格3[Model-Input-Ref2],表格3[TOSHIBA/HIGHEST])</f>
        <v>Toshiba SRP</v>
      </c>
      <c r="W4552" s="86" t="str">
        <f>_xlfn.CONCAT(表格1[[#This Row],[欄4]],表格1[[#This Row],[inv no]])</f>
        <v/>
      </c>
    </row>
    <row r="4553" spans="1:23">
      <c r="A4553" s="81">
        <v>4551</v>
      </c>
      <c r="B4553" s="86" t="s">
        <v>1203</v>
      </c>
      <c r="C4553" s="86" t="s">
        <v>2027</v>
      </c>
      <c r="D4553" s="89" t="str">
        <f ca="1">OFFSET(Roster!$A$3,MATCH(表格1[[#This Row],[Location]]&amp;" "&amp;表格1[[#This Row],[Shop]]&amp;"*",Roster!$A$4:$A$72,0),DAY(表格1[[#This Row],[date]]),1,1)</f>
        <v>May C off</v>
      </c>
      <c r="E4553" s="86">
        <f>MONTH(表格1[[#This Row],[date]])</f>
        <v>3</v>
      </c>
      <c r="F4553" s="90">
        <v>46095</v>
      </c>
      <c r="G4553" s="86" t="str">
        <f>VLOOKUP("*"&amp;表格1[[#This Row],[Input]]&amp;"*",'Ref-List'!$B:$D,2,)</f>
        <v>GR-RT416WE-PMA(06)</v>
      </c>
      <c r="H4553" s="86" t="str">
        <f>_xlfn.XLOOKUP(表格1[[#This Row],[Model]],表格3[Model-Input-Ref2],表格3[Product Line])</f>
        <v xml:space="preserve">變頻上置式雙門雪櫃313L </v>
      </c>
      <c r="I4553" s="86" t="str">
        <f>_xlfn.XLOOKUP(表格1[[#This Row],[Model]],表格3[Model-Input-Ref2],表格3[大小電])</f>
        <v>大電</v>
      </c>
      <c r="J4553" s="86" t="str">
        <f>_xlfn.XLOOKUP(表格1[[#This Row],[Model]],表格3[Model-Input-Ref2],表格3[Code])</f>
        <v>REF</v>
      </c>
      <c r="K4553" s="89" t="s">
        <v>1208</v>
      </c>
      <c r="L4553" s="86">
        <v>1</v>
      </c>
      <c r="M4553" s="87">
        <v>2888</v>
      </c>
      <c r="N4553" s="87">
        <f>IFERROR(表格1[[#This Row],[QTY]]*表格1[[#This Row],[Unit Price]],"-")</f>
        <v>2888</v>
      </c>
      <c r="O4553" s="173"/>
      <c r="P4553" s="86" t="s">
        <v>2151</v>
      </c>
      <c r="R4553" s="86" t="str">
        <f>_xlfn.CONCAT(表格1[[#This Row],[Model]]," ",表格1[[#This Row],[inv no]])</f>
        <v xml:space="preserve">GR-RT416WE-PMA(06) </v>
      </c>
      <c r="S4553" s="86">
        <f>_xlfn.XLOOKUP(表格1[[#This Row],[Model]],表格3[Model-Input-Ref2],表格3[SRP PRICE])</f>
        <v>5380</v>
      </c>
      <c r="T4553" s="43">
        <f>表格1[[#This Row],[Unit Price]]/表格1[[#This Row],[SRP]]</f>
        <v>0.53680297397769516</v>
      </c>
      <c r="U4553" s="86" t="str">
        <f>_xlfn.XLOOKUP(表格1[[#This Row],[Model]],表格3[Model-Input-Ref2],表格3[TOSHIBA/HIGHEST])</f>
        <v>Toshiba SRP</v>
      </c>
      <c r="W4553" s="86" t="str">
        <f>_xlfn.CONCAT(表格1[[#This Row],[欄4]],表格1[[#This Row],[inv no]])</f>
        <v/>
      </c>
    </row>
    <row r="4554" spans="1:23">
      <c r="A4554" s="81">
        <v>4552</v>
      </c>
      <c r="B4554" s="86" t="s">
        <v>1203</v>
      </c>
      <c r="C4554" s="86" t="s">
        <v>2027</v>
      </c>
      <c r="D4554" s="89" t="str">
        <f ca="1">OFFSET(Roster!$A$3,MATCH(表格1[[#This Row],[Location]]&amp;" "&amp;表格1[[#This Row],[Shop]]&amp;"*",Roster!$A$4:$A$72,0),DAY(表格1[[#This Row],[date]]),1,1)</f>
        <v>May C off</v>
      </c>
      <c r="E4554" s="86">
        <f>MONTH(表格1[[#This Row],[date]])</f>
        <v>3</v>
      </c>
      <c r="F4554" s="90">
        <v>46095</v>
      </c>
      <c r="G4554" s="86" t="str">
        <f>VLOOKUP("*"&amp;表格1[[#This Row],[Input]]&amp;"*",'Ref-List'!$B:$D,2,)</f>
        <v>GR-A26HSZ(DS)</v>
      </c>
      <c r="H4554" s="86" t="str">
        <f>_xlfn.XLOOKUP(表格1[[#This Row],[Model]],表格3[Model-Input-Ref2],表格3[Product Line])</f>
        <v>雙門變頻式環保雪櫃</v>
      </c>
      <c r="I4554" s="86" t="str">
        <f>_xlfn.XLOOKUP(表格1[[#This Row],[Model]],表格3[Model-Input-Ref2],表格3[大小電])</f>
        <v>大電</v>
      </c>
      <c r="J4554" s="86" t="str">
        <f>_xlfn.XLOOKUP(表格1[[#This Row],[Model]],表格3[Model-Input-Ref2],表格3[Code])</f>
        <v>AC</v>
      </c>
      <c r="K4554" s="89" t="s">
        <v>1207</v>
      </c>
      <c r="L4554" s="86">
        <v>2</v>
      </c>
      <c r="M4554" s="87">
        <v>1500</v>
      </c>
      <c r="N4554" s="87">
        <f>IFERROR(表格1[[#This Row],[QTY]]*表格1[[#This Row],[Unit Price]],"-")</f>
        <v>3000</v>
      </c>
      <c r="O4554" s="173"/>
      <c r="P4554" s="86" t="s">
        <v>2151</v>
      </c>
      <c r="R4554" s="86" t="str">
        <f>_xlfn.CONCAT(表格1[[#This Row],[Model]]," ",表格1[[#This Row],[inv no]])</f>
        <v xml:space="preserve">GR-A26HSZ(DS) </v>
      </c>
      <c r="S4554" s="86">
        <f>_xlfn.XLOOKUP(表格1[[#This Row],[Model]],表格3[Model-Input-Ref2],表格3[SRP PRICE])</f>
        <v>3780</v>
      </c>
      <c r="T4554" s="43">
        <f>表格1[[#This Row],[Unit Price]]/表格1[[#This Row],[SRP]]</f>
        <v>0.3968253968253968</v>
      </c>
      <c r="U4554" s="86" t="str">
        <f>_xlfn.XLOOKUP(表格1[[#This Row],[Model]],表格3[Model-Input-Ref2],表格3[TOSHIBA/HIGHEST])</f>
        <v>Toshiba SRP</v>
      </c>
      <c r="W4554" s="86" t="str">
        <f>_xlfn.CONCAT(表格1[[#This Row],[欄4]],表格1[[#This Row],[inv no]])</f>
        <v/>
      </c>
    </row>
    <row r="4555" spans="1:23">
      <c r="A4555" s="81">
        <v>4553</v>
      </c>
      <c r="B4555" s="86" t="s">
        <v>1203</v>
      </c>
      <c r="C4555" s="86" t="s">
        <v>2027</v>
      </c>
      <c r="D4555" s="89" t="str">
        <f ca="1">OFFSET(Roster!$A$3,MATCH(表格1[[#This Row],[Location]]&amp;" "&amp;表格1[[#This Row],[Shop]]&amp;"*",Roster!$A$4:$A$72,0),DAY(表格1[[#This Row],[date]]),1,1)</f>
        <v>May C off</v>
      </c>
      <c r="E4555" s="86">
        <f>MONTH(表格1[[#This Row],[date]])</f>
        <v>3</v>
      </c>
      <c r="F4555" s="90">
        <v>46095</v>
      </c>
      <c r="G4555" s="86" t="str">
        <f>VLOOKUP("*"&amp;表格1[[#This Row],[Input]]&amp;"*",'Ref-List'!$B:$D,2,)</f>
        <v>IC-21TSHK</v>
      </c>
      <c r="H4555" s="86" t="str">
        <f>_xlfn.XLOOKUP(表格1[[#This Row],[Model]],表格3[Model-Input-Ref2],表格3[Product Line])</f>
        <v>Induction Cooker</v>
      </c>
      <c r="I4555" s="86" t="str">
        <f>_xlfn.XLOOKUP(表格1[[#This Row],[Model]],表格3[Model-Input-Ref2],表格3[大小電])</f>
        <v>細電</v>
      </c>
      <c r="J4555" s="86" t="str">
        <f>_xlfn.XLOOKUP(表格1[[#This Row],[Model]],表格3[Model-Input-Ref2],表格3[Code])</f>
        <v>SDA</v>
      </c>
      <c r="K4555" s="89" t="s">
        <v>1242</v>
      </c>
      <c r="L4555" s="86">
        <v>3</v>
      </c>
      <c r="M4555" s="87">
        <v>500</v>
      </c>
      <c r="N4555" s="87">
        <f>IFERROR(表格1[[#This Row],[QTY]]*表格1[[#This Row],[Unit Price]],"-")</f>
        <v>1500</v>
      </c>
      <c r="O4555" s="173"/>
      <c r="P4555" s="86" t="s">
        <v>2151</v>
      </c>
      <c r="R4555" s="86" t="str">
        <f>_xlfn.CONCAT(表格1[[#This Row],[Model]]," ",表格1[[#This Row],[inv no]])</f>
        <v xml:space="preserve">IC-21TSHK </v>
      </c>
      <c r="S4555" s="86">
        <f>_xlfn.XLOOKUP(表格1[[#This Row],[Model]],表格3[Model-Input-Ref2],表格3[SRP PRICE])</f>
        <v>998</v>
      </c>
      <c r="T4555" s="43">
        <f>表格1[[#This Row],[Unit Price]]/表格1[[#This Row],[SRP]]</f>
        <v>0.50100200400801598</v>
      </c>
      <c r="U4555" s="86" t="str">
        <f>_xlfn.XLOOKUP(表格1[[#This Row],[Model]],表格3[Model-Input-Ref2],表格3[TOSHIBA/HIGHEST])</f>
        <v>web SRP</v>
      </c>
      <c r="W4555" s="86" t="str">
        <f>_xlfn.CONCAT(表格1[[#This Row],[欄4]],表格1[[#This Row],[inv no]])</f>
        <v/>
      </c>
    </row>
    <row r="4556" spans="1:23">
      <c r="A4556" s="81">
        <v>4554</v>
      </c>
      <c r="B4556" s="86" t="s">
        <v>1203</v>
      </c>
      <c r="C4556" s="86" t="s">
        <v>2027</v>
      </c>
      <c r="D4556" s="89" t="str">
        <f ca="1">OFFSET(Roster!$A$3,MATCH(表格1[[#This Row],[Location]]&amp;" "&amp;表格1[[#This Row],[Shop]]&amp;"*",Roster!$A$4:$A$72,0),DAY(表格1[[#This Row],[date]]),1,1)</f>
        <v>May C off</v>
      </c>
      <c r="E4556" s="86">
        <f>MONTH(表格1[[#This Row],[date]])</f>
        <v>3</v>
      </c>
      <c r="F4556" s="90">
        <v>46095</v>
      </c>
      <c r="G4556" s="86" t="str">
        <f>VLOOKUP("*"&amp;表格1[[#This Row],[Input]]&amp;"*",'Ref-List'!$B:$D,2,)</f>
        <v>RC-15ISTHK(W)</v>
      </c>
      <c r="H4556" s="86" t="str">
        <f>_xlfn.XLOOKUP(表格1[[#This Row],[Model]],表格3[Model-Input-Ref2],表格3[Product Line])</f>
        <v>磁應電飯煲(1.5公升)</v>
      </c>
      <c r="I4556" s="86" t="str">
        <f>_xlfn.XLOOKUP(表格1[[#This Row],[Model]],表格3[Model-Input-Ref2],表格3[大小電])</f>
        <v>細電</v>
      </c>
      <c r="J4556" s="86" t="str">
        <f>_xlfn.XLOOKUP(表格1[[#This Row],[Model]],表格3[Model-Input-Ref2],表格3[Code])</f>
        <v>SDA</v>
      </c>
      <c r="K4556" s="89" t="s">
        <v>1204</v>
      </c>
      <c r="L4556" s="86">
        <v>5</v>
      </c>
      <c r="M4556" s="87">
        <v>500</v>
      </c>
      <c r="N4556" s="87">
        <f>IFERROR(表格1[[#This Row],[QTY]]*表格1[[#This Row],[Unit Price]],"-")</f>
        <v>2500</v>
      </c>
      <c r="O4556" s="173"/>
      <c r="P4556" s="86" t="s">
        <v>2151</v>
      </c>
      <c r="R4556" s="86" t="str">
        <f>_xlfn.CONCAT(表格1[[#This Row],[Model]]," ",表格1[[#This Row],[inv no]])</f>
        <v xml:space="preserve">RC-15ISTHK(W) </v>
      </c>
      <c r="S4556" s="86">
        <f>_xlfn.XLOOKUP(表格1[[#This Row],[Model]],表格3[Model-Input-Ref2],表格3[SRP PRICE])</f>
        <v>1688</v>
      </c>
      <c r="T4556" s="43">
        <f>表格1[[#This Row],[Unit Price]]/表格1[[#This Row],[SRP]]</f>
        <v>0.29620853080568721</v>
      </c>
      <c r="U4556" s="86" t="str">
        <f>_xlfn.XLOOKUP(表格1[[#This Row],[Model]],表格3[Model-Input-Ref2],表格3[TOSHIBA/HIGHEST])</f>
        <v>Toshiba SRP</v>
      </c>
      <c r="W4556" s="86" t="str">
        <f>_xlfn.CONCAT(表格1[[#This Row],[欄4]],表格1[[#This Row],[inv no]])</f>
        <v/>
      </c>
    </row>
    <row r="4557" spans="1:23">
      <c r="A4557" s="81">
        <v>4555</v>
      </c>
      <c r="B4557" s="86" t="s">
        <v>1203</v>
      </c>
      <c r="C4557" s="86" t="s">
        <v>2027</v>
      </c>
      <c r="D4557" s="89" t="str">
        <f ca="1">OFFSET(Roster!$A$3,MATCH(表格1[[#This Row],[Location]]&amp;" "&amp;表格1[[#This Row],[Shop]]&amp;"*",Roster!$A$4:$A$72,0),DAY(表格1[[#This Row],[date]]),1,1)</f>
        <v>May C</v>
      </c>
      <c r="E4557" s="86">
        <f>MONTH(表格1[[#This Row],[date]])</f>
        <v>3</v>
      </c>
      <c r="F4557" s="90">
        <v>46096</v>
      </c>
      <c r="G4557" s="86" t="str">
        <f>VLOOKUP("*"&amp;表格1[[#This Row],[Input]]&amp;"*",'Ref-List'!$B:$D,2,)</f>
        <v>AW-M901BPH(WW)</v>
      </c>
      <c r="H4557" s="86" t="str">
        <f>_xlfn.XLOOKUP(表格1[[#This Row],[Model]],表格3[Model-Input-Ref2],表格3[Product Line])</f>
        <v>全自動洗衣機 (8公斤 結合高低水位)</v>
      </c>
      <c r="I4557" s="86" t="str">
        <f>_xlfn.XLOOKUP(表格1[[#This Row],[Model]],表格3[Model-Input-Ref2],表格3[大小電])</f>
        <v>大電</v>
      </c>
      <c r="J4557" s="86" t="str">
        <f>_xlfn.XLOOKUP(表格1[[#This Row],[Model]],表格3[Model-Input-Ref2],表格3[Code])</f>
        <v>WM</v>
      </c>
      <c r="K4557" s="89" t="s">
        <v>1202</v>
      </c>
      <c r="L4557" s="86">
        <v>3</v>
      </c>
      <c r="M4557" s="87">
        <v>1500</v>
      </c>
      <c r="N4557" s="87">
        <f>IFERROR(表格1[[#This Row],[QTY]]*表格1[[#This Row],[Unit Price]],"-")</f>
        <v>4500</v>
      </c>
      <c r="O4557" s="173"/>
      <c r="P4557" s="86" t="s">
        <v>2151</v>
      </c>
      <c r="R4557" s="86" t="str">
        <f>_xlfn.CONCAT(表格1[[#This Row],[Model]]," ",表格1[[#This Row],[inv no]])</f>
        <v xml:space="preserve">AW-M901BPH(WW) </v>
      </c>
      <c r="S4557" s="86">
        <f>_xlfn.XLOOKUP(表格1[[#This Row],[Model]],表格3[Model-Input-Ref2],表格3[SRP PRICE])</f>
        <v>3580</v>
      </c>
      <c r="T4557" s="43">
        <f>表格1[[#This Row],[Unit Price]]/表格1[[#This Row],[SRP]]</f>
        <v>0.41899441340782123</v>
      </c>
      <c r="U4557" s="86" t="str">
        <f>_xlfn.XLOOKUP(表格1[[#This Row],[Model]],表格3[Model-Input-Ref2],表格3[TOSHIBA/HIGHEST])</f>
        <v>Toshiba SRP</v>
      </c>
      <c r="W4557" s="86" t="str">
        <f>_xlfn.CONCAT(表格1[[#This Row],[欄4]],表格1[[#This Row],[inv no]])</f>
        <v/>
      </c>
    </row>
    <row r="4558" spans="1:23">
      <c r="A4558" s="81">
        <v>4556</v>
      </c>
      <c r="B4558" s="86" t="s">
        <v>1203</v>
      </c>
      <c r="C4558" s="86" t="s">
        <v>2027</v>
      </c>
      <c r="D4558" s="89" t="str">
        <f ca="1">OFFSET(Roster!$A$3,MATCH(表格1[[#This Row],[Location]]&amp;" "&amp;表格1[[#This Row],[Shop]]&amp;"*",Roster!$A$4:$A$72,0),DAY(表格1[[#This Row],[date]]),1,1)</f>
        <v>May C</v>
      </c>
      <c r="E4558" s="86">
        <f>MONTH(表格1[[#This Row],[date]])</f>
        <v>3</v>
      </c>
      <c r="F4558" s="90">
        <v>46096</v>
      </c>
      <c r="G4558" s="86" t="str">
        <f>VLOOKUP("*"&amp;表格1[[#This Row],[Input]]&amp;"*",'Ref-List'!$B:$D,2,)</f>
        <v>GR-A26HSZ(DS)</v>
      </c>
      <c r="H4558" s="86" t="str">
        <f>_xlfn.XLOOKUP(表格1[[#This Row],[Model]],表格3[Model-Input-Ref2],表格3[Product Line])</f>
        <v>雙門變頻式環保雪櫃</v>
      </c>
      <c r="I4558" s="86" t="str">
        <f>_xlfn.XLOOKUP(表格1[[#This Row],[Model]],表格3[Model-Input-Ref2],表格3[大小電])</f>
        <v>大電</v>
      </c>
      <c r="J4558" s="86" t="str">
        <f>_xlfn.XLOOKUP(表格1[[#This Row],[Model]],表格3[Model-Input-Ref2],表格3[Code])</f>
        <v>AC</v>
      </c>
      <c r="K4558" s="89" t="s">
        <v>1207</v>
      </c>
      <c r="L4558" s="86">
        <v>4</v>
      </c>
      <c r="M4558" s="87">
        <v>1500</v>
      </c>
      <c r="N4558" s="87">
        <f>IFERROR(表格1[[#This Row],[QTY]]*表格1[[#This Row],[Unit Price]],"-")</f>
        <v>6000</v>
      </c>
      <c r="O4558" s="173"/>
      <c r="P4558" s="86" t="s">
        <v>2151</v>
      </c>
      <c r="R4558" s="86" t="str">
        <f>_xlfn.CONCAT(表格1[[#This Row],[Model]]," ",表格1[[#This Row],[inv no]])</f>
        <v xml:space="preserve">GR-A26HSZ(DS) </v>
      </c>
      <c r="S4558" s="86">
        <f>_xlfn.XLOOKUP(表格1[[#This Row],[Model]],表格3[Model-Input-Ref2],表格3[SRP PRICE])</f>
        <v>3780</v>
      </c>
      <c r="T4558" s="43">
        <f>表格1[[#This Row],[Unit Price]]/表格1[[#This Row],[SRP]]</f>
        <v>0.3968253968253968</v>
      </c>
      <c r="U4558" s="86" t="str">
        <f>_xlfn.XLOOKUP(表格1[[#This Row],[Model]],表格3[Model-Input-Ref2],表格3[TOSHIBA/HIGHEST])</f>
        <v>Toshiba SRP</v>
      </c>
      <c r="W4558" s="86" t="str">
        <f>_xlfn.CONCAT(表格1[[#This Row],[欄4]],表格1[[#This Row],[inv no]])</f>
        <v/>
      </c>
    </row>
    <row r="4559" spans="1:23">
      <c r="A4559" s="81">
        <v>4557</v>
      </c>
      <c r="B4559" s="86" t="s">
        <v>1203</v>
      </c>
      <c r="C4559" s="86" t="s">
        <v>2027</v>
      </c>
      <c r="D4559" s="89" t="str">
        <f ca="1">OFFSET(Roster!$A$3,MATCH(表格1[[#This Row],[Location]]&amp;" "&amp;表格1[[#This Row],[Shop]]&amp;"*",Roster!$A$4:$A$72,0),DAY(表格1[[#This Row],[date]]),1,1)</f>
        <v>May C</v>
      </c>
      <c r="E4559" s="86">
        <f>MONTH(表格1[[#This Row],[date]])</f>
        <v>3</v>
      </c>
      <c r="F4559" s="90">
        <v>46096</v>
      </c>
      <c r="G4559" s="86" t="str">
        <f>VLOOKUP("*"&amp;表格1[[#This Row],[Input]]&amp;"*",'Ref-List'!$B:$D,2,)</f>
        <v>GR-RT416WE-PMA(06)</v>
      </c>
      <c r="H4559" s="86" t="str">
        <f>_xlfn.XLOOKUP(表格1[[#This Row],[Model]],表格3[Model-Input-Ref2],表格3[Product Line])</f>
        <v xml:space="preserve">變頻上置式雙門雪櫃313L </v>
      </c>
      <c r="I4559" s="86" t="str">
        <f>_xlfn.XLOOKUP(表格1[[#This Row],[Model]],表格3[Model-Input-Ref2],表格3[大小電])</f>
        <v>大電</v>
      </c>
      <c r="J4559" s="86" t="str">
        <f>_xlfn.XLOOKUP(表格1[[#This Row],[Model]],表格3[Model-Input-Ref2],表格3[Code])</f>
        <v>REF</v>
      </c>
      <c r="K4559" s="89" t="s">
        <v>1208</v>
      </c>
      <c r="L4559" s="86">
        <v>2</v>
      </c>
      <c r="M4559" s="87">
        <v>2888</v>
      </c>
      <c r="N4559" s="87">
        <f>IFERROR(表格1[[#This Row],[QTY]]*表格1[[#This Row],[Unit Price]],"-")</f>
        <v>5776</v>
      </c>
      <c r="O4559" s="173"/>
      <c r="P4559" s="86" t="s">
        <v>2151</v>
      </c>
      <c r="R4559" s="86" t="str">
        <f>_xlfn.CONCAT(表格1[[#This Row],[Model]]," ",表格1[[#This Row],[inv no]])</f>
        <v xml:space="preserve">GR-RT416WE-PMA(06) </v>
      </c>
      <c r="S4559" s="86">
        <f>_xlfn.XLOOKUP(表格1[[#This Row],[Model]],表格3[Model-Input-Ref2],表格3[SRP PRICE])</f>
        <v>5380</v>
      </c>
      <c r="T4559" s="43">
        <f>表格1[[#This Row],[Unit Price]]/表格1[[#This Row],[SRP]]</f>
        <v>0.53680297397769516</v>
      </c>
      <c r="U4559" s="86" t="str">
        <f>_xlfn.XLOOKUP(表格1[[#This Row],[Model]],表格3[Model-Input-Ref2],表格3[TOSHIBA/HIGHEST])</f>
        <v>Toshiba SRP</v>
      </c>
      <c r="W4559" s="86" t="str">
        <f>_xlfn.CONCAT(表格1[[#This Row],[欄4]],表格1[[#This Row],[inv no]])</f>
        <v/>
      </c>
    </row>
    <row r="4560" spans="1:23">
      <c r="A4560" s="81">
        <v>4558</v>
      </c>
      <c r="B4560" s="86" t="s">
        <v>1203</v>
      </c>
      <c r="C4560" s="86" t="s">
        <v>2027</v>
      </c>
      <c r="D4560" s="89" t="str">
        <f ca="1">OFFSET(Roster!$A$3,MATCH(表格1[[#This Row],[Location]]&amp;" "&amp;表格1[[#This Row],[Shop]]&amp;"*",Roster!$A$4:$A$72,0),DAY(表格1[[#This Row],[date]]),1,1)</f>
        <v>May C</v>
      </c>
      <c r="E4560" s="86">
        <f>MONTH(表格1[[#This Row],[date]])</f>
        <v>3</v>
      </c>
      <c r="F4560" s="90">
        <v>46096</v>
      </c>
      <c r="G4560" s="86" t="str">
        <f>VLOOKUP("*"&amp;表格1[[#This Row],[Input]]&amp;"*",'Ref-List'!$B:$D,2,)</f>
        <v>IC-21TSHK</v>
      </c>
      <c r="H4560" s="86" t="str">
        <f>_xlfn.XLOOKUP(表格1[[#This Row],[Model]],表格3[Model-Input-Ref2],表格3[Product Line])</f>
        <v>Induction Cooker</v>
      </c>
      <c r="I4560" s="86" t="str">
        <f>_xlfn.XLOOKUP(表格1[[#This Row],[Model]],表格3[Model-Input-Ref2],表格3[大小電])</f>
        <v>細電</v>
      </c>
      <c r="J4560" s="86" t="str">
        <f>_xlfn.XLOOKUP(表格1[[#This Row],[Model]],表格3[Model-Input-Ref2],表格3[Code])</f>
        <v>SDA</v>
      </c>
      <c r="K4560" s="89" t="s">
        <v>1242</v>
      </c>
      <c r="L4560" s="86">
        <v>5</v>
      </c>
      <c r="M4560" s="87">
        <v>500</v>
      </c>
      <c r="N4560" s="87">
        <f>IFERROR(表格1[[#This Row],[QTY]]*表格1[[#This Row],[Unit Price]],"-")</f>
        <v>2500</v>
      </c>
      <c r="O4560" s="173"/>
      <c r="P4560" s="86" t="s">
        <v>2151</v>
      </c>
      <c r="R4560" s="86" t="str">
        <f>_xlfn.CONCAT(表格1[[#This Row],[Model]]," ",表格1[[#This Row],[inv no]])</f>
        <v xml:space="preserve">IC-21TSHK </v>
      </c>
      <c r="S4560" s="86">
        <f>_xlfn.XLOOKUP(表格1[[#This Row],[Model]],表格3[Model-Input-Ref2],表格3[SRP PRICE])</f>
        <v>998</v>
      </c>
      <c r="T4560" s="43">
        <f>表格1[[#This Row],[Unit Price]]/表格1[[#This Row],[SRP]]</f>
        <v>0.50100200400801598</v>
      </c>
      <c r="U4560" s="86" t="str">
        <f>_xlfn.XLOOKUP(表格1[[#This Row],[Model]],表格3[Model-Input-Ref2],表格3[TOSHIBA/HIGHEST])</f>
        <v>web SRP</v>
      </c>
      <c r="W4560" s="86" t="str">
        <f>_xlfn.CONCAT(表格1[[#This Row],[欄4]],表格1[[#This Row],[inv no]])</f>
        <v/>
      </c>
    </row>
    <row r="4561" spans="1:23">
      <c r="A4561" s="81">
        <v>4559</v>
      </c>
      <c r="B4561" s="86" t="s">
        <v>1203</v>
      </c>
      <c r="C4561" s="86" t="s">
        <v>2027</v>
      </c>
      <c r="D4561" s="89" t="str">
        <f ca="1">OFFSET(Roster!$A$3,MATCH(表格1[[#This Row],[Location]]&amp;" "&amp;表格1[[#This Row],[Shop]]&amp;"*",Roster!$A$4:$A$72,0),DAY(表格1[[#This Row],[date]]),1,1)</f>
        <v>May C</v>
      </c>
      <c r="E4561" s="86">
        <f>MONTH(表格1[[#This Row],[date]])</f>
        <v>3</v>
      </c>
      <c r="F4561" s="90">
        <v>46096</v>
      </c>
      <c r="G4561" s="86" t="str">
        <f>VLOOKUP("*"&amp;表格1[[#This Row],[Input]]&amp;"*",'Ref-List'!$B:$D,2,)</f>
        <v>MW2-MM24PC(BK)</v>
      </c>
      <c r="H4561" s="86" t="str">
        <f>_xlfn.XLOOKUP(表格1[[#This Row],[Model]],表格3[Model-Input-Ref2],表格3[Product Line])</f>
        <v>旋鈕式微波爐24L</v>
      </c>
      <c r="I4561" s="86" t="str">
        <f>_xlfn.XLOOKUP(表格1[[#This Row],[Model]],表格3[Model-Input-Ref2],表格3[大小電])</f>
        <v>細電</v>
      </c>
      <c r="J4561" s="86" t="str">
        <f>_xlfn.XLOOKUP(表格1[[#This Row],[Model]],表格3[Model-Input-Ref2],表格3[Code])</f>
        <v>SDA</v>
      </c>
      <c r="K4561" s="89" t="s">
        <v>1196</v>
      </c>
      <c r="L4561" s="86">
        <v>2</v>
      </c>
      <c r="M4561" s="87">
        <v>500</v>
      </c>
      <c r="N4561" s="87">
        <f>IFERROR(表格1[[#This Row],[QTY]]*表格1[[#This Row],[Unit Price]],"-")</f>
        <v>1000</v>
      </c>
      <c r="O4561" s="173"/>
      <c r="P4561" s="86" t="s">
        <v>2151</v>
      </c>
      <c r="R4561" s="86" t="str">
        <f>_xlfn.CONCAT(表格1[[#This Row],[Model]]," ",表格1[[#This Row],[inv no]])</f>
        <v xml:space="preserve">MW2-MM24PC(BK) </v>
      </c>
      <c r="S4561" s="86">
        <f>_xlfn.XLOOKUP(表格1[[#This Row],[Model]],表格3[Model-Input-Ref2],表格3[SRP PRICE])</f>
        <v>848</v>
      </c>
      <c r="T4561" s="43">
        <f>表格1[[#This Row],[Unit Price]]/表格1[[#This Row],[SRP]]</f>
        <v>0.589622641509434</v>
      </c>
      <c r="U4561" s="86" t="str">
        <f>_xlfn.XLOOKUP(表格1[[#This Row],[Model]],表格3[Model-Input-Ref2],表格3[TOSHIBA/HIGHEST])</f>
        <v>Toshiba SRP</v>
      </c>
      <c r="W4561" s="86" t="str">
        <f>_xlfn.CONCAT(表格1[[#This Row],[欄4]],表格1[[#This Row],[inv no]])</f>
        <v/>
      </c>
    </row>
    <row r="4562" spans="1:23">
      <c r="A4562" s="81">
        <v>4560</v>
      </c>
      <c r="B4562" s="86" t="s">
        <v>1203</v>
      </c>
      <c r="C4562" s="86" t="s">
        <v>2027</v>
      </c>
      <c r="D4562" s="89" t="str">
        <f ca="1">OFFSET(Roster!$A$3,MATCH(表格1[[#This Row],[Location]]&amp;" "&amp;表格1[[#This Row],[Shop]]&amp;"*",Roster!$A$4:$A$72,0),DAY(表格1[[#This Row],[date]]),1,1)</f>
        <v>May C</v>
      </c>
      <c r="E4562" s="86">
        <f>MONTH(表格1[[#This Row],[date]])</f>
        <v>3</v>
      </c>
      <c r="F4562" s="90">
        <v>46096</v>
      </c>
      <c r="G4562" s="86" t="str">
        <f>VLOOKUP("*"&amp;表格1[[#This Row],[Input]]&amp;"*",'Ref-List'!$B:$D,2,)</f>
        <v>PLK-45SFIH(WT)</v>
      </c>
      <c r="H4562" s="86" t="str">
        <f>_xlfn.XLOOKUP(表格1[[#This Row],[Model]],表格3[Model-Input-Ref2],表格3[Product Line])</f>
        <v>電熱水瓶4.5L</v>
      </c>
      <c r="I4562" s="86" t="str">
        <f>_xlfn.XLOOKUP(表格1[[#This Row],[Model]],表格3[Model-Input-Ref2],表格3[大小電])</f>
        <v>細電</v>
      </c>
      <c r="J4562" s="86" t="str">
        <f>_xlfn.XLOOKUP(表格1[[#This Row],[Model]],表格3[Model-Input-Ref2],表格3[Code])</f>
        <v>SDA</v>
      </c>
      <c r="K4562" s="89" t="s">
        <v>1117</v>
      </c>
      <c r="L4562" s="86">
        <v>4</v>
      </c>
      <c r="M4562" s="87">
        <v>500</v>
      </c>
      <c r="N4562" s="87">
        <f>IFERROR(表格1[[#This Row],[QTY]]*表格1[[#This Row],[Unit Price]],"-")</f>
        <v>2000</v>
      </c>
      <c r="O4562" s="173"/>
      <c r="P4562" s="86" t="s">
        <v>2151</v>
      </c>
      <c r="R4562" s="86" t="str">
        <f>_xlfn.CONCAT(表格1[[#This Row],[Model]]," ",表格1[[#This Row],[inv no]])</f>
        <v xml:space="preserve">PLK-45SFIH(WT) </v>
      </c>
      <c r="S4562" s="86">
        <f>_xlfn.XLOOKUP(表格1[[#This Row],[Model]],表格3[Model-Input-Ref2],表格3[SRP PRICE])</f>
        <v>788</v>
      </c>
      <c r="T4562" s="43">
        <f>表格1[[#This Row],[Unit Price]]/表格1[[#This Row],[SRP]]</f>
        <v>0.63451776649746194</v>
      </c>
      <c r="U4562" s="86" t="str">
        <f>_xlfn.XLOOKUP(表格1[[#This Row],[Model]],表格3[Model-Input-Ref2],表格3[TOSHIBA/HIGHEST])</f>
        <v>Toshiba SRP</v>
      </c>
      <c r="W4562" s="86" t="str">
        <f>_xlfn.CONCAT(表格1[[#This Row],[欄4]],表格1[[#This Row],[inv no]])</f>
        <v/>
      </c>
    </row>
    <row r="4563" spans="1:23">
      <c r="A4563" s="81">
        <v>4561</v>
      </c>
      <c r="B4563" s="86" t="s">
        <v>1203</v>
      </c>
      <c r="C4563" s="86" t="s">
        <v>2027</v>
      </c>
      <c r="D4563" s="89" t="str">
        <f ca="1">OFFSET(Roster!$A$3,MATCH(表格1[[#This Row],[Location]]&amp;" "&amp;表格1[[#This Row],[Shop]]&amp;"*",Roster!$A$4:$A$72,0),DAY(表格1[[#This Row],[date]]),1,1)</f>
        <v>May C</v>
      </c>
      <c r="E4563" s="86">
        <f>MONTH(表格1[[#This Row],[date]])</f>
        <v>3</v>
      </c>
      <c r="F4563" s="90">
        <v>46096</v>
      </c>
      <c r="G4563" s="86" t="str">
        <f>VLOOKUP("*"&amp;表格1[[#This Row],[Input]]&amp;"*",'Ref-List'!$B:$D,2,)</f>
        <v>TWP-TSR76THK(W)</v>
      </c>
      <c r="H4563" s="86" t="str">
        <f>_xlfn.XLOOKUP(表格1[[#This Row],[Model]],表格3[Model-Input-Ref2],表格3[Product Line])</f>
        <v>RO座檯式飲水機</v>
      </c>
      <c r="I4563" s="86" t="str">
        <f>_xlfn.XLOOKUP(表格1[[#This Row],[Model]],表格3[Model-Input-Ref2],表格3[大小電])</f>
        <v>細電</v>
      </c>
      <c r="J4563" s="86" t="str">
        <f>_xlfn.XLOOKUP(表格1[[#This Row],[Model]],表格3[Model-Input-Ref2],表格3[Code])</f>
        <v>KWH</v>
      </c>
      <c r="K4563" s="89" t="s">
        <v>1197</v>
      </c>
      <c r="L4563" s="86">
        <v>2</v>
      </c>
      <c r="M4563" s="87">
        <v>1500</v>
      </c>
      <c r="N4563" s="87">
        <f>IFERROR(表格1[[#This Row],[QTY]]*表格1[[#This Row],[Unit Price]],"-")</f>
        <v>3000</v>
      </c>
      <c r="O4563" s="173"/>
      <c r="P4563" s="86" t="s">
        <v>2151</v>
      </c>
      <c r="R4563" s="86" t="str">
        <f>_xlfn.CONCAT(表格1[[#This Row],[Model]]," ",表格1[[#This Row],[inv no]])</f>
        <v xml:space="preserve">TWP-TSR76THK(W) </v>
      </c>
      <c r="S4563" s="86">
        <f>_xlfn.XLOOKUP(表格1[[#This Row],[Model]],表格3[Model-Input-Ref2],表格3[SRP PRICE])</f>
        <v>2680</v>
      </c>
      <c r="T4563" s="43">
        <f>表格1[[#This Row],[Unit Price]]/表格1[[#This Row],[SRP]]</f>
        <v>0.55970149253731338</v>
      </c>
      <c r="U4563" s="86" t="str">
        <f>_xlfn.XLOOKUP(表格1[[#This Row],[Model]],表格3[Model-Input-Ref2],表格3[TOSHIBA/HIGHEST])</f>
        <v>Toshiba SRP</v>
      </c>
      <c r="W4563" s="86" t="str">
        <f>_xlfn.CONCAT(表格1[[#This Row],[欄4]],表格1[[#This Row],[inv no]])</f>
        <v/>
      </c>
    </row>
    <row r="4564" spans="1:23">
      <c r="A4564" s="81">
        <v>4562</v>
      </c>
      <c r="B4564" s="86" t="s">
        <v>1203</v>
      </c>
      <c r="C4564" s="86" t="s">
        <v>2027</v>
      </c>
      <c r="D4564" s="89" t="str">
        <f ca="1">OFFSET(Roster!$A$3,MATCH(表格1[[#This Row],[Location]]&amp;" "&amp;表格1[[#This Row],[Shop]]&amp;"*",Roster!$A$4:$A$72,0),DAY(表格1[[#This Row],[date]]),1,1)</f>
        <v>May C</v>
      </c>
      <c r="E4564" s="86">
        <f>MONTH(表格1[[#This Row],[date]])</f>
        <v>3</v>
      </c>
      <c r="F4564" s="90">
        <v>46096</v>
      </c>
      <c r="G4564" s="86" t="str">
        <f>VLOOKUP("*"&amp;表格1[[#This Row],[Input]]&amp;"*",'Ref-List'!$B:$D,2,)</f>
        <v>TW-BL85A2H(WW)</v>
      </c>
      <c r="H4564" s="86" t="str">
        <f>_xlfn.XLOOKUP(表格1[[#This Row],[Model]],表格3[Model-Input-Ref2],表格3[Product Line])</f>
        <v>7.5KG超薄身前置式變頻洗衣機</v>
      </c>
      <c r="I4564" s="86" t="str">
        <f>_xlfn.XLOOKUP(表格1[[#This Row],[Model]],表格3[Model-Input-Ref2],表格3[大小電])</f>
        <v>大電</v>
      </c>
      <c r="J4564" s="86" t="str">
        <f>_xlfn.XLOOKUP(表格1[[#This Row],[Model]],表格3[Model-Input-Ref2],表格3[Code])</f>
        <v>WM</v>
      </c>
      <c r="K4564" s="89" t="s">
        <v>1206</v>
      </c>
      <c r="L4564" s="86">
        <v>3</v>
      </c>
      <c r="M4564" s="87">
        <v>2588</v>
      </c>
      <c r="N4564" s="87">
        <f>IFERROR(表格1[[#This Row],[QTY]]*表格1[[#This Row],[Unit Price]],"-")</f>
        <v>7764</v>
      </c>
      <c r="O4564" s="173"/>
      <c r="P4564" s="86" t="s">
        <v>2151</v>
      </c>
      <c r="R4564" s="86" t="str">
        <f>_xlfn.CONCAT(表格1[[#This Row],[Model]]," ",表格1[[#This Row],[inv no]])</f>
        <v xml:space="preserve">TW-BL85A2H(WW) </v>
      </c>
      <c r="S4564" s="86">
        <f>_xlfn.XLOOKUP(表格1[[#This Row],[Model]],表格3[Model-Input-Ref2],表格3[SRP PRICE])</f>
        <v>5080</v>
      </c>
      <c r="T4564" s="43">
        <f>表格1[[#This Row],[Unit Price]]/表格1[[#This Row],[SRP]]</f>
        <v>0.50944881889763782</v>
      </c>
      <c r="U4564" s="86" t="str">
        <f>_xlfn.XLOOKUP(表格1[[#This Row],[Model]],表格3[Model-Input-Ref2],表格3[TOSHIBA/HIGHEST])</f>
        <v>Toshiba SRP</v>
      </c>
      <c r="W4564" s="86" t="str">
        <f>_xlfn.CONCAT(表格1[[#This Row],[欄4]],表格1[[#This Row],[inv no]])</f>
        <v/>
      </c>
    </row>
    <row r="4565" spans="1:23">
      <c r="A4565" s="81">
        <v>4563</v>
      </c>
      <c r="B4565" s="86" t="s">
        <v>1203</v>
      </c>
      <c r="C4565" s="86" t="s">
        <v>2027</v>
      </c>
      <c r="D4565" s="89" t="str">
        <f ca="1">OFFSET(Roster!$A$3,MATCH(表格1[[#This Row],[Location]]&amp;" "&amp;表格1[[#This Row],[Shop]]&amp;"*",Roster!$A$4:$A$72,0),DAY(表格1[[#This Row],[date]]),1,1)</f>
        <v>May C</v>
      </c>
      <c r="E4565" s="86">
        <f>MONTH(表格1[[#This Row],[date]])</f>
        <v>3</v>
      </c>
      <c r="F4565" s="90">
        <v>46096</v>
      </c>
      <c r="G4565" s="86" t="str">
        <f>VLOOKUP("*"&amp;表格1[[#This Row],[Input]]&amp;"*",'Ref-List'!$B:$D,2,)</f>
        <v>RC-15ISTHK(W)</v>
      </c>
      <c r="H4565" s="86" t="str">
        <f>_xlfn.XLOOKUP(表格1[[#This Row],[Model]],表格3[Model-Input-Ref2],表格3[Product Line])</f>
        <v>磁應電飯煲(1.5公升)</v>
      </c>
      <c r="I4565" s="86" t="str">
        <f>_xlfn.XLOOKUP(表格1[[#This Row],[Model]],表格3[Model-Input-Ref2],表格3[大小電])</f>
        <v>細電</v>
      </c>
      <c r="J4565" s="86" t="str">
        <f>_xlfn.XLOOKUP(表格1[[#This Row],[Model]],表格3[Model-Input-Ref2],表格3[Code])</f>
        <v>SDA</v>
      </c>
      <c r="K4565" s="89" t="s">
        <v>1204</v>
      </c>
      <c r="L4565" s="86">
        <v>10</v>
      </c>
      <c r="M4565" s="87">
        <v>500</v>
      </c>
      <c r="N4565" s="87">
        <f>IFERROR(表格1[[#This Row],[QTY]]*表格1[[#This Row],[Unit Price]],"-")</f>
        <v>5000</v>
      </c>
      <c r="O4565" s="173"/>
      <c r="P4565" s="86" t="s">
        <v>2151</v>
      </c>
      <c r="R4565" s="86" t="str">
        <f>_xlfn.CONCAT(表格1[[#This Row],[Model]]," ",表格1[[#This Row],[inv no]])</f>
        <v xml:space="preserve">RC-15ISTHK(W) </v>
      </c>
      <c r="S4565" s="86">
        <f>_xlfn.XLOOKUP(表格1[[#This Row],[Model]],表格3[Model-Input-Ref2],表格3[SRP PRICE])</f>
        <v>1688</v>
      </c>
      <c r="T4565" s="43">
        <f>表格1[[#This Row],[Unit Price]]/表格1[[#This Row],[SRP]]</f>
        <v>0.29620853080568721</v>
      </c>
      <c r="U4565" s="86" t="str">
        <f>_xlfn.XLOOKUP(表格1[[#This Row],[Model]],表格3[Model-Input-Ref2],表格3[TOSHIBA/HIGHEST])</f>
        <v>Toshiba SRP</v>
      </c>
      <c r="W4565" s="86" t="str">
        <f>_xlfn.CONCAT(表格1[[#This Row],[欄4]],表格1[[#This Row],[inv no]])</f>
        <v/>
      </c>
    </row>
    <row r="4566" spans="1:23">
      <c r="A4566" s="81">
        <v>4564</v>
      </c>
      <c r="B4566" s="86" t="s">
        <v>1203</v>
      </c>
      <c r="C4566" s="86" t="s">
        <v>2027</v>
      </c>
      <c r="D4566" s="89" t="str">
        <f ca="1">OFFSET(Roster!$A$3,MATCH(表格1[[#This Row],[Location]]&amp;" "&amp;表格1[[#This Row],[Shop]]&amp;"*",Roster!$A$4:$A$72,0),DAY(表格1[[#This Row],[date]]),1,1)</f>
        <v>May C</v>
      </c>
      <c r="E4566" s="86">
        <f>MONTH(表格1[[#This Row],[date]])</f>
        <v>3</v>
      </c>
      <c r="F4566" s="90">
        <v>46084</v>
      </c>
      <c r="G4566" s="86" t="str">
        <f>VLOOKUP("*"&amp;表格1[[#This Row],[Input]]&amp;"*",'Ref-List'!$B:$D,2,)</f>
        <v>AW-DQ110JPH(WW)</v>
      </c>
      <c r="H4566" s="86" t="str">
        <f>_xlfn.XLOOKUP(表格1[[#This Row],[Model]],表格3[Model-Input-Ref2],表格3[Product Line])</f>
        <v>變頻日式洗衣機 (10公斤 結合高低水位)</v>
      </c>
      <c r="I4566" s="86" t="str">
        <f>_xlfn.XLOOKUP(表格1[[#This Row],[Model]],表格3[Model-Input-Ref2],表格3[大小電])</f>
        <v>大電</v>
      </c>
      <c r="J4566" s="86" t="str">
        <f>_xlfn.XLOOKUP(表格1[[#This Row],[Model]],表格3[Model-Input-Ref2],表格3[Code])</f>
        <v>LAD</v>
      </c>
      <c r="K4566" s="89" t="s">
        <v>1831</v>
      </c>
      <c r="L4566" s="86">
        <v>1</v>
      </c>
      <c r="M4566" s="87">
        <v>2446</v>
      </c>
      <c r="N4566" s="87">
        <f>IFERROR(表格1[[#This Row],[QTY]]*表格1[[#This Row],[Unit Price]],"-")</f>
        <v>2446</v>
      </c>
      <c r="O4566" s="173">
        <v>6029889</v>
      </c>
      <c r="P4566" s="86" t="s">
        <v>2163</v>
      </c>
      <c r="R4566" s="86" t="str">
        <f>_xlfn.CONCAT(表格1[[#This Row],[Model]]," ",表格1[[#This Row],[inv no]])</f>
        <v>AW-DQ110JPH(WW) 6029889</v>
      </c>
      <c r="S4566" s="86">
        <f>_xlfn.XLOOKUP(表格1[[#This Row],[Model]],表格3[Model-Input-Ref2],表格3[SRP PRICE])</f>
        <v>4680</v>
      </c>
      <c r="T4566" s="43">
        <f>表格1[[#This Row],[Unit Price]]/表格1[[#This Row],[SRP]]</f>
        <v>0.52264957264957268</v>
      </c>
      <c r="U4566" s="86" t="str">
        <f>_xlfn.XLOOKUP(表格1[[#This Row],[Model]],表格3[Model-Input-Ref2],表格3[TOSHIBA/HIGHEST])</f>
        <v>Toshiba SRP</v>
      </c>
      <c r="W4566" s="86" t="str">
        <f>_xlfn.CONCAT(表格1[[#This Row],[欄4]],表格1[[#This Row],[inv no]])</f>
        <v>6029889</v>
      </c>
    </row>
    <row r="4567" spans="1:23" hidden="1">
      <c r="A4567" s="81">
        <v>4565</v>
      </c>
      <c r="B4567" s="86" t="s">
        <v>1417</v>
      </c>
      <c r="C4567" s="86" t="s">
        <v>1508</v>
      </c>
      <c r="D4567" s="89" t="str">
        <f ca="1">OFFSET(Roster!$A$3,MATCH(表格1[[#This Row],[Location]]&amp;" "&amp;表格1[[#This Row],[Shop]]&amp;"*",Roster!$A$4:$A$72,0),DAY(表格1[[#This Row],[date]]),1,1)</f>
        <v>Mui Chan_1</v>
      </c>
      <c r="E4567" s="86">
        <f>MONTH(表格1[[#This Row],[date]])</f>
        <v>3</v>
      </c>
      <c r="F4567" s="90">
        <v>46095</v>
      </c>
      <c r="G4567" s="86" t="str">
        <f>VLOOKUP("*"&amp;表格1[[#This Row],[Input]]&amp;"*",'Ref-List'!$B:$D,2,)</f>
        <v>GR-RM612WE-PGA(B5)</v>
      </c>
      <c r="H4567" s="86" t="str">
        <f>_xlfn.XLOOKUP(表格1[[#This Row],[Model]],表格3[Model-Input-Ref2],表格3[Product Line])</f>
        <v>變頻五門雪櫃(375L)</v>
      </c>
      <c r="I4567" s="86" t="str">
        <f>_xlfn.XLOOKUP(表格1[[#This Row],[Model]],表格3[Model-Input-Ref2],表格3[大小電])</f>
        <v>大電</v>
      </c>
      <c r="J4567" s="86" t="str">
        <f>_xlfn.XLOOKUP(表格1[[#This Row],[Model]],表格3[Model-Input-Ref2],表格3[Code])</f>
        <v>REF</v>
      </c>
      <c r="K4567" s="89" t="s">
        <v>1257</v>
      </c>
      <c r="L4567" s="86">
        <v>1</v>
      </c>
      <c r="M4567" s="87">
        <v>9980</v>
      </c>
      <c r="N4567" s="87">
        <f>IFERROR(表格1[[#This Row],[QTY]]*表格1[[#This Row],[Unit Price]],"-")</f>
        <v>9980</v>
      </c>
      <c r="O4567" s="86" t="s">
        <v>2177</v>
      </c>
      <c r="P4567" s="86" t="s">
        <v>1102</v>
      </c>
      <c r="R4567" s="86" t="str">
        <f>_xlfn.CONCAT(表格1[[#This Row],[Model]]," ",表格1[[#This Row],[inv no]])</f>
        <v>GR-RM612WE-PGA(B5) S056-25289</v>
      </c>
      <c r="S4567" s="86">
        <f>_xlfn.XLOOKUP(表格1[[#This Row],[Model]],表格3[Model-Input-Ref2],表格3[SRP PRICE])</f>
        <v>11000</v>
      </c>
      <c r="T4567" s="43">
        <f>表格1[[#This Row],[Unit Price]]/表格1[[#This Row],[SRP]]</f>
        <v>0.90727272727272723</v>
      </c>
      <c r="U4567" s="86" t="str">
        <f>_xlfn.XLOOKUP(表格1[[#This Row],[Model]],表格3[Model-Input-Ref2],表格3[TOSHIBA/HIGHEST])</f>
        <v>Shops Highest Price</v>
      </c>
      <c r="W4567" s="86" t="str">
        <f>_xlfn.CONCAT(表格1[[#This Row],[欄4]],表格1[[#This Row],[inv no]])</f>
        <v>S056-25289</v>
      </c>
    </row>
    <row r="4568" spans="1:23" hidden="1">
      <c r="A4568" s="81">
        <v>4566</v>
      </c>
      <c r="B4568" s="86" t="s">
        <v>1417</v>
      </c>
      <c r="C4568" s="86" t="s">
        <v>1508</v>
      </c>
      <c r="D4568" s="89" t="str">
        <f ca="1">OFFSET(Roster!$A$3,MATCH(表格1[[#This Row],[Location]]&amp;" "&amp;表格1[[#This Row],[Shop]]&amp;"*",Roster!$A$4:$A$72,0),DAY(表格1[[#This Row],[date]]),1,1)</f>
        <v>Mui Chan_1</v>
      </c>
      <c r="E4568" s="86">
        <f>MONTH(表格1[[#This Row],[date]])</f>
        <v>3</v>
      </c>
      <c r="F4568" s="90">
        <v>46095</v>
      </c>
      <c r="G4568" s="86" t="str">
        <f>VLOOKUP("*"&amp;表格1[[#This Row],[Input]]&amp;"*",'Ref-List'!$B:$D,2,)</f>
        <v>EB-T500APW</v>
      </c>
      <c r="H4568" s="86" t="str">
        <f>_xlfn.XLOOKUP(表格1[[#This Row],[Model]],表格3[Model-Input-Ref2],表格3[Product Line])</f>
        <v>JAPANDi 嵌入式微波氣炸蒸焗爐 (45厘米)</v>
      </c>
      <c r="I4568" s="86" t="str">
        <f>_xlfn.XLOOKUP(表格1[[#This Row],[Model]],表格3[Model-Input-Ref2],表格3[大小電])</f>
        <v>大電</v>
      </c>
      <c r="J4568" s="86" t="str">
        <f>_xlfn.XLOOKUP(表格1[[#This Row],[Model]],表格3[Model-Input-Ref2],表格3[Code])</f>
        <v>MCA</v>
      </c>
      <c r="K4568" s="89" t="s">
        <v>2168</v>
      </c>
      <c r="L4568" s="86">
        <v>1</v>
      </c>
      <c r="M4568" s="87">
        <v>13800</v>
      </c>
      <c r="N4568" s="87">
        <f>IFERROR(表格1[[#This Row],[QTY]]*表格1[[#This Row],[Unit Price]],"-")</f>
        <v>13800</v>
      </c>
      <c r="O4568" s="86" t="s">
        <v>2179</v>
      </c>
      <c r="P4568" s="86" t="s">
        <v>1102</v>
      </c>
      <c r="R4568" s="86" t="str">
        <f>_xlfn.CONCAT(表格1[[#This Row],[Model]]," ",表格1[[#This Row],[inv no]])</f>
        <v>EB-T500APW S056-25280</v>
      </c>
      <c r="S4568" s="86">
        <f>_xlfn.XLOOKUP(表格1[[#This Row],[Model]],表格3[Model-Input-Ref2],表格3[SRP PRICE])</f>
        <v>28800</v>
      </c>
      <c r="T4568" s="43">
        <f>表格1[[#This Row],[Unit Price]]/表格1[[#This Row],[SRP]]</f>
        <v>0.47916666666666669</v>
      </c>
      <c r="U4568" s="86" t="str">
        <f>_xlfn.XLOOKUP(表格1[[#This Row],[Model]],表格3[Model-Input-Ref2],表格3[TOSHIBA/HIGHEST])</f>
        <v>Toshiba SRP</v>
      </c>
      <c r="W4568" s="86" t="str">
        <f>_xlfn.CONCAT(表格1[[#This Row],[欄4]],表格1[[#This Row],[inv no]])</f>
        <v>S056-25280</v>
      </c>
    </row>
    <row r="4569" spans="1:23" hidden="1">
      <c r="A4569" s="81">
        <v>4567</v>
      </c>
      <c r="B4569" s="86" t="s">
        <v>1417</v>
      </c>
      <c r="C4569" s="86" t="s">
        <v>1507</v>
      </c>
      <c r="D4569" s="89" t="str">
        <f ca="1">OFFSET(Roster!$A$3,MATCH(表格1[[#This Row],[Location]]&amp;" "&amp;表格1[[#This Row],[Shop]]&amp;"*",Roster!$A$4:$A$72,0),DAY(表格1[[#This Row],[date]]),1,1)</f>
        <v>Mui Chan_1</v>
      </c>
      <c r="E4569" s="86">
        <f>MONTH(表格1[[#This Row],[date]])</f>
        <v>3</v>
      </c>
      <c r="F4569" s="90">
        <v>46095</v>
      </c>
      <c r="G4569" s="86" t="str">
        <f>VLOOKUP("*"&amp;表格1[[#This Row],[Input]]&amp;"*",'Ref-List'!$B:$D,2,)</f>
        <v>KT-08DH1VHK(W)</v>
      </c>
      <c r="H4569" s="86" t="str">
        <f>_xlfn.XLOOKUP(表格1[[#This Row],[Model]],表格3[Model-Input-Ref2],表格3[Product Line])</f>
        <v>無線雙層電熱水壺-附可鎖壺蓋(0.8公升)</v>
      </c>
      <c r="I4569" s="86" t="str">
        <f>_xlfn.XLOOKUP(表格1[[#This Row],[Model]],表格3[Model-Input-Ref2],表格3[大小電])</f>
        <v>細電</v>
      </c>
      <c r="J4569" s="86" t="str">
        <f>_xlfn.XLOOKUP(表格1[[#This Row],[Model]],表格3[Model-Input-Ref2],表格3[Code])</f>
        <v>SDA</v>
      </c>
      <c r="K4569" s="89" t="s">
        <v>1268</v>
      </c>
      <c r="L4569" s="86">
        <v>1</v>
      </c>
      <c r="M4569" s="87">
        <v>268</v>
      </c>
      <c r="N4569" s="87">
        <f>IFERROR(表格1[[#This Row],[QTY]]*表格1[[#This Row],[Unit Price]],"-")</f>
        <v>268</v>
      </c>
      <c r="O4569" s="86" t="s">
        <v>2177</v>
      </c>
      <c r="P4569" s="86" t="s">
        <v>1103</v>
      </c>
      <c r="R4569" s="86" t="str">
        <f>_xlfn.CONCAT(表格1[[#This Row],[Model]]," ",表格1[[#This Row],[inv no]])</f>
        <v>KT-08DH1VHK(W) S056-25289</v>
      </c>
      <c r="S4569" s="86">
        <f>_xlfn.XLOOKUP(表格1[[#This Row],[Model]],表格3[Model-Input-Ref2],表格3[SRP PRICE])</f>
        <v>428</v>
      </c>
      <c r="T4569" s="43">
        <f>表格1[[#This Row],[Unit Price]]/表格1[[#This Row],[SRP]]</f>
        <v>0.62616822429906538</v>
      </c>
      <c r="U4569" s="86" t="str">
        <f>_xlfn.XLOOKUP(表格1[[#This Row],[Model]],表格3[Model-Input-Ref2],表格3[TOSHIBA/HIGHEST])</f>
        <v>Toshiba SRP</v>
      </c>
      <c r="W4569" s="86" t="str">
        <f>_xlfn.CONCAT(表格1[[#This Row],[欄4]],表格1[[#This Row],[inv no]])</f>
        <v>S056-25289</v>
      </c>
    </row>
    <row r="4570" spans="1:23" hidden="1">
      <c r="A4570" s="81">
        <v>4568</v>
      </c>
      <c r="B4570" s="86" t="s">
        <v>1417</v>
      </c>
      <c r="C4570" s="86" t="s">
        <v>1507</v>
      </c>
      <c r="D4570" s="89" t="str">
        <f ca="1">OFFSET(Roster!$A$3,MATCH(表格1[[#This Row],[Location]]&amp;" "&amp;表格1[[#This Row],[Shop]]&amp;"*",Roster!$A$4:$A$72,0),DAY(表格1[[#This Row],[date]]),1,1)</f>
        <v>Mui Chan_1</v>
      </c>
      <c r="E4570" s="86">
        <f>MONTH(表格1[[#This Row],[date]])</f>
        <v>3</v>
      </c>
      <c r="F4570" s="90">
        <v>46095</v>
      </c>
      <c r="G4570" s="86" t="str">
        <f>VLOOKUP("*"&amp;表格1[[#This Row],[Input]]&amp;"*",'Ref-List'!$B:$D,2,)</f>
        <v>RC-7HMH</v>
      </c>
      <c r="H4570" s="86" t="str">
        <f>_xlfn.XLOOKUP(表格1[[#This Row],[Model]],表格3[Model-Input-Ref2],表格3[Product Line])</f>
        <v>備長炭本厚釜電飯煲0.7L</v>
      </c>
      <c r="I4570" s="86" t="str">
        <f>_xlfn.XLOOKUP(表格1[[#This Row],[Model]],表格3[Model-Input-Ref2],表格3[大小電])</f>
        <v>細電</v>
      </c>
      <c r="J4570" s="86" t="str">
        <f>_xlfn.XLOOKUP(表格1[[#This Row],[Model]],表格3[Model-Input-Ref2],表格3[Code])</f>
        <v>SDA</v>
      </c>
      <c r="K4570" s="89" t="s">
        <v>1284</v>
      </c>
      <c r="L4570" s="86">
        <v>1</v>
      </c>
      <c r="M4570" s="87">
        <v>838</v>
      </c>
      <c r="N4570" s="87">
        <f>IFERROR(表格1[[#This Row],[QTY]]*表格1[[#This Row],[Unit Price]],"-")</f>
        <v>838</v>
      </c>
      <c r="O4570" s="86" t="s">
        <v>2181</v>
      </c>
      <c r="P4570" s="86" t="s">
        <v>1103</v>
      </c>
      <c r="R4570" s="86" t="str">
        <f>_xlfn.CONCAT(表格1[[#This Row],[Model]]," ",表格1[[#This Row],[inv no]])</f>
        <v>RC-7HMH S055-10433</v>
      </c>
      <c r="S4570" s="86">
        <f>_xlfn.XLOOKUP(表格1[[#This Row],[Model]],表格3[Model-Input-Ref2],表格3[SRP PRICE])</f>
        <v>1288</v>
      </c>
      <c r="T4570" s="43">
        <f>表格1[[#This Row],[Unit Price]]/表格1[[#This Row],[SRP]]</f>
        <v>0.65062111801242239</v>
      </c>
      <c r="U4570" s="86" t="str">
        <f>_xlfn.XLOOKUP(表格1[[#This Row],[Model]],表格3[Model-Input-Ref2],表格3[TOSHIBA/HIGHEST])</f>
        <v>Toshiba SRP</v>
      </c>
      <c r="W4570" s="86" t="str">
        <f>_xlfn.CONCAT(表格1[[#This Row],[欄4]],表格1[[#This Row],[inv no]])</f>
        <v>S055-10433</v>
      </c>
    </row>
    <row r="4571" spans="1:23" hidden="1">
      <c r="A4571" s="81">
        <v>4569</v>
      </c>
      <c r="B4571" s="86" t="s">
        <v>1417</v>
      </c>
      <c r="C4571" s="86" t="s">
        <v>1507</v>
      </c>
      <c r="D4571" s="89" t="str">
        <f ca="1">OFFSET(Roster!$A$3,MATCH(表格1[[#This Row],[Location]]&amp;" "&amp;表格1[[#This Row],[Shop]]&amp;"*",Roster!$A$4:$A$72,0),DAY(表格1[[#This Row],[date]]),1,1)</f>
        <v>Mui Chan_1</v>
      </c>
      <c r="E4571" s="86">
        <f>MONTH(表格1[[#This Row],[date]])</f>
        <v>3</v>
      </c>
      <c r="F4571" s="90">
        <v>46095</v>
      </c>
      <c r="G4571" s="86" t="str">
        <f>VLOOKUP("*"&amp;表格1[[#This Row],[Input]]&amp;"*",'Ref-List'!$B:$D,2,)</f>
        <v>RC-5MMIH(WT)</v>
      </c>
      <c r="H4571" s="86" t="str">
        <f>_xlfn.XLOOKUP(表格1[[#This Row],[Model]],表格3[Model-Input-Ref2],表格3[Product Line])</f>
        <v>4毫米厚釜電飯煲0.54L</v>
      </c>
      <c r="I4571" s="86" t="str">
        <f>_xlfn.XLOOKUP(表格1[[#This Row],[Model]],表格3[Model-Input-Ref2],表格3[大小電])</f>
        <v>細電</v>
      </c>
      <c r="J4571" s="86" t="str">
        <f>_xlfn.XLOOKUP(表格1[[#This Row],[Model]],表格3[Model-Input-Ref2],表格3[Code])</f>
        <v>SDA</v>
      </c>
      <c r="K4571" s="89" t="s">
        <v>1195</v>
      </c>
      <c r="L4571" s="86">
        <v>1</v>
      </c>
      <c r="M4571" s="87">
        <v>549</v>
      </c>
      <c r="N4571" s="87">
        <f>IFERROR(表格1[[#This Row],[QTY]]*表格1[[#This Row],[Unit Price]],"-")</f>
        <v>549</v>
      </c>
      <c r="O4571" s="86" t="s">
        <v>2183</v>
      </c>
      <c r="P4571" s="86" t="s">
        <v>1103</v>
      </c>
      <c r="R4571" s="86" t="str">
        <f>_xlfn.CONCAT(表格1[[#This Row],[Model]]," ",表格1[[#This Row],[inv no]])</f>
        <v>RC-5MMIH(WT) S053-2404</v>
      </c>
      <c r="S4571" s="86">
        <f>_xlfn.XLOOKUP(表格1[[#This Row],[Model]],表格3[Model-Input-Ref2],表格3[SRP PRICE])</f>
        <v>618</v>
      </c>
      <c r="T4571" s="43">
        <f>表格1[[#This Row],[Unit Price]]/表格1[[#This Row],[SRP]]</f>
        <v>0.88834951456310685</v>
      </c>
      <c r="U4571" s="86" t="str">
        <f>_xlfn.XLOOKUP(表格1[[#This Row],[Model]],表格3[Model-Input-Ref2],表格3[TOSHIBA/HIGHEST])</f>
        <v>Toshiba SRP</v>
      </c>
      <c r="W4571" s="86" t="str">
        <f>_xlfn.CONCAT(表格1[[#This Row],[欄4]],表格1[[#This Row],[inv no]])</f>
        <v>S053-2404</v>
      </c>
    </row>
    <row r="4572" spans="1:23" hidden="1">
      <c r="A4572" s="81">
        <v>4570</v>
      </c>
      <c r="B4572" s="86" t="s">
        <v>1417</v>
      </c>
      <c r="C4572" s="86" t="s">
        <v>1507</v>
      </c>
      <c r="D4572" s="89" t="str">
        <f ca="1">OFFSET(Roster!$A$3,MATCH(表格1[[#This Row],[Location]]&amp;" "&amp;表格1[[#This Row],[Shop]]&amp;"*",Roster!$A$4:$A$72,0),DAY(表格1[[#This Row],[date]]),1,1)</f>
        <v>Mui Chan_1</v>
      </c>
      <c r="E4572" s="86">
        <f>MONTH(表格1[[#This Row],[date]])</f>
        <v>3</v>
      </c>
      <c r="F4572" s="90">
        <v>46095</v>
      </c>
      <c r="G4572" s="86" t="str">
        <f>VLOOKUP("*"&amp;表格1[[#This Row],[Input]]&amp;"*",'Ref-List'!$B:$D,2,)</f>
        <v>MX2-STR25SC(WH)</v>
      </c>
      <c r="H4572" s="86" t="str">
        <f>_xlfn.XLOOKUP(表格1[[#This Row],[Model]],表格3[Model-Input-Ref2],表格3[Product Line])</f>
        <v>4合1氣炸微波蒸焗爐(25公升)</v>
      </c>
      <c r="I4572" s="86" t="str">
        <f>_xlfn.XLOOKUP(表格1[[#This Row],[Model]],表格3[Model-Input-Ref2],表格3[大小電])</f>
        <v>細電</v>
      </c>
      <c r="J4572" s="86" t="str">
        <f>_xlfn.XLOOKUP(表格1[[#This Row],[Model]],表格3[Model-Input-Ref2],表格3[Code])</f>
        <v>MCA</v>
      </c>
      <c r="K4572" s="89" t="s">
        <v>1410</v>
      </c>
      <c r="L4572" s="86">
        <v>1</v>
      </c>
      <c r="M4572" s="87">
        <v>3580</v>
      </c>
      <c r="N4572" s="87">
        <f>IFERROR(表格1[[#This Row],[QTY]]*表格1[[#This Row],[Unit Price]],"-")</f>
        <v>3580</v>
      </c>
      <c r="O4572" s="86" t="s">
        <v>2185</v>
      </c>
      <c r="P4572" s="86" t="s">
        <v>1102</v>
      </c>
      <c r="R4572" s="86" t="str">
        <f>_xlfn.CONCAT(表格1[[#This Row],[Model]]," ",表格1[[#This Row],[inv no]])</f>
        <v>MX2-STR25SC(WH) S053-2403</v>
      </c>
      <c r="S4572" s="86">
        <f>_xlfn.XLOOKUP(表格1[[#This Row],[Model]],表格3[Model-Input-Ref2],表格3[SRP PRICE])</f>
        <v>4998</v>
      </c>
      <c r="T4572" s="43">
        <f>表格1[[#This Row],[Unit Price]]/表格1[[#This Row],[SRP]]</f>
        <v>0.71628651460584236</v>
      </c>
      <c r="U4572" s="86" t="str">
        <f>_xlfn.XLOOKUP(表格1[[#This Row],[Model]],表格3[Model-Input-Ref2],表格3[TOSHIBA/HIGHEST])</f>
        <v>Toshiba SRP</v>
      </c>
      <c r="W4572" s="86" t="str">
        <f>_xlfn.CONCAT(表格1[[#This Row],[欄4]],表格1[[#This Row],[inv no]])</f>
        <v>S053-2403</v>
      </c>
    </row>
    <row r="4573" spans="1:23" hidden="1">
      <c r="A4573" s="81">
        <v>4571</v>
      </c>
      <c r="B4573" s="86" t="s">
        <v>1417</v>
      </c>
      <c r="C4573" s="86" t="s">
        <v>1507</v>
      </c>
      <c r="D4573" s="89" t="str">
        <f ca="1">OFFSET(Roster!$A$3,MATCH(表格1[[#This Row],[Location]]&amp;" "&amp;表格1[[#This Row],[Shop]]&amp;"*",Roster!$A$4:$A$72,0),DAY(表格1[[#This Row],[date]]),1,1)</f>
        <v>Mui Chan_1</v>
      </c>
      <c r="E4573" s="86">
        <f>MONTH(表格1[[#This Row],[date]])</f>
        <v>3</v>
      </c>
      <c r="F4573" s="90">
        <v>46095</v>
      </c>
      <c r="G4573" s="86" t="str">
        <f>VLOOKUP("*"&amp;表格1[[#This Row],[Input]]&amp;"*",'Ref-List'!$B:$D,2,)</f>
        <v>TWD-BN90GF4H(WK)</v>
      </c>
      <c r="H4573" s="86" t="str">
        <f>_xlfn.XLOOKUP(表格1[[#This Row],[Model]],表格3[Model-Input-Ref2],表格3[Product Line])</f>
        <v>超薄身前置式洗衣乾衣機 (洗8公斤 乾5公斤)</v>
      </c>
      <c r="I4573" s="86" t="str">
        <f>_xlfn.XLOOKUP(表格1[[#This Row],[Model]],表格3[Model-Input-Ref2],表格3[大小電])</f>
        <v>大電</v>
      </c>
      <c r="J4573" s="86" t="str">
        <f>_xlfn.XLOOKUP(表格1[[#This Row],[Model]],表格3[Model-Input-Ref2],表格3[Code])</f>
        <v>WM</v>
      </c>
      <c r="K4573" s="89" t="s">
        <v>1199</v>
      </c>
      <c r="L4573" s="86">
        <v>1</v>
      </c>
      <c r="M4573" s="87">
        <v>3980</v>
      </c>
      <c r="N4573" s="87">
        <f>IFERROR(表格1[[#This Row],[QTY]]*表格1[[#This Row],[Unit Price]],"-")</f>
        <v>3980</v>
      </c>
      <c r="O4573" s="86" t="s">
        <v>2185</v>
      </c>
      <c r="P4573" s="86" t="s">
        <v>1102</v>
      </c>
      <c r="R4573" s="86" t="str">
        <f>_xlfn.CONCAT(表格1[[#This Row],[Model]]," ",表格1[[#This Row],[inv no]])</f>
        <v>TWD-BN90GF4H(WK) S053-2403</v>
      </c>
      <c r="S4573" s="86">
        <f>_xlfn.XLOOKUP(表格1[[#This Row],[Model]],表格3[Model-Input-Ref2],表格3[SRP PRICE])</f>
        <v>5980</v>
      </c>
      <c r="T4573" s="43">
        <f>表格1[[#This Row],[Unit Price]]/表格1[[#This Row],[SRP]]</f>
        <v>0.66555183946488294</v>
      </c>
      <c r="U4573" s="86" t="str">
        <f>_xlfn.XLOOKUP(表格1[[#This Row],[Model]],表格3[Model-Input-Ref2],表格3[TOSHIBA/HIGHEST])</f>
        <v>Toshiba SRP</v>
      </c>
      <c r="W4573" s="86" t="str">
        <f>_xlfn.CONCAT(表格1[[#This Row],[欄4]],表格1[[#This Row],[inv no]])</f>
        <v>S053-2403</v>
      </c>
    </row>
    <row r="4574" spans="1:23" hidden="1">
      <c r="A4574" s="81">
        <v>4572</v>
      </c>
      <c r="B4574" s="86" t="s">
        <v>1417</v>
      </c>
      <c r="C4574" s="86" t="s">
        <v>1507</v>
      </c>
      <c r="D4574" s="89" t="str">
        <f ca="1">OFFSET(Roster!$A$3,MATCH(表格1[[#This Row],[Location]]&amp;" "&amp;表格1[[#This Row],[Shop]]&amp;"*",Roster!$A$4:$A$72,0),DAY(表格1[[#This Row],[date]]),1,1)</f>
        <v>Mui Chan_1</v>
      </c>
      <c r="E4574" s="86">
        <f>MONTH(表格1[[#This Row],[date]])</f>
        <v>3</v>
      </c>
      <c r="F4574" s="90">
        <v>46095</v>
      </c>
      <c r="G4574" s="86" t="str">
        <f>VLOOKUP("*"&amp;表格1[[#This Row],[Input]]&amp;"*",'Ref-List'!$B:$D,2,)</f>
        <v>IC-S19RH</v>
      </c>
      <c r="H4574" s="86" t="str">
        <f>_xlfn.XLOOKUP(表格1[[#This Row],[Model]],表格3[Model-Input-Ref2],表格3[Product Line])</f>
        <v>輕便式電磁爐7個功能</v>
      </c>
      <c r="I4574" s="86" t="str">
        <f>_xlfn.XLOOKUP(表格1[[#This Row],[Model]],表格3[Model-Input-Ref2],表格3[大小電])</f>
        <v>細電</v>
      </c>
      <c r="J4574" s="86" t="str">
        <f>_xlfn.XLOOKUP(表格1[[#This Row],[Model]],表格3[Model-Input-Ref2],表格3[Code])</f>
        <v>SDA</v>
      </c>
      <c r="K4574" s="89" t="s">
        <v>1289</v>
      </c>
      <c r="L4574" s="86">
        <v>1</v>
      </c>
      <c r="M4574" s="87">
        <v>418</v>
      </c>
      <c r="N4574" s="87">
        <f>IFERROR(表格1[[#This Row],[QTY]]*表格1[[#This Row],[Unit Price]],"-")</f>
        <v>418</v>
      </c>
      <c r="O4574" s="86" t="s">
        <v>2187</v>
      </c>
      <c r="P4574" s="86" t="s">
        <v>1103</v>
      </c>
      <c r="R4574" s="86" t="str">
        <f>_xlfn.CONCAT(表格1[[#This Row],[Model]]," ",表格1[[#This Row],[inv no]])</f>
        <v>IC-S19RH S055-10446</v>
      </c>
      <c r="S4574" s="86">
        <f>_xlfn.XLOOKUP(表格1[[#This Row],[Model]],表格3[Model-Input-Ref2],表格3[SRP PRICE])</f>
        <v>638</v>
      </c>
      <c r="T4574" s="43">
        <f>表格1[[#This Row],[Unit Price]]/表格1[[#This Row],[SRP]]</f>
        <v>0.65517241379310343</v>
      </c>
      <c r="U4574" s="86" t="str">
        <f>_xlfn.XLOOKUP(表格1[[#This Row],[Model]],表格3[Model-Input-Ref2],表格3[TOSHIBA/HIGHEST])</f>
        <v>Toshiba SRP</v>
      </c>
      <c r="W4574" s="86" t="str">
        <f>_xlfn.CONCAT(表格1[[#This Row],[欄4]],表格1[[#This Row],[inv no]])</f>
        <v>S055-10446</v>
      </c>
    </row>
    <row r="4575" spans="1:23" hidden="1">
      <c r="A4575" s="81">
        <v>4573</v>
      </c>
      <c r="B4575" s="86" t="s">
        <v>1417</v>
      </c>
      <c r="C4575" s="86" t="s">
        <v>1507</v>
      </c>
      <c r="D4575" s="89" t="str">
        <f ca="1">OFFSET(Roster!$A$3,MATCH(表格1[[#This Row],[Location]]&amp;" "&amp;表格1[[#This Row],[Shop]]&amp;"*",Roster!$A$4:$A$72,0),DAY(表格1[[#This Row],[date]]),1,1)</f>
        <v>Mui Chan_1</v>
      </c>
      <c r="E4575" s="86">
        <f>MONTH(表格1[[#This Row],[date]])</f>
        <v>3</v>
      </c>
      <c r="F4575" s="90">
        <v>46095</v>
      </c>
      <c r="G4575" s="86" t="str">
        <f>VLOOKUP("*"&amp;表格1[[#This Row],[Input]]&amp;"*",'Ref-List'!$B:$D,2,)</f>
        <v>RC-5SLIH(W)</v>
      </c>
      <c r="H4575" s="86" t="str">
        <f>_xlfn.XLOOKUP(表格1[[#This Row],[Model]],表格3[Model-Input-Ref2],表格3[Product Line])</f>
        <v>微型電腦珍珠飯煲</v>
      </c>
      <c r="I4575" s="86" t="str">
        <f>_xlfn.XLOOKUP(表格1[[#This Row],[Model]],表格3[Model-Input-Ref2],表格3[大小電])</f>
        <v>細電</v>
      </c>
      <c r="J4575" s="86" t="str">
        <f>_xlfn.XLOOKUP(表格1[[#This Row],[Model]],表格3[Model-Input-Ref2],表格3[Code])</f>
        <v>SDA</v>
      </c>
      <c r="K4575" s="89" t="s">
        <v>1264</v>
      </c>
      <c r="L4575" s="86">
        <v>1</v>
      </c>
      <c r="M4575" s="87">
        <v>592</v>
      </c>
      <c r="N4575" s="87">
        <f>IFERROR(表格1[[#This Row],[QTY]]*表格1[[#This Row],[Unit Price]],"-")</f>
        <v>592</v>
      </c>
      <c r="O4575" s="86" t="s">
        <v>2189</v>
      </c>
      <c r="P4575" s="86" t="s">
        <v>1103</v>
      </c>
      <c r="R4575" s="86" t="str">
        <f>_xlfn.CONCAT(表格1[[#This Row],[Model]]," ",表格1[[#This Row],[inv no]])</f>
        <v>RC-5SLIH(W) S055-10447</v>
      </c>
      <c r="S4575" s="86">
        <f>_xlfn.XLOOKUP(表格1[[#This Row],[Model]],表格3[Model-Input-Ref2],表格3[SRP PRICE])</f>
        <v>658</v>
      </c>
      <c r="T4575" s="43">
        <f>表格1[[#This Row],[Unit Price]]/表格1[[#This Row],[SRP]]</f>
        <v>0.89969604863221886</v>
      </c>
      <c r="U4575" s="86" t="str">
        <f>_xlfn.XLOOKUP(表格1[[#This Row],[Model]],表格3[Model-Input-Ref2],表格3[TOSHIBA/HIGHEST])</f>
        <v>Toshiba SRP</v>
      </c>
      <c r="W4575" s="86" t="str">
        <f>_xlfn.CONCAT(表格1[[#This Row],[欄4]],表格1[[#This Row],[inv no]])</f>
        <v>S055-10447</v>
      </c>
    </row>
    <row r="4576" spans="1:23" hidden="1">
      <c r="A4576" s="81">
        <v>4574</v>
      </c>
      <c r="B4576" s="86" t="s">
        <v>1417</v>
      </c>
      <c r="C4576" s="86" t="s">
        <v>1507</v>
      </c>
      <c r="D4576" s="89" t="str">
        <f ca="1">OFFSET(Roster!$A$3,MATCH(表格1[[#This Row],[Location]]&amp;" "&amp;表格1[[#This Row],[Shop]]&amp;"*",Roster!$A$4:$A$72,0),DAY(表格1[[#This Row],[date]]),1,1)</f>
        <v>Mui Chan_1</v>
      </c>
      <c r="E4576" s="86">
        <f>MONTH(表格1[[#This Row],[date]])</f>
        <v>3</v>
      </c>
      <c r="F4576" s="90">
        <v>46095</v>
      </c>
      <c r="G4576" s="86" t="str">
        <f>VLOOKUP("*"&amp;表格1[[#This Row],[Input]]&amp;"*",'Ref-List'!$B:$D,2,)</f>
        <v>RAD-D300H</v>
      </c>
      <c r="H4576" s="86" t="str">
        <f>_xlfn.XLOOKUP(表格1[[#This Row],[Model]],表格3[Model-Input-Ref2],表格3[Product Line])</f>
        <v>壓縮式抽濕機 (30公升)</v>
      </c>
      <c r="I4576" s="86" t="str">
        <f>_xlfn.XLOOKUP(表格1[[#This Row],[Model]],表格3[Model-Input-Ref2],表格3[大小電])</f>
        <v>細電</v>
      </c>
      <c r="J4576" s="86" t="str">
        <f>_xlfn.XLOOKUP(表格1[[#This Row],[Model]],表格3[Model-Input-Ref2],表格3[Code])</f>
        <v>RAC</v>
      </c>
      <c r="K4576" s="89" t="s">
        <v>1252</v>
      </c>
      <c r="L4576" s="86">
        <v>1</v>
      </c>
      <c r="M4576" s="87">
        <v>2280</v>
      </c>
      <c r="N4576" s="87">
        <f>IFERROR(表格1[[#This Row],[QTY]]*表格1[[#This Row],[Unit Price]],"-")</f>
        <v>2280</v>
      </c>
      <c r="O4576" s="86" t="s">
        <v>2191</v>
      </c>
      <c r="P4576" s="86" t="s">
        <v>1102</v>
      </c>
      <c r="R4576" s="86" t="str">
        <f>_xlfn.CONCAT(表格1[[#This Row],[Model]]," ",表格1[[#This Row],[inv no]])</f>
        <v>RAD-D300H S055-10444</v>
      </c>
      <c r="S4576" s="86">
        <f>_xlfn.XLOOKUP(表格1[[#This Row],[Model]],表格3[Model-Input-Ref2],表格3[SRP PRICE])</f>
        <v>3380</v>
      </c>
      <c r="T4576" s="43">
        <f>表格1[[#This Row],[Unit Price]]/表格1[[#This Row],[SRP]]</f>
        <v>0.67455621301775148</v>
      </c>
      <c r="U4576" s="86" t="str">
        <f>_xlfn.XLOOKUP(表格1[[#This Row],[Model]],表格3[Model-Input-Ref2],表格3[TOSHIBA/HIGHEST])</f>
        <v>Shops Highest Price</v>
      </c>
      <c r="W4576" s="86" t="str">
        <f>_xlfn.CONCAT(表格1[[#This Row],[欄4]],表格1[[#This Row],[inv no]])</f>
        <v>S055-10444</v>
      </c>
    </row>
    <row r="4577" spans="1:23" hidden="1">
      <c r="A4577" s="81">
        <v>4575</v>
      </c>
      <c r="B4577" s="86" t="s">
        <v>1417</v>
      </c>
      <c r="C4577" s="86" t="s">
        <v>1507</v>
      </c>
      <c r="D4577" s="89" t="str">
        <f ca="1">OFFSET(Roster!$A$3,MATCH(表格1[[#This Row],[Location]]&amp;" "&amp;表格1[[#This Row],[Shop]]&amp;"*",Roster!$A$4:$A$72,0),DAY(表格1[[#This Row],[date]]),1,1)</f>
        <v>Mui Chan_1</v>
      </c>
      <c r="E4577" s="86">
        <f>MONTH(表格1[[#This Row],[date]])</f>
        <v>3</v>
      </c>
      <c r="F4577" s="90">
        <v>46095</v>
      </c>
      <c r="G4577" s="86" t="str">
        <f>VLOOKUP("*"&amp;表格1[[#This Row],[Input]]&amp;"*",'Ref-List'!$B:$D,2,)</f>
        <v>RC-18ISPH</v>
      </c>
      <c r="H4577" s="86" t="str">
        <f>_xlfn.XLOOKUP(表格1[[#This Row],[Model]],表格3[Model-Input-Ref2],表格3[Product Line])</f>
        <v>低醣磁應電飯煲1.8L</v>
      </c>
      <c r="I4577" s="86" t="str">
        <f>_xlfn.XLOOKUP(表格1[[#This Row],[Model]],表格3[Model-Input-Ref2],表格3[大小電])</f>
        <v>細電</v>
      </c>
      <c r="J4577" s="86" t="str">
        <f>_xlfn.XLOOKUP(表格1[[#This Row],[Model]],表格3[Model-Input-Ref2],表格3[Code])</f>
        <v>SDA</v>
      </c>
      <c r="K4577" s="89" t="s">
        <v>1281</v>
      </c>
      <c r="L4577" s="86">
        <v>1</v>
      </c>
      <c r="M4577" s="87">
        <v>898</v>
      </c>
      <c r="N4577" s="87">
        <f>IFERROR(表格1[[#This Row],[QTY]]*表格1[[#This Row],[Unit Price]],"-")</f>
        <v>898</v>
      </c>
      <c r="O4577" s="86" t="s">
        <v>2191</v>
      </c>
      <c r="P4577" s="86" t="s">
        <v>1102</v>
      </c>
      <c r="R4577" s="86" t="str">
        <f>_xlfn.CONCAT(表格1[[#This Row],[Model]]," ",表格1[[#This Row],[inv no]])</f>
        <v>RC-18ISPH S055-10444</v>
      </c>
      <c r="S4577" s="86">
        <f>_xlfn.XLOOKUP(表格1[[#This Row],[Model]],表格3[Model-Input-Ref2],表格3[SRP PRICE])</f>
        <v>1436</v>
      </c>
      <c r="T4577" s="43">
        <f>表格1[[#This Row],[Unit Price]]/表格1[[#This Row],[SRP]]</f>
        <v>0.62534818941504178</v>
      </c>
      <c r="U4577" s="86" t="str">
        <f>_xlfn.XLOOKUP(表格1[[#This Row],[Model]],表格3[Model-Input-Ref2],表格3[TOSHIBA/HIGHEST])</f>
        <v>Shops Highest Price</v>
      </c>
      <c r="W4577" s="86" t="str">
        <f>_xlfn.CONCAT(表格1[[#This Row],[欄4]],表格1[[#This Row],[inv no]])</f>
        <v>S055-10444</v>
      </c>
    </row>
    <row r="4578" spans="1:23" hidden="1">
      <c r="A4578" s="81">
        <v>4576</v>
      </c>
      <c r="B4578" s="86" t="s">
        <v>1417</v>
      </c>
      <c r="C4578" s="86" t="s">
        <v>1507</v>
      </c>
      <c r="D4578" s="89" t="str">
        <f ca="1">OFFSET(Roster!$A$3,MATCH(表格1[[#This Row],[Location]]&amp;" "&amp;表格1[[#This Row],[Shop]]&amp;"*",Roster!$A$4:$A$72,0),DAY(表格1[[#This Row],[date]]),1,1)</f>
        <v>Mui Chan_1</v>
      </c>
      <c r="E4578" s="86">
        <f>MONTH(表格1[[#This Row],[date]])</f>
        <v>3</v>
      </c>
      <c r="F4578" s="90">
        <v>46095</v>
      </c>
      <c r="G4578" s="86" t="str">
        <f>VLOOKUP("*"&amp;表格1[[#This Row],[Input]]&amp;"*",'Ref-List'!$B:$D,2,)</f>
        <v>RC-7HMH</v>
      </c>
      <c r="H4578" s="86" t="str">
        <f>_xlfn.XLOOKUP(表格1[[#This Row],[Model]],表格3[Model-Input-Ref2],表格3[Product Line])</f>
        <v>備長炭本厚釜電飯煲0.7L</v>
      </c>
      <c r="I4578" s="86" t="str">
        <f>_xlfn.XLOOKUP(表格1[[#This Row],[Model]],表格3[Model-Input-Ref2],表格3[大小電])</f>
        <v>細電</v>
      </c>
      <c r="J4578" s="86" t="str">
        <f>_xlfn.XLOOKUP(表格1[[#This Row],[Model]],表格3[Model-Input-Ref2],表格3[Code])</f>
        <v>SDA</v>
      </c>
      <c r="K4578" s="89" t="s">
        <v>1284</v>
      </c>
      <c r="L4578" s="86">
        <v>1</v>
      </c>
      <c r="M4578" s="87">
        <v>838</v>
      </c>
      <c r="N4578" s="87">
        <f>IFERROR(表格1[[#This Row],[QTY]]*表格1[[#This Row],[Unit Price]],"-")</f>
        <v>838</v>
      </c>
      <c r="O4578" s="86" t="s">
        <v>2193</v>
      </c>
      <c r="P4578" s="86" t="s">
        <v>1102</v>
      </c>
      <c r="R4578" s="86" t="str">
        <f>_xlfn.CONCAT(表格1[[#This Row],[Model]]," ",表格1[[#This Row],[inv no]])</f>
        <v>RC-7HMH S056-25326</v>
      </c>
      <c r="S4578" s="86">
        <f>_xlfn.XLOOKUP(表格1[[#This Row],[Model]],表格3[Model-Input-Ref2],表格3[SRP PRICE])</f>
        <v>1288</v>
      </c>
      <c r="T4578" s="43">
        <f>表格1[[#This Row],[Unit Price]]/表格1[[#This Row],[SRP]]</f>
        <v>0.65062111801242239</v>
      </c>
      <c r="U4578" s="86" t="str">
        <f>_xlfn.XLOOKUP(表格1[[#This Row],[Model]],表格3[Model-Input-Ref2],表格3[TOSHIBA/HIGHEST])</f>
        <v>Toshiba SRP</v>
      </c>
      <c r="W4578" s="86" t="str">
        <f>_xlfn.CONCAT(表格1[[#This Row],[欄4]],表格1[[#This Row],[inv no]])</f>
        <v>S056-25326</v>
      </c>
    </row>
    <row r="4579" spans="1:23" hidden="1">
      <c r="A4579" s="81">
        <v>4577</v>
      </c>
      <c r="B4579" s="86" t="s">
        <v>1417</v>
      </c>
      <c r="C4579" s="86" t="s">
        <v>1507</v>
      </c>
      <c r="D4579" s="89" t="str">
        <f ca="1">OFFSET(Roster!$A$3,MATCH(表格1[[#This Row],[Location]]&amp;" "&amp;表格1[[#This Row],[Shop]]&amp;"*",Roster!$A$4:$A$72,0),DAY(表格1[[#This Row],[date]]),1,1)</f>
        <v>Mui Chan_1</v>
      </c>
      <c r="E4579" s="86">
        <f>MONTH(表格1[[#This Row],[date]])</f>
        <v>3</v>
      </c>
      <c r="F4579" s="90">
        <v>46095</v>
      </c>
      <c r="G4579" s="86" t="str">
        <f>VLOOKUP("*"&amp;表格1[[#This Row],[Input]]&amp;"*",'Ref-List'!$B:$D,2,)</f>
        <v>MS3-STQ20SC(WH)</v>
      </c>
      <c r="H4579" s="86" t="str">
        <f>_xlfn.XLOOKUP(表格1[[#This Row],[Model]],表格3[Model-Input-Ref2],表格3[Product Line])</f>
        <v>20L 智能蒸氣焗爐</v>
      </c>
      <c r="I4579" s="86" t="str">
        <f>_xlfn.XLOOKUP(表格1[[#This Row],[Model]],表格3[Model-Input-Ref2],表格3[大小電])</f>
        <v>細電</v>
      </c>
      <c r="J4579" s="86" t="str">
        <f>_xlfn.XLOOKUP(表格1[[#This Row],[Model]],表格3[Model-Input-Ref2],表格3[Code])</f>
        <v>MCA</v>
      </c>
      <c r="K4579" s="89" t="s">
        <v>1383</v>
      </c>
      <c r="L4579" s="86">
        <v>1</v>
      </c>
      <c r="M4579" s="87">
        <v>2100</v>
      </c>
      <c r="N4579" s="87">
        <f>IFERROR(表格1[[#This Row],[QTY]]*表格1[[#This Row],[Unit Price]],"-")</f>
        <v>2100</v>
      </c>
      <c r="O4579" s="86" t="s">
        <v>2195</v>
      </c>
      <c r="P4579" s="86" t="s">
        <v>1102</v>
      </c>
      <c r="R4579" s="86" t="str">
        <f>_xlfn.CONCAT(表格1[[#This Row],[Model]]," ",表格1[[#This Row],[inv no]])</f>
        <v>MS3-STQ20SC(WH) S056-25334</v>
      </c>
      <c r="S4579" s="86">
        <f>_xlfn.XLOOKUP(表格1[[#This Row],[Model]],表格3[Model-Input-Ref2],表格3[SRP PRICE])</f>
        <v>2880</v>
      </c>
      <c r="T4579" s="43">
        <f>表格1[[#This Row],[Unit Price]]/表格1[[#This Row],[SRP]]</f>
        <v>0.72916666666666663</v>
      </c>
      <c r="U4579" s="86" t="str">
        <f>_xlfn.XLOOKUP(表格1[[#This Row],[Model]],表格3[Model-Input-Ref2],表格3[TOSHIBA/HIGHEST])</f>
        <v>Toshiba SRP</v>
      </c>
      <c r="W4579" s="86" t="str">
        <f>_xlfn.CONCAT(表格1[[#This Row],[欄4]],表格1[[#This Row],[inv no]])</f>
        <v>S056-25334</v>
      </c>
    </row>
    <row r="4580" spans="1:23" hidden="1">
      <c r="A4580" s="81">
        <v>4578</v>
      </c>
      <c r="B4580" s="86" t="s">
        <v>1417</v>
      </c>
      <c r="C4580" s="86" t="s">
        <v>1507</v>
      </c>
      <c r="D4580" s="89" t="str">
        <f ca="1">OFFSET(Roster!$A$3,MATCH(表格1[[#This Row],[Location]]&amp;" "&amp;表格1[[#This Row],[Shop]]&amp;"*",Roster!$A$4:$A$72,0),DAY(表格1[[#This Row],[date]]),1,1)</f>
        <v>Mui Chan_1</v>
      </c>
      <c r="E4580" s="86">
        <f>MONTH(表格1[[#This Row],[date]])</f>
        <v>3</v>
      </c>
      <c r="F4580" s="90">
        <v>46096</v>
      </c>
      <c r="G4580" s="86" t="str">
        <f>VLOOKUP("*"&amp;表格1[[#This Row],[Input]]&amp;"*",'Ref-List'!$B:$D,2,)</f>
        <v>TL2-MC25CZE(GR)</v>
      </c>
      <c r="H4580" s="86" t="str">
        <f>_xlfn.XLOOKUP(表格1[[#This Row],[Model]],表格3[Model-Input-Ref2],表格3[Product Line])</f>
        <v>多功能焗爐 (25公升)</v>
      </c>
      <c r="I4580" s="86" t="str">
        <f>_xlfn.XLOOKUP(表格1[[#This Row],[Model]],表格3[Model-Input-Ref2],表格3[大小電])</f>
        <v>細電</v>
      </c>
      <c r="J4580" s="86" t="str">
        <f>_xlfn.XLOOKUP(表格1[[#This Row],[Model]],表格3[Model-Input-Ref2],表格3[Code])</f>
        <v>MOA</v>
      </c>
      <c r="K4580" s="89" t="s">
        <v>1634</v>
      </c>
      <c r="L4580" s="86">
        <v>1</v>
      </c>
      <c r="M4580" s="87">
        <v>648</v>
      </c>
      <c r="N4580" s="87">
        <f>IFERROR(表格1[[#This Row],[QTY]]*表格1[[#This Row],[Unit Price]],"-")</f>
        <v>648</v>
      </c>
      <c r="O4580" s="86" t="s">
        <v>2197</v>
      </c>
      <c r="P4580" s="86" t="s">
        <v>1102</v>
      </c>
      <c r="R4580" s="86" t="str">
        <f>_xlfn.CONCAT(表格1[[#This Row],[Model]]," ",表格1[[#This Row],[inv no]])</f>
        <v>TL2-MC25CZE(GR) S053-2419</v>
      </c>
      <c r="S4580" s="86">
        <f>_xlfn.XLOOKUP(表格1[[#This Row],[Model]],表格3[Model-Input-Ref2],表格3[SRP PRICE])</f>
        <v>798</v>
      </c>
      <c r="T4580" s="43">
        <f>表格1[[#This Row],[Unit Price]]/表格1[[#This Row],[SRP]]</f>
        <v>0.81203007518796988</v>
      </c>
      <c r="U4580" s="86" t="str">
        <f>_xlfn.XLOOKUP(表格1[[#This Row],[Model]],表格3[Model-Input-Ref2],表格3[TOSHIBA/HIGHEST])</f>
        <v>Shops Highest Price</v>
      </c>
      <c r="W4580" s="86" t="str">
        <f>_xlfn.CONCAT(表格1[[#This Row],[欄4]],表格1[[#This Row],[inv no]])</f>
        <v>S053-2419</v>
      </c>
    </row>
    <row r="4581" spans="1:23" hidden="1">
      <c r="A4581" s="81">
        <v>4579</v>
      </c>
      <c r="B4581" s="86" t="s">
        <v>1417</v>
      </c>
      <c r="C4581" s="86" t="s">
        <v>1507</v>
      </c>
      <c r="D4581" s="89" t="str">
        <f ca="1">OFFSET(Roster!$A$3,MATCH(表格1[[#This Row],[Location]]&amp;" "&amp;表格1[[#This Row],[Shop]]&amp;"*",Roster!$A$4:$A$72,0),DAY(表格1[[#This Row],[date]]),1,1)</f>
        <v>Mui Chan_1</v>
      </c>
      <c r="E4581" s="86">
        <f>MONTH(表格1[[#This Row],[date]])</f>
        <v>3</v>
      </c>
      <c r="F4581" s="90">
        <v>46096</v>
      </c>
      <c r="G4581" s="86" t="str">
        <f>VLOOKUP("*"&amp;表格1[[#This Row],[Input]]&amp;"*",'Ref-List'!$B:$D,2,)</f>
        <v>RC-10AMXH(W)</v>
      </c>
      <c r="H4581" s="86" t="str">
        <f>_xlfn.XLOOKUP(表格1[[#This Row],[Model]],表格3[Model-Input-Ref2],表格3[Product Line])</f>
        <v>酵活炊電飯煲(1.0公升)</v>
      </c>
      <c r="I4581" s="86" t="str">
        <f>_xlfn.XLOOKUP(表格1[[#This Row],[Model]],表格3[Model-Input-Ref2],表格3[大小電])</f>
        <v>細電</v>
      </c>
      <c r="J4581" s="86" t="str">
        <f>_xlfn.XLOOKUP(表格1[[#This Row],[Model]],表格3[Model-Input-Ref2],表格3[Code])</f>
        <v>SDA</v>
      </c>
      <c r="K4581" s="89" t="s">
        <v>1279</v>
      </c>
      <c r="L4581" s="86">
        <v>1</v>
      </c>
      <c r="M4581" s="87">
        <v>990</v>
      </c>
      <c r="N4581" s="87">
        <f>IFERROR(表格1[[#This Row],[QTY]]*表格1[[#This Row],[Unit Price]],"-")</f>
        <v>990</v>
      </c>
      <c r="O4581" s="86" t="s">
        <v>2197</v>
      </c>
      <c r="P4581" s="86" t="s">
        <v>1102</v>
      </c>
      <c r="R4581" s="86" t="str">
        <f>_xlfn.CONCAT(表格1[[#This Row],[Model]]," ",表格1[[#This Row],[inv no]])</f>
        <v>RC-10AMXH(W) S053-2419</v>
      </c>
      <c r="S4581" s="86">
        <f>_xlfn.XLOOKUP(表格1[[#This Row],[Model]],表格3[Model-Input-Ref2],表格3[SRP PRICE])</f>
        <v>1288</v>
      </c>
      <c r="T4581" s="43">
        <f>表格1[[#This Row],[Unit Price]]/表格1[[#This Row],[SRP]]</f>
        <v>0.76863354037267084</v>
      </c>
      <c r="U4581" s="86" t="str">
        <f>_xlfn.XLOOKUP(表格1[[#This Row],[Model]],表格3[Model-Input-Ref2],表格3[TOSHIBA/HIGHEST])</f>
        <v>Toshiba SRP</v>
      </c>
      <c r="W4581" s="86" t="str">
        <f>_xlfn.CONCAT(表格1[[#This Row],[欄4]],表格1[[#This Row],[inv no]])</f>
        <v>S053-2419</v>
      </c>
    </row>
    <row r="4582" spans="1:23" hidden="1">
      <c r="A4582" s="81">
        <v>4580</v>
      </c>
      <c r="B4582" s="86" t="s">
        <v>1417</v>
      </c>
      <c r="C4582" s="86" t="s">
        <v>1507</v>
      </c>
      <c r="D4582" s="89" t="str">
        <f ca="1">OFFSET(Roster!$A$3,MATCH(表格1[[#This Row],[Location]]&amp;" "&amp;表格1[[#This Row],[Shop]]&amp;"*",Roster!$A$4:$A$72,0),DAY(表格1[[#This Row],[date]]),1,1)</f>
        <v>Mui Chan_1</v>
      </c>
      <c r="E4582" s="86">
        <f>MONTH(表格1[[#This Row],[date]])</f>
        <v>3</v>
      </c>
      <c r="F4582" s="90">
        <v>46096</v>
      </c>
      <c r="G4582" s="86" t="str">
        <f>VLOOKUP("*"&amp;表格1[[#This Row],[Input]]&amp;"*",'Ref-List'!$B:$D,2,)</f>
        <v>F-LYA20(W)HKG</v>
      </c>
      <c r="H4582" s="86" t="str">
        <f>_xlfn.XLOOKUP(表格1[[#This Row],[Model]],表格3[Model-Input-Ref2],表格3[Product Line])</f>
        <v>12吋2合1座地座檯電風扇連遙控</v>
      </c>
      <c r="I4582" s="86" t="str">
        <f>_xlfn.XLOOKUP(表格1[[#This Row],[Model]],表格3[Model-Input-Ref2],表格3[大小電])</f>
        <v>細電</v>
      </c>
      <c r="J4582" s="86" t="str">
        <f>_xlfn.XLOOKUP(表格1[[#This Row],[Model]],表格3[Model-Input-Ref2],表格3[Code])</f>
        <v>EAD</v>
      </c>
      <c r="K4582" s="89" t="s">
        <v>1391</v>
      </c>
      <c r="L4582" s="86">
        <v>1</v>
      </c>
      <c r="M4582" s="87">
        <v>398</v>
      </c>
      <c r="N4582" s="87">
        <f>IFERROR(表格1[[#This Row],[QTY]]*表格1[[#This Row],[Unit Price]],"-")</f>
        <v>398</v>
      </c>
      <c r="O4582" s="86" t="s">
        <v>2197</v>
      </c>
      <c r="P4582" s="86" t="s">
        <v>1102</v>
      </c>
      <c r="R4582" s="86" t="str">
        <f>_xlfn.CONCAT(表格1[[#This Row],[Model]]," ",表格1[[#This Row],[inv no]])</f>
        <v>F-LYA20(W)HKG S053-2419</v>
      </c>
      <c r="S4582" s="86">
        <f>_xlfn.XLOOKUP(表格1[[#This Row],[Model]],表格3[Model-Input-Ref2],表格3[SRP PRICE])</f>
        <v>988</v>
      </c>
      <c r="T4582" s="43">
        <f>表格1[[#This Row],[Unit Price]]/表格1[[#This Row],[SRP]]</f>
        <v>0.40283400809716602</v>
      </c>
      <c r="U4582" s="86" t="str">
        <f>_xlfn.XLOOKUP(表格1[[#This Row],[Model]],表格3[Model-Input-Ref2],表格3[TOSHIBA/HIGHEST])</f>
        <v>Toshiba SRP</v>
      </c>
      <c r="W4582" s="86" t="str">
        <f>_xlfn.CONCAT(表格1[[#This Row],[欄4]],表格1[[#This Row],[inv no]])</f>
        <v>S053-2419</v>
      </c>
    </row>
    <row r="4583" spans="1:23" hidden="1">
      <c r="A4583" s="81">
        <v>4581</v>
      </c>
      <c r="B4583" s="86" t="s">
        <v>1417</v>
      </c>
      <c r="C4583" s="86" t="s">
        <v>1507</v>
      </c>
      <c r="D4583" s="89" t="str">
        <f ca="1">OFFSET(Roster!$A$3,MATCH(表格1[[#This Row],[Location]]&amp;" "&amp;表格1[[#This Row],[Shop]]&amp;"*",Roster!$A$4:$A$72,0),DAY(表格1[[#This Row],[date]]),1,1)</f>
        <v>Mui Chan_1</v>
      </c>
      <c r="E4583" s="86">
        <f>MONTH(表格1[[#This Row],[date]])</f>
        <v>3</v>
      </c>
      <c r="F4583" s="90">
        <v>46096</v>
      </c>
      <c r="G4583" s="86" t="str">
        <f>VLOOKUP("*"&amp;表格1[[#This Row],[Input]]&amp;"*",'Ref-List'!$B:$D,2,)</f>
        <v>MX2-STR25SC(WH)</v>
      </c>
      <c r="H4583" s="86" t="str">
        <f>_xlfn.XLOOKUP(表格1[[#This Row],[Model]],表格3[Model-Input-Ref2],表格3[Product Line])</f>
        <v>4合1氣炸微波蒸焗爐(25公升)</v>
      </c>
      <c r="I4583" s="86" t="str">
        <f>_xlfn.XLOOKUP(表格1[[#This Row],[Model]],表格3[Model-Input-Ref2],表格3[大小電])</f>
        <v>細電</v>
      </c>
      <c r="J4583" s="86" t="str">
        <f>_xlfn.XLOOKUP(表格1[[#This Row],[Model]],表格3[Model-Input-Ref2],表格3[Code])</f>
        <v>MCA</v>
      </c>
      <c r="K4583" s="89" t="s">
        <v>1410</v>
      </c>
      <c r="L4583" s="86">
        <v>1</v>
      </c>
      <c r="M4583" s="87">
        <v>3580</v>
      </c>
      <c r="N4583" s="87">
        <f>IFERROR(表格1[[#This Row],[QTY]]*表格1[[#This Row],[Unit Price]],"-")</f>
        <v>3580</v>
      </c>
      <c r="O4583" s="86" t="s">
        <v>2199</v>
      </c>
      <c r="P4583" s="86" t="s">
        <v>1102</v>
      </c>
      <c r="R4583" s="86" t="str">
        <f>_xlfn.CONCAT(表格1[[#This Row],[Model]]," ",表格1[[#This Row],[inv no]])</f>
        <v>MX2-STR25SC(WH) S053-2418</v>
      </c>
      <c r="S4583" s="86">
        <f>_xlfn.XLOOKUP(表格1[[#This Row],[Model]],表格3[Model-Input-Ref2],表格3[SRP PRICE])</f>
        <v>4998</v>
      </c>
      <c r="T4583" s="43">
        <f>表格1[[#This Row],[Unit Price]]/表格1[[#This Row],[SRP]]</f>
        <v>0.71628651460584236</v>
      </c>
      <c r="U4583" s="86" t="str">
        <f>_xlfn.XLOOKUP(表格1[[#This Row],[Model]],表格3[Model-Input-Ref2],表格3[TOSHIBA/HIGHEST])</f>
        <v>Toshiba SRP</v>
      </c>
      <c r="W4583" s="86" t="str">
        <f>_xlfn.CONCAT(表格1[[#This Row],[欄4]],表格1[[#This Row],[inv no]])</f>
        <v>S053-2418</v>
      </c>
    </row>
    <row r="4584" spans="1:23" hidden="1">
      <c r="A4584" s="81">
        <v>4582</v>
      </c>
      <c r="B4584" s="86" t="s">
        <v>1417</v>
      </c>
      <c r="C4584" s="86" t="s">
        <v>1507</v>
      </c>
      <c r="D4584" s="89" t="str">
        <f ca="1">OFFSET(Roster!$A$3,MATCH(表格1[[#This Row],[Location]]&amp;" "&amp;表格1[[#This Row],[Shop]]&amp;"*",Roster!$A$4:$A$72,0),DAY(表格1[[#This Row],[date]]),1,1)</f>
        <v>Mui Chan_1</v>
      </c>
      <c r="E4584" s="86">
        <f>MONTH(表格1[[#This Row],[date]])</f>
        <v>3</v>
      </c>
      <c r="F4584" s="90">
        <v>46096</v>
      </c>
      <c r="G4584" s="86" t="str">
        <f>VLOOKUP("*"&amp;表格1[[#This Row],[Input]]&amp;"*",'Ref-List'!$B:$D,2,)</f>
        <v>RC-10AMXH(W)</v>
      </c>
      <c r="H4584" s="86" t="str">
        <f>_xlfn.XLOOKUP(表格1[[#This Row],[Model]],表格3[Model-Input-Ref2],表格3[Product Line])</f>
        <v>酵活炊電飯煲(1.0公升)</v>
      </c>
      <c r="I4584" s="86" t="str">
        <f>_xlfn.XLOOKUP(表格1[[#This Row],[Model]],表格3[Model-Input-Ref2],表格3[大小電])</f>
        <v>細電</v>
      </c>
      <c r="J4584" s="86" t="str">
        <f>_xlfn.XLOOKUP(表格1[[#This Row],[Model]],表格3[Model-Input-Ref2],表格3[Code])</f>
        <v>SDA</v>
      </c>
      <c r="K4584" s="89" t="s">
        <v>1279</v>
      </c>
      <c r="L4584" s="86">
        <v>1</v>
      </c>
      <c r="M4584" s="87">
        <v>1000</v>
      </c>
      <c r="N4584" s="87">
        <f>IFERROR(表格1[[#This Row],[QTY]]*表格1[[#This Row],[Unit Price]],"-")</f>
        <v>1000</v>
      </c>
      <c r="O4584" s="86" t="s">
        <v>2201</v>
      </c>
      <c r="P4584" s="86" t="s">
        <v>1103</v>
      </c>
      <c r="R4584" s="86" t="str">
        <f>_xlfn.CONCAT(表格1[[#This Row],[Model]]," ",表格1[[#This Row],[inv no]])</f>
        <v>RC-10AMXH(W) S053-2420</v>
      </c>
      <c r="S4584" s="86">
        <f>_xlfn.XLOOKUP(表格1[[#This Row],[Model]],表格3[Model-Input-Ref2],表格3[SRP PRICE])</f>
        <v>1288</v>
      </c>
      <c r="T4584" s="43">
        <f>表格1[[#This Row],[Unit Price]]/表格1[[#This Row],[SRP]]</f>
        <v>0.77639751552795033</v>
      </c>
      <c r="U4584" s="86" t="str">
        <f>_xlfn.XLOOKUP(表格1[[#This Row],[Model]],表格3[Model-Input-Ref2],表格3[TOSHIBA/HIGHEST])</f>
        <v>Toshiba SRP</v>
      </c>
      <c r="W4584" s="86" t="str">
        <f>_xlfn.CONCAT(表格1[[#This Row],[欄4]],表格1[[#This Row],[inv no]])</f>
        <v>S053-2420</v>
      </c>
    </row>
    <row r="4585" spans="1:23" hidden="1">
      <c r="A4585" s="81">
        <v>4583</v>
      </c>
      <c r="B4585" s="86" t="s">
        <v>1417</v>
      </c>
      <c r="C4585" s="86" t="s">
        <v>1507</v>
      </c>
      <c r="D4585" s="89" t="str">
        <f ca="1">OFFSET(Roster!$A$3,MATCH(表格1[[#This Row],[Location]]&amp;" "&amp;表格1[[#This Row],[Shop]]&amp;"*",Roster!$A$4:$A$72,0),DAY(表格1[[#This Row],[date]]),1,1)</f>
        <v>Mui Chan_1</v>
      </c>
      <c r="E4585" s="86">
        <f>MONTH(表格1[[#This Row],[date]])</f>
        <v>3</v>
      </c>
      <c r="F4585" s="90">
        <v>46096</v>
      </c>
      <c r="G4585" s="86" t="str">
        <f>VLOOKUP("*"&amp;表格1[[#This Row],[Input]]&amp;"*",'Ref-List'!$B:$D,2,)</f>
        <v>TWD-T22BU95UWH(WK)-B</v>
      </c>
      <c r="H4585" s="86" t="str">
        <f>_xlfn.XLOOKUP(表格1[[#This Row],[Model]],表格3[Model-Input-Ref2],表格3[Product Line])</f>
        <v>470MM超薄身前置式變頻洗衣乾衣機 (洗8.5公斤/乾6公斤, 可飛頂)</v>
      </c>
      <c r="I4585" s="86" t="str">
        <f>_xlfn.XLOOKUP(表格1[[#This Row],[Model]],表格3[Model-Input-Ref2],表格3[大小電])</f>
        <v>大電</v>
      </c>
      <c r="J4585" s="86" t="str">
        <f>_xlfn.XLOOKUP(表格1[[#This Row],[Model]],表格3[Model-Input-Ref2],表格3[Code])</f>
        <v>LAD</v>
      </c>
      <c r="K4585" s="89" t="s">
        <v>1421</v>
      </c>
      <c r="L4585" s="86">
        <v>1</v>
      </c>
      <c r="M4585" s="87">
        <v>3680</v>
      </c>
      <c r="N4585" s="87">
        <f>IFERROR(表格1[[#This Row],[QTY]]*表格1[[#This Row],[Unit Price]],"-")</f>
        <v>3680</v>
      </c>
      <c r="O4585" s="86" t="s">
        <v>2203</v>
      </c>
      <c r="P4585" s="86" t="s">
        <v>1102</v>
      </c>
      <c r="R4585" s="86" t="str">
        <f>_xlfn.CONCAT(表格1[[#This Row],[Model]]," ",表格1[[#This Row],[inv no]])</f>
        <v>TWD-T22BU95UWH(WK)-B S053-2421</v>
      </c>
      <c r="S4585" s="86">
        <f>_xlfn.XLOOKUP(表格1[[#This Row],[Model]],表格3[Model-Input-Ref2],表格3[SRP PRICE])</f>
        <v>7480</v>
      </c>
      <c r="T4585" s="43">
        <f>表格1[[#This Row],[Unit Price]]/表格1[[#This Row],[SRP]]</f>
        <v>0.49197860962566847</v>
      </c>
      <c r="U4585" s="86" t="str">
        <f>_xlfn.XLOOKUP(表格1[[#This Row],[Model]],表格3[Model-Input-Ref2],表格3[TOSHIBA/HIGHEST])</f>
        <v>Toshiba SRP</v>
      </c>
      <c r="W4585" s="86" t="str">
        <f>_xlfn.CONCAT(表格1[[#This Row],[欄4]],表格1[[#This Row],[inv no]])</f>
        <v>S053-2421</v>
      </c>
    </row>
    <row r="4586" spans="1:23" hidden="1">
      <c r="A4586" s="81">
        <v>4584</v>
      </c>
      <c r="B4586" s="86" t="s">
        <v>1417</v>
      </c>
      <c r="C4586" s="86" t="s">
        <v>1507</v>
      </c>
      <c r="D4586" s="89" t="str">
        <f ca="1">OFFSET(Roster!$A$3,MATCH(表格1[[#This Row],[Location]]&amp;" "&amp;表格1[[#This Row],[Shop]]&amp;"*",Roster!$A$4:$A$72,0),DAY(表格1[[#This Row],[date]]),1,1)</f>
        <v>Mui Chan_1</v>
      </c>
      <c r="E4586" s="86">
        <f>MONTH(表格1[[#This Row],[date]])</f>
        <v>3</v>
      </c>
      <c r="F4586" s="90">
        <v>46096</v>
      </c>
      <c r="G4586" s="86" t="str">
        <f>VLOOKUP("*"&amp;表格1[[#This Row],[Input]]&amp;"*",'Ref-List'!$B:$D,2,)</f>
        <v>GR-RT300WE-PMA(57)</v>
      </c>
      <c r="H4586" s="86" t="str">
        <f>_xlfn.XLOOKUP(表格1[[#This Row],[Model]],表格3[Model-Input-Ref2],表格3[Product Line])</f>
        <v>變頻式環保雙門雪櫃(233L)</v>
      </c>
      <c r="I4586" s="86" t="str">
        <f>_xlfn.XLOOKUP(表格1[[#This Row],[Model]],表格3[Model-Input-Ref2],表格3[大小電])</f>
        <v>大電</v>
      </c>
      <c r="J4586" s="86" t="str">
        <f>_xlfn.XLOOKUP(表格1[[#This Row],[Model]],表格3[Model-Input-Ref2],表格3[Code])</f>
        <v>REF</v>
      </c>
      <c r="K4586" s="89" t="s">
        <v>1462</v>
      </c>
      <c r="L4586" s="86">
        <v>1</v>
      </c>
      <c r="M4586" s="87">
        <v>2780</v>
      </c>
      <c r="N4586" s="87">
        <f>IFERROR(表格1[[#This Row],[QTY]]*表格1[[#This Row],[Unit Price]],"-")</f>
        <v>2780</v>
      </c>
      <c r="O4586" s="86" t="s">
        <v>2203</v>
      </c>
      <c r="P4586" s="86" t="s">
        <v>1102</v>
      </c>
      <c r="R4586" s="86" t="str">
        <f>_xlfn.CONCAT(表格1[[#This Row],[Model]]," ",表格1[[#This Row],[inv no]])</f>
        <v>GR-RT300WE-PMA(57) S053-2421</v>
      </c>
      <c r="S4586" s="86">
        <f>_xlfn.XLOOKUP(表格1[[#This Row],[Model]],表格3[Model-Input-Ref2],表格3[SRP PRICE])</f>
        <v>4280</v>
      </c>
      <c r="T4586" s="43">
        <f>表格1[[#This Row],[Unit Price]]/表格1[[#This Row],[SRP]]</f>
        <v>0.64953271028037385</v>
      </c>
      <c r="U4586" s="86" t="str">
        <f>_xlfn.XLOOKUP(表格1[[#This Row],[Model]],表格3[Model-Input-Ref2],表格3[TOSHIBA/HIGHEST])</f>
        <v>Toshiba SRP</v>
      </c>
      <c r="W4586" s="86" t="str">
        <f>_xlfn.CONCAT(表格1[[#This Row],[欄4]],表格1[[#This Row],[inv no]])</f>
        <v>S053-2421</v>
      </c>
    </row>
    <row r="4587" spans="1:23" hidden="1">
      <c r="A4587" s="81">
        <v>4585</v>
      </c>
      <c r="B4587" s="86" t="s">
        <v>1417</v>
      </c>
      <c r="C4587" s="86" t="s">
        <v>1507</v>
      </c>
      <c r="D4587" s="89" t="str">
        <f ca="1">OFFSET(Roster!$A$3,MATCH(表格1[[#This Row],[Location]]&amp;" "&amp;表格1[[#This Row],[Shop]]&amp;"*",Roster!$A$4:$A$72,0),DAY(表格1[[#This Row],[date]]),1,1)</f>
        <v>Mui Chan_1</v>
      </c>
      <c r="E4587" s="86">
        <f>MONTH(表格1[[#This Row],[date]])</f>
        <v>3</v>
      </c>
      <c r="F4587" s="90">
        <v>46096</v>
      </c>
      <c r="G4587" s="86" t="str">
        <f>VLOOKUP("*"&amp;表格1[[#This Row],[Input]]&amp;"*",'Ref-List'!$B:$D,2,)</f>
        <v>MM2-EM20PC(WH)</v>
      </c>
      <c r="H4587" s="86" t="str">
        <f>_xlfn.XLOOKUP(表格1[[#This Row],[Model]],表格3[Model-Input-Ref2],表格3[Product Line])</f>
        <v>輕觸式微波爐 (20公升)</v>
      </c>
      <c r="I4587" s="86" t="str">
        <f>_xlfn.XLOOKUP(表格1[[#This Row],[Model]],表格3[Model-Input-Ref2],表格3[大小電])</f>
        <v>細電</v>
      </c>
      <c r="J4587" s="86" t="str">
        <f>_xlfn.XLOOKUP(表格1[[#This Row],[Model]],表格3[Model-Input-Ref2],表格3[Code])</f>
        <v>MCA</v>
      </c>
      <c r="K4587" s="89" t="s">
        <v>1276</v>
      </c>
      <c r="L4587" s="86">
        <v>1</v>
      </c>
      <c r="M4587" s="87">
        <v>598</v>
      </c>
      <c r="N4587" s="87">
        <f>IFERROR(表格1[[#This Row],[QTY]]*表格1[[#This Row],[Unit Price]],"-")</f>
        <v>598</v>
      </c>
      <c r="O4587" s="86" t="s">
        <v>2203</v>
      </c>
      <c r="P4587" s="86" t="s">
        <v>1102</v>
      </c>
      <c r="R4587" s="86" t="str">
        <f>_xlfn.CONCAT(表格1[[#This Row],[Model]]," ",表格1[[#This Row],[inv no]])</f>
        <v>MM2-EM20PC(WH) S053-2421</v>
      </c>
      <c r="S4587" s="86">
        <f>_xlfn.XLOOKUP(表格1[[#This Row],[Model]],表格3[Model-Input-Ref2],表格3[SRP PRICE])</f>
        <v>788</v>
      </c>
      <c r="T4587" s="43">
        <f>表格1[[#This Row],[Unit Price]]/表格1[[#This Row],[SRP]]</f>
        <v>0.75888324873096447</v>
      </c>
      <c r="U4587" s="86" t="str">
        <f>_xlfn.XLOOKUP(表格1[[#This Row],[Model]],表格3[Model-Input-Ref2],表格3[TOSHIBA/HIGHEST])</f>
        <v>Toshiba SRP</v>
      </c>
      <c r="W4587" s="86" t="str">
        <f>_xlfn.CONCAT(表格1[[#This Row],[欄4]],表格1[[#This Row],[inv no]])</f>
        <v>S053-2421</v>
      </c>
    </row>
    <row r="4588" spans="1:23" hidden="1">
      <c r="A4588" s="81">
        <v>4586</v>
      </c>
      <c r="B4588" s="86" t="s">
        <v>1417</v>
      </c>
      <c r="C4588" s="86" t="s">
        <v>1507</v>
      </c>
      <c r="D4588" s="89" t="str">
        <f ca="1">OFFSET(Roster!$A$3,MATCH(表格1[[#This Row],[Location]]&amp;" "&amp;表格1[[#This Row],[Shop]]&amp;"*",Roster!$A$4:$A$72,0),DAY(表格1[[#This Row],[date]]),1,1)</f>
        <v>Mui Chan_1</v>
      </c>
      <c r="E4588" s="86">
        <f>MONTH(表格1[[#This Row],[date]])</f>
        <v>3</v>
      </c>
      <c r="F4588" s="90">
        <v>46096</v>
      </c>
      <c r="G4588" s="86" t="str">
        <f>VLOOKUP("*"&amp;表格1[[#This Row],[Input]]&amp;"*",'Ref-List'!$B:$D,2,)</f>
        <v>RC-DR10T(W)</v>
      </c>
      <c r="H4588" s="86" t="str">
        <f>_xlfn.XLOOKUP(表格1[[#This Row],[Model]],表格3[Model-Input-Ref2],表格3[Product Line])</f>
        <v>IH磁應電飯煲</v>
      </c>
      <c r="I4588" s="86" t="str">
        <f>_xlfn.XLOOKUP(表格1[[#This Row],[Model]],表格3[Model-Input-Ref2],表格3[大小電])</f>
        <v>細電</v>
      </c>
      <c r="J4588" s="86" t="str">
        <f>_xlfn.XLOOKUP(表格1[[#This Row],[Model]],表格3[Model-Input-Ref2],表格3[Code])</f>
        <v>SDA</v>
      </c>
      <c r="K4588" s="89" t="s">
        <v>1294</v>
      </c>
      <c r="L4588" s="86">
        <v>1</v>
      </c>
      <c r="M4588" s="87">
        <v>2380</v>
      </c>
      <c r="N4588" s="87">
        <f>IFERROR(表格1[[#This Row],[QTY]]*表格1[[#This Row],[Unit Price]],"-")</f>
        <v>2380</v>
      </c>
      <c r="O4588" s="86" t="s">
        <v>2205</v>
      </c>
      <c r="P4588" s="86" t="s">
        <v>1103</v>
      </c>
      <c r="R4588" s="86" t="str">
        <f>_xlfn.CONCAT(表格1[[#This Row],[Model]]," ",表格1[[#This Row],[inv no]])</f>
        <v>RC-DR10T(W) S053-2422</v>
      </c>
      <c r="S4588" s="86">
        <f>_xlfn.XLOOKUP(表格1[[#This Row],[Model]],表格3[Model-Input-Ref2],表格3[SRP PRICE])</f>
        <v>3188</v>
      </c>
      <c r="T4588" s="43">
        <f>表格1[[#This Row],[Unit Price]]/表格1[[#This Row],[SRP]]</f>
        <v>0.74654956085319946</v>
      </c>
      <c r="U4588" s="86" t="str">
        <f>_xlfn.XLOOKUP(表格1[[#This Row],[Model]],表格3[Model-Input-Ref2],表格3[TOSHIBA/HIGHEST])</f>
        <v>Toshiba SRP</v>
      </c>
      <c r="W4588" s="86" t="str">
        <f>_xlfn.CONCAT(表格1[[#This Row],[欄4]],表格1[[#This Row],[inv no]])</f>
        <v>S053-2422</v>
      </c>
    </row>
    <row r="4589" spans="1:23" hidden="1">
      <c r="A4589" s="81">
        <v>4587</v>
      </c>
      <c r="B4589" s="86" t="s">
        <v>1417</v>
      </c>
      <c r="C4589" s="86" t="s">
        <v>1507</v>
      </c>
      <c r="D4589" s="89" t="str">
        <f ca="1">OFFSET(Roster!$A$3,MATCH(表格1[[#This Row],[Location]]&amp;" "&amp;表格1[[#This Row],[Shop]]&amp;"*",Roster!$A$4:$A$72,0),DAY(表格1[[#This Row],[date]]),1,1)</f>
        <v>Mui Chan_1</v>
      </c>
      <c r="E4589" s="86">
        <f>MONTH(表格1[[#This Row],[date]])</f>
        <v>3</v>
      </c>
      <c r="F4589" s="90">
        <v>46096</v>
      </c>
      <c r="G4589" s="86" t="str">
        <f>VLOOKUP("*"&amp;表格1[[#This Row],[Input]]&amp;"*",'Ref-List'!$B:$D,2,)</f>
        <v>RAD-D300H</v>
      </c>
      <c r="H4589" s="86" t="str">
        <f>_xlfn.XLOOKUP(表格1[[#This Row],[Model]],表格3[Model-Input-Ref2],表格3[Product Line])</f>
        <v>壓縮式抽濕機 (30公升)</v>
      </c>
      <c r="I4589" s="86" t="str">
        <f>_xlfn.XLOOKUP(表格1[[#This Row],[Model]],表格3[Model-Input-Ref2],表格3[大小電])</f>
        <v>細電</v>
      </c>
      <c r="J4589" s="86" t="str">
        <f>_xlfn.XLOOKUP(表格1[[#This Row],[Model]],表格3[Model-Input-Ref2],表格3[Code])</f>
        <v>RAC</v>
      </c>
      <c r="K4589" s="89" t="s">
        <v>1252</v>
      </c>
      <c r="L4589" s="86">
        <v>1</v>
      </c>
      <c r="M4589" s="87">
        <v>2280</v>
      </c>
      <c r="N4589" s="87">
        <f>IFERROR(表格1[[#This Row],[QTY]]*表格1[[#This Row],[Unit Price]],"-")</f>
        <v>2280</v>
      </c>
      <c r="O4589" s="86" t="s">
        <v>2207</v>
      </c>
      <c r="P4589" s="86" t="s">
        <v>1102</v>
      </c>
      <c r="R4589" s="86" t="str">
        <f>_xlfn.CONCAT(表格1[[#This Row],[Model]]," ",表格1[[#This Row],[inv no]])</f>
        <v>RAD-D300H S053-2433</v>
      </c>
      <c r="S4589" s="86">
        <f>_xlfn.XLOOKUP(表格1[[#This Row],[Model]],表格3[Model-Input-Ref2],表格3[SRP PRICE])</f>
        <v>3380</v>
      </c>
      <c r="T4589" s="43">
        <f>表格1[[#This Row],[Unit Price]]/表格1[[#This Row],[SRP]]</f>
        <v>0.67455621301775148</v>
      </c>
      <c r="U4589" s="86" t="str">
        <f>_xlfn.XLOOKUP(表格1[[#This Row],[Model]],表格3[Model-Input-Ref2],表格3[TOSHIBA/HIGHEST])</f>
        <v>Shops Highest Price</v>
      </c>
      <c r="W4589" s="86" t="str">
        <f>_xlfn.CONCAT(表格1[[#This Row],[欄4]],表格1[[#This Row],[inv no]])</f>
        <v>S053-2433</v>
      </c>
    </row>
    <row r="4590" spans="1:23" hidden="1">
      <c r="A4590" s="81">
        <v>4588</v>
      </c>
      <c r="B4590" s="86" t="s">
        <v>1417</v>
      </c>
      <c r="C4590" s="86" t="s">
        <v>1507</v>
      </c>
      <c r="D4590" s="89" t="str">
        <f ca="1">OFFSET(Roster!$A$3,MATCH(表格1[[#This Row],[Location]]&amp;" "&amp;表格1[[#This Row],[Shop]]&amp;"*",Roster!$A$4:$A$72,0),DAY(表格1[[#This Row],[date]]),1,1)</f>
        <v>Mui Chan_1</v>
      </c>
      <c r="E4590" s="86">
        <f>MONTH(表格1[[#This Row],[date]])</f>
        <v>3</v>
      </c>
      <c r="F4590" s="90">
        <v>46096</v>
      </c>
      <c r="G4590" s="86" t="str">
        <f>VLOOKUP("*"&amp;表格1[[#This Row],[Input]]&amp;"*",'Ref-List'!$B:$D,2,)</f>
        <v>RC-DR10T(W)</v>
      </c>
      <c r="H4590" s="86" t="str">
        <f>_xlfn.XLOOKUP(表格1[[#This Row],[Model]],表格3[Model-Input-Ref2],表格3[Product Line])</f>
        <v>IH磁應電飯煲</v>
      </c>
      <c r="I4590" s="86" t="str">
        <f>_xlfn.XLOOKUP(表格1[[#This Row],[Model]],表格3[Model-Input-Ref2],表格3[大小電])</f>
        <v>細電</v>
      </c>
      <c r="J4590" s="86" t="str">
        <f>_xlfn.XLOOKUP(表格1[[#This Row],[Model]],表格3[Model-Input-Ref2],表格3[Code])</f>
        <v>SDA</v>
      </c>
      <c r="K4590" s="89" t="s">
        <v>1294</v>
      </c>
      <c r="L4590" s="86">
        <v>1</v>
      </c>
      <c r="M4590" s="87">
        <v>2380</v>
      </c>
      <c r="N4590" s="87">
        <f>IFERROR(表格1[[#This Row],[QTY]]*表格1[[#This Row],[Unit Price]],"-")</f>
        <v>2380</v>
      </c>
      <c r="O4590" s="86" t="s">
        <v>2209</v>
      </c>
      <c r="P4590" s="86" t="s">
        <v>1103</v>
      </c>
      <c r="R4590" s="86" t="str">
        <f>_xlfn.CONCAT(表格1[[#This Row],[Model]]," ",表格1[[#This Row],[inv no]])</f>
        <v>RC-DR10T(W) S053-2435</v>
      </c>
      <c r="S4590" s="86">
        <f>_xlfn.XLOOKUP(表格1[[#This Row],[Model]],表格3[Model-Input-Ref2],表格3[SRP PRICE])</f>
        <v>3188</v>
      </c>
      <c r="T4590" s="43">
        <f>表格1[[#This Row],[Unit Price]]/表格1[[#This Row],[SRP]]</f>
        <v>0.74654956085319946</v>
      </c>
      <c r="U4590" s="86" t="str">
        <f>_xlfn.XLOOKUP(表格1[[#This Row],[Model]],表格3[Model-Input-Ref2],表格3[TOSHIBA/HIGHEST])</f>
        <v>Toshiba SRP</v>
      </c>
      <c r="W4590" s="86" t="str">
        <f>_xlfn.CONCAT(表格1[[#This Row],[欄4]],表格1[[#This Row],[inv no]])</f>
        <v>S053-2435</v>
      </c>
    </row>
    <row r="4591" spans="1:23" hidden="1">
      <c r="A4591" s="81">
        <v>4589</v>
      </c>
      <c r="B4591" s="86" t="s">
        <v>1417</v>
      </c>
      <c r="C4591" s="86" t="s">
        <v>1507</v>
      </c>
      <c r="D4591" s="89" t="str">
        <f ca="1">OFFSET(Roster!$A$3,MATCH(表格1[[#This Row],[Location]]&amp;" "&amp;表格1[[#This Row],[Shop]]&amp;"*",Roster!$A$4:$A$72,0),DAY(表格1[[#This Row],[date]]),1,1)</f>
        <v>Mui Chan_1</v>
      </c>
      <c r="E4591" s="86">
        <f>MONTH(表格1[[#This Row],[date]])</f>
        <v>3</v>
      </c>
      <c r="F4591" s="90">
        <v>46096</v>
      </c>
      <c r="G4591" s="86" t="str">
        <f>VLOOKUP("*"&amp;表格1[[#This Row],[Input]]&amp;"*",'Ref-List'!$B:$D,2,)</f>
        <v>RC-10AMXH(W)</v>
      </c>
      <c r="H4591" s="86" t="str">
        <f>_xlfn.XLOOKUP(表格1[[#This Row],[Model]],表格3[Model-Input-Ref2],表格3[Product Line])</f>
        <v>酵活炊電飯煲(1.0公升)</v>
      </c>
      <c r="I4591" s="86" t="str">
        <f>_xlfn.XLOOKUP(表格1[[#This Row],[Model]],表格3[Model-Input-Ref2],表格3[大小電])</f>
        <v>細電</v>
      </c>
      <c r="J4591" s="86" t="str">
        <f>_xlfn.XLOOKUP(表格1[[#This Row],[Model]],表格3[Model-Input-Ref2],表格3[Code])</f>
        <v>SDA</v>
      </c>
      <c r="K4591" s="89" t="s">
        <v>1279</v>
      </c>
      <c r="L4591" s="86">
        <v>1</v>
      </c>
      <c r="M4591" s="87">
        <v>1000</v>
      </c>
      <c r="N4591" s="87">
        <f>IFERROR(表格1[[#This Row],[QTY]]*表格1[[#This Row],[Unit Price]],"-")</f>
        <v>1000</v>
      </c>
      <c r="O4591" s="86" t="s">
        <v>2211</v>
      </c>
      <c r="P4591" s="86" t="s">
        <v>1103</v>
      </c>
      <c r="R4591" s="86" t="str">
        <f>_xlfn.CONCAT(表格1[[#This Row],[Model]]," ",表格1[[#This Row],[inv no]])</f>
        <v>RC-10AMXH(W) S056-25393</v>
      </c>
      <c r="S4591" s="86">
        <f>_xlfn.XLOOKUP(表格1[[#This Row],[Model]],表格3[Model-Input-Ref2],表格3[SRP PRICE])</f>
        <v>1288</v>
      </c>
      <c r="T4591" s="43">
        <f>表格1[[#This Row],[Unit Price]]/表格1[[#This Row],[SRP]]</f>
        <v>0.77639751552795033</v>
      </c>
      <c r="U4591" s="86" t="str">
        <f>_xlfn.XLOOKUP(表格1[[#This Row],[Model]],表格3[Model-Input-Ref2],表格3[TOSHIBA/HIGHEST])</f>
        <v>Toshiba SRP</v>
      </c>
      <c r="W4591" s="86" t="str">
        <f>_xlfn.CONCAT(表格1[[#This Row],[欄4]],表格1[[#This Row],[inv no]])</f>
        <v>S056-25393</v>
      </c>
    </row>
    <row r="4592" spans="1:23" hidden="1">
      <c r="A4592" s="81">
        <v>4590</v>
      </c>
      <c r="B4592" s="86" t="s">
        <v>1417</v>
      </c>
      <c r="C4592" s="86" t="s">
        <v>1507</v>
      </c>
      <c r="D4592" s="89" t="str">
        <f ca="1">OFFSET(Roster!$A$3,MATCH(表格1[[#This Row],[Location]]&amp;" "&amp;表格1[[#This Row],[Shop]]&amp;"*",Roster!$A$4:$A$72,0),DAY(表格1[[#This Row],[date]]),1,1)</f>
        <v>Mui Chan_1</v>
      </c>
      <c r="E4592" s="86">
        <f>MONTH(表格1[[#This Row],[date]])</f>
        <v>3</v>
      </c>
      <c r="F4592" s="90">
        <v>46096</v>
      </c>
      <c r="G4592" s="86" t="str">
        <f>VLOOKUP("*"&amp;表格1[[#This Row],[Input]]&amp;"*",'Ref-List'!$B:$D,2,)</f>
        <v>RC-18AMXH(W)</v>
      </c>
      <c r="H4592" s="86" t="str">
        <f>_xlfn.XLOOKUP(表格1[[#This Row],[Model]],表格3[Model-Input-Ref2],表格3[Product Line])</f>
        <v>酵活炊電飯煲(1.8公升)</v>
      </c>
      <c r="I4592" s="86" t="str">
        <f>_xlfn.XLOOKUP(表格1[[#This Row],[Model]],表格3[Model-Input-Ref2],表格3[大小電])</f>
        <v>細電</v>
      </c>
      <c r="J4592" s="86" t="str">
        <f>_xlfn.XLOOKUP(表格1[[#This Row],[Model]],表格3[Model-Input-Ref2],表格3[Code])</f>
        <v>SDA</v>
      </c>
      <c r="K4592" s="89" t="s">
        <v>1362</v>
      </c>
      <c r="L4592" s="86">
        <v>1</v>
      </c>
      <c r="M4592" s="87">
        <v>1000</v>
      </c>
      <c r="N4592" s="87">
        <f>IFERROR(表格1[[#This Row],[QTY]]*表格1[[#This Row],[Unit Price]],"-")</f>
        <v>1000</v>
      </c>
      <c r="O4592" s="86" t="s">
        <v>2213</v>
      </c>
      <c r="P4592" s="86" t="s">
        <v>1102</v>
      </c>
      <c r="R4592" s="86" t="str">
        <f>_xlfn.CONCAT(表格1[[#This Row],[Model]]," ",表格1[[#This Row],[inv no]])</f>
        <v>RC-18AMXH(W) S056-2441</v>
      </c>
      <c r="S4592" s="86">
        <f>_xlfn.XLOOKUP(表格1[[#This Row],[Model]],表格3[Model-Input-Ref2],表格3[SRP PRICE])</f>
        <v>1588</v>
      </c>
      <c r="T4592" s="43">
        <f>表格1[[#This Row],[Unit Price]]/表格1[[#This Row],[SRP]]</f>
        <v>0.62972292191435764</v>
      </c>
      <c r="U4592" s="86" t="str">
        <f>_xlfn.XLOOKUP(表格1[[#This Row],[Model]],表格3[Model-Input-Ref2],表格3[TOSHIBA/HIGHEST])</f>
        <v>Toshiba SRP</v>
      </c>
      <c r="W4592" s="86" t="str">
        <f>_xlfn.CONCAT(表格1[[#This Row],[欄4]],表格1[[#This Row],[inv no]])</f>
        <v>S056-2441</v>
      </c>
    </row>
    <row r="4593" spans="1:23" hidden="1">
      <c r="A4593" s="81">
        <v>4591</v>
      </c>
      <c r="B4593" s="86" t="s">
        <v>1417</v>
      </c>
      <c r="C4593" s="86" t="s">
        <v>1507</v>
      </c>
      <c r="D4593" s="89" t="str">
        <f ca="1">OFFSET(Roster!$A$3,MATCH(表格1[[#This Row],[Location]]&amp;" "&amp;表格1[[#This Row],[Shop]]&amp;"*",Roster!$A$4:$A$72,0),DAY(表格1[[#This Row],[date]]),1,1)</f>
        <v>Mui Chan_1</v>
      </c>
      <c r="E4593" s="86">
        <f>MONTH(表格1[[#This Row],[date]])</f>
        <v>3</v>
      </c>
      <c r="F4593" s="90">
        <v>46096</v>
      </c>
      <c r="G4593" s="86" t="str">
        <f>VLOOKUP("*"&amp;表格1[[#This Row],[Input]]&amp;"*",'Ref-List'!$B:$D,2,)</f>
        <v>IC-R19RH</v>
      </c>
      <c r="H4593" s="86" t="str">
        <f>_xlfn.XLOOKUP(表格1[[#This Row],[Model]],表格3[Model-Input-Ref2],表格3[Product Line])</f>
        <v>輕便式電磁爐5個功能</v>
      </c>
      <c r="I4593" s="86" t="str">
        <f>_xlfn.XLOOKUP(表格1[[#This Row],[Model]],表格3[Model-Input-Ref2],表格3[大小電])</f>
        <v>細電</v>
      </c>
      <c r="J4593" s="86" t="str">
        <f>_xlfn.XLOOKUP(表格1[[#This Row],[Model]],表格3[Model-Input-Ref2],表格3[Code])</f>
        <v>SDA</v>
      </c>
      <c r="K4593" s="89" t="s">
        <v>2175</v>
      </c>
      <c r="L4593" s="86">
        <v>1</v>
      </c>
      <c r="M4593" s="87">
        <v>450</v>
      </c>
      <c r="N4593" s="87">
        <f>IFERROR(表格1[[#This Row],[QTY]]*表格1[[#This Row],[Unit Price]],"-")</f>
        <v>450</v>
      </c>
      <c r="O4593" s="86" t="s">
        <v>2215</v>
      </c>
      <c r="P4593" s="86" t="s">
        <v>1103</v>
      </c>
      <c r="R4593" s="86" t="str">
        <f>_xlfn.CONCAT(表格1[[#This Row],[Model]]," ",表格1[[#This Row],[inv no]])</f>
        <v>IC-R19RH S056-2445</v>
      </c>
      <c r="S4593" s="86">
        <f>_xlfn.XLOOKUP(表格1[[#This Row],[Model]],表格3[Model-Input-Ref2],表格3[SRP PRICE])</f>
        <v>598</v>
      </c>
      <c r="T4593" s="43">
        <f>表格1[[#This Row],[Unit Price]]/表格1[[#This Row],[SRP]]</f>
        <v>0.75250836120401343</v>
      </c>
      <c r="U4593" s="86" t="str">
        <f>_xlfn.XLOOKUP(表格1[[#This Row],[Model]],表格3[Model-Input-Ref2],表格3[TOSHIBA/HIGHEST])</f>
        <v>Toshiba SRP</v>
      </c>
      <c r="W4593" s="86" t="str">
        <f>_xlfn.CONCAT(表格1[[#This Row],[欄4]],表格1[[#This Row],[inv no]])</f>
        <v>S056-2445</v>
      </c>
    </row>
    <row r="4594" spans="1:23" hidden="1">
      <c r="A4594" s="81">
        <v>4592</v>
      </c>
      <c r="B4594" s="86" t="s">
        <v>1417</v>
      </c>
      <c r="C4594" s="86" t="s">
        <v>1507</v>
      </c>
      <c r="D4594" s="89" t="str">
        <f ca="1">OFFSET(Roster!$A$3,MATCH(表格1[[#This Row],[Location]]&amp;" "&amp;表格1[[#This Row],[Shop]]&amp;"*",Roster!$A$4:$A$72,0),DAY(表格1[[#This Row],[date]]),1,1)</f>
        <v>Mui Chan_1</v>
      </c>
      <c r="E4594" s="86">
        <f>MONTH(表格1[[#This Row],[date]])</f>
        <v>3</v>
      </c>
      <c r="F4594" s="90">
        <v>46096</v>
      </c>
      <c r="G4594" s="86" t="str">
        <f>VLOOKUP("*"&amp;表格1[[#This Row],[Input]]&amp;"*",'Ref-List'!$B:$D,2,)</f>
        <v>RC-18AMXH(W)</v>
      </c>
      <c r="H4594" s="86" t="str">
        <f>_xlfn.XLOOKUP(表格1[[#This Row],[Model]],表格3[Model-Input-Ref2],表格3[Product Line])</f>
        <v>酵活炊電飯煲(1.8公升)</v>
      </c>
      <c r="I4594" s="86" t="str">
        <f>_xlfn.XLOOKUP(表格1[[#This Row],[Model]],表格3[Model-Input-Ref2],表格3[大小電])</f>
        <v>細電</v>
      </c>
      <c r="J4594" s="86" t="str">
        <f>_xlfn.XLOOKUP(表格1[[#This Row],[Model]],表格3[Model-Input-Ref2],表格3[Code])</f>
        <v>SDA</v>
      </c>
      <c r="K4594" s="89" t="s">
        <v>1362</v>
      </c>
      <c r="L4594" s="86">
        <v>1</v>
      </c>
      <c r="M4594" s="87">
        <v>1000</v>
      </c>
      <c r="N4594" s="87">
        <f>IFERROR(表格1[[#This Row],[QTY]]*表格1[[#This Row],[Unit Price]],"-")</f>
        <v>1000</v>
      </c>
      <c r="O4594" s="86" t="s">
        <v>2217</v>
      </c>
      <c r="P4594" s="86" t="s">
        <v>1102</v>
      </c>
      <c r="R4594" s="86" t="str">
        <f>_xlfn.CONCAT(表格1[[#This Row],[Model]]," ",表格1[[#This Row],[inv no]])</f>
        <v>RC-18AMXH(W) S053-2447</v>
      </c>
      <c r="S4594" s="86">
        <f>_xlfn.XLOOKUP(表格1[[#This Row],[Model]],表格3[Model-Input-Ref2],表格3[SRP PRICE])</f>
        <v>1588</v>
      </c>
      <c r="T4594" s="43">
        <f>表格1[[#This Row],[Unit Price]]/表格1[[#This Row],[SRP]]</f>
        <v>0.62972292191435764</v>
      </c>
      <c r="U4594" s="86" t="str">
        <f>_xlfn.XLOOKUP(表格1[[#This Row],[Model]],表格3[Model-Input-Ref2],表格3[TOSHIBA/HIGHEST])</f>
        <v>Toshiba SRP</v>
      </c>
      <c r="W4594" s="86" t="str">
        <f>_xlfn.CONCAT(表格1[[#This Row],[欄4]],表格1[[#This Row],[inv no]])</f>
        <v>S053-2447</v>
      </c>
    </row>
    <row r="4595" spans="1:23" hidden="1">
      <c r="A4595" s="81">
        <v>4593</v>
      </c>
      <c r="B4595" s="86" t="s">
        <v>1417</v>
      </c>
      <c r="C4595" s="86" t="s">
        <v>2218</v>
      </c>
      <c r="D4595" s="89" t="str">
        <f ca="1">OFFSET(Roster!$A$3,MATCH(表格1[[#This Row],[Location]]&amp;" "&amp;表格1[[#This Row],[Shop]]&amp;"*",Roster!$A$4:$A$72,0),DAY(表格1[[#This Row],[date]]),1,1)</f>
        <v>Anita_1</v>
      </c>
      <c r="E4595" s="86">
        <f>MONTH(表格1[[#This Row],[date]])</f>
        <v>3</v>
      </c>
      <c r="F4595" s="90">
        <v>46102</v>
      </c>
      <c r="G4595" s="86" t="str">
        <f>VLOOKUP("*"&amp;表格1[[#This Row],[Input]]&amp;"*",'Ref-List'!$B:$D,2,)</f>
        <v>RC-7HMH</v>
      </c>
      <c r="H4595" s="86" t="str">
        <f>_xlfn.XLOOKUP(表格1[[#This Row],[Model]],表格3[Model-Input-Ref2],表格3[Product Line])</f>
        <v>備長炭本厚釜電飯煲0.7L</v>
      </c>
      <c r="I4595" s="86" t="str">
        <f>_xlfn.XLOOKUP(表格1[[#This Row],[Model]],表格3[Model-Input-Ref2],表格3[大小電])</f>
        <v>細電</v>
      </c>
      <c r="J4595" s="86" t="str">
        <f>_xlfn.XLOOKUP(表格1[[#This Row],[Model]],表格3[Model-Input-Ref2],表格3[Code])</f>
        <v>SDA</v>
      </c>
      <c r="K4595" s="89" t="s">
        <v>1284</v>
      </c>
      <c r="L4595" s="86">
        <v>1</v>
      </c>
      <c r="M4595" s="87">
        <v>838</v>
      </c>
      <c r="N4595" s="87">
        <f>IFERROR(表格1[[#This Row],[QTY]]*表格1[[#This Row],[Unit Price]],"-")</f>
        <v>838</v>
      </c>
      <c r="O4595" s="86" t="s">
        <v>2219</v>
      </c>
      <c r="P4595" s="86" t="s">
        <v>1103</v>
      </c>
      <c r="R4595" s="86" t="str">
        <f>_xlfn.CONCAT(表格1[[#This Row],[Model]]," ",表格1[[#This Row],[inv no]])</f>
        <v>RC-7HMH S056-25627</v>
      </c>
      <c r="S4595" s="86">
        <f>_xlfn.XLOOKUP(表格1[[#This Row],[Model]],表格3[Model-Input-Ref2],表格3[SRP PRICE])</f>
        <v>1288</v>
      </c>
      <c r="T4595" s="43">
        <f>表格1[[#This Row],[Unit Price]]/表格1[[#This Row],[SRP]]</f>
        <v>0.65062111801242239</v>
      </c>
      <c r="U4595" s="86" t="str">
        <f>_xlfn.XLOOKUP(表格1[[#This Row],[Model]],表格3[Model-Input-Ref2],表格3[TOSHIBA/HIGHEST])</f>
        <v>Toshiba SRP</v>
      </c>
      <c r="W4595" s="86" t="str">
        <f>_xlfn.CONCAT(表格1[[#This Row],[欄4]],表格1[[#This Row],[inv no]])</f>
        <v>S056-25627</v>
      </c>
    </row>
    <row r="4596" spans="1:23" hidden="1">
      <c r="A4596" s="81">
        <v>4594</v>
      </c>
      <c r="B4596" s="86" t="s">
        <v>1417</v>
      </c>
      <c r="C4596" s="86" t="s">
        <v>2218</v>
      </c>
      <c r="D4596" s="89" t="str">
        <f ca="1">OFFSET(Roster!$A$3,MATCH(表格1[[#This Row],[Location]]&amp;" "&amp;表格1[[#This Row],[Shop]]&amp;"*",Roster!$A$4:$A$72,0),DAY(表格1[[#This Row],[date]]),1,1)</f>
        <v>Anita_1</v>
      </c>
      <c r="E4596" s="86">
        <f>MONTH(表格1[[#This Row],[date]])</f>
        <v>3</v>
      </c>
      <c r="F4596" s="90">
        <v>46102</v>
      </c>
      <c r="G4596" s="86" t="str">
        <f>VLOOKUP("*"&amp;表格1[[#This Row],[Input]]&amp;"*",'Ref-List'!$B:$D,2,)</f>
        <v>KT-08DH1VHK(W)</v>
      </c>
      <c r="H4596" s="86" t="str">
        <f>_xlfn.XLOOKUP(表格1[[#This Row],[Model]],表格3[Model-Input-Ref2],表格3[Product Line])</f>
        <v>無線雙層電熱水壺-附可鎖壺蓋(0.8公升)</v>
      </c>
      <c r="I4596" s="86" t="str">
        <f>_xlfn.XLOOKUP(表格1[[#This Row],[Model]],表格3[Model-Input-Ref2],表格3[大小電])</f>
        <v>細電</v>
      </c>
      <c r="J4596" s="86" t="str">
        <f>_xlfn.XLOOKUP(表格1[[#This Row],[Model]],表格3[Model-Input-Ref2],表格3[Code])</f>
        <v>SDA</v>
      </c>
      <c r="K4596" s="89" t="s">
        <v>1268</v>
      </c>
      <c r="L4596" s="86">
        <v>1</v>
      </c>
      <c r="M4596" s="87">
        <v>268</v>
      </c>
      <c r="N4596" s="87">
        <f>IFERROR(表格1[[#This Row],[QTY]]*表格1[[#This Row],[Unit Price]],"-")</f>
        <v>268</v>
      </c>
      <c r="O4596" s="86" t="s">
        <v>2220</v>
      </c>
      <c r="P4596" s="86" t="s">
        <v>1103</v>
      </c>
      <c r="R4596" s="86" t="str">
        <f>_xlfn.CONCAT(表格1[[#This Row],[Model]]," ",表格1[[#This Row],[inv no]])</f>
        <v>KT-08DH1VHK(W) S056-25651</v>
      </c>
      <c r="S4596" s="86">
        <f>_xlfn.XLOOKUP(表格1[[#This Row],[Model]],表格3[Model-Input-Ref2],表格3[SRP PRICE])</f>
        <v>428</v>
      </c>
      <c r="T4596" s="43">
        <f>表格1[[#This Row],[Unit Price]]/表格1[[#This Row],[SRP]]</f>
        <v>0.62616822429906538</v>
      </c>
      <c r="U4596" s="86" t="str">
        <f>_xlfn.XLOOKUP(表格1[[#This Row],[Model]],表格3[Model-Input-Ref2],表格3[TOSHIBA/HIGHEST])</f>
        <v>Toshiba SRP</v>
      </c>
      <c r="W4596" s="86" t="str">
        <f>_xlfn.CONCAT(表格1[[#This Row],[欄4]],表格1[[#This Row],[inv no]])</f>
        <v>S056-25651</v>
      </c>
    </row>
    <row r="4597" spans="1:23" hidden="1">
      <c r="A4597" s="81">
        <v>4595</v>
      </c>
      <c r="B4597" s="86" t="s">
        <v>1417</v>
      </c>
      <c r="C4597" s="86" t="s">
        <v>2218</v>
      </c>
      <c r="D4597" s="89" t="str">
        <f ca="1">OFFSET(Roster!$A$3,MATCH(表格1[[#This Row],[Location]]&amp;" "&amp;表格1[[#This Row],[Shop]]&amp;"*",Roster!$A$4:$A$72,0),DAY(表格1[[#This Row],[date]]),1,1)</f>
        <v>Anita_1</v>
      </c>
      <c r="E4597" s="86">
        <f>MONTH(表格1[[#This Row],[date]])</f>
        <v>3</v>
      </c>
      <c r="F4597" s="90">
        <v>46102</v>
      </c>
      <c r="G4597" s="86" t="str">
        <f>VLOOKUP("*"&amp;表格1[[#This Row],[Input]]&amp;"*",'Ref-List'!$B:$D,2,)</f>
        <v>PC-48DRSHK(K)</v>
      </c>
      <c r="H4597" s="86" t="str">
        <f>_xlfn.XLOOKUP(表格1[[#This Row],[Model]],表格3[Model-Input-Ref2],表格3[Product Line])</f>
        <v>電壓力鍋</v>
      </c>
      <c r="I4597" s="86" t="str">
        <f>_xlfn.XLOOKUP(表格1[[#This Row],[Model]],表格3[Model-Input-Ref2],表格3[大小電])</f>
        <v>細電</v>
      </c>
      <c r="J4597" s="86" t="str">
        <f>_xlfn.XLOOKUP(表格1[[#This Row],[Model]],表格3[Model-Input-Ref2],表格3[Code])</f>
        <v>SDA</v>
      </c>
      <c r="K4597" s="89" t="s">
        <v>1154</v>
      </c>
      <c r="L4597" s="86">
        <v>1</v>
      </c>
      <c r="M4597" s="87">
        <v>788</v>
      </c>
      <c r="N4597" s="87">
        <f>IFERROR(表格1[[#This Row],[QTY]]*表格1[[#This Row],[Unit Price]],"-")</f>
        <v>788</v>
      </c>
      <c r="O4597" s="86" t="s">
        <v>2221</v>
      </c>
      <c r="P4597" s="86" t="s">
        <v>1103</v>
      </c>
      <c r="R4597" s="86" t="str">
        <f>_xlfn.CONCAT(表格1[[#This Row],[Model]]," ",表格1[[#This Row],[inv no]])</f>
        <v>PC-48DRSHK(K) S562-0109</v>
      </c>
      <c r="S4597" s="86">
        <f>_xlfn.XLOOKUP(表格1[[#This Row],[Model]],表格3[Model-Input-Ref2],表格3[SRP PRICE])</f>
        <v>1188</v>
      </c>
      <c r="T4597" s="43">
        <f>表格1[[#This Row],[Unit Price]]/表格1[[#This Row],[SRP]]</f>
        <v>0.66329966329966328</v>
      </c>
      <c r="U4597" s="86" t="str">
        <f>_xlfn.XLOOKUP(表格1[[#This Row],[Model]],表格3[Model-Input-Ref2],表格3[TOSHIBA/HIGHEST])</f>
        <v>Shops Highest Price</v>
      </c>
      <c r="W4597" s="86" t="str">
        <f>_xlfn.CONCAT(表格1[[#This Row],[欄4]],表格1[[#This Row],[inv no]])</f>
        <v>S562-0109</v>
      </c>
    </row>
    <row r="4598" spans="1:23" hidden="1">
      <c r="A4598" s="81">
        <v>4596</v>
      </c>
      <c r="B4598" s="86" t="s">
        <v>1417</v>
      </c>
      <c r="C4598" s="86" t="s">
        <v>2218</v>
      </c>
      <c r="D4598" s="89" t="str">
        <f ca="1">OFFSET(Roster!$A$3,MATCH(表格1[[#This Row],[Location]]&amp;" "&amp;表格1[[#This Row],[Shop]]&amp;"*",Roster!$A$4:$A$72,0),DAY(表格1[[#This Row],[date]]),1,1)</f>
        <v>Anita_1</v>
      </c>
      <c r="E4598" s="86">
        <f>MONTH(表格1[[#This Row],[date]])</f>
        <v>3</v>
      </c>
      <c r="F4598" s="90">
        <v>46102</v>
      </c>
      <c r="G4598" s="86" t="str">
        <f>VLOOKUP("*"&amp;表格1[[#This Row],[Input]]&amp;"*",'Ref-List'!$B:$D,2,)</f>
        <v>MM2-EM20PC(WH)</v>
      </c>
      <c r="H4598" s="86" t="str">
        <f>_xlfn.XLOOKUP(表格1[[#This Row],[Model]],表格3[Model-Input-Ref2],表格3[Product Line])</f>
        <v>輕觸式微波爐 (20公升)</v>
      </c>
      <c r="I4598" s="86" t="str">
        <f>_xlfn.XLOOKUP(表格1[[#This Row],[Model]],表格3[Model-Input-Ref2],表格3[大小電])</f>
        <v>細電</v>
      </c>
      <c r="J4598" s="86" t="str">
        <f>_xlfn.XLOOKUP(表格1[[#This Row],[Model]],表格3[Model-Input-Ref2],表格3[Code])</f>
        <v>MCA</v>
      </c>
      <c r="K4598" s="89" t="s">
        <v>1276</v>
      </c>
      <c r="L4598" s="86">
        <v>1</v>
      </c>
      <c r="M4598" s="87">
        <v>598</v>
      </c>
      <c r="N4598" s="87">
        <f>IFERROR(表格1[[#This Row],[QTY]]*表格1[[#This Row],[Unit Price]],"-")</f>
        <v>598</v>
      </c>
      <c r="O4598" s="86" t="s">
        <v>2222</v>
      </c>
      <c r="P4598" s="86" t="s">
        <v>1102</v>
      </c>
      <c r="R4598" s="86" t="str">
        <f>_xlfn.CONCAT(表格1[[#This Row],[Model]]," ",表格1[[#This Row],[inv no]])</f>
        <v>MM2-EM20PC(WH) S056-25677</v>
      </c>
      <c r="S4598" s="86">
        <f>_xlfn.XLOOKUP(表格1[[#This Row],[Model]],表格3[Model-Input-Ref2],表格3[SRP PRICE])</f>
        <v>788</v>
      </c>
      <c r="T4598" s="43">
        <f>表格1[[#This Row],[Unit Price]]/表格1[[#This Row],[SRP]]</f>
        <v>0.75888324873096447</v>
      </c>
      <c r="U4598" s="86" t="str">
        <f>_xlfn.XLOOKUP(表格1[[#This Row],[Model]],表格3[Model-Input-Ref2],表格3[TOSHIBA/HIGHEST])</f>
        <v>Toshiba SRP</v>
      </c>
      <c r="W4598" s="86" t="str">
        <f>_xlfn.CONCAT(表格1[[#This Row],[欄4]],表格1[[#This Row],[inv no]])</f>
        <v>S056-25677</v>
      </c>
    </row>
    <row r="4599" spans="1:23" hidden="1">
      <c r="A4599" s="81">
        <v>4597</v>
      </c>
      <c r="B4599" s="86" t="s">
        <v>1417</v>
      </c>
      <c r="C4599" s="86" t="s">
        <v>2218</v>
      </c>
      <c r="D4599" s="89" t="str">
        <f ca="1">OFFSET(Roster!$A$3,MATCH(表格1[[#This Row],[Location]]&amp;" "&amp;表格1[[#This Row],[Shop]]&amp;"*",Roster!$A$4:$A$72,0),DAY(表格1[[#This Row],[date]]),1,1)</f>
        <v>Anita_1</v>
      </c>
      <c r="E4599" s="86">
        <f>MONTH(表格1[[#This Row],[date]])</f>
        <v>3</v>
      </c>
      <c r="F4599" s="90">
        <v>46102</v>
      </c>
      <c r="G4599" s="86" t="str">
        <f>VLOOKUP("*"&amp;表格1[[#This Row],[Input]]&amp;"*",'Ref-List'!$B:$D,2,)</f>
        <v>RC-10DRNH</v>
      </c>
      <c r="H4599" s="86" t="str">
        <f>_xlfn.XLOOKUP(表格1[[#This Row],[Model]],表格3[Model-Input-Ref2],表格3[Product Line])</f>
        <v>多功能備長炭本厚釜電飯煲1L</v>
      </c>
      <c r="I4599" s="86" t="str">
        <f>_xlfn.XLOOKUP(表格1[[#This Row],[Model]],表格3[Model-Input-Ref2],表格3[大小電])</f>
        <v>細電</v>
      </c>
      <c r="J4599" s="86" t="str">
        <f>_xlfn.XLOOKUP(表格1[[#This Row],[Model]],表格3[Model-Input-Ref2],表格3[Code])</f>
        <v>SDA</v>
      </c>
      <c r="K4599" s="89" t="s">
        <v>1376</v>
      </c>
      <c r="L4599" s="86">
        <v>1</v>
      </c>
      <c r="M4599" s="87">
        <v>549</v>
      </c>
      <c r="N4599" s="87">
        <f>IFERROR(表格1[[#This Row],[QTY]]*表格1[[#This Row],[Unit Price]],"-")</f>
        <v>549</v>
      </c>
      <c r="O4599" s="86" t="s">
        <v>2223</v>
      </c>
      <c r="P4599" s="86" t="s">
        <v>1103</v>
      </c>
      <c r="R4599" s="86" t="str">
        <f>_xlfn.CONCAT(表格1[[#This Row],[Model]]," ",表格1[[#This Row],[inv no]])</f>
        <v>RC-10DRNH S056-25680</v>
      </c>
      <c r="S4599" s="86">
        <f>_xlfn.XLOOKUP(表格1[[#This Row],[Model]],表格3[Model-Input-Ref2],表格3[SRP PRICE])</f>
        <v>798</v>
      </c>
      <c r="T4599" s="43">
        <f>表格1[[#This Row],[Unit Price]]/表格1[[#This Row],[SRP]]</f>
        <v>0.68796992481203012</v>
      </c>
      <c r="U4599" s="86" t="str">
        <f>_xlfn.XLOOKUP(表格1[[#This Row],[Model]],表格3[Model-Input-Ref2],表格3[TOSHIBA/HIGHEST])</f>
        <v>Toshiba SRP</v>
      </c>
      <c r="W4599" s="86" t="str">
        <f>_xlfn.CONCAT(表格1[[#This Row],[欄4]],表格1[[#This Row],[inv no]])</f>
        <v>S056-25680</v>
      </c>
    </row>
    <row r="4600" spans="1:23" hidden="1">
      <c r="A4600" s="81">
        <v>4598</v>
      </c>
      <c r="B4600" s="86" t="s">
        <v>1417</v>
      </c>
      <c r="C4600" s="86" t="s">
        <v>2218</v>
      </c>
      <c r="D4600" s="89" t="str">
        <f ca="1">OFFSET(Roster!$A$3,MATCH(表格1[[#This Row],[Location]]&amp;" "&amp;表格1[[#This Row],[Shop]]&amp;"*",Roster!$A$4:$A$72,0),DAY(表格1[[#This Row],[date]]),1,1)</f>
        <v>Anita_1</v>
      </c>
      <c r="E4600" s="86">
        <f>MONTH(表格1[[#This Row],[date]])</f>
        <v>3</v>
      </c>
      <c r="F4600" s="90">
        <v>46102</v>
      </c>
      <c r="G4600" s="86" t="str">
        <f>VLOOKUP("*"&amp;表格1[[#This Row],[Input]]&amp;"*",'Ref-List'!$B:$D,2,)</f>
        <v>PLK-45SFIH(WT)</v>
      </c>
      <c r="H4600" s="86" t="str">
        <f>_xlfn.XLOOKUP(表格1[[#This Row],[Model]],表格3[Model-Input-Ref2],表格3[Product Line])</f>
        <v>電熱水瓶4.5L</v>
      </c>
      <c r="I4600" s="86" t="str">
        <f>_xlfn.XLOOKUP(表格1[[#This Row],[Model]],表格3[Model-Input-Ref2],表格3[大小電])</f>
        <v>細電</v>
      </c>
      <c r="J4600" s="86" t="str">
        <f>_xlfn.XLOOKUP(表格1[[#This Row],[Model]],表格3[Model-Input-Ref2],表格3[Code])</f>
        <v>SDA</v>
      </c>
      <c r="K4600" s="89" t="s">
        <v>1117</v>
      </c>
      <c r="L4600" s="86">
        <v>1</v>
      </c>
      <c r="M4600" s="87">
        <v>631</v>
      </c>
      <c r="N4600" s="87">
        <f>IFERROR(表格1[[#This Row],[QTY]]*表格1[[#This Row],[Unit Price]],"-")</f>
        <v>631</v>
      </c>
      <c r="O4600" s="86" t="s">
        <v>2223</v>
      </c>
      <c r="P4600" s="86" t="s">
        <v>1103</v>
      </c>
      <c r="R4600" s="86" t="str">
        <f>_xlfn.CONCAT(表格1[[#This Row],[Model]]," ",表格1[[#This Row],[inv no]])</f>
        <v>PLK-45SFIH(WT) S056-25680</v>
      </c>
      <c r="S4600" s="86">
        <f>_xlfn.XLOOKUP(表格1[[#This Row],[Model]],表格3[Model-Input-Ref2],表格3[SRP PRICE])</f>
        <v>788</v>
      </c>
      <c r="T4600" s="43">
        <f>表格1[[#This Row],[Unit Price]]/表格1[[#This Row],[SRP]]</f>
        <v>0.800761421319797</v>
      </c>
      <c r="U4600" s="86" t="str">
        <f>_xlfn.XLOOKUP(表格1[[#This Row],[Model]],表格3[Model-Input-Ref2],表格3[TOSHIBA/HIGHEST])</f>
        <v>Toshiba SRP</v>
      </c>
      <c r="W4600" s="86" t="str">
        <f>_xlfn.CONCAT(表格1[[#This Row],[欄4]],表格1[[#This Row],[inv no]])</f>
        <v>S056-25680</v>
      </c>
    </row>
    <row r="4601" spans="1:23" hidden="1">
      <c r="A4601" s="81">
        <v>4599</v>
      </c>
      <c r="B4601" s="86" t="s">
        <v>1417</v>
      </c>
      <c r="C4601" s="86" t="s">
        <v>2218</v>
      </c>
      <c r="D4601" s="89" t="str">
        <f ca="1">OFFSET(Roster!$A$3,MATCH(表格1[[#This Row],[Location]]&amp;" "&amp;表格1[[#This Row],[Shop]]&amp;"*",Roster!$A$4:$A$72,0),DAY(表格1[[#This Row],[date]]),1,1)</f>
        <v>Anita_1</v>
      </c>
      <c r="E4601" s="86">
        <f>MONTH(表格1[[#This Row],[date]])</f>
        <v>3</v>
      </c>
      <c r="F4601" s="90">
        <v>46102</v>
      </c>
      <c r="G4601" s="86" t="str">
        <f>VLOOKUP("*"&amp;表格1[[#This Row],[Input]]&amp;"*",'Ref-List'!$B:$D,2,)</f>
        <v>IC-21TSHK</v>
      </c>
      <c r="H4601" s="86" t="str">
        <f>_xlfn.XLOOKUP(表格1[[#This Row],[Model]],表格3[Model-Input-Ref2],表格3[Product Line])</f>
        <v>Induction Cooker</v>
      </c>
      <c r="I4601" s="86" t="str">
        <f>_xlfn.XLOOKUP(表格1[[#This Row],[Model]],表格3[Model-Input-Ref2],表格3[大小電])</f>
        <v>細電</v>
      </c>
      <c r="J4601" s="86" t="str">
        <f>_xlfn.XLOOKUP(表格1[[#This Row],[Model]],表格3[Model-Input-Ref2],表格3[Code])</f>
        <v>SDA</v>
      </c>
      <c r="K4601" s="89" t="s">
        <v>1242</v>
      </c>
      <c r="L4601" s="86">
        <v>1</v>
      </c>
      <c r="M4601" s="87">
        <v>698</v>
      </c>
      <c r="N4601" s="87">
        <f>IFERROR(表格1[[#This Row],[QTY]]*表格1[[#This Row],[Unit Price]],"-")</f>
        <v>698</v>
      </c>
      <c r="O4601" s="86" t="s">
        <v>2223</v>
      </c>
      <c r="P4601" s="86" t="s">
        <v>1103</v>
      </c>
      <c r="R4601" s="86" t="str">
        <f>_xlfn.CONCAT(表格1[[#This Row],[Model]]," ",表格1[[#This Row],[inv no]])</f>
        <v>IC-21TSHK S056-25680</v>
      </c>
      <c r="S4601" s="86">
        <f>_xlfn.XLOOKUP(表格1[[#This Row],[Model]],表格3[Model-Input-Ref2],表格3[SRP PRICE])</f>
        <v>998</v>
      </c>
      <c r="T4601" s="43">
        <f>表格1[[#This Row],[Unit Price]]/表格1[[#This Row],[SRP]]</f>
        <v>0.69939879759519041</v>
      </c>
      <c r="U4601" s="86" t="str">
        <f>_xlfn.XLOOKUP(表格1[[#This Row],[Model]],表格3[Model-Input-Ref2],表格3[TOSHIBA/HIGHEST])</f>
        <v>web SRP</v>
      </c>
      <c r="W4601" s="86" t="str">
        <f>_xlfn.CONCAT(表格1[[#This Row],[欄4]],表格1[[#This Row],[inv no]])</f>
        <v>S056-25680</v>
      </c>
    </row>
    <row r="4602" spans="1:23" hidden="1">
      <c r="A4602" s="81">
        <v>4600</v>
      </c>
      <c r="B4602" s="86" t="s">
        <v>1417</v>
      </c>
      <c r="C4602" s="86" t="s">
        <v>2218</v>
      </c>
      <c r="D4602" s="89" t="str">
        <f ca="1">OFFSET(Roster!$A$3,MATCH(表格1[[#This Row],[Location]]&amp;" "&amp;表格1[[#This Row],[Shop]]&amp;"*",Roster!$A$4:$A$72,0),DAY(表格1[[#This Row],[date]]),1,1)</f>
        <v>Anita_1</v>
      </c>
      <c r="E4602" s="86">
        <f>MONTH(表格1[[#This Row],[date]])</f>
        <v>3</v>
      </c>
      <c r="F4602" s="90">
        <v>46103</v>
      </c>
      <c r="G4602" s="86" t="str">
        <f>VLOOKUP("*"&amp;表格1[[#This Row],[Input]]&amp;"*",'Ref-List'!$B:$D,2,)</f>
        <v>KT-15DRTHK(W)</v>
      </c>
      <c r="H4602" s="86" t="str">
        <f>_xlfn.XLOOKUP(表格1[[#This Row],[Model]],表格3[Model-Input-Ref2],表格3[Product Line])</f>
        <v>無線雙層電熱水壺-附可鎖壺蓋</v>
      </c>
      <c r="I4602" s="86" t="str">
        <f>_xlfn.XLOOKUP(表格1[[#This Row],[Model]],表格3[Model-Input-Ref2],表格3[大小電])</f>
        <v>細電</v>
      </c>
      <c r="J4602" s="86" t="str">
        <f>_xlfn.XLOOKUP(表格1[[#This Row],[Model]],表格3[Model-Input-Ref2],表格3[Code])</f>
        <v>SDA</v>
      </c>
      <c r="K4602" s="89" t="s">
        <v>1278</v>
      </c>
      <c r="L4602" s="86">
        <v>1</v>
      </c>
      <c r="M4602" s="87">
        <v>338</v>
      </c>
      <c r="N4602" s="87">
        <f>IFERROR(表格1[[#This Row],[QTY]]*表格1[[#This Row],[Unit Price]],"-")</f>
        <v>338</v>
      </c>
      <c r="O4602" s="86" t="s">
        <v>2224</v>
      </c>
      <c r="P4602" s="86" t="s">
        <v>1103</v>
      </c>
      <c r="R4602" s="86" t="str">
        <f>_xlfn.CONCAT(表格1[[#This Row],[Model]]," ",表格1[[#This Row],[inv no]])</f>
        <v>KT-15DRTHK(W) S056-25728</v>
      </c>
      <c r="S4602" s="86">
        <f>_xlfn.XLOOKUP(表格1[[#This Row],[Model]],表格3[Model-Input-Ref2],表格3[SRP PRICE])</f>
        <v>598</v>
      </c>
      <c r="T4602" s="43">
        <f>表格1[[#This Row],[Unit Price]]/表格1[[#This Row],[SRP]]</f>
        <v>0.56521739130434778</v>
      </c>
      <c r="U4602" s="86" t="str">
        <f>_xlfn.XLOOKUP(表格1[[#This Row],[Model]],表格3[Model-Input-Ref2],表格3[TOSHIBA/HIGHEST])</f>
        <v>Toshiba SRP</v>
      </c>
      <c r="W4602" s="86" t="str">
        <f>_xlfn.CONCAT(表格1[[#This Row],[欄4]],表格1[[#This Row],[inv no]])</f>
        <v>S056-25728</v>
      </c>
    </row>
    <row r="4603" spans="1:23" hidden="1">
      <c r="A4603" s="81">
        <v>4601</v>
      </c>
      <c r="B4603" s="86" t="s">
        <v>1417</v>
      </c>
      <c r="C4603" s="86" t="s">
        <v>2218</v>
      </c>
      <c r="D4603" s="89" t="str">
        <f ca="1">OFFSET(Roster!$A$3,MATCH(表格1[[#This Row],[Location]]&amp;" "&amp;表格1[[#This Row],[Shop]]&amp;"*",Roster!$A$4:$A$72,0),DAY(表格1[[#This Row],[date]]),1,1)</f>
        <v>Anita_1</v>
      </c>
      <c r="E4603" s="86">
        <f>MONTH(表格1[[#This Row],[date]])</f>
        <v>3</v>
      </c>
      <c r="F4603" s="90">
        <v>46103</v>
      </c>
      <c r="G4603" s="86" t="str">
        <f>VLOOKUP("*"&amp;表格1[[#This Row],[Input]]&amp;"*",'Ref-List'!$B:$D,2,)</f>
        <v>KT-17DRTHK(H)</v>
      </c>
      <c r="H4603" s="86" t="str">
        <f>_xlfn.XLOOKUP(表格1[[#This Row],[Model]],表格3[Model-Input-Ref2],表格3[Product Line])</f>
        <v>無線雙層電熱水壺(1.7公升)</v>
      </c>
      <c r="I4603" s="86" t="str">
        <f>_xlfn.XLOOKUP(表格1[[#This Row],[Model]],表格3[Model-Input-Ref2],表格3[大小電])</f>
        <v>細電</v>
      </c>
      <c r="J4603" s="86" t="str">
        <f>_xlfn.XLOOKUP(表格1[[#This Row],[Model]],表格3[Model-Input-Ref2],表格3[Code])</f>
        <v>SDA</v>
      </c>
      <c r="K4603" s="89" t="s">
        <v>1271</v>
      </c>
      <c r="L4603" s="86">
        <v>1</v>
      </c>
      <c r="M4603" s="87">
        <v>388</v>
      </c>
      <c r="N4603" s="87">
        <f>IFERROR(表格1[[#This Row],[QTY]]*表格1[[#This Row],[Unit Price]],"-")</f>
        <v>388</v>
      </c>
      <c r="O4603" s="86" t="s">
        <v>2225</v>
      </c>
      <c r="P4603" s="86" t="s">
        <v>1103</v>
      </c>
      <c r="R4603" s="86" t="str">
        <f>_xlfn.CONCAT(表格1[[#This Row],[Model]]," ",表格1[[#This Row],[inv no]])</f>
        <v>KT-17DRTHK(H) S056-25778</v>
      </c>
      <c r="S4603" s="86">
        <f>_xlfn.XLOOKUP(表格1[[#This Row],[Model]],表格3[Model-Input-Ref2],表格3[SRP PRICE])</f>
        <v>498</v>
      </c>
      <c r="T4603" s="43">
        <f>表格1[[#This Row],[Unit Price]]/表格1[[#This Row],[SRP]]</f>
        <v>0.77911646586345384</v>
      </c>
      <c r="U4603" s="86" t="str">
        <f>_xlfn.XLOOKUP(表格1[[#This Row],[Model]],表格3[Model-Input-Ref2],表格3[TOSHIBA/HIGHEST])</f>
        <v>Toshiba SRP</v>
      </c>
      <c r="W4603" s="86" t="str">
        <f>_xlfn.CONCAT(表格1[[#This Row],[欄4]],表格1[[#This Row],[inv no]])</f>
        <v>S056-25778</v>
      </c>
    </row>
    <row r="4604" spans="1:23" hidden="1">
      <c r="A4604" s="81">
        <v>4602</v>
      </c>
      <c r="B4604" s="86" t="s">
        <v>1417</v>
      </c>
      <c r="C4604" s="86" t="s">
        <v>2218</v>
      </c>
      <c r="D4604" s="89" t="str">
        <f ca="1">OFFSET(Roster!$A$3,MATCH(表格1[[#This Row],[Location]]&amp;" "&amp;表格1[[#This Row],[Shop]]&amp;"*",Roster!$A$4:$A$72,0),DAY(表格1[[#This Row],[date]]),1,1)</f>
        <v>Anita_1</v>
      </c>
      <c r="E4604" s="86">
        <f>MONTH(表格1[[#This Row],[date]])</f>
        <v>3</v>
      </c>
      <c r="F4604" s="90">
        <v>46112</v>
      </c>
      <c r="G4604" s="86" t="str">
        <f>VLOOKUP("*"&amp;表格1[[#This Row],[Input]]&amp;"*",'Ref-List'!$B:$D,2,)</f>
        <v>MM2-EM20PC(WH)</v>
      </c>
      <c r="H4604" s="86" t="str">
        <f>_xlfn.XLOOKUP(表格1[[#This Row],[Model]],表格3[Model-Input-Ref2],表格3[Product Line])</f>
        <v>輕觸式微波爐 (20公升)</v>
      </c>
      <c r="I4604" s="86" t="str">
        <f>_xlfn.XLOOKUP(表格1[[#This Row],[Model]],表格3[Model-Input-Ref2],表格3[大小電])</f>
        <v>細電</v>
      </c>
      <c r="J4604" s="86" t="str">
        <f>_xlfn.XLOOKUP(表格1[[#This Row],[Model]],表格3[Model-Input-Ref2],表格3[Code])</f>
        <v>MCA</v>
      </c>
      <c r="K4604" s="89" t="s">
        <v>1276</v>
      </c>
      <c r="L4604" s="86">
        <v>1</v>
      </c>
      <c r="M4604" s="87">
        <v>598</v>
      </c>
      <c r="N4604" s="87">
        <f>IFERROR(表格1[[#This Row],[QTY]]*表格1[[#This Row],[Unit Price]],"-")</f>
        <v>598</v>
      </c>
      <c r="O4604" s="86" t="s">
        <v>2226</v>
      </c>
      <c r="P4604" s="86" t="s">
        <v>1102</v>
      </c>
      <c r="R4604" s="86" t="str">
        <f>_xlfn.CONCAT(表格1[[#This Row],[Model]]," ",表格1[[#This Row],[inv no]])</f>
        <v>MM2-EM20PC(WH) S056-26407</v>
      </c>
      <c r="S4604" s="86">
        <f>_xlfn.XLOOKUP(表格1[[#This Row],[Model]],表格3[Model-Input-Ref2],表格3[SRP PRICE])</f>
        <v>788</v>
      </c>
      <c r="T4604" s="43">
        <f>表格1[[#This Row],[Unit Price]]/表格1[[#This Row],[SRP]]</f>
        <v>0.75888324873096447</v>
      </c>
      <c r="U4604" s="86" t="str">
        <f>_xlfn.XLOOKUP(表格1[[#This Row],[Model]],表格3[Model-Input-Ref2],表格3[TOSHIBA/HIGHEST])</f>
        <v>Toshiba SRP</v>
      </c>
      <c r="W4604" s="86" t="str">
        <f>_xlfn.CONCAT(表格1[[#This Row],[欄4]],表格1[[#This Row],[inv no]])</f>
        <v>S056-26407</v>
      </c>
    </row>
    <row r="4605" spans="1:23" hidden="1">
      <c r="A4605" s="81">
        <v>4603</v>
      </c>
      <c r="B4605" s="86" t="s">
        <v>2165</v>
      </c>
      <c r="C4605" s="86" t="s">
        <v>2227</v>
      </c>
      <c r="D4605" s="89" t="str">
        <f ca="1">OFFSET(Roster!$A$3,MATCH(表格1[[#This Row],[Location]]&amp;" "&amp;表格1[[#This Row],[Shop]]&amp;"*",Roster!$A$4:$A$72,0),DAY(表格1[[#This Row],[date]]),1,1)</f>
        <v>Anita_2</v>
      </c>
      <c r="E4605" s="86">
        <v>3</v>
      </c>
      <c r="F4605" s="90">
        <v>46095</v>
      </c>
      <c r="G4605" s="86" t="str">
        <f>VLOOKUP("*"&amp;表格1[[#This Row],[Input]]&amp;"*",'Ref-List'!$B:$D,2,)</f>
        <v>GR-RM612WE-PGA(B5)</v>
      </c>
      <c r="H4605" s="86" t="str">
        <f>_xlfn.XLOOKUP(表格1[[#This Row],[Model]],表格3[Model-Input-Ref2],表格3[Product Line])</f>
        <v>變頻五門雪櫃(375L)</v>
      </c>
      <c r="I4605" s="86" t="str">
        <f>_xlfn.XLOOKUP(表格1[[#This Row],[Model]],表格3[Model-Input-Ref2],表格3[大小電])</f>
        <v>大電</v>
      </c>
      <c r="J4605" s="86" t="str">
        <f>_xlfn.XLOOKUP(表格1[[#This Row],[Model]],表格3[Model-Input-Ref2],表格3[Code])</f>
        <v>REF</v>
      </c>
      <c r="K4605" s="89" t="s">
        <v>2166</v>
      </c>
      <c r="L4605" s="86">
        <v>1</v>
      </c>
      <c r="M4605" s="87">
        <v>9980</v>
      </c>
      <c r="N4605" s="87">
        <f>IFERROR(表格1[[#This Row],[QTY]]*表格1[[#This Row],[Unit Price]],"-")</f>
        <v>9980</v>
      </c>
      <c r="O4605" s="86" t="s">
        <v>2176</v>
      </c>
      <c r="P4605" s="86" t="s">
        <v>1102</v>
      </c>
      <c r="R4605" s="86" t="str">
        <f>_xlfn.CONCAT(表格1[[#This Row],[Model]]," ",表格1[[#This Row],[inv no]])</f>
        <v>GR-RM612WE-PGA(B5) S056-25289</v>
      </c>
      <c r="S4605" s="86">
        <f>_xlfn.XLOOKUP(表格1[[#This Row],[Model]],表格3[Model-Input-Ref2],表格3[SRP PRICE])</f>
        <v>11000</v>
      </c>
      <c r="T4605" s="43">
        <f>表格1[[#This Row],[Unit Price]]/表格1[[#This Row],[SRP]]</f>
        <v>0.90727272727272723</v>
      </c>
      <c r="U4605" s="86" t="str">
        <f>_xlfn.XLOOKUP(表格1[[#This Row],[Model]],表格3[Model-Input-Ref2],表格3[TOSHIBA/HIGHEST])</f>
        <v>Shops Highest Price</v>
      </c>
      <c r="W4605" s="86" t="str">
        <f>_xlfn.CONCAT(表格1[[#This Row],[欄4]],表格1[[#This Row],[inv no]])</f>
        <v>S056-25289</v>
      </c>
    </row>
    <row r="4606" spans="1:23" hidden="1">
      <c r="A4606" s="81">
        <v>4604</v>
      </c>
      <c r="B4606" s="86" t="s">
        <v>2165</v>
      </c>
      <c r="C4606" s="86" t="s">
        <v>2227</v>
      </c>
      <c r="D4606" s="89" t="str">
        <f ca="1">OFFSET(Roster!$A$3,MATCH(表格1[[#This Row],[Location]]&amp;" "&amp;表格1[[#This Row],[Shop]]&amp;"*",Roster!$A$4:$A$72,0),DAY(表格1[[#This Row],[date]]),1,1)</f>
        <v>Anita_2</v>
      </c>
      <c r="E4606" s="86">
        <v>3</v>
      </c>
      <c r="F4606" s="90">
        <v>46095</v>
      </c>
      <c r="G4606" s="86" t="str">
        <f>VLOOKUP("*"&amp;表格1[[#This Row],[Input]]&amp;"*",'Ref-List'!$B:$D,2,)</f>
        <v>EB-T500APW</v>
      </c>
      <c r="H4606" s="86" t="str">
        <f>_xlfn.XLOOKUP(表格1[[#This Row],[Model]],表格3[Model-Input-Ref2],表格3[Product Line])</f>
        <v>JAPANDi 嵌入式微波氣炸蒸焗爐 (45厘米)</v>
      </c>
      <c r="I4606" s="86" t="str">
        <f>_xlfn.XLOOKUP(表格1[[#This Row],[Model]],表格3[Model-Input-Ref2],表格3[大小電])</f>
        <v>大電</v>
      </c>
      <c r="J4606" s="86" t="str">
        <f>_xlfn.XLOOKUP(表格1[[#This Row],[Model]],表格3[Model-Input-Ref2],表格3[Code])</f>
        <v>MCA</v>
      </c>
      <c r="K4606" s="89" t="s">
        <v>2167</v>
      </c>
      <c r="L4606" s="86">
        <v>1</v>
      </c>
      <c r="M4606" s="87">
        <v>13800</v>
      </c>
      <c r="N4606" s="87">
        <f>IFERROR(表格1[[#This Row],[QTY]]*表格1[[#This Row],[Unit Price]],"-")</f>
        <v>13800</v>
      </c>
      <c r="O4606" s="86" t="s">
        <v>2178</v>
      </c>
      <c r="P4606" s="86" t="s">
        <v>1102</v>
      </c>
      <c r="R4606" s="86" t="str">
        <f>_xlfn.CONCAT(表格1[[#This Row],[Model]]," ",表格1[[#This Row],[inv no]])</f>
        <v>EB-T500APW S056-25280</v>
      </c>
      <c r="S4606" s="86">
        <f>_xlfn.XLOOKUP(表格1[[#This Row],[Model]],表格3[Model-Input-Ref2],表格3[SRP PRICE])</f>
        <v>28800</v>
      </c>
      <c r="T4606" s="43">
        <f>表格1[[#This Row],[Unit Price]]/表格1[[#This Row],[SRP]]</f>
        <v>0.47916666666666669</v>
      </c>
      <c r="U4606" s="86" t="str">
        <f>_xlfn.XLOOKUP(表格1[[#This Row],[Model]],表格3[Model-Input-Ref2],表格3[TOSHIBA/HIGHEST])</f>
        <v>Toshiba SRP</v>
      </c>
      <c r="W4606" s="86" t="str">
        <f>_xlfn.CONCAT(表格1[[#This Row],[欄4]],表格1[[#This Row],[inv no]])</f>
        <v>S056-25280</v>
      </c>
    </row>
    <row r="4607" spans="1:23" hidden="1">
      <c r="A4607" s="81">
        <v>4605</v>
      </c>
      <c r="B4607" s="86" t="s">
        <v>2165</v>
      </c>
      <c r="C4607" s="86" t="s">
        <v>2227</v>
      </c>
      <c r="D4607" s="89" t="str">
        <f ca="1">OFFSET(Roster!$A$3,MATCH(表格1[[#This Row],[Location]]&amp;" "&amp;表格1[[#This Row],[Shop]]&amp;"*",Roster!$A$4:$A$72,0),DAY(表格1[[#This Row],[date]]),1,1)</f>
        <v>Anita_2</v>
      </c>
      <c r="E4607" s="86">
        <v>3</v>
      </c>
      <c r="F4607" s="90">
        <v>46095</v>
      </c>
      <c r="G4607" s="86" t="str">
        <f>VLOOKUP("*"&amp;表格1[[#This Row],[Input]]&amp;"*",'Ref-List'!$B:$D,2,)</f>
        <v>KT-08DH1VHK(W)</v>
      </c>
      <c r="H4607" s="86" t="str">
        <f>_xlfn.XLOOKUP(表格1[[#This Row],[Model]],表格3[Model-Input-Ref2],表格3[Product Line])</f>
        <v>無線雙層電熱水壺-附可鎖壺蓋(0.8公升)</v>
      </c>
      <c r="I4607" s="86" t="str">
        <f>_xlfn.XLOOKUP(表格1[[#This Row],[Model]],表格3[Model-Input-Ref2],表格3[大小電])</f>
        <v>細電</v>
      </c>
      <c r="J4607" s="86" t="str">
        <f>_xlfn.XLOOKUP(表格1[[#This Row],[Model]],表格3[Model-Input-Ref2],表格3[Code])</f>
        <v>SDA</v>
      </c>
      <c r="K4607" s="89" t="s">
        <v>2053</v>
      </c>
      <c r="L4607" s="86">
        <v>1</v>
      </c>
      <c r="M4607" s="87">
        <v>268</v>
      </c>
      <c r="N4607" s="87">
        <f>IFERROR(表格1[[#This Row],[QTY]]*表格1[[#This Row],[Unit Price]],"-")</f>
        <v>268</v>
      </c>
      <c r="O4607" s="86" t="s">
        <v>2176</v>
      </c>
      <c r="P4607" s="86" t="s">
        <v>1103</v>
      </c>
      <c r="R4607" s="86" t="str">
        <f>_xlfn.CONCAT(表格1[[#This Row],[Model]]," ",表格1[[#This Row],[inv no]])</f>
        <v>KT-08DH1VHK(W) S056-25289</v>
      </c>
      <c r="S4607" s="86">
        <f>_xlfn.XLOOKUP(表格1[[#This Row],[Model]],表格3[Model-Input-Ref2],表格3[SRP PRICE])</f>
        <v>428</v>
      </c>
      <c r="T4607" s="43">
        <f>表格1[[#This Row],[Unit Price]]/表格1[[#This Row],[SRP]]</f>
        <v>0.62616822429906538</v>
      </c>
      <c r="U4607" s="86" t="str">
        <f>_xlfn.XLOOKUP(表格1[[#This Row],[Model]],表格3[Model-Input-Ref2],表格3[TOSHIBA/HIGHEST])</f>
        <v>Toshiba SRP</v>
      </c>
      <c r="W4607" s="86" t="str">
        <f>_xlfn.CONCAT(表格1[[#This Row],[欄4]],表格1[[#This Row],[inv no]])</f>
        <v>S056-25289</v>
      </c>
    </row>
    <row r="4608" spans="1:23" hidden="1">
      <c r="A4608" s="81">
        <v>4606</v>
      </c>
      <c r="B4608" s="86" t="s">
        <v>2165</v>
      </c>
      <c r="C4608" s="86" t="s">
        <v>2227</v>
      </c>
      <c r="D4608" s="89" t="str">
        <f ca="1">OFFSET(Roster!$A$3,MATCH(表格1[[#This Row],[Location]]&amp;" "&amp;表格1[[#This Row],[Shop]]&amp;"*",Roster!$A$4:$A$72,0),DAY(表格1[[#This Row],[date]]),1,1)</f>
        <v>Anita_2</v>
      </c>
      <c r="E4608" s="86">
        <v>3</v>
      </c>
      <c r="F4608" s="90">
        <v>46095</v>
      </c>
      <c r="G4608" s="86" t="str">
        <f>VLOOKUP("*"&amp;表格1[[#This Row],[Input]]&amp;"*",'Ref-List'!$B:$D,2,)</f>
        <v>RC-7HMH</v>
      </c>
      <c r="H4608" s="86" t="str">
        <f>_xlfn.XLOOKUP(表格1[[#This Row],[Model]],表格3[Model-Input-Ref2],表格3[Product Line])</f>
        <v>備長炭本厚釜電飯煲0.7L</v>
      </c>
      <c r="I4608" s="86" t="str">
        <f>_xlfn.XLOOKUP(表格1[[#This Row],[Model]],表格3[Model-Input-Ref2],表格3[大小電])</f>
        <v>細電</v>
      </c>
      <c r="J4608" s="86" t="str">
        <f>_xlfn.XLOOKUP(表格1[[#This Row],[Model]],表格3[Model-Input-Ref2],表格3[Code])</f>
        <v>SDA</v>
      </c>
      <c r="K4608" s="89" t="s">
        <v>2057</v>
      </c>
      <c r="L4608" s="86">
        <v>1</v>
      </c>
      <c r="M4608" s="87">
        <v>838</v>
      </c>
      <c r="N4608" s="87">
        <f>IFERROR(表格1[[#This Row],[QTY]]*表格1[[#This Row],[Unit Price]],"-")</f>
        <v>838</v>
      </c>
      <c r="O4608" s="86" t="s">
        <v>2180</v>
      </c>
      <c r="P4608" s="86" t="s">
        <v>1103</v>
      </c>
      <c r="R4608" s="86" t="str">
        <f>_xlfn.CONCAT(表格1[[#This Row],[Model]]," ",表格1[[#This Row],[inv no]])</f>
        <v>RC-7HMH S055-10433</v>
      </c>
      <c r="S4608" s="86">
        <f>_xlfn.XLOOKUP(表格1[[#This Row],[Model]],表格3[Model-Input-Ref2],表格3[SRP PRICE])</f>
        <v>1288</v>
      </c>
      <c r="T4608" s="43">
        <f>表格1[[#This Row],[Unit Price]]/表格1[[#This Row],[SRP]]</f>
        <v>0.65062111801242239</v>
      </c>
      <c r="U4608" s="86" t="str">
        <f>_xlfn.XLOOKUP(表格1[[#This Row],[Model]],表格3[Model-Input-Ref2],表格3[TOSHIBA/HIGHEST])</f>
        <v>Toshiba SRP</v>
      </c>
      <c r="W4608" s="86" t="str">
        <f>_xlfn.CONCAT(表格1[[#This Row],[欄4]],表格1[[#This Row],[inv no]])</f>
        <v>S055-10433</v>
      </c>
    </row>
    <row r="4609" spans="1:23" hidden="1">
      <c r="A4609" s="81">
        <v>4607</v>
      </c>
      <c r="B4609" s="86" t="s">
        <v>2165</v>
      </c>
      <c r="C4609" s="86" t="s">
        <v>2227</v>
      </c>
      <c r="D4609" s="89" t="str">
        <f ca="1">OFFSET(Roster!$A$3,MATCH(表格1[[#This Row],[Location]]&amp;" "&amp;表格1[[#This Row],[Shop]]&amp;"*",Roster!$A$4:$A$72,0),DAY(表格1[[#This Row],[date]]),1,1)</f>
        <v>Anita_2</v>
      </c>
      <c r="E4609" s="86">
        <v>3</v>
      </c>
      <c r="F4609" s="90">
        <v>46095</v>
      </c>
      <c r="G4609" s="86" t="str">
        <f>VLOOKUP("*"&amp;表格1[[#This Row],[Input]]&amp;"*",'Ref-List'!$B:$D,2,)</f>
        <v>RC-5MMIH(WT)</v>
      </c>
      <c r="H4609" s="86" t="str">
        <f>_xlfn.XLOOKUP(表格1[[#This Row],[Model]],表格3[Model-Input-Ref2],表格3[Product Line])</f>
        <v>4毫米厚釜電飯煲0.54L</v>
      </c>
      <c r="I4609" s="86" t="str">
        <f>_xlfn.XLOOKUP(表格1[[#This Row],[Model]],表格3[Model-Input-Ref2],表格3[大小電])</f>
        <v>細電</v>
      </c>
      <c r="J4609" s="86" t="str">
        <f>_xlfn.XLOOKUP(表格1[[#This Row],[Model]],表格3[Model-Input-Ref2],表格3[Code])</f>
        <v>SDA</v>
      </c>
      <c r="K4609" s="89" t="s">
        <v>2046</v>
      </c>
      <c r="L4609" s="86">
        <v>1</v>
      </c>
      <c r="M4609" s="87">
        <v>549</v>
      </c>
      <c r="N4609" s="87">
        <f>IFERROR(表格1[[#This Row],[QTY]]*表格1[[#This Row],[Unit Price]],"-")</f>
        <v>549</v>
      </c>
      <c r="O4609" s="86" t="s">
        <v>2182</v>
      </c>
      <c r="P4609" s="86" t="s">
        <v>1103</v>
      </c>
      <c r="R4609" s="86" t="str">
        <f>_xlfn.CONCAT(表格1[[#This Row],[Model]]," ",表格1[[#This Row],[inv no]])</f>
        <v>RC-5MMIH(WT) S053-2404</v>
      </c>
      <c r="S4609" s="86">
        <f>_xlfn.XLOOKUP(表格1[[#This Row],[Model]],表格3[Model-Input-Ref2],表格3[SRP PRICE])</f>
        <v>618</v>
      </c>
      <c r="T4609" s="43">
        <f>表格1[[#This Row],[Unit Price]]/表格1[[#This Row],[SRP]]</f>
        <v>0.88834951456310685</v>
      </c>
      <c r="U4609" s="86" t="str">
        <f>_xlfn.XLOOKUP(表格1[[#This Row],[Model]],表格3[Model-Input-Ref2],表格3[TOSHIBA/HIGHEST])</f>
        <v>Toshiba SRP</v>
      </c>
      <c r="W4609" s="86" t="str">
        <f>_xlfn.CONCAT(表格1[[#This Row],[欄4]],表格1[[#This Row],[inv no]])</f>
        <v>S053-2404</v>
      </c>
    </row>
    <row r="4610" spans="1:23" hidden="1">
      <c r="A4610" s="81">
        <v>4608</v>
      </c>
      <c r="B4610" s="86" t="s">
        <v>2165</v>
      </c>
      <c r="C4610" s="86" t="s">
        <v>2227</v>
      </c>
      <c r="D4610" s="89" t="str">
        <f ca="1">OFFSET(Roster!$A$3,MATCH(表格1[[#This Row],[Location]]&amp;" "&amp;表格1[[#This Row],[Shop]]&amp;"*",Roster!$A$4:$A$72,0),DAY(表格1[[#This Row],[date]]),1,1)</f>
        <v>Anita_2</v>
      </c>
      <c r="E4610" s="86">
        <v>3</v>
      </c>
      <c r="F4610" s="90">
        <v>46095</v>
      </c>
      <c r="G4610" s="86" t="str">
        <f>VLOOKUP("*"&amp;表格1[[#This Row],[Input]]&amp;"*",'Ref-List'!$B:$D,2,)</f>
        <v>MX2-STR25SC(WH)</v>
      </c>
      <c r="H4610" s="86" t="str">
        <f>_xlfn.XLOOKUP(表格1[[#This Row],[Model]],表格3[Model-Input-Ref2],表格3[Product Line])</f>
        <v>4合1氣炸微波蒸焗爐(25公升)</v>
      </c>
      <c r="I4610" s="86" t="str">
        <f>_xlfn.XLOOKUP(表格1[[#This Row],[Model]],表格3[Model-Input-Ref2],表格3[大小電])</f>
        <v>細電</v>
      </c>
      <c r="J4610" s="86" t="str">
        <f>_xlfn.XLOOKUP(表格1[[#This Row],[Model]],表格3[Model-Input-Ref2],表格3[Code])</f>
        <v>MCA</v>
      </c>
      <c r="K4610" s="89" t="s">
        <v>2169</v>
      </c>
      <c r="L4610" s="86">
        <v>1</v>
      </c>
      <c r="M4610" s="87">
        <v>3580</v>
      </c>
      <c r="N4610" s="87">
        <f>IFERROR(表格1[[#This Row],[QTY]]*表格1[[#This Row],[Unit Price]],"-")</f>
        <v>3580</v>
      </c>
      <c r="O4610" s="86" t="s">
        <v>2184</v>
      </c>
      <c r="P4610" s="86" t="s">
        <v>1102</v>
      </c>
      <c r="R4610" s="86" t="str">
        <f>_xlfn.CONCAT(表格1[[#This Row],[Model]]," ",表格1[[#This Row],[inv no]])</f>
        <v>MX2-STR25SC(WH) S053-2403</v>
      </c>
      <c r="S4610" s="86">
        <f>_xlfn.XLOOKUP(表格1[[#This Row],[Model]],表格3[Model-Input-Ref2],表格3[SRP PRICE])</f>
        <v>4998</v>
      </c>
      <c r="T4610" s="43">
        <f>表格1[[#This Row],[Unit Price]]/表格1[[#This Row],[SRP]]</f>
        <v>0.71628651460584236</v>
      </c>
      <c r="U4610" s="86" t="str">
        <f>_xlfn.XLOOKUP(表格1[[#This Row],[Model]],表格3[Model-Input-Ref2],表格3[TOSHIBA/HIGHEST])</f>
        <v>Toshiba SRP</v>
      </c>
      <c r="W4610" s="86" t="str">
        <f>_xlfn.CONCAT(表格1[[#This Row],[欄4]],表格1[[#This Row],[inv no]])</f>
        <v>S053-2403</v>
      </c>
    </row>
    <row r="4611" spans="1:23" hidden="1">
      <c r="A4611" s="81">
        <v>4609</v>
      </c>
      <c r="B4611" s="86" t="s">
        <v>2165</v>
      </c>
      <c r="C4611" s="86" t="s">
        <v>2227</v>
      </c>
      <c r="D4611" s="89" t="str">
        <f ca="1">OFFSET(Roster!$A$3,MATCH(表格1[[#This Row],[Location]]&amp;" "&amp;表格1[[#This Row],[Shop]]&amp;"*",Roster!$A$4:$A$72,0),DAY(表格1[[#This Row],[date]]),1,1)</f>
        <v>Anita_2</v>
      </c>
      <c r="E4611" s="86">
        <v>3</v>
      </c>
      <c r="F4611" s="90">
        <v>46095</v>
      </c>
      <c r="G4611" s="86" t="str">
        <f>VLOOKUP("*"&amp;表格1[[#This Row],[Input]]&amp;"*",'Ref-List'!$B:$D,2,)</f>
        <v>TWD-BN90GF4H(WK)</v>
      </c>
      <c r="H4611" s="86" t="str">
        <f>_xlfn.XLOOKUP(表格1[[#This Row],[Model]],表格3[Model-Input-Ref2],表格3[Product Line])</f>
        <v>超薄身前置式洗衣乾衣機 (洗8公斤 乾5公斤)</v>
      </c>
      <c r="I4611" s="86" t="str">
        <f>_xlfn.XLOOKUP(表格1[[#This Row],[Model]],表格3[Model-Input-Ref2],表格3[大小電])</f>
        <v>大電</v>
      </c>
      <c r="J4611" s="86" t="str">
        <f>_xlfn.XLOOKUP(表格1[[#This Row],[Model]],表格3[Model-Input-Ref2],表格3[Code])</f>
        <v>WM</v>
      </c>
      <c r="K4611" s="89" t="s">
        <v>2115</v>
      </c>
      <c r="L4611" s="86">
        <v>1</v>
      </c>
      <c r="M4611" s="87">
        <v>3980</v>
      </c>
      <c r="N4611" s="87">
        <f>IFERROR(表格1[[#This Row],[QTY]]*表格1[[#This Row],[Unit Price]],"-")</f>
        <v>3980</v>
      </c>
      <c r="O4611" s="86" t="s">
        <v>2184</v>
      </c>
      <c r="P4611" s="86" t="s">
        <v>1102</v>
      </c>
      <c r="R4611" s="86" t="str">
        <f>_xlfn.CONCAT(表格1[[#This Row],[Model]]," ",表格1[[#This Row],[inv no]])</f>
        <v>TWD-BN90GF4H(WK) S053-2403</v>
      </c>
      <c r="S4611" s="86">
        <f>_xlfn.XLOOKUP(表格1[[#This Row],[Model]],表格3[Model-Input-Ref2],表格3[SRP PRICE])</f>
        <v>5980</v>
      </c>
      <c r="T4611" s="43">
        <f>表格1[[#This Row],[Unit Price]]/表格1[[#This Row],[SRP]]</f>
        <v>0.66555183946488294</v>
      </c>
      <c r="U4611" s="86" t="str">
        <f>_xlfn.XLOOKUP(表格1[[#This Row],[Model]],表格3[Model-Input-Ref2],表格3[TOSHIBA/HIGHEST])</f>
        <v>Toshiba SRP</v>
      </c>
      <c r="W4611" s="86" t="str">
        <f>_xlfn.CONCAT(表格1[[#This Row],[欄4]],表格1[[#This Row],[inv no]])</f>
        <v>S053-2403</v>
      </c>
    </row>
    <row r="4612" spans="1:23" hidden="1">
      <c r="A4612" s="81">
        <v>4610</v>
      </c>
      <c r="B4612" s="86" t="s">
        <v>2165</v>
      </c>
      <c r="C4612" s="86" t="s">
        <v>2227</v>
      </c>
      <c r="D4612" s="89" t="str">
        <f ca="1">OFFSET(Roster!$A$3,MATCH(表格1[[#This Row],[Location]]&amp;" "&amp;表格1[[#This Row],[Shop]]&amp;"*",Roster!$A$4:$A$72,0),DAY(表格1[[#This Row],[date]]),1,1)</f>
        <v>Anita_2</v>
      </c>
      <c r="E4612" s="86">
        <v>3</v>
      </c>
      <c r="F4612" s="90">
        <v>46095</v>
      </c>
      <c r="G4612" s="86" t="str">
        <f>VLOOKUP("*"&amp;表格1[[#This Row],[Input]]&amp;"*",'Ref-List'!$B:$D,2,)</f>
        <v>IC-S19RH</v>
      </c>
      <c r="H4612" s="86" t="str">
        <f>_xlfn.XLOOKUP(表格1[[#This Row],[Model]],表格3[Model-Input-Ref2],表格3[Product Line])</f>
        <v>輕便式電磁爐7個功能</v>
      </c>
      <c r="I4612" s="86" t="str">
        <f>_xlfn.XLOOKUP(表格1[[#This Row],[Model]],表格3[Model-Input-Ref2],表格3[大小電])</f>
        <v>細電</v>
      </c>
      <c r="J4612" s="86" t="str">
        <f>_xlfn.XLOOKUP(表格1[[#This Row],[Model]],表格3[Model-Input-Ref2],表格3[Code])</f>
        <v>SDA</v>
      </c>
      <c r="K4612" s="89" t="s">
        <v>1408</v>
      </c>
      <c r="L4612" s="86">
        <v>1</v>
      </c>
      <c r="M4612" s="87">
        <v>418</v>
      </c>
      <c r="N4612" s="87">
        <f>IFERROR(表格1[[#This Row],[QTY]]*表格1[[#This Row],[Unit Price]],"-")</f>
        <v>418</v>
      </c>
      <c r="O4612" s="86" t="s">
        <v>2186</v>
      </c>
      <c r="P4612" s="86" t="s">
        <v>1103</v>
      </c>
      <c r="R4612" s="86" t="str">
        <f>_xlfn.CONCAT(表格1[[#This Row],[Model]]," ",表格1[[#This Row],[inv no]])</f>
        <v>IC-S19RH S055-10446</v>
      </c>
      <c r="S4612" s="86">
        <f>_xlfn.XLOOKUP(表格1[[#This Row],[Model]],表格3[Model-Input-Ref2],表格3[SRP PRICE])</f>
        <v>638</v>
      </c>
      <c r="T4612" s="43">
        <f>表格1[[#This Row],[Unit Price]]/表格1[[#This Row],[SRP]]</f>
        <v>0.65517241379310343</v>
      </c>
      <c r="U4612" s="86" t="str">
        <f>_xlfn.XLOOKUP(表格1[[#This Row],[Model]],表格3[Model-Input-Ref2],表格3[TOSHIBA/HIGHEST])</f>
        <v>Toshiba SRP</v>
      </c>
      <c r="W4612" s="86" t="str">
        <f>_xlfn.CONCAT(表格1[[#This Row],[欄4]],表格1[[#This Row],[inv no]])</f>
        <v>S055-10446</v>
      </c>
    </row>
    <row r="4613" spans="1:23" hidden="1">
      <c r="A4613" s="81">
        <v>4611</v>
      </c>
      <c r="B4613" s="86" t="s">
        <v>2165</v>
      </c>
      <c r="C4613" s="86" t="s">
        <v>2227</v>
      </c>
      <c r="D4613" s="89" t="str">
        <f ca="1">OFFSET(Roster!$A$3,MATCH(表格1[[#This Row],[Location]]&amp;" "&amp;表格1[[#This Row],[Shop]]&amp;"*",Roster!$A$4:$A$72,0),DAY(表格1[[#This Row],[date]]),1,1)</f>
        <v>Anita_2</v>
      </c>
      <c r="E4613" s="86">
        <v>3</v>
      </c>
      <c r="F4613" s="90">
        <v>46095</v>
      </c>
      <c r="G4613" s="86" t="str">
        <f>VLOOKUP("*"&amp;表格1[[#This Row],[Input]]&amp;"*",'Ref-List'!$B:$D,2,)</f>
        <v>RC-5SLIH(W)</v>
      </c>
      <c r="H4613" s="86" t="str">
        <f>_xlfn.XLOOKUP(表格1[[#This Row],[Model]],表格3[Model-Input-Ref2],表格3[Product Line])</f>
        <v>微型電腦珍珠飯煲</v>
      </c>
      <c r="I4613" s="86" t="str">
        <f>_xlfn.XLOOKUP(表格1[[#This Row],[Model]],表格3[Model-Input-Ref2],表格3[大小電])</f>
        <v>細電</v>
      </c>
      <c r="J4613" s="86" t="str">
        <f>_xlfn.XLOOKUP(表格1[[#This Row],[Model]],表格3[Model-Input-Ref2],表格3[Code])</f>
        <v>SDA</v>
      </c>
      <c r="K4613" s="89" t="s">
        <v>2037</v>
      </c>
      <c r="L4613" s="86">
        <v>1</v>
      </c>
      <c r="M4613" s="87">
        <v>592</v>
      </c>
      <c r="N4613" s="87">
        <f>IFERROR(表格1[[#This Row],[QTY]]*表格1[[#This Row],[Unit Price]],"-")</f>
        <v>592</v>
      </c>
      <c r="O4613" s="86" t="s">
        <v>2188</v>
      </c>
      <c r="P4613" s="86" t="s">
        <v>1103</v>
      </c>
      <c r="R4613" s="86" t="str">
        <f>_xlfn.CONCAT(表格1[[#This Row],[Model]]," ",表格1[[#This Row],[inv no]])</f>
        <v>RC-5SLIH(W) S055-10447</v>
      </c>
      <c r="S4613" s="86">
        <f>_xlfn.XLOOKUP(表格1[[#This Row],[Model]],表格3[Model-Input-Ref2],表格3[SRP PRICE])</f>
        <v>658</v>
      </c>
      <c r="T4613" s="43">
        <f>表格1[[#This Row],[Unit Price]]/表格1[[#This Row],[SRP]]</f>
        <v>0.89969604863221886</v>
      </c>
      <c r="U4613" s="86" t="str">
        <f>_xlfn.XLOOKUP(表格1[[#This Row],[Model]],表格3[Model-Input-Ref2],表格3[TOSHIBA/HIGHEST])</f>
        <v>Toshiba SRP</v>
      </c>
      <c r="W4613" s="86" t="str">
        <f>_xlfn.CONCAT(表格1[[#This Row],[欄4]],表格1[[#This Row],[inv no]])</f>
        <v>S055-10447</v>
      </c>
    </row>
    <row r="4614" spans="1:23" hidden="1">
      <c r="A4614" s="81">
        <v>4612</v>
      </c>
      <c r="B4614" s="86" t="s">
        <v>2165</v>
      </c>
      <c r="C4614" s="86" t="s">
        <v>2227</v>
      </c>
      <c r="D4614" s="89" t="str">
        <f ca="1">OFFSET(Roster!$A$3,MATCH(表格1[[#This Row],[Location]]&amp;" "&amp;表格1[[#This Row],[Shop]]&amp;"*",Roster!$A$4:$A$72,0),DAY(表格1[[#This Row],[date]]),1,1)</f>
        <v>Anita_2</v>
      </c>
      <c r="E4614" s="86">
        <v>3</v>
      </c>
      <c r="F4614" s="90">
        <v>46095</v>
      </c>
      <c r="G4614" s="86" t="str">
        <f>VLOOKUP("*"&amp;表格1[[#This Row],[Input]]&amp;"*",'Ref-List'!$B:$D,2,)</f>
        <v>RAD-D300H</v>
      </c>
      <c r="H4614" s="86" t="str">
        <f>_xlfn.XLOOKUP(表格1[[#This Row],[Model]],表格3[Model-Input-Ref2],表格3[Product Line])</f>
        <v>壓縮式抽濕機 (30公升)</v>
      </c>
      <c r="I4614" s="86" t="str">
        <f>_xlfn.XLOOKUP(表格1[[#This Row],[Model]],表格3[Model-Input-Ref2],表格3[大小電])</f>
        <v>細電</v>
      </c>
      <c r="J4614" s="86" t="str">
        <f>_xlfn.XLOOKUP(表格1[[#This Row],[Model]],表格3[Model-Input-Ref2],表格3[Code])</f>
        <v>RAC</v>
      </c>
      <c r="K4614" s="89" t="s">
        <v>1761</v>
      </c>
      <c r="L4614" s="86">
        <v>1</v>
      </c>
      <c r="M4614" s="87">
        <v>2280</v>
      </c>
      <c r="N4614" s="87">
        <f>IFERROR(表格1[[#This Row],[QTY]]*表格1[[#This Row],[Unit Price]],"-")</f>
        <v>2280</v>
      </c>
      <c r="O4614" s="86" t="s">
        <v>2190</v>
      </c>
      <c r="P4614" s="86" t="s">
        <v>1102</v>
      </c>
      <c r="R4614" s="86" t="str">
        <f>_xlfn.CONCAT(表格1[[#This Row],[Model]]," ",表格1[[#This Row],[inv no]])</f>
        <v>RAD-D300H S055-10444</v>
      </c>
      <c r="S4614" s="86">
        <f>_xlfn.XLOOKUP(表格1[[#This Row],[Model]],表格3[Model-Input-Ref2],表格3[SRP PRICE])</f>
        <v>3380</v>
      </c>
      <c r="T4614" s="43">
        <f>表格1[[#This Row],[Unit Price]]/表格1[[#This Row],[SRP]]</f>
        <v>0.67455621301775148</v>
      </c>
      <c r="U4614" s="86" t="str">
        <f>_xlfn.XLOOKUP(表格1[[#This Row],[Model]],表格3[Model-Input-Ref2],表格3[TOSHIBA/HIGHEST])</f>
        <v>Shops Highest Price</v>
      </c>
      <c r="W4614" s="86" t="str">
        <f>_xlfn.CONCAT(表格1[[#This Row],[欄4]],表格1[[#This Row],[inv no]])</f>
        <v>S055-10444</v>
      </c>
    </row>
    <row r="4615" spans="1:23" hidden="1">
      <c r="A4615" s="81">
        <v>4613</v>
      </c>
      <c r="B4615" s="86" t="s">
        <v>2165</v>
      </c>
      <c r="C4615" s="86" t="s">
        <v>2227</v>
      </c>
      <c r="D4615" s="89" t="str">
        <f ca="1">OFFSET(Roster!$A$3,MATCH(表格1[[#This Row],[Location]]&amp;" "&amp;表格1[[#This Row],[Shop]]&amp;"*",Roster!$A$4:$A$72,0),DAY(表格1[[#This Row],[date]]),1,1)</f>
        <v>Anita_2</v>
      </c>
      <c r="E4615" s="86">
        <v>3</v>
      </c>
      <c r="F4615" s="90">
        <v>46095</v>
      </c>
      <c r="G4615" s="86" t="str">
        <f>VLOOKUP("*"&amp;表格1[[#This Row],[Input]]&amp;"*",'Ref-List'!$B:$D,2,)</f>
        <v>RC-18ISPH</v>
      </c>
      <c r="H4615" s="86" t="str">
        <f>_xlfn.XLOOKUP(表格1[[#This Row],[Model]],表格3[Model-Input-Ref2],表格3[Product Line])</f>
        <v>低醣磁應電飯煲1.8L</v>
      </c>
      <c r="I4615" s="86" t="str">
        <f>_xlfn.XLOOKUP(表格1[[#This Row],[Model]],表格3[Model-Input-Ref2],表格3[大小電])</f>
        <v>細電</v>
      </c>
      <c r="J4615" s="86" t="str">
        <f>_xlfn.XLOOKUP(表格1[[#This Row],[Model]],表格3[Model-Input-Ref2],表格3[Code])</f>
        <v>SDA</v>
      </c>
      <c r="K4615" s="89" t="s">
        <v>2170</v>
      </c>
      <c r="L4615" s="86">
        <v>1</v>
      </c>
      <c r="M4615" s="87">
        <v>898</v>
      </c>
      <c r="N4615" s="87">
        <f>IFERROR(表格1[[#This Row],[QTY]]*表格1[[#This Row],[Unit Price]],"-")</f>
        <v>898</v>
      </c>
      <c r="O4615" s="86" t="s">
        <v>2190</v>
      </c>
      <c r="P4615" s="86" t="s">
        <v>1102</v>
      </c>
      <c r="R4615" s="86" t="str">
        <f>_xlfn.CONCAT(表格1[[#This Row],[Model]]," ",表格1[[#This Row],[inv no]])</f>
        <v>RC-18ISPH S055-10444</v>
      </c>
      <c r="S4615" s="86">
        <f>_xlfn.XLOOKUP(表格1[[#This Row],[Model]],表格3[Model-Input-Ref2],表格3[SRP PRICE])</f>
        <v>1436</v>
      </c>
      <c r="T4615" s="43">
        <f>表格1[[#This Row],[Unit Price]]/表格1[[#This Row],[SRP]]</f>
        <v>0.62534818941504178</v>
      </c>
      <c r="U4615" s="86" t="str">
        <f>_xlfn.XLOOKUP(表格1[[#This Row],[Model]],表格3[Model-Input-Ref2],表格3[TOSHIBA/HIGHEST])</f>
        <v>Shops Highest Price</v>
      </c>
      <c r="W4615" s="86" t="str">
        <f>_xlfn.CONCAT(表格1[[#This Row],[欄4]],表格1[[#This Row],[inv no]])</f>
        <v>S055-10444</v>
      </c>
    </row>
    <row r="4616" spans="1:23" hidden="1">
      <c r="A4616" s="81">
        <v>4614</v>
      </c>
      <c r="B4616" s="86" t="s">
        <v>2165</v>
      </c>
      <c r="C4616" s="86" t="s">
        <v>2227</v>
      </c>
      <c r="D4616" s="89" t="str">
        <f ca="1">OFFSET(Roster!$A$3,MATCH(表格1[[#This Row],[Location]]&amp;" "&amp;表格1[[#This Row],[Shop]]&amp;"*",Roster!$A$4:$A$72,0),DAY(表格1[[#This Row],[date]]),1,1)</f>
        <v>Anita_2</v>
      </c>
      <c r="E4616" s="86">
        <v>3</v>
      </c>
      <c r="F4616" s="90">
        <v>46095</v>
      </c>
      <c r="G4616" s="86" t="str">
        <f>VLOOKUP("*"&amp;表格1[[#This Row],[Input]]&amp;"*",'Ref-List'!$B:$D,2,)</f>
        <v>RC-7HMH</v>
      </c>
      <c r="H4616" s="86" t="str">
        <f>_xlfn.XLOOKUP(表格1[[#This Row],[Model]],表格3[Model-Input-Ref2],表格3[Product Line])</f>
        <v>備長炭本厚釜電飯煲0.7L</v>
      </c>
      <c r="I4616" s="86" t="str">
        <f>_xlfn.XLOOKUP(表格1[[#This Row],[Model]],表格3[Model-Input-Ref2],表格3[大小電])</f>
        <v>細電</v>
      </c>
      <c r="J4616" s="86" t="str">
        <f>_xlfn.XLOOKUP(表格1[[#This Row],[Model]],表格3[Model-Input-Ref2],表格3[Code])</f>
        <v>SDA</v>
      </c>
      <c r="K4616" s="89" t="s">
        <v>2057</v>
      </c>
      <c r="L4616" s="86">
        <v>1</v>
      </c>
      <c r="M4616" s="87">
        <v>838</v>
      </c>
      <c r="N4616" s="87">
        <f>IFERROR(表格1[[#This Row],[QTY]]*表格1[[#This Row],[Unit Price]],"-")</f>
        <v>838</v>
      </c>
      <c r="O4616" s="86" t="s">
        <v>2192</v>
      </c>
      <c r="P4616" s="86" t="s">
        <v>1102</v>
      </c>
      <c r="R4616" s="86" t="str">
        <f>_xlfn.CONCAT(表格1[[#This Row],[Model]]," ",表格1[[#This Row],[inv no]])</f>
        <v>RC-7HMH S056-25326</v>
      </c>
      <c r="S4616" s="86">
        <f>_xlfn.XLOOKUP(表格1[[#This Row],[Model]],表格3[Model-Input-Ref2],表格3[SRP PRICE])</f>
        <v>1288</v>
      </c>
      <c r="T4616" s="43">
        <f>表格1[[#This Row],[Unit Price]]/表格1[[#This Row],[SRP]]</f>
        <v>0.65062111801242239</v>
      </c>
      <c r="U4616" s="86" t="str">
        <f>_xlfn.XLOOKUP(表格1[[#This Row],[Model]],表格3[Model-Input-Ref2],表格3[TOSHIBA/HIGHEST])</f>
        <v>Toshiba SRP</v>
      </c>
      <c r="W4616" s="86" t="str">
        <f>_xlfn.CONCAT(表格1[[#This Row],[欄4]],表格1[[#This Row],[inv no]])</f>
        <v>S056-25326</v>
      </c>
    </row>
    <row r="4617" spans="1:23" hidden="1">
      <c r="A4617" s="81">
        <v>4615</v>
      </c>
      <c r="B4617" s="86" t="s">
        <v>2165</v>
      </c>
      <c r="C4617" s="86" t="s">
        <v>2227</v>
      </c>
      <c r="D4617" s="89" t="str">
        <f ca="1">OFFSET(Roster!$A$3,MATCH(表格1[[#This Row],[Location]]&amp;" "&amp;表格1[[#This Row],[Shop]]&amp;"*",Roster!$A$4:$A$72,0),DAY(表格1[[#This Row],[date]]),1,1)</f>
        <v>Anita_2</v>
      </c>
      <c r="E4617" s="86">
        <v>3</v>
      </c>
      <c r="F4617" s="90">
        <v>46095</v>
      </c>
      <c r="G4617" s="86" t="str">
        <f>VLOOKUP("*"&amp;表格1[[#This Row],[Input]]&amp;"*",'Ref-List'!$B:$D,2,)</f>
        <v>MS3-STQ20SC(WH)</v>
      </c>
      <c r="H4617" s="86" t="str">
        <f>_xlfn.XLOOKUP(表格1[[#This Row],[Model]],表格3[Model-Input-Ref2],表格3[Product Line])</f>
        <v>20L 智能蒸氣焗爐</v>
      </c>
      <c r="I4617" s="86" t="str">
        <f>_xlfn.XLOOKUP(表格1[[#This Row],[Model]],表格3[Model-Input-Ref2],表格3[大小電])</f>
        <v>細電</v>
      </c>
      <c r="J4617" s="86" t="str">
        <f>_xlfn.XLOOKUP(表格1[[#This Row],[Model]],表格3[Model-Input-Ref2],表格3[Code])</f>
        <v>MCA</v>
      </c>
      <c r="K4617" s="89" t="s">
        <v>2171</v>
      </c>
      <c r="L4617" s="86">
        <v>1</v>
      </c>
      <c r="M4617" s="87">
        <v>2100</v>
      </c>
      <c r="N4617" s="87">
        <f>IFERROR(表格1[[#This Row],[QTY]]*表格1[[#This Row],[Unit Price]],"-")</f>
        <v>2100</v>
      </c>
      <c r="O4617" s="86" t="s">
        <v>2194</v>
      </c>
      <c r="P4617" s="86" t="s">
        <v>1102</v>
      </c>
      <c r="R4617" s="86" t="str">
        <f>_xlfn.CONCAT(表格1[[#This Row],[Model]]," ",表格1[[#This Row],[inv no]])</f>
        <v>MS3-STQ20SC(WH) S056-25334</v>
      </c>
      <c r="S4617" s="86">
        <f>_xlfn.XLOOKUP(表格1[[#This Row],[Model]],表格3[Model-Input-Ref2],表格3[SRP PRICE])</f>
        <v>2880</v>
      </c>
      <c r="T4617" s="43">
        <f>表格1[[#This Row],[Unit Price]]/表格1[[#This Row],[SRP]]</f>
        <v>0.72916666666666663</v>
      </c>
      <c r="U4617" s="86" t="str">
        <f>_xlfn.XLOOKUP(表格1[[#This Row],[Model]],表格3[Model-Input-Ref2],表格3[TOSHIBA/HIGHEST])</f>
        <v>Toshiba SRP</v>
      </c>
      <c r="W4617" s="86" t="str">
        <f>_xlfn.CONCAT(表格1[[#This Row],[欄4]],表格1[[#This Row],[inv no]])</f>
        <v>S056-25334</v>
      </c>
    </row>
    <row r="4618" spans="1:23" hidden="1">
      <c r="A4618" s="81">
        <v>4616</v>
      </c>
      <c r="B4618" s="86" t="s">
        <v>2165</v>
      </c>
      <c r="C4618" s="86" t="s">
        <v>2227</v>
      </c>
      <c r="D4618" s="89" t="str">
        <f ca="1">OFFSET(Roster!$A$3,MATCH(表格1[[#This Row],[Location]]&amp;" "&amp;表格1[[#This Row],[Shop]]&amp;"*",Roster!$A$4:$A$72,0),DAY(表格1[[#This Row],[date]]),1,1)</f>
        <v>Anita_2</v>
      </c>
      <c r="E4618" s="86">
        <v>3</v>
      </c>
      <c r="F4618" s="90">
        <v>46096</v>
      </c>
      <c r="G4618" s="86" t="str">
        <f>VLOOKUP("*"&amp;表格1[[#This Row],[Input]]&amp;"*",'Ref-List'!$B:$D,2,)</f>
        <v>TL2-MC25CZE(GR)</v>
      </c>
      <c r="H4618" s="86" t="str">
        <f>_xlfn.XLOOKUP(表格1[[#This Row],[Model]],表格3[Model-Input-Ref2],表格3[Product Line])</f>
        <v>多功能焗爐 (25公升)</v>
      </c>
      <c r="I4618" s="86" t="str">
        <f>_xlfn.XLOOKUP(表格1[[#This Row],[Model]],表格3[Model-Input-Ref2],表格3[大小電])</f>
        <v>細電</v>
      </c>
      <c r="J4618" s="86" t="str">
        <f>_xlfn.XLOOKUP(表格1[[#This Row],[Model]],表格3[Model-Input-Ref2],表格3[Code])</f>
        <v>MOA</v>
      </c>
      <c r="K4618" s="89" t="s">
        <v>2172</v>
      </c>
      <c r="L4618" s="86">
        <v>1</v>
      </c>
      <c r="M4618" s="87">
        <v>648</v>
      </c>
      <c r="N4618" s="87">
        <f>IFERROR(表格1[[#This Row],[QTY]]*表格1[[#This Row],[Unit Price]],"-")</f>
        <v>648</v>
      </c>
      <c r="O4618" s="86" t="s">
        <v>2196</v>
      </c>
      <c r="P4618" s="86" t="s">
        <v>1102</v>
      </c>
      <c r="R4618" s="86" t="str">
        <f>_xlfn.CONCAT(表格1[[#This Row],[Model]]," ",表格1[[#This Row],[inv no]])</f>
        <v>TL2-MC25CZE(GR) S053-2419</v>
      </c>
      <c r="S4618" s="86">
        <f>_xlfn.XLOOKUP(表格1[[#This Row],[Model]],表格3[Model-Input-Ref2],表格3[SRP PRICE])</f>
        <v>798</v>
      </c>
      <c r="T4618" s="43">
        <f>表格1[[#This Row],[Unit Price]]/表格1[[#This Row],[SRP]]</f>
        <v>0.81203007518796988</v>
      </c>
      <c r="U4618" s="86" t="str">
        <f>_xlfn.XLOOKUP(表格1[[#This Row],[Model]],表格3[Model-Input-Ref2],表格3[TOSHIBA/HIGHEST])</f>
        <v>Shops Highest Price</v>
      </c>
      <c r="W4618" s="86" t="str">
        <f>_xlfn.CONCAT(表格1[[#This Row],[欄4]],表格1[[#This Row],[inv no]])</f>
        <v>S053-2419</v>
      </c>
    </row>
    <row r="4619" spans="1:23" hidden="1">
      <c r="A4619" s="81">
        <v>4617</v>
      </c>
      <c r="B4619" s="86" t="s">
        <v>2165</v>
      </c>
      <c r="C4619" s="86" t="s">
        <v>2227</v>
      </c>
      <c r="D4619" s="89" t="str">
        <f ca="1">OFFSET(Roster!$A$3,MATCH(表格1[[#This Row],[Location]]&amp;" "&amp;表格1[[#This Row],[Shop]]&amp;"*",Roster!$A$4:$A$72,0),DAY(表格1[[#This Row],[date]]),1,1)</f>
        <v>Anita_2</v>
      </c>
      <c r="E4619" s="86">
        <v>3</v>
      </c>
      <c r="F4619" s="90">
        <v>46096</v>
      </c>
      <c r="G4619" s="86" t="str">
        <f>VLOOKUP("*"&amp;表格1[[#This Row],[Input]]&amp;"*",'Ref-List'!$B:$D,2,)</f>
        <v>RC-10AMXH(W)</v>
      </c>
      <c r="H4619" s="86" t="str">
        <f>_xlfn.XLOOKUP(表格1[[#This Row],[Model]],表格3[Model-Input-Ref2],表格3[Product Line])</f>
        <v>酵活炊電飯煲(1.0公升)</v>
      </c>
      <c r="I4619" s="86" t="str">
        <f>_xlfn.XLOOKUP(表格1[[#This Row],[Model]],表格3[Model-Input-Ref2],表格3[大小電])</f>
        <v>細電</v>
      </c>
      <c r="J4619" s="86" t="str">
        <f>_xlfn.XLOOKUP(表格1[[#This Row],[Model]],表格3[Model-Input-Ref2],表格3[Code])</f>
        <v>SDA</v>
      </c>
      <c r="K4619" s="89" t="s">
        <v>1956</v>
      </c>
      <c r="L4619" s="86">
        <v>1</v>
      </c>
      <c r="M4619" s="87">
        <v>990</v>
      </c>
      <c r="N4619" s="87">
        <f>IFERROR(表格1[[#This Row],[QTY]]*表格1[[#This Row],[Unit Price]],"-")</f>
        <v>990</v>
      </c>
      <c r="O4619" s="86" t="s">
        <v>2196</v>
      </c>
      <c r="P4619" s="86" t="s">
        <v>1102</v>
      </c>
      <c r="R4619" s="86" t="str">
        <f>_xlfn.CONCAT(表格1[[#This Row],[Model]]," ",表格1[[#This Row],[inv no]])</f>
        <v>RC-10AMXH(W) S053-2419</v>
      </c>
      <c r="S4619" s="86">
        <f>_xlfn.XLOOKUP(表格1[[#This Row],[Model]],表格3[Model-Input-Ref2],表格3[SRP PRICE])</f>
        <v>1288</v>
      </c>
      <c r="T4619" s="43">
        <f>表格1[[#This Row],[Unit Price]]/表格1[[#This Row],[SRP]]</f>
        <v>0.76863354037267084</v>
      </c>
      <c r="U4619" s="86" t="str">
        <f>_xlfn.XLOOKUP(表格1[[#This Row],[Model]],表格3[Model-Input-Ref2],表格3[TOSHIBA/HIGHEST])</f>
        <v>Toshiba SRP</v>
      </c>
      <c r="W4619" s="86" t="str">
        <f>_xlfn.CONCAT(表格1[[#This Row],[欄4]],表格1[[#This Row],[inv no]])</f>
        <v>S053-2419</v>
      </c>
    </row>
    <row r="4620" spans="1:23" hidden="1">
      <c r="A4620" s="81">
        <v>4618</v>
      </c>
      <c r="B4620" s="86" t="s">
        <v>2165</v>
      </c>
      <c r="C4620" s="86" t="s">
        <v>2227</v>
      </c>
      <c r="D4620" s="89" t="str">
        <f ca="1">OFFSET(Roster!$A$3,MATCH(表格1[[#This Row],[Location]]&amp;" "&amp;表格1[[#This Row],[Shop]]&amp;"*",Roster!$A$4:$A$72,0),DAY(表格1[[#This Row],[date]]),1,1)</f>
        <v>Anita_2</v>
      </c>
      <c r="E4620" s="86">
        <v>3</v>
      </c>
      <c r="F4620" s="90">
        <v>46096</v>
      </c>
      <c r="G4620" s="86" t="str">
        <f>VLOOKUP("*"&amp;表格1[[#This Row],[Input]]&amp;"*",'Ref-List'!$B:$D,2,)</f>
        <v>F-LYA20(W)HKG</v>
      </c>
      <c r="H4620" s="86" t="str">
        <f>_xlfn.XLOOKUP(表格1[[#This Row],[Model]],表格3[Model-Input-Ref2],表格3[Product Line])</f>
        <v>12吋2合1座地座檯電風扇連遙控</v>
      </c>
      <c r="I4620" s="86" t="str">
        <f>_xlfn.XLOOKUP(表格1[[#This Row],[Model]],表格3[Model-Input-Ref2],表格3[大小電])</f>
        <v>細電</v>
      </c>
      <c r="J4620" s="86" t="str">
        <f>_xlfn.XLOOKUP(表格1[[#This Row],[Model]],表格3[Model-Input-Ref2],表格3[Code])</f>
        <v>EAD</v>
      </c>
      <c r="K4620" s="89" t="s">
        <v>2052</v>
      </c>
      <c r="L4620" s="86">
        <v>1</v>
      </c>
      <c r="M4620" s="87">
        <v>398</v>
      </c>
      <c r="N4620" s="87">
        <f>IFERROR(表格1[[#This Row],[QTY]]*表格1[[#This Row],[Unit Price]],"-")</f>
        <v>398</v>
      </c>
      <c r="O4620" s="86" t="s">
        <v>2196</v>
      </c>
      <c r="P4620" s="86" t="s">
        <v>1102</v>
      </c>
      <c r="R4620" s="86" t="str">
        <f>_xlfn.CONCAT(表格1[[#This Row],[Model]]," ",表格1[[#This Row],[inv no]])</f>
        <v>F-LYA20(W)HKG S053-2419</v>
      </c>
      <c r="S4620" s="86">
        <f>_xlfn.XLOOKUP(表格1[[#This Row],[Model]],表格3[Model-Input-Ref2],表格3[SRP PRICE])</f>
        <v>988</v>
      </c>
      <c r="T4620" s="43">
        <f>表格1[[#This Row],[Unit Price]]/表格1[[#This Row],[SRP]]</f>
        <v>0.40283400809716602</v>
      </c>
      <c r="U4620" s="86" t="str">
        <f>_xlfn.XLOOKUP(表格1[[#This Row],[Model]],表格3[Model-Input-Ref2],表格3[TOSHIBA/HIGHEST])</f>
        <v>Toshiba SRP</v>
      </c>
      <c r="W4620" s="86" t="str">
        <f>_xlfn.CONCAT(表格1[[#This Row],[欄4]],表格1[[#This Row],[inv no]])</f>
        <v>S053-2419</v>
      </c>
    </row>
    <row r="4621" spans="1:23" hidden="1">
      <c r="A4621" s="81">
        <v>4619</v>
      </c>
      <c r="B4621" s="86" t="s">
        <v>2165</v>
      </c>
      <c r="C4621" s="86" t="s">
        <v>2227</v>
      </c>
      <c r="D4621" s="89" t="str">
        <f ca="1">OFFSET(Roster!$A$3,MATCH(表格1[[#This Row],[Location]]&amp;" "&amp;表格1[[#This Row],[Shop]]&amp;"*",Roster!$A$4:$A$72,0),DAY(表格1[[#This Row],[date]]),1,1)</f>
        <v>Anita_2</v>
      </c>
      <c r="E4621" s="86">
        <v>3</v>
      </c>
      <c r="F4621" s="90">
        <v>46096</v>
      </c>
      <c r="G4621" s="86" t="str">
        <f>VLOOKUP("*"&amp;表格1[[#This Row],[Input]]&amp;"*",'Ref-List'!$B:$D,2,)</f>
        <v>MX2-STR25SC(WH)</v>
      </c>
      <c r="H4621" s="86" t="str">
        <f>_xlfn.XLOOKUP(表格1[[#This Row],[Model]],表格3[Model-Input-Ref2],表格3[Product Line])</f>
        <v>4合1氣炸微波蒸焗爐(25公升)</v>
      </c>
      <c r="I4621" s="86" t="str">
        <f>_xlfn.XLOOKUP(表格1[[#This Row],[Model]],表格3[Model-Input-Ref2],表格3[大小電])</f>
        <v>細電</v>
      </c>
      <c r="J4621" s="86" t="str">
        <f>_xlfn.XLOOKUP(表格1[[#This Row],[Model]],表格3[Model-Input-Ref2],表格3[Code])</f>
        <v>MCA</v>
      </c>
      <c r="K4621" s="89" t="s">
        <v>2169</v>
      </c>
      <c r="L4621" s="86">
        <v>1</v>
      </c>
      <c r="M4621" s="87">
        <v>3580</v>
      </c>
      <c r="N4621" s="87">
        <f>IFERROR(表格1[[#This Row],[QTY]]*表格1[[#This Row],[Unit Price]],"-")</f>
        <v>3580</v>
      </c>
      <c r="O4621" s="86" t="s">
        <v>2198</v>
      </c>
      <c r="P4621" s="86" t="s">
        <v>1102</v>
      </c>
      <c r="R4621" s="86" t="str">
        <f>_xlfn.CONCAT(表格1[[#This Row],[Model]]," ",表格1[[#This Row],[inv no]])</f>
        <v>MX2-STR25SC(WH) S053-2418</v>
      </c>
      <c r="S4621" s="86">
        <f>_xlfn.XLOOKUP(表格1[[#This Row],[Model]],表格3[Model-Input-Ref2],表格3[SRP PRICE])</f>
        <v>4998</v>
      </c>
      <c r="T4621" s="43">
        <f>表格1[[#This Row],[Unit Price]]/表格1[[#This Row],[SRP]]</f>
        <v>0.71628651460584236</v>
      </c>
      <c r="U4621" s="86" t="str">
        <f>_xlfn.XLOOKUP(表格1[[#This Row],[Model]],表格3[Model-Input-Ref2],表格3[TOSHIBA/HIGHEST])</f>
        <v>Toshiba SRP</v>
      </c>
      <c r="W4621" s="86" t="str">
        <f>_xlfn.CONCAT(表格1[[#This Row],[欄4]],表格1[[#This Row],[inv no]])</f>
        <v>S053-2418</v>
      </c>
    </row>
    <row r="4622" spans="1:23" hidden="1">
      <c r="A4622" s="81">
        <v>4620</v>
      </c>
      <c r="B4622" s="86" t="s">
        <v>2165</v>
      </c>
      <c r="C4622" s="86" t="s">
        <v>2227</v>
      </c>
      <c r="D4622" s="89" t="str">
        <f ca="1">OFFSET(Roster!$A$3,MATCH(表格1[[#This Row],[Location]]&amp;" "&amp;表格1[[#This Row],[Shop]]&amp;"*",Roster!$A$4:$A$72,0),DAY(表格1[[#This Row],[date]]),1,1)</f>
        <v>Anita_2</v>
      </c>
      <c r="E4622" s="86">
        <v>3</v>
      </c>
      <c r="F4622" s="90">
        <v>46096</v>
      </c>
      <c r="G4622" s="86" t="str">
        <f>VLOOKUP("*"&amp;表格1[[#This Row],[Input]]&amp;"*",'Ref-List'!$B:$D,2,)</f>
        <v>RC-10AMXH(W)</v>
      </c>
      <c r="H4622" s="86" t="str">
        <f>_xlfn.XLOOKUP(表格1[[#This Row],[Model]],表格3[Model-Input-Ref2],表格3[Product Line])</f>
        <v>酵活炊電飯煲(1.0公升)</v>
      </c>
      <c r="I4622" s="86" t="str">
        <f>_xlfn.XLOOKUP(表格1[[#This Row],[Model]],表格3[Model-Input-Ref2],表格3[大小電])</f>
        <v>細電</v>
      </c>
      <c r="J4622" s="86" t="str">
        <f>_xlfn.XLOOKUP(表格1[[#This Row],[Model]],表格3[Model-Input-Ref2],表格3[Code])</f>
        <v>SDA</v>
      </c>
      <c r="K4622" s="89" t="s">
        <v>1956</v>
      </c>
      <c r="L4622" s="86">
        <v>1</v>
      </c>
      <c r="M4622" s="87">
        <v>1000</v>
      </c>
      <c r="N4622" s="87">
        <f>IFERROR(表格1[[#This Row],[QTY]]*表格1[[#This Row],[Unit Price]],"-")</f>
        <v>1000</v>
      </c>
      <c r="O4622" s="86" t="s">
        <v>2200</v>
      </c>
      <c r="P4622" s="86" t="s">
        <v>1103</v>
      </c>
      <c r="R4622" s="86" t="str">
        <f>_xlfn.CONCAT(表格1[[#This Row],[Model]]," ",表格1[[#This Row],[inv no]])</f>
        <v>RC-10AMXH(W) S053-2420</v>
      </c>
      <c r="S4622" s="86">
        <f>_xlfn.XLOOKUP(表格1[[#This Row],[Model]],表格3[Model-Input-Ref2],表格3[SRP PRICE])</f>
        <v>1288</v>
      </c>
      <c r="T4622" s="43">
        <f>表格1[[#This Row],[Unit Price]]/表格1[[#This Row],[SRP]]</f>
        <v>0.77639751552795033</v>
      </c>
      <c r="U4622" s="86" t="str">
        <f>_xlfn.XLOOKUP(表格1[[#This Row],[Model]],表格3[Model-Input-Ref2],表格3[TOSHIBA/HIGHEST])</f>
        <v>Toshiba SRP</v>
      </c>
      <c r="W4622" s="86" t="str">
        <f>_xlfn.CONCAT(表格1[[#This Row],[欄4]],表格1[[#This Row],[inv no]])</f>
        <v>S053-2420</v>
      </c>
    </row>
    <row r="4623" spans="1:23" hidden="1">
      <c r="A4623" s="81">
        <v>4621</v>
      </c>
      <c r="B4623" s="86" t="s">
        <v>2165</v>
      </c>
      <c r="C4623" s="86" t="s">
        <v>2227</v>
      </c>
      <c r="D4623" s="89" t="str">
        <f ca="1">OFFSET(Roster!$A$3,MATCH(表格1[[#This Row],[Location]]&amp;" "&amp;表格1[[#This Row],[Shop]]&amp;"*",Roster!$A$4:$A$72,0),DAY(表格1[[#This Row],[date]]),1,1)</f>
        <v>Anita_2</v>
      </c>
      <c r="E4623" s="86">
        <v>3</v>
      </c>
      <c r="F4623" s="90">
        <v>46096</v>
      </c>
      <c r="G4623" s="86" t="str">
        <f>VLOOKUP("*"&amp;表格1[[#This Row],[Input]]&amp;"*",'Ref-List'!$B:$D,2,)</f>
        <v>TWD-T22BU95UWH(WK)-B</v>
      </c>
      <c r="H4623" s="86" t="str">
        <f>_xlfn.XLOOKUP(表格1[[#This Row],[Model]],表格3[Model-Input-Ref2],表格3[Product Line])</f>
        <v>470MM超薄身前置式變頻洗衣乾衣機 (洗8.5公斤/乾6公斤, 可飛頂)</v>
      </c>
      <c r="I4623" s="86" t="str">
        <f>_xlfn.XLOOKUP(表格1[[#This Row],[Model]],表格3[Model-Input-Ref2],表格3[大小電])</f>
        <v>大電</v>
      </c>
      <c r="J4623" s="86" t="str">
        <f>_xlfn.XLOOKUP(表格1[[#This Row],[Model]],表格3[Model-Input-Ref2],表格3[Code])</f>
        <v>LAD</v>
      </c>
      <c r="K4623" s="89" t="s">
        <v>2173</v>
      </c>
      <c r="L4623" s="86">
        <v>1</v>
      </c>
      <c r="M4623" s="87">
        <v>3680</v>
      </c>
      <c r="N4623" s="87">
        <f>IFERROR(表格1[[#This Row],[QTY]]*表格1[[#This Row],[Unit Price]],"-")</f>
        <v>3680</v>
      </c>
      <c r="O4623" s="86" t="s">
        <v>2202</v>
      </c>
      <c r="P4623" s="86" t="s">
        <v>1102</v>
      </c>
      <c r="R4623" s="86" t="str">
        <f>_xlfn.CONCAT(表格1[[#This Row],[Model]]," ",表格1[[#This Row],[inv no]])</f>
        <v>TWD-T22BU95UWH(WK)-B S053-2421</v>
      </c>
      <c r="S4623" s="86">
        <f>_xlfn.XLOOKUP(表格1[[#This Row],[Model]],表格3[Model-Input-Ref2],表格3[SRP PRICE])</f>
        <v>7480</v>
      </c>
      <c r="T4623" s="43">
        <f>表格1[[#This Row],[Unit Price]]/表格1[[#This Row],[SRP]]</f>
        <v>0.49197860962566847</v>
      </c>
      <c r="U4623" s="86" t="str">
        <f>_xlfn.XLOOKUP(表格1[[#This Row],[Model]],表格3[Model-Input-Ref2],表格3[TOSHIBA/HIGHEST])</f>
        <v>Toshiba SRP</v>
      </c>
      <c r="W4623" s="86" t="str">
        <f>_xlfn.CONCAT(表格1[[#This Row],[欄4]],表格1[[#This Row],[inv no]])</f>
        <v>S053-2421</v>
      </c>
    </row>
    <row r="4624" spans="1:23" hidden="1">
      <c r="A4624" s="81">
        <v>4622</v>
      </c>
      <c r="B4624" s="86" t="s">
        <v>2165</v>
      </c>
      <c r="C4624" s="86" t="s">
        <v>2227</v>
      </c>
      <c r="D4624" s="89" t="str">
        <f ca="1">OFFSET(Roster!$A$3,MATCH(表格1[[#This Row],[Location]]&amp;" "&amp;表格1[[#This Row],[Shop]]&amp;"*",Roster!$A$4:$A$72,0),DAY(表格1[[#This Row],[date]]),1,1)</f>
        <v>Anita_2</v>
      </c>
      <c r="E4624" s="86">
        <v>3</v>
      </c>
      <c r="F4624" s="90">
        <v>46096</v>
      </c>
      <c r="G4624" s="86" t="str">
        <f>VLOOKUP("*"&amp;表格1[[#This Row],[Input]]&amp;"*",'Ref-List'!$B:$D,2,)</f>
        <v>GR-RT300WE-PMA(57)</v>
      </c>
      <c r="H4624" s="86" t="str">
        <f>_xlfn.XLOOKUP(表格1[[#This Row],[Model]],表格3[Model-Input-Ref2],表格3[Product Line])</f>
        <v>變頻式環保雙門雪櫃(233L)</v>
      </c>
      <c r="I4624" s="86" t="str">
        <f>_xlfn.XLOOKUP(表格1[[#This Row],[Model]],表格3[Model-Input-Ref2],表格3[大小電])</f>
        <v>大電</v>
      </c>
      <c r="J4624" s="86" t="str">
        <f>_xlfn.XLOOKUP(表格1[[#This Row],[Model]],表格3[Model-Input-Ref2],表格3[Code])</f>
        <v>REF</v>
      </c>
      <c r="K4624" s="89" t="s">
        <v>2029</v>
      </c>
      <c r="L4624" s="86">
        <v>1</v>
      </c>
      <c r="M4624" s="87">
        <v>2780</v>
      </c>
      <c r="N4624" s="87">
        <f>IFERROR(表格1[[#This Row],[QTY]]*表格1[[#This Row],[Unit Price]],"-")</f>
        <v>2780</v>
      </c>
      <c r="O4624" s="86" t="s">
        <v>2202</v>
      </c>
      <c r="P4624" s="86" t="s">
        <v>1102</v>
      </c>
      <c r="R4624" s="86" t="str">
        <f>_xlfn.CONCAT(表格1[[#This Row],[Model]]," ",表格1[[#This Row],[inv no]])</f>
        <v>GR-RT300WE-PMA(57) S053-2421</v>
      </c>
      <c r="S4624" s="86">
        <f>_xlfn.XLOOKUP(表格1[[#This Row],[Model]],表格3[Model-Input-Ref2],表格3[SRP PRICE])</f>
        <v>4280</v>
      </c>
      <c r="T4624" s="43">
        <f>表格1[[#This Row],[Unit Price]]/表格1[[#This Row],[SRP]]</f>
        <v>0.64953271028037385</v>
      </c>
      <c r="U4624" s="86" t="str">
        <f>_xlfn.XLOOKUP(表格1[[#This Row],[Model]],表格3[Model-Input-Ref2],表格3[TOSHIBA/HIGHEST])</f>
        <v>Toshiba SRP</v>
      </c>
      <c r="W4624" s="86" t="str">
        <f>_xlfn.CONCAT(表格1[[#This Row],[欄4]],表格1[[#This Row],[inv no]])</f>
        <v>S053-2421</v>
      </c>
    </row>
    <row r="4625" spans="1:23" hidden="1">
      <c r="A4625" s="81">
        <v>4623</v>
      </c>
      <c r="B4625" s="86" t="s">
        <v>2165</v>
      </c>
      <c r="C4625" s="86" t="s">
        <v>2227</v>
      </c>
      <c r="D4625" s="89" t="str">
        <f ca="1">OFFSET(Roster!$A$3,MATCH(表格1[[#This Row],[Location]]&amp;" "&amp;表格1[[#This Row],[Shop]]&amp;"*",Roster!$A$4:$A$72,0),DAY(表格1[[#This Row],[date]]),1,1)</f>
        <v>Anita_2</v>
      </c>
      <c r="E4625" s="86">
        <v>3</v>
      </c>
      <c r="F4625" s="90">
        <v>46096</v>
      </c>
      <c r="G4625" s="86" t="str">
        <f>VLOOKUP("*"&amp;表格1[[#This Row],[Input]]&amp;"*",'Ref-List'!$B:$D,2,)</f>
        <v>MM2-EM20PC(WH)</v>
      </c>
      <c r="H4625" s="86" t="str">
        <f>_xlfn.XLOOKUP(表格1[[#This Row],[Model]],表格3[Model-Input-Ref2],表格3[Product Line])</f>
        <v>輕觸式微波爐 (20公升)</v>
      </c>
      <c r="I4625" s="86" t="str">
        <f>_xlfn.XLOOKUP(表格1[[#This Row],[Model]],表格3[Model-Input-Ref2],表格3[大小電])</f>
        <v>細電</v>
      </c>
      <c r="J4625" s="86" t="str">
        <f>_xlfn.XLOOKUP(表格1[[#This Row],[Model]],表格3[Model-Input-Ref2],表格3[Code])</f>
        <v>MCA</v>
      </c>
      <c r="K4625" s="89" t="s">
        <v>1947</v>
      </c>
      <c r="L4625" s="86">
        <v>1</v>
      </c>
      <c r="M4625" s="87">
        <v>598</v>
      </c>
      <c r="N4625" s="87">
        <f>IFERROR(表格1[[#This Row],[QTY]]*表格1[[#This Row],[Unit Price]],"-")</f>
        <v>598</v>
      </c>
      <c r="O4625" s="86" t="s">
        <v>2202</v>
      </c>
      <c r="P4625" s="86" t="s">
        <v>1102</v>
      </c>
      <c r="R4625" s="86" t="str">
        <f>_xlfn.CONCAT(表格1[[#This Row],[Model]]," ",表格1[[#This Row],[inv no]])</f>
        <v>MM2-EM20PC(WH) S053-2421</v>
      </c>
      <c r="S4625" s="86">
        <f>_xlfn.XLOOKUP(表格1[[#This Row],[Model]],表格3[Model-Input-Ref2],表格3[SRP PRICE])</f>
        <v>788</v>
      </c>
      <c r="T4625" s="43">
        <f>表格1[[#This Row],[Unit Price]]/表格1[[#This Row],[SRP]]</f>
        <v>0.75888324873096447</v>
      </c>
      <c r="U4625" s="86" t="str">
        <f>_xlfn.XLOOKUP(表格1[[#This Row],[Model]],表格3[Model-Input-Ref2],表格3[TOSHIBA/HIGHEST])</f>
        <v>Toshiba SRP</v>
      </c>
      <c r="W4625" s="86" t="str">
        <f>_xlfn.CONCAT(表格1[[#This Row],[欄4]],表格1[[#This Row],[inv no]])</f>
        <v>S053-2421</v>
      </c>
    </row>
    <row r="4626" spans="1:23" hidden="1">
      <c r="A4626" s="81">
        <v>4624</v>
      </c>
      <c r="B4626" s="86" t="s">
        <v>2165</v>
      </c>
      <c r="C4626" s="86" t="s">
        <v>2227</v>
      </c>
      <c r="D4626" s="89" t="str">
        <f ca="1">OFFSET(Roster!$A$3,MATCH(表格1[[#This Row],[Location]]&amp;" "&amp;表格1[[#This Row],[Shop]]&amp;"*",Roster!$A$4:$A$72,0),DAY(表格1[[#This Row],[date]]),1,1)</f>
        <v>Anita_2</v>
      </c>
      <c r="E4626" s="86">
        <v>3</v>
      </c>
      <c r="F4626" s="90">
        <v>46096</v>
      </c>
      <c r="G4626" s="86" t="str">
        <f>VLOOKUP("*"&amp;表格1[[#This Row],[Input]]&amp;"*",'Ref-List'!$B:$D,2,)</f>
        <v>RC-DR10T(W)</v>
      </c>
      <c r="H4626" s="86" t="str">
        <f>_xlfn.XLOOKUP(表格1[[#This Row],[Model]],表格3[Model-Input-Ref2],表格3[Product Line])</f>
        <v>IH磁應電飯煲</v>
      </c>
      <c r="I4626" s="86" t="str">
        <f>_xlfn.XLOOKUP(表格1[[#This Row],[Model]],表格3[Model-Input-Ref2],表格3[大小電])</f>
        <v>細電</v>
      </c>
      <c r="J4626" s="86" t="str">
        <f>_xlfn.XLOOKUP(表格1[[#This Row],[Model]],表格3[Model-Input-Ref2],表格3[Code])</f>
        <v>SDA</v>
      </c>
      <c r="K4626" s="89" t="s">
        <v>2087</v>
      </c>
      <c r="L4626" s="86">
        <v>1</v>
      </c>
      <c r="M4626" s="87">
        <v>2380</v>
      </c>
      <c r="N4626" s="87">
        <f>IFERROR(表格1[[#This Row],[QTY]]*表格1[[#This Row],[Unit Price]],"-")</f>
        <v>2380</v>
      </c>
      <c r="O4626" s="86" t="s">
        <v>2204</v>
      </c>
      <c r="P4626" s="86" t="s">
        <v>1103</v>
      </c>
      <c r="R4626" s="86" t="str">
        <f>_xlfn.CONCAT(表格1[[#This Row],[Model]]," ",表格1[[#This Row],[inv no]])</f>
        <v>RC-DR10T(W) S053-2422</v>
      </c>
      <c r="S4626" s="86">
        <f>_xlfn.XLOOKUP(表格1[[#This Row],[Model]],表格3[Model-Input-Ref2],表格3[SRP PRICE])</f>
        <v>3188</v>
      </c>
      <c r="T4626" s="43">
        <f>表格1[[#This Row],[Unit Price]]/表格1[[#This Row],[SRP]]</f>
        <v>0.74654956085319946</v>
      </c>
      <c r="U4626" s="86" t="str">
        <f>_xlfn.XLOOKUP(表格1[[#This Row],[Model]],表格3[Model-Input-Ref2],表格3[TOSHIBA/HIGHEST])</f>
        <v>Toshiba SRP</v>
      </c>
      <c r="W4626" s="86" t="str">
        <f>_xlfn.CONCAT(表格1[[#This Row],[欄4]],表格1[[#This Row],[inv no]])</f>
        <v>S053-2422</v>
      </c>
    </row>
    <row r="4627" spans="1:23" hidden="1">
      <c r="A4627" s="81">
        <v>4625</v>
      </c>
      <c r="B4627" s="86" t="s">
        <v>2165</v>
      </c>
      <c r="C4627" s="86" t="s">
        <v>2227</v>
      </c>
      <c r="D4627" s="89" t="str">
        <f ca="1">OFFSET(Roster!$A$3,MATCH(表格1[[#This Row],[Location]]&amp;" "&amp;表格1[[#This Row],[Shop]]&amp;"*",Roster!$A$4:$A$72,0),DAY(表格1[[#This Row],[date]]),1,1)</f>
        <v>Anita_2</v>
      </c>
      <c r="E4627" s="86">
        <v>3</v>
      </c>
      <c r="F4627" s="90">
        <v>46096</v>
      </c>
      <c r="G4627" s="86" t="str">
        <f>VLOOKUP("*"&amp;表格1[[#This Row],[Input]]&amp;"*",'Ref-List'!$B:$D,2,)</f>
        <v>RAD-D300H</v>
      </c>
      <c r="H4627" s="86" t="str">
        <f>_xlfn.XLOOKUP(表格1[[#This Row],[Model]],表格3[Model-Input-Ref2],表格3[Product Line])</f>
        <v>壓縮式抽濕機 (30公升)</v>
      </c>
      <c r="I4627" s="86" t="str">
        <f>_xlfn.XLOOKUP(表格1[[#This Row],[Model]],表格3[Model-Input-Ref2],表格3[大小電])</f>
        <v>細電</v>
      </c>
      <c r="J4627" s="86" t="str">
        <f>_xlfn.XLOOKUP(表格1[[#This Row],[Model]],表格3[Model-Input-Ref2],表格3[Code])</f>
        <v>RAC</v>
      </c>
      <c r="K4627" s="89" t="s">
        <v>1761</v>
      </c>
      <c r="L4627" s="86">
        <v>1</v>
      </c>
      <c r="M4627" s="87">
        <v>2280</v>
      </c>
      <c r="N4627" s="87">
        <f>IFERROR(表格1[[#This Row],[QTY]]*表格1[[#This Row],[Unit Price]],"-")</f>
        <v>2280</v>
      </c>
      <c r="O4627" s="86" t="s">
        <v>2206</v>
      </c>
      <c r="P4627" s="86" t="s">
        <v>1102</v>
      </c>
      <c r="R4627" s="86" t="str">
        <f>_xlfn.CONCAT(表格1[[#This Row],[Model]]," ",表格1[[#This Row],[inv no]])</f>
        <v>RAD-D300H S053-2433</v>
      </c>
      <c r="S4627" s="86">
        <f>_xlfn.XLOOKUP(表格1[[#This Row],[Model]],表格3[Model-Input-Ref2],表格3[SRP PRICE])</f>
        <v>3380</v>
      </c>
      <c r="T4627" s="43">
        <f>表格1[[#This Row],[Unit Price]]/表格1[[#This Row],[SRP]]</f>
        <v>0.67455621301775148</v>
      </c>
      <c r="U4627" s="86" t="str">
        <f>_xlfn.XLOOKUP(表格1[[#This Row],[Model]],表格3[Model-Input-Ref2],表格3[TOSHIBA/HIGHEST])</f>
        <v>Shops Highest Price</v>
      </c>
      <c r="W4627" s="86" t="str">
        <f>_xlfn.CONCAT(表格1[[#This Row],[欄4]],表格1[[#This Row],[inv no]])</f>
        <v>S053-2433</v>
      </c>
    </row>
    <row r="4628" spans="1:23" hidden="1">
      <c r="A4628" s="81">
        <v>4626</v>
      </c>
      <c r="B4628" s="86" t="s">
        <v>2165</v>
      </c>
      <c r="C4628" s="86" t="s">
        <v>2227</v>
      </c>
      <c r="D4628" s="89" t="str">
        <f ca="1">OFFSET(Roster!$A$3,MATCH(表格1[[#This Row],[Location]]&amp;" "&amp;表格1[[#This Row],[Shop]]&amp;"*",Roster!$A$4:$A$72,0),DAY(表格1[[#This Row],[date]]),1,1)</f>
        <v>Anita_2</v>
      </c>
      <c r="E4628" s="86">
        <v>3</v>
      </c>
      <c r="F4628" s="90">
        <v>46096</v>
      </c>
      <c r="G4628" s="86" t="str">
        <f>VLOOKUP("*"&amp;表格1[[#This Row],[Input]]&amp;"*",'Ref-List'!$B:$D,2,)</f>
        <v>RC-DR10T(W)</v>
      </c>
      <c r="H4628" s="86" t="str">
        <f>_xlfn.XLOOKUP(表格1[[#This Row],[Model]],表格3[Model-Input-Ref2],表格3[Product Line])</f>
        <v>IH磁應電飯煲</v>
      </c>
      <c r="I4628" s="86" t="str">
        <f>_xlfn.XLOOKUP(表格1[[#This Row],[Model]],表格3[Model-Input-Ref2],表格3[大小電])</f>
        <v>細電</v>
      </c>
      <c r="J4628" s="86" t="str">
        <f>_xlfn.XLOOKUP(表格1[[#This Row],[Model]],表格3[Model-Input-Ref2],表格3[Code])</f>
        <v>SDA</v>
      </c>
      <c r="K4628" s="89" t="s">
        <v>2087</v>
      </c>
      <c r="L4628" s="86">
        <v>1</v>
      </c>
      <c r="M4628" s="87">
        <v>2380</v>
      </c>
      <c r="N4628" s="87">
        <f>IFERROR(表格1[[#This Row],[QTY]]*表格1[[#This Row],[Unit Price]],"-")</f>
        <v>2380</v>
      </c>
      <c r="O4628" s="86" t="s">
        <v>2208</v>
      </c>
      <c r="P4628" s="86" t="s">
        <v>1103</v>
      </c>
      <c r="R4628" s="86" t="str">
        <f>_xlfn.CONCAT(表格1[[#This Row],[Model]]," ",表格1[[#This Row],[inv no]])</f>
        <v>RC-DR10T(W) S053-2435</v>
      </c>
      <c r="S4628" s="86">
        <f>_xlfn.XLOOKUP(表格1[[#This Row],[Model]],表格3[Model-Input-Ref2],表格3[SRP PRICE])</f>
        <v>3188</v>
      </c>
      <c r="T4628" s="43">
        <f>表格1[[#This Row],[Unit Price]]/表格1[[#This Row],[SRP]]</f>
        <v>0.74654956085319946</v>
      </c>
      <c r="U4628" s="86" t="str">
        <f>_xlfn.XLOOKUP(表格1[[#This Row],[Model]],表格3[Model-Input-Ref2],表格3[TOSHIBA/HIGHEST])</f>
        <v>Toshiba SRP</v>
      </c>
      <c r="W4628" s="86" t="str">
        <f>_xlfn.CONCAT(表格1[[#This Row],[欄4]],表格1[[#This Row],[inv no]])</f>
        <v>S053-2435</v>
      </c>
    </row>
    <row r="4629" spans="1:23" hidden="1">
      <c r="A4629" s="81">
        <v>4627</v>
      </c>
      <c r="B4629" s="86" t="s">
        <v>2165</v>
      </c>
      <c r="C4629" s="86" t="s">
        <v>2227</v>
      </c>
      <c r="D4629" s="89" t="str">
        <f ca="1">OFFSET(Roster!$A$3,MATCH(表格1[[#This Row],[Location]]&amp;" "&amp;表格1[[#This Row],[Shop]]&amp;"*",Roster!$A$4:$A$72,0),DAY(表格1[[#This Row],[date]]),1,1)</f>
        <v>Anita_2</v>
      </c>
      <c r="E4629" s="86">
        <v>3</v>
      </c>
      <c r="F4629" s="90">
        <v>46096</v>
      </c>
      <c r="G4629" s="86" t="str">
        <f>VLOOKUP("*"&amp;表格1[[#This Row],[Input]]&amp;"*",'Ref-List'!$B:$D,2,)</f>
        <v>RC-10AMXH(W)</v>
      </c>
      <c r="H4629" s="86" t="str">
        <f>_xlfn.XLOOKUP(表格1[[#This Row],[Model]],表格3[Model-Input-Ref2],表格3[Product Line])</f>
        <v>酵活炊電飯煲(1.0公升)</v>
      </c>
      <c r="I4629" s="86" t="str">
        <f>_xlfn.XLOOKUP(表格1[[#This Row],[Model]],表格3[Model-Input-Ref2],表格3[大小電])</f>
        <v>細電</v>
      </c>
      <c r="J4629" s="86" t="str">
        <f>_xlfn.XLOOKUP(表格1[[#This Row],[Model]],表格3[Model-Input-Ref2],表格3[Code])</f>
        <v>SDA</v>
      </c>
      <c r="K4629" s="89" t="s">
        <v>1956</v>
      </c>
      <c r="L4629" s="86">
        <v>1</v>
      </c>
      <c r="M4629" s="87">
        <v>1000</v>
      </c>
      <c r="N4629" s="87">
        <f>IFERROR(表格1[[#This Row],[QTY]]*表格1[[#This Row],[Unit Price]],"-")</f>
        <v>1000</v>
      </c>
      <c r="O4629" s="86" t="s">
        <v>2210</v>
      </c>
      <c r="P4629" s="86" t="s">
        <v>1103</v>
      </c>
      <c r="R4629" s="86" t="str">
        <f>_xlfn.CONCAT(表格1[[#This Row],[Model]]," ",表格1[[#This Row],[inv no]])</f>
        <v>RC-10AMXH(W) S056-25393</v>
      </c>
      <c r="S4629" s="86">
        <f>_xlfn.XLOOKUP(表格1[[#This Row],[Model]],表格3[Model-Input-Ref2],表格3[SRP PRICE])</f>
        <v>1288</v>
      </c>
      <c r="T4629" s="43">
        <f>表格1[[#This Row],[Unit Price]]/表格1[[#This Row],[SRP]]</f>
        <v>0.77639751552795033</v>
      </c>
      <c r="U4629" s="86" t="str">
        <f>_xlfn.XLOOKUP(表格1[[#This Row],[Model]],表格3[Model-Input-Ref2],表格3[TOSHIBA/HIGHEST])</f>
        <v>Toshiba SRP</v>
      </c>
      <c r="W4629" s="86" t="str">
        <f>_xlfn.CONCAT(表格1[[#This Row],[欄4]],表格1[[#This Row],[inv no]])</f>
        <v>S056-25393</v>
      </c>
    </row>
    <row r="4630" spans="1:23" hidden="1">
      <c r="A4630" s="81">
        <v>4628</v>
      </c>
      <c r="B4630" s="86" t="s">
        <v>2165</v>
      </c>
      <c r="C4630" s="86" t="s">
        <v>2227</v>
      </c>
      <c r="D4630" s="89" t="str">
        <f ca="1">OFFSET(Roster!$A$3,MATCH(表格1[[#This Row],[Location]]&amp;" "&amp;表格1[[#This Row],[Shop]]&amp;"*",Roster!$A$4:$A$72,0),DAY(表格1[[#This Row],[date]]),1,1)</f>
        <v>Anita_2</v>
      </c>
      <c r="E4630" s="86">
        <v>3</v>
      </c>
      <c r="F4630" s="90">
        <v>46096</v>
      </c>
      <c r="G4630" s="86" t="str">
        <f>VLOOKUP("*"&amp;表格1[[#This Row],[Input]]&amp;"*",'Ref-List'!$B:$D,2,)</f>
        <v>RC-18AMXH(W)</v>
      </c>
      <c r="H4630" s="86" t="str">
        <f>_xlfn.XLOOKUP(表格1[[#This Row],[Model]],表格3[Model-Input-Ref2],表格3[Product Line])</f>
        <v>酵活炊電飯煲(1.8公升)</v>
      </c>
      <c r="I4630" s="86" t="str">
        <f>_xlfn.XLOOKUP(表格1[[#This Row],[Model]],表格3[Model-Input-Ref2],表格3[大小電])</f>
        <v>細電</v>
      </c>
      <c r="J4630" s="86" t="str">
        <f>_xlfn.XLOOKUP(表格1[[#This Row],[Model]],表格3[Model-Input-Ref2],表格3[Code])</f>
        <v>SDA</v>
      </c>
      <c r="K4630" s="89" t="s">
        <v>2085</v>
      </c>
      <c r="L4630" s="86">
        <v>1</v>
      </c>
      <c r="M4630" s="87">
        <v>1000</v>
      </c>
      <c r="N4630" s="87">
        <f>IFERROR(表格1[[#This Row],[QTY]]*表格1[[#This Row],[Unit Price]],"-")</f>
        <v>1000</v>
      </c>
      <c r="O4630" s="86" t="s">
        <v>2212</v>
      </c>
      <c r="P4630" s="86" t="s">
        <v>1102</v>
      </c>
      <c r="R4630" s="86" t="str">
        <f>_xlfn.CONCAT(表格1[[#This Row],[Model]]," ",表格1[[#This Row],[inv no]])</f>
        <v>RC-18AMXH(W) S056-2441</v>
      </c>
      <c r="S4630" s="86">
        <f>_xlfn.XLOOKUP(表格1[[#This Row],[Model]],表格3[Model-Input-Ref2],表格3[SRP PRICE])</f>
        <v>1588</v>
      </c>
      <c r="T4630" s="43">
        <f>表格1[[#This Row],[Unit Price]]/表格1[[#This Row],[SRP]]</f>
        <v>0.62972292191435764</v>
      </c>
      <c r="U4630" s="86" t="str">
        <f>_xlfn.XLOOKUP(表格1[[#This Row],[Model]],表格3[Model-Input-Ref2],表格3[TOSHIBA/HIGHEST])</f>
        <v>Toshiba SRP</v>
      </c>
      <c r="W4630" s="86" t="str">
        <f>_xlfn.CONCAT(表格1[[#This Row],[欄4]],表格1[[#This Row],[inv no]])</f>
        <v>S056-2441</v>
      </c>
    </row>
    <row r="4631" spans="1:23" hidden="1">
      <c r="A4631" s="81">
        <v>4629</v>
      </c>
      <c r="B4631" s="86" t="s">
        <v>2165</v>
      </c>
      <c r="C4631" s="86" t="s">
        <v>2227</v>
      </c>
      <c r="D4631" s="89" t="str">
        <f ca="1">OFFSET(Roster!$A$3,MATCH(表格1[[#This Row],[Location]]&amp;" "&amp;表格1[[#This Row],[Shop]]&amp;"*",Roster!$A$4:$A$72,0),DAY(表格1[[#This Row],[date]]),1,1)</f>
        <v>Anita_2</v>
      </c>
      <c r="E4631" s="86">
        <v>3</v>
      </c>
      <c r="F4631" s="90">
        <v>46096</v>
      </c>
      <c r="G4631" s="86" t="str">
        <f>VLOOKUP("*"&amp;表格1[[#This Row],[Input]]&amp;"*",'Ref-List'!$B:$D,2,)</f>
        <v>IC-R19RH</v>
      </c>
      <c r="H4631" s="86" t="str">
        <f>_xlfn.XLOOKUP(表格1[[#This Row],[Model]],表格3[Model-Input-Ref2],表格3[Product Line])</f>
        <v>輕便式電磁爐5個功能</v>
      </c>
      <c r="I4631" s="86" t="str">
        <f>_xlfn.XLOOKUP(表格1[[#This Row],[Model]],表格3[Model-Input-Ref2],表格3[大小電])</f>
        <v>細電</v>
      </c>
      <c r="J4631" s="86" t="str">
        <f>_xlfn.XLOOKUP(表格1[[#This Row],[Model]],表格3[Model-Input-Ref2],表格3[Code])</f>
        <v>SDA</v>
      </c>
      <c r="K4631" s="89" t="s">
        <v>2174</v>
      </c>
      <c r="L4631" s="86">
        <v>1</v>
      </c>
      <c r="M4631" s="87">
        <v>450</v>
      </c>
      <c r="N4631" s="87">
        <f>IFERROR(表格1[[#This Row],[QTY]]*表格1[[#This Row],[Unit Price]],"-")</f>
        <v>450</v>
      </c>
      <c r="O4631" s="86" t="s">
        <v>2214</v>
      </c>
      <c r="P4631" s="86" t="s">
        <v>1103</v>
      </c>
      <c r="R4631" s="86" t="str">
        <f>_xlfn.CONCAT(表格1[[#This Row],[Model]]," ",表格1[[#This Row],[inv no]])</f>
        <v>IC-R19RH S056-2445</v>
      </c>
      <c r="S4631" s="86">
        <f>_xlfn.XLOOKUP(表格1[[#This Row],[Model]],表格3[Model-Input-Ref2],表格3[SRP PRICE])</f>
        <v>598</v>
      </c>
      <c r="T4631" s="43">
        <f>表格1[[#This Row],[Unit Price]]/表格1[[#This Row],[SRP]]</f>
        <v>0.75250836120401343</v>
      </c>
      <c r="U4631" s="86" t="str">
        <f>_xlfn.XLOOKUP(表格1[[#This Row],[Model]],表格3[Model-Input-Ref2],表格3[TOSHIBA/HIGHEST])</f>
        <v>Toshiba SRP</v>
      </c>
      <c r="W4631" s="86" t="str">
        <f>_xlfn.CONCAT(表格1[[#This Row],[欄4]],表格1[[#This Row],[inv no]])</f>
        <v>S056-2445</v>
      </c>
    </row>
    <row r="4632" spans="1:23" hidden="1">
      <c r="A4632" s="81">
        <v>4630</v>
      </c>
      <c r="B4632" s="86" t="s">
        <v>2165</v>
      </c>
      <c r="C4632" s="86" t="s">
        <v>2227</v>
      </c>
      <c r="D4632" s="89" t="str">
        <f ca="1">OFFSET(Roster!$A$3,MATCH(表格1[[#This Row],[Location]]&amp;" "&amp;表格1[[#This Row],[Shop]]&amp;"*",Roster!$A$4:$A$72,0),DAY(表格1[[#This Row],[date]]),1,1)</f>
        <v>Anita_2</v>
      </c>
      <c r="E4632" s="86">
        <v>3</v>
      </c>
      <c r="F4632" s="90">
        <v>46096</v>
      </c>
      <c r="G4632" s="86" t="str">
        <f>VLOOKUP("*"&amp;表格1[[#This Row],[Input]]&amp;"*",'Ref-List'!$B:$D,2,)</f>
        <v>RC-18AMXH(W)</v>
      </c>
      <c r="H4632" s="86" t="str">
        <f>_xlfn.XLOOKUP(表格1[[#This Row],[Model]],表格3[Model-Input-Ref2],表格3[Product Line])</f>
        <v>酵活炊電飯煲(1.8公升)</v>
      </c>
      <c r="I4632" s="86" t="str">
        <f>_xlfn.XLOOKUP(表格1[[#This Row],[Model]],表格3[Model-Input-Ref2],表格3[大小電])</f>
        <v>細電</v>
      </c>
      <c r="J4632" s="86" t="str">
        <f>_xlfn.XLOOKUP(表格1[[#This Row],[Model]],表格3[Model-Input-Ref2],表格3[Code])</f>
        <v>SDA</v>
      </c>
      <c r="K4632" s="89" t="s">
        <v>2085</v>
      </c>
      <c r="L4632" s="86">
        <v>1</v>
      </c>
      <c r="M4632" s="87">
        <v>1000</v>
      </c>
      <c r="N4632" s="87">
        <f>IFERROR(表格1[[#This Row],[QTY]]*表格1[[#This Row],[Unit Price]],"-")</f>
        <v>1000</v>
      </c>
      <c r="O4632" s="86" t="s">
        <v>2216</v>
      </c>
      <c r="P4632" s="86" t="s">
        <v>1102</v>
      </c>
      <c r="R4632" s="86" t="str">
        <f>_xlfn.CONCAT(表格1[[#This Row],[Model]]," ",表格1[[#This Row],[inv no]])</f>
        <v>RC-18AMXH(W) S053-2447</v>
      </c>
      <c r="S4632" s="86">
        <f>_xlfn.XLOOKUP(表格1[[#This Row],[Model]],表格3[Model-Input-Ref2],表格3[SRP PRICE])</f>
        <v>1588</v>
      </c>
      <c r="T4632" s="43">
        <f>表格1[[#This Row],[Unit Price]]/表格1[[#This Row],[SRP]]</f>
        <v>0.62972292191435764</v>
      </c>
      <c r="U4632" s="86" t="str">
        <f>_xlfn.XLOOKUP(表格1[[#This Row],[Model]],表格3[Model-Input-Ref2],表格3[TOSHIBA/HIGHEST])</f>
        <v>Toshiba SRP</v>
      </c>
      <c r="W4632" s="86" t="str">
        <f>_xlfn.CONCAT(表格1[[#This Row],[欄4]],表格1[[#This Row],[inv no]])</f>
        <v>S053-2447</v>
      </c>
    </row>
    <row r="4633" spans="1:23" hidden="1">
      <c r="A4633" s="81">
        <v>4631</v>
      </c>
      <c r="B4633" s="86" t="s">
        <v>1417</v>
      </c>
      <c r="C4633" s="86" t="s">
        <v>2228</v>
      </c>
      <c r="D4633" s="89" t="str">
        <f ca="1">OFFSET(Roster!$A$3,MATCH(表格1[[#This Row],[Location]]&amp;" "&amp;表格1[[#This Row],[Shop]]&amp;"*",Roster!$A$4:$A$72,0),DAY(表格1[[#This Row],[date]]),1,1)</f>
        <v>Fong_2</v>
      </c>
      <c r="E4633" s="86">
        <f>MONTH(表格1[[#This Row],[date]])</f>
        <v>3</v>
      </c>
      <c r="F4633" s="90">
        <v>46087</v>
      </c>
      <c r="G4633" s="86" t="str">
        <f>VLOOKUP("*"&amp;表格1[[#This Row],[Input]]&amp;"*",'Ref-List'!$B:$D,2,)</f>
        <v>MX2-TT20SC(WH)</v>
      </c>
      <c r="H4633" s="86" t="str">
        <f>_xlfn.XLOOKUP(表格1[[#This Row],[Model]],表格3[Model-Input-Ref2],表格3[Product Line])</f>
        <v>3合1 微波蒸焗爐 (20公升)</v>
      </c>
      <c r="I4633" s="86" t="str">
        <f>_xlfn.XLOOKUP(表格1[[#This Row],[Model]],表格3[Model-Input-Ref2],表格3[大小電])</f>
        <v>細電</v>
      </c>
      <c r="J4633" s="86" t="str">
        <f>_xlfn.XLOOKUP(表格1[[#This Row],[Model]],表格3[Model-Input-Ref2],表格3[Code])</f>
        <v>MCA</v>
      </c>
      <c r="K4633" s="89" t="s">
        <v>1287</v>
      </c>
      <c r="L4633" s="86">
        <v>1</v>
      </c>
      <c r="M4633" s="87">
        <v>2580</v>
      </c>
      <c r="N4633" s="87">
        <f>IFERROR(表格1[[#This Row],[QTY]]*表格1[[#This Row],[Unit Price]],"-")</f>
        <v>2580</v>
      </c>
      <c r="O4633" s="86" t="s">
        <v>2229</v>
      </c>
      <c r="P4633" s="86" t="s">
        <v>1103</v>
      </c>
      <c r="R4633" s="86" t="str">
        <f>_xlfn.CONCAT(表格1[[#This Row],[Model]]," ",表格1[[#This Row],[inv no]])</f>
        <v>MX2-TT20SC(WH) S056-2492</v>
      </c>
      <c r="S4633" s="86">
        <f>_xlfn.XLOOKUP(表格1[[#This Row],[Model]],表格3[Model-Input-Ref2],表格3[SRP PRICE])</f>
        <v>3580</v>
      </c>
      <c r="T4633" s="43">
        <f>表格1[[#This Row],[Unit Price]]/表格1[[#This Row],[SRP]]</f>
        <v>0.72067039106145248</v>
      </c>
      <c r="U4633" s="86" t="str">
        <f>_xlfn.XLOOKUP(表格1[[#This Row],[Model]],表格3[Model-Input-Ref2],表格3[TOSHIBA/HIGHEST])</f>
        <v>Toshiba SRP</v>
      </c>
      <c r="W4633" s="86" t="str">
        <f>_xlfn.CONCAT(表格1[[#This Row],[欄4]],表格1[[#This Row],[inv no]])</f>
        <v>S056-2492</v>
      </c>
    </row>
    <row r="4634" spans="1:23" hidden="1">
      <c r="A4634" s="81">
        <v>4632</v>
      </c>
      <c r="B4634" s="86" t="s">
        <v>1417</v>
      </c>
      <c r="C4634" s="86" t="s">
        <v>2228</v>
      </c>
      <c r="D4634" s="89" t="str">
        <f ca="1">OFFSET(Roster!$A$3,MATCH(表格1[[#This Row],[Location]]&amp;" "&amp;表格1[[#This Row],[Shop]]&amp;"*",Roster!$A$4:$A$72,0),DAY(表格1[[#This Row],[date]]),1,1)</f>
        <v>Fong_2</v>
      </c>
      <c r="E4634" s="86">
        <f>MONTH(表格1[[#This Row],[date]])</f>
        <v>3</v>
      </c>
      <c r="F4634" s="90">
        <v>46087</v>
      </c>
      <c r="G4634" s="86" t="str">
        <f>VLOOKUP("*"&amp;表格1[[#This Row],[Input]]&amp;"*",'Ref-List'!$B:$D,2,)</f>
        <v>KT-17SH1NH</v>
      </c>
      <c r="H4634" s="86" t="str">
        <f>_xlfn.XLOOKUP(表格1[[#This Row],[Model]],表格3[Model-Input-Ref2],表格3[Product Line])</f>
        <v>1.7L無線雙層電熱水壺(有窗)</v>
      </c>
      <c r="I4634" s="86" t="str">
        <f>_xlfn.XLOOKUP(表格1[[#This Row],[Model]],表格3[Model-Input-Ref2],表格3[大小電])</f>
        <v>細電</v>
      </c>
      <c r="J4634" s="86" t="str">
        <f>_xlfn.XLOOKUP(表格1[[#This Row],[Model]],表格3[Model-Input-Ref2],表格3[Code])</f>
        <v>SDA</v>
      </c>
      <c r="K4634" s="89" t="s">
        <v>1387</v>
      </c>
      <c r="L4634" s="86">
        <v>1</v>
      </c>
      <c r="M4634" s="87">
        <v>278</v>
      </c>
      <c r="N4634" s="87">
        <f>IFERROR(表格1[[#This Row],[QTY]]*表格1[[#This Row],[Unit Price]],"-")</f>
        <v>278</v>
      </c>
      <c r="O4634" s="86" t="s">
        <v>2230</v>
      </c>
      <c r="P4634" s="86" t="s">
        <v>1103</v>
      </c>
      <c r="R4634" s="86" t="str">
        <f>_xlfn.CONCAT(表格1[[#This Row],[Model]]," ",表格1[[#This Row],[inv no]])</f>
        <v>KT-17SH1NH S0562-0108</v>
      </c>
      <c r="S4634" s="86">
        <f>_xlfn.XLOOKUP(表格1[[#This Row],[Model]],表格3[Model-Input-Ref2],表格3[SRP PRICE])</f>
        <v>398</v>
      </c>
      <c r="T4634" s="43">
        <f>表格1[[#This Row],[Unit Price]]/表格1[[#This Row],[SRP]]</f>
        <v>0.69849246231155782</v>
      </c>
      <c r="U4634" s="86" t="str">
        <f>_xlfn.XLOOKUP(表格1[[#This Row],[Model]],表格3[Model-Input-Ref2],表格3[TOSHIBA/HIGHEST])</f>
        <v>Toshiba SRP</v>
      </c>
      <c r="W4634" s="86" t="str">
        <f>_xlfn.CONCAT(表格1[[#This Row],[欄4]],表格1[[#This Row],[inv no]])</f>
        <v>S0562-0108</v>
      </c>
    </row>
    <row r="4635" spans="1:23" hidden="1">
      <c r="A4635" s="81">
        <v>4633</v>
      </c>
      <c r="B4635" s="86" t="s">
        <v>1417</v>
      </c>
      <c r="C4635" s="86" t="s">
        <v>2228</v>
      </c>
      <c r="D4635" s="89" t="str">
        <f ca="1">OFFSET(Roster!$A$3,MATCH(表格1[[#This Row],[Location]]&amp;" "&amp;表格1[[#This Row],[Shop]]&amp;"*",Roster!$A$4:$A$72,0),DAY(表格1[[#This Row],[date]]),1,1)</f>
        <v>Fong_2</v>
      </c>
      <c r="E4635" s="86">
        <f>MONTH(表格1[[#This Row],[date]])</f>
        <v>3</v>
      </c>
      <c r="F4635" s="90">
        <v>46087</v>
      </c>
      <c r="G4635" s="86" t="str">
        <f>VLOOKUP("*"&amp;表格1[[#This Row],[Input]]&amp;"*",'Ref-List'!$B:$D,2,)</f>
        <v>KT-08DH1VHK(W)</v>
      </c>
      <c r="H4635" s="86" t="str">
        <f>_xlfn.XLOOKUP(表格1[[#This Row],[Model]],表格3[Model-Input-Ref2],表格3[Product Line])</f>
        <v>無線雙層電熱水壺-附可鎖壺蓋(0.8公升)</v>
      </c>
      <c r="I4635" s="86" t="str">
        <f>_xlfn.XLOOKUP(表格1[[#This Row],[Model]],表格3[Model-Input-Ref2],表格3[大小電])</f>
        <v>細電</v>
      </c>
      <c r="J4635" s="86" t="str">
        <f>_xlfn.XLOOKUP(表格1[[#This Row],[Model]],表格3[Model-Input-Ref2],表格3[Code])</f>
        <v>SDA</v>
      </c>
      <c r="K4635" s="89" t="s">
        <v>1268</v>
      </c>
      <c r="L4635" s="86">
        <v>1</v>
      </c>
      <c r="M4635" s="87">
        <v>268</v>
      </c>
      <c r="N4635" s="87">
        <f>IFERROR(表格1[[#This Row],[QTY]]*表格1[[#This Row],[Unit Price]],"-")</f>
        <v>268</v>
      </c>
      <c r="O4635" s="86" t="s">
        <v>2231</v>
      </c>
      <c r="P4635" s="86" t="s">
        <v>1103</v>
      </c>
      <c r="R4635" s="86" t="str">
        <f>_xlfn.CONCAT(表格1[[#This Row],[Model]]," ",表格1[[#This Row],[inv no]])</f>
        <v>KT-08DH1VHK(W) S056-24809</v>
      </c>
      <c r="S4635" s="86">
        <f>_xlfn.XLOOKUP(表格1[[#This Row],[Model]],表格3[Model-Input-Ref2],表格3[SRP PRICE])</f>
        <v>428</v>
      </c>
      <c r="T4635" s="43">
        <f>表格1[[#This Row],[Unit Price]]/表格1[[#This Row],[SRP]]</f>
        <v>0.62616822429906538</v>
      </c>
      <c r="U4635" s="86" t="str">
        <f>_xlfn.XLOOKUP(表格1[[#This Row],[Model]],表格3[Model-Input-Ref2],表格3[TOSHIBA/HIGHEST])</f>
        <v>Toshiba SRP</v>
      </c>
      <c r="W4635" s="86" t="str">
        <f>_xlfn.CONCAT(表格1[[#This Row],[欄4]],表格1[[#This Row],[inv no]])</f>
        <v>S056-24809</v>
      </c>
    </row>
    <row r="4636" spans="1:23" hidden="1">
      <c r="A4636" s="81">
        <v>4634</v>
      </c>
      <c r="B4636" s="86" t="s">
        <v>1417</v>
      </c>
      <c r="C4636" s="86" t="s">
        <v>2228</v>
      </c>
      <c r="D4636" s="89" t="str">
        <f ca="1">OFFSET(Roster!$A$3,MATCH(表格1[[#This Row],[Location]]&amp;" "&amp;表格1[[#This Row],[Shop]]&amp;"*",Roster!$A$4:$A$72,0),DAY(表格1[[#This Row],[date]]),1,1)</f>
        <v>Fong_2</v>
      </c>
      <c r="E4636" s="86">
        <f>MONTH(表格1[[#This Row],[date]])</f>
        <v>3</v>
      </c>
      <c r="F4636" s="90">
        <v>46087</v>
      </c>
      <c r="G4636" s="86" t="str">
        <f>VLOOKUP("*"&amp;表格1[[#This Row],[Input]]&amp;"*",'Ref-List'!$B:$D,2,)</f>
        <v>RC-5SLIH(W)</v>
      </c>
      <c r="H4636" s="86" t="str">
        <f>_xlfn.XLOOKUP(表格1[[#This Row],[Model]],表格3[Model-Input-Ref2],表格3[Product Line])</f>
        <v>微型電腦珍珠飯煲</v>
      </c>
      <c r="I4636" s="86" t="str">
        <f>_xlfn.XLOOKUP(表格1[[#This Row],[Model]],表格3[Model-Input-Ref2],表格3[大小電])</f>
        <v>細電</v>
      </c>
      <c r="J4636" s="86" t="str">
        <f>_xlfn.XLOOKUP(表格1[[#This Row],[Model]],表格3[Model-Input-Ref2],表格3[Code])</f>
        <v>SDA</v>
      </c>
      <c r="K4636" s="89" t="s">
        <v>1264</v>
      </c>
      <c r="L4636" s="86">
        <v>1</v>
      </c>
      <c r="M4636" s="87">
        <v>592</v>
      </c>
      <c r="N4636" s="87">
        <f>IFERROR(表格1[[#This Row],[QTY]]*表格1[[#This Row],[Unit Price]],"-")</f>
        <v>592</v>
      </c>
      <c r="O4636" s="86" t="s">
        <v>2232</v>
      </c>
      <c r="P4636" s="86" t="s">
        <v>1103</v>
      </c>
      <c r="R4636" s="86" t="str">
        <f>_xlfn.CONCAT(表格1[[#This Row],[Model]]," ",表格1[[#This Row],[inv no]])</f>
        <v>RC-5SLIH(W) S056-24817</v>
      </c>
      <c r="S4636" s="86">
        <f>_xlfn.XLOOKUP(表格1[[#This Row],[Model]],表格3[Model-Input-Ref2],表格3[SRP PRICE])</f>
        <v>658</v>
      </c>
      <c r="T4636" s="43">
        <f>表格1[[#This Row],[Unit Price]]/表格1[[#This Row],[SRP]]</f>
        <v>0.89969604863221886</v>
      </c>
      <c r="U4636" s="86" t="str">
        <f>_xlfn.XLOOKUP(表格1[[#This Row],[Model]],表格3[Model-Input-Ref2],表格3[TOSHIBA/HIGHEST])</f>
        <v>Toshiba SRP</v>
      </c>
      <c r="W4636" s="86" t="str">
        <f>_xlfn.CONCAT(表格1[[#This Row],[欄4]],表格1[[#This Row],[inv no]])</f>
        <v>S056-24817</v>
      </c>
    </row>
    <row r="4637" spans="1:23" hidden="1">
      <c r="A4637" s="81">
        <v>4635</v>
      </c>
      <c r="B4637" s="86" t="s">
        <v>1417</v>
      </c>
      <c r="C4637" s="86" t="s">
        <v>2233</v>
      </c>
      <c r="D4637" s="89" t="str">
        <f ca="1">OFFSET(Roster!$A$3,MATCH(表格1[[#This Row],[Location]]&amp;" "&amp;表格1[[#This Row],[Shop]]&amp;"*",Roster!$A$4:$A$72,0),DAY(表格1[[#This Row],[date]]),1,1)</f>
        <v>Shirley</v>
      </c>
      <c r="E4637" s="86">
        <f>MONTH(表格1[[#This Row],[date]])</f>
        <v>3</v>
      </c>
      <c r="F4637" s="90">
        <v>46109</v>
      </c>
      <c r="G4637" s="86" t="str">
        <f>VLOOKUP("*"&amp;表格1[[#This Row],[Input]]&amp;"*",'Ref-List'!$B:$D,2,)</f>
        <v>RC-DR10T(R)</v>
      </c>
      <c r="H4637" s="86" t="str">
        <f>_xlfn.XLOOKUP(表格1[[#This Row],[Model]],表格3[Model-Input-Ref2],表格3[Product Line])</f>
        <v>IH磁應電飯煲</v>
      </c>
      <c r="I4637" s="86" t="str">
        <f>_xlfn.XLOOKUP(表格1[[#This Row],[Model]],表格3[Model-Input-Ref2],表格3[大小電])</f>
        <v>細電</v>
      </c>
      <c r="J4637" s="86" t="str">
        <f>_xlfn.XLOOKUP(表格1[[#This Row],[Model]],表格3[Model-Input-Ref2],表格3[Code])</f>
        <v>SDA</v>
      </c>
      <c r="K4637" s="89" t="s">
        <v>1296</v>
      </c>
      <c r="L4637" s="86">
        <v>1</v>
      </c>
      <c r="M4637" s="87">
        <v>2380</v>
      </c>
      <c r="N4637" s="87">
        <f>IFERROR(表格1[[#This Row],[QTY]]*表格1[[#This Row],[Unit Price]],"-")</f>
        <v>2380</v>
      </c>
      <c r="O4637" s="86" t="s">
        <v>2234</v>
      </c>
      <c r="R4637" s="86" t="str">
        <f>_xlfn.CONCAT(表格1[[#This Row],[Model]]," ",表格1[[#This Row],[inv no]])</f>
        <v>RC-DR10T(R) S056-2612</v>
      </c>
      <c r="S4637" s="86">
        <f>_xlfn.XLOOKUP(表格1[[#This Row],[Model]],表格3[Model-Input-Ref2],表格3[SRP PRICE])</f>
        <v>3188</v>
      </c>
      <c r="T4637" s="43">
        <f>表格1[[#This Row],[Unit Price]]/表格1[[#This Row],[SRP]]</f>
        <v>0.74654956085319946</v>
      </c>
      <c r="U4637" s="86" t="str">
        <f>_xlfn.XLOOKUP(表格1[[#This Row],[Model]],表格3[Model-Input-Ref2],表格3[TOSHIBA/HIGHEST])</f>
        <v>Toshiba SRP</v>
      </c>
      <c r="W4637" s="86" t="str">
        <f>_xlfn.CONCAT(表格1[[#This Row],[欄4]],表格1[[#This Row],[inv no]])</f>
        <v>S056-2612</v>
      </c>
    </row>
    <row r="4638" spans="1:23" hidden="1">
      <c r="A4638" s="81">
        <v>4636</v>
      </c>
      <c r="B4638" s="86" t="s">
        <v>1417</v>
      </c>
      <c r="C4638" s="86" t="s">
        <v>2233</v>
      </c>
      <c r="D4638" s="89" t="str">
        <f ca="1">OFFSET(Roster!$A$3,MATCH(表格1[[#This Row],[Location]]&amp;" "&amp;表格1[[#This Row],[Shop]]&amp;"*",Roster!$A$4:$A$72,0),DAY(表格1[[#This Row],[date]]),1,1)</f>
        <v>Shirley</v>
      </c>
      <c r="E4638" s="86">
        <f>MONTH(表格1[[#This Row],[date]])</f>
        <v>3</v>
      </c>
      <c r="F4638" s="90">
        <v>46110</v>
      </c>
      <c r="G4638" s="86" t="str">
        <f>VLOOKUP("*"&amp;表格1[[#This Row],[Input]]&amp;"*",'Ref-List'!$B:$D,2,)</f>
        <v>ER-VD7000HK(XK)</v>
      </c>
      <c r="H4638" s="86" t="str">
        <f>_xlfn.XLOOKUP(表格1[[#This Row],[Model]],表格3[Model-Input-Ref2],表格3[Product Line])</f>
        <v>水波爐</v>
      </c>
      <c r="I4638" s="86" t="str">
        <f>_xlfn.XLOOKUP(表格1[[#This Row],[Model]],表格3[Model-Input-Ref2],表格3[大小電])</f>
        <v>細電</v>
      </c>
      <c r="J4638" s="86" t="str">
        <f>_xlfn.XLOOKUP(表格1[[#This Row],[Model]],表格3[Model-Input-Ref2],表格3[Code])</f>
        <v>MCA</v>
      </c>
      <c r="K4638" s="89" t="s">
        <v>1469</v>
      </c>
      <c r="L4638" s="86">
        <v>1</v>
      </c>
      <c r="M4638" s="87">
        <v>6798</v>
      </c>
      <c r="N4638" s="87">
        <f>IFERROR(表格1[[#This Row],[QTY]]*表格1[[#This Row],[Unit Price]],"-")</f>
        <v>6798</v>
      </c>
      <c r="O4638" s="86" t="s">
        <v>2235</v>
      </c>
      <c r="R4638" s="86" t="str">
        <f>_xlfn.CONCAT(表格1[[#This Row],[Model]]," ",表格1[[#This Row],[inv no]])</f>
        <v>ER-VD7000HK(XK) S056-3412</v>
      </c>
      <c r="S4638" s="86">
        <f>_xlfn.XLOOKUP(表格1[[#This Row],[Model]],表格3[Model-Input-Ref2],表格3[SRP PRICE])</f>
        <v>8998</v>
      </c>
      <c r="T4638" s="43">
        <f>表格1[[#This Row],[Unit Price]]/表格1[[#This Row],[SRP]]</f>
        <v>0.75550122249388751</v>
      </c>
      <c r="U4638" s="86" t="str">
        <f>_xlfn.XLOOKUP(表格1[[#This Row],[Model]],表格3[Model-Input-Ref2],表格3[TOSHIBA/HIGHEST])</f>
        <v>Toshiba SRP</v>
      </c>
      <c r="W4638" s="86" t="str">
        <f>_xlfn.CONCAT(表格1[[#This Row],[欄4]],表格1[[#This Row],[inv no]])</f>
        <v>S056-3412</v>
      </c>
    </row>
    <row r="4639" spans="1:23" hidden="1">
      <c r="A4639" s="81">
        <v>4637</v>
      </c>
      <c r="B4639" s="86" t="s">
        <v>1417</v>
      </c>
      <c r="C4639" s="86" t="s">
        <v>2233</v>
      </c>
      <c r="D4639" s="89" t="str">
        <f ca="1">OFFSET(Roster!$A$3,MATCH(表格1[[#This Row],[Location]]&amp;" "&amp;表格1[[#This Row],[Shop]]&amp;"*",Roster!$A$4:$A$72,0),DAY(表格1[[#This Row],[date]]),1,1)</f>
        <v>Shirley</v>
      </c>
      <c r="E4639" s="86">
        <f>MONTH(表格1[[#This Row],[date]])</f>
        <v>3</v>
      </c>
      <c r="F4639" s="90">
        <v>46110</v>
      </c>
      <c r="G4639" s="86" t="str">
        <f>VLOOKUP("*"&amp;表格1[[#This Row],[Input]]&amp;"*",'Ref-List'!$B:$D,2,)</f>
        <v>RC-7HMH</v>
      </c>
      <c r="H4639" s="86" t="str">
        <f>_xlfn.XLOOKUP(表格1[[#This Row],[Model]],表格3[Model-Input-Ref2],表格3[Product Line])</f>
        <v>備長炭本厚釜電飯煲0.7L</v>
      </c>
      <c r="I4639" s="86" t="str">
        <f>_xlfn.XLOOKUP(表格1[[#This Row],[Model]],表格3[Model-Input-Ref2],表格3[大小電])</f>
        <v>細電</v>
      </c>
      <c r="J4639" s="86" t="str">
        <f>_xlfn.XLOOKUP(表格1[[#This Row],[Model]],表格3[Model-Input-Ref2],表格3[Code])</f>
        <v>SDA</v>
      </c>
      <c r="K4639" s="89" t="s">
        <v>1284</v>
      </c>
      <c r="L4639" s="86">
        <v>1</v>
      </c>
      <c r="M4639" s="87">
        <v>838</v>
      </c>
      <c r="N4639" s="87">
        <f>IFERROR(表格1[[#This Row],[QTY]]*表格1[[#This Row],[Unit Price]],"-")</f>
        <v>838</v>
      </c>
      <c r="O4639" s="86" t="s">
        <v>2236</v>
      </c>
      <c r="R4639" s="86" t="str">
        <f>_xlfn.CONCAT(表格1[[#This Row],[Model]]," ",表格1[[#This Row],[inv no]])</f>
        <v>RC-7HMH S056-26333</v>
      </c>
      <c r="S4639" s="86">
        <f>_xlfn.XLOOKUP(表格1[[#This Row],[Model]],表格3[Model-Input-Ref2],表格3[SRP PRICE])</f>
        <v>1288</v>
      </c>
      <c r="T4639" s="43">
        <f>表格1[[#This Row],[Unit Price]]/表格1[[#This Row],[SRP]]</f>
        <v>0.65062111801242239</v>
      </c>
      <c r="U4639" s="86" t="str">
        <f>_xlfn.XLOOKUP(表格1[[#This Row],[Model]],表格3[Model-Input-Ref2],表格3[TOSHIBA/HIGHEST])</f>
        <v>Toshiba SRP</v>
      </c>
      <c r="W4639" s="86" t="str">
        <f>_xlfn.CONCAT(表格1[[#This Row],[欄4]],表格1[[#This Row],[inv no]])</f>
        <v>S056-26333</v>
      </c>
    </row>
    <row r="4640" spans="1:23">
      <c r="A4640" s="81">
        <v>4638</v>
      </c>
      <c r="B4640" s="86" t="s">
        <v>1203</v>
      </c>
      <c r="C4640" s="86" t="s">
        <v>2027</v>
      </c>
      <c r="D4640" s="89" t="str">
        <f ca="1">OFFSET(Roster!$A$3,MATCH(表格1[[#This Row],[Location]]&amp;" "&amp;表格1[[#This Row],[Shop]]&amp;"*",Roster!$A$4:$A$72,0),DAY(表格1[[#This Row],[date]]),1,1)</f>
        <v>May C</v>
      </c>
      <c r="E4640" s="86">
        <f>MONTH(表格1[[#This Row],[date]])</f>
        <v>3</v>
      </c>
      <c r="F4640" s="90">
        <v>46082</v>
      </c>
      <c r="G4640" s="86" t="str">
        <f>VLOOKUP("*"&amp;表格1[[#This Row],[Input]]&amp;"*",'Ref-List'!$B:$D,2,)</f>
        <v>RC-7HMH</v>
      </c>
      <c r="H4640" s="86" t="str">
        <f>_xlfn.XLOOKUP(表格1[[#This Row],[Model]],表格3[Model-Input-Ref2],表格3[Product Line])</f>
        <v>備長炭本厚釜電飯煲0.7L</v>
      </c>
      <c r="I4640" s="86" t="str">
        <f>_xlfn.XLOOKUP(表格1[[#This Row],[Model]],表格3[Model-Input-Ref2],表格3[大小電])</f>
        <v>細電</v>
      </c>
      <c r="J4640" s="86" t="str">
        <f>_xlfn.XLOOKUP(表格1[[#This Row],[Model]],表格3[Model-Input-Ref2],表格3[Code])</f>
        <v>SDA</v>
      </c>
      <c r="K4640" s="89" t="s">
        <v>2057</v>
      </c>
      <c r="L4640" s="86">
        <v>1</v>
      </c>
      <c r="M4640" s="87">
        <v>780</v>
      </c>
      <c r="N4640" s="87">
        <f>IFERROR(表格1[[#This Row],[QTY]]*表格1[[#This Row],[Unit Price]],"-")</f>
        <v>780</v>
      </c>
      <c r="R4640" s="86" t="str">
        <f>_xlfn.CONCAT(表格1[[#This Row],[Model]]," ",表格1[[#This Row],[inv no]])</f>
        <v xml:space="preserve">RC-7HMH </v>
      </c>
      <c r="S4640" s="86">
        <f>_xlfn.XLOOKUP(表格1[[#This Row],[Model]],表格3[Model-Input-Ref2],表格3[SRP PRICE])</f>
        <v>1288</v>
      </c>
      <c r="T4640" s="43">
        <f>表格1[[#This Row],[Unit Price]]/表格1[[#This Row],[SRP]]</f>
        <v>0.60559006211180122</v>
      </c>
      <c r="U4640" s="86" t="str">
        <f>_xlfn.XLOOKUP(表格1[[#This Row],[Model]],表格3[Model-Input-Ref2],表格3[TOSHIBA/HIGHEST])</f>
        <v>Toshiba SRP</v>
      </c>
      <c r="W4640" s="86" t="str">
        <f>_xlfn.CONCAT(表格1[[#This Row],[欄4]],表格1[[#This Row],[inv no]])</f>
        <v/>
      </c>
    </row>
    <row r="4641" spans="1:23">
      <c r="A4641" s="81">
        <v>4639</v>
      </c>
      <c r="B4641" s="86" t="s">
        <v>1203</v>
      </c>
      <c r="C4641" s="86" t="s">
        <v>2027</v>
      </c>
      <c r="D4641" s="89" t="str">
        <f ca="1">OFFSET(Roster!$A$3,MATCH(表格1[[#This Row],[Location]]&amp;" "&amp;表格1[[#This Row],[Shop]]&amp;"*",Roster!$A$4:$A$72,0),DAY(表格1[[#This Row],[date]]),1,1)</f>
        <v>May C</v>
      </c>
      <c r="E4641" s="86">
        <f>MONTH(表格1[[#This Row],[date]])</f>
        <v>3</v>
      </c>
      <c r="F4641" s="90">
        <v>46082</v>
      </c>
      <c r="G4641" s="86" t="str">
        <f>VLOOKUP("*"&amp;表格1[[#This Row],[Input]]&amp;"*",'Ref-List'!$B:$D,2,)</f>
        <v>MWP-MM20P(WH)</v>
      </c>
      <c r="H4641" s="86" t="str">
        <f>_xlfn.XLOOKUP(表格1[[#This Row],[Model]],表格3[Model-Input-Ref2],表格3[Product Line])</f>
        <v>旋鈕式燒烤微波爐20L</v>
      </c>
      <c r="I4641" s="86" t="str">
        <f>_xlfn.XLOOKUP(表格1[[#This Row],[Model]],表格3[Model-Input-Ref2],表格3[大小電])</f>
        <v>細電</v>
      </c>
      <c r="J4641" s="86" t="str">
        <f>_xlfn.XLOOKUP(表格1[[#This Row],[Model]],表格3[Model-Input-Ref2],表格3[Code])</f>
        <v>SDA</v>
      </c>
      <c r="K4641" s="89" t="s">
        <v>1375</v>
      </c>
      <c r="L4641" s="86">
        <v>1</v>
      </c>
      <c r="M4641" s="87">
        <v>580</v>
      </c>
      <c r="N4641" s="87">
        <f>IFERROR(表格1[[#This Row],[QTY]]*表格1[[#This Row],[Unit Price]],"-")</f>
        <v>580</v>
      </c>
      <c r="R4641" s="86" t="str">
        <f>_xlfn.CONCAT(表格1[[#This Row],[Model]]," ",表格1[[#This Row],[inv no]])</f>
        <v xml:space="preserve">MWP-MM20P(WH) </v>
      </c>
      <c r="S4641" s="86">
        <f>_xlfn.XLOOKUP(表格1[[#This Row],[Model]],表格3[Model-Input-Ref2],表格3[SRP PRICE])</f>
        <v>648</v>
      </c>
      <c r="T4641" s="43">
        <f>表格1[[#This Row],[Unit Price]]/表格1[[#This Row],[SRP]]</f>
        <v>0.89506172839506171</v>
      </c>
      <c r="U4641" s="86" t="str">
        <f>_xlfn.XLOOKUP(表格1[[#This Row],[Model]],表格3[Model-Input-Ref2],表格3[TOSHIBA/HIGHEST])</f>
        <v>Toshiba SRP</v>
      </c>
      <c r="W4641" s="86" t="str">
        <f>_xlfn.CONCAT(表格1[[#This Row],[欄4]],表格1[[#This Row],[inv no]])</f>
        <v/>
      </c>
    </row>
    <row r="4642" spans="1:23">
      <c r="A4642" s="81">
        <v>4640</v>
      </c>
      <c r="B4642" s="86" t="s">
        <v>1203</v>
      </c>
      <c r="C4642" s="86" t="s">
        <v>2027</v>
      </c>
      <c r="D4642" s="89" t="str">
        <f ca="1">OFFSET(Roster!$A$3,MATCH(表格1[[#This Row],[Location]]&amp;" "&amp;表格1[[#This Row],[Shop]]&amp;"*",Roster!$A$4:$A$72,0),DAY(表格1[[#This Row],[date]]),1,1)</f>
        <v>May C</v>
      </c>
      <c r="E4642" s="86">
        <f>MONTH(表格1[[#This Row],[date]])</f>
        <v>3</v>
      </c>
      <c r="F4642" s="90">
        <v>46082</v>
      </c>
      <c r="G4642" s="86" t="str">
        <f>VLOOKUP("*"&amp;表格1[[#This Row],[Input]]&amp;"*",'Ref-List'!$B:$D,2,)</f>
        <v>KT-17DRTHK(H)</v>
      </c>
      <c r="H4642" s="86" t="str">
        <f>_xlfn.XLOOKUP(表格1[[#This Row],[Model]],表格3[Model-Input-Ref2],表格3[Product Line])</f>
        <v>無線雙層電熱水壺(1.7公升)</v>
      </c>
      <c r="I4642" s="86" t="str">
        <f>_xlfn.XLOOKUP(表格1[[#This Row],[Model]],表格3[Model-Input-Ref2],表格3[大小電])</f>
        <v>細電</v>
      </c>
      <c r="J4642" s="86" t="str">
        <f>_xlfn.XLOOKUP(表格1[[#This Row],[Model]],表格3[Model-Input-Ref2],表格3[Code])</f>
        <v>SDA</v>
      </c>
      <c r="K4642" s="89" t="s">
        <v>2035</v>
      </c>
      <c r="L4642" s="86">
        <v>1</v>
      </c>
      <c r="M4642" s="87">
        <v>350</v>
      </c>
      <c r="N4642" s="87">
        <f>IFERROR(表格1[[#This Row],[QTY]]*表格1[[#This Row],[Unit Price]],"-")</f>
        <v>350</v>
      </c>
      <c r="R4642" s="86" t="str">
        <f>_xlfn.CONCAT(表格1[[#This Row],[Model]]," ",表格1[[#This Row],[inv no]])</f>
        <v xml:space="preserve">KT-17DRTHK(H) </v>
      </c>
      <c r="S4642" s="86">
        <f>_xlfn.XLOOKUP(表格1[[#This Row],[Model]],表格3[Model-Input-Ref2],表格3[SRP PRICE])</f>
        <v>498</v>
      </c>
      <c r="T4642" s="43">
        <f>表格1[[#This Row],[Unit Price]]/表格1[[#This Row],[SRP]]</f>
        <v>0.70281124497991965</v>
      </c>
      <c r="U4642" s="86" t="str">
        <f>_xlfn.XLOOKUP(表格1[[#This Row],[Model]],表格3[Model-Input-Ref2],表格3[TOSHIBA/HIGHEST])</f>
        <v>Toshiba SRP</v>
      </c>
      <c r="W4642" s="86" t="str">
        <f>_xlfn.CONCAT(表格1[[#This Row],[欄4]],表格1[[#This Row],[inv no]])</f>
        <v/>
      </c>
    </row>
    <row r="4643" spans="1:23">
      <c r="A4643" s="81">
        <v>4641</v>
      </c>
      <c r="B4643" s="86" t="s">
        <v>1203</v>
      </c>
      <c r="C4643" s="86" t="s">
        <v>2027</v>
      </c>
      <c r="D4643" s="89" t="str">
        <f ca="1">OFFSET(Roster!$A$3,MATCH(表格1[[#This Row],[Location]]&amp;" "&amp;表格1[[#This Row],[Shop]]&amp;"*",Roster!$A$4:$A$72,0),DAY(表格1[[#This Row],[date]]),1,1)</f>
        <v>May C</v>
      </c>
      <c r="E4643" s="86">
        <f>MONTH(表格1[[#This Row],[date]])</f>
        <v>3</v>
      </c>
      <c r="F4643" s="90">
        <v>46082</v>
      </c>
      <c r="G4643" s="86" t="str">
        <f>VLOOKUP("*"&amp;表格1[[#This Row],[Input]]&amp;"*",'Ref-List'!$B:$D,2,)</f>
        <v>MM2-EG20PC(WH)</v>
      </c>
      <c r="H4643" s="86" t="str">
        <f>_xlfn.XLOOKUP(表格1[[#This Row],[Model]],表格3[Model-Input-Ref2],表格3[Product Line])</f>
        <v>輕觸式燒烤微波爐</v>
      </c>
      <c r="I4643" s="86" t="str">
        <f>_xlfn.XLOOKUP(表格1[[#This Row],[Model]],表格3[Model-Input-Ref2],表格3[大小電])</f>
        <v>細電</v>
      </c>
      <c r="J4643" s="86" t="str">
        <f>_xlfn.XLOOKUP(表格1[[#This Row],[Model]],表格3[Model-Input-Ref2],表格3[Code])</f>
        <v>MCA</v>
      </c>
      <c r="K4643" s="89" t="s">
        <v>2242</v>
      </c>
      <c r="L4643" s="86">
        <v>1</v>
      </c>
      <c r="M4643" s="87">
        <v>760</v>
      </c>
      <c r="N4643" s="87">
        <f>IFERROR(表格1[[#This Row],[QTY]]*表格1[[#This Row],[Unit Price]],"-")</f>
        <v>760</v>
      </c>
      <c r="R4643" s="86" t="str">
        <f>_xlfn.CONCAT(表格1[[#This Row],[Model]]," ",表格1[[#This Row],[inv no]])</f>
        <v xml:space="preserve">MM2-EG20PC(WH) </v>
      </c>
      <c r="S4643" s="86">
        <f>_xlfn.XLOOKUP(表格1[[#This Row],[Model]],表格3[Model-Input-Ref2],表格3[SRP PRICE])</f>
        <v>918</v>
      </c>
      <c r="T4643" s="43">
        <f>表格1[[#This Row],[Unit Price]]/表格1[[#This Row],[SRP]]</f>
        <v>0.82788671023965144</v>
      </c>
      <c r="U4643" s="86" t="str">
        <f>_xlfn.XLOOKUP(表格1[[#This Row],[Model]],表格3[Model-Input-Ref2],表格3[TOSHIBA/HIGHEST])</f>
        <v>Shops Highest Price</v>
      </c>
      <c r="W4643" s="86" t="str">
        <f>_xlfn.CONCAT(表格1[[#This Row],[欄4]],表格1[[#This Row],[inv no]])</f>
        <v/>
      </c>
    </row>
    <row r="4644" spans="1:23">
      <c r="A4644" s="81">
        <v>4642</v>
      </c>
      <c r="B4644" s="86" t="s">
        <v>1203</v>
      </c>
      <c r="C4644" s="86" t="s">
        <v>2027</v>
      </c>
      <c r="D4644" s="89" t="str">
        <f ca="1">OFFSET(Roster!$A$3,MATCH(表格1[[#This Row],[Location]]&amp;" "&amp;表格1[[#This Row],[Shop]]&amp;"*",Roster!$A$4:$A$72,0),DAY(表格1[[#This Row],[date]]),1,1)</f>
        <v>May C</v>
      </c>
      <c r="E4644" s="86">
        <f>MONTH(表格1[[#This Row],[date]])</f>
        <v>3</v>
      </c>
      <c r="F4644" s="90">
        <v>46082</v>
      </c>
      <c r="G4644" s="86" t="str">
        <f>VLOOKUP("*"&amp;表格1[[#This Row],[Input]]&amp;"*",'Ref-List'!$B:$D,2,)</f>
        <v>KT-08DH1VHK(W)</v>
      </c>
      <c r="H4644" s="86" t="str">
        <f>_xlfn.XLOOKUP(表格1[[#This Row],[Model]],表格3[Model-Input-Ref2],表格3[Product Line])</f>
        <v>無線雙層電熱水壺-附可鎖壺蓋(0.8公升)</v>
      </c>
      <c r="I4644" s="86" t="str">
        <f>_xlfn.XLOOKUP(表格1[[#This Row],[Model]],表格3[Model-Input-Ref2],表格3[大小電])</f>
        <v>細電</v>
      </c>
      <c r="J4644" s="86" t="str">
        <f>_xlfn.XLOOKUP(表格1[[#This Row],[Model]],表格3[Model-Input-Ref2],表格3[Code])</f>
        <v>SDA</v>
      </c>
      <c r="K4644" s="89" t="s">
        <v>2053</v>
      </c>
      <c r="L4644" s="86">
        <v>1</v>
      </c>
      <c r="M4644" s="87">
        <v>260</v>
      </c>
      <c r="N4644" s="87">
        <f>IFERROR(表格1[[#This Row],[QTY]]*表格1[[#This Row],[Unit Price]],"-")</f>
        <v>260</v>
      </c>
      <c r="R4644" s="86" t="str">
        <f>_xlfn.CONCAT(表格1[[#This Row],[Model]]," ",表格1[[#This Row],[inv no]])</f>
        <v xml:space="preserve">KT-08DH1VHK(W) </v>
      </c>
      <c r="S4644" s="86">
        <f>_xlfn.XLOOKUP(表格1[[#This Row],[Model]],表格3[Model-Input-Ref2],表格3[SRP PRICE])</f>
        <v>428</v>
      </c>
      <c r="T4644" s="43">
        <f>表格1[[#This Row],[Unit Price]]/表格1[[#This Row],[SRP]]</f>
        <v>0.60747663551401865</v>
      </c>
      <c r="U4644" s="86" t="str">
        <f>_xlfn.XLOOKUP(表格1[[#This Row],[Model]],表格3[Model-Input-Ref2],表格3[TOSHIBA/HIGHEST])</f>
        <v>Toshiba SRP</v>
      </c>
      <c r="W4644" s="86" t="str">
        <f>_xlfn.CONCAT(表格1[[#This Row],[欄4]],表格1[[#This Row],[inv no]])</f>
        <v/>
      </c>
    </row>
    <row r="4645" spans="1:23">
      <c r="A4645" s="81">
        <v>4643</v>
      </c>
      <c r="B4645" s="86" t="s">
        <v>1203</v>
      </c>
      <c r="C4645" s="86" t="s">
        <v>2027</v>
      </c>
      <c r="D4645" s="89" t="str">
        <f ca="1">OFFSET(Roster!$A$3,MATCH(表格1[[#This Row],[Location]]&amp;" "&amp;表格1[[#This Row],[Shop]]&amp;"*",Roster!$A$4:$A$72,0),DAY(表格1[[#This Row],[date]]),1,1)</f>
        <v>May C</v>
      </c>
      <c r="E4645" s="86">
        <f>MONTH(表格1[[#This Row],[date]])</f>
        <v>3</v>
      </c>
      <c r="F4645" s="90">
        <v>46082</v>
      </c>
      <c r="G4645" s="86" t="str">
        <f>VLOOKUP("*"&amp;表格1[[#This Row],[Input]]&amp;"*",'Ref-List'!$B:$D,2,)</f>
        <v>TP-50DRUHK(W)</v>
      </c>
      <c r="H4645" s="86" t="str">
        <f>_xlfn.XLOOKUP(表格1[[#This Row],[Model]],表格3[Model-Input-Ref2],表格3[Product Line])</f>
        <v>電熱水瓶 (5公升)</v>
      </c>
      <c r="I4645" s="86" t="str">
        <f>_xlfn.XLOOKUP(表格1[[#This Row],[Model]],表格3[Model-Input-Ref2],表格3[大小電])</f>
        <v>細電</v>
      </c>
      <c r="J4645" s="86" t="str">
        <f>_xlfn.XLOOKUP(表格1[[#This Row],[Model]],表格3[Model-Input-Ref2],表格3[Code])</f>
        <v>SDA</v>
      </c>
      <c r="K4645" s="89" t="s">
        <v>2245</v>
      </c>
      <c r="L4645" s="86">
        <v>1</v>
      </c>
      <c r="M4645" s="87">
        <v>620</v>
      </c>
      <c r="N4645" s="87">
        <f>IFERROR(表格1[[#This Row],[QTY]]*表格1[[#This Row],[Unit Price]],"-")</f>
        <v>620</v>
      </c>
      <c r="R4645" s="86" t="str">
        <f>_xlfn.CONCAT(表格1[[#This Row],[Model]]," ",表格1[[#This Row],[inv no]])</f>
        <v xml:space="preserve">TP-50DRUHK(W) </v>
      </c>
      <c r="S4645" s="86">
        <f>_xlfn.XLOOKUP(表格1[[#This Row],[Model]],表格3[Model-Input-Ref2],表格3[SRP PRICE])</f>
        <v>718</v>
      </c>
      <c r="T4645" s="43">
        <f>表格1[[#This Row],[Unit Price]]/表格1[[#This Row],[SRP]]</f>
        <v>0.86350974930362112</v>
      </c>
      <c r="U4645" s="86" t="str">
        <f>_xlfn.XLOOKUP(表格1[[#This Row],[Model]],表格3[Model-Input-Ref2],表格3[TOSHIBA/HIGHEST])</f>
        <v>Toshiba SRP</v>
      </c>
      <c r="W4645" s="86" t="str">
        <f>_xlfn.CONCAT(表格1[[#This Row],[欄4]],表格1[[#This Row],[inv no]])</f>
        <v/>
      </c>
    </row>
    <row r="4646" spans="1:23">
      <c r="A4646" s="81">
        <v>4644</v>
      </c>
      <c r="B4646" s="86" t="s">
        <v>1203</v>
      </c>
      <c r="C4646" s="86" t="s">
        <v>2027</v>
      </c>
      <c r="D4646" s="89" t="str">
        <f ca="1">OFFSET(Roster!$A$3,MATCH(表格1[[#This Row],[Location]]&amp;" "&amp;表格1[[#This Row],[Shop]]&amp;"*",Roster!$A$4:$A$72,0),DAY(表格1[[#This Row],[date]]),1,1)</f>
        <v>May C</v>
      </c>
      <c r="E4646" s="86">
        <f>MONTH(表格1[[#This Row],[date]])</f>
        <v>3</v>
      </c>
      <c r="F4646" s="90">
        <v>46082</v>
      </c>
      <c r="G4646" s="86" t="str">
        <f>VLOOKUP("*"&amp;表格1[[#This Row],[Input]]&amp;"*",'Ref-List'!$B:$D,2,)</f>
        <v>RAD-D300H</v>
      </c>
      <c r="H4646" s="86" t="str">
        <f>_xlfn.XLOOKUP(表格1[[#This Row],[Model]],表格3[Model-Input-Ref2],表格3[Product Line])</f>
        <v>壓縮式抽濕機 (30公升)</v>
      </c>
      <c r="I4646" s="86" t="str">
        <f>_xlfn.XLOOKUP(表格1[[#This Row],[Model]],表格3[Model-Input-Ref2],表格3[大小電])</f>
        <v>細電</v>
      </c>
      <c r="J4646" s="86" t="str">
        <f>_xlfn.XLOOKUP(表格1[[#This Row],[Model]],表格3[Model-Input-Ref2],表格3[Code])</f>
        <v>RAC</v>
      </c>
      <c r="K4646" s="89" t="s">
        <v>1761</v>
      </c>
      <c r="L4646" s="86">
        <v>3</v>
      </c>
      <c r="M4646" s="87">
        <v>2451</v>
      </c>
      <c r="N4646" s="87">
        <f>IFERROR(表格1[[#This Row],[QTY]]*表格1[[#This Row],[Unit Price]],"-")</f>
        <v>7353</v>
      </c>
      <c r="R4646" s="86" t="str">
        <f>_xlfn.CONCAT(表格1[[#This Row],[Model]]," ",表格1[[#This Row],[inv no]])</f>
        <v xml:space="preserve">RAD-D300H </v>
      </c>
      <c r="S4646" s="86">
        <f>_xlfn.XLOOKUP(表格1[[#This Row],[Model]],表格3[Model-Input-Ref2],表格3[SRP PRICE])</f>
        <v>3380</v>
      </c>
      <c r="T4646" s="43">
        <f>表格1[[#This Row],[Unit Price]]/表格1[[#This Row],[SRP]]</f>
        <v>0.72514792899408287</v>
      </c>
      <c r="U4646" s="86" t="str">
        <f>_xlfn.XLOOKUP(表格1[[#This Row],[Model]],表格3[Model-Input-Ref2],表格3[TOSHIBA/HIGHEST])</f>
        <v>Shops Highest Price</v>
      </c>
      <c r="W4646" s="86" t="str">
        <f>_xlfn.CONCAT(表格1[[#This Row],[欄4]],表格1[[#This Row],[inv no]])</f>
        <v/>
      </c>
    </row>
    <row r="4647" spans="1:23">
      <c r="A4647" s="81">
        <v>4645</v>
      </c>
      <c r="B4647" s="86" t="s">
        <v>1203</v>
      </c>
      <c r="C4647" s="86" t="s">
        <v>2027</v>
      </c>
      <c r="D4647" s="89" t="str">
        <f ca="1">OFFSET(Roster!$A$3,MATCH(表格1[[#This Row],[Location]]&amp;" "&amp;表格1[[#This Row],[Shop]]&amp;"*",Roster!$A$4:$A$72,0),DAY(表格1[[#This Row],[date]]),1,1)</f>
        <v>May C</v>
      </c>
      <c r="E4647" s="86">
        <f>MONTH(表格1[[#This Row],[date]])</f>
        <v>3</v>
      </c>
      <c r="F4647" s="90">
        <v>46083</v>
      </c>
      <c r="G4647" s="86" t="str">
        <f>VLOOKUP("*"&amp;表格1[[#This Row],[Input]]&amp;"*",'Ref-List'!$B:$D,2,)</f>
        <v>MWP-MM20P(WH)</v>
      </c>
      <c r="H4647" s="86" t="str">
        <f>_xlfn.XLOOKUP(表格1[[#This Row],[Model]],表格3[Model-Input-Ref2],表格3[Product Line])</f>
        <v>旋鈕式燒烤微波爐20L</v>
      </c>
      <c r="I4647" s="86" t="str">
        <f>_xlfn.XLOOKUP(表格1[[#This Row],[Model]],表格3[Model-Input-Ref2],表格3[大小電])</f>
        <v>細電</v>
      </c>
      <c r="J4647" s="86" t="str">
        <f>_xlfn.XLOOKUP(表格1[[#This Row],[Model]],表格3[Model-Input-Ref2],表格3[Code])</f>
        <v>SDA</v>
      </c>
      <c r="K4647" s="89" t="s">
        <v>1375</v>
      </c>
      <c r="L4647" s="86">
        <v>2</v>
      </c>
      <c r="M4647" s="87">
        <v>551</v>
      </c>
      <c r="N4647" s="87">
        <f>IFERROR(表格1[[#This Row],[QTY]]*表格1[[#This Row],[Unit Price]],"-")</f>
        <v>1102</v>
      </c>
      <c r="R4647" s="86" t="str">
        <f>_xlfn.CONCAT(表格1[[#This Row],[Model]]," ",表格1[[#This Row],[inv no]])</f>
        <v xml:space="preserve">MWP-MM20P(WH) </v>
      </c>
      <c r="S4647" s="86">
        <f>_xlfn.XLOOKUP(表格1[[#This Row],[Model]],表格3[Model-Input-Ref2],表格3[SRP PRICE])</f>
        <v>648</v>
      </c>
      <c r="T4647" s="43">
        <f>表格1[[#This Row],[Unit Price]]/表格1[[#This Row],[SRP]]</f>
        <v>0.85030864197530864</v>
      </c>
      <c r="U4647" s="86" t="str">
        <f>_xlfn.XLOOKUP(表格1[[#This Row],[Model]],表格3[Model-Input-Ref2],表格3[TOSHIBA/HIGHEST])</f>
        <v>Toshiba SRP</v>
      </c>
      <c r="W4647" s="86" t="str">
        <f>_xlfn.CONCAT(表格1[[#This Row],[欄4]],表格1[[#This Row],[inv no]])</f>
        <v/>
      </c>
    </row>
    <row r="4648" spans="1:23">
      <c r="A4648" s="81">
        <v>4646</v>
      </c>
      <c r="B4648" s="86" t="s">
        <v>1203</v>
      </c>
      <c r="C4648" s="86" t="s">
        <v>2027</v>
      </c>
      <c r="D4648" s="89" t="str">
        <f ca="1">OFFSET(Roster!$A$3,MATCH(表格1[[#This Row],[Location]]&amp;" "&amp;表格1[[#This Row],[Shop]]&amp;"*",Roster!$A$4:$A$72,0),DAY(表格1[[#This Row],[date]]),1,1)</f>
        <v>May C</v>
      </c>
      <c r="E4648" s="86">
        <f>MONTH(表格1[[#This Row],[date]])</f>
        <v>3</v>
      </c>
      <c r="F4648" s="90">
        <v>46083</v>
      </c>
      <c r="G4648" s="86" t="str">
        <f>VLOOKUP("*"&amp;表格1[[#This Row],[Input]]&amp;"*",'Ref-List'!$B:$D,2,)</f>
        <v>ET-TD7080(PN)</v>
      </c>
      <c r="H4648" s="86" t="str">
        <f>_xlfn.XLOOKUP(表格1[[#This Row],[Model]],表格3[Model-Input-Ref2],表格3[Product Line])</f>
        <v>多士焗爐8L</v>
      </c>
      <c r="I4648" s="86" t="str">
        <f>_xlfn.XLOOKUP(表格1[[#This Row],[Model]],表格3[Model-Input-Ref2],表格3[大小電])</f>
        <v>細電</v>
      </c>
      <c r="J4648" s="86" t="str">
        <f>_xlfn.XLOOKUP(表格1[[#This Row],[Model]],表格3[Model-Input-Ref2],表格3[Code])</f>
        <v>SDA</v>
      </c>
      <c r="K4648" s="89">
        <v>7080</v>
      </c>
      <c r="L4648" s="86">
        <v>1</v>
      </c>
      <c r="M4648" s="87">
        <v>313.5</v>
      </c>
      <c r="N4648" s="87">
        <f>IFERROR(表格1[[#This Row],[QTY]]*表格1[[#This Row],[Unit Price]],"-")</f>
        <v>313.5</v>
      </c>
      <c r="R4648" s="86" t="str">
        <f>_xlfn.CONCAT(表格1[[#This Row],[Model]]," ",表格1[[#This Row],[inv no]])</f>
        <v xml:space="preserve">ET-TD7080(PN) </v>
      </c>
      <c r="S4648" s="86">
        <f>_xlfn.XLOOKUP(表格1[[#This Row],[Model]],表格3[Model-Input-Ref2],表格3[SRP PRICE])</f>
        <v>498</v>
      </c>
      <c r="T4648" s="43">
        <f>表格1[[#This Row],[Unit Price]]/表格1[[#This Row],[SRP]]</f>
        <v>0.62951807228915657</v>
      </c>
      <c r="U4648" s="86" t="str">
        <f>_xlfn.XLOOKUP(表格1[[#This Row],[Model]],表格3[Model-Input-Ref2],表格3[TOSHIBA/HIGHEST])</f>
        <v>Toshiba SRP</v>
      </c>
      <c r="W4648" s="86" t="str">
        <f>_xlfn.CONCAT(表格1[[#This Row],[欄4]],表格1[[#This Row],[inv no]])</f>
        <v/>
      </c>
    </row>
    <row r="4649" spans="1:23">
      <c r="A4649" s="81">
        <v>4647</v>
      </c>
      <c r="B4649" s="86" t="s">
        <v>1203</v>
      </c>
      <c r="C4649" s="86" t="s">
        <v>2027</v>
      </c>
      <c r="D4649" s="89" t="str">
        <f ca="1">OFFSET(Roster!$A$3,MATCH(表格1[[#This Row],[Location]]&amp;" "&amp;表格1[[#This Row],[Shop]]&amp;"*",Roster!$A$4:$A$72,0),DAY(表格1[[#This Row],[date]]),1,1)</f>
        <v>May C</v>
      </c>
      <c r="E4649" s="86">
        <f>MONTH(表格1[[#This Row],[date]])</f>
        <v>3</v>
      </c>
      <c r="F4649" s="90">
        <v>46083</v>
      </c>
      <c r="G4649" s="86" t="str">
        <f>VLOOKUP("*"&amp;表格1[[#This Row],[Input]]&amp;"*",'Ref-List'!$B:$D,2,)</f>
        <v>MM2-EG20PC(WH)</v>
      </c>
      <c r="H4649" s="86" t="str">
        <f>_xlfn.XLOOKUP(表格1[[#This Row],[Model]],表格3[Model-Input-Ref2],表格3[Product Line])</f>
        <v>輕觸式燒烤微波爐</v>
      </c>
      <c r="I4649" s="86" t="str">
        <f>_xlfn.XLOOKUP(表格1[[#This Row],[Model]],表格3[Model-Input-Ref2],表格3[大小電])</f>
        <v>細電</v>
      </c>
      <c r="J4649" s="86" t="str">
        <f>_xlfn.XLOOKUP(表格1[[#This Row],[Model]],表格3[Model-Input-Ref2],表格3[Code])</f>
        <v>MCA</v>
      </c>
      <c r="K4649" s="89" t="s">
        <v>2242</v>
      </c>
      <c r="L4649" s="86">
        <v>1</v>
      </c>
      <c r="M4649" s="87">
        <v>722</v>
      </c>
      <c r="N4649" s="87">
        <f>IFERROR(表格1[[#This Row],[QTY]]*表格1[[#This Row],[Unit Price]],"-")</f>
        <v>722</v>
      </c>
      <c r="R4649" s="86" t="str">
        <f>_xlfn.CONCAT(表格1[[#This Row],[Model]]," ",表格1[[#This Row],[inv no]])</f>
        <v xml:space="preserve">MM2-EG20PC(WH) </v>
      </c>
      <c r="S4649" s="86">
        <f>_xlfn.XLOOKUP(表格1[[#This Row],[Model]],表格3[Model-Input-Ref2],表格3[SRP PRICE])</f>
        <v>918</v>
      </c>
      <c r="T4649" s="43">
        <f>表格1[[#This Row],[Unit Price]]/表格1[[#This Row],[SRP]]</f>
        <v>0.78649237472766886</v>
      </c>
      <c r="U4649" s="86" t="str">
        <f>_xlfn.XLOOKUP(表格1[[#This Row],[Model]],表格3[Model-Input-Ref2],表格3[TOSHIBA/HIGHEST])</f>
        <v>Shops Highest Price</v>
      </c>
      <c r="W4649" s="86" t="str">
        <f>_xlfn.CONCAT(表格1[[#This Row],[欄4]],表格1[[#This Row],[inv no]])</f>
        <v/>
      </c>
    </row>
    <row r="4650" spans="1:23">
      <c r="A4650" s="81">
        <v>4648</v>
      </c>
      <c r="B4650" s="86" t="s">
        <v>1203</v>
      </c>
      <c r="C4650" s="86" t="s">
        <v>2027</v>
      </c>
      <c r="D4650" s="89" t="str">
        <f ca="1">OFFSET(Roster!$A$3,MATCH(表格1[[#This Row],[Location]]&amp;" "&amp;表格1[[#This Row],[Shop]]&amp;"*",Roster!$A$4:$A$72,0),DAY(表格1[[#This Row],[date]]),1,1)</f>
        <v>May C</v>
      </c>
      <c r="E4650" s="86">
        <f>MONTH(表格1[[#This Row],[date]])</f>
        <v>3</v>
      </c>
      <c r="F4650" s="90">
        <v>46083</v>
      </c>
      <c r="G4650" s="86" t="str">
        <f>VLOOKUP("*"&amp;表格1[[#This Row],[Input]]&amp;"*",'Ref-List'!$B:$D,2,)</f>
        <v>RC-18AMXH(W)</v>
      </c>
      <c r="H4650" s="86" t="str">
        <f>_xlfn.XLOOKUP(表格1[[#This Row],[Model]],表格3[Model-Input-Ref2],表格3[Product Line])</f>
        <v>酵活炊電飯煲(1.8公升)</v>
      </c>
      <c r="I4650" s="86" t="str">
        <f>_xlfn.XLOOKUP(表格1[[#This Row],[Model]],表格3[Model-Input-Ref2],表格3[大小電])</f>
        <v>細電</v>
      </c>
      <c r="J4650" s="86" t="str">
        <f>_xlfn.XLOOKUP(表格1[[#This Row],[Model]],表格3[Model-Input-Ref2],表格3[Code])</f>
        <v>SDA</v>
      </c>
      <c r="K4650" s="89" t="s">
        <v>2085</v>
      </c>
      <c r="L4650" s="86">
        <v>1</v>
      </c>
      <c r="M4650" s="87">
        <v>940.5</v>
      </c>
      <c r="N4650" s="87">
        <f>IFERROR(表格1[[#This Row],[QTY]]*表格1[[#This Row],[Unit Price]],"-")</f>
        <v>940.5</v>
      </c>
      <c r="R4650" s="86" t="str">
        <f>_xlfn.CONCAT(表格1[[#This Row],[Model]]," ",表格1[[#This Row],[inv no]])</f>
        <v xml:space="preserve">RC-18AMXH(W) </v>
      </c>
      <c r="S4650" s="86">
        <f>_xlfn.XLOOKUP(表格1[[#This Row],[Model]],表格3[Model-Input-Ref2],表格3[SRP PRICE])</f>
        <v>1588</v>
      </c>
      <c r="T4650" s="43">
        <f>表格1[[#This Row],[Unit Price]]/表格1[[#This Row],[SRP]]</f>
        <v>0.59225440806045337</v>
      </c>
      <c r="U4650" s="86" t="str">
        <f>_xlfn.XLOOKUP(表格1[[#This Row],[Model]],表格3[Model-Input-Ref2],表格3[TOSHIBA/HIGHEST])</f>
        <v>Toshiba SRP</v>
      </c>
      <c r="W4650" s="86" t="str">
        <f>_xlfn.CONCAT(表格1[[#This Row],[欄4]],表格1[[#This Row],[inv no]])</f>
        <v/>
      </c>
    </row>
    <row r="4651" spans="1:23">
      <c r="A4651" s="81">
        <v>4649</v>
      </c>
      <c r="B4651" s="86" t="s">
        <v>1203</v>
      </c>
      <c r="C4651" s="86" t="s">
        <v>2027</v>
      </c>
      <c r="D4651" s="89" t="str">
        <f ca="1">OFFSET(Roster!$A$3,MATCH(表格1[[#This Row],[Location]]&amp;" "&amp;表格1[[#This Row],[Shop]]&amp;"*",Roster!$A$4:$A$72,0),DAY(表格1[[#This Row],[date]]),1,1)</f>
        <v>May C</v>
      </c>
      <c r="E4651" s="86">
        <f>MONTH(表格1[[#This Row],[date]])</f>
        <v>3</v>
      </c>
      <c r="F4651" s="90">
        <v>46083</v>
      </c>
      <c r="G4651" s="86" t="str">
        <f>VLOOKUP("*"&amp;表格1[[#This Row],[Input]]&amp;"*",'Ref-List'!$B:$D,2,)</f>
        <v>KT-08DH1VHK(W)</v>
      </c>
      <c r="H4651" s="86" t="str">
        <f>_xlfn.XLOOKUP(表格1[[#This Row],[Model]],表格3[Model-Input-Ref2],表格3[Product Line])</f>
        <v>無線雙層電熱水壺-附可鎖壺蓋(0.8公升)</v>
      </c>
      <c r="I4651" s="86" t="str">
        <f>_xlfn.XLOOKUP(表格1[[#This Row],[Model]],表格3[Model-Input-Ref2],表格3[大小電])</f>
        <v>細電</v>
      </c>
      <c r="J4651" s="86" t="str">
        <f>_xlfn.XLOOKUP(表格1[[#This Row],[Model]],表格3[Model-Input-Ref2],表格3[Code])</f>
        <v>SDA</v>
      </c>
      <c r="K4651" s="89" t="s">
        <v>2053</v>
      </c>
      <c r="L4651" s="86">
        <v>2</v>
      </c>
      <c r="M4651" s="87">
        <v>247</v>
      </c>
      <c r="N4651" s="87">
        <f>IFERROR(表格1[[#This Row],[QTY]]*表格1[[#This Row],[Unit Price]],"-")</f>
        <v>494</v>
      </c>
      <c r="R4651" s="86" t="str">
        <f>_xlfn.CONCAT(表格1[[#This Row],[Model]]," ",表格1[[#This Row],[inv no]])</f>
        <v xml:space="preserve">KT-08DH1VHK(W) </v>
      </c>
      <c r="S4651" s="86">
        <f>_xlfn.XLOOKUP(表格1[[#This Row],[Model]],表格3[Model-Input-Ref2],表格3[SRP PRICE])</f>
        <v>428</v>
      </c>
      <c r="T4651" s="43">
        <f>表格1[[#This Row],[Unit Price]]/表格1[[#This Row],[SRP]]</f>
        <v>0.57710280373831779</v>
      </c>
      <c r="U4651" s="86" t="str">
        <f>_xlfn.XLOOKUP(表格1[[#This Row],[Model]],表格3[Model-Input-Ref2],表格3[TOSHIBA/HIGHEST])</f>
        <v>Toshiba SRP</v>
      </c>
      <c r="W4651" s="86" t="str">
        <f>_xlfn.CONCAT(表格1[[#This Row],[欄4]],表格1[[#This Row],[inv no]])</f>
        <v/>
      </c>
    </row>
    <row r="4652" spans="1:23">
      <c r="A4652" s="81">
        <v>4650</v>
      </c>
      <c r="B4652" s="86" t="s">
        <v>1203</v>
      </c>
      <c r="C4652" s="86" t="s">
        <v>2027</v>
      </c>
      <c r="D4652" s="89" t="str">
        <f ca="1">OFFSET(Roster!$A$3,MATCH(表格1[[#This Row],[Location]]&amp;" "&amp;表格1[[#This Row],[Shop]]&amp;"*",Roster!$A$4:$A$72,0),DAY(表格1[[#This Row],[date]]),1,1)</f>
        <v>May C</v>
      </c>
      <c r="E4652" s="86">
        <f>MONTH(表格1[[#This Row],[date]])</f>
        <v>3</v>
      </c>
      <c r="F4652" s="90">
        <v>46083</v>
      </c>
      <c r="G4652" s="86" t="str">
        <f>VLOOKUP("*"&amp;表格1[[#This Row],[Input]]&amp;"*",'Ref-List'!$B:$D,2,)</f>
        <v>RAD-D300H</v>
      </c>
      <c r="H4652" s="86" t="str">
        <f>_xlfn.XLOOKUP(表格1[[#This Row],[Model]],表格3[Model-Input-Ref2],表格3[Product Line])</f>
        <v>壓縮式抽濕機 (30公升)</v>
      </c>
      <c r="I4652" s="86" t="str">
        <f>_xlfn.XLOOKUP(表格1[[#This Row],[Model]],表格3[Model-Input-Ref2],表格3[大小電])</f>
        <v>細電</v>
      </c>
      <c r="J4652" s="86" t="str">
        <f>_xlfn.XLOOKUP(表格1[[#This Row],[Model]],表格3[Model-Input-Ref2],表格3[Code])</f>
        <v>RAC</v>
      </c>
      <c r="K4652" s="89" t="s">
        <v>1761</v>
      </c>
      <c r="L4652" s="86">
        <v>1</v>
      </c>
      <c r="M4652" s="87">
        <v>2451</v>
      </c>
      <c r="N4652" s="87">
        <f>IFERROR(表格1[[#This Row],[QTY]]*表格1[[#This Row],[Unit Price]],"-")</f>
        <v>2451</v>
      </c>
      <c r="R4652" s="86" t="str">
        <f>_xlfn.CONCAT(表格1[[#This Row],[Model]]," ",表格1[[#This Row],[inv no]])</f>
        <v xml:space="preserve">RAD-D300H </v>
      </c>
      <c r="S4652" s="86">
        <f>_xlfn.XLOOKUP(表格1[[#This Row],[Model]],表格3[Model-Input-Ref2],表格3[SRP PRICE])</f>
        <v>3380</v>
      </c>
      <c r="T4652" s="43">
        <f>表格1[[#This Row],[Unit Price]]/表格1[[#This Row],[SRP]]</f>
        <v>0.72514792899408287</v>
      </c>
      <c r="U4652" s="86" t="str">
        <f>_xlfn.XLOOKUP(表格1[[#This Row],[Model]],表格3[Model-Input-Ref2],表格3[TOSHIBA/HIGHEST])</f>
        <v>Shops Highest Price</v>
      </c>
      <c r="W4652" s="86" t="str">
        <f>_xlfn.CONCAT(表格1[[#This Row],[欄4]],表格1[[#This Row],[inv no]])</f>
        <v/>
      </c>
    </row>
    <row r="4653" spans="1:23">
      <c r="A4653" s="81">
        <v>4651</v>
      </c>
      <c r="B4653" s="86" t="s">
        <v>1203</v>
      </c>
      <c r="C4653" s="86" t="s">
        <v>2027</v>
      </c>
      <c r="D4653" s="89" t="str">
        <f ca="1">OFFSET(Roster!$A$3,MATCH(表格1[[#This Row],[Location]]&amp;" "&amp;表格1[[#This Row],[Shop]]&amp;"*",Roster!$A$4:$A$72,0),DAY(表格1[[#This Row],[date]]),1,1)</f>
        <v>May C</v>
      </c>
      <c r="E4653" s="86">
        <f>MONTH(表格1[[#This Row],[date]])</f>
        <v>3</v>
      </c>
      <c r="F4653" s="90">
        <v>46084</v>
      </c>
      <c r="G4653" s="86" t="str">
        <f>VLOOKUP("*"&amp;表格1[[#This Row],[Input]]&amp;"*",'Ref-List'!$B:$D,2,)</f>
        <v>RC-18NMFIH(WT)</v>
      </c>
      <c r="H4653" s="86" t="str">
        <f>_xlfn.XLOOKUP(表格1[[#This Row],[Model]],表格3[Model-Input-Ref2],表格3[Product Line])</f>
        <v>4毫米厚釜電飯煲1.8L</v>
      </c>
      <c r="I4653" s="86" t="str">
        <f>_xlfn.XLOOKUP(表格1[[#This Row],[Model]],表格3[Model-Input-Ref2],表格3[大小電])</f>
        <v>細電</v>
      </c>
      <c r="J4653" s="86" t="str">
        <f>_xlfn.XLOOKUP(表格1[[#This Row],[Model]],表格3[Model-Input-Ref2],表格3[Code])</f>
        <v>SDA</v>
      </c>
      <c r="K4653" s="89" t="s">
        <v>2043</v>
      </c>
      <c r="L4653" s="86">
        <v>1</v>
      </c>
      <c r="M4653" s="87">
        <v>800</v>
      </c>
      <c r="N4653" s="87">
        <f>IFERROR(表格1[[#This Row],[QTY]]*表格1[[#This Row],[Unit Price]],"-")</f>
        <v>800</v>
      </c>
      <c r="R4653" s="86" t="str">
        <f>_xlfn.CONCAT(表格1[[#This Row],[Model]]," ",表格1[[#This Row],[inv no]])</f>
        <v xml:space="preserve">RC-18NMFIH(WT) </v>
      </c>
      <c r="S4653" s="86">
        <f>_xlfn.XLOOKUP(表格1[[#This Row],[Model]],表格3[Model-Input-Ref2],表格3[SRP PRICE])</f>
        <v>998</v>
      </c>
      <c r="T4653" s="43">
        <f>表格1[[#This Row],[Unit Price]]/表格1[[#This Row],[SRP]]</f>
        <v>0.80160320641282568</v>
      </c>
      <c r="U4653" s="86" t="str">
        <f>_xlfn.XLOOKUP(表格1[[#This Row],[Model]],表格3[Model-Input-Ref2],表格3[TOSHIBA/HIGHEST])</f>
        <v>Toshiba SRP</v>
      </c>
      <c r="W4653" s="86" t="str">
        <f>_xlfn.CONCAT(表格1[[#This Row],[欄4]],表格1[[#This Row],[inv no]])</f>
        <v/>
      </c>
    </row>
    <row r="4654" spans="1:23">
      <c r="A4654" s="81">
        <v>4652</v>
      </c>
      <c r="B4654" s="86" t="s">
        <v>1203</v>
      </c>
      <c r="C4654" s="86" t="s">
        <v>2027</v>
      </c>
      <c r="D4654" s="89" t="str">
        <f ca="1">OFFSET(Roster!$A$3,MATCH(表格1[[#This Row],[Location]]&amp;" "&amp;表格1[[#This Row],[Shop]]&amp;"*",Roster!$A$4:$A$72,0),DAY(表格1[[#This Row],[date]]),1,1)</f>
        <v>May C</v>
      </c>
      <c r="E4654" s="86">
        <f>MONTH(表格1[[#This Row],[date]])</f>
        <v>3</v>
      </c>
      <c r="F4654" s="90">
        <v>46084</v>
      </c>
      <c r="G4654" s="86" t="str">
        <f>VLOOKUP("*"&amp;表格1[[#This Row],[Input]]&amp;"*",'Ref-List'!$B:$D,2,)</f>
        <v>KT-17SHNH</v>
      </c>
      <c r="H4654" s="86" t="str">
        <f>_xlfn.XLOOKUP(表格1[[#This Row],[Model]],表格3[Model-Input-Ref2],表格3[Product Line])</f>
        <v>1.7L無線雙層電熱水壺</v>
      </c>
      <c r="I4654" s="86" t="str">
        <f>_xlfn.XLOOKUP(表格1[[#This Row],[Model]],表格3[Model-Input-Ref2],表格3[大小電])</f>
        <v>細電</v>
      </c>
      <c r="J4654" s="86" t="str">
        <f>_xlfn.XLOOKUP(表格1[[#This Row],[Model]],表格3[Model-Input-Ref2],表格3[Code])</f>
        <v>SDA</v>
      </c>
      <c r="K4654" s="89" t="s">
        <v>2030</v>
      </c>
      <c r="L4654" s="86">
        <v>2</v>
      </c>
      <c r="M4654" s="87">
        <v>190</v>
      </c>
      <c r="N4654" s="87">
        <f>IFERROR(表格1[[#This Row],[QTY]]*表格1[[#This Row],[Unit Price]],"-")</f>
        <v>380</v>
      </c>
      <c r="R4654" s="86" t="str">
        <f>_xlfn.CONCAT(表格1[[#This Row],[Model]]," ",表格1[[#This Row],[inv no]])</f>
        <v xml:space="preserve">KT-17SHNH </v>
      </c>
      <c r="S4654" s="86">
        <f>_xlfn.XLOOKUP(表格1[[#This Row],[Model]],表格3[Model-Input-Ref2],表格3[SRP PRICE])</f>
        <v>299</v>
      </c>
      <c r="T4654" s="43">
        <f>表格1[[#This Row],[Unit Price]]/表格1[[#This Row],[SRP]]</f>
        <v>0.63545150501672243</v>
      </c>
      <c r="U4654" s="86" t="str">
        <f>_xlfn.XLOOKUP(表格1[[#This Row],[Model]],表格3[Model-Input-Ref2],表格3[TOSHIBA/HIGHEST])</f>
        <v>Shops Highest Price</v>
      </c>
      <c r="W4654" s="86" t="str">
        <f>_xlfn.CONCAT(表格1[[#This Row],[欄4]],表格1[[#This Row],[inv no]])</f>
        <v/>
      </c>
    </row>
    <row r="4655" spans="1:23">
      <c r="A4655" s="81">
        <v>4653</v>
      </c>
      <c r="B4655" s="86" t="s">
        <v>1203</v>
      </c>
      <c r="C4655" s="86" t="s">
        <v>2027</v>
      </c>
      <c r="D4655" s="89" t="str">
        <f ca="1">OFFSET(Roster!$A$3,MATCH(表格1[[#This Row],[Location]]&amp;" "&amp;表格1[[#This Row],[Shop]]&amp;"*",Roster!$A$4:$A$72,0),DAY(表格1[[#This Row],[date]]),1,1)</f>
        <v>May C</v>
      </c>
      <c r="E4655" s="86">
        <f>MONTH(表格1[[#This Row],[date]])</f>
        <v>3</v>
      </c>
      <c r="F4655" s="90">
        <v>46084</v>
      </c>
      <c r="G4655" s="86" t="str">
        <f>VLOOKUP("*"&amp;表格1[[#This Row],[Input]]&amp;"*",'Ref-List'!$B:$D,2,)</f>
        <v>MS3-STQ20SC(WH)</v>
      </c>
      <c r="H4655" s="86" t="str">
        <f>_xlfn.XLOOKUP(表格1[[#This Row],[Model]],表格3[Model-Input-Ref2],表格3[Product Line])</f>
        <v>20L 智能蒸氣焗爐</v>
      </c>
      <c r="I4655" s="86" t="str">
        <f>_xlfn.XLOOKUP(表格1[[#This Row],[Model]],表格3[Model-Input-Ref2],表格3[大小電])</f>
        <v>細電</v>
      </c>
      <c r="J4655" s="86" t="str">
        <f>_xlfn.XLOOKUP(表格1[[#This Row],[Model]],表格3[Model-Input-Ref2],表格3[Code])</f>
        <v>MCA</v>
      </c>
      <c r="K4655" s="89" t="s">
        <v>2171</v>
      </c>
      <c r="L4655" s="86">
        <v>1</v>
      </c>
      <c r="M4655" s="87">
        <v>1881</v>
      </c>
      <c r="N4655" s="87">
        <f>IFERROR(表格1[[#This Row],[QTY]]*表格1[[#This Row],[Unit Price]],"-")</f>
        <v>1881</v>
      </c>
      <c r="R4655" s="86" t="str">
        <f>_xlfn.CONCAT(表格1[[#This Row],[Model]]," ",表格1[[#This Row],[inv no]])</f>
        <v xml:space="preserve">MS3-STQ20SC(WH) </v>
      </c>
      <c r="S4655" s="86">
        <f>_xlfn.XLOOKUP(表格1[[#This Row],[Model]],表格3[Model-Input-Ref2],表格3[SRP PRICE])</f>
        <v>2880</v>
      </c>
      <c r="T4655" s="43">
        <f>表格1[[#This Row],[Unit Price]]/表格1[[#This Row],[SRP]]</f>
        <v>0.65312499999999996</v>
      </c>
      <c r="U4655" s="86" t="str">
        <f>_xlfn.XLOOKUP(表格1[[#This Row],[Model]],表格3[Model-Input-Ref2],表格3[TOSHIBA/HIGHEST])</f>
        <v>Toshiba SRP</v>
      </c>
      <c r="W4655" s="86" t="str">
        <f>_xlfn.CONCAT(表格1[[#This Row],[欄4]],表格1[[#This Row],[inv no]])</f>
        <v/>
      </c>
    </row>
    <row r="4656" spans="1:23">
      <c r="A4656" s="81">
        <v>4654</v>
      </c>
      <c r="B4656" s="86" t="s">
        <v>1203</v>
      </c>
      <c r="C4656" s="86" t="s">
        <v>2027</v>
      </c>
      <c r="D4656" s="89" t="str">
        <f ca="1">OFFSET(Roster!$A$3,MATCH(表格1[[#This Row],[Location]]&amp;" "&amp;表格1[[#This Row],[Shop]]&amp;"*",Roster!$A$4:$A$72,0),DAY(表格1[[#This Row],[date]]),1,1)</f>
        <v>May C</v>
      </c>
      <c r="E4656" s="86">
        <f>MONTH(表格1[[#This Row],[date]])</f>
        <v>3</v>
      </c>
      <c r="F4656" s="90">
        <v>46084</v>
      </c>
      <c r="G4656" s="86" t="str">
        <f>VLOOKUP("*"&amp;表格1[[#This Row],[Input]]&amp;"*",'Ref-List'!$B:$D,2,)</f>
        <v>KT-17DRTHK(H)</v>
      </c>
      <c r="H4656" s="86" t="str">
        <f>_xlfn.XLOOKUP(表格1[[#This Row],[Model]],表格3[Model-Input-Ref2],表格3[Product Line])</f>
        <v>無線雙層電熱水壺(1.7公升)</v>
      </c>
      <c r="I4656" s="86" t="str">
        <f>_xlfn.XLOOKUP(表格1[[#This Row],[Model]],表格3[Model-Input-Ref2],表格3[大小電])</f>
        <v>細電</v>
      </c>
      <c r="J4656" s="86" t="str">
        <f>_xlfn.XLOOKUP(表格1[[#This Row],[Model]],表格3[Model-Input-Ref2],表格3[Code])</f>
        <v>SDA</v>
      </c>
      <c r="K4656" s="89" t="s">
        <v>2035</v>
      </c>
      <c r="L4656" s="86">
        <v>1</v>
      </c>
      <c r="M4656" s="87">
        <v>350</v>
      </c>
      <c r="N4656" s="87">
        <f>IFERROR(表格1[[#This Row],[QTY]]*表格1[[#This Row],[Unit Price]],"-")</f>
        <v>350</v>
      </c>
      <c r="R4656" s="86" t="str">
        <f>_xlfn.CONCAT(表格1[[#This Row],[Model]]," ",表格1[[#This Row],[inv no]])</f>
        <v xml:space="preserve">KT-17DRTHK(H) </v>
      </c>
      <c r="S4656" s="86">
        <f>_xlfn.XLOOKUP(表格1[[#This Row],[Model]],表格3[Model-Input-Ref2],表格3[SRP PRICE])</f>
        <v>498</v>
      </c>
      <c r="T4656" s="43">
        <f>表格1[[#This Row],[Unit Price]]/表格1[[#This Row],[SRP]]</f>
        <v>0.70281124497991965</v>
      </c>
      <c r="U4656" s="86" t="str">
        <f>_xlfn.XLOOKUP(表格1[[#This Row],[Model]],表格3[Model-Input-Ref2],表格3[TOSHIBA/HIGHEST])</f>
        <v>Toshiba SRP</v>
      </c>
      <c r="W4656" s="86" t="str">
        <f>_xlfn.CONCAT(表格1[[#This Row],[欄4]],表格1[[#This Row],[inv no]])</f>
        <v/>
      </c>
    </row>
    <row r="4657" spans="1:23">
      <c r="A4657" s="81">
        <v>4655</v>
      </c>
      <c r="B4657" s="86" t="s">
        <v>1203</v>
      </c>
      <c r="C4657" s="86" t="s">
        <v>2027</v>
      </c>
      <c r="D4657" s="89" t="str">
        <f ca="1">OFFSET(Roster!$A$3,MATCH(表格1[[#This Row],[Location]]&amp;" "&amp;表格1[[#This Row],[Shop]]&amp;"*",Roster!$A$4:$A$72,0),DAY(表格1[[#This Row],[date]]),1,1)</f>
        <v>May C</v>
      </c>
      <c r="E4657" s="86">
        <f>MONTH(表格1[[#This Row],[date]])</f>
        <v>3</v>
      </c>
      <c r="F4657" s="90">
        <v>46084</v>
      </c>
      <c r="G4657" s="86" t="str">
        <f>VLOOKUP("*"&amp;表格1[[#This Row],[Input]]&amp;"*",'Ref-List'!$B:$D,2,)</f>
        <v>TP-25DR2UHK(W)</v>
      </c>
      <c r="H4657" s="86" t="str">
        <f>_xlfn.XLOOKUP(表格1[[#This Row],[Model]],表格3[Model-Input-Ref2],表格3[Product Line])</f>
        <v>電熱水瓶 (2.5公升)</v>
      </c>
      <c r="I4657" s="86" t="str">
        <f>_xlfn.XLOOKUP(表格1[[#This Row],[Model]],表格3[Model-Input-Ref2],表格3[大小電])</f>
        <v>細電</v>
      </c>
      <c r="J4657" s="86" t="str">
        <f>_xlfn.XLOOKUP(表格1[[#This Row],[Model]],表格3[Model-Input-Ref2],表格3[Code])</f>
        <v>SDA</v>
      </c>
      <c r="K4657" s="89" t="s">
        <v>2048</v>
      </c>
      <c r="L4657" s="86">
        <v>2</v>
      </c>
      <c r="M4657" s="87">
        <v>380</v>
      </c>
      <c r="N4657" s="87">
        <f>IFERROR(表格1[[#This Row],[QTY]]*表格1[[#This Row],[Unit Price]],"-")</f>
        <v>760</v>
      </c>
      <c r="R4657" s="86" t="str">
        <f>_xlfn.CONCAT(表格1[[#This Row],[Model]]," ",表格1[[#This Row],[inv no]])</f>
        <v xml:space="preserve">TP-25DR2UHK(W) </v>
      </c>
      <c r="S4657" s="86">
        <f>_xlfn.XLOOKUP(表格1[[#This Row],[Model]],表格3[Model-Input-Ref2],表格3[SRP PRICE])</f>
        <v>538</v>
      </c>
      <c r="T4657" s="43">
        <f>表格1[[#This Row],[Unit Price]]/表格1[[#This Row],[SRP]]</f>
        <v>0.70631970260223054</v>
      </c>
      <c r="U4657" s="86" t="str">
        <f>_xlfn.XLOOKUP(表格1[[#This Row],[Model]],表格3[Model-Input-Ref2],表格3[TOSHIBA/HIGHEST])</f>
        <v>Toshiba SRP</v>
      </c>
      <c r="W4657" s="86" t="str">
        <f>_xlfn.CONCAT(表格1[[#This Row],[欄4]],表格1[[#This Row],[inv no]])</f>
        <v/>
      </c>
    </row>
    <row r="4658" spans="1:23">
      <c r="A4658" s="81">
        <v>4656</v>
      </c>
      <c r="B4658" s="86" t="s">
        <v>1203</v>
      </c>
      <c r="C4658" s="86" t="s">
        <v>2027</v>
      </c>
      <c r="D4658" s="89" t="str">
        <f ca="1">OFFSET(Roster!$A$3,MATCH(表格1[[#This Row],[Location]]&amp;" "&amp;表格1[[#This Row],[Shop]]&amp;"*",Roster!$A$4:$A$72,0),DAY(表格1[[#This Row],[date]]),1,1)</f>
        <v>May C</v>
      </c>
      <c r="E4658" s="86">
        <f>MONTH(表格1[[#This Row],[date]])</f>
        <v>3</v>
      </c>
      <c r="F4658" s="90">
        <v>46084</v>
      </c>
      <c r="G4658" s="86" t="str">
        <f>VLOOKUP("*"&amp;表格1[[#This Row],[Input]]&amp;"*",'Ref-List'!$B:$D,2,)</f>
        <v>RAD-D300H</v>
      </c>
      <c r="H4658" s="86" t="str">
        <f>_xlfn.XLOOKUP(表格1[[#This Row],[Model]],表格3[Model-Input-Ref2],表格3[Product Line])</f>
        <v>壓縮式抽濕機 (30公升)</v>
      </c>
      <c r="I4658" s="86" t="str">
        <f>_xlfn.XLOOKUP(表格1[[#This Row],[Model]],表格3[Model-Input-Ref2],表格3[大小電])</f>
        <v>細電</v>
      </c>
      <c r="J4658" s="86" t="str">
        <f>_xlfn.XLOOKUP(表格1[[#This Row],[Model]],表格3[Model-Input-Ref2],表格3[Code])</f>
        <v>RAC</v>
      </c>
      <c r="K4658" s="89" t="s">
        <v>1761</v>
      </c>
      <c r="L4658" s="86">
        <v>1</v>
      </c>
      <c r="M4658" s="87">
        <v>2451</v>
      </c>
      <c r="N4658" s="87">
        <f>IFERROR(表格1[[#This Row],[QTY]]*表格1[[#This Row],[Unit Price]],"-")</f>
        <v>2451</v>
      </c>
      <c r="R4658" s="86" t="str">
        <f>_xlfn.CONCAT(表格1[[#This Row],[Model]]," ",表格1[[#This Row],[inv no]])</f>
        <v xml:space="preserve">RAD-D300H </v>
      </c>
      <c r="S4658" s="86">
        <f>_xlfn.XLOOKUP(表格1[[#This Row],[Model]],表格3[Model-Input-Ref2],表格3[SRP PRICE])</f>
        <v>3380</v>
      </c>
      <c r="T4658" s="43">
        <f>表格1[[#This Row],[Unit Price]]/表格1[[#This Row],[SRP]]</f>
        <v>0.72514792899408287</v>
      </c>
      <c r="U4658" s="86" t="str">
        <f>_xlfn.XLOOKUP(表格1[[#This Row],[Model]],表格3[Model-Input-Ref2],表格3[TOSHIBA/HIGHEST])</f>
        <v>Shops Highest Price</v>
      </c>
      <c r="W4658" s="86" t="str">
        <f>_xlfn.CONCAT(表格1[[#This Row],[欄4]],表格1[[#This Row],[inv no]])</f>
        <v/>
      </c>
    </row>
    <row r="4659" spans="1:23">
      <c r="A4659" s="81">
        <v>4657</v>
      </c>
      <c r="B4659" s="86" t="s">
        <v>1203</v>
      </c>
      <c r="C4659" s="86" t="s">
        <v>2027</v>
      </c>
      <c r="D4659" s="89" t="str">
        <f ca="1">OFFSET(Roster!$A$3,MATCH(表格1[[#This Row],[Location]]&amp;" "&amp;表格1[[#This Row],[Shop]]&amp;"*",Roster!$A$4:$A$72,0),DAY(表格1[[#This Row],[date]]),1,1)</f>
        <v>May C</v>
      </c>
      <c r="E4659" s="86">
        <f>MONTH(表格1[[#This Row],[date]])</f>
        <v>3</v>
      </c>
      <c r="F4659" s="90">
        <v>46086</v>
      </c>
      <c r="G4659" s="86" t="str">
        <f>VLOOKUP("*"&amp;表格1[[#This Row],[Input]]&amp;"*",'Ref-List'!$B:$D,2,)</f>
        <v>KT-17SHNH</v>
      </c>
      <c r="H4659" s="86" t="str">
        <f>_xlfn.XLOOKUP(表格1[[#This Row],[Model]],表格3[Model-Input-Ref2],表格3[Product Line])</f>
        <v>1.7L無線雙層電熱水壺</v>
      </c>
      <c r="I4659" s="86" t="str">
        <f>_xlfn.XLOOKUP(表格1[[#This Row],[Model]],表格3[Model-Input-Ref2],表格3[大小電])</f>
        <v>細電</v>
      </c>
      <c r="J4659" s="86" t="str">
        <f>_xlfn.XLOOKUP(表格1[[#This Row],[Model]],表格3[Model-Input-Ref2],表格3[Code])</f>
        <v>SDA</v>
      </c>
      <c r="K4659" s="89" t="s">
        <v>2030</v>
      </c>
      <c r="L4659" s="86">
        <v>3</v>
      </c>
      <c r="M4659" s="87">
        <v>190</v>
      </c>
      <c r="N4659" s="87">
        <f>IFERROR(表格1[[#This Row],[QTY]]*表格1[[#This Row],[Unit Price]],"-")</f>
        <v>570</v>
      </c>
      <c r="R4659" s="86" t="str">
        <f>_xlfn.CONCAT(表格1[[#This Row],[Model]]," ",表格1[[#This Row],[inv no]])</f>
        <v xml:space="preserve">KT-17SHNH </v>
      </c>
      <c r="S4659" s="86">
        <f>_xlfn.XLOOKUP(表格1[[#This Row],[Model]],表格3[Model-Input-Ref2],表格3[SRP PRICE])</f>
        <v>299</v>
      </c>
      <c r="T4659" s="43">
        <f>表格1[[#This Row],[Unit Price]]/表格1[[#This Row],[SRP]]</f>
        <v>0.63545150501672243</v>
      </c>
      <c r="U4659" s="86" t="str">
        <f>_xlfn.XLOOKUP(表格1[[#This Row],[Model]],表格3[Model-Input-Ref2],表格3[TOSHIBA/HIGHEST])</f>
        <v>Shops Highest Price</v>
      </c>
      <c r="W4659" s="86" t="str">
        <f>_xlfn.CONCAT(表格1[[#This Row],[欄4]],表格1[[#This Row],[inv no]])</f>
        <v/>
      </c>
    </row>
    <row r="4660" spans="1:23">
      <c r="A4660" s="81">
        <v>4658</v>
      </c>
      <c r="B4660" s="86" t="s">
        <v>1203</v>
      </c>
      <c r="C4660" s="86" t="s">
        <v>2027</v>
      </c>
      <c r="D4660" s="89" t="str">
        <f ca="1">OFFSET(Roster!$A$3,MATCH(表格1[[#This Row],[Location]]&amp;" "&amp;表格1[[#This Row],[Shop]]&amp;"*",Roster!$A$4:$A$72,0),DAY(表格1[[#This Row],[date]]),1,1)</f>
        <v>May C</v>
      </c>
      <c r="E4660" s="86">
        <f>MONTH(表格1[[#This Row],[date]])</f>
        <v>3</v>
      </c>
      <c r="F4660" s="90">
        <v>46086</v>
      </c>
      <c r="G4660" s="86" t="str">
        <f>VLOOKUP("*"&amp;表格1[[#This Row],[Input]]&amp;"*",'Ref-List'!$B:$D,2,)</f>
        <v>MWP-MM20P(WH)</v>
      </c>
      <c r="H4660" s="86" t="str">
        <f>_xlfn.XLOOKUP(表格1[[#This Row],[Model]],表格3[Model-Input-Ref2],表格3[Product Line])</f>
        <v>旋鈕式燒烤微波爐20L</v>
      </c>
      <c r="I4660" s="86" t="str">
        <f>_xlfn.XLOOKUP(表格1[[#This Row],[Model]],表格3[Model-Input-Ref2],表格3[大小電])</f>
        <v>細電</v>
      </c>
      <c r="J4660" s="86" t="str">
        <f>_xlfn.XLOOKUP(表格1[[#This Row],[Model]],表格3[Model-Input-Ref2],表格3[Code])</f>
        <v>SDA</v>
      </c>
      <c r="K4660" s="89" t="s">
        <v>1375</v>
      </c>
      <c r="L4660" s="86">
        <v>1</v>
      </c>
      <c r="M4660" s="87">
        <v>580</v>
      </c>
      <c r="N4660" s="87">
        <f>IFERROR(表格1[[#This Row],[QTY]]*表格1[[#This Row],[Unit Price]],"-")</f>
        <v>580</v>
      </c>
      <c r="R4660" s="86" t="str">
        <f>_xlfn.CONCAT(表格1[[#This Row],[Model]]," ",表格1[[#This Row],[inv no]])</f>
        <v xml:space="preserve">MWP-MM20P(WH) </v>
      </c>
      <c r="S4660" s="86">
        <f>_xlfn.XLOOKUP(表格1[[#This Row],[Model]],表格3[Model-Input-Ref2],表格3[SRP PRICE])</f>
        <v>648</v>
      </c>
      <c r="T4660" s="43">
        <f>表格1[[#This Row],[Unit Price]]/表格1[[#This Row],[SRP]]</f>
        <v>0.89506172839506171</v>
      </c>
      <c r="U4660" s="86" t="str">
        <f>_xlfn.XLOOKUP(表格1[[#This Row],[Model]],表格3[Model-Input-Ref2],表格3[TOSHIBA/HIGHEST])</f>
        <v>Toshiba SRP</v>
      </c>
      <c r="W4660" s="86" t="str">
        <f>_xlfn.CONCAT(表格1[[#This Row],[欄4]],表格1[[#This Row],[inv no]])</f>
        <v/>
      </c>
    </row>
    <row r="4661" spans="1:23">
      <c r="A4661" s="81">
        <v>4659</v>
      </c>
      <c r="B4661" s="86" t="s">
        <v>1203</v>
      </c>
      <c r="C4661" s="86" t="s">
        <v>2027</v>
      </c>
      <c r="D4661" s="89" t="str">
        <f ca="1">OFFSET(Roster!$A$3,MATCH(表格1[[#This Row],[Location]]&amp;" "&amp;表格1[[#This Row],[Shop]]&amp;"*",Roster!$A$4:$A$72,0),DAY(表格1[[#This Row],[date]]),1,1)</f>
        <v>May C</v>
      </c>
      <c r="E4661" s="86">
        <f>MONTH(表格1[[#This Row],[date]])</f>
        <v>3</v>
      </c>
      <c r="F4661" s="90">
        <v>46086</v>
      </c>
      <c r="G4661" s="86" t="str">
        <f>VLOOKUP("*"&amp;表格1[[#This Row],[Input]]&amp;"*",'Ref-List'!$B:$D,2,)</f>
        <v>MS3-STQ20SC(WH)</v>
      </c>
      <c r="H4661" s="86" t="str">
        <f>_xlfn.XLOOKUP(表格1[[#This Row],[Model]],表格3[Model-Input-Ref2],表格3[Product Line])</f>
        <v>20L 智能蒸氣焗爐</v>
      </c>
      <c r="I4661" s="86" t="str">
        <f>_xlfn.XLOOKUP(表格1[[#This Row],[Model]],表格3[Model-Input-Ref2],表格3[大小電])</f>
        <v>細電</v>
      </c>
      <c r="J4661" s="86" t="str">
        <f>_xlfn.XLOOKUP(表格1[[#This Row],[Model]],表格3[Model-Input-Ref2],表格3[Code])</f>
        <v>MCA</v>
      </c>
      <c r="K4661" s="89" t="s">
        <v>2171</v>
      </c>
      <c r="L4661" s="86">
        <v>1</v>
      </c>
      <c r="M4661" s="87">
        <v>1980</v>
      </c>
      <c r="N4661" s="87">
        <f>IFERROR(表格1[[#This Row],[QTY]]*表格1[[#This Row],[Unit Price]],"-")</f>
        <v>1980</v>
      </c>
      <c r="R4661" s="86" t="str">
        <f>_xlfn.CONCAT(表格1[[#This Row],[Model]]," ",表格1[[#This Row],[inv no]])</f>
        <v xml:space="preserve">MS3-STQ20SC(WH) </v>
      </c>
      <c r="S4661" s="86">
        <f>_xlfn.XLOOKUP(表格1[[#This Row],[Model]],表格3[Model-Input-Ref2],表格3[SRP PRICE])</f>
        <v>2880</v>
      </c>
      <c r="T4661" s="43">
        <f>表格1[[#This Row],[Unit Price]]/表格1[[#This Row],[SRP]]</f>
        <v>0.6875</v>
      </c>
      <c r="U4661" s="86" t="str">
        <f>_xlfn.XLOOKUP(表格1[[#This Row],[Model]],表格3[Model-Input-Ref2],表格3[TOSHIBA/HIGHEST])</f>
        <v>Toshiba SRP</v>
      </c>
      <c r="W4661" s="86" t="str">
        <f>_xlfn.CONCAT(表格1[[#This Row],[欄4]],表格1[[#This Row],[inv no]])</f>
        <v/>
      </c>
    </row>
    <row r="4662" spans="1:23">
      <c r="A4662" s="81">
        <v>4660</v>
      </c>
      <c r="B4662" s="86" t="s">
        <v>1203</v>
      </c>
      <c r="C4662" s="86" t="s">
        <v>2027</v>
      </c>
      <c r="D4662" s="89" t="str">
        <f ca="1">OFFSET(Roster!$A$3,MATCH(表格1[[#This Row],[Location]]&amp;" "&amp;表格1[[#This Row],[Shop]]&amp;"*",Roster!$A$4:$A$72,0),DAY(表格1[[#This Row],[date]]),1,1)</f>
        <v>May C</v>
      </c>
      <c r="E4662" s="86">
        <f>MONTH(表格1[[#This Row],[date]])</f>
        <v>3</v>
      </c>
      <c r="F4662" s="90">
        <v>46086</v>
      </c>
      <c r="G4662" s="86" t="str">
        <f>VLOOKUP("*"&amp;表格1[[#This Row],[Input]]&amp;"*",'Ref-List'!$B:$D,2,)</f>
        <v>RAD-D300H</v>
      </c>
      <c r="H4662" s="86" t="str">
        <f>_xlfn.XLOOKUP(表格1[[#This Row],[Model]],表格3[Model-Input-Ref2],表格3[Product Line])</f>
        <v>壓縮式抽濕機 (30公升)</v>
      </c>
      <c r="I4662" s="86" t="str">
        <f>_xlfn.XLOOKUP(表格1[[#This Row],[Model]],表格3[Model-Input-Ref2],表格3[大小電])</f>
        <v>細電</v>
      </c>
      <c r="J4662" s="86" t="str">
        <f>_xlfn.XLOOKUP(表格1[[#This Row],[Model]],表格3[Model-Input-Ref2],表格3[Code])</f>
        <v>RAC</v>
      </c>
      <c r="K4662" s="89" t="s">
        <v>1761</v>
      </c>
      <c r="L4662" s="86">
        <v>1</v>
      </c>
      <c r="M4662" s="87">
        <v>2451</v>
      </c>
      <c r="N4662" s="87">
        <f>IFERROR(表格1[[#This Row],[QTY]]*表格1[[#This Row],[Unit Price]],"-")</f>
        <v>2451</v>
      </c>
      <c r="R4662" s="86" t="str">
        <f>_xlfn.CONCAT(表格1[[#This Row],[Model]]," ",表格1[[#This Row],[inv no]])</f>
        <v xml:space="preserve">RAD-D300H </v>
      </c>
      <c r="S4662" s="86">
        <f>_xlfn.XLOOKUP(表格1[[#This Row],[Model]],表格3[Model-Input-Ref2],表格3[SRP PRICE])</f>
        <v>3380</v>
      </c>
      <c r="T4662" s="43">
        <f>表格1[[#This Row],[Unit Price]]/表格1[[#This Row],[SRP]]</f>
        <v>0.72514792899408287</v>
      </c>
      <c r="U4662" s="86" t="str">
        <f>_xlfn.XLOOKUP(表格1[[#This Row],[Model]],表格3[Model-Input-Ref2],表格3[TOSHIBA/HIGHEST])</f>
        <v>Shops Highest Price</v>
      </c>
      <c r="W4662" s="86" t="str">
        <f>_xlfn.CONCAT(表格1[[#This Row],[欄4]],表格1[[#This Row],[inv no]])</f>
        <v/>
      </c>
    </row>
    <row r="4663" spans="1:23">
      <c r="A4663" s="81">
        <v>4661</v>
      </c>
      <c r="B4663" s="86" t="s">
        <v>1203</v>
      </c>
      <c r="C4663" s="86" t="s">
        <v>2027</v>
      </c>
      <c r="D4663" s="89" t="str">
        <f ca="1">OFFSET(Roster!$A$3,MATCH(表格1[[#This Row],[Location]]&amp;" "&amp;表格1[[#This Row],[Shop]]&amp;"*",Roster!$A$4:$A$72,0),DAY(表格1[[#This Row],[date]]),1,1)</f>
        <v>May C</v>
      </c>
      <c r="E4663" s="86">
        <f>MONTH(表格1[[#This Row],[date]])</f>
        <v>3</v>
      </c>
      <c r="F4663" s="90">
        <v>46087</v>
      </c>
      <c r="G4663" s="86" t="str">
        <f>VLOOKUP("*"&amp;表格1[[#This Row],[Input]]&amp;"*",'Ref-List'!$B:$D,2,)</f>
        <v>KT-17SHNH</v>
      </c>
      <c r="H4663" s="86" t="str">
        <f>_xlfn.XLOOKUP(表格1[[#This Row],[Model]],表格3[Model-Input-Ref2],表格3[Product Line])</f>
        <v>1.7L無線雙層電熱水壺</v>
      </c>
      <c r="I4663" s="86" t="str">
        <f>_xlfn.XLOOKUP(表格1[[#This Row],[Model]],表格3[Model-Input-Ref2],表格3[大小電])</f>
        <v>細電</v>
      </c>
      <c r="J4663" s="86" t="str">
        <f>_xlfn.XLOOKUP(表格1[[#This Row],[Model]],表格3[Model-Input-Ref2],表格3[Code])</f>
        <v>SDA</v>
      </c>
      <c r="K4663" s="89" t="s">
        <v>2030</v>
      </c>
      <c r="L4663" s="86">
        <v>1</v>
      </c>
      <c r="M4663" s="87">
        <v>190</v>
      </c>
      <c r="N4663" s="87">
        <f>IFERROR(表格1[[#This Row],[QTY]]*表格1[[#This Row],[Unit Price]],"-")</f>
        <v>190</v>
      </c>
      <c r="R4663" s="86" t="str">
        <f>_xlfn.CONCAT(表格1[[#This Row],[Model]]," ",表格1[[#This Row],[inv no]])</f>
        <v xml:space="preserve">KT-17SHNH </v>
      </c>
      <c r="S4663" s="86">
        <f>_xlfn.XLOOKUP(表格1[[#This Row],[Model]],表格3[Model-Input-Ref2],表格3[SRP PRICE])</f>
        <v>299</v>
      </c>
      <c r="T4663" s="43">
        <f>表格1[[#This Row],[Unit Price]]/表格1[[#This Row],[SRP]]</f>
        <v>0.63545150501672243</v>
      </c>
      <c r="U4663" s="86" t="str">
        <f>_xlfn.XLOOKUP(表格1[[#This Row],[Model]],表格3[Model-Input-Ref2],表格3[TOSHIBA/HIGHEST])</f>
        <v>Shops Highest Price</v>
      </c>
      <c r="W4663" s="86" t="str">
        <f>_xlfn.CONCAT(表格1[[#This Row],[欄4]],表格1[[#This Row],[inv no]])</f>
        <v/>
      </c>
    </row>
    <row r="4664" spans="1:23">
      <c r="A4664" s="81">
        <v>4662</v>
      </c>
      <c r="B4664" s="86" t="s">
        <v>1203</v>
      </c>
      <c r="C4664" s="86" t="s">
        <v>2027</v>
      </c>
      <c r="D4664" s="89" t="str">
        <f ca="1">OFFSET(Roster!$A$3,MATCH(表格1[[#This Row],[Location]]&amp;" "&amp;表格1[[#This Row],[Shop]]&amp;"*",Roster!$A$4:$A$72,0),DAY(表格1[[#This Row],[date]]),1,1)</f>
        <v>May C</v>
      </c>
      <c r="E4664" s="86">
        <f>MONTH(表格1[[#This Row],[date]])</f>
        <v>3</v>
      </c>
      <c r="F4664" s="90">
        <v>46087</v>
      </c>
      <c r="G4664" s="86" t="str">
        <f>VLOOKUP("*"&amp;表格1[[#This Row],[Input]]&amp;"*",'Ref-List'!$B:$D,2,)</f>
        <v>RC-5SLIH(W)</v>
      </c>
      <c r="H4664" s="86" t="str">
        <f>_xlfn.XLOOKUP(表格1[[#This Row],[Model]],表格3[Model-Input-Ref2],表格3[Product Line])</f>
        <v>微型電腦珍珠飯煲</v>
      </c>
      <c r="I4664" s="86" t="str">
        <f>_xlfn.XLOOKUP(表格1[[#This Row],[Model]],表格3[Model-Input-Ref2],表格3[大小電])</f>
        <v>細電</v>
      </c>
      <c r="J4664" s="86" t="str">
        <f>_xlfn.XLOOKUP(表格1[[#This Row],[Model]],表格3[Model-Input-Ref2],表格3[Code])</f>
        <v>SDA</v>
      </c>
      <c r="K4664" s="89" t="s">
        <v>2037</v>
      </c>
      <c r="L4664" s="86">
        <v>1</v>
      </c>
      <c r="M4664" s="87">
        <v>590</v>
      </c>
      <c r="N4664" s="87">
        <f>IFERROR(表格1[[#This Row],[QTY]]*表格1[[#This Row],[Unit Price]],"-")</f>
        <v>590</v>
      </c>
      <c r="R4664" s="86" t="str">
        <f>_xlfn.CONCAT(表格1[[#This Row],[Model]]," ",表格1[[#This Row],[inv no]])</f>
        <v xml:space="preserve">RC-5SLIH(W) </v>
      </c>
      <c r="S4664" s="86">
        <f>_xlfn.XLOOKUP(表格1[[#This Row],[Model]],表格3[Model-Input-Ref2],表格3[SRP PRICE])</f>
        <v>658</v>
      </c>
      <c r="T4664" s="43">
        <f>表格1[[#This Row],[Unit Price]]/表格1[[#This Row],[SRP]]</f>
        <v>0.89665653495440734</v>
      </c>
      <c r="U4664" s="86" t="str">
        <f>_xlfn.XLOOKUP(表格1[[#This Row],[Model]],表格3[Model-Input-Ref2],表格3[TOSHIBA/HIGHEST])</f>
        <v>Toshiba SRP</v>
      </c>
      <c r="W4664" s="86" t="str">
        <f>_xlfn.CONCAT(表格1[[#This Row],[欄4]],表格1[[#This Row],[inv no]])</f>
        <v/>
      </c>
    </row>
    <row r="4665" spans="1:23">
      <c r="A4665" s="81">
        <v>4663</v>
      </c>
      <c r="B4665" s="86" t="s">
        <v>1203</v>
      </c>
      <c r="C4665" s="86" t="s">
        <v>2027</v>
      </c>
      <c r="D4665" s="89" t="str">
        <f ca="1">OFFSET(Roster!$A$3,MATCH(表格1[[#This Row],[Location]]&amp;" "&amp;表格1[[#This Row],[Shop]]&amp;"*",Roster!$A$4:$A$72,0),DAY(表格1[[#This Row],[date]]),1,1)</f>
        <v>May C</v>
      </c>
      <c r="E4665" s="86">
        <f>MONTH(表格1[[#This Row],[date]])</f>
        <v>3</v>
      </c>
      <c r="F4665" s="90">
        <v>46087</v>
      </c>
      <c r="G4665" s="86" t="str">
        <f>VLOOKUP("*"&amp;表格1[[#This Row],[Input]]&amp;"*",'Ref-List'!$B:$D,2,)</f>
        <v>MS5-STR30SC(BK)</v>
      </c>
      <c r="H4665" s="86" t="str">
        <f>_xlfn.XLOOKUP(表格1[[#This Row],[Model]],表格3[Model-Input-Ref2],表格3[Product Line])</f>
        <v>30公升蒸氣焗爐</v>
      </c>
      <c r="I4665" s="86" t="str">
        <f>_xlfn.XLOOKUP(表格1[[#This Row],[Model]],表格3[Model-Input-Ref2],表格3[大小電])</f>
        <v>細電</v>
      </c>
      <c r="J4665" s="86" t="str">
        <f>_xlfn.XLOOKUP(表格1[[#This Row],[Model]],表格3[Model-Input-Ref2],表格3[Code])</f>
        <v>MCA</v>
      </c>
      <c r="K4665" s="89" t="s">
        <v>2241</v>
      </c>
      <c r="L4665" s="86">
        <v>1</v>
      </c>
      <c r="M4665" s="87">
        <v>3781</v>
      </c>
      <c r="N4665" s="87">
        <f>IFERROR(表格1[[#This Row],[QTY]]*表格1[[#This Row],[Unit Price]],"-")</f>
        <v>3781</v>
      </c>
      <c r="R4665" s="86" t="str">
        <f>_xlfn.CONCAT(表格1[[#This Row],[Model]]," ",表格1[[#This Row],[inv no]])</f>
        <v xml:space="preserve">MS5-STR30SC(BK) </v>
      </c>
      <c r="S4665" s="86">
        <f>_xlfn.XLOOKUP(表格1[[#This Row],[Model]],表格3[Model-Input-Ref2],表格3[SRP PRICE])</f>
        <v>5998</v>
      </c>
      <c r="T4665" s="43">
        <f>表格1[[#This Row],[Unit Price]]/表格1[[#This Row],[SRP]]</f>
        <v>0.63037679226408805</v>
      </c>
      <c r="U4665" s="86" t="str">
        <f>_xlfn.XLOOKUP(表格1[[#This Row],[Model]],表格3[Model-Input-Ref2],表格3[TOSHIBA/HIGHEST])</f>
        <v>Shops Highest Price</v>
      </c>
      <c r="W4665" s="86" t="str">
        <f>_xlfn.CONCAT(表格1[[#This Row],[欄4]],表格1[[#This Row],[inv no]])</f>
        <v/>
      </c>
    </row>
    <row r="4666" spans="1:23">
      <c r="A4666" s="81">
        <v>4664</v>
      </c>
      <c r="B4666" s="86" t="s">
        <v>1203</v>
      </c>
      <c r="C4666" s="86" t="s">
        <v>2027</v>
      </c>
      <c r="D4666" s="89" t="str">
        <f ca="1">OFFSET(Roster!$A$3,MATCH(表格1[[#This Row],[Location]]&amp;" "&amp;表格1[[#This Row],[Shop]]&amp;"*",Roster!$A$4:$A$72,0),DAY(表格1[[#This Row],[date]]),1,1)</f>
        <v>May C</v>
      </c>
      <c r="E4666" s="86">
        <f>MONTH(表格1[[#This Row],[date]])</f>
        <v>3</v>
      </c>
      <c r="F4666" s="90">
        <v>46087</v>
      </c>
      <c r="G4666" s="86" t="str">
        <f>VLOOKUP("*"&amp;表格1[[#This Row],[Input]]&amp;"*",'Ref-List'!$B:$D,2,)</f>
        <v>TP-25DR2UHK(W)</v>
      </c>
      <c r="H4666" s="86" t="str">
        <f>_xlfn.XLOOKUP(表格1[[#This Row],[Model]],表格3[Model-Input-Ref2],表格3[Product Line])</f>
        <v>電熱水瓶 (2.5公升)</v>
      </c>
      <c r="I4666" s="86" t="str">
        <f>_xlfn.XLOOKUP(表格1[[#This Row],[Model]],表格3[Model-Input-Ref2],表格3[大小電])</f>
        <v>細電</v>
      </c>
      <c r="J4666" s="86" t="str">
        <f>_xlfn.XLOOKUP(表格1[[#This Row],[Model]],表格3[Model-Input-Ref2],表格3[Code])</f>
        <v>SDA</v>
      </c>
      <c r="K4666" s="89" t="s">
        <v>2048</v>
      </c>
      <c r="L4666" s="86">
        <v>1</v>
      </c>
      <c r="M4666" s="87">
        <v>380</v>
      </c>
      <c r="N4666" s="87">
        <f>IFERROR(表格1[[#This Row],[QTY]]*表格1[[#This Row],[Unit Price]],"-")</f>
        <v>380</v>
      </c>
      <c r="R4666" s="86" t="str">
        <f>_xlfn.CONCAT(表格1[[#This Row],[Model]]," ",表格1[[#This Row],[inv no]])</f>
        <v xml:space="preserve">TP-25DR2UHK(W) </v>
      </c>
      <c r="S4666" s="86">
        <f>_xlfn.XLOOKUP(表格1[[#This Row],[Model]],表格3[Model-Input-Ref2],表格3[SRP PRICE])</f>
        <v>538</v>
      </c>
      <c r="T4666" s="43">
        <f>表格1[[#This Row],[Unit Price]]/表格1[[#This Row],[SRP]]</f>
        <v>0.70631970260223054</v>
      </c>
      <c r="U4666" s="86" t="str">
        <f>_xlfn.XLOOKUP(表格1[[#This Row],[Model]],表格3[Model-Input-Ref2],表格3[TOSHIBA/HIGHEST])</f>
        <v>Toshiba SRP</v>
      </c>
      <c r="W4666" s="86" t="str">
        <f>_xlfn.CONCAT(表格1[[#This Row],[欄4]],表格1[[#This Row],[inv no]])</f>
        <v/>
      </c>
    </row>
    <row r="4667" spans="1:23">
      <c r="A4667" s="81">
        <v>4665</v>
      </c>
      <c r="B4667" s="86" t="s">
        <v>1203</v>
      </c>
      <c r="C4667" s="86" t="s">
        <v>2027</v>
      </c>
      <c r="D4667" s="89" t="str">
        <f ca="1">OFFSET(Roster!$A$3,MATCH(表格1[[#This Row],[Location]]&amp;" "&amp;表格1[[#This Row],[Shop]]&amp;"*",Roster!$A$4:$A$72,0),DAY(表格1[[#This Row],[date]]),1,1)</f>
        <v>May C</v>
      </c>
      <c r="E4667" s="86">
        <f>MONTH(表格1[[#This Row],[date]])</f>
        <v>3</v>
      </c>
      <c r="F4667" s="90">
        <v>46087</v>
      </c>
      <c r="G4667" s="86" t="str">
        <f>VLOOKUP("*"&amp;表格1[[#This Row],[Input]]&amp;"*",'Ref-List'!$B:$D,2,)</f>
        <v>RAD-D300H</v>
      </c>
      <c r="H4667" s="86" t="str">
        <f>_xlfn.XLOOKUP(表格1[[#This Row],[Model]],表格3[Model-Input-Ref2],表格3[Product Line])</f>
        <v>壓縮式抽濕機 (30公升)</v>
      </c>
      <c r="I4667" s="86" t="str">
        <f>_xlfn.XLOOKUP(表格1[[#This Row],[Model]],表格3[Model-Input-Ref2],表格3[大小電])</f>
        <v>細電</v>
      </c>
      <c r="J4667" s="86" t="str">
        <f>_xlfn.XLOOKUP(表格1[[#This Row],[Model]],表格3[Model-Input-Ref2],表格3[Code])</f>
        <v>RAC</v>
      </c>
      <c r="K4667" s="89" t="s">
        <v>1761</v>
      </c>
      <c r="L4667" s="86">
        <v>1</v>
      </c>
      <c r="M4667" s="87">
        <v>2451</v>
      </c>
      <c r="N4667" s="87">
        <f>IFERROR(表格1[[#This Row],[QTY]]*表格1[[#This Row],[Unit Price]],"-")</f>
        <v>2451</v>
      </c>
      <c r="R4667" s="86" t="str">
        <f>_xlfn.CONCAT(表格1[[#This Row],[Model]]," ",表格1[[#This Row],[inv no]])</f>
        <v xml:space="preserve">RAD-D300H </v>
      </c>
      <c r="S4667" s="86">
        <f>_xlfn.XLOOKUP(表格1[[#This Row],[Model]],表格3[Model-Input-Ref2],表格3[SRP PRICE])</f>
        <v>3380</v>
      </c>
      <c r="T4667" s="43">
        <f>表格1[[#This Row],[Unit Price]]/表格1[[#This Row],[SRP]]</f>
        <v>0.72514792899408287</v>
      </c>
      <c r="U4667" s="86" t="str">
        <f>_xlfn.XLOOKUP(表格1[[#This Row],[Model]],表格3[Model-Input-Ref2],表格3[TOSHIBA/HIGHEST])</f>
        <v>Shops Highest Price</v>
      </c>
      <c r="W4667" s="86" t="str">
        <f>_xlfn.CONCAT(表格1[[#This Row],[欄4]],表格1[[#This Row],[inv no]])</f>
        <v/>
      </c>
    </row>
    <row r="4668" spans="1:23">
      <c r="A4668" s="81">
        <v>4666</v>
      </c>
      <c r="B4668" s="86" t="s">
        <v>1203</v>
      </c>
      <c r="C4668" s="86" t="s">
        <v>2027</v>
      </c>
      <c r="D4668" s="89" t="str">
        <f ca="1">OFFSET(Roster!$A$3,MATCH(表格1[[#This Row],[Location]]&amp;" "&amp;表格1[[#This Row],[Shop]]&amp;"*",Roster!$A$4:$A$72,0),DAY(表格1[[#This Row],[date]]),1,1)</f>
        <v>May C</v>
      </c>
      <c r="E4668" s="86">
        <f>MONTH(表格1[[#This Row],[date]])</f>
        <v>3</v>
      </c>
      <c r="F4668" s="90">
        <v>46088</v>
      </c>
      <c r="G4668" s="86" t="str">
        <f>VLOOKUP("*"&amp;表格1[[#This Row],[Input]]&amp;"*",'Ref-List'!$B:$D,2,)</f>
        <v>RC-5SLIH(W)</v>
      </c>
      <c r="H4668" s="86" t="str">
        <f>_xlfn.XLOOKUP(表格1[[#This Row],[Model]],表格3[Model-Input-Ref2],表格3[Product Line])</f>
        <v>微型電腦珍珠飯煲</v>
      </c>
      <c r="I4668" s="86" t="str">
        <f>_xlfn.XLOOKUP(表格1[[#This Row],[Model]],表格3[Model-Input-Ref2],表格3[大小電])</f>
        <v>細電</v>
      </c>
      <c r="J4668" s="86" t="str">
        <f>_xlfn.XLOOKUP(表格1[[#This Row],[Model]],表格3[Model-Input-Ref2],表格3[Code])</f>
        <v>SDA</v>
      </c>
      <c r="K4668" s="89" t="s">
        <v>2037</v>
      </c>
      <c r="L4668" s="86">
        <v>2</v>
      </c>
      <c r="M4668" s="87">
        <v>590</v>
      </c>
      <c r="N4668" s="87">
        <f>IFERROR(表格1[[#This Row],[QTY]]*表格1[[#This Row],[Unit Price]],"-")</f>
        <v>1180</v>
      </c>
      <c r="R4668" s="86" t="str">
        <f>_xlfn.CONCAT(表格1[[#This Row],[Model]]," ",表格1[[#This Row],[inv no]])</f>
        <v xml:space="preserve">RC-5SLIH(W) </v>
      </c>
      <c r="S4668" s="86">
        <f>_xlfn.XLOOKUP(表格1[[#This Row],[Model]],表格3[Model-Input-Ref2],表格3[SRP PRICE])</f>
        <v>658</v>
      </c>
      <c r="T4668" s="43">
        <f>表格1[[#This Row],[Unit Price]]/表格1[[#This Row],[SRP]]</f>
        <v>0.89665653495440734</v>
      </c>
      <c r="U4668" s="86" t="str">
        <f>_xlfn.XLOOKUP(表格1[[#This Row],[Model]],表格3[Model-Input-Ref2],表格3[TOSHIBA/HIGHEST])</f>
        <v>Toshiba SRP</v>
      </c>
      <c r="W4668" s="86" t="str">
        <f>_xlfn.CONCAT(表格1[[#This Row],[欄4]],表格1[[#This Row],[inv no]])</f>
        <v/>
      </c>
    </row>
    <row r="4669" spans="1:23">
      <c r="A4669" s="81">
        <v>4667</v>
      </c>
      <c r="B4669" s="86" t="s">
        <v>1203</v>
      </c>
      <c r="C4669" s="86" t="s">
        <v>2027</v>
      </c>
      <c r="D4669" s="89" t="str">
        <f ca="1">OFFSET(Roster!$A$3,MATCH(表格1[[#This Row],[Location]]&amp;" "&amp;表格1[[#This Row],[Shop]]&amp;"*",Roster!$A$4:$A$72,0),DAY(表格1[[#This Row],[date]]),1,1)</f>
        <v>May C</v>
      </c>
      <c r="E4669" s="86">
        <f>MONTH(表格1[[#This Row],[date]])</f>
        <v>3</v>
      </c>
      <c r="F4669" s="90">
        <v>46088</v>
      </c>
      <c r="G4669" s="86" t="str">
        <f>VLOOKUP("*"&amp;表格1[[#This Row],[Input]]&amp;"*",'Ref-List'!$B:$D,2,)</f>
        <v>MWP-MM20P(WH)</v>
      </c>
      <c r="H4669" s="86" t="str">
        <f>_xlfn.XLOOKUP(表格1[[#This Row],[Model]],表格3[Model-Input-Ref2],表格3[Product Line])</f>
        <v>旋鈕式燒烤微波爐20L</v>
      </c>
      <c r="I4669" s="86" t="str">
        <f>_xlfn.XLOOKUP(表格1[[#This Row],[Model]],表格3[Model-Input-Ref2],表格3[大小電])</f>
        <v>細電</v>
      </c>
      <c r="J4669" s="86" t="str">
        <f>_xlfn.XLOOKUP(表格1[[#This Row],[Model]],表格3[Model-Input-Ref2],表格3[Code])</f>
        <v>SDA</v>
      </c>
      <c r="K4669" s="89" t="s">
        <v>1375</v>
      </c>
      <c r="L4669" s="86">
        <v>1</v>
      </c>
      <c r="M4669" s="87">
        <v>580</v>
      </c>
      <c r="N4669" s="87">
        <f>IFERROR(表格1[[#This Row],[QTY]]*表格1[[#This Row],[Unit Price]],"-")</f>
        <v>580</v>
      </c>
      <c r="R4669" s="86" t="str">
        <f>_xlfn.CONCAT(表格1[[#This Row],[Model]]," ",表格1[[#This Row],[inv no]])</f>
        <v xml:space="preserve">MWP-MM20P(WH) </v>
      </c>
      <c r="S4669" s="86">
        <f>_xlfn.XLOOKUP(表格1[[#This Row],[Model]],表格3[Model-Input-Ref2],表格3[SRP PRICE])</f>
        <v>648</v>
      </c>
      <c r="T4669" s="43">
        <f>表格1[[#This Row],[Unit Price]]/表格1[[#This Row],[SRP]]</f>
        <v>0.89506172839506171</v>
      </c>
      <c r="U4669" s="86" t="str">
        <f>_xlfn.XLOOKUP(表格1[[#This Row],[Model]],表格3[Model-Input-Ref2],表格3[TOSHIBA/HIGHEST])</f>
        <v>Toshiba SRP</v>
      </c>
      <c r="W4669" s="86" t="str">
        <f>_xlfn.CONCAT(表格1[[#This Row],[欄4]],表格1[[#This Row],[inv no]])</f>
        <v/>
      </c>
    </row>
    <row r="4670" spans="1:23">
      <c r="A4670" s="81">
        <v>4668</v>
      </c>
      <c r="B4670" s="86" t="s">
        <v>1203</v>
      </c>
      <c r="C4670" s="86" t="s">
        <v>2027</v>
      </c>
      <c r="D4670" s="89" t="str">
        <f ca="1">OFFSET(Roster!$A$3,MATCH(表格1[[#This Row],[Location]]&amp;" "&amp;表格1[[#This Row],[Shop]]&amp;"*",Roster!$A$4:$A$72,0),DAY(表格1[[#This Row],[date]]),1,1)</f>
        <v>May C</v>
      </c>
      <c r="E4670" s="86">
        <f>MONTH(表格1[[#This Row],[date]])</f>
        <v>3</v>
      </c>
      <c r="F4670" s="90">
        <v>46088</v>
      </c>
      <c r="G4670" s="86" t="str">
        <f>VLOOKUP("*"&amp;表格1[[#This Row],[Input]]&amp;"*",'Ref-List'!$B:$D,2,)</f>
        <v>TL-MC35Z</v>
      </c>
      <c r="H4670" s="86" t="str">
        <f>_xlfn.XLOOKUP(表格1[[#This Row],[Model]],表格3[Model-Input-Ref2],表格3[Product Line])</f>
        <v>35L多功能電焗爐</v>
      </c>
      <c r="I4670" s="86" t="str">
        <f>_xlfn.XLOOKUP(表格1[[#This Row],[Model]],表格3[Model-Input-Ref2],表格3[大小電])</f>
        <v>細電</v>
      </c>
      <c r="J4670" s="86" t="str">
        <f>_xlfn.XLOOKUP(表格1[[#This Row],[Model]],表格3[Model-Input-Ref2],表格3[Code])</f>
        <v>SDA</v>
      </c>
      <c r="K4670" s="89" t="s">
        <v>2238</v>
      </c>
      <c r="L4670" s="86">
        <v>1</v>
      </c>
      <c r="M4670" s="87">
        <v>890</v>
      </c>
      <c r="N4670" s="87">
        <f>IFERROR(表格1[[#This Row],[QTY]]*表格1[[#This Row],[Unit Price]],"-")</f>
        <v>890</v>
      </c>
      <c r="R4670" s="86" t="str">
        <f>_xlfn.CONCAT(表格1[[#This Row],[Model]]," ",表格1[[#This Row],[inv no]])</f>
        <v xml:space="preserve">TL-MC35Z </v>
      </c>
      <c r="S4670" s="86">
        <f>_xlfn.XLOOKUP(表格1[[#This Row],[Model]],表格3[Model-Input-Ref2],表格3[SRP PRICE])</f>
        <v>1098</v>
      </c>
      <c r="T4670" s="43">
        <f>表格1[[#This Row],[Unit Price]]/表格1[[#This Row],[SRP]]</f>
        <v>0.81056466302367947</v>
      </c>
      <c r="U4670" s="86" t="str">
        <f>_xlfn.XLOOKUP(表格1[[#This Row],[Model]],表格3[Model-Input-Ref2],表格3[TOSHIBA/HIGHEST])</f>
        <v>Toshiba SRP</v>
      </c>
      <c r="W4670" s="86" t="str">
        <f>_xlfn.CONCAT(表格1[[#This Row],[欄4]],表格1[[#This Row],[inv no]])</f>
        <v/>
      </c>
    </row>
    <row r="4671" spans="1:23">
      <c r="A4671" s="81">
        <v>4669</v>
      </c>
      <c r="B4671" s="86" t="s">
        <v>1203</v>
      </c>
      <c r="C4671" s="86" t="s">
        <v>2027</v>
      </c>
      <c r="D4671" s="89" t="str">
        <f ca="1">OFFSET(Roster!$A$3,MATCH(表格1[[#This Row],[Location]]&amp;" "&amp;表格1[[#This Row],[Shop]]&amp;"*",Roster!$A$4:$A$72,0),DAY(表格1[[#This Row],[date]]),1,1)</f>
        <v>May C</v>
      </c>
      <c r="E4671" s="86">
        <f>MONTH(表格1[[#This Row],[date]])</f>
        <v>3</v>
      </c>
      <c r="F4671" s="90">
        <v>46088</v>
      </c>
      <c r="G4671" s="86" t="str">
        <f>VLOOKUP("*"&amp;表格1[[#This Row],[Input]]&amp;"*",'Ref-List'!$B:$D,2,)</f>
        <v>KT-17DRTHK(H)</v>
      </c>
      <c r="H4671" s="86" t="str">
        <f>_xlfn.XLOOKUP(表格1[[#This Row],[Model]],表格3[Model-Input-Ref2],表格3[Product Line])</f>
        <v>無線雙層電熱水壺(1.7公升)</v>
      </c>
      <c r="I4671" s="86" t="str">
        <f>_xlfn.XLOOKUP(表格1[[#This Row],[Model]],表格3[Model-Input-Ref2],表格3[大小電])</f>
        <v>細電</v>
      </c>
      <c r="J4671" s="86" t="str">
        <f>_xlfn.XLOOKUP(表格1[[#This Row],[Model]],表格3[Model-Input-Ref2],表格3[Code])</f>
        <v>SDA</v>
      </c>
      <c r="K4671" s="89" t="s">
        <v>2035</v>
      </c>
      <c r="L4671" s="86">
        <v>1</v>
      </c>
      <c r="M4671" s="87">
        <v>350</v>
      </c>
      <c r="N4671" s="87">
        <f>IFERROR(表格1[[#This Row],[QTY]]*表格1[[#This Row],[Unit Price]],"-")</f>
        <v>350</v>
      </c>
      <c r="R4671" s="86" t="str">
        <f>_xlfn.CONCAT(表格1[[#This Row],[Model]]," ",表格1[[#This Row],[inv no]])</f>
        <v xml:space="preserve">KT-17DRTHK(H) </v>
      </c>
      <c r="S4671" s="86">
        <f>_xlfn.XLOOKUP(表格1[[#This Row],[Model]],表格3[Model-Input-Ref2],表格3[SRP PRICE])</f>
        <v>498</v>
      </c>
      <c r="T4671" s="43">
        <f>表格1[[#This Row],[Unit Price]]/表格1[[#This Row],[SRP]]</f>
        <v>0.70281124497991965</v>
      </c>
      <c r="U4671" s="86" t="str">
        <f>_xlfn.XLOOKUP(表格1[[#This Row],[Model]],表格3[Model-Input-Ref2],表格3[TOSHIBA/HIGHEST])</f>
        <v>Toshiba SRP</v>
      </c>
      <c r="W4671" s="86" t="str">
        <f>_xlfn.CONCAT(表格1[[#This Row],[欄4]],表格1[[#This Row],[inv no]])</f>
        <v/>
      </c>
    </row>
    <row r="4672" spans="1:23">
      <c r="A4672" s="81">
        <v>4670</v>
      </c>
      <c r="B4672" s="86" t="s">
        <v>1203</v>
      </c>
      <c r="C4672" s="86" t="s">
        <v>2027</v>
      </c>
      <c r="D4672" s="89" t="str">
        <f ca="1">OFFSET(Roster!$A$3,MATCH(表格1[[#This Row],[Location]]&amp;" "&amp;表格1[[#This Row],[Shop]]&amp;"*",Roster!$A$4:$A$72,0),DAY(表格1[[#This Row],[date]]),1,1)</f>
        <v>May C</v>
      </c>
      <c r="E4672" s="86">
        <f>MONTH(表格1[[#This Row],[date]])</f>
        <v>3</v>
      </c>
      <c r="F4672" s="90">
        <v>46088</v>
      </c>
      <c r="G4672" s="86" t="str">
        <f>VLOOKUP("*"&amp;表格1[[#This Row],[Input]]&amp;"*",'Ref-List'!$B:$D,2,)</f>
        <v>RAD-D300H</v>
      </c>
      <c r="H4672" s="86" t="str">
        <f>_xlfn.XLOOKUP(表格1[[#This Row],[Model]],表格3[Model-Input-Ref2],表格3[Product Line])</f>
        <v>壓縮式抽濕機 (30公升)</v>
      </c>
      <c r="I4672" s="86" t="str">
        <f>_xlfn.XLOOKUP(表格1[[#This Row],[Model]],表格3[Model-Input-Ref2],表格3[大小電])</f>
        <v>細電</v>
      </c>
      <c r="J4672" s="86" t="str">
        <f>_xlfn.XLOOKUP(表格1[[#This Row],[Model]],表格3[Model-Input-Ref2],表格3[Code])</f>
        <v>RAC</v>
      </c>
      <c r="K4672" s="89" t="s">
        <v>1761</v>
      </c>
      <c r="L4672" s="86">
        <v>2</v>
      </c>
      <c r="M4672" s="87">
        <v>2451</v>
      </c>
      <c r="N4672" s="87">
        <f>IFERROR(表格1[[#This Row],[QTY]]*表格1[[#This Row],[Unit Price]],"-")</f>
        <v>4902</v>
      </c>
      <c r="R4672" s="86" t="str">
        <f>_xlfn.CONCAT(表格1[[#This Row],[Model]]," ",表格1[[#This Row],[inv no]])</f>
        <v xml:space="preserve">RAD-D300H </v>
      </c>
      <c r="S4672" s="86">
        <f>_xlfn.XLOOKUP(表格1[[#This Row],[Model]],表格3[Model-Input-Ref2],表格3[SRP PRICE])</f>
        <v>3380</v>
      </c>
      <c r="T4672" s="43">
        <f>表格1[[#This Row],[Unit Price]]/表格1[[#This Row],[SRP]]</f>
        <v>0.72514792899408287</v>
      </c>
      <c r="U4672" s="86" t="str">
        <f>_xlfn.XLOOKUP(表格1[[#This Row],[Model]],表格3[Model-Input-Ref2],表格3[TOSHIBA/HIGHEST])</f>
        <v>Shops Highest Price</v>
      </c>
      <c r="W4672" s="86" t="str">
        <f>_xlfn.CONCAT(表格1[[#This Row],[欄4]],表格1[[#This Row],[inv no]])</f>
        <v/>
      </c>
    </row>
    <row r="4673" spans="1:23">
      <c r="A4673" s="81">
        <v>4671</v>
      </c>
      <c r="B4673" s="86" t="s">
        <v>1203</v>
      </c>
      <c r="C4673" s="86" t="s">
        <v>2027</v>
      </c>
      <c r="D4673" s="89" t="str">
        <f ca="1">OFFSET(Roster!$A$3,MATCH(表格1[[#This Row],[Location]]&amp;" "&amp;表格1[[#This Row],[Shop]]&amp;"*",Roster!$A$4:$A$72,0),DAY(表格1[[#This Row],[date]]),1,1)</f>
        <v>May C</v>
      </c>
      <c r="E4673" s="86">
        <f>MONTH(表格1[[#This Row],[date]])</f>
        <v>3</v>
      </c>
      <c r="F4673" s="90">
        <v>46089</v>
      </c>
      <c r="G4673" s="86" t="str">
        <f>VLOOKUP("*"&amp;表格1[[#This Row],[Input]]&amp;"*",'Ref-List'!$B:$D,2,)</f>
        <v>KT-17SHNH</v>
      </c>
      <c r="H4673" s="86" t="str">
        <f>_xlfn.XLOOKUP(表格1[[#This Row],[Model]],表格3[Model-Input-Ref2],表格3[Product Line])</f>
        <v>1.7L無線雙層電熱水壺</v>
      </c>
      <c r="I4673" s="86" t="str">
        <f>_xlfn.XLOOKUP(表格1[[#This Row],[Model]],表格3[Model-Input-Ref2],表格3[大小電])</f>
        <v>細電</v>
      </c>
      <c r="J4673" s="86" t="str">
        <f>_xlfn.XLOOKUP(表格1[[#This Row],[Model]],表格3[Model-Input-Ref2],表格3[Code])</f>
        <v>SDA</v>
      </c>
      <c r="K4673" s="89" t="s">
        <v>2030</v>
      </c>
      <c r="L4673" s="86">
        <v>2</v>
      </c>
      <c r="M4673" s="87">
        <v>190</v>
      </c>
      <c r="N4673" s="87">
        <f>IFERROR(表格1[[#This Row],[QTY]]*表格1[[#This Row],[Unit Price]],"-")</f>
        <v>380</v>
      </c>
      <c r="R4673" s="86" t="str">
        <f>_xlfn.CONCAT(表格1[[#This Row],[Model]]," ",表格1[[#This Row],[inv no]])</f>
        <v xml:space="preserve">KT-17SHNH </v>
      </c>
      <c r="S4673" s="86">
        <f>_xlfn.XLOOKUP(表格1[[#This Row],[Model]],表格3[Model-Input-Ref2],表格3[SRP PRICE])</f>
        <v>299</v>
      </c>
      <c r="T4673" s="43">
        <f>表格1[[#This Row],[Unit Price]]/表格1[[#This Row],[SRP]]</f>
        <v>0.63545150501672243</v>
      </c>
      <c r="U4673" s="86" t="str">
        <f>_xlfn.XLOOKUP(表格1[[#This Row],[Model]],表格3[Model-Input-Ref2],表格3[TOSHIBA/HIGHEST])</f>
        <v>Shops Highest Price</v>
      </c>
      <c r="W4673" s="86" t="str">
        <f>_xlfn.CONCAT(表格1[[#This Row],[欄4]],表格1[[#This Row],[inv no]])</f>
        <v/>
      </c>
    </row>
    <row r="4674" spans="1:23">
      <c r="A4674" s="81">
        <v>4672</v>
      </c>
      <c r="B4674" s="86" t="s">
        <v>1203</v>
      </c>
      <c r="C4674" s="86" t="s">
        <v>2027</v>
      </c>
      <c r="D4674" s="89" t="str">
        <f ca="1">OFFSET(Roster!$A$3,MATCH(表格1[[#This Row],[Location]]&amp;" "&amp;表格1[[#This Row],[Shop]]&amp;"*",Roster!$A$4:$A$72,0),DAY(表格1[[#This Row],[date]]),1,1)</f>
        <v>May C</v>
      </c>
      <c r="E4674" s="86">
        <f>MONTH(表格1[[#This Row],[date]])</f>
        <v>3</v>
      </c>
      <c r="F4674" s="90">
        <v>46089</v>
      </c>
      <c r="G4674" s="86" t="str">
        <f>VLOOKUP("*"&amp;表格1[[#This Row],[Input]]&amp;"*",'Ref-List'!$B:$D,2,)</f>
        <v>RC-5MMIH(WT)</v>
      </c>
      <c r="H4674" s="86" t="str">
        <f>_xlfn.XLOOKUP(表格1[[#This Row],[Model]],表格3[Model-Input-Ref2],表格3[Product Line])</f>
        <v>4毫米厚釜電飯煲0.54L</v>
      </c>
      <c r="I4674" s="86" t="str">
        <f>_xlfn.XLOOKUP(表格1[[#This Row],[Model]],表格3[Model-Input-Ref2],表格3[大小電])</f>
        <v>細電</v>
      </c>
      <c r="J4674" s="86" t="str">
        <f>_xlfn.XLOOKUP(表格1[[#This Row],[Model]],表格3[Model-Input-Ref2],表格3[Code])</f>
        <v>SDA</v>
      </c>
      <c r="K4674" s="89" t="s">
        <v>2046</v>
      </c>
      <c r="L4674" s="86">
        <v>1</v>
      </c>
      <c r="M4674" s="87">
        <v>465.5</v>
      </c>
      <c r="N4674" s="87">
        <f>IFERROR(表格1[[#This Row],[QTY]]*表格1[[#This Row],[Unit Price]],"-")</f>
        <v>465.5</v>
      </c>
      <c r="R4674" s="86" t="str">
        <f>_xlfn.CONCAT(表格1[[#This Row],[Model]]," ",表格1[[#This Row],[inv no]])</f>
        <v xml:space="preserve">RC-5MMIH(WT) </v>
      </c>
      <c r="S4674" s="86">
        <f>_xlfn.XLOOKUP(表格1[[#This Row],[Model]],表格3[Model-Input-Ref2],表格3[SRP PRICE])</f>
        <v>618</v>
      </c>
      <c r="T4674" s="43">
        <f>表格1[[#This Row],[Unit Price]]/表格1[[#This Row],[SRP]]</f>
        <v>0.75323624595469252</v>
      </c>
      <c r="U4674" s="86" t="str">
        <f>_xlfn.XLOOKUP(表格1[[#This Row],[Model]],表格3[Model-Input-Ref2],表格3[TOSHIBA/HIGHEST])</f>
        <v>Toshiba SRP</v>
      </c>
      <c r="W4674" s="86" t="str">
        <f>_xlfn.CONCAT(表格1[[#This Row],[欄4]],表格1[[#This Row],[inv no]])</f>
        <v/>
      </c>
    </row>
    <row r="4675" spans="1:23">
      <c r="A4675" s="81">
        <v>4673</v>
      </c>
      <c r="B4675" s="86" t="s">
        <v>1203</v>
      </c>
      <c r="C4675" s="86" t="s">
        <v>2027</v>
      </c>
      <c r="D4675" s="89" t="str">
        <f ca="1">OFFSET(Roster!$A$3,MATCH(表格1[[#This Row],[Location]]&amp;" "&amp;表格1[[#This Row],[Shop]]&amp;"*",Roster!$A$4:$A$72,0),DAY(表格1[[#This Row],[date]]),1,1)</f>
        <v>May C</v>
      </c>
      <c r="E4675" s="86">
        <f>MONTH(表格1[[#This Row],[date]])</f>
        <v>3</v>
      </c>
      <c r="F4675" s="90">
        <v>46089</v>
      </c>
      <c r="G4675" s="86" t="str">
        <f>VLOOKUP("*"&amp;表格1[[#This Row],[Input]]&amp;"*",'Ref-List'!$B:$D,2,)</f>
        <v>KT-17DRTHK(H)</v>
      </c>
      <c r="H4675" s="86" t="str">
        <f>_xlfn.XLOOKUP(表格1[[#This Row],[Model]],表格3[Model-Input-Ref2],表格3[Product Line])</f>
        <v>無線雙層電熱水壺(1.7公升)</v>
      </c>
      <c r="I4675" s="86" t="str">
        <f>_xlfn.XLOOKUP(表格1[[#This Row],[Model]],表格3[Model-Input-Ref2],表格3[大小電])</f>
        <v>細電</v>
      </c>
      <c r="J4675" s="86" t="str">
        <f>_xlfn.XLOOKUP(表格1[[#This Row],[Model]],表格3[Model-Input-Ref2],表格3[Code])</f>
        <v>SDA</v>
      </c>
      <c r="K4675" s="89" t="s">
        <v>2035</v>
      </c>
      <c r="L4675" s="86">
        <v>1</v>
      </c>
      <c r="M4675" s="87">
        <v>350</v>
      </c>
      <c r="N4675" s="87">
        <f>IFERROR(表格1[[#This Row],[QTY]]*表格1[[#This Row],[Unit Price]],"-")</f>
        <v>350</v>
      </c>
      <c r="R4675" s="86" t="str">
        <f>_xlfn.CONCAT(表格1[[#This Row],[Model]]," ",表格1[[#This Row],[inv no]])</f>
        <v xml:space="preserve">KT-17DRTHK(H) </v>
      </c>
      <c r="S4675" s="86">
        <f>_xlfn.XLOOKUP(表格1[[#This Row],[Model]],表格3[Model-Input-Ref2],表格3[SRP PRICE])</f>
        <v>498</v>
      </c>
      <c r="T4675" s="43">
        <f>表格1[[#This Row],[Unit Price]]/表格1[[#This Row],[SRP]]</f>
        <v>0.70281124497991965</v>
      </c>
      <c r="U4675" s="86" t="str">
        <f>_xlfn.XLOOKUP(表格1[[#This Row],[Model]],表格3[Model-Input-Ref2],表格3[TOSHIBA/HIGHEST])</f>
        <v>Toshiba SRP</v>
      </c>
      <c r="W4675" s="86" t="str">
        <f>_xlfn.CONCAT(表格1[[#This Row],[欄4]],表格1[[#This Row],[inv no]])</f>
        <v/>
      </c>
    </row>
    <row r="4676" spans="1:23">
      <c r="A4676" s="81">
        <v>4674</v>
      </c>
      <c r="B4676" s="86" t="s">
        <v>1203</v>
      </c>
      <c r="C4676" s="86" t="s">
        <v>2027</v>
      </c>
      <c r="D4676" s="89" t="str">
        <f ca="1">OFFSET(Roster!$A$3,MATCH(表格1[[#This Row],[Location]]&amp;" "&amp;表格1[[#This Row],[Shop]]&amp;"*",Roster!$A$4:$A$72,0),DAY(表格1[[#This Row],[date]]),1,1)</f>
        <v>May C</v>
      </c>
      <c r="E4676" s="86">
        <f>MONTH(表格1[[#This Row],[date]])</f>
        <v>3</v>
      </c>
      <c r="F4676" s="90">
        <v>46089</v>
      </c>
      <c r="G4676" s="86" t="str">
        <f>VLOOKUP("*"&amp;表格1[[#This Row],[Input]]&amp;"*",'Ref-List'!$B:$D,2,)</f>
        <v>IC-20R1THK</v>
      </c>
      <c r="H4676" s="86" t="str">
        <f>_xlfn.XLOOKUP(表格1[[#This Row],[Model]],表格3[Model-Input-Ref2],表格3[Product Line])</f>
        <v>輕便式電磁爐</v>
      </c>
      <c r="I4676" s="86" t="str">
        <f>_xlfn.XLOOKUP(表格1[[#This Row],[Model]],表格3[Model-Input-Ref2],表格3[大小電])</f>
        <v>細電</v>
      </c>
      <c r="J4676" s="86" t="str">
        <f>_xlfn.XLOOKUP(表格1[[#This Row],[Model]],表格3[Model-Input-Ref2],表格3[Code])</f>
        <v>SDA</v>
      </c>
      <c r="K4676" s="89" t="s">
        <v>2243</v>
      </c>
      <c r="L4676" s="86">
        <v>2</v>
      </c>
      <c r="M4676" s="87">
        <v>290</v>
      </c>
      <c r="N4676" s="87">
        <f>IFERROR(表格1[[#This Row],[QTY]]*表格1[[#This Row],[Unit Price]],"-")</f>
        <v>580</v>
      </c>
      <c r="R4676" s="86" t="str">
        <f>_xlfn.CONCAT(表格1[[#This Row],[Model]]," ",表格1[[#This Row],[inv no]])</f>
        <v xml:space="preserve">IC-20R1THK </v>
      </c>
      <c r="S4676" s="86">
        <f>_xlfn.XLOOKUP(表格1[[#This Row],[Model]],表格3[Model-Input-Ref2],表格3[SRP PRICE])</f>
        <v>438</v>
      </c>
      <c r="T4676" s="43">
        <f>表格1[[#This Row],[Unit Price]]/表格1[[#This Row],[SRP]]</f>
        <v>0.66210045662100458</v>
      </c>
      <c r="U4676" s="86" t="str">
        <f>_xlfn.XLOOKUP(表格1[[#This Row],[Model]],表格3[Model-Input-Ref2],表格3[TOSHIBA/HIGHEST])</f>
        <v>Shops Highest Price</v>
      </c>
      <c r="W4676" s="86" t="str">
        <f>_xlfn.CONCAT(表格1[[#This Row],[欄4]],表格1[[#This Row],[inv no]])</f>
        <v/>
      </c>
    </row>
    <row r="4677" spans="1:23">
      <c r="A4677" s="81">
        <v>4675</v>
      </c>
      <c r="B4677" s="86" t="s">
        <v>1203</v>
      </c>
      <c r="C4677" s="86" t="s">
        <v>2027</v>
      </c>
      <c r="D4677" s="89" t="str">
        <f ca="1">OFFSET(Roster!$A$3,MATCH(表格1[[#This Row],[Location]]&amp;" "&amp;表格1[[#This Row],[Shop]]&amp;"*",Roster!$A$4:$A$72,0),DAY(表格1[[#This Row],[date]]),1,1)</f>
        <v>May C</v>
      </c>
      <c r="E4677" s="86">
        <f>MONTH(表格1[[#This Row],[date]])</f>
        <v>3</v>
      </c>
      <c r="F4677" s="90">
        <v>46089</v>
      </c>
      <c r="G4677" s="86" t="str">
        <f>VLOOKUP("*"&amp;表格1[[#This Row],[Input]]&amp;"*",'Ref-List'!$B:$D,2,)</f>
        <v>RAD-D300H</v>
      </c>
      <c r="H4677" s="86" t="str">
        <f>_xlfn.XLOOKUP(表格1[[#This Row],[Model]],表格3[Model-Input-Ref2],表格3[Product Line])</f>
        <v>壓縮式抽濕機 (30公升)</v>
      </c>
      <c r="I4677" s="86" t="str">
        <f>_xlfn.XLOOKUP(表格1[[#This Row],[Model]],表格3[Model-Input-Ref2],表格3[大小電])</f>
        <v>細電</v>
      </c>
      <c r="J4677" s="86" t="str">
        <f>_xlfn.XLOOKUP(表格1[[#This Row],[Model]],表格3[Model-Input-Ref2],表格3[Code])</f>
        <v>RAC</v>
      </c>
      <c r="K4677" s="89" t="s">
        <v>1761</v>
      </c>
      <c r="L4677" s="86">
        <v>3</v>
      </c>
      <c r="M4677" s="87">
        <v>2451</v>
      </c>
      <c r="N4677" s="87">
        <f>IFERROR(表格1[[#This Row],[QTY]]*表格1[[#This Row],[Unit Price]],"-")</f>
        <v>7353</v>
      </c>
      <c r="R4677" s="86" t="str">
        <f>_xlfn.CONCAT(表格1[[#This Row],[Model]]," ",表格1[[#This Row],[inv no]])</f>
        <v xml:space="preserve">RAD-D300H </v>
      </c>
      <c r="S4677" s="86">
        <f>_xlfn.XLOOKUP(表格1[[#This Row],[Model]],表格3[Model-Input-Ref2],表格3[SRP PRICE])</f>
        <v>3380</v>
      </c>
      <c r="T4677" s="43">
        <f>表格1[[#This Row],[Unit Price]]/表格1[[#This Row],[SRP]]</f>
        <v>0.72514792899408287</v>
      </c>
      <c r="U4677" s="86" t="str">
        <f>_xlfn.XLOOKUP(表格1[[#This Row],[Model]],表格3[Model-Input-Ref2],表格3[TOSHIBA/HIGHEST])</f>
        <v>Shops Highest Price</v>
      </c>
      <c r="W4677" s="86" t="str">
        <f>_xlfn.CONCAT(表格1[[#This Row],[欄4]],表格1[[#This Row],[inv no]])</f>
        <v/>
      </c>
    </row>
    <row r="4678" spans="1:23">
      <c r="A4678" s="81">
        <v>4676</v>
      </c>
      <c r="B4678" s="86" t="s">
        <v>1203</v>
      </c>
      <c r="C4678" s="86" t="s">
        <v>2027</v>
      </c>
      <c r="D4678" s="89" t="str">
        <f ca="1">OFFSET(Roster!$A$3,MATCH(表格1[[#This Row],[Location]]&amp;" "&amp;表格1[[#This Row],[Shop]]&amp;"*",Roster!$A$4:$A$72,0),DAY(表格1[[#This Row],[date]]),1,1)</f>
        <v>May C</v>
      </c>
      <c r="E4678" s="86">
        <f>MONTH(表格1[[#This Row],[date]])</f>
        <v>3</v>
      </c>
      <c r="F4678" s="90">
        <v>46091</v>
      </c>
      <c r="G4678" s="86" t="str">
        <f>VLOOKUP("*"&amp;表格1[[#This Row],[Input]]&amp;"*",'Ref-List'!$B:$D,2,)</f>
        <v>RC-5MMIH(WT)</v>
      </c>
      <c r="H4678" s="86" t="str">
        <f>_xlfn.XLOOKUP(表格1[[#This Row],[Model]],表格3[Model-Input-Ref2],表格3[Product Line])</f>
        <v>4毫米厚釜電飯煲0.54L</v>
      </c>
      <c r="I4678" s="86" t="str">
        <f>_xlfn.XLOOKUP(表格1[[#This Row],[Model]],表格3[Model-Input-Ref2],表格3[大小電])</f>
        <v>細電</v>
      </c>
      <c r="J4678" s="86" t="str">
        <f>_xlfn.XLOOKUP(表格1[[#This Row],[Model]],表格3[Model-Input-Ref2],表格3[Code])</f>
        <v>SDA</v>
      </c>
      <c r="K4678" s="89" t="s">
        <v>2046</v>
      </c>
      <c r="L4678" s="86">
        <v>1</v>
      </c>
      <c r="M4678" s="87">
        <v>490</v>
      </c>
      <c r="N4678" s="87">
        <f>IFERROR(表格1[[#This Row],[QTY]]*表格1[[#This Row],[Unit Price]],"-")</f>
        <v>490</v>
      </c>
      <c r="R4678" s="86" t="str">
        <f>_xlfn.CONCAT(表格1[[#This Row],[Model]]," ",表格1[[#This Row],[inv no]])</f>
        <v xml:space="preserve">RC-5MMIH(WT) </v>
      </c>
      <c r="S4678" s="86">
        <f>_xlfn.XLOOKUP(表格1[[#This Row],[Model]],表格3[Model-Input-Ref2],表格3[SRP PRICE])</f>
        <v>618</v>
      </c>
      <c r="T4678" s="43">
        <f>表格1[[#This Row],[Unit Price]]/表格1[[#This Row],[SRP]]</f>
        <v>0.79288025889967639</v>
      </c>
      <c r="U4678" s="86" t="str">
        <f>_xlfn.XLOOKUP(表格1[[#This Row],[Model]],表格3[Model-Input-Ref2],表格3[TOSHIBA/HIGHEST])</f>
        <v>Toshiba SRP</v>
      </c>
      <c r="W4678" s="86" t="str">
        <f>_xlfn.CONCAT(表格1[[#This Row],[欄4]],表格1[[#This Row],[inv no]])</f>
        <v/>
      </c>
    </row>
    <row r="4679" spans="1:23">
      <c r="A4679" s="81">
        <v>4677</v>
      </c>
      <c r="B4679" s="86" t="s">
        <v>1203</v>
      </c>
      <c r="C4679" s="86" t="s">
        <v>2027</v>
      </c>
      <c r="D4679" s="89" t="str">
        <f ca="1">OFFSET(Roster!$A$3,MATCH(表格1[[#This Row],[Location]]&amp;" "&amp;表格1[[#This Row],[Shop]]&amp;"*",Roster!$A$4:$A$72,0),DAY(表格1[[#This Row],[date]]),1,1)</f>
        <v>May C</v>
      </c>
      <c r="E4679" s="86">
        <f>MONTH(表格1[[#This Row],[date]])</f>
        <v>3</v>
      </c>
      <c r="F4679" s="90">
        <v>46091</v>
      </c>
      <c r="G4679" s="86" t="str">
        <f>VLOOKUP("*"&amp;表格1[[#This Row],[Input]]&amp;"*",'Ref-List'!$B:$D,2,)</f>
        <v>ET-TD7080(PN)</v>
      </c>
      <c r="H4679" s="86" t="str">
        <f>_xlfn.XLOOKUP(表格1[[#This Row],[Model]],表格3[Model-Input-Ref2],表格3[Product Line])</f>
        <v>多士焗爐8L</v>
      </c>
      <c r="I4679" s="86" t="str">
        <f>_xlfn.XLOOKUP(表格1[[#This Row],[Model]],表格3[Model-Input-Ref2],表格3[大小電])</f>
        <v>細電</v>
      </c>
      <c r="J4679" s="86" t="str">
        <f>_xlfn.XLOOKUP(表格1[[#This Row],[Model]],表格3[Model-Input-Ref2],表格3[Code])</f>
        <v>SDA</v>
      </c>
      <c r="K4679" s="89">
        <v>7080</v>
      </c>
      <c r="L4679" s="86">
        <v>1</v>
      </c>
      <c r="M4679" s="87">
        <v>330</v>
      </c>
      <c r="N4679" s="87">
        <f>IFERROR(表格1[[#This Row],[QTY]]*表格1[[#This Row],[Unit Price]],"-")</f>
        <v>330</v>
      </c>
      <c r="R4679" s="86" t="str">
        <f>_xlfn.CONCAT(表格1[[#This Row],[Model]]," ",表格1[[#This Row],[inv no]])</f>
        <v xml:space="preserve">ET-TD7080(PN) </v>
      </c>
      <c r="S4679" s="86">
        <f>_xlfn.XLOOKUP(表格1[[#This Row],[Model]],表格3[Model-Input-Ref2],表格3[SRP PRICE])</f>
        <v>498</v>
      </c>
      <c r="T4679" s="43">
        <f>表格1[[#This Row],[Unit Price]]/表格1[[#This Row],[SRP]]</f>
        <v>0.66265060240963858</v>
      </c>
      <c r="U4679" s="86" t="str">
        <f>_xlfn.XLOOKUP(表格1[[#This Row],[Model]],表格3[Model-Input-Ref2],表格3[TOSHIBA/HIGHEST])</f>
        <v>Toshiba SRP</v>
      </c>
      <c r="W4679" s="86" t="str">
        <f>_xlfn.CONCAT(表格1[[#This Row],[欄4]],表格1[[#This Row],[inv no]])</f>
        <v/>
      </c>
    </row>
    <row r="4680" spans="1:23">
      <c r="A4680" s="81">
        <v>4678</v>
      </c>
      <c r="B4680" s="86" t="s">
        <v>1203</v>
      </c>
      <c r="C4680" s="86" t="s">
        <v>2027</v>
      </c>
      <c r="D4680" s="89" t="str">
        <f ca="1">OFFSET(Roster!$A$3,MATCH(表格1[[#This Row],[Location]]&amp;" "&amp;表格1[[#This Row],[Shop]]&amp;"*",Roster!$A$4:$A$72,0),DAY(表格1[[#This Row],[date]]),1,1)</f>
        <v>May C</v>
      </c>
      <c r="E4680" s="86">
        <f>MONTH(表格1[[#This Row],[date]])</f>
        <v>3</v>
      </c>
      <c r="F4680" s="90">
        <v>46091</v>
      </c>
      <c r="G4680" s="86" t="str">
        <f>VLOOKUP("*"&amp;表格1[[#This Row],[Input]]&amp;"*",'Ref-List'!$B:$D,2,)</f>
        <v>F-DSB35HK(W)</v>
      </c>
      <c r="H4680" s="86" t="str">
        <f>_xlfn.XLOOKUP(表格1[[#This Row],[Model]],表格3[Model-Input-Ref2],表格3[Product Line])</f>
        <v>Electric Fan</v>
      </c>
      <c r="I4680" s="86" t="str">
        <f>_xlfn.XLOOKUP(表格1[[#This Row],[Model]],表格3[Model-Input-Ref2],表格3[大小電])</f>
        <v>細電</v>
      </c>
      <c r="J4680" s="86" t="str">
        <f>_xlfn.XLOOKUP(表格1[[#This Row],[Model]],表格3[Model-Input-Ref2],表格3[Code])</f>
        <v>SDA</v>
      </c>
      <c r="K4680" s="89" t="s">
        <v>2246</v>
      </c>
      <c r="L4680" s="86">
        <v>1</v>
      </c>
      <c r="M4680" s="87">
        <v>550</v>
      </c>
      <c r="N4680" s="87">
        <f>IFERROR(表格1[[#This Row],[QTY]]*表格1[[#This Row],[Unit Price]],"-")</f>
        <v>550</v>
      </c>
      <c r="R4680" s="86" t="str">
        <f>_xlfn.CONCAT(表格1[[#This Row],[Model]]," ",表格1[[#This Row],[inv no]])</f>
        <v xml:space="preserve">F-DSB35HK(W) </v>
      </c>
      <c r="S4680" s="86">
        <f>_xlfn.XLOOKUP(表格1[[#This Row],[Model]],表格3[Model-Input-Ref2],表格3[SRP PRICE])</f>
        <v>1088</v>
      </c>
      <c r="T4680" s="43">
        <f>表格1[[#This Row],[Unit Price]]/表格1[[#This Row],[SRP]]</f>
        <v>0.50551470588235292</v>
      </c>
      <c r="U4680" s="86" t="str">
        <f>_xlfn.XLOOKUP(表格1[[#This Row],[Model]],表格3[Model-Input-Ref2],表格3[TOSHIBA/HIGHEST])</f>
        <v>Toshiba SRP</v>
      </c>
      <c r="W4680" s="86" t="str">
        <f>_xlfn.CONCAT(表格1[[#This Row],[欄4]],表格1[[#This Row],[inv no]])</f>
        <v/>
      </c>
    </row>
    <row r="4681" spans="1:23">
      <c r="A4681" s="81">
        <v>4679</v>
      </c>
      <c r="B4681" s="86" t="s">
        <v>1203</v>
      </c>
      <c r="C4681" s="86" t="s">
        <v>2027</v>
      </c>
      <c r="D4681" s="89" t="str">
        <f ca="1">OFFSET(Roster!$A$3,MATCH(表格1[[#This Row],[Location]]&amp;" "&amp;表格1[[#This Row],[Shop]]&amp;"*",Roster!$A$4:$A$72,0),DAY(表格1[[#This Row],[date]]),1,1)</f>
        <v>May C</v>
      </c>
      <c r="E4681" s="86">
        <f>MONTH(表格1[[#This Row],[date]])</f>
        <v>3</v>
      </c>
      <c r="F4681" s="90">
        <v>46091</v>
      </c>
      <c r="G4681" s="86" t="str">
        <f>VLOOKUP("*"&amp;表格1[[#This Row],[Input]]&amp;"*",'Ref-List'!$B:$D,2,)</f>
        <v>RAD-D300H</v>
      </c>
      <c r="H4681" s="86" t="str">
        <f>_xlfn.XLOOKUP(表格1[[#This Row],[Model]],表格3[Model-Input-Ref2],表格3[Product Line])</f>
        <v>壓縮式抽濕機 (30公升)</v>
      </c>
      <c r="I4681" s="86" t="str">
        <f>_xlfn.XLOOKUP(表格1[[#This Row],[Model]],表格3[Model-Input-Ref2],表格3[大小電])</f>
        <v>細電</v>
      </c>
      <c r="J4681" s="86" t="str">
        <f>_xlfn.XLOOKUP(表格1[[#This Row],[Model]],表格3[Model-Input-Ref2],表格3[Code])</f>
        <v>RAC</v>
      </c>
      <c r="K4681" s="89" t="s">
        <v>1761</v>
      </c>
      <c r="L4681" s="86">
        <v>1</v>
      </c>
      <c r="M4681" s="87">
        <v>2451</v>
      </c>
      <c r="N4681" s="87">
        <f>IFERROR(表格1[[#This Row],[QTY]]*表格1[[#This Row],[Unit Price]],"-")</f>
        <v>2451</v>
      </c>
      <c r="R4681" s="86" t="str">
        <f>_xlfn.CONCAT(表格1[[#This Row],[Model]]," ",表格1[[#This Row],[inv no]])</f>
        <v xml:space="preserve">RAD-D300H </v>
      </c>
      <c r="S4681" s="86">
        <f>_xlfn.XLOOKUP(表格1[[#This Row],[Model]],表格3[Model-Input-Ref2],表格3[SRP PRICE])</f>
        <v>3380</v>
      </c>
      <c r="T4681" s="43">
        <f>表格1[[#This Row],[Unit Price]]/表格1[[#This Row],[SRP]]</f>
        <v>0.72514792899408287</v>
      </c>
      <c r="U4681" s="86" t="str">
        <f>_xlfn.XLOOKUP(表格1[[#This Row],[Model]],表格3[Model-Input-Ref2],表格3[TOSHIBA/HIGHEST])</f>
        <v>Shops Highest Price</v>
      </c>
      <c r="W4681" s="86" t="str">
        <f>_xlfn.CONCAT(表格1[[#This Row],[欄4]],表格1[[#This Row],[inv no]])</f>
        <v/>
      </c>
    </row>
    <row r="4682" spans="1:23">
      <c r="A4682" s="81">
        <v>4680</v>
      </c>
      <c r="B4682" s="86" t="s">
        <v>1203</v>
      </c>
      <c r="C4682" s="86" t="s">
        <v>2027</v>
      </c>
      <c r="D4682" s="89" t="str">
        <f ca="1">OFFSET(Roster!$A$3,MATCH(表格1[[#This Row],[Location]]&amp;" "&amp;表格1[[#This Row],[Shop]]&amp;"*",Roster!$A$4:$A$72,0),DAY(表格1[[#This Row],[date]]),1,1)</f>
        <v>May C</v>
      </c>
      <c r="E4682" s="86">
        <f>MONTH(表格1[[#This Row],[date]])</f>
        <v>3</v>
      </c>
      <c r="F4682" s="90">
        <v>46092</v>
      </c>
      <c r="G4682" s="86" t="str">
        <f>VLOOKUP("*"&amp;表格1[[#This Row],[Input]]&amp;"*",'Ref-List'!$B:$D,2,)</f>
        <v>RC-7HMH</v>
      </c>
      <c r="H4682" s="86" t="str">
        <f>_xlfn.XLOOKUP(表格1[[#This Row],[Model]],表格3[Model-Input-Ref2],表格3[Product Line])</f>
        <v>備長炭本厚釜電飯煲0.7L</v>
      </c>
      <c r="I4682" s="86" t="str">
        <f>_xlfn.XLOOKUP(表格1[[#This Row],[Model]],表格3[Model-Input-Ref2],表格3[大小電])</f>
        <v>細電</v>
      </c>
      <c r="J4682" s="86" t="str">
        <f>_xlfn.XLOOKUP(表格1[[#This Row],[Model]],表格3[Model-Input-Ref2],表格3[Code])</f>
        <v>SDA</v>
      </c>
      <c r="K4682" s="89" t="s">
        <v>2057</v>
      </c>
      <c r="L4682" s="86">
        <v>1</v>
      </c>
      <c r="M4682" s="87">
        <v>780</v>
      </c>
      <c r="N4682" s="87">
        <f>IFERROR(表格1[[#This Row],[QTY]]*表格1[[#This Row],[Unit Price]],"-")</f>
        <v>780</v>
      </c>
      <c r="R4682" s="86" t="str">
        <f>_xlfn.CONCAT(表格1[[#This Row],[Model]]," ",表格1[[#This Row],[inv no]])</f>
        <v xml:space="preserve">RC-7HMH </v>
      </c>
      <c r="S4682" s="86">
        <f>_xlfn.XLOOKUP(表格1[[#This Row],[Model]],表格3[Model-Input-Ref2],表格3[SRP PRICE])</f>
        <v>1288</v>
      </c>
      <c r="T4682" s="43">
        <f>表格1[[#This Row],[Unit Price]]/表格1[[#This Row],[SRP]]</f>
        <v>0.60559006211180122</v>
      </c>
      <c r="U4682" s="86" t="str">
        <f>_xlfn.XLOOKUP(表格1[[#This Row],[Model]],表格3[Model-Input-Ref2],表格3[TOSHIBA/HIGHEST])</f>
        <v>Toshiba SRP</v>
      </c>
      <c r="W4682" s="86" t="str">
        <f>_xlfn.CONCAT(表格1[[#This Row],[欄4]],表格1[[#This Row],[inv no]])</f>
        <v/>
      </c>
    </row>
    <row r="4683" spans="1:23">
      <c r="A4683" s="81">
        <v>4681</v>
      </c>
      <c r="B4683" s="86" t="s">
        <v>1203</v>
      </c>
      <c r="C4683" s="86" t="s">
        <v>2027</v>
      </c>
      <c r="D4683" s="89" t="str">
        <f ca="1">OFFSET(Roster!$A$3,MATCH(表格1[[#This Row],[Location]]&amp;" "&amp;表格1[[#This Row],[Shop]]&amp;"*",Roster!$A$4:$A$72,0),DAY(表格1[[#This Row],[date]]),1,1)</f>
        <v>May C</v>
      </c>
      <c r="E4683" s="86">
        <f>MONTH(表格1[[#This Row],[date]])</f>
        <v>3</v>
      </c>
      <c r="F4683" s="90">
        <v>46092</v>
      </c>
      <c r="G4683" s="86" t="str">
        <f>VLOOKUP("*"&amp;表格1[[#This Row],[Input]]&amp;"*",'Ref-List'!$B:$D,2,)</f>
        <v>MM2-EG20PC(WH)</v>
      </c>
      <c r="H4683" s="86" t="str">
        <f>_xlfn.XLOOKUP(表格1[[#This Row],[Model]],表格3[Model-Input-Ref2],表格3[Product Line])</f>
        <v>輕觸式燒烤微波爐</v>
      </c>
      <c r="I4683" s="86" t="str">
        <f>_xlfn.XLOOKUP(表格1[[#This Row],[Model]],表格3[Model-Input-Ref2],表格3[大小電])</f>
        <v>細電</v>
      </c>
      <c r="J4683" s="86" t="str">
        <f>_xlfn.XLOOKUP(表格1[[#This Row],[Model]],表格3[Model-Input-Ref2],表格3[Code])</f>
        <v>MCA</v>
      </c>
      <c r="K4683" s="89" t="s">
        <v>2242</v>
      </c>
      <c r="L4683" s="86">
        <v>1</v>
      </c>
      <c r="M4683" s="87">
        <v>760</v>
      </c>
      <c r="N4683" s="87">
        <f>IFERROR(表格1[[#This Row],[QTY]]*表格1[[#This Row],[Unit Price]],"-")</f>
        <v>760</v>
      </c>
      <c r="R4683" s="86" t="str">
        <f>_xlfn.CONCAT(表格1[[#This Row],[Model]]," ",表格1[[#This Row],[inv no]])</f>
        <v xml:space="preserve">MM2-EG20PC(WH) </v>
      </c>
      <c r="S4683" s="86">
        <f>_xlfn.XLOOKUP(表格1[[#This Row],[Model]],表格3[Model-Input-Ref2],表格3[SRP PRICE])</f>
        <v>918</v>
      </c>
      <c r="T4683" s="43">
        <f>表格1[[#This Row],[Unit Price]]/表格1[[#This Row],[SRP]]</f>
        <v>0.82788671023965144</v>
      </c>
      <c r="U4683" s="86" t="str">
        <f>_xlfn.XLOOKUP(表格1[[#This Row],[Model]],表格3[Model-Input-Ref2],表格3[TOSHIBA/HIGHEST])</f>
        <v>Shops Highest Price</v>
      </c>
      <c r="W4683" s="86" t="str">
        <f>_xlfn.CONCAT(表格1[[#This Row],[欄4]],表格1[[#This Row],[inv no]])</f>
        <v/>
      </c>
    </row>
    <row r="4684" spans="1:23">
      <c r="A4684" s="81">
        <v>4682</v>
      </c>
      <c r="B4684" s="86" t="s">
        <v>1203</v>
      </c>
      <c r="C4684" s="86" t="s">
        <v>2027</v>
      </c>
      <c r="D4684" s="89" t="str">
        <f ca="1">OFFSET(Roster!$A$3,MATCH(表格1[[#This Row],[Location]]&amp;" "&amp;表格1[[#This Row],[Shop]]&amp;"*",Roster!$A$4:$A$72,0),DAY(表格1[[#This Row],[date]]),1,1)</f>
        <v>May C</v>
      </c>
      <c r="E4684" s="86">
        <f>MONTH(表格1[[#This Row],[date]])</f>
        <v>3</v>
      </c>
      <c r="F4684" s="90">
        <v>46092</v>
      </c>
      <c r="G4684" s="86" t="str">
        <f>VLOOKUP("*"&amp;表格1[[#This Row],[Input]]&amp;"*",'Ref-List'!$B:$D,2,)</f>
        <v>RC-10AMXH(W)</v>
      </c>
      <c r="H4684" s="86" t="str">
        <f>_xlfn.XLOOKUP(表格1[[#This Row],[Model]],表格3[Model-Input-Ref2],表格3[Product Line])</f>
        <v>酵活炊電飯煲(1.0公升)</v>
      </c>
      <c r="I4684" s="86" t="str">
        <f>_xlfn.XLOOKUP(表格1[[#This Row],[Model]],表格3[Model-Input-Ref2],表格3[大小電])</f>
        <v>細電</v>
      </c>
      <c r="J4684" s="86" t="str">
        <f>_xlfn.XLOOKUP(表格1[[#This Row],[Model]],表格3[Model-Input-Ref2],表格3[Code])</f>
        <v>SDA</v>
      </c>
      <c r="K4684" s="89" t="s">
        <v>1956</v>
      </c>
      <c r="L4684" s="86">
        <v>1</v>
      </c>
      <c r="M4684" s="87">
        <v>940.5</v>
      </c>
      <c r="N4684" s="87">
        <f>IFERROR(表格1[[#This Row],[QTY]]*表格1[[#This Row],[Unit Price]],"-")</f>
        <v>940.5</v>
      </c>
      <c r="R4684" s="86" t="str">
        <f>_xlfn.CONCAT(表格1[[#This Row],[Model]]," ",表格1[[#This Row],[inv no]])</f>
        <v xml:space="preserve">RC-10AMXH(W) </v>
      </c>
      <c r="S4684" s="86">
        <f>_xlfn.XLOOKUP(表格1[[#This Row],[Model]],表格3[Model-Input-Ref2],表格3[SRP PRICE])</f>
        <v>1288</v>
      </c>
      <c r="T4684" s="43">
        <f>表格1[[#This Row],[Unit Price]]/表格1[[#This Row],[SRP]]</f>
        <v>0.73020186335403725</v>
      </c>
      <c r="U4684" s="86" t="str">
        <f>_xlfn.XLOOKUP(表格1[[#This Row],[Model]],表格3[Model-Input-Ref2],表格3[TOSHIBA/HIGHEST])</f>
        <v>Toshiba SRP</v>
      </c>
      <c r="W4684" s="86" t="str">
        <f>_xlfn.CONCAT(表格1[[#This Row],[欄4]],表格1[[#This Row],[inv no]])</f>
        <v/>
      </c>
    </row>
    <row r="4685" spans="1:23">
      <c r="A4685" s="81">
        <v>4683</v>
      </c>
      <c r="B4685" s="86" t="s">
        <v>1203</v>
      </c>
      <c r="C4685" s="86" t="s">
        <v>2027</v>
      </c>
      <c r="D4685" s="89" t="str">
        <f ca="1">OFFSET(Roster!$A$3,MATCH(表格1[[#This Row],[Location]]&amp;" "&amp;表格1[[#This Row],[Shop]]&amp;"*",Roster!$A$4:$A$72,0),DAY(表格1[[#This Row],[date]]),1,1)</f>
        <v>May C</v>
      </c>
      <c r="E4685" s="86">
        <f>MONTH(表格1[[#This Row],[date]])</f>
        <v>3</v>
      </c>
      <c r="F4685" s="90">
        <v>46093</v>
      </c>
      <c r="G4685" s="86" t="str">
        <f>VLOOKUP("*"&amp;表格1[[#This Row],[Input]]&amp;"*",'Ref-List'!$B:$D,2,)</f>
        <v>RC-5SLIH(W)</v>
      </c>
      <c r="H4685" s="86" t="str">
        <f>_xlfn.XLOOKUP(表格1[[#This Row],[Model]],表格3[Model-Input-Ref2],表格3[Product Line])</f>
        <v>微型電腦珍珠飯煲</v>
      </c>
      <c r="I4685" s="86" t="str">
        <f>_xlfn.XLOOKUP(表格1[[#This Row],[Model]],表格3[Model-Input-Ref2],表格3[大小電])</f>
        <v>細電</v>
      </c>
      <c r="J4685" s="86" t="str">
        <f>_xlfn.XLOOKUP(表格1[[#This Row],[Model]],表格3[Model-Input-Ref2],表格3[Code])</f>
        <v>SDA</v>
      </c>
      <c r="K4685" s="89" t="s">
        <v>2037</v>
      </c>
      <c r="L4685" s="86">
        <v>1</v>
      </c>
      <c r="M4685" s="87">
        <v>590</v>
      </c>
      <c r="N4685" s="87">
        <f>IFERROR(表格1[[#This Row],[QTY]]*表格1[[#This Row],[Unit Price]],"-")</f>
        <v>590</v>
      </c>
      <c r="R4685" s="86" t="str">
        <f>_xlfn.CONCAT(表格1[[#This Row],[Model]]," ",表格1[[#This Row],[inv no]])</f>
        <v xml:space="preserve">RC-5SLIH(W) </v>
      </c>
      <c r="S4685" s="86">
        <f>_xlfn.XLOOKUP(表格1[[#This Row],[Model]],表格3[Model-Input-Ref2],表格3[SRP PRICE])</f>
        <v>658</v>
      </c>
      <c r="T4685" s="43">
        <f>表格1[[#This Row],[Unit Price]]/表格1[[#This Row],[SRP]]</f>
        <v>0.89665653495440734</v>
      </c>
      <c r="U4685" s="86" t="str">
        <f>_xlfn.XLOOKUP(表格1[[#This Row],[Model]],表格3[Model-Input-Ref2],表格3[TOSHIBA/HIGHEST])</f>
        <v>Toshiba SRP</v>
      </c>
      <c r="W4685" s="86" t="str">
        <f>_xlfn.CONCAT(表格1[[#This Row],[欄4]],表格1[[#This Row],[inv no]])</f>
        <v/>
      </c>
    </row>
    <row r="4686" spans="1:23">
      <c r="A4686" s="81">
        <v>4684</v>
      </c>
      <c r="B4686" s="86" t="s">
        <v>1203</v>
      </c>
      <c r="C4686" s="86" t="s">
        <v>2027</v>
      </c>
      <c r="D4686" s="89" t="str">
        <f ca="1">OFFSET(Roster!$A$3,MATCH(表格1[[#This Row],[Location]]&amp;" "&amp;表格1[[#This Row],[Shop]]&amp;"*",Roster!$A$4:$A$72,0),DAY(表格1[[#This Row],[date]]),1,1)</f>
        <v>May C</v>
      </c>
      <c r="E4686" s="86">
        <f>MONTH(表格1[[#This Row],[date]])</f>
        <v>3</v>
      </c>
      <c r="F4686" s="90">
        <v>46093</v>
      </c>
      <c r="G4686" s="86" t="str">
        <f>VLOOKUP("*"&amp;表格1[[#This Row],[Input]]&amp;"*",'Ref-List'!$B:$D,2,)</f>
        <v>CFS-09PGR0A0</v>
      </c>
      <c r="H4686" s="86" t="str">
        <f>_xlfn.XLOOKUP(表格1[[#This Row],[Model]],表格3[Model-Input-Ref2],表格3[Product Line])</f>
        <v>9吋座檯座地循環扇連遙控</v>
      </c>
      <c r="I4686" s="86" t="str">
        <f>_xlfn.XLOOKUP(表格1[[#This Row],[Model]],表格3[Model-Input-Ref2],表格3[大小電])</f>
        <v>細電</v>
      </c>
      <c r="J4686" s="86" t="str">
        <f>_xlfn.XLOOKUP(表格1[[#This Row],[Model]],表格3[Model-Input-Ref2],表格3[Code])</f>
        <v>SDA</v>
      </c>
      <c r="K4686" s="89" t="s">
        <v>2247</v>
      </c>
      <c r="L4686" s="86">
        <v>1</v>
      </c>
      <c r="M4686" s="87">
        <v>290</v>
      </c>
      <c r="N4686" s="87">
        <f>IFERROR(表格1[[#This Row],[QTY]]*表格1[[#This Row],[Unit Price]],"-")</f>
        <v>290</v>
      </c>
      <c r="R4686" s="86" t="str">
        <f>_xlfn.CONCAT(表格1[[#This Row],[Model]]," ",表格1[[#This Row],[inv no]])</f>
        <v xml:space="preserve">CFS-09PGR0A0 </v>
      </c>
      <c r="S4686" s="86">
        <f>_xlfn.XLOOKUP(表格1[[#This Row],[Model]],表格3[Model-Input-Ref2],表格3[SRP PRICE])</f>
        <v>350</v>
      </c>
      <c r="T4686" s="43">
        <f>表格1[[#This Row],[Unit Price]]/表格1[[#This Row],[SRP]]</f>
        <v>0.82857142857142863</v>
      </c>
      <c r="U4686" s="86">
        <f>_xlfn.XLOOKUP(表格1[[#This Row],[Model]],表格3[Model-Input-Ref2],表格3[TOSHIBA/HIGHEST])</f>
        <v>0</v>
      </c>
      <c r="W4686" s="86" t="str">
        <f>_xlfn.CONCAT(表格1[[#This Row],[欄4]],表格1[[#This Row],[inv no]])</f>
        <v/>
      </c>
    </row>
    <row r="4687" spans="1:23">
      <c r="A4687" s="81">
        <v>4685</v>
      </c>
      <c r="B4687" s="86" t="s">
        <v>1203</v>
      </c>
      <c r="C4687" s="86" t="s">
        <v>2027</v>
      </c>
      <c r="D4687" s="89" t="str">
        <f ca="1">OFFSET(Roster!$A$3,MATCH(表格1[[#This Row],[Location]]&amp;" "&amp;表格1[[#This Row],[Shop]]&amp;"*",Roster!$A$4:$A$72,0),DAY(表格1[[#This Row],[date]]),1,1)</f>
        <v>May C</v>
      </c>
      <c r="E4687" s="86">
        <f>MONTH(表格1[[#This Row],[date]])</f>
        <v>3</v>
      </c>
      <c r="F4687" s="90">
        <v>46093</v>
      </c>
      <c r="G4687" s="86" t="str">
        <f>VLOOKUP("*"&amp;表格1[[#This Row],[Input]]&amp;"*",'Ref-List'!$B:$D,2,)</f>
        <v>RC-18AMXH(W)</v>
      </c>
      <c r="H4687" s="86" t="str">
        <f>_xlfn.XLOOKUP(表格1[[#This Row],[Model]],表格3[Model-Input-Ref2],表格3[Product Line])</f>
        <v>酵活炊電飯煲(1.8公升)</v>
      </c>
      <c r="I4687" s="86" t="str">
        <f>_xlfn.XLOOKUP(表格1[[#This Row],[Model]],表格3[Model-Input-Ref2],表格3[大小電])</f>
        <v>細電</v>
      </c>
      <c r="J4687" s="86" t="str">
        <f>_xlfn.XLOOKUP(表格1[[#This Row],[Model]],表格3[Model-Input-Ref2],表格3[Code])</f>
        <v>SDA</v>
      </c>
      <c r="K4687" s="89" t="s">
        <v>2085</v>
      </c>
      <c r="L4687" s="86">
        <v>1</v>
      </c>
      <c r="M4687" s="87">
        <v>990</v>
      </c>
      <c r="N4687" s="87">
        <f>IFERROR(表格1[[#This Row],[QTY]]*表格1[[#This Row],[Unit Price]],"-")</f>
        <v>990</v>
      </c>
      <c r="R4687" s="86" t="str">
        <f>_xlfn.CONCAT(表格1[[#This Row],[Model]]," ",表格1[[#This Row],[inv no]])</f>
        <v xml:space="preserve">RC-18AMXH(W) </v>
      </c>
      <c r="S4687" s="86">
        <f>_xlfn.XLOOKUP(表格1[[#This Row],[Model]],表格3[Model-Input-Ref2],表格3[SRP PRICE])</f>
        <v>1588</v>
      </c>
      <c r="T4687" s="43">
        <f>表格1[[#This Row],[Unit Price]]/表格1[[#This Row],[SRP]]</f>
        <v>0.62342569269521408</v>
      </c>
      <c r="U4687" s="86" t="str">
        <f>_xlfn.XLOOKUP(表格1[[#This Row],[Model]],表格3[Model-Input-Ref2],表格3[TOSHIBA/HIGHEST])</f>
        <v>Toshiba SRP</v>
      </c>
      <c r="W4687" s="86" t="str">
        <f>_xlfn.CONCAT(表格1[[#This Row],[欄4]],表格1[[#This Row],[inv no]])</f>
        <v/>
      </c>
    </row>
    <row r="4688" spans="1:23">
      <c r="A4688" s="81">
        <v>4686</v>
      </c>
      <c r="B4688" s="86" t="s">
        <v>1203</v>
      </c>
      <c r="C4688" s="86" t="s">
        <v>2027</v>
      </c>
      <c r="D4688" s="89" t="str">
        <f ca="1">OFFSET(Roster!$A$3,MATCH(表格1[[#This Row],[Location]]&amp;" "&amp;表格1[[#This Row],[Shop]]&amp;"*",Roster!$A$4:$A$72,0),DAY(表格1[[#This Row],[date]]),1,1)</f>
        <v>May C</v>
      </c>
      <c r="E4688" s="86">
        <f>MONTH(表格1[[#This Row],[date]])</f>
        <v>3</v>
      </c>
      <c r="F4688" s="90">
        <v>46094</v>
      </c>
      <c r="G4688" s="86" t="str">
        <f>VLOOKUP("*"&amp;表格1[[#This Row],[Input]]&amp;"*",'Ref-List'!$B:$D,2,)</f>
        <v>KT-17SHNH</v>
      </c>
      <c r="H4688" s="86" t="str">
        <f>_xlfn.XLOOKUP(表格1[[#This Row],[Model]],表格3[Model-Input-Ref2],表格3[Product Line])</f>
        <v>1.7L無線雙層電熱水壺</v>
      </c>
      <c r="I4688" s="86" t="str">
        <f>_xlfn.XLOOKUP(表格1[[#This Row],[Model]],表格3[Model-Input-Ref2],表格3[大小電])</f>
        <v>細電</v>
      </c>
      <c r="J4688" s="86" t="str">
        <f>_xlfn.XLOOKUP(表格1[[#This Row],[Model]],表格3[Model-Input-Ref2],表格3[Code])</f>
        <v>SDA</v>
      </c>
      <c r="K4688" s="89" t="s">
        <v>2030</v>
      </c>
      <c r="L4688" s="86">
        <v>2</v>
      </c>
      <c r="M4688" s="87">
        <v>190</v>
      </c>
      <c r="N4688" s="87">
        <f>IFERROR(表格1[[#This Row],[QTY]]*表格1[[#This Row],[Unit Price]],"-")</f>
        <v>380</v>
      </c>
      <c r="R4688" s="86" t="str">
        <f>_xlfn.CONCAT(表格1[[#This Row],[Model]]," ",表格1[[#This Row],[inv no]])</f>
        <v xml:space="preserve">KT-17SHNH </v>
      </c>
      <c r="S4688" s="86">
        <f>_xlfn.XLOOKUP(表格1[[#This Row],[Model]],表格3[Model-Input-Ref2],表格3[SRP PRICE])</f>
        <v>299</v>
      </c>
      <c r="T4688" s="43">
        <f>表格1[[#This Row],[Unit Price]]/表格1[[#This Row],[SRP]]</f>
        <v>0.63545150501672243</v>
      </c>
      <c r="U4688" s="86" t="str">
        <f>_xlfn.XLOOKUP(表格1[[#This Row],[Model]],表格3[Model-Input-Ref2],表格3[TOSHIBA/HIGHEST])</f>
        <v>Shops Highest Price</v>
      </c>
      <c r="W4688" s="86" t="str">
        <f>_xlfn.CONCAT(表格1[[#This Row],[欄4]],表格1[[#This Row],[inv no]])</f>
        <v/>
      </c>
    </row>
    <row r="4689" spans="1:23">
      <c r="A4689" s="81">
        <v>4687</v>
      </c>
      <c r="B4689" s="86" t="s">
        <v>1203</v>
      </c>
      <c r="C4689" s="86" t="s">
        <v>2027</v>
      </c>
      <c r="D4689" s="89" t="str">
        <f ca="1">OFFSET(Roster!$A$3,MATCH(表格1[[#This Row],[Location]]&amp;" "&amp;表格1[[#This Row],[Shop]]&amp;"*",Roster!$A$4:$A$72,0),DAY(表格1[[#This Row],[date]]),1,1)</f>
        <v>May C</v>
      </c>
      <c r="E4689" s="86">
        <f>MONTH(表格1[[#This Row],[date]])</f>
        <v>3</v>
      </c>
      <c r="F4689" s="90">
        <v>46094</v>
      </c>
      <c r="G4689" s="86" t="str">
        <f>VLOOKUP("*"&amp;表格1[[#This Row],[Input]]&amp;"*",'Ref-List'!$B:$D,2,)</f>
        <v>RC-5MMIH(WT)</v>
      </c>
      <c r="H4689" s="86" t="str">
        <f>_xlfn.XLOOKUP(表格1[[#This Row],[Model]],表格3[Model-Input-Ref2],表格3[Product Line])</f>
        <v>4毫米厚釜電飯煲0.54L</v>
      </c>
      <c r="I4689" s="86" t="str">
        <f>_xlfn.XLOOKUP(表格1[[#This Row],[Model]],表格3[Model-Input-Ref2],表格3[大小電])</f>
        <v>細電</v>
      </c>
      <c r="J4689" s="86" t="str">
        <f>_xlfn.XLOOKUP(表格1[[#This Row],[Model]],表格3[Model-Input-Ref2],表格3[Code])</f>
        <v>SDA</v>
      </c>
      <c r="K4689" s="89" t="s">
        <v>2046</v>
      </c>
      <c r="L4689" s="86">
        <v>1</v>
      </c>
      <c r="M4689" s="87">
        <v>490</v>
      </c>
      <c r="N4689" s="87">
        <f>IFERROR(表格1[[#This Row],[QTY]]*表格1[[#This Row],[Unit Price]],"-")</f>
        <v>490</v>
      </c>
      <c r="R4689" s="86" t="str">
        <f>_xlfn.CONCAT(表格1[[#This Row],[Model]]," ",表格1[[#This Row],[inv no]])</f>
        <v xml:space="preserve">RC-5MMIH(WT) </v>
      </c>
      <c r="S4689" s="86">
        <f>_xlfn.XLOOKUP(表格1[[#This Row],[Model]],表格3[Model-Input-Ref2],表格3[SRP PRICE])</f>
        <v>618</v>
      </c>
      <c r="T4689" s="43">
        <f>表格1[[#This Row],[Unit Price]]/表格1[[#This Row],[SRP]]</f>
        <v>0.79288025889967639</v>
      </c>
      <c r="U4689" s="86" t="str">
        <f>_xlfn.XLOOKUP(表格1[[#This Row],[Model]],表格3[Model-Input-Ref2],表格3[TOSHIBA/HIGHEST])</f>
        <v>Toshiba SRP</v>
      </c>
      <c r="W4689" s="86" t="str">
        <f>_xlfn.CONCAT(表格1[[#This Row],[欄4]],表格1[[#This Row],[inv no]])</f>
        <v/>
      </c>
    </row>
    <row r="4690" spans="1:23">
      <c r="A4690" s="81">
        <v>4688</v>
      </c>
      <c r="B4690" s="86" t="s">
        <v>1203</v>
      </c>
      <c r="C4690" s="86" t="s">
        <v>2027</v>
      </c>
      <c r="D4690" s="89" t="str">
        <f ca="1">OFFSET(Roster!$A$3,MATCH(表格1[[#This Row],[Location]]&amp;" "&amp;表格1[[#This Row],[Shop]]&amp;"*",Roster!$A$4:$A$72,0),DAY(表格1[[#This Row],[date]]),1,1)</f>
        <v>May C</v>
      </c>
      <c r="E4690" s="86">
        <f>MONTH(表格1[[#This Row],[date]])</f>
        <v>3</v>
      </c>
      <c r="F4690" s="90">
        <v>46094</v>
      </c>
      <c r="G4690" s="86" t="str">
        <f>VLOOKUP("*"&amp;表格1[[#This Row],[Input]]&amp;"*",'Ref-List'!$B:$D,2,)</f>
        <v>TP-25DR2UHK(W)</v>
      </c>
      <c r="H4690" s="86" t="str">
        <f>_xlfn.XLOOKUP(表格1[[#This Row],[Model]],表格3[Model-Input-Ref2],表格3[Product Line])</f>
        <v>電熱水瓶 (2.5公升)</v>
      </c>
      <c r="I4690" s="86" t="str">
        <f>_xlfn.XLOOKUP(表格1[[#This Row],[Model]],表格3[Model-Input-Ref2],表格3[大小電])</f>
        <v>細電</v>
      </c>
      <c r="J4690" s="86" t="str">
        <f>_xlfn.XLOOKUP(表格1[[#This Row],[Model]],表格3[Model-Input-Ref2],表格3[Code])</f>
        <v>SDA</v>
      </c>
      <c r="K4690" s="89" t="s">
        <v>2048</v>
      </c>
      <c r="L4690" s="86">
        <v>1</v>
      </c>
      <c r="M4690" s="87">
        <v>380</v>
      </c>
      <c r="N4690" s="87">
        <f>IFERROR(表格1[[#This Row],[QTY]]*表格1[[#This Row],[Unit Price]],"-")</f>
        <v>380</v>
      </c>
      <c r="R4690" s="86" t="str">
        <f>_xlfn.CONCAT(表格1[[#This Row],[Model]]," ",表格1[[#This Row],[inv no]])</f>
        <v xml:space="preserve">TP-25DR2UHK(W) </v>
      </c>
      <c r="S4690" s="86">
        <f>_xlfn.XLOOKUP(表格1[[#This Row],[Model]],表格3[Model-Input-Ref2],表格3[SRP PRICE])</f>
        <v>538</v>
      </c>
      <c r="T4690" s="43">
        <f>表格1[[#This Row],[Unit Price]]/表格1[[#This Row],[SRP]]</f>
        <v>0.70631970260223054</v>
      </c>
      <c r="U4690" s="86" t="str">
        <f>_xlfn.XLOOKUP(表格1[[#This Row],[Model]],表格3[Model-Input-Ref2],表格3[TOSHIBA/HIGHEST])</f>
        <v>Toshiba SRP</v>
      </c>
      <c r="W4690" s="86" t="str">
        <f>_xlfn.CONCAT(表格1[[#This Row],[欄4]],表格1[[#This Row],[inv no]])</f>
        <v/>
      </c>
    </row>
    <row r="4691" spans="1:23">
      <c r="A4691" s="81">
        <v>4689</v>
      </c>
      <c r="B4691" s="86" t="s">
        <v>1203</v>
      </c>
      <c r="C4691" s="86" t="s">
        <v>2027</v>
      </c>
      <c r="D4691" s="89" t="str">
        <f ca="1">OFFSET(Roster!$A$3,MATCH(表格1[[#This Row],[Location]]&amp;" "&amp;表格1[[#This Row],[Shop]]&amp;"*",Roster!$A$4:$A$72,0),DAY(表格1[[#This Row],[date]]),1,1)</f>
        <v>May C</v>
      </c>
      <c r="E4691" s="86">
        <f>MONTH(表格1[[#This Row],[date]])</f>
        <v>3</v>
      </c>
      <c r="F4691" s="90">
        <v>46094</v>
      </c>
      <c r="G4691" s="86" t="str">
        <f>VLOOKUP("*"&amp;表格1[[#This Row],[Input]]&amp;"*",'Ref-List'!$B:$D,2,)</f>
        <v>F-LYA20(W)HKG</v>
      </c>
      <c r="H4691" s="86" t="str">
        <f>_xlfn.XLOOKUP(表格1[[#This Row],[Model]],表格3[Model-Input-Ref2],表格3[Product Line])</f>
        <v>12吋2合1座地座檯電風扇連遙控</v>
      </c>
      <c r="I4691" s="86" t="str">
        <f>_xlfn.XLOOKUP(表格1[[#This Row],[Model]],表格3[Model-Input-Ref2],表格3[大小電])</f>
        <v>細電</v>
      </c>
      <c r="J4691" s="86" t="str">
        <f>_xlfn.XLOOKUP(表格1[[#This Row],[Model]],表格3[Model-Input-Ref2],表格3[Code])</f>
        <v>EAD</v>
      </c>
      <c r="K4691" s="89" t="s">
        <v>2052</v>
      </c>
      <c r="L4691" s="86">
        <v>1</v>
      </c>
      <c r="M4691" s="87">
        <v>370.5</v>
      </c>
      <c r="N4691" s="87">
        <f>IFERROR(表格1[[#This Row],[QTY]]*表格1[[#This Row],[Unit Price]],"-")</f>
        <v>370.5</v>
      </c>
      <c r="R4691" s="86" t="str">
        <f>_xlfn.CONCAT(表格1[[#This Row],[Model]]," ",表格1[[#This Row],[inv no]])</f>
        <v xml:space="preserve">F-LYA20(W)HKG </v>
      </c>
      <c r="S4691" s="86">
        <f>_xlfn.XLOOKUP(表格1[[#This Row],[Model]],表格3[Model-Input-Ref2],表格3[SRP PRICE])</f>
        <v>988</v>
      </c>
      <c r="T4691" s="43">
        <f>表格1[[#This Row],[Unit Price]]/表格1[[#This Row],[SRP]]</f>
        <v>0.375</v>
      </c>
      <c r="U4691" s="86" t="str">
        <f>_xlfn.XLOOKUP(表格1[[#This Row],[Model]],表格3[Model-Input-Ref2],表格3[TOSHIBA/HIGHEST])</f>
        <v>Toshiba SRP</v>
      </c>
      <c r="W4691" s="86" t="str">
        <f>_xlfn.CONCAT(表格1[[#This Row],[欄4]],表格1[[#This Row],[inv no]])</f>
        <v/>
      </c>
    </row>
    <row r="4692" spans="1:23">
      <c r="A4692" s="81">
        <v>4690</v>
      </c>
      <c r="B4692" s="86" t="s">
        <v>1203</v>
      </c>
      <c r="C4692" s="86" t="s">
        <v>2027</v>
      </c>
      <c r="D4692" s="89" t="str">
        <f ca="1">OFFSET(Roster!$A$3,MATCH(表格1[[#This Row],[Location]]&amp;" "&amp;表格1[[#This Row],[Shop]]&amp;"*",Roster!$A$4:$A$72,0),DAY(表格1[[#This Row],[date]]),1,1)</f>
        <v>May C</v>
      </c>
      <c r="E4692" s="86">
        <f>MONTH(表格1[[#This Row],[date]])</f>
        <v>3</v>
      </c>
      <c r="F4692" s="90">
        <v>46096</v>
      </c>
      <c r="G4692" s="86" t="str">
        <f>VLOOKUP("*"&amp;表格1[[#This Row],[Input]]&amp;"*",'Ref-List'!$B:$D,2,)</f>
        <v>RC-10NMFIH(WT)</v>
      </c>
      <c r="H4692" s="86" t="str">
        <f>_xlfn.XLOOKUP(表格1[[#This Row],[Model]],表格3[Model-Input-Ref2],表格3[Product Line])</f>
        <v>4毫米厚釜電飯煲1L</v>
      </c>
      <c r="I4692" s="86" t="str">
        <f>_xlfn.XLOOKUP(表格1[[#This Row],[Model]],表格3[Model-Input-Ref2],表格3[大小電])</f>
        <v>細電</v>
      </c>
      <c r="J4692" s="86" t="str">
        <f>_xlfn.XLOOKUP(表格1[[#This Row],[Model]],表格3[Model-Input-Ref2],表格3[Code])</f>
        <v>SDA</v>
      </c>
      <c r="K4692" s="89" t="s">
        <v>1377</v>
      </c>
      <c r="L4692" s="86">
        <v>1</v>
      </c>
      <c r="M4692" s="87">
        <v>720</v>
      </c>
      <c r="N4692" s="87">
        <f>IFERROR(表格1[[#This Row],[QTY]]*表格1[[#This Row],[Unit Price]],"-")</f>
        <v>720</v>
      </c>
      <c r="R4692" s="86" t="str">
        <f>_xlfn.CONCAT(表格1[[#This Row],[Model]]," ",表格1[[#This Row],[inv no]])</f>
        <v xml:space="preserve">RC-10NMFIH(WT) </v>
      </c>
      <c r="S4692" s="86">
        <f>_xlfn.XLOOKUP(表格1[[#This Row],[Model]],表格3[Model-Input-Ref2],表格3[SRP PRICE])</f>
        <v>898</v>
      </c>
      <c r="T4692" s="43">
        <f>表格1[[#This Row],[Unit Price]]/表格1[[#This Row],[SRP]]</f>
        <v>0.80178173719376389</v>
      </c>
      <c r="U4692" s="86" t="str">
        <f>_xlfn.XLOOKUP(表格1[[#This Row],[Model]],表格3[Model-Input-Ref2],表格3[TOSHIBA/HIGHEST])</f>
        <v>Toshiba SRP</v>
      </c>
      <c r="W4692" s="86" t="str">
        <f>_xlfn.CONCAT(表格1[[#This Row],[欄4]],表格1[[#This Row],[inv no]])</f>
        <v/>
      </c>
    </row>
    <row r="4693" spans="1:23">
      <c r="A4693" s="81">
        <v>4691</v>
      </c>
      <c r="B4693" s="86" t="s">
        <v>1203</v>
      </c>
      <c r="C4693" s="86" t="s">
        <v>2027</v>
      </c>
      <c r="D4693" s="89" t="str">
        <f ca="1">OFFSET(Roster!$A$3,MATCH(表格1[[#This Row],[Location]]&amp;" "&amp;表格1[[#This Row],[Shop]]&amp;"*",Roster!$A$4:$A$72,0),DAY(表格1[[#This Row],[date]]),1,1)</f>
        <v>May C</v>
      </c>
      <c r="E4693" s="86">
        <f>MONTH(表格1[[#This Row],[date]])</f>
        <v>3</v>
      </c>
      <c r="F4693" s="90">
        <v>46096</v>
      </c>
      <c r="G4693" s="86" t="str">
        <f>VLOOKUP("*"&amp;表格1[[#This Row],[Input]]&amp;"*",'Ref-List'!$B:$D,2,)</f>
        <v>RC-5SLIH(W)</v>
      </c>
      <c r="H4693" s="86" t="str">
        <f>_xlfn.XLOOKUP(表格1[[#This Row],[Model]],表格3[Model-Input-Ref2],表格3[Product Line])</f>
        <v>微型電腦珍珠飯煲</v>
      </c>
      <c r="I4693" s="86" t="str">
        <f>_xlfn.XLOOKUP(表格1[[#This Row],[Model]],表格3[Model-Input-Ref2],表格3[大小電])</f>
        <v>細電</v>
      </c>
      <c r="J4693" s="86" t="str">
        <f>_xlfn.XLOOKUP(表格1[[#This Row],[Model]],表格3[Model-Input-Ref2],表格3[Code])</f>
        <v>SDA</v>
      </c>
      <c r="K4693" s="89" t="s">
        <v>2037</v>
      </c>
      <c r="L4693" s="86">
        <v>1</v>
      </c>
      <c r="M4693" s="87">
        <v>590</v>
      </c>
      <c r="N4693" s="87">
        <f>IFERROR(表格1[[#This Row],[QTY]]*表格1[[#This Row],[Unit Price]],"-")</f>
        <v>590</v>
      </c>
      <c r="R4693" s="86" t="str">
        <f>_xlfn.CONCAT(表格1[[#This Row],[Model]]," ",表格1[[#This Row],[inv no]])</f>
        <v xml:space="preserve">RC-5SLIH(W) </v>
      </c>
      <c r="S4693" s="86">
        <f>_xlfn.XLOOKUP(表格1[[#This Row],[Model]],表格3[Model-Input-Ref2],表格3[SRP PRICE])</f>
        <v>658</v>
      </c>
      <c r="T4693" s="43">
        <f>表格1[[#This Row],[Unit Price]]/表格1[[#This Row],[SRP]]</f>
        <v>0.89665653495440734</v>
      </c>
      <c r="U4693" s="86" t="str">
        <f>_xlfn.XLOOKUP(表格1[[#This Row],[Model]],表格3[Model-Input-Ref2],表格3[TOSHIBA/HIGHEST])</f>
        <v>Toshiba SRP</v>
      </c>
      <c r="W4693" s="86" t="str">
        <f>_xlfn.CONCAT(表格1[[#This Row],[欄4]],表格1[[#This Row],[inv no]])</f>
        <v/>
      </c>
    </row>
    <row r="4694" spans="1:23">
      <c r="A4694" s="81">
        <v>4692</v>
      </c>
      <c r="B4694" s="86" t="s">
        <v>1203</v>
      </c>
      <c r="C4694" s="86" t="s">
        <v>2027</v>
      </c>
      <c r="D4694" s="89" t="str">
        <f ca="1">OFFSET(Roster!$A$3,MATCH(表格1[[#This Row],[Location]]&amp;" "&amp;表格1[[#This Row],[Shop]]&amp;"*",Roster!$A$4:$A$72,0),DAY(表格1[[#This Row],[date]]),1,1)</f>
        <v>May C</v>
      </c>
      <c r="E4694" s="86">
        <f>MONTH(表格1[[#This Row],[date]])</f>
        <v>3</v>
      </c>
      <c r="F4694" s="90">
        <v>46096</v>
      </c>
      <c r="G4694" s="86" t="str">
        <f>VLOOKUP("*"&amp;表格1[[#This Row],[Input]]&amp;"*",'Ref-List'!$B:$D,2,)</f>
        <v>KT-17DRTHK(H)</v>
      </c>
      <c r="H4694" s="86" t="str">
        <f>_xlfn.XLOOKUP(表格1[[#This Row],[Model]],表格3[Model-Input-Ref2],表格3[Product Line])</f>
        <v>無線雙層電熱水壺(1.7公升)</v>
      </c>
      <c r="I4694" s="86" t="str">
        <f>_xlfn.XLOOKUP(表格1[[#This Row],[Model]],表格3[Model-Input-Ref2],表格3[大小電])</f>
        <v>細電</v>
      </c>
      <c r="J4694" s="86" t="str">
        <f>_xlfn.XLOOKUP(表格1[[#This Row],[Model]],表格3[Model-Input-Ref2],表格3[Code])</f>
        <v>SDA</v>
      </c>
      <c r="K4694" s="89" t="s">
        <v>2035</v>
      </c>
      <c r="L4694" s="86">
        <v>1</v>
      </c>
      <c r="M4694" s="87">
        <v>350</v>
      </c>
      <c r="N4694" s="87">
        <f>IFERROR(表格1[[#This Row],[QTY]]*表格1[[#This Row],[Unit Price]],"-")</f>
        <v>350</v>
      </c>
      <c r="R4694" s="86" t="str">
        <f>_xlfn.CONCAT(表格1[[#This Row],[Model]]," ",表格1[[#This Row],[inv no]])</f>
        <v xml:space="preserve">KT-17DRTHK(H) </v>
      </c>
      <c r="S4694" s="86">
        <f>_xlfn.XLOOKUP(表格1[[#This Row],[Model]],表格3[Model-Input-Ref2],表格3[SRP PRICE])</f>
        <v>498</v>
      </c>
      <c r="T4694" s="43">
        <f>表格1[[#This Row],[Unit Price]]/表格1[[#This Row],[SRP]]</f>
        <v>0.70281124497991965</v>
      </c>
      <c r="U4694" s="86" t="str">
        <f>_xlfn.XLOOKUP(表格1[[#This Row],[Model]],表格3[Model-Input-Ref2],表格3[TOSHIBA/HIGHEST])</f>
        <v>Toshiba SRP</v>
      </c>
      <c r="W4694" s="86" t="str">
        <f>_xlfn.CONCAT(表格1[[#This Row],[欄4]],表格1[[#This Row],[inv no]])</f>
        <v/>
      </c>
    </row>
    <row r="4695" spans="1:23">
      <c r="A4695" s="81">
        <v>4693</v>
      </c>
      <c r="B4695" s="86" t="s">
        <v>1203</v>
      </c>
      <c r="C4695" s="86" t="s">
        <v>2027</v>
      </c>
      <c r="D4695" s="89" t="str">
        <f ca="1">OFFSET(Roster!$A$3,MATCH(表格1[[#This Row],[Location]]&amp;" "&amp;表格1[[#This Row],[Shop]]&amp;"*",Roster!$A$4:$A$72,0),DAY(表格1[[#This Row],[date]]),1,1)</f>
        <v>May C</v>
      </c>
      <c r="E4695" s="86">
        <f>MONTH(表格1[[#This Row],[date]])</f>
        <v>3</v>
      </c>
      <c r="F4695" s="90">
        <v>46096</v>
      </c>
      <c r="G4695" s="86" t="str">
        <f>VLOOKUP("*"&amp;表格1[[#This Row],[Input]]&amp;"*",'Ref-List'!$B:$D,2,)</f>
        <v>IC-20R1THK</v>
      </c>
      <c r="H4695" s="86" t="str">
        <f>_xlfn.XLOOKUP(表格1[[#This Row],[Model]],表格3[Model-Input-Ref2],表格3[Product Line])</f>
        <v>輕便式電磁爐</v>
      </c>
      <c r="I4695" s="86" t="str">
        <f>_xlfn.XLOOKUP(表格1[[#This Row],[Model]],表格3[Model-Input-Ref2],表格3[大小電])</f>
        <v>細電</v>
      </c>
      <c r="J4695" s="86" t="str">
        <f>_xlfn.XLOOKUP(表格1[[#This Row],[Model]],表格3[Model-Input-Ref2],表格3[Code])</f>
        <v>SDA</v>
      </c>
      <c r="K4695" s="89" t="s">
        <v>2243</v>
      </c>
      <c r="L4695" s="86">
        <v>1</v>
      </c>
      <c r="M4695" s="87">
        <v>290</v>
      </c>
      <c r="N4695" s="87">
        <f>IFERROR(表格1[[#This Row],[QTY]]*表格1[[#This Row],[Unit Price]],"-")</f>
        <v>290</v>
      </c>
      <c r="R4695" s="86" t="str">
        <f>_xlfn.CONCAT(表格1[[#This Row],[Model]]," ",表格1[[#This Row],[inv no]])</f>
        <v xml:space="preserve">IC-20R1THK </v>
      </c>
      <c r="S4695" s="86">
        <f>_xlfn.XLOOKUP(表格1[[#This Row],[Model]],表格3[Model-Input-Ref2],表格3[SRP PRICE])</f>
        <v>438</v>
      </c>
      <c r="T4695" s="43">
        <f>表格1[[#This Row],[Unit Price]]/表格1[[#This Row],[SRP]]</f>
        <v>0.66210045662100458</v>
      </c>
      <c r="U4695" s="86" t="str">
        <f>_xlfn.XLOOKUP(表格1[[#This Row],[Model]],表格3[Model-Input-Ref2],表格3[TOSHIBA/HIGHEST])</f>
        <v>Shops Highest Price</v>
      </c>
      <c r="W4695" s="86" t="str">
        <f>_xlfn.CONCAT(表格1[[#This Row],[欄4]],表格1[[#This Row],[inv no]])</f>
        <v/>
      </c>
    </row>
    <row r="4696" spans="1:23">
      <c r="A4696" s="81">
        <v>4694</v>
      </c>
      <c r="B4696" s="86" t="s">
        <v>1203</v>
      </c>
      <c r="C4696" s="86" t="s">
        <v>2027</v>
      </c>
      <c r="D4696" s="89" t="str">
        <f ca="1">OFFSET(Roster!$A$3,MATCH(表格1[[#This Row],[Location]]&amp;" "&amp;表格1[[#This Row],[Shop]]&amp;"*",Roster!$A$4:$A$72,0),DAY(表格1[[#This Row],[date]]),1,1)</f>
        <v>May C</v>
      </c>
      <c r="E4696" s="86">
        <f>MONTH(表格1[[#This Row],[date]])</f>
        <v>3</v>
      </c>
      <c r="F4696" s="90">
        <v>46096</v>
      </c>
      <c r="G4696" s="86" t="str">
        <f>VLOOKUP("*"&amp;表格1[[#This Row],[Input]]&amp;"*",'Ref-List'!$B:$D,2,)</f>
        <v>RC-18AMXH(W)</v>
      </c>
      <c r="H4696" s="86" t="str">
        <f>_xlfn.XLOOKUP(表格1[[#This Row],[Model]],表格3[Model-Input-Ref2],表格3[Product Line])</f>
        <v>酵活炊電飯煲(1.8公升)</v>
      </c>
      <c r="I4696" s="86" t="str">
        <f>_xlfn.XLOOKUP(表格1[[#This Row],[Model]],表格3[Model-Input-Ref2],表格3[大小電])</f>
        <v>細電</v>
      </c>
      <c r="J4696" s="86" t="str">
        <f>_xlfn.XLOOKUP(表格1[[#This Row],[Model]],表格3[Model-Input-Ref2],表格3[Code])</f>
        <v>SDA</v>
      </c>
      <c r="K4696" s="89" t="s">
        <v>2085</v>
      </c>
      <c r="L4696" s="86">
        <v>1</v>
      </c>
      <c r="M4696" s="87">
        <v>990</v>
      </c>
      <c r="N4696" s="87">
        <f>IFERROR(表格1[[#This Row],[QTY]]*表格1[[#This Row],[Unit Price]],"-")</f>
        <v>990</v>
      </c>
      <c r="R4696" s="86" t="str">
        <f>_xlfn.CONCAT(表格1[[#This Row],[Model]]," ",表格1[[#This Row],[inv no]])</f>
        <v xml:space="preserve">RC-18AMXH(W) </v>
      </c>
      <c r="S4696" s="86">
        <f>_xlfn.XLOOKUP(表格1[[#This Row],[Model]],表格3[Model-Input-Ref2],表格3[SRP PRICE])</f>
        <v>1588</v>
      </c>
      <c r="T4696" s="43">
        <f>表格1[[#This Row],[Unit Price]]/表格1[[#This Row],[SRP]]</f>
        <v>0.62342569269521408</v>
      </c>
      <c r="U4696" s="86" t="str">
        <f>_xlfn.XLOOKUP(表格1[[#This Row],[Model]],表格3[Model-Input-Ref2],表格3[TOSHIBA/HIGHEST])</f>
        <v>Toshiba SRP</v>
      </c>
      <c r="W4696" s="86" t="str">
        <f>_xlfn.CONCAT(表格1[[#This Row],[欄4]],表格1[[#This Row],[inv no]])</f>
        <v/>
      </c>
    </row>
    <row r="4697" spans="1:23">
      <c r="A4697" s="81">
        <v>4695</v>
      </c>
      <c r="B4697" s="86" t="s">
        <v>1203</v>
      </c>
      <c r="C4697" s="86" t="s">
        <v>2027</v>
      </c>
      <c r="D4697" s="89" t="str">
        <f ca="1">OFFSET(Roster!$A$3,MATCH(表格1[[#This Row],[Location]]&amp;" "&amp;表格1[[#This Row],[Shop]]&amp;"*",Roster!$A$4:$A$72,0),DAY(表格1[[#This Row],[date]]),1,1)</f>
        <v>May C</v>
      </c>
      <c r="E4697" s="86">
        <f>MONTH(表格1[[#This Row],[date]])</f>
        <v>3</v>
      </c>
      <c r="F4697" s="90">
        <v>46096</v>
      </c>
      <c r="G4697" s="86" t="str">
        <f>VLOOKUP("*"&amp;表格1[[#This Row],[Input]]&amp;"*",'Ref-List'!$B:$D,2,)</f>
        <v>F-DSB35HK(W)</v>
      </c>
      <c r="H4697" s="86" t="str">
        <f>_xlfn.XLOOKUP(表格1[[#This Row],[Model]],表格3[Model-Input-Ref2],表格3[Product Line])</f>
        <v>Electric Fan</v>
      </c>
      <c r="I4697" s="86" t="str">
        <f>_xlfn.XLOOKUP(表格1[[#This Row],[Model]],表格3[Model-Input-Ref2],表格3[大小電])</f>
        <v>細電</v>
      </c>
      <c r="J4697" s="86" t="str">
        <f>_xlfn.XLOOKUP(表格1[[#This Row],[Model]],表格3[Model-Input-Ref2],表格3[Code])</f>
        <v>SDA</v>
      </c>
      <c r="K4697" s="89" t="s">
        <v>2246</v>
      </c>
      <c r="L4697" s="86">
        <v>1</v>
      </c>
      <c r="M4697" s="87">
        <v>550</v>
      </c>
      <c r="N4697" s="87">
        <f>IFERROR(表格1[[#This Row],[QTY]]*表格1[[#This Row],[Unit Price]],"-")</f>
        <v>550</v>
      </c>
      <c r="R4697" s="86" t="str">
        <f>_xlfn.CONCAT(表格1[[#This Row],[Model]]," ",表格1[[#This Row],[inv no]])</f>
        <v xml:space="preserve">F-DSB35HK(W) </v>
      </c>
      <c r="S4697" s="86">
        <f>_xlfn.XLOOKUP(表格1[[#This Row],[Model]],表格3[Model-Input-Ref2],表格3[SRP PRICE])</f>
        <v>1088</v>
      </c>
      <c r="T4697" s="43">
        <f>表格1[[#This Row],[Unit Price]]/表格1[[#This Row],[SRP]]</f>
        <v>0.50551470588235292</v>
      </c>
      <c r="U4697" s="86" t="str">
        <f>_xlfn.XLOOKUP(表格1[[#This Row],[Model]],表格3[Model-Input-Ref2],表格3[TOSHIBA/HIGHEST])</f>
        <v>Toshiba SRP</v>
      </c>
      <c r="W4697" s="86" t="str">
        <f>_xlfn.CONCAT(表格1[[#This Row],[欄4]],表格1[[#This Row],[inv no]])</f>
        <v/>
      </c>
    </row>
    <row r="4698" spans="1:23">
      <c r="A4698" s="81">
        <v>4696</v>
      </c>
      <c r="B4698" s="86" t="s">
        <v>1203</v>
      </c>
      <c r="C4698" s="86" t="s">
        <v>2027</v>
      </c>
      <c r="D4698" s="89" t="str">
        <f ca="1">OFFSET(Roster!$A$3,MATCH(表格1[[#This Row],[Location]]&amp;" "&amp;表格1[[#This Row],[Shop]]&amp;"*",Roster!$A$4:$A$72,0),DAY(表格1[[#This Row],[date]]),1,1)</f>
        <v>May C</v>
      </c>
      <c r="E4698" s="86">
        <f>MONTH(表格1[[#This Row],[date]])</f>
        <v>3</v>
      </c>
      <c r="F4698" s="90">
        <v>46096</v>
      </c>
      <c r="G4698" s="86" t="str">
        <f>VLOOKUP("*"&amp;表格1[[#This Row],[Input]]&amp;"*",'Ref-List'!$B:$D,2,)</f>
        <v>RAD-D300H</v>
      </c>
      <c r="H4698" s="86" t="str">
        <f>_xlfn.XLOOKUP(表格1[[#This Row],[Model]],表格3[Model-Input-Ref2],表格3[Product Line])</f>
        <v>壓縮式抽濕機 (30公升)</v>
      </c>
      <c r="I4698" s="86" t="str">
        <f>_xlfn.XLOOKUP(表格1[[#This Row],[Model]],表格3[Model-Input-Ref2],表格3[大小電])</f>
        <v>細電</v>
      </c>
      <c r="J4698" s="86" t="str">
        <f>_xlfn.XLOOKUP(表格1[[#This Row],[Model]],表格3[Model-Input-Ref2],表格3[Code])</f>
        <v>RAC</v>
      </c>
      <c r="K4698" s="89" t="s">
        <v>1761</v>
      </c>
      <c r="L4698" s="86">
        <v>3</v>
      </c>
      <c r="M4698" s="87">
        <v>2326</v>
      </c>
      <c r="N4698" s="87">
        <f>IFERROR(表格1[[#This Row],[QTY]]*表格1[[#This Row],[Unit Price]],"-")</f>
        <v>6978</v>
      </c>
      <c r="R4698" s="86" t="str">
        <f>_xlfn.CONCAT(表格1[[#This Row],[Model]]," ",表格1[[#This Row],[inv no]])</f>
        <v xml:space="preserve">RAD-D300H </v>
      </c>
      <c r="S4698" s="86">
        <f>_xlfn.XLOOKUP(表格1[[#This Row],[Model]],表格3[Model-Input-Ref2],表格3[SRP PRICE])</f>
        <v>3380</v>
      </c>
      <c r="T4698" s="43">
        <f>表格1[[#This Row],[Unit Price]]/表格1[[#This Row],[SRP]]</f>
        <v>0.68816568047337279</v>
      </c>
      <c r="U4698" s="86" t="str">
        <f>_xlfn.XLOOKUP(表格1[[#This Row],[Model]],表格3[Model-Input-Ref2],表格3[TOSHIBA/HIGHEST])</f>
        <v>Shops Highest Price</v>
      </c>
      <c r="W4698" s="86" t="str">
        <f>_xlfn.CONCAT(表格1[[#This Row],[欄4]],表格1[[#This Row],[inv no]])</f>
        <v/>
      </c>
    </row>
    <row r="4699" spans="1:23">
      <c r="A4699" s="81">
        <v>4697</v>
      </c>
      <c r="B4699" s="86" t="s">
        <v>1203</v>
      </c>
      <c r="C4699" s="86" t="s">
        <v>2027</v>
      </c>
      <c r="D4699" s="89" t="str">
        <f ca="1">OFFSET(Roster!$A$3,MATCH(表格1[[#This Row],[Location]]&amp;" "&amp;表格1[[#This Row],[Shop]]&amp;"*",Roster!$A$4:$A$72,0),DAY(表格1[[#This Row],[date]]),1,1)</f>
        <v>May C</v>
      </c>
      <c r="E4699" s="86">
        <f>MONTH(表格1[[#This Row],[date]])</f>
        <v>3</v>
      </c>
      <c r="F4699" s="90">
        <v>46097</v>
      </c>
      <c r="G4699" s="86" t="str">
        <f>VLOOKUP("*"&amp;表格1[[#This Row],[Input]]&amp;"*",'Ref-List'!$B:$D,2,)</f>
        <v>MWP-MM20P(WH)</v>
      </c>
      <c r="H4699" s="86" t="str">
        <f>_xlfn.XLOOKUP(表格1[[#This Row],[Model]],表格3[Model-Input-Ref2],表格3[Product Line])</f>
        <v>旋鈕式燒烤微波爐20L</v>
      </c>
      <c r="I4699" s="86" t="str">
        <f>_xlfn.XLOOKUP(表格1[[#This Row],[Model]],表格3[Model-Input-Ref2],表格3[大小電])</f>
        <v>細電</v>
      </c>
      <c r="J4699" s="86" t="str">
        <f>_xlfn.XLOOKUP(表格1[[#This Row],[Model]],表格3[Model-Input-Ref2],表格3[Code])</f>
        <v>SDA</v>
      </c>
      <c r="K4699" s="89" t="s">
        <v>1375</v>
      </c>
      <c r="L4699" s="86">
        <v>1</v>
      </c>
      <c r="M4699" s="87">
        <v>580</v>
      </c>
      <c r="N4699" s="87">
        <f>IFERROR(表格1[[#This Row],[QTY]]*表格1[[#This Row],[Unit Price]],"-")</f>
        <v>580</v>
      </c>
      <c r="R4699" s="86" t="str">
        <f>_xlfn.CONCAT(表格1[[#This Row],[Model]]," ",表格1[[#This Row],[inv no]])</f>
        <v xml:space="preserve">MWP-MM20P(WH) </v>
      </c>
      <c r="S4699" s="86">
        <f>_xlfn.XLOOKUP(表格1[[#This Row],[Model]],表格3[Model-Input-Ref2],表格3[SRP PRICE])</f>
        <v>648</v>
      </c>
      <c r="T4699" s="43">
        <f>表格1[[#This Row],[Unit Price]]/表格1[[#This Row],[SRP]]</f>
        <v>0.89506172839506171</v>
      </c>
      <c r="U4699" s="86" t="str">
        <f>_xlfn.XLOOKUP(表格1[[#This Row],[Model]],表格3[Model-Input-Ref2],表格3[TOSHIBA/HIGHEST])</f>
        <v>Toshiba SRP</v>
      </c>
      <c r="W4699" s="86" t="str">
        <f>_xlfn.CONCAT(表格1[[#This Row],[欄4]],表格1[[#This Row],[inv no]])</f>
        <v/>
      </c>
    </row>
    <row r="4700" spans="1:23">
      <c r="A4700" s="81">
        <v>4698</v>
      </c>
      <c r="B4700" s="86" t="s">
        <v>1203</v>
      </c>
      <c r="C4700" s="86" t="s">
        <v>2027</v>
      </c>
      <c r="D4700" s="89" t="str">
        <f ca="1">OFFSET(Roster!$A$3,MATCH(表格1[[#This Row],[Location]]&amp;" "&amp;表格1[[#This Row],[Shop]]&amp;"*",Roster!$A$4:$A$72,0),DAY(表格1[[#This Row],[date]]),1,1)</f>
        <v>May C</v>
      </c>
      <c r="E4700" s="86">
        <f>MONTH(表格1[[#This Row],[date]])</f>
        <v>3</v>
      </c>
      <c r="F4700" s="90">
        <v>46097</v>
      </c>
      <c r="G4700" s="86" t="str">
        <f>VLOOKUP("*"&amp;表格1[[#This Row],[Input]]&amp;"*",'Ref-List'!$B:$D,2,)</f>
        <v>MM2-EG20PC(WH)</v>
      </c>
      <c r="H4700" s="86" t="str">
        <f>_xlfn.XLOOKUP(表格1[[#This Row],[Model]],表格3[Model-Input-Ref2],表格3[Product Line])</f>
        <v>輕觸式燒烤微波爐</v>
      </c>
      <c r="I4700" s="86" t="str">
        <f>_xlfn.XLOOKUP(表格1[[#This Row],[Model]],表格3[Model-Input-Ref2],表格3[大小電])</f>
        <v>細電</v>
      </c>
      <c r="J4700" s="86" t="str">
        <f>_xlfn.XLOOKUP(表格1[[#This Row],[Model]],表格3[Model-Input-Ref2],表格3[Code])</f>
        <v>MCA</v>
      </c>
      <c r="K4700" s="89" t="s">
        <v>2242</v>
      </c>
      <c r="L4700" s="86">
        <v>1</v>
      </c>
      <c r="M4700" s="87">
        <v>760</v>
      </c>
      <c r="N4700" s="87">
        <f>IFERROR(表格1[[#This Row],[QTY]]*表格1[[#This Row],[Unit Price]],"-")</f>
        <v>760</v>
      </c>
      <c r="R4700" s="86" t="str">
        <f>_xlfn.CONCAT(表格1[[#This Row],[Model]]," ",表格1[[#This Row],[inv no]])</f>
        <v xml:space="preserve">MM2-EG20PC(WH) </v>
      </c>
      <c r="S4700" s="86">
        <f>_xlfn.XLOOKUP(表格1[[#This Row],[Model]],表格3[Model-Input-Ref2],表格3[SRP PRICE])</f>
        <v>918</v>
      </c>
      <c r="T4700" s="43">
        <f>表格1[[#This Row],[Unit Price]]/表格1[[#This Row],[SRP]]</f>
        <v>0.82788671023965144</v>
      </c>
      <c r="U4700" s="86" t="str">
        <f>_xlfn.XLOOKUP(表格1[[#This Row],[Model]],表格3[Model-Input-Ref2],表格3[TOSHIBA/HIGHEST])</f>
        <v>Shops Highest Price</v>
      </c>
      <c r="W4700" s="86" t="str">
        <f>_xlfn.CONCAT(表格1[[#This Row],[欄4]],表格1[[#This Row],[inv no]])</f>
        <v/>
      </c>
    </row>
    <row r="4701" spans="1:23">
      <c r="A4701" s="81">
        <v>4699</v>
      </c>
      <c r="B4701" s="86" t="s">
        <v>1203</v>
      </c>
      <c r="C4701" s="86" t="s">
        <v>2027</v>
      </c>
      <c r="D4701" s="89" t="str">
        <f ca="1">OFFSET(Roster!$A$3,MATCH(表格1[[#This Row],[Location]]&amp;" "&amp;表格1[[#This Row],[Shop]]&amp;"*",Roster!$A$4:$A$72,0),DAY(表格1[[#This Row],[date]]),1,1)</f>
        <v>May C</v>
      </c>
      <c r="E4701" s="86">
        <f>MONTH(表格1[[#This Row],[date]])</f>
        <v>3</v>
      </c>
      <c r="F4701" s="90">
        <v>46097</v>
      </c>
      <c r="G4701" s="86" t="str">
        <f>VLOOKUP("*"&amp;表格1[[#This Row],[Input]]&amp;"*",'Ref-List'!$B:$D,2,)</f>
        <v>CFS-09PGR0A0</v>
      </c>
      <c r="H4701" s="86" t="str">
        <f>_xlfn.XLOOKUP(表格1[[#This Row],[Model]],表格3[Model-Input-Ref2],表格3[Product Line])</f>
        <v>9吋座檯座地循環扇連遙控</v>
      </c>
      <c r="I4701" s="86" t="str">
        <f>_xlfn.XLOOKUP(表格1[[#This Row],[Model]],表格3[Model-Input-Ref2],表格3[大小電])</f>
        <v>細電</v>
      </c>
      <c r="J4701" s="86" t="str">
        <f>_xlfn.XLOOKUP(表格1[[#This Row],[Model]],表格3[Model-Input-Ref2],表格3[Code])</f>
        <v>SDA</v>
      </c>
      <c r="K4701" s="89" t="s">
        <v>2247</v>
      </c>
      <c r="L4701" s="86">
        <v>1</v>
      </c>
      <c r="M4701" s="87">
        <v>290</v>
      </c>
      <c r="N4701" s="87">
        <f>IFERROR(表格1[[#This Row],[QTY]]*表格1[[#This Row],[Unit Price]],"-")</f>
        <v>290</v>
      </c>
      <c r="R4701" s="86" t="str">
        <f>_xlfn.CONCAT(表格1[[#This Row],[Model]]," ",表格1[[#This Row],[inv no]])</f>
        <v xml:space="preserve">CFS-09PGR0A0 </v>
      </c>
      <c r="S4701" s="86">
        <f>_xlfn.XLOOKUP(表格1[[#This Row],[Model]],表格3[Model-Input-Ref2],表格3[SRP PRICE])</f>
        <v>350</v>
      </c>
      <c r="T4701" s="43">
        <f>表格1[[#This Row],[Unit Price]]/表格1[[#This Row],[SRP]]</f>
        <v>0.82857142857142863</v>
      </c>
      <c r="U4701" s="86">
        <f>_xlfn.XLOOKUP(表格1[[#This Row],[Model]],表格3[Model-Input-Ref2],表格3[TOSHIBA/HIGHEST])</f>
        <v>0</v>
      </c>
      <c r="W4701" s="86" t="str">
        <f>_xlfn.CONCAT(表格1[[#This Row],[欄4]],表格1[[#This Row],[inv no]])</f>
        <v/>
      </c>
    </row>
    <row r="4702" spans="1:23">
      <c r="A4702" s="81">
        <v>4700</v>
      </c>
      <c r="B4702" s="86" t="s">
        <v>1203</v>
      </c>
      <c r="C4702" s="86" t="s">
        <v>2027</v>
      </c>
      <c r="D4702" s="89" t="str">
        <f ca="1">OFFSET(Roster!$A$3,MATCH(表格1[[#This Row],[Location]]&amp;" "&amp;表格1[[#This Row],[Shop]]&amp;"*",Roster!$A$4:$A$72,0),DAY(表格1[[#This Row],[date]]),1,1)</f>
        <v>May C</v>
      </c>
      <c r="E4702" s="86">
        <f>MONTH(表格1[[#This Row],[date]])</f>
        <v>3</v>
      </c>
      <c r="F4702" s="90">
        <v>46097</v>
      </c>
      <c r="G4702" s="86" t="str">
        <f>VLOOKUP("*"&amp;表格1[[#This Row],[Input]]&amp;"*",'Ref-List'!$B:$D,2,)</f>
        <v>KT-08DH1VHK(W)</v>
      </c>
      <c r="H4702" s="86" t="str">
        <f>_xlfn.XLOOKUP(表格1[[#This Row],[Model]],表格3[Model-Input-Ref2],表格3[Product Line])</f>
        <v>無線雙層電熱水壺-附可鎖壺蓋(0.8公升)</v>
      </c>
      <c r="I4702" s="86" t="str">
        <f>_xlfn.XLOOKUP(表格1[[#This Row],[Model]],表格3[Model-Input-Ref2],表格3[大小電])</f>
        <v>細電</v>
      </c>
      <c r="J4702" s="86" t="str">
        <f>_xlfn.XLOOKUP(表格1[[#This Row],[Model]],表格3[Model-Input-Ref2],表格3[Code])</f>
        <v>SDA</v>
      </c>
      <c r="K4702" s="89" t="s">
        <v>2053</v>
      </c>
      <c r="L4702" s="86">
        <v>1</v>
      </c>
      <c r="M4702" s="87">
        <v>260</v>
      </c>
      <c r="N4702" s="87">
        <f>IFERROR(表格1[[#This Row],[QTY]]*表格1[[#This Row],[Unit Price]],"-")</f>
        <v>260</v>
      </c>
      <c r="R4702" s="86" t="str">
        <f>_xlfn.CONCAT(表格1[[#This Row],[Model]]," ",表格1[[#This Row],[inv no]])</f>
        <v xml:space="preserve">KT-08DH1VHK(W) </v>
      </c>
      <c r="S4702" s="86">
        <f>_xlfn.XLOOKUP(表格1[[#This Row],[Model]],表格3[Model-Input-Ref2],表格3[SRP PRICE])</f>
        <v>428</v>
      </c>
      <c r="T4702" s="43">
        <f>表格1[[#This Row],[Unit Price]]/表格1[[#This Row],[SRP]]</f>
        <v>0.60747663551401865</v>
      </c>
      <c r="U4702" s="86" t="str">
        <f>_xlfn.XLOOKUP(表格1[[#This Row],[Model]],表格3[Model-Input-Ref2],表格3[TOSHIBA/HIGHEST])</f>
        <v>Toshiba SRP</v>
      </c>
      <c r="W4702" s="86" t="str">
        <f>_xlfn.CONCAT(表格1[[#This Row],[欄4]],表格1[[#This Row],[inv no]])</f>
        <v/>
      </c>
    </row>
    <row r="4703" spans="1:23">
      <c r="A4703" s="81">
        <v>4701</v>
      </c>
      <c r="B4703" s="86" t="s">
        <v>1203</v>
      </c>
      <c r="C4703" s="86" t="s">
        <v>2027</v>
      </c>
      <c r="D4703" s="89" t="str">
        <f ca="1">OFFSET(Roster!$A$3,MATCH(表格1[[#This Row],[Location]]&amp;" "&amp;表格1[[#This Row],[Shop]]&amp;"*",Roster!$A$4:$A$72,0),DAY(表格1[[#This Row],[date]]),1,1)</f>
        <v>May C</v>
      </c>
      <c r="E4703" s="86">
        <f>MONTH(表格1[[#This Row],[date]])</f>
        <v>3</v>
      </c>
      <c r="F4703" s="90">
        <v>46097</v>
      </c>
      <c r="G4703" s="86" t="str">
        <f>VLOOKUP("*"&amp;表格1[[#This Row],[Input]]&amp;"*",'Ref-List'!$B:$D,2,)</f>
        <v>TP-50DRUHK(W)</v>
      </c>
      <c r="H4703" s="86" t="str">
        <f>_xlfn.XLOOKUP(表格1[[#This Row],[Model]],表格3[Model-Input-Ref2],表格3[Product Line])</f>
        <v>電熱水瓶 (5公升)</v>
      </c>
      <c r="I4703" s="86" t="str">
        <f>_xlfn.XLOOKUP(表格1[[#This Row],[Model]],表格3[Model-Input-Ref2],表格3[大小電])</f>
        <v>細電</v>
      </c>
      <c r="J4703" s="86" t="str">
        <f>_xlfn.XLOOKUP(表格1[[#This Row],[Model]],表格3[Model-Input-Ref2],表格3[Code])</f>
        <v>SDA</v>
      </c>
      <c r="K4703" s="89" t="s">
        <v>2245</v>
      </c>
      <c r="L4703" s="86">
        <v>1</v>
      </c>
      <c r="M4703" s="87">
        <v>620</v>
      </c>
      <c r="N4703" s="87">
        <f>IFERROR(表格1[[#This Row],[QTY]]*表格1[[#This Row],[Unit Price]],"-")</f>
        <v>620</v>
      </c>
      <c r="R4703" s="86" t="str">
        <f>_xlfn.CONCAT(表格1[[#This Row],[Model]]," ",表格1[[#This Row],[inv no]])</f>
        <v xml:space="preserve">TP-50DRUHK(W) </v>
      </c>
      <c r="S4703" s="86">
        <f>_xlfn.XLOOKUP(表格1[[#This Row],[Model]],表格3[Model-Input-Ref2],表格3[SRP PRICE])</f>
        <v>718</v>
      </c>
      <c r="T4703" s="43">
        <f>表格1[[#This Row],[Unit Price]]/表格1[[#This Row],[SRP]]</f>
        <v>0.86350974930362112</v>
      </c>
      <c r="U4703" s="86" t="str">
        <f>_xlfn.XLOOKUP(表格1[[#This Row],[Model]],表格3[Model-Input-Ref2],表格3[TOSHIBA/HIGHEST])</f>
        <v>Toshiba SRP</v>
      </c>
      <c r="W4703" s="86" t="str">
        <f>_xlfn.CONCAT(表格1[[#This Row],[欄4]],表格1[[#This Row],[inv no]])</f>
        <v/>
      </c>
    </row>
    <row r="4704" spans="1:23">
      <c r="A4704" s="81">
        <v>4702</v>
      </c>
      <c r="B4704" s="86" t="s">
        <v>1203</v>
      </c>
      <c r="C4704" s="86" t="s">
        <v>2027</v>
      </c>
      <c r="D4704" s="89" t="str">
        <f ca="1">OFFSET(Roster!$A$3,MATCH(表格1[[#This Row],[Location]]&amp;" "&amp;表格1[[#This Row],[Shop]]&amp;"*",Roster!$A$4:$A$72,0),DAY(表格1[[#This Row],[date]]),1,1)</f>
        <v>May C</v>
      </c>
      <c r="E4704" s="86">
        <f>MONTH(表格1[[#This Row],[date]])</f>
        <v>3</v>
      </c>
      <c r="F4704" s="90">
        <v>46097</v>
      </c>
      <c r="G4704" s="86" t="str">
        <f>VLOOKUP("*"&amp;表格1[[#This Row],[Input]]&amp;"*",'Ref-List'!$B:$D,2,)</f>
        <v>F-LYA20(W)HKG</v>
      </c>
      <c r="H4704" s="86" t="str">
        <f>_xlfn.XLOOKUP(表格1[[#This Row],[Model]],表格3[Model-Input-Ref2],表格3[Product Line])</f>
        <v>12吋2合1座地座檯電風扇連遙控</v>
      </c>
      <c r="I4704" s="86" t="str">
        <f>_xlfn.XLOOKUP(表格1[[#This Row],[Model]],表格3[Model-Input-Ref2],表格3[大小電])</f>
        <v>細電</v>
      </c>
      <c r="J4704" s="86" t="str">
        <f>_xlfn.XLOOKUP(表格1[[#This Row],[Model]],表格3[Model-Input-Ref2],表格3[Code])</f>
        <v>EAD</v>
      </c>
      <c r="K4704" s="89" t="s">
        <v>2052</v>
      </c>
      <c r="L4704" s="86">
        <v>1</v>
      </c>
      <c r="M4704" s="87">
        <v>370.5</v>
      </c>
      <c r="N4704" s="87">
        <f>IFERROR(表格1[[#This Row],[QTY]]*表格1[[#This Row],[Unit Price]],"-")</f>
        <v>370.5</v>
      </c>
      <c r="R4704" s="86" t="str">
        <f>_xlfn.CONCAT(表格1[[#This Row],[Model]]," ",表格1[[#This Row],[inv no]])</f>
        <v xml:space="preserve">F-LYA20(W)HKG </v>
      </c>
      <c r="S4704" s="86">
        <f>_xlfn.XLOOKUP(表格1[[#This Row],[Model]],表格3[Model-Input-Ref2],表格3[SRP PRICE])</f>
        <v>988</v>
      </c>
      <c r="T4704" s="43">
        <f>表格1[[#This Row],[Unit Price]]/表格1[[#This Row],[SRP]]</f>
        <v>0.375</v>
      </c>
      <c r="U4704" s="86" t="str">
        <f>_xlfn.XLOOKUP(表格1[[#This Row],[Model]],表格3[Model-Input-Ref2],表格3[TOSHIBA/HIGHEST])</f>
        <v>Toshiba SRP</v>
      </c>
      <c r="W4704" s="86" t="str">
        <f>_xlfn.CONCAT(表格1[[#This Row],[欄4]],表格1[[#This Row],[inv no]])</f>
        <v/>
      </c>
    </row>
    <row r="4705" spans="1:23">
      <c r="A4705" s="81">
        <v>4703</v>
      </c>
      <c r="B4705" s="86" t="s">
        <v>1203</v>
      </c>
      <c r="C4705" s="86" t="s">
        <v>2027</v>
      </c>
      <c r="D4705" s="89" t="str">
        <f ca="1">OFFSET(Roster!$A$3,MATCH(表格1[[#This Row],[Location]]&amp;" "&amp;表格1[[#This Row],[Shop]]&amp;"*",Roster!$A$4:$A$72,0),DAY(表格1[[#This Row],[date]]),1,1)</f>
        <v>May C</v>
      </c>
      <c r="E4705" s="86">
        <f>MONTH(表格1[[#This Row],[date]])</f>
        <v>3</v>
      </c>
      <c r="F4705" s="90">
        <v>46097</v>
      </c>
      <c r="G4705" s="86" t="str">
        <f>VLOOKUP("*"&amp;表格1[[#This Row],[Input]]&amp;"*",'Ref-List'!$B:$D,2,)</f>
        <v>RAD-D200H</v>
      </c>
      <c r="H4705" s="86" t="str">
        <f>_xlfn.XLOOKUP(表格1[[#This Row],[Model]],表格3[Model-Input-Ref2],表格3[Product Line])</f>
        <v>壓縮式抽濕機 (22公升)</v>
      </c>
      <c r="I4705" s="86" t="str">
        <f>_xlfn.XLOOKUP(表格1[[#This Row],[Model]],表格3[Model-Input-Ref2],表格3[大小電])</f>
        <v>細電</v>
      </c>
      <c r="J4705" s="86" t="str">
        <f>_xlfn.XLOOKUP(表格1[[#This Row],[Model]],表格3[Model-Input-Ref2],表格3[Code])</f>
        <v>RAC</v>
      </c>
      <c r="K4705" s="89" t="s">
        <v>2039</v>
      </c>
      <c r="L4705" s="86">
        <v>1</v>
      </c>
      <c r="M4705" s="87">
        <v>1938</v>
      </c>
      <c r="N4705" s="87">
        <f>IFERROR(表格1[[#This Row],[QTY]]*表格1[[#This Row],[Unit Price]],"-")</f>
        <v>1938</v>
      </c>
      <c r="R4705" s="86" t="str">
        <f>_xlfn.CONCAT(表格1[[#This Row],[Model]]," ",表格1[[#This Row],[inv no]])</f>
        <v xml:space="preserve">RAD-D200H </v>
      </c>
      <c r="S4705" s="86">
        <f>_xlfn.XLOOKUP(表格1[[#This Row],[Model]],表格3[Model-Input-Ref2],表格3[SRP PRICE])</f>
        <v>2880</v>
      </c>
      <c r="T4705" s="43">
        <f>表格1[[#This Row],[Unit Price]]/表格1[[#This Row],[SRP]]</f>
        <v>0.67291666666666672</v>
      </c>
      <c r="U4705" s="86" t="str">
        <f>_xlfn.XLOOKUP(表格1[[#This Row],[Model]],表格3[Model-Input-Ref2],表格3[TOSHIBA/HIGHEST])</f>
        <v>Shops Highest Price</v>
      </c>
      <c r="W4705" s="86" t="str">
        <f>_xlfn.CONCAT(表格1[[#This Row],[欄4]],表格1[[#This Row],[inv no]])</f>
        <v/>
      </c>
    </row>
    <row r="4706" spans="1:23">
      <c r="A4706" s="81">
        <v>4704</v>
      </c>
      <c r="B4706" s="86" t="s">
        <v>1203</v>
      </c>
      <c r="C4706" s="86" t="s">
        <v>2027</v>
      </c>
      <c r="D4706" s="89" t="str">
        <f ca="1">OFFSET(Roster!$A$3,MATCH(表格1[[#This Row],[Location]]&amp;" "&amp;表格1[[#This Row],[Shop]]&amp;"*",Roster!$A$4:$A$72,0),DAY(表格1[[#This Row],[date]]),1,1)</f>
        <v>May C</v>
      </c>
      <c r="E4706" s="86">
        <f>MONTH(表格1[[#This Row],[date]])</f>
        <v>3</v>
      </c>
      <c r="F4706" s="90">
        <v>46098</v>
      </c>
      <c r="G4706" s="86" t="str">
        <f>VLOOKUP("*"&amp;表格1[[#This Row],[Input]]&amp;"*",'Ref-List'!$B:$D,2,)</f>
        <v>MWP-MM20P(WH)</v>
      </c>
      <c r="H4706" s="86" t="str">
        <f>_xlfn.XLOOKUP(表格1[[#This Row],[Model]],表格3[Model-Input-Ref2],表格3[Product Line])</f>
        <v>旋鈕式燒烤微波爐20L</v>
      </c>
      <c r="I4706" s="86" t="str">
        <f>_xlfn.XLOOKUP(表格1[[#This Row],[Model]],表格3[Model-Input-Ref2],表格3[大小電])</f>
        <v>細電</v>
      </c>
      <c r="J4706" s="86" t="str">
        <f>_xlfn.XLOOKUP(表格1[[#This Row],[Model]],表格3[Model-Input-Ref2],表格3[Code])</f>
        <v>SDA</v>
      </c>
      <c r="K4706" s="89" t="s">
        <v>1375</v>
      </c>
      <c r="L4706" s="86">
        <v>1</v>
      </c>
      <c r="M4706" s="87">
        <v>580</v>
      </c>
      <c r="N4706" s="87">
        <f>IFERROR(表格1[[#This Row],[QTY]]*表格1[[#This Row],[Unit Price]],"-")</f>
        <v>580</v>
      </c>
      <c r="R4706" s="86" t="str">
        <f>_xlfn.CONCAT(表格1[[#This Row],[Model]]," ",表格1[[#This Row],[inv no]])</f>
        <v xml:space="preserve">MWP-MM20P(WH) </v>
      </c>
      <c r="S4706" s="86">
        <f>_xlfn.XLOOKUP(表格1[[#This Row],[Model]],表格3[Model-Input-Ref2],表格3[SRP PRICE])</f>
        <v>648</v>
      </c>
      <c r="T4706" s="43">
        <f>表格1[[#This Row],[Unit Price]]/表格1[[#This Row],[SRP]]</f>
        <v>0.89506172839506171</v>
      </c>
      <c r="U4706" s="86" t="str">
        <f>_xlfn.XLOOKUP(表格1[[#This Row],[Model]],表格3[Model-Input-Ref2],表格3[TOSHIBA/HIGHEST])</f>
        <v>Toshiba SRP</v>
      </c>
      <c r="W4706" s="86" t="str">
        <f>_xlfn.CONCAT(表格1[[#This Row],[欄4]],表格1[[#This Row],[inv no]])</f>
        <v/>
      </c>
    </row>
    <row r="4707" spans="1:23">
      <c r="A4707" s="81">
        <v>4705</v>
      </c>
      <c r="B4707" s="86" t="s">
        <v>1203</v>
      </c>
      <c r="C4707" s="86" t="s">
        <v>2027</v>
      </c>
      <c r="D4707" s="89" t="str">
        <f ca="1">OFFSET(Roster!$A$3,MATCH(表格1[[#This Row],[Location]]&amp;" "&amp;表格1[[#This Row],[Shop]]&amp;"*",Roster!$A$4:$A$72,0),DAY(表格1[[#This Row],[date]]),1,1)</f>
        <v>May C</v>
      </c>
      <c r="E4707" s="86">
        <f>MONTH(表格1[[#This Row],[date]])</f>
        <v>3</v>
      </c>
      <c r="F4707" s="90">
        <v>46098</v>
      </c>
      <c r="G4707" s="86" t="str">
        <f>VLOOKUP("*"&amp;表格1[[#This Row],[Input]]&amp;"*",'Ref-List'!$B:$D,2,)</f>
        <v>KT-17DRTHK(H)</v>
      </c>
      <c r="H4707" s="86" t="str">
        <f>_xlfn.XLOOKUP(表格1[[#This Row],[Model]],表格3[Model-Input-Ref2],表格3[Product Line])</f>
        <v>無線雙層電熱水壺(1.7公升)</v>
      </c>
      <c r="I4707" s="86" t="str">
        <f>_xlfn.XLOOKUP(表格1[[#This Row],[Model]],表格3[Model-Input-Ref2],表格3[大小電])</f>
        <v>細電</v>
      </c>
      <c r="J4707" s="86" t="str">
        <f>_xlfn.XLOOKUP(表格1[[#This Row],[Model]],表格3[Model-Input-Ref2],表格3[Code])</f>
        <v>SDA</v>
      </c>
      <c r="K4707" s="89" t="s">
        <v>2035</v>
      </c>
      <c r="L4707" s="86">
        <v>1</v>
      </c>
      <c r="M4707" s="87">
        <v>350</v>
      </c>
      <c r="N4707" s="87">
        <f>IFERROR(表格1[[#This Row],[QTY]]*表格1[[#This Row],[Unit Price]],"-")</f>
        <v>350</v>
      </c>
      <c r="R4707" s="86" t="str">
        <f>_xlfn.CONCAT(表格1[[#This Row],[Model]]," ",表格1[[#This Row],[inv no]])</f>
        <v xml:space="preserve">KT-17DRTHK(H) </v>
      </c>
      <c r="S4707" s="86">
        <f>_xlfn.XLOOKUP(表格1[[#This Row],[Model]],表格3[Model-Input-Ref2],表格3[SRP PRICE])</f>
        <v>498</v>
      </c>
      <c r="T4707" s="43">
        <f>表格1[[#This Row],[Unit Price]]/表格1[[#This Row],[SRP]]</f>
        <v>0.70281124497991965</v>
      </c>
      <c r="U4707" s="86" t="str">
        <f>_xlfn.XLOOKUP(表格1[[#This Row],[Model]],表格3[Model-Input-Ref2],表格3[TOSHIBA/HIGHEST])</f>
        <v>Toshiba SRP</v>
      </c>
      <c r="W4707" s="86" t="str">
        <f>_xlfn.CONCAT(表格1[[#This Row],[欄4]],表格1[[#This Row],[inv no]])</f>
        <v/>
      </c>
    </row>
    <row r="4708" spans="1:23">
      <c r="A4708" s="81">
        <v>4706</v>
      </c>
      <c r="B4708" s="86" t="s">
        <v>1203</v>
      </c>
      <c r="C4708" s="86" t="s">
        <v>2027</v>
      </c>
      <c r="D4708" s="89" t="str">
        <f ca="1">OFFSET(Roster!$A$3,MATCH(表格1[[#This Row],[Location]]&amp;" "&amp;表格1[[#This Row],[Shop]]&amp;"*",Roster!$A$4:$A$72,0),DAY(表格1[[#This Row],[date]]),1,1)</f>
        <v>May C</v>
      </c>
      <c r="E4708" s="86">
        <f>MONTH(表格1[[#This Row],[date]])</f>
        <v>3</v>
      </c>
      <c r="F4708" s="90">
        <v>46098</v>
      </c>
      <c r="G4708" s="86" t="str">
        <f>VLOOKUP("*"&amp;表格1[[#This Row],[Input]]&amp;"*",'Ref-List'!$B:$D,2,)</f>
        <v>RAD-Y200H</v>
      </c>
      <c r="H4708" s="86" t="str">
        <f>_xlfn.XLOOKUP(表格1[[#This Row],[Model]],表格3[Model-Input-Ref2],表格3[Product Line])</f>
        <v>21L壓縮式抽濕機</v>
      </c>
      <c r="I4708" s="86" t="str">
        <f>_xlfn.XLOOKUP(表格1[[#This Row],[Model]],表格3[Model-Input-Ref2],表格3[大小電])</f>
        <v>大電</v>
      </c>
      <c r="J4708" s="86" t="str">
        <f>_xlfn.XLOOKUP(表格1[[#This Row],[Model]],表格3[Model-Input-Ref2],表格3[Code])</f>
        <v>RAC</v>
      </c>
      <c r="K4708" s="89" t="s">
        <v>2123</v>
      </c>
      <c r="L4708" s="86">
        <v>1</v>
      </c>
      <c r="M4708" s="87">
        <v>1881</v>
      </c>
      <c r="N4708" s="87">
        <f>IFERROR(表格1[[#This Row],[QTY]]*表格1[[#This Row],[Unit Price]],"-")</f>
        <v>1881</v>
      </c>
      <c r="R4708" s="86" t="str">
        <f>_xlfn.CONCAT(表格1[[#This Row],[Model]]," ",表格1[[#This Row],[inv no]])</f>
        <v xml:space="preserve">RAD-Y200H </v>
      </c>
      <c r="S4708" s="86">
        <f>_xlfn.XLOOKUP(表格1[[#This Row],[Model]],表格3[Model-Input-Ref2],表格3[SRP PRICE])</f>
        <v>3280</v>
      </c>
      <c r="T4708" s="43">
        <f>表格1[[#This Row],[Unit Price]]/表格1[[#This Row],[SRP]]</f>
        <v>0.57347560975609757</v>
      </c>
      <c r="U4708" s="86" t="str">
        <f>_xlfn.XLOOKUP(表格1[[#This Row],[Model]],表格3[Model-Input-Ref2],表格3[TOSHIBA/HIGHEST])</f>
        <v>Toshiba SRP</v>
      </c>
      <c r="W4708" s="86" t="str">
        <f>_xlfn.CONCAT(表格1[[#This Row],[欄4]],表格1[[#This Row],[inv no]])</f>
        <v/>
      </c>
    </row>
    <row r="4709" spans="1:23">
      <c r="A4709" s="81">
        <v>4707</v>
      </c>
      <c r="B4709" s="86" t="s">
        <v>1203</v>
      </c>
      <c r="C4709" s="86" t="s">
        <v>2027</v>
      </c>
      <c r="D4709" s="89" t="str">
        <f ca="1">OFFSET(Roster!$A$3,MATCH(表格1[[#This Row],[Location]]&amp;" "&amp;表格1[[#This Row],[Shop]]&amp;"*",Roster!$A$4:$A$72,0),DAY(表格1[[#This Row],[date]]),1,1)</f>
        <v>May C</v>
      </c>
      <c r="E4709" s="86">
        <f>MONTH(表格1[[#This Row],[date]])</f>
        <v>3</v>
      </c>
      <c r="F4709" s="90">
        <v>46098</v>
      </c>
      <c r="G4709" s="86" t="str">
        <f>VLOOKUP("*"&amp;表格1[[#This Row],[Input]]&amp;"*",'Ref-List'!$B:$D,2,)</f>
        <v>RC-10AMXH(W)</v>
      </c>
      <c r="H4709" s="86" t="str">
        <f>_xlfn.XLOOKUP(表格1[[#This Row],[Model]],表格3[Model-Input-Ref2],表格3[Product Line])</f>
        <v>酵活炊電飯煲(1.0公升)</v>
      </c>
      <c r="I4709" s="86" t="str">
        <f>_xlfn.XLOOKUP(表格1[[#This Row],[Model]],表格3[Model-Input-Ref2],表格3[大小電])</f>
        <v>細電</v>
      </c>
      <c r="J4709" s="86" t="str">
        <f>_xlfn.XLOOKUP(表格1[[#This Row],[Model]],表格3[Model-Input-Ref2],表格3[Code])</f>
        <v>SDA</v>
      </c>
      <c r="K4709" s="89" t="s">
        <v>1956</v>
      </c>
      <c r="L4709" s="86">
        <v>1</v>
      </c>
      <c r="M4709" s="87">
        <v>990</v>
      </c>
      <c r="N4709" s="87">
        <f>IFERROR(表格1[[#This Row],[QTY]]*表格1[[#This Row],[Unit Price]],"-")</f>
        <v>990</v>
      </c>
      <c r="R4709" s="86" t="str">
        <f>_xlfn.CONCAT(表格1[[#This Row],[Model]]," ",表格1[[#This Row],[inv no]])</f>
        <v xml:space="preserve">RC-10AMXH(W) </v>
      </c>
      <c r="S4709" s="86">
        <f>_xlfn.XLOOKUP(表格1[[#This Row],[Model]],表格3[Model-Input-Ref2],表格3[SRP PRICE])</f>
        <v>1288</v>
      </c>
      <c r="T4709" s="43">
        <f>表格1[[#This Row],[Unit Price]]/表格1[[#This Row],[SRP]]</f>
        <v>0.76863354037267084</v>
      </c>
      <c r="U4709" s="86" t="str">
        <f>_xlfn.XLOOKUP(表格1[[#This Row],[Model]],表格3[Model-Input-Ref2],表格3[TOSHIBA/HIGHEST])</f>
        <v>Toshiba SRP</v>
      </c>
      <c r="W4709" s="86" t="str">
        <f>_xlfn.CONCAT(表格1[[#This Row],[欄4]],表格1[[#This Row],[inv no]])</f>
        <v/>
      </c>
    </row>
    <row r="4710" spans="1:23">
      <c r="A4710" s="81">
        <v>4708</v>
      </c>
      <c r="B4710" s="86" t="s">
        <v>1203</v>
      </c>
      <c r="C4710" s="86" t="s">
        <v>2027</v>
      </c>
      <c r="D4710" s="89" t="str">
        <f ca="1">OFFSET(Roster!$A$3,MATCH(表格1[[#This Row],[Location]]&amp;" "&amp;表格1[[#This Row],[Shop]]&amp;"*",Roster!$A$4:$A$72,0),DAY(表格1[[#This Row],[date]]),1,1)</f>
        <v>May C</v>
      </c>
      <c r="E4710" s="86">
        <f>MONTH(表格1[[#This Row],[date]])</f>
        <v>3</v>
      </c>
      <c r="F4710" s="90">
        <v>46098</v>
      </c>
      <c r="G4710" s="86" t="str">
        <f>VLOOKUP("*"&amp;表格1[[#This Row],[Input]]&amp;"*",'Ref-List'!$B:$D,2,)</f>
        <v>RC-18AMXH(W)</v>
      </c>
      <c r="H4710" s="86" t="str">
        <f>_xlfn.XLOOKUP(表格1[[#This Row],[Model]],表格3[Model-Input-Ref2],表格3[Product Line])</f>
        <v>酵活炊電飯煲(1.8公升)</v>
      </c>
      <c r="I4710" s="86" t="str">
        <f>_xlfn.XLOOKUP(表格1[[#This Row],[Model]],表格3[Model-Input-Ref2],表格3[大小電])</f>
        <v>細電</v>
      </c>
      <c r="J4710" s="86" t="str">
        <f>_xlfn.XLOOKUP(表格1[[#This Row],[Model]],表格3[Model-Input-Ref2],表格3[Code])</f>
        <v>SDA</v>
      </c>
      <c r="K4710" s="89" t="s">
        <v>2085</v>
      </c>
      <c r="L4710" s="86">
        <v>1</v>
      </c>
      <c r="M4710" s="87">
        <v>990</v>
      </c>
      <c r="N4710" s="87">
        <f>IFERROR(表格1[[#This Row],[QTY]]*表格1[[#This Row],[Unit Price]],"-")</f>
        <v>990</v>
      </c>
      <c r="R4710" s="86" t="str">
        <f>_xlfn.CONCAT(表格1[[#This Row],[Model]]," ",表格1[[#This Row],[inv no]])</f>
        <v xml:space="preserve">RC-18AMXH(W) </v>
      </c>
      <c r="S4710" s="86">
        <f>_xlfn.XLOOKUP(表格1[[#This Row],[Model]],表格3[Model-Input-Ref2],表格3[SRP PRICE])</f>
        <v>1588</v>
      </c>
      <c r="T4710" s="43">
        <f>表格1[[#This Row],[Unit Price]]/表格1[[#This Row],[SRP]]</f>
        <v>0.62342569269521408</v>
      </c>
      <c r="U4710" s="86" t="str">
        <f>_xlfn.XLOOKUP(表格1[[#This Row],[Model]],表格3[Model-Input-Ref2],表格3[TOSHIBA/HIGHEST])</f>
        <v>Toshiba SRP</v>
      </c>
      <c r="W4710" s="86" t="str">
        <f>_xlfn.CONCAT(表格1[[#This Row],[欄4]],表格1[[#This Row],[inv no]])</f>
        <v/>
      </c>
    </row>
    <row r="4711" spans="1:23">
      <c r="A4711" s="81">
        <v>4709</v>
      </c>
      <c r="B4711" s="86" t="s">
        <v>1203</v>
      </c>
      <c r="C4711" s="86" t="s">
        <v>2027</v>
      </c>
      <c r="D4711" s="89" t="str">
        <f ca="1">OFFSET(Roster!$A$3,MATCH(表格1[[#This Row],[Location]]&amp;" "&amp;表格1[[#This Row],[Shop]]&amp;"*",Roster!$A$4:$A$72,0),DAY(表格1[[#This Row],[date]]),1,1)</f>
        <v>May C</v>
      </c>
      <c r="E4711" s="86">
        <f>MONTH(表格1[[#This Row],[date]])</f>
        <v>3</v>
      </c>
      <c r="F4711" s="90">
        <v>46098</v>
      </c>
      <c r="G4711" s="86" t="str">
        <f>VLOOKUP("*"&amp;表格1[[#This Row],[Input]]&amp;"*",'Ref-List'!$B:$D,2,)</f>
        <v>F-DSB35HK(W)</v>
      </c>
      <c r="H4711" s="86" t="str">
        <f>_xlfn.XLOOKUP(表格1[[#This Row],[Model]],表格3[Model-Input-Ref2],表格3[Product Line])</f>
        <v>Electric Fan</v>
      </c>
      <c r="I4711" s="86" t="str">
        <f>_xlfn.XLOOKUP(表格1[[#This Row],[Model]],表格3[Model-Input-Ref2],表格3[大小電])</f>
        <v>細電</v>
      </c>
      <c r="J4711" s="86" t="str">
        <f>_xlfn.XLOOKUP(表格1[[#This Row],[Model]],表格3[Model-Input-Ref2],表格3[Code])</f>
        <v>SDA</v>
      </c>
      <c r="K4711" s="89" t="s">
        <v>2246</v>
      </c>
      <c r="L4711" s="86">
        <v>1</v>
      </c>
      <c r="M4711" s="87">
        <v>550</v>
      </c>
      <c r="N4711" s="87">
        <f>IFERROR(表格1[[#This Row],[QTY]]*表格1[[#This Row],[Unit Price]],"-")</f>
        <v>550</v>
      </c>
      <c r="R4711" s="86" t="str">
        <f>_xlfn.CONCAT(表格1[[#This Row],[Model]]," ",表格1[[#This Row],[inv no]])</f>
        <v xml:space="preserve">F-DSB35HK(W) </v>
      </c>
      <c r="S4711" s="86">
        <f>_xlfn.XLOOKUP(表格1[[#This Row],[Model]],表格3[Model-Input-Ref2],表格3[SRP PRICE])</f>
        <v>1088</v>
      </c>
      <c r="T4711" s="43">
        <f>表格1[[#This Row],[Unit Price]]/表格1[[#This Row],[SRP]]</f>
        <v>0.50551470588235292</v>
      </c>
      <c r="U4711" s="86" t="str">
        <f>_xlfn.XLOOKUP(表格1[[#This Row],[Model]],表格3[Model-Input-Ref2],表格3[TOSHIBA/HIGHEST])</f>
        <v>Toshiba SRP</v>
      </c>
      <c r="W4711" s="86" t="str">
        <f>_xlfn.CONCAT(表格1[[#This Row],[欄4]],表格1[[#This Row],[inv no]])</f>
        <v/>
      </c>
    </row>
    <row r="4712" spans="1:23">
      <c r="A4712" s="81">
        <v>4710</v>
      </c>
      <c r="B4712" s="86" t="s">
        <v>1203</v>
      </c>
      <c r="C4712" s="86" t="s">
        <v>2027</v>
      </c>
      <c r="D4712" s="89" t="str">
        <f ca="1">OFFSET(Roster!$A$3,MATCH(表格1[[#This Row],[Location]]&amp;" "&amp;表格1[[#This Row],[Shop]]&amp;"*",Roster!$A$4:$A$72,0),DAY(表格1[[#This Row],[date]]),1,1)</f>
        <v>May C</v>
      </c>
      <c r="E4712" s="86">
        <f>MONTH(表格1[[#This Row],[date]])</f>
        <v>3</v>
      </c>
      <c r="F4712" s="90">
        <v>46101</v>
      </c>
      <c r="G4712" s="86" t="str">
        <f>VLOOKUP("*"&amp;表格1[[#This Row],[Input]]&amp;"*",'Ref-List'!$B:$D,2,)</f>
        <v>KT-17SHNH</v>
      </c>
      <c r="H4712" s="86" t="str">
        <f>_xlfn.XLOOKUP(表格1[[#This Row],[Model]],表格3[Model-Input-Ref2],表格3[Product Line])</f>
        <v>1.7L無線雙層電熱水壺</v>
      </c>
      <c r="I4712" s="86" t="str">
        <f>_xlfn.XLOOKUP(表格1[[#This Row],[Model]],表格3[Model-Input-Ref2],表格3[大小電])</f>
        <v>細電</v>
      </c>
      <c r="J4712" s="86" t="str">
        <f>_xlfn.XLOOKUP(表格1[[#This Row],[Model]],表格3[Model-Input-Ref2],表格3[Code])</f>
        <v>SDA</v>
      </c>
      <c r="K4712" s="89" t="s">
        <v>2030</v>
      </c>
      <c r="L4712" s="86">
        <v>2</v>
      </c>
      <c r="M4712" s="87">
        <v>180.5</v>
      </c>
      <c r="N4712" s="87">
        <f>IFERROR(表格1[[#This Row],[QTY]]*表格1[[#This Row],[Unit Price]],"-")</f>
        <v>361</v>
      </c>
      <c r="R4712" s="86" t="str">
        <f>_xlfn.CONCAT(表格1[[#This Row],[Model]]," ",表格1[[#This Row],[inv no]])</f>
        <v xml:space="preserve">KT-17SHNH </v>
      </c>
      <c r="S4712" s="86">
        <f>_xlfn.XLOOKUP(表格1[[#This Row],[Model]],表格3[Model-Input-Ref2],表格3[SRP PRICE])</f>
        <v>299</v>
      </c>
      <c r="T4712" s="43">
        <f>表格1[[#This Row],[Unit Price]]/表格1[[#This Row],[SRP]]</f>
        <v>0.60367892976588633</v>
      </c>
      <c r="U4712" s="86" t="str">
        <f>_xlfn.XLOOKUP(表格1[[#This Row],[Model]],表格3[Model-Input-Ref2],表格3[TOSHIBA/HIGHEST])</f>
        <v>Shops Highest Price</v>
      </c>
      <c r="W4712" s="86" t="str">
        <f>_xlfn.CONCAT(表格1[[#This Row],[欄4]],表格1[[#This Row],[inv no]])</f>
        <v/>
      </c>
    </row>
    <row r="4713" spans="1:23">
      <c r="A4713" s="81">
        <v>4711</v>
      </c>
      <c r="B4713" s="86" t="s">
        <v>1203</v>
      </c>
      <c r="C4713" s="86" t="s">
        <v>2027</v>
      </c>
      <c r="D4713" s="89" t="str">
        <f ca="1">OFFSET(Roster!$A$3,MATCH(表格1[[#This Row],[Location]]&amp;" "&amp;表格1[[#This Row],[Shop]]&amp;"*",Roster!$A$4:$A$72,0),DAY(表格1[[#This Row],[date]]),1,1)</f>
        <v>May C</v>
      </c>
      <c r="E4713" s="86">
        <f>MONTH(表格1[[#This Row],[date]])</f>
        <v>3</v>
      </c>
      <c r="F4713" s="90">
        <v>46101</v>
      </c>
      <c r="G4713" s="86" t="str">
        <f>VLOOKUP("*"&amp;表格1[[#This Row],[Input]]&amp;"*",'Ref-List'!$B:$D,2,)</f>
        <v>RC-5SLIH(W)</v>
      </c>
      <c r="H4713" s="86" t="str">
        <f>_xlfn.XLOOKUP(表格1[[#This Row],[Model]],表格3[Model-Input-Ref2],表格3[Product Line])</f>
        <v>微型電腦珍珠飯煲</v>
      </c>
      <c r="I4713" s="86" t="str">
        <f>_xlfn.XLOOKUP(表格1[[#This Row],[Model]],表格3[Model-Input-Ref2],表格3[大小電])</f>
        <v>細電</v>
      </c>
      <c r="J4713" s="86" t="str">
        <f>_xlfn.XLOOKUP(表格1[[#This Row],[Model]],表格3[Model-Input-Ref2],表格3[Code])</f>
        <v>SDA</v>
      </c>
      <c r="K4713" s="89" t="s">
        <v>2037</v>
      </c>
      <c r="L4713" s="86">
        <v>1</v>
      </c>
      <c r="M4713" s="87">
        <v>590</v>
      </c>
      <c r="N4713" s="87">
        <f>IFERROR(表格1[[#This Row],[QTY]]*表格1[[#This Row],[Unit Price]],"-")</f>
        <v>590</v>
      </c>
      <c r="R4713" s="86" t="str">
        <f>_xlfn.CONCAT(表格1[[#This Row],[Model]]," ",表格1[[#This Row],[inv no]])</f>
        <v xml:space="preserve">RC-5SLIH(W) </v>
      </c>
      <c r="S4713" s="86">
        <f>_xlfn.XLOOKUP(表格1[[#This Row],[Model]],表格3[Model-Input-Ref2],表格3[SRP PRICE])</f>
        <v>658</v>
      </c>
      <c r="T4713" s="43">
        <f>表格1[[#This Row],[Unit Price]]/表格1[[#This Row],[SRP]]</f>
        <v>0.89665653495440734</v>
      </c>
      <c r="U4713" s="86" t="str">
        <f>_xlfn.XLOOKUP(表格1[[#This Row],[Model]],表格3[Model-Input-Ref2],表格3[TOSHIBA/HIGHEST])</f>
        <v>Toshiba SRP</v>
      </c>
      <c r="W4713" s="86" t="str">
        <f>_xlfn.CONCAT(表格1[[#This Row],[欄4]],表格1[[#This Row],[inv no]])</f>
        <v/>
      </c>
    </row>
    <row r="4714" spans="1:23">
      <c r="A4714" s="81">
        <v>4712</v>
      </c>
      <c r="B4714" s="86" t="s">
        <v>1203</v>
      </c>
      <c r="C4714" s="86" t="s">
        <v>2027</v>
      </c>
      <c r="D4714" s="89" t="str">
        <f ca="1">OFFSET(Roster!$A$3,MATCH(表格1[[#This Row],[Location]]&amp;" "&amp;表格1[[#This Row],[Shop]]&amp;"*",Roster!$A$4:$A$72,0),DAY(表格1[[#This Row],[date]]),1,1)</f>
        <v>May C</v>
      </c>
      <c r="E4714" s="86">
        <f>MONTH(表格1[[#This Row],[date]])</f>
        <v>3</v>
      </c>
      <c r="F4714" s="90">
        <v>46101</v>
      </c>
      <c r="G4714" s="86" t="str">
        <f>VLOOKUP("*"&amp;表格1[[#This Row],[Input]]&amp;"*",'Ref-List'!$B:$D,2,)</f>
        <v>MWP-MM20P(WH)</v>
      </c>
      <c r="H4714" s="86" t="str">
        <f>_xlfn.XLOOKUP(表格1[[#This Row],[Model]],表格3[Model-Input-Ref2],表格3[Product Line])</f>
        <v>旋鈕式燒烤微波爐20L</v>
      </c>
      <c r="I4714" s="86" t="str">
        <f>_xlfn.XLOOKUP(表格1[[#This Row],[Model]],表格3[Model-Input-Ref2],表格3[大小電])</f>
        <v>細電</v>
      </c>
      <c r="J4714" s="86" t="str">
        <f>_xlfn.XLOOKUP(表格1[[#This Row],[Model]],表格3[Model-Input-Ref2],表格3[Code])</f>
        <v>SDA</v>
      </c>
      <c r="K4714" s="89" t="s">
        <v>1375</v>
      </c>
      <c r="L4714" s="86">
        <v>1</v>
      </c>
      <c r="M4714" s="87">
        <v>551</v>
      </c>
      <c r="N4714" s="87">
        <f>IFERROR(表格1[[#This Row],[QTY]]*表格1[[#This Row],[Unit Price]],"-")</f>
        <v>551</v>
      </c>
      <c r="R4714" s="86" t="str">
        <f>_xlfn.CONCAT(表格1[[#This Row],[Model]]," ",表格1[[#This Row],[inv no]])</f>
        <v xml:space="preserve">MWP-MM20P(WH) </v>
      </c>
      <c r="S4714" s="86">
        <f>_xlfn.XLOOKUP(表格1[[#This Row],[Model]],表格3[Model-Input-Ref2],表格3[SRP PRICE])</f>
        <v>648</v>
      </c>
      <c r="T4714" s="43">
        <f>表格1[[#This Row],[Unit Price]]/表格1[[#This Row],[SRP]]</f>
        <v>0.85030864197530864</v>
      </c>
      <c r="U4714" s="86" t="str">
        <f>_xlfn.XLOOKUP(表格1[[#This Row],[Model]],表格3[Model-Input-Ref2],表格3[TOSHIBA/HIGHEST])</f>
        <v>Toshiba SRP</v>
      </c>
      <c r="W4714" s="86" t="str">
        <f>_xlfn.CONCAT(表格1[[#This Row],[欄4]],表格1[[#This Row],[inv no]])</f>
        <v/>
      </c>
    </row>
    <row r="4715" spans="1:23">
      <c r="A4715" s="81">
        <v>4713</v>
      </c>
      <c r="B4715" s="86" t="s">
        <v>1203</v>
      </c>
      <c r="C4715" s="86" t="s">
        <v>2027</v>
      </c>
      <c r="D4715" s="89" t="str">
        <f ca="1">OFFSET(Roster!$A$3,MATCH(表格1[[#This Row],[Location]]&amp;" "&amp;表格1[[#This Row],[Shop]]&amp;"*",Roster!$A$4:$A$72,0),DAY(表格1[[#This Row],[date]]),1,1)</f>
        <v>May C</v>
      </c>
      <c r="E4715" s="86">
        <f>MONTH(表格1[[#This Row],[date]])</f>
        <v>3</v>
      </c>
      <c r="F4715" s="90">
        <v>46101</v>
      </c>
      <c r="G4715" s="86" t="str">
        <f>VLOOKUP("*"&amp;表格1[[#This Row],[Input]]&amp;"*",'Ref-List'!$B:$D,2,)</f>
        <v>MS3-STQ20SC(WH)</v>
      </c>
      <c r="H4715" s="86" t="str">
        <f>_xlfn.XLOOKUP(表格1[[#This Row],[Model]],表格3[Model-Input-Ref2],表格3[Product Line])</f>
        <v>20L 智能蒸氣焗爐</v>
      </c>
      <c r="I4715" s="86" t="str">
        <f>_xlfn.XLOOKUP(表格1[[#This Row],[Model]],表格3[Model-Input-Ref2],表格3[大小電])</f>
        <v>細電</v>
      </c>
      <c r="J4715" s="86" t="str">
        <f>_xlfn.XLOOKUP(表格1[[#This Row],[Model]],表格3[Model-Input-Ref2],表格3[Code])</f>
        <v>MCA</v>
      </c>
      <c r="K4715" s="89" t="s">
        <v>2171</v>
      </c>
      <c r="L4715" s="86">
        <v>1</v>
      </c>
      <c r="M4715" s="87">
        <v>1881</v>
      </c>
      <c r="N4715" s="87">
        <f>IFERROR(表格1[[#This Row],[QTY]]*表格1[[#This Row],[Unit Price]],"-")</f>
        <v>1881</v>
      </c>
      <c r="R4715" s="86" t="str">
        <f>_xlfn.CONCAT(表格1[[#This Row],[Model]]," ",表格1[[#This Row],[inv no]])</f>
        <v xml:space="preserve">MS3-STQ20SC(WH) </v>
      </c>
      <c r="S4715" s="86">
        <f>_xlfn.XLOOKUP(表格1[[#This Row],[Model]],表格3[Model-Input-Ref2],表格3[SRP PRICE])</f>
        <v>2880</v>
      </c>
      <c r="T4715" s="43">
        <f>表格1[[#This Row],[Unit Price]]/表格1[[#This Row],[SRP]]</f>
        <v>0.65312499999999996</v>
      </c>
      <c r="U4715" s="86" t="str">
        <f>_xlfn.XLOOKUP(表格1[[#This Row],[Model]],表格3[Model-Input-Ref2],表格3[TOSHIBA/HIGHEST])</f>
        <v>Toshiba SRP</v>
      </c>
      <c r="W4715" s="86" t="str">
        <f>_xlfn.CONCAT(表格1[[#This Row],[欄4]],表格1[[#This Row],[inv no]])</f>
        <v/>
      </c>
    </row>
    <row r="4716" spans="1:23">
      <c r="A4716" s="81">
        <v>4714</v>
      </c>
      <c r="B4716" s="86" t="s">
        <v>1203</v>
      </c>
      <c r="C4716" s="86" t="s">
        <v>2027</v>
      </c>
      <c r="D4716" s="89" t="str">
        <f ca="1">OFFSET(Roster!$A$3,MATCH(表格1[[#This Row],[Location]]&amp;" "&amp;表格1[[#This Row],[Shop]]&amp;"*",Roster!$A$4:$A$72,0),DAY(表格1[[#This Row],[date]]),1,1)</f>
        <v>May C</v>
      </c>
      <c r="E4716" s="86">
        <f>MONTH(表格1[[#This Row],[date]])</f>
        <v>3</v>
      </c>
      <c r="F4716" s="90">
        <v>46101</v>
      </c>
      <c r="G4716" s="86" t="str">
        <f>VLOOKUP("*"&amp;表格1[[#This Row],[Input]]&amp;"*",'Ref-List'!$B:$D,2,)</f>
        <v>KT-17DRTHK(H)</v>
      </c>
      <c r="H4716" s="86" t="str">
        <f>_xlfn.XLOOKUP(表格1[[#This Row],[Model]],表格3[Model-Input-Ref2],表格3[Product Line])</f>
        <v>無線雙層電熱水壺(1.7公升)</v>
      </c>
      <c r="I4716" s="86" t="str">
        <f>_xlfn.XLOOKUP(表格1[[#This Row],[Model]],表格3[Model-Input-Ref2],表格3[大小電])</f>
        <v>細電</v>
      </c>
      <c r="J4716" s="86" t="str">
        <f>_xlfn.XLOOKUP(表格1[[#This Row],[Model]],表格3[Model-Input-Ref2],表格3[Code])</f>
        <v>SDA</v>
      </c>
      <c r="K4716" s="89" t="s">
        <v>2035</v>
      </c>
      <c r="L4716" s="86">
        <v>2</v>
      </c>
      <c r="M4716" s="87">
        <v>332.5</v>
      </c>
      <c r="N4716" s="87">
        <f>IFERROR(表格1[[#This Row],[QTY]]*表格1[[#This Row],[Unit Price]],"-")</f>
        <v>665</v>
      </c>
      <c r="R4716" s="86" t="str">
        <f>_xlfn.CONCAT(表格1[[#This Row],[Model]]," ",表格1[[#This Row],[inv no]])</f>
        <v xml:space="preserve">KT-17DRTHK(H) </v>
      </c>
      <c r="S4716" s="86">
        <f>_xlfn.XLOOKUP(表格1[[#This Row],[Model]],表格3[Model-Input-Ref2],表格3[SRP PRICE])</f>
        <v>498</v>
      </c>
      <c r="T4716" s="43">
        <f>表格1[[#This Row],[Unit Price]]/表格1[[#This Row],[SRP]]</f>
        <v>0.66767068273092367</v>
      </c>
      <c r="U4716" s="86" t="str">
        <f>_xlfn.XLOOKUP(表格1[[#This Row],[Model]],表格3[Model-Input-Ref2],表格3[TOSHIBA/HIGHEST])</f>
        <v>Toshiba SRP</v>
      </c>
      <c r="W4716" s="86" t="str">
        <f>_xlfn.CONCAT(表格1[[#This Row],[欄4]],表格1[[#This Row],[inv no]])</f>
        <v/>
      </c>
    </row>
    <row r="4717" spans="1:23">
      <c r="A4717" s="81">
        <v>4715</v>
      </c>
      <c r="B4717" s="86" t="s">
        <v>1203</v>
      </c>
      <c r="C4717" s="86" t="s">
        <v>2027</v>
      </c>
      <c r="D4717" s="89" t="str">
        <f ca="1">OFFSET(Roster!$A$3,MATCH(表格1[[#This Row],[Location]]&amp;" "&amp;表格1[[#This Row],[Shop]]&amp;"*",Roster!$A$4:$A$72,0),DAY(表格1[[#This Row],[date]]),1,1)</f>
        <v>May C</v>
      </c>
      <c r="E4717" s="86">
        <f>MONTH(表格1[[#This Row],[date]])</f>
        <v>3</v>
      </c>
      <c r="F4717" s="90">
        <v>46101</v>
      </c>
      <c r="G4717" s="86" t="str">
        <f>VLOOKUP("*"&amp;表格1[[#This Row],[Input]]&amp;"*",'Ref-List'!$B:$D,2,)</f>
        <v>RC-15BHH(W)</v>
      </c>
      <c r="H4717" s="86" t="str">
        <f>_xlfn.XLOOKUP(表格1[[#This Row],[Model]],表格3[Model-Input-Ref2],表格3[Product Line])</f>
        <v>酵活炊磁應電飯煲(1.5公升)</v>
      </c>
      <c r="I4717" s="86" t="str">
        <f>_xlfn.XLOOKUP(表格1[[#This Row],[Model]],表格3[Model-Input-Ref2],表格3[大小電])</f>
        <v>細電</v>
      </c>
      <c r="J4717" s="86" t="str">
        <f>_xlfn.XLOOKUP(表格1[[#This Row],[Model]],表格3[Model-Input-Ref2],表格3[Code])</f>
        <v>SDA</v>
      </c>
      <c r="K4717" s="89" t="s">
        <v>2244</v>
      </c>
      <c r="L4717" s="86">
        <v>1</v>
      </c>
      <c r="M4717" s="87">
        <v>1603.6</v>
      </c>
      <c r="N4717" s="87">
        <f>IFERROR(表格1[[#This Row],[QTY]]*表格1[[#This Row],[Unit Price]],"-")</f>
        <v>1603.6</v>
      </c>
      <c r="R4717" s="86" t="str">
        <f>_xlfn.CONCAT(表格1[[#This Row],[Model]]," ",表格1[[#This Row],[inv no]])</f>
        <v xml:space="preserve">RC-15BHH(W) </v>
      </c>
      <c r="S4717" s="86">
        <f>_xlfn.XLOOKUP(表格1[[#This Row],[Model]],表格3[Model-Input-Ref2],表格3[SRP PRICE])</f>
        <v>2388</v>
      </c>
      <c r="T4717" s="43">
        <f>表格1[[#This Row],[Unit Price]]/表格1[[#This Row],[SRP]]</f>
        <v>0.67152428810720266</v>
      </c>
      <c r="U4717" s="86" t="str">
        <f>_xlfn.XLOOKUP(表格1[[#This Row],[Model]],表格3[Model-Input-Ref2],表格3[TOSHIBA/HIGHEST])</f>
        <v>Toshiba SRP</v>
      </c>
      <c r="W4717" s="86" t="str">
        <f>_xlfn.CONCAT(表格1[[#This Row],[欄4]],表格1[[#This Row],[inv no]])</f>
        <v/>
      </c>
    </row>
    <row r="4718" spans="1:23">
      <c r="A4718" s="81">
        <v>4716</v>
      </c>
      <c r="B4718" s="86" t="s">
        <v>1203</v>
      </c>
      <c r="C4718" s="86" t="s">
        <v>2027</v>
      </c>
      <c r="D4718" s="89" t="str">
        <f ca="1">OFFSET(Roster!$A$3,MATCH(表格1[[#This Row],[Location]]&amp;" "&amp;表格1[[#This Row],[Shop]]&amp;"*",Roster!$A$4:$A$72,0),DAY(表格1[[#This Row],[date]]),1,1)</f>
        <v>May C</v>
      </c>
      <c r="E4718" s="86">
        <f>MONTH(表格1[[#This Row],[date]])</f>
        <v>3</v>
      </c>
      <c r="F4718" s="90">
        <v>46101</v>
      </c>
      <c r="G4718" s="86" t="str">
        <f>VLOOKUP("*"&amp;表格1[[#This Row],[Input]]&amp;"*",'Ref-List'!$B:$D,2,)</f>
        <v>KT-08DH1VHK(W)</v>
      </c>
      <c r="H4718" s="86" t="str">
        <f>_xlfn.XLOOKUP(表格1[[#This Row],[Model]],表格3[Model-Input-Ref2],表格3[Product Line])</f>
        <v>無線雙層電熱水壺-附可鎖壺蓋(0.8公升)</v>
      </c>
      <c r="I4718" s="86" t="str">
        <f>_xlfn.XLOOKUP(表格1[[#This Row],[Model]],表格3[Model-Input-Ref2],表格3[大小電])</f>
        <v>細電</v>
      </c>
      <c r="J4718" s="86" t="str">
        <f>_xlfn.XLOOKUP(表格1[[#This Row],[Model]],表格3[Model-Input-Ref2],表格3[Code])</f>
        <v>SDA</v>
      </c>
      <c r="K4718" s="89" t="s">
        <v>2053</v>
      </c>
      <c r="L4718" s="86">
        <v>1</v>
      </c>
      <c r="M4718" s="87">
        <v>247</v>
      </c>
      <c r="N4718" s="87">
        <f>IFERROR(表格1[[#This Row],[QTY]]*表格1[[#This Row],[Unit Price]],"-")</f>
        <v>247</v>
      </c>
      <c r="R4718" s="86" t="str">
        <f>_xlfn.CONCAT(表格1[[#This Row],[Model]]," ",表格1[[#This Row],[inv no]])</f>
        <v xml:space="preserve">KT-08DH1VHK(W) </v>
      </c>
      <c r="S4718" s="86">
        <f>_xlfn.XLOOKUP(表格1[[#This Row],[Model]],表格3[Model-Input-Ref2],表格3[SRP PRICE])</f>
        <v>428</v>
      </c>
      <c r="T4718" s="43">
        <f>表格1[[#This Row],[Unit Price]]/表格1[[#This Row],[SRP]]</f>
        <v>0.57710280373831779</v>
      </c>
      <c r="U4718" s="86" t="str">
        <f>_xlfn.XLOOKUP(表格1[[#This Row],[Model]],表格3[Model-Input-Ref2],表格3[TOSHIBA/HIGHEST])</f>
        <v>Toshiba SRP</v>
      </c>
      <c r="W4718" s="86" t="str">
        <f>_xlfn.CONCAT(表格1[[#This Row],[欄4]],表格1[[#This Row],[inv no]])</f>
        <v/>
      </c>
    </row>
    <row r="4719" spans="1:23">
      <c r="A4719" s="81">
        <v>4717</v>
      </c>
      <c r="B4719" s="86" t="s">
        <v>1203</v>
      </c>
      <c r="C4719" s="86" t="s">
        <v>2027</v>
      </c>
      <c r="D4719" s="89" t="str">
        <f ca="1">OFFSET(Roster!$A$3,MATCH(表格1[[#This Row],[Location]]&amp;" "&amp;表格1[[#This Row],[Shop]]&amp;"*",Roster!$A$4:$A$72,0),DAY(表格1[[#This Row],[date]]),1,1)</f>
        <v>May C</v>
      </c>
      <c r="E4719" s="86">
        <f>MONTH(表格1[[#This Row],[date]])</f>
        <v>3</v>
      </c>
      <c r="F4719" s="90">
        <v>46101</v>
      </c>
      <c r="G4719" s="86" t="str">
        <f>VLOOKUP("*"&amp;表格1[[#This Row],[Input]]&amp;"*",'Ref-List'!$B:$D,2,)</f>
        <v>RAD-D300H</v>
      </c>
      <c r="H4719" s="86" t="str">
        <f>_xlfn.XLOOKUP(表格1[[#This Row],[Model]],表格3[Model-Input-Ref2],表格3[Product Line])</f>
        <v>壓縮式抽濕機 (30公升)</v>
      </c>
      <c r="I4719" s="86" t="str">
        <f>_xlfn.XLOOKUP(表格1[[#This Row],[Model]],表格3[Model-Input-Ref2],表格3[大小電])</f>
        <v>細電</v>
      </c>
      <c r="J4719" s="86" t="str">
        <f>_xlfn.XLOOKUP(表格1[[#This Row],[Model]],表格3[Model-Input-Ref2],表格3[Code])</f>
        <v>RAC</v>
      </c>
      <c r="K4719" s="89" t="s">
        <v>1761</v>
      </c>
      <c r="L4719" s="86">
        <v>3</v>
      </c>
      <c r="M4719" s="87">
        <v>2326</v>
      </c>
      <c r="N4719" s="87">
        <f>IFERROR(表格1[[#This Row],[QTY]]*表格1[[#This Row],[Unit Price]],"-")</f>
        <v>6978</v>
      </c>
      <c r="R4719" s="86" t="str">
        <f>_xlfn.CONCAT(表格1[[#This Row],[Model]]," ",表格1[[#This Row],[inv no]])</f>
        <v xml:space="preserve">RAD-D300H </v>
      </c>
      <c r="S4719" s="86">
        <f>_xlfn.XLOOKUP(表格1[[#This Row],[Model]],表格3[Model-Input-Ref2],表格3[SRP PRICE])</f>
        <v>3380</v>
      </c>
      <c r="T4719" s="43">
        <f>表格1[[#This Row],[Unit Price]]/表格1[[#This Row],[SRP]]</f>
        <v>0.68816568047337279</v>
      </c>
      <c r="U4719" s="86" t="str">
        <f>_xlfn.XLOOKUP(表格1[[#This Row],[Model]],表格3[Model-Input-Ref2],表格3[TOSHIBA/HIGHEST])</f>
        <v>Shops Highest Price</v>
      </c>
      <c r="W4719" s="86" t="str">
        <f>_xlfn.CONCAT(表格1[[#This Row],[欄4]],表格1[[#This Row],[inv no]])</f>
        <v/>
      </c>
    </row>
    <row r="4720" spans="1:23">
      <c r="A4720" s="81">
        <v>4718</v>
      </c>
      <c r="B4720" s="86" t="s">
        <v>1203</v>
      </c>
      <c r="C4720" s="86" t="s">
        <v>2027</v>
      </c>
      <c r="D4720" s="89" t="str">
        <f ca="1">OFFSET(Roster!$A$3,MATCH(表格1[[#This Row],[Location]]&amp;" "&amp;表格1[[#This Row],[Shop]]&amp;"*",Roster!$A$4:$A$72,0),DAY(表格1[[#This Row],[date]]),1,1)</f>
        <v>May C</v>
      </c>
      <c r="E4720" s="86">
        <f>MONTH(表格1[[#This Row],[date]])</f>
        <v>3</v>
      </c>
      <c r="F4720" s="90">
        <v>46102</v>
      </c>
      <c r="G4720" s="86" t="str">
        <f>VLOOKUP("*"&amp;表格1[[#This Row],[Input]]&amp;"*",'Ref-List'!$B:$D,2,)</f>
        <v>RC-5MMIH(WT)</v>
      </c>
      <c r="H4720" s="86" t="str">
        <f>_xlfn.XLOOKUP(表格1[[#This Row],[Model]],表格3[Model-Input-Ref2],表格3[Product Line])</f>
        <v>4毫米厚釜電飯煲0.54L</v>
      </c>
      <c r="I4720" s="86" t="str">
        <f>_xlfn.XLOOKUP(表格1[[#This Row],[Model]],表格3[Model-Input-Ref2],表格3[大小電])</f>
        <v>細電</v>
      </c>
      <c r="J4720" s="86" t="str">
        <f>_xlfn.XLOOKUP(表格1[[#This Row],[Model]],表格3[Model-Input-Ref2],表格3[Code])</f>
        <v>SDA</v>
      </c>
      <c r="K4720" s="89" t="s">
        <v>2046</v>
      </c>
      <c r="L4720" s="86">
        <v>2</v>
      </c>
      <c r="M4720" s="87">
        <v>465.5</v>
      </c>
      <c r="N4720" s="87">
        <f>IFERROR(表格1[[#This Row],[QTY]]*表格1[[#This Row],[Unit Price]],"-")</f>
        <v>931</v>
      </c>
      <c r="R4720" s="86" t="str">
        <f>_xlfn.CONCAT(表格1[[#This Row],[Model]]," ",表格1[[#This Row],[inv no]])</f>
        <v xml:space="preserve">RC-5MMIH(WT) </v>
      </c>
      <c r="S4720" s="86">
        <f>_xlfn.XLOOKUP(表格1[[#This Row],[Model]],表格3[Model-Input-Ref2],表格3[SRP PRICE])</f>
        <v>618</v>
      </c>
      <c r="T4720" s="43">
        <f>表格1[[#This Row],[Unit Price]]/表格1[[#This Row],[SRP]]</f>
        <v>0.75323624595469252</v>
      </c>
      <c r="U4720" s="86" t="str">
        <f>_xlfn.XLOOKUP(表格1[[#This Row],[Model]],表格3[Model-Input-Ref2],表格3[TOSHIBA/HIGHEST])</f>
        <v>Toshiba SRP</v>
      </c>
      <c r="W4720" s="86" t="str">
        <f>_xlfn.CONCAT(表格1[[#This Row],[欄4]],表格1[[#This Row],[inv no]])</f>
        <v/>
      </c>
    </row>
    <row r="4721" spans="1:23">
      <c r="A4721" s="81">
        <v>4719</v>
      </c>
      <c r="B4721" s="86" t="s">
        <v>1203</v>
      </c>
      <c r="C4721" s="86" t="s">
        <v>2027</v>
      </c>
      <c r="D4721" s="89" t="str">
        <f ca="1">OFFSET(Roster!$A$3,MATCH(表格1[[#This Row],[Location]]&amp;" "&amp;表格1[[#This Row],[Shop]]&amp;"*",Roster!$A$4:$A$72,0),DAY(表格1[[#This Row],[date]]),1,1)</f>
        <v>May C</v>
      </c>
      <c r="E4721" s="86">
        <f>MONTH(表格1[[#This Row],[date]])</f>
        <v>3</v>
      </c>
      <c r="F4721" s="90">
        <v>46102</v>
      </c>
      <c r="G4721" s="86" t="str">
        <f>VLOOKUP("*"&amp;表格1[[#This Row],[Input]]&amp;"*",'Ref-List'!$B:$D,2,)</f>
        <v>RC-10ISSHK(W)</v>
      </c>
      <c r="H4721" s="86" t="str">
        <f>_xlfn.XLOOKUP(表格1[[#This Row],[Model]],表格3[Model-Input-Ref2],表格3[Product Line])</f>
        <v>磁應電飯煲(1公升)</v>
      </c>
      <c r="I4721" s="86" t="str">
        <f>_xlfn.XLOOKUP(表格1[[#This Row],[Model]],表格3[Model-Input-Ref2],表格3[大小電])</f>
        <v>細電</v>
      </c>
      <c r="J4721" s="86" t="str">
        <f>_xlfn.XLOOKUP(表格1[[#This Row],[Model]],表格3[Model-Input-Ref2],表格3[Code])</f>
        <v>SDA</v>
      </c>
      <c r="K4721" s="89" t="s">
        <v>2240</v>
      </c>
      <c r="L4721" s="86">
        <v>1</v>
      </c>
      <c r="M4721" s="87">
        <v>930</v>
      </c>
      <c r="N4721" s="87">
        <f>IFERROR(表格1[[#This Row],[QTY]]*表格1[[#This Row],[Unit Price]],"-")</f>
        <v>930</v>
      </c>
      <c r="R4721" s="86" t="str">
        <f>_xlfn.CONCAT(表格1[[#This Row],[Model]]," ",表格1[[#This Row],[inv no]])</f>
        <v xml:space="preserve">RC-10ISSHK(W) </v>
      </c>
      <c r="S4721" s="86">
        <f>_xlfn.XLOOKUP(表格1[[#This Row],[Model]],表格3[Model-Input-Ref2],表格3[SRP PRICE])</f>
        <v>1188</v>
      </c>
      <c r="T4721" s="43">
        <f>表格1[[#This Row],[Unit Price]]/表格1[[#This Row],[SRP]]</f>
        <v>0.78282828282828287</v>
      </c>
      <c r="U4721" s="86" t="str">
        <f>_xlfn.XLOOKUP(表格1[[#This Row],[Model]],表格3[Model-Input-Ref2],表格3[TOSHIBA/HIGHEST])</f>
        <v>Shops Highest Price</v>
      </c>
      <c r="W4721" s="86" t="str">
        <f>_xlfn.CONCAT(表格1[[#This Row],[欄4]],表格1[[#This Row],[inv no]])</f>
        <v/>
      </c>
    </row>
    <row r="4722" spans="1:23">
      <c r="A4722" s="81">
        <v>4720</v>
      </c>
      <c r="B4722" s="86" t="s">
        <v>1203</v>
      </c>
      <c r="C4722" s="86" t="s">
        <v>2027</v>
      </c>
      <c r="D4722" s="89" t="str">
        <f ca="1">OFFSET(Roster!$A$3,MATCH(表格1[[#This Row],[Location]]&amp;" "&amp;表格1[[#This Row],[Shop]]&amp;"*",Roster!$A$4:$A$72,0),DAY(表格1[[#This Row],[date]]),1,1)</f>
        <v>May C</v>
      </c>
      <c r="E4722" s="86">
        <f>MONTH(表格1[[#This Row],[date]])</f>
        <v>3</v>
      </c>
      <c r="F4722" s="90">
        <v>46102</v>
      </c>
      <c r="G4722" s="86" t="str">
        <f>VLOOKUP("*"&amp;表格1[[#This Row],[Input]]&amp;"*",'Ref-List'!$B:$D,2,)</f>
        <v>KT-17DRTHK(H)</v>
      </c>
      <c r="H4722" s="86" t="str">
        <f>_xlfn.XLOOKUP(表格1[[#This Row],[Model]],表格3[Model-Input-Ref2],表格3[Product Line])</f>
        <v>無線雙層電熱水壺(1.7公升)</v>
      </c>
      <c r="I4722" s="86" t="str">
        <f>_xlfn.XLOOKUP(表格1[[#This Row],[Model]],表格3[Model-Input-Ref2],表格3[大小電])</f>
        <v>細電</v>
      </c>
      <c r="J4722" s="86" t="str">
        <f>_xlfn.XLOOKUP(表格1[[#This Row],[Model]],表格3[Model-Input-Ref2],表格3[Code])</f>
        <v>SDA</v>
      </c>
      <c r="K4722" s="89" t="s">
        <v>2035</v>
      </c>
      <c r="L4722" s="86">
        <v>2</v>
      </c>
      <c r="M4722" s="87">
        <v>332.5</v>
      </c>
      <c r="N4722" s="87">
        <f>IFERROR(表格1[[#This Row],[QTY]]*表格1[[#This Row],[Unit Price]],"-")</f>
        <v>665</v>
      </c>
      <c r="R4722" s="86" t="str">
        <f>_xlfn.CONCAT(表格1[[#This Row],[Model]]," ",表格1[[#This Row],[inv no]])</f>
        <v xml:space="preserve">KT-17DRTHK(H) </v>
      </c>
      <c r="S4722" s="86">
        <f>_xlfn.XLOOKUP(表格1[[#This Row],[Model]],表格3[Model-Input-Ref2],表格3[SRP PRICE])</f>
        <v>498</v>
      </c>
      <c r="T4722" s="43">
        <f>表格1[[#This Row],[Unit Price]]/表格1[[#This Row],[SRP]]</f>
        <v>0.66767068273092367</v>
      </c>
      <c r="U4722" s="86" t="str">
        <f>_xlfn.XLOOKUP(表格1[[#This Row],[Model]],表格3[Model-Input-Ref2],表格3[TOSHIBA/HIGHEST])</f>
        <v>Toshiba SRP</v>
      </c>
      <c r="W4722" s="86" t="str">
        <f>_xlfn.CONCAT(表格1[[#This Row],[欄4]],表格1[[#This Row],[inv no]])</f>
        <v/>
      </c>
    </row>
    <row r="4723" spans="1:23">
      <c r="A4723" s="81">
        <v>4721</v>
      </c>
      <c r="B4723" s="86" t="s">
        <v>1203</v>
      </c>
      <c r="C4723" s="86" t="s">
        <v>2027</v>
      </c>
      <c r="D4723" s="89" t="str">
        <f ca="1">OFFSET(Roster!$A$3,MATCH(表格1[[#This Row],[Location]]&amp;" "&amp;表格1[[#This Row],[Shop]]&amp;"*",Roster!$A$4:$A$72,0),DAY(表格1[[#This Row],[date]]),1,1)</f>
        <v>May C</v>
      </c>
      <c r="E4723" s="86">
        <f>MONTH(表格1[[#This Row],[date]])</f>
        <v>3</v>
      </c>
      <c r="F4723" s="90">
        <v>46102</v>
      </c>
      <c r="G4723" s="86" t="str">
        <f>VLOOKUP("*"&amp;表格1[[#This Row],[Input]]&amp;"*",'Ref-List'!$B:$D,2,)</f>
        <v>MM2-EG20PC(WH)</v>
      </c>
      <c r="H4723" s="86" t="str">
        <f>_xlfn.XLOOKUP(表格1[[#This Row],[Model]],表格3[Model-Input-Ref2],表格3[Product Line])</f>
        <v>輕觸式燒烤微波爐</v>
      </c>
      <c r="I4723" s="86" t="str">
        <f>_xlfn.XLOOKUP(表格1[[#This Row],[Model]],表格3[Model-Input-Ref2],表格3[大小電])</f>
        <v>細電</v>
      </c>
      <c r="J4723" s="86" t="str">
        <f>_xlfn.XLOOKUP(表格1[[#This Row],[Model]],表格3[Model-Input-Ref2],表格3[Code])</f>
        <v>MCA</v>
      </c>
      <c r="K4723" s="89" t="s">
        <v>2242</v>
      </c>
      <c r="L4723" s="86">
        <v>1</v>
      </c>
      <c r="M4723" s="87">
        <v>722</v>
      </c>
      <c r="N4723" s="87">
        <f>IFERROR(表格1[[#This Row],[QTY]]*表格1[[#This Row],[Unit Price]],"-")</f>
        <v>722</v>
      </c>
      <c r="R4723" s="86" t="str">
        <f>_xlfn.CONCAT(表格1[[#This Row],[Model]]," ",表格1[[#This Row],[inv no]])</f>
        <v xml:space="preserve">MM2-EG20PC(WH) </v>
      </c>
      <c r="S4723" s="86">
        <f>_xlfn.XLOOKUP(表格1[[#This Row],[Model]],表格3[Model-Input-Ref2],表格3[SRP PRICE])</f>
        <v>918</v>
      </c>
      <c r="T4723" s="43">
        <f>表格1[[#This Row],[Unit Price]]/表格1[[#This Row],[SRP]]</f>
        <v>0.78649237472766886</v>
      </c>
      <c r="U4723" s="86" t="str">
        <f>_xlfn.XLOOKUP(表格1[[#This Row],[Model]],表格3[Model-Input-Ref2],表格3[TOSHIBA/HIGHEST])</f>
        <v>Shops Highest Price</v>
      </c>
      <c r="W4723" s="86" t="str">
        <f>_xlfn.CONCAT(表格1[[#This Row],[欄4]],表格1[[#This Row],[inv no]])</f>
        <v/>
      </c>
    </row>
    <row r="4724" spans="1:23">
      <c r="A4724" s="81">
        <v>4722</v>
      </c>
      <c r="B4724" s="86" t="s">
        <v>1203</v>
      </c>
      <c r="C4724" s="86" t="s">
        <v>2027</v>
      </c>
      <c r="D4724" s="89" t="str">
        <f ca="1">OFFSET(Roster!$A$3,MATCH(表格1[[#This Row],[Location]]&amp;" "&amp;表格1[[#This Row],[Shop]]&amp;"*",Roster!$A$4:$A$72,0),DAY(表格1[[#This Row],[date]]),1,1)</f>
        <v>May C</v>
      </c>
      <c r="E4724" s="86">
        <f>MONTH(表格1[[#This Row],[date]])</f>
        <v>3</v>
      </c>
      <c r="F4724" s="90">
        <v>46102</v>
      </c>
      <c r="G4724" s="86" t="str">
        <f>VLOOKUP("*"&amp;表格1[[#This Row],[Input]]&amp;"*",'Ref-List'!$B:$D,2,)</f>
        <v>IC-20R1THK</v>
      </c>
      <c r="H4724" s="86" t="str">
        <f>_xlfn.XLOOKUP(表格1[[#This Row],[Model]],表格3[Model-Input-Ref2],表格3[Product Line])</f>
        <v>輕便式電磁爐</v>
      </c>
      <c r="I4724" s="86" t="str">
        <f>_xlfn.XLOOKUP(表格1[[#This Row],[Model]],表格3[Model-Input-Ref2],表格3[大小電])</f>
        <v>細電</v>
      </c>
      <c r="J4724" s="86" t="str">
        <f>_xlfn.XLOOKUP(表格1[[#This Row],[Model]],表格3[Model-Input-Ref2],表格3[Code])</f>
        <v>SDA</v>
      </c>
      <c r="K4724" s="89" t="s">
        <v>2243</v>
      </c>
      <c r="L4724" s="86">
        <v>2</v>
      </c>
      <c r="M4724" s="87">
        <v>275.5</v>
      </c>
      <c r="N4724" s="87">
        <f>IFERROR(表格1[[#This Row],[QTY]]*表格1[[#This Row],[Unit Price]],"-")</f>
        <v>551</v>
      </c>
      <c r="R4724" s="86" t="str">
        <f>_xlfn.CONCAT(表格1[[#This Row],[Model]]," ",表格1[[#This Row],[inv no]])</f>
        <v xml:space="preserve">IC-20R1THK </v>
      </c>
      <c r="S4724" s="86">
        <f>_xlfn.XLOOKUP(表格1[[#This Row],[Model]],表格3[Model-Input-Ref2],表格3[SRP PRICE])</f>
        <v>438</v>
      </c>
      <c r="T4724" s="43">
        <f>表格1[[#This Row],[Unit Price]]/表格1[[#This Row],[SRP]]</f>
        <v>0.62899543378995437</v>
      </c>
      <c r="U4724" s="86" t="str">
        <f>_xlfn.XLOOKUP(表格1[[#This Row],[Model]],表格3[Model-Input-Ref2],表格3[TOSHIBA/HIGHEST])</f>
        <v>Shops Highest Price</v>
      </c>
      <c r="W4724" s="86" t="str">
        <f>_xlfn.CONCAT(表格1[[#This Row],[欄4]],表格1[[#This Row],[inv no]])</f>
        <v/>
      </c>
    </row>
    <row r="4725" spans="1:23">
      <c r="A4725" s="81">
        <v>4723</v>
      </c>
      <c r="B4725" s="86" t="s">
        <v>1203</v>
      </c>
      <c r="C4725" s="86" t="s">
        <v>2027</v>
      </c>
      <c r="D4725" s="89" t="str">
        <f ca="1">OFFSET(Roster!$A$3,MATCH(表格1[[#This Row],[Location]]&amp;" "&amp;表格1[[#This Row],[Shop]]&amp;"*",Roster!$A$4:$A$72,0),DAY(表格1[[#This Row],[date]]),1,1)</f>
        <v>May C</v>
      </c>
      <c r="E4725" s="86">
        <f>MONTH(表格1[[#This Row],[date]])</f>
        <v>3</v>
      </c>
      <c r="F4725" s="90">
        <v>46102</v>
      </c>
      <c r="G4725" s="86" t="str">
        <f>VLOOKUP("*"&amp;表格1[[#This Row],[Input]]&amp;"*",'Ref-List'!$B:$D,2,)</f>
        <v>RC-18AMXH(W)</v>
      </c>
      <c r="H4725" s="86" t="str">
        <f>_xlfn.XLOOKUP(表格1[[#This Row],[Model]],表格3[Model-Input-Ref2],表格3[Product Line])</f>
        <v>酵活炊電飯煲(1.8公升)</v>
      </c>
      <c r="I4725" s="86" t="str">
        <f>_xlfn.XLOOKUP(表格1[[#This Row],[Model]],表格3[Model-Input-Ref2],表格3[大小電])</f>
        <v>細電</v>
      </c>
      <c r="J4725" s="86" t="str">
        <f>_xlfn.XLOOKUP(表格1[[#This Row],[Model]],表格3[Model-Input-Ref2],表格3[Code])</f>
        <v>SDA</v>
      </c>
      <c r="K4725" s="89" t="s">
        <v>2085</v>
      </c>
      <c r="L4725" s="86">
        <v>1</v>
      </c>
      <c r="M4725" s="87">
        <v>940.5</v>
      </c>
      <c r="N4725" s="87">
        <f>IFERROR(表格1[[#This Row],[QTY]]*表格1[[#This Row],[Unit Price]],"-")</f>
        <v>940.5</v>
      </c>
      <c r="R4725" s="86" t="str">
        <f>_xlfn.CONCAT(表格1[[#This Row],[Model]]," ",表格1[[#This Row],[inv no]])</f>
        <v xml:space="preserve">RC-18AMXH(W) </v>
      </c>
      <c r="S4725" s="86">
        <f>_xlfn.XLOOKUP(表格1[[#This Row],[Model]],表格3[Model-Input-Ref2],表格3[SRP PRICE])</f>
        <v>1588</v>
      </c>
      <c r="T4725" s="43">
        <f>表格1[[#This Row],[Unit Price]]/表格1[[#This Row],[SRP]]</f>
        <v>0.59225440806045337</v>
      </c>
      <c r="U4725" s="86" t="str">
        <f>_xlfn.XLOOKUP(表格1[[#This Row],[Model]],表格3[Model-Input-Ref2],表格3[TOSHIBA/HIGHEST])</f>
        <v>Toshiba SRP</v>
      </c>
      <c r="W4725" s="86" t="str">
        <f>_xlfn.CONCAT(表格1[[#This Row],[欄4]],表格1[[#This Row],[inv no]])</f>
        <v/>
      </c>
    </row>
    <row r="4726" spans="1:23">
      <c r="A4726" s="81">
        <v>4724</v>
      </c>
      <c r="B4726" s="86" t="s">
        <v>1203</v>
      </c>
      <c r="C4726" s="86" t="s">
        <v>2027</v>
      </c>
      <c r="D4726" s="89" t="str">
        <f ca="1">OFFSET(Roster!$A$3,MATCH(表格1[[#This Row],[Location]]&amp;" "&amp;表格1[[#This Row],[Shop]]&amp;"*",Roster!$A$4:$A$72,0),DAY(表格1[[#This Row],[date]]),1,1)</f>
        <v>May C</v>
      </c>
      <c r="E4726" s="86">
        <f>MONTH(表格1[[#This Row],[date]])</f>
        <v>3</v>
      </c>
      <c r="F4726" s="90">
        <v>46102</v>
      </c>
      <c r="G4726" s="86" t="str">
        <f>VLOOKUP("*"&amp;表格1[[#This Row],[Input]]&amp;"*",'Ref-List'!$B:$D,2,)</f>
        <v>TP-25DR2UHK(W)</v>
      </c>
      <c r="H4726" s="86" t="str">
        <f>_xlfn.XLOOKUP(表格1[[#This Row],[Model]],表格3[Model-Input-Ref2],表格3[Product Line])</f>
        <v>電熱水瓶 (2.5公升)</v>
      </c>
      <c r="I4726" s="86" t="str">
        <f>_xlfn.XLOOKUP(表格1[[#This Row],[Model]],表格3[Model-Input-Ref2],表格3[大小電])</f>
        <v>細電</v>
      </c>
      <c r="J4726" s="86" t="str">
        <f>_xlfn.XLOOKUP(表格1[[#This Row],[Model]],表格3[Model-Input-Ref2],表格3[Code])</f>
        <v>SDA</v>
      </c>
      <c r="K4726" s="89" t="s">
        <v>2048</v>
      </c>
      <c r="L4726" s="86">
        <v>2</v>
      </c>
      <c r="M4726" s="87">
        <v>361</v>
      </c>
      <c r="N4726" s="87">
        <f>IFERROR(表格1[[#This Row],[QTY]]*表格1[[#This Row],[Unit Price]],"-")</f>
        <v>722</v>
      </c>
      <c r="R4726" s="86" t="str">
        <f>_xlfn.CONCAT(表格1[[#This Row],[Model]]," ",表格1[[#This Row],[inv no]])</f>
        <v xml:space="preserve">TP-25DR2UHK(W) </v>
      </c>
      <c r="S4726" s="86">
        <f>_xlfn.XLOOKUP(表格1[[#This Row],[Model]],表格3[Model-Input-Ref2],表格3[SRP PRICE])</f>
        <v>538</v>
      </c>
      <c r="T4726" s="43">
        <f>表格1[[#This Row],[Unit Price]]/表格1[[#This Row],[SRP]]</f>
        <v>0.67100371747211895</v>
      </c>
      <c r="U4726" s="86" t="str">
        <f>_xlfn.XLOOKUP(表格1[[#This Row],[Model]],表格3[Model-Input-Ref2],表格3[TOSHIBA/HIGHEST])</f>
        <v>Toshiba SRP</v>
      </c>
      <c r="W4726" s="86" t="str">
        <f>_xlfn.CONCAT(表格1[[#This Row],[欄4]],表格1[[#This Row],[inv no]])</f>
        <v/>
      </c>
    </row>
    <row r="4727" spans="1:23">
      <c r="A4727" s="81">
        <v>4725</v>
      </c>
      <c r="B4727" s="86" t="s">
        <v>1203</v>
      </c>
      <c r="C4727" s="86" t="s">
        <v>2027</v>
      </c>
      <c r="D4727" s="89" t="str">
        <f ca="1">OFFSET(Roster!$A$3,MATCH(表格1[[#This Row],[Location]]&amp;" "&amp;表格1[[#This Row],[Shop]]&amp;"*",Roster!$A$4:$A$72,0),DAY(表格1[[#This Row],[date]]),1,1)</f>
        <v>May C</v>
      </c>
      <c r="E4727" s="86">
        <f>MONTH(表格1[[#This Row],[date]])</f>
        <v>3</v>
      </c>
      <c r="F4727" s="90">
        <v>46102</v>
      </c>
      <c r="G4727" s="86" t="str">
        <f>VLOOKUP("*"&amp;表格1[[#This Row],[Input]]&amp;"*",'Ref-List'!$B:$D,2,)</f>
        <v>RAD-D300H</v>
      </c>
      <c r="H4727" s="86" t="str">
        <f>_xlfn.XLOOKUP(表格1[[#This Row],[Model]],表格3[Model-Input-Ref2],表格3[Product Line])</f>
        <v>壓縮式抽濕機 (30公升)</v>
      </c>
      <c r="I4727" s="86" t="str">
        <f>_xlfn.XLOOKUP(表格1[[#This Row],[Model]],表格3[Model-Input-Ref2],表格3[大小電])</f>
        <v>細電</v>
      </c>
      <c r="J4727" s="86" t="str">
        <f>_xlfn.XLOOKUP(表格1[[#This Row],[Model]],表格3[Model-Input-Ref2],表格3[Code])</f>
        <v>RAC</v>
      </c>
      <c r="K4727" s="89" t="s">
        <v>1761</v>
      </c>
      <c r="L4727" s="86">
        <v>2</v>
      </c>
      <c r="M4727" s="87">
        <v>2326</v>
      </c>
      <c r="N4727" s="87">
        <f>IFERROR(表格1[[#This Row],[QTY]]*表格1[[#This Row],[Unit Price]],"-")</f>
        <v>4652</v>
      </c>
      <c r="R4727" s="86" t="str">
        <f>_xlfn.CONCAT(表格1[[#This Row],[Model]]," ",表格1[[#This Row],[inv no]])</f>
        <v xml:space="preserve">RAD-D300H </v>
      </c>
      <c r="S4727" s="86">
        <f>_xlfn.XLOOKUP(表格1[[#This Row],[Model]],表格3[Model-Input-Ref2],表格3[SRP PRICE])</f>
        <v>3380</v>
      </c>
      <c r="T4727" s="43">
        <f>表格1[[#This Row],[Unit Price]]/表格1[[#This Row],[SRP]]</f>
        <v>0.68816568047337279</v>
      </c>
      <c r="U4727" s="86" t="str">
        <f>_xlfn.XLOOKUP(表格1[[#This Row],[Model]],表格3[Model-Input-Ref2],表格3[TOSHIBA/HIGHEST])</f>
        <v>Shops Highest Price</v>
      </c>
      <c r="W4727" s="86" t="str">
        <f>_xlfn.CONCAT(表格1[[#This Row],[欄4]],表格1[[#This Row],[inv no]])</f>
        <v/>
      </c>
    </row>
    <row r="4728" spans="1:23">
      <c r="A4728" s="81">
        <v>4726</v>
      </c>
      <c r="B4728" s="86" t="s">
        <v>1203</v>
      </c>
      <c r="C4728" s="86" t="s">
        <v>2027</v>
      </c>
      <c r="D4728" s="89" t="str">
        <f ca="1">OFFSET(Roster!$A$3,MATCH(表格1[[#This Row],[Location]]&amp;" "&amp;表格1[[#This Row],[Shop]]&amp;"*",Roster!$A$4:$A$72,0),DAY(表格1[[#This Row],[date]]),1,1)</f>
        <v>May C</v>
      </c>
      <c r="E4728" s="86">
        <f>MONTH(表格1[[#This Row],[date]])</f>
        <v>3</v>
      </c>
      <c r="F4728" s="90">
        <v>46103</v>
      </c>
      <c r="G4728" s="86" t="str">
        <f>VLOOKUP("*"&amp;表格1[[#This Row],[Input]]&amp;"*",'Ref-List'!$B:$D,2,)</f>
        <v>RC-5SLIH(W)</v>
      </c>
      <c r="H4728" s="86" t="str">
        <f>_xlfn.XLOOKUP(表格1[[#This Row],[Model]],表格3[Model-Input-Ref2],表格3[Product Line])</f>
        <v>微型電腦珍珠飯煲</v>
      </c>
      <c r="I4728" s="86" t="str">
        <f>_xlfn.XLOOKUP(表格1[[#This Row],[Model]],表格3[Model-Input-Ref2],表格3[大小電])</f>
        <v>細電</v>
      </c>
      <c r="J4728" s="86" t="str">
        <f>_xlfn.XLOOKUP(表格1[[#This Row],[Model]],表格3[Model-Input-Ref2],表格3[Code])</f>
        <v>SDA</v>
      </c>
      <c r="K4728" s="89" t="s">
        <v>2037</v>
      </c>
      <c r="L4728" s="86">
        <v>1</v>
      </c>
      <c r="M4728" s="87">
        <v>560.5</v>
      </c>
      <c r="N4728" s="87">
        <f>IFERROR(表格1[[#This Row],[QTY]]*表格1[[#This Row],[Unit Price]],"-")</f>
        <v>560.5</v>
      </c>
      <c r="R4728" s="86" t="str">
        <f>_xlfn.CONCAT(表格1[[#This Row],[Model]]," ",表格1[[#This Row],[inv no]])</f>
        <v xml:space="preserve">RC-5SLIH(W) </v>
      </c>
      <c r="S4728" s="86">
        <f>_xlfn.XLOOKUP(表格1[[#This Row],[Model]],表格3[Model-Input-Ref2],表格3[SRP PRICE])</f>
        <v>658</v>
      </c>
      <c r="T4728" s="43">
        <f>表格1[[#This Row],[Unit Price]]/表格1[[#This Row],[SRP]]</f>
        <v>0.85182370820668696</v>
      </c>
      <c r="U4728" s="86" t="str">
        <f>_xlfn.XLOOKUP(表格1[[#This Row],[Model]],表格3[Model-Input-Ref2],表格3[TOSHIBA/HIGHEST])</f>
        <v>Toshiba SRP</v>
      </c>
      <c r="W4728" s="86" t="str">
        <f>_xlfn.CONCAT(表格1[[#This Row],[欄4]],表格1[[#This Row],[inv no]])</f>
        <v/>
      </c>
    </row>
    <row r="4729" spans="1:23">
      <c r="A4729" s="81">
        <v>4727</v>
      </c>
      <c r="B4729" s="86" t="s">
        <v>1203</v>
      </c>
      <c r="C4729" s="86" t="s">
        <v>2027</v>
      </c>
      <c r="D4729" s="89" t="str">
        <f ca="1">OFFSET(Roster!$A$3,MATCH(表格1[[#This Row],[Location]]&amp;" "&amp;表格1[[#This Row],[Shop]]&amp;"*",Roster!$A$4:$A$72,0),DAY(表格1[[#This Row],[date]]),1,1)</f>
        <v>May C</v>
      </c>
      <c r="E4729" s="86">
        <f>MONTH(表格1[[#This Row],[date]])</f>
        <v>3</v>
      </c>
      <c r="F4729" s="90">
        <v>46103</v>
      </c>
      <c r="G4729" s="86" t="str">
        <f>VLOOKUP("*"&amp;表格1[[#This Row],[Input]]&amp;"*",'Ref-List'!$B:$D,2,)</f>
        <v>KT-17DRTHK(H)</v>
      </c>
      <c r="H4729" s="86" t="str">
        <f>_xlfn.XLOOKUP(表格1[[#This Row],[Model]],表格3[Model-Input-Ref2],表格3[Product Line])</f>
        <v>無線雙層電熱水壺(1.7公升)</v>
      </c>
      <c r="I4729" s="86" t="str">
        <f>_xlfn.XLOOKUP(表格1[[#This Row],[Model]],表格3[Model-Input-Ref2],表格3[大小電])</f>
        <v>細電</v>
      </c>
      <c r="J4729" s="86" t="str">
        <f>_xlfn.XLOOKUP(表格1[[#This Row],[Model]],表格3[Model-Input-Ref2],表格3[Code])</f>
        <v>SDA</v>
      </c>
      <c r="K4729" s="89" t="s">
        <v>2035</v>
      </c>
      <c r="L4729" s="86">
        <v>2</v>
      </c>
      <c r="M4729" s="87">
        <v>350</v>
      </c>
      <c r="N4729" s="87">
        <f>IFERROR(表格1[[#This Row],[QTY]]*表格1[[#This Row],[Unit Price]],"-")</f>
        <v>700</v>
      </c>
      <c r="R4729" s="86" t="str">
        <f>_xlfn.CONCAT(表格1[[#This Row],[Model]]," ",表格1[[#This Row],[inv no]])</f>
        <v xml:space="preserve">KT-17DRTHK(H) </v>
      </c>
      <c r="S4729" s="86">
        <f>_xlfn.XLOOKUP(表格1[[#This Row],[Model]],表格3[Model-Input-Ref2],表格3[SRP PRICE])</f>
        <v>498</v>
      </c>
      <c r="T4729" s="43">
        <f>表格1[[#This Row],[Unit Price]]/表格1[[#This Row],[SRP]]</f>
        <v>0.70281124497991965</v>
      </c>
      <c r="U4729" s="86" t="str">
        <f>_xlfn.XLOOKUP(表格1[[#This Row],[Model]],表格3[Model-Input-Ref2],表格3[TOSHIBA/HIGHEST])</f>
        <v>Toshiba SRP</v>
      </c>
      <c r="W4729" s="86" t="str">
        <f>_xlfn.CONCAT(表格1[[#This Row],[欄4]],表格1[[#This Row],[inv no]])</f>
        <v/>
      </c>
    </row>
    <row r="4730" spans="1:23">
      <c r="A4730" s="81">
        <v>4728</v>
      </c>
      <c r="B4730" s="86" t="s">
        <v>1203</v>
      </c>
      <c r="C4730" s="86" t="s">
        <v>2027</v>
      </c>
      <c r="D4730" s="89" t="str">
        <f ca="1">OFFSET(Roster!$A$3,MATCH(表格1[[#This Row],[Location]]&amp;" "&amp;表格1[[#This Row],[Shop]]&amp;"*",Roster!$A$4:$A$72,0),DAY(表格1[[#This Row],[date]]),1,1)</f>
        <v>May C</v>
      </c>
      <c r="E4730" s="86">
        <f>MONTH(表格1[[#This Row],[date]])</f>
        <v>3</v>
      </c>
      <c r="F4730" s="90">
        <v>46103</v>
      </c>
      <c r="G4730" s="86" t="str">
        <f>VLOOKUP("*"&amp;表格1[[#This Row],[Input]]&amp;"*",'Ref-List'!$B:$D,2,)</f>
        <v>RAD-Y200H</v>
      </c>
      <c r="H4730" s="86" t="str">
        <f>_xlfn.XLOOKUP(表格1[[#This Row],[Model]],表格3[Model-Input-Ref2],表格3[Product Line])</f>
        <v>21L壓縮式抽濕機</v>
      </c>
      <c r="I4730" s="86" t="str">
        <f>_xlfn.XLOOKUP(表格1[[#This Row],[Model]],表格3[Model-Input-Ref2],表格3[大小電])</f>
        <v>大電</v>
      </c>
      <c r="J4730" s="86" t="str">
        <f>_xlfn.XLOOKUP(表格1[[#This Row],[Model]],表格3[Model-Input-Ref2],表格3[Code])</f>
        <v>RAC</v>
      </c>
      <c r="K4730" s="89" t="s">
        <v>2123</v>
      </c>
      <c r="L4730" s="86">
        <v>1</v>
      </c>
      <c r="M4730" s="87">
        <v>1881</v>
      </c>
      <c r="N4730" s="87">
        <f>IFERROR(表格1[[#This Row],[QTY]]*表格1[[#This Row],[Unit Price]],"-")</f>
        <v>1881</v>
      </c>
      <c r="R4730" s="86" t="str">
        <f>_xlfn.CONCAT(表格1[[#This Row],[Model]]," ",表格1[[#This Row],[inv no]])</f>
        <v xml:space="preserve">RAD-Y200H </v>
      </c>
      <c r="S4730" s="86">
        <f>_xlfn.XLOOKUP(表格1[[#This Row],[Model]],表格3[Model-Input-Ref2],表格3[SRP PRICE])</f>
        <v>3280</v>
      </c>
      <c r="T4730" s="43">
        <f>表格1[[#This Row],[Unit Price]]/表格1[[#This Row],[SRP]]</f>
        <v>0.57347560975609757</v>
      </c>
      <c r="U4730" s="86" t="str">
        <f>_xlfn.XLOOKUP(表格1[[#This Row],[Model]],表格3[Model-Input-Ref2],表格3[TOSHIBA/HIGHEST])</f>
        <v>Toshiba SRP</v>
      </c>
      <c r="W4730" s="86" t="str">
        <f>_xlfn.CONCAT(表格1[[#This Row],[欄4]],表格1[[#This Row],[inv no]])</f>
        <v/>
      </c>
    </row>
    <row r="4731" spans="1:23">
      <c r="A4731" s="81">
        <v>4729</v>
      </c>
      <c r="B4731" s="86" t="s">
        <v>1203</v>
      </c>
      <c r="C4731" s="86" t="s">
        <v>2027</v>
      </c>
      <c r="D4731" s="89" t="str">
        <f ca="1">OFFSET(Roster!$A$3,MATCH(表格1[[#This Row],[Location]]&amp;" "&amp;表格1[[#This Row],[Shop]]&amp;"*",Roster!$A$4:$A$72,0),DAY(表格1[[#This Row],[date]]),1,1)</f>
        <v>May C</v>
      </c>
      <c r="E4731" s="86">
        <f>MONTH(表格1[[#This Row],[date]])</f>
        <v>3</v>
      </c>
      <c r="F4731" s="90">
        <v>46103</v>
      </c>
      <c r="G4731" s="86" t="str">
        <f>VLOOKUP("*"&amp;表格1[[#This Row],[Input]]&amp;"*",'Ref-List'!$B:$D,2,)</f>
        <v>RAD-D200H</v>
      </c>
      <c r="H4731" s="86" t="str">
        <f>_xlfn.XLOOKUP(表格1[[#This Row],[Model]],表格3[Model-Input-Ref2],表格3[Product Line])</f>
        <v>壓縮式抽濕機 (22公升)</v>
      </c>
      <c r="I4731" s="86" t="str">
        <f>_xlfn.XLOOKUP(表格1[[#This Row],[Model]],表格3[Model-Input-Ref2],表格3[大小電])</f>
        <v>細電</v>
      </c>
      <c r="J4731" s="86" t="str">
        <f>_xlfn.XLOOKUP(表格1[[#This Row],[Model]],表格3[Model-Input-Ref2],表格3[Code])</f>
        <v>RAC</v>
      </c>
      <c r="K4731" s="89" t="s">
        <v>2039</v>
      </c>
      <c r="L4731" s="86">
        <v>2</v>
      </c>
      <c r="M4731" s="87">
        <v>1938</v>
      </c>
      <c r="N4731" s="87">
        <f>IFERROR(表格1[[#This Row],[QTY]]*表格1[[#This Row],[Unit Price]],"-")</f>
        <v>3876</v>
      </c>
      <c r="R4731" s="86" t="str">
        <f>_xlfn.CONCAT(表格1[[#This Row],[Model]]," ",表格1[[#This Row],[inv no]])</f>
        <v xml:space="preserve">RAD-D200H </v>
      </c>
      <c r="S4731" s="86">
        <f>_xlfn.XLOOKUP(表格1[[#This Row],[Model]],表格3[Model-Input-Ref2],表格3[SRP PRICE])</f>
        <v>2880</v>
      </c>
      <c r="T4731" s="43">
        <f>表格1[[#This Row],[Unit Price]]/表格1[[#This Row],[SRP]]</f>
        <v>0.67291666666666672</v>
      </c>
      <c r="U4731" s="86" t="str">
        <f>_xlfn.XLOOKUP(表格1[[#This Row],[Model]],表格3[Model-Input-Ref2],表格3[TOSHIBA/HIGHEST])</f>
        <v>Shops Highest Price</v>
      </c>
      <c r="W4731" s="86" t="str">
        <f>_xlfn.CONCAT(表格1[[#This Row],[欄4]],表格1[[#This Row],[inv no]])</f>
        <v/>
      </c>
    </row>
    <row r="4732" spans="1:23">
      <c r="A4732" s="81">
        <v>4730</v>
      </c>
      <c r="B4732" s="86" t="s">
        <v>1203</v>
      </c>
      <c r="C4732" s="86" t="s">
        <v>2027</v>
      </c>
      <c r="D4732" s="89" t="str">
        <f ca="1">OFFSET(Roster!$A$3,MATCH(表格1[[#This Row],[Location]]&amp;" "&amp;表格1[[#This Row],[Shop]]&amp;"*",Roster!$A$4:$A$72,0),DAY(表格1[[#This Row],[date]]),1,1)</f>
        <v>May C</v>
      </c>
      <c r="E4732" s="86">
        <f>MONTH(表格1[[#This Row],[date]])</f>
        <v>3</v>
      </c>
      <c r="F4732" s="90">
        <v>46103</v>
      </c>
      <c r="G4732" s="86" t="str">
        <f>VLOOKUP("*"&amp;表格1[[#This Row],[Input]]&amp;"*",'Ref-List'!$B:$D,2,)</f>
        <v>RAD-D300H</v>
      </c>
      <c r="H4732" s="86" t="str">
        <f>_xlfn.XLOOKUP(表格1[[#This Row],[Model]],表格3[Model-Input-Ref2],表格3[Product Line])</f>
        <v>壓縮式抽濕機 (30公升)</v>
      </c>
      <c r="I4732" s="86" t="str">
        <f>_xlfn.XLOOKUP(表格1[[#This Row],[Model]],表格3[Model-Input-Ref2],表格3[大小電])</f>
        <v>細電</v>
      </c>
      <c r="J4732" s="86" t="str">
        <f>_xlfn.XLOOKUP(表格1[[#This Row],[Model]],表格3[Model-Input-Ref2],表格3[Code])</f>
        <v>RAC</v>
      </c>
      <c r="K4732" s="89" t="s">
        <v>1761</v>
      </c>
      <c r="L4732" s="86">
        <v>2</v>
      </c>
      <c r="M4732" s="87">
        <v>2326</v>
      </c>
      <c r="N4732" s="87">
        <f>IFERROR(表格1[[#This Row],[QTY]]*表格1[[#This Row],[Unit Price]],"-")</f>
        <v>4652</v>
      </c>
      <c r="R4732" s="86" t="str">
        <f>_xlfn.CONCAT(表格1[[#This Row],[Model]]," ",表格1[[#This Row],[inv no]])</f>
        <v xml:space="preserve">RAD-D300H </v>
      </c>
      <c r="S4732" s="86">
        <f>_xlfn.XLOOKUP(表格1[[#This Row],[Model]],表格3[Model-Input-Ref2],表格3[SRP PRICE])</f>
        <v>3380</v>
      </c>
      <c r="T4732" s="43">
        <f>表格1[[#This Row],[Unit Price]]/表格1[[#This Row],[SRP]]</f>
        <v>0.68816568047337279</v>
      </c>
      <c r="U4732" s="86" t="str">
        <f>_xlfn.XLOOKUP(表格1[[#This Row],[Model]],表格3[Model-Input-Ref2],表格3[TOSHIBA/HIGHEST])</f>
        <v>Shops Highest Price</v>
      </c>
      <c r="W4732" s="86" t="str">
        <f>_xlfn.CONCAT(表格1[[#This Row],[欄4]],表格1[[#This Row],[inv no]])</f>
        <v/>
      </c>
    </row>
    <row r="4733" spans="1:23">
      <c r="A4733" s="81">
        <v>4731</v>
      </c>
      <c r="B4733" s="86" t="s">
        <v>1203</v>
      </c>
      <c r="C4733" s="86" t="s">
        <v>2027</v>
      </c>
      <c r="D4733" s="89" t="str">
        <f ca="1">OFFSET(Roster!$A$3,MATCH(表格1[[#This Row],[Location]]&amp;" "&amp;表格1[[#This Row],[Shop]]&amp;"*",Roster!$A$4:$A$72,0),DAY(表格1[[#This Row],[date]]),1,1)</f>
        <v>May C</v>
      </c>
      <c r="E4733" s="86">
        <f>MONTH(表格1[[#This Row],[date]])</f>
        <v>3</v>
      </c>
      <c r="F4733" s="90">
        <v>46104</v>
      </c>
      <c r="G4733" s="86" t="str">
        <f>VLOOKUP("*"&amp;表格1[[#This Row],[Input]]&amp;"*",'Ref-List'!$B:$D,2,)</f>
        <v>RC-DR10T(W)</v>
      </c>
      <c r="H4733" s="86" t="str">
        <f>_xlfn.XLOOKUP(表格1[[#This Row],[Model]],表格3[Model-Input-Ref2],表格3[Product Line])</f>
        <v>IH磁應電飯煲</v>
      </c>
      <c r="I4733" s="86" t="str">
        <f>_xlfn.XLOOKUP(表格1[[#This Row],[Model]],表格3[Model-Input-Ref2],表格3[大小電])</f>
        <v>細電</v>
      </c>
      <c r="J4733" s="86" t="str">
        <f>_xlfn.XLOOKUP(表格1[[#This Row],[Model]],表格3[Model-Input-Ref2],表格3[Code])</f>
        <v>SDA</v>
      </c>
      <c r="K4733" s="89" t="s">
        <v>2087</v>
      </c>
      <c r="L4733" s="86">
        <v>1</v>
      </c>
      <c r="M4733" s="87">
        <v>2261</v>
      </c>
      <c r="N4733" s="87">
        <f>IFERROR(表格1[[#This Row],[QTY]]*表格1[[#This Row],[Unit Price]],"-")</f>
        <v>2261</v>
      </c>
      <c r="R4733" s="86" t="str">
        <f>_xlfn.CONCAT(表格1[[#This Row],[Model]]," ",表格1[[#This Row],[inv no]])</f>
        <v xml:space="preserve">RC-DR10T(W) </v>
      </c>
      <c r="S4733" s="86">
        <f>_xlfn.XLOOKUP(表格1[[#This Row],[Model]],表格3[Model-Input-Ref2],表格3[SRP PRICE])</f>
        <v>3188</v>
      </c>
      <c r="T4733" s="43">
        <f>表格1[[#This Row],[Unit Price]]/表格1[[#This Row],[SRP]]</f>
        <v>0.70922208281053956</v>
      </c>
      <c r="U4733" s="86" t="str">
        <f>_xlfn.XLOOKUP(表格1[[#This Row],[Model]],表格3[Model-Input-Ref2],表格3[TOSHIBA/HIGHEST])</f>
        <v>Toshiba SRP</v>
      </c>
      <c r="W4733" s="86" t="str">
        <f>_xlfn.CONCAT(表格1[[#This Row],[欄4]],表格1[[#This Row],[inv no]])</f>
        <v/>
      </c>
    </row>
    <row r="4734" spans="1:23">
      <c r="A4734" s="81">
        <v>4732</v>
      </c>
      <c r="B4734" s="86" t="s">
        <v>1203</v>
      </c>
      <c r="C4734" s="86" t="s">
        <v>2027</v>
      </c>
      <c r="D4734" s="89" t="str">
        <f ca="1">OFFSET(Roster!$A$3,MATCH(表格1[[#This Row],[Location]]&amp;" "&amp;表格1[[#This Row],[Shop]]&amp;"*",Roster!$A$4:$A$72,0),DAY(表格1[[#This Row],[date]]),1,1)</f>
        <v>May C</v>
      </c>
      <c r="E4734" s="86">
        <f>MONTH(表格1[[#This Row],[date]])</f>
        <v>3</v>
      </c>
      <c r="F4734" s="90">
        <v>46104</v>
      </c>
      <c r="G4734" s="86" t="str">
        <f>VLOOKUP("*"&amp;表格1[[#This Row],[Input]]&amp;"*",'Ref-List'!$B:$D,2,)</f>
        <v>KT-17DRTHK(H)</v>
      </c>
      <c r="H4734" s="86" t="str">
        <f>_xlfn.XLOOKUP(表格1[[#This Row],[Model]],表格3[Model-Input-Ref2],表格3[Product Line])</f>
        <v>無線雙層電熱水壺(1.7公升)</v>
      </c>
      <c r="I4734" s="86" t="str">
        <f>_xlfn.XLOOKUP(表格1[[#This Row],[Model]],表格3[Model-Input-Ref2],表格3[大小電])</f>
        <v>細電</v>
      </c>
      <c r="J4734" s="86" t="str">
        <f>_xlfn.XLOOKUP(表格1[[#This Row],[Model]],表格3[Model-Input-Ref2],表格3[Code])</f>
        <v>SDA</v>
      </c>
      <c r="K4734" s="89" t="s">
        <v>2035</v>
      </c>
      <c r="L4734" s="86">
        <v>1</v>
      </c>
      <c r="M4734" s="87">
        <v>350</v>
      </c>
      <c r="N4734" s="87">
        <f>IFERROR(表格1[[#This Row],[QTY]]*表格1[[#This Row],[Unit Price]],"-")</f>
        <v>350</v>
      </c>
      <c r="R4734" s="86" t="str">
        <f>_xlfn.CONCAT(表格1[[#This Row],[Model]]," ",表格1[[#This Row],[inv no]])</f>
        <v xml:space="preserve">KT-17DRTHK(H) </v>
      </c>
      <c r="S4734" s="86">
        <f>_xlfn.XLOOKUP(表格1[[#This Row],[Model]],表格3[Model-Input-Ref2],表格3[SRP PRICE])</f>
        <v>498</v>
      </c>
      <c r="T4734" s="43">
        <f>表格1[[#This Row],[Unit Price]]/表格1[[#This Row],[SRP]]</f>
        <v>0.70281124497991965</v>
      </c>
      <c r="U4734" s="86" t="str">
        <f>_xlfn.XLOOKUP(表格1[[#This Row],[Model]],表格3[Model-Input-Ref2],表格3[TOSHIBA/HIGHEST])</f>
        <v>Toshiba SRP</v>
      </c>
      <c r="W4734" s="86" t="str">
        <f>_xlfn.CONCAT(表格1[[#This Row],[欄4]],表格1[[#This Row],[inv no]])</f>
        <v/>
      </c>
    </row>
    <row r="4735" spans="1:23">
      <c r="A4735" s="81">
        <v>4733</v>
      </c>
      <c r="B4735" s="86" t="s">
        <v>1203</v>
      </c>
      <c r="C4735" s="86" t="s">
        <v>2027</v>
      </c>
      <c r="D4735" s="89" t="str">
        <f ca="1">OFFSET(Roster!$A$3,MATCH(表格1[[#This Row],[Location]]&amp;" "&amp;表格1[[#This Row],[Shop]]&amp;"*",Roster!$A$4:$A$72,0),DAY(表格1[[#This Row],[date]]),1,1)</f>
        <v>May C</v>
      </c>
      <c r="E4735" s="86">
        <f>MONTH(表格1[[#This Row],[date]])</f>
        <v>3</v>
      </c>
      <c r="F4735" s="90">
        <v>46104</v>
      </c>
      <c r="G4735" s="86" t="str">
        <f>VLOOKUP("*"&amp;表格1[[#This Row],[Input]]&amp;"*",'Ref-List'!$B:$D,2,)</f>
        <v>IC-20R1THK</v>
      </c>
      <c r="H4735" s="86" t="str">
        <f>_xlfn.XLOOKUP(表格1[[#This Row],[Model]],表格3[Model-Input-Ref2],表格3[Product Line])</f>
        <v>輕便式電磁爐</v>
      </c>
      <c r="I4735" s="86" t="str">
        <f>_xlfn.XLOOKUP(表格1[[#This Row],[Model]],表格3[Model-Input-Ref2],表格3[大小電])</f>
        <v>細電</v>
      </c>
      <c r="J4735" s="86" t="str">
        <f>_xlfn.XLOOKUP(表格1[[#This Row],[Model]],表格3[Model-Input-Ref2],表格3[Code])</f>
        <v>SDA</v>
      </c>
      <c r="K4735" s="89" t="s">
        <v>2243</v>
      </c>
      <c r="L4735" s="86">
        <v>2</v>
      </c>
      <c r="M4735" s="87">
        <v>275.5</v>
      </c>
      <c r="N4735" s="87">
        <f>IFERROR(表格1[[#This Row],[QTY]]*表格1[[#This Row],[Unit Price]],"-")</f>
        <v>551</v>
      </c>
      <c r="R4735" s="86" t="str">
        <f>_xlfn.CONCAT(表格1[[#This Row],[Model]]," ",表格1[[#This Row],[inv no]])</f>
        <v xml:space="preserve">IC-20R1THK </v>
      </c>
      <c r="S4735" s="86">
        <f>_xlfn.XLOOKUP(表格1[[#This Row],[Model]],表格3[Model-Input-Ref2],表格3[SRP PRICE])</f>
        <v>438</v>
      </c>
      <c r="T4735" s="43">
        <f>表格1[[#This Row],[Unit Price]]/表格1[[#This Row],[SRP]]</f>
        <v>0.62899543378995437</v>
      </c>
      <c r="U4735" s="86" t="str">
        <f>_xlfn.XLOOKUP(表格1[[#This Row],[Model]],表格3[Model-Input-Ref2],表格3[TOSHIBA/HIGHEST])</f>
        <v>Shops Highest Price</v>
      </c>
      <c r="W4735" s="86" t="str">
        <f>_xlfn.CONCAT(表格1[[#This Row],[欄4]],表格1[[#This Row],[inv no]])</f>
        <v/>
      </c>
    </row>
    <row r="4736" spans="1:23">
      <c r="A4736" s="81">
        <v>4734</v>
      </c>
      <c r="B4736" s="86" t="s">
        <v>1203</v>
      </c>
      <c r="C4736" s="86" t="s">
        <v>2027</v>
      </c>
      <c r="D4736" s="89" t="str">
        <f ca="1">OFFSET(Roster!$A$3,MATCH(表格1[[#This Row],[Location]]&amp;" "&amp;表格1[[#This Row],[Shop]]&amp;"*",Roster!$A$4:$A$72,0),DAY(表格1[[#This Row],[date]]),1,1)</f>
        <v>May C</v>
      </c>
      <c r="E4736" s="86">
        <f>MONTH(表格1[[#This Row],[date]])</f>
        <v>3</v>
      </c>
      <c r="F4736" s="90">
        <v>46104</v>
      </c>
      <c r="G4736" s="86" t="str">
        <f>VLOOKUP("*"&amp;表格1[[#This Row],[Input]]&amp;"*",'Ref-List'!$B:$D,2,)</f>
        <v>TP-50DRUHK(W)</v>
      </c>
      <c r="H4736" s="86" t="str">
        <f>_xlfn.XLOOKUP(表格1[[#This Row],[Model]],表格3[Model-Input-Ref2],表格3[Product Line])</f>
        <v>電熱水瓶 (5公升)</v>
      </c>
      <c r="I4736" s="86" t="str">
        <f>_xlfn.XLOOKUP(表格1[[#This Row],[Model]],表格3[Model-Input-Ref2],表格3[大小電])</f>
        <v>細電</v>
      </c>
      <c r="J4736" s="86" t="str">
        <f>_xlfn.XLOOKUP(表格1[[#This Row],[Model]],表格3[Model-Input-Ref2],表格3[Code])</f>
        <v>SDA</v>
      </c>
      <c r="K4736" s="89" t="s">
        <v>2245</v>
      </c>
      <c r="L4736" s="86">
        <v>1</v>
      </c>
      <c r="M4736" s="87">
        <v>620</v>
      </c>
      <c r="N4736" s="87">
        <f>IFERROR(表格1[[#This Row],[QTY]]*表格1[[#This Row],[Unit Price]],"-")</f>
        <v>620</v>
      </c>
      <c r="R4736" s="86" t="str">
        <f>_xlfn.CONCAT(表格1[[#This Row],[Model]]," ",表格1[[#This Row],[inv no]])</f>
        <v xml:space="preserve">TP-50DRUHK(W) </v>
      </c>
      <c r="S4736" s="86">
        <f>_xlfn.XLOOKUP(表格1[[#This Row],[Model]],表格3[Model-Input-Ref2],表格3[SRP PRICE])</f>
        <v>718</v>
      </c>
      <c r="T4736" s="43">
        <f>表格1[[#This Row],[Unit Price]]/表格1[[#This Row],[SRP]]</f>
        <v>0.86350974930362112</v>
      </c>
      <c r="U4736" s="86" t="str">
        <f>_xlfn.XLOOKUP(表格1[[#This Row],[Model]],表格3[Model-Input-Ref2],表格3[TOSHIBA/HIGHEST])</f>
        <v>Toshiba SRP</v>
      </c>
      <c r="W4736" s="86" t="str">
        <f>_xlfn.CONCAT(表格1[[#This Row],[欄4]],表格1[[#This Row],[inv no]])</f>
        <v/>
      </c>
    </row>
    <row r="4737" spans="1:23">
      <c r="A4737" s="81">
        <v>4735</v>
      </c>
      <c r="B4737" s="86" t="s">
        <v>1203</v>
      </c>
      <c r="C4737" s="86" t="s">
        <v>2027</v>
      </c>
      <c r="D4737" s="89" t="str">
        <f ca="1">OFFSET(Roster!$A$3,MATCH(表格1[[#This Row],[Location]]&amp;" "&amp;表格1[[#This Row],[Shop]]&amp;"*",Roster!$A$4:$A$72,0),DAY(表格1[[#This Row],[date]]),1,1)</f>
        <v>May C</v>
      </c>
      <c r="E4737" s="86">
        <f>MONTH(表格1[[#This Row],[date]])</f>
        <v>3</v>
      </c>
      <c r="F4737" s="90">
        <v>46104</v>
      </c>
      <c r="G4737" s="86" t="str">
        <f>VLOOKUP("*"&amp;表格1[[#This Row],[Input]]&amp;"*",'Ref-List'!$B:$D,2,)</f>
        <v>RAD-D300H</v>
      </c>
      <c r="H4737" s="86" t="str">
        <f>_xlfn.XLOOKUP(表格1[[#This Row],[Model]],表格3[Model-Input-Ref2],表格3[Product Line])</f>
        <v>壓縮式抽濕機 (30公升)</v>
      </c>
      <c r="I4737" s="86" t="str">
        <f>_xlfn.XLOOKUP(表格1[[#This Row],[Model]],表格3[Model-Input-Ref2],表格3[大小電])</f>
        <v>細電</v>
      </c>
      <c r="J4737" s="86" t="str">
        <f>_xlfn.XLOOKUP(表格1[[#This Row],[Model]],表格3[Model-Input-Ref2],表格3[Code])</f>
        <v>RAC</v>
      </c>
      <c r="K4737" s="89" t="s">
        <v>1761</v>
      </c>
      <c r="L4737" s="86">
        <v>1</v>
      </c>
      <c r="M4737" s="87">
        <v>2326</v>
      </c>
      <c r="N4737" s="87">
        <f>IFERROR(表格1[[#This Row],[QTY]]*表格1[[#This Row],[Unit Price]],"-")</f>
        <v>2326</v>
      </c>
      <c r="R4737" s="86" t="str">
        <f>_xlfn.CONCAT(表格1[[#This Row],[Model]]," ",表格1[[#This Row],[inv no]])</f>
        <v xml:space="preserve">RAD-D300H </v>
      </c>
      <c r="S4737" s="86">
        <f>_xlfn.XLOOKUP(表格1[[#This Row],[Model]],表格3[Model-Input-Ref2],表格3[SRP PRICE])</f>
        <v>3380</v>
      </c>
      <c r="T4737" s="43">
        <f>表格1[[#This Row],[Unit Price]]/表格1[[#This Row],[SRP]]</f>
        <v>0.68816568047337279</v>
      </c>
      <c r="U4737" s="86" t="str">
        <f>_xlfn.XLOOKUP(表格1[[#This Row],[Model]],表格3[Model-Input-Ref2],表格3[TOSHIBA/HIGHEST])</f>
        <v>Shops Highest Price</v>
      </c>
      <c r="W4737" s="86" t="str">
        <f>_xlfn.CONCAT(表格1[[#This Row],[欄4]],表格1[[#This Row],[inv no]])</f>
        <v/>
      </c>
    </row>
    <row r="4738" spans="1:23">
      <c r="A4738" s="81">
        <v>4736</v>
      </c>
      <c r="B4738" s="86" t="s">
        <v>1203</v>
      </c>
      <c r="C4738" s="86" t="s">
        <v>2027</v>
      </c>
      <c r="D4738" s="89" t="str">
        <f ca="1">OFFSET(Roster!$A$3,MATCH(表格1[[#This Row],[Location]]&amp;" "&amp;表格1[[#This Row],[Shop]]&amp;"*",Roster!$A$4:$A$72,0),DAY(表格1[[#This Row],[date]]),1,1)</f>
        <v>May C</v>
      </c>
      <c r="E4738" s="86">
        <f>MONTH(表格1[[#This Row],[date]])</f>
        <v>3</v>
      </c>
      <c r="F4738" s="90">
        <v>46107</v>
      </c>
      <c r="G4738" s="86" t="str">
        <f>VLOOKUP("*"&amp;表格1[[#This Row],[Input]]&amp;"*",'Ref-List'!$B:$D,2,)</f>
        <v>ET-TD7080(PN)</v>
      </c>
      <c r="H4738" s="86" t="str">
        <f>_xlfn.XLOOKUP(表格1[[#This Row],[Model]],表格3[Model-Input-Ref2],表格3[Product Line])</f>
        <v>多士焗爐8L</v>
      </c>
      <c r="I4738" s="86" t="str">
        <f>_xlfn.XLOOKUP(表格1[[#This Row],[Model]],表格3[Model-Input-Ref2],表格3[大小電])</f>
        <v>細電</v>
      </c>
      <c r="J4738" s="86" t="str">
        <f>_xlfn.XLOOKUP(表格1[[#This Row],[Model]],表格3[Model-Input-Ref2],表格3[Code])</f>
        <v>SDA</v>
      </c>
      <c r="K4738" s="89">
        <v>7080</v>
      </c>
      <c r="L4738" s="86">
        <v>1</v>
      </c>
      <c r="M4738" s="87">
        <v>330</v>
      </c>
      <c r="N4738" s="87">
        <f>IFERROR(表格1[[#This Row],[QTY]]*表格1[[#This Row],[Unit Price]],"-")</f>
        <v>330</v>
      </c>
      <c r="R4738" s="86" t="str">
        <f>_xlfn.CONCAT(表格1[[#This Row],[Model]]," ",表格1[[#This Row],[inv no]])</f>
        <v xml:space="preserve">ET-TD7080(PN) </v>
      </c>
      <c r="S4738" s="86">
        <f>_xlfn.XLOOKUP(表格1[[#This Row],[Model]],表格3[Model-Input-Ref2],表格3[SRP PRICE])</f>
        <v>498</v>
      </c>
      <c r="T4738" s="43">
        <f>表格1[[#This Row],[Unit Price]]/表格1[[#This Row],[SRP]]</f>
        <v>0.66265060240963858</v>
      </c>
      <c r="U4738" s="86" t="str">
        <f>_xlfn.XLOOKUP(表格1[[#This Row],[Model]],表格3[Model-Input-Ref2],表格3[TOSHIBA/HIGHEST])</f>
        <v>Toshiba SRP</v>
      </c>
      <c r="W4738" s="86" t="str">
        <f>_xlfn.CONCAT(表格1[[#This Row],[欄4]],表格1[[#This Row],[inv no]])</f>
        <v/>
      </c>
    </row>
    <row r="4739" spans="1:23">
      <c r="A4739" s="81">
        <v>4737</v>
      </c>
      <c r="B4739" s="86" t="s">
        <v>1203</v>
      </c>
      <c r="C4739" s="86" t="s">
        <v>2027</v>
      </c>
      <c r="D4739" s="89" t="str">
        <f ca="1">OFFSET(Roster!$A$3,MATCH(表格1[[#This Row],[Location]]&amp;" "&amp;表格1[[#This Row],[Shop]]&amp;"*",Roster!$A$4:$A$72,0),DAY(表格1[[#This Row],[date]]),1,1)</f>
        <v>May C</v>
      </c>
      <c r="E4739" s="86">
        <f>MONTH(表格1[[#This Row],[date]])</f>
        <v>3</v>
      </c>
      <c r="F4739" s="90">
        <v>46107</v>
      </c>
      <c r="G4739" s="86" t="str">
        <f>VLOOKUP("*"&amp;表格1[[#This Row],[Input]]&amp;"*",'Ref-List'!$B:$D,2,)</f>
        <v>KT-17DRTHK(H)</v>
      </c>
      <c r="H4739" s="86" t="str">
        <f>_xlfn.XLOOKUP(表格1[[#This Row],[Model]],表格3[Model-Input-Ref2],表格3[Product Line])</f>
        <v>無線雙層電熱水壺(1.7公升)</v>
      </c>
      <c r="I4739" s="86" t="str">
        <f>_xlfn.XLOOKUP(表格1[[#This Row],[Model]],表格3[Model-Input-Ref2],表格3[大小電])</f>
        <v>細電</v>
      </c>
      <c r="J4739" s="86" t="str">
        <f>_xlfn.XLOOKUP(表格1[[#This Row],[Model]],表格3[Model-Input-Ref2],表格3[Code])</f>
        <v>SDA</v>
      </c>
      <c r="K4739" s="89" t="s">
        <v>2035</v>
      </c>
      <c r="L4739" s="86">
        <v>2</v>
      </c>
      <c r="M4739" s="87">
        <v>350</v>
      </c>
      <c r="N4739" s="87">
        <f>IFERROR(表格1[[#This Row],[QTY]]*表格1[[#This Row],[Unit Price]],"-")</f>
        <v>700</v>
      </c>
      <c r="R4739" s="86" t="str">
        <f>_xlfn.CONCAT(表格1[[#This Row],[Model]]," ",表格1[[#This Row],[inv no]])</f>
        <v xml:space="preserve">KT-17DRTHK(H) </v>
      </c>
      <c r="S4739" s="86">
        <f>_xlfn.XLOOKUP(表格1[[#This Row],[Model]],表格3[Model-Input-Ref2],表格3[SRP PRICE])</f>
        <v>498</v>
      </c>
      <c r="T4739" s="43">
        <f>表格1[[#This Row],[Unit Price]]/表格1[[#This Row],[SRP]]</f>
        <v>0.70281124497991965</v>
      </c>
      <c r="U4739" s="86" t="str">
        <f>_xlfn.XLOOKUP(表格1[[#This Row],[Model]],表格3[Model-Input-Ref2],表格3[TOSHIBA/HIGHEST])</f>
        <v>Toshiba SRP</v>
      </c>
      <c r="W4739" s="86" t="str">
        <f>_xlfn.CONCAT(表格1[[#This Row],[欄4]],表格1[[#This Row],[inv no]])</f>
        <v/>
      </c>
    </row>
    <row r="4740" spans="1:23">
      <c r="A4740" s="81">
        <v>4738</v>
      </c>
      <c r="B4740" s="86" t="s">
        <v>1203</v>
      </c>
      <c r="C4740" s="86" t="s">
        <v>2027</v>
      </c>
      <c r="D4740" s="89" t="str">
        <f ca="1">OFFSET(Roster!$A$3,MATCH(表格1[[#This Row],[Location]]&amp;" "&amp;表格1[[#This Row],[Shop]]&amp;"*",Roster!$A$4:$A$72,0),DAY(表格1[[#This Row],[date]]),1,1)</f>
        <v>May C</v>
      </c>
      <c r="E4740" s="86">
        <f>MONTH(表格1[[#This Row],[date]])</f>
        <v>3</v>
      </c>
      <c r="F4740" s="90">
        <v>46107</v>
      </c>
      <c r="G4740" s="86" t="str">
        <f>VLOOKUP("*"&amp;表格1[[#This Row],[Input]]&amp;"*",'Ref-List'!$B:$D,2,)</f>
        <v>MM2-EG20PC(WH)</v>
      </c>
      <c r="H4740" s="86" t="str">
        <f>_xlfn.XLOOKUP(表格1[[#This Row],[Model]],表格3[Model-Input-Ref2],表格3[Product Line])</f>
        <v>輕觸式燒烤微波爐</v>
      </c>
      <c r="I4740" s="86" t="str">
        <f>_xlfn.XLOOKUP(表格1[[#This Row],[Model]],表格3[Model-Input-Ref2],表格3[大小電])</f>
        <v>細電</v>
      </c>
      <c r="J4740" s="86" t="str">
        <f>_xlfn.XLOOKUP(表格1[[#This Row],[Model]],表格3[Model-Input-Ref2],表格3[Code])</f>
        <v>MCA</v>
      </c>
      <c r="K4740" s="89" t="s">
        <v>2242</v>
      </c>
      <c r="L4740" s="86">
        <v>1</v>
      </c>
      <c r="M4740" s="87">
        <v>760</v>
      </c>
      <c r="N4740" s="87">
        <f>IFERROR(表格1[[#This Row],[QTY]]*表格1[[#This Row],[Unit Price]],"-")</f>
        <v>760</v>
      </c>
      <c r="R4740" s="86" t="str">
        <f>_xlfn.CONCAT(表格1[[#This Row],[Model]]," ",表格1[[#This Row],[inv no]])</f>
        <v xml:space="preserve">MM2-EG20PC(WH) </v>
      </c>
      <c r="S4740" s="86">
        <f>_xlfn.XLOOKUP(表格1[[#This Row],[Model]],表格3[Model-Input-Ref2],表格3[SRP PRICE])</f>
        <v>918</v>
      </c>
      <c r="T4740" s="43">
        <f>表格1[[#This Row],[Unit Price]]/表格1[[#This Row],[SRP]]</f>
        <v>0.82788671023965144</v>
      </c>
      <c r="U4740" s="86" t="str">
        <f>_xlfn.XLOOKUP(表格1[[#This Row],[Model]],表格3[Model-Input-Ref2],表格3[TOSHIBA/HIGHEST])</f>
        <v>Shops Highest Price</v>
      </c>
      <c r="W4740" s="86" t="str">
        <f>_xlfn.CONCAT(表格1[[#This Row],[欄4]],表格1[[#This Row],[inv no]])</f>
        <v/>
      </c>
    </row>
    <row r="4741" spans="1:23">
      <c r="A4741" s="81">
        <v>4739</v>
      </c>
      <c r="B4741" s="86" t="s">
        <v>1203</v>
      </c>
      <c r="C4741" s="86" t="s">
        <v>2027</v>
      </c>
      <c r="D4741" s="89" t="str">
        <f ca="1">OFFSET(Roster!$A$3,MATCH(表格1[[#This Row],[Location]]&amp;" "&amp;表格1[[#This Row],[Shop]]&amp;"*",Roster!$A$4:$A$72,0),DAY(表格1[[#This Row],[date]]),1,1)</f>
        <v>May C</v>
      </c>
      <c r="E4741" s="86">
        <f>MONTH(表格1[[#This Row],[date]])</f>
        <v>3</v>
      </c>
      <c r="F4741" s="90">
        <v>46107</v>
      </c>
      <c r="G4741" s="86" t="str">
        <f>VLOOKUP("*"&amp;表格1[[#This Row],[Input]]&amp;"*",'Ref-List'!$B:$D,2,)</f>
        <v>RC-18AMXH(W)</v>
      </c>
      <c r="H4741" s="86" t="str">
        <f>_xlfn.XLOOKUP(表格1[[#This Row],[Model]],表格3[Model-Input-Ref2],表格3[Product Line])</f>
        <v>酵活炊電飯煲(1.8公升)</v>
      </c>
      <c r="I4741" s="86" t="str">
        <f>_xlfn.XLOOKUP(表格1[[#This Row],[Model]],表格3[Model-Input-Ref2],表格3[大小電])</f>
        <v>細電</v>
      </c>
      <c r="J4741" s="86" t="str">
        <f>_xlfn.XLOOKUP(表格1[[#This Row],[Model]],表格3[Model-Input-Ref2],表格3[Code])</f>
        <v>SDA</v>
      </c>
      <c r="K4741" s="89" t="s">
        <v>2085</v>
      </c>
      <c r="L4741" s="86">
        <v>1</v>
      </c>
      <c r="M4741" s="87">
        <v>990</v>
      </c>
      <c r="N4741" s="87">
        <f>IFERROR(表格1[[#This Row],[QTY]]*表格1[[#This Row],[Unit Price]],"-")</f>
        <v>990</v>
      </c>
      <c r="R4741" s="86" t="str">
        <f>_xlfn.CONCAT(表格1[[#This Row],[Model]]," ",表格1[[#This Row],[inv no]])</f>
        <v xml:space="preserve">RC-18AMXH(W) </v>
      </c>
      <c r="S4741" s="86">
        <f>_xlfn.XLOOKUP(表格1[[#This Row],[Model]],表格3[Model-Input-Ref2],表格3[SRP PRICE])</f>
        <v>1588</v>
      </c>
      <c r="T4741" s="43">
        <f>表格1[[#This Row],[Unit Price]]/表格1[[#This Row],[SRP]]</f>
        <v>0.62342569269521408</v>
      </c>
      <c r="U4741" s="86" t="str">
        <f>_xlfn.XLOOKUP(表格1[[#This Row],[Model]],表格3[Model-Input-Ref2],表格3[TOSHIBA/HIGHEST])</f>
        <v>Toshiba SRP</v>
      </c>
      <c r="W4741" s="86" t="str">
        <f>_xlfn.CONCAT(表格1[[#This Row],[欄4]],表格1[[#This Row],[inv no]])</f>
        <v/>
      </c>
    </row>
    <row r="4742" spans="1:23">
      <c r="A4742" s="81">
        <v>4740</v>
      </c>
      <c r="B4742" s="86" t="s">
        <v>1203</v>
      </c>
      <c r="C4742" s="86" t="s">
        <v>2027</v>
      </c>
      <c r="D4742" s="89" t="str">
        <f ca="1">OFFSET(Roster!$A$3,MATCH(表格1[[#This Row],[Location]]&amp;" "&amp;表格1[[#This Row],[Shop]]&amp;"*",Roster!$A$4:$A$72,0),DAY(表格1[[#This Row],[date]]),1,1)</f>
        <v>May C</v>
      </c>
      <c r="E4742" s="86">
        <f>MONTH(表格1[[#This Row],[date]])</f>
        <v>3</v>
      </c>
      <c r="F4742" s="90">
        <v>46107</v>
      </c>
      <c r="G4742" s="86" t="str">
        <f>VLOOKUP("*"&amp;表格1[[#This Row],[Input]]&amp;"*",'Ref-List'!$B:$D,2,)</f>
        <v>KT-08DH1VHK(W)</v>
      </c>
      <c r="H4742" s="86" t="str">
        <f>_xlfn.XLOOKUP(表格1[[#This Row],[Model]],表格3[Model-Input-Ref2],表格3[Product Line])</f>
        <v>無線雙層電熱水壺-附可鎖壺蓋(0.8公升)</v>
      </c>
      <c r="I4742" s="86" t="str">
        <f>_xlfn.XLOOKUP(表格1[[#This Row],[Model]],表格3[Model-Input-Ref2],表格3[大小電])</f>
        <v>細電</v>
      </c>
      <c r="J4742" s="86" t="str">
        <f>_xlfn.XLOOKUP(表格1[[#This Row],[Model]],表格3[Model-Input-Ref2],表格3[Code])</f>
        <v>SDA</v>
      </c>
      <c r="K4742" s="89" t="s">
        <v>2053</v>
      </c>
      <c r="L4742" s="86">
        <v>1</v>
      </c>
      <c r="M4742" s="87">
        <v>260</v>
      </c>
      <c r="N4742" s="87">
        <f>IFERROR(表格1[[#This Row],[QTY]]*表格1[[#This Row],[Unit Price]],"-")</f>
        <v>260</v>
      </c>
      <c r="R4742" s="86" t="str">
        <f>_xlfn.CONCAT(表格1[[#This Row],[Model]]," ",表格1[[#This Row],[inv no]])</f>
        <v xml:space="preserve">KT-08DH1VHK(W) </v>
      </c>
      <c r="S4742" s="86">
        <f>_xlfn.XLOOKUP(表格1[[#This Row],[Model]],表格3[Model-Input-Ref2],表格3[SRP PRICE])</f>
        <v>428</v>
      </c>
      <c r="T4742" s="43">
        <f>表格1[[#This Row],[Unit Price]]/表格1[[#This Row],[SRP]]</f>
        <v>0.60747663551401865</v>
      </c>
      <c r="U4742" s="86" t="str">
        <f>_xlfn.XLOOKUP(表格1[[#This Row],[Model]],表格3[Model-Input-Ref2],表格3[TOSHIBA/HIGHEST])</f>
        <v>Toshiba SRP</v>
      </c>
      <c r="W4742" s="86" t="str">
        <f>_xlfn.CONCAT(表格1[[#This Row],[欄4]],表格1[[#This Row],[inv no]])</f>
        <v/>
      </c>
    </row>
    <row r="4743" spans="1:23">
      <c r="A4743" s="81">
        <v>4741</v>
      </c>
      <c r="B4743" s="86" t="s">
        <v>1203</v>
      </c>
      <c r="C4743" s="86" t="s">
        <v>2027</v>
      </c>
      <c r="D4743" s="89" t="str">
        <f ca="1">OFFSET(Roster!$A$3,MATCH(表格1[[#This Row],[Location]]&amp;" "&amp;表格1[[#This Row],[Shop]]&amp;"*",Roster!$A$4:$A$72,0),DAY(表格1[[#This Row],[date]]),1,1)</f>
        <v>May C</v>
      </c>
      <c r="E4743" s="86">
        <f>MONTH(表格1[[#This Row],[date]])</f>
        <v>3</v>
      </c>
      <c r="F4743" s="90">
        <v>46107</v>
      </c>
      <c r="G4743" s="86" t="str">
        <f>VLOOKUP("*"&amp;表格1[[#This Row],[Input]]&amp;"*",'Ref-List'!$B:$D,2,)</f>
        <v>F-LYA20(W)HKG</v>
      </c>
      <c r="H4743" s="86" t="str">
        <f>_xlfn.XLOOKUP(表格1[[#This Row],[Model]],表格3[Model-Input-Ref2],表格3[Product Line])</f>
        <v>12吋2合1座地座檯電風扇連遙控</v>
      </c>
      <c r="I4743" s="86" t="str">
        <f>_xlfn.XLOOKUP(表格1[[#This Row],[Model]],表格3[Model-Input-Ref2],表格3[大小電])</f>
        <v>細電</v>
      </c>
      <c r="J4743" s="86" t="str">
        <f>_xlfn.XLOOKUP(表格1[[#This Row],[Model]],表格3[Model-Input-Ref2],表格3[Code])</f>
        <v>EAD</v>
      </c>
      <c r="K4743" s="89" t="s">
        <v>2052</v>
      </c>
      <c r="L4743" s="86">
        <v>3</v>
      </c>
      <c r="M4743" s="87">
        <v>351</v>
      </c>
      <c r="N4743" s="87">
        <f>IFERROR(表格1[[#This Row],[QTY]]*表格1[[#This Row],[Unit Price]],"-")</f>
        <v>1053</v>
      </c>
      <c r="R4743" s="86" t="str">
        <f>_xlfn.CONCAT(表格1[[#This Row],[Model]]," ",表格1[[#This Row],[inv no]])</f>
        <v xml:space="preserve">F-LYA20(W)HKG </v>
      </c>
      <c r="S4743" s="86">
        <f>_xlfn.XLOOKUP(表格1[[#This Row],[Model]],表格3[Model-Input-Ref2],表格3[SRP PRICE])</f>
        <v>988</v>
      </c>
      <c r="T4743" s="43">
        <f>表格1[[#This Row],[Unit Price]]/表格1[[#This Row],[SRP]]</f>
        <v>0.35526315789473684</v>
      </c>
      <c r="U4743" s="86" t="str">
        <f>_xlfn.XLOOKUP(表格1[[#This Row],[Model]],表格3[Model-Input-Ref2],表格3[TOSHIBA/HIGHEST])</f>
        <v>Toshiba SRP</v>
      </c>
      <c r="W4743" s="86" t="str">
        <f>_xlfn.CONCAT(表格1[[#This Row],[欄4]],表格1[[#This Row],[inv no]])</f>
        <v/>
      </c>
    </row>
    <row r="4744" spans="1:23">
      <c r="A4744" s="81">
        <v>4742</v>
      </c>
      <c r="B4744" s="86" t="s">
        <v>1203</v>
      </c>
      <c r="C4744" s="86" t="s">
        <v>2027</v>
      </c>
      <c r="D4744" s="89" t="str">
        <f ca="1">OFFSET(Roster!$A$3,MATCH(表格1[[#This Row],[Location]]&amp;" "&amp;表格1[[#This Row],[Shop]]&amp;"*",Roster!$A$4:$A$72,0),DAY(表格1[[#This Row],[date]]),1,1)</f>
        <v>May C</v>
      </c>
      <c r="E4744" s="86">
        <f>MONTH(表格1[[#This Row],[date]])</f>
        <v>3</v>
      </c>
      <c r="F4744" s="90">
        <v>46107</v>
      </c>
      <c r="G4744" s="86" t="str">
        <f>VLOOKUP("*"&amp;表格1[[#This Row],[Input]]&amp;"*",'Ref-List'!$B:$D,2,)</f>
        <v>F-DSB35HK(W)</v>
      </c>
      <c r="H4744" s="86" t="str">
        <f>_xlfn.XLOOKUP(表格1[[#This Row],[Model]],表格3[Model-Input-Ref2],表格3[Product Line])</f>
        <v>Electric Fan</v>
      </c>
      <c r="I4744" s="86" t="str">
        <f>_xlfn.XLOOKUP(表格1[[#This Row],[Model]],表格3[Model-Input-Ref2],表格3[大小電])</f>
        <v>細電</v>
      </c>
      <c r="J4744" s="86" t="str">
        <f>_xlfn.XLOOKUP(表格1[[#This Row],[Model]],表格3[Model-Input-Ref2],表格3[Code])</f>
        <v>SDA</v>
      </c>
      <c r="K4744" s="89" t="s">
        <v>2246</v>
      </c>
      <c r="L4744" s="86">
        <v>2</v>
      </c>
      <c r="M4744" s="87">
        <v>522.5</v>
      </c>
      <c r="N4744" s="87">
        <f>IFERROR(表格1[[#This Row],[QTY]]*表格1[[#This Row],[Unit Price]],"-")</f>
        <v>1045</v>
      </c>
      <c r="R4744" s="86" t="str">
        <f>_xlfn.CONCAT(表格1[[#This Row],[Model]]," ",表格1[[#This Row],[inv no]])</f>
        <v xml:space="preserve">F-DSB35HK(W) </v>
      </c>
      <c r="S4744" s="86">
        <f>_xlfn.XLOOKUP(表格1[[#This Row],[Model]],表格3[Model-Input-Ref2],表格3[SRP PRICE])</f>
        <v>1088</v>
      </c>
      <c r="T4744" s="43">
        <f>表格1[[#This Row],[Unit Price]]/表格1[[#This Row],[SRP]]</f>
        <v>0.48023897058823528</v>
      </c>
      <c r="U4744" s="86" t="str">
        <f>_xlfn.XLOOKUP(表格1[[#This Row],[Model]],表格3[Model-Input-Ref2],表格3[TOSHIBA/HIGHEST])</f>
        <v>Toshiba SRP</v>
      </c>
      <c r="W4744" s="86" t="str">
        <f>_xlfn.CONCAT(表格1[[#This Row],[欄4]],表格1[[#This Row],[inv no]])</f>
        <v/>
      </c>
    </row>
    <row r="4745" spans="1:23">
      <c r="A4745" s="81">
        <v>4743</v>
      </c>
      <c r="B4745" s="86" t="s">
        <v>1203</v>
      </c>
      <c r="C4745" s="86" t="s">
        <v>2027</v>
      </c>
      <c r="D4745" s="89" t="str">
        <f ca="1">OFFSET(Roster!$A$3,MATCH(表格1[[#This Row],[Location]]&amp;" "&amp;表格1[[#This Row],[Shop]]&amp;"*",Roster!$A$4:$A$72,0),DAY(表格1[[#This Row],[date]]),1,1)</f>
        <v>May C</v>
      </c>
      <c r="E4745" s="86">
        <f>MONTH(表格1[[#This Row],[date]])</f>
        <v>3</v>
      </c>
      <c r="F4745" s="90">
        <v>46108</v>
      </c>
      <c r="G4745" s="86" t="str">
        <f>VLOOKUP("*"&amp;表格1[[#This Row],[Input]]&amp;"*",'Ref-List'!$B:$D,2,)</f>
        <v>PC-48DRSHK(K)</v>
      </c>
      <c r="H4745" s="86" t="str">
        <f>_xlfn.XLOOKUP(表格1[[#This Row],[Model]],表格3[Model-Input-Ref2],表格3[Product Line])</f>
        <v>電壓力鍋</v>
      </c>
      <c r="I4745" s="86" t="str">
        <f>_xlfn.XLOOKUP(表格1[[#This Row],[Model]],表格3[Model-Input-Ref2],表格3[大小電])</f>
        <v>細電</v>
      </c>
      <c r="J4745" s="86" t="str">
        <f>_xlfn.XLOOKUP(表格1[[#This Row],[Model]],表格3[Model-Input-Ref2],表格3[Code])</f>
        <v>SDA</v>
      </c>
      <c r="K4745" s="89" t="s">
        <v>2239</v>
      </c>
      <c r="L4745" s="86">
        <v>1</v>
      </c>
      <c r="M4745" s="87">
        <v>890</v>
      </c>
      <c r="N4745" s="87">
        <f>IFERROR(表格1[[#This Row],[QTY]]*表格1[[#This Row],[Unit Price]],"-")</f>
        <v>890</v>
      </c>
      <c r="R4745" s="86" t="str">
        <f>_xlfn.CONCAT(表格1[[#This Row],[Model]]," ",表格1[[#This Row],[inv no]])</f>
        <v xml:space="preserve">PC-48DRSHK(K) </v>
      </c>
      <c r="S4745" s="86">
        <f>_xlfn.XLOOKUP(表格1[[#This Row],[Model]],表格3[Model-Input-Ref2],表格3[SRP PRICE])</f>
        <v>1188</v>
      </c>
      <c r="T4745" s="43">
        <f>表格1[[#This Row],[Unit Price]]/表格1[[#This Row],[SRP]]</f>
        <v>0.74915824915824913</v>
      </c>
      <c r="U4745" s="86" t="str">
        <f>_xlfn.XLOOKUP(表格1[[#This Row],[Model]],表格3[Model-Input-Ref2],表格3[TOSHIBA/HIGHEST])</f>
        <v>Shops Highest Price</v>
      </c>
      <c r="W4745" s="86" t="str">
        <f>_xlfn.CONCAT(表格1[[#This Row],[欄4]],表格1[[#This Row],[inv no]])</f>
        <v/>
      </c>
    </row>
    <row r="4746" spans="1:23">
      <c r="A4746" s="81">
        <v>4744</v>
      </c>
      <c r="B4746" s="86" t="s">
        <v>1203</v>
      </c>
      <c r="C4746" s="86" t="s">
        <v>2027</v>
      </c>
      <c r="D4746" s="89" t="str">
        <f ca="1">OFFSET(Roster!$A$3,MATCH(表格1[[#This Row],[Location]]&amp;" "&amp;表格1[[#This Row],[Shop]]&amp;"*",Roster!$A$4:$A$72,0),DAY(表格1[[#This Row],[date]]),1,1)</f>
        <v>May C</v>
      </c>
      <c r="E4746" s="86">
        <f>MONTH(表格1[[#This Row],[date]])</f>
        <v>3</v>
      </c>
      <c r="F4746" s="90">
        <v>46108</v>
      </c>
      <c r="G4746" s="86" t="str">
        <f>VLOOKUP("*"&amp;表格1[[#This Row],[Input]]&amp;"*",'Ref-List'!$B:$D,2,)</f>
        <v>KT-17DRTHK(H)</v>
      </c>
      <c r="H4746" s="86" t="str">
        <f>_xlfn.XLOOKUP(表格1[[#This Row],[Model]],表格3[Model-Input-Ref2],表格3[Product Line])</f>
        <v>無線雙層電熱水壺(1.7公升)</v>
      </c>
      <c r="I4746" s="86" t="str">
        <f>_xlfn.XLOOKUP(表格1[[#This Row],[Model]],表格3[Model-Input-Ref2],表格3[大小電])</f>
        <v>細電</v>
      </c>
      <c r="J4746" s="86" t="str">
        <f>_xlfn.XLOOKUP(表格1[[#This Row],[Model]],表格3[Model-Input-Ref2],表格3[Code])</f>
        <v>SDA</v>
      </c>
      <c r="K4746" s="89" t="s">
        <v>2035</v>
      </c>
      <c r="L4746" s="86">
        <v>1</v>
      </c>
      <c r="M4746" s="87">
        <v>350</v>
      </c>
      <c r="N4746" s="87">
        <f>IFERROR(表格1[[#This Row],[QTY]]*表格1[[#This Row],[Unit Price]],"-")</f>
        <v>350</v>
      </c>
      <c r="R4746" s="86" t="str">
        <f>_xlfn.CONCAT(表格1[[#This Row],[Model]]," ",表格1[[#This Row],[inv no]])</f>
        <v xml:space="preserve">KT-17DRTHK(H) </v>
      </c>
      <c r="S4746" s="86">
        <f>_xlfn.XLOOKUP(表格1[[#This Row],[Model]],表格3[Model-Input-Ref2],表格3[SRP PRICE])</f>
        <v>498</v>
      </c>
      <c r="T4746" s="43">
        <f>表格1[[#This Row],[Unit Price]]/表格1[[#This Row],[SRP]]</f>
        <v>0.70281124497991965</v>
      </c>
      <c r="U4746" s="86" t="str">
        <f>_xlfn.XLOOKUP(表格1[[#This Row],[Model]],表格3[Model-Input-Ref2],表格3[TOSHIBA/HIGHEST])</f>
        <v>Toshiba SRP</v>
      </c>
      <c r="W4746" s="86" t="str">
        <f>_xlfn.CONCAT(表格1[[#This Row],[欄4]],表格1[[#This Row],[inv no]])</f>
        <v/>
      </c>
    </row>
    <row r="4747" spans="1:23">
      <c r="A4747" s="81">
        <v>4745</v>
      </c>
      <c r="B4747" s="86" t="s">
        <v>1203</v>
      </c>
      <c r="C4747" s="86" t="s">
        <v>2027</v>
      </c>
      <c r="D4747" s="89" t="str">
        <f ca="1">OFFSET(Roster!$A$3,MATCH(表格1[[#This Row],[Location]]&amp;" "&amp;表格1[[#This Row],[Shop]]&amp;"*",Roster!$A$4:$A$72,0),DAY(表格1[[#This Row],[date]]),1,1)</f>
        <v>May C</v>
      </c>
      <c r="E4747" s="86">
        <f>MONTH(表格1[[#This Row],[date]])</f>
        <v>3</v>
      </c>
      <c r="F4747" s="90">
        <v>46108</v>
      </c>
      <c r="G4747" s="86" t="str">
        <f>VLOOKUP("*"&amp;表格1[[#This Row],[Input]]&amp;"*",'Ref-List'!$B:$D,2,)</f>
        <v>CFS-09PGR0A0</v>
      </c>
      <c r="H4747" s="86" t="str">
        <f>_xlfn.XLOOKUP(表格1[[#This Row],[Model]],表格3[Model-Input-Ref2],表格3[Product Line])</f>
        <v>9吋座檯座地循環扇連遙控</v>
      </c>
      <c r="I4747" s="86" t="str">
        <f>_xlfn.XLOOKUP(表格1[[#This Row],[Model]],表格3[Model-Input-Ref2],表格3[大小電])</f>
        <v>細電</v>
      </c>
      <c r="J4747" s="86" t="str">
        <f>_xlfn.XLOOKUP(表格1[[#This Row],[Model]],表格3[Model-Input-Ref2],表格3[Code])</f>
        <v>SDA</v>
      </c>
      <c r="K4747" s="89" t="s">
        <v>2247</v>
      </c>
      <c r="L4747" s="86">
        <v>1</v>
      </c>
      <c r="M4747" s="87">
        <v>290</v>
      </c>
      <c r="N4747" s="87">
        <f>IFERROR(表格1[[#This Row],[QTY]]*表格1[[#This Row],[Unit Price]],"-")</f>
        <v>290</v>
      </c>
      <c r="R4747" s="86" t="str">
        <f>_xlfn.CONCAT(表格1[[#This Row],[Model]]," ",表格1[[#This Row],[inv no]])</f>
        <v xml:space="preserve">CFS-09PGR0A0 </v>
      </c>
      <c r="S4747" s="86">
        <f>_xlfn.XLOOKUP(表格1[[#This Row],[Model]],表格3[Model-Input-Ref2],表格3[SRP PRICE])</f>
        <v>350</v>
      </c>
      <c r="T4747" s="43">
        <f>表格1[[#This Row],[Unit Price]]/表格1[[#This Row],[SRP]]</f>
        <v>0.82857142857142863</v>
      </c>
      <c r="U4747" s="86">
        <f>_xlfn.XLOOKUP(表格1[[#This Row],[Model]],表格3[Model-Input-Ref2],表格3[TOSHIBA/HIGHEST])</f>
        <v>0</v>
      </c>
      <c r="W4747" s="86" t="str">
        <f>_xlfn.CONCAT(表格1[[#This Row],[欄4]],表格1[[#This Row],[inv no]])</f>
        <v/>
      </c>
    </row>
    <row r="4748" spans="1:23">
      <c r="A4748" s="81">
        <v>4746</v>
      </c>
      <c r="B4748" s="86" t="s">
        <v>1203</v>
      </c>
      <c r="C4748" s="86" t="s">
        <v>2027</v>
      </c>
      <c r="D4748" s="89" t="str">
        <f ca="1">OFFSET(Roster!$A$3,MATCH(表格1[[#This Row],[Location]]&amp;" "&amp;表格1[[#This Row],[Shop]]&amp;"*",Roster!$A$4:$A$72,0),DAY(表格1[[#This Row],[date]]),1,1)</f>
        <v>May C</v>
      </c>
      <c r="E4748" s="86">
        <f>MONTH(表格1[[#This Row],[date]])</f>
        <v>3</v>
      </c>
      <c r="F4748" s="90">
        <v>46108</v>
      </c>
      <c r="G4748" s="86" t="str">
        <f>VLOOKUP("*"&amp;表格1[[#This Row],[Input]]&amp;"*",'Ref-List'!$B:$D,2,)</f>
        <v>F-LYA20(W)HKG</v>
      </c>
      <c r="H4748" s="86" t="str">
        <f>_xlfn.XLOOKUP(表格1[[#This Row],[Model]],表格3[Model-Input-Ref2],表格3[Product Line])</f>
        <v>12吋2合1座地座檯電風扇連遙控</v>
      </c>
      <c r="I4748" s="86" t="str">
        <f>_xlfn.XLOOKUP(表格1[[#This Row],[Model]],表格3[Model-Input-Ref2],表格3[大小電])</f>
        <v>細電</v>
      </c>
      <c r="J4748" s="86" t="str">
        <f>_xlfn.XLOOKUP(表格1[[#This Row],[Model]],表格3[Model-Input-Ref2],表格3[Code])</f>
        <v>EAD</v>
      </c>
      <c r="K4748" s="89" t="s">
        <v>2052</v>
      </c>
      <c r="L4748" s="86">
        <v>1</v>
      </c>
      <c r="M4748" s="87">
        <v>351</v>
      </c>
      <c r="N4748" s="87">
        <f>IFERROR(表格1[[#This Row],[QTY]]*表格1[[#This Row],[Unit Price]],"-")</f>
        <v>351</v>
      </c>
      <c r="R4748" s="86" t="str">
        <f>_xlfn.CONCAT(表格1[[#This Row],[Model]]," ",表格1[[#This Row],[inv no]])</f>
        <v xml:space="preserve">F-LYA20(W)HKG </v>
      </c>
      <c r="S4748" s="86">
        <f>_xlfn.XLOOKUP(表格1[[#This Row],[Model]],表格3[Model-Input-Ref2],表格3[SRP PRICE])</f>
        <v>988</v>
      </c>
      <c r="T4748" s="43">
        <f>表格1[[#This Row],[Unit Price]]/表格1[[#This Row],[SRP]]</f>
        <v>0.35526315789473684</v>
      </c>
      <c r="U4748" s="86" t="str">
        <f>_xlfn.XLOOKUP(表格1[[#This Row],[Model]],表格3[Model-Input-Ref2],表格3[TOSHIBA/HIGHEST])</f>
        <v>Toshiba SRP</v>
      </c>
      <c r="W4748" s="86" t="str">
        <f>_xlfn.CONCAT(表格1[[#This Row],[欄4]],表格1[[#This Row],[inv no]])</f>
        <v/>
      </c>
    </row>
    <row r="4749" spans="1:23">
      <c r="A4749" s="81">
        <v>4747</v>
      </c>
      <c r="B4749" s="86" t="s">
        <v>1203</v>
      </c>
      <c r="C4749" s="86" t="s">
        <v>2027</v>
      </c>
      <c r="D4749" s="89" t="str">
        <f ca="1">OFFSET(Roster!$A$3,MATCH(表格1[[#This Row],[Location]]&amp;" "&amp;表格1[[#This Row],[Shop]]&amp;"*",Roster!$A$4:$A$72,0),DAY(表格1[[#This Row],[date]]),1,1)</f>
        <v>May C</v>
      </c>
      <c r="E4749" s="86">
        <f>MONTH(表格1[[#This Row],[date]])</f>
        <v>3</v>
      </c>
      <c r="F4749" s="90">
        <v>46108</v>
      </c>
      <c r="G4749" s="86" t="str">
        <f>VLOOKUP("*"&amp;表格1[[#This Row],[Input]]&amp;"*",'Ref-List'!$B:$D,2,)</f>
        <v>F-DSB35HK(W)</v>
      </c>
      <c r="H4749" s="86" t="str">
        <f>_xlfn.XLOOKUP(表格1[[#This Row],[Model]],表格3[Model-Input-Ref2],表格3[Product Line])</f>
        <v>Electric Fan</v>
      </c>
      <c r="I4749" s="86" t="str">
        <f>_xlfn.XLOOKUP(表格1[[#This Row],[Model]],表格3[Model-Input-Ref2],表格3[大小電])</f>
        <v>細電</v>
      </c>
      <c r="J4749" s="86" t="str">
        <f>_xlfn.XLOOKUP(表格1[[#This Row],[Model]],表格3[Model-Input-Ref2],表格3[Code])</f>
        <v>SDA</v>
      </c>
      <c r="K4749" s="89" t="s">
        <v>2246</v>
      </c>
      <c r="L4749" s="86">
        <v>2</v>
      </c>
      <c r="M4749" s="87">
        <v>522.5</v>
      </c>
      <c r="N4749" s="87">
        <f>IFERROR(表格1[[#This Row],[QTY]]*表格1[[#This Row],[Unit Price]],"-")</f>
        <v>1045</v>
      </c>
      <c r="R4749" s="86" t="str">
        <f>_xlfn.CONCAT(表格1[[#This Row],[Model]]," ",表格1[[#This Row],[inv no]])</f>
        <v xml:space="preserve">F-DSB35HK(W) </v>
      </c>
      <c r="S4749" s="86">
        <f>_xlfn.XLOOKUP(表格1[[#This Row],[Model]],表格3[Model-Input-Ref2],表格3[SRP PRICE])</f>
        <v>1088</v>
      </c>
      <c r="T4749" s="43">
        <f>表格1[[#This Row],[Unit Price]]/表格1[[#This Row],[SRP]]</f>
        <v>0.48023897058823528</v>
      </c>
      <c r="U4749" s="86" t="str">
        <f>_xlfn.XLOOKUP(表格1[[#This Row],[Model]],表格3[Model-Input-Ref2],表格3[TOSHIBA/HIGHEST])</f>
        <v>Toshiba SRP</v>
      </c>
      <c r="W4749" s="86" t="str">
        <f>_xlfn.CONCAT(表格1[[#This Row],[欄4]],表格1[[#This Row],[inv no]])</f>
        <v/>
      </c>
    </row>
    <row r="4750" spans="1:23">
      <c r="A4750" s="81">
        <v>4748</v>
      </c>
      <c r="B4750" s="86" t="s">
        <v>1203</v>
      </c>
      <c r="C4750" s="86" t="s">
        <v>2027</v>
      </c>
      <c r="D4750" s="89" t="str">
        <f ca="1">OFFSET(Roster!$A$3,MATCH(表格1[[#This Row],[Location]]&amp;" "&amp;表格1[[#This Row],[Shop]]&amp;"*",Roster!$A$4:$A$72,0),DAY(表格1[[#This Row],[date]]),1,1)</f>
        <v>May C</v>
      </c>
      <c r="E4750" s="86">
        <f>MONTH(表格1[[#This Row],[date]])</f>
        <v>3</v>
      </c>
      <c r="F4750" s="90">
        <v>46108</v>
      </c>
      <c r="G4750" s="86" t="str">
        <f>VLOOKUP("*"&amp;表格1[[#This Row],[Input]]&amp;"*",'Ref-List'!$B:$D,2,)</f>
        <v>RAD-D300H</v>
      </c>
      <c r="H4750" s="86" t="str">
        <f>_xlfn.XLOOKUP(表格1[[#This Row],[Model]],表格3[Model-Input-Ref2],表格3[Product Line])</f>
        <v>壓縮式抽濕機 (30公升)</v>
      </c>
      <c r="I4750" s="86" t="str">
        <f>_xlfn.XLOOKUP(表格1[[#This Row],[Model]],表格3[Model-Input-Ref2],表格3[大小電])</f>
        <v>細電</v>
      </c>
      <c r="J4750" s="86" t="str">
        <f>_xlfn.XLOOKUP(表格1[[#This Row],[Model]],表格3[Model-Input-Ref2],表格3[Code])</f>
        <v>RAC</v>
      </c>
      <c r="K4750" s="89" t="s">
        <v>1761</v>
      </c>
      <c r="L4750" s="86">
        <v>2</v>
      </c>
      <c r="M4750" s="87">
        <v>2326</v>
      </c>
      <c r="N4750" s="87">
        <f>IFERROR(表格1[[#This Row],[QTY]]*表格1[[#This Row],[Unit Price]],"-")</f>
        <v>4652</v>
      </c>
      <c r="R4750" s="86" t="str">
        <f>_xlfn.CONCAT(表格1[[#This Row],[Model]]," ",表格1[[#This Row],[inv no]])</f>
        <v xml:space="preserve">RAD-D300H </v>
      </c>
      <c r="S4750" s="86">
        <f>_xlfn.XLOOKUP(表格1[[#This Row],[Model]],表格3[Model-Input-Ref2],表格3[SRP PRICE])</f>
        <v>3380</v>
      </c>
      <c r="T4750" s="43">
        <f>表格1[[#This Row],[Unit Price]]/表格1[[#This Row],[SRP]]</f>
        <v>0.68816568047337279</v>
      </c>
      <c r="U4750" s="86" t="str">
        <f>_xlfn.XLOOKUP(表格1[[#This Row],[Model]],表格3[Model-Input-Ref2],表格3[TOSHIBA/HIGHEST])</f>
        <v>Shops Highest Price</v>
      </c>
      <c r="W4750" s="86" t="str">
        <f>_xlfn.CONCAT(表格1[[#This Row],[欄4]],表格1[[#This Row],[inv no]])</f>
        <v/>
      </c>
    </row>
    <row r="4751" spans="1:23">
      <c r="A4751" s="81">
        <v>4749</v>
      </c>
      <c r="B4751" s="86" t="s">
        <v>1203</v>
      </c>
      <c r="C4751" s="86" t="s">
        <v>2027</v>
      </c>
      <c r="D4751" s="89" t="str">
        <f ca="1">OFFSET(Roster!$A$3,MATCH(表格1[[#This Row],[Location]]&amp;" "&amp;表格1[[#This Row],[Shop]]&amp;"*",Roster!$A$4:$A$72,0),DAY(表格1[[#This Row],[date]]),1,1)</f>
        <v>May C</v>
      </c>
      <c r="E4751" s="86">
        <f>MONTH(表格1[[#This Row],[date]])</f>
        <v>3</v>
      </c>
      <c r="F4751" s="90">
        <v>46109</v>
      </c>
      <c r="G4751" s="86" t="str">
        <f>VLOOKUP("*"&amp;表格1[[#This Row],[Input]]&amp;"*",'Ref-List'!$B:$D,2,)</f>
        <v>KT-17SHNH</v>
      </c>
      <c r="H4751" s="86" t="str">
        <f>_xlfn.XLOOKUP(表格1[[#This Row],[Model]],表格3[Model-Input-Ref2],表格3[Product Line])</f>
        <v>1.7L無線雙層電熱水壺</v>
      </c>
      <c r="I4751" s="86" t="str">
        <f>_xlfn.XLOOKUP(表格1[[#This Row],[Model]],表格3[Model-Input-Ref2],表格3[大小電])</f>
        <v>細電</v>
      </c>
      <c r="J4751" s="86" t="str">
        <f>_xlfn.XLOOKUP(表格1[[#This Row],[Model]],表格3[Model-Input-Ref2],表格3[Code])</f>
        <v>SDA</v>
      </c>
      <c r="K4751" s="89" t="s">
        <v>2030</v>
      </c>
      <c r="L4751" s="86">
        <v>2</v>
      </c>
      <c r="M4751" s="87">
        <v>190</v>
      </c>
      <c r="N4751" s="87">
        <f>IFERROR(表格1[[#This Row],[QTY]]*表格1[[#This Row],[Unit Price]],"-")</f>
        <v>380</v>
      </c>
      <c r="R4751" s="86" t="str">
        <f>_xlfn.CONCAT(表格1[[#This Row],[Model]]," ",表格1[[#This Row],[inv no]])</f>
        <v xml:space="preserve">KT-17SHNH </v>
      </c>
      <c r="S4751" s="86">
        <f>_xlfn.XLOOKUP(表格1[[#This Row],[Model]],表格3[Model-Input-Ref2],表格3[SRP PRICE])</f>
        <v>299</v>
      </c>
      <c r="T4751" s="43">
        <f>表格1[[#This Row],[Unit Price]]/表格1[[#This Row],[SRP]]</f>
        <v>0.63545150501672243</v>
      </c>
      <c r="U4751" s="86" t="str">
        <f>_xlfn.XLOOKUP(表格1[[#This Row],[Model]],表格3[Model-Input-Ref2],表格3[TOSHIBA/HIGHEST])</f>
        <v>Shops Highest Price</v>
      </c>
      <c r="W4751" s="86" t="str">
        <f>_xlfn.CONCAT(表格1[[#This Row],[欄4]],表格1[[#This Row],[inv no]])</f>
        <v/>
      </c>
    </row>
    <row r="4752" spans="1:23">
      <c r="A4752" s="81">
        <v>4750</v>
      </c>
      <c r="B4752" s="86" t="s">
        <v>1203</v>
      </c>
      <c r="C4752" s="86" t="s">
        <v>2027</v>
      </c>
      <c r="D4752" s="89" t="str">
        <f ca="1">OFFSET(Roster!$A$3,MATCH(表格1[[#This Row],[Location]]&amp;" "&amp;表格1[[#This Row],[Shop]]&amp;"*",Roster!$A$4:$A$72,0),DAY(表格1[[#This Row],[date]]),1,1)</f>
        <v>May C</v>
      </c>
      <c r="E4752" s="86">
        <f>MONTH(表格1[[#This Row],[date]])</f>
        <v>3</v>
      </c>
      <c r="F4752" s="90">
        <v>46109</v>
      </c>
      <c r="G4752" s="86" t="str">
        <f>VLOOKUP("*"&amp;表格1[[#This Row],[Input]]&amp;"*",'Ref-List'!$B:$D,2,)</f>
        <v>RC-5SLIH(W)</v>
      </c>
      <c r="H4752" s="86" t="str">
        <f>_xlfn.XLOOKUP(表格1[[#This Row],[Model]],表格3[Model-Input-Ref2],表格3[Product Line])</f>
        <v>微型電腦珍珠飯煲</v>
      </c>
      <c r="I4752" s="86" t="str">
        <f>_xlfn.XLOOKUP(表格1[[#This Row],[Model]],表格3[Model-Input-Ref2],表格3[大小電])</f>
        <v>細電</v>
      </c>
      <c r="J4752" s="86" t="str">
        <f>_xlfn.XLOOKUP(表格1[[#This Row],[Model]],表格3[Model-Input-Ref2],表格3[Code])</f>
        <v>SDA</v>
      </c>
      <c r="K4752" s="89" t="s">
        <v>2037</v>
      </c>
      <c r="L4752" s="86">
        <v>1</v>
      </c>
      <c r="M4752" s="87">
        <v>590</v>
      </c>
      <c r="N4752" s="87">
        <f>IFERROR(表格1[[#This Row],[QTY]]*表格1[[#This Row],[Unit Price]],"-")</f>
        <v>590</v>
      </c>
      <c r="R4752" s="86" t="str">
        <f>_xlfn.CONCAT(表格1[[#This Row],[Model]]," ",表格1[[#This Row],[inv no]])</f>
        <v xml:space="preserve">RC-5SLIH(W) </v>
      </c>
      <c r="S4752" s="86">
        <f>_xlfn.XLOOKUP(表格1[[#This Row],[Model]],表格3[Model-Input-Ref2],表格3[SRP PRICE])</f>
        <v>658</v>
      </c>
      <c r="T4752" s="43">
        <f>表格1[[#This Row],[Unit Price]]/表格1[[#This Row],[SRP]]</f>
        <v>0.89665653495440734</v>
      </c>
      <c r="U4752" s="86" t="str">
        <f>_xlfn.XLOOKUP(表格1[[#This Row],[Model]],表格3[Model-Input-Ref2],表格3[TOSHIBA/HIGHEST])</f>
        <v>Toshiba SRP</v>
      </c>
      <c r="W4752" s="86" t="str">
        <f>_xlfn.CONCAT(表格1[[#This Row],[欄4]],表格1[[#This Row],[inv no]])</f>
        <v/>
      </c>
    </row>
    <row r="4753" spans="1:23">
      <c r="A4753" s="81">
        <v>4751</v>
      </c>
      <c r="B4753" s="86" t="s">
        <v>1203</v>
      </c>
      <c r="C4753" s="86" t="s">
        <v>2027</v>
      </c>
      <c r="D4753" s="89" t="str">
        <f ca="1">OFFSET(Roster!$A$3,MATCH(表格1[[#This Row],[Location]]&amp;" "&amp;表格1[[#This Row],[Shop]]&amp;"*",Roster!$A$4:$A$72,0),DAY(表格1[[#This Row],[date]]),1,1)</f>
        <v>May C</v>
      </c>
      <c r="E4753" s="86">
        <f>MONTH(表格1[[#This Row],[date]])</f>
        <v>3</v>
      </c>
      <c r="F4753" s="90">
        <v>46109</v>
      </c>
      <c r="G4753" s="86" t="str">
        <f>VLOOKUP("*"&amp;表格1[[#This Row],[Input]]&amp;"*",'Ref-List'!$B:$D,2,)</f>
        <v>RC-7HMH</v>
      </c>
      <c r="H4753" s="86" t="str">
        <f>_xlfn.XLOOKUP(表格1[[#This Row],[Model]],表格3[Model-Input-Ref2],表格3[Product Line])</f>
        <v>備長炭本厚釜電飯煲0.7L</v>
      </c>
      <c r="I4753" s="86" t="str">
        <f>_xlfn.XLOOKUP(表格1[[#This Row],[Model]],表格3[Model-Input-Ref2],表格3[大小電])</f>
        <v>細電</v>
      </c>
      <c r="J4753" s="86" t="str">
        <f>_xlfn.XLOOKUP(表格1[[#This Row],[Model]],表格3[Model-Input-Ref2],表格3[Code])</f>
        <v>SDA</v>
      </c>
      <c r="K4753" s="89" t="s">
        <v>2057</v>
      </c>
      <c r="L4753" s="86">
        <v>1</v>
      </c>
      <c r="M4753" s="87">
        <v>741</v>
      </c>
      <c r="N4753" s="87">
        <f>IFERROR(表格1[[#This Row],[QTY]]*表格1[[#This Row],[Unit Price]],"-")</f>
        <v>741</v>
      </c>
      <c r="R4753" s="86" t="str">
        <f>_xlfn.CONCAT(表格1[[#This Row],[Model]]," ",表格1[[#This Row],[inv no]])</f>
        <v xml:space="preserve">RC-7HMH </v>
      </c>
      <c r="S4753" s="86">
        <f>_xlfn.XLOOKUP(表格1[[#This Row],[Model]],表格3[Model-Input-Ref2],表格3[SRP PRICE])</f>
        <v>1288</v>
      </c>
      <c r="T4753" s="43">
        <f>表格1[[#This Row],[Unit Price]]/表格1[[#This Row],[SRP]]</f>
        <v>0.5753105590062112</v>
      </c>
      <c r="U4753" s="86" t="str">
        <f>_xlfn.XLOOKUP(表格1[[#This Row],[Model]],表格3[Model-Input-Ref2],表格3[TOSHIBA/HIGHEST])</f>
        <v>Toshiba SRP</v>
      </c>
      <c r="W4753" s="86" t="str">
        <f>_xlfn.CONCAT(表格1[[#This Row],[欄4]],表格1[[#This Row],[inv no]])</f>
        <v/>
      </c>
    </row>
    <row r="4754" spans="1:23">
      <c r="A4754" s="81">
        <v>4752</v>
      </c>
      <c r="B4754" s="86" t="s">
        <v>1203</v>
      </c>
      <c r="C4754" s="86" t="s">
        <v>2027</v>
      </c>
      <c r="D4754" s="89" t="str">
        <f ca="1">OFFSET(Roster!$A$3,MATCH(表格1[[#This Row],[Location]]&amp;" "&amp;表格1[[#This Row],[Shop]]&amp;"*",Roster!$A$4:$A$72,0),DAY(表格1[[#This Row],[date]]),1,1)</f>
        <v>May C</v>
      </c>
      <c r="E4754" s="86">
        <f>MONTH(表格1[[#This Row],[date]])</f>
        <v>3</v>
      </c>
      <c r="F4754" s="90">
        <v>46109</v>
      </c>
      <c r="G4754" s="86" t="str">
        <f>VLOOKUP("*"&amp;表格1[[#This Row],[Input]]&amp;"*",'Ref-List'!$B:$D,2,)</f>
        <v>MS3-STQ20SC(WH)</v>
      </c>
      <c r="H4754" s="86" t="str">
        <f>_xlfn.XLOOKUP(表格1[[#This Row],[Model]],表格3[Model-Input-Ref2],表格3[Product Line])</f>
        <v>20L 智能蒸氣焗爐</v>
      </c>
      <c r="I4754" s="86" t="str">
        <f>_xlfn.XLOOKUP(表格1[[#This Row],[Model]],表格3[Model-Input-Ref2],表格3[大小電])</f>
        <v>細電</v>
      </c>
      <c r="J4754" s="86" t="str">
        <f>_xlfn.XLOOKUP(表格1[[#This Row],[Model]],表格3[Model-Input-Ref2],表格3[Code])</f>
        <v>MCA</v>
      </c>
      <c r="K4754" s="89" t="s">
        <v>2171</v>
      </c>
      <c r="L4754" s="86">
        <v>1</v>
      </c>
      <c r="M4754" s="87">
        <v>1980</v>
      </c>
      <c r="N4754" s="87">
        <f>IFERROR(表格1[[#This Row],[QTY]]*表格1[[#This Row],[Unit Price]],"-")</f>
        <v>1980</v>
      </c>
      <c r="R4754" s="86" t="str">
        <f>_xlfn.CONCAT(表格1[[#This Row],[Model]]," ",表格1[[#This Row],[inv no]])</f>
        <v xml:space="preserve">MS3-STQ20SC(WH) </v>
      </c>
      <c r="S4754" s="86">
        <f>_xlfn.XLOOKUP(表格1[[#This Row],[Model]],表格3[Model-Input-Ref2],表格3[SRP PRICE])</f>
        <v>2880</v>
      </c>
      <c r="T4754" s="43">
        <f>表格1[[#This Row],[Unit Price]]/表格1[[#This Row],[SRP]]</f>
        <v>0.6875</v>
      </c>
      <c r="U4754" s="86" t="str">
        <f>_xlfn.XLOOKUP(表格1[[#This Row],[Model]],表格3[Model-Input-Ref2],表格3[TOSHIBA/HIGHEST])</f>
        <v>Toshiba SRP</v>
      </c>
      <c r="W4754" s="86" t="str">
        <f>_xlfn.CONCAT(表格1[[#This Row],[欄4]],表格1[[#This Row],[inv no]])</f>
        <v/>
      </c>
    </row>
    <row r="4755" spans="1:23">
      <c r="A4755" s="81">
        <v>4753</v>
      </c>
      <c r="B4755" s="86" t="s">
        <v>1203</v>
      </c>
      <c r="C4755" s="86" t="s">
        <v>2027</v>
      </c>
      <c r="D4755" s="89" t="str">
        <f ca="1">OFFSET(Roster!$A$3,MATCH(表格1[[#This Row],[Location]]&amp;" "&amp;表格1[[#This Row],[Shop]]&amp;"*",Roster!$A$4:$A$72,0),DAY(表格1[[#This Row],[date]]),1,1)</f>
        <v>May C</v>
      </c>
      <c r="E4755" s="86">
        <f>MONTH(表格1[[#This Row],[date]])</f>
        <v>3</v>
      </c>
      <c r="F4755" s="90">
        <v>46109</v>
      </c>
      <c r="G4755" s="86" t="str">
        <f>VLOOKUP("*"&amp;表格1[[#This Row],[Input]]&amp;"*",'Ref-List'!$B:$D,2,)</f>
        <v>IC-20R1THK</v>
      </c>
      <c r="H4755" s="86" t="str">
        <f>_xlfn.XLOOKUP(表格1[[#This Row],[Model]],表格3[Model-Input-Ref2],表格3[Product Line])</f>
        <v>輕便式電磁爐</v>
      </c>
      <c r="I4755" s="86" t="str">
        <f>_xlfn.XLOOKUP(表格1[[#This Row],[Model]],表格3[Model-Input-Ref2],表格3[大小電])</f>
        <v>細電</v>
      </c>
      <c r="J4755" s="86" t="str">
        <f>_xlfn.XLOOKUP(表格1[[#This Row],[Model]],表格3[Model-Input-Ref2],表格3[Code])</f>
        <v>SDA</v>
      </c>
      <c r="K4755" s="89" t="s">
        <v>2243</v>
      </c>
      <c r="L4755" s="86">
        <v>2</v>
      </c>
      <c r="M4755" s="87">
        <v>290</v>
      </c>
      <c r="N4755" s="87">
        <f>IFERROR(表格1[[#This Row],[QTY]]*表格1[[#This Row],[Unit Price]],"-")</f>
        <v>580</v>
      </c>
      <c r="R4755" s="86" t="str">
        <f>_xlfn.CONCAT(表格1[[#This Row],[Model]]," ",表格1[[#This Row],[inv no]])</f>
        <v xml:space="preserve">IC-20R1THK </v>
      </c>
      <c r="S4755" s="86">
        <f>_xlfn.XLOOKUP(表格1[[#This Row],[Model]],表格3[Model-Input-Ref2],表格3[SRP PRICE])</f>
        <v>438</v>
      </c>
      <c r="T4755" s="43">
        <f>表格1[[#This Row],[Unit Price]]/表格1[[#This Row],[SRP]]</f>
        <v>0.66210045662100458</v>
      </c>
      <c r="U4755" s="86" t="str">
        <f>_xlfn.XLOOKUP(表格1[[#This Row],[Model]],表格3[Model-Input-Ref2],表格3[TOSHIBA/HIGHEST])</f>
        <v>Shops Highest Price</v>
      </c>
      <c r="W4755" s="86" t="str">
        <f>_xlfn.CONCAT(表格1[[#This Row],[欄4]],表格1[[#This Row],[inv no]])</f>
        <v/>
      </c>
    </row>
    <row r="4756" spans="1:23">
      <c r="A4756" s="81">
        <v>4754</v>
      </c>
      <c r="B4756" s="86" t="s">
        <v>1203</v>
      </c>
      <c r="C4756" s="86" t="s">
        <v>2027</v>
      </c>
      <c r="D4756" s="89" t="str">
        <f ca="1">OFFSET(Roster!$A$3,MATCH(表格1[[#This Row],[Location]]&amp;" "&amp;表格1[[#This Row],[Shop]]&amp;"*",Roster!$A$4:$A$72,0),DAY(表格1[[#This Row],[date]]),1,1)</f>
        <v>May C</v>
      </c>
      <c r="E4756" s="86">
        <f>MONTH(表格1[[#This Row],[date]])</f>
        <v>3</v>
      </c>
      <c r="F4756" s="90">
        <v>46109</v>
      </c>
      <c r="G4756" s="86" t="str">
        <f>VLOOKUP("*"&amp;表格1[[#This Row],[Input]]&amp;"*",'Ref-List'!$B:$D,2,)</f>
        <v>TP-25DR2UHK(W)</v>
      </c>
      <c r="H4756" s="86" t="str">
        <f>_xlfn.XLOOKUP(表格1[[#This Row],[Model]],表格3[Model-Input-Ref2],表格3[Product Line])</f>
        <v>電熱水瓶 (2.5公升)</v>
      </c>
      <c r="I4756" s="86" t="str">
        <f>_xlfn.XLOOKUP(表格1[[#This Row],[Model]],表格3[Model-Input-Ref2],表格3[大小電])</f>
        <v>細電</v>
      </c>
      <c r="J4756" s="86" t="str">
        <f>_xlfn.XLOOKUP(表格1[[#This Row],[Model]],表格3[Model-Input-Ref2],表格3[Code])</f>
        <v>SDA</v>
      </c>
      <c r="K4756" s="89" t="s">
        <v>2048</v>
      </c>
      <c r="L4756" s="86">
        <v>1</v>
      </c>
      <c r="M4756" s="87">
        <v>361</v>
      </c>
      <c r="N4756" s="87">
        <f>IFERROR(表格1[[#This Row],[QTY]]*表格1[[#This Row],[Unit Price]],"-")</f>
        <v>361</v>
      </c>
      <c r="R4756" s="86" t="str">
        <f>_xlfn.CONCAT(表格1[[#This Row],[Model]]," ",表格1[[#This Row],[inv no]])</f>
        <v xml:space="preserve">TP-25DR2UHK(W) </v>
      </c>
      <c r="S4756" s="86">
        <f>_xlfn.XLOOKUP(表格1[[#This Row],[Model]],表格3[Model-Input-Ref2],表格3[SRP PRICE])</f>
        <v>538</v>
      </c>
      <c r="T4756" s="43">
        <f>表格1[[#This Row],[Unit Price]]/表格1[[#This Row],[SRP]]</f>
        <v>0.67100371747211895</v>
      </c>
      <c r="U4756" s="86" t="str">
        <f>_xlfn.XLOOKUP(表格1[[#This Row],[Model]],表格3[Model-Input-Ref2],表格3[TOSHIBA/HIGHEST])</f>
        <v>Toshiba SRP</v>
      </c>
      <c r="W4756" s="86" t="str">
        <f>_xlfn.CONCAT(表格1[[#This Row],[欄4]],表格1[[#This Row],[inv no]])</f>
        <v/>
      </c>
    </row>
    <row r="4757" spans="1:23">
      <c r="A4757" s="81">
        <v>4755</v>
      </c>
      <c r="B4757" s="86" t="s">
        <v>1203</v>
      </c>
      <c r="C4757" s="86" t="s">
        <v>2027</v>
      </c>
      <c r="D4757" s="89" t="str">
        <f ca="1">OFFSET(Roster!$A$3,MATCH(表格1[[#This Row],[Location]]&amp;" "&amp;表格1[[#This Row],[Shop]]&amp;"*",Roster!$A$4:$A$72,0),DAY(表格1[[#This Row],[date]]),1,1)</f>
        <v>May C</v>
      </c>
      <c r="E4757" s="86">
        <f>MONTH(表格1[[#This Row],[date]])</f>
        <v>3</v>
      </c>
      <c r="F4757" s="90">
        <v>46109</v>
      </c>
      <c r="G4757" s="86" t="str">
        <f>VLOOKUP("*"&amp;表格1[[#This Row],[Input]]&amp;"*",'Ref-List'!$B:$D,2,)</f>
        <v>F-LYA20(W)HKG</v>
      </c>
      <c r="H4757" s="86" t="str">
        <f>_xlfn.XLOOKUP(表格1[[#This Row],[Model]],表格3[Model-Input-Ref2],表格3[Product Line])</f>
        <v>12吋2合1座地座檯電風扇連遙控</v>
      </c>
      <c r="I4757" s="86" t="str">
        <f>_xlfn.XLOOKUP(表格1[[#This Row],[Model]],表格3[Model-Input-Ref2],表格3[大小電])</f>
        <v>細電</v>
      </c>
      <c r="J4757" s="86" t="str">
        <f>_xlfn.XLOOKUP(表格1[[#This Row],[Model]],表格3[Model-Input-Ref2],表格3[Code])</f>
        <v>EAD</v>
      </c>
      <c r="K4757" s="89" t="s">
        <v>2052</v>
      </c>
      <c r="L4757" s="86">
        <v>2</v>
      </c>
      <c r="M4757" s="87">
        <v>351</v>
      </c>
      <c r="N4757" s="87">
        <f>IFERROR(表格1[[#This Row],[QTY]]*表格1[[#This Row],[Unit Price]],"-")</f>
        <v>702</v>
      </c>
      <c r="R4757" s="86" t="str">
        <f>_xlfn.CONCAT(表格1[[#This Row],[Model]]," ",表格1[[#This Row],[inv no]])</f>
        <v xml:space="preserve">F-LYA20(W)HKG </v>
      </c>
      <c r="S4757" s="86">
        <f>_xlfn.XLOOKUP(表格1[[#This Row],[Model]],表格3[Model-Input-Ref2],表格3[SRP PRICE])</f>
        <v>988</v>
      </c>
      <c r="T4757" s="43">
        <f>表格1[[#This Row],[Unit Price]]/表格1[[#This Row],[SRP]]</f>
        <v>0.35526315789473684</v>
      </c>
      <c r="U4757" s="86" t="str">
        <f>_xlfn.XLOOKUP(表格1[[#This Row],[Model]],表格3[Model-Input-Ref2],表格3[TOSHIBA/HIGHEST])</f>
        <v>Toshiba SRP</v>
      </c>
      <c r="W4757" s="86" t="str">
        <f>_xlfn.CONCAT(表格1[[#This Row],[欄4]],表格1[[#This Row],[inv no]])</f>
        <v/>
      </c>
    </row>
    <row r="4758" spans="1:23">
      <c r="A4758" s="81">
        <v>4756</v>
      </c>
      <c r="B4758" s="86" t="s">
        <v>1203</v>
      </c>
      <c r="C4758" s="86" t="s">
        <v>2027</v>
      </c>
      <c r="D4758" s="89" t="str">
        <f ca="1">OFFSET(Roster!$A$3,MATCH(表格1[[#This Row],[Location]]&amp;" "&amp;表格1[[#This Row],[Shop]]&amp;"*",Roster!$A$4:$A$72,0),DAY(表格1[[#This Row],[date]]),1,1)</f>
        <v>May C</v>
      </c>
      <c r="E4758" s="86">
        <f>MONTH(表格1[[#This Row],[date]])</f>
        <v>3</v>
      </c>
      <c r="F4758" s="90">
        <v>46109</v>
      </c>
      <c r="G4758" s="86" t="str">
        <f>VLOOKUP("*"&amp;表格1[[#This Row],[Input]]&amp;"*",'Ref-List'!$B:$D,2,)</f>
        <v>RAD-D200H</v>
      </c>
      <c r="H4758" s="86" t="str">
        <f>_xlfn.XLOOKUP(表格1[[#This Row],[Model]],表格3[Model-Input-Ref2],表格3[Product Line])</f>
        <v>壓縮式抽濕機 (22公升)</v>
      </c>
      <c r="I4758" s="86" t="str">
        <f>_xlfn.XLOOKUP(表格1[[#This Row],[Model]],表格3[Model-Input-Ref2],表格3[大小電])</f>
        <v>細電</v>
      </c>
      <c r="J4758" s="86" t="str">
        <f>_xlfn.XLOOKUP(表格1[[#This Row],[Model]],表格3[Model-Input-Ref2],表格3[Code])</f>
        <v>RAC</v>
      </c>
      <c r="K4758" s="89" t="s">
        <v>2039</v>
      </c>
      <c r="L4758" s="86">
        <v>1</v>
      </c>
      <c r="M4758" s="87">
        <v>1938</v>
      </c>
      <c r="N4758" s="87">
        <f>IFERROR(表格1[[#This Row],[QTY]]*表格1[[#This Row],[Unit Price]],"-")</f>
        <v>1938</v>
      </c>
      <c r="R4758" s="86" t="str">
        <f>_xlfn.CONCAT(表格1[[#This Row],[Model]]," ",表格1[[#This Row],[inv no]])</f>
        <v xml:space="preserve">RAD-D200H </v>
      </c>
      <c r="S4758" s="86">
        <f>_xlfn.XLOOKUP(表格1[[#This Row],[Model]],表格3[Model-Input-Ref2],表格3[SRP PRICE])</f>
        <v>2880</v>
      </c>
      <c r="T4758" s="43">
        <f>表格1[[#This Row],[Unit Price]]/表格1[[#This Row],[SRP]]</f>
        <v>0.67291666666666672</v>
      </c>
      <c r="U4758" s="86" t="str">
        <f>_xlfn.XLOOKUP(表格1[[#This Row],[Model]],表格3[Model-Input-Ref2],表格3[TOSHIBA/HIGHEST])</f>
        <v>Shops Highest Price</v>
      </c>
      <c r="W4758" s="86" t="str">
        <f>_xlfn.CONCAT(表格1[[#This Row],[欄4]],表格1[[#This Row],[inv no]])</f>
        <v/>
      </c>
    </row>
    <row r="4759" spans="1:23">
      <c r="A4759" s="81">
        <v>4757</v>
      </c>
      <c r="B4759" s="86" t="s">
        <v>1203</v>
      </c>
      <c r="C4759" s="86" t="s">
        <v>2027</v>
      </c>
      <c r="D4759" s="89" t="str">
        <f ca="1">OFFSET(Roster!$A$3,MATCH(表格1[[#This Row],[Location]]&amp;" "&amp;表格1[[#This Row],[Shop]]&amp;"*",Roster!$A$4:$A$72,0),DAY(表格1[[#This Row],[date]]),1,1)</f>
        <v>May C</v>
      </c>
      <c r="E4759" s="86">
        <f>MONTH(表格1[[#This Row],[date]])</f>
        <v>3</v>
      </c>
      <c r="F4759" s="90">
        <v>46109</v>
      </c>
      <c r="G4759" s="86" t="str">
        <f>VLOOKUP("*"&amp;表格1[[#This Row],[Input]]&amp;"*",'Ref-List'!$B:$D,2,)</f>
        <v>RAD-D300H</v>
      </c>
      <c r="H4759" s="86" t="str">
        <f>_xlfn.XLOOKUP(表格1[[#This Row],[Model]],表格3[Model-Input-Ref2],表格3[Product Line])</f>
        <v>壓縮式抽濕機 (30公升)</v>
      </c>
      <c r="I4759" s="86" t="str">
        <f>_xlfn.XLOOKUP(表格1[[#This Row],[Model]],表格3[Model-Input-Ref2],表格3[大小電])</f>
        <v>細電</v>
      </c>
      <c r="J4759" s="86" t="str">
        <f>_xlfn.XLOOKUP(表格1[[#This Row],[Model]],表格3[Model-Input-Ref2],表格3[Code])</f>
        <v>RAC</v>
      </c>
      <c r="K4759" s="89" t="s">
        <v>1761</v>
      </c>
      <c r="L4759" s="86">
        <v>2</v>
      </c>
      <c r="M4759" s="87">
        <v>2326</v>
      </c>
      <c r="N4759" s="87">
        <f>IFERROR(表格1[[#This Row],[QTY]]*表格1[[#This Row],[Unit Price]],"-")</f>
        <v>4652</v>
      </c>
      <c r="R4759" s="86" t="str">
        <f>_xlfn.CONCAT(表格1[[#This Row],[Model]]," ",表格1[[#This Row],[inv no]])</f>
        <v xml:space="preserve">RAD-D300H </v>
      </c>
      <c r="S4759" s="86">
        <f>_xlfn.XLOOKUP(表格1[[#This Row],[Model]],表格3[Model-Input-Ref2],表格3[SRP PRICE])</f>
        <v>3380</v>
      </c>
      <c r="T4759" s="43">
        <f>表格1[[#This Row],[Unit Price]]/表格1[[#This Row],[SRP]]</f>
        <v>0.68816568047337279</v>
      </c>
      <c r="U4759" s="86" t="str">
        <f>_xlfn.XLOOKUP(表格1[[#This Row],[Model]],表格3[Model-Input-Ref2],表格3[TOSHIBA/HIGHEST])</f>
        <v>Shops Highest Price</v>
      </c>
      <c r="W4759" s="86" t="str">
        <f>_xlfn.CONCAT(表格1[[#This Row],[欄4]],表格1[[#This Row],[inv no]])</f>
        <v/>
      </c>
    </row>
    <row r="4760" spans="1:23">
      <c r="A4760" s="81">
        <v>4758</v>
      </c>
      <c r="B4760" s="86" t="s">
        <v>1203</v>
      </c>
      <c r="C4760" s="86" t="s">
        <v>2027</v>
      </c>
      <c r="D4760" s="89" t="str">
        <f ca="1">OFFSET(Roster!$A$3,MATCH(表格1[[#This Row],[Location]]&amp;" "&amp;表格1[[#This Row],[Shop]]&amp;"*",Roster!$A$4:$A$72,0),DAY(表格1[[#This Row],[date]]),1,1)</f>
        <v>May C</v>
      </c>
      <c r="E4760" s="86">
        <f>MONTH(表格1[[#This Row],[date]])</f>
        <v>3</v>
      </c>
      <c r="F4760" s="90">
        <v>46110</v>
      </c>
      <c r="G4760" s="86" t="str">
        <f>VLOOKUP("*"&amp;表格1[[#This Row],[Input]]&amp;"*",'Ref-List'!$B:$D,2,)</f>
        <v>KT-17SHNH</v>
      </c>
      <c r="H4760" s="86" t="str">
        <f>_xlfn.XLOOKUP(表格1[[#This Row],[Model]],表格3[Model-Input-Ref2],表格3[Product Line])</f>
        <v>1.7L無線雙層電熱水壺</v>
      </c>
      <c r="I4760" s="86" t="str">
        <f>_xlfn.XLOOKUP(表格1[[#This Row],[Model]],表格3[Model-Input-Ref2],表格3[大小電])</f>
        <v>細電</v>
      </c>
      <c r="J4760" s="86" t="str">
        <f>_xlfn.XLOOKUP(表格1[[#This Row],[Model]],表格3[Model-Input-Ref2],表格3[Code])</f>
        <v>SDA</v>
      </c>
      <c r="K4760" s="89" t="s">
        <v>2030</v>
      </c>
      <c r="L4760" s="86">
        <v>1</v>
      </c>
      <c r="M4760" s="87">
        <v>190</v>
      </c>
      <c r="N4760" s="87">
        <f>IFERROR(表格1[[#This Row],[QTY]]*表格1[[#This Row],[Unit Price]],"-")</f>
        <v>190</v>
      </c>
      <c r="R4760" s="86" t="str">
        <f>_xlfn.CONCAT(表格1[[#This Row],[Model]]," ",表格1[[#This Row],[inv no]])</f>
        <v xml:space="preserve">KT-17SHNH </v>
      </c>
      <c r="S4760" s="86">
        <f>_xlfn.XLOOKUP(表格1[[#This Row],[Model]],表格3[Model-Input-Ref2],表格3[SRP PRICE])</f>
        <v>299</v>
      </c>
      <c r="T4760" s="43">
        <f>表格1[[#This Row],[Unit Price]]/表格1[[#This Row],[SRP]]</f>
        <v>0.63545150501672243</v>
      </c>
      <c r="U4760" s="86" t="str">
        <f>_xlfn.XLOOKUP(表格1[[#This Row],[Model]],表格3[Model-Input-Ref2],表格3[TOSHIBA/HIGHEST])</f>
        <v>Shops Highest Price</v>
      </c>
      <c r="W4760" s="86" t="str">
        <f>_xlfn.CONCAT(表格1[[#This Row],[欄4]],表格1[[#This Row],[inv no]])</f>
        <v/>
      </c>
    </row>
    <row r="4761" spans="1:23">
      <c r="A4761" s="81">
        <v>4759</v>
      </c>
      <c r="B4761" s="86" t="s">
        <v>1203</v>
      </c>
      <c r="C4761" s="86" t="s">
        <v>2027</v>
      </c>
      <c r="D4761" s="89" t="str">
        <f ca="1">OFFSET(Roster!$A$3,MATCH(表格1[[#This Row],[Location]]&amp;" "&amp;表格1[[#This Row],[Shop]]&amp;"*",Roster!$A$4:$A$72,0),DAY(表格1[[#This Row],[date]]),1,1)</f>
        <v>May C</v>
      </c>
      <c r="E4761" s="86">
        <f>MONTH(表格1[[#This Row],[date]])</f>
        <v>3</v>
      </c>
      <c r="F4761" s="90">
        <v>46110</v>
      </c>
      <c r="G4761" s="86" t="str">
        <f>VLOOKUP("*"&amp;表格1[[#This Row],[Input]]&amp;"*",'Ref-List'!$B:$D,2,)</f>
        <v>RC-5SLIH(W)</v>
      </c>
      <c r="H4761" s="86" t="str">
        <f>_xlfn.XLOOKUP(表格1[[#This Row],[Model]],表格3[Model-Input-Ref2],表格3[Product Line])</f>
        <v>微型電腦珍珠飯煲</v>
      </c>
      <c r="I4761" s="86" t="str">
        <f>_xlfn.XLOOKUP(表格1[[#This Row],[Model]],表格3[Model-Input-Ref2],表格3[大小電])</f>
        <v>細電</v>
      </c>
      <c r="J4761" s="86" t="str">
        <f>_xlfn.XLOOKUP(表格1[[#This Row],[Model]],表格3[Model-Input-Ref2],表格3[Code])</f>
        <v>SDA</v>
      </c>
      <c r="K4761" s="89" t="s">
        <v>2037</v>
      </c>
      <c r="L4761" s="86">
        <v>1</v>
      </c>
      <c r="M4761" s="87">
        <v>590</v>
      </c>
      <c r="N4761" s="87">
        <f>IFERROR(表格1[[#This Row],[QTY]]*表格1[[#This Row],[Unit Price]],"-")</f>
        <v>590</v>
      </c>
      <c r="R4761" s="86" t="str">
        <f>_xlfn.CONCAT(表格1[[#This Row],[Model]]," ",表格1[[#This Row],[inv no]])</f>
        <v xml:space="preserve">RC-5SLIH(W) </v>
      </c>
      <c r="S4761" s="86">
        <f>_xlfn.XLOOKUP(表格1[[#This Row],[Model]],表格3[Model-Input-Ref2],表格3[SRP PRICE])</f>
        <v>658</v>
      </c>
      <c r="T4761" s="43">
        <f>表格1[[#This Row],[Unit Price]]/表格1[[#This Row],[SRP]]</f>
        <v>0.89665653495440734</v>
      </c>
      <c r="U4761" s="86" t="str">
        <f>_xlfn.XLOOKUP(表格1[[#This Row],[Model]],表格3[Model-Input-Ref2],表格3[TOSHIBA/HIGHEST])</f>
        <v>Toshiba SRP</v>
      </c>
      <c r="W4761" s="86" t="str">
        <f>_xlfn.CONCAT(表格1[[#This Row],[欄4]],表格1[[#This Row],[inv no]])</f>
        <v/>
      </c>
    </row>
    <row r="4762" spans="1:23">
      <c r="A4762" s="81">
        <v>4760</v>
      </c>
      <c r="B4762" s="86" t="s">
        <v>1203</v>
      </c>
      <c r="C4762" s="86" t="s">
        <v>2027</v>
      </c>
      <c r="D4762" s="89" t="str">
        <f ca="1">OFFSET(Roster!$A$3,MATCH(表格1[[#This Row],[Location]]&amp;" "&amp;表格1[[#This Row],[Shop]]&amp;"*",Roster!$A$4:$A$72,0),DAY(表格1[[#This Row],[date]]),1,1)</f>
        <v>May C</v>
      </c>
      <c r="E4762" s="86">
        <f>MONTH(表格1[[#This Row],[date]])</f>
        <v>3</v>
      </c>
      <c r="F4762" s="90">
        <v>46110</v>
      </c>
      <c r="G4762" s="86" t="str">
        <f>VLOOKUP("*"&amp;表格1[[#This Row],[Input]]&amp;"*",'Ref-List'!$B:$D,2,)</f>
        <v>KT-17DRTHK(H)</v>
      </c>
      <c r="H4762" s="86" t="str">
        <f>_xlfn.XLOOKUP(表格1[[#This Row],[Model]],表格3[Model-Input-Ref2],表格3[Product Line])</f>
        <v>無線雙層電熱水壺(1.7公升)</v>
      </c>
      <c r="I4762" s="86" t="str">
        <f>_xlfn.XLOOKUP(表格1[[#This Row],[Model]],表格3[Model-Input-Ref2],表格3[大小電])</f>
        <v>細電</v>
      </c>
      <c r="J4762" s="86" t="str">
        <f>_xlfn.XLOOKUP(表格1[[#This Row],[Model]],表格3[Model-Input-Ref2],表格3[Code])</f>
        <v>SDA</v>
      </c>
      <c r="K4762" s="89" t="s">
        <v>2035</v>
      </c>
      <c r="L4762" s="86">
        <v>1</v>
      </c>
      <c r="M4762" s="87">
        <v>350</v>
      </c>
      <c r="N4762" s="87">
        <f>IFERROR(表格1[[#This Row],[QTY]]*表格1[[#This Row],[Unit Price]],"-")</f>
        <v>350</v>
      </c>
      <c r="R4762" s="86" t="str">
        <f>_xlfn.CONCAT(表格1[[#This Row],[Model]]," ",表格1[[#This Row],[inv no]])</f>
        <v xml:space="preserve">KT-17DRTHK(H) </v>
      </c>
      <c r="S4762" s="86">
        <f>_xlfn.XLOOKUP(表格1[[#This Row],[Model]],表格3[Model-Input-Ref2],表格3[SRP PRICE])</f>
        <v>498</v>
      </c>
      <c r="T4762" s="43">
        <f>表格1[[#This Row],[Unit Price]]/表格1[[#This Row],[SRP]]</f>
        <v>0.70281124497991965</v>
      </c>
      <c r="U4762" s="86" t="str">
        <f>_xlfn.XLOOKUP(表格1[[#This Row],[Model]],表格3[Model-Input-Ref2],表格3[TOSHIBA/HIGHEST])</f>
        <v>Toshiba SRP</v>
      </c>
      <c r="W4762" s="86" t="str">
        <f>_xlfn.CONCAT(表格1[[#This Row],[欄4]],表格1[[#This Row],[inv no]])</f>
        <v/>
      </c>
    </row>
    <row r="4763" spans="1:23">
      <c r="A4763" s="81">
        <v>4761</v>
      </c>
      <c r="B4763" s="86" t="s">
        <v>1203</v>
      </c>
      <c r="C4763" s="86" t="s">
        <v>2027</v>
      </c>
      <c r="D4763" s="89" t="str">
        <f ca="1">OFFSET(Roster!$A$3,MATCH(表格1[[#This Row],[Location]]&amp;" "&amp;表格1[[#This Row],[Shop]]&amp;"*",Roster!$A$4:$A$72,0),DAY(表格1[[#This Row],[date]]),1,1)</f>
        <v>May C</v>
      </c>
      <c r="E4763" s="86">
        <f>MONTH(表格1[[#This Row],[date]])</f>
        <v>3</v>
      </c>
      <c r="F4763" s="90">
        <v>46110</v>
      </c>
      <c r="G4763" s="86" t="str">
        <f>VLOOKUP("*"&amp;表格1[[#This Row],[Input]]&amp;"*",'Ref-List'!$B:$D,2,)</f>
        <v>IC-20R1THK</v>
      </c>
      <c r="H4763" s="86" t="str">
        <f>_xlfn.XLOOKUP(表格1[[#This Row],[Model]],表格3[Model-Input-Ref2],表格3[Product Line])</f>
        <v>輕便式電磁爐</v>
      </c>
      <c r="I4763" s="86" t="str">
        <f>_xlfn.XLOOKUP(表格1[[#This Row],[Model]],表格3[Model-Input-Ref2],表格3[大小電])</f>
        <v>細電</v>
      </c>
      <c r="J4763" s="86" t="str">
        <f>_xlfn.XLOOKUP(表格1[[#This Row],[Model]],表格3[Model-Input-Ref2],表格3[Code])</f>
        <v>SDA</v>
      </c>
      <c r="K4763" s="89" t="s">
        <v>2243</v>
      </c>
      <c r="L4763" s="86">
        <v>2</v>
      </c>
      <c r="M4763" s="87">
        <v>290</v>
      </c>
      <c r="N4763" s="87">
        <f>IFERROR(表格1[[#This Row],[QTY]]*表格1[[#This Row],[Unit Price]],"-")</f>
        <v>580</v>
      </c>
      <c r="R4763" s="86" t="str">
        <f>_xlfn.CONCAT(表格1[[#This Row],[Model]]," ",表格1[[#This Row],[inv no]])</f>
        <v xml:space="preserve">IC-20R1THK </v>
      </c>
      <c r="S4763" s="86">
        <f>_xlfn.XLOOKUP(表格1[[#This Row],[Model]],表格3[Model-Input-Ref2],表格3[SRP PRICE])</f>
        <v>438</v>
      </c>
      <c r="T4763" s="43">
        <f>表格1[[#This Row],[Unit Price]]/表格1[[#This Row],[SRP]]</f>
        <v>0.66210045662100458</v>
      </c>
      <c r="U4763" s="86" t="str">
        <f>_xlfn.XLOOKUP(表格1[[#This Row],[Model]],表格3[Model-Input-Ref2],表格3[TOSHIBA/HIGHEST])</f>
        <v>Shops Highest Price</v>
      </c>
      <c r="W4763" s="86" t="str">
        <f>_xlfn.CONCAT(表格1[[#This Row],[欄4]],表格1[[#This Row],[inv no]])</f>
        <v/>
      </c>
    </row>
    <row r="4764" spans="1:23">
      <c r="A4764" s="81">
        <v>4762</v>
      </c>
      <c r="B4764" s="86" t="s">
        <v>1203</v>
      </c>
      <c r="C4764" s="86" t="s">
        <v>2027</v>
      </c>
      <c r="D4764" s="89" t="str">
        <f ca="1">OFFSET(Roster!$A$3,MATCH(表格1[[#This Row],[Location]]&amp;" "&amp;表格1[[#This Row],[Shop]]&amp;"*",Roster!$A$4:$A$72,0),DAY(表格1[[#This Row],[date]]),1,1)</f>
        <v>May C</v>
      </c>
      <c r="E4764" s="86">
        <f>MONTH(表格1[[#This Row],[date]])</f>
        <v>3</v>
      </c>
      <c r="F4764" s="90">
        <v>46110</v>
      </c>
      <c r="G4764" s="86" t="str">
        <f>VLOOKUP("*"&amp;表格1[[#This Row],[Input]]&amp;"*",'Ref-List'!$B:$D,2,)</f>
        <v>RC-10AMXH(W)</v>
      </c>
      <c r="H4764" s="86" t="str">
        <f>_xlfn.XLOOKUP(表格1[[#This Row],[Model]],表格3[Model-Input-Ref2],表格3[Product Line])</f>
        <v>酵活炊電飯煲(1.0公升)</v>
      </c>
      <c r="I4764" s="86" t="str">
        <f>_xlfn.XLOOKUP(表格1[[#This Row],[Model]],表格3[Model-Input-Ref2],表格3[大小電])</f>
        <v>細電</v>
      </c>
      <c r="J4764" s="86" t="str">
        <f>_xlfn.XLOOKUP(表格1[[#This Row],[Model]],表格3[Model-Input-Ref2],表格3[Code])</f>
        <v>SDA</v>
      </c>
      <c r="K4764" s="89" t="s">
        <v>1956</v>
      </c>
      <c r="L4764" s="86">
        <v>1</v>
      </c>
      <c r="M4764" s="87">
        <v>990</v>
      </c>
      <c r="N4764" s="87">
        <f>IFERROR(表格1[[#This Row],[QTY]]*表格1[[#This Row],[Unit Price]],"-")</f>
        <v>990</v>
      </c>
      <c r="R4764" s="86" t="str">
        <f>_xlfn.CONCAT(表格1[[#This Row],[Model]]," ",表格1[[#This Row],[inv no]])</f>
        <v xml:space="preserve">RC-10AMXH(W) </v>
      </c>
      <c r="S4764" s="86">
        <f>_xlfn.XLOOKUP(表格1[[#This Row],[Model]],表格3[Model-Input-Ref2],表格3[SRP PRICE])</f>
        <v>1288</v>
      </c>
      <c r="T4764" s="43">
        <f>表格1[[#This Row],[Unit Price]]/表格1[[#This Row],[SRP]]</f>
        <v>0.76863354037267084</v>
      </c>
      <c r="U4764" s="86" t="str">
        <f>_xlfn.XLOOKUP(表格1[[#This Row],[Model]],表格3[Model-Input-Ref2],表格3[TOSHIBA/HIGHEST])</f>
        <v>Toshiba SRP</v>
      </c>
      <c r="W4764" s="86" t="str">
        <f>_xlfn.CONCAT(表格1[[#This Row],[欄4]],表格1[[#This Row],[inv no]])</f>
        <v/>
      </c>
    </row>
    <row r="4765" spans="1:23">
      <c r="A4765" s="81">
        <v>4763</v>
      </c>
      <c r="B4765" s="86" t="s">
        <v>1203</v>
      </c>
      <c r="C4765" s="86" t="s">
        <v>2027</v>
      </c>
      <c r="D4765" s="89" t="str">
        <f ca="1">OFFSET(Roster!$A$3,MATCH(表格1[[#This Row],[Location]]&amp;" "&amp;表格1[[#This Row],[Shop]]&amp;"*",Roster!$A$4:$A$72,0),DAY(表格1[[#This Row],[date]]),1,1)</f>
        <v>May C</v>
      </c>
      <c r="E4765" s="86">
        <f>MONTH(表格1[[#This Row],[date]])</f>
        <v>3</v>
      </c>
      <c r="F4765" s="90">
        <v>46110</v>
      </c>
      <c r="G4765" s="86" t="str">
        <f>VLOOKUP("*"&amp;表格1[[#This Row],[Input]]&amp;"*",'Ref-List'!$B:$D,2,)</f>
        <v>F-LYA20(W)HKG</v>
      </c>
      <c r="H4765" s="86" t="str">
        <f>_xlfn.XLOOKUP(表格1[[#This Row],[Model]],表格3[Model-Input-Ref2],表格3[Product Line])</f>
        <v>12吋2合1座地座檯電風扇連遙控</v>
      </c>
      <c r="I4765" s="86" t="str">
        <f>_xlfn.XLOOKUP(表格1[[#This Row],[Model]],表格3[Model-Input-Ref2],表格3[大小電])</f>
        <v>細電</v>
      </c>
      <c r="J4765" s="86" t="str">
        <f>_xlfn.XLOOKUP(表格1[[#This Row],[Model]],表格3[Model-Input-Ref2],表格3[Code])</f>
        <v>EAD</v>
      </c>
      <c r="K4765" s="89" t="s">
        <v>2052</v>
      </c>
      <c r="L4765" s="86">
        <v>2</v>
      </c>
      <c r="M4765" s="87">
        <v>351</v>
      </c>
      <c r="N4765" s="87">
        <f>IFERROR(表格1[[#This Row],[QTY]]*表格1[[#This Row],[Unit Price]],"-")</f>
        <v>702</v>
      </c>
      <c r="R4765" s="86" t="str">
        <f>_xlfn.CONCAT(表格1[[#This Row],[Model]]," ",表格1[[#This Row],[inv no]])</f>
        <v xml:space="preserve">F-LYA20(W)HKG </v>
      </c>
      <c r="S4765" s="86">
        <f>_xlfn.XLOOKUP(表格1[[#This Row],[Model]],表格3[Model-Input-Ref2],表格3[SRP PRICE])</f>
        <v>988</v>
      </c>
      <c r="T4765" s="43">
        <f>表格1[[#This Row],[Unit Price]]/表格1[[#This Row],[SRP]]</f>
        <v>0.35526315789473684</v>
      </c>
      <c r="U4765" s="86" t="str">
        <f>_xlfn.XLOOKUP(表格1[[#This Row],[Model]],表格3[Model-Input-Ref2],表格3[TOSHIBA/HIGHEST])</f>
        <v>Toshiba SRP</v>
      </c>
      <c r="W4765" s="86" t="str">
        <f>_xlfn.CONCAT(表格1[[#This Row],[欄4]],表格1[[#This Row],[inv no]])</f>
        <v/>
      </c>
    </row>
    <row r="4766" spans="1:23">
      <c r="A4766" s="81">
        <v>4764</v>
      </c>
      <c r="B4766" s="86" t="s">
        <v>1203</v>
      </c>
      <c r="C4766" s="86" t="s">
        <v>2027</v>
      </c>
      <c r="D4766" s="89" t="str">
        <f ca="1">OFFSET(Roster!$A$3,MATCH(表格1[[#This Row],[Location]]&amp;" "&amp;表格1[[#This Row],[Shop]]&amp;"*",Roster!$A$4:$A$72,0),DAY(表格1[[#This Row],[date]]),1,1)</f>
        <v>May C</v>
      </c>
      <c r="E4766" s="86">
        <f>MONTH(表格1[[#This Row],[date]])</f>
        <v>3</v>
      </c>
      <c r="F4766" s="90">
        <v>46110</v>
      </c>
      <c r="G4766" s="86" t="str">
        <f>VLOOKUP("*"&amp;表格1[[#This Row],[Input]]&amp;"*",'Ref-List'!$B:$D,2,)</f>
        <v>RAD-D200H</v>
      </c>
      <c r="H4766" s="86" t="str">
        <f>_xlfn.XLOOKUP(表格1[[#This Row],[Model]],表格3[Model-Input-Ref2],表格3[Product Line])</f>
        <v>壓縮式抽濕機 (22公升)</v>
      </c>
      <c r="I4766" s="86" t="str">
        <f>_xlfn.XLOOKUP(表格1[[#This Row],[Model]],表格3[Model-Input-Ref2],表格3[大小電])</f>
        <v>細電</v>
      </c>
      <c r="J4766" s="86" t="str">
        <f>_xlfn.XLOOKUP(表格1[[#This Row],[Model]],表格3[Model-Input-Ref2],表格3[Code])</f>
        <v>RAC</v>
      </c>
      <c r="K4766" s="89" t="s">
        <v>2039</v>
      </c>
      <c r="L4766" s="86">
        <v>1</v>
      </c>
      <c r="M4766" s="87">
        <v>1938</v>
      </c>
      <c r="N4766" s="87">
        <f>IFERROR(表格1[[#This Row],[QTY]]*表格1[[#This Row],[Unit Price]],"-")</f>
        <v>1938</v>
      </c>
      <c r="R4766" s="86" t="str">
        <f>_xlfn.CONCAT(表格1[[#This Row],[Model]]," ",表格1[[#This Row],[inv no]])</f>
        <v xml:space="preserve">RAD-D200H </v>
      </c>
      <c r="S4766" s="86">
        <f>_xlfn.XLOOKUP(表格1[[#This Row],[Model]],表格3[Model-Input-Ref2],表格3[SRP PRICE])</f>
        <v>2880</v>
      </c>
      <c r="T4766" s="43">
        <f>表格1[[#This Row],[Unit Price]]/表格1[[#This Row],[SRP]]</f>
        <v>0.67291666666666672</v>
      </c>
      <c r="U4766" s="86" t="str">
        <f>_xlfn.XLOOKUP(表格1[[#This Row],[Model]],表格3[Model-Input-Ref2],表格3[TOSHIBA/HIGHEST])</f>
        <v>Shops Highest Price</v>
      </c>
      <c r="W4766" s="86" t="str">
        <f>_xlfn.CONCAT(表格1[[#This Row],[欄4]],表格1[[#This Row],[inv no]])</f>
        <v/>
      </c>
    </row>
    <row r="4767" spans="1:23">
      <c r="A4767" s="81">
        <v>4765</v>
      </c>
      <c r="B4767" s="86" t="s">
        <v>1203</v>
      </c>
      <c r="C4767" s="86" t="s">
        <v>2027</v>
      </c>
      <c r="D4767" s="89" t="str">
        <f ca="1">OFFSET(Roster!$A$3,MATCH(表格1[[#This Row],[Location]]&amp;" "&amp;表格1[[#This Row],[Shop]]&amp;"*",Roster!$A$4:$A$72,0),DAY(表格1[[#This Row],[date]]),1,1)</f>
        <v>May C</v>
      </c>
      <c r="E4767" s="86">
        <f>MONTH(表格1[[#This Row],[date]])</f>
        <v>3</v>
      </c>
      <c r="F4767" s="90">
        <v>46110</v>
      </c>
      <c r="G4767" s="86" t="str">
        <f>VLOOKUP("*"&amp;表格1[[#This Row],[Input]]&amp;"*",'Ref-List'!$B:$D,2,)</f>
        <v>RAD-D300H</v>
      </c>
      <c r="H4767" s="86" t="str">
        <f>_xlfn.XLOOKUP(表格1[[#This Row],[Model]],表格3[Model-Input-Ref2],表格3[Product Line])</f>
        <v>壓縮式抽濕機 (30公升)</v>
      </c>
      <c r="I4767" s="86" t="str">
        <f>_xlfn.XLOOKUP(表格1[[#This Row],[Model]],表格3[Model-Input-Ref2],表格3[大小電])</f>
        <v>細電</v>
      </c>
      <c r="J4767" s="86" t="str">
        <f>_xlfn.XLOOKUP(表格1[[#This Row],[Model]],表格3[Model-Input-Ref2],表格3[Code])</f>
        <v>RAC</v>
      </c>
      <c r="K4767" s="89" t="s">
        <v>1761</v>
      </c>
      <c r="L4767" s="86">
        <v>1</v>
      </c>
      <c r="M4767" s="87">
        <v>2326</v>
      </c>
      <c r="N4767" s="87">
        <f>IFERROR(表格1[[#This Row],[QTY]]*表格1[[#This Row],[Unit Price]],"-")</f>
        <v>2326</v>
      </c>
      <c r="R4767" s="86" t="str">
        <f>_xlfn.CONCAT(表格1[[#This Row],[Model]]," ",表格1[[#This Row],[inv no]])</f>
        <v xml:space="preserve">RAD-D300H </v>
      </c>
      <c r="S4767" s="86">
        <f>_xlfn.XLOOKUP(表格1[[#This Row],[Model]],表格3[Model-Input-Ref2],表格3[SRP PRICE])</f>
        <v>3380</v>
      </c>
      <c r="T4767" s="43">
        <f>表格1[[#This Row],[Unit Price]]/表格1[[#This Row],[SRP]]</f>
        <v>0.68816568047337279</v>
      </c>
      <c r="U4767" s="86" t="str">
        <f>_xlfn.XLOOKUP(表格1[[#This Row],[Model]],表格3[Model-Input-Ref2],表格3[TOSHIBA/HIGHEST])</f>
        <v>Shops Highest Price</v>
      </c>
      <c r="W4767" s="86" t="str">
        <f>_xlfn.CONCAT(表格1[[#This Row],[欄4]],表格1[[#This Row],[inv no]])</f>
        <v/>
      </c>
    </row>
    <row r="4768" spans="1:23" hidden="1">
      <c r="A4768" s="81">
        <v>4766</v>
      </c>
      <c r="B4768" s="86" t="s">
        <v>1477</v>
      </c>
      <c r="C4768" s="86" t="s">
        <v>2252</v>
      </c>
      <c r="D4768" s="89" t="str">
        <f ca="1">OFFSET(Roster!$A$3,MATCH(表格1[[#This Row],[Location]]&amp;" "&amp;表格1[[#This Row],[Shop]]&amp;"*",Roster!$A$4:$A$72,0),DAY(表格1[[#This Row],[date]]),1,1)</f>
        <v>Raymond</v>
      </c>
      <c r="E4768" s="86">
        <f>MONTH(表格1[[#This Row],[date]])</f>
        <v>3</v>
      </c>
      <c r="F4768" s="90">
        <v>46082</v>
      </c>
      <c r="G4768" s="86" t="str">
        <f>VLOOKUP("*"&amp;表格1[[#This Row],[Input]]&amp;"*",'Ref-List'!$B:$D,2,)</f>
        <v>TL-MC35Z</v>
      </c>
      <c r="H4768" s="86" t="str">
        <f>_xlfn.XLOOKUP(表格1[[#This Row],[Model]],表格3[Model-Input-Ref2],表格3[Product Line])</f>
        <v>35L多功能電焗爐</v>
      </c>
      <c r="I4768" s="86" t="str">
        <f>_xlfn.XLOOKUP(表格1[[#This Row],[Model]],表格3[Model-Input-Ref2],表格3[大小電])</f>
        <v>細電</v>
      </c>
      <c r="J4768" s="86" t="str">
        <f>_xlfn.XLOOKUP(表格1[[#This Row],[Model]],表格3[Model-Input-Ref2],表格3[Code])</f>
        <v>SDA</v>
      </c>
      <c r="K4768" s="89" t="s">
        <v>1295</v>
      </c>
      <c r="L4768" s="86">
        <v>1</v>
      </c>
      <c r="M4768" s="87">
        <v>888</v>
      </c>
      <c r="N4768" s="87">
        <f>IFERROR(表格1[[#This Row],[QTY]]*表格1[[#This Row],[Unit Price]],"-")</f>
        <v>888</v>
      </c>
      <c r="O4768" s="168">
        <v>2809725</v>
      </c>
      <c r="R4768" s="86" t="str">
        <f>_xlfn.CONCAT(表格1[[#This Row],[Model]]," ",表格1[[#This Row],[inv no]])</f>
        <v>TL-MC35Z 2809725</v>
      </c>
      <c r="S4768" s="86">
        <f>_xlfn.XLOOKUP(表格1[[#This Row],[Model]],表格3[Model-Input-Ref2],表格3[SRP PRICE])</f>
        <v>1098</v>
      </c>
      <c r="T4768" s="43">
        <f>表格1[[#This Row],[Unit Price]]/表格1[[#This Row],[SRP]]</f>
        <v>0.80874316939890711</v>
      </c>
      <c r="U4768" s="86" t="str">
        <f>_xlfn.XLOOKUP(表格1[[#This Row],[Model]],表格3[Model-Input-Ref2],表格3[TOSHIBA/HIGHEST])</f>
        <v>Toshiba SRP</v>
      </c>
      <c r="W4768" s="86" t="str">
        <f>_xlfn.CONCAT(表格1[[#This Row],[欄4]],表格1[[#This Row],[inv no]])</f>
        <v>2809725</v>
      </c>
    </row>
    <row r="4769" spans="1:23" hidden="1">
      <c r="A4769" s="81">
        <v>4767</v>
      </c>
      <c r="B4769" s="86" t="s">
        <v>1477</v>
      </c>
      <c r="C4769" s="86" t="s">
        <v>2252</v>
      </c>
      <c r="D4769" s="89" t="str">
        <f ca="1">OFFSET(Roster!$A$3,MATCH(表格1[[#This Row],[Location]]&amp;" "&amp;表格1[[#This Row],[Shop]]&amp;"*",Roster!$A$4:$A$72,0),DAY(表格1[[#This Row],[date]]),1,1)</f>
        <v>Raymond</v>
      </c>
      <c r="E4769" s="86">
        <f>MONTH(表格1[[#This Row],[date]])</f>
        <v>3</v>
      </c>
      <c r="F4769" s="90">
        <v>46082</v>
      </c>
      <c r="G4769" s="86" t="str">
        <f>VLOOKUP("*"&amp;表格1[[#This Row],[Input]]&amp;"*",'Ref-List'!$B:$D,2,)</f>
        <v>MX1-TH23SC(WH)</v>
      </c>
      <c r="H4769" s="86" t="str">
        <f>_xlfn.XLOOKUP(表格1[[#This Row],[Model]],表格3[Model-Input-Ref2],表格3[Product Line])</f>
        <v>微波蒸焗爐23L</v>
      </c>
      <c r="I4769" s="86" t="str">
        <f>_xlfn.XLOOKUP(表格1[[#This Row],[Model]],表格3[Model-Input-Ref2],表格3[大小電])</f>
        <v>細電</v>
      </c>
      <c r="J4769" s="86" t="str">
        <f>_xlfn.XLOOKUP(表格1[[#This Row],[Model]],表格3[Model-Input-Ref2],表格3[Code])</f>
        <v>SDA</v>
      </c>
      <c r="K4769" s="89" t="s">
        <v>1496</v>
      </c>
      <c r="L4769" s="86">
        <v>1</v>
      </c>
      <c r="M4769" s="87">
        <v>2580</v>
      </c>
      <c r="N4769" s="87">
        <f>IFERROR(表格1[[#This Row],[QTY]]*表格1[[#This Row],[Unit Price]],"-")</f>
        <v>2580</v>
      </c>
      <c r="O4769" s="168">
        <v>2809737</v>
      </c>
      <c r="R4769" s="86" t="str">
        <f>_xlfn.CONCAT(表格1[[#This Row],[Model]]," ",表格1[[#This Row],[inv no]])</f>
        <v>MX1-TH23SC(WH) 2809737</v>
      </c>
      <c r="S4769" s="86">
        <f>_xlfn.XLOOKUP(表格1[[#This Row],[Model]],表格3[Model-Input-Ref2],表格3[SRP PRICE])</f>
        <v>3380</v>
      </c>
      <c r="T4769" s="43">
        <f>表格1[[#This Row],[Unit Price]]/表格1[[#This Row],[SRP]]</f>
        <v>0.76331360946745563</v>
      </c>
      <c r="U4769" s="86" t="str">
        <f>_xlfn.XLOOKUP(表格1[[#This Row],[Model]],表格3[Model-Input-Ref2],表格3[TOSHIBA/HIGHEST])</f>
        <v>Toshiba SRP</v>
      </c>
      <c r="W4769" s="86" t="str">
        <f>_xlfn.CONCAT(表格1[[#This Row],[欄4]],表格1[[#This Row],[inv no]])</f>
        <v>2809737</v>
      </c>
    </row>
    <row r="4770" spans="1:23" hidden="1">
      <c r="A4770" s="81">
        <v>4768</v>
      </c>
      <c r="B4770" s="86" t="s">
        <v>1477</v>
      </c>
      <c r="C4770" s="86" t="s">
        <v>2252</v>
      </c>
      <c r="D4770" s="89" t="str">
        <f ca="1">OFFSET(Roster!$A$3,MATCH(表格1[[#This Row],[Location]]&amp;" "&amp;表格1[[#This Row],[Shop]]&amp;"*",Roster!$A$4:$A$72,0),DAY(表格1[[#This Row],[date]]),1,1)</f>
        <v>Raymond</v>
      </c>
      <c r="E4770" s="86">
        <f>MONTH(表格1[[#This Row],[date]])</f>
        <v>3</v>
      </c>
      <c r="F4770" s="90">
        <v>46082</v>
      </c>
      <c r="G4770" s="86" t="str">
        <f>VLOOKUP("*"&amp;表格1[[#This Row],[Input]]&amp;"*",'Ref-List'!$B:$D,2,)</f>
        <v>RC-10NMFIH(WT)</v>
      </c>
      <c r="H4770" s="86" t="str">
        <f>_xlfn.XLOOKUP(表格1[[#This Row],[Model]],表格3[Model-Input-Ref2],表格3[Product Line])</f>
        <v>4毫米厚釜電飯煲1L</v>
      </c>
      <c r="I4770" s="86" t="str">
        <f>_xlfn.XLOOKUP(表格1[[#This Row],[Model]],表格3[Model-Input-Ref2],表格3[大小電])</f>
        <v>細電</v>
      </c>
      <c r="J4770" s="86" t="str">
        <f>_xlfn.XLOOKUP(表格1[[#This Row],[Model]],表格3[Model-Input-Ref2],表格3[Code])</f>
        <v>SDA</v>
      </c>
      <c r="K4770" s="89" t="s">
        <v>1244</v>
      </c>
      <c r="L4770" s="86">
        <v>1</v>
      </c>
      <c r="M4770" s="87">
        <v>719</v>
      </c>
      <c r="N4770" s="87">
        <f>IFERROR(表格1[[#This Row],[QTY]]*表格1[[#This Row],[Unit Price]],"-")</f>
        <v>719</v>
      </c>
      <c r="O4770" s="168">
        <v>2809765</v>
      </c>
      <c r="R4770" s="86" t="str">
        <f>_xlfn.CONCAT(表格1[[#This Row],[Model]]," ",表格1[[#This Row],[inv no]])</f>
        <v>RC-10NMFIH(WT) 2809765</v>
      </c>
      <c r="S4770" s="86">
        <f>_xlfn.XLOOKUP(表格1[[#This Row],[Model]],表格3[Model-Input-Ref2],表格3[SRP PRICE])</f>
        <v>898</v>
      </c>
      <c r="T4770" s="43">
        <f>表格1[[#This Row],[Unit Price]]/表格1[[#This Row],[SRP]]</f>
        <v>0.80066815144766146</v>
      </c>
      <c r="U4770" s="86" t="str">
        <f>_xlfn.XLOOKUP(表格1[[#This Row],[Model]],表格3[Model-Input-Ref2],表格3[TOSHIBA/HIGHEST])</f>
        <v>Toshiba SRP</v>
      </c>
      <c r="W4770" s="86" t="str">
        <f>_xlfn.CONCAT(表格1[[#This Row],[欄4]],表格1[[#This Row],[inv no]])</f>
        <v>2809765</v>
      </c>
    </row>
    <row r="4771" spans="1:23" hidden="1">
      <c r="A4771" s="81">
        <v>4769</v>
      </c>
      <c r="B4771" s="86" t="s">
        <v>1477</v>
      </c>
      <c r="C4771" s="86" t="s">
        <v>2252</v>
      </c>
      <c r="D4771" s="89" t="str">
        <f ca="1">OFFSET(Roster!$A$3,MATCH(表格1[[#This Row],[Location]]&amp;" "&amp;表格1[[#This Row],[Shop]]&amp;"*",Roster!$A$4:$A$72,0),DAY(表格1[[#This Row],[date]]),1,1)</f>
        <v>Raymond</v>
      </c>
      <c r="E4771" s="86">
        <f>MONTH(表格1[[#This Row],[date]])</f>
        <v>3</v>
      </c>
      <c r="F4771" s="90">
        <v>46082</v>
      </c>
      <c r="G4771" s="86" t="str">
        <f>VLOOKUP("*"&amp;表格1[[#This Row],[Input]]&amp;"*",'Ref-List'!$B:$D,2,)</f>
        <v>MWP-MG20P(BK)</v>
      </c>
      <c r="H4771" s="86" t="str">
        <f>_xlfn.XLOOKUP(表格1[[#This Row],[Model]],表格3[Model-Input-Ref2],表格3[Product Line])</f>
        <v>旋鈕式燒烤微波爐20L黑色</v>
      </c>
      <c r="I4771" s="86" t="str">
        <f>_xlfn.XLOOKUP(表格1[[#This Row],[Model]],表格3[Model-Input-Ref2],表格3[大小電])</f>
        <v>細電</v>
      </c>
      <c r="J4771" s="86" t="str">
        <f>_xlfn.XLOOKUP(表格1[[#This Row],[Model]],表格3[Model-Input-Ref2],表格3[Code])</f>
        <v>SDA</v>
      </c>
      <c r="K4771" s="89" t="s">
        <v>1485</v>
      </c>
      <c r="L4771" s="86">
        <v>1</v>
      </c>
      <c r="M4771" s="87">
        <v>698</v>
      </c>
      <c r="N4771" s="87">
        <f>IFERROR(表格1[[#This Row],[QTY]]*表格1[[#This Row],[Unit Price]],"-")</f>
        <v>698</v>
      </c>
      <c r="O4771" s="168">
        <v>2902214</v>
      </c>
      <c r="R4771" s="86" t="str">
        <f>_xlfn.CONCAT(表格1[[#This Row],[Model]]," ",表格1[[#This Row],[inv no]])</f>
        <v>MWP-MG20P(BK) 2902214</v>
      </c>
      <c r="S4771" s="86">
        <f>_xlfn.XLOOKUP(表格1[[#This Row],[Model]],表格3[Model-Input-Ref2],表格3[SRP PRICE])</f>
        <v>918</v>
      </c>
      <c r="T4771" s="43">
        <f>表格1[[#This Row],[Unit Price]]/表格1[[#This Row],[SRP]]</f>
        <v>0.76034858387799564</v>
      </c>
      <c r="U4771" s="86" t="str">
        <f>_xlfn.XLOOKUP(表格1[[#This Row],[Model]],表格3[Model-Input-Ref2],表格3[TOSHIBA/HIGHEST])</f>
        <v>Toshiba SRP</v>
      </c>
      <c r="W4771" s="86" t="str">
        <f>_xlfn.CONCAT(表格1[[#This Row],[欄4]],表格1[[#This Row],[inv no]])</f>
        <v>2902214</v>
      </c>
    </row>
    <row r="4772" spans="1:23" hidden="1">
      <c r="A4772" s="81">
        <v>4770</v>
      </c>
      <c r="B4772" s="86" t="s">
        <v>1477</v>
      </c>
      <c r="C4772" s="86" t="s">
        <v>2252</v>
      </c>
      <c r="D4772" s="89" t="str">
        <f ca="1">OFFSET(Roster!$A$3,MATCH(表格1[[#This Row],[Location]]&amp;" "&amp;表格1[[#This Row],[Shop]]&amp;"*",Roster!$A$4:$A$72,0),DAY(表格1[[#This Row],[date]]),1,1)</f>
        <v>Raymond</v>
      </c>
      <c r="E4772" s="86">
        <f>MONTH(表格1[[#This Row],[date]])</f>
        <v>3</v>
      </c>
      <c r="F4772" s="90">
        <v>46082</v>
      </c>
      <c r="G4772" s="86" t="str">
        <f>VLOOKUP("*"&amp;表格1[[#This Row],[Input]]&amp;"*",'Ref-List'!$B:$D,2,)</f>
        <v>RAD-DIA17HK</v>
      </c>
      <c r="H4772" s="86" t="str">
        <f>_xlfn.XLOOKUP(表格1[[#This Row],[Model]],表格3[Model-Input-Ref2],表格3[Product Line])</f>
        <v>變頻二合一空氣淨化抽濕機 (28公升)</v>
      </c>
      <c r="I4772" s="86" t="str">
        <f>_xlfn.XLOOKUP(表格1[[#This Row],[Model]],表格3[Model-Input-Ref2],表格3[大小電])</f>
        <v>大電</v>
      </c>
      <c r="J4772" s="86" t="str">
        <f>_xlfn.XLOOKUP(表格1[[#This Row],[Model]],表格3[Model-Input-Ref2],表格3[Code])</f>
        <v>RAC</v>
      </c>
      <c r="K4772" s="89" t="s">
        <v>1480</v>
      </c>
      <c r="L4772" s="86">
        <v>1</v>
      </c>
      <c r="M4772" s="87">
        <v>3580</v>
      </c>
      <c r="N4772" s="87">
        <f>IFERROR(表格1[[#This Row],[QTY]]*表格1[[#This Row],[Unit Price]],"-")</f>
        <v>3580</v>
      </c>
      <c r="O4772" s="168">
        <v>2809772</v>
      </c>
      <c r="P4772" s="158" t="s">
        <v>2275</v>
      </c>
      <c r="R4772" s="86" t="str">
        <f>_xlfn.CONCAT(表格1[[#This Row],[Model]]," ",表格1[[#This Row],[inv no]])</f>
        <v>RAD-DIA17HK 2809772</v>
      </c>
      <c r="S4772" s="86">
        <f>_xlfn.XLOOKUP(表格1[[#This Row],[Model]],表格3[Model-Input-Ref2],表格3[SRP PRICE])</f>
        <v>4980</v>
      </c>
      <c r="T4772" s="43">
        <f>表格1[[#This Row],[Unit Price]]/表格1[[#This Row],[SRP]]</f>
        <v>0.71887550200803207</v>
      </c>
      <c r="U4772" s="86" t="str">
        <f>_xlfn.XLOOKUP(表格1[[#This Row],[Model]],表格3[Model-Input-Ref2],表格3[TOSHIBA/HIGHEST])</f>
        <v>Toshiba SRP</v>
      </c>
      <c r="W4772" s="86" t="str">
        <f>_xlfn.CONCAT(表格1[[#This Row],[欄4]],表格1[[#This Row],[inv no]])</f>
        <v>2809772</v>
      </c>
    </row>
    <row r="4773" spans="1:23" hidden="1">
      <c r="A4773" s="81">
        <v>4771</v>
      </c>
      <c r="B4773" s="86" t="s">
        <v>1477</v>
      </c>
      <c r="C4773" s="86" t="s">
        <v>2252</v>
      </c>
      <c r="D4773" s="89" t="str">
        <f ca="1">OFFSET(Roster!$A$3,MATCH(表格1[[#This Row],[Location]]&amp;" "&amp;表格1[[#This Row],[Shop]]&amp;"*",Roster!$A$4:$A$72,0),DAY(表格1[[#This Row],[date]]),1,1)</f>
        <v>Raymond</v>
      </c>
      <c r="E4773" s="86">
        <f>MONTH(表格1[[#This Row],[date]])</f>
        <v>3</v>
      </c>
      <c r="F4773" s="90">
        <v>46082</v>
      </c>
      <c r="G4773" s="86" t="str">
        <f>VLOOKUP("*"&amp;表格1[[#This Row],[Input]]&amp;"*",'Ref-List'!$B:$D,2,)</f>
        <v>RAD-D300H</v>
      </c>
      <c r="H4773" s="86" t="str">
        <f>_xlfn.XLOOKUP(表格1[[#This Row],[Model]],表格3[Model-Input-Ref2],表格3[Product Line])</f>
        <v>壓縮式抽濕機 (30公升)</v>
      </c>
      <c r="I4773" s="86" t="str">
        <f>_xlfn.XLOOKUP(表格1[[#This Row],[Model]],表格3[Model-Input-Ref2],表格3[大小電])</f>
        <v>細電</v>
      </c>
      <c r="J4773" s="86" t="str">
        <f>_xlfn.XLOOKUP(表格1[[#This Row],[Model]],表格3[Model-Input-Ref2],表格3[Code])</f>
        <v>RAC</v>
      </c>
      <c r="K4773" s="89" t="s">
        <v>1252</v>
      </c>
      <c r="L4773" s="86">
        <v>1</v>
      </c>
      <c r="M4773" s="87">
        <v>2580</v>
      </c>
      <c r="N4773" s="87">
        <f>IFERROR(表格1[[#This Row],[QTY]]*表格1[[#This Row],[Unit Price]],"-")</f>
        <v>2580</v>
      </c>
      <c r="O4773" s="168">
        <v>2809781</v>
      </c>
      <c r="R4773" s="86" t="str">
        <f>_xlfn.CONCAT(表格1[[#This Row],[Model]]," ",表格1[[#This Row],[inv no]])</f>
        <v>RAD-D300H 2809781</v>
      </c>
      <c r="S4773" s="86">
        <f>_xlfn.XLOOKUP(表格1[[#This Row],[Model]],表格3[Model-Input-Ref2],表格3[SRP PRICE])</f>
        <v>3380</v>
      </c>
      <c r="T4773" s="43">
        <f>表格1[[#This Row],[Unit Price]]/表格1[[#This Row],[SRP]]</f>
        <v>0.76331360946745563</v>
      </c>
      <c r="U4773" s="86" t="str">
        <f>_xlfn.XLOOKUP(表格1[[#This Row],[Model]],表格3[Model-Input-Ref2],表格3[TOSHIBA/HIGHEST])</f>
        <v>Shops Highest Price</v>
      </c>
      <c r="W4773" s="86" t="str">
        <f>_xlfn.CONCAT(表格1[[#This Row],[欄4]],表格1[[#This Row],[inv no]])</f>
        <v>2809781</v>
      </c>
    </row>
    <row r="4774" spans="1:23" hidden="1">
      <c r="A4774" s="81">
        <v>4772</v>
      </c>
      <c r="B4774" s="86" t="s">
        <v>1477</v>
      </c>
      <c r="C4774" s="86" t="s">
        <v>2252</v>
      </c>
      <c r="D4774" s="89" t="str">
        <f ca="1">OFFSET(Roster!$A$3,MATCH(表格1[[#This Row],[Location]]&amp;" "&amp;表格1[[#This Row],[Shop]]&amp;"*",Roster!$A$4:$A$72,0),DAY(表格1[[#This Row],[date]]),1,1)</f>
        <v>Raymond</v>
      </c>
      <c r="E4774" s="86">
        <f>MONTH(表格1[[#This Row],[date]])</f>
        <v>3</v>
      </c>
      <c r="F4774" s="90">
        <v>46082</v>
      </c>
      <c r="G4774" s="86" t="str">
        <f>VLOOKUP("*"&amp;表格1[[#This Row],[Input]]&amp;"*",'Ref-List'!$B:$D,2,)</f>
        <v>DW-05T2-HK</v>
      </c>
      <c r="H4774" s="86" t="str">
        <f>_xlfn.XLOOKUP(表格1[[#This Row],[Model]],表格3[Model-Input-Ref2],表格3[Product Line])</f>
        <v>座檯式洗碗碟機</v>
      </c>
      <c r="I4774" s="86" t="str">
        <f>_xlfn.XLOOKUP(表格1[[#This Row],[Model]],表格3[Model-Input-Ref2],表格3[大小電])</f>
        <v>細電</v>
      </c>
      <c r="J4774" s="86" t="str">
        <f>_xlfn.XLOOKUP(表格1[[#This Row],[Model]],表格3[Model-Input-Ref2],表格3[Code])</f>
        <v>DW</v>
      </c>
      <c r="K4774" s="89" t="s">
        <v>1475</v>
      </c>
      <c r="L4774" s="86">
        <v>1</v>
      </c>
      <c r="M4774" s="87">
        <v>3980</v>
      </c>
      <c r="N4774" s="87">
        <f>IFERROR(表格1[[#This Row],[QTY]]*表格1[[#This Row],[Unit Price]],"-")</f>
        <v>3980</v>
      </c>
      <c r="O4774" s="168">
        <v>2706309</v>
      </c>
      <c r="R4774" s="86" t="str">
        <f>_xlfn.CONCAT(表格1[[#This Row],[Model]]," ",表格1[[#This Row],[inv no]])</f>
        <v>DW-05T2-HK 2706309</v>
      </c>
      <c r="S4774" s="86">
        <f>_xlfn.XLOOKUP(表格1[[#This Row],[Model]],表格3[Model-Input-Ref2],表格3[SRP PRICE])</f>
        <v>4580</v>
      </c>
      <c r="T4774" s="43">
        <f>表格1[[#This Row],[Unit Price]]/表格1[[#This Row],[SRP]]</f>
        <v>0.86899563318777295</v>
      </c>
      <c r="U4774" s="86" t="str">
        <f>_xlfn.XLOOKUP(表格1[[#This Row],[Model]],表格3[Model-Input-Ref2],表格3[TOSHIBA/HIGHEST])</f>
        <v>Toshiba SRP</v>
      </c>
      <c r="W4774" s="86" t="str">
        <f>_xlfn.CONCAT(表格1[[#This Row],[欄4]],表格1[[#This Row],[inv no]])</f>
        <v>2706309</v>
      </c>
    </row>
    <row r="4775" spans="1:23" hidden="1">
      <c r="A4775" s="81">
        <v>4773</v>
      </c>
      <c r="B4775" s="86" t="s">
        <v>1477</v>
      </c>
      <c r="C4775" s="86" t="s">
        <v>2252</v>
      </c>
      <c r="D4775" s="89" t="str">
        <f ca="1">OFFSET(Roster!$A$3,MATCH(表格1[[#This Row],[Location]]&amp;" "&amp;表格1[[#This Row],[Shop]]&amp;"*",Roster!$A$4:$A$72,0),DAY(表格1[[#This Row],[date]]),1,1)</f>
        <v>Raymond</v>
      </c>
      <c r="E4775" s="86">
        <f>MONTH(表格1[[#This Row],[date]])</f>
        <v>3</v>
      </c>
      <c r="F4775" s="90">
        <v>46082</v>
      </c>
      <c r="G4775" s="86" t="str">
        <f>VLOOKUP("*"&amp;表格1[[#This Row],[Input]]&amp;"*",'Ref-List'!$B:$D,2,)</f>
        <v>AW-Q901BPH(WW)</v>
      </c>
      <c r="H4775" s="86" t="str">
        <f>_xlfn.XLOOKUP(表格1[[#This Row],[Model]],表格3[Model-Input-Ref2],表格3[Product Line])</f>
        <v>日式洗衣機 (8公斤 結合高低水位)</v>
      </c>
      <c r="I4775" s="86" t="str">
        <f>_xlfn.XLOOKUP(表格1[[#This Row],[Model]],表格3[Model-Input-Ref2],表格3[大小電])</f>
        <v>大電</v>
      </c>
      <c r="J4775" s="86" t="str">
        <f>_xlfn.XLOOKUP(表格1[[#This Row],[Model]],表格3[Model-Input-Ref2],表格3[Code])</f>
        <v>LAD</v>
      </c>
      <c r="K4775" s="89" t="s">
        <v>1411</v>
      </c>
      <c r="L4775" s="86">
        <v>1</v>
      </c>
      <c r="M4775" s="87">
        <v>2280</v>
      </c>
      <c r="N4775" s="87">
        <f>IFERROR(表格1[[#This Row],[QTY]]*表格1[[#This Row],[Unit Price]],"-")</f>
        <v>2280</v>
      </c>
      <c r="O4775" s="168">
        <v>2902219</v>
      </c>
      <c r="R4775" s="86" t="str">
        <f>_xlfn.CONCAT(表格1[[#This Row],[Model]]," ",表格1[[#This Row],[inv no]])</f>
        <v>AW-Q901BPH(WW) 2902219</v>
      </c>
      <c r="S4775" s="86">
        <f>_xlfn.XLOOKUP(表格1[[#This Row],[Model]],表格3[Model-Input-Ref2],表格3[SRP PRICE])</f>
        <v>3780</v>
      </c>
      <c r="T4775" s="43">
        <f>表格1[[#This Row],[Unit Price]]/表格1[[#This Row],[SRP]]</f>
        <v>0.60317460317460314</v>
      </c>
      <c r="U4775" s="86" t="str">
        <f>_xlfn.XLOOKUP(表格1[[#This Row],[Model]],表格3[Model-Input-Ref2],表格3[TOSHIBA/HIGHEST])</f>
        <v>Toshiba SRP</v>
      </c>
      <c r="W4775" s="86" t="str">
        <f>_xlfn.CONCAT(表格1[[#This Row],[欄4]],表格1[[#This Row],[inv no]])</f>
        <v>2902219</v>
      </c>
    </row>
    <row r="4776" spans="1:23" hidden="1">
      <c r="A4776" s="81">
        <v>4774</v>
      </c>
      <c r="B4776" s="86" t="s">
        <v>1477</v>
      </c>
      <c r="C4776" s="86" t="s">
        <v>2252</v>
      </c>
      <c r="D4776" s="89" t="str">
        <f ca="1">OFFSET(Roster!$A$3,MATCH(表格1[[#This Row],[Location]]&amp;" "&amp;表格1[[#This Row],[Shop]]&amp;"*",Roster!$A$4:$A$72,0),DAY(表格1[[#This Row],[date]]),1,1)</f>
        <v>Raymond</v>
      </c>
      <c r="E4776" s="86">
        <f>MONTH(表格1[[#This Row],[date]])</f>
        <v>3</v>
      </c>
      <c r="F4776" s="90">
        <v>46082</v>
      </c>
      <c r="G4776" s="86" t="str">
        <f>VLOOKUP("*"&amp;表格1[[#This Row],[Input]]&amp;"*",'Ref-List'!$B:$D,2,)</f>
        <v>MX2-STR25SC(WH)</v>
      </c>
      <c r="H4776" s="86" t="str">
        <f>_xlfn.XLOOKUP(表格1[[#This Row],[Model]],表格3[Model-Input-Ref2],表格3[Product Line])</f>
        <v>4合1氣炸微波蒸焗爐(25公升)</v>
      </c>
      <c r="I4776" s="86" t="str">
        <f>_xlfn.XLOOKUP(表格1[[#This Row],[Model]],表格3[Model-Input-Ref2],表格3[大小電])</f>
        <v>細電</v>
      </c>
      <c r="J4776" s="86" t="str">
        <f>_xlfn.XLOOKUP(表格1[[#This Row],[Model]],表格3[Model-Input-Ref2],表格3[Code])</f>
        <v>MCA</v>
      </c>
      <c r="K4776" s="89" t="s">
        <v>1410</v>
      </c>
      <c r="L4776" s="86">
        <v>1</v>
      </c>
      <c r="M4776" s="87">
        <v>3580</v>
      </c>
      <c r="N4776" s="87">
        <f>IFERROR(表格1[[#This Row],[QTY]]*表格1[[#This Row],[Unit Price]],"-")</f>
        <v>3580</v>
      </c>
      <c r="O4776" s="168">
        <v>2902233</v>
      </c>
      <c r="R4776" s="86" t="str">
        <f>_xlfn.CONCAT(表格1[[#This Row],[Model]]," ",表格1[[#This Row],[inv no]])</f>
        <v>MX2-STR25SC(WH) 2902233</v>
      </c>
      <c r="S4776" s="86">
        <f>_xlfn.XLOOKUP(表格1[[#This Row],[Model]],表格3[Model-Input-Ref2],表格3[SRP PRICE])</f>
        <v>4998</v>
      </c>
      <c r="T4776" s="43">
        <f>表格1[[#This Row],[Unit Price]]/表格1[[#This Row],[SRP]]</f>
        <v>0.71628651460584236</v>
      </c>
      <c r="U4776" s="86" t="str">
        <f>_xlfn.XLOOKUP(表格1[[#This Row],[Model]],表格3[Model-Input-Ref2],表格3[TOSHIBA/HIGHEST])</f>
        <v>Toshiba SRP</v>
      </c>
      <c r="W4776" s="86" t="str">
        <f>_xlfn.CONCAT(表格1[[#This Row],[欄4]],表格1[[#This Row],[inv no]])</f>
        <v>2902233</v>
      </c>
    </row>
    <row r="4777" spans="1:23" hidden="1">
      <c r="A4777" s="81">
        <v>4775</v>
      </c>
      <c r="B4777" s="86" t="s">
        <v>1477</v>
      </c>
      <c r="C4777" s="86" t="s">
        <v>2252</v>
      </c>
      <c r="D4777" s="89" t="str">
        <f ca="1">OFFSET(Roster!$A$3,MATCH(表格1[[#This Row],[Location]]&amp;" "&amp;表格1[[#This Row],[Shop]]&amp;"*",Roster!$A$4:$A$72,0),DAY(表格1[[#This Row],[date]]),1,1)</f>
        <v>Raymond</v>
      </c>
      <c r="E4777" s="86">
        <f>MONTH(表格1[[#This Row],[date]])</f>
        <v>3</v>
      </c>
      <c r="F4777" s="90">
        <v>46082</v>
      </c>
      <c r="G4777" s="86" t="str">
        <f>VLOOKUP("*"&amp;表格1[[#This Row],[Input]]&amp;"*",'Ref-List'!$B:$D,2,)</f>
        <v>RC-10AMXH(W)</v>
      </c>
      <c r="H4777" s="86" t="str">
        <f>_xlfn.XLOOKUP(表格1[[#This Row],[Model]],表格3[Model-Input-Ref2],表格3[Product Line])</f>
        <v>酵活炊電飯煲(1.0公升)</v>
      </c>
      <c r="I4777" s="86" t="str">
        <f>_xlfn.XLOOKUP(表格1[[#This Row],[Model]],表格3[Model-Input-Ref2],表格3[大小電])</f>
        <v>細電</v>
      </c>
      <c r="J4777" s="86" t="str">
        <f>_xlfn.XLOOKUP(表格1[[#This Row],[Model]],表格3[Model-Input-Ref2],表格3[Code])</f>
        <v>SDA</v>
      </c>
      <c r="K4777" s="89" t="s">
        <v>1279</v>
      </c>
      <c r="L4777" s="86">
        <v>1</v>
      </c>
      <c r="M4777" s="87">
        <v>1088</v>
      </c>
      <c r="N4777" s="87">
        <f>IFERROR(表格1[[#This Row],[QTY]]*表格1[[#This Row],[Unit Price]],"-")</f>
        <v>1088</v>
      </c>
      <c r="O4777" s="168">
        <v>2902244</v>
      </c>
      <c r="R4777" s="86" t="str">
        <f>_xlfn.CONCAT(表格1[[#This Row],[Model]]," ",表格1[[#This Row],[inv no]])</f>
        <v>RC-10AMXH(W) 2902244</v>
      </c>
      <c r="S4777" s="86">
        <f>_xlfn.XLOOKUP(表格1[[#This Row],[Model]],表格3[Model-Input-Ref2],表格3[SRP PRICE])</f>
        <v>1288</v>
      </c>
      <c r="T4777" s="43">
        <f>表格1[[#This Row],[Unit Price]]/表格1[[#This Row],[SRP]]</f>
        <v>0.84472049689440998</v>
      </c>
      <c r="U4777" s="86" t="str">
        <f>_xlfn.XLOOKUP(表格1[[#This Row],[Model]],表格3[Model-Input-Ref2],表格3[TOSHIBA/HIGHEST])</f>
        <v>Toshiba SRP</v>
      </c>
      <c r="W4777" s="86" t="str">
        <f>_xlfn.CONCAT(表格1[[#This Row],[欄4]],表格1[[#This Row],[inv no]])</f>
        <v>2902244</v>
      </c>
    </row>
    <row r="4778" spans="1:23" hidden="1">
      <c r="A4778" s="81">
        <v>4776</v>
      </c>
      <c r="B4778" s="86" t="s">
        <v>1477</v>
      </c>
      <c r="C4778" s="86" t="s">
        <v>2252</v>
      </c>
      <c r="D4778" s="89" t="str">
        <f ca="1">OFFSET(Roster!$A$3,MATCH(表格1[[#This Row],[Location]]&amp;" "&amp;表格1[[#This Row],[Shop]]&amp;"*",Roster!$A$4:$A$72,0),DAY(表格1[[#This Row],[date]]),1,1)</f>
        <v>Raymond</v>
      </c>
      <c r="E4778" s="86">
        <f>MONTH(表格1[[#This Row],[date]])</f>
        <v>3</v>
      </c>
      <c r="F4778" s="90">
        <v>46083</v>
      </c>
      <c r="G4778" s="86" t="str">
        <f>VLOOKUP("*"&amp;表格1[[#This Row],[Input]]&amp;"*",'Ref-List'!$B:$D,2,)</f>
        <v>MWP-MG20P(BK)</v>
      </c>
      <c r="H4778" s="86" t="str">
        <f>_xlfn.XLOOKUP(表格1[[#This Row],[Model]],表格3[Model-Input-Ref2],表格3[Product Line])</f>
        <v>旋鈕式燒烤微波爐20L黑色</v>
      </c>
      <c r="I4778" s="86" t="str">
        <f>_xlfn.XLOOKUP(表格1[[#This Row],[Model]],表格3[Model-Input-Ref2],表格3[大小電])</f>
        <v>細電</v>
      </c>
      <c r="J4778" s="86" t="str">
        <f>_xlfn.XLOOKUP(表格1[[#This Row],[Model]],表格3[Model-Input-Ref2],表格3[Code])</f>
        <v>SDA</v>
      </c>
      <c r="K4778" s="89" t="s">
        <v>1485</v>
      </c>
      <c r="L4778" s="86">
        <v>1</v>
      </c>
      <c r="M4778" s="87">
        <v>698</v>
      </c>
      <c r="N4778" s="87">
        <f>IFERROR(表格1[[#This Row],[QTY]]*表格1[[#This Row],[Unit Price]],"-")</f>
        <v>698</v>
      </c>
      <c r="O4778" s="168">
        <v>2809835</v>
      </c>
      <c r="R4778" s="86" t="str">
        <f>_xlfn.CONCAT(表格1[[#This Row],[Model]]," ",表格1[[#This Row],[inv no]])</f>
        <v>MWP-MG20P(BK) 2809835</v>
      </c>
      <c r="S4778" s="86">
        <f>_xlfn.XLOOKUP(表格1[[#This Row],[Model]],表格3[Model-Input-Ref2],表格3[SRP PRICE])</f>
        <v>918</v>
      </c>
      <c r="T4778" s="43">
        <f>表格1[[#This Row],[Unit Price]]/表格1[[#This Row],[SRP]]</f>
        <v>0.76034858387799564</v>
      </c>
      <c r="U4778" s="86" t="str">
        <f>_xlfn.XLOOKUP(表格1[[#This Row],[Model]],表格3[Model-Input-Ref2],表格3[TOSHIBA/HIGHEST])</f>
        <v>Toshiba SRP</v>
      </c>
      <c r="W4778" s="86" t="str">
        <f>_xlfn.CONCAT(表格1[[#This Row],[欄4]],表格1[[#This Row],[inv no]])</f>
        <v>2809835</v>
      </c>
    </row>
    <row r="4779" spans="1:23" hidden="1">
      <c r="A4779" s="81">
        <v>4777</v>
      </c>
      <c r="B4779" s="86" t="s">
        <v>1477</v>
      </c>
      <c r="C4779" s="86" t="s">
        <v>2252</v>
      </c>
      <c r="D4779" s="89" t="str">
        <f ca="1">OFFSET(Roster!$A$3,MATCH(表格1[[#This Row],[Location]]&amp;" "&amp;表格1[[#This Row],[Shop]]&amp;"*",Roster!$A$4:$A$72,0),DAY(表格1[[#This Row],[date]]),1,1)</f>
        <v>Raymond</v>
      </c>
      <c r="E4779" s="86">
        <f>MONTH(表格1[[#This Row],[date]])</f>
        <v>3</v>
      </c>
      <c r="F4779" s="90">
        <v>46083</v>
      </c>
      <c r="G4779" s="86" t="str">
        <f>VLOOKUP("*"&amp;表格1[[#This Row],[Input]]&amp;"*",'Ref-List'!$B:$D,2,)</f>
        <v>RAD-D300H</v>
      </c>
      <c r="H4779" s="86" t="str">
        <f>_xlfn.XLOOKUP(表格1[[#This Row],[Model]],表格3[Model-Input-Ref2],表格3[Product Line])</f>
        <v>壓縮式抽濕機 (30公升)</v>
      </c>
      <c r="I4779" s="86" t="str">
        <f>_xlfn.XLOOKUP(表格1[[#This Row],[Model]],表格3[Model-Input-Ref2],表格3[大小電])</f>
        <v>細電</v>
      </c>
      <c r="J4779" s="86" t="str">
        <f>_xlfn.XLOOKUP(表格1[[#This Row],[Model]],表格3[Model-Input-Ref2],表格3[Code])</f>
        <v>RAC</v>
      </c>
      <c r="K4779" s="89" t="s">
        <v>1252</v>
      </c>
      <c r="L4779" s="86">
        <v>1</v>
      </c>
      <c r="M4779" s="87">
        <v>2580</v>
      </c>
      <c r="N4779" s="87">
        <f>IFERROR(表格1[[#This Row],[QTY]]*表格1[[#This Row],[Unit Price]],"-")</f>
        <v>2580</v>
      </c>
      <c r="O4779" s="168">
        <v>2809851</v>
      </c>
      <c r="R4779" s="86" t="str">
        <f>_xlfn.CONCAT(表格1[[#This Row],[Model]]," ",表格1[[#This Row],[inv no]])</f>
        <v>RAD-D300H 2809851</v>
      </c>
      <c r="S4779" s="86">
        <f>_xlfn.XLOOKUP(表格1[[#This Row],[Model]],表格3[Model-Input-Ref2],表格3[SRP PRICE])</f>
        <v>3380</v>
      </c>
      <c r="T4779" s="43">
        <f>表格1[[#This Row],[Unit Price]]/表格1[[#This Row],[SRP]]</f>
        <v>0.76331360946745563</v>
      </c>
      <c r="U4779" s="86" t="str">
        <f>_xlfn.XLOOKUP(表格1[[#This Row],[Model]],表格3[Model-Input-Ref2],表格3[TOSHIBA/HIGHEST])</f>
        <v>Shops Highest Price</v>
      </c>
      <c r="W4779" s="86" t="str">
        <f>_xlfn.CONCAT(表格1[[#This Row],[欄4]],表格1[[#This Row],[inv no]])</f>
        <v>2809851</v>
      </c>
    </row>
    <row r="4780" spans="1:23" hidden="1">
      <c r="A4780" s="81">
        <v>4778</v>
      </c>
      <c r="B4780" s="86" t="s">
        <v>1477</v>
      </c>
      <c r="C4780" s="86" t="s">
        <v>2252</v>
      </c>
      <c r="D4780" s="89" t="str">
        <f ca="1">OFFSET(Roster!$A$3,MATCH(表格1[[#This Row],[Location]]&amp;" "&amp;表格1[[#This Row],[Shop]]&amp;"*",Roster!$A$4:$A$72,0),DAY(表格1[[#This Row],[date]]),1,1)</f>
        <v>Raymond</v>
      </c>
      <c r="E4780" s="86">
        <f>MONTH(表格1[[#This Row],[date]])</f>
        <v>3</v>
      </c>
      <c r="F4780" s="90">
        <v>46084</v>
      </c>
      <c r="G4780" s="86" t="str">
        <f>VLOOKUP("*"&amp;表格1[[#This Row],[Input]]&amp;"*",'Ref-List'!$B:$D,2,)</f>
        <v>RAD-D300H</v>
      </c>
      <c r="H4780" s="86" t="str">
        <f>_xlfn.XLOOKUP(表格1[[#This Row],[Model]],表格3[Model-Input-Ref2],表格3[Product Line])</f>
        <v>壓縮式抽濕機 (30公升)</v>
      </c>
      <c r="I4780" s="86" t="str">
        <f>_xlfn.XLOOKUP(表格1[[#This Row],[Model]],表格3[Model-Input-Ref2],表格3[大小電])</f>
        <v>細電</v>
      </c>
      <c r="J4780" s="86" t="str">
        <f>_xlfn.XLOOKUP(表格1[[#This Row],[Model]],表格3[Model-Input-Ref2],表格3[Code])</f>
        <v>RAC</v>
      </c>
      <c r="K4780" s="89" t="s">
        <v>1252</v>
      </c>
      <c r="L4780" s="86">
        <v>1</v>
      </c>
      <c r="M4780" s="87">
        <v>2580</v>
      </c>
      <c r="N4780" s="87">
        <f>IFERROR(表格1[[#This Row],[QTY]]*表格1[[#This Row],[Unit Price]],"-")</f>
        <v>2580</v>
      </c>
      <c r="O4780" s="168">
        <v>2902287</v>
      </c>
      <c r="R4780" s="86" t="str">
        <f>_xlfn.CONCAT(表格1[[#This Row],[Model]]," ",表格1[[#This Row],[inv no]])</f>
        <v>RAD-D300H 2902287</v>
      </c>
      <c r="S4780" s="86">
        <f>_xlfn.XLOOKUP(表格1[[#This Row],[Model]],表格3[Model-Input-Ref2],表格3[SRP PRICE])</f>
        <v>3380</v>
      </c>
      <c r="T4780" s="43">
        <f>表格1[[#This Row],[Unit Price]]/表格1[[#This Row],[SRP]]</f>
        <v>0.76331360946745563</v>
      </c>
      <c r="U4780" s="86" t="str">
        <f>_xlfn.XLOOKUP(表格1[[#This Row],[Model]],表格3[Model-Input-Ref2],表格3[TOSHIBA/HIGHEST])</f>
        <v>Shops Highest Price</v>
      </c>
      <c r="W4780" s="86" t="str">
        <f>_xlfn.CONCAT(表格1[[#This Row],[欄4]],表格1[[#This Row],[inv no]])</f>
        <v>2902287</v>
      </c>
    </row>
    <row r="4781" spans="1:23" hidden="1">
      <c r="A4781" s="81">
        <v>4779</v>
      </c>
      <c r="B4781" s="86" t="s">
        <v>1477</v>
      </c>
      <c r="C4781" s="86" t="s">
        <v>2252</v>
      </c>
      <c r="D4781" s="89" t="str">
        <f ca="1">OFFSET(Roster!$A$3,MATCH(表格1[[#This Row],[Location]]&amp;" "&amp;表格1[[#This Row],[Shop]]&amp;"*",Roster!$A$4:$A$72,0),DAY(表格1[[#This Row],[date]]),1,1)</f>
        <v>Raymond</v>
      </c>
      <c r="E4781" s="86">
        <f>MONTH(表格1[[#This Row],[date]])</f>
        <v>3</v>
      </c>
      <c r="F4781" s="90">
        <v>46084</v>
      </c>
      <c r="G4781" s="86" t="str">
        <f>VLOOKUP("*"&amp;表格1[[#This Row],[Input]]&amp;"*",'Ref-List'!$B:$D,2,)</f>
        <v>TWD-T21BU95UWH(WW)</v>
      </c>
      <c r="H4781" s="86" t="str">
        <f>_xlfn.XLOOKUP(表格1[[#This Row],[Model]],表格3[Model-Input-Ref2],表格3[Product Line])</f>
        <v>470MM超薄身前置式變頻洗衣乾衣機 (洗8.5公斤 乾6公斤)</v>
      </c>
      <c r="I4781" s="86" t="str">
        <f>_xlfn.XLOOKUP(表格1[[#This Row],[Model]],表格3[Model-Input-Ref2],表格3[大小電])</f>
        <v>大電</v>
      </c>
      <c r="J4781" s="86" t="str">
        <f>_xlfn.XLOOKUP(表格1[[#This Row],[Model]],表格3[Model-Input-Ref2],表格3[Code])</f>
        <v>LAD</v>
      </c>
      <c r="K4781" s="89" t="s">
        <v>1461</v>
      </c>
      <c r="L4781" s="86">
        <v>1</v>
      </c>
      <c r="M4781" s="87">
        <v>4580</v>
      </c>
      <c r="N4781" s="87">
        <f>IFERROR(表格1[[#This Row],[QTY]]*表格1[[#This Row],[Unit Price]],"-")</f>
        <v>4580</v>
      </c>
      <c r="O4781" s="168">
        <v>2902271</v>
      </c>
      <c r="R4781" s="86" t="str">
        <f>_xlfn.CONCAT(表格1[[#This Row],[Model]]," ",表格1[[#This Row],[inv no]])</f>
        <v>TWD-T21BU95UWH(WW) 2902271</v>
      </c>
      <c r="S4781" s="86">
        <f>_xlfn.XLOOKUP(表格1[[#This Row],[Model]],表格3[Model-Input-Ref2],表格3[SRP PRICE])</f>
        <v>7280</v>
      </c>
      <c r="T4781" s="43">
        <f>表格1[[#This Row],[Unit Price]]/表格1[[#This Row],[SRP]]</f>
        <v>0.62912087912087911</v>
      </c>
      <c r="U4781" s="86" t="str">
        <f>_xlfn.XLOOKUP(表格1[[#This Row],[Model]],表格3[Model-Input-Ref2],表格3[TOSHIBA/HIGHEST])</f>
        <v>Toshiba SRP</v>
      </c>
      <c r="W4781" s="86" t="str">
        <f>_xlfn.CONCAT(表格1[[#This Row],[欄4]],表格1[[#This Row],[inv no]])</f>
        <v>2902271</v>
      </c>
    </row>
    <row r="4782" spans="1:23" hidden="1">
      <c r="A4782" s="81">
        <v>4780</v>
      </c>
      <c r="B4782" s="86" t="s">
        <v>1477</v>
      </c>
      <c r="C4782" s="86" t="s">
        <v>2252</v>
      </c>
      <c r="D4782" s="89" t="str">
        <f ca="1">OFFSET(Roster!$A$3,MATCH(表格1[[#This Row],[Location]]&amp;" "&amp;表格1[[#This Row],[Shop]]&amp;"*",Roster!$A$4:$A$72,0),DAY(表格1[[#This Row],[date]]),1,1)</f>
        <v>Raymond</v>
      </c>
      <c r="E4782" s="86">
        <f>MONTH(表格1[[#This Row],[date]])</f>
        <v>3</v>
      </c>
      <c r="F4782" s="90">
        <v>46084</v>
      </c>
      <c r="G4782" s="86" t="str">
        <f>VLOOKUP("*"&amp;表格1[[#This Row],[Input]]&amp;"*",'Ref-List'!$B:$D,2,)</f>
        <v>GR-H913(MG)</v>
      </c>
      <c r="H4782" s="86" t="str">
        <f>_xlfn.XLOOKUP(表格1[[#This Row],[Model]],表格3[Model-Input-Ref2],表格3[Product Line])</f>
        <v>單門直冷式環保雪櫃81L</v>
      </c>
      <c r="I4782" s="86" t="str">
        <f>_xlfn.XLOOKUP(表格1[[#This Row],[Model]],表格3[Model-Input-Ref2],表格3[大小電])</f>
        <v>大電</v>
      </c>
      <c r="J4782" s="86" t="str">
        <f>_xlfn.XLOOKUP(表格1[[#This Row],[Model]],表格3[Model-Input-Ref2],表格3[Code])</f>
        <v>REF</v>
      </c>
      <c r="K4782" s="89" t="s">
        <v>1776</v>
      </c>
      <c r="L4782" s="86">
        <v>1</v>
      </c>
      <c r="M4782" s="87">
        <v>1480</v>
      </c>
      <c r="N4782" s="87">
        <f>IFERROR(表格1[[#This Row],[QTY]]*表格1[[#This Row],[Unit Price]],"-")</f>
        <v>1480</v>
      </c>
      <c r="O4782" s="168">
        <v>2809862</v>
      </c>
      <c r="R4782" s="86" t="str">
        <f>_xlfn.CONCAT(表格1[[#This Row],[Model]]," ",表格1[[#This Row],[inv no]])</f>
        <v>GR-H913(MG) 2809862</v>
      </c>
      <c r="S4782" s="86">
        <f>_xlfn.XLOOKUP(表格1[[#This Row],[Model]],表格3[Model-Input-Ref2],表格3[SRP PRICE])</f>
        <v>1980</v>
      </c>
      <c r="T4782" s="43">
        <f>表格1[[#This Row],[Unit Price]]/表格1[[#This Row],[SRP]]</f>
        <v>0.74747474747474751</v>
      </c>
      <c r="U4782" s="86" t="str">
        <f>_xlfn.XLOOKUP(表格1[[#This Row],[Model]],表格3[Model-Input-Ref2],表格3[TOSHIBA/HIGHEST])</f>
        <v>Toshiba SRP</v>
      </c>
      <c r="W4782" s="86" t="str">
        <f>_xlfn.CONCAT(表格1[[#This Row],[欄4]],表格1[[#This Row],[inv no]])</f>
        <v>2809862</v>
      </c>
    </row>
    <row r="4783" spans="1:23" hidden="1">
      <c r="A4783" s="81">
        <v>4781</v>
      </c>
      <c r="B4783" s="86" t="s">
        <v>1477</v>
      </c>
      <c r="C4783" s="86" t="s">
        <v>2252</v>
      </c>
      <c r="D4783" s="89" t="str">
        <f ca="1">OFFSET(Roster!$A$3,MATCH(表格1[[#This Row],[Location]]&amp;" "&amp;表格1[[#This Row],[Shop]]&amp;"*",Roster!$A$4:$A$72,0),DAY(表格1[[#This Row],[date]]),1,1)</f>
        <v>Raymond</v>
      </c>
      <c r="E4783" s="86">
        <f>MONTH(表格1[[#This Row],[date]])</f>
        <v>3</v>
      </c>
      <c r="F4783" s="90">
        <v>46085</v>
      </c>
      <c r="G4783" s="86" t="str">
        <f>VLOOKUP("*"&amp;表格1[[#This Row],[Input]]&amp;"*",'Ref-List'!$B:$D,2,)</f>
        <v>RAD-D300H</v>
      </c>
      <c r="H4783" s="86" t="str">
        <f>_xlfn.XLOOKUP(表格1[[#This Row],[Model]],表格3[Model-Input-Ref2],表格3[Product Line])</f>
        <v>壓縮式抽濕機 (30公升)</v>
      </c>
      <c r="I4783" s="86" t="str">
        <f>_xlfn.XLOOKUP(表格1[[#This Row],[Model]],表格3[Model-Input-Ref2],表格3[大小電])</f>
        <v>細電</v>
      </c>
      <c r="J4783" s="86" t="str">
        <f>_xlfn.XLOOKUP(表格1[[#This Row],[Model]],表格3[Model-Input-Ref2],表格3[Code])</f>
        <v>RAC</v>
      </c>
      <c r="K4783" s="89" t="s">
        <v>1252</v>
      </c>
      <c r="L4783" s="86">
        <v>1</v>
      </c>
      <c r="M4783" s="87">
        <v>2580</v>
      </c>
      <c r="N4783" s="87">
        <f>IFERROR(表格1[[#This Row],[QTY]]*表格1[[#This Row],[Unit Price]],"-")</f>
        <v>2580</v>
      </c>
      <c r="O4783" s="168">
        <v>2809902</v>
      </c>
      <c r="R4783" s="86" t="str">
        <f>_xlfn.CONCAT(表格1[[#This Row],[Model]]," ",表格1[[#This Row],[inv no]])</f>
        <v>RAD-D300H 2809902</v>
      </c>
      <c r="S4783" s="86">
        <f>_xlfn.XLOOKUP(表格1[[#This Row],[Model]],表格3[Model-Input-Ref2],表格3[SRP PRICE])</f>
        <v>3380</v>
      </c>
      <c r="T4783" s="43">
        <f>表格1[[#This Row],[Unit Price]]/表格1[[#This Row],[SRP]]</f>
        <v>0.76331360946745563</v>
      </c>
      <c r="U4783" s="86" t="str">
        <f>_xlfn.XLOOKUP(表格1[[#This Row],[Model]],表格3[Model-Input-Ref2],表格3[TOSHIBA/HIGHEST])</f>
        <v>Shops Highest Price</v>
      </c>
      <c r="W4783" s="86" t="str">
        <f>_xlfn.CONCAT(表格1[[#This Row],[欄4]],表格1[[#This Row],[inv no]])</f>
        <v>2809902</v>
      </c>
    </row>
    <row r="4784" spans="1:23" hidden="1">
      <c r="A4784" s="81">
        <v>4782</v>
      </c>
      <c r="B4784" s="86" t="s">
        <v>1477</v>
      </c>
      <c r="C4784" s="86" t="s">
        <v>2252</v>
      </c>
      <c r="D4784" s="89" t="str">
        <f ca="1">OFFSET(Roster!$A$3,MATCH(表格1[[#This Row],[Location]]&amp;" "&amp;表格1[[#This Row],[Shop]]&amp;"*",Roster!$A$4:$A$72,0),DAY(表格1[[#This Row],[date]]),1,1)</f>
        <v>Raymond</v>
      </c>
      <c r="E4784" s="86">
        <f>MONTH(表格1[[#This Row],[date]])</f>
        <v>3</v>
      </c>
      <c r="F4784" s="90">
        <v>46085</v>
      </c>
      <c r="G4784" s="86" t="str">
        <f>VLOOKUP("*"&amp;表格1[[#This Row],[Input]]&amp;"*",'Ref-List'!$B:$D,2,)</f>
        <v>TWD-T22BU95UWH(WK)-B</v>
      </c>
      <c r="H4784" s="86" t="str">
        <f>_xlfn.XLOOKUP(表格1[[#This Row],[Model]],表格3[Model-Input-Ref2],表格3[Product Line])</f>
        <v>470MM超薄身前置式變頻洗衣乾衣機 (洗8.5公斤/乾6公斤, 可飛頂)</v>
      </c>
      <c r="I4784" s="86" t="str">
        <f>_xlfn.XLOOKUP(表格1[[#This Row],[Model]],表格3[Model-Input-Ref2],表格3[大小電])</f>
        <v>大電</v>
      </c>
      <c r="J4784" s="86" t="str">
        <f>_xlfn.XLOOKUP(表格1[[#This Row],[Model]],表格3[Model-Input-Ref2],表格3[Code])</f>
        <v>LAD</v>
      </c>
      <c r="K4784" s="89" t="s">
        <v>1421</v>
      </c>
      <c r="L4784" s="86">
        <v>1</v>
      </c>
      <c r="M4784" s="87">
        <v>4980</v>
      </c>
      <c r="N4784" s="87">
        <f>IFERROR(表格1[[#This Row],[QTY]]*表格1[[#This Row],[Unit Price]],"-")</f>
        <v>4980</v>
      </c>
      <c r="O4784" s="168">
        <v>2902318</v>
      </c>
      <c r="R4784" s="86" t="str">
        <f>_xlfn.CONCAT(表格1[[#This Row],[Model]]," ",表格1[[#This Row],[inv no]])</f>
        <v>TWD-T22BU95UWH(WK)-B 2902318</v>
      </c>
      <c r="S4784" s="86">
        <f>_xlfn.XLOOKUP(表格1[[#This Row],[Model]],表格3[Model-Input-Ref2],表格3[SRP PRICE])</f>
        <v>7480</v>
      </c>
      <c r="T4784" s="43">
        <f>表格1[[#This Row],[Unit Price]]/表格1[[#This Row],[SRP]]</f>
        <v>0.66577540106951871</v>
      </c>
      <c r="U4784" s="86" t="str">
        <f>_xlfn.XLOOKUP(表格1[[#This Row],[Model]],表格3[Model-Input-Ref2],表格3[TOSHIBA/HIGHEST])</f>
        <v>Toshiba SRP</v>
      </c>
      <c r="W4784" s="86" t="str">
        <f>_xlfn.CONCAT(表格1[[#This Row],[欄4]],表格1[[#This Row],[inv no]])</f>
        <v>2902318</v>
      </c>
    </row>
    <row r="4785" spans="1:23" hidden="1">
      <c r="A4785" s="81">
        <v>4783</v>
      </c>
      <c r="B4785" s="86" t="s">
        <v>1477</v>
      </c>
      <c r="C4785" s="86" t="s">
        <v>2252</v>
      </c>
      <c r="D4785" s="89" t="str">
        <f ca="1">OFFSET(Roster!$A$3,MATCH(表格1[[#This Row],[Location]]&amp;" "&amp;表格1[[#This Row],[Shop]]&amp;"*",Roster!$A$4:$A$72,0),DAY(表格1[[#This Row],[date]]),1,1)</f>
        <v>Raymond</v>
      </c>
      <c r="E4785" s="86">
        <f>MONTH(表格1[[#This Row],[date]])</f>
        <v>3</v>
      </c>
      <c r="F4785" s="90">
        <v>46086</v>
      </c>
      <c r="G4785" s="86" t="str">
        <f>VLOOKUP("*"&amp;表格1[[#This Row],[Input]]&amp;"*",'Ref-List'!$B:$D,2,)</f>
        <v>RC-10NMFIH(WT)</v>
      </c>
      <c r="H4785" s="86" t="str">
        <f>_xlfn.XLOOKUP(表格1[[#This Row],[Model]],表格3[Model-Input-Ref2],表格3[Product Line])</f>
        <v>4毫米厚釜電飯煲1L</v>
      </c>
      <c r="I4785" s="86" t="str">
        <f>_xlfn.XLOOKUP(表格1[[#This Row],[Model]],表格3[Model-Input-Ref2],表格3[大小電])</f>
        <v>細電</v>
      </c>
      <c r="J4785" s="86" t="str">
        <f>_xlfn.XLOOKUP(表格1[[#This Row],[Model]],表格3[Model-Input-Ref2],表格3[Code])</f>
        <v>SDA</v>
      </c>
      <c r="K4785" s="89" t="s">
        <v>1244</v>
      </c>
      <c r="L4785" s="86">
        <v>1</v>
      </c>
      <c r="M4785" s="87">
        <v>719</v>
      </c>
      <c r="N4785" s="87">
        <f>IFERROR(表格1[[#This Row],[QTY]]*表格1[[#This Row],[Unit Price]],"-")</f>
        <v>719</v>
      </c>
      <c r="O4785" s="168">
        <v>2809982</v>
      </c>
      <c r="R4785" s="86" t="str">
        <f>_xlfn.CONCAT(表格1[[#This Row],[Model]]," ",表格1[[#This Row],[inv no]])</f>
        <v>RC-10NMFIH(WT) 2809982</v>
      </c>
      <c r="S4785" s="86">
        <f>_xlfn.XLOOKUP(表格1[[#This Row],[Model]],表格3[Model-Input-Ref2],表格3[SRP PRICE])</f>
        <v>898</v>
      </c>
      <c r="T4785" s="43">
        <f>表格1[[#This Row],[Unit Price]]/表格1[[#This Row],[SRP]]</f>
        <v>0.80066815144766146</v>
      </c>
      <c r="U4785" s="86" t="str">
        <f>_xlfn.XLOOKUP(表格1[[#This Row],[Model]],表格3[Model-Input-Ref2],表格3[TOSHIBA/HIGHEST])</f>
        <v>Toshiba SRP</v>
      </c>
      <c r="W4785" s="86" t="str">
        <f>_xlfn.CONCAT(表格1[[#This Row],[欄4]],表格1[[#This Row],[inv no]])</f>
        <v>2809982</v>
      </c>
    </row>
    <row r="4786" spans="1:23" hidden="1">
      <c r="A4786" s="81">
        <v>4784</v>
      </c>
      <c r="B4786" s="86" t="s">
        <v>1477</v>
      </c>
      <c r="C4786" s="86" t="s">
        <v>2252</v>
      </c>
      <c r="D4786" s="89" t="str">
        <f ca="1">OFFSET(Roster!$A$3,MATCH(表格1[[#This Row],[Location]]&amp;" "&amp;表格1[[#This Row],[Shop]]&amp;"*",Roster!$A$4:$A$72,0),DAY(表格1[[#This Row],[date]]),1,1)</f>
        <v>Raymond</v>
      </c>
      <c r="E4786" s="86">
        <f>MONTH(表格1[[#This Row],[date]])</f>
        <v>3</v>
      </c>
      <c r="F4786" s="90">
        <v>46086</v>
      </c>
      <c r="G4786" s="86" t="str">
        <f>VLOOKUP("*"&amp;表格1[[#This Row],[Input]]&amp;"*",'Ref-List'!$B:$D,2,)</f>
        <v>MM2-EM20PC(WH)</v>
      </c>
      <c r="H4786" s="86" t="str">
        <f>_xlfn.XLOOKUP(表格1[[#This Row],[Model]],表格3[Model-Input-Ref2],表格3[Product Line])</f>
        <v>輕觸式微波爐 (20公升)</v>
      </c>
      <c r="I4786" s="86" t="str">
        <f>_xlfn.XLOOKUP(表格1[[#This Row],[Model]],表格3[Model-Input-Ref2],表格3[大小電])</f>
        <v>細電</v>
      </c>
      <c r="J4786" s="86" t="str">
        <f>_xlfn.XLOOKUP(表格1[[#This Row],[Model]],表格3[Model-Input-Ref2],表格3[Code])</f>
        <v>MCA</v>
      </c>
      <c r="K4786" s="89" t="s">
        <v>1276</v>
      </c>
      <c r="L4786" s="86">
        <v>1</v>
      </c>
      <c r="M4786" s="87">
        <v>638</v>
      </c>
      <c r="N4786" s="87">
        <f>IFERROR(表格1[[#This Row],[QTY]]*表格1[[#This Row],[Unit Price]],"-")</f>
        <v>638</v>
      </c>
      <c r="O4786" s="168">
        <v>2902387</v>
      </c>
      <c r="R4786" s="86" t="str">
        <f>_xlfn.CONCAT(表格1[[#This Row],[Model]]," ",表格1[[#This Row],[inv no]])</f>
        <v>MM2-EM20PC(WH) 2902387</v>
      </c>
      <c r="S4786" s="86">
        <f>_xlfn.XLOOKUP(表格1[[#This Row],[Model]],表格3[Model-Input-Ref2],表格3[SRP PRICE])</f>
        <v>788</v>
      </c>
      <c r="T4786" s="43">
        <f>表格1[[#This Row],[Unit Price]]/表格1[[#This Row],[SRP]]</f>
        <v>0.80964467005076146</v>
      </c>
      <c r="U4786" s="86" t="str">
        <f>_xlfn.XLOOKUP(表格1[[#This Row],[Model]],表格3[Model-Input-Ref2],表格3[TOSHIBA/HIGHEST])</f>
        <v>Toshiba SRP</v>
      </c>
      <c r="W4786" s="86" t="str">
        <f>_xlfn.CONCAT(表格1[[#This Row],[欄4]],表格1[[#This Row],[inv no]])</f>
        <v>2902387</v>
      </c>
    </row>
    <row r="4787" spans="1:23" hidden="1">
      <c r="A4787" s="81">
        <v>4785</v>
      </c>
      <c r="B4787" s="86" t="s">
        <v>1477</v>
      </c>
      <c r="C4787" s="86" t="s">
        <v>2252</v>
      </c>
      <c r="D4787" s="89" t="str">
        <f ca="1">OFFSET(Roster!$A$3,MATCH(表格1[[#This Row],[Location]]&amp;" "&amp;表格1[[#This Row],[Shop]]&amp;"*",Roster!$A$4:$A$72,0),DAY(表格1[[#This Row],[date]]),1,1)</f>
        <v>Raymond</v>
      </c>
      <c r="E4787" s="86">
        <f>MONTH(表格1[[#This Row],[date]])</f>
        <v>3</v>
      </c>
      <c r="F4787" s="90">
        <v>46086</v>
      </c>
      <c r="G4787" s="86" t="str">
        <f>VLOOKUP("*"&amp;表格1[[#This Row],[Input]]&amp;"*",'Ref-List'!$B:$D,2,)</f>
        <v>RAD-D300H</v>
      </c>
      <c r="H4787" s="86" t="str">
        <f>_xlfn.XLOOKUP(表格1[[#This Row],[Model]],表格3[Model-Input-Ref2],表格3[Product Line])</f>
        <v>壓縮式抽濕機 (30公升)</v>
      </c>
      <c r="I4787" s="86" t="str">
        <f>_xlfn.XLOOKUP(表格1[[#This Row],[Model]],表格3[Model-Input-Ref2],表格3[大小電])</f>
        <v>細電</v>
      </c>
      <c r="J4787" s="86" t="str">
        <f>_xlfn.XLOOKUP(表格1[[#This Row],[Model]],表格3[Model-Input-Ref2],表格3[Code])</f>
        <v>RAC</v>
      </c>
      <c r="K4787" s="89" t="s">
        <v>1252</v>
      </c>
      <c r="L4787" s="86">
        <v>1</v>
      </c>
      <c r="M4787" s="87">
        <v>2580</v>
      </c>
      <c r="N4787" s="87">
        <f>IFERROR(表格1[[#This Row],[QTY]]*表格1[[#This Row],[Unit Price]],"-")</f>
        <v>2580</v>
      </c>
      <c r="O4787" s="168">
        <v>2902375</v>
      </c>
      <c r="R4787" s="86" t="str">
        <f>_xlfn.CONCAT(表格1[[#This Row],[Model]]," ",表格1[[#This Row],[inv no]])</f>
        <v>RAD-D300H 2902375</v>
      </c>
      <c r="S4787" s="86">
        <f>_xlfn.XLOOKUP(表格1[[#This Row],[Model]],表格3[Model-Input-Ref2],表格3[SRP PRICE])</f>
        <v>3380</v>
      </c>
      <c r="T4787" s="43">
        <f>表格1[[#This Row],[Unit Price]]/表格1[[#This Row],[SRP]]</f>
        <v>0.76331360946745563</v>
      </c>
      <c r="U4787" s="86" t="str">
        <f>_xlfn.XLOOKUP(表格1[[#This Row],[Model]],表格3[Model-Input-Ref2],表格3[TOSHIBA/HIGHEST])</f>
        <v>Shops Highest Price</v>
      </c>
      <c r="W4787" s="86" t="str">
        <f>_xlfn.CONCAT(表格1[[#This Row],[欄4]],表格1[[#This Row],[inv no]])</f>
        <v>2902375</v>
      </c>
    </row>
    <row r="4788" spans="1:23" hidden="1">
      <c r="A4788" s="81">
        <v>4786</v>
      </c>
      <c r="B4788" s="86" t="s">
        <v>1477</v>
      </c>
      <c r="C4788" s="86" t="s">
        <v>2252</v>
      </c>
      <c r="D4788" s="89" t="str">
        <f ca="1">OFFSET(Roster!$A$3,MATCH(表格1[[#This Row],[Location]]&amp;" "&amp;表格1[[#This Row],[Shop]]&amp;"*",Roster!$A$4:$A$72,0),DAY(表格1[[#This Row],[date]]),1,1)</f>
        <v>Raymond off</v>
      </c>
      <c r="E4788" s="86">
        <f>MONTH(表格1[[#This Row],[date]])</f>
        <v>3</v>
      </c>
      <c r="F4788" s="90">
        <v>46087</v>
      </c>
      <c r="G4788" s="86" t="str">
        <f>VLOOKUP("*"&amp;表格1[[#This Row],[Input]]&amp;"*",'Ref-List'!$B:$D,2,)</f>
        <v>KT-17SHNH</v>
      </c>
      <c r="H4788" s="86" t="str">
        <f>_xlfn.XLOOKUP(表格1[[#This Row],[Model]],表格3[Model-Input-Ref2],表格3[Product Line])</f>
        <v>1.7L無線雙層電熱水壺</v>
      </c>
      <c r="I4788" s="86" t="str">
        <f>_xlfn.XLOOKUP(表格1[[#This Row],[Model]],表格3[Model-Input-Ref2],表格3[大小電])</f>
        <v>細電</v>
      </c>
      <c r="J4788" s="86" t="str">
        <f>_xlfn.XLOOKUP(表格1[[#This Row],[Model]],表格3[Model-Input-Ref2],表格3[Code])</f>
        <v>SDA</v>
      </c>
      <c r="K4788" s="89" t="s">
        <v>1283</v>
      </c>
      <c r="L4788" s="86">
        <v>1</v>
      </c>
      <c r="M4788" s="87">
        <v>228</v>
      </c>
      <c r="N4788" s="87">
        <f>IFERROR(表格1[[#This Row],[QTY]]*表格1[[#This Row],[Unit Price]],"-")</f>
        <v>228</v>
      </c>
      <c r="O4788" s="168">
        <v>2810035</v>
      </c>
      <c r="P4788" s="86" t="s">
        <v>2253</v>
      </c>
      <c r="R4788" s="86" t="str">
        <f>_xlfn.CONCAT(表格1[[#This Row],[Model]]," ",表格1[[#This Row],[inv no]])</f>
        <v>KT-17SHNH 2810035</v>
      </c>
      <c r="S4788" s="86">
        <f>_xlfn.XLOOKUP(表格1[[#This Row],[Model]],表格3[Model-Input-Ref2],表格3[SRP PRICE])</f>
        <v>299</v>
      </c>
      <c r="T4788" s="43">
        <f>表格1[[#This Row],[Unit Price]]/表格1[[#This Row],[SRP]]</f>
        <v>0.76254180602006694</v>
      </c>
      <c r="U4788" s="86" t="str">
        <f>_xlfn.XLOOKUP(表格1[[#This Row],[Model]],表格3[Model-Input-Ref2],表格3[TOSHIBA/HIGHEST])</f>
        <v>Shops Highest Price</v>
      </c>
      <c r="W4788" s="86" t="str">
        <f>_xlfn.CONCAT(表格1[[#This Row],[欄4]],表格1[[#This Row],[inv no]])</f>
        <v>2810035</v>
      </c>
    </row>
    <row r="4789" spans="1:23" hidden="1">
      <c r="A4789" s="81">
        <v>4787</v>
      </c>
      <c r="B4789" s="86" t="s">
        <v>1477</v>
      </c>
      <c r="C4789" s="86" t="s">
        <v>2252</v>
      </c>
      <c r="D4789" s="89" t="str">
        <f ca="1">OFFSET(Roster!$A$3,MATCH(表格1[[#This Row],[Location]]&amp;" "&amp;表格1[[#This Row],[Shop]]&amp;"*",Roster!$A$4:$A$72,0),DAY(表格1[[#This Row],[date]]),1,1)</f>
        <v>Raymond off</v>
      </c>
      <c r="E4789" s="86">
        <f>MONTH(表格1[[#This Row],[date]])</f>
        <v>3</v>
      </c>
      <c r="F4789" s="90">
        <v>46087</v>
      </c>
      <c r="G4789" s="86" t="str">
        <f>VLOOKUP("*"&amp;表格1[[#This Row],[Input]]&amp;"*",'Ref-List'!$B:$D,2,)</f>
        <v>KT-17SH1NH</v>
      </c>
      <c r="H4789" s="86" t="str">
        <f>_xlfn.XLOOKUP(表格1[[#This Row],[Model]],表格3[Model-Input-Ref2],表格3[Product Line])</f>
        <v>1.7L無線雙層電熱水壺(有窗)</v>
      </c>
      <c r="I4789" s="86" t="str">
        <f>_xlfn.XLOOKUP(表格1[[#This Row],[Model]],表格3[Model-Input-Ref2],表格3[大小電])</f>
        <v>細電</v>
      </c>
      <c r="J4789" s="86" t="str">
        <f>_xlfn.XLOOKUP(表格1[[#This Row],[Model]],表格3[Model-Input-Ref2],表格3[Code])</f>
        <v>SDA</v>
      </c>
      <c r="K4789" s="89" t="s">
        <v>1387</v>
      </c>
      <c r="L4789" s="86">
        <v>1</v>
      </c>
      <c r="M4789" s="87">
        <v>288</v>
      </c>
      <c r="N4789" s="87">
        <f>IFERROR(表格1[[#This Row],[QTY]]*表格1[[#This Row],[Unit Price]],"-")</f>
        <v>288</v>
      </c>
      <c r="O4789" s="168">
        <v>2902407</v>
      </c>
      <c r="R4789" s="86" t="str">
        <f>_xlfn.CONCAT(表格1[[#This Row],[Model]]," ",表格1[[#This Row],[inv no]])</f>
        <v>KT-17SH1NH 2902407</v>
      </c>
      <c r="S4789" s="86">
        <f>_xlfn.XLOOKUP(表格1[[#This Row],[Model]],表格3[Model-Input-Ref2],表格3[SRP PRICE])</f>
        <v>398</v>
      </c>
      <c r="T4789" s="43">
        <f>表格1[[#This Row],[Unit Price]]/表格1[[#This Row],[SRP]]</f>
        <v>0.72361809045226133</v>
      </c>
      <c r="U4789" s="86" t="str">
        <f>_xlfn.XLOOKUP(表格1[[#This Row],[Model]],表格3[Model-Input-Ref2],表格3[TOSHIBA/HIGHEST])</f>
        <v>Toshiba SRP</v>
      </c>
      <c r="W4789" s="86" t="str">
        <f>_xlfn.CONCAT(表格1[[#This Row],[欄4]],表格1[[#This Row],[inv no]])</f>
        <v>2902407</v>
      </c>
    </row>
    <row r="4790" spans="1:23" hidden="1">
      <c r="A4790" s="81">
        <v>4788</v>
      </c>
      <c r="B4790" s="86" t="s">
        <v>1477</v>
      </c>
      <c r="C4790" s="86" t="s">
        <v>2252</v>
      </c>
      <c r="D4790" s="89" t="str">
        <f ca="1">OFFSET(Roster!$A$3,MATCH(表格1[[#This Row],[Location]]&amp;" "&amp;表格1[[#This Row],[Shop]]&amp;"*",Roster!$A$4:$A$72,0),DAY(表格1[[#This Row],[date]]),1,1)</f>
        <v>Raymond off</v>
      </c>
      <c r="E4790" s="86">
        <f>MONTH(表格1[[#This Row],[date]])</f>
        <v>3</v>
      </c>
      <c r="F4790" s="90">
        <v>46087</v>
      </c>
      <c r="G4790" s="86" t="str">
        <f>VLOOKUP("*"&amp;表格1[[#This Row],[Input]]&amp;"*",'Ref-List'!$B:$D,2,)</f>
        <v>AW-Q901BPH(WW)</v>
      </c>
      <c r="H4790" s="86" t="str">
        <f>_xlfn.XLOOKUP(表格1[[#This Row],[Model]],表格3[Model-Input-Ref2],表格3[Product Line])</f>
        <v>日式洗衣機 (8公斤 結合高低水位)</v>
      </c>
      <c r="I4790" s="86" t="str">
        <f>_xlfn.XLOOKUP(表格1[[#This Row],[Model]],表格3[Model-Input-Ref2],表格3[大小電])</f>
        <v>大電</v>
      </c>
      <c r="J4790" s="86" t="str">
        <f>_xlfn.XLOOKUP(表格1[[#This Row],[Model]],表格3[Model-Input-Ref2],表格3[Code])</f>
        <v>LAD</v>
      </c>
      <c r="K4790" s="89" t="s">
        <v>1411</v>
      </c>
      <c r="L4790" s="86">
        <v>1</v>
      </c>
      <c r="M4790" s="87">
        <v>1880</v>
      </c>
      <c r="N4790" s="87">
        <f>IFERROR(表格1[[#This Row],[QTY]]*表格1[[#This Row],[Unit Price]],"-")</f>
        <v>1880</v>
      </c>
      <c r="O4790" s="168">
        <v>2902415</v>
      </c>
      <c r="R4790" s="86" t="str">
        <f>_xlfn.CONCAT(表格1[[#This Row],[Model]]," ",表格1[[#This Row],[inv no]])</f>
        <v>AW-Q901BPH(WW) 2902415</v>
      </c>
      <c r="S4790" s="86">
        <f>_xlfn.XLOOKUP(表格1[[#This Row],[Model]],表格3[Model-Input-Ref2],表格3[SRP PRICE])</f>
        <v>3780</v>
      </c>
      <c r="T4790" s="43">
        <f>表格1[[#This Row],[Unit Price]]/表格1[[#This Row],[SRP]]</f>
        <v>0.49735449735449733</v>
      </c>
      <c r="U4790" s="86" t="str">
        <f>_xlfn.XLOOKUP(表格1[[#This Row],[Model]],表格3[Model-Input-Ref2],表格3[TOSHIBA/HIGHEST])</f>
        <v>Toshiba SRP</v>
      </c>
      <c r="W4790" s="86" t="str">
        <f>_xlfn.CONCAT(表格1[[#This Row],[欄4]],表格1[[#This Row],[inv no]])</f>
        <v>2902415</v>
      </c>
    </row>
    <row r="4791" spans="1:23" hidden="1">
      <c r="A4791" s="81">
        <v>4789</v>
      </c>
      <c r="B4791" s="86" t="s">
        <v>1477</v>
      </c>
      <c r="C4791" s="86" t="s">
        <v>2252</v>
      </c>
      <c r="D4791" s="89" t="str">
        <f ca="1">OFFSET(Roster!$A$3,MATCH(表格1[[#This Row],[Location]]&amp;" "&amp;表格1[[#This Row],[Shop]]&amp;"*",Roster!$A$4:$A$72,0),DAY(表格1[[#This Row],[date]]),1,1)</f>
        <v>Raymond off</v>
      </c>
      <c r="E4791" s="86">
        <f>MONTH(表格1[[#This Row],[date]])</f>
        <v>3</v>
      </c>
      <c r="F4791" s="90">
        <v>46087</v>
      </c>
      <c r="G4791" s="86" t="str">
        <f>VLOOKUP("*"&amp;表格1[[#This Row],[Input]]&amp;"*",'Ref-List'!$B:$D,2,)</f>
        <v>GR-RT300WE-PMA(57)</v>
      </c>
      <c r="H4791" s="86" t="str">
        <f>_xlfn.XLOOKUP(表格1[[#This Row],[Model]],表格3[Model-Input-Ref2],表格3[Product Line])</f>
        <v>變頻式環保雙門雪櫃(233L)</v>
      </c>
      <c r="I4791" s="86" t="str">
        <f>_xlfn.XLOOKUP(表格1[[#This Row],[Model]],表格3[Model-Input-Ref2],表格3[大小電])</f>
        <v>大電</v>
      </c>
      <c r="J4791" s="86" t="str">
        <f>_xlfn.XLOOKUP(表格1[[#This Row],[Model]],表格3[Model-Input-Ref2],表格3[Code])</f>
        <v>REF</v>
      </c>
      <c r="K4791" s="89" t="s">
        <v>1462</v>
      </c>
      <c r="L4791" s="86">
        <v>1</v>
      </c>
      <c r="M4791" s="87">
        <v>2780</v>
      </c>
      <c r="N4791" s="87">
        <f>IFERROR(表格1[[#This Row],[QTY]]*表格1[[#This Row],[Unit Price]],"-")</f>
        <v>2780</v>
      </c>
      <c r="O4791" s="168">
        <v>2902392</v>
      </c>
      <c r="R4791" s="86" t="str">
        <f>_xlfn.CONCAT(表格1[[#This Row],[Model]]," ",表格1[[#This Row],[inv no]])</f>
        <v>GR-RT300WE-PMA(57) 2902392</v>
      </c>
      <c r="S4791" s="86">
        <f>_xlfn.XLOOKUP(表格1[[#This Row],[Model]],表格3[Model-Input-Ref2],表格3[SRP PRICE])</f>
        <v>4280</v>
      </c>
      <c r="T4791" s="43">
        <f>表格1[[#This Row],[Unit Price]]/表格1[[#This Row],[SRP]]</f>
        <v>0.64953271028037385</v>
      </c>
      <c r="U4791" s="86" t="str">
        <f>_xlfn.XLOOKUP(表格1[[#This Row],[Model]],表格3[Model-Input-Ref2],表格3[TOSHIBA/HIGHEST])</f>
        <v>Toshiba SRP</v>
      </c>
      <c r="W4791" s="86" t="str">
        <f>_xlfn.CONCAT(表格1[[#This Row],[欄4]],表格1[[#This Row],[inv no]])</f>
        <v>2902392</v>
      </c>
    </row>
    <row r="4792" spans="1:23" hidden="1">
      <c r="A4792" s="81">
        <v>4790</v>
      </c>
      <c r="B4792" s="86" t="s">
        <v>1477</v>
      </c>
      <c r="C4792" s="86" t="s">
        <v>2252</v>
      </c>
      <c r="D4792" s="89" t="str">
        <f ca="1">OFFSET(Roster!$A$3,MATCH(表格1[[#This Row],[Location]]&amp;" "&amp;表格1[[#This Row],[Shop]]&amp;"*",Roster!$A$4:$A$72,0),DAY(表格1[[#This Row],[date]]),1,1)</f>
        <v>Raymond</v>
      </c>
      <c r="E4792" s="86">
        <f>MONTH(表格1[[#This Row],[date]])</f>
        <v>3</v>
      </c>
      <c r="F4792" s="90">
        <v>46088</v>
      </c>
      <c r="G4792" s="86" t="str">
        <f>VLOOKUP("*"&amp;表格1[[#This Row],[Input]]&amp;"*",'Ref-List'!$B:$D,2,)</f>
        <v>MX2-STR25SC(WH)</v>
      </c>
      <c r="H4792" s="86" t="str">
        <f>_xlfn.XLOOKUP(表格1[[#This Row],[Model]],表格3[Model-Input-Ref2],表格3[Product Line])</f>
        <v>4合1氣炸微波蒸焗爐(25公升)</v>
      </c>
      <c r="I4792" s="86" t="str">
        <f>_xlfn.XLOOKUP(表格1[[#This Row],[Model]],表格3[Model-Input-Ref2],表格3[大小電])</f>
        <v>細電</v>
      </c>
      <c r="J4792" s="86" t="str">
        <f>_xlfn.XLOOKUP(表格1[[#This Row],[Model]],表格3[Model-Input-Ref2],表格3[Code])</f>
        <v>MCA</v>
      </c>
      <c r="K4792" s="89" t="s">
        <v>1410</v>
      </c>
      <c r="L4792" s="86">
        <v>1</v>
      </c>
      <c r="M4792" s="87">
        <v>3580</v>
      </c>
      <c r="N4792" s="87">
        <f>IFERROR(表格1[[#This Row],[QTY]]*表格1[[#This Row],[Unit Price]],"-")</f>
        <v>3580</v>
      </c>
      <c r="O4792" s="168">
        <v>2810152</v>
      </c>
      <c r="R4792" s="86" t="str">
        <f>_xlfn.CONCAT(表格1[[#This Row],[Model]]," ",表格1[[#This Row],[inv no]])</f>
        <v>MX2-STR25SC(WH) 2810152</v>
      </c>
      <c r="S4792" s="86">
        <f>_xlfn.XLOOKUP(表格1[[#This Row],[Model]],表格3[Model-Input-Ref2],表格3[SRP PRICE])</f>
        <v>4998</v>
      </c>
      <c r="T4792" s="43">
        <f>表格1[[#This Row],[Unit Price]]/表格1[[#This Row],[SRP]]</f>
        <v>0.71628651460584236</v>
      </c>
      <c r="U4792" s="86" t="str">
        <f>_xlfn.XLOOKUP(表格1[[#This Row],[Model]],表格3[Model-Input-Ref2],表格3[TOSHIBA/HIGHEST])</f>
        <v>Toshiba SRP</v>
      </c>
      <c r="W4792" s="86" t="str">
        <f>_xlfn.CONCAT(表格1[[#This Row],[欄4]],表格1[[#This Row],[inv no]])</f>
        <v>2810152</v>
      </c>
    </row>
    <row r="4793" spans="1:23" hidden="1">
      <c r="A4793" s="81">
        <v>4791</v>
      </c>
      <c r="B4793" s="86" t="s">
        <v>1477</v>
      </c>
      <c r="C4793" s="86" t="s">
        <v>2252</v>
      </c>
      <c r="D4793" s="89" t="str">
        <f ca="1">OFFSET(Roster!$A$3,MATCH(表格1[[#This Row],[Location]]&amp;" "&amp;表格1[[#This Row],[Shop]]&amp;"*",Roster!$A$4:$A$72,0),DAY(表格1[[#This Row],[date]]),1,1)</f>
        <v>Raymond</v>
      </c>
      <c r="E4793" s="86">
        <f>MONTH(表格1[[#This Row],[date]])</f>
        <v>3</v>
      </c>
      <c r="F4793" s="90">
        <v>46088</v>
      </c>
      <c r="G4793" s="86" t="str">
        <f>VLOOKUP("*"&amp;表格1[[#This Row],[Input]]&amp;"*",'Ref-List'!$B:$D,2,)</f>
        <v>ET-TD7080(PN)</v>
      </c>
      <c r="H4793" s="86" t="str">
        <f>_xlfn.XLOOKUP(表格1[[#This Row],[Model]],表格3[Model-Input-Ref2],表格3[Product Line])</f>
        <v>多士焗爐8L</v>
      </c>
      <c r="I4793" s="86" t="str">
        <f>_xlfn.XLOOKUP(表格1[[#This Row],[Model]],表格3[Model-Input-Ref2],表格3[大小電])</f>
        <v>細電</v>
      </c>
      <c r="J4793" s="86" t="str">
        <f>_xlfn.XLOOKUP(表格1[[#This Row],[Model]],表格3[Model-Input-Ref2],表格3[Code])</f>
        <v>SDA</v>
      </c>
      <c r="K4793" s="89">
        <v>7080</v>
      </c>
      <c r="L4793" s="86">
        <v>1</v>
      </c>
      <c r="M4793" s="87">
        <v>358</v>
      </c>
      <c r="N4793" s="87">
        <f>IFERROR(表格1[[#This Row],[QTY]]*表格1[[#This Row],[Unit Price]],"-")</f>
        <v>358</v>
      </c>
      <c r="O4793" s="168">
        <v>2902458</v>
      </c>
      <c r="R4793" s="86" t="str">
        <f>_xlfn.CONCAT(表格1[[#This Row],[Model]]," ",表格1[[#This Row],[inv no]])</f>
        <v>ET-TD7080(PN) 2902458</v>
      </c>
      <c r="S4793" s="86">
        <f>_xlfn.XLOOKUP(表格1[[#This Row],[Model]],表格3[Model-Input-Ref2],表格3[SRP PRICE])</f>
        <v>498</v>
      </c>
      <c r="T4793" s="43">
        <f>表格1[[#This Row],[Unit Price]]/表格1[[#This Row],[SRP]]</f>
        <v>0.71887550200803207</v>
      </c>
      <c r="U4793" s="86" t="str">
        <f>_xlfn.XLOOKUP(表格1[[#This Row],[Model]],表格3[Model-Input-Ref2],表格3[TOSHIBA/HIGHEST])</f>
        <v>Toshiba SRP</v>
      </c>
      <c r="W4793" s="86" t="str">
        <f>_xlfn.CONCAT(表格1[[#This Row],[欄4]],表格1[[#This Row],[inv no]])</f>
        <v>2902458</v>
      </c>
    </row>
    <row r="4794" spans="1:23" hidden="1">
      <c r="A4794" s="81">
        <v>4792</v>
      </c>
      <c r="B4794" s="86" t="s">
        <v>1477</v>
      </c>
      <c r="C4794" s="86" t="s">
        <v>2252</v>
      </c>
      <c r="D4794" s="89" t="str">
        <f ca="1">OFFSET(Roster!$A$3,MATCH(表格1[[#This Row],[Location]]&amp;" "&amp;表格1[[#This Row],[Shop]]&amp;"*",Roster!$A$4:$A$72,0),DAY(表格1[[#This Row],[date]]),1,1)</f>
        <v>Raymond</v>
      </c>
      <c r="E4794" s="86">
        <f>MONTH(表格1[[#This Row],[date]])</f>
        <v>3</v>
      </c>
      <c r="F4794" s="90">
        <v>46088</v>
      </c>
      <c r="G4794" s="86" t="str">
        <f>VLOOKUP("*"&amp;表格1[[#This Row],[Input]]&amp;"*",'Ref-List'!$B:$D,2,)</f>
        <v>KT-17SHNH</v>
      </c>
      <c r="H4794" s="86" t="str">
        <f>_xlfn.XLOOKUP(表格1[[#This Row],[Model]],表格3[Model-Input-Ref2],表格3[Product Line])</f>
        <v>1.7L無線雙層電熱水壺</v>
      </c>
      <c r="I4794" s="86" t="str">
        <f>_xlfn.XLOOKUP(表格1[[#This Row],[Model]],表格3[Model-Input-Ref2],表格3[大小電])</f>
        <v>細電</v>
      </c>
      <c r="J4794" s="86" t="str">
        <f>_xlfn.XLOOKUP(表格1[[#This Row],[Model]],表格3[Model-Input-Ref2],表格3[Code])</f>
        <v>SDA</v>
      </c>
      <c r="K4794" s="89" t="s">
        <v>1283</v>
      </c>
      <c r="L4794" s="86">
        <v>1</v>
      </c>
      <c r="M4794" s="87">
        <v>228</v>
      </c>
      <c r="N4794" s="87">
        <f>IFERROR(表格1[[#This Row],[QTY]]*表格1[[#This Row],[Unit Price]],"-")</f>
        <v>228</v>
      </c>
      <c r="O4794" s="168">
        <v>2902438</v>
      </c>
      <c r="R4794" s="86" t="str">
        <f>_xlfn.CONCAT(表格1[[#This Row],[Model]]," ",表格1[[#This Row],[inv no]])</f>
        <v>KT-17SHNH 2902438</v>
      </c>
      <c r="S4794" s="86">
        <f>_xlfn.XLOOKUP(表格1[[#This Row],[Model]],表格3[Model-Input-Ref2],表格3[SRP PRICE])</f>
        <v>299</v>
      </c>
      <c r="T4794" s="43">
        <f>表格1[[#This Row],[Unit Price]]/表格1[[#This Row],[SRP]]</f>
        <v>0.76254180602006694</v>
      </c>
      <c r="U4794" s="86" t="str">
        <f>_xlfn.XLOOKUP(表格1[[#This Row],[Model]],表格3[Model-Input-Ref2],表格3[TOSHIBA/HIGHEST])</f>
        <v>Shops Highest Price</v>
      </c>
      <c r="W4794" s="86" t="str">
        <f>_xlfn.CONCAT(表格1[[#This Row],[欄4]],表格1[[#This Row],[inv no]])</f>
        <v>2902438</v>
      </c>
    </row>
    <row r="4795" spans="1:23" hidden="1">
      <c r="A4795" s="81">
        <v>4793</v>
      </c>
      <c r="B4795" s="86" t="s">
        <v>1477</v>
      </c>
      <c r="C4795" s="86" t="s">
        <v>2252</v>
      </c>
      <c r="D4795" s="89" t="str">
        <f ca="1">OFFSET(Roster!$A$3,MATCH(表格1[[#This Row],[Location]]&amp;" "&amp;表格1[[#This Row],[Shop]]&amp;"*",Roster!$A$4:$A$72,0),DAY(表格1[[#This Row],[date]]),1,1)</f>
        <v>Raymond</v>
      </c>
      <c r="E4795" s="86">
        <f>MONTH(表格1[[#This Row],[date]])</f>
        <v>3</v>
      </c>
      <c r="F4795" s="90">
        <v>46088</v>
      </c>
      <c r="G4795" s="86" t="str">
        <f>VLOOKUP("*"&amp;表格1[[#This Row],[Input]]&amp;"*",'Ref-List'!$B:$D,2,)</f>
        <v>KT-17DRTHK(H)</v>
      </c>
      <c r="H4795" s="86" t="str">
        <f>_xlfn.XLOOKUP(表格1[[#This Row],[Model]],表格3[Model-Input-Ref2],表格3[Product Line])</f>
        <v>無線雙層電熱水壺(1.7公升)</v>
      </c>
      <c r="I4795" s="86" t="str">
        <f>_xlfn.XLOOKUP(表格1[[#This Row],[Model]],表格3[Model-Input-Ref2],表格3[大小電])</f>
        <v>細電</v>
      </c>
      <c r="J4795" s="86" t="str">
        <f>_xlfn.XLOOKUP(表格1[[#This Row],[Model]],表格3[Model-Input-Ref2],表格3[Code])</f>
        <v>SDA</v>
      </c>
      <c r="K4795" s="89" t="s">
        <v>1271</v>
      </c>
      <c r="L4795" s="86">
        <v>1</v>
      </c>
      <c r="M4795" s="87">
        <v>388</v>
      </c>
      <c r="N4795" s="87">
        <f>IFERROR(表格1[[#This Row],[QTY]]*表格1[[#This Row],[Unit Price]],"-")</f>
        <v>388</v>
      </c>
      <c r="O4795" s="168">
        <v>2902406</v>
      </c>
      <c r="R4795" s="86" t="str">
        <f>_xlfn.CONCAT(表格1[[#This Row],[Model]]," ",表格1[[#This Row],[inv no]])</f>
        <v>KT-17DRTHK(H) 2902406</v>
      </c>
      <c r="S4795" s="86">
        <f>_xlfn.XLOOKUP(表格1[[#This Row],[Model]],表格3[Model-Input-Ref2],表格3[SRP PRICE])</f>
        <v>498</v>
      </c>
      <c r="T4795" s="43">
        <f>表格1[[#This Row],[Unit Price]]/表格1[[#This Row],[SRP]]</f>
        <v>0.77911646586345384</v>
      </c>
      <c r="U4795" s="86" t="str">
        <f>_xlfn.XLOOKUP(表格1[[#This Row],[Model]],表格3[Model-Input-Ref2],表格3[TOSHIBA/HIGHEST])</f>
        <v>Toshiba SRP</v>
      </c>
      <c r="W4795" s="86" t="str">
        <f>_xlfn.CONCAT(表格1[[#This Row],[欄4]],表格1[[#This Row],[inv no]])</f>
        <v>2902406</v>
      </c>
    </row>
    <row r="4796" spans="1:23" hidden="1">
      <c r="A4796" s="81">
        <v>4794</v>
      </c>
      <c r="B4796" s="86" t="s">
        <v>1477</v>
      </c>
      <c r="C4796" s="86" t="s">
        <v>2252</v>
      </c>
      <c r="D4796" s="89" t="str">
        <f ca="1">OFFSET(Roster!$A$3,MATCH(表格1[[#This Row],[Location]]&amp;" "&amp;表格1[[#This Row],[Shop]]&amp;"*",Roster!$A$4:$A$72,0),DAY(表格1[[#This Row],[date]]),1,1)</f>
        <v>Raymond</v>
      </c>
      <c r="E4796" s="86">
        <f>MONTH(表格1[[#This Row],[date]])</f>
        <v>3</v>
      </c>
      <c r="F4796" s="90">
        <v>46088</v>
      </c>
      <c r="G4796" s="86" t="str">
        <f>VLOOKUP("*"&amp;表格1[[#This Row],[Input]]&amp;"*",'Ref-List'!$B:$D,2,)</f>
        <v>RC-15BHH(W)</v>
      </c>
      <c r="H4796" s="86" t="str">
        <f>_xlfn.XLOOKUP(表格1[[#This Row],[Model]],表格3[Model-Input-Ref2],表格3[Product Line])</f>
        <v>酵活炊磁應電飯煲(1.5公升)</v>
      </c>
      <c r="I4796" s="86" t="str">
        <f>_xlfn.XLOOKUP(表格1[[#This Row],[Model]],表格3[Model-Input-Ref2],表格3[大小電])</f>
        <v>細電</v>
      </c>
      <c r="J4796" s="86" t="str">
        <f>_xlfn.XLOOKUP(表格1[[#This Row],[Model]],表格3[Model-Input-Ref2],表格3[Code])</f>
        <v>SDA</v>
      </c>
      <c r="K4796" s="89" t="s">
        <v>1381</v>
      </c>
      <c r="L4796" s="86">
        <v>1</v>
      </c>
      <c r="M4796" s="87">
        <v>2088</v>
      </c>
      <c r="N4796" s="87">
        <f>IFERROR(表格1[[#This Row],[QTY]]*表格1[[#This Row],[Unit Price]],"-")</f>
        <v>2088</v>
      </c>
      <c r="O4796" s="168">
        <v>2810169</v>
      </c>
      <c r="R4796" s="86" t="str">
        <f>_xlfn.CONCAT(表格1[[#This Row],[Model]]," ",表格1[[#This Row],[inv no]])</f>
        <v>RC-15BHH(W) 2810169</v>
      </c>
      <c r="S4796" s="86">
        <f>_xlfn.XLOOKUP(表格1[[#This Row],[Model]],表格3[Model-Input-Ref2],表格3[SRP PRICE])</f>
        <v>2388</v>
      </c>
      <c r="T4796" s="43">
        <f>表格1[[#This Row],[Unit Price]]/表格1[[#This Row],[SRP]]</f>
        <v>0.87437185929648242</v>
      </c>
      <c r="U4796" s="86" t="str">
        <f>_xlfn.XLOOKUP(表格1[[#This Row],[Model]],表格3[Model-Input-Ref2],表格3[TOSHIBA/HIGHEST])</f>
        <v>Toshiba SRP</v>
      </c>
      <c r="W4796" s="86" t="str">
        <f>_xlfn.CONCAT(表格1[[#This Row],[欄4]],表格1[[#This Row],[inv no]])</f>
        <v>2810169</v>
      </c>
    </row>
    <row r="4797" spans="1:23" hidden="1">
      <c r="A4797" s="81">
        <v>4795</v>
      </c>
      <c r="B4797" s="86" t="s">
        <v>1477</v>
      </c>
      <c r="C4797" s="86" t="s">
        <v>2252</v>
      </c>
      <c r="D4797" s="89" t="str">
        <f ca="1">OFFSET(Roster!$A$3,MATCH(表格1[[#This Row],[Location]]&amp;" "&amp;表格1[[#This Row],[Shop]]&amp;"*",Roster!$A$4:$A$72,0),DAY(表格1[[#This Row],[date]]),1,1)</f>
        <v>Raymond</v>
      </c>
      <c r="E4797" s="86">
        <f>MONTH(表格1[[#This Row],[date]])</f>
        <v>3</v>
      </c>
      <c r="F4797" s="90">
        <v>46088</v>
      </c>
      <c r="G4797" s="86" t="str">
        <f>VLOOKUP("*"&amp;表格1[[#This Row],[Input]]&amp;"*",'Ref-List'!$B:$D,2,)</f>
        <v>RC-10AMXH(W)</v>
      </c>
      <c r="H4797" s="86" t="str">
        <f>_xlfn.XLOOKUP(表格1[[#This Row],[Model]],表格3[Model-Input-Ref2],表格3[Product Line])</f>
        <v>酵活炊電飯煲(1.0公升)</v>
      </c>
      <c r="I4797" s="86" t="str">
        <f>_xlfn.XLOOKUP(表格1[[#This Row],[Model]],表格3[Model-Input-Ref2],表格3[大小電])</f>
        <v>細電</v>
      </c>
      <c r="J4797" s="86" t="str">
        <f>_xlfn.XLOOKUP(表格1[[#This Row],[Model]],表格3[Model-Input-Ref2],表格3[Code])</f>
        <v>SDA</v>
      </c>
      <c r="K4797" s="89" t="s">
        <v>1279</v>
      </c>
      <c r="L4797" s="86">
        <v>1</v>
      </c>
      <c r="M4797" s="87">
        <v>1088</v>
      </c>
      <c r="N4797" s="87">
        <f>IFERROR(表格1[[#This Row],[QTY]]*表格1[[#This Row],[Unit Price]],"-")</f>
        <v>1088</v>
      </c>
      <c r="O4797" s="168">
        <v>2810173</v>
      </c>
      <c r="R4797" s="86" t="str">
        <f>_xlfn.CONCAT(表格1[[#This Row],[Model]]," ",表格1[[#This Row],[inv no]])</f>
        <v>RC-10AMXH(W) 2810173</v>
      </c>
      <c r="S4797" s="86">
        <f>_xlfn.XLOOKUP(表格1[[#This Row],[Model]],表格3[Model-Input-Ref2],表格3[SRP PRICE])</f>
        <v>1288</v>
      </c>
      <c r="T4797" s="43">
        <f>表格1[[#This Row],[Unit Price]]/表格1[[#This Row],[SRP]]</f>
        <v>0.84472049689440998</v>
      </c>
      <c r="U4797" s="86" t="str">
        <f>_xlfn.XLOOKUP(表格1[[#This Row],[Model]],表格3[Model-Input-Ref2],表格3[TOSHIBA/HIGHEST])</f>
        <v>Toshiba SRP</v>
      </c>
      <c r="W4797" s="86" t="str">
        <f>_xlfn.CONCAT(表格1[[#This Row],[欄4]],表格1[[#This Row],[inv no]])</f>
        <v>2810173</v>
      </c>
    </row>
    <row r="4798" spans="1:23" hidden="1">
      <c r="A4798" s="81">
        <v>4796</v>
      </c>
      <c r="B4798" s="86" t="s">
        <v>1477</v>
      </c>
      <c r="C4798" s="86" t="s">
        <v>2252</v>
      </c>
      <c r="D4798" s="89" t="str">
        <f ca="1">OFFSET(Roster!$A$3,MATCH(表格1[[#This Row],[Location]]&amp;" "&amp;表格1[[#This Row],[Shop]]&amp;"*",Roster!$A$4:$A$72,0),DAY(表格1[[#This Row],[date]]),1,1)</f>
        <v>Raymond</v>
      </c>
      <c r="E4798" s="86">
        <f>MONTH(表格1[[#This Row],[date]])</f>
        <v>3</v>
      </c>
      <c r="F4798" s="90">
        <v>46088</v>
      </c>
      <c r="G4798" s="86" t="str">
        <f>VLOOKUP("*"&amp;表格1[[#This Row],[Input]]&amp;"*",'Ref-List'!$B:$D,2,)</f>
        <v>MM2-EM20PC(WH)</v>
      </c>
      <c r="H4798" s="86" t="str">
        <f>_xlfn.XLOOKUP(表格1[[#This Row],[Model]],表格3[Model-Input-Ref2],表格3[Product Line])</f>
        <v>輕觸式微波爐 (20公升)</v>
      </c>
      <c r="I4798" s="86" t="str">
        <f>_xlfn.XLOOKUP(表格1[[#This Row],[Model]],表格3[Model-Input-Ref2],表格3[大小電])</f>
        <v>細電</v>
      </c>
      <c r="J4798" s="86" t="str">
        <f>_xlfn.XLOOKUP(表格1[[#This Row],[Model]],表格3[Model-Input-Ref2],表格3[Code])</f>
        <v>MCA</v>
      </c>
      <c r="K4798" s="89" t="s">
        <v>1276</v>
      </c>
      <c r="L4798" s="86">
        <v>1</v>
      </c>
      <c r="M4798" s="87">
        <v>638</v>
      </c>
      <c r="N4798" s="87">
        <f>IFERROR(表格1[[#This Row],[QTY]]*表格1[[#This Row],[Unit Price]],"-")</f>
        <v>638</v>
      </c>
      <c r="O4798" s="168">
        <v>2810181</v>
      </c>
      <c r="R4798" s="86" t="str">
        <f>_xlfn.CONCAT(表格1[[#This Row],[Model]]," ",表格1[[#This Row],[inv no]])</f>
        <v>MM2-EM20PC(WH) 2810181</v>
      </c>
      <c r="S4798" s="86">
        <f>_xlfn.XLOOKUP(表格1[[#This Row],[Model]],表格3[Model-Input-Ref2],表格3[SRP PRICE])</f>
        <v>788</v>
      </c>
      <c r="T4798" s="43">
        <f>表格1[[#This Row],[Unit Price]]/表格1[[#This Row],[SRP]]</f>
        <v>0.80964467005076146</v>
      </c>
      <c r="U4798" s="86" t="str">
        <f>_xlfn.XLOOKUP(表格1[[#This Row],[Model]],表格3[Model-Input-Ref2],表格3[TOSHIBA/HIGHEST])</f>
        <v>Toshiba SRP</v>
      </c>
      <c r="W4798" s="86" t="str">
        <f>_xlfn.CONCAT(表格1[[#This Row],[欄4]],表格1[[#This Row],[inv no]])</f>
        <v>2810181</v>
      </c>
    </row>
    <row r="4799" spans="1:23" hidden="1">
      <c r="A4799" s="81">
        <v>4797</v>
      </c>
      <c r="B4799" s="86" t="s">
        <v>1477</v>
      </c>
      <c r="C4799" s="86" t="s">
        <v>2252</v>
      </c>
      <c r="D4799" s="89" t="str">
        <f ca="1">OFFSET(Roster!$A$3,MATCH(表格1[[#This Row],[Location]]&amp;" "&amp;表格1[[#This Row],[Shop]]&amp;"*",Roster!$A$4:$A$72,0),DAY(表格1[[#This Row],[date]]),1,1)</f>
        <v>Raymond</v>
      </c>
      <c r="E4799" s="86">
        <f>MONTH(表格1[[#This Row],[date]])</f>
        <v>3</v>
      </c>
      <c r="F4799" s="90">
        <v>46088</v>
      </c>
      <c r="G4799" s="86" t="str">
        <f>VLOOKUP("*"&amp;表格1[[#This Row],[Input]]&amp;"*",'Ref-List'!$B:$D,2,)</f>
        <v>RAD-D300H</v>
      </c>
      <c r="H4799" s="86" t="str">
        <f>_xlfn.XLOOKUP(表格1[[#This Row],[Model]],表格3[Model-Input-Ref2],表格3[Product Line])</f>
        <v>壓縮式抽濕機 (30公升)</v>
      </c>
      <c r="I4799" s="86" t="str">
        <f>_xlfn.XLOOKUP(表格1[[#This Row],[Model]],表格3[Model-Input-Ref2],表格3[大小電])</f>
        <v>細電</v>
      </c>
      <c r="J4799" s="86" t="str">
        <f>_xlfn.XLOOKUP(表格1[[#This Row],[Model]],表格3[Model-Input-Ref2],表格3[Code])</f>
        <v>RAC</v>
      </c>
      <c r="K4799" s="89" t="s">
        <v>1252</v>
      </c>
      <c r="L4799" s="86">
        <v>1</v>
      </c>
      <c r="M4799" s="87">
        <v>2580</v>
      </c>
      <c r="N4799" s="87">
        <f>IFERROR(表格1[[#This Row],[QTY]]*表格1[[#This Row],[Unit Price]],"-")</f>
        <v>2580</v>
      </c>
      <c r="O4799" s="168">
        <v>2810233</v>
      </c>
      <c r="R4799" s="86" t="str">
        <f>_xlfn.CONCAT(表格1[[#This Row],[Model]]," ",表格1[[#This Row],[inv no]])</f>
        <v>RAD-D300H 2810233</v>
      </c>
      <c r="S4799" s="86">
        <f>_xlfn.XLOOKUP(表格1[[#This Row],[Model]],表格3[Model-Input-Ref2],表格3[SRP PRICE])</f>
        <v>3380</v>
      </c>
      <c r="T4799" s="43">
        <f>表格1[[#This Row],[Unit Price]]/表格1[[#This Row],[SRP]]</f>
        <v>0.76331360946745563</v>
      </c>
      <c r="U4799" s="86" t="str">
        <f>_xlfn.XLOOKUP(表格1[[#This Row],[Model]],表格3[Model-Input-Ref2],表格3[TOSHIBA/HIGHEST])</f>
        <v>Shops Highest Price</v>
      </c>
      <c r="W4799" s="86" t="str">
        <f>_xlfn.CONCAT(表格1[[#This Row],[欄4]],表格1[[#This Row],[inv no]])</f>
        <v>2810233</v>
      </c>
    </row>
    <row r="4800" spans="1:23" hidden="1">
      <c r="A4800" s="81">
        <v>4798</v>
      </c>
      <c r="B4800" s="86" t="s">
        <v>1477</v>
      </c>
      <c r="C4800" s="86" t="s">
        <v>2252</v>
      </c>
      <c r="D4800" s="89" t="str">
        <f ca="1">OFFSET(Roster!$A$3,MATCH(表格1[[#This Row],[Location]]&amp;" "&amp;表格1[[#This Row],[Shop]]&amp;"*",Roster!$A$4:$A$72,0),DAY(表格1[[#This Row],[date]]),1,1)</f>
        <v>Raymond</v>
      </c>
      <c r="E4800" s="86">
        <f>MONTH(表格1[[#This Row],[date]])</f>
        <v>3</v>
      </c>
      <c r="F4800" s="90">
        <v>46088</v>
      </c>
      <c r="G4800" s="86" t="str">
        <f>VLOOKUP("*"&amp;表格1[[#This Row],[Input]]&amp;"*",'Ref-List'!$B:$D,2,)</f>
        <v>ET-TD7080(PN)</v>
      </c>
      <c r="H4800" s="86" t="str">
        <f>_xlfn.XLOOKUP(表格1[[#This Row],[Model]],表格3[Model-Input-Ref2],表格3[Product Line])</f>
        <v>多士焗爐8L</v>
      </c>
      <c r="I4800" s="86" t="str">
        <f>_xlfn.XLOOKUP(表格1[[#This Row],[Model]],表格3[Model-Input-Ref2],表格3[大小電])</f>
        <v>細電</v>
      </c>
      <c r="J4800" s="86" t="str">
        <f>_xlfn.XLOOKUP(表格1[[#This Row],[Model]],表格3[Model-Input-Ref2],表格3[Code])</f>
        <v>SDA</v>
      </c>
      <c r="K4800" s="89">
        <v>7080</v>
      </c>
      <c r="L4800" s="86">
        <v>1</v>
      </c>
      <c r="M4800" s="87">
        <v>358</v>
      </c>
      <c r="N4800" s="87">
        <f>IFERROR(表格1[[#This Row],[QTY]]*表格1[[#This Row],[Unit Price]],"-")</f>
        <v>358</v>
      </c>
      <c r="O4800" s="168">
        <v>2810242</v>
      </c>
      <c r="R4800" s="86" t="str">
        <f>_xlfn.CONCAT(表格1[[#This Row],[Model]]," ",表格1[[#This Row],[inv no]])</f>
        <v>ET-TD7080(PN) 2810242</v>
      </c>
      <c r="S4800" s="86">
        <f>_xlfn.XLOOKUP(表格1[[#This Row],[Model]],表格3[Model-Input-Ref2],表格3[SRP PRICE])</f>
        <v>498</v>
      </c>
      <c r="T4800" s="43">
        <f>表格1[[#This Row],[Unit Price]]/表格1[[#This Row],[SRP]]</f>
        <v>0.71887550200803207</v>
      </c>
      <c r="U4800" s="86" t="str">
        <f>_xlfn.XLOOKUP(表格1[[#This Row],[Model]],表格3[Model-Input-Ref2],表格3[TOSHIBA/HIGHEST])</f>
        <v>Toshiba SRP</v>
      </c>
      <c r="W4800" s="86" t="str">
        <f>_xlfn.CONCAT(表格1[[#This Row],[欄4]],表格1[[#This Row],[inv no]])</f>
        <v>2810242</v>
      </c>
    </row>
    <row r="4801" spans="1:23" hidden="1">
      <c r="A4801" s="81">
        <v>4799</v>
      </c>
      <c r="B4801" s="86" t="s">
        <v>1477</v>
      </c>
      <c r="C4801" s="86" t="s">
        <v>2252</v>
      </c>
      <c r="D4801" s="89" t="str">
        <f ca="1">OFFSET(Roster!$A$3,MATCH(表格1[[#This Row],[Location]]&amp;" "&amp;表格1[[#This Row],[Shop]]&amp;"*",Roster!$A$4:$A$72,0),DAY(表格1[[#This Row],[date]]),1,1)</f>
        <v>Raymond</v>
      </c>
      <c r="E4801" s="86">
        <f>MONTH(表格1[[#This Row],[date]])</f>
        <v>3</v>
      </c>
      <c r="F4801" s="90">
        <v>46088</v>
      </c>
      <c r="G4801" s="86" t="str">
        <f>VLOOKUP("*"&amp;表格1[[#This Row],[Input]]&amp;"*",'Ref-List'!$B:$D,2,)</f>
        <v>MX2-TT20SC(WH)</v>
      </c>
      <c r="H4801" s="86" t="str">
        <f>_xlfn.XLOOKUP(表格1[[#This Row],[Model]],表格3[Model-Input-Ref2],表格3[Product Line])</f>
        <v>3合1 微波蒸焗爐 (20公升)</v>
      </c>
      <c r="I4801" s="86" t="str">
        <f>_xlfn.XLOOKUP(表格1[[#This Row],[Model]],表格3[Model-Input-Ref2],表格3[大小電])</f>
        <v>細電</v>
      </c>
      <c r="J4801" s="86" t="str">
        <f>_xlfn.XLOOKUP(表格1[[#This Row],[Model]],表格3[Model-Input-Ref2],表格3[Code])</f>
        <v>MCA</v>
      </c>
      <c r="K4801" s="89" t="s">
        <v>1287</v>
      </c>
      <c r="L4801" s="86">
        <v>1</v>
      </c>
      <c r="M4801" s="87">
        <v>2580</v>
      </c>
      <c r="N4801" s="87">
        <f>IFERROR(表格1[[#This Row],[QTY]]*表格1[[#This Row],[Unit Price]],"-")</f>
        <v>2580</v>
      </c>
      <c r="O4801" s="168">
        <v>2902433</v>
      </c>
      <c r="R4801" s="86" t="str">
        <f>_xlfn.CONCAT(表格1[[#This Row],[Model]]," ",表格1[[#This Row],[inv no]])</f>
        <v>MX2-TT20SC(WH) 2902433</v>
      </c>
      <c r="S4801" s="86">
        <f>_xlfn.XLOOKUP(表格1[[#This Row],[Model]],表格3[Model-Input-Ref2],表格3[SRP PRICE])</f>
        <v>3580</v>
      </c>
      <c r="T4801" s="43">
        <f>表格1[[#This Row],[Unit Price]]/表格1[[#This Row],[SRP]]</f>
        <v>0.72067039106145248</v>
      </c>
      <c r="U4801" s="86" t="str">
        <f>_xlfn.XLOOKUP(表格1[[#This Row],[Model]],表格3[Model-Input-Ref2],表格3[TOSHIBA/HIGHEST])</f>
        <v>Toshiba SRP</v>
      </c>
      <c r="W4801" s="86" t="str">
        <f>_xlfn.CONCAT(表格1[[#This Row],[欄4]],表格1[[#This Row],[inv no]])</f>
        <v>2902433</v>
      </c>
    </row>
    <row r="4802" spans="1:23" hidden="1">
      <c r="A4802" s="81">
        <v>4800</v>
      </c>
      <c r="B4802" s="86" t="s">
        <v>1477</v>
      </c>
      <c r="C4802" s="86" t="s">
        <v>2252</v>
      </c>
      <c r="D4802" s="89" t="str">
        <f ca="1">OFFSET(Roster!$A$3,MATCH(表格1[[#This Row],[Location]]&amp;" "&amp;表格1[[#This Row],[Shop]]&amp;"*",Roster!$A$4:$A$72,0),DAY(表格1[[#This Row],[date]]),1,1)</f>
        <v>Raymond</v>
      </c>
      <c r="E4802" s="86">
        <f>MONTH(表格1[[#This Row],[date]])</f>
        <v>3</v>
      </c>
      <c r="F4802" s="90">
        <v>46088</v>
      </c>
      <c r="G4802" s="86" t="str">
        <f>VLOOKUP("*"&amp;表格1[[#This Row],[Input]]&amp;"*",'Ref-List'!$B:$D,2,)</f>
        <v>KT-15DRTHK(W)</v>
      </c>
      <c r="H4802" s="86" t="str">
        <f>_xlfn.XLOOKUP(表格1[[#This Row],[Model]],表格3[Model-Input-Ref2],表格3[Product Line])</f>
        <v>無線雙層電熱水壺-附可鎖壺蓋</v>
      </c>
      <c r="I4802" s="86" t="str">
        <f>_xlfn.XLOOKUP(表格1[[#This Row],[Model]],表格3[Model-Input-Ref2],表格3[大小電])</f>
        <v>細電</v>
      </c>
      <c r="J4802" s="86" t="str">
        <f>_xlfn.XLOOKUP(表格1[[#This Row],[Model]],表格3[Model-Input-Ref2],表格3[Code])</f>
        <v>SDA</v>
      </c>
      <c r="K4802" s="89" t="s">
        <v>1278</v>
      </c>
      <c r="L4802" s="86">
        <v>1</v>
      </c>
      <c r="M4802" s="87">
        <v>358</v>
      </c>
      <c r="N4802" s="87">
        <f>IFERROR(表格1[[#This Row],[QTY]]*表格1[[#This Row],[Unit Price]],"-")</f>
        <v>358</v>
      </c>
      <c r="O4802" s="168">
        <v>2902437</v>
      </c>
      <c r="R4802" s="86" t="str">
        <f>_xlfn.CONCAT(表格1[[#This Row],[Model]]," ",表格1[[#This Row],[inv no]])</f>
        <v>KT-15DRTHK(W) 2902437</v>
      </c>
      <c r="S4802" s="86">
        <f>_xlfn.XLOOKUP(表格1[[#This Row],[Model]],表格3[Model-Input-Ref2],表格3[SRP PRICE])</f>
        <v>598</v>
      </c>
      <c r="T4802" s="43">
        <f>表格1[[#This Row],[Unit Price]]/表格1[[#This Row],[SRP]]</f>
        <v>0.59866220735785958</v>
      </c>
      <c r="U4802" s="86" t="str">
        <f>_xlfn.XLOOKUP(表格1[[#This Row],[Model]],表格3[Model-Input-Ref2],表格3[TOSHIBA/HIGHEST])</f>
        <v>Toshiba SRP</v>
      </c>
      <c r="W4802" s="86" t="str">
        <f>_xlfn.CONCAT(表格1[[#This Row],[欄4]],表格1[[#This Row],[inv no]])</f>
        <v>2902437</v>
      </c>
    </row>
    <row r="4803" spans="1:23" hidden="1">
      <c r="A4803" s="81">
        <v>4801</v>
      </c>
      <c r="B4803" s="86" t="s">
        <v>1477</v>
      </c>
      <c r="C4803" s="86" t="s">
        <v>2252</v>
      </c>
      <c r="D4803" s="89" t="str">
        <f ca="1">OFFSET(Roster!$A$3,MATCH(表格1[[#This Row],[Location]]&amp;" "&amp;表格1[[#This Row],[Shop]]&amp;"*",Roster!$A$4:$A$72,0),DAY(表格1[[#This Row],[date]]),1,1)</f>
        <v>Raymond</v>
      </c>
      <c r="E4803" s="86">
        <f>MONTH(表格1[[#This Row],[date]])</f>
        <v>3</v>
      </c>
      <c r="F4803" s="90">
        <v>46088</v>
      </c>
      <c r="G4803" s="86" t="str">
        <f>VLOOKUP("*"&amp;表格1[[#This Row],[Input]]&amp;"*",'Ref-List'!$B:$D,2,)</f>
        <v>KT-17DRTHK(H)</v>
      </c>
      <c r="H4803" s="86" t="str">
        <f>_xlfn.XLOOKUP(表格1[[#This Row],[Model]],表格3[Model-Input-Ref2],表格3[Product Line])</f>
        <v>無線雙層電熱水壺(1.7公升)</v>
      </c>
      <c r="I4803" s="86" t="str">
        <f>_xlfn.XLOOKUP(表格1[[#This Row],[Model]],表格3[Model-Input-Ref2],表格3[大小電])</f>
        <v>細電</v>
      </c>
      <c r="J4803" s="86" t="str">
        <f>_xlfn.XLOOKUP(表格1[[#This Row],[Model]],表格3[Model-Input-Ref2],表格3[Code])</f>
        <v>SDA</v>
      </c>
      <c r="K4803" s="89" t="s">
        <v>1271</v>
      </c>
      <c r="L4803" s="86">
        <v>1</v>
      </c>
      <c r="M4803" s="87">
        <v>388</v>
      </c>
      <c r="N4803" s="87">
        <f>IFERROR(表格1[[#This Row],[QTY]]*表格1[[#This Row],[Unit Price]],"-")</f>
        <v>388</v>
      </c>
      <c r="O4803" s="168">
        <v>2902444</v>
      </c>
      <c r="R4803" s="86" t="str">
        <f>_xlfn.CONCAT(表格1[[#This Row],[Model]]," ",表格1[[#This Row],[inv no]])</f>
        <v>KT-17DRTHK(H) 2902444</v>
      </c>
      <c r="S4803" s="86">
        <f>_xlfn.XLOOKUP(表格1[[#This Row],[Model]],表格3[Model-Input-Ref2],表格3[SRP PRICE])</f>
        <v>498</v>
      </c>
      <c r="T4803" s="43">
        <f>表格1[[#This Row],[Unit Price]]/表格1[[#This Row],[SRP]]</f>
        <v>0.77911646586345384</v>
      </c>
      <c r="U4803" s="86" t="str">
        <f>_xlfn.XLOOKUP(表格1[[#This Row],[Model]],表格3[Model-Input-Ref2],表格3[TOSHIBA/HIGHEST])</f>
        <v>Toshiba SRP</v>
      </c>
      <c r="W4803" s="86" t="str">
        <f>_xlfn.CONCAT(表格1[[#This Row],[欄4]],表格1[[#This Row],[inv no]])</f>
        <v>2902444</v>
      </c>
    </row>
    <row r="4804" spans="1:23" hidden="1">
      <c r="A4804" s="81">
        <v>4802</v>
      </c>
      <c r="B4804" s="86" t="s">
        <v>1477</v>
      </c>
      <c r="C4804" s="86" t="s">
        <v>2252</v>
      </c>
      <c r="D4804" s="89" t="str">
        <f ca="1">OFFSET(Roster!$A$3,MATCH(表格1[[#This Row],[Location]]&amp;" "&amp;表格1[[#This Row],[Shop]]&amp;"*",Roster!$A$4:$A$72,0),DAY(表格1[[#This Row],[date]]),1,1)</f>
        <v>Raymond off</v>
      </c>
      <c r="E4804" s="86">
        <f>MONTH(表格1[[#This Row],[date]])</f>
        <v>3</v>
      </c>
      <c r="F4804" s="90">
        <v>46089</v>
      </c>
      <c r="G4804" s="86" t="str">
        <f>VLOOKUP("*"&amp;表格1[[#This Row],[Input]]&amp;"*",'Ref-List'!$B:$D,2,)</f>
        <v>KT-17SHNH</v>
      </c>
      <c r="H4804" s="86" t="str">
        <f>_xlfn.XLOOKUP(表格1[[#This Row],[Model]],表格3[Model-Input-Ref2],表格3[Product Line])</f>
        <v>1.7L無線雙層電熱水壺</v>
      </c>
      <c r="I4804" s="86" t="str">
        <f>_xlfn.XLOOKUP(表格1[[#This Row],[Model]],表格3[Model-Input-Ref2],表格3[大小電])</f>
        <v>細電</v>
      </c>
      <c r="J4804" s="86" t="str">
        <f>_xlfn.XLOOKUP(表格1[[#This Row],[Model]],表格3[Model-Input-Ref2],表格3[Code])</f>
        <v>SDA</v>
      </c>
      <c r="K4804" s="89" t="s">
        <v>1283</v>
      </c>
      <c r="L4804" s="86">
        <v>1</v>
      </c>
      <c r="M4804" s="87">
        <v>228</v>
      </c>
      <c r="N4804" s="87">
        <f>IFERROR(表格1[[#This Row],[QTY]]*表格1[[#This Row],[Unit Price]],"-")</f>
        <v>228</v>
      </c>
      <c r="O4804" s="168">
        <v>2810401</v>
      </c>
      <c r="R4804" s="86" t="str">
        <f>_xlfn.CONCAT(表格1[[#This Row],[Model]]," ",表格1[[#This Row],[inv no]])</f>
        <v>KT-17SHNH 2810401</v>
      </c>
      <c r="S4804" s="86">
        <f>_xlfn.XLOOKUP(表格1[[#This Row],[Model]],表格3[Model-Input-Ref2],表格3[SRP PRICE])</f>
        <v>299</v>
      </c>
      <c r="T4804" s="43">
        <f>表格1[[#This Row],[Unit Price]]/表格1[[#This Row],[SRP]]</f>
        <v>0.76254180602006694</v>
      </c>
      <c r="U4804" s="86" t="str">
        <f>_xlfn.XLOOKUP(表格1[[#This Row],[Model]],表格3[Model-Input-Ref2],表格3[TOSHIBA/HIGHEST])</f>
        <v>Shops Highest Price</v>
      </c>
      <c r="W4804" s="86" t="str">
        <f>_xlfn.CONCAT(表格1[[#This Row],[欄4]],表格1[[#This Row],[inv no]])</f>
        <v>2810401</v>
      </c>
    </row>
    <row r="4805" spans="1:23" hidden="1">
      <c r="A4805" s="81">
        <v>4803</v>
      </c>
      <c r="B4805" s="86" t="s">
        <v>1477</v>
      </c>
      <c r="C4805" s="86" t="s">
        <v>2252</v>
      </c>
      <c r="D4805" s="89" t="str">
        <f ca="1">OFFSET(Roster!$A$3,MATCH(表格1[[#This Row],[Location]]&amp;" "&amp;表格1[[#This Row],[Shop]]&amp;"*",Roster!$A$4:$A$72,0),DAY(表格1[[#This Row],[date]]),1,1)</f>
        <v>Raymond off</v>
      </c>
      <c r="E4805" s="86">
        <f>MONTH(表格1[[#This Row],[date]])</f>
        <v>3</v>
      </c>
      <c r="F4805" s="90">
        <v>46089</v>
      </c>
      <c r="G4805" s="86" t="str">
        <f>VLOOKUP("*"&amp;表格1[[#This Row],[Input]]&amp;"*",'Ref-List'!$B:$D,2,)</f>
        <v>RC-10IRPH</v>
      </c>
      <c r="H4805" s="86" t="str">
        <f>_xlfn.XLOOKUP(表格1[[#This Row],[Model]],表格3[Model-Input-Ref2],表格3[Product Line])</f>
        <v>低醣磁應電飯煲1L</v>
      </c>
      <c r="I4805" s="86" t="str">
        <f>_xlfn.XLOOKUP(表格1[[#This Row],[Model]],表格3[Model-Input-Ref2],表格3[大小電])</f>
        <v>細電</v>
      </c>
      <c r="J4805" s="86" t="str">
        <f>_xlfn.XLOOKUP(表格1[[#This Row],[Model]],表格3[Model-Input-Ref2],表格3[Code])</f>
        <v>SDA</v>
      </c>
      <c r="K4805" s="89" t="s">
        <v>1297</v>
      </c>
      <c r="L4805" s="86">
        <v>1</v>
      </c>
      <c r="M4805" s="87">
        <v>950</v>
      </c>
      <c r="N4805" s="87">
        <f>IFERROR(表格1[[#This Row],[QTY]]*表格1[[#This Row],[Unit Price]],"-")</f>
        <v>950</v>
      </c>
      <c r="O4805" s="168">
        <v>820294</v>
      </c>
      <c r="R4805" s="86" t="str">
        <f>_xlfn.CONCAT(表格1[[#This Row],[Model]]," ",表格1[[#This Row],[inv no]])</f>
        <v>RC-10IRPH 820294</v>
      </c>
      <c r="S4805" s="86">
        <f>_xlfn.XLOOKUP(表格1[[#This Row],[Model]],表格3[Model-Input-Ref2],表格3[SRP PRICE])</f>
        <v>1388</v>
      </c>
      <c r="T4805" s="43">
        <f>表格1[[#This Row],[Unit Price]]/表格1[[#This Row],[SRP]]</f>
        <v>0.68443804034582134</v>
      </c>
      <c r="U4805" s="86" t="str">
        <f>_xlfn.XLOOKUP(表格1[[#This Row],[Model]],表格3[Model-Input-Ref2],表格3[TOSHIBA/HIGHEST])</f>
        <v>Toshiba SRP</v>
      </c>
      <c r="W4805" s="86" t="str">
        <f>_xlfn.CONCAT(表格1[[#This Row],[欄4]],表格1[[#This Row],[inv no]])</f>
        <v>820294</v>
      </c>
    </row>
    <row r="4806" spans="1:23" hidden="1">
      <c r="A4806" s="81">
        <v>4804</v>
      </c>
      <c r="B4806" s="86" t="s">
        <v>1477</v>
      </c>
      <c r="C4806" s="86" t="s">
        <v>2252</v>
      </c>
      <c r="D4806" s="89" t="str">
        <f ca="1">OFFSET(Roster!$A$3,MATCH(表格1[[#This Row],[Location]]&amp;" "&amp;表格1[[#This Row],[Shop]]&amp;"*",Roster!$A$4:$A$72,0),DAY(表格1[[#This Row],[date]]),1,1)</f>
        <v>Raymond off</v>
      </c>
      <c r="E4806" s="86">
        <f>MONTH(表格1[[#This Row],[date]])</f>
        <v>3</v>
      </c>
      <c r="F4806" s="90">
        <v>46089</v>
      </c>
      <c r="G4806" s="86" t="str">
        <f>VLOOKUP("*"&amp;表格1[[#This Row],[Input]]&amp;"*",'Ref-List'!$B:$D,2,)</f>
        <v>RC-18NMFIH(WT)</v>
      </c>
      <c r="H4806" s="86" t="str">
        <f>_xlfn.XLOOKUP(表格1[[#This Row],[Model]],表格3[Model-Input-Ref2],表格3[Product Line])</f>
        <v>4毫米厚釜電飯煲1.8L</v>
      </c>
      <c r="I4806" s="86" t="str">
        <f>_xlfn.XLOOKUP(表格1[[#This Row],[Model]],表格3[Model-Input-Ref2],表格3[大小電])</f>
        <v>細電</v>
      </c>
      <c r="J4806" s="86" t="str">
        <f>_xlfn.XLOOKUP(表格1[[#This Row],[Model]],表格3[Model-Input-Ref2],表格3[Code])</f>
        <v>SDA</v>
      </c>
      <c r="K4806" s="89" t="s">
        <v>1267</v>
      </c>
      <c r="L4806" s="86">
        <v>1</v>
      </c>
      <c r="M4806" s="87">
        <v>799</v>
      </c>
      <c r="N4806" s="87">
        <f>IFERROR(表格1[[#This Row],[QTY]]*表格1[[#This Row],[Unit Price]],"-")</f>
        <v>799</v>
      </c>
      <c r="O4806" s="168">
        <v>2902483</v>
      </c>
      <c r="R4806" s="86" t="str">
        <f>_xlfn.CONCAT(表格1[[#This Row],[Model]]," ",表格1[[#This Row],[inv no]])</f>
        <v>RC-18NMFIH(WT) 2902483</v>
      </c>
      <c r="S4806" s="86">
        <f>_xlfn.XLOOKUP(表格1[[#This Row],[Model]],表格3[Model-Input-Ref2],表格3[SRP PRICE])</f>
        <v>998</v>
      </c>
      <c r="T4806" s="43">
        <f>表格1[[#This Row],[Unit Price]]/表格1[[#This Row],[SRP]]</f>
        <v>0.80060120240480959</v>
      </c>
      <c r="U4806" s="86" t="str">
        <f>_xlfn.XLOOKUP(表格1[[#This Row],[Model]],表格3[Model-Input-Ref2],表格3[TOSHIBA/HIGHEST])</f>
        <v>Toshiba SRP</v>
      </c>
      <c r="W4806" s="86" t="str">
        <f>_xlfn.CONCAT(表格1[[#This Row],[欄4]],表格1[[#This Row],[inv no]])</f>
        <v>2902483</v>
      </c>
    </row>
    <row r="4807" spans="1:23" hidden="1">
      <c r="A4807" s="81">
        <v>4805</v>
      </c>
      <c r="B4807" s="86" t="s">
        <v>1477</v>
      </c>
      <c r="C4807" s="86" t="s">
        <v>2252</v>
      </c>
      <c r="D4807" s="89" t="str">
        <f ca="1">OFFSET(Roster!$A$3,MATCH(表格1[[#This Row],[Location]]&amp;" "&amp;表格1[[#This Row],[Shop]]&amp;"*",Roster!$A$4:$A$72,0),DAY(表格1[[#This Row],[date]]),1,1)</f>
        <v>Raymond off</v>
      </c>
      <c r="E4807" s="86">
        <f>MONTH(表格1[[#This Row],[date]])</f>
        <v>3</v>
      </c>
      <c r="F4807" s="90">
        <v>46089</v>
      </c>
      <c r="G4807" s="86" t="str">
        <f>VLOOKUP("*"&amp;表格1[[#This Row],[Input]]&amp;"*",'Ref-List'!$B:$D,2,)</f>
        <v>RC-10NMFIH(WT)</v>
      </c>
      <c r="H4807" s="86" t="str">
        <f>_xlfn.XLOOKUP(表格1[[#This Row],[Model]],表格3[Model-Input-Ref2],表格3[Product Line])</f>
        <v>4毫米厚釜電飯煲1L</v>
      </c>
      <c r="I4807" s="86" t="str">
        <f>_xlfn.XLOOKUP(表格1[[#This Row],[Model]],表格3[Model-Input-Ref2],表格3[大小電])</f>
        <v>細電</v>
      </c>
      <c r="J4807" s="86" t="str">
        <f>_xlfn.XLOOKUP(表格1[[#This Row],[Model]],表格3[Model-Input-Ref2],表格3[Code])</f>
        <v>SDA</v>
      </c>
      <c r="K4807" s="89" t="s">
        <v>1244</v>
      </c>
      <c r="L4807" s="86">
        <v>1</v>
      </c>
      <c r="M4807" s="87">
        <v>719</v>
      </c>
      <c r="N4807" s="87">
        <f>IFERROR(表格1[[#This Row],[QTY]]*表格1[[#This Row],[Unit Price]],"-")</f>
        <v>719</v>
      </c>
      <c r="O4807" s="168">
        <v>2706517</v>
      </c>
      <c r="R4807" s="86" t="str">
        <f>_xlfn.CONCAT(表格1[[#This Row],[Model]]," ",表格1[[#This Row],[inv no]])</f>
        <v>RC-10NMFIH(WT) 2706517</v>
      </c>
      <c r="S4807" s="86">
        <f>_xlfn.XLOOKUP(表格1[[#This Row],[Model]],表格3[Model-Input-Ref2],表格3[SRP PRICE])</f>
        <v>898</v>
      </c>
      <c r="T4807" s="43">
        <f>表格1[[#This Row],[Unit Price]]/表格1[[#This Row],[SRP]]</f>
        <v>0.80066815144766146</v>
      </c>
      <c r="U4807" s="86" t="str">
        <f>_xlfn.XLOOKUP(表格1[[#This Row],[Model]],表格3[Model-Input-Ref2],表格3[TOSHIBA/HIGHEST])</f>
        <v>Toshiba SRP</v>
      </c>
      <c r="W4807" s="86" t="str">
        <f>_xlfn.CONCAT(表格1[[#This Row],[欄4]],表格1[[#This Row],[inv no]])</f>
        <v>2706517</v>
      </c>
    </row>
    <row r="4808" spans="1:23" hidden="1">
      <c r="A4808" s="81">
        <v>4806</v>
      </c>
      <c r="B4808" s="86" t="s">
        <v>1477</v>
      </c>
      <c r="C4808" s="86" t="s">
        <v>2252</v>
      </c>
      <c r="D4808" s="89" t="str">
        <f ca="1">OFFSET(Roster!$A$3,MATCH(表格1[[#This Row],[Location]]&amp;" "&amp;表格1[[#This Row],[Shop]]&amp;"*",Roster!$A$4:$A$72,0),DAY(表格1[[#This Row],[date]]),1,1)</f>
        <v>Raymond</v>
      </c>
      <c r="E4808" s="86">
        <f>MONTH(表格1[[#This Row],[date]])</f>
        <v>3</v>
      </c>
      <c r="F4808" s="90">
        <v>46090</v>
      </c>
      <c r="G4808" s="86" t="str">
        <f>VLOOKUP("*"&amp;表格1[[#This Row],[Input]]&amp;"*",'Ref-List'!$B:$D,2,)</f>
        <v>MM2-EM20PC(WH)</v>
      </c>
      <c r="H4808" s="86" t="str">
        <f>_xlfn.XLOOKUP(表格1[[#This Row],[Model]],表格3[Model-Input-Ref2],表格3[Product Line])</f>
        <v>輕觸式微波爐 (20公升)</v>
      </c>
      <c r="I4808" s="86" t="str">
        <f>_xlfn.XLOOKUP(表格1[[#This Row],[Model]],表格3[Model-Input-Ref2],表格3[大小電])</f>
        <v>細電</v>
      </c>
      <c r="J4808" s="86" t="str">
        <f>_xlfn.XLOOKUP(表格1[[#This Row],[Model]],表格3[Model-Input-Ref2],表格3[Code])</f>
        <v>MCA</v>
      </c>
      <c r="K4808" s="89" t="s">
        <v>1276</v>
      </c>
      <c r="L4808" s="86">
        <v>1</v>
      </c>
      <c r="M4808" s="87">
        <v>638</v>
      </c>
      <c r="N4808" s="87">
        <f>IFERROR(表格1[[#This Row],[QTY]]*表格1[[#This Row],[Unit Price]],"-")</f>
        <v>638</v>
      </c>
      <c r="O4808" s="168">
        <v>2810503</v>
      </c>
      <c r="R4808" s="86" t="str">
        <f>_xlfn.CONCAT(表格1[[#This Row],[Model]]," ",表格1[[#This Row],[inv no]])</f>
        <v>MM2-EM20PC(WH) 2810503</v>
      </c>
      <c r="S4808" s="86">
        <f>_xlfn.XLOOKUP(表格1[[#This Row],[Model]],表格3[Model-Input-Ref2],表格3[SRP PRICE])</f>
        <v>788</v>
      </c>
      <c r="T4808" s="43">
        <f>表格1[[#This Row],[Unit Price]]/表格1[[#This Row],[SRP]]</f>
        <v>0.80964467005076146</v>
      </c>
      <c r="U4808" s="86" t="str">
        <f>_xlfn.XLOOKUP(表格1[[#This Row],[Model]],表格3[Model-Input-Ref2],表格3[TOSHIBA/HIGHEST])</f>
        <v>Toshiba SRP</v>
      </c>
      <c r="W4808" s="86" t="str">
        <f>_xlfn.CONCAT(表格1[[#This Row],[欄4]],表格1[[#This Row],[inv no]])</f>
        <v>2810503</v>
      </c>
    </row>
    <row r="4809" spans="1:23" hidden="1">
      <c r="A4809" s="81">
        <v>4807</v>
      </c>
      <c r="B4809" s="86" t="s">
        <v>1477</v>
      </c>
      <c r="C4809" s="86" t="s">
        <v>2252</v>
      </c>
      <c r="D4809" s="89" t="str">
        <f ca="1">OFFSET(Roster!$A$3,MATCH(表格1[[#This Row],[Location]]&amp;" "&amp;表格1[[#This Row],[Shop]]&amp;"*",Roster!$A$4:$A$72,0),DAY(表格1[[#This Row],[date]]),1,1)</f>
        <v>Raymond</v>
      </c>
      <c r="E4809" s="86">
        <f>MONTH(表格1[[#This Row],[date]])</f>
        <v>3</v>
      </c>
      <c r="F4809" s="90">
        <v>46090</v>
      </c>
      <c r="G4809" s="86" t="str">
        <f>VLOOKUP("*"&amp;表格1[[#This Row],[Input]]&amp;"*",'Ref-List'!$B:$D,2,)</f>
        <v>RAD-D300H</v>
      </c>
      <c r="H4809" s="86" t="str">
        <f>_xlfn.XLOOKUP(表格1[[#This Row],[Model]],表格3[Model-Input-Ref2],表格3[Product Line])</f>
        <v>壓縮式抽濕機 (30公升)</v>
      </c>
      <c r="I4809" s="86" t="str">
        <f>_xlfn.XLOOKUP(表格1[[#This Row],[Model]],表格3[Model-Input-Ref2],表格3[大小電])</f>
        <v>細電</v>
      </c>
      <c r="J4809" s="86" t="str">
        <f>_xlfn.XLOOKUP(表格1[[#This Row],[Model]],表格3[Model-Input-Ref2],表格3[Code])</f>
        <v>RAC</v>
      </c>
      <c r="K4809" s="89" t="s">
        <v>1252</v>
      </c>
      <c r="L4809" s="86">
        <v>1</v>
      </c>
      <c r="M4809" s="87">
        <v>2580</v>
      </c>
      <c r="N4809" s="87">
        <f>IFERROR(表格1[[#This Row],[QTY]]*表格1[[#This Row],[Unit Price]],"-")</f>
        <v>2580</v>
      </c>
      <c r="O4809" s="168">
        <v>2706588</v>
      </c>
      <c r="R4809" s="86" t="str">
        <f>_xlfn.CONCAT(表格1[[#This Row],[Model]]," ",表格1[[#This Row],[inv no]])</f>
        <v>RAD-D300H 2706588</v>
      </c>
      <c r="S4809" s="86">
        <f>_xlfn.XLOOKUP(表格1[[#This Row],[Model]],表格3[Model-Input-Ref2],表格3[SRP PRICE])</f>
        <v>3380</v>
      </c>
      <c r="T4809" s="43">
        <f>表格1[[#This Row],[Unit Price]]/表格1[[#This Row],[SRP]]</f>
        <v>0.76331360946745563</v>
      </c>
      <c r="U4809" s="86" t="str">
        <f>_xlfn.XLOOKUP(表格1[[#This Row],[Model]],表格3[Model-Input-Ref2],表格3[TOSHIBA/HIGHEST])</f>
        <v>Shops Highest Price</v>
      </c>
      <c r="W4809" s="86" t="str">
        <f>_xlfn.CONCAT(表格1[[#This Row],[欄4]],表格1[[#This Row],[inv no]])</f>
        <v>2706588</v>
      </c>
    </row>
    <row r="4810" spans="1:23" hidden="1">
      <c r="A4810" s="81">
        <v>4808</v>
      </c>
      <c r="B4810" s="86" t="s">
        <v>1477</v>
      </c>
      <c r="C4810" s="86" t="s">
        <v>2252</v>
      </c>
      <c r="D4810" s="89" t="str">
        <f ca="1">OFFSET(Roster!$A$3,MATCH(表格1[[#This Row],[Location]]&amp;" "&amp;表格1[[#This Row],[Shop]]&amp;"*",Roster!$A$4:$A$72,0),DAY(表格1[[#This Row],[date]]),1,1)</f>
        <v>Raymond</v>
      </c>
      <c r="E4810" s="86">
        <f>MONTH(表格1[[#This Row],[date]])</f>
        <v>3</v>
      </c>
      <c r="F4810" s="90">
        <v>46090</v>
      </c>
      <c r="G4810" s="86" t="str">
        <f>VLOOKUP("*"&amp;表格1[[#This Row],[Input]]&amp;"*",'Ref-List'!$B:$D,2,)</f>
        <v>GR-RM598WE-PGA(B3)</v>
      </c>
      <c r="H4810" s="86" t="str">
        <f>_xlfn.XLOOKUP(表格1[[#This Row],[Model]],表格3[Model-Input-Ref2],表格3[Product Line])</f>
        <v>變頻六門雪櫃(451L)</v>
      </c>
      <c r="I4810" s="86" t="str">
        <f>_xlfn.XLOOKUP(表格1[[#This Row],[Model]],表格3[Model-Input-Ref2],表格3[大小電])</f>
        <v>大電</v>
      </c>
      <c r="J4810" s="86" t="str">
        <f>_xlfn.XLOOKUP(表格1[[#This Row],[Model]],表格3[Model-Input-Ref2],表格3[Code])</f>
        <v>REF</v>
      </c>
      <c r="K4810" s="89" t="s">
        <v>1491</v>
      </c>
      <c r="L4810" s="86">
        <v>1</v>
      </c>
      <c r="M4810" s="87">
        <v>10990</v>
      </c>
      <c r="N4810" s="87">
        <f>IFERROR(表格1[[#This Row],[QTY]]*表格1[[#This Row],[Unit Price]],"-")</f>
        <v>10990</v>
      </c>
      <c r="O4810" s="168">
        <v>2902498</v>
      </c>
      <c r="R4810" s="86" t="str">
        <f>_xlfn.CONCAT(表格1[[#This Row],[Model]]," ",表格1[[#This Row],[inv no]])</f>
        <v>GR-RM598WE-PGA(B3) 2902498</v>
      </c>
      <c r="S4810" s="86">
        <f>_xlfn.XLOOKUP(表格1[[#This Row],[Model]],表格3[Model-Input-Ref2],表格3[SRP PRICE])</f>
        <v>14980</v>
      </c>
      <c r="T4810" s="43">
        <f>表格1[[#This Row],[Unit Price]]/表格1[[#This Row],[SRP]]</f>
        <v>0.73364485981308414</v>
      </c>
      <c r="U4810" s="86" t="str">
        <f>_xlfn.XLOOKUP(表格1[[#This Row],[Model]],表格3[Model-Input-Ref2],表格3[TOSHIBA/HIGHEST])</f>
        <v>Toshiba SRP</v>
      </c>
      <c r="W4810" s="86" t="str">
        <f>_xlfn.CONCAT(表格1[[#This Row],[欄4]],表格1[[#This Row],[inv no]])</f>
        <v>2902498</v>
      </c>
    </row>
    <row r="4811" spans="1:23" hidden="1">
      <c r="A4811" s="81">
        <v>4809</v>
      </c>
      <c r="B4811" s="86" t="s">
        <v>1477</v>
      </c>
      <c r="C4811" s="86" t="s">
        <v>2252</v>
      </c>
      <c r="D4811" s="89" t="str">
        <f ca="1">OFFSET(Roster!$A$3,MATCH(表格1[[#This Row],[Location]]&amp;" "&amp;表格1[[#This Row],[Shop]]&amp;"*",Roster!$A$4:$A$72,0),DAY(表格1[[#This Row],[date]]),1,1)</f>
        <v>Raymond</v>
      </c>
      <c r="E4811" s="86">
        <f>MONTH(表格1[[#This Row],[date]])</f>
        <v>3</v>
      </c>
      <c r="F4811" s="90">
        <v>46090</v>
      </c>
      <c r="G4811" s="86" t="str">
        <f>VLOOKUP("*"&amp;表格1[[#This Row],[Input]]&amp;"*",'Ref-List'!$B:$D,2,)</f>
        <v>ET-TD7080(PN)</v>
      </c>
      <c r="H4811" s="86" t="str">
        <f>_xlfn.XLOOKUP(表格1[[#This Row],[Model]],表格3[Model-Input-Ref2],表格3[Product Line])</f>
        <v>多士焗爐8L</v>
      </c>
      <c r="I4811" s="86" t="str">
        <f>_xlfn.XLOOKUP(表格1[[#This Row],[Model]],表格3[Model-Input-Ref2],表格3[大小電])</f>
        <v>細電</v>
      </c>
      <c r="J4811" s="86" t="str">
        <f>_xlfn.XLOOKUP(表格1[[#This Row],[Model]],表格3[Model-Input-Ref2],表格3[Code])</f>
        <v>SDA</v>
      </c>
      <c r="K4811" s="89">
        <v>7080</v>
      </c>
      <c r="L4811" s="86">
        <v>1</v>
      </c>
      <c r="M4811" s="87">
        <v>358</v>
      </c>
      <c r="N4811" s="87">
        <f>IFERROR(表格1[[#This Row],[QTY]]*表格1[[#This Row],[Unit Price]],"-")</f>
        <v>358</v>
      </c>
      <c r="O4811" s="86">
        <v>2902517</v>
      </c>
      <c r="R4811" s="86" t="str">
        <f>_xlfn.CONCAT(表格1[[#This Row],[Model]]," ",表格1[[#This Row],[inv no]])</f>
        <v>ET-TD7080(PN) 2902517</v>
      </c>
      <c r="S4811" s="86">
        <f>_xlfn.XLOOKUP(表格1[[#This Row],[Model]],表格3[Model-Input-Ref2],表格3[SRP PRICE])</f>
        <v>498</v>
      </c>
      <c r="T4811" s="43">
        <f>表格1[[#This Row],[Unit Price]]/表格1[[#This Row],[SRP]]</f>
        <v>0.71887550200803207</v>
      </c>
      <c r="U4811" s="86" t="str">
        <f>_xlfn.XLOOKUP(表格1[[#This Row],[Model]],表格3[Model-Input-Ref2],表格3[TOSHIBA/HIGHEST])</f>
        <v>Toshiba SRP</v>
      </c>
      <c r="W4811" s="86" t="str">
        <f>_xlfn.CONCAT(表格1[[#This Row],[欄4]],表格1[[#This Row],[inv no]])</f>
        <v>2902517</v>
      </c>
    </row>
    <row r="4812" spans="1:23" hidden="1">
      <c r="A4812" s="81">
        <v>4810</v>
      </c>
      <c r="B4812" s="86" t="s">
        <v>1477</v>
      </c>
      <c r="C4812" s="86" t="s">
        <v>2252</v>
      </c>
      <c r="D4812" s="89" t="str">
        <f ca="1">OFFSET(Roster!$A$3,MATCH(表格1[[#This Row],[Location]]&amp;" "&amp;表格1[[#This Row],[Shop]]&amp;"*",Roster!$A$4:$A$72,0),DAY(表格1[[#This Row],[date]]),1,1)</f>
        <v>Raymond</v>
      </c>
      <c r="E4812" s="86">
        <f>MONTH(表格1[[#This Row],[date]])</f>
        <v>3</v>
      </c>
      <c r="F4812" s="90">
        <v>46090</v>
      </c>
      <c r="G4812" s="86" t="str">
        <f>VLOOKUP("*"&amp;表格1[[#This Row],[Input]]&amp;"*",'Ref-List'!$B:$D,2,)</f>
        <v>RC-10NMFIH(WT)</v>
      </c>
      <c r="H4812" s="86" t="str">
        <f>_xlfn.XLOOKUP(表格1[[#This Row],[Model]],表格3[Model-Input-Ref2],表格3[Product Line])</f>
        <v>4毫米厚釜電飯煲1L</v>
      </c>
      <c r="I4812" s="86" t="str">
        <f>_xlfn.XLOOKUP(表格1[[#This Row],[Model]],表格3[Model-Input-Ref2],表格3[大小電])</f>
        <v>細電</v>
      </c>
      <c r="J4812" s="86" t="str">
        <f>_xlfn.XLOOKUP(表格1[[#This Row],[Model]],表格3[Model-Input-Ref2],表格3[Code])</f>
        <v>SDA</v>
      </c>
      <c r="K4812" s="89" t="s">
        <v>1244</v>
      </c>
      <c r="L4812" s="86">
        <v>1</v>
      </c>
      <c r="M4812" s="87">
        <v>719</v>
      </c>
      <c r="N4812" s="87">
        <f>IFERROR(表格1[[#This Row],[QTY]]*表格1[[#This Row],[Unit Price]],"-")</f>
        <v>719</v>
      </c>
      <c r="O4812" s="168">
        <v>2902531</v>
      </c>
      <c r="R4812" s="86" t="str">
        <f>_xlfn.CONCAT(表格1[[#This Row],[Model]]," ",表格1[[#This Row],[inv no]])</f>
        <v>RC-10NMFIH(WT) 2902531</v>
      </c>
      <c r="S4812" s="86">
        <f>_xlfn.XLOOKUP(表格1[[#This Row],[Model]],表格3[Model-Input-Ref2],表格3[SRP PRICE])</f>
        <v>898</v>
      </c>
      <c r="T4812" s="43">
        <f>表格1[[#This Row],[Unit Price]]/表格1[[#This Row],[SRP]]</f>
        <v>0.80066815144766146</v>
      </c>
      <c r="U4812" s="86" t="str">
        <f>_xlfn.XLOOKUP(表格1[[#This Row],[Model]],表格3[Model-Input-Ref2],表格3[TOSHIBA/HIGHEST])</f>
        <v>Toshiba SRP</v>
      </c>
      <c r="W4812" s="86" t="str">
        <f>_xlfn.CONCAT(表格1[[#This Row],[欄4]],表格1[[#This Row],[inv no]])</f>
        <v>2902531</v>
      </c>
    </row>
    <row r="4813" spans="1:23" hidden="1">
      <c r="A4813" s="81">
        <v>4811</v>
      </c>
      <c r="B4813" s="86" t="s">
        <v>1477</v>
      </c>
      <c r="C4813" s="86" t="s">
        <v>2252</v>
      </c>
      <c r="D4813" s="89" t="str">
        <f ca="1">OFFSET(Roster!$A$3,MATCH(表格1[[#This Row],[Location]]&amp;" "&amp;表格1[[#This Row],[Shop]]&amp;"*",Roster!$A$4:$A$72,0),DAY(表格1[[#This Row],[date]]),1,1)</f>
        <v>Raymond</v>
      </c>
      <c r="E4813" s="86">
        <f>MONTH(表格1[[#This Row],[date]])</f>
        <v>3</v>
      </c>
      <c r="F4813" s="90">
        <v>46090</v>
      </c>
      <c r="G4813" s="86" t="str">
        <f>VLOOKUP("*"&amp;表格1[[#This Row],[Input]]&amp;"*",'Ref-List'!$B:$D,2,)</f>
        <v>MWP-MM20P(WH)</v>
      </c>
      <c r="H4813" s="86" t="str">
        <f>_xlfn.XLOOKUP(表格1[[#This Row],[Model]],表格3[Model-Input-Ref2],表格3[Product Line])</f>
        <v>旋鈕式燒烤微波爐20L</v>
      </c>
      <c r="I4813" s="86" t="str">
        <f>_xlfn.XLOOKUP(表格1[[#This Row],[Model]],表格3[Model-Input-Ref2],表格3[大小電])</f>
        <v>細電</v>
      </c>
      <c r="J4813" s="86" t="str">
        <f>_xlfn.XLOOKUP(表格1[[#This Row],[Model]],表格3[Model-Input-Ref2],表格3[Code])</f>
        <v>SDA</v>
      </c>
      <c r="K4813" s="89" t="s">
        <v>1270</v>
      </c>
      <c r="L4813" s="86">
        <v>1</v>
      </c>
      <c r="M4813" s="87">
        <v>519</v>
      </c>
      <c r="N4813" s="87">
        <f>IFERROR(表格1[[#This Row],[QTY]]*表格1[[#This Row],[Unit Price]],"-")</f>
        <v>519</v>
      </c>
      <c r="O4813" s="168">
        <v>2902541</v>
      </c>
      <c r="R4813" s="86" t="str">
        <f>_xlfn.CONCAT(表格1[[#This Row],[Model]]," ",表格1[[#This Row],[inv no]])</f>
        <v>MWP-MM20P(WH) 2902541</v>
      </c>
      <c r="S4813" s="86">
        <f>_xlfn.XLOOKUP(表格1[[#This Row],[Model]],表格3[Model-Input-Ref2],表格3[SRP PRICE])</f>
        <v>648</v>
      </c>
      <c r="T4813" s="43">
        <f>表格1[[#This Row],[Unit Price]]/表格1[[#This Row],[SRP]]</f>
        <v>0.80092592592592593</v>
      </c>
      <c r="U4813" s="86" t="str">
        <f>_xlfn.XLOOKUP(表格1[[#This Row],[Model]],表格3[Model-Input-Ref2],表格3[TOSHIBA/HIGHEST])</f>
        <v>Toshiba SRP</v>
      </c>
      <c r="W4813" s="86" t="str">
        <f>_xlfn.CONCAT(表格1[[#This Row],[欄4]],表格1[[#This Row],[inv no]])</f>
        <v>2902541</v>
      </c>
    </row>
    <row r="4814" spans="1:23" hidden="1">
      <c r="A4814" s="81">
        <v>4812</v>
      </c>
      <c r="B4814" s="86" t="s">
        <v>1477</v>
      </c>
      <c r="C4814" s="86" t="s">
        <v>2252</v>
      </c>
      <c r="D4814" s="89" t="str">
        <f ca="1">OFFSET(Roster!$A$3,MATCH(表格1[[#This Row],[Location]]&amp;" "&amp;表格1[[#This Row],[Shop]]&amp;"*",Roster!$A$4:$A$72,0),DAY(表格1[[#This Row],[date]]),1,1)</f>
        <v>Raymond</v>
      </c>
      <c r="E4814" s="86">
        <f>MONTH(表格1[[#This Row],[date]])</f>
        <v>3</v>
      </c>
      <c r="F4814" s="90">
        <v>46091</v>
      </c>
      <c r="G4814" s="86" t="str">
        <f>VLOOKUP("*"&amp;表格1[[#This Row],[Input]]&amp;"*",'Ref-List'!$B:$D,2,)</f>
        <v>IC-S19RH</v>
      </c>
      <c r="H4814" s="86" t="str">
        <f>_xlfn.XLOOKUP(表格1[[#This Row],[Model]],表格3[Model-Input-Ref2],表格3[Product Line])</f>
        <v>輕便式電磁爐7個功能</v>
      </c>
      <c r="I4814" s="86" t="str">
        <f>_xlfn.XLOOKUP(表格1[[#This Row],[Model]],表格3[Model-Input-Ref2],表格3[大小電])</f>
        <v>細電</v>
      </c>
      <c r="J4814" s="86" t="str">
        <f>_xlfn.XLOOKUP(表格1[[#This Row],[Model]],表格3[Model-Input-Ref2],表格3[Code])</f>
        <v>SDA</v>
      </c>
      <c r="K4814" s="89" t="s">
        <v>1289</v>
      </c>
      <c r="L4814" s="86">
        <v>1</v>
      </c>
      <c r="M4814" s="87">
        <v>542</v>
      </c>
      <c r="N4814" s="87">
        <f>IFERROR(表格1[[#This Row],[QTY]]*表格1[[#This Row],[Unit Price]],"-")</f>
        <v>542</v>
      </c>
      <c r="O4814" s="168">
        <v>2810581</v>
      </c>
      <c r="R4814" s="86" t="str">
        <f>_xlfn.CONCAT(表格1[[#This Row],[Model]]," ",表格1[[#This Row],[inv no]])</f>
        <v>IC-S19RH 2810581</v>
      </c>
      <c r="S4814" s="86">
        <f>_xlfn.XLOOKUP(表格1[[#This Row],[Model]],表格3[Model-Input-Ref2],表格3[SRP PRICE])</f>
        <v>638</v>
      </c>
      <c r="T4814" s="43">
        <f>表格1[[#This Row],[Unit Price]]/表格1[[#This Row],[SRP]]</f>
        <v>0.84952978056426331</v>
      </c>
      <c r="U4814" s="86" t="str">
        <f>_xlfn.XLOOKUP(表格1[[#This Row],[Model]],表格3[Model-Input-Ref2],表格3[TOSHIBA/HIGHEST])</f>
        <v>Toshiba SRP</v>
      </c>
      <c r="W4814" s="86" t="str">
        <f>_xlfn.CONCAT(表格1[[#This Row],[欄4]],表格1[[#This Row],[inv no]])</f>
        <v>2810581</v>
      </c>
    </row>
    <row r="4815" spans="1:23" hidden="1">
      <c r="A4815" s="81">
        <v>4813</v>
      </c>
      <c r="B4815" s="86" t="s">
        <v>1477</v>
      </c>
      <c r="C4815" s="86" t="s">
        <v>2252</v>
      </c>
      <c r="D4815" s="89" t="str">
        <f ca="1">OFFSET(Roster!$A$3,MATCH(表格1[[#This Row],[Location]]&amp;" "&amp;表格1[[#This Row],[Shop]]&amp;"*",Roster!$A$4:$A$72,0),DAY(表格1[[#This Row],[date]]),1,1)</f>
        <v>Raymond</v>
      </c>
      <c r="E4815" s="86">
        <f>MONTH(表格1[[#This Row],[date]])</f>
        <v>3</v>
      </c>
      <c r="F4815" s="90">
        <v>46091</v>
      </c>
      <c r="G4815" s="86" t="str">
        <f>VLOOKUP("*"&amp;表格1[[#This Row],[Input]]&amp;"*",'Ref-List'!$B:$D,2,)</f>
        <v>MX2-STR25SC(WH)</v>
      </c>
      <c r="H4815" s="86" t="str">
        <f>_xlfn.XLOOKUP(表格1[[#This Row],[Model]],表格3[Model-Input-Ref2],表格3[Product Line])</f>
        <v>4合1氣炸微波蒸焗爐(25公升)</v>
      </c>
      <c r="I4815" s="86" t="str">
        <f>_xlfn.XLOOKUP(表格1[[#This Row],[Model]],表格3[Model-Input-Ref2],表格3[大小電])</f>
        <v>細電</v>
      </c>
      <c r="J4815" s="86" t="str">
        <f>_xlfn.XLOOKUP(表格1[[#This Row],[Model]],表格3[Model-Input-Ref2],表格3[Code])</f>
        <v>MCA</v>
      </c>
      <c r="K4815" s="89" t="s">
        <v>1410</v>
      </c>
      <c r="L4815" s="86">
        <v>1</v>
      </c>
      <c r="M4815" s="87">
        <v>3580</v>
      </c>
      <c r="N4815" s="87">
        <f>IFERROR(表格1[[#This Row],[QTY]]*表格1[[#This Row],[Unit Price]],"-")</f>
        <v>3580</v>
      </c>
      <c r="O4815" s="86">
        <v>2902577</v>
      </c>
      <c r="R4815" s="86" t="str">
        <f>_xlfn.CONCAT(表格1[[#This Row],[Model]]," ",表格1[[#This Row],[inv no]])</f>
        <v>MX2-STR25SC(WH) 2902577</v>
      </c>
      <c r="S4815" s="86">
        <f>_xlfn.XLOOKUP(表格1[[#This Row],[Model]],表格3[Model-Input-Ref2],表格3[SRP PRICE])</f>
        <v>4998</v>
      </c>
      <c r="T4815" s="43">
        <f>表格1[[#This Row],[Unit Price]]/表格1[[#This Row],[SRP]]</f>
        <v>0.71628651460584236</v>
      </c>
      <c r="U4815" s="86" t="str">
        <f>_xlfn.XLOOKUP(表格1[[#This Row],[Model]],表格3[Model-Input-Ref2],表格3[TOSHIBA/HIGHEST])</f>
        <v>Toshiba SRP</v>
      </c>
      <c r="W4815" s="86" t="str">
        <f>_xlfn.CONCAT(表格1[[#This Row],[欄4]],表格1[[#This Row],[inv no]])</f>
        <v>2902577</v>
      </c>
    </row>
    <row r="4816" spans="1:23" hidden="1">
      <c r="A4816" s="81">
        <v>4814</v>
      </c>
      <c r="B4816" s="86" t="s">
        <v>1477</v>
      </c>
      <c r="C4816" s="86" t="s">
        <v>2252</v>
      </c>
      <c r="D4816" s="89" t="str">
        <f ca="1">OFFSET(Roster!$A$3,MATCH(表格1[[#This Row],[Location]]&amp;" "&amp;表格1[[#This Row],[Shop]]&amp;"*",Roster!$A$4:$A$72,0),DAY(表格1[[#This Row],[date]]),1,1)</f>
        <v>Raymond</v>
      </c>
      <c r="E4816" s="86">
        <f>MONTH(表格1[[#This Row],[date]])</f>
        <v>3</v>
      </c>
      <c r="F4816" s="90">
        <v>46091</v>
      </c>
      <c r="G4816" s="86" t="str">
        <f>VLOOKUP("*"&amp;表格1[[#This Row],[Input]]&amp;"*",'Ref-List'!$B:$D,2,)</f>
        <v>MX2-TT20SC(WH)</v>
      </c>
      <c r="H4816" s="86" t="str">
        <f>_xlfn.XLOOKUP(表格1[[#This Row],[Model]],表格3[Model-Input-Ref2],表格3[Product Line])</f>
        <v>3合1 微波蒸焗爐 (20公升)</v>
      </c>
      <c r="I4816" s="86" t="str">
        <f>_xlfn.XLOOKUP(表格1[[#This Row],[Model]],表格3[Model-Input-Ref2],表格3[大小電])</f>
        <v>細電</v>
      </c>
      <c r="J4816" s="86" t="str">
        <f>_xlfn.XLOOKUP(表格1[[#This Row],[Model]],表格3[Model-Input-Ref2],表格3[Code])</f>
        <v>MCA</v>
      </c>
      <c r="K4816" s="89" t="s">
        <v>1287</v>
      </c>
      <c r="L4816" s="86">
        <v>1</v>
      </c>
      <c r="M4816" s="87">
        <v>2580</v>
      </c>
      <c r="N4816" s="87">
        <f>IFERROR(表格1[[#This Row],[QTY]]*表格1[[#This Row],[Unit Price]],"-")</f>
        <v>2580</v>
      </c>
      <c r="O4816" s="168">
        <v>2810611</v>
      </c>
      <c r="R4816" s="86" t="str">
        <f>_xlfn.CONCAT(表格1[[#This Row],[Model]]," ",表格1[[#This Row],[inv no]])</f>
        <v>MX2-TT20SC(WH) 2810611</v>
      </c>
      <c r="S4816" s="86">
        <f>_xlfn.XLOOKUP(表格1[[#This Row],[Model]],表格3[Model-Input-Ref2],表格3[SRP PRICE])</f>
        <v>3580</v>
      </c>
      <c r="T4816" s="43">
        <f>表格1[[#This Row],[Unit Price]]/表格1[[#This Row],[SRP]]</f>
        <v>0.72067039106145248</v>
      </c>
      <c r="U4816" s="86" t="str">
        <f>_xlfn.XLOOKUP(表格1[[#This Row],[Model]],表格3[Model-Input-Ref2],表格3[TOSHIBA/HIGHEST])</f>
        <v>Toshiba SRP</v>
      </c>
      <c r="W4816" s="86" t="str">
        <f>_xlfn.CONCAT(表格1[[#This Row],[欄4]],表格1[[#This Row],[inv no]])</f>
        <v>2810611</v>
      </c>
    </row>
    <row r="4817" spans="1:23" hidden="1">
      <c r="A4817" s="81">
        <v>4815</v>
      </c>
      <c r="B4817" s="86" t="s">
        <v>1477</v>
      </c>
      <c r="C4817" s="86" t="s">
        <v>2252</v>
      </c>
      <c r="D4817" s="89" t="str">
        <f ca="1">OFFSET(Roster!$A$3,MATCH(表格1[[#This Row],[Location]]&amp;" "&amp;表格1[[#This Row],[Shop]]&amp;"*",Roster!$A$4:$A$72,0),DAY(表格1[[#This Row],[date]]),1,1)</f>
        <v>Raymond</v>
      </c>
      <c r="E4817" s="86">
        <f>MONTH(表格1[[#This Row],[date]])</f>
        <v>3</v>
      </c>
      <c r="F4817" s="90">
        <v>46091</v>
      </c>
      <c r="G4817" s="86" t="str">
        <f>VLOOKUP("*"&amp;表格1[[#This Row],[Input]]&amp;"*",'Ref-List'!$B:$D,2,)</f>
        <v>KT-15DRTHK(W)</v>
      </c>
      <c r="H4817" s="86" t="str">
        <f>_xlfn.XLOOKUP(表格1[[#This Row],[Model]],表格3[Model-Input-Ref2],表格3[Product Line])</f>
        <v>無線雙層電熱水壺-附可鎖壺蓋</v>
      </c>
      <c r="I4817" s="86" t="str">
        <f>_xlfn.XLOOKUP(表格1[[#This Row],[Model]],表格3[Model-Input-Ref2],表格3[大小電])</f>
        <v>細電</v>
      </c>
      <c r="J4817" s="86" t="str">
        <f>_xlfn.XLOOKUP(表格1[[#This Row],[Model]],表格3[Model-Input-Ref2],表格3[Code])</f>
        <v>SDA</v>
      </c>
      <c r="K4817" s="89" t="s">
        <v>1278</v>
      </c>
      <c r="L4817" s="86">
        <v>1</v>
      </c>
      <c r="M4817" s="87">
        <v>358</v>
      </c>
      <c r="N4817" s="87">
        <f>IFERROR(表格1[[#This Row],[QTY]]*表格1[[#This Row],[Unit Price]],"-")</f>
        <v>358</v>
      </c>
      <c r="O4817" s="168">
        <v>2810596</v>
      </c>
      <c r="R4817" s="86" t="str">
        <f>_xlfn.CONCAT(表格1[[#This Row],[Model]]," ",表格1[[#This Row],[inv no]])</f>
        <v>KT-15DRTHK(W) 2810596</v>
      </c>
      <c r="S4817" s="86">
        <f>_xlfn.XLOOKUP(表格1[[#This Row],[Model]],表格3[Model-Input-Ref2],表格3[SRP PRICE])</f>
        <v>598</v>
      </c>
      <c r="T4817" s="43">
        <f>表格1[[#This Row],[Unit Price]]/表格1[[#This Row],[SRP]]</f>
        <v>0.59866220735785958</v>
      </c>
      <c r="U4817" s="86" t="str">
        <f>_xlfn.XLOOKUP(表格1[[#This Row],[Model]],表格3[Model-Input-Ref2],表格3[TOSHIBA/HIGHEST])</f>
        <v>Toshiba SRP</v>
      </c>
      <c r="W4817" s="86" t="str">
        <f>_xlfn.CONCAT(表格1[[#This Row],[欄4]],表格1[[#This Row],[inv no]])</f>
        <v>2810596</v>
      </c>
    </row>
    <row r="4818" spans="1:23" hidden="1">
      <c r="A4818" s="81">
        <v>4816</v>
      </c>
      <c r="B4818" s="86" t="s">
        <v>1477</v>
      </c>
      <c r="C4818" s="86" t="s">
        <v>2252</v>
      </c>
      <c r="D4818" s="89" t="str">
        <f ca="1">OFFSET(Roster!$A$3,MATCH(表格1[[#This Row],[Location]]&amp;" "&amp;表格1[[#This Row],[Shop]]&amp;"*",Roster!$A$4:$A$72,0),DAY(表格1[[#This Row],[date]]),1,1)</f>
        <v>Raymond</v>
      </c>
      <c r="E4818" s="86">
        <f>MONTH(表格1[[#This Row],[date]])</f>
        <v>3</v>
      </c>
      <c r="F4818" s="90">
        <v>46091</v>
      </c>
      <c r="G4818" s="86" t="str">
        <f>VLOOKUP("*"&amp;表格1[[#This Row],[Input]]&amp;"*",'Ref-List'!$B:$D,2,)</f>
        <v>KT-17SHNH</v>
      </c>
      <c r="H4818" s="86" t="str">
        <f>_xlfn.XLOOKUP(表格1[[#This Row],[Model]],表格3[Model-Input-Ref2],表格3[Product Line])</f>
        <v>1.7L無線雙層電熱水壺</v>
      </c>
      <c r="I4818" s="86" t="str">
        <f>_xlfn.XLOOKUP(表格1[[#This Row],[Model]],表格3[Model-Input-Ref2],表格3[大小電])</f>
        <v>細電</v>
      </c>
      <c r="J4818" s="86" t="str">
        <f>_xlfn.XLOOKUP(表格1[[#This Row],[Model]],表格3[Model-Input-Ref2],表格3[Code])</f>
        <v>SDA</v>
      </c>
      <c r="K4818" s="89" t="s">
        <v>1283</v>
      </c>
      <c r="L4818" s="86">
        <v>1</v>
      </c>
      <c r="M4818" s="87">
        <v>228</v>
      </c>
      <c r="N4818" s="87">
        <f>IFERROR(表格1[[#This Row],[QTY]]*表格1[[#This Row],[Unit Price]],"-")</f>
        <v>228</v>
      </c>
      <c r="O4818" s="168">
        <v>2810584</v>
      </c>
      <c r="R4818" s="86" t="str">
        <f>_xlfn.CONCAT(表格1[[#This Row],[Model]]," ",表格1[[#This Row],[inv no]])</f>
        <v>KT-17SHNH 2810584</v>
      </c>
      <c r="S4818" s="86">
        <f>_xlfn.XLOOKUP(表格1[[#This Row],[Model]],表格3[Model-Input-Ref2],表格3[SRP PRICE])</f>
        <v>299</v>
      </c>
      <c r="T4818" s="43">
        <f>表格1[[#This Row],[Unit Price]]/表格1[[#This Row],[SRP]]</f>
        <v>0.76254180602006694</v>
      </c>
      <c r="U4818" s="86" t="str">
        <f>_xlfn.XLOOKUP(表格1[[#This Row],[Model]],表格3[Model-Input-Ref2],表格3[TOSHIBA/HIGHEST])</f>
        <v>Shops Highest Price</v>
      </c>
      <c r="W4818" s="86" t="str">
        <f>_xlfn.CONCAT(表格1[[#This Row],[欄4]],表格1[[#This Row],[inv no]])</f>
        <v>2810584</v>
      </c>
    </row>
    <row r="4819" spans="1:23" hidden="1">
      <c r="A4819" s="81">
        <v>4817</v>
      </c>
      <c r="B4819" s="86" t="s">
        <v>1477</v>
      </c>
      <c r="C4819" s="86" t="s">
        <v>2252</v>
      </c>
      <c r="D4819" s="89" t="str">
        <f ca="1">OFFSET(Roster!$A$3,MATCH(表格1[[#This Row],[Location]]&amp;" "&amp;表格1[[#This Row],[Shop]]&amp;"*",Roster!$A$4:$A$72,0),DAY(表格1[[#This Row],[date]]),1,1)</f>
        <v>Raymond</v>
      </c>
      <c r="E4819" s="86">
        <f>MONTH(表格1[[#This Row],[date]])</f>
        <v>3</v>
      </c>
      <c r="F4819" s="90">
        <v>46091</v>
      </c>
      <c r="G4819" s="86" t="str">
        <f>VLOOKUP("*"&amp;表格1[[#This Row],[Input]]&amp;"*",'Ref-List'!$B:$D,2,)</f>
        <v>RC-7HMH</v>
      </c>
      <c r="H4819" s="86" t="str">
        <f>_xlfn.XLOOKUP(表格1[[#This Row],[Model]],表格3[Model-Input-Ref2],表格3[Product Line])</f>
        <v>備長炭本厚釜電飯煲0.7L</v>
      </c>
      <c r="I4819" s="86" t="str">
        <f>_xlfn.XLOOKUP(表格1[[#This Row],[Model]],表格3[Model-Input-Ref2],表格3[大小電])</f>
        <v>細電</v>
      </c>
      <c r="J4819" s="86" t="str">
        <f>_xlfn.XLOOKUP(表格1[[#This Row],[Model]],表格3[Model-Input-Ref2],表格3[Code])</f>
        <v>SDA</v>
      </c>
      <c r="K4819" s="89" t="s">
        <v>1284</v>
      </c>
      <c r="L4819" s="86">
        <v>1</v>
      </c>
      <c r="M4819" s="87">
        <v>898</v>
      </c>
      <c r="N4819" s="87">
        <f>IFERROR(表格1[[#This Row],[QTY]]*表格1[[#This Row],[Unit Price]],"-")</f>
        <v>898</v>
      </c>
      <c r="O4819" s="168">
        <v>2902561</v>
      </c>
      <c r="R4819" s="86" t="str">
        <f>_xlfn.CONCAT(表格1[[#This Row],[Model]]," ",表格1[[#This Row],[inv no]])</f>
        <v>RC-7HMH 2902561</v>
      </c>
      <c r="S4819" s="86">
        <f>_xlfn.XLOOKUP(表格1[[#This Row],[Model]],表格3[Model-Input-Ref2],表格3[SRP PRICE])</f>
        <v>1288</v>
      </c>
      <c r="T4819" s="43">
        <f>表格1[[#This Row],[Unit Price]]/表格1[[#This Row],[SRP]]</f>
        <v>0.69720496894409933</v>
      </c>
      <c r="U4819" s="86" t="str">
        <f>_xlfn.XLOOKUP(表格1[[#This Row],[Model]],表格3[Model-Input-Ref2],表格3[TOSHIBA/HIGHEST])</f>
        <v>Toshiba SRP</v>
      </c>
      <c r="W4819" s="86" t="str">
        <f>_xlfn.CONCAT(表格1[[#This Row],[欄4]],表格1[[#This Row],[inv no]])</f>
        <v>2902561</v>
      </c>
    </row>
    <row r="4820" spans="1:23" hidden="1">
      <c r="A4820" s="81">
        <v>4818</v>
      </c>
      <c r="B4820" s="86" t="s">
        <v>1477</v>
      </c>
      <c r="C4820" s="86" t="s">
        <v>2252</v>
      </c>
      <c r="D4820" s="89" t="str">
        <f ca="1">OFFSET(Roster!$A$3,MATCH(表格1[[#This Row],[Location]]&amp;" "&amp;表格1[[#This Row],[Shop]]&amp;"*",Roster!$A$4:$A$72,0),DAY(表格1[[#This Row],[date]]),1,1)</f>
        <v>Raymond</v>
      </c>
      <c r="E4820" s="86">
        <f>MONTH(表格1[[#This Row],[date]])</f>
        <v>3</v>
      </c>
      <c r="F4820" s="90">
        <v>46091</v>
      </c>
      <c r="G4820" s="86" t="str">
        <f>VLOOKUP("*"&amp;表格1[[#This Row],[Input]]&amp;"*",'Ref-List'!$B:$D,2,)</f>
        <v>RC-18NMFIH(WT)</v>
      </c>
      <c r="H4820" s="86" t="str">
        <f>_xlfn.XLOOKUP(表格1[[#This Row],[Model]],表格3[Model-Input-Ref2],表格3[Product Line])</f>
        <v>4毫米厚釜電飯煲1.8L</v>
      </c>
      <c r="I4820" s="86" t="str">
        <f>_xlfn.XLOOKUP(表格1[[#This Row],[Model]],表格3[Model-Input-Ref2],表格3[大小電])</f>
        <v>細電</v>
      </c>
      <c r="J4820" s="86" t="str">
        <f>_xlfn.XLOOKUP(表格1[[#This Row],[Model]],表格3[Model-Input-Ref2],表格3[Code])</f>
        <v>SDA</v>
      </c>
      <c r="K4820" s="89" t="s">
        <v>1267</v>
      </c>
      <c r="L4820" s="86">
        <v>1</v>
      </c>
      <c r="M4820" s="87">
        <v>799</v>
      </c>
      <c r="N4820" s="87">
        <f>IFERROR(表格1[[#This Row],[QTY]]*表格1[[#This Row],[Unit Price]],"-")</f>
        <v>799</v>
      </c>
      <c r="O4820" s="168">
        <v>2810591</v>
      </c>
      <c r="R4820" s="86" t="str">
        <f>_xlfn.CONCAT(表格1[[#This Row],[Model]]," ",表格1[[#This Row],[inv no]])</f>
        <v>RC-18NMFIH(WT) 2810591</v>
      </c>
      <c r="S4820" s="86">
        <f>_xlfn.XLOOKUP(表格1[[#This Row],[Model]],表格3[Model-Input-Ref2],表格3[SRP PRICE])</f>
        <v>998</v>
      </c>
      <c r="T4820" s="43">
        <f>表格1[[#This Row],[Unit Price]]/表格1[[#This Row],[SRP]]</f>
        <v>0.80060120240480959</v>
      </c>
      <c r="U4820" s="86" t="str">
        <f>_xlfn.XLOOKUP(表格1[[#This Row],[Model]],表格3[Model-Input-Ref2],表格3[TOSHIBA/HIGHEST])</f>
        <v>Toshiba SRP</v>
      </c>
      <c r="W4820" s="86" t="str">
        <f>_xlfn.CONCAT(表格1[[#This Row],[欄4]],表格1[[#This Row],[inv no]])</f>
        <v>2810591</v>
      </c>
    </row>
    <row r="4821" spans="1:23" hidden="1">
      <c r="A4821" s="81">
        <v>4819</v>
      </c>
      <c r="B4821" s="86" t="s">
        <v>1477</v>
      </c>
      <c r="C4821" s="86" t="s">
        <v>2252</v>
      </c>
      <c r="D4821" s="89" t="str">
        <f ca="1">OFFSET(Roster!$A$3,MATCH(表格1[[#This Row],[Location]]&amp;" "&amp;表格1[[#This Row],[Shop]]&amp;"*",Roster!$A$4:$A$72,0),DAY(表格1[[#This Row],[date]]),1,1)</f>
        <v>Raymond</v>
      </c>
      <c r="E4821" s="86">
        <f>MONTH(表格1[[#This Row],[date]])</f>
        <v>3</v>
      </c>
      <c r="F4821" s="90">
        <v>46092</v>
      </c>
      <c r="G4821" s="86" t="str">
        <f>VLOOKUP("*"&amp;表格1[[#This Row],[Input]]&amp;"*",'Ref-List'!$B:$D,2,)</f>
        <v>FILTER-PCB-W2265</v>
      </c>
      <c r="H4821" s="86" t="str">
        <f>_xlfn.XLOOKUP(表格1[[#This Row],[Model]],表格3[Model-Input-Ref2],表格3[Product Line])</f>
        <v>filter</v>
      </c>
      <c r="I4821" s="86" t="str">
        <f>_xlfn.XLOOKUP(表格1[[#This Row],[Model]],表格3[Model-Input-Ref2],表格3[大小電])</f>
        <v>細電</v>
      </c>
      <c r="J4821" s="86" t="str">
        <f>_xlfn.XLOOKUP(表格1[[#This Row],[Model]],表格3[Model-Input-Ref2],表格3[Code])</f>
        <v>KWH</v>
      </c>
      <c r="K4821" s="89" t="s">
        <v>2254</v>
      </c>
      <c r="L4821" s="86">
        <v>1</v>
      </c>
      <c r="M4821" s="87">
        <v>158</v>
      </c>
      <c r="N4821" s="87">
        <f>IFERROR(表格1[[#This Row],[QTY]]*表格1[[#This Row],[Unit Price]],"-")</f>
        <v>158</v>
      </c>
      <c r="O4821" s="168">
        <v>2810721</v>
      </c>
      <c r="R4821" s="86" t="str">
        <f>_xlfn.CONCAT(表格1[[#This Row],[Model]]," ",表格1[[#This Row],[inv no]])</f>
        <v>FILTER-PCB-W2265 2810721</v>
      </c>
      <c r="S4821" s="86">
        <f>_xlfn.XLOOKUP(表格1[[#This Row],[Model]],表格3[Model-Input-Ref2],表格3[SRP PRICE])</f>
        <v>0</v>
      </c>
      <c r="T4821" s="43" t="e">
        <f>表格1[[#This Row],[Unit Price]]/表格1[[#This Row],[SRP]]</f>
        <v>#DIV/0!</v>
      </c>
      <c r="U4821" s="86">
        <f>_xlfn.XLOOKUP(表格1[[#This Row],[Model]],表格3[Model-Input-Ref2],表格3[TOSHIBA/HIGHEST])</f>
        <v>0</v>
      </c>
      <c r="W4821" s="86" t="str">
        <f>_xlfn.CONCAT(表格1[[#This Row],[欄4]],表格1[[#This Row],[inv no]])</f>
        <v>2810721</v>
      </c>
    </row>
    <row r="4822" spans="1:23" hidden="1">
      <c r="A4822" s="81">
        <v>4820</v>
      </c>
      <c r="B4822" s="86" t="s">
        <v>1477</v>
      </c>
      <c r="C4822" s="86" t="s">
        <v>2252</v>
      </c>
      <c r="D4822" s="89" t="str">
        <f ca="1">OFFSET(Roster!$A$3,MATCH(表格1[[#This Row],[Location]]&amp;" "&amp;表格1[[#This Row],[Shop]]&amp;"*",Roster!$A$4:$A$72,0),DAY(表格1[[#This Row],[date]]),1,1)</f>
        <v>Raymond</v>
      </c>
      <c r="E4822" s="86">
        <f>MONTH(表格1[[#This Row],[date]])</f>
        <v>3</v>
      </c>
      <c r="F4822" s="90">
        <v>46092</v>
      </c>
      <c r="G4822" s="86" t="str">
        <f>VLOOKUP("*"&amp;表格1[[#This Row],[Input]]&amp;"*",'Ref-List'!$B:$D,2,)</f>
        <v>FILTER-RO-W2265</v>
      </c>
      <c r="H4822" s="86" t="str">
        <f>_xlfn.XLOOKUP(表格1[[#This Row],[Model]],表格3[Model-Input-Ref2],表格3[Product Line])</f>
        <v>filter</v>
      </c>
      <c r="I4822" s="86" t="str">
        <f>_xlfn.XLOOKUP(表格1[[#This Row],[Model]],表格3[Model-Input-Ref2],表格3[大小電])</f>
        <v>細電</v>
      </c>
      <c r="J4822" s="86" t="str">
        <f>_xlfn.XLOOKUP(表格1[[#This Row],[Model]],表格3[Model-Input-Ref2],表格3[Code])</f>
        <v>KWH</v>
      </c>
      <c r="K4822" s="89" t="s">
        <v>953</v>
      </c>
      <c r="L4822" s="86">
        <v>1</v>
      </c>
      <c r="M4822" s="87">
        <v>698</v>
      </c>
      <c r="N4822" s="87">
        <f>IFERROR(表格1[[#This Row],[QTY]]*表格1[[#This Row],[Unit Price]],"-")</f>
        <v>698</v>
      </c>
      <c r="O4822" s="168">
        <v>2810745</v>
      </c>
      <c r="R4822" s="86" t="str">
        <f>_xlfn.CONCAT(表格1[[#This Row],[Model]]," ",表格1[[#This Row],[inv no]])</f>
        <v>FILTER-RO-W2265 2810745</v>
      </c>
      <c r="S4822" s="86">
        <f>_xlfn.XLOOKUP(表格1[[#This Row],[Model]],表格3[Model-Input-Ref2],表格3[SRP PRICE])</f>
        <v>0</v>
      </c>
      <c r="T4822" s="43" t="e">
        <f>表格1[[#This Row],[Unit Price]]/表格1[[#This Row],[SRP]]</f>
        <v>#DIV/0!</v>
      </c>
      <c r="U4822" s="86">
        <f>_xlfn.XLOOKUP(表格1[[#This Row],[Model]],表格3[Model-Input-Ref2],表格3[TOSHIBA/HIGHEST])</f>
        <v>0</v>
      </c>
      <c r="W4822" s="86" t="str">
        <f>_xlfn.CONCAT(表格1[[#This Row],[欄4]],表格1[[#This Row],[inv no]])</f>
        <v>2810745</v>
      </c>
    </row>
    <row r="4823" spans="1:23" hidden="1">
      <c r="A4823" s="81">
        <v>4821</v>
      </c>
      <c r="B4823" s="86" t="s">
        <v>1477</v>
      </c>
      <c r="C4823" s="86" t="s">
        <v>2252</v>
      </c>
      <c r="D4823" s="89" t="str">
        <f ca="1">OFFSET(Roster!$A$3,MATCH(表格1[[#This Row],[Location]]&amp;" "&amp;表格1[[#This Row],[Shop]]&amp;"*",Roster!$A$4:$A$72,0),DAY(表格1[[#This Row],[date]]),1,1)</f>
        <v>Raymond</v>
      </c>
      <c r="E4823" s="86">
        <f>MONTH(表格1[[#This Row],[date]])</f>
        <v>3</v>
      </c>
      <c r="F4823" s="90">
        <v>46092</v>
      </c>
      <c r="G4823" s="86" t="str">
        <f>VLOOKUP("*"&amp;表格1[[#This Row],[Input]]&amp;"*",'Ref-List'!$B:$D,2,)</f>
        <v>MS3-STQ20SC(WH)</v>
      </c>
      <c r="H4823" s="86" t="str">
        <f>_xlfn.XLOOKUP(表格1[[#This Row],[Model]],表格3[Model-Input-Ref2],表格3[Product Line])</f>
        <v>20L 智能蒸氣焗爐</v>
      </c>
      <c r="I4823" s="86" t="str">
        <f>_xlfn.XLOOKUP(表格1[[#This Row],[Model]],表格3[Model-Input-Ref2],表格3[大小電])</f>
        <v>細電</v>
      </c>
      <c r="J4823" s="86" t="str">
        <f>_xlfn.XLOOKUP(表格1[[#This Row],[Model]],表格3[Model-Input-Ref2],表格3[Code])</f>
        <v>MCA</v>
      </c>
      <c r="K4823" s="89" t="s">
        <v>1383</v>
      </c>
      <c r="L4823" s="86">
        <v>1</v>
      </c>
      <c r="M4823" s="87">
        <v>2100</v>
      </c>
      <c r="N4823" s="87">
        <f>IFERROR(表格1[[#This Row],[QTY]]*表格1[[#This Row],[Unit Price]],"-")</f>
        <v>2100</v>
      </c>
      <c r="O4823" s="168">
        <v>2810759</v>
      </c>
      <c r="R4823" s="86" t="str">
        <f>_xlfn.CONCAT(表格1[[#This Row],[Model]]," ",表格1[[#This Row],[inv no]])</f>
        <v>MS3-STQ20SC(WH) 2810759</v>
      </c>
      <c r="S4823" s="86">
        <f>_xlfn.XLOOKUP(表格1[[#This Row],[Model]],表格3[Model-Input-Ref2],表格3[SRP PRICE])</f>
        <v>2880</v>
      </c>
      <c r="T4823" s="43">
        <f>表格1[[#This Row],[Unit Price]]/表格1[[#This Row],[SRP]]</f>
        <v>0.72916666666666663</v>
      </c>
      <c r="U4823" s="86" t="str">
        <f>_xlfn.XLOOKUP(表格1[[#This Row],[Model]],表格3[Model-Input-Ref2],表格3[TOSHIBA/HIGHEST])</f>
        <v>Toshiba SRP</v>
      </c>
      <c r="W4823" s="86" t="str">
        <f>_xlfn.CONCAT(表格1[[#This Row],[欄4]],表格1[[#This Row],[inv no]])</f>
        <v>2810759</v>
      </c>
    </row>
    <row r="4824" spans="1:23" hidden="1">
      <c r="A4824" s="81">
        <v>4822</v>
      </c>
      <c r="B4824" s="86" t="s">
        <v>1477</v>
      </c>
      <c r="C4824" s="86" t="s">
        <v>2252</v>
      </c>
      <c r="D4824" s="89" t="str">
        <f ca="1">OFFSET(Roster!$A$3,MATCH(表格1[[#This Row],[Location]]&amp;" "&amp;表格1[[#This Row],[Shop]]&amp;"*",Roster!$A$4:$A$72,0),DAY(表格1[[#This Row],[date]]),1,1)</f>
        <v>Raymond</v>
      </c>
      <c r="E4824" s="86">
        <f>MONTH(表格1[[#This Row],[date]])</f>
        <v>3</v>
      </c>
      <c r="F4824" s="90">
        <v>46093</v>
      </c>
      <c r="G4824" s="86" t="str">
        <f>VLOOKUP("*"&amp;表格1[[#This Row],[Input]]&amp;"*",'Ref-List'!$B:$D,2,)</f>
        <v>ET-TD7080(PN)</v>
      </c>
      <c r="H4824" s="86" t="str">
        <f>_xlfn.XLOOKUP(表格1[[#This Row],[Model]],表格3[Model-Input-Ref2],表格3[Product Line])</f>
        <v>多士焗爐8L</v>
      </c>
      <c r="I4824" s="86" t="str">
        <f>_xlfn.XLOOKUP(表格1[[#This Row],[Model]],表格3[Model-Input-Ref2],表格3[大小電])</f>
        <v>細電</v>
      </c>
      <c r="J4824" s="86" t="str">
        <f>_xlfn.XLOOKUP(表格1[[#This Row],[Model]],表格3[Model-Input-Ref2],表格3[Code])</f>
        <v>SDA</v>
      </c>
      <c r="K4824" s="89">
        <v>7080</v>
      </c>
      <c r="L4824" s="86">
        <v>1</v>
      </c>
      <c r="M4824" s="87">
        <v>358</v>
      </c>
      <c r="N4824" s="87">
        <f>IFERROR(表格1[[#This Row],[QTY]]*表格1[[#This Row],[Unit Price]],"-")</f>
        <v>358</v>
      </c>
      <c r="O4824" s="86">
        <v>2902613</v>
      </c>
      <c r="R4824" s="86" t="str">
        <f>_xlfn.CONCAT(表格1[[#This Row],[Model]]," ",表格1[[#This Row],[inv no]])</f>
        <v>ET-TD7080(PN) 2902613</v>
      </c>
      <c r="S4824" s="86">
        <f>_xlfn.XLOOKUP(表格1[[#This Row],[Model]],表格3[Model-Input-Ref2],表格3[SRP PRICE])</f>
        <v>498</v>
      </c>
      <c r="T4824" s="43">
        <f>表格1[[#This Row],[Unit Price]]/表格1[[#This Row],[SRP]]</f>
        <v>0.71887550200803207</v>
      </c>
      <c r="U4824" s="86" t="str">
        <f>_xlfn.XLOOKUP(表格1[[#This Row],[Model]],表格3[Model-Input-Ref2],表格3[TOSHIBA/HIGHEST])</f>
        <v>Toshiba SRP</v>
      </c>
      <c r="W4824" s="86" t="str">
        <f>_xlfn.CONCAT(表格1[[#This Row],[欄4]],表格1[[#This Row],[inv no]])</f>
        <v>2902613</v>
      </c>
    </row>
    <row r="4825" spans="1:23" hidden="1">
      <c r="A4825" s="81">
        <v>4823</v>
      </c>
      <c r="B4825" s="86" t="s">
        <v>1477</v>
      </c>
      <c r="C4825" s="86" t="s">
        <v>2252</v>
      </c>
      <c r="D4825" s="89" t="str">
        <f ca="1">OFFSET(Roster!$A$3,MATCH(表格1[[#This Row],[Location]]&amp;" "&amp;表格1[[#This Row],[Shop]]&amp;"*",Roster!$A$4:$A$72,0),DAY(表格1[[#This Row],[date]]),1,1)</f>
        <v>Raymond</v>
      </c>
      <c r="E4825" s="86">
        <f>MONTH(表格1[[#This Row],[date]])</f>
        <v>3</v>
      </c>
      <c r="F4825" s="90">
        <v>46093</v>
      </c>
      <c r="G4825" s="86" t="str">
        <f>VLOOKUP("*"&amp;表格1[[#This Row],[Input]]&amp;"*",'Ref-List'!$B:$D,2,)</f>
        <v>RC-7HMH</v>
      </c>
      <c r="H4825" s="86" t="str">
        <f>_xlfn.XLOOKUP(表格1[[#This Row],[Model]],表格3[Model-Input-Ref2],表格3[Product Line])</f>
        <v>備長炭本厚釜電飯煲0.7L</v>
      </c>
      <c r="I4825" s="86" t="str">
        <f>_xlfn.XLOOKUP(表格1[[#This Row],[Model]],表格3[Model-Input-Ref2],表格3[大小電])</f>
        <v>細電</v>
      </c>
      <c r="J4825" s="86" t="str">
        <f>_xlfn.XLOOKUP(表格1[[#This Row],[Model]],表格3[Model-Input-Ref2],表格3[Code])</f>
        <v>SDA</v>
      </c>
      <c r="K4825" s="89" t="s">
        <v>1284</v>
      </c>
      <c r="L4825" s="86">
        <v>1</v>
      </c>
      <c r="M4825" s="87">
        <v>838</v>
      </c>
      <c r="N4825" s="87">
        <f>IFERROR(表格1[[#This Row],[QTY]]*表格1[[#This Row],[Unit Price]],"-")</f>
        <v>838</v>
      </c>
      <c r="O4825" s="86">
        <v>2902625</v>
      </c>
      <c r="R4825" s="86" t="str">
        <f>_xlfn.CONCAT(表格1[[#This Row],[Model]]," ",表格1[[#This Row],[inv no]])</f>
        <v>RC-7HMH 2902625</v>
      </c>
      <c r="S4825" s="86">
        <f>_xlfn.XLOOKUP(表格1[[#This Row],[Model]],表格3[Model-Input-Ref2],表格3[SRP PRICE])</f>
        <v>1288</v>
      </c>
      <c r="T4825" s="43">
        <f>表格1[[#This Row],[Unit Price]]/表格1[[#This Row],[SRP]]</f>
        <v>0.65062111801242239</v>
      </c>
      <c r="U4825" s="86" t="str">
        <f>_xlfn.XLOOKUP(表格1[[#This Row],[Model]],表格3[Model-Input-Ref2],表格3[TOSHIBA/HIGHEST])</f>
        <v>Toshiba SRP</v>
      </c>
      <c r="W4825" s="86" t="str">
        <f>_xlfn.CONCAT(表格1[[#This Row],[欄4]],表格1[[#This Row],[inv no]])</f>
        <v>2902625</v>
      </c>
    </row>
    <row r="4826" spans="1:23" hidden="1">
      <c r="A4826" s="81">
        <v>4824</v>
      </c>
      <c r="B4826" s="86" t="s">
        <v>1477</v>
      </c>
      <c r="C4826" s="86" t="s">
        <v>2252</v>
      </c>
      <c r="D4826" s="89" t="str">
        <f ca="1">OFFSET(Roster!$A$3,MATCH(表格1[[#This Row],[Location]]&amp;" "&amp;表格1[[#This Row],[Shop]]&amp;"*",Roster!$A$4:$A$72,0),DAY(表格1[[#This Row],[date]]),1,1)</f>
        <v>Raymond</v>
      </c>
      <c r="E4826" s="86">
        <f>MONTH(表格1[[#This Row],[date]])</f>
        <v>3</v>
      </c>
      <c r="F4826" s="90">
        <v>46093</v>
      </c>
      <c r="G4826" s="86" t="str">
        <f>VLOOKUP("*"&amp;表格1[[#This Row],[Input]]&amp;"*",'Ref-List'!$B:$D,2,)</f>
        <v>PLK-45SFIH(WT)</v>
      </c>
      <c r="H4826" s="86" t="str">
        <f>_xlfn.XLOOKUP(表格1[[#This Row],[Model]],表格3[Model-Input-Ref2],表格3[Product Line])</f>
        <v>電熱水瓶4.5L</v>
      </c>
      <c r="I4826" s="86" t="str">
        <f>_xlfn.XLOOKUP(表格1[[#This Row],[Model]],表格3[Model-Input-Ref2],表格3[大小電])</f>
        <v>細電</v>
      </c>
      <c r="J4826" s="86" t="str">
        <f>_xlfn.XLOOKUP(表格1[[#This Row],[Model]],表格3[Model-Input-Ref2],表格3[Code])</f>
        <v>SDA</v>
      </c>
      <c r="K4826" s="89" t="s">
        <v>1117</v>
      </c>
      <c r="L4826" s="86">
        <v>1</v>
      </c>
      <c r="M4826" s="87">
        <v>589</v>
      </c>
      <c r="N4826" s="87">
        <f>IFERROR(表格1[[#This Row],[QTY]]*表格1[[#This Row],[Unit Price]],"-")</f>
        <v>589</v>
      </c>
      <c r="O4826" s="86">
        <v>820612</v>
      </c>
      <c r="R4826" s="86" t="str">
        <f>_xlfn.CONCAT(表格1[[#This Row],[Model]]," ",表格1[[#This Row],[inv no]])</f>
        <v>PLK-45SFIH(WT) 820612</v>
      </c>
      <c r="S4826" s="86">
        <f>_xlfn.XLOOKUP(表格1[[#This Row],[Model]],表格3[Model-Input-Ref2],表格3[SRP PRICE])</f>
        <v>788</v>
      </c>
      <c r="T4826" s="43">
        <f>表格1[[#This Row],[Unit Price]]/表格1[[#This Row],[SRP]]</f>
        <v>0.7474619289340102</v>
      </c>
      <c r="U4826" s="86" t="str">
        <f>_xlfn.XLOOKUP(表格1[[#This Row],[Model]],表格3[Model-Input-Ref2],表格3[TOSHIBA/HIGHEST])</f>
        <v>Toshiba SRP</v>
      </c>
      <c r="W4826" s="86" t="str">
        <f>_xlfn.CONCAT(表格1[[#This Row],[欄4]],表格1[[#This Row],[inv no]])</f>
        <v>820612</v>
      </c>
    </row>
    <row r="4827" spans="1:23" hidden="1">
      <c r="A4827" s="81">
        <v>4825</v>
      </c>
      <c r="B4827" s="86" t="s">
        <v>1477</v>
      </c>
      <c r="C4827" s="86" t="s">
        <v>2252</v>
      </c>
      <c r="D4827" s="89" t="str">
        <f ca="1">OFFSET(Roster!$A$3,MATCH(表格1[[#This Row],[Location]]&amp;" "&amp;表格1[[#This Row],[Shop]]&amp;"*",Roster!$A$4:$A$72,0),DAY(表格1[[#This Row],[date]]),1,1)</f>
        <v>Raymond</v>
      </c>
      <c r="E4827" s="86">
        <f>MONTH(表格1[[#This Row],[date]])</f>
        <v>3</v>
      </c>
      <c r="F4827" s="90">
        <v>46093</v>
      </c>
      <c r="G4827" s="86" t="str">
        <f>VLOOKUP("*"&amp;表格1[[#This Row],[Input]]&amp;"*",'Ref-List'!$B:$D,2,)</f>
        <v>PC-48DRSHK(K)</v>
      </c>
      <c r="H4827" s="86" t="str">
        <f>_xlfn.XLOOKUP(表格1[[#This Row],[Model]],表格3[Model-Input-Ref2],表格3[Product Line])</f>
        <v>電壓力鍋</v>
      </c>
      <c r="I4827" s="86" t="str">
        <f>_xlfn.XLOOKUP(表格1[[#This Row],[Model]],表格3[Model-Input-Ref2],表格3[大小電])</f>
        <v>細電</v>
      </c>
      <c r="J4827" s="86" t="str">
        <f>_xlfn.XLOOKUP(表格1[[#This Row],[Model]],表格3[Model-Input-Ref2],表格3[Code])</f>
        <v>SDA</v>
      </c>
      <c r="K4827" s="89" t="s">
        <v>1154</v>
      </c>
      <c r="L4827" s="86">
        <v>1</v>
      </c>
      <c r="M4827" s="87">
        <v>838</v>
      </c>
      <c r="N4827" s="87">
        <f>IFERROR(表格1[[#This Row],[QTY]]*表格1[[#This Row],[Unit Price]],"-")</f>
        <v>838</v>
      </c>
      <c r="O4827" s="86">
        <v>2902659</v>
      </c>
      <c r="R4827" s="86" t="str">
        <f>_xlfn.CONCAT(表格1[[#This Row],[Model]]," ",表格1[[#This Row],[inv no]])</f>
        <v>PC-48DRSHK(K) 2902659</v>
      </c>
      <c r="S4827" s="86">
        <f>_xlfn.XLOOKUP(表格1[[#This Row],[Model]],表格3[Model-Input-Ref2],表格3[SRP PRICE])</f>
        <v>1188</v>
      </c>
      <c r="T4827" s="43">
        <f>表格1[[#This Row],[Unit Price]]/表格1[[#This Row],[SRP]]</f>
        <v>0.70538720538720534</v>
      </c>
      <c r="U4827" s="86" t="str">
        <f>_xlfn.XLOOKUP(表格1[[#This Row],[Model]],表格3[Model-Input-Ref2],表格3[TOSHIBA/HIGHEST])</f>
        <v>Shops Highest Price</v>
      </c>
      <c r="W4827" s="86" t="str">
        <f>_xlfn.CONCAT(表格1[[#This Row],[欄4]],表格1[[#This Row],[inv no]])</f>
        <v>2902659</v>
      </c>
    </row>
    <row r="4828" spans="1:23" hidden="1">
      <c r="A4828" s="81">
        <v>4826</v>
      </c>
      <c r="B4828" s="86" t="s">
        <v>1477</v>
      </c>
      <c r="C4828" s="86" t="s">
        <v>2252</v>
      </c>
      <c r="D4828" s="89" t="str">
        <f ca="1">OFFSET(Roster!$A$3,MATCH(表格1[[#This Row],[Location]]&amp;" "&amp;表格1[[#This Row],[Shop]]&amp;"*",Roster!$A$4:$A$72,0),DAY(表格1[[#This Row],[date]]),1,1)</f>
        <v>Raymond</v>
      </c>
      <c r="E4828" s="86">
        <f>MONTH(表格1[[#This Row],[date]])</f>
        <v>3</v>
      </c>
      <c r="F4828" s="90">
        <v>46093</v>
      </c>
      <c r="G4828" s="86" t="str">
        <f>VLOOKUP("*"&amp;表格1[[#This Row],[Input]]&amp;"*",'Ref-List'!$B:$D,2,)</f>
        <v>IC-S19RH</v>
      </c>
      <c r="H4828" s="86" t="str">
        <f>_xlfn.XLOOKUP(表格1[[#This Row],[Model]],表格3[Model-Input-Ref2],表格3[Product Line])</f>
        <v>輕便式電磁爐7個功能</v>
      </c>
      <c r="I4828" s="86" t="str">
        <f>_xlfn.XLOOKUP(表格1[[#This Row],[Model]],表格3[Model-Input-Ref2],表格3[大小電])</f>
        <v>細電</v>
      </c>
      <c r="J4828" s="86" t="str">
        <f>_xlfn.XLOOKUP(表格1[[#This Row],[Model]],表格3[Model-Input-Ref2],表格3[Code])</f>
        <v>SDA</v>
      </c>
      <c r="K4828" s="89" t="s">
        <v>1289</v>
      </c>
      <c r="L4828" s="86">
        <v>1</v>
      </c>
      <c r="M4828" s="87">
        <v>542</v>
      </c>
      <c r="N4828" s="87">
        <f>IFERROR(表格1[[#This Row],[QTY]]*表格1[[#This Row],[Unit Price]],"-")</f>
        <v>542</v>
      </c>
      <c r="O4828" s="86">
        <v>2902628</v>
      </c>
      <c r="R4828" s="86" t="str">
        <f>_xlfn.CONCAT(表格1[[#This Row],[Model]]," ",表格1[[#This Row],[inv no]])</f>
        <v>IC-S19RH 2902628</v>
      </c>
      <c r="S4828" s="86">
        <f>_xlfn.XLOOKUP(表格1[[#This Row],[Model]],表格3[Model-Input-Ref2],表格3[SRP PRICE])</f>
        <v>638</v>
      </c>
      <c r="T4828" s="43">
        <f>表格1[[#This Row],[Unit Price]]/表格1[[#This Row],[SRP]]</f>
        <v>0.84952978056426331</v>
      </c>
      <c r="U4828" s="86" t="str">
        <f>_xlfn.XLOOKUP(表格1[[#This Row],[Model]],表格3[Model-Input-Ref2],表格3[TOSHIBA/HIGHEST])</f>
        <v>Toshiba SRP</v>
      </c>
      <c r="W4828" s="86" t="str">
        <f>_xlfn.CONCAT(表格1[[#This Row],[欄4]],表格1[[#This Row],[inv no]])</f>
        <v>2902628</v>
      </c>
    </row>
    <row r="4829" spans="1:23" hidden="1">
      <c r="A4829" s="81">
        <v>4827</v>
      </c>
      <c r="B4829" s="86" t="s">
        <v>1477</v>
      </c>
      <c r="C4829" s="86" t="s">
        <v>2252</v>
      </c>
      <c r="D4829" s="89" t="str">
        <f ca="1">OFFSET(Roster!$A$3,MATCH(表格1[[#This Row],[Location]]&amp;" "&amp;表格1[[#This Row],[Shop]]&amp;"*",Roster!$A$4:$A$72,0),DAY(表格1[[#This Row],[date]]),1,1)</f>
        <v>Raymond</v>
      </c>
      <c r="E4829" s="86">
        <f>MONTH(表格1[[#This Row],[date]])</f>
        <v>3</v>
      </c>
      <c r="F4829" s="90">
        <v>46093</v>
      </c>
      <c r="G4829" s="86" t="str">
        <f>VLOOKUP("*"&amp;表格1[[#This Row],[Input]]&amp;"*",'Ref-List'!$B:$D,2,)</f>
        <v>IC-S19RH</v>
      </c>
      <c r="H4829" s="86" t="str">
        <f>_xlfn.XLOOKUP(表格1[[#This Row],[Model]],表格3[Model-Input-Ref2],表格3[Product Line])</f>
        <v>輕便式電磁爐7個功能</v>
      </c>
      <c r="I4829" s="86" t="str">
        <f>_xlfn.XLOOKUP(表格1[[#This Row],[Model]],表格3[Model-Input-Ref2],表格3[大小電])</f>
        <v>細電</v>
      </c>
      <c r="J4829" s="86" t="str">
        <f>_xlfn.XLOOKUP(表格1[[#This Row],[Model]],表格3[Model-Input-Ref2],表格3[Code])</f>
        <v>SDA</v>
      </c>
      <c r="K4829" s="89" t="s">
        <v>1289</v>
      </c>
      <c r="L4829" s="86">
        <v>1</v>
      </c>
      <c r="M4829" s="87">
        <v>542</v>
      </c>
      <c r="N4829" s="87">
        <f>IFERROR(表格1[[#This Row],[QTY]]*表格1[[#This Row],[Unit Price]],"-")</f>
        <v>542</v>
      </c>
      <c r="O4829" s="86">
        <v>2902659</v>
      </c>
      <c r="R4829" s="86" t="str">
        <f>_xlfn.CONCAT(表格1[[#This Row],[Model]]," ",表格1[[#This Row],[inv no]])</f>
        <v>IC-S19RH 2902659</v>
      </c>
      <c r="S4829" s="86">
        <f>_xlfn.XLOOKUP(表格1[[#This Row],[Model]],表格3[Model-Input-Ref2],表格3[SRP PRICE])</f>
        <v>638</v>
      </c>
      <c r="T4829" s="43">
        <f>表格1[[#This Row],[Unit Price]]/表格1[[#This Row],[SRP]]</f>
        <v>0.84952978056426331</v>
      </c>
      <c r="U4829" s="86" t="str">
        <f>_xlfn.XLOOKUP(表格1[[#This Row],[Model]],表格3[Model-Input-Ref2],表格3[TOSHIBA/HIGHEST])</f>
        <v>Toshiba SRP</v>
      </c>
      <c r="W4829" s="86" t="str">
        <f>_xlfn.CONCAT(表格1[[#This Row],[欄4]],表格1[[#This Row],[inv no]])</f>
        <v>2902659</v>
      </c>
    </row>
    <row r="4830" spans="1:23" hidden="1">
      <c r="A4830" s="81">
        <v>4828</v>
      </c>
      <c r="B4830" s="86" t="s">
        <v>1477</v>
      </c>
      <c r="C4830" s="86" t="s">
        <v>2252</v>
      </c>
      <c r="D4830" s="89" t="str">
        <f ca="1">OFFSET(Roster!$A$3,MATCH(表格1[[#This Row],[Location]]&amp;" "&amp;表格1[[#This Row],[Shop]]&amp;"*",Roster!$A$4:$A$72,0),DAY(表格1[[#This Row],[date]]),1,1)</f>
        <v>Raymond off</v>
      </c>
      <c r="E4830" s="86">
        <f>MONTH(表格1[[#This Row],[date]])</f>
        <v>3</v>
      </c>
      <c r="F4830" s="90">
        <v>46095</v>
      </c>
      <c r="G4830" s="86" t="str">
        <f>VLOOKUP("*"&amp;表格1[[#This Row],[Input]]&amp;"*",'Ref-List'!$B:$D,2,)</f>
        <v>RC-10IRPH</v>
      </c>
      <c r="H4830" s="86" t="str">
        <f>_xlfn.XLOOKUP(表格1[[#This Row],[Model]],表格3[Model-Input-Ref2],表格3[Product Line])</f>
        <v>低醣磁應電飯煲1L</v>
      </c>
      <c r="I4830" s="86" t="str">
        <f>_xlfn.XLOOKUP(表格1[[#This Row],[Model]],表格3[Model-Input-Ref2],表格3[大小電])</f>
        <v>細電</v>
      </c>
      <c r="J4830" s="86" t="str">
        <f>_xlfn.XLOOKUP(表格1[[#This Row],[Model]],表格3[Model-Input-Ref2],表格3[Code])</f>
        <v>SDA</v>
      </c>
      <c r="K4830" s="89" t="s">
        <v>1297</v>
      </c>
      <c r="L4830" s="86">
        <v>1</v>
      </c>
      <c r="M4830" s="87">
        <v>798</v>
      </c>
      <c r="N4830" s="87">
        <f>IFERROR(表格1[[#This Row],[QTY]]*表格1[[#This Row],[Unit Price]],"-")</f>
        <v>798</v>
      </c>
      <c r="O4830" s="86">
        <v>1625071</v>
      </c>
      <c r="R4830" s="86" t="str">
        <f>_xlfn.CONCAT(表格1[[#This Row],[Model]]," ",表格1[[#This Row],[inv no]])</f>
        <v>RC-10IRPH 1625071</v>
      </c>
      <c r="S4830" s="86">
        <f>_xlfn.XLOOKUP(表格1[[#This Row],[Model]],表格3[Model-Input-Ref2],表格3[SRP PRICE])</f>
        <v>1388</v>
      </c>
      <c r="T4830" s="43">
        <f>表格1[[#This Row],[Unit Price]]/表格1[[#This Row],[SRP]]</f>
        <v>0.5749279538904899</v>
      </c>
      <c r="U4830" s="86" t="str">
        <f>_xlfn.XLOOKUP(表格1[[#This Row],[Model]],表格3[Model-Input-Ref2],表格3[TOSHIBA/HIGHEST])</f>
        <v>Toshiba SRP</v>
      </c>
      <c r="W4830" s="86" t="str">
        <f>_xlfn.CONCAT(表格1[[#This Row],[欄4]],表格1[[#This Row],[inv no]])</f>
        <v>1625071</v>
      </c>
    </row>
    <row r="4831" spans="1:23" hidden="1">
      <c r="A4831" s="81">
        <v>4829</v>
      </c>
      <c r="B4831" s="86" t="s">
        <v>1477</v>
      </c>
      <c r="C4831" s="86" t="s">
        <v>2252</v>
      </c>
      <c r="D4831" s="89" t="str">
        <f ca="1">OFFSET(Roster!$A$3,MATCH(表格1[[#This Row],[Location]]&amp;" "&amp;表格1[[#This Row],[Shop]]&amp;"*",Roster!$A$4:$A$72,0),DAY(表格1[[#This Row],[date]]),1,1)</f>
        <v>Raymond off</v>
      </c>
      <c r="E4831" s="86">
        <f>MONTH(表格1[[#This Row],[date]])</f>
        <v>3</v>
      </c>
      <c r="F4831" s="90">
        <v>46095</v>
      </c>
      <c r="G4831" s="86" t="str">
        <f>VLOOKUP("*"&amp;表格1[[#This Row],[Input]]&amp;"*",'Ref-List'!$B:$D,2,)</f>
        <v>RAD-D300H</v>
      </c>
      <c r="H4831" s="86" t="str">
        <f>_xlfn.XLOOKUP(表格1[[#This Row],[Model]],表格3[Model-Input-Ref2],表格3[Product Line])</f>
        <v>壓縮式抽濕機 (30公升)</v>
      </c>
      <c r="I4831" s="86" t="str">
        <f>_xlfn.XLOOKUP(表格1[[#This Row],[Model]],表格3[Model-Input-Ref2],表格3[大小電])</f>
        <v>細電</v>
      </c>
      <c r="J4831" s="86" t="str">
        <f>_xlfn.XLOOKUP(表格1[[#This Row],[Model]],表格3[Model-Input-Ref2],表格3[Code])</f>
        <v>RAC</v>
      </c>
      <c r="K4831" s="89" t="s">
        <v>1252</v>
      </c>
      <c r="L4831" s="86">
        <v>1</v>
      </c>
      <c r="M4831" s="87">
        <v>2580</v>
      </c>
      <c r="N4831" s="87">
        <f>IFERROR(表格1[[#This Row],[QTY]]*表格1[[#This Row],[Unit Price]],"-")</f>
        <v>2580</v>
      </c>
      <c r="O4831" s="86">
        <v>2706640</v>
      </c>
      <c r="R4831" s="86" t="str">
        <f>_xlfn.CONCAT(表格1[[#This Row],[Model]]," ",表格1[[#This Row],[inv no]])</f>
        <v>RAD-D300H 2706640</v>
      </c>
      <c r="S4831" s="86">
        <f>_xlfn.XLOOKUP(表格1[[#This Row],[Model]],表格3[Model-Input-Ref2],表格3[SRP PRICE])</f>
        <v>3380</v>
      </c>
      <c r="T4831" s="43">
        <f>表格1[[#This Row],[Unit Price]]/表格1[[#This Row],[SRP]]</f>
        <v>0.76331360946745563</v>
      </c>
      <c r="U4831" s="86" t="str">
        <f>_xlfn.XLOOKUP(表格1[[#This Row],[Model]],表格3[Model-Input-Ref2],表格3[TOSHIBA/HIGHEST])</f>
        <v>Shops Highest Price</v>
      </c>
      <c r="W4831" s="86" t="str">
        <f>_xlfn.CONCAT(表格1[[#This Row],[欄4]],表格1[[#This Row],[inv no]])</f>
        <v>2706640</v>
      </c>
    </row>
    <row r="4832" spans="1:23" hidden="1">
      <c r="A4832" s="81">
        <v>4830</v>
      </c>
      <c r="B4832" s="86" t="s">
        <v>1477</v>
      </c>
      <c r="C4832" s="86" t="s">
        <v>2252</v>
      </c>
      <c r="D4832" s="89" t="str">
        <f ca="1">OFFSET(Roster!$A$3,MATCH(表格1[[#This Row],[Location]]&amp;" "&amp;表格1[[#This Row],[Shop]]&amp;"*",Roster!$A$4:$A$72,0),DAY(表格1[[#This Row],[date]]),1,1)</f>
        <v>Raymond off</v>
      </c>
      <c r="E4832" s="86">
        <f>MONTH(表格1[[#This Row],[date]])</f>
        <v>3</v>
      </c>
      <c r="F4832" s="90">
        <v>46095</v>
      </c>
      <c r="G4832" s="86" t="str">
        <f>VLOOKUP("*"&amp;表格1[[#This Row],[Input]]&amp;"*",'Ref-List'!$B:$D,2,)</f>
        <v>MM2-EM20PC(WH)</v>
      </c>
      <c r="H4832" s="86" t="str">
        <f>_xlfn.XLOOKUP(表格1[[#This Row],[Model]],表格3[Model-Input-Ref2],表格3[Product Line])</f>
        <v>輕觸式微波爐 (20公升)</v>
      </c>
      <c r="I4832" s="86" t="str">
        <f>_xlfn.XLOOKUP(表格1[[#This Row],[Model]],表格3[Model-Input-Ref2],表格3[大小電])</f>
        <v>細電</v>
      </c>
      <c r="J4832" s="86" t="str">
        <f>_xlfn.XLOOKUP(表格1[[#This Row],[Model]],表格3[Model-Input-Ref2],表格3[Code])</f>
        <v>MCA</v>
      </c>
      <c r="K4832" s="89" t="s">
        <v>1276</v>
      </c>
      <c r="L4832" s="86">
        <v>1</v>
      </c>
      <c r="M4832" s="87">
        <v>638</v>
      </c>
      <c r="N4832" s="87">
        <f>IFERROR(表格1[[#This Row],[QTY]]*表格1[[#This Row],[Unit Price]],"-")</f>
        <v>638</v>
      </c>
      <c r="O4832" s="86">
        <v>2810850</v>
      </c>
      <c r="R4832" s="86" t="str">
        <f>_xlfn.CONCAT(表格1[[#This Row],[Model]]," ",表格1[[#This Row],[inv no]])</f>
        <v>MM2-EM20PC(WH) 2810850</v>
      </c>
      <c r="S4832" s="86">
        <f>_xlfn.XLOOKUP(表格1[[#This Row],[Model]],表格3[Model-Input-Ref2],表格3[SRP PRICE])</f>
        <v>788</v>
      </c>
      <c r="T4832" s="43">
        <f>表格1[[#This Row],[Unit Price]]/表格1[[#This Row],[SRP]]</f>
        <v>0.80964467005076146</v>
      </c>
      <c r="U4832" s="86" t="str">
        <f>_xlfn.XLOOKUP(表格1[[#This Row],[Model]],表格3[Model-Input-Ref2],表格3[TOSHIBA/HIGHEST])</f>
        <v>Toshiba SRP</v>
      </c>
      <c r="W4832" s="86" t="str">
        <f>_xlfn.CONCAT(表格1[[#This Row],[欄4]],表格1[[#This Row],[inv no]])</f>
        <v>2810850</v>
      </c>
    </row>
    <row r="4833" spans="1:23" hidden="1">
      <c r="A4833" s="81">
        <v>4831</v>
      </c>
      <c r="B4833" s="86" t="s">
        <v>1477</v>
      </c>
      <c r="C4833" s="86" t="s">
        <v>2252</v>
      </c>
      <c r="D4833" s="89" t="str">
        <f ca="1">OFFSET(Roster!$A$3,MATCH(表格1[[#This Row],[Location]]&amp;" "&amp;表格1[[#This Row],[Shop]]&amp;"*",Roster!$A$4:$A$72,0),DAY(表格1[[#This Row],[date]]),1,1)</f>
        <v>Raymond</v>
      </c>
      <c r="E4833" s="86">
        <f>MONTH(表格1[[#This Row],[date]])</f>
        <v>3</v>
      </c>
      <c r="F4833" s="90">
        <v>46096</v>
      </c>
      <c r="G4833" s="86" t="str">
        <f>VLOOKUP("*"&amp;表格1[[#This Row],[Input]]&amp;"*",'Ref-List'!$B:$D,2,)</f>
        <v>RC-7HMH</v>
      </c>
      <c r="H4833" s="86" t="str">
        <f>_xlfn.XLOOKUP(表格1[[#This Row],[Model]],表格3[Model-Input-Ref2],表格3[Product Line])</f>
        <v>備長炭本厚釜電飯煲0.7L</v>
      </c>
      <c r="I4833" s="86" t="str">
        <f>_xlfn.XLOOKUP(表格1[[#This Row],[Model]],表格3[Model-Input-Ref2],表格3[大小電])</f>
        <v>細電</v>
      </c>
      <c r="J4833" s="86" t="str">
        <f>_xlfn.XLOOKUP(表格1[[#This Row],[Model]],表格3[Model-Input-Ref2],表格3[Code])</f>
        <v>SDA</v>
      </c>
      <c r="K4833" s="89" t="s">
        <v>1284</v>
      </c>
      <c r="L4833" s="86">
        <v>1</v>
      </c>
      <c r="M4833" s="87">
        <v>838</v>
      </c>
      <c r="N4833" s="87">
        <f>IFERROR(表格1[[#This Row],[QTY]]*表格1[[#This Row],[Unit Price]],"-")</f>
        <v>838</v>
      </c>
      <c r="O4833" s="86">
        <v>1625140</v>
      </c>
      <c r="R4833" s="86" t="str">
        <f>_xlfn.CONCAT(表格1[[#This Row],[Model]]," ",表格1[[#This Row],[inv no]])</f>
        <v>RC-7HMH 1625140</v>
      </c>
      <c r="S4833" s="86">
        <f>_xlfn.XLOOKUP(表格1[[#This Row],[Model]],表格3[Model-Input-Ref2],表格3[SRP PRICE])</f>
        <v>1288</v>
      </c>
      <c r="T4833" s="43">
        <f>表格1[[#This Row],[Unit Price]]/表格1[[#This Row],[SRP]]</f>
        <v>0.65062111801242239</v>
      </c>
      <c r="U4833" s="86" t="str">
        <f>_xlfn.XLOOKUP(表格1[[#This Row],[Model]],表格3[Model-Input-Ref2],表格3[TOSHIBA/HIGHEST])</f>
        <v>Toshiba SRP</v>
      </c>
      <c r="W4833" s="86" t="str">
        <f>_xlfn.CONCAT(表格1[[#This Row],[欄4]],表格1[[#This Row],[inv no]])</f>
        <v>1625140</v>
      </c>
    </row>
    <row r="4834" spans="1:23" hidden="1">
      <c r="A4834" s="81">
        <v>4832</v>
      </c>
      <c r="B4834" s="86" t="s">
        <v>1477</v>
      </c>
      <c r="C4834" s="86" t="s">
        <v>2252</v>
      </c>
      <c r="D4834" s="89" t="str">
        <f ca="1">OFFSET(Roster!$A$3,MATCH(表格1[[#This Row],[Location]]&amp;" "&amp;表格1[[#This Row],[Shop]]&amp;"*",Roster!$A$4:$A$72,0),DAY(表格1[[#This Row],[date]]),1,1)</f>
        <v>Raymond</v>
      </c>
      <c r="E4834" s="86">
        <f>MONTH(表格1[[#This Row],[date]])</f>
        <v>3</v>
      </c>
      <c r="F4834" s="90">
        <v>46096</v>
      </c>
      <c r="G4834" s="86" t="str">
        <f>VLOOKUP("*"&amp;表格1[[#This Row],[Input]]&amp;"*",'Ref-List'!$B:$D,2,)</f>
        <v>RC-DR10T(W)</v>
      </c>
      <c r="H4834" s="86" t="str">
        <f>_xlfn.XLOOKUP(表格1[[#This Row],[Model]],表格3[Model-Input-Ref2],表格3[Product Line])</f>
        <v>IH磁應電飯煲</v>
      </c>
      <c r="I4834" s="86" t="str">
        <f>_xlfn.XLOOKUP(表格1[[#This Row],[Model]],表格3[Model-Input-Ref2],表格3[大小電])</f>
        <v>細電</v>
      </c>
      <c r="J4834" s="86" t="str">
        <f>_xlfn.XLOOKUP(表格1[[#This Row],[Model]],表格3[Model-Input-Ref2],表格3[Code])</f>
        <v>SDA</v>
      </c>
      <c r="K4834" s="89" t="s">
        <v>1294</v>
      </c>
      <c r="L4834" s="86">
        <v>1</v>
      </c>
      <c r="M4834" s="87">
        <v>2380</v>
      </c>
      <c r="N4834" s="87">
        <f>IFERROR(表格1[[#This Row],[QTY]]*表格1[[#This Row],[Unit Price]],"-")</f>
        <v>2380</v>
      </c>
      <c r="O4834" s="86">
        <v>820390</v>
      </c>
      <c r="R4834" s="86" t="str">
        <f>_xlfn.CONCAT(表格1[[#This Row],[Model]]," ",表格1[[#This Row],[inv no]])</f>
        <v>RC-DR10T(W) 820390</v>
      </c>
      <c r="S4834" s="86">
        <f>_xlfn.XLOOKUP(表格1[[#This Row],[Model]],表格3[Model-Input-Ref2],表格3[SRP PRICE])</f>
        <v>3188</v>
      </c>
      <c r="T4834" s="43">
        <f>表格1[[#This Row],[Unit Price]]/表格1[[#This Row],[SRP]]</f>
        <v>0.74654956085319946</v>
      </c>
      <c r="U4834" s="86" t="str">
        <f>_xlfn.XLOOKUP(表格1[[#This Row],[Model]],表格3[Model-Input-Ref2],表格3[TOSHIBA/HIGHEST])</f>
        <v>Toshiba SRP</v>
      </c>
      <c r="W4834" s="86" t="str">
        <f>_xlfn.CONCAT(表格1[[#This Row],[欄4]],表格1[[#This Row],[inv no]])</f>
        <v>820390</v>
      </c>
    </row>
    <row r="4835" spans="1:23" hidden="1">
      <c r="A4835" s="81">
        <v>4833</v>
      </c>
      <c r="B4835" s="86" t="s">
        <v>1477</v>
      </c>
      <c r="C4835" s="86" t="s">
        <v>2252</v>
      </c>
      <c r="D4835" s="89" t="str">
        <f ca="1">OFFSET(Roster!$A$3,MATCH(表格1[[#This Row],[Location]]&amp;" "&amp;表格1[[#This Row],[Shop]]&amp;"*",Roster!$A$4:$A$72,0),DAY(表格1[[#This Row],[date]]),1,1)</f>
        <v>Raymond</v>
      </c>
      <c r="E4835" s="86">
        <f>MONTH(表格1[[#This Row],[date]])</f>
        <v>3</v>
      </c>
      <c r="F4835" s="90">
        <v>46096</v>
      </c>
      <c r="G4835" s="86" t="str">
        <f>VLOOKUP("*"&amp;表格1[[#This Row],[Input]]&amp;"*",'Ref-List'!$B:$D,2,)</f>
        <v>RC-DS10K(R)</v>
      </c>
      <c r="H4835" s="86" t="str">
        <f>_xlfn.XLOOKUP(表格1[[#This Row],[Model]],表格3[Model-Input-Ref2],表格3[Product Line])</f>
        <v>IH磁應電飯煲</v>
      </c>
      <c r="I4835" s="86" t="str">
        <f>_xlfn.XLOOKUP(表格1[[#This Row],[Model]],表格3[Model-Input-Ref2],表格3[大小電])</f>
        <v>細電</v>
      </c>
      <c r="J4835" s="86" t="str">
        <f>_xlfn.XLOOKUP(表格1[[#This Row],[Model]],表格3[Model-Input-Ref2],表格3[Code])</f>
        <v>SDA</v>
      </c>
      <c r="K4835" s="89" t="s">
        <v>1424</v>
      </c>
      <c r="L4835" s="86">
        <v>1</v>
      </c>
      <c r="M4835" s="87">
        <v>3150</v>
      </c>
      <c r="N4835" s="87">
        <f>IFERROR(表格1[[#This Row],[QTY]]*表格1[[#This Row],[Unit Price]],"-")</f>
        <v>3150</v>
      </c>
      <c r="O4835" s="86">
        <v>2902764</v>
      </c>
      <c r="R4835" s="86" t="str">
        <f>_xlfn.CONCAT(表格1[[#This Row],[Model]]," ",表格1[[#This Row],[inv no]])</f>
        <v>RC-DS10K(R) 2902764</v>
      </c>
      <c r="S4835" s="86">
        <f>_xlfn.XLOOKUP(表格1[[#This Row],[Model]],表格3[Model-Input-Ref2],表格3[SRP PRICE])</f>
        <v>4588</v>
      </c>
      <c r="T4835" s="43">
        <f>表格1[[#This Row],[Unit Price]]/表格1[[#This Row],[SRP]]</f>
        <v>0.68657367044463824</v>
      </c>
      <c r="U4835" s="86" t="str">
        <f>_xlfn.XLOOKUP(表格1[[#This Row],[Model]],表格3[Model-Input-Ref2],表格3[TOSHIBA/HIGHEST])</f>
        <v>Toshiba SRP</v>
      </c>
      <c r="W4835" s="86" t="str">
        <f>_xlfn.CONCAT(表格1[[#This Row],[欄4]],表格1[[#This Row],[inv no]])</f>
        <v>2902764</v>
      </c>
    </row>
    <row r="4836" spans="1:23" hidden="1">
      <c r="A4836" s="81">
        <v>4834</v>
      </c>
      <c r="B4836" s="86" t="s">
        <v>1477</v>
      </c>
      <c r="C4836" s="86" t="s">
        <v>2252</v>
      </c>
      <c r="D4836" s="89" t="str">
        <f ca="1">OFFSET(Roster!$A$3,MATCH(表格1[[#This Row],[Location]]&amp;" "&amp;表格1[[#This Row],[Shop]]&amp;"*",Roster!$A$4:$A$72,0),DAY(表格1[[#This Row],[date]]),1,1)</f>
        <v>Raymond</v>
      </c>
      <c r="E4836" s="86">
        <f>MONTH(表格1[[#This Row],[date]])</f>
        <v>3</v>
      </c>
      <c r="F4836" s="90">
        <v>46096</v>
      </c>
      <c r="G4836" s="86" t="str">
        <f>VLOOKUP("*"&amp;表格1[[#This Row],[Input]]&amp;"*",'Ref-List'!$B:$D,2,)</f>
        <v>RC-10AMXH(W)</v>
      </c>
      <c r="H4836" s="86" t="str">
        <f>_xlfn.XLOOKUP(表格1[[#This Row],[Model]],表格3[Model-Input-Ref2],表格3[Product Line])</f>
        <v>酵活炊電飯煲(1.0公升)</v>
      </c>
      <c r="I4836" s="86" t="str">
        <f>_xlfn.XLOOKUP(表格1[[#This Row],[Model]],表格3[Model-Input-Ref2],表格3[大小電])</f>
        <v>細電</v>
      </c>
      <c r="J4836" s="86" t="str">
        <f>_xlfn.XLOOKUP(表格1[[#This Row],[Model]],表格3[Model-Input-Ref2],表格3[Code])</f>
        <v>SDA</v>
      </c>
      <c r="K4836" s="89" t="s">
        <v>1279</v>
      </c>
      <c r="L4836" s="86">
        <v>1</v>
      </c>
      <c r="M4836" s="87">
        <v>1088</v>
      </c>
      <c r="N4836" s="87">
        <f>IFERROR(表格1[[#This Row],[QTY]]*表格1[[#This Row],[Unit Price]],"-")</f>
        <v>1088</v>
      </c>
      <c r="O4836" s="86">
        <v>2902784</v>
      </c>
      <c r="R4836" s="86" t="str">
        <f>_xlfn.CONCAT(表格1[[#This Row],[Model]]," ",表格1[[#This Row],[inv no]])</f>
        <v>RC-10AMXH(W) 2902784</v>
      </c>
      <c r="S4836" s="86">
        <f>_xlfn.XLOOKUP(表格1[[#This Row],[Model]],表格3[Model-Input-Ref2],表格3[SRP PRICE])</f>
        <v>1288</v>
      </c>
      <c r="T4836" s="43">
        <f>表格1[[#This Row],[Unit Price]]/表格1[[#This Row],[SRP]]</f>
        <v>0.84472049689440998</v>
      </c>
      <c r="U4836" s="86" t="str">
        <f>_xlfn.XLOOKUP(表格1[[#This Row],[Model]],表格3[Model-Input-Ref2],表格3[TOSHIBA/HIGHEST])</f>
        <v>Toshiba SRP</v>
      </c>
      <c r="W4836" s="86" t="str">
        <f>_xlfn.CONCAT(表格1[[#This Row],[欄4]],表格1[[#This Row],[inv no]])</f>
        <v>2902784</v>
      </c>
    </row>
    <row r="4837" spans="1:23" hidden="1">
      <c r="A4837" s="81">
        <v>4835</v>
      </c>
      <c r="B4837" s="86" t="s">
        <v>1477</v>
      </c>
      <c r="C4837" s="86" t="s">
        <v>2252</v>
      </c>
      <c r="D4837" s="89" t="str">
        <f ca="1">OFFSET(Roster!$A$3,MATCH(表格1[[#This Row],[Location]]&amp;" "&amp;表格1[[#This Row],[Shop]]&amp;"*",Roster!$A$4:$A$72,0),DAY(表格1[[#This Row],[date]]),1,1)</f>
        <v>Raymond</v>
      </c>
      <c r="E4837" s="86">
        <f>MONTH(表格1[[#This Row],[date]])</f>
        <v>3</v>
      </c>
      <c r="F4837" s="90">
        <v>46097</v>
      </c>
      <c r="G4837" s="86" t="str">
        <f>VLOOKUP("*"&amp;表格1[[#This Row],[Input]]&amp;"*",'Ref-List'!$B:$D,2,)</f>
        <v>RC-10AMXH(W)</v>
      </c>
      <c r="H4837" s="86" t="str">
        <f>_xlfn.XLOOKUP(表格1[[#This Row],[Model]],表格3[Model-Input-Ref2],表格3[Product Line])</f>
        <v>酵活炊電飯煲(1.0公升)</v>
      </c>
      <c r="I4837" s="86" t="str">
        <f>_xlfn.XLOOKUP(表格1[[#This Row],[Model]],表格3[Model-Input-Ref2],表格3[大小電])</f>
        <v>細電</v>
      </c>
      <c r="J4837" s="86" t="str">
        <f>_xlfn.XLOOKUP(表格1[[#This Row],[Model]],表格3[Model-Input-Ref2],表格3[Code])</f>
        <v>SDA</v>
      </c>
      <c r="K4837" s="89" t="s">
        <v>1279</v>
      </c>
      <c r="L4837" s="86">
        <v>1</v>
      </c>
      <c r="M4837" s="87">
        <v>1088</v>
      </c>
      <c r="N4837" s="87">
        <f>IFERROR(表格1[[#This Row],[QTY]]*表格1[[#This Row],[Unit Price]],"-")</f>
        <v>1088</v>
      </c>
      <c r="O4837" s="86">
        <v>2902809</v>
      </c>
      <c r="R4837" s="86" t="str">
        <f>_xlfn.CONCAT(表格1[[#This Row],[Model]]," ",表格1[[#This Row],[inv no]])</f>
        <v>RC-10AMXH(W) 2902809</v>
      </c>
      <c r="S4837" s="86">
        <f>_xlfn.XLOOKUP(表格1[[#This Row],[Model]],表格3[Model-Input-Ref2],表格3[SRP PRICE])</f>
        <v>1288</v>
      </c>
      <c r="T4837" s="43">
        <f>表格1[[#This Row],[Unit Price]]/表格1[[#This Row],[SRP]]</f>
        <v>0.84472049689440998</v>
      </c>
      <c r="U4837" s="86" t="str">
        <f>_xlfn.XLOOKUP(表格1[[#This Row],[Model]],表格3[Model-Input-Ref2],表格3[TOSHIBA/HIGHEST])</f>
        <v>Toshiba SRP</v>
      </c>
      <c r="W4837" s="86" t="str">
        <f>_xlfn.CONCAT(表格1[[#This Row],[欄4]],表格1[[#This Row],[inv no]])</f>
        <v>2902809</v>
      </c>
    </row>
    <row r="4838" spans="1:23" hidden="1">
      <c r="A4838" s="81">
        <v>4836</v>
      </c>
      <c r="B4838" s="86" t="s">
        <v>1477</v>
      </c>
      <c r="C4838" s="86" t="s">
        <v>2252</v>
      </c>
      <c r="D4838" s="89" t="str">
        <f ca="1">OFFSET(Roster!$A$3,MATCH(表格1[[#This Row],[Location]]&amp;" "&amp;表格1[[#This Row],[Shop]]&amp;"*",Roster!$A$4:$A$72,0),DAY(表格1[[#This Row],[date]]),1,1)</f>
        <v>Raymond</v>
      </c>
      <c r="E4838" s="86">
        <f>MONTH(表格1[[#This Row],[date]])</f>
        <v>3</v>
      </c>
      <c r="F4838" s="90">
        <v>46097</v>
      </c>
      <c r="G4838" s="86" t="str">
        <f>VLOOKUP("*"&amp;表格1[[#This Row],[Input]]&amp;"*",'Ref-List'!$B:$D,2,)</f>
        <v>MS3-STQ20SC(WH)</v>
      </c>
      <c r="H4838" s="86" t="str">
        <f>_xlfn.XLOOKUP(表格1[[#This Row],[Model]],表格3[Model-Input-Ref2],表格3[Product Line])</f>
        <v>20L 智能蒸氣焗爐</v>
      </c>
      <c r="I4838" s="86" t="str">
        <f>_xlfn.XLOOKUP(表格1[[#This Row],[Model]],表格3[Model-Input-Ref2],表格3[大小電])</f>
        <v>細電</v>
      </c>
      <c r="J4838" s="86" t="str">
        <f>_xlfn.XLOOKUP(表格1[[#This Row],[Model]],表格3[Model-Input-Ref2],表格3[Code])</f>
        <v>MCA</v>
      </c>
      <c r="K4838" s="89" t="s">
        <v>1383</v>
      </c>
      <c r="L4838" s="86">
        <v>1</v>
      </c>
      <c r="M4838" s="87">
        <v>2100</v>
      </c>
      <c r="N4838" s="87">
        <f>IFERROR(表格1[[#This Row],[QTY]]*表格1[[#This Row],[Unit Price]],"-")</f>
        <v>2100</v>
      </c>
      <c r="O4838" s="86">
        <v>2902777</v>
      </c>
      <c r="R4838" s="86" t="str">
        <f>_xlfn.CONCAT(表格1[[#This Row],[Model]]," ",表格1[[#This Row],[inv no]])</f>
        <v>MS3-STQ20SC(WH) 2902777</v>
      </c>
      <c r="S4838" s="86">
        <f>_xlfn.XLOOKUP(表格1[[#This Row],[Model]],表格3[Model-Input-Ref2],表格3[SRP PRICE])</f>
        <v>2880</v>
      </c>
      <c r="T4838" s="43">
        <f>表格1[[#This Row],[Unit Price]]/表格1[[#This Row],[SRP]]</f>
        <v>0.72916666666666663</v>
      </c>
      <c r="U4838" s="86" t="str">
        <f>_xlfn.XLOOKUP(表格1[[#This Row],[Model]],表格3[Model-Input-Ref2],表格3[TOSHIBA/HIGHEST])</f>
        <v>Toshiba SRP</v>
      </c>
      <c r="W4838" s="86" t="str">
        <f>_xlfn.CONCAT(表格1[[#This Row],[欄4]],表格1[[#This Row],[inv no]])</f>
        <v>2902777</v>
      </c>
    </row>
    <row r="4839" spans="1:23" hidden="1">
      <c r="A4839" s="81">
        <v>4837</v>
      </c>
      <c r="B4839" s="86" t="s">
        <v>1477</v>
      </c>
      <c r="C4839" s="86" t="s">
        <v>2252</v>
      </c>
      <c r="D4839" s="89" t="str">
        <f ca="1">OFFSET(Roster!$A$3,MATCH(表格1[[#This Row],[Location]]&amp;" "&amp;表格1[[#This Row],[Shop]]&amp;"*",Roster!$A$4:$A$72,0),DAY(表格1[[#This Row],[date]]),1,1)</f>
        <v>Raymond</v>
      </c>
      <c r="E4839" s="86">
        <f>MONTH(表格1[[#This Row],[date]])</f>
        <v>3</v>
      </c>
      <c r="F4839" s="90">
        <v>46097</v>
      </c>
      <c r="G4839" s="86" t="str">
        <f>VLOOKUP("*"&amp;表格1[[#This Row],[Input]]&amp;"*",'Ref-List'!$B:$D,2,)</f>
        <v>MM2-EM20PC(WH)</v>
      </c>
      <c r="H4839" s="86" t="str">
        <f>_xlfn.XLOOKUP(表格1[[#This Row],[Model]],表格3[Model-Input-Ref2],表格3[Product Line])</f>
        <v>輕觸式微波爐 (20公升)</v>
      </c>
      <c r="I4839" s="86" t="str">
        <f>_xlfn.XLOOKUP(表格1[[#This Row],[Model]],表格3[Model-Input-Ref2],表格3[大小電])</f>
        <v>細電</v>
      </c>
      <c r="J4839" s="86" t="str">
        <f>_xlfn.XLOOKUP(表格1[[#This Row],[Model]],表格3[Model-Input-Ref2],表格3[Code])</f>
        <v>MCA</v>
      </c>
      <c r="K4839" s="89" t="s">
        <v>1276</v>
      </c>
      <c r="L4839" s="86">
        <v>1</v>
      </c>
      <c r="M4839" s="87">
        <v>638</v>
      </c>
      <c r="N4839" s="87">
        <f>IFERROR(表格1[[#This Row],[QTY]]*表格1[[#This Row],[Unit Price]],"-")</f>
        <v>638</v>
      </c>
      <c r="O4839" s="86">
        <v>2902822</v>
      </c>
      <c r="R4839" s="86" t="str">
        <f>_xlfn.CONCAT(表格1[[#This Row],[Model]]," ",表格1[[#This Row],[inv no]])</f>
        <v>MM2-EM20PC(WH) 2902822</v>
      </c>
      <c r="S4839" s="86">
        <f>_xlfn.XLOOKUP(表格1[[#This Row],[Model]],表格3[Model-Input-Ref2],表格3[SRP PRICE])</f>
        <v>788</v>
      </c>
      <c r="T4839" s="43">
        <f>表格1[[#This Row],[Unit Price]]/表格1[[#This Row],[SRP]]</f>
        <v>0.80964467005076146</v>
      </c>
      <c r="U4839" s="86" t="str">
        <f>_xlfn.XLOOKUP(表格1[[#This Row],[Model]],表格3[Model-Input-Ref2],表格3[TOSHIBA/HIGHEST])</f>
        <v>Toshiba SRP</v>
      </c>
      <c r="W4839" s="86" t="str">
        <f>_xlfn.CONCAT(表格1[[#This Row],[欄4]],表格1[[#This Row],[inv no]])</f>
        <v>2902822</v>
      </c>
    </row>
    <row r="4840" spans="1:23" hidden="1">
      <c r="A4840" s="81">
        <v>4838</v>
      </c>
      <c r="B4840" s="86" t="s">
        <v>1477</v>
      </c>
      <c r="C4840" s="86" t="s">
        <v>2252</v>
      </c>
      <c r="D4840" s="89" t="str">
        <f ca="1">OFFSET(Roster!$A$3,MATCH(表格1[[#This Row],[Location]]&amp;" "&amp;表格1[[#This Row],[Shop]]&amp;"*",Roster!$A$4:$A$72,0),DAY(表格1[[#This Row],[date]]),1,1)</f>
        <v>Raymond</v>
      </c>
      <c r="E4840" s="86">
        <f>MONTH(表格1[[#This Row],[date]])</f>
        <v>3</v>
      </c>
      <c r="F4840" s="90">
        <v>46097</v>
      </c>
      <c r="G4840" s="86" t="str">
        <f>VLOOKUP("*"&amp;表格1[[#This Row],[Input]]&amp;"*",'Ref-List'!$B:$D,2,)</f>
        <v>MM2-EM20PC(WH)</v>
      </c>
      <c r="H4840" s="86" t="str">
        <f>_xlfn.XLOOKUP(表格1[[#This Row],[Model]],表格3[Model-Input-Ref2],表格3[Product Line])</f>
        <v>輕觸式微波爐 (20公升)</v>
      </c>
      <c r="I4840" s="86" t="str">
        <f>_xlfn.XLOOKUP(表格1[[#This Row],[Model]],表格3[Model-Input-Ref2],表格3[大小電])</f>
        <v>細電</v>
      </c>
      <c r="J4840" s="86" t="str">
        <f>_xlfn.XLOOKUP(表格1[[#This Row],[Model]],表格3[Model-Input-Ref2],表格3[Code])</f>
        <v>MCA</v>
      </c>
      <c r="K4840" s="89" t="s">
        <v>1276</v>
      </c>
      <c r="L4840" s="86">
        <v>1</v>
      </c>
      <c r="M4840" s="87">
        <v>638</v>
      </c>
      <c r="N4840" s="87">
        <f>IFERROR(表格1[[#This Row],[QTY]]*表格1[[#This Row],[Unit Price]],"-")</f>
        <v>638</v>
      </c>
      <c r="O4840" s="86">
        <v>1625173</v>
      </c>
      <c r="R4840" s="86" t="str">
        <f>_xlfn.CONCAT(表格1[[#This Row],[Model]]," ",表格1[[#This Row],[inv no]])</f>
        <v>MM2-EM20PC(WH) 1625173</v>
      </c>
      <c r="S4840" s="86">
        <f>_xlfn.XLOOKUP(表格1[[#This Row],[Model]],表格3[Model-Input-Ref2],表格3[SRP PRICE])</f>
        <v>788</v>
      </c>
      <c r="T4840" s="43">
        <f>表格1[[#This Row],[Unit Price]]/表格1[[#This Row],[SRP]]</f>
        <v>0.80964467005076146</v>
      </c>
      <c r="U4840" s="86" t="str">
        <f>_xlfn.XLOOKUP(表格1[[#This Row],[Model]],表格3[Model-Input-Ref2],表格3[TOSHIBA/HIGHEST])</f>
        <v>Toshiba SRP</v>
      </c>
      <c r="W4840" s="86" t="str">
        <f>_xlfn.CONCAT(表格1[[#This Row],[欄4]],表格1[[#This Row],[inv no]])</f>
        <v>1625173</v>
      </c>
    </row>
    <row r="4841" spans="1:23" hidden="1">
      <c r="A4841" s="81">
        <v>4839</v>
      </c>
      <c r="B4841" s="86" t="s">
        <v>1477</v>
      </c>
      <c r="C4841" s="86" t="s">
        <v>2252</v>
      </c>
      <c r="D4841" s="89" t="str">
        <f ca="1">OFFSET(Roster!$A$3,MATCH(表格1[[#This Row],[Location]]&amp;" "&amp;表格1[[#This Row],[Shop]]&amp;"*",Roster!$A$4:$A$72,0),DAY(表格1[[#This Row],[date]]),1,1)</f>
        <v>Raymond</v>
      </c>
      <c r="E4841" s="86">
        <f>MONTH(表格1[[#This Row],[date]])</f>
        <v>3</v>
      </c>
      <c r="F4841" s="90">
        <v>46098</v>
      </c>
      <c r="G4841" s="86" t="str">
        <f>VLOOKUP("*"&amp;表格1[[#This Row],[Input]]&amp;"*",'Ref-List'!$B:$D,2,)</f>
        <v>RC-10AMXH(W)</v>
      </c>
      <c r="H4841" s="86" t="str">
        <f>_xlfn.XLOOKUP(表格1[[#This Row],[Model]],表格3[Model-Input-Ref2],表格3[Product Line])</f>
        <v>酵活炊電飯煲(1.0公升)</v>
      </c>
      <c r="I4841" s="86" t="str">
        <f>_xlfn.XLOOKUP(表格1[[#This Row],[Model]],表格3[Model-Input-Ref2],表格3[大小電])</f>
        <v>細電</v>
      </c>
      <c r="J4841" s="86" t="str">
        <f>_xlfn.XLOOKUP(表格1[[#This Row],[Model]],表格3[Model-Input-Ref2],表格3[Code])</f>
        <v>SDA</v>
      </c>
      <c r="K4841" s="89" t="s">
        <v>1279</v>
      </c>
      <c r="L4841" s="86">
        <v>1</v>
      </c>
      <c r="M4841" s="87">
        <v>1088</v>
      </c>
      <c r="N4841" s="87">
        <f>IFERROR(表格1[[#This Row],[QTY]]*表格1[[#This Row],[Unit Price]],"-")</f>
        <v>1088</v>
      </c>
      <c r="O4841" s="86">
        <v>2902838</v>
      </c>
      <c r="R4841" s="86" t="str">
        <f>_xlfn.CONCAT(表格1[[#This Row],[Model]]," ",表格1[[#This Row],[inv no]])</f>
        <v>RC-10AMXH(W) 2902838</v>
      </c>
      <c r="S4841" s="86">
        <f>_xlfn.XLOOKUP(表格1[[#This Row],[Model]],表格3[Model-Input-Ref2],表格3[SRP PRICE])</f>
        <v>1288</v>
      </c>
      <c r="T4841" s="43">
        <f>表格1[[#This Row],[Unit Price]]/表格1[[#This Row],[SRP]]</f>
        <v>0.84472049689440998</v>
      </c>
      <c r="U4841" s="86" t="str">
        <f>_xlfn.XLOOKUP(表格1[[#This Row],[Model]],表格3[Model-Input-Ref2],表格3[TOSHIBA/HIGHEST])</f>
        <v>Toshiba SRP</v>
      </c>
      <c r="W4841" s="86" t="str">
        <f>_xlfn.CONCAT(表格1[[#This Row],[欄4]],表格1[[#This Row],[inv no]])</f>
        <v>2902838</v>
      </c>
    </row>
    <row r="4842" spans="1:23" hidden="1">
      <c r="A4842" s="81">
        <v>4840</v>
      </c>
      <c r="B4842" s="86" t="s">
        <v>1477</v>
      </c>
      <c r="C4842" s="86" t="s">
        <v>2252</v>
      </c>
      <c r="D4842" s="89" t="str">
        <f ca="1">OFFSET(Roster!$A$3,MATCH(表格1[[#This Row],[Location]]&amp;" "&amp;表格1[[#This Row],[Shop]]&amp;"*",Roster!$A$4:$A$72,0),DAY(表格1[[#This Row],[date]]),1,1)</f>
        <v>Raymond</v>
      </c>
      <c r="E4842" s="86">
        <f>MONTH(表格1[[#This Row],[date]])</f>
        <v>3</v>
      </c>
      <c r="F4842" s="90">
        <v>46098</v>
      </c>
      <c r="G4842" s="86" t="str">
        <f>VLOOKUP("*"&amp;表格1[[#This Row],[Input]]&amp;"*",'Ref-List'!$B:$D,2,)</f>
        <v>MM2-EM20PC(WH)</v>
      </c>
      <c r="H4842" s="86" t="str">
        <f>_xlfn.XLOOKUP(表格1[[#This Row],[Model]],表格3[Model-Input-Ref2],表格3[Product Line])</f>
        <v>輕觸式微波爐 (20公升)</v>
      </c>
      <c r="I4842" s="86" t="str">
        <f>_xlfn.XLOOKUP(表格1[[#This Row],[Model]],表格3[Model-Input-Ref2],表格3[大小電])</f>
        <v>細電</v>
      </c>
      <c r="J4842" s="86" t="str">
        <f>_xlfn.XLOOKUP(表格1[[#This Row],[Model]],表格3[Model-Input-Ref2],表格3[Code])</f>
        <v>MCA</v>
      </c>
      <c r="K4842" s="89" t="s">
        <v>1276</v>
      </c>
      <c r="L4842" s="86">
        <v>1</v>
      </c>
      <c r="M4842" s="87">
        <v>638</v>
      </c>
      <c r="N4842" s="87">
        <f>IFERROR(表格1[[#This Row],[QTY]]*表格1[[#This Row],[Unit Price]],"-")</f>
        <v>638</v>
      </c>
      <c r="O4842" s="86">
        <v>2902874</v>
      </c>
      <c r="R4842" s="86" t="str">
        <f>_xlfn.CONCAT(表格1[[#This Row],[Model]]," ",表格1[[#This Row],[inv no]])</f>
        <v>MM2-EM20PC(WH) 2902874</v>
      </c>
      <c r="S4842" s="86">
        <f>_xlfn.XLOOKUP(表格1[[#This Row],[Model]],表格3[Model-Input-Ref2],表格3[SRP PRICE])</f>
        <v>788</v>
      </c>
      <c r="T4842" s="43">
        <f>表格1[[#This Row],[Unit Price]]/表格1[[#This Row],[SRP]]</f>
        <v>0.80964467005076146</v>
      </c>
      <c r="U4842" s="86" t="str">
        <f>_xlfn.XLOOKUP(表格1[[#This Row],[Model]],表格3[Model-Input-Ref2],表格3[TOSHIBA/HIGHEST])</f>
        <v>Toshiba SRP</v>
      </c>
      <c r="W4842" s="86" t="str">
        <f>_xlfn.CONCAT(表格1[[#This Row],[欄4]],表格1[[#This Row],[inv no]])</f>
        <v>2902874</v>
      </c>
    </row>
    <row r="4843" spans="1:23" hidden="1">
      <c r="A4843" s="81">
        <v>4841</v>
      </c>
      <c r="B4843" s="86" t="s">
        <v>1477</v>
      </c>
      <c r="C4843" s="86" t="s">
        <v>2252</v>
      </c>
      <c r="D4843" s="89" t="str">
        <f ca="1">OFFSET(Roster!$A$3,MATCH(表格1[[#This Row],[Location]]&amp;" "&amp;表格1[[#This Row],[Shop]]&amp;"*",Roster!$A$4:$A$72,0),DAY(表格1[[#This Row],[date]]),1,1)</f>
        <v>Raymond</v>
      </c>
      <c r="E4843" s="86">
        <f>MONTH(表格1[[#This Row],[date]])</f>
        <v>3</v>
      </c>
      <c r="F4843" s="90">
        <v>46098</v>
      </c>
      <c r="G4843" s="86" t="str">
        <f>VLOOKUP("*"&amp;表格1[[#This Row],[Input]]&amp;"*",'Ref-List'!$B:$D,2,)</f>
        <v>MWP-MG20P(BK)</v>
      </c>
      <c r="H4843" s="86" t="str">
        <f>_xlfn.XLOOKUP(表格1[[#This Row],[Model]],表格3[Model-Input-Ref2],表格3[Product Line])</f>
        <v>旋鈕式燒烤微波爐20L黑色</v>
      </c>
      <c r="I4843" s="86" t="str">
        <f>_xlfn.XLOOKUP(表格1[[#This Row],[Model]],表格3[Model-Input-Ref2],表格3[大小電])</f>
        <v>細電</v>
      </c>
      <c r="J4843" s="86" t="str">
        <f>_xlfn.XLOOKUP(表格1[[#This Row],[Model]],表格3[Model-Input-Ref2],表格3[Code])</f>
        <v>SDA</v>
      </c>
      <c r="K4843" s="89" t="s">
        <v>1485</v>
      </c>
      <c r="L4843" s="86">
        <v>1</v>
      </c>
      <c r="M4843" s="87">
        <v>698</v>
      </c>
      <c r="N4843" s="87">
        <f>IFERROR(表格1[[#This Row],[QTY]]*表格1[[#This Row],[Unit Price]],"-")</f>
        <v>698</v>
      </c>
      <c r="O4843" s="86">
        <v>2902898</v>
      </c>
      <c r="R4843" s="86" t="str">
        <f>_xlfn.CONCAT(表格1[[#This Row],[Model]]," ",表格1[[#This Row],[inv no]])</f>
        <v>MWP-MG20P(BK) 2902898</v>
      </c>
      <c r="S4843" s="86">
        <f>_xlfn.XLOOKUP(表格1[[#This Row],[Model]],表格3[Model-Input-Ref2],表格3[SRP PRICE])</f>
        <v>918</v>
      </c>
      <c r="T4843" s="43">
        <f>表格1[[#This Row],[Unit Price]]/表格1[[#This Row],[SRP]]</f>
        <v>0.76034858387799564</v>
      </c>
      <c r="U4843" s="86" t="str">
        <f>_xlfn.XLOOKUP(表格1[[#This Row],[Model]],表格3[Model-Input-Ref2],表格3[TOSHIBA/HIGHEST])</f>
        <v>Toshiba SRP</v>
      </c>
      <c r="W4843" s="86" t="str">
        <f>_xlfn.CONCAT(表格1[[#This Row],[欄4]],表格1[[#This Row],[inv no]])</f>
        <v>2902898</v>
      </c>
    </row>
    <row r="4844" spans="1:23" hidden="1">
      <c r="A4844" s="81">
        <v>4842</v>
      </c>
      <c r="B4844" s="86" t="s">
        <v>1477</v>
      </c>
      <c r="C4844" s="86" t="s">
        <v>2252</v>
      </c>
      <c r="D4844" s="89" t="str">
        <f ca="1">OFFSET(Roster!$A$3,MATCH(表格1[[#This Row],[Location]]&amp;" "&amp;表格1[[#This Row],[Shop]]&amp;"*",Roster!$A$4:$A$72,0),DAY(表格1[[#This Row],[date]]),1,1)</f>
        <v>Raymond</v>
      </c>
      <c r="E4844" s="86">
        <f>MONTH(表格1[[#This Row],[date]])</f>
        <v>3</v>
      </c>
      <c r="F4844" s="90">
        <v>46098</v>
      </c>
      <c r="G4844" s="86" t="str">
        <f>VLOOKUP("*"&amp;表格1[[#This Row],[Input]]&amp;"*",'Ref-List'!$B:$D,2,)</f>
        <v>ET-TD7080(PN)</v>
      </c>
      <c r="H4844" s="86" t="str">
        <f>_xlfn.XLOOKUP(表格1[[#This Row],[Model]],表格3[Model-Input-Ref2],表格3[Product Line])</f>
        <v>多士焗爐8L</v>
      </c>
      <c r="I4844" s="86" t="str">
        <f>_xlfn.XLOOKUP(表格1[[#This Row],[Model]],表格3[Model-Input-Ref2],表格3[大小電])</f>
        <v>細電</v>
      </c>
      <c r="J4844" s="86" t="str">
        <f>_xlfn.XLOOKUP(表格1[[#This Row],[Model]],表格3[Model-Input-Ref2],表格3[Code])</f>
        <v>SDA</v>
      </c>
      <c r="K4844" s="89">
        <v>7080</v>
      </c>
      <c r="L4844" s="86">
        <v>1</v>
      </c>
      <c r="M4844" s="87">
        <v>358</v>
      </c>
      <c r="N4844" s="87">
        <f>IFERROR(表格1[[#This Row],[QTY]]*表格1[[#This Row],[Unit Price]],"-")</f>
        <v>358</v>
      </c>
      <c r="O4844" s="86">
        <v>2902878</v>
      </c>
      <c r="R4844" s="86" t="str">
        <f>_xlfn.CONCAT(表格1[[#This Row],[Model]]," ",表格1[[#This Row],[inv no]])</f>
        <v>ET-TD7080(PN) 2902878</v>
      </c>
      <c r="S4844" s="86">
        <f>_xlfn.XLOOKUP(表格1[[#This Row],[Model]],表格3[Model-Input-Ref2],表格3[SRP PRICE])</f>
        <v>498</v>
      </c>
      <c r="T4844" s="43">
        <f>表格1[[#This Row],[Unit Price]]/表格1[[#This Row],[SRP]]</f>
        <v>0.71887550200803207</v>
      </c>
      <c r="U4844" s="86" t="str">
        <f>_xlfn.XLOOKUP(表格1[[#This Row],[Model]],表格3[Model-Input-Ref2],表格3[TOSHIBA/HIGHEST])</f>
        <v>Toshiba SRP</v>
      </c>
      <c r="W4844" s="86" t="str">
        <f>_xlfn.CONCAT(表格1[[#This Row],[欄4]],表格1[[#This Row],[inv no]])</f>
        <v>2902878</v>
      </c>
    </row>
    <row r="4845" spans="1:23" hidden="1">
      <c r="A4845" s="81">
        <v>4843</v>
      </c>
      <c r="B4845" s="86" t="s">
        <v>1477</v>
      </c>
      <c r="C4845" s="86" t="s">
        <v>2252</v>
      </c>
      <c r="D4845" s="89" t="str">
        <f ca="1">OFFSET(Roster!$A$3,MATCH(表格1[[#This Row],[Location]]&amp;" "&amp;表格1[[#This Row],[Shop]]&amp;"*",Roster!$A$4:$A$72,0),DAY(表格1[[#This Row],[date]]),1,1)</f>
        <v>Raymond</v>
      </c>
      <c r="E4845" s="86">
        <f>MONTH(表格1[[#This Row],[date]])</f>
        <v>3</v>
      </c>
      <c r="F4845" s="90">
        <v>46098</v>
      </c>
      <c r="G4845" s="86" t="str">
        <f>VLOOKUP("*"&amp;表格1[[#This Row],[Input]]&amp;"*",'Ref-List'!$B:$D,2,)</f>
        <v>RAD-DIA17HK</v>
      </c>
      <c r="H4845" s="86" t="str">
        <f>_xlfn.XLOOKUP(表格1[[#This Row],[Model]],表格3[Model-Input-Ref2],表格3[Product Line])</f>
        <v>變頻二合一空氣淨化抽濕機 (28公升)</v>
      </c>
      <c r="I4845" s="86" t="str">
        <f>_xlfn.XLOOKUP(表格1[[#This Row],[Model]],表格3[Model-Input-Ref2],表格3[大小電])</f>
        <v>大電</v>
      </c>
      <c r="J4845" s="86" t="str">
        <f>_xlfn.XLOOKUP(表格1[[#This Row],[Model]],表格3[Model-Input-Ref2],表格3[Code])</f>
        <v>RAC</v>
      </c>
      <c r="K4845" s="89" t="s">
        <v>1480</v>
      </c>
      <c r="L4845" s="86">
        <v>1</v>
      </c>
      <c r="M4845" s="87">
        <v>3580</v>
      </c>
      <c r="N4845" s="87">
        <f>IFERROR(表格1[[#This Row],[QTY]]*表格1[[#This Row],[Unit Price]],"-")</f>
        <v>3580</v>
      </c>
      <c r="O4845" s="86">
        <v>2706790</v>
      </c>
      <c r="P4845" s="158" t="s">
        <v>2275</v>
      </c>
      <c r="R4845" s="86" t="str">
        <f>_xlfn.CONCAT(表格1[[#This Row],[Model]]," ",表格1[[#This Row],[inv no]])</f>
        <v>RAD-DIA17HK 2706790</v>
      </c>
      <c r="S4845" s="86">
        <f>_xlfn.XLOOKUP(表格1[[#This Row],[Model]],表格3[Model-Input-Ref2],表格3[SRP PRICE])</f>
        <v>4980</v>
      </c>
      <c r="T4845" s="43">
        <f>表格1[[#This Row],[Unit Price]]/表格1[[#This Row],[SRP]]</f>
        <v>0.71887550200803207</v>
      </c>
      <c r="U4845" s="86" t="str">
        <f>_xlfn.XLOOKUP(表格1[[#This Row],[Model]],表格3[Model-Input-Ref2],表格3[TOSHIBA/HIGHEST])</f>
        <v>Toshiba SRP</v>
      </c>
      <c r="W4845" s="86" t="str">
        <f>_xlfn.CONCAT(表格1[[#This Row],[欄4]],表格1[[#This Row],[inv no]])</f>
        <v>2706790</v>
      </c>
    </row>
    <row r="4846" spans="1:23" hidden="1">
      <c r="A4846" s="81">
        <v>4844</v>
      </c>
      <c r="B4846" s="86" t="s">
        <v>1477</v>
      </c>
      <c r="C4846" s="86" t="s">
        <v>2252</v>
      </c>
      <c r="D4846" s="89" t="str">
        <f ca="1">OFFSET(Roster!$A$3,MATCH(表格1[[#This Row],[Location]]&amp;" "&amp;表格1[[#This Row],[Shop]]&amp;"*",Roster!$A$4:$A$72,0),DAY(表格1[[#This Row],[date]]),1,1)</f>
        <v>Raymond</v>
      </c>
      <c r="E4846" s="86">
        <f>MONTH(表格1[[#This Row],[date]])</f>
        <v>3</v>
      </c>
      <c r="F4846" s="90">
        <v>46098</v>
      </c>
      <c r="G4846" s="86" t="str">
        <f>VLOOKUP("*"&amp;表格1[[#This Row],[Input]]&amp;"*",'Ref-List'!$B:$D,2,)</f>
        <v>MX2-TT20SC(WH)</v>
      </c>
      <c r="H4846" s="86" t="str">
        <f>_xlfn.XLOOKUP(表格1[[#This Row],[Model]],表格3[Model-Input-Ref2],表格3[Product Line])</f>
        <v>3合1 微波蒸焗爐 (20公升)</v>
      </c>
      <c r="I4846" s="86" t="str">
        <f>_xlfn.XLOOKUP(表格1[[#This Row],[Model]],表格3[Model-Input-Ref2],表格3[大小電])</f>
        <v>細電</v>
      </c>
      <c r="J4846" s="86" t="str">
        <f>_xlfn.XLOOKUP(表格1[[#This Row],[Model]],表格3[Model-Input-Ref2],表格3[Code])</f>
        <v>MCA</v>
      </c>
      <c r="K4846" s="89" t="s">
        <v>1287</v>
      </c>
      <c r="L4846" s="86">
        <v>1</v>
      </c>
      <c r="M4846" s="87">
        <v>2580</v>
      </c>
      <c r="N4846" s="87">
        <f>IFERROR(表格1[[#This Row],[QTY]]*表格1[[#This Row],[Unit Price]],"-")</f>
        <v>2580</v>
      </c>
      <c r="O4846" s="168">
        <v>2902871</v>
      </c>
      <c r="R4846" s="86" t="str">
        <f>_xlfn.CONCAT(表格1[[#This Row],[Model]]," ",表格1[[#This Row],[inv no]])</f>
        <v>MX2-TT20SC(WH) 2902871</v>
      </c>
      <c r="S4846" s="86">
        <f>_xlfn.XLOOKUP(表格1[[#This Row],[Model]],表格3[Model-Input-Ref2],表格3[SRP PRICE])</f>
        <v>3580</v>
      </c>
      <c r="T4846" s="43">
        <f>表格1[[#This Row],[Unit Price]]/表格1[[#This Row],[SRP]]</f>
        <v>0.72067039106145248</v>
      </c>
      <c r="U4846" s="86" t="str">
        <f>_xlfn.XLOOKUP(表格1[[#This Row],[Model]],表格3[Model-Input-Ref2],表格3[TOSHIBA/HIGHEST])</f>
        <v>Toshiba SRP</v>
      </c>
      <c r="W4846" s="86" t="str">
        <f>_xlfn.CONCAT(表格1[[#This Row],[欄4]],表格1[[#This Row],[inv no]])</f>
        <v>2902871</v>
      </c>
    </row>
    <row r="4847" spans="1:23" hidden="1">
      <c r="A4847" s="81">
        <v>4845</v>
      </c>
      <c r="B4847" s="86" t="s">
        <v>1477</v>
      </c>
      <c r="C4847" s="86" t="s">
        <v>2252</v>
      </c>
      <c r="D4847" s="89" t="str">
        <f ca="1">OFFSET(Roster!$A$3,MATCH(表格1[[#This Row],[Location]]&amp;" "&amp;表格1[[#This Row],[Shop]]&amp;"*",Roster!$A$4:$A$72,0),DAY(表格1[[#This Row],[date]]),1,1)</f>
        <v>Raymond</v>
      </c>
      <c r="E4847" s="86">
        <f>MONTH(表格1[[#This Row],[date]])</f>
        <v>3</v>
      </c>
      <c r="F4847" s="90">
        <v>46098</v>
      </c>
      <c r="G4847" s="86" t="str">
        <f>VLOOKUP("*"&amp;表格1[[#This Row],[Input]]&amp;"*",'Ref-List'!$B:$D,2,)</f>
        <v>RAC-07G3CVRGR-HK</v>
      </c>
      <c r="H4847" s="86" t="str">
        <f>_xlfn.XLOOKUP(表格1[[#This Row],[Model]],表格3[Model-Input-Ref2],表格3[Product Line])</f>
        <v>3/4 匹 窗口式冷氣機(remote)</v>
      </c>
      <c r="I4847" s="86" t="str">
        <f>_xlfn.XLOOKUP(表格1[[#This Row],[Model]],表格3[Model-Input-Ref2],表格3[大小電])</f>
        <v>大電</v>
      </c>
      <c r="J4847" s="86" t="str">
        <f>_xlfn.XLOOKUP(表格1[[#This Row],[Model]],表格3[Model-Input-Ref2],表格3[Code])</f>
        <v>AC</v>
      </c>
      <c r="K4847" s="89" t="s">
        <v>656</v>
      </c>
      <c r="L4847" s="86">
        <v>1</v>
      </c>
      <c r="M4847" s="87">
        <v>4590</v>
      </c>
      <c r="N4847" s="87">
        <f>IFERROR(表格1[[#This Row],[QTY]]*表格1[[#This Row],[Unit Price]],"-")</f>
        <v>4590</v>
      </c>
      <c r="O4847" s="168">
        <v>2706781</v>
      </c>
      <c r="R4847" s="86" t="str">
        <f>_xlfn.CONCAT(表格1[[#This Row],[Model]]," ",表格1[[#This Row],[inv no]])</f>
        <v>RAC-07G3CVRGR-HK 2706781</v>
      </c>
      <c r="S4847" s="86">
        <f>_xlfn.XLOOKUP(表格1[[#This Row],[Model]],表格3[Model-Input-Ref2],表格3[SRP PRICE])</f>
        <v>5580</v>
      </c>
      <c r="T4847" s="43">
        <f>表格1[[#This Row],[Unit Price]]/表格1[[#This Row],[SRP]]</f>
        <v>0.82258064516129037</v>
      </c>
      <c r="U4847" s="86" t="str">
        <f>_xlfn.XLOOKUP(表格1[[#This Row],[Model]],表格3[Model-Input-Ref2],表格3[TOSHIBA/HIGHEST])</f>
        <v>Toshiba SRP</v>
      </c>
      <c r="W4847" s="86" t="str">
        <f>_xlfn.CONCAT(表格1[[#This Row],[欄4]],表格1[[#This Row],[inv no]])</f>
        <v>2706781</v>
      </c>
    </row>
    <row r="4848" spans="1:23" hidden="1">
      <c r="A4848" s="81">
        <v>4846</v>
      </c>
      <c r="B4848" s="86" t="s">
        <v>1477</v>
      </c>
      <c r="C4848" s="86" t="s">
        <v>2252</v>
      </c>
      <c r="D4848" s="89" t="str">
        <f ca="1">OFFSET(Roster!$A$3,MATCH(表格1[[#This Row],[Location]]&amp;" "&amp;表格1[[#This Row],[Shop]]&amp;"*",Roster!$A$4:$A$72,0),DAY(表格1[[#This Row],[date]]),1,1)</f>
        <v>Raymond</v>
      </c>
      <c r="E4848" s="86">
        <f>MONTH(表格1[[#This Row],[date]])</f>
        <v>3</v>
      </c>
      <c r="F4848" s="90">
        <v>46099</v>
      </c>
      <c r="G4848" s="86" t="str">
        <f>VLOOKUP("*"&amp;表格1[[#This Row],[Input]]&amp;"*",'Ref-List'!$B:$D,2,)</f>
        <v>MM2-EM20PC(WH)</v>
      </c>
      <c r="H4848" s="86" t="str">
        <f>_xlfn.XLOOKUP(表格1[[#This Row],[Model]],表格3[Model-Input-Ref2],表格3[Product Line])</f>
        <v>輕觸式微波爐 (20公升)</v>
      </c>
      <c r="I4848" s="86" t="str">
        <f>_xlfn.XLOOKUP(表格1[[#This Row],[Model]],表格3[Model-Input-Ref2],表格3[大小電])</f>
        <v>細電</v>
      </c>
      <c r="J4848" s="86" t="str">
        <f>_xlfn.XLOOKUP(表格1[[#This Row],[Model]],表格3[Model-Input-Ref2],表格3[Code])</f>
        <v>MCA</v>
      </c>
      <c r="K4848" s="89" t="s">
        <v>1276</v>
      </c>
      <c r="L4848" s="86">
        <v>1</v>
      </c>
      <c r="M4848" s="87">
        <v>638</v>
      </c>
      <c r="N4848" s="87">
        <f>IFERROR(表格1[[#This Row],[QTY]]*表格1[[#This Row],[Unit Price]],"-")</f>
        <v>638</v>
      </c>
      <c r="O4848" s="86">
        <v>2902881</v>
      </c>
      <c r="R4848" s="86" t="str">
        <f>_xlfn.CONCAT(表格1[[#This Row],[Model]]," ",表格1[[#This Row],[inv no]])</f>
        <v>MM2-EM20PC(WH) 2902881</v>
      </c>
      <c r="S4848" s="86">
        <f>_xlfn.XLOOKUP(表格1[[#This Row],[Model]],表格3[Model-Input-Ref2],表格3[SRP PRICE])</f>
        <v>788</v>
      </c>
      <c r="T4848" s="43">
        <f>表格1[[#This Row],[Unit Price]]/表格1[[#This Row],[SRP]]</f>
        <v>0.80964467005076146</v>
      </c>
      <c r="U4848" s="86" t="str">
        <f>_xlfn.XLOOKUP(表格1[[#This Row],[Model]],表格3[Model-Input-Ref2],表格3[TOSHIBA/HIGHEST])</f>
        <v>Toshiba SRP</v>
      </c>
      <c r="W4848" s="86" t="str">
        <f>_xlfn.CONCAT(表格1[[#This Row],[欄4]],表格1[[#This Row],[inv no]])</f>
        <v>2902881</v>
      </c>
    </row>
    <row r="4849" spans="1:23" hidden="1">
      <c r="A4849" s="81">
        <v>4847</v>
      </c>
      <c r="B4849" s="86" t="s">
        <v>1477</v>
      </c>
      <c r="C4849" s="86" t="s">
        <v>2252</v>
      </c>
      <c r="D4849" s="89" t="str">
        <f ca="1">OFFSET(Roster!$A$3,MATCH(表格1[[#This Row],[Location]]&amp;" "&amp;表格1[[#This Row],[Shop]]&amp;"*",Roster!$A$4:$A$72,0),DAY(表格1[[#This Row],[date]]),1,1)</f>
        <v>Raymond</v>
      </c>
      <c r="E4849" s="86">
        <f>MONTH(表格1[[#This Row],[date]])</f>
        <v>3</v>
      </c>
      <c r="F4849" s="90">
        <v>46099</v>
      </c>
      <c r="G4849" s="86" t="str">
        <f>VLOOKUP("*"&amp;表格1[[#This Row],[Input]]&amp;"*",'Ref-List'!$B:$D,2,)</f>
        <v>MM2-EM20PC(WH)</v>
      </c>
      <c r="H4849" s="86" t="str">
        <f>_xlfn.XLOOKUP(表格1[[#This Row],[Model]],表格3[Model-Input-Ref2],表格3[Product Line])</f>
        <v>輕觸式微波爐 (20公升)</v>
      </c>
      <c r="I4849" s="86" t="str">
        <f>_xlfn.XLOOKUP(表格1[[#This Row],[Model]],表格3[Model-Input-Ref2],表格3[大小電])</f>
        <v>細電</v>
      </c>
      <c r="J4849" s="86" t="str">
        <f>_xlfn.XLOOKUP(表格1[[#This Row],[Model]],表格3[Model-Input-Ref2],表格3[Code])</f>
        <v>MCA</v>
      </c>
      <c r="K4849" s="89" t="s">
        <v>1276</v>
      </c>
      <c r="L4849" s="86">
        <v>1</v>
      </c>
      <c r="M4849" s="87">
        <v>638</v>
      </c>
      <c r="N4849" s="87">
        <f>IFERROR(表格1[[#This Row],[QTY]]*表格1[[#This Row],[Unit Price]],"-")</f>
        <v>638</v>
      </c>
      <c r="O4849" s="86">
        <v>2902914</v>
      </c>
      <c r="R4849" s="86" t="str">
        <f>_xlfn.CONCAT(表格1[[#This Row],[Model]]," ",表格1[[#This Row],[inv no]])</f>
        <v>MM2-EM20PC(WH) 2902914</v>
      </c>
      <c r="S4849" s="86">
        <f>_xlfn.XLOOKUP(表格1[[#This Row],[Model]],表格3[Model-Input-Ref2],表格3[SRP PRICE])</f>
        <v>788</v>
      </c>
      <c r="T4849" s="43">
        <f>表格1[[#This Row],[Unit Price]]/表格1[[#This Row],[SRP]]</f>
        <v>0.80964467005076146</v>
      </c>
      <c r="U4849" s="86" t="str">
        <f>_xlfn.XLOOKUP(表格1[[#This Row],[Model]],表格3[Model-Input-Ref2],表格3[TOSHIBA/HIGHEST])</f>
        <v>Toshiba SRP</v>
      </c>
      <c r="W4849" s="86" t="str">
        <f>_xlfn.CONCAT(表格1[[#This Row],[欄4]],表格1[[#This Row],[inv no]])</f>
        <v>2902914</v>
      </c>
    </row>
    <row r="4850" spans="1:23" hidden="1">
      <c r="A4850" s="81">
        <v>4848</v>
      </c>
      <c r="B4850" s="86" t="s">
        <v>1477</v>
      </c>
      <c r="C4850" s="86" t="s">
        <v>2252</v>
      </c>
      <c r="D4850" s="89" t="str">
        <f ca="1">OFFSET(Roster!$A$3,MATCH(表格1[[#This Row],[Location]]&amp;" "&amp;表格1[[#This Row],[Shop]]&amp;"*",Roster!$A$4:$A$72,0),DAY(表格1[[#This Row],[date]]),1,1)</f>
        <v>Raymond</v>
      </c>
      <c r="E4850" s="86">
        <f>MONTH(表格1[[#This Row],[date]])</f>
        <v>3</v>
      </c>
      <c r="F4850" s="90">
        <v>46099</v>
      </c>
      <c r="G4850" s="86" t="str">
        <f>VLOOKUP("*"&amp;表格1[[#This Row],[Input]]&amp;"*",'Ref-List'!$B:$D,2,)</f>
        <v>MM2-EM20PC(WH)</v>
      </c>
      <c r="H4850" s="86" t="str">
        <f>_xlfn.XLOOKUP(表格1[[#This Row],[Model]],表格3[Model-Input-Ref2],表格3[Product Line])</f>
        <v>輕觸式微波爐 (20公升)</v>
      </c>
      <c r="I4850" s="86" t="str">
        <f>_xlfn.XLOOKUP(表格1[[#This Row],[Model]],表格3[Model-Input-Ref2],表格3[大小電])</f>
        <v>細電</v>
      </c>
      <c r="J4850" s="86" t="str">
        <f>_xlfn.XLOOKUP(表格1[[#This Row],[Model]],表格3[Model-Input-Ref2],表格3[Code])</f>
        <v>MCA</v>
      </c>
      <c r="K4850" s="89" t="s">
        <v>1276</v>
      </c>
      <c r="L4850" s="86">
        <v>1</v>
      </c>
      <c r="M4850" s="87">
        <v>638</v>
      </c>
      <c r="N4850" s="87">
        <f>IFERROR(表格1[[#This Row],[QTY]]*表格1[[#This Row],[Unit Price]],"-")</f>
        <v>638</v>
      </c>
      <c r="O4850" s="86">
        <v>2902936</v>
      </c>
      <c r="R4850" s="86" t="str">
        <f>_xlfn.CONCAT(表格1[[#This Row],[Model]]," ",表格1[[#This Row],[inv no]])</f>
        <v>MM2-EM20PC(WH) 2902936</v>
      </c>
      <c r="S4850" s="86">
        <f>_xlfn.XLOOKUP(表格1[[#This Row],[Model]],表格3[Model-Input-Ref2],表格3[SRP PRICE])</f>
        <v>788</v>
      </c>
      <c r="T4850" s="43">
        <f>表格1[[#This Row],[Unit Price]]/表格1[[#This Row],[SRP]]</f>
        <v>0.80964467005076146</v>
      </c>
      <c r="U4850" s="86" t="str">
        <f>_xlfn.XLOOKUP(表格1[[#This Row],[Model]],表格3[Model-Input-Ref2],表格3[TOSHIBA/HIGHEST])</f>
        <v>Toshiba SRP</v>
      </c>
      <c r="W4850" s="86" t="str">
        <f>_xlfn.CONCAT(表格1[[#This Row],[欄4]],表格1[[#This Row],[inv no]])</f>
        <v>2902936</v>
      </c>
    </row>
    <row r="4851" spans="1:23" hidden="1">
      <c r="A4851" s="81">
        <v>4849</v>
      </c>
      <c r="B4851" s="86" t="s">
        <v>1477</v>
      </c>
      <c r="C4851" s="86" t="s">
        <v>2252</v>
      </c>
      <c r="D4851" s="89" t="str">
        <f ca="1">OFFSET(Roster!$A$3,MATCH(表格1[[#This Row],[Location]]&amp;" "&amp;表格1[[#This Row],[Shop]]&amp;"*",Roster!$A$4:$A$72,0),DAY(表格1[[#This Row],[date]]),1,1)</f>
        <v>Raymond</v>
      </c>
      <c r="E4851" s="86">
        <f>MONTH(表格1[[#This Row],[date]])</f>
        <v>3</v>
      </c>
      <c r="F4851" s="90">
        <v>46099</v>
      </c>
      <c r="G4851" s="86" t="str">
        <f>VLOOKUP("*"&amp;表格1[[#This Row],[Input]]&amp;"*",'Ref-List'!$B:$D,2,)</f>
        <v>RC-6PXTHK(W)</v>
      </c>
      <c r="H4851" s="86" t="str">
        <f>_xlfn.XLOOKUP(表格1[[#This Row],[Model]],表格3[Model-Input-Ref2],表格3[Product Line])</f>
        <v>迷你壓力磁應電飯煲(0.63公升)</v>
      </c>
      <c r="I4851" s="86" t="str">
        <f>_xlfn.XLOOKUP(表格1[[#This Row],[Model]],表格3[Model-Input-Ref2],表格3[大小電])</f>
        <v>細電</v>
      </c>
      <c r="J4851" s="86" t="str">
        <f>_xlfn.XLOOKUP(表格1[[#This Row],[Model]],表格3[Model-Input-Ref2],表格3[Code])</f>
        <v>SDA</v>
      </c>
      <c r="K4851" s="89" t="s">
        <v>1494</v>
      </c>
      <c r="L4851" s="86">
        <v>1</v>
      </c>
      <c r="M4851" s="87">
        <v>938</v>
      </c>
      <c r="N4851" s="87">
        <f>IFERROR(表格1[[#This Row],[QTY]]*表格1[[#This Row],[Unit Price]],"-")</f>
        <v>938</v>
      </c>
      <c r="O4851" s="86">
        <v>820750</v>
      </c>
      <c r="R4851" s="86" t="str">
        <f>_xlfn.CONCAT(表格1[[#This Row],[Model]]," ",表格1[[#This Row],[inv no]])</f>
        <v>RC-6PXTHK(W) 820750</v>
      </c>
      <c r="S4851" s="86">
        <f>_xlfn.XLOOKUP(表格1[[#This Row],[Model]],表格3[Model-Input-Ref2],表格3[SRP PRICE])</f>
        <v>1398</v>
      </c>
      <c r="T4851" s="43">
        <f>表格1[[#This Row],[Unit Price]]/表格1[[#This Row],[SRP]]</f>
        <v>0.67095851216022895</v>
      </c>
      <c r="U4851" s="86" t="str">
        <f>_xlfn.XLOOKUP(表格1[[#This Row],[Model]],表格3[Model-Input-Ref2],表格3[TOSHIBA/HIGHEST])</f>
        <v>Toshiba SRP</v>
      </c>
      <c r="W4851" s="86" t="str">
        <f>_xlfn.CONCAT(表格1[[#This Row],[欄4]],表格1[[#This Row],[inv no]])</f>
        <v>820750</v>
      </c>
    </row>
    <row r="4852" spans="1:23" hidden="1">
      <c r="A4852" s="81">
        <v>4850</v>
      </c>
      <c r="B4852" s="86" t="s">
        <v>1477</v>
      </c>
      <c r="C4852" s="86" t="s">
        <v>2252</v>
      </c>
      <c r="D4852" s="89" t="str">
        <f ca="1">OFFSET(Roster!$A$3,MATCH(表格1[[#This Row],[Location]]&amp;" "&amp;表格1[[#This Row],[Shop]]&amp;"*",Roster!$A$4:$A$72,0),DAY(表格1[[#This Row],[date]]),1,1)</f>
        <v>Raymond</v>
      </c>
      <c r="E4852" s="86">
        <f>MONTH(表格1[[#This Row],[date]])</f>
        <v>3</v>
      </c>
      <c r="F4852" s="90">
        <v>46099</v>
      </c>
      <c r="G4852" s="86" t="str">
        <f>VLOOKUP("*"&amp;表格1[[#This Row],[Input]]&amp;"*",'Ref-List'!$B:$D,2,)</f>
        <v>RC-18ISPH</v>
      </c>
      <c r="H4852" s="86" t="str">
        <f>_xlfn.XLOOKUP(表格1[[#This Row],[Model]],表格3[Model-Input-Ref2],表格3[Product Line])</f>
        <v>低醣磁應電飯煲1.8L</v>
      </c>
      <c r="I4852" s="86" t="str">
        <f>_xlfn.XLOOKUP(表格1[[#This Row],[Model]],表格3[Model-Input-Ref2],表格3[大小電])</f>
        <v>細電</v>
      </c>
      <c r="J4852" s="86" t="str">
        <f>_xlfn.XLOOKUP(表格1[[#This Row],[Model]],表格3[Model-Input-Ref2],表格3[Code])</f>
        <v>SDA</v>
      </c>
      <c r="K4852" s="89" t="s">
        <v>1281</v>
      </c>
      <c r="L4852" s="86">
        <v>1</v>
      </c>
      <c r="M4852" s="87">
        <v>898</v>
      </c>
      <c r="N4852" s="87">
        <f>IFERROR(表格1[[#This Row],[QTY]]*表格1[[#This Row],[Unit Price]],"-")</f>
        <v>898</v>
      </c>
      <c r="O4852" s="86">
        <v>2902921</v>
      </c>
      <c r="R4852" s="86" t="str">
        <f>_xlfn.CONCAT(表格1[[#This Row],[Model]]," ",表格1[[#This Row],[inv no]])</f>
        <v>RC-18ISPH 2902921</v>
      </c>
      <c r="S4852" s="86">
        <f>_xlfn.XLOOKUP(表格1[[#This Row],[Model]],表格3[Model-Input-Ref2],表格3[SRP PRICE])</f>
        <v>1436</v>
      </c>
      <c r="T4852" s="43">
        <f>表格1[[#This Row],[Unit Price]]/表格1[[#This Row],[SRP]]</f>
        <v>0.62534818941504178</v>
      </c>
      <c r="U4852" s="86" t="str">
        <f>_xlfn.XLOOKUP(表格1[[#This Row],[Model]],表格3[Model-Input-Ref2],表格3[TOSHIBA/HIGHEST])</f>
        <v>Shops Highest Price</v>
      </c>
      <c r="W4852" s="86" t="str">
        <f>_xlfn.CONCAT(表格1[[#This Row],[欄4]],表格1[[#This Row],[inv no]])</f>
        <v>2902921</v>
      </c>
    </row>
    <row r="4853" spans="1:23" hidden="1">
      <c r="A4853" s="81">
        <v>4851</v>
      </c>
      <c r="B4853" s="86" t="s">
        <v>1477</v>
      </c>
      <c r="C4853" s="86" t="s">
        <v>2252</v>
      </c>
      <c r="D4853" s="89" t="str">
        <f ca="1">OFFSET(Roster!$A$3,MATCH(表格1[[#This Row],[Location]]&amp;" "&amp;表格1[[#This Row],[Shop]]&amp;"*",Roster!$A$4:$A$72,0),DAY(表格1[[#This Row],[date]]),1,1)</f>
        <v>Raymond</v>
      </c>
      <c r="E4853" s="86">
        <f>MONTH(表格1[[#This Row],[date]])</f>
        <v>3</v>
      </c>
      <c r="F4853" s="90">
        <v>46099</v>
      </c>
      <c r="G4853" s="86" t="str">
        <f>VLOOKUP("*"&amp;表格1[[#This Row],[Input]]&amp;"*",'Ref-List'!$B:$D,2,)</f>
        <v>RC-DS10K(R)</v>
      </c>
      <c r="H4853" s="86" t="str">
        <f>_xlfn.XLOOKUP(表格1[[#This Row],[Model]],表格3[Model-Input-Ref2],表格3[Product Line])</f>
        <v>IH磁應電飯煲</v>
      </c>
      <c r="I4853" s="86" t="str">
        <f>_xlfn.XLOOKUP(表格1[[#This Row],[Model]],表格3[Model-Input-Ref2],表格3[大小電])</f>
        <v>細電</v>
      </c>
      <c r="J4853" s="86" t="str">
        <f>_xlfn.XLOOKUP(表格1[[#This Row],[Model]],表格3[Model-Input-Ref2],表格3[Code])</f>
        <v>SDA</v>
      </c>
      <c r="K4853" s="89" t="s">
        <v>1424</v>
      </c>
      <c r="L4853" s="86">
        <v>1</v>
      </c>
      <c r="M4853" s="87">
        <v>3150</v>
      </c>
      <c r="N4853" s="87">
        <f>IFERROR(表格1[[#This Row],[QTY]]*表格1[[#This Row],[Unit Price]],"-")</f>
        <v>3150</v>
      </c>
      <c r="O4853" s="86">
        <v>2902914</v>
      </c>
      <c r="R4853" s="86" t="str">
        <f>_xlfn.CONCAT(表格1[[#This Row],[Model]]," ",表格1[[#This Row],[inv no]])</f>
        <v>RC-DS10K(R) 2902914</v>
      </c>
      <c r="S4853" s="86">
        <f>_xlfn.XLOOKUP(表格1[[#This Row],[Model]],表格3[Model-Input-Ref2],表格3[SRP PRICE])</f>
        <v>4588</v>
      </c>
      <c r="T4853" s="43">
        <f>表格1[[#This Row],[Unit Price]]/表格1[[#This Row],[SRP]]</f>
        <v>0.68657367044463824</v>
      </c>
      <c r="U4853" s="86" t="str">
        <f>_xlfn.XLOOKUP(表格1[[#This Row],[Model]],表格3[Model-Input-Ref2],表格3[TOSHIBA/HIGHEST])</f>
        <v>Toshiba SRP</v>
      </c>
      <c r="W4853" s="86" t="str">
        <f>_xlfn.CONCAT(表格1[[#This Row],[欄4]],表格1[[#This Row],[inv no]])</f>
        <v>2902914</v>
      </c>
    </row>
    <row r="4854" spans="1:23" hidden="1">
      <c r="A4854" s="81">
        <v>4852</v>
      </c>
      <c r="B4854" s="86" t="s">
        <v>1477</v>
      </c>
      <c r="C4854" s="86" t="s">
        <v>2252</v>
      </c>
      <c r="D4854" s="89" t="str">
        <f ca="1">OFFSET(Roster!$A$3,MATCH(表格1[[#This Row],[Location]]&amp;" "&amp;表格1[[#This Row],[Shop]]&amp;"*",Roster!$A$4:$A$72,0),DAY(表格1[[#This Row],[date]]),1,1)</f>
        <v>Raymond</v>
      </c>
      <c r="E4854" s="86">
        <f>MONTH(表格1[[#This Row],[date]])</f>
        <v>3</v>
      </c>
      <c r="F4854" s="90">
        <v>46099</v>
      </c>
      <c r="G4854" s="86" t="str">
        <f>VLOOKUP("*"&amp;表格1[[#This Row],[Input]]&amp;"*",'Ref-List'!$B:$D,2,)</f>
        <v>DWS-34AHK</v>
      </c>
      <c r="H4854" s="86" t="str">
        <f>_xlfn.XLOOKUP(表格1[[#This Row],[Model]],表格3[Model-Input-Ref2],表格3[Product Line])</f>
        <v>獨立式免安裝洗碗碟機</v>
      </c>
      <c r="I4854" s="86" t="str">
        <f>_xlfn.XLOOKUP(表格1[[#This Row],[Model]],表格3[Model-Input-Ref2],表格3[大小電])</f>
        <v>細電</v>
      </c>
      <c r="J4854" s="86" t="str">
        <f>_xlfn.XLOOKUP(表格1[[#This Row],[Model]],表格3[Model-Input-Ref2],表格3[Code])</f>
        <v>DM</v>
      </c>
      <c r="K4854" s="89" t="s">
        <v>1240</v>
      </c>
      <c r="L4854" s="86">
        <v>1</v>
      </c>
      <c r="M4854" s="87">
        <v>2380</v>
      </c>
      <c r="N4854" s="87">
        <f>IFERROR(表格1[[#This Row],[QTY]]*表格1[[#This Row],[Unit Price]],"-")</f>
        <v>2380</v>
      </c>
      <c r="O4854" s="86">
        <v>2706834</v>
      </c>
      <c r="R4854" s="86" t="str">
        <f>_xlfn.CONCAT(表格1[[#This Row],[Model]]," ",表格1[[#This Row],[inv no]])</f>
        <v>DWS-34AHK 2706834</v>
      </c>
      <c r="S4854" s="86">
        <f>_xlfn.XLOOKUP(表格1[[#This Row],[Model]],表格3[Model-Input-Ref2],表格3[SRP PRICE])</f>
        <v>3999</v>
      </c>
      <c r="T4854" s="43">
        <f>表格1[[#This Row],[Unit Price]]/表格1[[#This Row],[SRP]]</f>
        <v>0.5951487871967992</v>
      </c>
      <c r="U4854" s="86" t="str">
        <f>_xlfn.XLOOKUP(表格1[[#This Row],[Model]],表格3[Model-Input-Ref2],表格3[TOSHIBA/HIGHEST])</f>
        <v>Web SRP</v>
      </c>
      <c r="W4854" s="86" t="str">
        <f>_xlfn.CONCAT(表格1[[#This Row],[欄4]],表格1[[#This Row],[inv no]])</f>
        <v>2706834</v>
      </c>
    </row>
    <row r="4855" spans="1:23" hidden="1">
      <c r="A4855" s="81">
        <v>4853</v>
      </c>
      <c r="B4855" s="86" t="s">
        <v>1477</v>
      </c>
      <c r="C4855" s="86" t="s">
        <v>2252</v>
      </c>
      <c r="D4855" s="89" t="str">
        <f ca="1">OFFSET(Roster!$A$3,MATCH(表格1[[#This Row],[Location]]&amp;" "&amp;表格1[[#This Row],[Shop]]&amp;"*",Roster!$A$4:$A$72,0),DAY(表格1[[#This Row],[date]]),1,1)</f>
        <v>Raymond</v>
      </c>
      <c r="E4855" s="86">
        <f>MONTH(表格1[[#This Row],[date]])</f>
        <v>3</v>
      </c>
      <c r="F4855" s="90">
        <v>46099</v>
      </c>
      <c r="G4855" s="86" t="str">
        <f>VLOOKUP("*"&amp;表格1[[#This Row],[Input]]&amp;"*",'Ref-List'!$B:$D,2,)</f>
        <v>DWS-34AHK</v>
      </c>
      <c r="H4855" s="86" t="str">
        <f>_xlfn.XLOOKUP(表格1[[#This Row],[Model]],表格3[Model-Input-Ref2],表格3[Product Line])</f>
        <v>獨立式免安裝洗碗碟機</v>
      </c>
      <c r="I4855" s="86" t="str">
        <f>_xlfn.XLOOKUP(表格1[[#This Row],[Model]],表格3[Model-Input-Ref2],表格3[大小電])</f>
        <v>細電</v>
      </c>
      <c r="J4855" s="86" t="str">
        <f>_xlfn.XLOOKUP(表格1[[#This Row],[Model]],表格3[Model-Input-Ref2],表格3[Code])</f>
        <v>DM</v>
      </c>
      <c r="K4855" s="89" t="s">
        <v>1240</v>
      </c>
      <c r="L4855" s="86">
        <v>1</v>
      </c>
      <c r="M4855" s="87">
        <v>2380</v>
      </c>
      <c r="N4855" s="87">
        <f>IFERROR(表格1[[#This Row],[QTY]]*表格1[[#This Row],[Unit Price]],"-")</f>
        <v>2380</v>
      </c>
      <c r="O4855" s="86">
        <v>2706845</v>
      </c>
      <c r="R4855" s="86" t="str">
        <f>_xlfn.CONCAT(表格1[[#This Row],[Model]]," ",表格1[[#This Row],[inv no]])</f>
        <v>DWS-34AHK 2706845</v>
      </c>
      <c r="S4855" s="86">
        <f>_xlfn.XLOOKUP(表格1[[#This Row],[Model]],表格3[Model-Input-Ref2],表格3[SRP PRICE])</f>
        <v>3999</v>
      </c>
      <c r="T4855" s="43">
        <f>表格1[[#This Row],[Unit Price]]/表格1[[#This Row],[SRP]]</f>
        <v>0.5951487871967992</v>
      </c>
      <c r="U4855" s="86" t="str">
        <f>_xlfn.XLOOKUP(表格1[[#This Row],[Model]],表格3[Model-Input-Ref2],表格3[TOSHIBA/HIGHEST])</f>
        <v>Web SRP</v>
      </c>
      <c r="W4855" s="86" t="str">
        <f>_xlfn.CONCAT(表格1[[#This Row],[欄4]],表格1[[#This Row],[inv no]])</f>
        <v>2706845</v>
      </c>
    </row>
    <row r="4856" spans="1:23" hidden="1">
      <c r="A4856" s="81">
        <v>4854</v>
      </c>
      <c r="B4856" s="86" t="s">
        <v>1477</v>
      </c>
      <c r="C4856" s="86" t="s">
        <v>2252</v>
      </c>
      <c r="D4856" s="89" t="str">
        <f ca="1">OFFSET(Roster!$A$3,MATCH(表格1[[#This Row],[Location]]&amp;" "&amp;表格1[[#This Row],[Shop]]&amp;"*",Roster!$A$4:$A$72,0),DAY(表格1[[#This Row],[date]]),1,1)</f>
        <v>Raymond off</v>
      </c>
      <c r="E4856" s="86">
        <f>MONTH(表格1[[#This Row],[date]])</f>
        <v>3</v>
      </c>
      <c r="F4856" s="90">
        <v>46100</v>
      </c>
      <c r="G4856" s="86" t="str">
        <f>VLOOKUP("*"&amp;表格1[[#This Row],[Input]]&amp;"*",'Ref-List'!$B:$D,2,)</f>
        <v>RC-18NMFIH(WT)</v>
      </c>
      <c r="H4856" s="86" t="str">
        <f>_xlfn.XLOOKUP(表格1[[#This Row],[Model]],表格3[Model-Input-Ref2],表格3[Product Line])</f>
        <v>4毫米厚釜電飯煲1.8L</v>
      </c>
      <c r="I4856" s="86" t="str">
        <f>_xlfn.XLOOKUP(表格1[[#This Row],[Model]],表格3[Model-Input-Ref2],表格3[大小電])</f>
        <v>細電</v>
      </c>
      <c r="J4856" s="86" t="str">
        <f>_xlfn.XLOOKUP(表格1[[#This Row],[Model]],表格3[Model-Input-Ref2],表格3[Code])</f>
        <v>SDA</v>
      </c>
      <c r="K4856" s="89" t="s">
        <v>1267</v>
      </c>
      <c r="L4856" s="86">
        <v>1</v>
      </c>
      <c r="M4856" s="87">
        <v>799</v>
      </c>
      <c r="N4856" s="87">
        <f>IFERROR(表格1[[#This Row],[QTY]]*表格1[[#This Row],[Unit Price]],"-")</f>
        <v>799</v>
      </c>
      <c r="O4856" s="86">
        <v>2902972</v>
      </c>
      <c r="R4856" s="86" t="str">
        <f>_xlfn.CONCAT(表格1[[#This Row],[Model]]," ",表格1[[#This Row],[inv no]])</f>
        <v>RC-18NMFIH(WT) 2902972</v>
      </c>
      <c r="S4856" s="86">
        <f>_xlfn.XLOOKUP(表格1[[#This Row],[Model]],表格3[Model-Input-Ref2],表格3[SRP PRICE])</f>
        <v>998</v>
      </c>
      <c r="T4856" s="43">
        <f>表格1[[#This Row],[Unit Price]]/表格1[[#This Row],[SRP]]</f>
        <v>0.80060120240480959</v>
      </c>
      <c r="U4856" s="86" t="str">
        <f>_xlfn.XLOOKUP(表格1[[#This Row],[Model]],表格3[Model-Input-Ref2],表格3[TOSHIBA/HIGHEST])</f>
        <v>Toshiba SRP</v>
      </c>
      <c r="W4856" s="86" t="str">
        <f>_xlfn.CONCAT(表格1[[#This Row],[欄4]],表格1[[#This Row],[inv no]])</f>
        <v>2902972</v>
      </c>
    </row>
    <row r="4857" spans="1:23" hidden="1">
      <c r="A4857" s="81">
        <v>4855</v>
      </c>
      <c r="B4857" s="86" t="s">
        <v>1477</v>
      </c>
      <c r="C4857" s="86" t="s">
        <v>2252</v>
      </c>
      <c r="D4857" s="89" t="str">
        <f ca="1">OFFSET(Roster!$A$3,MATCH(表格1[[#This Row],[Location]]&amp;" "&amp;表格1[[#This Row],[Shop]]&amp;"*",Roster!$A$4:$A$72,0),DAY(表格1[[#This Row],[date]]),1,1)</f>
        <v>Raymond off</v>
      </c>
      <c r="E4857" s="86">
        <f>MONTH(表格1[[#This Row],[date]])</f>
        <v>3</v>
      </c>
      <c r="F4857" s="90">
        <v>46100</v>
      </c>
      <c r="G4857" s="86" t="str">
        <f>VLOOKUP("*"&amp;表格1[[#This Row],[Input]]&amp;"*",'Ref-List'!$B:$D,2,)</f>
        <v>RAD-D300H</v>
      </c>
      <c r="H4857" s="86" t="str">
        <f>_xlfn.XLOOKUP(表格1[[#This Row],[Model]],表格3[Model-Input-Ref2],表格3[Product Line])</f>
        <v>壓縮式抽濕機 (30公升)</v>
      </c>
      <c r="I4857" s="86" t="str">
        <f>_xlfn.XLOOKUP(表格1[[#This Row],[Model]],表格3[Model-Input-Ref2],表格3[大小電])</f>
        <v>細電</v>
      </c>
      <c r="J4857" s="86" t="str">
        <f>_xlfn.XLOOKUP(表格1[[#This Row],[Model]],表格3[Model-Input-Ref2],表格3[Code])</f>
        <v>RAC</v>
      </c>
      <c r="K4857" s="89" t="s">
        <v>1252</v>
      </c>
      <c r="L4857" s="86">
        <v>1</v>
      </c>
      <c r="M4857" s="87">
        <v>2280</v>
      </c>
      <c r="N4857" s="87">
        <f>IFERROR(表格1[[#This Row],[QTY]]*表格1[[#This Row],[Unit Price]],"-")</f>
        <v>2280</v>
      </c>
      <c r="O4857" s="86">
        <v>2706878</v>
      </c>
      <c r="R4857" s="86" t="str">
        <f>_xlfn.CONCAT(表格1[[#This Row],[Model]]," ",表格1[[#This Row],[inv no]])</f>
        <v>RAD-D300H 2706878</v>
      </c>
      <c r="S4857" s="86">
        <f>_xlfn.XLOOKUP(表格1[[#This Row],[Model]],表格3[Model-Input-Ref2],表格3[SRP PRICE])</f>
        <v>3380</v>
      </c>
      <c r="T4857" s="43">
        <f>表格1[[#This Row],[Unit Price]]/表格1[[#This Row],[SRP]]</f>
        <v>0.67455621301775148</v>
      </c>
      <c r="U4857" s="86" t="str">
        <f>_xlfn.XLOOKUP(表格1[[#This Row],[Model]],表格3[Model-Input-Ref2],表格3[TOSHIBA/HIGHEST])</f>
        <v>Shops Highest Price</v>
      </c>
      <c r="W4857" s="86" t="str">
        <f>_xlfn.CONCAT(表格1[[#This Row],[欄4]],表格1[[#This Row],[inv no]])</f>
        <v>2706878</v>
      </c>
    </row>
    <row r="4858" spans="1:23" hidden="1">
      <c r="A4858" s="81">
        <v>4856</v>
      </c>
      <c r="B4858" s="86" t="s">
        <v>1477</v>
      </c>
      <c r="C4858" s="86" t="s">
        <v>2252</v>
      </c>
      <c r="D4858" s="89" t="str">
        <f ca="1">OFFSET(Roster!$A$3,MATCH(表格1[[#This Row],[Location]]&amp;" "&amp;表格1[[#This Row],[Shop]]&amp;"*",Roster!$A$4:$A$72,0),DAY(表格1[[#This Row],[date]]),1,1)</f>
        <v>Raymond off</v>
      </c>
      <c r="E4858" s="86">
        <f>MONTH(表格1[[#This Row],[date]])</f>
        <v>3</v>
      </c>
      <c r="F4858" s="90">
        <v>46101</v>
      </c>
      <c r="G4858" s="86" t="str">
        <f>VLOOKUP("*"&amp;表格1[[#This Row],[Input]]&amp;"*",'Ref-List'!$B:$D,2,)</f>
        <v>GR-RB221WE-PMA(57)</v>
      </c>
      <c r="H4858" s="86" t="str">
        <f>_xlfn.XLOOKUP(表格1[[#This Row],[Model]],表格3[Model-Input-Ref2],表格3[Product Line])</f>
        <v>變頻下置式雙門雪櫃（163L）</v>
      </c>
      <c r="I4858" s="86" t="str">
        <f>_xlfn.XLOOKUP(表格1[[#This Row],[Model]],表格3[Model-Input-Ref2],表格3[大小電])</f>
        <v>大電</v>
      </c>
      <c r="J4858" s="86" t="str">
        <f>_xlfn.XLOOKUP(表格1[[#This Row],[Model]],表格3[Model-Input-Ref2],表格3[Code])</f>
        <v>REF</v>
      </c>
      <c r="K4858" s="89" t="s">
        <v>1386</v>
      </c>
      <c r="L4858" s="86">
        <v>1</v>
      </c>
      <c r="M4858" s="87">
        <v>2580</v>
      </c>
      <c r="N4858" s="87">
        <f>IFERROR(表格1[[#This Row],[QTY]]*表格1[[#This Row],[Unit Price]],"-")</f>
        <v>2580</v>
      </c>
      <c r="O4858" s="86">
        <v>2706901</v>
      </c>
      <c r="R4858" s="86" t="str">
        <f>_xlfn.CONCAT(表格1[[#This Row],[Model]]," ",表格1[[#This Row],[inv no]])</f>
        <v>GR-RB221WE-PMA(57) 2706901</v>
      </c>
      <c r="S4858" s="86">
        <f>_xlfn.XLOOKUP(表格1[[#This Row],[Model]],表格3[Model-Input-Ref2],表格3[SRP PRICE])</f>
        <v>3480</v>
      </c>
      <c r="T4858" s="43">
        <f>表格1[[#This Row],[Unit Price]]/表格1[[#This Row],[SRP]]</f>
        <v>0.74137931034482762</v>
      </c>
      <c r="U4858" s="86" t="str">
        <f>_xlfn.XLOOKUP(表格1[[#This Row],[Model]],表格3[Model-Input-Ref2],表格3[TOSHIBA/HIGHEST])</f>
        <v>Toshiba SRP</v>
      </c>
      <c r="W4858" s="86" t="str">
        <f>_xlfn.CONCAT(表格1[[#This Row],[欄4]],表格1[[#This Row],[inv no]])</f>
        <v>2706901</v>
      </c>
    </row>
    <row r="4859" spans="1:23" hidden="1">
      <c r="A4859" s="81">
        <v>4857</v>
      </c>
      <c r="B4859" s="86" t="s">
        <v>1477</v>
      </c>
      <c r="C4859" s="86" t="s">
        <v>2252</v>
      </c>
      <c r="D4859" s="89" t="str">
        <f ca="1">OFFSET(Roster!$A$3,MATCH(表格1[[#This Row],[Location]]&amp;" "&amp;表格1[[#This Row],[Shop]]&amp;"*",Roster!$A$4:$A$72,0),DAY(表格1[[#This Row],[date]]),1,1)</f>
        <v>Raymond off</v>
      </c>
      <c r="E4859" s="86">
        <f>MONTH(表格1[[#This Row],[date]])</f>
        <v>3</v>
      </c>
      <c r="F4859" s="90">
        <v>46101</v>
      </c>
      <c r="G4859" s="86" t="str">
        <f>VLOOKUP("*"&amp;表格1[[#This Row],[Input]]&amp;"*",'Ref-List'!$B:$D,2,)</f>
        <v>PLK-45SFIH(WT)</v>
      </c>
      <c r="H4859" s="86" t="str">
        <f>_xlfn.XLOOKUP(表格1[[#This Row],[Model]],表格3[Model-Input-Ref2],表格3[Product Line])</f>
        <v>電熱水瓶4.5L</v>
      </c>
      <c r="I4859" s="86" t="str">
        <f>_xlfn.XLOOKUP(表格1[[#This Row],[Model]],表格3[Model-Input-Ref2],表格3[大小電])</f>
        <v>細電</v>
      </c>
      <c r="J4859" s="86" t="str">
        <f>_xlfn.XLOOKUP(表格1[[#This Row],[Model]],表格3[Model-Input-Ref2],表格3[Code])</f>
        <v>SDA</v>
      </c>
      <c r="K4859" s="89" t="s">
        <v>1117</v>
      </c>
      <c r="L4859" s="86">
        <v>1</v>
      </c>
      <c r="M4859" s="87">
        <v>589</v>
      </c>
      <c r="N4859" s="87">
        <f>IFERROR(表格1[[#This Row],[QTY]]*表格1[[#This Row],[Unit Price]],"-")</f>
        <v>589</v>
      </c>
      <c r="O4859" s="168">
        <v>2902985</v>
      </c>
      <c r="R4859" s="86" t="str">
        <f>_xlfn.CONCAT(表格1[[#This Row],[Model]]," ",表格1[[#This Row],[inv no]])</f>
        <v>PLK-45SFIH(WT) 2902985</v>
      </c>
      <c r="S4859" s="86">
        <f>_xlfn.XLOOKUP(表格1[[#This Row],[Model]],表格3[Model-Input-Ref2],表格3[SRP PRICE])</f>
        <v>788</v>
      </c>
      <c r="T4859" s="43">
        <f>表格1[[#This Row],[Unit Price]]/表格1[[#This Row],[SRP]]</f>
        <v>0.7474619289340102</v>
      </c>
      <c r="U4859" s="86" t="str">
        <f>_xlfn.XLOOKUP(表格1[[#This Row],[Model]],表格3[Model-Input-Ref2],表格3[TOSHIBA/HIGHEST])</f>
        <v>Toshiba SRP</v>
      </c>
      <c r="W4859" s="86" t="str">
        <f>_xlfn.CONCAT(表格1[[#This Row],[欄4]],表格1[[#This Row],[inv no]])</f>
        <v>2902985</v>
      </c>
    </row>
    <row r="4860" spans="1:23" hidden="1">
      <c r="A4860" s="81">
        <v>4858</v>
      </c>
      <c r="B4860" s="86" t="s">
        <v>1477</v>
      </c>
      <c r="C4860" s="86" t="s">
        <v>2252</v>
      </c>
      <c r="D4860" s="89" t="str">
        <f ca="1">OFFSET(Roster!$A$3,MATCH(表格1[[#This Row],[Location]]&amp;" "&amp;表格1[[#This Row],[Shop]]&amp;"*",Roster!$A$4:$A$72,0),DAY(表格1[[#This Row],[date]]),1,1)</f>
        <v>Raymond off</v>
      </c>
      <c r="E4860" s="86">
        <f>MONTH(表格1[[#This Row],[date]])</f>
        <v>3</v>
      </c>
      <c r="F4860" s="90">
        <v>46101</v>
      </c>
      <c r="G4860" s="86" t="str">
        <f>VLOOKUP("*"&amp;表格1[[#This Row],[Input]]&amp;"*",'Ref-List'!$B:$D,2,)</f>
        <v>RC-10NMFIH(WT)</v>
      </c>
      <c r="H4860" s="86" t="str">
        <f>_xlfn.XLOOKUP(表格1[[#This Row],[Model]],表格3[Model-Input-Ref2],表格3[Product Line])</f>
        <v>4毫米厚釜電飯煲1L</v>
      </c>
      <c r="I4860" s="86" t="str">
        <f>_xlfn.XLOOKUP(表格1[[#This Row],[Model]],表格3[Model-Input-Ref2],表格3[大小電])</f>
        <v>細電</v>
      </c>
      <c r="J4860" s="86" t="str">
        <f>_xlfn.XLOOKUP(表格1[[#This Row],[Model]],表格3[Model-Input-Ref2],表格3[Code])</f>
        <v>SDA</v>
      </c>
      <c r="K4860" s="89" t="s">
        <v>1244</v>
      </c>
      <c r="L4860" s="86">
        <v>1</v>
      </c>
      <c r="M4860" s="87">
        <v>719</v>
      </c>
      <c r="N4860" s="87">
        <f>IFERROR(表格1[[#This Row],[QTY]]*表格1[[#This Row],[Unit Price]],"-")</f>
        <v>719</v>
      </c>
      <c r="O4860" s="168">
        <v>2903011</v>
      </c>
      <c r="R4860" s="86" t="str">
        <f>_xlfn.CONCAT(表格1[[#This Row],[Model]]," ",表格1[[#This Row],[inv no]])</f>
        <v>RC-10NMFIH(WT) 2903011</v>
      </c>
      <c r="S4860" s="86">
        <f>_xlfn.XLOOKUP(表格1[[#This Row],[Model]],表格3[Model-Input-Ref2],表格3[SRP PRICE])</f>
        <v>898</v>
      </c>
      <c r="T4860" s="43">
        <f>表格1[[#This Row],[Unit Price]]/表格1[[#This Row],[SRP]]</f>
        <v>0.80066815144766146</v>
      </c>
      <c r="U4860" s="86" t="str">
        <f>_xlfn.XLOOKUP(表格1[[#This Row],[Model]],表格3[Model-Input-Ref2],表格3[TOSHIBA/HIGHEST])</f>
        <v>Toshiba SRP</v>
      </c>
      <c r="W4860" s="86" t="str">
        <f>_xlfn.CONCAT(表格1[[#This Row],[欄4]],表格1[[#This Row],[inv no]])</f>
        <v>2903011</v>
      </c>
    </row>
    <row r="4861" spans="1:23" hidden="1">
      <c r="A4861" s="81">
        <v>4859</v>
      </c>
      <c r="B4861" s="86" t="s">
        <v>1477</v>
      </c>
      <c r="C4861" s="86" t="s">
        <v>2252</v>
      </c>
      <c r="D4861" s="89" t="str">
        <f ca="1">OFFSET(Roster!$A$3,MATCH(表格1[[#This Row],[Location]]&amp;" "&amp;表格1[[#This Row],[Shop]]&amp;"*",Roster!$A$4:$A$72,0),DAY(表格1[[#This Row],[date]]),1,1)</f>
        <v>Raymond off</v>
      </c>
      <c r="E4861" s="86">
        <f>MONTH(表格1[[#This Row],[date]])</f>
        <v>3</v>
      </c>
      <c r="F4861" s="90">
        <v>46101</v>
      </c>
      <c r="G4861" s="86" t="str">
        <f>VLOOKUP("*"&amp;表格1[[#This Row],[Input]]&amp;"*",'Ref-List'!$B:$D,2,)</f>
        <v>RC-5SLIH(W)</v>
      </c>
      <c r="H4861" s="86" t="str">
        <f>_xlfn.XLOOKUP(表格1[[#This Row],[Model]],表格3[Model-Input-Ref2],表格3[Product Line])</f>
        <v>微型電腦珍珠飯煲</v>
      </c>
      <c r="I4861" s="86" t="str">
        <f>_xlfn.XLOOKUP(表格1[[#This Row],[Model]],表格3[Model-Input-Ref2],表格3[大小電])</f>
        <v>細電</v>
      </c>
      <c r="J4861" s="86" t="str">
        <f>_xlfn.XLOOKUP(表格1[[#This Row],[Model]],表格3[Model-Input-Ref2],表格3[Code])</f>
        <v>SDA</v>
      </c>
      <c r="K4861" s="89" t="s">
        <v>1264</v>
      </c>
      <c r="L4861" s="86">
        <v>1</v>
      </c>
      <c r="M4861" s="87">
        <v>593</v>
      </c>
      <c r="N4861" s="87">
        <f>IFERROR(表格1[[#This Row],[QTY]]*表格1[[#This Row],[Unit Price]],"-")</f>
        <v>593</v>
      </c>
      <c r="O4861" s="168">
        <v>2902961</v>
      </c>
      <c r="R4861" s="86" t="str">
        <f>_xlfn.CONCAT(表格1[[#This Row],[Model]]," ",表格1[[#This Row],[inv no]])</f>
        <v>RC-5SLIH(W) 2902961</v>
      </c>
      <c r="S4861" s="86">
        <f>_xlfn.XLOOKUP(表格1[[#This Row],[Model]],表格3[Model-Input-Ref2],表格3[SRP PRICE])</f>
        <v>658</v>
      </c>
      <c r="T4861" s="43">
        <f>表格1[[#This Row],[Unit Price]]/表格1[[#This Row],[SRP]]</f>
        <v>0.90121580547112456</v>
      </c>
      <c r="U4861" s="86" t="str">
        <f>_xlfn.XLOOKUP(表格1[[#This Row],[Model]],表格3[Model-Input-Ref2],表格3[TOSHIBA/HIGHEST])</f>
        <v>Toshiba SRP</v>
      </c>
      <c r="W4861" s="86" t="str">
        <f>_xlfn.CONCAT(表格1[[#This Row],[欄4]],表格1[[#This Row],[inv no]])</f>
        <v>2902961</v>
      </c>
    </row>
    <row r="4862" spans="1:23" hidden="1">
      <c r="A4862" s="81">
        <v>4860</v>
      </c>
      <c r="B4862" s="86" t="s">
        <v>1477</v>
      </c>
      <c r="C4862" s="86" t="s">
        <v>2252</v>
      </c>
      <c r="D4862" s="89" t="str">
        <f ca="1">OFFSET(Roster!$A$3,MATCH(表格1[[#This Row],[Location]]&amp;" "&amp;表格1[[#This Row],[Shop]]&amp;"*",Roster!$A$4:$A$72,0),DAY(表格1[[#This Row],[date]]),1,1)</f>
        <v>Raymond off</v>
      </c>
      <c r="E4862" s="86">
        <f>MONTH(表格1[[#This Row],[date]])</f>
        <v>3</v>
      </c>
      <c r="F4862" s="90">
        <v>46101</v>
      </c>
      <c r="G4862" s="86" t="str">
        <f>VLOOKUP("*"&amp;表格1[[#This Row],[Input]]&amp;"*",'Ref-List'!$B:$D,2,)</f>
        <v>AW-Q800APH(WW)</v>
      </c>
      <c r="H4862" s="86" t="str">
        <f>_xlfn.XLOOKUP(表格1[[#This Row],[Model]],表格3[Model-Input-Ref2],表格3[Product Line])</f>
        <v>日式洗衣機 (7公斤 結合高低水位)</v>
      </c>
      <c r="I4862" s="86" t="str">
        <f>_xlfn.XLOOKUP(表格1[[#This Row],[Model]],表格3[Model-Input-Ref2],表格3[大小電])</f>
        <v>大電</v>
      </c>
      <c r="J4862" s="86" t="str">
        <f>_xlfn.XLOOKUP(表格1[[#This Row],[Model]],表格3[Model-Input-Ref2],表格3[Code])</f>
        <v>LAD</v>
      </c>
      <c r="K4862" s="89" t="s">
        <v>1479</v>
      </c>
      <c r="L4862" s="86">
        <v>1</v>
      </c>
      <c r="M4862" s="87">
        <v>2380</v>
      </c>
      <c r="N4862" s="87">
        <f>IFERROR(表格1[[#This Row],[QTY]]*表格1[[#This Row],[Unit Price]],"-")</f>
        <v>2380</v>
      </c>
      <c r="O4862" s="168">
        <v>2903019</v>
      </c>
      <c r="R4862" s="86" t="str">
        <f>_xlfn.CONCAT(表格1[[#This Row],[Model]]," ",表格1[[#This Row],[inv no]])</f>
        <v>AW-Q800APH(WW) 2903019</v>
      </c>
      <c r="S4862" s="86">
        <f>_xlfn.XLOOKUP(表格1[[#This Row],[Model]],表格3[Model-Input-Ref2],表格3[SRP PRICE])</f>
        <v>3580</v>
      </c>
      <c r="T4862" s="43">
        <f>表格1[[#This Row],[Unit Price]]/表格1[[#This Row],[SRP]]</f>
        <v>0.66480446927374304</v>
      </c>
      <c r="U4862" s="86" t="str">
        <f>_xlfn.XLOOKUP(表格1[[#This Row],[Model]],表格3[Model-Input-Ref2],表格3[TOSHIBA/HIGHEST])</f>
        <v>Toshiba SRP</v>
      </c>
      <c r="W4862" s="86" t="str">
        <f>_xlfn.CONCAT(表格1[[#This Row],[欄4]],表格1[[#This Row],[inv no]])</f>
        <v>2903019</v>
      </c>
    </row>
    <row r="4863" spans="1:23" hidden="1">
      <c r="A4863" s="81">
        <v>4861</v>
      </c>
      <c r="B4863" s="86" t="s">
        <v>1477</v>
      </c>
      <c r="C4863" s="86" t="s">
        <v>2252</v>
      </c>
      <c r="D4863" s="89" t="str">
        <f ca="1">OFFSET(Roster!$A$3,MATCH(表格1[[#This Row],[Location]]&amp;" "&amp;表格1[[#This Row],[Shop]]&amp;"*",Roster!$A$4:$A$72,0),DAY(表格1[[#This Row],[date]]),1,1)</f>
        <v>Raymond off</v>
      </c>
      <c r="E4863" s="86">
        <f>MONTH(表格1[[#This Row],[date]])</f>
        <v>3</v>
      </c>
      <c r="F4863" s="90">
        <v>46101</v>
      </c>
      <c r="G4863" s="86" t="str">
        <f>VLOOKUP("*"&amp;表格1[[#This Row],[Input]]&amp;"*",'Ref-List'!$B:$D,2,)</f>
        <v>MM2-EM20PC(WH)</v>
      </c>
      <c r="H4863" s="86" t="str">
        <f>_xlfn.XLOOKUP(表格1[[#This Row],[Model]],表格3[Model-Input-Ref2],表格3[Product Line])</f>
        <v>輕觸式微波爐 (20公升)</v>
      </c>
      <c r="I4863" s="86" t="str">
        <f>_xlfn.XLOOKUP(表格1[[#This Row],[Model]],表格3[Model-Input-Ref2],表格3[大小電])</f>
        <v>細電</v>
      </c>
      <c r="J4863" s="86" t="str">
        <f>_xlfn.XLOOKUP(表格1[[#This Row],[Model]],表格3[Model-Input-Ref2],表格3[Code])</f>
        <v>MCA</v>
      </c>
      <c r="K4863" s="89" t="s">
        <v>1276</v>
      </c>
      <c r="L4863" s="86">
        <v>1</v>
      </c>
      <c r="M4863" s="87">
        <v>638</v>
      </c>
      <c r="N4863" s="87">
        <f>IFERROR(表格1[[#This Row],[QTY]]*表格1[[#This Row],[Unit Price]],"-")</f>
        <v>638</v>
      </c>
      <c r="O4863" s="86">
        <v>2811268</v>
      </c>
      <c r="R4863" s="86" t="str">
        <f>_xlfn.CONCAT(表格1[[#This Row],[Model]]," ",表格1[[#This Row],[inv no]])</f>
        <v>MM2-EM20PC(WH) 2811268</v>
      </c>
      <c r="S4863" s="86">
        <f>_xlfn.XLOOKUP(表格1[[#This Row],[Model]],表格3[Model-Input-Ref2],表格3[SRP PRICE])</f>
        <v>788</v>
      </c>
      <c r="T4863" s="43">
        <f>表格1[[#This Row],[Unit Price]]/表格1[[#This Row],[SRP]]</f>
        <v>0.80964467005076146</v>
      </c>
      <c r="U4863" s="86" t="str">
        <f>_xlfn.XLOOKUP(表格1[[#This Row],[Model]],表格3[Model-Input-Ref2],表格3[TOSHIBA/HIGHEST])</f>
        <v>Toshiba SRP</v>
      </c>
      <c r="W4863" s="86" t="str">
        <f>_xlfn.CONCAT(表格1[[#This Row],[欄4]],表格1[[#This Row],[inv no]])</f>
        <v>2811268</v>
      </c>
    </row>
    <row r="4864" spans="1:23" hidden="1">
      <c r="A4864" s="81">
        <v>4862</v>
      </c>
      <c r="B4864" s="86" t="s">
        <v>1477</v>
      </c>
      <c r="C4864" s="86" t="s">
        <v>2252</v>
      </c>
      <c r="D4864" s="89" t="str">
        <f ca="1">OFFSET(Roster!$A$3,MATCH(表格1[[#This Row],[Location]]&amp;" "&amp;表格1[[#This Row],[Shop]]&amp;"*",Roster!$A$4:$A$72,0),DAY(表格1[[#This Row],[date]]),1,1)</f>
        <v>Raymond</v>
      </c>
      <c r="E4864" s="86">
        <f>MONTH(表格1[[#This Row],[date]])</f>
        <v>3</v>
      </c>
      <c r="F4864" s="90">
        <v>46102</v>
      </c>
      <c r="G4864" s="86" t="str">
        <f>VLOOKUP("*"&amp;表格1[[#This Row],[Input]]&amp;"*",'Ref-List'!$B:$D,2,)</f>
        <v>ER-TD5000HK(XK)</v>
      </c>
      <c r="H4864" s="86" t="str">
        <f>_xlfn.XLOOKUP(表格1[[#This Row],[Model]],表格3[Model-Input-Ref2],表格3[Product Line])</f>
        <v>座檯式純蒸氣烤焗水波爐30L</v>
      </c>
      <c r="I4864" s="86" t="str">
        <f>_xlfn.XLOOKUP(表格1[[#This Row],[Model]],表格3[Model-Input-Ref2],表格3[大小電])</f>
        <v>細電</v>
      </c>
      <c r="J4864" s="86" t="str">
        <f>_xlfn.XLOOKUP(表格1[[#This Row],[Model]],表格3[Model-Input-Ref2],表格3[Code])</f>
        <v>SDA</v>
      </c>
      <c r="K4864" s="89" t="s">
        <v>1205</v>
      </c>
      <c r="L4864" s="86">
        <v>1</v>
      </c>
      <c r="M4864" s="87">
        <v>5880</v>
      </c>
      <c r="N4864" s="87">
        <f>IFERROR(表格1[[#This Row],[QTY]]*表格1[[#This Row],[Unit Price]],"-")</f>
        <v>5880</v>
      </c>
      <c r="O4864" s="86">
        <v>2903086</v>
      </c>
      <c r="R4864" s="86" t="str">
        <f>_xlfn.CONCAT(表格1[[#This Row],[Model]]," ",表格1[[#This Row],[inv no]])</f>
        <v>ER-TD5000HK(XK) 2903086</v>
      </c>
      <c r="S4864" s="86">
        <f>_xlfn.XLOOKUP(表格1[[#This Row],[Model]],表格3[Model-Input-Ref2],表格3[SRP PRICE])</f>
        <v>7998</v>
      </c>
      <c r="T4864" s="43">
        <f>表格1[[#This Row],[Unit Price]]/表格1[[#This Row],[SRP]]</f>
        <v>0.7351837959489872</v>
      </c>
      <c r="U4864" s="86" t="str">
        <f>_xlfn.XLOOKUP(表格1[[#This Row],[Model]],表格3[Model-Input-Ref2],表格3[TOSHIBA/HIGHEST])</f>
        <v>Toshiba SRP</v>
      </c>
      <c r="W4864" s="86" t="str">
        <f>_xlfn.CONCAT(表格1[[#This Row],[欄4]],表格1[[#This Row],[inv no]])</f>
        <v>2903086</v>
      </c>
    </row>
    <row r="4865" spans="1:23" hidden="1">
      <c r="A4865" s="81">
        <v>4863</v>
      </c>
      <c r="B4865" s="86" t="s">
        <v>1477</v>
      </c>
      <c r="C4865" s="86" t="s">
        <v>2252</v>
      </c>
      <c r="D4865" s="89" t="str">
        <f ca="1">OFFSET(Roster!$A$3,MATCH(表格1[[#This Row],[Location]]&amp;" "&amp;表格1[[#This Row],[Shop]]&amp;"*",Roster!$A$4:$A$72,0),DAY(表格1[[#This Row],[date]]),1,1)</f>
        <v>Raymond</v>
      </c>
      <c r="E4865" s="86">
        <f>MONTH(表格1[[#This Row],[date]])</f>
        <v>3</v>
      </c>
      <c r="F4865" s="90">
        <v>46102</v>
      </c>
      <c r="G4865" s="86" t="str">
        <f>VLOOKUP("*"&amp;表格1[[#This Row],[Input]]&amp;"*",'Ref-List'!$B:$D,2,)</f>
        <v>MX2-TT20SC(WH)</v>
      </c>
      <c r="H4865" s="86" t="str">
        <f>_xlfn.XLOOKUP(表格1[[#This Row],[Model]],表格3[Model-Input-Ref2],表格3[Product Line])</f>
        <v>3合1 微波蒸焗爐 (20公升)</v>
      </c>
      <c r="I4865" s="86" t="str">
        <f>_xlfn.XLOOKUP(表格1[[#This Row],[Model]],表格3[Model-Input-Ref2],表格3[大小電])</f>
        <v>細電</v>
      </c>
      <c r="J4865" s="86" t="str">
        <f>_xlfn.XLOOKUP(表格1[[#This Row],[Model]],表格3[Model-Input-Ref2],表格3[Code])</f>
        <v>MCA</v>
      </c>
      <c r="K4865" s="89" t="s">
        <v>1287</v>
      </c>
      <c r="L4865" s="86">
        <v>1</v>
      </c>
      <c r="M4865" s="87">
        <v>2580</v>
      </c>
      <c r="N4865" s="87">
        <f>IFERROR(表格1[[#This Row],[QTY]]*表格1[[#This Row],[Unit Price]],"-")</f>
        <v>2580</v>
      </c>
      <c r="O4865" s="168">
        <v>2811561</v>
      </c>
      <c r="R4865" s="86" t="str">
        <f>_xlfn.CONCAT(表格1[[#This Row],[Model]]," ",表格1[[#This Row],[inv no]])</f>
        <v>MX2-TT20SC(WH) 2811561</v>
      </c>
      <c r="S4865" s="86">
        <f>_xlfn.XLOOKUP(表格1[[#This Row],[Model]],表格3[Model-Input-Ref2],表格3[SRP PRICE])</f>
        <v>3580</v>
      </c>
      <c r="T4865" s="43">
        <f>表格1[[#This Row],[Unit Price]]/表格1[[#This Row],[SRP]]</f>
        <v>0.72067039106145248</v>
      </c>
      <c r="U4865" s="86" t="str">
        <f>_xlfn.XLOOKUP(表格1[[#This Row],[Model]],表格3[Model-Input-Ref2],表格3[TOSHIBA/HIGHEST])</f>
        <v>Toshiba SRP</v>
      </c>
      <c r="W4865" s="86" t="str">
        <f>_xlfn.CONCAT(表格1[[#This Row],[欄4]],表格1[[#This Row],[inv no]])</f>
        <v>2811561</v>
      </c>
    </row>
    <row r="4866" spans="1:23" hidden="1">
      <c r="A4866" s="81">
        <v>4864</v>
      </c>
      <c r="B4866" s="86" t="s">
        <v>1477</v>
      </c>
      <c r="C4866" s="86" t="s">
        <v>2252</v>
      </c>
      <c r="D4866" s="89" t="str">
        <f ca="1">OFFSET(Roster!$A$3,MATCH(表格1[[#This Row],[Location]]&amp;" "&amp;表格1[[#This Row],[Shop]]&amp;"*",Roster!$A$4:$A$72,0),DAY(表格1[[#This Row],[date]]),1,1)</f>
        <v>Raymond</v>
      </c>
      <c r="E4866" s="86">
        <f>MONTH(表格1[[#This Row],[date]])</f>
        <v>3</v>
      </c>
      <c r="F4866" s="90">
        <v>46102</v>
      </c>
      <c r="G4866" s="86" t="str">
        <f>VLOOKUP("*"&amp;表格1[[#This Row],[Input]]&amp;"*",'Ref-List'!$B:$D,2,)</f>
        <v>PLK-45SFIH(WT)</v>
      </c>
      <c r="H4866" s="86" t="str">
        <f>_xlfn.XLOOKUP(表格1[[#This Row],[Model]],表格3[Model-Input-Ref2],表格3[Product Line])</f>
        <v>電熱水瓶4.5L</v>
      </c>
      <c r="I4866" s="86" t="str">
        <f>_xlfn.XLOOKUP(表格1[[#This Row],[Model]],表格3[Model-Input-Ref2],表格3[大小電])</f>
        <v>細電</v>
      </c>
      <c r="J4866" s="86" t="str">
        <f>_xlfn.XLOOKUP(表格1[[#This Row],[Model]],表格3[Model-Input-Ref2],表格3[Code])</f>
        <v>SDA</v>
      </c>
      <c r="K4866" s="89" t="s">
        <v>1117</v>
      </c>
      <c r="L4866" s="86">
        <v>1</v>
      </c>
      <c r="M4866" s="87">
        <v>589</v>
      </c>
      <c r="N4866" s="87">
        <f>IFERROR(表格1[[#This Row],[QTY]]*表格1[[#This Row],[Unit Price]],"-")</f>
        <v>589</v>
      </c>
      <c r="O4866" s="168">
        <v>2903099</v>
      </c>
      <c r="R4866" s="86" t="str">
        <f>_xlfn.CONCAT(表格1[[#This Row],[Model]]," ",表格1[[#This Row],[inv no]])</f>
        <v>PLK-45SFIH(WT) 2903099</v>
      </c>
      <c r="S4866" s="86">
        <f>_xlfn.XLOOKUP(表格1[[#This Row],[Model]],表格3[Model-Input-Ref2],表格3[SRP PRICE])</f>
        <v>788</v>
      </c>
      <c r="T4866" s="43">
        <f>表格1[[#This Row],[Unit Price]]/表格1[[#This Row],[SRP]]</f>
        <v>0.7474619289340102</v>
      </c>
      <c r="U4866" s="86" t="str">
        <f>_xlfn.XLOOKUP(表格1[[#This Row],[Model]],表格3[Model-Input-Ref2],表格3[TOSHIBA/HIGHEST])</f>
        <v>Toshiba SRP</v>
      </c>
      <c r="W4866" s="86" t="str">
        <f>_xlfn.CONCAT(表格1[[#This Row],[欄4]],表格1[[#This Row],[inv no]])</f>
        <v>2903099</v>
      </c>
    </row>
    <row r="4867" spans="1:23" hidden="1">
      <c r="A4867" s="81">
        <v>4865</v>
      </c>
      <c r="B4867" s="86" t="s">
        <v>1477</v>
      </c>
      <c r="C4867" s="86" t="s">
        <v>2252</v>
      </c>
      <c r="D4867" s="89" t="str">
        <f ca="1">OFFSET(Roster!$A$3,MATCH(表格1[[#This Row],[Location]]&amp;" "&amp;表格1[[#This Row],[Shop]]&amp;"*",Roster!$A$4:$A$72,0),DAY(表格1[[#This Row],[date]]),1,1)</f>
        <v>Raymond</v>
      </c>
      <c r="E4867" s="86">
        <f>MONTH(表格1[[#This Row],[date]])</f>
        <v>3</v>
      </c>
      <c r="F4867" s="90">
        <v>46102</v>
      </c>
      <c r="G4867" s="86" t="str">
        <f>VLOOKUP("*"&amp;表格1[[#This Row],[Input]]&amp;"*",'Ref-List'!$B:$D,2,)</f>
        <v>RC-DS18K(R)</v>
      </c>
      <c r="H4867" s="86" t="str">
        <f>_xlfn.XLOOKUP(表格1[[#This Row],[Model]],表格3[Model-Input-Ref2],表格3[Product Line])</f>
        <v>IH磁應電飯煲</v>
      </c>
      <c r="I4867" s="86" t="str">
        <f>_xlfn.XLOOKUP(表格1[[#This Row],[Model]],表格3[Model-Input-Ref2],表格3[大小電])</f>
        <v>細電</v>
      </c>
      <c r="J4867" s="86" t="str">
        <f>_xlfn.XLOOKUP(表格1[[#This Row],[Model]],表格3[Model-Input-Ref2],表格3[Code])</f>
        <v>SDA</v>
      </c>
      <c r="K4867" s="89" t="s">
        <v>1946</v>
      </c>
      <c r="L4867" s="86">
        <v>1</v>
      </c>
      <c r="M4867" s="87">
        <v>3490</v>
      </c>
      <c r="N4867" s="87">
        <f>IFERROR(表格1[[#This Row],[QTY]]*表格1[[#This Row],[Unit Price]],"-")</f>
        <v>3490</v>
      </c>
      <c r="O4867" s="168">
        <v>2706957</v>
      </c>
      <c r="R4867" s="86" t="str">
        <f>_xlfn.CONCAT(表格1[[#This Row],[Model]]," ",表格1[[#This Row],[inv no]])</f>
        <v>RC-DS18K(R) 2706957</v>
      </c>
      <c r="S4867" s="86">
        <f>_xlfn.XLOOKUP(表格1[[#This Row],[Model]],表格3[Model-Input-Ref2],表格3[SRP PRICE])</f>
        <v>4988</v>
      </c>
      <c r="T4867" s="43">
        <f>表格1[[#This Row],[Unit Price]]/表格1[[#This Row],[SRP]]</f>
        <v>0.69967923015236566</v>
      </c>
      <c r="U4867" s="86" t="str">
        <f>_xlfn.XLOOKUP(表格1[[#This Row],[Model]],表格3[Model-Input-Ref2],表格3[TOSHIBA/HIGHEST])</f>
        <v>Toshiba SRP</v>
      </c>
      <c r="W4867" s="86" t="str">
        <f>_xlfn.CONCAT(表格1[[#This Row],[欄4]],表格1[[#This Row],[inv no]])</f>
        <v>2706957</v>
      </c>
    </row>
    <row r="4868" spans="1:23" hidden="1">
      <c r="A4868" s="81">
        <v>4866</v>
      </c>
      <c r="B4868" s="86" t="s">
        <v>1477</v>
      </c>
      <c r="C4868" s="86" t="s">
        <v>2252</v>
      </c>
      <c r="D4868" s="89" t="str">
        <f ca="1">OFFSET(Roster!$A$3,MATCH(表格1[[#This Row],[Location]]&amp;" "&amp;表格1[[#This Row],[Shop]]&amp;"*",Roster!$A$4:$A$72,0),DAY(表格1[[#This Row],[date]]),1,1)</f>
        <v>Raymond</v>
      </c>
      <c r="E4868" s="86">
        <f>MONTH(表格1[[#This Row],[date]])</f>
        <v>3</v>
      </c>
      <c r="F4868" s="90">
        <v>46102</v>
      </c>
      <c r="G4868" s="86" t="str">
        <f>VLOOKUP("*"&amp;表格1[[#This Row],[Input]]&amp;"*",'Ref-List'!$B:$D,2,)</f>
        <v>RC-18ISPH</v>
      </c>
      <c r="H4868" s="86" t="str">
        <f>_xlfn.XLOOKUP(表格1[[#This Row],[Model]],表格3[Model-Input-Ref2],表格3[Product Line])</f>
        <v>低醣磁應電飯煲1.8L</v>
      </c>
      <c r="I4868" s="86" t="str">
        <f>_xlfn.XLOOKUP(表格1[[#This Row],[Model]],表格3[Model-Input-Ref2],表格3[大小電])</f>
        <v>細電</v>
      </c>
      <c r="J4868" s="86" t="str">
        <f>_xlfn.XLOOKUP(表格1[[#This Row],[Model]],表格3[Model-Input-Ref2],表格3[Code])</f>
        <v>SDA</v>
      </c>
      <c r="K4868" s="89" t="s">
        <v>1281</v>
      </c>
      <c r="L4868" s="86">
        <v>1</v>
      </c>
      <c r="M4868" s="87">
        <v>1088</v>
      </c>
      <c r="N4868" s="87">
        <f>IFERROR(表格1[[#This Row],[QTY]]*表格1[[#This Row],[Unit Price]],"-")</f>
        <v>1088</v>
      </c>
      <c r="O4868" s="168">
        <v>2811588</v>
      </c>
      <c r="R4868" s="86" t="str">
        <f>_xlfn.CONCAT(表格1[[#This Row],[Model]]," ",表格1[[#This Row],[inv no]])</f>
        <v>RC-18ISPH 2811588</v>
      </c>
      <c r="S4868" s="86">
        <f>_xlfn.XLOOKUP(表格1[[#This Row],[Model]],表格3[Model-Input-Ref2],表格3[SRP PRICE])</f>
        <v>1436</v>
      </c>
      <c r="T4868" s="43">
        <f>表格1[[#This Row],[Unit Price]]/表格1[[#This Row],[SRP]]</f>
        <v>0.75766016713091922</v>
      </c>
      <c r="U4868" s="86" t="str">
        <f>_xlfn.XLOOKUP(表格1[[#This Row],[Model]],表格3[Model-Input-Ref2],表格3[TOSHIBA/HIGHEST])</f>
        <v>Shops Highest Price</v>
      </c>
      <c r="W4868" s="86" t="str">
        <f>_xlfn.CONCAT(表格1[[#This Row],[欄4]],表格1[[#This Row],[inv no]])</f>
        <v>2811588</v>
      </c>
    </row>
    <row r="4869" spans="1:23" hidden="1">
      <c r="A4869" s="81">
        <v>4867</v>
      </c>
      <c r="B4869" s="86" t="s">
        <v>1477</v>
      </c>
      <c r="C4869" s="86" t="s">
        <v>2252</v>
      </c>
      <c r="D4869" s="89" t="str">
        <f ca="1">OFFSET(Roster!$A$3,MATCH(表格1[[#This Row],[Location]]&amp;" "&amp;表格1[[#This Row],[Shop]]&amp;"*",Roster!$A$4:$A$72,0),DAY(表格1[[#This Row],[date]]),1,1)</f>
        <v>Raymond</v>
      </c>
      <c r="E4869" s="86">
        <f>MONTH(表格1[[#This Row],[date]])</f>
        <v>3</v>
      </c>
      <c r="F4869" s="90">
        <v>46102</v>
      </c>
      <c r="G4869" s="86" t="str">
        <f>VLOOKUP("*"&amp;表格1[[#This Row],[Input]]&amp;"*",'Ref-List'!$B:$D,2,)</f>
        <v>GR-RT300WE-PMA(57)</v>
      </c>
      <c r="H4869" s="86" t="str">
        <f>_xlfn.XLOOKUP(表格1[[#This Row],[Model]],表格3[Model-Input-Ref2],表格3[Product Line])</f>
        <v>變頻式環保雙門雪櫃(233L)</v>
      </c>
      <c r="I4869" s="86" t="str">
        <f>_xlfn.XLOOKUP(表格1[[#This Row],[Model]],表格3[Model-Input-Ref2],表格3[大小電])</f>
        <v>大電</v>
      </c>
      <c r="J4869" s="86" t="str">
        <f>_xlfn.XLOOKUP(表格1[[#This Row],[Model]],表格3[Model-Input-Ref2],表格3[Code])</f>
        <v>REF</v>
      </c>
      <c r="K4869" s="89" t="s">
        <v>1462</v>
      </c>
      <c r="L4869" s="86">
        <v>1</v>
      </c>
      <c r="M4869" s="87">
        <v>2780</v>
      </c>
      <c r="N4869" s="87">
        <f>IFERROR(表格1[[#This Row],[QTY]]*表格1[[#This Row],[Unit Price]],"-")</f>
        <v>2780</v>
      </c>
      <c r="O4869" s="168">
        <v>2811610</v>
      </c>
      <c r="R4869" s="86" t="str">
        <f>_xlfn.CONCAT(表格1[[#This Row],[Model]]," ",表格1[[#This Row],[inv no]])</f>
        <v>GR-RT300WE-PMA(57) 2811610</v>
      </c>
      <c r="S4869" s="86">
        <f>_xlfn.XLOOKUP(表格1[[#This Row],[Model]],表格3[Model-Input-Ref2],表格3[SRP PRICE])</f>
        <v>4280</v>
      </c>
      <c r="T4869" s="43">
        <f>表格1[[#This Row],[Unit Price]]/表格1[[#This Row],[SRP]]</f>
        <v>0.64953271028037385</v>
      </c>
      <c r="U4869" s="86" t="str">
        <f>_xlfn.XLOOKUP(表格1[[#This Row],[Model]],表格3[Model-Input-Ref2],表格3[TOSHIBA/HIGHEST])</f>
        <v>Toshiba SRP</v>
      </c>
      <c r="W4869" s="86" t="str">
        <f>_xlfn.CONCAT(表格1[[#This Row],[欄4]],表格1[[#This Row],[inv no]])</f>
        <v>2811610</v>
      </c>
    </row>
    <row r="4870" spans="1:23" hidden="1">
      <c r="A4870" s="81">
        <v>4868</v>
      </c>
      <c r="B4870" s="86" t="s">
        <v>1477</v>
      </c>
      <c r="C4870" s="86" t="s">
        <v>2252</v>
      </c>
      <c r="D4870" s="89" t="str">
        <f ca="1">OFFSET(Roster!$A$3,MATCH(表格1[[#This Row],[Location]]&amp;" "&amp;表格1[[#This Row],[Shop]]&amp;"*",Roster!$A$4:$A$72,0),DAY(表格1[[#This Row],[date]]),1,1)</f>
        <v>Raymond</v>
      </c>
      <c r="E4870" s="86">
        <f>MONTH(表格1[[#This Row],[date]])</f>
        <v>3</v>
      </c>
      <c r="F4870" s="90">
        <v>46103</v>
      </c>
      <c r="G4870" s="86" t="str">
        <f>VLOOKUP("*"&amp;表格1[[#This Row],[Input]]&amp;"*",'Ref-List'!$B:$D,2,)</f>
        <v>GR-RM469WE-PGA(B3)</v>
      </c>
      <c r="H4870" s="86" t="str">
        <f>_xlfn.XLOOKUP(表格1[[#This Row],[Model]],表格3[Model-Input-Ref2],表格3[Product Line])</f>
        <v>旗艦級變頻三門雪櫃 (300L)</v>
      </c>
      <c r="I4870" s="86" t="str">
        <f>_xlfn.XLOOKUP(表格1[[#This Row],[Model]],表格3[Model-Input-Ref2],表格3[大小電])</f>
        <v>大電</v>
      </c>
      <c r="J4870" s="86" t="str">
        <f>_xlfn.XLOOKUP(表格1[[#This Row],[Model]],表格3[Model-Input-Ref2],表格3[Code])</f>
        <v>REF</v>
      </c>
      <c r="K4870" s="89" t="s">
        <v>1460</v>
      </c>
      <c r="L4870" s="86">
        <v>1</v>
      </c>
      <c r="M4870" s="87">
        <v>6380</v>
      </c>
      <c r="N4870" s="87">
        <f>IFERROR(表格1[[#This Row],[QTY]]*表格1[[#This Row],[Unit Price]],"-")</f>
        <v>6380</v>
      </c>
      <c r="O4870" s="86">
        <v>820853</v>
      </c>
      <c r="R4870" s="86" t="str">
        <f>_xlfn.CONCAT(表格1[[#This Row],[Model]]," ",表格1[[#This Row],[inv no]])</f>
        <v>GR-RM469WE-PGA(B3) 820853</v>
      </c>
      <c r="S4870" s="86">
        <f>_xlfn.XLOOKUP(表格1[[#This Row],[Model]],表格3[Model-Input-Ref2],表格3[SRP PRICE])</f>
        <v>8990</v>
      </c>
      <c r="T4870" s="43">
        <f>表格1[[#This Row],[Unit Price]]/表格1[[#This Row],[SRP]]</f>
        <v>0.70967741935483875</v>
      </c>
      <c r="U4870" s="86" t="str">
        <f>_xlfn.XLOOKUP(表格1[[#This Row],[Model]],表格3[Model-Input-Ref2],表格3[TOSHIBA/HIGHEST])</f>
        <v>Toshiba SRP</v>
      </c>
      <c r="W4870" s="86" t="str">
        <f>_xlfn.CONCAT(表格1[[#This Row],[欄4]],表格1[[#This Row],[inv no]])</f>
        <v>820853</v>
      </c>
    </row>
    <row r="4871" spans="1:23" hidden="1">
      <c r="A4871" s="81">
        <v>4869</v>
      </c>
      <c r="B4871" s="86" t="s">
        <v>1477</v>
      </c>
      <c r="C4871" s="86" t="s">
        <v>2252</v>
      </c>
      <c r="D4871" s="89" t="str">
        <f ca="1">OFFSET(Roster!$A$3,MATCH(表格1[[#This Row],[Location]]&amp;" "&amp;表格1[[#This Row],[Shop]]&amp;"*",Roster!$A$4:$A$72,0),DAY(表格1[[#This Row],[date]]),1,1)</f>
        <v>Raymond</v>
      </c>
      <c r="E4871" s="86">
        <f>MONTH(表格1[[#This Row],[date]])</f>
        <v>3</v>
      </c>
      <c r="F4871" s="90">
        <v>46103</v>
      </c>
      <c r="G4871" s="86" t="str">
        <f>VLOOKUP("*"&amp;表格1[[#This Row],[Input]]&amp;"*",'Ref-List'!$B:$D,2,)</f>
        <v>VC-CLX50BF(R)</v>
      </c>
      <c r="H4871" s="86" t="str">
        <f>_xlfn.XLOOKUP(表格1[[#This Row],[Model]],表格3[Model-Input-Ref2],表格3[Product Line])</f>
        <v>All-in-one 輕巧無線吸塵機</v>
      </c>
      <c r="I4871" s="86" t="str">
        <f>_xlfn.XLOOKUP(表格1[[#This Row],[Model]],表格3[Model-Input-Ref2],表格3[大小電])</f>
        <v>細電</v>
      </c>
      <c r="J4871" s="86" t="str">
        <f>_xlfn.XLOOKUP(表格1[[#This Row],[Model]],表格3[Model-Input-Ref2],表格3[Code])</f>
        <v>MCA</v>
      </c>
      <c r="K4871" s="89" t="s">
        <v>1774</v>
      </c>
      <c r="L4871" s="86">
        <v>1</v>
      </c>
      <c r="M4871" s="87">
        <v>1798</v>
      </c>
      <c r="N4871" s="87">
        <f>IFERROR(表格1[[#This Row],[QTY]]*表格1[[#This Row],[Unit Price]],"-")</f>
        <v>1798</v>
      </c>
      <c r="O4871" s="86">
        <v>2903140</v>
      </c>
      <c r="R4871" s="86" t="str">
        <f>_xlfn.CONCAT(表格1[[#This Row],[Model]]," ",表格1[[#This Row],[inv no]])</f>
        <v>VC-CLX50BF(R) 2903140</v>
      </c>
      <c r="S4871" s="86">
        <f>_xlfn.XLOOKUP(表格1[[#This Row],[Model]],表格3[Model-Input-Ref2],表格3[SRP PRICE])</f>
        <v>3188</v>
      </c>
      <c r="T4871" s="43">
        <f>表格1[[#This Row],[Unit Price]]/表格1[[#This Row],[SRP]]</f>
        <v>0.56398996235884569</v>
      </c>
      <c r="U4871" s="86" t="str">
        <f>_xlfn.XLOOKUP(表格1[[#This Row],[Model]],表格3[Model-Input-Ref2],表格3[TOSHIBA/HIGHEST])</f>
        <v>Toshiba SRP</v>
      </c>
      <c r="W4871" s="86" t="str">
        <f>_xlfn.CONCAT(表格1[[#This Row],[欄4]],表格1[[#This Row],[inv no]])</f>
        <v>2903140</v>
      </c>
    </row>
    <row r="4872" spans="1:23" hidden="1">
      <c r="A4872" s="81">
        <v>4870</v>
      </c>
      <c r="B4872" s="86" t="s">
        <v>1477</v>
      </c>
      <c r="C4872" s="86" t="s">
        <v>2252</v>
      </c>
      <c r="D4872" s="89" t="str">
        <f ca="1">OFFSET(Roster!$A$3,MATCH(表格1[[#This Row],[Location]]&amp;" "&amp;表格1[[#This Row],[Shop]]&amp;"*",Roster!$A$4:$A$72,0),DAY(表格1[[#This Row],[date]]),1,1)</f>
        <v>Raymond</v>
      </c>
      <c r="E4872" s="86">
        <f>MONTH(表格1[[#This Row],[date]])</f>
        <v>3</v>
      </c>
      <c r="F4872" s="90">
        <v>46103</v>
      </c>
      <c r="G4872" s="86" t="str">
        <f>VLOOKUP("*"&amp;表格1[[#This Row],[Input]]&amp;"*",'Ref-List'!$B:$D,2,)</f>
        <v>GR-RM598WE-PGA(B3)</v>
      </c>
      <c r="H4872" s="86" t="str">
        <f>_xlfn.XLOOKUP(表格1[[#This Row],[Model]],表格3[Model-Input-Ref2],表格3[Product Line])</f>
        <v>變頻六門雪櫃(451L)</v>
      </c>
      <c r="I4872" s="86" t="str">
        <f>_xlfn.XLOOKUP(表格1[[#This Row],[Model]],表格3[Model-Input-Ref2],表格3[大小電])</f>
        <v>大電</v>
      </c>
      <c r="J4872" s="86" t="str">
        <f>_xlfn.XLOOKUP(表格1[[#This Row],[Model]],表格3[Model-Input-Ref2],表格3[Code])</f>
        <v>REF</v>
      </c>
      <c r="K4872" s="89" t="s">
        <v>1491</v>
      </c>
      <c r="L4872" s="86">
        <v>1</v>
      </c>
      <c r="M4872" s="87">
        <v>10990</v>
      </c>
      <c r="N4872" s="87">
        <f>IFERROR(表格1[[#This Row],[QTY]]*表格1[[#This Row],[Unit Price]],"-")</f>
        <v>10990</v>
      </c>
      <c r="O4872" s="86">
        <v>1625218</v>
      </c>
      <c r="R4872" s="86" t="str">
        <f>_xlfn.CONCAT(表格1[[#This Row],[Model]]," ",表格1[[#This Row],[inv no]])</f>
        <v>GR-RM598WE-PGA(B3) 1625218</v>
      </c>
      <c r="S4872" s="86">
        <f>_xlfn.XLOOKUP(表格1[[#This Row],[Model]],表格3[Model-Input-Ref2],表格3[SRP PRICE])</f>
        <v>14980</v>
      </c>
      <c r="T4872" s="43">
        <f>表格1[[#This Row],[Unit Price]]/表格1[[#This Row],[SRP]]</f>
        <v>0.73364485981308414</v>
      </c>
      <c r="U4872" s="86" t="str">
        <f>_xlfn.XLOOKUP(表格1[[#This Row],[Model]],表格3[Model-Input-Ref2],表格3[TOSHIBA/HIGHEST])</f>
        <v>Toshiba SRP</v>
      </c>
      <c r="W4872" s="86" t="str">
        <f>_xlfn.CONCAT(表格1[[#This Row],[欄4]],表格1[[#This Row],[inv no]])</f>
        <v>1625218</v>
      </c>
    </row>
    <row r="4873" spans="1:23" hidden="1">
      <c r="A4873" s="81">
        <v>4871</v>
      </c>
      <c r="B4873" s="86" t="s">
        <v>1477</v>
      </c>
      <c r="C4873" s="86" t="s">
        <v>2252</v>
      </c>
      <c r="D4873" s="89" t="str">
        <f ca="1">OFFSET(Roster!$A$3,MATCH(表格1[[#This Row],[Location]]&amp;" "&amp;表格1[[#This Row],[Shop]]&amp;"*",Roster!$A$4:$A$72,0),DAY(表格1[[#This Row],[date]]),1,1)</f>
        <v>Raymond</v>
      </c>
      <c r="E4873" s="86">
        <f>MONTH(表格1[[#This Row],[date]])</f>
        <v>3</v>
      </c>
      <c r="F4873" s="90">
        <v>46103</v>
      </c>
      <c r="G4873" s="86" t="str">
        <f>VLOOKUP("*"&amp;表格1[[#This Row],[Input]]&amp;"*",'Ref-List'!$B:$D,2,)</f>
        <v>RAD-D300H</v>
      </c>
      <c r="H4873" s="86" t="str">
        <f>_xlfn.XLOOKUP(表格1[[#This Row],[Model]],表格3[Model-Input-Ref2],表格3[Product Line])</f>
        <v>壓縮式抽濕機 (30公升)</v>
      </c>
      <c r="I4873" s="86" t="str">
        <f>_xlfn.XLOOKUP(表格1[[#This Row],[Model]],表格3[Model-Input-Ref2],表格3[大小電])</f>
        <v>細電</v>
      </c>
      <c r="J4873" s="86" t="str">
        <f>_xlfn.XLOOKUP(表格1[[#This Row],[Model]],表格3[Model-Input-Ref2],表格3[Code])</f>
        <v>RAC</v>
      </c>
      <c r="K4873" s="89" t="s">
        <v>1252</v>
      </c>
      <c r="L4873" s="86">
        <v>1</v>
      </c>
      <c r="M4873" s="87">
        <v>2280</v>
      </c>
      <c r="N4873" s="87">
        <f>IFERROR(表格1[[#This Row],[QTY]]*表格1[[#This Row],[Unit Price]],"-")</f>
        <v>2280</v>
      </c>
      <c r="O4873" s="86">
        <v>1625220</v>
      </c>
      <c r="R4873" s="86" t="str">
        <f>_xlfn.CONCAT(表格1[[#This Row],[Model]]," ",表格1[[#This Row],[inv no]])</f>
        <v>RAD-D300H 1625220</v>
      </c>
      <c r="S4873" s="86">
        <f>_xlfn.XLOOKUP(表格1[[#This Row],[Model]],表格3[Model-Input-Ref2],表格3[SRP PRICE])</f>
        <v>3380</v>
      </c>
      <c r="T4873" s="43">
        <f>表格1[[#This Row],[Unit Price]]/表格1[[#This Row],[SRP]]</f>
        <v>0.67455621301775148</v>
      </c>
      <c r="U4873" s="86" t="str">
        <f>_xlfn.XLOOKUP(表格1[[#This Row],[Model]],表格3[Model-Input-Ref2],表格3[TOSHIBA/HIGHEST])</f>
        <v>Shops Highest Price</v>
      </c>
      <c r="W4873" s="86" t="str">
        <f>_xlfn.CONCAT(表格1[[#This Row],[欄4]],表格1[[#This Row],[inv no]])</f>
        <v>1625220</v>
      </c>
    </row>
    <row r="4874" spans="1:23" hidden="1">
      <c r="A4874" s="81">
        <v>4872</v>
      </c>
      <c r="B4874" s="86" t="s">
        <v>1477</v>
      </c>
      <c r="C4874" s="86" t="s">
        <v>2252</v>
      </c>
      <c r="D4874" s="89" t="str">
        <f ca="1">OFFSET(Roster!$A$3,MATCH(表格1[[#This Row],[Location]]&amp;" "&amp;表格1[[#This Row],[Shop]]&amp;"*",Roster!$A$4:$A$72,0),DAY(表格1[[#This Row],[date]]),1,1)</f>
        <v>Raymond</v>
      </c>
      <c r="E4874" s="86">
        <f>MONTH(表格1[[#This Row],[date]])</f>
        <v>3</v>
      </c>
      <c r="F4874" s="90">
        <v>46103</v>
      </c>
      <c r="G4874" s="86" t="str">
        <f>VLOOKUP("*"&amp;表格1[[#This Row],[Input]]&amp;"*",'Ref-List'!$B:$D,2,)</f>
        <v>ER-SD99HKW</v>
      </c>
      <c r="H4874" s="86" t="str">
        <f>_xlfn.XLOOKUP(表格1[[#This Row],[Model]],表格3[Model-Input-Ref2],表格3[Product Line])</f>
        <v>智能水波爐 (26公升)</v>
      </c>
      <c r="I4874" s="86" t="str">
        <f>_xlfn.XLOOKUP(表格1[[#This Row],[Model]],表格3[Model-Input-Ref2],表格3[大小電])</f>
        <v>細電</v>
      </c>
      <c r="J4874" s="86" t="str">
        <f>_xlfn.XLOOKUP(表格1[[#This Row],[Model]],表格3[Model-Input-Ref2],表格3[Code])</f>
        <v>MCA</v>
      </c>
      <c r="K4874" s="89" t="s">
        <v>1382</v>
      </c>
      <c r="L4874" s="86">
        <v>1</v>
      </c>
      <c r="M4874" s="87">
        <v>3980</v>
      </c>
      <c r="N4874" s="87">
        <f>IFERROR(表格1[[#This Row],[QTY]]*表格1[[#This Row],[Unit Price]],"-")</f>
        <v>3980</v>
      </c>
      <c r="O4874" s="86">
        <v>2903175</v>
      </c>
      <c r="R4874" s="86" t="str">
        <f>_xlfn.CONCAT(表格1[[#This Row],[Model]]," ",表格1[[#This Row],[inv no]])</f>
        <v>ER-SD99HKW 2903175</v>
      </c>
      <c r="S4874" s="86">
        <f>_xlfn.XLOOKUP(表格1[[#This Row],[Model]],表格3[Model-Input-Ref2],表格3[SRP PRICE])</f>
        <v>5888</v>
      </c>
      <c r="T4874" s="43">
        <f>表格1[[#This Row],[Unit Price]]/表格1[[#This Row],[SRP]]</f>
        <v>0.67595108695652173</v>
      </c>
      <c r="U4874" s="86" t="str">
        <f>_xlfn.XLOOKUP(表格1[[#This Row],[Model]],表格3[Model-Input-Ref2],表格3[TOSHIBA/HIGHEST])</f>
        <v>Toshiba SRP</v>
      </c>
      <c r="W4874" s="86" t="str">
        <f>_xlfn.CONCAT(表格1[[#This Row],[欄4]],表格1[[#This Row],[inv no]])</f>
        <v>2903175</v>
      </c>
    </row>
    <row r="4875" spans="1:23" hidden="1">
      <c r="A4875" s="81">
        <v>4873</v>
      </c>
      <c r="B4875" s="86" t="s">
        <v>1477</v>
      </c>
      <c r="C4875" s="86" t="s">
        <v>2252</v>
      </c>
      <c r="D4875" s="89" t="str">
        <f ca="1">OFFSET(Roster!$A$3,MATCH(表格1[[#This Row],[Location]]&amp;" "&amp;表格1[[#This Row],[Shop]]&amp;"*",Roster!$A$4:$A$72,0),DAY(表格1[[#This Row],[date]]),1,1)</f>
        <v>Raymond</v>
      </c>
      <c r="E4875" s="86">
        <f>MONTH(表格1[[#This Row],[date]])</f>
        <v>3</v>
      </c>
      <c r="F4875" s="90">
        <v>46103</v>
      </c>
      <c r="G4875" s="86" t="str">
        <f>VLOOKUP("*"&amp;表格1[[#This Row],[Input]]&amp;"*",'Ref-List'!$B:$D,2,)</f>
        <v>MW3-SAC24SE(BK)</v>
      </c>
      <c r="H4875" s="86" t="str">
        <f>_xlfn.XLOOKUP(表格1[[#This Row],[Model]],表格3[Model-Input-Ref2],表格3[Product Line])</f>
        <v>智能氣炸烤焗爐(24公升)</v>
      </c>
      <c r="I4875" s="86" t="str">
        <f>_xlfn.XLOOKUP(表格1[[#This Row],[Model]],表格3[Model-Input-Ref2],表格3[大小電])</f>
        <v>細電</v>
      </c>
      <c r="J4875" s="86" t="str">
        <f>_xlfn.XLOOKUP(表格1[[#This Row],[Model]],表格3[Model-Input-Ref2],表格3[Code])</f>
        <v>MCA</v>
      </c>
      <c r="K4875" s="89" t="s">
        <v>1274</v>
      </c>
      <c r="L4875" s="86">
        <v>1</v>
      </c>
      <c r="M4875" s="87">
        <v>1320</v>
      </c>
      <c r="N4875" s="87">
        <f>IFERROR(表格1[[#This Row],[QTY]]*表格1[[#This Row],[Unit Price]],"-")</f>
        <v>1320</v>
      </c>
      <c r="O4875" s="86">
        <v>2811821</v>
      </c>
      <c r="R4875" s="86" t="str">
        <f>_xlfn.CONCAT(表格1[[#This Row],[Model]]," ",表格1[[#This Row],[inv no]])</f>
        <v>MW3-SAC24SE(BK) 2811821</v>
      </c>
      <c r="S4875" s="86">
        <f>_xlfn.XLOOKUP(表格1[[#This Row],[Model]],表格3[Model-Input-Ref2],表格3[SRP PRICE])</f>
        <v>1680</v>
      </c>
      <c r="T4875" s="43">
        <f>表格1[[#This Row],[Unit Price]]/表格1[[#This Row],[SRP]]</f>
        <v>0.7857142857142857</v>
      </c>
      <c r="U4875" s="86" t="str">
        <f>_xlfn.XLOOKUP(表格1[[#This Row],[Model]],表格3[Model-Input-Ref2],表格3[TOSHIBA/HIGHEST])</f>
        <v>Toshiba SRP</v>
      </c>
      <c r="W4875" s="86" t="str">
        <f>_xlfn.CONCAT(表格1[[#This Row],[欄4]],表格1[[#This Row],[inv no]])</f>
        <v>2811821</v>
      </c>
    </row>
    <row r="4876" spans="1:23" hidden="1">
      <c r="A4876" s="81">
        <v>4874</v>
      </c>
      <c r="B4876" s="86" t="s">
        <v>1477</v>
      </c>
      <c r="C4876" s="86" t="s">
        <v>2252</v>
      </c>
      <c r="D4876" s="89" t="str">
        <f ca="1">OFFSET(Roster!$A$3,MATCH(表格1[[#This Row],[Location]]&amp;" "&amp;表格1[[#This Row],[Shop]]&amp;"*",Roster!$A$4:$A$72,0),DAY(表格1[[#This Row],[date]]),1,1)</f>
        <v>Raymond</v>
      </c>
      <c r="E4876" s="86">
        <f>MONTH(表格1[[#This Row],[date]])</f>
        <v>3</v>
      </c>
      <c r="F4876" s="90">
        <v>46103</v>
      </c>
      <c r="G4876" s="86" t="str">
        <f>VLOOKUP("*"&amp;表格1[[#This Row],[Input]]&amp;"*",'Ref-List'!$B:$D,2,)</f>
        <v>MM2-EM20PC(WH)</v>
      </c>
      <c r="H4876" s="86" t="str">
        <f>_xlfn.XLOOKUP(表格1[[#This Row],[Model]],表格3[Model-Input-Ref2],表格3[Product Line])</f>
        <v>輕觸式微波爐 (20公升)</v>
      </c>
      <c r="I4876" s="86" t="str">
        <f>_xlfn.XLOOKUP(表格1[[#This Row],[Model]],表格3[Model-Input-Ref2],表格3[大小電])</f>
        <v>細電</v>
      </c>
      <c r="J4876" s="86" t="str">
        <f>_xlfn.XLOOKUP(表格1[[#This Row],[Model]],表格3[Model-Input-Ref2],表格3[Code])</f>
        <v>MCA</v>
      </c>
      <c r="K4876" s="89" t="s">
        <v>1276</v>
      </c>
      <c r="L4876" s="86">
        <v>1</v>
      </c>
      <c r="M4876" s="87">
        <v>638</v>
      </c>
      <c r="N4876" s="87">
        <f>IFERROR(表格1[[#This Row],[QTY]]*表格1[[#This Row],[Unit Price]],"-")</f>
        <v>638</v>
      </c>
      <c r="O4876" s="86">
        <v>2903091</v>
      </c>
      <c r="R4876" s="86" t="str">
        <f>_xlfn.CONCAT(表格1[[#This Row],[Model]]," ",表格1[[#This Row],[inv no]])</f>
        <v>MM2-EM20PC(WH) 2903091</v>
      </c>
      <c r="S4876" s="86">
        <f>_xlfn.XLOOKUP(表格1[[#This Row],[Model]],表格3[Model-Input-Ref2],表格3[SRP PRICE])</f>
        <v>788</v>
      </c>
      <c r="T4876" s="43">
        <f>表格1[[#This Row],[Unit Price]]/表格1[[#This Row],[SRP]]</f>
        <v>0.80964467005076146</v>
      </c>
      <c r="U4876" s="86" t="str">
        <f>_xlfn.XLOOKUP(表格1[[#This Row],[Model]],表格3[Model-Input-Ref2],表格3[TOSHIBA/HIGHEST])</f>
        <v>Toshiba SRP</v>
      </c>
      <c r="W4876" s="86" t="str">
        <f>_xlfn.CONCAT(表格1[[#This Row],[欄4]],表格1[[#This Row],[inv no]])</f>
        <v>2903091</v>
      </c>
    </row>
    <row r="4877" spans="1:23" hidden="1">
      <c r="A4877" s="81">
        <v>4875</v>
      </c>
      <c r="B4877" s="86" t="s">
        <v>1477</v>
      </c>
      <c r="C4877" s="86" t="s">
        <v>2252</v>
      </c>
      <c r="D4877" s="89" t="str">
        <f ca="1">OFFSET(Roster!$A$3,MATCH(表格1[[#This Row],[Location]]&amp;" "&amp;表格1[[#This Row],[Shop]]&amp;"*",Roster!$A$4:$A$72,0),DAY(表格1[[#This Row],[date]]),1,1)</f>
        <v>Raymond</v>
      </c>
      <c r="E4877" s="86">
        <f>MONTH(表格1[[#This Row],[date]])</f>
        <v>3</v>
      </c>
      <c r="F4877" s="90">
        <v>46103</v>
      </c>
      <c r="G4877" s="86" t="str">
        <f>VLOOKUP("*"&amp;表格1[[#This Row],[Input]]&amp;"*",'Ref-List'!$B:$D,2,)</f>
        <v>MM2-EM20PC(WH)</v>
      </c>
      <c r="H4877" s="86" t="str">
        <f>_xlfn.XLOOKUP(表格1[[#This Row],[Model]],表格3[Model-Input-Ref2],表格3[Product Line])</f>
        <v>輕觸式微波爐 (20公升)</v>
      </c>
      <c r="I4877" s="86" t="str">
        <f>_xlfn.XLOOKUP(表格1[[#This Row],[Model]],表格3[Model-Input-Ref2],表格3[大小電])</f>
        <v>細電</v>
      </c>
      <c r="J4877" s="86" t="str">
        <f>_xlfn.XLOOKUP(表格1[[#This Row],[Model]],表格3[Model-Input-Ref2],表格3[Code])</f>
        <v>MCA</v>
      </c>
      <c r="K4877" s="89" t="s">
        <v>1276</v>
      </c>
      <c r="L4877" s="86">
        <v>1</v>
      </c>
      <c r="M4877" s="87">
        <v>638</v>
      </c>
      <c r="N4877" s="87">
        <f>IFERROR(表格1[[#This Row],[QTY]]*表格1[[#This Row],[Unit Price]],"-")</f>
        <v>638</v>
      </c>
      <c r="O4877" s="86">
        <v>2903166</v>
      </c>
      <c r="R4877" s="86" t="str">
        <f>_xlfn.CONCAT(表格1[[#This Row],[Model]]," ",表格1[[#This Row],[inv no]])</f>
        <v>MM2-EM20PC(WH) 2903166</v>
      </c>
      <c r="S4877" s="86">
        <f>_xlfn.XLOOKUP(表格1[[#This Row],[Model]],表格3[Model-Input-Ref2],表格3[SRP PRICE])</f>
        <v>788</v>
      </c>
      <c r="T4877" s="43">
        <f>表格1[[#This Row],[Unit Price]]/表格1[[#This Row],[SRP]]</f>
        <v>0.80964467005076146</v>
      </c>
      <c r="U4877" s="86" t="str">
        <f>_xlfn.XLOOKUP(表格1[[#This Row],[Model]],表格3[Model-Input-Ref2],表格3[TOSHIBA/HIGHEST])</f>
        <v>Toshiba SRP</v>
      </c>
      <c r="W4877" s="86" t="str">
        <f>_xlfn.CONCAT(表格1[[#This Row],[欄4]],表格1[[#This Row],[inv no]])</f>
        <v>2903166</v>
      </c>
    </row>
    <row r="4878" spans="1:23" hidden="1">
      <c r="A4878" s="81">
        <v>4876</v>
      </c>
      <c r="B4878" s="86" t="s">
        <v>1477</v>
      </c>
      <c r="C4878" s="86" t="s">
        <v>2252</v>
      </c>
      <c r="D4878" s="89" t="str">
        <f ca="1">OFFSET(Roster!$A$3,MATCH(表格1[[#This Row],[Location]]&amp;" "&amp;表格1[[#This Row],[Shop]]&amp;"*",Roster!$A$4:$A$72,0),DAY(表格1[[#This Row],[date]]),1,1)</f>
        <v>Raymond</v>
      </c>
      <c r="E4878" s="86">
        <f>MONTH(表格1[[#This Row],[date]])</f>
        <v>3</v>
      </c>
      <c r="F4878" s="90">
        <v>46103</v>
      </c>
      <c r="G4878" s="86" t="str">
        <f>VLOOKUP("*"&amp;表格1[[#This Row],[Input]]&amp;"*",'Ref-List'!$B:$D,2,)</f>
        <v>KT-17SHNH</v>
      </c>
      <c r="H4878" s="86" t="str">
        <f>_xlfn.XLOOKUP(表格1[[#This Row],[Model]],表格3[Model-Input-Ref2],表格3[Product Line])</f>
        <v>1.7L無線雙層電熱水壺</v>
      </c>
      <c r="I4878" s="86" t="str">
        <f>_xlfn.XLOOKUP(表格1[[#This Row],[Model]],表格3[Model-Input-Ref2],表格3[大小電])</f>
        <v>細電</v>
      </c>
      <c r="J4878" s="86" t="str">
        <f>_xlfn.XLOOKUP(表格1[[#This Row],[Model]],表格3[Model-Input-Ref2],表格3[Code])</f>
        <v>SDA</v>
      </c>
      <c r="K4878" s="89" t="s">
        <v>1283</v>
      </c>
      <c r="L4878" s="86">
        <v>1</v>
      </c>
      <c r="M4878" s="87">
        <v>228</v>
      </c>
      <c r="N4878" s="87">
        <f>IFERROR(表格1[[#This Row],[QTY]]*表格1[[#This Row],[Unit Price]],"-")</f>
        <v>228</v>
      </c>
      <c r="O4878" s="168">
        <v>2811837</v>
      </c>
      <c r="R4878" s="86" t="str">
        <f>_xlfn.CONCAT(表格1[[#This Row],[Model]]," ",表格1[[#This Row],[inv no]])</f>
        <v>KT-17SHNH 2811837</v>
      </c>
      <c r="S4878" s="86">
        <f>_xlfn.XLOOKUP(表格1[[#This Row],[Model]],表格3[Model-Input-Ref2],表格3[SRP PRICE])</f>
        <v>299</v>
      </c>
      <c r="T4878" s="43">
        <f>表格1[[#This Row],[Unit Price]]/表格1[[#This Row],[SRP]]</f>
        <v>0.76254180602006694</v>
      </c>
      <c r="U4878" s="86" t="str">
        <f>_xlfn.XLOOKUP(表格1[[#This Row],[Model]],表格3[Model-Input-Ref2],表格3[TOSHIBA/HIGHEST])</f>
        <v>Shops Highest Price</v>
      </c>
      <c r="W4878" s="86" t="str">
        <f>_xlfn.CONCAT(表格1[[#This Row],[欄4]],表格1[[#This Row],[inv no]])</f>
        <v>2811837</v>
      </c>
    </row>
    <row r="4879" spans="1:23" hidden="1">
      <c r="A4879" s="81">
        <v>4877</v>
      </c>
      <c r="B4879" s="86" t="s">
        <v>1477</v>
      </c>
      <c r="C4879" s="86" t="s">
        <v>2252</v>
      </c>
      <c r="D4879" s="89" t="str">
        <f ca="1">OFFSET(Roster!$A$3,MATCH(表格1[[#This Row],[Location]]&amp;" "&amp;表格1[[#This Row],[Shop]]&amp;"*",Roster!$A$4:$A$72,0),DAY(表格1[[#This Row],[date]]),1,1)</f>
        <v>Raymond</v>
      </c>
      <c r="E4879" s="86">
        <f>MONTH(表格1[[#This Row],[date]])</f>
        <v>3</v>
      </c>
      <c r="F4879" s="90">
        <v>46103</v>
      </c>
      <c r="G4879" s="86" t="str">
        <f>VLOOKUP("*"&amp;表格1[[#This Row],[Input]]&amp;"*",'Ref-List'!$B:$D,2,)</f>
        <v>RC-7HMH</v>
      </c>
      <c r="H4879" s="86" t="str">
        <f>_xlfn.XLOOKUP(表格1[[#This Row],[Model]],表格3[Model-Input-Ref2],表格3[Product Line])</f>
        <v>備長炭本厚釜電飯煲0.7L</v>
      </c>
      <c r="I4879" s="86" t="str">
        <f>_xlfn.XLOOKUP(表格1[[#This Row],[Model]],表格3[Model-Input-Ref2],表格3[大小電])</f>
        <v>細電</v>
      </c>
      <c r="J4879" s="86" t="str">
        <f>_xlfn.XLOOKUP(表格1[[#This Row],[Model]],表格3[Model-Input-Ref2],表格3[Code])</f>
        <v>SDA</v>
      </c>
      <c r="K4879" s="89" t="s">
        <v>1284</v>
      </c>
      <c r="L4879" s="86">
        <v>1</v>
      </c>
      <c r="M4879" s="87">
        <v>898</v>
      </c>
      <c r="N4879" s="87">
        <f>IFERROR(表格1[[#This Row],[QTY]]*表格1[[#This Row],[Unit Price]],"-")</f>
        <v>898</v>
      </c>
      <c r="O4879" s="168">
        <v>2811851</v>
      </c>
      <c r="R4879" s="86" t="str">
        <f>_xlfn.CONCAT(表格1[[#This Row],[Model]]," ",表格1[[#This Row],[inv no]])</f>
        <v>RC-7HMH 2811851</v>
      </c>
      <c r="S4879" s="86">
        <f>_xlfn.XLOOKUP(表格1[[#This Row],[Model]],表格3[Model-Input-Ref2],表格3[SRP PRICE])</f>
        <v>1288</v>
      </c>
      <c r="T4879" s="43">
        <f>表格1[[#This Row],[Unit Price]]/表格1[[#This Row],[SRP]]</f>
        <v>0.69720496894409933</v>
      </c>
      <c r="U4879" s="86" t="str">
        <f>_xlfn.XLOOKUP(表格1[[#This Row],[Model]],表格3[Model-Input-Ref2],表格3[TOSHIBA/HIGHEST])</f>
        <v>Toshiba SRP</v>
      </c>
      <c r="W4879" s="86" t="str">
        <f>_xlfn.CONCAT(表格1[[#This Row],[欄4]],表格1[[#This Row],[inv no]])</f>
        <v>2811851</v>
      </c>
    </row>
    <row r="4880" spans="1:23" hidden="1">
      <c r="A4880" s="81">
        <v>4878</v>
      </c>
      <c r="B4880" s="86" t="s">
        <v>1477</v>
      </c>
      <c r="C4880" s="86" t="s">
        <v>2252</v>
      </c>
      <c r="D4880" s="89" t="str">
        <f ca="1">OFFSET(Roster!$A$3,MATCH(表格1[[#This Row],[Location]]&amp;" "&amp;表格1[[#This Row],[Shop]]&amp;"*",Roster!$A$4:$A$72,0),DAY(表格1[[#This Row],[date]]),1,1)</f>
        <v>Raymond</v>
      </c>
      <c r="E4880" s="86">
        <f>MONTH(表格1[[#This Row],[date]])</f>
        <v>3</v>
      </c>
      <c r="F4880" s="90">
        <v>46103</v>
      </c>
      <c r="G4880" s="86" t="str">
        <f>VLOOKUP("*"&amp;表格1[[#This Row],[Input]]&amp;"*",'Ref-List'!$B:$D,2,)</f>
        <v>RC-18NMFIH(WT)</v>
      </c>
      <c r="H4880" s="86" t="str">
        <f>_xlfn.XLOOKUP(表格1[[#This Row],[Model]],表格3[Model-Input-Ref2],表格3[Product Line])</f>
        <v>4毫米厚釜電飯煲1.8L</v>
      </c>
      <c r="I4880" s="86" t="str">
        <f>_xlfn.XLOOKUP(表格1[[#This Row],[Model]],表格3[Model-Input-Ref2],表格3[大小電])</f>
        <v>細電</v>
      </c>
      <c r="J4880" s="86" t="str">
        <f>_xlfn.XLOOKUP(表格1[[#This Row],[Model]],表格3[Model-Input-Ref2],表格3[Code])</f>
        <v>SDA</v>
      </c>
      <c r="K4880" s="89" t="s">
        <v>1267</v>
      </c>
      <c r="L4880" s="86">
        <v>1</v>
      </c>
      <c r="M4880" s="87">
        <v>799</v>
      </c>
      <c r="N4880" s="87">
        <f>IFERROR(表格1[[#This Row],[QTY]]*表格1[[#This Row],[Unit Price]],"-")</f>
        <v>799</v>
      </c>
      <c r="O4880" s="168">
        <v>2903185</v>
      </c>
      <c r="R4880" s="86" t="str">
        <f>_xlfn.CONCAT(表格1[[#This Row],[Model]]," ",表格1[[#This Row],[inv no]])</f>
        <v>RC-18NMFIH(WT) 2903185</v>
      </c>
      <c r="S4880" s="86">
        <f>_xlfn.XLOOKUP(表格1[[#This Row],[Model]],表格3[Model-Input-Ref2],表格3[SRP PRICE])</f>
        <v>998</v>
      </c>
      <c r="T4880" s="43">
        <f>表格1[[#This Row],[Unit Price]]/表格1[[#This Row],[SRP]]</f>
        <v>0.80060120240480959</v>
      </c>
      <c r="U4880" s="86" t="str">
        <f>_xlfn.XLOOKUP(表格1[[#This Row],[Model]],表格3[Model-Input-Ref2],表格3[TOSHIBA/HIGHEST])</f>
        <v>Toshiba SRP</v>
      </c>
      <c r="W4880" s="86" t="str">
        <f>_xlfn.CONCAT(表格1[[#This Row],[欄4]],表格1[[#This Row],[inv no]])</f>
        <v>2903185</v>
      </c>
    </row>
    <row r="4881" spans="1:23" hidden="1">
      <c r="A4881" s="81">
        <v>4879</v>
      </c>
      <c r="B4881" s="86" t="s">
        <v>1477</v>
      </c>
      <c r="C4881" s="86" t="s">
        <v>2252</v>
      </c>
      <c r="D4881" s="89" t="str">
        <f ca="1">OFFSET(Roster!$A$3,MATCH(表格1[[#This Row],[Location]]&amp;" "&amp;表格1[[#This Row],[Shop]]&amp;"*",Roster!$A$4:$A$72,0),DAY(表格1[[#This Row],[date]]),1,1)</f>
        <v>Raymond</v>
      </c>
      <c r="E4881" s="86">
        <f>MONTH(表格1[[#This Row],[date]])</f>
        <v>3</v>
      </c>
      <c r="F4881" s="90">
        <v>46103</v>
      </c>
      <c r="G4881" s="86" t="str">
        <f>VLOOKUP("*"&amp;表格1[[#This Row],[Input]]&amp;"*",'Ref-List'!$B:$D,2,)</f>
        <v>KT-17SHNH</v>
      </c>
      <c r="H4881" s="86" t="str">
        <f>_xlfn.XLOOKUP(表格1[[#This Row],[Model]],表格3[Model-Input-Ref2],表格3[Product Line])</f>
        <v>1.7L無線雙層電熱水壺</v>
      </c>
      <c r="I4881" s="86" t="str">
        <f>_xlfn.XLOOKUP(表格1[[#This Row],[Model]],表格3[Model-Input-Ref2],表格3[大小電])</f>
        <v>細電</v>
      </c>
      <c r="J4881" s="86" t="str">
        <f>_xlfn.XLOOKUP(表格1[[#This Row],[Model]],表格3[Model-Input-Ref2],表格3[Code])</f>
        <v>SDA</v>
      </c>
      <c r="K4881" s="89" t="s">
        <v>1283</v>
      </c>
      <c r="L4881" s="86">
        <v>1</v>
      </c>
      <c r="M4881" s="87">
        <v>228</v>
      </c>
      <c r="N4881" s="87">
        <f>IFERROR(表格1[[#This Row],[QTY]]*表格1[[#This Row],[Unit Price]],"-")</f>
        <v>228</v>
      </c>
      <c r="O4881" s="168">
        <v>2903195</v>
      </c>
      <c r="R4881" s="86" t="str">
        <f>_xlfn.CONCAT(表格1[[#This Row],[Model]]," ",表格1[[#This Row],[inv no]])</f>
        <v>KT-17SHNH 2903195</v>
      </c>
      <c r="S4881" s="86">
        <f>_xlfn.XLOOKUP(表格1[[#This Row],[Model]],表格3[Model-Input-Ref2],表格3[SRP PRICE])</f>
        <v>299</v>
      </c>
      <c r="T4881" s="43">
        <f>表格1[[#This Row],[Unit Price]]/表格1[[#This Row],[SRP]]</f>
        <v>0.76254180602006694</v>
      </c>
      <c r="U4881" s="86" t="str">
        <f>_xlfn.XLOOKUP(表格1[[#This Row],[Model]],表格3[Model-Input-Ref2],表格3[TOSHIBA/HIGHEST])</f>
        <v>Shops Highest Price</v>
      </c>
      <c r="W4881" s="86" t="str">
        <f>_xlfn.CONCAT(表格1[[#This Row],[欄4]],表格1[[#This Row],[inv no]])</f>
        <v>2903195</v>
      </c>
    </row>
    <row r="4882" spans="1:23" hidden="1">
      <c r="A4882" s="81">
        <v>4880</v>
      </c>
      <c r="B4882" s="86" t="s">
        <v>1477</v>
      </c>
      <c r="C4882" s="86" t="s">
        <v>2252</v>
      </c>
      <c r="D4882" s="89" t="str">
        <f ca="1">OFFSET(Roster!$A$3,MATCH(表格1[[#This Row],[Location]]&amp;" "&amp;表格1[[#This Row],[Shop]]&amp;"*",Roster!$A$4:$A$72,0),DAY(表格1[[#This Row],[date]]),1,1)</f>
        <v>Raymond</v>
      </c>
      <c r="E4882" s="86">
        <f>MONTH(表格1[[#This Row],[date]])</f>
        <v>3</v>
      </c>
      <c r="F4882" s="90">
        <v>46105</v>
      </c>
      <c r="G4882" s="86" t="str">
        <f>VLOOKUP("*"&amp;表格1[[#This Row],[Input]]&amp;"*",'Ref-List'!$B:$D,2,)</f>
        <v>GR-RB221WE-PMA(57)</v>
      </c>
      <c r="H4882" s="86" t="str">
        <f>_xlfn.XLOOKUP(表格1[[#This Row],[Model]],表格3[Model-Input-Ref2],表格3[Product Line])</f>
        <v>變頻下置式雙門雪櫃（163L）</v>
      </c>
      <c r="I4882" s="86" t="str">
        <f>_xlfn.XLOOKUP(表格1[[#This Row],[Model]],表格3[Model-Input-Ref2],表格3[大小電])</f>
        <v>大電</v>
      </c>
      <c r="J4882" s="86" t="str">
        <f>_xlfn.XLOOKUP(表格1[[#This Row],[Model]],表格3[Model-Input-Ref2],表格3[Code])</f>
        <v>REF</v>
      </c>
      <c r="K4882" s="89" t="s">
        <v>1386</v>
      </c>
      <c r="L4882" s="86">
        <v>1</v>
      </c>
      <c r="M4882" s="87">
        <v>1880</v>
      </c>
      <c r="N4882" s="87">
        <f>IFERROR(表格1[[#This Row],[QTY]]*表格1[[#This Row],[Unit Price]],"-")</f>
        <v>1880</v>
      </c>
      <c r="O4882" s="86">
        <v>2707039</v>
      </c>
      <c r="R4882" s="86" t="str">
        <f>_xlfn.CONCAT(表格1[[#This Row],[Model]]," ",表格1[[#This Row],[inv no]])</f>
        <v>GR-RB221WE-PMA(57) 2707039</v>
      </c>
      <c r="S4882" s="86">
        <f>_xlfn.XLOOKUP(表格1[[#This Row],[Model]],表格3[Model-Input-Ref2],表格3[SRP PRICE])</f>
        <v>3480</v>
      </c>
      <c r="T4882" s="43">
        <f>表格1[[#This Row],[Unit Price]]/表格1[[#This Row],[SRP]]</f>
        <v>0.54022988505747127</v>
      </c>
      <c r="U4882" s="86" t="str">
        <f>_xlfn.XLOOKUP(表格1[[#This Row],[Model]],表格3[Model-Input-Ref2],表格3[TOSHIBA/HIGHEST])</f>
        <v>Toshiba SRP</v>
      </c>
      <c r="W4882" s="86" t="str">
        <f>_xlfn.CONCAT(表格1[[#This Row],[欄4]],表格1[[#This Row],[inv no]])</f>
        <v>2707039</v>
      </c>
    </row>
    <row r="4883" spans="1:23" hidden="1">
      <c r="A4883" s="81">
        <v>4881</v>
      </c>
      <c r="B4883" s="86" t="s">
        <v>1477</v>
      </c>
      <c r="C4883" s="86" t="s">
        <v>2252</v>
      </c>
      <c r="D4883" s="89" t="str">
        <f ca="1">OFFSET(Roster!$A$3,MATCH(表格1[[#This Row],[Location]]&amp;" "&amp;表格1[[#This Row],[Shop]]&amp;"*",Roster!$A$4:$A$72,0),DAY(表格1[[#This Row],[date]]),1,1)</f>
        <v>Raymond</v>
      </c>
      <c r="E4883" s="86">
        <f>MONTH(表格1[[#This Row],[date]])</f>
        <v>3</v>
      </c>
      <c r="F4883" s="90">
        <v>46105</v>
      </c>
      <c r="G4883" s="86" t="str">
        <f>VLOOKUP("*"&amp;表格1[[#This Row],[Input]]&amp;"*",'Ref-List'!$B:$D,2,)</f>
        <v>MW2-MM24PC(BK)</v>
      </c>
      <c r="H4883" s="86" t="str">
        <f>_xlfn.XLOOKUP(表格1[[#This Row],[Model]],表格3[Model-Input-Ref2],表格3[Product Line])</f>
        <v>旋鈕式微波爐24L</v>
      </c>
      <c r="I4883" s="86" t="str">
        <f>_xlfn.XLOOKUP(表格1[[#This Row],[Model]],表格3[Model-Input-Ref2],表格3[大小電])</f>
        <v>細電</v>
      </c>
      <c r="J4883" s="86" t="str">
        <f>_xlfn.XLOOKUP(表格1[[#This Row],[Model]],表格3[Model-Input-Ref2],表格3[Code])</f>
        <v>SDA</v>
      </c>
      <c r="K4883" s="89" t="s">
        <v>1196</v>
      </c>
      <c r="L4883" s="86">
        <v>1</v>
      </c>
      <c r="M4883" s="87">
        <v>679</v>
      </c>
      <c r="N4883" s="87">
        <f>IFERROR(表格1[[#This Row],[QTY]]*表格1[[#This Row],[Unit Price]],"-")</f>
        <v>679</v>
      </c>
      <c r="O4883" s="86">
        <v>2707015</v>
      </c>
      <c r="R4883" s="86" t="str">
        <f>_xlfn.CONCAT(表格1[[#This Row],[Model]]," ",表格1[[#This Row],[inv no]])</f>
        <v>MW2-MM24PC(BK) 2707015</v>
      </c>
      <c r="S4883" s="86">
        <f>_xlfn.XLOOKUP(表格1[[#This Row],[Model]],表格3[Model-Input-Ref2],表格3[SRP PRICE])</f>
        <v>848</v>
      </c>
      <c r="T4883" s="43">
        <f>表格1[[#This Row],[Unit Price]]/表格1[[#This Row],[SRP]]</f>
        <v>0.8007075471698113</v>
      </c>
      <c r="U4883" s="86" t="str">
        <f>_xlfn.XLOOKUP(表格1[[#This Row],[Model]],表格3[Model-Input-Ref2],表格3[TOSHIBA/HIGHEST])</f>
        <v>Toshiba SRP</v>
      </c>
      <c r="W4883" s="86" t="str">
        <f>_xlfn.CONCAT(表格1[[#This Row],[欄4]],表格1[[#This Row],[inv no]])</f>
        <v>2707015</v>
      </c>
    </row>
    <row r="4884" spans="1:23" hidden="1">
      <c r="A4884" s="81">
        <v>4882</v>
      </c>
      <c r="B4884" s="86" t="s">
        <v>1477</v>
      </c>
      <c r="C4884" s="86" t="s">
        <v>2252</v>
      </c>
      <c r="D4884" s="89" t="str">
        <f ca="1">OFFSET(Roster!$A$3,MATCH(表格1[[#This Row],[Location]]&amp;" "&amp;表格1[[#This Row],[Shop]]&amp;"*",Roster!$A$4:$A$72,0),DAY(表格1[[#This Row],[date]]),1,1)</f>
        <v>Raymond</v>
      </c>
      <c r="E4884" s="86">
        <f>MONTH(表格1[[#This Row],[date]])</f>
        <v>3</v>
      </c>
      <c r="F4884" s="90">
        <v>46104</v>
      </c>
      <c r="G4884" s="86" t="str">
        <f>VLOOKUP("*"&amp;表格1[[#This Row],[Input]]&amp;"*",'Ref-List'!$B:$D,2,)</f>
        <v>TL-MC35Z</v>
      </c>
      <c r="H4884" s="86" t="str">
        <f>_xlfn.XLOOKUP(表格1[[#This Row],[Model]],表格3[Model-Input-Ref2],表格3[Product Line])</f>
        <v>35L多功能電焗爐</v>
      </c>
      <c r="I4884" s="86" t="str">
        <f>_xlfn.XLOOKUP(表格1[[#This Row],[Model]],表格3[Model-Input-Ref2],表格3[大小電])</f>
        <v>細電</v>
      </c>
      <c r="J4884" s="86" t="str">
        <f>_xlfn.XLOOKUP(表格1[[#This Row],[Model]],表格3[Model-Input-Ref2],表格3[Code])</f>
        <v>SDA</v>
      </c>
      <c r="K4884" s="89" t="s">
        <v>1295</v>
      </c>
      <c r="L4884" s="86">
        <v>1</v>
      </c>
      <c r="M4884" s="87">
        <v>888</v>
      </c>
      <c r="N4884" s="87">
        <f>IFERROR(表格1[[#This Row],[QTY]]*表格1[[#This Row],[Unit Price]],"-")</f>
        <v>888</v>
      </c>
      <c r="O4884" s="86">
        <v>2903218</v>
      </c>
      <c r="R4884" s="86" t="str">
        <f>_xlfn.CONCAT(表格1[[#This Row],[Model]]," ",表格1[[#This Row],[inv no]])</f>
        <v>TL-MC35Z 2903218</v>
      </c>
      <c r="S4884" s="86">
        <f>_xlfn.XLOOKUP(表格1[[#This Row],[Model]],表格3[Model-Input-Ref2],表格3[SRP PRICE])</f>
        <v>1098</v>
      </c>
      <c r="T4884" s="43">
        <f>表格1[[#This Row],[Unit Price]]/表格1[[#This Row],[SRP]]</f>
        <v>0.80874316939890711</v>
      </c>
      <c r="U4884" s="86" t="str">
        <f>_xlfn.XLOOKUP(表格1[[#This Row],[Model]],表格3[Model-Input-Ref2],表格3[TOSHIBA/HIGHEST])</f>
        <v>Toshiba SRP</v>
      </c>
      <c r="W4884" s="86" t="str">
        <f>_xlfn.CONCAT(表格1[[#This Row],[欄4]],表格1[[#This Row],[inv no]])</f>
        <v>2903218</v>
      </c>
    </row>
    <row r="4885" spans="1:23" hidden="1">
      <c r="A4885" s="81">
        <v>4883</v>
      </c>
      <c r="B4885" s="86" t="s">
        <v>1477</v>
      </c>
      <c r="C4885" s="86" t="s">
        <v>2252</v>
      </c>
      <c r="D4885" s="89" t="str">
        <f ca="1">OFFSET(Roster!$A$3,MATCH(表格1[[#This Row],[Location]]&amp;" "&amp;表格1[[#This Row],[Shop]]&amp;"*",Roster!$A$4:$A$72,0),DAY(表格1[[#This Row],[date]]),1,1)</f>
        <v>Raymond</v>
      </c>
      <c r="E4885" s="86">
        <f>MONTH(表格1[[#This Row],[date]])</f>
        <v>3</v>
      </c>
      <c r="F4885" s="90">
        <v>46104</v>
      </c>
      <c r="G4885" s="86" t="str">
        <f>VLOOKUP("*"&amp;表格1[[#This Row],[Input]]&amp;"*",'Ref-List'!$B:$D,2,)</f>
        <v>ET-TD7080(PN)</v>
      </c>
      <c r="H4885" s="86" t="str">
        <f>_xlfn.XLOOKUP(表格1[[#This Row],[Model]],表格3[Model-Input-Ref2],表格3[Product Line])</f>
        <v>多士焗爐8L</v>
      </c>
      <c r="I4885" s="86" t="str">
        <f>_xlfn.XLOOKUP(表格1[[#This Row],[Model]],表格3[Model-Input-Ref2],表格3[大小電])</f>
        <v>細電</v>
      </c>
      <c r="J4885" s="86" t="str">
        <f>_xlfn.XLOOKUP(表格1[[#This Row],[Model]],表格3[Model-Input-Ref2],表格3[Code])</f>
        <v>SDA</v>
      </c>
      <c r="K4885" s="89">
        <v>7080</v>
      </c>
      <c r="L4885" s="86">
        <v>1</v>
      </c>
      <c r="M4885" s="87">
        <v>338</v>
      </c>
      <c r="N4885" s="87">
        <f>IFERROR(表格1[[#This Row],[QTY]]*表格1[[#This Row],[Unit Price]],"-")</f>
        <v>338</v>
      </c>
      <c r="O4885" s="86">
        <v>2903240</v>
      </c>
      <c r="R4885" s="86" t="str">
        <f>_xlfn.CONCAT(表格1[[#This Row],[Model]]," ",表格1[[#This Row],[inv no]])</f>
        <v>ET-TD7080(PN) 2903240</v>
      </c>
      <c r="S4885" s="86">
        <f>_xlfn.XLOOKUP(表格1[[#This Row],[Model]],表格3[Model-Input-Ref2],表格3[SRP PRICE])</f>
        <v>498</v>
      </c>
      <c r="T4885" s="43">
        <f>表格1[[#This Row],[Unit Price]]/表格1[[#This Row],[SRP]]</f>
        <v>0.67871485943775101</v>
      </c>
      <c r="U4885" s="86" t="str">
        <f>_xlfn.XLOOKUP(表格1[[#This Row],[Model]],表格3[Model-Input-Ref2],表格3[TOSHIBA/HIGHEST])</f>
        <v>Toshiba SRP</v>
      </c>
      <c r="W4885" s="86" t="str">
        <f>_xlfn.CONCAT(表格1[[#This Row],[欄4]],表格1[[#This Row],[inv no]])</f>
        <v>2903240</v>
      </c>
    </row>
    <row r="4886" spans="1:23" hidden="1">
      <c r="A4886" s="81">
        <v>4884</v>
      </c>
      <c r="B4886" s="86" t="s">
        <v>1477</v>
      </c>
      <c r="C4886" s="86" t="s">
        <v>2252</v>
      </c>
      <c r="D4886" s="89" t="str">
        <f ca="1">OFFSET(Roster!$A$3,MATCH(表格1[[#This Row],[Location]]&amp;" "&amp;表格1[[#This Row],[Shop]]&amp;"*",Roster!$A$4:$A$72,0),DAY(表格1[[#This Row],[date]]),1,1)</f>
        <v>Raymond</v>
      </c>
      <c r="E4886" s="86">
        <f>MONTH(表格1[[#This Row],[date]])</f>
        <v>3</v>
      </c>
      <c r="F4886" s="90">
        <v>46104</v>
      </c>
      <c r="G4886" s="86" t="str">
        <f>VLOOKUP("*"&amp;表格1[[#This Row],[Input]]&amp;"*",'Ref-List'!$B:$D,2,)</f>
        <v>KT-17SHNH</v>
      </c>
      <c r="H4886" s="86" t="str">
        <f>_xlfn.XLOOKUP(表格1[[#This Row],[Model]],表格3[Model-Input-Ref2],表格3[Product Line])</f>
        <v>1.7L無線雙層電熱水壺</v>
      </c>
      <c r="I4886" s="86" t="str">
        <f>_xlfn.XLOOKUP(表格1[[#This Row],[Model]],表格3[Model-Input-Ref2],表格3[大小電])</f>
        <v>細電</v>
      </c>
      <c r="J4886" s="86" t="str">
        <f>_xlfn.XLOOKUP(表格1[[#This Row],[Model]],表格3[Model-Input-Ref2],表格3[Code])</f>
        <v>SDA</v>
      </c>
      <c r="K4886" s="89" t="s">
        <v>1283</v>
      </c>
      <c r="L4886" s="86">
        <v>1</v>
      </c>
      <c r="M4886" s="87">
        <v>228</v>
      </c>
      <c r="N4886" s="87">
        <f>IFERROR(表格1[[#This Row],[QTY]]*表格1[[#This Row],[Unit Price]],"-")</f>
        <v>228</v>
      </c>
      <c r="O4886" s="168">
        <v>2903257</v>
      </c>
      <c r="R4886" s="86" t="str">
        <f>_xlfn.CONCAT(表格1[[#This Row],[Model]]," ",表格1[[#This Row],[inv no]])</f>
        <v>KT-17SHNH 2903257</v>
      </c>
      <c r="S4886" s="86">
        <f>_xlfn.XLOOKUP(表格1[[#This Row],[Model]],表格3[Model-Input-Ref2],表格3[SRP PRICE])</f>
        <v>299</v>
      </c>
      <c r="T4886" s="43">
        <f>表格1[[#This Row],[Unit Price]]/表格1[[#This Row],[SRP]]</f>
        <v>0.76254180602006694</v>
      </c>
      <c r="U4886" s="86" t="str">
        <f>_xlfn.XLOOKUP(表格1[[#This Row],[Model]],表格3[Model-Input-Ref2],表格3[TOSHIBA/HIGHEST])</f>
        <v>Shops Highest Price</v>
      </c>
      <c r="W4886" s="86" t="str">
        <f>_xlfn.CONCAT(表格1[[#This Row],[欄4]],表格1[[#This Row],[inv no]])</f>
        <v>2903257</v>
      </c>
    </row>
    <row r="4887" spans="1:23" hidden="1">
      <c r="A4887" s="81">
        <v>4885</v>
      </c>
      <c r="B4887" s="86" t="s">
        <v>1477</v>
      </c>
      <c r="C4887" s="86" t="s">
        <v>2252</v>
      </c>
      <c r="D4887" s="89" t="str">
        <f ca="1">OFFSET(Roster!$A$3,MATCH(表格1[[#This Row],[Location]]&amp;" "&amp;表格1[[#This Row],[Shop]]&amp;"*",Roster!$A$4:$A$72,0),DAY(表格1[[#This Row],[date]]),1,1)</f>
        <v>Raymond</v>
      </c>
      <c r="E4887" s="86">
        <f>MONTH(表格1[[#This Row],[date]])</f>
        <v>3</v>
      </c>
      <c r="F4887" s="90">
        <v>46104</v>
      </c>
      <c r="G4887" s="86" t="str">
        <f>VLOOKUP("*"&amp;表格1[[#This Row],[Input]]&amp;"*",'Ref-List'!$B:$D,2,)</f>
        <v>KT-17SHNH</v>
      </c>
      <c r="H4887" s="86" t="str">
        <f>_xlfn.XLOOKUP(表格1[[#This Row],[Model]],表格3[Model-Input-Ref2],表格3[Product Line])</f>
        <v>1.7L無線雙層電熱水壺</v>
      </c>
      <c r="I4887" s="86" t="str">
        <f>_xlfn.XLOOKUP(表格1[[#This Row],[Model]],表格3[Model-Input-Ref2],表格3[大小電])</f>
        <v>細電</v>
      </c>
      <c r="J4887" s="86" t="str">
        <f>_xlfn.XLOOKUP(表格1[[#This Row],[Model]],表格3[Model-Input-Ref2],表格3[Code])</f>
        <v>SDA</v>
      </c>
      <c r="K4887" s="89" t="s">
        <v>1283</v>
      </c>
      <c r="L4887" s="86">
        <v>1</v>
      </c>
      <c r="M4887" s="87">
        <v>228</v>
      </c>
      <c r="N4887" s="87">
        <f>IFERROR(表格1[[#This Row],[QTY]]*表格1[[#This Row],[Unit Price]],"-")</f>
        <v>228</v>
      </c>
      <c r="O4887" s="168">
        <v>2903249</v>
      </c>
      <c r="R4887" s="86" t="str">
        <f>_xlfn.CONCAT(表格1[[#This Row],[Model]]," ",表格1[[#This Row],[inv no]])</f>
        <v>KT-17SHNH 2903249</v>
      </c>
      <c r="S4887" s="86">
        <f>_xlfn.XLOOKUP(表格1[[#This Row],[Model]],表格3[Model-Input-Ref2],表格3[SRP PRICE])</f>
        <v>299</v>
      </c>
      <c r="T4887" s="43">
        <f>表格1[[#This Row],[Unit Price]]/表格1[[#This Row],[SRP]]</f>
        <v>0.76254180602006694</v>
      </c>
      <c r="U4887" s="86" t="str">
        <f>_xlfn.XLOOKUP(表格1[[#This Row],[Model]],表格3[Model-Input-Ref2],表格3[TOSHIBA/HIGHEST])</f>
        <v>Shops Highest Price</v>
      </c>
      <c r="W4887" s="86" t="str">
        <f>_xlfn.CONCAT(表格1[[#This Row],[欄4]],表格1[[#This Row],[inv no]])</f>
        <v>2903249</v>
      </c>
    </row>
    <row r="4888" spans="1:23" hidden="1">
      <c r="A4888" s="81">
        <v>4886</v>
      </c>
      <c r="B4888" s="86" t="s">
        <v>1477</v>
      </c>
      <c r="C4888" s="86" t="s">
        <v>2252</v>
      </c>
      <c r="D4888" s="89" t="str">
        <f ca="1">OFFSET(Roster!$A$3,MATCH(表格1[[#This Row],[Location]]&amp;" "&amp;表格1[[#This Row],[Shop]]&amp;"*",Roster!$A$4:$A$72,0),DAY(表格1[[#This Row],[date]]),1,1)</f>
        <v>Raymond</v>
      </c>
      <c r="E4888" s="86">
        <f>MONTH(表格1[[#This Row],[date]])</f>
        <v>3</v>
      </c>
      <c r="F4888" s="90">
        <v>46104</v>
      </c>
      <c r="G4888" s="86" t="str">
        <f>VLOOKUP("*"&amp;表格1[[#This Row],[Input]]&amp;"*",'Ref-List'!$B:$D,2,)</f>
        <v>KT-15DRRH</v>
      </c>
      <c r="H4888" s="86" t="str">
        <f>_xlfn.XLOOKUP(表格1[[#This Row],[Model]],表格3[Model-Input-Ref2],表格3[Product Line])</f>
        <v>1.5L無線雙層電熱水壺</v>
      </c>
      <c r="I4888" s="86" t="str">
        <f>_xlfn.XLOOKUP(表格1[[#This Row],[Model]],表格3[Model-Input-Ref2],表格3[大小電])</f>
        <v>細電</v>
      </c>
      <c r="J4888" s="86" t="str">
        <f>_xlfn.XLOOKUP(表格1[[#This Row],[Model]],表格3[Model-Input-Ref2],表格3[Code])</f>
        <v>SDA</v>
      </c>
      <c r="K4888" s="89" t="s">
        <v>1488</v>
      </c>
      <c r="L4888" s="86">
        <v>1</v>
      </c>
      <c r="M4888" s="87">
        <v>298</v>
      </c>
      <c r="N4888" s="87">
        <f>IFERROR(表格1[[#This Row],[QTY]]*表格1[[#This Row],[Unit Price]],"-")</f>
        <v>298</v>
      </c>
      <c r="O4888" s="168">
        <v>2707051</v>
      </c>
      <c r="R4888" s="86" t="str">
        <f>_xlfn.CONCAT(表格1[[#This Row],[Model]]," ",表格1[[#This Row],[inv no]])</f>
        <v>KT-15DRRH 2707051</v>
      </c>
      <c r="S4888" s="86">
        <f>_xlfn.XLOOKUP(表格1[[#This Row],[Model]],表格3[Model-Input-Ref2],表格3[SRP PRICE])</f>
        <v>438</v>
      </c>
      <c r="T4888" s="43">
        <f>表格1[[#This Row],[Unit Price]]/表格1[[#This Row],[SRP]]</f>
        <v>0.68036529680365299</v>
      </c>
      <c r="U4888" s="86" t="str">
        <f>_xlfn.XLOOKUP(表格1[[#This Row],[Model]],表格3[Model-Input-Ref2],表格3[TOSHIBA/HIGHEST])</f>
        <v>Toshiba SRP</v>
      </c>
      <c r="W4888" s="86" t="str">
        <f>_xlfn.CONCAT(表格1[[#This Row],[欄4]],表格1[[#This Row],[inv no]])</f>
        <v>2707051</v>
      </c>
    </row>
    <row r="4889" spans="1:23" hidden="1">
      <c r="A4889" s="81">
        <v>4887</v>
      </c>
      <c r="B4889" s="86" t="s">
        <v>1477</v>
      </c>
      <c r="C4889" s="86" t="s">
        <v>2252</v>
      </c>
      <c r="D4889" s="89" t="str">
        <f ca="1">OFFSET(Roster!$A$3,MATCH(表格1[[#This Row],[Location]]&amp;" "&amp;表格1[[#This Row],[Shop]]&amp;"*",Roster!$A$4:$A$72,0),DAY(表格1[[#This Row],[date]]),1,1)</f>
        <v>Raymond</v>
      </c>
      <c r="E4889" s="86">
        <f>MONTH(表格1[[#This Row],[date]])</f>
        <v>3</v>
      </c>
      <c r="F4889" s="90">
        <v>46104</v>
      </c>
      <c r="G4889" s="86" t="str">
        <f>VLOOKUP("*"&amp;表格1[[#This Row],[Input]]&amp;"*",'Ref-List'!$B:$D,2,)</f>
        <v>RC-6PXTHK(W)</v>
      </c>
      <c r="H4889" s="86" t="str">
        <f>_xlfn.XLOOKUP(表格1[[#This Row],[Model]],表格3[Model-Input-Ref2],表格3[Product Line])</f>
        <v>迷你壓力磁應電飯煲(0.63公升)</v>
      </c>
      <c r="I4889" s="86" t="str">
        <f>_xlfn.XLOOKUP(表格1[[#This Row],[Model]],表格3[Model-Input-Ref2],表格3[大小電])</f>
        <v>細電</v>
      </c>
      <c r="J4889" s="86" t="str">
        <f>_xlfn.XLOOKUP(表格1[[#This Row],[Model]],表格3[Model-Input-Ref2],表格3[Code])</f>
        <v>SDA</v>
      </c>
      <c r="K4889" s="89" t="s">
        <v>1494</v>
      </c>
      <c r="L4889" s="86">
        <v>1</v>
      </c>
      <c r="M4889" s="87">
        <v>938</v>
      </c>
      <c r="N4889" s="87">
        <f>IFERROR(表格1[[#This Row],[QTY]]*表格1[[#This Row],[Unit Price]],"-")</f>
        <v>938</v>
      </c>
      <c r="O4889" s="168">
        <v>2707083</v>
      </c>
      <c r="R4889" s="86" t="str">
        <f>_xlfn.CONCAT(表格1[[#This Row],[Model]]," ",表格1[[#This Row],[inv no]])</f>
        <v>RC-6PXTHK(W) 2707083</v>
      </c>
      <c r="S4889" s="86">
        <f>_xlfn.XLOOKUP(表格1[[#This Row],[Model]],表格3[Model-Input-Ref2],表格3[SRP PRICE])</f>
        <v>1398</v>
      </c>
      <c r="T4889" s="43">
        <f>表格1[[#This Row],[Unit Price]]/表格1[[#This Row],[SRP]]</f>
        <v>0.67095851216022895</v>
      </c>
      <c r="U4889" s="86" t="str">
        <f>_xlfn.XLOOKUP(表格1[[#This Row],[Model]],表格3[Model-Input-Ref2],表格3[TOSHIBA/HIGHEST])</f>
        <v>Toshiba SRP</v>
      </c>
      <c r="W4889" s="86" t="str">
        <f>_xlfn.CONCAT(表格1[[#This Row],[欄4]],表格1[[#This Row],[inv no]])</f>
        <v>2707083</v>
      </c>
    </row>
    <row r="4890" spans="1:23" hidden="1">
      <c r="A4890" s="81">
        <v>4888</v>
      </c>
      <c r="B4890" s="86" t="s">
        <v>1477</v>
      </c>
      <c r="C4890" s="86" t="s">
        <v>2252</v>
      </c>
      <c r="D4890" s="89" t="str">
        <f ca="1">OFFSET(Roster!$A$3,MATCH(表格1[[#This Row],[Location]]&amp;" "&amp;表格1[[#This Row],[Shop]]&amp;"*",Roster!$A$4:$A$72,0),DAY(表格1[[#This Row],[date]]),1,1)</f>
        <v>Raymond</v>
      </c>
      <c r="E4890" s="86">
        <f>MONTH(表格1[[#This Row],[date]])</f>
        <v>3</v>
      </c>
      <c r="F4890" s="90">
        <v>46105</v>
      </c>
      <c r="G4890" s="86" t="str">
        <f>VLOOKUP("*"&amp;表格1[[#This Row],[Input]]&amp;"*",'Ref-List'!$B:$D,2,)</f>
        <v>MM2-EM20PC(WH)</v>
      </c>
      <c r="H4890" s="86" t="str">
        <f>_xlfn.XLOOKUP(表格1[[#This Row],[Model]],表格3[Model-Input-Ref2],表格3[Product Line])</f>
        <v>輕觸式微波爐 (20公升)</v>
      </c>
      <c r="I4890" s="86" t="str">
        <f>_xlfn.XLOOKUP(表格1[[#This Row],[Model]],表格3[Model-Input-Ref2],表格3[大小電])</f>
        <v>細電</v>
      </c>
      <c r="J4890" s="86" t="str">
        <f>_xlfn.XLOOKUP(表格1[[#This Row],[Model]],表格3[Model-Input-Ref2],表格3[Code])</f>
        <v>MCA</v>
      </c>
      <c r="K4890" s="89" t="s">
        <v>1276</v>
      </c>
      <c r="L4890" s="86">
        <v>1</v>
      </c>
      <c r="M4890" s="87">
        <v>638</v>
      </c>
      <c r="N4890" s="87">
        <f>IFERROR(表格1[[#This Row],[QTY]]*表格1[[#This Row],[Unit Price]],"-")</f>
        <v>638</v>
      </c>
      <c r="O4890" s="86">
        <v>1625220</v>
      </c>
      <c r="R4890" s="86" t="str">
        <f>_xlfn.CONCAT(表格1[[#This Row],[Model]]," ",表格1[[#This Row],[inv no]])</f>
        <v>MM2-EM20PC(WH) 1625220</v>
      </c>
      <c r="S4890" s="86">
        <f>_xlfn.XLOOKUP(表格1[[#This Row],[Model]],表格3[Model-Input-Ref2],表格3[SRP PRICE])</f>
        <v>788</v>
      </c>
      <c r="T4890" s="43">
        <f>表格1[[#This Row],[Unit Price]]/表格1[[#This Row],[SRP]]</f>
        <v>0.80964467005076146</v>
      </c>
      <c r="U4890" s="86" t="str">
        <f>_xlfn.XLOOKUP(表格1[[#This Row],[Model]],表格3[Model-Input-Ref2],表格3[TOSHIBA/HIGHEST])</f>
        <v>Toshiba SRP</v>
      </c>
      <c r="W4890" s="86" t="str">
        <f>_xlfn.CONCAT(表格1[[#This Row],[欄4]],表格1[[#This Row],[inv no]])</f>
        <v>1625220</v>
      </c>
    </row>
    <row r="4891" spans="1:23" hidden="1">
      <c r="A4891" s="81">
        <v>4889</v>
      </c>
      <c r="B4891" s="86" t="s">
        <v>1477</v>
      </c>
      <c r="C4891" s="86" t="s">
        <v>2252</v>
      </c>
      <c r="D4891" s="89" t="str">
        <f ca="1">OFFSET(Roster!$A$3,MATCH(表格1[[#This Row],[Location]]&amp;" "&amp;表格1[[#This Row],[Shop]]&amp;"*",Roster!$A$4:$A$72,0),DAY(表格1[[#This Row],[date]]),1,1)</f>
        <v>Raymond</v>
      </c>
      <c r="E4891" s="86">
        <f>MONTH(表格1[[#This Row],[date]])</f>
        <v>3</v>
      </c>
      <c r="F4891" s="90">
        <v>46105</v>
      </c>
      <c r="G4891" s="86" t="str">
        <f>VLOOKUP("*"&amp;表格1[[#This Row],[Input]]&amp;"*",'Ref-List'!$B:$D,2,)</f>
        <v>MW3-SAC24SE(BK)</v>
      </c>
      <c r="H4891" s="86" t="str">
        <f>_xlfn.XLOOKUP(表格1[[#This Row],[Model]],表格3[Model-Input-Ref2],表格3[Product Line])</f>
        <v>智能氣炸烤焗爐(24公升)</v>
      </c>
      <c r="I4891" s="86" t="str">
        <f>_xlfn.XLOOKUP(表格1[[#This Row],[Model]],表格3[Model-Input-Ref2],表格3[大小電])</f>
        <v>細電</v>
      </c>
      <c r="J4891" s="86" t="str">
        <f>_xlfn.XLOOKUP(表格1[[#This Row],[Model]],表格3[Model-Input-Ref2],表格3[Code])</f>
        <v>MCA</v>
      </c>
      <c r="K4891" s="89" t="s">
        <v>1274</v>
      </c>
      <c r="L4891" s="86">
        <v>1</v>
      </c>
      <c r="M4891" s="87">
        <v>1320</v>
      </c>
      <c r="N4891" s="87">
        <f>IFERROR(表格1[[#This Row],[QTY]]*表格1[[#This Row],[Unit Price]],"-")</f>
        <v>1320</v>
      </c>
      <c r="O4891" s="86">
        <v>2903265</v>
      </c>
      <c r="R4891" s="86" t="str">
        <f>_xlfn.CONCAT(表格1[[#This Row],[Model]]," ",表格1[[#This Row],[inv no]])</f>
        <v>MW3-SAC24SE(BK) 2903265</v>
      </c>
      <c r="S4891" s="86">
        <f>_xlfn.XLOOKUP(表格1[[#This Row],[Model]],表格3[Model-Input-Ref2],表格3[SRP PRICE])</f>
        <v>1680</v>
      </c>
      <c r="T4891" s="43">
        <f>表格1[[#This Row],[Unit Price]]/表格1[[#This Row],[SRP]]</f>
        <v>0.7857142857142857</v>
      </c>
      <c r="U4891" s="86" t="str">
        <f>_xlfn.XLOOKUP(表格1[[#This Row],[Model]],表格3[Model-Input-Ref2],表格3[TOSHIBA/HIGHEST])</f>
        <v>Toshiba SRP</v>
      </c>
      <c r="W4891" s="86" t="str">
        <f>_xlfn.CONCAT(表格1[[#This Row],[欄4]],表格1[[#This Row],[inv no]])</f>
        <v>2903265</v>
      </c>
    </row>
    <row r="4892" spans="1:23" hidden="1">
      <c r="A4892" s="81">
        <v>4890</v>
      </c>
      <c r="B4892" s="86" t="s">
        <v>1477</v>
      </c>
      <c r="C4892" s="86" t="s">
        <v>2252</v>
      </c>
      <c r="D4892" s="89" t="str">
        <f ca="1">OFFSET(Roster!$A$3,MATCH(表格1[[#This Row],[Location]]&amp;" "&amp;表格1[[#This Row],[Shop]]&amp;"*",Roster!$A$4:$A$72,0),DAY(表格1[[#This Row],[date]]),1,1)</f>
        <v>Raymond</v>
      </c>
      <c r="E4892" s="86">
        <f>MONTH(表格1[[#This Row],[date]])</f>
        <v>3</v>
      </c>
      <c r="F4892" s="90">
        <v>46105</v>
      </c>
      <c r="G4892" s="86" t="str">
        <f>VLOOKUP("*"&amp;表格1[[#This Row],[Input]]&amp;"*",'Ref-List'!$B:$D,2,)</f>
        <v>MX2-STR25SC(WH)</v>
      </c>
      <c r="H4892" s="86" t="str">
        <f>_xlfn.XLOOKUP(表格1[[#This Row],[Model]],表格3[Model-Input-Ref2],表格3[Product Line])</f>
        <v>4合1氣炸微波蒸焗爐(25公升)</v>
      </c>
      <c r="I4892" s="86" t="str">
        <f>_xlfn.XLOOKUP(表格1[[#This Row],[Model]],表格3[Model-Input-Ref2],表格3[大小電])</f>
        <v>細電</v>
      </c>
      <c r="J4892" s="86" t="str">
        <f>_xlfn.XLOOKUP(表格1[[#This Row],[Model]],表格3[Model-Input-Ref2],表格3[Code])</f>
        <v>MCA</v>
      </c>
      <c r="K4892" s="89" t="s">
        <v>1410</v>
      </c>
      <c r="L4892" s="86">
        <v>1</v>
      </c>
      <c r="M4892" s="87">
        <v>3580</v>
      </c>
      <c r="N4892" s="87">
        <f>IFERROR(表格1[[#This Row],[QTY]]*表格1[[#This Row],[Unit Price]],"-")</f>
        <v>3580</v>
      </c>
      <c r="O4892" s="86">
        <v>2903265</v>
      </c>
      <c r="R4892" s="86" t="str">
        <f>_xlfn.CONCAT(表格1[[#This Row],[Model]]," ",表格1[[#This Row],[inv no]])</f>
        <v>MX2-STR25SC(WH) 2903265</v>
      </c>
      <c r="S4892" s="86">
        <f>_xlfn.XLOOKUP(表格1[[#This Row],[Model]],表格3[Model-Input-Ref2],表格3[SRP PRICE])</f>
        <v>4998</v>
      </c>
      <c r="T4892" s="43">
        <f>表格1[[#This Row],[Unit Price]]/表格1[[#This Row],[SRP]]</f>
        <v>0.71628651460584236</v>
      </c>
      <c r="U4892" s="86" t="str">
        <f>_xlfn.XLOOKUP(表格1[[#This Row],[Model]],表格3[Model-Input-Ref2],表格3[TOSHIBA/HIGHEST])</f>
        <v>Toshiba SRP</v>
      </c>
      <c r="W4892" s="86" t="str">
        <f>_xlfn.CONCAT(表格1[[#This Row],[欄4]],表格1[[#This Row],[inv no]])</f>
        <v>2903265</v>
      </c>
    </row>
    <row r="4893" spans="1:23" hidden="1">
      <c r="A4893" s="81">
        <v>4891</v>
      </c>
      <c r="B4893" s="86" t="s">
        <v>1477</v>
      </c>
      <c r="C4893" s="86" t="s">
        <v>2252</v>
      </c>
      <c r="D4893" s="89" t="str">
        <f ca="1">OFFSET(Roster!$A$3,MATCH(表格1[[#This Row],[Location]]&amp;" "&amp;表格1[[#This Row],[Shop]]&amp;"*",Roster!$A$4:$A$72,0),DAY(表格1[[#This Row],[date]]),1,1)</f>
        <v>Raymond</v>
      </c>
      <c r="E4893" s="86">
        <f>MONTH(表格1[[#This Row],[date]])</f>
        <v>3</v>
      </c>
      <c r="F4893" s="90">
        <v>46105</v>
      </c>
      <c r="G4893" s="86" t="str">
        <f>VLOOKUP("*"&amp;表格1[[#This Row],[Input]]&amp;"*",'Ref-List'!$B:$D,2,)</f>
        <v>ET-TD7080(PN)</v>
      </c>
      <c r="H4893" s="86" t="str">
        <f>_xlfn.XLOOKUP(表格1[[#This Row],[Model]],表格3[Model-Input-Ref2],表格3[Product Line])</f>
        <v>多士焗爐8L</v>
      </c>
      <c r="I4893" s="86" t="str">
        <f>_xlfn.XLOOKUP(表格1[[#This Row],[Model]],表格3[Model-Input-Ref2],表格3[大小電])</f>
        <v>細電</v>
      </c>
      <c r="J4893" s="86" t="str">
        <f>_xlfn.XLOOKUP(表格1[[#This Row],[Model]],表格3[Model-Input-Ref2],表格3[Code])</f>
        <v>SDA</v>
      </c>
      <c r="K4893" s="89">
        <v>7080</v>
      </c>
      <c r="L4893" s="86">
        <v>1</v>
      </c>
      <c r="M4893" s="87">
        <v>358</v>
      </c>
      <c r="N4893" s="87">
        <f>IFERROR(表格1[[#This Row],[QTY]]*表格1[[#This Row],[Unit Price]],"-")</f>
        <v>358</v>
      </c>
      <c r="O4893" s="86">
        <v>2903262</v>
      </c>
      <c r="R4893" s="86" t="str">
        <f>_xlfn.CONCAT(表格1[[#This Row],[Model]]," ",表格1[[#This Row],[inv no]])</f>
        <v>ET-TD7080(PN) 2903262</v>
      </c>
      <c r="S4893" s="86">
        <f>_xlfn.XLOOKUP(表格1[[#This Row],[Model]],表格3[Model-Input-Ref2],表格3[SRP PRICE])</f>
        <v>498</v>
      </c>
      <c r="T4893" s="43">
        <f>表格1[[#This Row],[Unit Price]]/表格1[[#This Row],[SRP]]</f>
        <v>0.71887550200803207</v>
      </c>
      <c r="U4893" s="86" t="str">
        <f>_xlfn.XLOOKUP(表格1[[#This Row],[Model]],表格3[Model-Input-Ref2],表格3[TOSHIBA/HIGHEST])</f>
        <v>Toshiba SRP</v>
      </c>
      <c r="W4893" s="86" t="str">
        <f>_xlfn.CONCAT(表格1[[#This Row],[欄4]],表格1[[#This Row],[inv no]])</f>
        <v>2903262</v>
      </c>
    </row>
    <row r="4894" spans="1:23" hidden="1">
      <c r="A4894" s="81">
        <v>4892</v>
      </c>
      <c r="B4894" s="86" t="s">
        <v>1477</v>
      </c>
      <c r="C4894" s="86" t="s">
        <v>2252</v>
      </c>
      <c r="D4894" s="89" t="str">
        <f ca="1">OFFSET(Roster!$A$3,MATCH(表格1[[#This Row],[Location]]&amp;" "&amp;表格1[[#This Row],[Shop]]&amp;"*",Roster!$A$4:$A$72,0),DAY(表格1[[#This Row],[date]]),1,1)</f>
        <v>Raymond</v>
      </c>
      <c r="E4894" s="86">
        <f>MONTH(表格1[[#This Row],[date]])</f>
        <v>3</v>
      </c>
      <c r="F4894" s="90">
        <v>46106</v>
      </c>
      <c r="G4894" s="86" t="str">
        <f>VLOOKUP("*"&amp;表格1[[#This Row],[Input]]&amp;"*",'Ref-List'!$B:$D,2,)</f>
        <v>GR-H913(MG)</v>
      </c>
      <c r="H4894" s="86" t="str">
        <f>_xlfn.XLOOKUP(表格1[[#This Row],[Model]],表格3[Model-Input-Ref2],表格3[Product Line])</f>
        <v>單門直冷式環保雪櫃81L</v>
      </c>
      <c r="I4894" s="86" t="str">
        <f>_xlfn.XLOOKUP(表格1[[#This Row],[Model]],表格3[Model-Input-Ref2],表格3[大小電])</f>
        <v>大電</v>
      </c>
      <c r="J4894" s="86" t="str">
        <f>_xlfn.XLOOKUP(表格1[[#This Row],[Model]],表格3[Model-Input-Ref2],表格3[Code])</f>
        <v>REF</v>
      </c>
      <c r="K4894" s="89" t="s">
        <v>1776</v>
      </c>
      <c r="L4894" s="86">
        <v>1</v>
      </c>
      <c r="M4894" s="87">
        <v>1480</v>
      </c>
      <c r="N4894" s="87">
        <f>IFERROR(表格1[[#This Row],[QTY]]*表格1[[#This Row],[Unit Price]],"-")</f>
        <v>1480</v>
      </c>
      <c r="O4894" s="86">
        <v>820921</v>
      </c>
      <c r="R4894" s="86" t="str">
        <f>_xlfn.CONCAT(表格1[[#This Row],[Model]]," ",表格1[[#This Row],[inv no]])</f>
        <v>GR-H913(MG) 820921</v>
      </c>
      <c r="S4894" s="86">
        <f>_xlfn.XLOOKUP(表格1[[#This Row],[Model]],表格3[Model-Input-Ref2],表格3[SRP PRICE])</f>
        <v>1980</v>
      </c>
      <c r="T4894" s="43">
        <f>表格1[[#This Row],[Unit Price]]/表格1[[#This Row],[SRP]]</f>
        <v>0.74747474747474751</v>
      </c>
      <c r="U4894" s="86" t="str">
        <f>_xlfn.XLOOKUP(表格1[[#This Row],[Model]],表格3[Model-Input-Ref2],表格3[TOSHIBA/HIGHEST])</f>
        <v>Toshiba SRP</v>
      </c>
      <c r="W4894" s="86" t="str">
        <f>_xlfn.CONCAT(表格1[[#This Row],[欄4]],表格1[[#This Row],[inv no]])</f>
        <v>820921</v>
      </c>
    </row>
    <row r="4895" spans="1:23" hidden="1">
      <c r="A4895" s="81">
        <v>4893</v>
      </c>
      <c r="B4895" s="86" t="s">
        <v>1477</v>
      </c>
      <c r="C4895" s="86" t="s">
        <v>2252</v>
      </c>
      <c r="D4895" s="89" t="str">
        <f ca="1">OFFSET(Roster!$A$3,MATCH(表格1[[#This Row],[Location]]&amp;" "&amp;表格1[[#This Row],[Shop]]&amp;"*",Roster!$A$4:$A$72,0),DAY(表格1[[#This Row],[date]]),1,1)</f>
        <v>Raymond</v>
      </c>
      <c r="E4895" s="86">
        <f>MONTH(表格1[[#This Row],[date]])</f>
        <v>3</v>
      </c>
      <c r="F4895" s="90">
        <v>46106</v>
      </c>
      <c r="G4895" s="86" t="str">
        <f>VLOOKUP("*"&amp;表格1[[#This Row],[Input]]&amp;"*",'Ref-List'!$B:$D,2,)</f>
        <v>GR-RM598WE-PGA(B3)</v>
      </c>
      <c r="H4895" s="86" t="str">
        <f>_xlfn.XLOOKUP(表格1[[#This Row],[Model]],表格3[Model-Input-Ref2],表格3[Product Line])</f>
        <v>變頻六門雪櫃(451L)</v>
      </c>
      <c r="I4895" s="86" t="str">
        <f>_xlfn.XLOOKUP(表格1[[#This Row],[Model]],表格3[Model-Input-Ref2],表格3[大小電])</f>
        <v>大電</v>
      </c>
      <c r="J4895" s="86" t="str">
        <f>_xlfn.XLOOKUP(表格1[[#This Row],[Model]],表格3[Model-Input-Ref2],表格3[Code])</f>
        <v>REF</v>
      </c>
      <c r="K4895" s="89" t="s">
        <v>1491</v>
      </c>
      <c r="L4895" s="86">
        <v>1</v>
      </c>
      <c r="M4895" s="87">
        <v>10990</v>
      </c>
      <c r="N4895" s="87">
        <f>IFERROR(表格1[[#This Row],[QTY]]*表格1[[#This Row],[Unit Price]],"-")</f>
        <v>10990</v>
      </c>
      <c r="O4895" s="86">
        <v>2903298</v>
      </c>
      <c r="R4895" s="86" t="str">
        <f>_xlfn.CONCAT(表格1[[#This Row],[Model]]," ",表格1[[#This Row],[inv no]])</f>
        <v>GR-RM598WE-PGA(B3) 2903298</v>
      </c>
      <c r="S4895" s="86">
        <f>_xlfn.XLOOKUP(表格1[[#This Row],[Model]],表格3[Model-Input-Ref2],表格3[SRP PRICE])</f>
        <v>14980</v>
      </c>
      <c r="T4895" s="43">
        <f>表格1[[#This Row],[Unit Price]]/表格1[[#This Row],[SRP]]</f>
        <v>0.73364485981308414</v>
      </c>
      <c r="U4895" s="86" t="str">
        <f>_xlfn.XLOOKUP(表格1[[#This Row],[Model]],表格3[Model-Input-Ref2],表格3[TOSHIBA/HIGHEST])</f>
        <v>Toshiba SRP</v>
      </c>
      <c r="W4895" s="86" t="str">
        <f>_xlfn.CONCAT(表格1[[#This Row],[欄4]],表格1[[#This Row],[inv no]])</f>
        <v>2903298</v>
      </c>
    </row>
    <row r="4896" spans="1:23" hidden="1">
      <c r="A4896" s="81">
        <v>4894</v>
      </c>
      <c r="B4896" s="86" t="s">
        <v>1477</v>
      </c>
      <c r="C4896" s="86" t="s">
        <v>2252</v>
      </c>
      <c r="D4896" s="89" t="str">
        <f ca="1">OFFSET(Roster!$A$3,MATCH(表格1[[#This Row],[Location]]&amp;" "&amp;表格1[[#This Row],[Shop]]&amp;"*",Roster!$A$4:$A$72,0),DAY(表格1[[#This Row],[date]]),1,1)</f>
        <v>Raymond</v>
      </c>
      <c r="E4896" s="86">
        <f>MONTH(表格1[[#This Row],[date]])</f>
        <v>3</v>
      </c>
      <c r="F4896" s="90">
        <v>46106</v>
      </c>
      <c r="G4896" s="86" t="str">
        <f>VLOOKUP("*"&amp;表格1[[#This Row],[Input]]&amp;"*",'Ref-List'!$B:$D,2,)</f>
        <v>GR-RM598WE-PGA(B3)</v>
      </c>
      <c r="H4896" s="86" t="str">
        <f>_xlfn.XLOOKUP(表格1[[#This Row],[Model]],表格3[Model-Input-Ref2],表格3[Product Line])</f>
        <v>變頻六門雪櫃(451L)</v>
      </c>
      <c r="I4896" s="86" t="str">
        <f>_xlfn.XLOOKUP(表格1[[#This Row],[Model]],表格3[Model-Input-Ref2],表格3[大小電])</f>
        <v>大電</v>
      </c>
      <c r="J4896" s="86" t="str">
        <f>_xlfn.XLOOKUP(表格1[[#This Row],[Model]],表格3[Model-Input-Ref2],表格3[Code])</f>
        <v>REF</v>
      </c>
      <c r="K4896" s="89" t="s">
        <v>1491</v>
      </c>
      <c r="L4896" s="86">
        <v>1</v>
      </c>
      <c r="M4896" s="87">
        <v>10990</v>
      </c>
      <c r="N4896" s="87">
        <f>IFERROR(表格1[[#This Row],[QTY]]*表格1[[#This Row],[Unit Price]],"-")</f>
        <v>10990</v>
      </c>
      <c r="O4896" s="86">
        <v>2707074</v>
      </c>
      <c r="R4896" s="86" t="str">
        <f>_xlfn.CONCAT(表格1[[#This Row],[Model]]," ",表格1[[#This Row],[inv no]])</f>
        <v>GR-RM598WE-PGA(B3) 2707074</v>
      </c>
      <c r="S4896" s="86">
        <f>_xlfn.XLOOKUP(表格1[[#This Row],[Model]],表格3[Model-Input-Ref2],表格3[SRP PRICE])</f>
        <v>14980</v>
      </c>
      <c r="T4896" s="43">
        <f>表格1[[#This Row],[Unit Price]]/表格1[[#This Row],[SRP]]</f>
        <v>0.73364485981308414</v>
      </c>
      <c r="U4896" s="86" t="str">
        <f>_xlfn.XLOOKUP(表格1[[#This Row],[Model]],表格3[Model-Input-Ref2],表格3[TOSHIBA/HIGHEST])</f>
        <v>Toshiba SRP</v>
      </c>
      <c r="W4896" s="86" t="str">
        <f>_xlfn.CONCAT(表格1[[#This Row],[欄4]],表格1[[#This Row],[inv no]])</f>
        <v>2707074</v>
      </c>
    </row>
    <row r="4897" spans="1:23" hidden="1">
      <c r="A4897" s="81">
        <v>4895</v>
      </c>
      <c r="B4897" s="86" t="s">
        <v>1477</v>
      </c>
      <c r="C4897" s="86" t="s">
        <v>2252</v>
      </c>
      <c r="D4897" s="89" t="str">
        <f ca="1">OFFSET(Roster!$A$3,MATCH(表格1[[#This Row],[Location]]&amp;" "&amp;表格1[[#This Row],[Shop]]&amp;"*",Roster!$A$4:$A$72,0),DAY(表格1[[#This Row],[date]]),1,1)</f>
        <v>Raymond</v>
      </c>
      <c r="E4897" s="86">
        <f>MONTH(表格1[[#This Row],[date]])</f>
        <v>3</v>
      </c>
      <c r="F4897" s="90">
        <v>46106</v>
      </c>
      <c r="G4897" s="86" t="str">
        <f>VLOOKUP("*"&amp;表格1[[#This Row],[Input]]&amp;"*",'Ref-List'!$B:$D,2,)</f>
        <v>MS3-STQ20SC(WH)</v>
      </c>
      <c r="H4897" s="86" t="str">
        <f>_xlfn.XLOOKUP(表格1[[#This Row],[Model]],表格3[Model-Input-Ref2],表格3[Product Line])</f>
        <v>20L 智能蒸氣焗爐</v>
      </c>
      <c r="I4897" s="86" t="str">
        <f>_xlfn.XLOOKUP(表格1[[#This Row],[Model]],表格3[Model-Input-Ref2],表格3[大小電])</f>
        <v>細電</v>
      </c>
      <c r="J4897" s="86" t="str">
        <f>_xlfn.XLOOKUP(表格1[[#This Row],[Model]],表格3[Model-Input-Ref2],表格3[Code])</f>
        <v>MCA</v>
      </c>
      <c r="K4897" s="89" t="s">
        <v>1383</v>
      </c>
      <c r="L4897" s="86">
        <v>1</v>
      </c>
      <c r="M4897" s="87">
        <v>2100</v>
      </c>
      <c r="N4897" s="87">
        <f>IFERROR(表格1[[#This Row],[QTY]]*表格1[[#This Row],[Unit Price]],"-")</f>
        <v>2100</v>
      </c>
      <c r="O4897" s="168">
        <v>2903311</v>
      </c>
      <c r="R4897" s="86" t="str">
        <f>_xlfn.CONCAT(表格1[[#This Row],[Model]]," ",表格1[[#This Row],[inv no]])</f>
        <v>MS3-STQ20SC(WH) 2903311</v>
      </c>
      <c r="S4897" s="86">
        <f>_xlfn.XLOOKUP(表格1[[#This Row],[Model]],表格3[Model-Input-Ref2],表格3[SRP PRICE])</f>
        <v>2880</v>
      </c>
      <c r="T4897" s="43">
        <f>表格1[[#This Row],[Unit Price]]/表格1[[#This Row],[SRP]]</f>
        <v>0.72916666666666663</v>
      </c>
      <c r="U4897" s="86" t="str">
        <f>_xlfn.XLOOKUP(表格1[[#This Row],[Model]],表格3[Model-Input-Ref2],表格3[TOSHIBA/HIGHEST])</f>
        <v>Toshiba SRP</v>
      </c>
      <c r="W4897" s="86" t="str">
        <f>_xlfn.CONCAT(表格1[[#This Row],[欄4]],表格1[[#This Row],[inv no]])</f>
        <v>2903311</v>
      </c>
    </row>
    <row r="4898" spans="1:23" hidden="1">
      <c r="A4898" s="81">
        <v>4896</v>
      </c>
      <c r="B4898" s="86" t="s">
        <v>1477</v>
      </c>
      <c r="C4898" s="86" t="s">
        <v>2252</v>
      </c>
      <c r="D4898" s="89" t="str">
        <f ca="1">OFFSET(Roster!$A$3,MATCH(表格1[[#This Row],[Location]]&amp;" "&amp;表格1[[#This Row],[Shop]]&amp;"*",Roster!$A$4:$A$72,0),DAY(表格1[[#This Row],[date]]),1,1)</f>
        <v>Raymond</v>
      </c>
      <c r="E4898" s="86">
        <f>MONTH(表格1[[#This Row],[date]])</f>
        <v>3</v>
      </c>
      <c r="F4898" s="90">
        <v>46107</v>
      </c>
      <c r="G4898" s="86" t="str">
        <f>VLOOKUP("*"&amp;表格1[[#This Row],[Input]]&amp;"*",'Ref-List'!$B:$D,2,)</f>
        <v>F-ALB60HK(B)</v>
      </c>
      <c r="H4898" s="86" t="str">
        <f>_xlfn.XLOOKUP(表格1[[#This Row],[Model]],表格3[Model-Input-Ref2],表格3[Product Line])</f>
        <v>12吋座地座檯電風扇</v>
      </c>
      <c r="I4898" s="86" t="str">
        <f>_xlfn.XLOOKUP(表格1[[#This Row],[Model]],表格3[Model-Input-Ref2],表格3[大小電])</f>
        <v>細電</v>
      </c>
      <c r="J4898" s="86" t="str">
        <f>_xlfn.XLOOKUP(表格1[[#This Row],[Model]],表格3[Model-Input-Ref2],表格3[Code])</f>
        <v>SDA</v>
      </c>
      <c r="K4898" s="89" t="s">
        <v>1490</v>
      </c>
      <c r="L4898" s="86">
        <v>1</v>
      </c>
      <c r="M4898" s="87">
        <v>680</v>
      </c>
      <c r="N4898" s="87">
        <f>IFERROR(表格1[[#This Row],[QTY]]*表格1[[#This Row],[Unit Price]],"-")</f>
        <v>680</v>
      </c>
      <c r="O4898" s="86">
        <v>2707096</v>
      </c>
      <c r="R4898" s="86" t="str">
        <f>_xlfn.CONCAT(表格1[[#This Row],[Model]]," ",表格1[[#This Row],[inv no]])</f>
        <v>F-ALB60HK(B) 2707096</v>
      </c>
      <c r="S4898" s="86">
        <f>_xlfn.XLOOKUP(表格1[[#This Row],[Model]],表格3[Model-Input-Ref2],表格3[SRP PRICE])</f>
        <v>839</v>
      </c>
      <c r="T4898" s="43">
        <f>表格1[[#This Row],[Unit Price]]/表格1[[#This Row],[SRP]]</f>
        <v>0.81048867699642435</v>
      </c>
      <c r="U4898" s="86" t="str">
        <f>_xlfn.XLOOKUP(表格1[[#This Row],[Model]],表格3[Model-Input-Ref2],表格3[TOSHIBA/HIGHEST])</f>
        <v>Shops Highest Price</v>
      </c>
      <c r="W4898" s="86" t="str">
        <f>_xlfn.CONCAT(表格1[[#This Row],[欄4]],表格1[[#This Row],[inv no]])</f>
        <v>2707096</v>
      </c>
    </row>
    <row r="4899" spans="1:23" hidden="1">
      <c r="A4899" s="81">
        <v>4897</v>
      </c>
      <c r="B4899" s="86" t="s">
        <v>1477</v>
      </c>
      <c r="C4899" s="86" t="s">
        <v>2252</v>
      </c>
      <c r="D4899" s="89" t="str">
        <f ca="1">OFFSET(Roster!$A$3,MATCH(表格1[[#This Row],[Location]]&amp;" "&amp;表格1[[#This Row],[Shop]]&amp;"*",Roster!$A$4:$A$72,0),DAY(表格1[[#This Row],[date]]),1,1)</f>
        <v>Raymond</v>
      </c>
      <c r="E4899" s="86">
        <f>MONTH(表格1[[#This Row],[date]])</f>
        <v>3</v>
      </c>
      <c r="F4899" s="90">
        <v>46107</v>
      </c>
      <c r="G4899" s="86" t="str">
        <f>VLOOKUP("*"&amp;表格1[[#This Row],[Input]]&amp;"*",'Ref-List'!$B:$D,2,)</f>
        <v>GR-H913(MG)</v>
      </c>
      <c r="H4899" s="86" t="str">
        <f>_xlfn.XLOOKUP(表格1[[#This Row],[Model]],表格3[Model-Input-Ref2],表格3[Product Line])</f>
        <v>單門直冷式環保雪櫃81L</v>
      </c>
      <c r="I4899" s="86" t="str">
        <f>_xlfn.XLOOKUP(表格1[[#This Row],[Model]],表格3[Model-Input-Ref2],表格3[大小電])</f>
        <v>大電</v>
      </c>
      <c r="J4899" s="86" t="str">
        <f>_xlfn.XLOOKUP(表格1[[#This Row],[Model]],表格3[Model-Input-Ref2],表格3[Code])</f>
        <v>REF</v>
      </c>
      <c r="K4899" s="89" t="s">
        <v>1776</v>
      </c>
      <c r="L4899" s="86">
        <v>1</v>
      </c>
      <c r="M4899" s="87">
        <v>1480</v>
      </c>
      <c r="N4899" s="87">
        <f>IFERROR(表格1[[#This Row],[QTY]]*表格1[[#This Row],[Unit Price]],"-")</f>
        <v>1480</v>
      </c>
      <c r="O4899" s="86">
        <v>820945</v>
      </c>
      <c r="R4899" s="86" t="str">
        <f>_xlfn.CONCAT(表格1[[#This Row],[Model]]," ",表格1[[#This Row],[inv no]])</f>
        <v>GR-H913(MG) 820945</v>
      </c>
      <c r="S4899" s="86">
        <f>_xlfn.XLOOKUP(表格1[[#This Row],[Model]],表格3[Model-Input-Ref2],表格3[SRP PRICE])</f>
        <v>1980</v>
      </c>
      <c r="T4899" s="43">
        <f>表格1[[#This Row],[Unit Price]]/表格1[[#This Row],[SRP]]</f>
        <v>0.74747474747474751</v>
      </c>
      <c r="U4899" s="86" t="str">
        <f>_xlfn.XLOOKUP(表格1[[#This Row],[Model]],表格3[Model-Input-Ref2],表格3[TOSHIBA/HIGHEST])</f>
        <v>Toshiba SRP</v>
      </c>
      <c r="W4899" s="86" t="str">
        <f>_xlfn.CONCAT(表格1[[#This Row],[欄4]],表格1[[#This Row],[inv no]])</f>
        <v>820945</v>
      </c>
    </row>
    <row r="4900" spans="1:23" hidden="1">
      <c r="A4900" s="81">
        <v>4898</v>
      </c>
      <c r="B4900" s="86" t="s">
        <v>1477</v>
      </c>
      <c r="C4900" s="86" t="s">
        <v>2252</v>
      </c>
      <c r="D4900" s="89" t="str">
        <f ca="1">OFFSET(Roster!$A$3,MATCH(表格1[[#This Row],[Location]]&amp;" "&amp;表格1[[#This Row],[Shop]]&amp;"*",Roster!$A$4:$A$72,0),DAY(表格1[[#This Row],[date]]),1,1)</f>
        <v>Raymond</v>
      </c>
      <c r="E4900" s="86">
        <f>MONTH(表格1[[#This Row],[date]])</f>
        <v>3</v>
      </c>
      <c r="F4900" s="90">
        <v>46107</v>
      </c>
      <c r="G4900" s="86" t="str">
        <f>VLOOKUP("*"&amp;表格1[[#This Row],[Input]]&amp;"*",'Ref-List'!$B:$D,2,)</f>
        <v>MX2-STR25SC(WH)</v>
      </c>
      <c r="H4900" s="86" t="str">
        <f>_xlfn.XLOOKUP(表格1[[#This Row],[Model]],表格3[Model-Input-Ref2],表格3[Product Line])</f>
        <v>4合1氣炸微波蒸焗爐(25公升)</v>
      </c>
      <c r="I4900" s="86" t="str">
        <f>_xlfn.XLOOKUP(表格1[[#This Row],[Model]],表格3[Model-Input-Ref2],表格3[大小電])</f>
        <v>細電</v>
      </c>
      <c r="J4900" s="86" t="str">
        <f>_xlfn.XLOOKUP(表格1[[#This Row],[Model]],表格3[Model-Input-Ref2],表格3[Code])</f>
        <v>MCA</v>
      </c>
      <c r="K4900" s="89" t="s">
        <v>1410</v>
      </c>
      <c r="L4900" s="86">
        <v>1</v>
      </c>
      <c r="M4900" s="87">
        <v>3580</v>
      </c>
      <c r="N4900" s="87">
        <f>IFERROR(表格1[[#This Row],[QTY]]*表格1[[#This Row],[Unit Price]],"-")</f>
        <v>3580</v>
      </c>
      <c r="O4900" s="86">
        <v>2903343</v>
      </c>
      <c r="R4900" s="86" t="str">
        <f>_xlfn.CONCAT(表格1[[#This Row],[Model]]," ",表格1[[#This Row],[inv no]])</f>
        <v>MX2-STR25SC(WH) 2903343</v>
      </c>
      <c r="S4900" s="86">
        <f>_xlfn.XLOOKUP(表格1[[#This Row],[Model]],表格3[Model-Input-Ref2],表格3[SRP PRICE])</f>
        <v>4998</v>
      </c>
      <c r="T4900" s="43">
        <f>表格1[[#This Row],[Unit Price]]/表格1[[#This Row],[SRP]]</f>
        <v>0.71628651460584236</v>
      </c>
      <c r="U4900" s="86" t="str">
        <f>_xlfn.XLOOKUP(表格1[[#This Row],[Model]],表格3[Model-Input-Ref2],表格3[TOSHIBA/HIGHEST])</f>
        <v>Toshiba SRP</v>
      </c>
      <c r="W4900" s="86" t="str">
        <f>_xlfn.CONCAT(表格1[[#This Row],[欄4]],表格1[[#This Row],[inv no]])</f>
        <v>2903343</v>
      </c>
    </row>
    <row r="4901" spans="1:23" hidden="1">
      <c r="A4901" s="81">
        <v>4899</v>
      </c>
      <c r="B4901" s="86" t="s">
        <v>1477</v>
      </c>
      <c r="C4901" s="86" t="s">
        <v>2252</v>
      </c>
      <c r="D4901" s="89" t="str">
        <f ca="1">OFFSET(Roster!$A$3,MATCH(表格1[[#This Row],[Location]]&amp;" "&amp;表格1[[#This Row],[Shop]]&amp;"*",Roster!$A$4:$A$72,0),DAY(表格1[[#This Row],[date]]),1,1)</f>
        <v>Raymond</v>
      </c>
      <c r="E4901" s="86">
        <f>MONTH(表格1[[#This Row],[date]])</f>
        <v>3</v>
      </c>
      <c r="F4901" s="90">
        <v>46107</v>
      </c>
      <c r="G4901" s="86" t="str">
        <f>VLOOKUP("*"&amp;表格1[[#This Row],[Input]]&amp;"*",'Ref-List'!$B:$D,2,)</f>
        <v>MX2-STR25SC(WH)</v>
      </c>
      <c r="H4901" s="86" t="str">
        <f>_xlfn.XLOOKUP(表格1[[#This Row],[Model]],表格3[Model-Input-Ref2],表格3[Product Line])</f>
        <v>4合1氣炸微波蒸焗爐(25公升)</v>
      </c>
      <c r="I4901" s="86" t="str">
        <f>_xlfn.XLOOKUP(表格1[[#This Row],[Model]],表格3[Model-Input-Ref2],表格3[大小電])</f>
        <v>細電</v>
      </c>
      <c r="J4901" s="86" t="str">
        <f>_xlfn.XLOOKUP(表格1[[#This Row],[Model]],表格3[Model-Input-Ref2],表格3[Code])</f>
        <v>MCA</v>
      </c>
      <c r="K4901" s="89" t="s">
        <v>1410</v>
      </c>
      <c r="L4901" s="86">
        <v>1</v>
      </c>
      <c r="M4901" s="87">
        <v>3580</v>
      </c>
      <c r="N4901" s="87">
        <f>IFERROR(表格1[[#This Row],[QTY]]*表格1[[#This Row],[Unit Price]],"-")</f>
        <v>3580</v>
      </c>
      <c r="O4901" s="86">
        <v>2903370</v>
      </c>
      <c r="R4901" s="86" t="str">
        <f>_xlfn.CONCAT(表格1[[#This Row],[Model]]," ",表格1[[#This Row],[inv no]])</f>
        <v>MX2-STR25SC(WH) 2903370</v>
      </c>
      <c r="S4901" s="86">
        <f>_xlfn.XLOOKUP(表格1[[#This Row],[Model]],表格3[Model-Input-Ref2],表格3[SRP PRICE])</f>
        <v>4998</v>
      </c>
      <c r="T4901" s="43">
        <f>表格1[[#This Row],[Unit Price]]/表格1[[#This Row],[SRP]]</f>
        <v>0.71628651460584236</v>
      </c>
      <c r="U4901" s="86" t="str">
        <f>_xlfn.XLOOKUP(表格1[[#This Row],[Model]],表格3[Model-Input-Ref2],表格3[TOSHIBA/HIGHEST])</f>
        <v>Toshiba SRP</v>
      </c>
      <c r="W4901" s="86" t="str">
        <f>_xlfn.CONCAT(表格1[[#This Row],[欄4]],表格1[[#This Row],[inv no]])</f>
        <v>2903370</v>
      </c>
    </row>
    <row r="4902" spans="1:23" hidden="1">
      <c r="A4902" s="81">
        <v>4900</v>
      </c>
      <c r="B4902" s="86" t="s">
        <v>1477</v>
      </c>
      <c r="C4902" s="86" t="s">
        <v>2252</v>
      </c>
      <c r="D4902" s="89" t="str">
        <f ca="1">OFFSET(Roster!$A$3,MATCH(表格1[[#This Row],[Location]]&amp;" "&amp;表格1[[#This Row],[Shop]]&amp;"*",Roster!$A$4:$A$72,0),DAY(表格1[[#This Row],[date]]),1,1)</f>
        <v>Raymond</v>
      </c>
      <c r="E4902" s="86">
        <f>MONTH(表格1[[#This Row],[date]])</f>
        <v>3</v>
      </c>
      <c r="F4902" s="90">
        <v>46107</v>
      </c>
      <c r="G4902" s="86" t="str">
        <f>VLOOKUP("*"&amp;表格1[[#This Row],[Input]]&amp;"*",'Ref-List'!$B:$D,2,)</f>
        <v>ER-TD5000HK(XK)</v>
      </c>
      <c r="H4902" s="86" t="str">
        <f>_xlfn.XLOOKUP(表格1[[#This Row],[Model]],表格3[Model-Input-Ref2],表格3[Product Line])</f>
        <v>座檯式純蒸氣烤焗水波爐30L</v>
      </c>
      <c r="I4902" s="86" t="str">
        <f>_xlfn.XLOOKUP(表格1[[#This Row],[Model]],表格3[Model-Input-Ref2],表格3[大小電])</f>
        <v>細電</v>
      </c>
      <c r="J4902" s="86" t="str">
        <f>_xlfn.XLOOKUP(表格1[[#This Row],[Model]],表格3[Model-Input-Ref2],表格3[Code])</f>
        <v>SDA</v>
      </c>
      <c r="K4902" s="89" t="s">
        <v>1205</v>
      </c>
      <c r="L4902" s="86">
        <v>1</v>
      </c>
      <c r="M4902" s="87">
        <v>5880</v>
      </c>
      <c r="N4902" s="87">
        <f>IFERROR(表格1[[#This Row],[QTY]]*表格1[[#This Row],[Unit Price]],"-")</f>
        <v>5880</v>
      </c>
      <c r="O4902" s="86">
        <v>2707110</v>
      </c>
      <c r="R4902" s="86" t="str">
        <f>_xlfn.CONCAT(表格1[[#This Row],[Model]]," ",表格1[[#This Row],[inv no]])</f>
        <v>ER-TD5000HK(XK) 2707110</v>
      </c>
      <c r="S4902" s="86">
        <f>_xlfn.XLOOKUP(表格1[[#This Row],[Model]],表格3[Model-Input-Ref2],表格3[SRP PRICE])</f>
        <v>7998</v>
      </c>
      <c r="T4902" s="43">
        <f>表格1[[#This Row],[Unit Price]]/表格1[[#This Row],[SRP]]</f>
        <v>0.7351837959489872</v>
      </c>
      <c r="U4902" s="86" t="str">
        <f>_xlfn.XLOOKUP(表格1[[#This Row],[Model]],表格3[Model-Input-Ref2],表格3[TOSHIBA/HIGHEST])</f>
        <v>Toshiba SRP</v>
      </c>
      <c r="W4902" s="86" t="str">
        <f>_xlfn.CONCAT(表格1[[#This Row],[欄4]],表格1[[#This Row],[inv no]])</f>
        <v>2707110</v>
      </c>
    </row>
    <row r="4903" spans="1:23" hidden="1">
      <c r="A4903" s="81">
        <v>4901</v>
      </c>
      <c r="B4903" s="86" t="s">
        <v>1477</v>
      </c>
      <c r="C4903" s="86" t="s">
        <v>2252</v>
      </c>
      <c r="D4903" s="89" t="str">
        <f ca="1">OFFSET(Roster!$A$3,MATCH(表格1[[#This Row],[Location]]&amp;" "&amp;表格1[[#This Row],[Shop]]&amp;"*",Roster!$A$4:$A$72,0),DAY(表格1[[#This Row],[date]]),1,1)</f>
        <v>Raymond</v>
      </c>
      <c r="E4903" s="86">
        <f>MONTH(表格1[[#This Row],[date]])</f>
        <v>3</v>
      </c>
      <c r="F4903" s="90">
        <v>46107</v>
      </c>
      <c r="G4903" s="86" t="str">
        <f>VLOOKUP("*"&amp;表格1[[#This Row],[Input]]&amp;"*",'Ref-List'!$B:$D,2,)</f>
        <v>RAD-D300H</v>
      </c>
      <c r="H4903" s="86" t="str">
        <f>_xlfn.XLOOKUP(表格1[[#This Row],[Model]],表格3[Model-Input-Ref2],表格3[Product Line])</f>
        <v>壓縮式抽濕機 (30公升)</v>
      </c>
      <c r="I4903" s="86" t="str">
        <f>_xlfn.XLOOKUP(表格1[[#This Row],[Model]],表格3[Model-Input-Ref2],表格3[大小電])</f>
        <v>細電</v>
      </c>
      <c r="J4903" s="86" t="str">
        <f>_xlfn.XLOOKUP(表格1[[#This Row],[Model]],表格3[Model-Input-Ref2],表格3[Code])</f>
        <v>RAC</v>
      </c>
      <c r="K4903" s="89" t="s">
        <v>1252</v>
      </c>
      <c r="L4903" s="86">
        <v>1</v>
      </c>
      <c r="M4903" s="87">
        <v>2580</v>
      </c>
      <c r="N4903" s="87">
        <f>IFERROR(表格1[[#This Row],[QTY]]*表格1[[#This Row],[Unit Price]],"-")</f>
        <v>2580</v>
      </c>
      <c r="O4903" s="86">
        <v>2812149</v>
      </c>
      <c r="R4903" s="86" t="str">
        <f>_xlfn.CONCAT(表格1[[#This Row],[Model]]," ",表格1[[#This Row],[inv no]])</f>
        <v>RAD-D300H 2812149</v>
      </c>
      <c r="S4903" s="86">
        <f>_xlfn.XLOOKUP(表格1[[#This Row],[Model]],表格3[Model-Input-Ref2],表格3[SRP PRICE])</f>
        <v>3380</v>
      </c>
      <c r="T4903" s="43">
        <f>表格1[[#This Row],[Unit Price]]/表格1[[#This Row],[SRP]]</f>
        <v>0.76331360946745563</v>
      </c>
      <c r="U4903" s="86" t="str">
        <f>_xlfn.XLOOKUP(表格1[[#This Row],[Model]],表格3[Model-Input-Ref2],表格3[TOSHIBA/HIGHEST])</f>
        <v>Shops Highest Price</v>
      </c>
      <c r="W4903" s="86" t="str">
        <f>_xlfn.CONCAT(表格1[[#This Row],[欄4]],表格1[[#This Row],[inv no]])</f>
        <v>2812149</v>
      </c>
    </row>
    <row r="4904" spans="1:23" hidden="1">
      <c r="A4904" s="81">
        <v>4902</v>
      </c>
      <c r="B4904" s="86" t="s">
        <v>1477</v>
      </c>
      <c r="C4904" s="86" t="s">
        <v>2252</v>
      </c>
      <c r="D4904" s="89" t="str">
        <f ca="1">OFFSET(Roster!$A$3,MATCH(表格1[[#This Row],[Location]]&amp;" "&amp;表格1[[#This Row],[Shop]]&amp;"*",Roster!$A$4:$A$72,0),DAY(表格1[[#This Row],[date]]),1,1)</f>
        <v>Raymond off</v>
      </c>
      <c r="E4904" s="86">
        <f>MONTH(表格1[[#This Row],[date]])</f>
        <v>3</v>
      </c>
      <c r="F4904" s="90">
        <v>46108</v>
      </c>
      <c r="G4904" s="86" t="str">
        <f>VLOOKUP("*"&amp;表格1[[#This Row],[Input]]&amp;"*",'Ref-List'!$B:$D,2,)</f>
        <v>RC-DZ4K(N)</v>
      </c>
      <c r="H4904" s="86" t="str">
        <f>_xlfn.XLOOKUP(表格1[[#This Row],[Model]],表格3[Model-Input-Ref2],表格3[Product Line])</f>
        <v>IH磁應電飯煲</v>
      </c>
      <c r="I4904" s="86" t="str">
        <f>_xlfn.XLOOKUP(表格1[[#This Row],[Model]],表格3[Model-Input-Ref2],表格3[大小電])</f>
        <v>細電</v>
      </c>
      <c r="J4904" s="86" t="str">
        <f>_xlfn.XLOOKUP(表格1[[#This Row],[Model]],表格3[Model-Input-Ref2],表格3[Code])</f>
        <v>SDA</v>
      </c>
      <c r="K4904" s="89" t="s">
        <v>1561</v>
      </c>
      <c r="L4904" s="86">
        <v>1</v>
      </c>
      <c r="M4904" s="87">
        <v>3280</v>
      </c>
      <c r="N4904" s="87">
        <f>IFERROR(表格1[[#This Row],[QTY]]*表格1[[#This Row],[Unit Price]],"-")</f>
        <v>3280</v>
      </c>
      <c r="O4904" s="168">
        <v>2903391</v>
      </c>
      <c r="R4904" s="86" t="str">
        <f>_xlfn.CONCAT(表格1[[#This Row],[Model]]," ",表格1[[#This Row],[inv no]])</f>
        <v>RC-DZ4K(N) 2903391</v>
      </c>
      <c r="S4904" s="86">
        <f>_xlfn.XLOOKUP(表格1[[#This Row],[Model]],表格3[Model-Input-Ref2],表格3[SRP PRICE])</f>
        <v>3888</v>
      </c>
      <c r="T4904" s="43">
        <f>表格1[[#This Row],[Unit Price]]/表格1[[#This Row],[SRP]]</f>
        <v>0.84362139917695478</v>
      </c>
      <c r="U4904" s="86" t="str">
        <f>_xlfn.XLOOKUP(表格1[[#This Row],[Model]],表格3[Model-Input-Ref2],表格3[TOSHIBA/HIGHEST])</f>
        <v>Shops Highest Price</v>
      </c>
      <c r="W4904" s="86" t="str">
        <f>_xlfn.CONCAT(表格1[[#This Row],[欄4]],表格1[[#This Row],[inv no]])</f>
        <v>2903391</v>
      </c>
    </row>
    <row r="4905" spans="1:23" hidden="1">
      <c r="A4905" s="81">
        <v>4903</v>
      </c>
      <c r="B4905" s="86" t="s">
        <v>1477</v>
      </c>
      <c r="C4905" s="86" t="s">
        <v>2252</v>
      </c>
      <c r="D4905" s="89" t="str">
        <f ca="1">OFFSET(Roster!$A$3,MATCH(表格1[[#This Row],[Location]]&amp;" "&amp;表格1[[#This Row],[Shop]]&amp;"*",Roster!$A$4:$A$72,0),DAY(表格1[[#This Row],[date]]),1,1)</f>
        <v>Raymond off</v>
      </c>
      <c r="E4905" s="86">
        <f>MONTH(表格1[[#This Row],[date]])</f>
        <v>3</v>
      </c>
      <c r="F4905" s="90">
        <v>46108</v>
      </c>
      <c r="G4905" s="86" t="str">
        <f>VLOOKUP("*"&amp;表格1[[#This Row],[Input]]&amp;"*",'Ref-List'!$B:$D,2,)</f>
        <v>RC-DR10T(W)</v>
      </c>
      <c r="H4905" s="86" t="str">
        <f>_xlfn.XLOOKUP(表格1[[#This Row],[Model]],表格3[Model-Input-Ref2],表格3[Product Line])</f>
        <v>IH磁應電飯煲</v>
      </c>
      <c r="I4905" s="86" t="str">
        <f>_xlfn.XLOOKUP(表格1[[#This Row],[Model]],表格3[Model-Input-Ref2],表格3[大小電])</f>
        <v>細電</v>
      </c>
      <c r="J4905" s="86" t="str">
        <f>_xlfn.XLOOKUP(表格1[[#This Row],[Model]],表格3[Model-Input-Ref2],表格3[Code])</f>
        <v>SDA</v>
      </c>
      <c r="K4905" s="89" t="s">
        <v>1294</v>
      </c>
      <c r="L4905" s="86">
        <v>1</v>
      </c>
      <c r="M4905" s="87">
        <v>2380</v>
      </c>
      <c r="N4905" s="87">
        <f>IFERROR(表格1[[#This Row],[QTY]]*表格1[[#This Row],[Unit Price]],"-")</f>
        <v>2380</v>
      </c>
      <c r="O4905" s="168">
        <v>2707132</v>
      </c>
      <c r="R4905" s="86" t="str">
        <f>_xlfn.CONCAT(表格1[[#This Row],[Model]]," ",表格1[[#This Row],[inv no]])</f>
        <v>RC-DR10T(W) 2707132</v>
      </c>
      <c r="S4905" s="86">
        <f>_xlfn.XLOOKUP(表格1[[#This Row],[Model]],表格3[Model-Input-Ref2],表格3[SRP PRICE])</f>
        <v>3188</v>
      </c>
      <c r="T4905" s="43">
        <f>表格1[[#This Row],[Unit Price]]/表格1[[#This Row],[SRP]]</f>
        <v>0.74654956085319946</v>
      </c>
      <c r="U4905" s="86" t="str">
        <f>_xlfn.XLOOKUP(表格1[[#This Row],[Model]],表格3[Model-Input-Ref2],表格3[TOSHIBA/HIGHEST])</f>
        <v>Toshiba SRP</v>
      </c>
      <c r="W4905" s="86" t="str">
        <f>_xlfn.CONCAT(表格1[[#This Row],[欄4]],表格1[[#This Row],[inv no]])</f>
        <v>2707132</v>
      </c>
    </row>
    <row r="4906" spans="1:23" hidden="1">
      <c r="A4906" s="81">
        <v>4904</v>
      </c>
      <c r="B4906" s="86" t="s">
        <v>1477</v>
      </c>
      <c r="C4906" s="86" t="s">
        <v>2252</v>
      </c>
      <c r="D4906" s="89" t="str">
        <f ca="1">OFFSET(Roster!$A$3,MATCH(表格1[[#This Row],[Location]]&amp;" "&amp;表格1[[#This Row],[Shop]]&amp;"*",Roster!$A$4:$A$72,0),DAY(表格1[[#This Row],[date]]),1,1)</f>
        <v>Raymond off</v>
      </c>
      <c r="E4906" s="86">
        <f>MONTH(表格1[[#This Row],[date]])</f>
        <v>3</v>
      </c>
      <c r="F4906" s="90">
        <v>46108</v>
      </c>
      <c r="G4906" s="86" t="str">
        <f>VLOOKUP("*"&amp;表格1[[#This Row],[Input]]&amp;"*",'Ref-List'!$B:$D,2,)</f>
        <v>MX1-TH23SC(WH)</v>
      </c>
      <c r="H4906" s="86" t="str">
        <f>_xlfn.XLOOKUP(表格1[[#This Row],[Model]],表格3[Model-Input-Ref2],表格3[Product Line])</f>
        <v>微波蒸焗爐23L</v>
      </c>
      <c r="I4906" s="86" t="str">
        <f>_xlfn.XLOOKUP(表格1[[#This Row],[Model]],表格3[Model-Input-Ref2],表格3[大小電])</f>
        <v>細電</v>
      </c>
      <c r="J4906" s="86" t="str">
        <f>_xlfn.XLOOKUP(表格1[[#This Row],[Model]],表格3[Model-Input-Ref2],表格3[Code])</f>
        <v>SDA</v>
      </c>
      <c r="K4906" s="89" t="s">
        <v>1496</v>
      </c>
      <c r="L4906" s="86">
        <v>1</v>
      </c>
      <c r="M4906" s="87">
        <v>2580</v>
      </c>
      <c r="N4906" s="87">
        <f>IFERROR(表格1[[#This Row],[QTY]]*表格1[[#This Row],[Unit Price]],"-")</f>
        <v>2580</v>
      </c>
      <c r="O4906" s="86">
        <v>2903418</v>
      </c>
      <c r="R4906" s="86" t="str">
        <f>_xlfn.CONCAT(表格1[[#This Row],[Model]]," ",表格1[[#This Row],[inv no]])</f>
        <v>MX1-TH23SC(WH) 2903418</v>
      </c>
      <c r="S4906" s="86">
        <f>_xlfn.XLOOKUP(表格1[[#This Row],[Model]],表格3[Model-Input-Ref2],表格3[SRP PRICE])</f>
        <v>3380</v>
      </c>
      <c r="T4906" s="43">
        <f>表格1[[#This Row],[Unit Price]]/表格1[[#This Row],[SRP]]</f>
        <v>0.76331360946745563</v>
      </c>
      <c r="U4906" s="86" t="str">
        <f>_xlfn.XLOOKUP(表格1[[#This Row],[Model]],表格3[Model-Input-Ref2],表格3[TOSHIBA/HIGHEST])</f>
        <v>Toshiba SRP</v>
      </c>
      <c r="W4906" s="86" t="str">
        <f>_xlfn.CONCAT(表格1[[#This Row],[欄4]],表格1[[#This Row],[inv no]])</f>
        <v>2903418</v>
      </c>
    </row>
    <row r="4907" spans="1:23" hidden="1">
      <c r="A4907" s="81">
        <v>4905</v>
      </c>
      <c r="B4907" s="86" t="s">
        <v>1477</v>
      </c>
      <c r="C4907" s="86" t="s">
        <v>2252</v>
      </c>
      <c r="D4907" s="89" t="str">
        <f ca="1">OFFSET(Roster!$A$3,MATCH(表格1[[#This Row],[Location]]&amp;" "&amp;表格1[[#This Row],[Shop]]&amp;"*",Roster!$A$4:$A$72,0),DAY(表格1[[#This Row],[date]]),1,1)</f>
        <v>Raymond off</v>
      </c>
      <c r="E4907" s="86">
        <f>MONTH(表格1[[#This Row],[date]])</f>
        <v>3</v>
      </c>
      <c r="F4907" s="90">
        <v>46108</v>
      </c>
      <c r="G4907" s="86" t="str">
        <f>VLOOKUP("*"&amp;表格1[[#This Row],[Input]]&amp;"*",'Ref-List'!$B:$D,2,)</f>
        <v>RC-7HMH</v>
      </c>
      <c r="H4907" s="86" t="str">
        <f>_xlfn.XLOOKUP(表格1[[#This Row],[Model]],表格3[Model-Input-Ref2],表格3[Product Line])</f>
        <v>備長炭本厚釜電飯煲0.7L</v>
      </c>
      <c r="I4907" s="86" t="str">
        <f>_xlfn.XLOOKUP(表格1[[#This Row],[Model]],表格3[Model-Input-Ref2],表格3[大小電])</f>
        <v>細電</v>
      </c>
      <c r="J4907" s="86" t="str">
        <f>_xlfn.XLOOKUP(表格1[[#This Row],[Model]],表格3[Model-Input-Ref2],表格3[Code])</f>
        <v>SDA</v>
      </c>
      <c r="K4907" s="89" t="s">
        <v>1284</v>
      </c>
      <c r="L4907" s="86">
        <v>1</v>
      </c>
      <c r="M4907" s="87">
        <v>838</v>
      </c>
      <c r="N4907" s="87">
        <f>IFERROR(表格1[[#This Row],[QTY]]*表格1[[#This Row],[Unit Price]],"-")</f>
        <v>838</v>
      </c>
      <c r="O4907" s="86">
        <v>2903382</v>
      </c>
      <c r="R4907" s="86" t="str">
        <f>_xlfn.CONCAT(表格1[[#This Row],[Model]]," ",表格1[[#This Row],[inv no]])</f>
        <v>RC-7HMH 2903382</v>
      </c>
      <c r="S4907" s="86">
        <f>_xlfn.XLOOKUP(表格1[[#This Row],[Model]],表格3[Model-Input-Ref2],表格3[SRP PRICE])</f>
        <v>1288</v>
      </c>
      <c r="T4907" s="43">
        <f>表格1[[#This Row],[Unit Price]]/表格1[[#This Row],[SRP]]</f>
        <v>0.65062111801242239</v>
      </c>
      <c r="U4907" s="86" t="str">
        <f>_xlfn.XLOOKUP(表格1[[#This Row],[Model]],表格3[Model-Input-Ref2],表格3[TOSHIBA/HIGHEST])</f>
        <v>Toshiba SRP</v>
      </c>
      <c r="W4907" s="86" t="str">
        <f>_xlfn.CONCAT(表格1[[#This Row],[欄4]],表格1[[#This Row],[inv no]])</f>
        <v>2903382</v>
      </c>
    </row>
    <row r="4908" spans="1:23" hidden="1">
      <c r="A4908" s="81">
        <v>4906</v>
      </c>
      <c r="B4908" s="86" t="s">
        <v>1477</v>
      </c>
      <c r="C4908" s="86" t="s">
        <v>2252</v>
      </c>
      <c r="D4908" s="89" t="str">
        <f ca="1">OFFSET(Roster!$A$3,MATCH(表格1[[#This Row],[Location]]&amp;" "&amp;表格1[[#This Row],[Shop]]&amp;"*",Roster!$A$4:$A$72,0),DAY(表格1[[#This Row],[date]]),1,1)</f>
        <v>Raymond off</v>
      </c>
      <c r="E4908" s="86">
        <f>MONTH(表格1[[#This Row],[date]])</f>
        <v>3</v>
      </c>
      <c r="F4908" s="90">
        <v>46108</v>
      </c>
      <c r="G4908" s="86" t="str">
        <f>VLOOKUP("*"&amp;表格1[[#This Row],[Input]]&amp;"*",'Ref-List'!$B:$D,2,)</f>
        <v>RC-DZ4K(N)</v>
      </c>
      <c r="H4908" s="86" t="str">
        <f>_xlfn.XLOOKUP(表格1[[#This Row],[Model]],表格3[Model-Input-Ref2],表格3[Product Line])</f>
        <v>IH磁應電飯煲</v>
      </c>
      <c r="I4908" s="86" t="str">
        <f>_xlfn.XLOOKUP(表格1[[#This Row],[Model]],表格3[Model-Input-Ref2],表格3[大小電])</f>
        <v>細電</v>
      </c>
      <c r="J4908" s="86" t="str">
        <f>_xlfn.XLOOKUP(表格1[[#This Row],[Model]],表格3[Model-Input-Ref2],表格3[Code])</f>
        <v>SDA</v>
      </c>
      <c r="K4908" s="89" t="s">
        <v>1561</v>
      </c>
      <c r="L4908" s="86">
        <v>1</v>
      </c>
      <c r="M4908" s="87">
        <v>3280</v>
      </c>
      <c r="N4908" s="87">
        <f>IFERROR(表格1[[#This Row],[QTY]]*表格1[[#This Row],[Unit Price]],"-")</f>
        <v>3280</v>
      </c>
      <c r="O4908" s="86">
        <v>2903419</v>
      </c>
      <c r="R4908" s="86" t="str">
        <f>_xlfn.CONCAT(表格1[[#This Row],[Model]]," ",表格1[[#This Row],[inv no]])</f>
        <v>RC-DZ4K(N) 2903419</v>
      </c>
      <c r="S4908" s="86">
        <f>_xlfn.XLOOKUP(表格1[[#This Row],[Model]],表格3[Model-Input-Ref2],表格3[SRP PRICE])</f>
        <v>3888</v>
      </c>
      <c r="T4908" s="43">
        <f>表格1[[#This Row],[Unit Price]]/表格1[[#This Row],[SRP]]</f>
        <v>0.84362139917695478</v>
      </c>
      <c r="U4908" s="86" t="str">
        <f>_xlfn.XLOOKUP(表格1[[#This Row],[Model]],表格3[Model-Input-Ref2],表格3[TOSHIBA/HIGHEST])</f>
        <v>Shops Highest Price</v>
      </c>
      <c r="W4908" s="86" t="str">
        <f>_xlfn.CONCAT(表格1[[#This Row],[欄4]],表格1[[#This Row],[inv no]])</f>
        <v>2903419</v>
      </c>
    </row>
    <row r="4909" spans="1:23" hidden="1">
      <c r="A4909" s="81">
        <v>4907</v>
      </c>
      <c r="B4909" s="86" t="s">
        <v>1477</v>
      </c>
      <c r="C4909" s="86" t="s">
        <v>2252</v>
      </c>
      <c r="D4909" s="89" t="str">
        <f ca="1">OFFSET(Roster!$A$3,MATCH(表格1[[#This Row],[Location]]&amp;" "&amp;表格1[[#This Row],[Shop]]&amp;"*",Roster!$A$4:$A$72,0),DAY(表格1[[#This Row],[date]]),1,1)</f>
        <v>Raymond off</v>
      </c>
      <c r="E4909" s="86">
        <f>MONTH(表格1[[#This Row],[date]])</f>
        <v>3</v>
      </c>
      <c r="F4909" s="90">
        <v>46108</v>
      </c>
      <c r="G4909" s="86" t="str">
        <f>VLOOKUP("*"&amp;表格1[[#This Row],[Input]]&amp;"*",'Ref-List'!$B:$D,2,)</f>
        <v>RAC-07G3CVRG-HK</v>
      </c>
      <c r="H4909" s="86" t="str">
        <f>_xlfn.XLOOKUP(表格1[[#This Row],[Model]],表格3[Model-Input-Ref2],表格3[Product Line])</f>
        <v>3/4 匹 窗口式冷氣機(remote/fortress)</v>
      </c>
      <c r="I4909" s="86" t="str">
        <f>_xlfn.XLOOKUP(表格1[[#This Row],[Model]],表格3[Model-Input-Ref2],表格3[大小電])</f>
        <v>大電</v>
      </c>
      <c r="J4909" s="86" t="str">
        <f>_xlfn.XLOOKUP(表格1[[#This Row],[Model]],表格3[Model-Input-Ref2],表格3[Code])</f>
        <v>AC</v>
      </c>
      <c r="K4909" s="89" t="s">
        <v>664</v>
      </c>
      <c r="L4909" s="86">
        <v>1</v>
      </c>
      <c r="M4909" s="87">
        <v>4590</v>
      </c>
      <c r="N4909" s="87">
        <f>IFERROR(表格1[[#This Row],[QTY]]*表格1[[#This Row],[Unit Price]],"-")</f>
        <v>4590</v>
      </c>
      <c r="O4909" s="168">
        <v>2707151</v>
      </c>
      <c r="R4909" s="86" t="str">
        <f>_xlfn.CONCAT(表格1[[#This Row],[Model]]," ",表格1[[#This Row],[inv no]])</f>
        <v>RAC-07G3CVRG-HK 2707151</v>
      </c>
      <c r="S4909" s="86">
        <f>_xlfn.XLOOKUP(表格1[[#This Row],[Model]],表格3[Model-Input-Ref2],表格3[SRP PRICE])</f>
        <v>5580</v>
      </c>
      <c r="T4909" s="43">
        <f>表格1[[#This Row],[Unit Price]]/表格1[[#This Row],[SRP]]</f>
        <v>0.82258064516129037</v>
      </c>
      <c r="U4909" s="86" t="str">
        <f>_xlfn.XLOOKUP(表格1[[#This Row],[Model]],表格3[Model-Input-Ref2],表格3[TOSHIBA/HIGHEST])</f>
        <v>Toshiba SRP</v>
      </c>
      <c r="W4909" s="86" t="str">
        <f>_xlfn.CONCAT(表格1[[#This Row],[欄4]],表格1[[#This Row],[inv no]])</f>
        <v>2707151</v>
      </c>
    </row>
    <row r="4910" spans="1:23" hidden="1">
      <c r="A4910" s="81">
        <v>4908</v>
      </c>
      <c r="B4910" s="86" t="s">
        <v>1477</v>
      </c>
      <c r="C4910" s="86" t="s">
        <v>2252</v>
      </c>
      <c r="D4910" s="89" t="str">
        <f ca="1">OFFSET(Roster!$A$3,MATCH(表格1[[#This Row],[Location]]&amp;" "&amp;表格1[[#This Row],[Shop]]&amp;"*",Roster!$A$4:$A$72,0),DAY(表格1[[#This Row],[date]]),1,1)</f>
        <v>Raymond</v>
      </c>
      <c r="E4910" s="86">
        <f>MONTH(表格1[[#This Row],[date]])</f>
        <v>3</v>
      </c>
      <c r="F4910" s="90">
        <v>46109</v>
      </c>
      <c r="G4910" s="86" t="str">
        <f>VLOOKUP("*"&amp;表格1[[#This Row],[Input]]&amp;"*",'Ref-List'!$B:$D,2,)</f>
        <v>KT-17DRTHK(H)</v>
      </c>
      <c r="H4910" s="86" t="str">
        <f>_xlfn.XLOOKUP(表格1[[#This Row],[Model]],表格3[Model-Input-Ref2],表格3[Product Line])</f>
        <v>無線雙層電熱水壺(1.7公升)</v>
      </c>
      <c r="I4910" s="86" t="str">
        <f>_xlfn.XLOOKUP(表格1[[#This Row],[Model]],表格3[Model-Input-Ref2],表格3[大小電])</f>
        <v>細電</v>
      </c>
      <c r="J4910" s="86" t="str">
        <f>_xlfn.XLOOKUP(表格1[[#This Row],[Model]],表格3[Model-Input-Ref2],表格3[Code])</f>
        <v>SDA</v>
      </c>
      <c r="K4910" s="89" t="s">
        <v>1271</v>
      </c>
      <c r="L4910" s="86">
        <v>1</v>
      </c>
      <c r="M4910" s="87">
        <v>388</v>
      </c>
      <c r="N4910" s="87">
        <f>IFERROR(表格1[[#This Row],[QTY]]*表格1[[#This Row],[Unit Price]],"-")</f>
        <v>388</v>
      </c>
      <c r="O4910" s="86">
        <v>2903434</v>
      </c>
      <c r="R4910" s="86" t="str">
        <f>_xlfn.CONCAT(表格1[[#This Row],[Model]]," ",表格1[[#This Row],[inv no]])</f>
        <v>KT-17DRTHK(H) 2903434</v>
      </c>
      <c r="S4910" s="86">
        <f>_xlfn.XLOOKUP(表格1[[#This Row],[Model]],表格3[Model-Input-Ref2],表格3[SRP PRICE])</f>
        <v>498</v>
      </c>
      <c r="T4910" s="43">
        <f>表格1[[#This Row],[Unit Price]]/表格1[[#This Row],[SRP]]</f>
        <v>0.77911646586345384</v>
      </c>
      <c r="U4910" s="86" t="str">
        <f>_xlfn.XLOOKUP(表格1[[#This Row],[Model]],表格3[Model-Input-Ref2],表格3[TOSHIBA/HIGHEST])</f>
        <v>Toshiba SRP</v>
      </c>
      <c r="W4910" s="86" t="str">
        <f>_xlfn.CONCAT(表格1[[#This Row],[欄4]],表格1[[#This Row],[inv no]])</f>
        <v>2903434</v>
      </c>
    </row>
    <row r="4911" spans="1:23" hidden="1">
      <c r="A4911" s="81">
        <v>4909</v>
      </c>
      <c r="B4911" s="86" t="s">
        <v>1477</v>
      </c>
      <c r="C4911" s="86" t="s">
        <v>2252</v>
      </c>
      <c r="D4911" s="89" t="str">
        <f ca="1">OFFSET(Roster!$A$3,MATCH(表格1[[#This Row],[Location]]&amp;" "&amp;表格1[[#This Row],[Shop]]&amp;"*",Roster!$A$4:$A$72,0),DAY(表格1[[#This Row],[date]]),1,1)</f>
        <v>Raymond</v>
      </c>
      <c r="E4911" s="86">
        <f>MONTH(表格1[[#This Row],[date]])</f>
        <v>3</v>
      </c>
      <c r="F4911" s="90">
        <v>46109</v>
      </c>
      <c r="G4911" s="86" t="str">
        <f>VLOOKUP("*"&amp;表格1[[#This Row],[Input]]&amp;"*",'Ref-List'!$B:$D,2,)</f>
        <v>KT-17DRTHK(H)</v>
      </c>
      <c r="H4911" s="86" t="str">
        <f>_xlfn.XLOOKUP(表格1[[#This Row],[Model]],表格3[Model-Input-Ref2],表格3[Product Line])</f>
        <v>無線雙層電熱水壺(1.7公升)</v>
      </c>
      <c r="I4911" s="86" t="str">
        <f>_xlfn.XLOOKUP(表格1[[#This Row],[Model]],表格3[Model-Input-Ref2],表格3[大小電])</f>
        <v>細電</v>
      </c>
      <c r="J4911" s="86" t="str">
        <f>_xlfn.XLOOKUP(表格1[[#This Row],[Model]],表格3[Model-Input-Ref2],表格3[Code])</f>
        <v>SDA</v>
      </c>
      <c r="K4911" s="89" t="s">
        <v>1271</v>
      </c>
      <c r="L4911" s="86">
        <v>1</v>
      </c>
      <c r="M4911" s="87">
        <v>388</v>
      </c>
      <c r="N4911" s="87">
        <f>IFERROR(表格1[[#This Row],[QTY]]*表格1[[#This Row],[Unit Price]],"-")</f>
        <v>388</v>
      </c>
      <c r="O4911" s="86">
        <v>2707177</v>
      </c>
      <c r="R4911" s="86" t="str">
        <f>_xlfn.CONCAT(表格1[[#This Row],[Model]]," ",表格1[[#This Row],[inv no]])</f>
        <v>KT-17DRTHK(H) 2707177</v>
      </c>
      <c r="S4911" s="86">
        <f>_xlfn.XLOOKUP(表格1[[#This Row],[Model]],表格3[Model-Input-Ref2],表格3[SRP PRICE])</f>
        <v>498</v>
      </c>
      <c r="T4911" s="43">
        <f>表格1[[#This Row],[Unit Price]]/表格1[[#This Row],[SRP]]</f>
        <v>0.77911646586345384</v>
      </c>
      <c r="U4911" s="86" t="str">
        <f>_xlfn.XLOOKUP(表格1[[#This Row],[Model]],表格3[Model-Input-Ref2],表格3[TOSHIBA/HIGHEST])</f>
        <v>Toshiba SRP</v>
      </c>
      <c r="W4911" s="86" t="str">
        <f>_xlfn.CONCAT(表格1[[#This Row],[欄4]],表格1[[#This Row],[inv no]])</f>
        <v>2707177</v>
      </c>
    </row>
    <row r="4912" spans="1:23" hidden="1">
      <c r="A4912" s="81">
        <v>4910</v>
      </c>
      <c r="B4912" s="86" t="s">
        <v>1477</v>
      </c>
      <c r="C4912" s="86" t="s">
        <v>2252</v>
      </c>
      <c r="D4912" s="89" t="str">
        <f ca="1">OFFSET(Roster!$A$3,MATCH(表格1[[#This Row],[Location]]&amp;" "&amp;表格1[[#This Row],[Shop]]&amp;"*",Roster!$A$4:$A$72,0),DAY(表格1[[#This Row],[date]]),1,1)</f>
        <v>Raymond</v>
      </c>
      <c r="E4912" s="86">
        <f>MONTH(表格1[[#This Row],[date]])</f>
        <v>3</v>
      </c>
      <c r="F4912" s="90">
        <v>46109</v>
      </c>
      <c r="G4912" s="86" t="str">
        <f>VLOOKUP("*"&amp;表格1[[#This Row],[Input]]&amp;"*",'Ref-List'!$B:$D,2,)</f>
        <v>KT-17DRTHK(H)</v>
      </c>
      <c r="H4912" s="86" t="str">
        <f>_xlfn.XLOOKUP(表格1[[#This Row],[Model]],表格3[Model-Input-Ref2],表格3[Product Line])</f>
        <v>無線雙層電熱水壺(1.7公升)</v>
      </c>
      <c r="I4912" s="86" t="str">
        <f>_xlfn.XLOOKUP(表格1[[#This Row],[Model]],表格3[Model-Input-Ref2],表格3[大小電])</f>
        <v>細電</v>
      </c>
      <c r="J4912" s="86" t="str">
        <f>_xlfn.XLOOKUP(表格1[[#This Row],[Model]],表格3[Model-Input-Ref2],表格3[Code])</f>
        <v>SDA</v>
      </c>
      <c r="K4912" s="89" t="s">
        <v>1271</v>
      </c>
      <c r="L4912" s="86">
        <v>1</v>
      </c>
      <c r="M4912" s="87">
        <v>388</v>
      </c>
      <c r="N4912" s="87">
        <f>IFERROR(表格1[[#This Row],[QTY]]*表格1[[#This Row],[Unit Price]],"-")</f>
        <v>388</v>
      </c>
      <c r="O4912" s="86">
        <v>2707184</v>
      </c>
      <c r="R4912" s="86" t="str">
        <f>_xlfn.CONCAT(表格1[[#This Row],[Model]]," ",表格1[[#This Row],[inv no]])</f>
        <v>KT-17DRTHK(H) 2707184</v>
      </c>
      <c r="S4912" s="86">
        <f>_xlfn.XLOOKUP(表格1[[#This Row],[Model]],表格3[Model-Input-Ref2],表格3[SRP PRICE])</f>
        <v>498</v>
      </c>
      <c r="T4912" s="43">
        <f>表格1[[#This Row],[Unit Price]]/表格1[[#This Row],[SRP]]</f>
        <v>0.77911646586345384</v>
      </c>
      <c r="U4912" s="86" t="str">
        <f>_xlfn.XLOOKUP(表格1[[#This Row],[Model]],表格3[Model-Input-Ref2],表格3[TOSHIBA/HIGHEST])</f>
        <v>Toshiba SRP</v>
      </c>
      <c r="W4912" s="86" t="str">
        <f>_xlfn.CONCAT(表格1[[#This Row],[欄4]],表格1[[#This Row],[inv no]])</f>
        <v>2707184</v>
      </c>
    </row>
    <row r="4913" spans="1:23" hidden="1">
      <c r="A4913" s="81">
        <v>4911</v>
      </c>
      <c r="B4913" s="86" t="s">
        <v>1477</v>
      </c>
      <c r="C4913" s="86" t="s">
        <v>2252</v>
      </c>
      <c r="D4913" s="89" t="str">
        <f ca="1">OFFSET(Roster!$A$3,MATCH(表格1[[#This Row],[Location]]&amp;" "&amp;表格1[[#This Row],[Shop]]&amp;"*",Roster!$A$4:$A$72,0),DAY(表格1[[#This Row],[date]]),1,1)</f>
        <v>Raymond</v>
      </c>
      <c r="E4913" s="86">
        <f>MONTH(表格1[[#This Row],[date]])</f>
        <v>3</v>
      </c>
      <c r="F4913" s="90">
        <v>46109</v>
      </c>
      <c r="G4913" s="86" t="str">
        <f>VLOOKUP("*"&amp;表格1[[#This Row],[Input]]&amp;"*",'Ref-List'!$B:$D,2,)</f>
        <v>MM2-EM20PC(WH)</v>
      </c>
      <c r="H4913" s="86" t="str">
        <f>_xlfn.XLOOKUP(表格1[[#This Row],[Model]],表格3[Model-Input-Ref2],表格3[Product Line])</f>
        <v>輕觸式微波爐 (20公升)</v>
      </c>
      <c r="I4913" s="86" t="str">
        <f>_xlfn.XLOOKUP(表格1[[#This Row],[Model]],表格3[Model-Input-Ref2],表格3[大小電])</f>
        <v>細電</v>
      </c>
      <c r="J4913" s="86" t="str">
        <f>_xlfn.XLOOKUP(表格1[[#This Row],[Model]],表格3[Model-Input-Ref2],表格3[Code])</f>
        <v>MCA</v>
      </c>
      <c r="K4913" s="89" t="s">
        <v>1276</v>
      </c>
      <c r="L4913" s="86">
        <v>1</v>
      </c>
      <c r="M4913" s="87">
        <v>638</v>
      </c>
      <c r="N4913" s="87">
        <f>IFERROR(表格1[[#This Row],[QTY]]*表格1[[#This Row],[Unit Price]],"-")</f>
        <v>638</v>
      </c>
      <c r="O4913" s="86">
        <v>2903261</v>
      </c>
      <c r="R4913" s="86" t="str">
        <f>_xlfn.CONCAT(表格1[[#This Row],[Model]]," ",表格1[[#This Row],[inv no]])</f>
        <v>MM2-EM20PC(WH) 2903261</v>
      </c>
      <c r="S4913" s="86">
        <f>_xlfn.XLOOKUP(表格1[[#This Row],[Model]],表格3[Model-Input-Ref2],表格3[SRP PRICE])</f>
        <v>788</v>
      </c>
      <c r="T4913" s="43">
        <f>表格1[[#This Row],[Unit Price]]/表格1[[#This Row],[SRP]]</f>
        <v>0.80964467005076146</v>
      </c>
      <c r="U4913" s="86" t="str">
        <f>_xlfn.XLOOKUP(表格1[[#This Row],[Model]],表格3[Model-Input-Ref2],表格3[TOSHIBA/HIGHEST])</f>
        <v>Toshiba SRP</v>
      </c>
      <c r="W4913" s="86" t="str">
        <f>_xlfn.CONCAT(表格1[[#This Row],[欄4]],表格1[[#This Row],[inv no]])</f>
        <v>2903261</v>
      </c>
    </row>
    <row r="4914" spans="1:23" hidden="1">
      <c r="A4914" s="81">
        <v>4912</v>
      </c>
      <c r="B4914" s="86" t="s">
        <v>1477</v>
      </c>
      <c r="C4914" s="86" t="s">
        <v>2252</v>
      </c>
      <c r="D4914" s="89" t="str">
        <f ca="1">OFFSET(Roster!$A$3,MATCH(表格1[[#This Row],[Location]]&amp;" "&amp;表格1[[#This Row],[Shop]]&amp;"*",Roster!$A$4:$A$72,0),DAY(表格1[[#This Row],[date]]),1,1)</f>
        <v>Raymond</v>
      </c>
      <c r="E4914" s="86">
        <f>MONTH(表格1[[#This Row],[date]])</f>
        <v>3</v>
      </c>
      <c r="F4914" s="90">
        <v>46109</v>
      </c>
      <c r="G4914" s="86" t="str">
        <f>VLOOKUP("*"&amp;表格1[[#This Row],[Input]]&amp;"*",'Ref-List'!$B:$D,2,)</f>
        <v>MWP-MG20P(BK)</v>
      </c>
      <c r="H4914" s="86" t="str">
        <f>_xlfn.XLOOKUP(表格1[[#This Row],[Model]],表格3[Model-Input-Ref2],表格3[Product Line])</f>
        <v>旋鈕式燒烤微波爐20L黑色</v>
      </c>
      <c r="I4914" s="86" t="str">
        <f>_xlfn.XLOOKUP(表格1[[#This Row],[Model]],表格3[Model-Input-Ref2],表格3[大小電])</f>
        <v>細電</v>
      </c>
      <c r="J4914" s="86" t="str">
        <f>_xlfn.XLOOKUP(表格1[[#This Row],[Model]],表格3[Model-Input-Ref2],表格3[Code])</f>
        <v>SDA</v>
      </c>
      <c r="K4914" s="89" t="s">
        <v>1485</v>
      </c>
      <c r="L4914" s="86">
        <v>1</v>
      </c>
      <c r="M4914" s="87">
        <v>698</v>
      </c>
      <c r="N4914" s="87">
        <f>IFERROR(表格1[[#This Row],[QTY]]*表格1[[#This Row],[Unit Price]],"-")</f>
        <v>698</v>
      </c>
      <c r="O4914" s="86">
        <v>2903503</v>
      </c>
      <c r="R4914" s="86" t="str">
        <f>_xlfn.CONCAT(表格1[[#This Row],[Model]]," ",表格1[[#This Row],[inv no]])</f>
        <v>MWP-MG20P(BK) 2903503</v>
      </c>
      <c r="S4914" s="86">
        <f>_xlfn.XLOOKUP(表格1[[#This Row],[Model]],表格3[Model-Input-Ref2],表格3[SRP PRICE])</f>
        <v>918</v>
      </c>
      <c r="T4914" s="43">
        <f>表格1[[#This Row],[Unit Price]]/表格1[[#This Row],[SRP]]</f>
        <v>0.76034858387799564</v>
      </c>
      <c r="U4914" s="86" t="str">
        <f>_xlfn.XLOOKUP(表格1[[#This Row],[Model]],表格3[Model-Input-Ref2],表格3[TOSHIBA/HIGHEST])</f>
        <v>Toshiba SRP</v>
      </c>
      <c r="W4914" s="86" t="str">
        <f>_xlfn.CONCAT(表格1[[#This Row],[欄4]],表格1[[#This Row],[inv no]])</f>
        <v>2903503</v>
      </c>
    </row>
    <row r="4915" spans="1:23" hidden="1">
      <c r="A4915" s="81">
        <v>4913</v>
      </c>
      <c r="B4915" s="86" t="s">
        <v>1477</v>
      </c>
      <c r="C4915" s="86" t="s">
        <v>2252</v>
      </c>
      <c r="D4915" s="89" t="str">
        <f ca="1">OFFSET(Roster!$A$3,MATCH(表格1[[#This Row],[Location]]&amp;" "&amp;表格1[[#This Row],[Shop]]&amp;"*",Roster!$A$4:$A$72,0),DAY(表格1[[#This Row],[date]]),1,1)</f>
        <v>Raymond</v>
      </c>
      <c r="E4915" s="86">
        <f>MONTH(表格1[[#This Row],[date]])</f>
        <v>3</v>
      </c>
      <c r="F4915" s="90">
        <v>46109</v>
      </c>
      <c r="G4915" s="86" t="str">
        <f>VLOOKUP("*"&amp;表格1[[#This Row],[Input]]&amp;"*",'Ref-List'!$B:$D,2,)</f>
        <v>TL-MC35Z</v>
      </c>
      <c r="H4915" s="86" t="str">
        <f>_xlfn.XLOOKUP(表格1[[#This Row],[Model]],表格3[Model-Input-Ref2],表格3[Product Line])</f>
        <v>35L多功能電焗爐</v>
      </c>
      <c r="I4915" s="86" t="str">
        <f>_xlfn.XLOOKUP(表格1[[#This Row],[Model]],表格3[Model-Input-Ref2],表格3[大小電])</f>
        <v>細電</v>
      </c>
      <c r="J4915" s="86" t="str">
        <f>_xlfn.XLOOKUP(表格1[[#This Row],[Model]],表格3[Model-Input-Ref2],表格3[Code])</f>
        <v>SDA</v>
      </c>
      <c r="K4915" s="89" t="s">
        <v>1295</v>
      </c>
      <c r="L4915" s="86">
        <v>1</v>
      </c>
      <c r="M4915" s="87">
        <v>888</v>
      </c>
      <c r="N4915" s="87">
        <f>IFERROR(表格1[[#This Row],[QTY]]*表格1[[#This Row],[Unit Price]],"-")</f>
        <v>888</v>
      </c>
      <c r="O4915" s="86">
        <v>2903461</v>
      </c>
      <c r="R4915" s="86" t="str">
        <f>_xlfn.CONCAT(表格1[[#This Row],[Model]]," ",表格1[[#This Row],[inv no]])</f>
        <v>TL-MC35Z 2903461</v>
      </c>
      <c r="S4915" s="86">
        <f>_xlfn.XLOOKUP(表格1[[#This Row],[Model]],表格3[Model-Input-Ref2],表格3[SRP PRICE])</f>
        <v>1098</v>
      </c>
      <c r="T4915" s="43">
        <f>表格1[[#This Row],[Unit Price]]/表格1[[#This Row],[SRP]]</f>
        <v>0.80874316939890711</v>
      </c>
      <c r="U4915" s="86" t="str">
        <f>_xlfn.XLOOKUP(表格1[[#This Row],[Model]],表格3[Model-Input-Ref2],表格3[TOSHIBA/HIGHEST])</f>
        <v>Toshiba SRP</v>
      </c>
      <c r="W4915" s="86" t="str">
        <f>_xlfn.CONCAT(表格1[[#This Row],[欄4]],表格1[[#This Row],[inv no]])</f>
        <v>2903461</v>
      </c>
    </row>
    <row r="4916" spans="1:23" hidden="1">
      <c r="A4916" s="81">
        <v>4914</v>
      </c>
      <c r="B4916" s="86" t="s">
        <v>1477</v>
      </c>
      <c r="C4916" s="86" t="s">
        <v>2252</v>
      </c>
      <c r="D4916" s="89" t="str">
        <f ca="1">OFFSET(Roster!$A$3,MATCH(表格1[[#This Row],[Location]]&amp;" "&amp;表格1[[#This Row],[Shop]]&amp;"*",Roster!$A$4:$A$72,0),DAY(表格1[[#This Row],[date]]),1,1)</f>
        <v>Raymond</v>
      </c>
      <c r="E4916" s="86">
        <f>MONTH(表格1[[#This Row],[date]])</f>
        <v>3</v>
      </c>
      <c r="F4916" s="90">
        <v>46109</v>
      </c>
      <c r="G4916" s="86" t="str">
        <f>VLOOKUP("*"&amp;表格1[[#This Row],[Input]]&amp;"*",'Ref-List'!$B:$D,2,)</f>
        <v>TWD-T25BZU115MWH(MG)</v>
      </c>
      <c r="H4916" s="86" t="str">
        <f>_xlfn.XLOOKUP(表格1[[#This Row],[Model]],表格3[Model-Input-Ref2],表格3[Product Line])</f>
        <v>前置式變頻洗衣乾衣機 (洗10.5公斤 乾7公斤)</v>
      </c>
      <c r="I4916" s="86" t="str">
        <f>_xlfn.XLOOKUP(表格1[[#This Row],[Model]],表格3[Model-Input-Ref2],表格3[大小電])</f>
        <v>大電</v>
      </c>
      <c r="J4916" s="86" t="str">
        <f>_xlfn.XLOOKUP(表格1[[#This Row],[Model]],表格3[Model-Input-Ref2],表格3[Code])</f>
        <v>LAD</v>
      </c>
      <c r="K4916" s="89" t="s">
        <v>1098</v>
      </c>
      <c r="L4916" s="86">
        <v>1</v>
      </c>
      <c r="M4916" s="87">
        <v>5980</v>
      </c>
      <c r="N4916" s="87">
        <f>IFERROR(表格1[[#This Row],[QTY]]*表格1[[#This Row],[Unit Price]],"-")</f>
        <v>5980</v>
      </c>
      <c r="O4916" s="86">
        <v>2707195</v>
      </c>
      <c r="R4916" s="86" t="str">
        <f>_xlfn.CONCAT(表格1[[#This Row],[Model]]," ",表格1[[#This Row],[inv no]])</f>
        <v>TWD-T25BZU115MWH(MG) 2707195</v>
      </c>
      <c r="S4916" s="86">
        <f>_xlfn.XLOOKUP(表格1[[#This Row],[Model]],表格3[Model-Input-Ref2],表格3[SRP PRICE])</f>
        <v>8280</v>
      </c>
      <c r="T4916" s="43">
        <f>表格1[[#This Row],[Unit Price]]/表格1[[#This Row],[SRP]]</f>
        <v>0.72222222222222221</v>
      </c>
      <c r="U4916" s="86" t="str">
        <f>_xlfn.XLOOKUP(表格1[[#This Row],[Model]],表格3[Model-Input-Ref2],表格3[TOSHIBA/HIGHEST])</f>
        <v>Toshiba SRP</v>
      </c>
      <c r="W4916" s="86" t="str">
        <f>_xlfn.CONCAT(表格1[[#This Row],[欄4]],表格1[[#This Row],[inv no]])</f>
        <v>2707195</v>
      </c>
    </row>
    <row r="4917" spans="1:23" hidden="1">
      <c r="A4917" s="81">
        <v>4915</v>
      </c>
      <c r="B4917" s="86" t="s">
        <v>1477</v>
      </c>
      <c r="C4917" s="86" t="s">
        <v>2252</v>
      </c>
      <c r="D4917" s="89" t="str">
        <f ca="1">OFFSET(Roster!$A$3,MATCH(表格1[[#This Row],[Location]]&amp;" "&amp;表格1[[#This Row],[Shop]]&amp;"*",Roster!$A$4:$A$72,0),DAY(表格1[[#This Row],[date]]),1,1)</f>
        <v>Raymond</v>
      </c>
      <c r="E4917" s="86">
        <f>MONTH(表格1[[#This Row],[date]])</f>
        <v>3</v>
      </c>
      <c r="F4917" s="90">
        <v>46109</v>
      </c>
      <c r="G4917" s="86" t="str">
        <f>VLOOKUP("*"&amp;表格1[[#This Row],[Input]]&amp;"*",'Ref-List'!$B:$D,2,)</f>
        <v>GR-RB360WE-PMA(06)</v>
      </c>
      <c r="H4917" s="86" t="str">
        <f>_xlfn.XLOOKUP(表格1[[#This Row],[Model]],表格3[Model-Input-Ref2],表格3[Product Line])</f>
        <v>變頻下置式雙門雪櫃系列270L</v>
      </c>
      <c r="I4917" s="86" t="str">
        <f>_xlfn.XLOOKUP(表格1[[#This Row],[Model]],表格3[Model-Input-Ref2],表格3[大小電])</f>
        <v>大電</v>
      </c>
      <c r="J4917" s="86" t="str">
        <f>_xlfn.XLOOKUP(表格1[[#This Row],[Model]],表格3[Model-Input-Ref2],表格3[Code])</f>
        <v>REF</v>
      </c>
      <c r="K4917" s="89" t="s">
        <v>1282</v>
      </c>
      <c r="L4917" s="86">
        <v>1</v>
      </c>
      <c r="M4917" s="87">
        <v>3580</v>
      </c>
      <c r="N4917" s="87">
        <f>IFERROR(表格1[[#This Row],[QTY]]*表格1[[#This Row],[Unit Price]],"-")</f>
        <v>3580</v>
      </c>
      <c r="O4917" s="86">
        <v>2707198</v>
      </c>
      <c r="R4917" s="86" t="str">
        <f>_xlfn.CONCAT(表格1[[#This Row],[Model]]," ",表格1[[#This Row],[inv no]])</f>
        <v>GR-RB360WE-PMA(06) 2707198</v>
      </c>
      <c r="S4917" s="86">
        <f>_xlfn.XLOOKUP(表格1[[#This Row],[Model]],表格3[Model-Input-Ref2],表格3[SRP PRICE])</f>
        <v>5080</v>
      </c>
      <c r="T4917" s="43">
        <f>表格1[[#This Row],[Unit Price]]/表格1[[#This Row],[SRP]]</f>
        <v>0.70472440944881887</v>
      </c>
      <c r="U4917" s="86" t="str">
        <f>_xlfn.XLOOKUP(表格1[[#This Row],[Model]],表格3[Model-Input-Ref2],表格3[TOSHIBA/HIGHEST])</f>
        <v>Toshiba SRP</v>
      </c>
      <c r="W4917" s="86" t="str">
        <f>_xlfn.CONCAT(表格1[[#This Row],[欄4]],表格1[[#This Row],[inv no]])</f>
        <v>2707198</v>
      </c>
    </row>
    <row r="4918" spans="1:23" hidden="1">
      <c r="A4918" s="81">
        <v>4916</v>
      </c>
      <c r="B4918" s="86" t="s">
        <v>1477</v>
      </c>
      <c r="C4918" s="86" t="s">
        <v>2252</v>
      </c>
      <c r="D4918" s="89" t="str">
        <f ca="1">OFFSET(Roster!$A$3,MATCH(表格1[[#This Row],[Location]]&amp;" "&amp;表格1[[#This Row],[Shop]]&amp;"*",Roster!$A$4:$A$72,0),DAY(表格1[[#This Row],[date]]),1,1)</f>
        <v>Raymond</v>
      </c>
      <c r="E4918" s="86">
        <f>MONTH(表格1[[#This Row],[date]])</f>
        <v>3</v>
      </c>
      <c r="F4918" s="90">
        <v>46110</v>
      </c>
      <c r="G4918" s="86" t="str">
        <f>VLOOKUP("*"&amp;表格1[[#This Row],[Input]]&amp;"*",'Ref-List'!$B:$D,2,)</f>
        <v>F-ALB60HK(B)</v>
      </c>
      <c r="H4918" s="86" t="str">
        <f>_xlfn.XLOOKUP(表格1[[#This Row],[Model]],表格3[Model-Input-Ref2],表格3[Product Line])</f>
        <v>12吋座地座檯電風扇</v>
      </c>
      <c r="I4918" s="86" t="str">
        <f>_xlfn.XLOOKUP(表格1[[#This Row],[Model]],表格3[Model-Input-Ref2],表格3[大小電])</f>
        <v>細電</v>
      </c>
      <c r="J4918" s="86" t="str">
        <f>_xlfn.XLOOKUP(表格1[[#This Row],[Model]],表格3[Model-Input-Ref2],表格3[Code])</f>
        <v>SDA</v>
      </c>
      <c r="K4918" s="89" t="s">
        <v>1490</v>
      </c>
      <c r="L4918" s="86">
        <v>1</v>
      </c>
      <c r="M4918" s="87">
        <v>499</v>
      </c>
      <c r="N4918" s="87">
        <f>IFERROR(表格1[[#This Row],[QTY]]*表格1[[#This Row],[Unit Price]],"-")</f>
        <v>499</v>
      </c>
      <c r="O4918" s="86">
        <v>821030</v>
      </c>
      <c r="R4918" s="86" t="str">
        <f>_xlfn.CONCAT(表格1[[#This Row],[Model]]," ",表格1[[#This Row],[inv no]])</f>
        <v>F-ALB60HK(B) 821030</v>
      </c>
      <c r="S4918" s="86">
        <f>_xlfn.XLOOKUP(表格1[[#This Row],[Model]],表格3[Model-Input-Ref2],表格3[SRP PRICE])</f>
        <v>839</v>
      </c>
      <c r="T4918" s="43">
        <f>表格1[[#This Row],[Unit Price]]/表格1[[#This Row],[SRP]]</f>
        <v>0.59475566150178782</v>
      </c>
      <c r="U4918" s="86" t="str">
        <f>_xlfn.XLOOKUP(表格1[[#This Row],[Model]],表格3[Model-Input-Ref2],表格3[TOSHIBA/HIGHEST])</f>
        <v>Shops Highest Price</v>
      </c>
      <c r="W4918" s="86" t="str">
        <f>_xlfn.CONCAT(表格1[[#This Row],[欄4]],表格1[[#This Row],[inv no]])</f>
        <v>821030</v>
      </c>
    </row>
    <row r="4919" spans="1:23" hidden="1">
      <c r="A4919" s="81">
        <v>4917</v>
      </c>
      <c r="B4919" s="86" t="s">
        <v>1477</v>
      </c>
      <c r="C4919" s="86" t="s">
        <v>2252</v>
      </c>
      <c r="D4919" s="89" t="str">
        <f ca="1">OFFSET(Roster!$A$3,MATCH(表格1[[#This Row],[Location]]&amp;" "&amp;表格1[[#This Row],[Shop]]&amp;"*",Roster!$A$4:$A$72,0),DAY(表格1[[#This Row],[date]]),1,1)</f>
        <v>Raymond</v>
      </c>
      <c r="E4919" s="86">
        <f>MONTH(表格1[[#This Row],[date]])</f>
        <v>3</v>
      </c>
      <c r="F4919" s="90">
        <v>46110</v>
      </c>
      <c r="G4919" s="86" t="str">
        <f>VLOOKUP("*"&amp;表格1[[#This Row],[Input]]&amp;"*",'Ref-List'!$B:$D,2,)</f>
        <v>F-ALB60HK(B)</v>
      </c>
      <c r="H4919" s="86" t="str">
        <f>_xlfn.XLOOKUP(表格1[[#This Row],[Model]],表格3[Model-Input-Ref2],表格3[Product Line])</f>
        <v>12吋座地座檯電風扇</v>
      </c>
      <c r="I4919" s="86" t="str">
        <f>_xlfn.XLOOKUP(表格1[[#This Row],[Model]],表格3[Model-Input-Ref2],表格3[大小電])</f>
        <v>細電</v>
      </c>
      <c r="J4919" s="86" t="str">
        <f>_xlfn.XLOOKUP(表格1[[#This Row],[Model]],表格3[Model-Input-Ref2],表格3[Code])</f>
        <v>SDA</v>
      </c>
      <c r="K4919" s="89" t="s">
        <v>1490</v>
      </c>
      <c r="L4919" s="86">
        <v>1</v>
      </c>
      <c r="M4919" s="87">
        <v>499</v>
      </c>
      <c r="N4919" s="87">
        <f>IFERROR(表格1[[#This Row],[QTY]]*表格1[[#This Row],[Unit Price]],"-")</f>
        <v>499</v>
      </c>
      <c r="O4919" s="86">
        <v>2707270</v>
      </c>
      <c r="R4919" s="86" t="str">
        <f>_xlfn.CONCAT(表格1[[#This Row],[Model]]," ",表格1[[#This Row],[inv no]])</f>
        <v>F-ALB60HK(B) 2707270</v>
      </c>
      <c r="S4919" s="86">
        <f>_xlfn.XLOOKUP(表格1[[#This Row],[Model]],表格3[Model-Input-Ref2],表格3[SRP PRICE])</f>
        <v>839</v>
      </c>
      <c r="T4919" s="43">
        <f>表格1[[#This Row],[Unit Price]]/表格1[[#This Row],[SRP]]</f>
        <v>0.59475566150178782</v>
      </c>
      <c r="U4919" s="86" t="str">
        <f>_xlfn.XLOOKUP(表格1[[#This Row],[Model]],表格3[Model-Input-Ref2],表格3[TOSHIBA/HIGHEST])</f>
        <v>Shops Highest Price</v>
      </c>
      <c r="W4919" s="86" t="str">
        <f>_xlfn.CONCAT(表格1[[#This Row],[欄4]],表格1[[#This Row],[inv no]])</f>
        <v>2707270</v>
      </c>
    </row>
    <row r="4920" spans="1:23" hidden="1">
      <c r="A4920" s="81">
        <v>4918</v>
      </c>
      <c r="B4920" s="86" t="s">
        <v>1477</v>
      </c>
      <c r="C4920" s="86" t="s">
        <v>2252</v>
      </c>
      <c r="D4920" s="89" t="str">
        <f ca="1">OFFSET(Roster!$A$3,MATCH(表格1[[#This Row],[Location]]&amp;" "&amp;表格1[[#This Row],[Shop]]&amp;"*",Roster!$A$4:$A$72,0),DAY(表格1[[#This Row],[date]]),1,1)</f>
        <v>Raymond</v>
      </c>
      <c r="E4920" s="86">
        <f>MONTH(表格1[[#This Row],[date]])</f>
        <v>3</v>
      </c>
      <c r="F4920" s="90">
        <v>46110</v>
      </c>
      <c r="G4920" s="86" t="str">
        <f>VLOOKUP("*"&amp;表格1[[#This Row],[Input]]&amp;"*",'Ref-List'!$B:$D,2,)</f>
        <v>F-ALB60HK(B)</v>
      </c>
      <c r="H4920" s="86" t="str">
        <f>_xlfn.XLOOKUP(表格1[[#This Row],[Model]],表格3[Model-Input-Ref2],表格3[Product Line])</f>
        <v>12吋座地座檯電風扇</v>
      </c>
      <c r="I4920" s="86" t="str">
        <f>_xlfn.XLOOKUP(表格1[[#This Row],[Model]],表格3[Model-Input-Ref2],表格3[大小電])</f>
        <v>細電</v>
      </c>
      <c r="J4920" s="86" t="str">
        <f>_xlfn.XLOOKUP(表格1[[#This Row],[Model]],表格3[Model-Input-Ref2],表格3[Code])</f>
        <v>SDA</v>
      </c>
      <c r="K4920" s="89" t="s">
        <v>1490</v>
      </c>
      <c r="L4920" s="86">
        <v>1</v>
      </c>
      <c r="M4920" s="87">
        <v>499</v>
      </c>
      <c r="N4920" s="87">
        <f>IFERROR(表格1[[#This Row],[QTY]]*表格1[[#This Row],[Unit Price]],"-")</f>
        <v>499</v>
      </c>
      <c r="O4920" s="86">
        <v>2707271</v>
      </c>
      <c r="R4920" s="86" t="str">
        <f>_xlfn.CONCAT(表格1[[#This Row],[Model]]," ",表格1[[#This Row],[inv no]])</f>
        <v>F-ALB60HK(B) 2707271</v>
      </c>
      <c r="S4920" s="86">
        <f>_xlfn.XLOOKUP(表格1[[#This Row],[Model]],表格3[Model-Input-Ref2],表格3[SRP PRICE])</f>
        <v>839</v>
      </c>
      <c r="T4920" s="43">
        <f>表格1[[#This Row],[Unit Price]]/表格1[[#This Row],[SRP]]</f>
        <v>0.59475566150178782</v>
      </c>
      <c r="U4920" s="86" t="str">
        <f>_xlfn.XLOOKUP(表格1[[#This Row],[Model]],表格3[Model-Input-Ref2],表格3[TOSHIBA/HIGHEST])</f>
        <v>Shops Highest Price</v>
      </c>
      <c r="W4920" s="86" t="str">
        <f>_xlfn.CONCAT(表格1[[#This Row],[欄4]],表格1[[#This Row],[inv no]])</f>
        <v>2707271</v>
      </c>
    </row>
    <row r="4921" spans="1:23" hidden="1">
      <c r="A4921" s="81">
        <v>4919</v>
      </c>
      <c r="B4921" s="86" t="s">
        <v>1477</v>
      </c>
      <c r="C4921" s="86" t="s">
        <v>2252</v>
      </c>
      <c r="D4921" s="89" t="str">
        <f ca="1">OFFSET(Roster!$A$3,MATCH(表格1[[#This Row],[Location]]&amp;" "&amp;表格1[[#This Row],[Shop]]&amp;"*",Roster!$A$4:$A$72,0),DAY(表格1[[#This Row],[date]]),1,1)</f>
        <v>Raymond</v>
      </c>
      <c r="E4921" s="86">
        <f>MONTH(表格1[[#This Row],[date]])</f>
        <v>3</v>
      </c>
      <c r="F4921" s="90">
        <v>46110</v>
      </c>
      <c r="G4921" s="86" t="str">
        <f>VLOOKUP("*"&amp;表格1[[#This Row],[Input]]&amp;"*",'Ref-List'!$B:$D,2,)</f>
        <v>MWP-MG20P(BK)</v>
      </c>
      <c r="H4921" s="86" t="str">
        <f>_xlfn.XLOOKUP(表格1[[#This Row],[Model]],表格3[Model-Input-Ref2],表格3[Product Line])</f>
        <v>旋鈕式燒烤微波爐20L黑色</v>
      </c>
      <c r="I4921" s="86" t="str">
        <f>_xlfn.XLOOKUP(表格1[[#This Row],[Model]],表格3[Model-Input-Ref2],表格3[大小電])</f>
        <v>細電</v>
      </c>
      <c r="J4921" s="86" t="str">
        <f>_xlfn.XLOOKUP(表格1[[#This Row],[Model]],表格3[Model-Input-Ref2],表格3[Code])</f>
        <v>SDA</v>
      </c>
      <c r="K4921" s="89" t="s">
        <v>1485</v>
      </c>
      <c r="L4921" s="86">
        <v>1</v>
      </c>
      <c r="M4921" s="87">
        <v>698</v>
      </c>
      <c r="N4921" s="87">
        <f>IFERROR(表格1[[#This Row],[QTY]]*表格1[[#This Row],[Unit Price]],"-")</f>
        <v>698</v>
      </c>
      <c r="O4921" s="86">
        <v>2903556</v>
      </c>
      <c r="R4921" s="86" t="str">
        <f>_xlfn.CONCAT(表格1[[#This Row],[Model]]," ",表格1[[#This Row],[inv no]])</f>
        <v>MWP-MG20P(BK) 2903556</v>
      </c>
      <c r="S4921" s="86">
        <f>_xlfn.XLOOKUP(表格1[[#This Row],[Model]],表格3[Model-Input-Ref2],表格3[SRP PRICE])</f>
        <v>918</v>
      </c>
      <c r="T4921" s="43">
        <f>表格1[[#This Row],[Unit Price]]/表格1[[#This Row],[SRP]]</f>
        <v>0.76034858387799564</v>
      </c>
      <c r="U4921" s="86" t="str">
        <f>_xlfn.XLOOKUP(表格1[[#This Row],[Model]],表格3[Model-Input-Ref2],表格3[TOSHIBA/HIGHEST])</f>
        <v>Toshiba SRP</v>
      </c>
      <c r="W4921" s="86" t="str">
        <f>_xlfn.CONCAT(表格1[[#This Row],[欄4]],表格1[[#This Row],[inv no]])</f>
        <v>2903556</v>
      </c>
    </row>
    <row r="4922" spans="1:23" hidden="1">
      <c r="A4922" s="81">
        <v>4920</v>
      </c>
      <c r="B4922" s="86" t="s">
        <v>1477</v>
      </c>
      <c r="C4922" s="86" t="s">
        <v>2252</v>
      </c>
      <c r="D4922" s="89" t="str">
        <f ca="1">OFFSET(Roster!$A$3,MATCH(表格1[[#This Row],[Location]]&amp;" "&amp;表格1[[#This Row],[Shop]]&amp;"*",Roster!$A$4:$A$72,0),DAY(表格1[[#This Row],[date]]),1,1)</f>
        <v>Raymond</v>
      </c>
      <c r="E4922" s="86">
        <f>MONTH(表格1[[#This Row],[date]])</f>
        <v>3</v>
      </c>
      <c r="F4922" s="90">
        <v>46110</v>
      </c>
      <c r="G4922" s="86" t="str">
        <f>VLOOKUP("*"&amp;表格1[[#This Row],[Input]]&amp;"*",'Ref-List'!$B:$D,2,)</f>
        <v>ER-VD7000HK(XK)</v>
      </c>
      <c r="H4922" s="86" t="str">
        <f>_xlfn.XLOOKUP(表格1[[#This Row],[Model]],表格3[Model-Input-Ref2],表格3[Product Line])</f>
        <v>水波爐</v>
      </c>
      <c r="I4922" s="86" t="str">
        <f>_xlfn.XLOOKUP(表格1[[#This Row],[Model]],表格3[Model-Input-Ref2],表格3[大小電])</f>
        <v>細電</v>
      </c>
      <c r="J4922" s="86" t="str">
        <f>_xlfn.XLOOKUP(表格1[[#This Row],[Model]],表格3[Model-Input-Ref2],表格3[Code])</f>
        <v>MCA</v>
      </c>
      <c r="K4922" s="89" t="s">
        <v>1469</v>
      </c>
      <c r="L4922" s="86">
        <v>1</v>
      </c>
      <c r="M4922" s="87">
        <v>6798</v>
      </c>
      <c r="N4922" s="87">
        <f>IFERROR(表格1[[#This Row],[QTY]]*表格1[[#This Row],[Unit Price]],"-")</f>
        <v>6798</v>
      </c>
      <c r="O4922" s="86">
        <v>1625277</v>
      </c>
      <c r="R4922" s="86" t="str">
        <f>_xlfn.CONCAT(表格1[[#This Row],[Model]]," ",表格1[[#This Row],[inv no]])</f>
        <v>ER-VD7000HK(XK) 1625277</v>
      </c>
      <c r="S4922" s="86">
        <f>_xlfn.XLOOKUP(表格1[[#This Row],[Model]],表格3[Model-Input-Ref2],表格3[SRP PRICE])</f>
        <v>8998</v>
      </c>
      <c r="T4922" s="43">
        <f>表格1[[#This Row],[Unit Price]]/表格1[[#This Row],[SRP]]</f>
        <v>0.75550122249388751</v>
      </c>
      <c r="U4922" s="86" t="str">
        <f>_xlfn.XLOOKUP(表格1[[#This Row],[Model]],表格3[Model-Input-Ref2],表格3[TOSHIBA/HIGHEST])</f>
        <v>Toshiba SRP</v>
      </c>
      <c r="W4922" s="86" t="str">
        <f>_xlfn.CONCAT(表格1[[#This Row],[欄4]],表格1[[#This Row],[inv no]])</f>
        <v>1625277</v>
      </c>
    </row>
    <row r="4923" spans="1:23" hidden="1">
      <c r="A4923" s="81">
        <v>4921</v>
      </c>
      <c r="B4923" s="86" t="s">
        <v>1477</v>
      </c>
      <c r="C4923" s="86" t="s">
        <v>2252</v>
      </c>
      <c r="D4923" s="89" t="str">
        <f ca="1">OFFSET(Roster!$A$3,MATCH(表格1[[#This Row],[Location]]&amp;" "&amp;表格1[[#This Row],[Shop]]&amp;"*",Roster!$A$4:$A$72,0),DAY(表格1[[#This Row],[date]]),1,1)</f>
        <v>Raymond</v>
      </c>
      <c r="E4923" s="86">
        <f>MONTH(表格1[[#This Row],[date]])</f>
        <v>3</v>
      </c>
      <c r="F4923" s="90">
        <v>46110</v>
      </c>
      <c r="G4923" s="86" t="str">
        <f>VLOOKUP("*"&amp;表格1[[#This Row],[Input]]&amp;"*",'Ref-List'!$B:$D,2,)</f>
        <v>RAD-D300H</v>
      </c>
      <c r="H4923" s="86" t="str">
        <f>_xlfn.XLOOKUP(表格1[[#This Row],[Model]],表格3[Model-Input-Ref2],表格3[Product Line])</f>
        <v>壓縮式抽濕機 (30公升)</v>
      </c>
      <c r="I4923" s="86" t="str">
        <f>_xlfn.XLOOKUP(表格1[[#This Row],[Model]],表格3[Model-Input-Ref2],表格3[大小電])</f>
        <v>細電</v>
      </c>
      <c r="J4923" s="86" t="str">
        <f>_xlfn.XLOOKUP(表格1[[#This Row],[Model]],表格3[Model-Input-Ref2],表格3[Code])</f>
        <v>RAC</v>
      </c>
      <c r="K4923" s="89" t="s">
        <v>1252</v>
      </c>
      <c r="L4923" s="86">
        <v>1</v>
      </c>
      <c r="M4923" s="87">
        <v>2280</v>
      </c>
      <c r="N4923" s="87">
        <f>IFERROR(表格1[[#This Row],[QTY]]*表格1[[#This Row],[Unit Price]],"-")</f>
        <v>2280</v>
      </c>
      <c r="O4923" s="86">
        <v>821020</v>
      </c>
      <c r="R4923" s="86" t="str">
        <f>_xlfn.CONCAT(表格1[[#This Row],[Model]]," ",表格1[[#This Row],[inv no]])</f>
        <v>RAD-D300H 821020</v>
      </c>
      <c r="S4923" s="86">
        <f>_xlfn.XLOOKUP(表格1[[#This Row],[Model]],表格3[Model-Input-Ref2],表格3[SRP PRICE])</f>
        <v>3380</v>
      </c>
      <c r="T4923" s="43">
        <f>表格1[[#This Row],[Unit Price]]/表格1[[#This Row],[SRP]]</f>
        <v>0.67455621301775148</v>
      </c>
      <c r="U4923" s="86" t="str">
        <f>_xlfn.XLOOKUP(表格1[[#This Row],[Model]],表格3[Model-Input-Ref2],表格3[TOSHIBA/HIGHEST])</f>
        <v>Shops Highest Price</v>
      </c>
      <c r="W4923" s="86" t="str">
        <f>_xlfn.CONCAT(表格1[[#This Row],[欄4]],表格1[[#This Row],[inv no]])</f>
        <v>821020</v>
      </c>
    </row>
    <row r="4924" spans="1:23" hidden="1">
      <c r="A4924" s="81">
        <v>4922</v>
      </c>
      <c r="B4924" s="86" t="s">
        <v>1477</v>
      </c>
      <c r="C4924" s="86" t="s">
        <v>2252</v>
      </c>
      <c r="D4924" s="89" t="str">
        <f ca="1">OFFSET(Roster!$A$3,MATCH(表格1[[#This Row],[Location]]&amp;" "&amp;表格1[[#This Row],[Shop]]&amp;"*",Roster!$A$4:$A$72,0),DAY(表格1[[#This Row],[date]]),1,1)</f>
        <v>Raymond</v>
      </c>
      <c r="E4924" s="86">
        <f>MONTH(表格1[[#This Row],[date]])</f>
        <v>3</v>
      </c>
      <c r="F4924" s="90">
        <v>46110</v>
      </c>
      <c r="G4924" s="86" t="str">
        <f>VLOOKUP("*"&amp;表格1[[#This Row],[Input]]&amp;"*",'Ref-List'!$B:$D,2,)</f>
        <v>GR-RM598WE-PGA(B3)</v>
      </c>
      <c r="H4924" s="86" t="str">
        <f>_xlfn.XLOOKUP(表格1[[#This Row],[Model]],表格3[Model-Input-Ref2],表格3[Product Line])</f>
        <v>變頻六門雪櫃(451L)</v>
      </c>
      <c r="I4924" s="86" t="str">
        <f>_xlfn.XLOOKUP(表格1[[#This Row],[Model]],表格3[Model-Input-Ref2],表格3[大小電])</f>
        <v>大電</v>
      </c>
      <c r="J4924" s="86" t="str">
        <f>_xlfn.XLOOKUP(表格1[[#This Row],[Model]],表格3[Model-Input-Ref2],表格3[Code])</f>
        <v>REF</v>
      </c>
      <c r="K4924" s="89" t="s">
        <v>1491</v>
      </c>
      <c r="L4924" s="86">
        <v>1</v>
      </c>
      <c r="M4924" s="87">
        <v>10990</v>
      </c>
      <c r="N4924" s="87">
        <f>IFERROR(表格1[[#This Row],[QTY]]*表格1[[#This Row],[Unit Price]],"-")</f>
        <v>10990</v>
      </c>
      <c r="O4924" s="86">
        <v>821050</v>
      </c>
      <c r="R4924" s="86" t="str">
        <f>_xlfn.CONCAT(表格1[[#This Row],[Model]]," ",表格1[[#This Row],[inv no]])</f>
        <v>GR-RM598WE-PGA(B3) 821050</v>
      </c>
      <c r="S4924" s="86">
        <f>_xlfn.XLOOKUP(表格1[[#This Row],[Model]],表格3[Model-Input-Ref2],表格3[SRP PRICE])</f>
        <v>14980</v>
      </c>
      <c r="T4924" s="43">
        <f>表格1[[#This Row],[Unit Price]]/表格1[[#This Row],[SRP]]</f>
        <v>0.73364485981308414</v>
      </c>
      <c r="U4924" s="86" t="str">
        <f>_xlfn.XLOOKUP(表格1[[#This Row],[Model]],表格3[Model-Input-Ref2],表格3[TOSHIBA/HIGHEST])</f>
        <v>Toshiba SRP</v>
      </c>
      <c r="W4924" s="86" t="str">
        <f>_xlfn.CONCAT(表格1[[#This Row],[欄4]],表格1[[#This Row],[inv no]])</f>
        <v>821050</v>
      </c>
    </row>
    <row r="4925" spans="1:23" hidden="1">
      <c r="A4925" s="81">
        <v>4923</v>
      </c>
      <c r="B4925" s="86" t="s">
        <v>1477</v>
      </c>
      <c r="C4925" s="86" t="s">
        <v>2252</v>
      </c>
      <c r="D4925" s="89" t="str">
        <f ca="1">OFFSET(Roster!$A$3,MATCH(表格1[[#This Row],[Location]]&amp;" "&amp;表格1[[#This Row],[Shop]]&amp;"*",Roster!$A$4:$A$72,0),DAY(表格1[[#This Row],[date]]),1,1)</f>
        <v>Raymond</v>
      </c>
      <c r="E4925" s="86">
        <f>MONTH(表格1[[#This Row],[date]])</f>
        <v>3</v>
      </c>
      <c r="F4925" s="90">
        <v>46110</v>
      </c>
      <c r="G4925" s="86" t="str">
        <f>VLOOKUP("*"&amp;表格1[[#This Row],[Input]]&amp;"*",'Ref-List'!$B:$D,2,)</f>
        <v>ET-TD7080(PN)</v>
      </c>
      <c r="H4925" s="86" t="str">
        <f>_xlfn.XLOOKUP(表格1[[#This Row],[Model]],表格3[Model-Input-Ref2],表格3[Product Line])</f>
        <v>多士焗爐8L</v>
      </c>
      <c r="I4925" s="86" t="str">
        <f>_xlfn.XLOOKUP(表格1[[#This Row],[Model]],表格3[Model-Input-Ref2],表格3[大小電])</f>
        <v>細電</v>
      </c>
      <c r="J4925" s="86" t="str">
        <f>_xlfn.XLOOKUP(表格1[[#This Row],[Model]],表格3[Model-Input-Ref2],表格3[Code])</f>
        <v>SDA</v>
      </c>
      <c r="K4925" s="89">
        <v>7080</v>
      </c>
      <c r="L4925" s="86">
        <v>1</v>
      </c>
      <c r="M4925" s="87">
        <v>338</v>
      </c>
      <c r="N4925" s="87">
        <f>IFERROR(表格1[[#This Row],[QTY]]*表格1[[#This Row],[Unit Price]],"-")</f>
        <v>338</v>
      </c>
      <c r="O4925" s="86">
        <v>2903540</v>
      </c>
      <c r="R4925" s="86" t="str">
        <f>_xlfn.CONCAT(表格1[[#This Row],[Model]]," ",表格1[[#This Row],[inv no]])</f>
        <v>ET-TD7080(PN) 2903540</v>
      </c>
      <c r="S4925" s="86">
        <f>_xlfn.XLOOKUP(表格1[[#This Row],[Model]],表格3[Model-Input-Ref2],表格3[SRP PRICE])</f>
        <v>498</v>
      </c>
      <c r="T4925" s="43">
        <f>表格1[[#This Row],[Unit Price]]/表格1[[#This Row],[SRP]]</f>
        <v>0.67871485943775101</v>
      </c>
      <c r="U4925" s="86" t="str">
        <f>_xlfn.XLOOKUP(表格1[[#This Row],[Model]],表格3[Model-Input-Ref2],表格3[TOSHIBA/HIGHEST])</f>
        <v>Toshiba SRP</v>
      </c>
      <c r="W4925" s="86" t="str">
        <f>_xlfn.CONCAT(表格1[[#This Row],[欄4]],表格1[[#This Row],[inv no]])</f>
        <v>2903540</v>
      </c>
    </row>
    <row r="4926" spans="1:23" hidden="1">
      <c r="A4926" s="81">
        <v>4924</v>
      </c>
      <c r="B4926" s="86" t="s">
        <v>1477</v>
      </c>
      <c r="C4926" s="86" t="s">
        <v>2252</v>
      </c>
      <c r="D4926" s="89" t="str">
        <f ca="1">OFFSET(Roster!$A$3,MATCH(表格1[[#This Row],[Location]]&amp;" "&amp;表格1[[#This Row],[Shop]]&amp;"*",Roster!$A$4:$A$72,0),DAY(表格1[[#This Row],[date]]),1,1)</f>
        <v>Raymond</v>
      </c>
      <c r="E4926" s="86">
        <f>MONTH(表格1[[#This Row],[date]])</f>
        <v>3</v>
      </c>
      <c r="F4926" s="90">
        <v>46110</v>
      </c>
      <c r="G4926" s="86" t="str">
        <f>VLOOKUP("*"&amp;表格1[[#This Row],[Input]]&amp;"*",'Ref-List'!$B:$D,2,)</f>
        <v>RC-18NMFIH(WT)</v>
      </c>
      <c r="H4926" s="86" t="str">
        <f>_xlfn.XLOOKUP(表格1[[#This Row],[Model]],表格3[Model-Input-Ref2],表格3[Product Line])</f>
        <v>4毫米厚釜電飯煲1.8L</v>
      </c>
      <c r="I4926" s="86" t="str">
        <f>_xlfn.XLOOKUP(表格1[[#This Row],[Model]],表格3[Model-Input-Ref2],表格3[大小電])</f>
        <v>細電</v>
      </c>
      <c r="J4926" s="86" t="str">
        <f>_xlfn.XLOOKUP(表格1[[#This Row],[Model]],表格3[Model-Input-Ref2],表格3[Code])</f>
        <v>SDA</v>
      </c>
      <c r="K4926" s="89" t="s">
        <v>1267</v>
      </c>
      <c r="L4926" s="86">
        <v>1</v>
      </c>
      <c r="M4926" s="87">
        <v>799</v>
      </c>
      <c r="N4926" s="87">
        <f>IFERROR(表格1[[#This Row],[QTY]]*表格1[[#This Row],[Unit Price]],"-")</f>
        <v>799</v>
      </c>
      <c r="O4926" s="86">
        <v>2903521</v>
      </c>
      <c r="R4926" s="86" t="str">
        <f>_xlfn.CONCAT(表格1[[#This Row],[Model]]," ",表格1[[#This Row],[inv no]])</f>
        <v>RC-18NMFIH(WT) 2903521</v>
      </c>
      <c r="S4926" s="86">
        <f>_xlfn.XLOOKUP(表格1[[#This Row],[Model]],表格3[Model-Input-Ref2],表格3[SRP PRICE])</f>
        <v>998</v>
      </c>
      <c r="T4926" s="43">
        <f>表格1[[#This Row],[Unit Price]]/表格1[[#This Row],[SRP]]</f>
        <v>0.80060120240480959</v>
      </c>
      <c r="U4926" s="86" t="str">
        <f>_xlfn.XLOOKUP(表格1[[#This Row],[Model]],表格3[Model-Input-Ref2],表格3[TOSHIBA/HIGHEST])</f>
        <v>Toshiba SRP</v>
      </c>
      <c r="W4926" s="86" t="str">
        <f>_xlfn.CONCAT(表格1[[#This Row],[欄4]],表格1[[#This Row],[inv no]])</f>
        <v>2903521</v>
      </c>
    </row>
    <row r="4927" spans="1:23" hidden="1">
      <c r="A4927" s="81">
        <v>4925</v>
      </c>
      <c r="B4927" s="86" t="s">
        <v>1477</v>
      </c>
      <c r="C4927" s="86" t="s">
        <v>2252</v>
      </c>
      <c r="D4927" s="89" t="str">
        <f ca="1">OFFSET(Roster!$A$3,MATCH(表格1[[#This Row],[Location]]&amp;" "&amp;表格1[[#This Row],[Shop]]&amp;"*",Roster!$A$4:$A$72,0),DAY(表格1[[#This Row],[date]]),1,1)</f>
        <v>Raymond</v>
      </c>
      <c r="E4927" s="86">
        <f>MONTH(表格1[[#This Row],[date]])</f>
        <v>3</v>
      </c>
      <c r="F4927" s="90">
        <v>46111</v>
      </c>
      <c r="G4927" s="86" t="str">
        <f>VLOOKUP("*"&amp;表格1[[#This Row],[Input]]&amp;"*",'Ref-List'!$B:$D,2,)</f>
        <v>KT-17SHNH</v>
      </c>
      <c r="H4927" s="86" t="str">
        <f>_xlfn.XLOOKUP(表格1[[#This Row],[Model]],表格3[Model-Input-Ref2],表格3[Product Line])</f>
        <v>1.7L無線雙層電熱水壺</v>
      </c>
      <c r="I4927" s="86" t="str">
        <f>_xlfn.XLOOKUP(表格1[[#This Row],[Model]],表格3[Model-Input-Ref2],表格3[大小電])</f>
        <v>細電</v>
      </c>
      <c r="J4927" s="86" t="str">
        <f>_xlfn.XLOOKUP(表格1[[#This Row],[Model]],表格3[Model-Input-Ref2],表格3[Code])</f>
        <v>SDA</v>
      </c>
      <c r="K4927" s="89" t="s">
        <v>1283</v>
      </c>
      <c r="L4927" s="86">
        <v>1</v>
      </c>
      <c r="M4927" s="87">
        <v>228</v>
      </c>
      <c r="N4927" s="87">
        <f>IFERROR(表格1[[#This Row],[QTY]]*表格1[[#This Row],[Unit Price]],"-")</f>
        <v>228</v>
      </c>
      <c r="O4927" s="86">
        <v>1625273</v>
      </c>
      <c r="R4927" s="86" t="str">
        <f>_xlfn.CONCAT(表格1[[#This Row],[Model]]," ",表格1[[#This Row],[inv no]])</f>
        <v>KT-17SHNH 1625273</v>
      </c>
      <c r="S4927" s="86">
        <f>_xlfn.XLOOKUP(表格1[[#This Row],[Model]],表格3[Model-Input-Ref2],表格3[SRP PRICE])</f>
        <v>299</v>
      </c>
      <c r="T4927" s="43">
        <f>表格1[[#This Row],[Unit Price]]/表格1[[#This Row],[SRP]]</f>
        <v>0.76254180602006694</v>
      </c>
      <c r="U4927" s="86" t="str">
        <f>_xlfn.XLOOKUP(表格1[[#This Row],[Model]],表格3[Model-Input-Ref2],表格3[TOSHIBA/HIGHEST])</f>
        <v>Shops Highest Price</v>
      </c>
      <c r="W4927" s="86" t="str">
        <f>_xlfn.CONCAT(表格1[[#This Row],[欄4]],表格1[[#This Row],[inv no]])</f>
        <v>1625273</v>
      </c>
    </row>
    <row r="4928" spans="1:23" hidden="1">
      <c r="A4928" s="81">
        <v>4926</v>
      </c>
      <c r="B4928" s="86" t="s">
        <v>1477</v>
      </c>
      <c r="C4928" s="86" t="s">
        <v>2252</v>
      </c>
      <c r="D4928" s="89" t="str">
        <f ca="1">OFFSET(Roster!$A$3,MATCH(表格1[[#This Row],[Location]]&amp;" "&amp;表格1[[#This Row],[Shop]]&amp;"*",Roster!$A$4:$A$72,0),DAY(表格1[[#This Row],[date]]),1,1)</f>
        <v>Raymond</v>
      </c>
      <c r="E4928" s="86">
        <f>MONTH(表格1[[#This Row],[date]])</f>
        <v>3</v>
      </c>
      <c r="F4928" s="90">
        <v>46111</v>
      </c>
      <c r="G4928" s="86" t="str">
        <f>VLOOKUP("*"&amp;表格1[[#This Row],[Input]]&amp;"*",'Ref-List'!$B:$D,2,)</f>
        <v>TP-50DRUHK(W)</v>
      </c>
      <c r="H4928" s="86" t="str">
        <f>_xlfn.XLOOKUP(表格1[[#This Row],[Model]],表格3[Model-Input-Ref2],表格3[Product Line])</f>
        <v>電熱水瓶 (5公升)</v>
      </c>
      <c r="I4928" s="86" t="str">
        <f>_xlfn.XLOOKUP(表格1[[#This Row],[Model]],表格3[Model-Input-Ref2],表格3[大小電])</f>
        <v>細電</v>
      </c>
      <c r="J4928" s="86" t="str">
        <f>_xlfn.XLOOKUP(表格1[[#This Row],[Model]],表格3[Model-Input-Ref2],表格3[Code])</f>
        <v>SDA</v>
      </c>
      <c r="K4928" s="89" t="s">
        <v>1277</v>
      </c>
      <c r="L4928" s="86">
        <v>1</v>
      </c>
      <c r="M4928" s="87">
        <v>628</v>
      </c>
      <c r="N4928" s="87">
        <f>IFERROR(表格1[[#This Row],[QTY]]*表格1[[#This Row],[Unit Price]],"-")</f>
        <v>628</v>
      </c>
      <c r="O4928" s="168">
        <v>1625249</v>
      </c>
      <c r="R4928" s="86" t="str">
        <f>_xlfn.CONCAT(表格1[[#This Row],[Model]]," ",表格1[[#This Row],[inv no]])</f>
        <v>TP-50DRUHK(W) 1625249</v>
      </c>
      <c r="S4928" s="86">
        <f>_xlfn.XLOOKUP(表格1[[#This Row],[Model]],表格3[Model-Input-Ref2],表格3[SRP PRICE])</f>
        <v>718</v>
      </c>
      <c r="T4928" s="43">
        <f>表格1[[#This Row],[Unit Price]]/表格1[[#This Row],[SRP]]</f>
        <v>0.87465181058495822</v>
      </c>
      <c r="U4928" s="86" t="str">
        <f>_xlfn.XLOOKUP(表格1[[#This Row],[Model]],表格3[Model-Input-Ref2],表格3[TOSHIBA/HIGHEST])</f>
        <v>Toshiba SRP</v>
      </c>
      <c r="W4928" s="86" t="str">
        <f>_xlfn.CONCAT(表格1[[#This Row],[欄4]],表格1[[#This Row],[inv no]])</f>
        <v>1625249</v>
      </c>
    </row>
    <row r="4929" spans="1:23" hidden="1">
      <c r="A4929" s="81">
        <v>4927</v>
      </c>
      <c r="B4929" s="86" t="s">
        <v>1477</v>
      </c>
      <c r="C4929" s="86" t="s">
        <v>2252</v>
      </c>
      <c r="D4929" s="89" t="str">
        <f ca="1">OFFSET(Roster!$A$3,MATCH(表格1[[#This Row],[Location]]&amp;" "&amp;表格1[[#This Row],[Shop]]&amp;"*",Roster!$A$4:$A$72,0),DAY(表格1[[#This Row],[date]]),1,1)</f>
        <v>Raymond</v>
      </c>
      <c r="E4929" s="86">
        <f>MONTH(表格1[[#This Row],[date]])</f>
        <v>3</v>
      </c>
      <c r="F4929" s="90">
        <v>46111</v>
      </c>
      <c r="G4929" s="86" t="str">
        <f>VLOOKUP("*"&amp;表格1[[#This Row],[Input]]&amp;"*",'Ref-List'!$B:$D,2,)</f>
        <v>TWD-T22BU95UWH(WK)-B</v>
      </c>
      <c r="H4929" s="86" t="str">
        <f>_xlfn.XLOOKUP(表格1[[#This Row],[Model]],表格3[Model-Input-Ref2],表格3[Product Line])</f>
        <v>470MM超薄身前置式變頻洗衣乾衣機 (洗8.5公斤/乾6公斤, 可飛頂)</v>
      </c>
      <c r="I4929" s="86" t="str">
        <f>_xlfn.XLOOKUP(表格1[[#This Row],[Model]],表格3[Model-Input-Ref2],表格3[大小電])</f>
        <v>大電</v>
      </c>
      <c r="J4929" s="86" t="str">
        <f>_xlfn.XLOOKUP(表格1[[#This Row],[Model]],表格3[Model-Input-Ref2],表格3[Code])</f>
        <v>LAD</v>
      </c>
      <c r="K4929" s="89" t="s">
        <v>1421</v>
      </c>
      <c r="L4929" s="86">
        <v>1</v>
      </c>
      <c r="M4929" s="87">
        <v>4980</v>
      </c>
      <c r="N4929" s="87">
        <f>IFERROR(表格1[[#This Row],[QTY]]*表格1[[#This Row],[Unit Price]],"-")</f>
        <v>4980</v>
      </c>
      <c r="O4929" s="168">
        <v>2903533</v>
      </c>
      <c r="R4929" s="86" t="str">
        <f>_xlfn.CONCAT(表格1[[#This Row],[Model]]," ",表格1[[#This Row],[inv no]])</f>
        <v>TWD-T22BU95UWH(WK)-B 2903533</v>
      </c>
      <c r="S4929" s="86">
        <f>_xlfn.XLOOKUP(表格1[[#This Row],[Model]],表格3[Model-Input-Ref2],表格3[SRP PRICE])</f>
        <v>7480</v>
      </c>
      <c r="T4929" s="43">
        <f>表格1[[#This Row],[Unit Price]]/表格1[[#This Row],[SRP]]</f>
        <v>0.66577540106951871</v>
      </c>
      <c r="U4929" s="86" t="str">
        <f>_xlfn.XLOOKUP(表格1[[#This Row],[Model]],表格3[Model-Input-Ref2],表格3[TOSHIBA/HIGHEST])</f>
        <v>Toshiba SRP</v>
      </c>
      <c r="W4929" s="86" t="str">
        <f>_xlfn.CONCAT(表格1[[#This Row],[欄4]],表格1[[#This Row],[inv no]])</f>
        <v>2903533</v>
      </c>
    </row>
    <row r="4930" spans="1:23" hidden="1">
      <c r="A4930" s="81">
        <v>4928</v>
      </c>
      <c r="B4930" s="86" t="s">
        <v>1477</v>
      </c>
      <c r="C4930" s="86" t="s">
        <v>2252</v>
      </c>
      <c r="D4930" s="89" t="str">
        <f ca="1">OFFSET(Roster!$A$3,MATCH(表格1[[#This Row],[Location]]&amp;" "&amp;表格1[[#This Row],[Shop]]&amp;"*",Roster!$A$4:$A$72,0),DAY(表格1[[#This Row],[date]]),1,1)</f>
        <v>Raymond</v>
      </c>
      <c r="E4930" s="86">
        <f>MONTH(表格1[[#This Row],[date]])</f>
        <v>3</v>
      </c>
      <c r="F4930" s="90">
        <v>46111</v>
      </c>
      <c r="G4930" s="86" t="str">
        <f>VLOOKUP("*"&amp;表格1[[#This Row],[Input]]&amp;"*",'Ref-List'!$B:$D,2,)</f>
        <v>RC-10IRPH</v>
      </c>
      <c r="H4930" s="86" t="str">
        <f>_xlfn.XLOOKUP(表格1[[#This Row],[Model]],表格3[Model-Input-Ref2],表格3[Product Line])</f>
        <v>低醣磁應電飯煲1L</v>
      </c>
      <c r="I4930" s="86" t="str">
        <f>_xlfn.XLOOKUP(表格1[[#This Row],[Model]],表格3[Model-Input-Ref2],表格3[大小電])</f>
        <v>細電</v>
      </c>
      <c r="J4930" s="86" t="str">
        <f>_xlfn.XLOOKUP(表格1[[#This Row],[Model]],表格3[Model-Input-Ref2],表格3[Code])</f>
        <v>SDA</v>
      </c>
      <c r="K4930" s="89" t="s">
        <v>1297</v>
      </c>
      <c r="L4930" s="86">
        <v>1</v>
      </c>
      <c r="M4930" s="87">
        <v>798</v>
      </c>
      <c r="N4930" s="87">
        <f>IFERROR(表格1[[#This Row],[QTY]]*表格1[[#This Row],[Unit Price]],"-")</f>
        <v>798</v>
      </c>
      <c r="O4930" s="86">
        <v>2903604</v>
      </c>
      <c r="R4930" s="86" t="str">
        <f>_xlfn.CONCAT(表格1[[#This Row],[Model]]," ",表格1[[#This Row],[inv no]])</f>
        <v>RC-10IRPH 2903604</v>
      </c>
      <c r="S4930" s="86">
        <f>_xlfn.XLOOKUP(表格1[[#This Row],[Model]],表格3[Model-Input-Ref2],表格3[SRP PRICE])</f>
        <v>1388</v>
      </c>
      <c r="T4930" s="43">
        <f>表格1[[#This Row],[Unit Price]]/表格1[[#This Row],[SRP]]</f>
        <v>0.5749279538904899</v>
      </c>
      <c r="U4930" s="86" t="str">
        <f>_xlfn.XLOOKUP(表格1[[#This Row],[Model]],表格3[Model-Input-Ref2],表格3[TOSHIBA/HIGHEST])</f>
        <v>Toshiba SRP</v>
      </c>
      <c r="W4930" s="86" t="str">
        <f>_xlfn.CONCAT(表格1[[#This Row],[欄4]],表格1[[#This Row],[inv no]])</f>
        <v>2903604</v>
      </c>
    </row>
    <row r="4931" spans="1:23" hidden="1">
      <c r="A4931" s="81">
        <v>4929</v>
      </c>
      <c r="B4931" s="86" t="s">
        <v>1477</v>
      </c>
      <c r="C4931" s="86" t="s">
        <v>2252</v>
      </c>
      <c r="D4931" s="89" t="str">
        <f ca="1">OFFSET(Roster!$A$3,MATCH(表格1[[#This Row],[Location]]&amp;" "&amp;表格1[[#This Row],[Shop]]&amp;"*",Roster!$A$4:$A$72,0),DAY(表格1[[#This Row],[date]]),1,1)</f>
        <v>Raymond</v>
      </c>
      <c r="E4931" s="86">
        <f>MONTH(表格1[[#This Row],[date]])</f>
        <v>3</v>
      </c>
      <c r="F4931" s="90">
        <v>46111</v>
      </c>
      <c r="G4931" s="86" t="str">
        <f>VLOOKUP("*"&amp;表格1[[#This Row],[Input]]&amp;"*",'Ref-List'!$B:$D,2,)</f>
        <v>RC-DR10T(W)</v>
      </c>
      <c r="H4931" s="86" t="str">
        <f>_xlfn.XLOOKUP(表格1[[#This Row],[Model]],表格3[Model-Input-Ref2],表格3[Product Line])</f>
        <v>IH磁應電飯煲</v>
      </c>
      <c r="I4931" s="86" t="str">
        <f>_xlfn.XLOOKUP(表格1[[#This Row],[Model]],表格3[Model-Input-Ref2],表格3[大小電])</f>
        <v>細電</v>
      </c>
      <c r="J4931" s="86" t="str">
        <f>_xlfn.XLOOKUP(表格1[[#This Row],[Model]],表格3[Model-Input-Ref2],表格3[Code])</f>
        <v>SDA</v>
      </c>
      <c r="K4931" s="89" t="s">
        <v>1294</v>
      </c>
      <c r="L4931" s="86">
        <v>1</v>
      </c>
      <c r="M4931" s="87">
        <v>2380</v>
      </c>
      <c r="N4931" s="87">
        <f>IFERROR(表格1[[#This Row],[QTY]]*表格1[[#This Row],[Unit Price]],"-")</f>
        <v>2380</v>
      </c>
      <c r="O4931" s="86">
        <v>2903591</v>
      </c>
      <c r="R4931" s="86" t="str">
        <f>_xlfn.CONCAT(表格1[[#This Row],[Model]]," ",表格1[[#This Row],[inv no]])</f>
        <v>RC-DR10T(W) 2903591</v>
      </c>
      <c r="S4931" s="86">
        <f>_xlfn.XLOOKUP(表格1[[#This Row],[Model]],表格3[Model-Input-Ref2],表格3[SRP PRICE])</f>
        <v>3188</v>
      </c>
      <c r="T4931" s="43">
        <f>表格1[[#This Row],[Unit Price]]/表格1[[#This Row],[SRP]]</f>
        <v>0.74654956085319946</v>
      </c>
      <c r="U4931" s="86" t="str">
        <f>_xlfn.XLOOKUP(表格1[[#This Row],[Model]],表格3[Model-Input-Ref2],表格3[TOSHIBA/HIGHEST])</f>
        <v>Toshiba SRP</v>
      </c>
      <c r="W4931" s="86" t="str">
        <f>_xlfn.CONCAT(表格1[[#This Row],[欄4]],表格1[[#This Row],[inv no]])</f>
        <v>2903591</v>
      </c>
    </row>
    <row r="4932" spans="1:23" hidden="1">
      <c r="A4932" s="81">
        <v>4930</v>
      </c>
      <c r="B4932" s="86" t="s">
        <v>1477</v>
      </c>
      <c r="C4932" s="86" t="s">
        <v>2252</v>
      </c>
      <c r="D4932" s="89" t="str">
        <f ca="1">OFFSET(Roster!$A$3,MATCH(表格1[[#This Row],[Location]]&amp;" "&amp;表格1[[#This Row],[Shop]]&amp;"*",Roster!$A$4:$A$72,0),DAY(表格1[[#This Row],[date]]),1,1)</f>
        <v>Raymond</v>
      </c>
      <c r="E4932" s="86">
        <f>MONTH(表格1[[#This Row],[date]])</f>
        <v>3</v>
      </c>
      <c r="F4932" s="90">
        <v>46111</v>
      </c>
      <c r="G4932" s="86" t="str">
        <f>VLOOKUP("*"&amp;表格1[[#This Row],[Input]]&amp;"*",'Ref-List'!$B:$D,2,)</f>
        <v>RC-DR18T(W)</v>
      </c>
      <c r="H4932" s="86" t="str">
        <f>_xlfn.XLOOKUP(表格1[[#This Row],[Model]],表格3[Model-Input-Ref2],表格3[Product Line])</f>
        <v>IH磁應電飯煲
鑽石銅鍋</v>
      </c>
      <c r="I4932" s="86" t="str">
        <f>_xlfn.XLOOKUP(表格1[[#This Row],[Model]],表格3[Model-Input-Ref2],表格3[大小電])</f>
        <v>細電</v>
      </c>
      <c r="J4932" s="86" t="str">
        <f>_xlfn.XLOOKUP(表格1[[#This Row],[Model]],表格3[Model-Input-Ref2],表格3[Code])</f>
        <v>SDA</v>
      </c>
      <c r="K4932" s="89" t="s">
        <v>1378</v>
      </c>
      <c r="L4932" s="86">
        <v>1</v>
      </c>
      <c r="M4932" s="87">
        <v>2800</v>
      </c>
      <c r="N4932" s="87">
        <f>IFERROR(表格1[[#This Row],[QTY]]*表格1[[#This Row],[Unit Price]],"-")</f>
        <v>2800</v>
      </c>
      <c r="O4932" s="86">
        <v>821071</v>
      </c>
      <c r="R4932" s="86" t="str">
        <f>_xlfn.CONCAT(表格1[[#This Row],[Model]]," ",表格1[[#This Row],[inv no]])</f>
        <v>RC-DR18T(W) 821071</v>
      </c>
      <c r="S4932" s="86">
        <f>_xlfn.XLOOKUP(表格1[[#This Row],[Model]],表格3[Model-Input-Ref2],表格3[SRP PRICE])</f>
        <v>3588</v>
      </c>
      <c r="T4932" s="43">
        <f>表格1[[#This Row],[Unit Price]]/表格1[[#This Row],[SRP]]</f>
        <v>0.78037904124860646</v>
      </c>
      <c r="U4932" s="86" t="str">
        <f>_xlfn.XLOOKUP(表格1[[#This Row],[Model]],表格3[Model-Input-Ref2],表格3[TOSHIBA/HIGHEST])</f>
        <v>Toshiba SRP</v>
      </c>
      <c r="W4932" s="86" t="str">
        <f>_xlfn.CONCAT(表格1[[#This Row],[欄4]],表格1[[#This Row],[inv no]])</f>
        <v>821071</v>
      </c>
    </row>
    <row r="4933" spans="1:23" hidden="1">
      <c r="A4933" s="81">
        <v>4931</v>
      </c>
      <c r="B4933" s="86" t="s">
        <v>1477</v>
      </c>
      <c r="C4933" s="86" t="s">
        <v>2252</v>
      </c>
      <c r="D4933" s="89" t="str">
        <f ca="1">OFFSET(Roster!$A$3,MATCH(表格1[[#This Row],[Location]]&amp;" "&amp;表格1[[#This Row],[Shop]]&amp;"*",Roster!$A$4:$A$72,0),DAY(表格1[[#This Row],[date]]),1,1)</f>
        <v>Raymond</v>
      </c>
      <c r="E4933" s="86">
        <f>MONTH(表格1[[#This Row],[date]])</f>
        <v>3</v>
      </c>
      <c r="F4933" s="90">
        <v>46111</v>
      </c>
      <c r="G4933" s="86" t="str">
        <f>VLOOKUP("*"&amp;表格1[[#This Row],[Input]]&amp;"*",'Ref-List'!$B:$D,2,)</f>
        <v>IC-S19RH</v>
      </c>
      <c r="H4933" s="86" t="str">
        <f>_xlfn.XLOOKUP(表格1[[#This Row],[Model]],表格3[Model-Input-Ref2],表格3[Product Line])</f>
        <v>輕便式電磁爐7個功能</v>
      </c>
      <c r="I4933" s="86" t="str">
        <f>_xlfn.XLOOKUP(表格1[[#This Row],[Model]],表格3[Model-Input-Ref2],表格3[大小電])</f>
        <v>細電</v>
      </c>
      <c r="J4933" s="86" t="str">
        <f>_xlfn.XLOOKUP(表格1[[#This Row],[Model]],表格3[Model-Input-Ref2],表格3[Code])</f>
        <v>SDA</v>
      </c>
      <c r="K4933" s="89" t="s">
        <v>1289</v>
      </c>
      <c r="L4933" s="86">
        <v>1</v>
      </c>
      <c r="M4933" s="87">
        <v>542</v>
      </c>
      <c r="N4933" s="87">
        <f>IFERROR(表格1[[#This Row],[QTY]]*表格1[[#This Row],[Unit Price]],"-")</f>
        <v>542</v>
      </c>
      <c r="O4933" s="86">
        <v>2903605</v>
      </c>
      <c r="R4933" s="86" t="str">
        <f>_xlfn.CONCAT(表格1[[#This Row],[Model]]," ",表格1[[#This Row],[inv no]])</f>
        <v>IC-S19RH 2903605</v>
      </c>
      <c r="S4933" s="86">
        <f>_xlfn.XLOOKUP(表格1[[#This Row],[Model]],表格3[Model-Input-Ref2],表格3[SRP PRICE])</f>
        <v>638</v>
      </c>
      <c r="T4933" s="43">
        <f>表格1[[#This Row],[Unit Price]]/表格1[[#This Row],[SRP]]</f>
        <v>0.84952978056426331</v>
      </c>
      <c r="U4933" s="86" t="str">
        <f>_xlfn.XLOOKUP(表格1[[#This Row],[Model]],表格3[Model-Input-Ref2],表格3[TOSHIBA/HIGHEST])</f>
        <v>Toshiba SRP</v>
      </c>
      <c r="W4933" s="86" t="str">
        <f>_xlfn.CONCAT(表格1[[#This Row],[欄4]],表格1[[#This Row],[inv no]])</f>
        <v>2903605</v>
      </c>
    </row>
    <row r="4934" spans="1:23" hidden="1">
      <c r="A4934" s="81">
        <v>4932</v>
      </c>
      <c r="B4934" s="86" t="s">
        <v>1477</v>
      </c>
      <c r="C4934" s="86" t="s">
        <v>2252</v>
      </c>
      <c r="D4934" s="89" t="str">
        <f ca="1">OFFSET(Roster!$A$3,MATCH(表格1[[#This Row],[Location]]&amp;" "&amp;表格1[[#This Row],[Shop]]&amp;"*",Roster!$A$4:$A$72,0),DAY(表格1[[#This Row],[date]]),1,1)</f>
        <v>Raymond</v>
      </c>
      <c r="E4934" s="86">
        <f>MONTH(表格1[[#This Row],[date]])</f>
        <v>3</v>
      </c>
      <c r="F4934" s="90">
        <v>46111</v>
      </c>
      <c r="G4934" s="86" t="str">
        <f>VLOOKUP("*"&amp;表格1[[#This Row],[Input]]&amp;"*",'Ref-List'!$B:$D,2,)</f>
        <v>GR-RM598WE-PGA(B3)</v>
      </c>
      <c r="H4934" s="86" t="str">
        <f>_xlfn.XLOOKUP(表格1[[#This Row],[Model]],表格3[Model-Input-Ref2],表格3[Product Line])</f>
        <v>變頻六門雪櫃(451L)</v>
      </c>
      <c r="I4934" s="86" t="str">
        <f>_xlfn.XLOOKUP(表格1[[#This Row],[Model]],表格3[Model-Input-Ref2],表格3[大小電])</f>
        <v>大電</v>
      </c>
      <c r="J4934" s="86" t="str">
        <f>_xlfn.XLOOKUP(表格1[[#This Row],[Model]],表格3[Model-Input-Ref2],表格3[Code])</f>
        <v>REF</v>
      </c>
      <c r="K4934" s="89" t="s">
        <v>1491</v>
      </c>
      <c r="L4934" s="86">
        <v>1</v>
      </c>
      <c r="M4934" s="87">
        <v>10990</v>
      </c>
      <c r="N4934" s="87">
        <f>IFERROR(表格1[[#This Row],[QTY]]*表格1[[#This Row],[Unit Price]],"-")</f>
        <v>10990</v>
      </c>
      <c r="O4934" s="86">
        <v>821067</v>
      </c>
      <c r="R4934" s="86" t="str">
        <f>_xlfn.CONCAT(表格1[[#This Row],[Model]]," ",表格1[[#This Row],[inv no]])</f>
        <v>GR-RM598WE-PGA(B3) 821067</v>
      </c>
      <c r="S4934" s="86">
        <f>_xlfn.XLOOKUP(表格1[[#This Row],[Model]],表格3[Model-Input-Ref2],表格3[SRP PRICE])</f>
        <v>14980</v>
      </c>
      <c r="T4934" s="43">
        <f>表格1[[#This Row],[Unit Price]]/表格1[[#This Row],[SRP]]</f>
        <v>0.73364485981308414</v>
      </c>
      <c r="U4934" s="86" t="str">
        <f>_xlfn.XLOOKUP(表格1[[#This Row],[Model]],表格3[Model-Input-Ref2],表格3[TOSHIBA/HIGHEST])</f>
        <v>Toshiba SRP</v>
      </c>
      <c r="W4934" s="86" t="str">
        <f>_xlfn.CONCAT(表格1[[#This Row],[欄4]],表格1[[#This Row],[inv no]])</f>
        <v>821067</v>
      </c>
    </row>
    <row r="4935" spans="1:23" hidden="1">
      <c r="A4935" s="81">
        <v>4933</v>
      </c>
      <c r="B4935" s="86" t="s">
        <v>1477</v>
      </c>
      <c r="C4935" s="86" t="s">
        <v>2252</v>
      </c>
      <c r="D4935" s="89" t="str">
        <f ca="1">OFFSET(Roster!$A$3,MATCH(表格1[[#This Row],[Location]]&amp;" "&amp;表格1[[#This Row],[Shop]]&amp;"*",Roster!$A$4:$A$72,0),DAY(表格1[[#This Row],[date]]),1,1)</f>
        <v>Raymond</v>
      </c>
      <c r="E4935" s="86">
        <f>MONTH(表格1[[#This Row],[date]])</f>
        <v>3</v>
      </c>
      <c r="F4935" s="90">
        <v>46111</v>
      </c>
      <c r="G4935" s="86" t="str">
        <f>VLOOKUP("*"&amp;表格1[[#This Row],[Input]]&amp;"*",'Ref-List'!$B:$D,2,)</f>
        <v>GR-RM598WE-PGA(B3)</v>
      </c>
      <c r="H4935" s="86" t="str">
        <f>_xlfn.XLOOKUP(表格1[[#This Row],[Model]],表格3[Model-Input-Ref2],表格3[Product Line])</f>
        <v>變頻六門雪櫃(451L)</v>
      </c>
      <c r="I4935" s="86" t="str">
        <f>_xlfn.XLOOKUP(表格1[[#This Row],[Model]],表格3[Model-Input-Ref2],表格3[大小電])</f>
        <v>大電</v>
      </c>
      <c r="J4935" s="86" t="str">
        <f>_xlfn.XLOOKUP(表格1[[#This Row],[Model]],表格3[Model-Input-Ref2],表格3[Code])</f>
        <v>REF</v>
      </c>
      <c r="K4935" s="89" t="s">
        <v>1491</v>
      </c>
      <c r="L4935" s="86">
        <v>1</v>
      </c>
      <c r="M4935" s="87">
        <v>10990</v>
      </c>
      <c r="N4935" s="87">
        <f>IFERROR(表格1[[#This Row],[QTY]]*表格1[[#This Row],[Unit Price]],"-")</f>
        <v>10990</v>
      </c>
      <c r="O4935" s="86">
        <v>2707313</v>
      </c>
      <c r="R4935" s="86" t="str">
        <f>_xlfn.CONCAT(表格1[[#This Row],[Model]]," ",表格1[[#This Row],[inv no]])</f>
        <v>GR-RM598WE-PGA(B3) 2707313</v>
      </c>
      <c r="S4935" s="86">
        <f>_xlfn.XLOOKUP(表格1[[#This Row],[Model]],表格3[Model-Input-Ref2],表格3[SRP PRICE])</f>
        <v>14980</v>
      </c>
      <c r="T4935" s="43">
        <f>表格1[[#This Row],[Unit Price]]/表格1[[#This Row],[SRP]]</f>
        <v>0.73364485981308414</v>
      </c>
      <c r="U4935" s="86" t="str">
        <f>_xlfn.XLOOKUP(表格1[[#This Row],[Model]],表格3[Model-Input-Ref2],表格3[TOSHIBA/HIGHEST])</f>
        <v>Toshiba SRP</v>
      </c>
      <c r="W4935" s="86" t="str">
        <f>_xlfn.CONCAT(表格1[[#This Row],[欄4]],表格1[[#This Row],[inv no]])</f>
        <v>2707313</v>
      </c>
    </row>
    <row r="4936" spans="1:23" hidden="1">
      <c r="A4936" s="81">
        <v>4934</v>
      </c>
      <c r="B4936" s="86" t="s">
        <v>1477</v>
      </c>
      <c r="C4936" s="86" t="s">
        <v>2252</v>
      </c>
      <c r="D4936" s="89" t="str">
        <f ca="1">OFFSET(Roster!$A$3,MATCH(表格1[[#This Row],[Location]]&amp;" "&amp;表格1[[#This Row],[Shop]]&amp;"*",Roster!$A$4:$A$72,0),DAY(表格1[[#This Row],[date]]),1,1)</f>
        <v>Raymond</v>
      </c>
      <c r="E4936" s="86">
        <f>MONTH(表格1[[#This Row],[date]])</f>
        <v>3</v>
      </c>
      <c r="F4936" s="90">
        <v>46111</v>
      </c>
      <c r="G4936" s="86" t="str">
        <f>VLOOKUP("*"&amp;表格1[[#This Row],[Input]]&amp;"*",'Ref-List'!$B:$D,2,)</f>
        <v>F-ALB60HK(B)</v>
      </c>
      <c r="H4936" s="86" t="str">
        <f>_xlfn.XLOOKUP(表格1[[#This Row],[Model]],表格3[Model-Input-Ref2],表格3[Product Line])</f>
        <v>12吋座地座檯電風扇</v>
      </c>
      <c r="I4936" s="86" t="str">
        <f>_xlfn.XLOOKUP(表格1[[#This Row],[Model]],表格3[Model-Input-Ref2],表格3[大小電])</f>
        <v>細電</v>
      </c>
      <c r="J4936" s="86" t="str">
        <f>_xlfn.XLOOKUP(表格1[[#This Row],[Model]],表格3[Model-Input-Ref2],表格3[Code])</f>
        <v>SDA</v>
      </c>
      <c r="K4936" s="89" t="s">
        <v>1490</v>
      </c>
      <c r="L4936" s="86">
        <v>1</v>
      </c>
      <c r="M4936" s="87">
        <v>680</v>
      </c>
      <c r="N4936" s="87">
        <f>IFERROR(表格1[[#This Row],[QTY]]*表格1[[#This Row],[Unit Price]],"-")</f>
        <v>680</v>
      </c>
      <c r="O4936" s="86">
        <v>2707286</v>
      </c>
      <c r="R4936" s="86" t="str">
        <f>_xlfn.CONCAT(表格1[[#This Row],[Model]]," ",表格1[[#This Row],[inv no]])</f>
        <v>F-ALB60HK(B) 2707286</v>
      </c>
      <c r="S4936" s="86">
        <f>_xlfn.XLOOKUP(表格1[[#This Row],[Model]],表格3[Model-Input-Ref2],表格3[SRP PRICE])</f>
        <v>839</v>
      </c>
      <c r="T4936" s="43">
        <f>表格1[[#This Row],[Unit Price]]/表格1[[#This Row],[SRP]]</f>
        <v>0.81048867699642435</v>
      </c>
      <c r="U4936" s="86" t="str">
        <f>_xlfn.XLOOKUP(表格1[[#This Row],[Model]],表格3[Model-Input-Ref2],表格3[TOSHIBA/HIGHEST])</f>
        <v>Shops Highest Price</v>
      </c>
      <c r="W4936" s="86" t="str">
        <f>_xlfn.CONCAT(表格1[[#This Row],[欄4]],表格1[[#This Row],[inv no]])</f>
        <v>2707286</v>
      </c>
    </row>
    <row r="4937" spans="1:23" hidden="1">
      <c r="A4937" s="81">
        <v>4935</v>
      </c>
      <c r="B4937" s="86" t="s">
        <v>1477</v>
      </c>
      <c r="C4937" s="86" t="s">
        <v>2252</v>
      </c>
      <c r="D4937" s="89" t="str">
        <f ca="1">OFFSET(Roster!$A$3,MATCH(表格1[[#This Row],[Location]]&amp;" "&amp;表格1[[#This Row],[Shop]]&amp;"*",Roster!$A$4:$A$72,0),DAY(表格1[[#This Row],[date]]),1,1)</f>
        <v>Raymond</v>
      </c>
      <c r="E4937" s="86">
        <f>MONTH(表格1[[#This Row],[date]])</f>
        <v>3</v>
      </c>
      <c r="F4937" s="90">
        <v>46111</v>
      </c>
      <c r="G4937" s="86" t="str">
        <f>VLOOKUP("*"&amp;表格1[[#This Row],[Input]]&amp;"*",'Ref-List'!$B:$D,2,)</f>
        <v>F-ALB60HK(B)</v>
      </c>
      <c r="H4937" s="86" t="str">
        <f>_xlfn.XLOOKUP(表格1[[#This Row],[Model]],表格3[Model-Input-Ref2],表格3[Product Line])</f>
        <v>12吋座地座檯電風扇</v>
      </c>
      <c r="I4937" s="86" t="str">
        <f>_xlfn.XLOOKUP(表格1[[#This Row],[Model]],表格3[Model-Input-Ref2],表格3[大小電])</f>
        <v>細電</v>
      </c>
      <c r="J4937" s="86" t="str">
        <f>_xlfn.XLOOKUP(表格1[[#This Row],[Model]],表格3[Model-Input-Ref2],表格3[Code])</f>
        <v>SDA</v>
      </c>
      <c r="K4937" s="89" t="s">
        <v>1490</v>
      </c>
      <c r="L4937" s="86">
        <v>1</v>
      </c>
      <c r="M4937" s="87">
        <v>680</v>
      </c>
      <c r="N4937" s="87">
        <f>IFERROR(表格1[[#This Row],[QTY]]*表格1[[#This Row],[Unit Price]],"-")</f>
        <v>680</v>
      </c>
      <c r="O4937" s="86">
        <v>2707298</v>
      </c>
      <c r="R4937" s="86" t="str">
        <f>_xlfn.CONCAT(表格1[[#This Row],[Model]]," ",表格1[[#This Row],[inv no]])</f>
        <v>F-ALB60HK(B) 2707298</v>
      </c>
      <c r="S4937" s="86">
        <f>_xlfn.XLOOKUP(表格1[[#This Row],[Model]],表格3[Model-Input-Ref2],表格3[SRP PRICE])</f>
        <v>839</v>
      </c>
      <c r="T4937" s="43">
        <f>表格1[[#This Row],[Unit Price]]/表格1[[#This Row],[SRP]]</f>
        <v>0.81048867699642435</v>
      </c>
      <c r="U4937" s="86" t="str">
        <f>_xlfn.XLOOKUP(表格1[[#This Row],[Model]],表格3[Model-Input-Ref2],表格3[TOSHIBA/HIGHEST])</f>
        <v>Shops Highest Price</v>
      </c>
      <c r="W4937" s="86" t="str">
        <f>_xlfn.CONCAT(表格1[[#This Row],[欄4]],表格1[[#This Row],[inv no]])</f>
        <v>2707298</v>
      </c>
    </row>
    <row r="4938" spans="1:23" hidden="1">
      <c r="A4938" s="81">
        <v>4936</v>
      </c>
      <c r="B4938" s="86" t="s">
        <v>1477</v>
      </c>
      <c r="C4938" s="86" t="s">
        <v>2252</v>
      </c>
      <c r="D4938" s="89" t="str">
        <f ca="1">OFFSET(Roster!$A$3,MATCH(表格1[[#This Row],[Location]]&amp;" "&amp;表格1[[#This Row],[Shop]]&amp;"*",Roster!$A$4:$A$72,0),DAY(表格1[[#This Row],[date]]),1,1)</f>
        <v>Raymond</v>
      </c>
      <c r="E4938" s="86">
        <f>MONTH(表格1[[#This Row],[date]])</f>
        <v>3</v>
      </c>
      <c r="F4938" s="90">
        <v>46111</v>
      </c>
      <c r="G4938" s="86" t="str">
        <f>VLOOKUP("*"&amp;表格1[[#This Row],[Input]]&amp;"*",'Ref-List'!$B:$D,2,)</f>
        <v>GR-RB221WE-PMA(57)</v>
      </c>
      <c r="H4938" s="86" t="str">
        <f>_xlfn.XLOOKUP(表格1[[#This Row],[Model]],表格3[Model-Input-Ref2],表格3[Product Line])</f>
        <v>變頻下置式雙門雪櫃（163L）</v>
      </c>
      <c r="I4938" s="86" t="str">
        <f>_xlfn.XLOOKUP(表格1[[#This Row],[Model]],表格3[Model-Input-Ref2],表格3[大小電])</f>
        <v>大電</v>
      </c>
      <c r="J4938" s="86" t="str">
        <f>_xlfn.XLOOKUP(表格1[[#This Row],[Model]],表格3[Model-Input-Ref2],表格3[Code])</f>
        <v>REF</v>
      </c>
      <c r="K4938" s="89" t="s">
        <v>1386</v>
      </c>
      <c r="L4938" s="86">
        <v>1</v>
      </c>
      <c r="M4938" s="87">
        <v>1880</v>
      </c>
      <c r="N4938" s="87">
        <f>IFERROR(表格1[[#This Row],[QTY]]*表格1[[#This Row],[Unit Price]],"-")</f>
        <v>1880</v>
      </c>
      <c r="O4938" s="168">
        <v>2903619</v>
      </c>
      <c r="R4938" s="86" t="str">
        <f>_xlfn.CONCAT(表格1[[#This Row],[Model]]," ",表格1[[#This Row],[inv no]])</f>
        <v>GR-RB221WE-PMA(57) 2903619</v>
      </c>
      <c r="S4938" s="86">
        <f>_xlfn.XLOOKUP(表格1[[#This Row],[Model]],表格3[Model-Input-Ref2],表格3[SRP PRICE])</f>
        <v>3480</v>
      </c>
      <c r="T4938" s="43">
        <f>表格1[[#This Row],[Unit Price]]/表格1[[#This Row],[SRP]]</f>
        <v>0.54022988505747127</v>
      </c>
      <c r="U4938" s="86" t="str">
        <f>_xlfn.XLOOKUP(表格1[[#This Row],[Model]],表格3[Model-Input-Ref2],表格3[TOSHIBA/HIGHEST])</f>
        <v>Toshiba SRP</v>
      </c>
      <c r="W4938" s="86" t="str">
        <f>_xlfn.CONCAT(表格1[[#This Row],[欄4]],表格1[[#This Row],[inv no]])</f>
        <v>2903619</v>
      </c>
    </row>
    <row r="4939" spans="1:23" hidden="1">
      <c r="A4939" s="81">
        <v>4937</v>
      </c>
      <c r="B4939" s="86" t="s">
        <v>1477</v>
      </c>
      <c r="C4939" s="86" t="s">
        <v>2252</v>
      </c>
      <c r="D4939" s="89" t="str">
        <f ca="1">OFFSET(Roster!$A$3,MATCH(表格1[[#This Row],[Location]]&amp;" "&amp;表格1[[#This Row],[Shop]]&amp;"*",Roster!$A$4:$A$72,0),DAY(表格1[[#This Row],[date]]),1,1)</f>
        <v>Raymond</v>
      </c>
      <c r="E4939" s="86">
        <f>MONTH(表格1[[#This Row],[date]])</f>
        <v>3</v>
      </c>
      <c r="F4939" s="90">
        <v>46111</v>
      </c>
      <c r="G4939" s="86" t="str">
        <f>VLOOKUP("*"&amp;表格1[[#This Row],[Input]]&amp;"*",'Ref-List'!$B:$D,2,)</f>
        <v>RC-DS10K(R)</v>
      </c>
      <c r="H4939" s="86" t="str">
        <f>_xlfn.XLOOKUP(表格1[[#This Row],[Model]],表格3[Model-Input-Ref2],表格3[Product Line])</f>
        <v>IH磁應電飯煲</v>
      </c>
      <c r="I4939" s="86" t="str">
        <f>_xlfn.XLOOKUP(表格1[[#This Row],[Model]],表格3[Model-Input-Ref2],表格3[大小電])</f>
        <v>細電</v>
      </c>
      <c r="J4939" s="86" t="str">
        <f>_xlfn.XLOOKUP(表格1[[#This Row],[Model]],表格3[Model-Input-Ref2],表格3[Code])</f>
        <v>SDA</v>
      </c>
      <c r="K4939" s="89" t="s">
        <v>1424</v>
      </c>
      <c r="L4939" s="86">
        <v>1</v>
      </c>
      <c r="M4939" s="87">
        <v>3150</v>
      </c>
      <c r="N4939" s="87">
        <f>IFERROR(表格1[[#This Row],[QTY]]*表格1[[#This Row],[Unit Price]],"-")</f>
        <v>3150</v>
      </c>
      <c r="O4939" s="86">
        <v>2903628</v>
      </c>
      <c r="R4939" s="86" t="str">
        <f>_xlfn.CONCAT(表格1[[#This Row],[Model]]," ",表格1[[#This Row],[inv no]])</f>
        <v>RC-DS10K(R) 2903628</v>
      </c>
      <c r="S4939" s="86">
        <f>_xlfn.XLOOKUP(表格1[[#This Row],[Model]],表格3[Model-Input-Ref2],表格3[SRP PRICE])</f>
        <v>4588</v>
      </c>
      <c r="T4939" s="43">
        <f>表格1[[#This Row],[Unit Price]]/表格1[[#This Row],[SRP]]</f>
        <v>0.68657367044463824</v>
      </c>
      <c r="U4939" s="86" t="str">
        <f>_xlfn.XLOOKUP(表格1[[#This Row],[Model]],表格3[Model-Input-Ref2],表格3[TOSHIBA/HIGHEST])</f>
        <v>Toshiba SRP</v>
      </c>
      <c r="W4939" s="86" t="str">
        <f>_xlfn.CONCAT(表格1[[#This Row],[欄4]],表格1[[#This Row],[inv no]])</f>
        <v>2903628</v>
      </c>
    </row>
    <row r="4940" spans="1:23" hidden="1">
      <c r="A4940" s="81">
        <v>4938</v>
      </c>
      <c r="B4940" s="86" t="s">
        <v>1477</v>
      </c>
      <c r="C4940" s="86" t="s">
        <v>2252</v>
      </c>
      <c r="D4940" s="89" t="str">
        <f ca="1">OFFSET(Roster!$A$3,MATCH(表格1[[#This Row],[Location]]&amp;" "&amp;表格1[[#This Row],[Shop]]&amp;"*",Roster!$A$4:$A$72,0),DAY(表格1[[#This Row],[date]]),1,1)</f>
        <v>Raymond</v>
      </c>
      <c r="E4940" s="86">
        <f>MONTH(表格1[[#This Row],[date]])</f>
        <v>3</v>
      </c>
      <c r="F4940" s="90">
        <v>46112</v>
      </c>
      <c r="G4940" s="86" t="str">
        <f>VLOOKUP("*"&amp;表格1[[#This Row],[Input]]&amp;"*",'Ref-List'!$B:$D,2,)</f>
        <v>RC-10NMFIH(WT)</v>
      </c>
      <c r="H4940" s="86" t="str">
        <f>_xlfn.XLOOKUP(表格1[[#This Row],[Model]],表格3[Model-Input-Ref2],表格3[Product Line])</f>
        <v>4毫米厚釜電飯煲1L</v>
      </c>
      <c r="I4940" s="86" t="str">
        <f>_xlfn.XLOOKUP(表格1[[#This Row],[Model]],表格3[Model-Input-Ref2],表格3[大小電])</f>
        <v>細電</v>
      </c>
      <c r="J4940" s="86" t="str">
        <f>_xlfn.XLOOKUP(表格1[[#This Row],[Model]],表格3[Model-Input-Ref2],表格3[Code])</f>
        <v>SDA</v>
      </c>
      <c r="K4940" s="89" t="s">
        <v>1244</v>
      </c>
      <c r="L4940" s="86">
        <v>1</v>
      </c>
      <c r="M4940" s="87">
        <v>719</v>
      </c>
      <c r="N4940" s="87">
        <f>IFERROR(表格1[[#This Row],[QTY]]*表格1[[#This Row],[Unit Price]],"-")</f>
        <v>719</v>
      </c>
      <c r="O4940" s="86">
        <v>2903626</v>
      </c>
      <c r="R4940" s="86" t="str">
        <f>_xlfn.CONCAT(表格1[[#This Row],[Model]]," ",表格1[[#This Row],[inv no]])</f>
        <v>RC-10NMFIH(WT) 2903626</v>
      </c>
      <c r="S4940" s="86">
        <f>_xlfn.XLOOKUP(表格1[[#This Row],[Model]],表格3[Model-Input-Ref2],表格3[SRP PRICE])</f>
        <v>898</v>
      </c>
      <c r="T4940" s="43">
        <f>表格1[[#This Row],[Unit Price]]/表格1[[#This Row],[SRP]]</f>
        <v>0.80066815144766146</v>
      </c>
      <c r="U4940" s="86" t="str">
        <f>_xlfn.XLOOKUP(表格1[[#This Row],[Model]],表格3[Model-Input-Ref2],表格3[TOSHIBA/HIGHEST])</f>
        <v>Toshiba SRP</v>
      </c>
      <c r="W4940" s="86" t="str">
        <f>_xlfn.CONCAT(表格1[[#This Row],[欄4]],表格1[[#This Row],[inv no]])</f>
        <v>2903626</v>
      </c>
    </row>
    <row r="4941" spans="1:23" hidden="1">
      <c r="A4941" s="81">
        <v>4939</v>
      </c>
      <c r="B4941" s="86" t="s">
        <v>1477</v>
      </c>
      <c r="C4941" s="86" t="s">
        <v>2252</v>
      </c>
      <c r="D4941" s="89" t="str">
        <f ca="1">OFFSET(Roster!$A$3,MATCH(表格1[[#This Row],[Location]]&amp;" "&amp;表格1[[#This Row],[Shop]]&amp;"*",Roster!$A$4:$A$72,0),DAY(表格1[[#This Row],[date]]),1,1)</f>
        <v>Raymond</v>
      </c>
      <c r="E4941" s="86">
        <f>MONTH(表格1[[#This Row],[date]])</f>
        <v>3</v>
      </c>
      <c r="F4941" s="90">
        <v>46112</v>
      </c>
      <c r="G4941" s="86" t="str">
        <f>VLOOKUP("*"&amp;表格1[[#This Row],[Input]]&amp;"*",'Ref-List'!$B:$D,2,)</f>
        <v>KT-17SHNH</v>
      </c>
      <c r="H4941" s="86" t="str">
        <f>_xlfn.XLOOKUP(表格1[[#This Row],[Model]],表格3[Model-Input-Ref2],表格3[Product Line])</f>
        <v>1.7L無線雙層電熱水壺</v>
      </c>
      <c r="I4941" s="86" t="str">
        <f>_xlfn.XLOOKUP(表格1[[#This Row],[Model]],表格3[Model-Input-Ref2],表格3[大小電])</f>
        <v>細電</v>
      </c>
      <c r="J4941" s="86" t="str">
        <f>_xlfn.XLOOKUP(表格1[[#This Row],[Model]],表格3[Model-Input-Ref2],表格3[Code])</f>
        <v>SDA</v>
      </c>
      <c r="K4941" s="89" t="s">
        <v>1283</v>
      </c>
      <c r="L4941" s="86">
        <v>1</v>
      </c>
      <c r="M4941" s="87">
        <v>228</v>
      </c>
      <c r="N4941" s="87">
        <f>IFERROR(表格1[[#This Row],[QTY]]*表格1[[#This Row],[Unit Price]],"-")</f>
        <v>228</v>
      </c>
      <c r="O4941" s="86">
        <v>2903643</v>
      </c>
      <c r="R4941" s="86" t="str">
        <f>_xlfn.CONCAT(表格1[[#This Row],[Model]]," ",表格1[[#This Row],[inv no]])</f>
        <v>KT-17SHNH 2903643</v>
      </c>
      <c r="S4941" s="86">
        <f>_xlfn.XLOOKUP(表格1[[#This Row],[Model]],表格3[Model-Input-Ref2],表格3[SRP PRICE])</f>
        <v>299</v>
      </c>
      <c r="T4941" s="43">
        <f>表格1[[#This Row],[Unit Price]]/表格1[[#This Row],[SRP]]</f>
        <v>0.76254180602006694</v>
      </c>
      <c r="U4941" s="86" t="str">
        <f>_xlfn.XLOOKUP(表格1[[#This Row],[Model]],表格3[Model-Input-Ref2],表格3[TOSHIBA/HIGHEST])</f>
        <v>Shops Highest Price</v>
      </c>
      <c r="W4941" s="86" t="str">
        <f>_xlfn.CONCAT(表格1[[#This Row],[欄4]],表格1[[#This Row],[inv no]])</f>
        <v>2903643</v>
      </c>
    </row>
    <row r="4942" spans="1:23" hidden="1">
      <c r="A4942" s="81">
        <v>4940</v>
      </c>
      <c r="B4942" s="86" t="s">
        <v>1477</v>
      </c>
      <c r="C4942" s="86" t="s">
        <v>2252</v>
      </c>
      <c r="D4942" s="89" t="str">
        <f ca="1">OFFSET(Roster!$A$3,MATCH(表格1[[#This Row],[Location]]&amp;" "&amp;表格1[[#This Row],[Shop]]&amp;"*",Roster!$A$4:$A$72,0),DAY(表格1[[#This Row],[date]]),1,1)</f>
        <v>Raymond</v>
      </c>
      <c r="E4942" s="86">
        <f>MONTH(表格1[[#This Row],[date]])</f>
        <v>3</v>
      </c>
      <c r="F4942" s="90">
        <v>46112</v>
      </c>
      <c r="G4942" s="86" t="str">
        <f>VLOOKUP("*"&amp;表格1[[#This Row],[Input]]&amp;"*",'Ref-List'!$B:$D,2,)</f>
        <v>MM2-EM20PC(WH)</v>
      </c>
      <c r="H4942" s="86" t="str">
        <f>_xlfn.XLOOKUP(表格1[[#This Row],[Model]],表格3[Model-Input-Ref2],表格3[Product Line])</f>
        <v>輕觸式微波爐 (20公升)</v>
      </c>
      <c r="I4942" s="86" t="str">
        <f>_xlfn.XLOOKUP(表格1[[#This Row],[Model]],表格3[Model-Input-Ref2],表格3[大小電])</f>
        <v>細電</v>
      </c>
      <c r="J4942" s="86" t="str">
        <f>_xlfn.XLOOKUP(表格1[[#This Row],[Model]],表格3[Model-Input-Ref2],表格3[Code])</f>
        <v>MCA</v>
      </c>
      <c r="K4942" s="89" t="s">
        <v>1276</v>
      </c>
      <c r="L4942" s="86">
        <v>1</v>
      </c>
      <c r="M4942" s="87">
        <v>638</v>
      </c>
      <c r="N4942" s="87">
        <f>IFERROR(表格1[[#This Row],[QTY]]*表格1[[#This Row],[Unit Price]],"-")</f>
        <v>638</v>
      </c>
      <c r="O4942" s="86">
        <v>1625255</v>
      </c>
      <c r="R4942" s="86" t="str">
        <f>_xlfn.CONCAT(表格1[[#This Row],[Model]]," ",表格1[[#This Row],[inv no]])</f>
        <v>MM2-EM20PC(WH) 1625255</v>
      </c>
      <c r="S4942" s="86">
        <f>_xlfn.XLOOKUP(表格1[[#This Row],[Model]],表格3[Model-Input-Ref2],表格3[SRP PRICE])</f>
        <v>788</v>
      </c>
      <c r="T4942" s="43">
        <f>表格1[[#This Row],[Unit Price]]/表格1[[#This Row],[SRP]]</f>
        <v>0.80964467005076146</v>
      </c>
      <c r="U4942" s="86" t="str">
        <f>_xlfn.XLOOKUP(表格1[[#This Row],[Model]],表格3[Model-Input-Ref2],表格3[TOSHIBA/HIGHEST])</f>
        <v>Toshiba SRP</v>
      </c>
      <c r="W4942" s="86" t="str">
        <f>_xlfn.CONCAT(表格1[[#This Row],[欄4]],表格1[[#This Row],[inv no]])</f>
        <v>1625255</v>
      </c>
    </row>
    <row r="4943" spans="1:23" hidden="1">
      <c r="A4943" s="81">
        <v>4941</v>
      </c>
      <c r="B4943" s="86" t="s">
        <v>1477</v>
      </c>
      <c r="C4943" s="86" t="s">
        <v>2252</v>
      </c>
      <c r="D4943" s="89" t="str">
        <f ca="1">OFFSET(Roster!$A$3,MATCH(表格1[[#This Row],[Location]]&amp;" "&amp;表格1[[#This Row],[Shop]]&amp;"*",Roster!$A$4:$A$72,0),DAY(表格1[[#This Row],[date]]),1,1)</f>
        <v>Raymond</v>
      </c>
      <c r="E4943" s="86">
        <f>MONTH(表格1[[#This Row],[date]])</f>
        <v>3</v>
      </c>
      <c r="F4943" s="90">
        <v>46112</v>
      </c>
      <c r="G4943" s="86" t="str">
        <f>VLOOKUP("*"&amp;表格1[[#This Row],[Input]]&amp;"*",'Ref-List'!$B:$D,2,)</f>
        <v>MX2-STR25SC(WH)</v>
      </c>
      <c r="H4943" s="86" t="str">
        <f>_xlfn.XLOOKUP(表格1[[#This Row],[Model]],表格3[Model-Input-Ref2],表格3[Product Line])</f>
        <v>4合1氣炸微波蒸焗爐(25公升)</v>
      </c>
      <c r="I4943" s="86" t="str">
        <f>_xlfn.XLOOKUP(表格1[[#This Row],[Model]],表格3[Model-Input-Ref2],表格3[大小電])</f>
        <v>細電</v>
      </c>
      <c r="J4943" s="86" t="str">
        <f>_xlfn.XLOOKUP(表格1[[#This Row],[Model]],表格3[Model-Input-Ref2],表格3[Code])</f>
        <v>MCA</v>
      </c>
      <c r="K4943" s="89" t="s">
        <v>1410</v>
      </c>
      <c r="L4943" s="86">
        <v>1</v>
      </c>
      <c r="M4943" s="87">
        <v>3580</v>
      </c>
      <c r="N4943" s="87">
        <f>IFERROR(表格1[[#This Row],[QTY]]*表格1[[#This Row],[Unit Price]],"-")</f>
        <v>3580</v>
      </c>
      <c r="O4943" s="86">
        <v>2903656</v>
      </c>
      <c r="R4943" s="86" t="str">
        <f>_xlfn.CONCAT(表格1[[#This Row],[Model]]," ",表格1[[#This Row],[inv no]])</f>
        <v>MX2-STR25SC(WH) 2903656</v>
      </c>
      <c r="S4943" s="86">
        <f>_xlfn.XLOOKUP(表格1[[#This Row],[Model]],表格3[Model-Input-Ref2],表格3[SRP PRICE])</f>
        <v>4998</v>
      </c>
      <c r="T4943" s="43">
        <f>表格1[[#This Row],[Unit Price]]/表格1[[#This Row],[SRP]]</f>
        <v>0.71628651460584236</v>
      </c>
      <c r="U4943" s="86" t="str">
        <f>_xlfn.XLOOKUP(表格1[[#This Row],[Model]],表格3[Model-Input-Ref2],表格3[TOSHIBA/HIGHEST])</f>
        <v>Toshiba SRP</v>
      </c>
      <c r="W4943" s="86" t="str">
        <f>_xlfn.CONCAT(表格1[[#This Row],[欄4]],表格1[[#This Row],[inv no]])</f>
        <v>2903656</v>
      </c>
    </row>
    <row r="4944" spans="1:23" hidden="1">
      <c r="A4944" s="81">
        <v>4942</v>
      </c>
      <c r="B4944" s="86" t="s">
        <v>1477</v>
      </c>
      <c r="C4944" s="86" t="s">
        <v>2252</v>
      </c>
      <c r="D4944" s="89" t="str">
        <f ca="1">OFFSET(Roster!$A$3,MATCH(表格1[[#This Row],[Location]]&amp;" "&amp;表格1[[#This Row],[Shop]]&amp;"*",Roster!$A$4:$A$72,0),DAY(表格1[[#This Row],[date]]),1,1)</f>
        <v>Raymond</v>
      </c>
      <c r="E4944" s="86">
        <f>MONTH(表格1[[#This Row],[date]])</f>
        <v>3</v>
      </c>
      <c r="F4944" s="90">
        <v>46112</v>
      </c>
      <c r="G4944" s="86" t="str">
        <f>VLOOKUP("*"&amp;表格1[[#This Row],[Input]]&amp;"*",'Ref-List'!$B:$D,2,)</f>
        <v>GR-H713(WH)</v>
      </c>
      <c r="H4944" s="86" t="str">
        <f>_xlfn.XLOOKUP(表格1[[#This Row],[Model]],表格3[Model-Input-Ref2],表格3[Product Line])</f>
        <v>單門直冷式環保雪櫃44L</v>
      </c>
      <c r="I4944" s="86" t="str">
        <f>_xlfn.XLOOKUP(表格1[[#This Row],[Model]],表格3[Model-Input-Ref2],表格3[大小電])</f>
        <v>大電</v>
      </c>
      <c r="J4944" s="86" t="str">
        <f>_xlfn.XLOOKUP(表格1[[#This Row],[Model]],表格3[Model-Input-Ref2],表格3[Code])</f>
        <v>REF</v>
      </c>
      <c r="K4944" s="89">
        <v>713</v>
      </c>
      <c r="L4944" s="86">
        <v>1</v>
      </c>
      <c r="M4944" s="87">
        <v>1420</v>
      </c>
      <c r="N4944" s="87">
        <f>IFERROR(表格1[[#This Row],[QTY]]*表格1[[#This Row],[Unit Price]],"-")</f>
        <v>1420</v>
      </c>
      <c r="O4944" s="86">
        <v>2707350</v>
      </c>
      <c r="R4944" s="86" t="str">
        <f>_xlfn.CONCAT(表格1[[#This Row],[Model]]," ",表格1[[#This Row],[inv no]])</f>
        <v>GR-H713(WH) 2707350</v>
      </c>
      <c r="S4944" s="86">
        <f>_xlfn.XLOOKUP(表格1[[#This Row],[Model]],表格3[Model-Input-Ref2],表格3[SRP PRICE])</f>
        <v>1780</v>
      </c>
      <c r="T4944" s="43">
        <f>表格1[[#This Row],[Unit Price]]/表格1[[#This Row],[SRP]]</f>
        <v>0.797752808988764</v>
      </c>
      <c r="U4944" s="86" t="str">
        <f>_xlfn.XLOOKUP(表格1[[#This Row],[Model]],表格3[Model-Input-Ref2],表格3[TOSHIBA/HIGHEST])</f>
        <v>Toshiba SRP</v>
      </c>
      <c r="W4944" s="86" t="str">
        <f>_xlfn.CONCAT(表格1[[#This Row],[欄4]],表格1[[#This Row],[inv no]])</f>
        <v>2707350</v>
      </c>
    </row>
    <row r="4945" spans="1:23" hidden="1">
      <c r="A4945" s="81">
        <v>4943</v>
      </c>
      <c r="B4945" s="86" t="s">
        <v>1477</v>
      </c>
      <c r="C4945" s="86" t="s">
        <v>2252</v>
      </c>
      <c r="D4945" s="89" t="str">
        <f ca="1">OFFSET(Roster!$A$3,MATCH(表格1[[#This Row],[Location]]&amp;" "&amp;表格1[[#This Row],[Shop]]&amp;"*",Roster!$A$4:$A$72,0),DAY(表格1[[#This Row],[date]]),1,1)</f>
        <v>Raymond</v>
      </c>
      <c r="E4945" s="86">
        <f>MONTH(表格1[[#This Row],[date]])</f>
        <v>3</v>
      </c>
      <c r="F4945" s="90">
        <v>46112</v>
      </c>
      <c r="G4945" s="86" t="str">
        <f>VLOOKUP("*"&amp;表格1[[#This Row],[Input]]&amp;"*",'Ref-List'!$B:$D,2,)</f>
        <v>GR-H913(MG)</v>
      </c>
      <c r="H4945" s="86" t="str">
        <f>_xlfn.XLOOKUP(表格1[[#This Row],[Model]],表格3[Model-Input-Ref2],表格3[Product Line])</f>
        <v>單門直冷式環保雪櫃81L</v>
      </c>
      <c r="I4945" s="86" t="str">
        <f>_xlfn.XLOOKUP(表格1[[#This Row],[Model]],表格3[Model-Input-Ref2],表格3[大小電])</f>
        <v>大電</v>
      </c>
      <c r="J4945" s="86" t="str">
        <f>_xlfn.XLOOKUP(表格1[[#This Row],[Model]],表格3[Model-Input-Ref2],表格3[Code])</f>
        <v>REF</v>
      </c>
      <c r="K4945" s="89" t="s">
        <v>1776</v>
      </c>
      <c r="L4945" s="86">
        <v>1</v>
      </c>
      <c r="M4945" s="87">
        <v>1480</v>
      </c>
      <c r="N4945" s="87">
        <f>IFERROR(表格1[[#This Row],[QTY]]*表格1[[#This Row],[Unit Price]],"-")</f>
        <v>1480</v>
      </c>
      <c r="O4945" s="86">
        <v>2707331</v>
      </c>
      <c r="R4945" s="86" t="str">
        <f>_xlfn.CONCAT(表格1[[#This Row],[Model]]," ",表格1[[#This Row],[inv no]])</f>
        <v>GR-H913(MG) 2707331</v>
      </c>
      <c r="S4945" s="86">
        <f>_xlfn.XLOOKUP(表格1[[#This Row],[Model]],表格3[Model-Input-Ref2],表格3[SRP PRICE])</f>
        <v>1980</v>
      </c>
      <c r="T4945" s="43">
        <f>表格1[[#This Row],[Unit Price]]/表格1[[#This Row],[SRP]]</f>
        <v>0.74747474747474751</v>
      </c>
      <c r="U4945" s="86" t="str">
        <f>_xlfn.XLOOKUP(表格1[[#This Row],[Model]],表格3[Model-Input-Ref2],表格3[TOSHIBA/HIGHEST])</f>
        <v>Toshiba SRP</v>
      </c>
      <c r="W4945" s="86" t="str">
        <f>_xlfn.CONCAT(表格1[[#This Row],[欄4]],表格1[[#This Row],[inv no]])</f>
        <v>2707331</v>
      </c>
    </row>
    <row r="4946" spans="1:23" hidden="1">
      <c r="A4946" s="81">
        <v>4944</v>
      </c>
      <c r="B4946" s="86" t="s">
        <v>1477</v>
      </c>
      <c r="C4946" s="86" t="s">
        <v>2252</v>
      </c>
      <c r="D4946" s="89" t="str">
        <f ca="1">OFFSET(Roster!$A$3,MATCH(表格1[[#This Row],[Location]]&amp;" "&amp;表格1[[#This Row],[Shop]]&amp;"*",Roster!$A$4:$A$72,0),DAY(表格1[[#This Row],[date]]),1,1)</f>
        <v>Raymond</v>
      </c>
      <c r="E4946" s="86">
        <f>MONTH(表格1[[#This Row],[date]])</f>
        <v>3</v>
      </c>
      <c r="F4946" s="90">
        <v>46112</v>
      </c>
      <c r="G4946" s="86" t="str">
        <f>VLOOKUP("*"&amp;表格1[[#This Row],[Input]]&amp;"*",'Ref-List'!$B:$D,2,)</f>
        <v>TW-T22BU95UWH(WK)-B</v>
      </c>
      <c r="H4946" s="86" t="str">
        <f>_xlfn.XLOOKUP(表格1[[#This Row],[Model]],表格3[Model-Input-Ref2],表格3[Product Line])</f>
        <v>470MM超薄身前置式變頻洗衣機(8.5公斤, 可飛頂)</v>
      </c>
      <c r="I4946" s="86" t="str">
        <f>_xlfn.XLOOKUP(表格1[[#This Row],[Model]],表格3[Model-Input-Ref2],表格3[大小電])</f>
        <v>大電</v>
      </c>
      <c r="J4946" s="86" t="str">
        <f>_xlfn.XLOOKUP(表格1[[#This Row],[Model]],表格3[Model-Input-Ref2],表格3[Code])</f>
        <v>LAD</v>
      </c>
      <c r="K4946" s="89" t="s">
        <v>969</v>
      </c>
      <c r="L4946" s="86">
        <v>1</v>
      </c>
      <c r="M4946" s="87">
        <v>3680</v>
      </c>
      <c r="N4946" s="87">
        <f>IFERROR(表格1[[#This Row],[QTY]]*表格1[[#This Row],[Unit Price]],"-")</f>
        <v>3680</v>
      </c>
      <c r="O4946" s="168">
        <v>2707341</v>
      </c>
      <c r="R4946" s="86" t="str">
        <f>_xlfn.CONCAT(表格1[[#This Row],[Model]]," ",表格1[[#This Row],[inv no]])</f>
        <v>TW-T22BU95UWH(WK)-B 2707341</v>
      </c>
      <c r="S4946" s="86">
        <f>_xlfn.XLOOKUP(表格1[[#This Row],[Model]],表格3[Model-Input-Ref2],表格3[SRP PRICE])</f>
        <v>5880</v>
      </c>
      <c r="T4946" s="43">
        <f>表格1[[#This Row],[Unit Price]]/表格1[[#This Row],[SRP]]</f>
        <v>0.62585034013605445</v>
      </c>
      <c r="U4946" s="86" t="str">
        <f>_xlfn.XLOOKUP(表格1[[#This Row],[Model]],表格3[Model-Input-Ref2],表格3[TOSHIBA/HIGHEST])</f>
        <v>Toshiba SRP</v>
      </c>
      <c r="W4946" s="86" t="str">
        <f>_xlfn.CONCAT(表格1[[#This Row],[欄4]],表格1[[#This Row],[inv no]])</f>
        <v>2707341</v>
      </c>
    </row>
    <row r="4947" spans="1:23" hidden="1">
      <c r="A4947" s="81">
        <v>4945</v>
      </c>
      <c r="B4947" s="86" t="s">
        <v>1477</v>
      </c>
      <c r="C4947" s="86" t="s">
        <v>2252</v>
      </c>
      <c r="D4947" s="89" t="str">
        <f ca="1">OFFSET(Roster!$A$3,MATCH(表格1[[#This Row],[Location]]&amp;" "&amp;表格1[[#This Row],[Shop]]&amp;"*",Roster!$A$4:$A$72,0),DAY(表格1[[#This Row],[date]]),1,1)</f>
        <v>Raymond</v>
      </c>
      <c r="E4947" s="86">
        <f>MONTH(表格1[[#This Row],[date]])</f>
        <v>3</v>
      </c>
      <c r="F4947" s="90">
        <v>46105</v>
      </c>
      <c r="G4947" s="86" t="str">
        <f>VLOOKUP("*"&amp;表格1[[#This Row],[Input]]&amp;"*",'Ref-List'!$B:$D,2,)</f>
        <v>RC-DR10T(W)</v>
      </c>
      <c r="H4947" s="86" t="str">
        <f>_xlfn.XLOOKUP(表格1[[#This Row],[Model]],表格3[Model-Input-Ref2],表格3[Product Line])</f>
        <v>IH磁應電飯煲</v>
      </c>
      <c r="I4947" s="86" t="str">
        <f>_xlfn.XLOOKUP(表格1[[#This Row],[Model]],表格3[Model-Input-Ref2],表格3[大小電])</f>
        <v>細電</v>
      </c>
      <c r="J4947" s="86" t="str">
        <f>_xlfn.XLOOKUP(表格1[[#This Row],[Model]],表格3[Model-Input-Ref2],表格3[Code])</f>
        <v>SDA</v>
      </c>
      <c r="K4947" s="89" t="s">
        <v>1294</v>
      </c>
      <c r="L4947" s="86">
        <v>1</v>
      </c>
      <c r="M4947" s="87">
        <v>2380</v>
      </c>
      <c r="N4947" s="87">
        <f>IFERROR(表格1[[#This Row],[QTY]]*表格1[[#This Row],[Unit Price]],"-")</f>
        <v>2380</v>
      </c>
      <c r="O4947" s="168">
        <v>2707066</v>
      </c>
      <c r="R4947" s="86" t="str">
        <f>_xlfn.CONCAT(表格1[[#This Row],[Model]]," ",表格1[[#This Row],[inv no]])</f>
        <v>RC-DR10T(W) 2707066</v>
      </c>
      <c r="S4947" s="86">
        <f>_xlfn.XLOOKUP(表格1[[#This Row],[Model]],表格3[Model-Input-Ref2],表格3[SRP PRICE])</f>
        <v>3188</v>
      </c>
      <c r="T4947" s="43">
        <f>表格1[[#This Row],[Unit Price]]/表格1[[#This Row],[SRP]]</f>
        <v>0.74654956085319946</v>
      </c>
      <c r="U4947" s="86" t="str">
        <f>_xlfn.XLOOKUP(表格1[[#This Row],[Model]],表格3[Model-Input-Ref2],表格3[TOSHIBA/HIGHEST])</f>
        <v>Toshiba SRP</v>
      </c>
      <c r="W4947" s="86" t="str">
        <f>_xlfn.CONCAT(表格1[[#This Row],[欄4]],表格1[[#This Row],[inv no]])</f>
        <v>2707066</v>
      </c>
    </row>
    <row r="4948" spans="1:23" hidden="1">
      <c r="A4948" s="81">
        <v>4946</v>
      </c>
      <c r="B4948" s="86" t="s">
        <v>2165</v>
      </c>
      <c r="C4948" s="86" t="s">
        <v>2274</v>
      </c>
      <c r="D4948" s="89" t="str">
        <f ca="1">OFFSET(Roster!$A$3,MATCH(表格1[[#This Row],[Location]]&amp;" "&amp;表格1[[#This Row],[Shop]]&amp;"*",Roster!$A$4:$A$72,0),DAY(表格1[[#This Row],[date]]),1,1)</f>
        <v>Wendy Wong_3</v>
      </c>
      <c r="E4948" s="86">
        <v>3</v>
      </c>
      <c r="F4948" s="90">
        <v>46082</v>
      </c>
      <c r="G4948" s="86" t="str">
        <f>VLOOKUP("*"&amp;表格1[[#This Row],[Input]]&amp;"*",'Ref-List'!$B:$D,2,)</f>
        <v>RC-5SLIH(W)</v>
      </c>
      <c r="H4948" s="86" t="str">
        <f>_xlfn.XLOOKUP(表格1[[#This Row],[Model]],表格3[Model-Input-Ref2],表格3[Product Line])</f>
        <v>微型電腦珍珠飯煲</v>
      </c>
      <c r="I4948" s="86" t="str">
        <f>_xlfn.XLOOKUP(表格1[[#This Row],[Model]],表格3[Model-Input-Ref2],表格3[大小電])</f>
        <v>細電</v>
      </c>
      <c r="J4948" s="86" t="str">
        <f>_xlfn.XLOOKUP(表格1[[#This Row],[Model]],表格3[Model-Input-Ref2],表格3[Code])</f>
        <v>SDA</v>
      </c>
      <c r="K4948" s="89" t="s">
        <v>2037</v>
      </c>
      <c r="L4948" s="86">
        <v>1</v>
      </c>
      <c r="M4948" s="87">
        <v>592</v>
      </c>
      <c r="N4948" s="87">
        <f>IFERROR(表格1[[#This Row],[QTY]]*表格1[[#This Row],[Unit Price]],"-")</f>
        <v>592</v>
      </c>
      <c r="O4948" s="86" t="s">
        <v>2256</v>
      </c>
      <c r="R4948" s="86" t="str">
        <f>_xlfn.CONCAT(表格1[[#This Row],[Model]]," ",表格1[[#This Row],[inv no]])</f>
        <v>RC-5SLIH(W) S562-0099</v>
      </c>
      <c r="S4948" s="86">
        <f>_xlfn.XLOOKUP(表格1[[#This Row],[Model]],表格3[Model-Input-Ref2],表格3[SRP PRICE])</f>
        <v>658</v>
      </c>
      <c r="T4948" s="43">
        <f>表格1[[#This Row],[Unit Price]]/表格1[[#This Row],[SRP]]</f>
        <v>0.89969604863221886</v>
      </c>
      <c r="U4948" s="86" t="str">
        <f>_xlfn.XLOOKUP(表格1[[#This Row],[Model]],表格3[Model-Input-Ref2],表格3[TOSHIBA/HIGHEST])</f>
        <v>Toshiba SRP</v>
      </c>
      <c r="W4948" s="86" t="str">
        <f>_xlfn.CONCAT(表格1[[#This Row],[欄4]],表格1[[#This Row],[inv no]])</f>
        <v>S562-0099</v>
      </c>
    </row>
    <row r="4949" spans="1:23" hidden="1">
      <c r="A4949" s="81">
        <v>4947</v>
      </c>
      <c r="B4949" s="86" t="s">
        <v>2165</v>
      </c>
      <c r="C4949" s="86" t="s">
        <v>2274</v>
      </c>
      <c r="D4949" s="89" t="str">
        <f ca="1">OFFSET(Roster!$A$3,MATCH(表格1[[#This Row],[Location]]&amp;" "&amp;表格1[[#This Row],[Shop]]&amp;"*",Roster!$A$4:$A$72,0),DAY(表格1[[#This Row],[date]]),1,1)</f>
        <v>Wendy Wong_3</v>
      </c>
      <c r="E4949" s="86">
        <v>3</v>
      </c>
      <c r="F4949" s="90">
        <v>46082</v>
      </c>
      <c r="G4949" s="86" t="str">
        <f>VLOOKUP("*"&amp;表格1[[#This Row],[Input]]&amp;"*",'Ref-List'!$B:$D,2,)</f>
        <v>RAD-D300H</v>
      </c>
      <c r="H4949" s="86" t="str">
        <f>_xlfn.XLOOKUP(表格1[[#This Row],[Model]],表格3[Model-Input-Ref2],表格3[Product Line])</f>
        <v>壓縮式抽濕機 (30公升)</v>
      </c>
      <c r="I4949" s="86" t="str">
        <f>_xlfn.XLOOKUP(表格1[[#This Row],[Model]],表格3[Model-Input-Ref2],表格3[大小電])</f>
        <v>細電</v>
      </c>
      <c r="J4949" s="86" t="str">
        <f>_xlfn.XLOOKUP(表格1[[#This Row],[Model]],表格3[Model-Input-Ref2],表格3[Code])</f>
        <v>RAC</v>
      </c>
      <c r="K4949" s="89" t="s">
        <v>1761</v>
      </c>
      <c r="L4949" s="86">
        <v>1</v>
      </c>
      <c r="M4949" s="87">
        <v>2280</v>
      </c>
      <c r="N4949" s="87">
        <f>IFERROR(表格1[[#This Row],[QTY]]*表格1[[#This Row],[Unit Price]],"-")</f>
        <v>2280</v>
      </c>
      <c r="O4949" s="86" t="s">
        <v>2257</v>
      </c>
      <c r="R4949" s="86" t="str">
        <f>_xlfn.CONCAT(表格1[[#This Row],[Model]]," ",表格1[[#This Row],[inv no]])</f>
        <v>RAD-D300H S562-0100</v>
      </c>
      <c r="S4949" s="86">
        <f>_xlfn.XLOOKUP(表格1[[#This Row],[Model]],表格3[Model-Input-Ref2],表格3[SRP PRICE])</f>
        <v>3380</v>
      </c>
      <c r="T4949" s="43">
        <f>表格1[[#This Row],[Unit Price]]/表格1[[#This Row],[SRP]]</f>
        <v>0.67455621301775148</v>
      </c>
      <c r="U4949" s="86" t="str">
        <f>_xlfn.XLOOKUP(表格1[[#This Row],[Model]],表格3[Model-Input-Ref2],表格3[TOSHIBA/HIGHEST])</f>
        <v>Shops Highest Price</v>
      </c>
      <c r="W4949" s="86" t="str">
        <f>_xlfn.CONCAT(表格1[[#This Row],[欄4]],表格1[[#This Row],[inv no]])</f>
        <v>S562-0100</v>
      </c>
    </row>
    <row r="4950" spans="1:23" hidden="1">
      <c r="A4950" s="81">
        <v>4948</v>
      </c>
      <c r="B4950" s="86" t="s">
        <v>2165</v>
      </c>
      <c r="C4950" s="86" t="s">
        <v>2274</v>
      </c>
      <c r="D4950" s="89" t="str">
        <f ca="1">OFFSET(Roster!$A$3,MATCH(表格1[[#This Row],[Location]]&amp;" "&amp;表格1[[#This Row],[Shop]]&amp;"*",Roster!$A$4:$A$72,0),DAY(表格1[[#This Row],[date]]),1,1)</f>
        <v>Wendy Wong_3</v>
      </c>
      <c r="E4950" s="86">
        <v>3</v>
      </c>
      <c r="F4950" s="90">
        <v>46082</v>
      </c>
      <c r="G4950" s="86" t="str">
        <f>VLOOKUP("*"&amp;表格1[[#This Row],[Input]]&amp;"*",'Ref-List'!$B:$D,2,)</f>
        <v>RAD-D300H</v>
      </c>
      <c r="H4950" s="86" t="str">
        <f>_xlfn.XLOOKUP(表格1[[#This Row],[Model]],表格3[Model-Input-Ref2],表格3[Product Line])</f>
        <v>壓縮式抽濕機 (30公升)</v>
      </c>
      <c r="I4950" s="86" t="str">
        <f>_xlfn.XLOOKUP(表格1[[#This Row],[Model]],表格3[Model-Input-Ref2],表格3[大小電])</f>
        <v>細電</v>
      </c>
      <c r="J4950" s="86" t="str">
        <f>_xlfn.XLOOKUP(表格1[[#This Row],[Model]],表格3[Model-Input-Ref2],表格3[Code])</f>
        <v>RAC</v>
      </c>
      <c r="K4950" s="89" t="s">
        <v>1761</v>
      </c>
      <c r="L4950" s="86">
        <v>1</v>
      </c>
      <c r="M4950" s="87">
        <v>2280</v>
      </c>
      <c r="N4950" s="87">
        <f>IFERROR(表格1[[#This Row],[QTY]]*表格1[[#This Row],[Unit Price]],"-")</f>
        <v>2280</v>
      </c>
      <c r="O4950" s="86" t="s">
        <v>2258</v>
      </c>
      <c r="R4950" s="86" t="str">
        <f>_xlfn.CONCAT(表格1[[#This Row],[Model]]," ",表格1[[#This Row],[inv no]])</f>
        <v>RAD-D300H S562-0101</v>
      </c>
      <c r="S4950" s="86">
        <f>_xlfn.XLOOKUP(表格1[[#This Row],[Model]],表格3[Model-Input-Ref2],表格3[SRP PRICE])</f>
        <v>3380</v>
      </c>
      <c r="T4950" s="43">
        <f>表格1[[#This Row],[Unit Price]]/表格1[[#This Row],[SRP]]</f>
        <v>0.67455621301775148</v>
      </c>
      <c r="U4950" s="86" t="str">
        <f>_xlfn.XLOOKUP(表格1[[#This Row],[Model]],表格3[Model-Input-Ref2],表格3[TOSHIBA/HIGHEST])</f>
        <v>Shops Highest Price</v>
      </c>
      <c r="W4950" s="86" t="str">
        <f>_xlfn.CONCAT(表格1[[#This Row],[欄4]],表格1[[#This Row],[inv no]])</f>
        <v>S562-0101</v>
      </c>
    </row>
    <row r="4951" spans="1:23" hidden="1">
      <c r="A4951" s="81">
        <v>4949</v>
      </c>
      <c r="B4951" s="86" t="s">
        <v>2165</v>
      </c>
      <c r="C4951" s="86" t="s">
        <v>2274</v>
      </c>
      <c r="D4951" s="89" t="str">
        <f ca="1">OFFSET(Roster!$A$3,MATCH(表格1[[#This Row],[Location]]&amp;" "&amp;表格1[[#This Row],[Shop]]&amp;"*",Roster!$A$4:$A$72,0),DAY(表格1[[#This Row],[date]]),1,1)</f>
        <v>Wendy Wong_3</v>
      </c>
      <c r="E4951" s="86">
        <v>3</v>
      </c>
      <c r="F4951" s="90">
        <v>46082</v>
      </c>
      <c r="G4951" s="86" t="str">
        <f>VLOOKUP("*"&amp;表格1[[#This Row],[Input]]&amp;"*",'Ref-List'!$B:$D,2,)</f>
        <v>KT-08DH1VHK(W)</v>
      </c>
      <c r="H4951" s="86" t="str">
        <f>_xlfn.XLOOKUP(表格1[[#This Row],[Model]],表格3[Model-Input-Ref2],表格3[Product Line])</f>
        <v>無線雙層電熱水壺-附可鎖壺蓋(0.8公升)</v>
      </c>
      <c r="I4951" s="86" t="str">
        <f>_xlfn.XLOOKUP(表格1[[#This Row],[Model]],表格3[Model-Input-Ref2],表格3[大小電])</f>
        <v>細電</v>
      </c>
      <c r="J4951" s="86" t="str">
        <f>_xlfn.XLOOKUP(表格1[[#This Row],[Model]],表格3[Model-Input-Ref2],表格3[Code])</f>
        <v>SDA</v>
      </c>
      <c r="K4951" s="89" t="s">
        <v>2053</v>
      </c>
      <c r="L4951" s="86">
        <v>1</v>
      </c>
      <c r="M4951" s="87">
        <v>268</v>
      </c>
      <c r="N4951" s="87">
        <f>IFERROR(表格1[[#This Row],[QTY]]*表格1[[#This Row],[Unit Price]],"-")</f>
        <v>268</v>
      </c>
      <c r="O4951" s="86" t="s">
        <v>2259</v>
      </c>
      <c r="R4951" s="86" t="str">
        <f>_xlfn.CONCAT(表格1[[#This Row],[Model]]," ",表格1[[#This Row],[inv no]])</f>
        <v>KT-08DH1VHK(W) S562-0102</v>
      </c>
      <c r="S4951" s="86">
        <f>_xlfn.XLOOKUP(表格1[[#This Row],[Model]],表格3[Model-Input-Ref2],表格3[SRP PRICE])</f>
        <v>428</v>
      </c>
      <c r="T4951" s="43">
        <f>表格1[[#This Row],[Unit Price]]/表格1[[#This Row],[SRP]]</f>
        <v>0.62616822429906538</v>
      </c>
      <c r="U4951" s="86" t="str">
        <f>_xlfn.XLOOKUP(表格1[[#This Row],[Model]],表格3[Model-Input-Ref2],表格3[TOSHIBA/HIGHEST])</f>
        <v>Toshiba SRP</v>
      </c>
      <c r="W4951" s="86" t="str">
        <f>_xlfn.CONCAT(表格1[[#This Row],[欄4]],表格1[[#This Row],[inv no]])</f>
        <v>S562-0102</v>
      </c>
    </row>
    <row r="4952" spans="1:23" hidden="1">
      <c r="A4952" s="81">
        <v>4950</v>
      </c>
      <c r="B4952" s="86" t="s">
        <v>2165</v>
      </c>
      <c r="C4952" s="86" t="s">
        <v>2274</v>
      </c>
      <c r="D4952" s="89" t="str">
        <f ca="1">OFFSET(Roster!$A$3,MATCH(表格1[[#This Row],[Location]]&amp;" "&amp;表格1[[#This Row],[Shop]]&amp;"*",Roster!$A$4:$A$72,0),DAY(表格1[[#This Row],[date]]),1,1)</f>
        <v>Wendy Wong_3</v>
      </c>
      <c r="E4952" s="86">
        <v>3</v>
      </c>
      <c r="F4952" s="90">
        <v>46082</v>
      </c>
      <c r="G4952" s="86" t="str">
        <f>VLOOKUP("*"&amp;表格1[[#This Row],[Input]]&amp;"*",'Ref-List'!$B:$D,2,)</f>
        <v>RC-7HMH</v>
      </c>
      <c r="H4952" s="86" t="str">
        <f>_xlfn.XLOOKUP(表格1[[#This Row],[Model]],表格3[Model-Input-Ref2],表格3[Product Line])</f>
        <v>備長炭本厚釜電飯煲0.7L</v>
      </c>
      <c r="I4952" s="86" t="str">
        <f>_xlfn.XLOOKUP(表格1[[#This Row],[Model]],表格3[Model-Input-Ref2],表格3[大小電])</f>
        <v>細電</v>
      </c>
      <c r="J4952" s="86" t="str">
        <f>_xlfn.XLOOKUP(表格1[[#This Row],[Model]],表格3[Model-Input-Ref2],表格3[Code])</f>
        <v>SDA</v>
      </c>
      <c r="K4952" s="89" t="s">
        <v>2057</v>
      </c>
      <c r="L4952" s="86">
        <v>1</v>
      </c>
      <c r="M4952" s="87">
        <v>838</v>
      </c>
      <c r="N4952" s="87">
        <f>IFERROR(表格1[[#This Row],[QTY]]*表格1[[#This Row],[Unit Price]],"-")</f>
        <v>838</v>
      </c>
      <c r="O4952" s="86" t="s">
        <v>2260</v>
      </c>
      <c r="R4952" s="86" t="str">
        <f>_xlfn.CONCAT(表格1[[#This Row],[Model]]," ",表格1[[#This Row],[inv no]])</f>
        <v>RC-7HMH S056-24625</v>
      </c>
      <c r="S4952" s="86">
        <f>_xlfn.XLOOKUP(表格1[[#This Row],[Model]],表格3[Model-Input-Ref2],表格3[SRP PRICE])</f>
        <v>1288</v>
      </c>
      <c r="T4952" s="43">
        <f>表格1[[#This Row],[Unit Price]]/表格1[[#This Row],[SRP]]</f>
        <v>0.65062111801242239</v>
      </c>
      <c r="U4952" s="86" t="str">
        <f>_xlfn.XLOOKUP(表格1[[#This Row],[Model]],表格3[Model-Input-Ref2],表格3[TOSHIBA/HIGHEST])</f>
        <v>Toshiba SRP</v>
      </c>
      <c r="W4952" s="86" t="str">
        <f>_xlfn.CONCAT(表格1[[#This Row],[欄4]],表格1[[#This Row],[inv no]])</f>
        <v>S056-24625</v>
      </c>
    </row>
    <row r="4953" spans="1:23" hidden="1">
      <c r="A4953" s="81">
        <v>4951</v>
      </c>
      <c r="B4953" s="86" t="s">
        <v>2165</v>
      </c>
      <c r="C4953" s="86" t="s">
        <v>2274</v>
      </c>
      <c r="D4953" s="89" t="str">
        <f ca="1">OFFSET(Roster!$A$3,MATCH(表格1[[#This Row],[Location]]&amp;" "&amp;表格1[[#This Row],[Shop]]&amp;"*",Roster!$A$4:$A$72,0),DAY(表格1[[#This Row],[date]]),1,1)</f>
        <v>Wendy Wong_3</v>
      </c>
      <c r="E4953" s="86">
        <v>3</v>
      </c>
      <c r="F4953" s="90">
        <v>46082</v>
      </c>
      <c r="G4953" s="86" t="str">
        <f>VLOOKUP("*"&amp;表格1[[#This Row],[Input]]&amp;"*",'Ref-List'!$B:$D,2,)</f>
        <v>TP-25DR2UHK(W)</v>
      </c>
      <c r="H4953" s="86" t="str">
        <f>_xlfn.XLOOKUP(表格1[[#This Row],[Model]],表格3[Model-Input-Ref2],表格3[Product Line])</f>
        <v>電熱水瓶 (2.5公升)</v>
      </c>
      <c r="I4953" s="86" t="str">
        <f>_xlfn.XLOOKUP(表格1[[#This Row],[Model]],表格3[Model-Input-Ref2],表格3[大小電])</f>
        <v>細電</v>
      </c>
      <c r="J4953" s="86" t="str">
        <f>_xlfn.XLOOKUP(表格1[[#This Row],[Model]],表格3[Model-Input-Ref2],表格3[Code])</f>
        <v>SDA</v>
      </c>
      <c r="K4953" s="89" t="s">
        <v>2048</v>
      </c>
      <c r="L4953" s="86">
        <v>1</v>
      </c>
      <c r="M4953" s="87">
        <v>398</v>
      </c>
      <c r="N4953" s="87">
        <f>IFERROR(表格1[[#This Row],[QTY]]*表格1[[#This Row],[Unit Price]],"-")</f>
        <v>398</v>
      </c>
      <c r="O4953" s="86" t="s">
        <v>2261</v>
      </c>
      <c r="R4953" s="86" t="str">
        <f>_xlfn.CONCAT(表格1[[#This Row],[Model]]," ",表格1[[#This Row],[inv no]])</f>
        <v>TP-25DR2UHK(W) S056-24628</v>
      </c>
      <c r="S4953" s="86">
        <f>_xlfn.XLOOKUP(表格1[[#This Row],[Model]],表格3[Model-Input-Ref2],表格3[SRP PRICE])</f>
        <v>538</v>
      </c>
      <c r="T4953" s="43">
        <f>表格1[[#This Row],[Unit Price]]/表格1[[#This Row],[SRP]]</f>
        <v>0.7397769516728625</v>
      </c>
      <c r="U4953" s="86" t="str">
        <f>_xlfn.XLOOKUP(表格1[[#This Row],[Model]],表格3[Model-Input-Ref2],表格3[TOSHIBA/HIGHEST])</f>
        <v>Toshiba SRP</v>
      </c>
      <c r="W4953" s="86" t="str">
        <f>_xlfn.CONCAT(表格1[[#This Row],[欄4]],表格1[[#This Row],[inv no]])</f>
        <v>S056-24628</v>
      </c>
    </row>
    <row r="4954" spans="1:23" hidden="1">
      <c r="A4954" s="81">
        <v>4952</v>
      </c>
      <c r="B4954" s="86" t="s">
        <v>2165</v>
      </c>
      <c r="C4954" s="86" t="s">
        <v>2274</v>
      </c>
      <c r="D4954" s="89" t="str">
        <f ca="1">OFFSET(Roster!$A$3,MATCH(表格1[[#This Row],[Location]]&amp;" "&amp;表格1[[#This Row],[Shop]]&amp;"*",Roster!$A$4:$A$72,0),DAY(表格1[[#This Row],[date]]),1,1)</f>
        <v>Wendy Wong_3</v>
      </c>
      <c r="E4954" s="86">
        <v>3</v>
      </c>
      <c r="F4954" s="90">
        <v>46088</v>
      </c>
      <c r="G4954" s="86" t="str">
        <f>VLOOKUP("*"&amp;表格1[[#This Row],[Input]]&amp;"*",'Ref-List'!$B:$D,2,)</f>
        <v>MS5-STR30SC(BK)</v>
      </c>
      <c r="H4954" s="86" t="str">
        <f>_xlfn.XLOOKUP(表格1[[#This Row],[Model]],表格3[Model-Input-Ref2],表格3[Product Line])</f>
        <v>30公升蒸氣焗爐</v>
      </c>
      <c r="I4954" s="86" t="str">
        <f>_xlfn.XLOOKUP(表格1[[#This Row],[Model]],表格3[Model-Input-Ref2],表格3[大小電])</f>
        <v>細電</v>
      </c>
      <c r="J4954" s="86" t="str">
        <f>_xlfn.XLOOKUP(表格1[[#This Row],[Model]],表格3[Model-Input-Ref2],表格3[Code])</f>
        <v>MCA</v>
      </c>
      <c r="K4954" s="89" t="s">
        <v>2241</v>
      </c>
      <c r="L4954" s="86">
        <v>1</v>
      </c>
      <c r="M4954" s="87">
        <v>3980</v>
      </c>
      <c r="N4954" s="87">
        <f>IFERROR(表格1[[#This Row],[QTY]]*表格1[[#This Row],[Unit Price]],"-")</f>
        <v>3980</v>
      </c>
      <c r="O4954" s="86" t="s">
        <v>2262</v>
      </c>
      <c r="R4954" s="86" t="str">
        <f>_xlfn.CONCAT(表格1[[#This Row],[Model]]," ",表格1[[#This Row],[inv no]])</f>
        <v>MS5-STR30SC(BK) S056-24828</v>
      </c>
      <c r="S4954" s="86">
        <f>_xlfn.XLOOKUP(表格1[[#This Row],[Model]],表格3[Model-Input-Ref2],表格3[SRP PRICE])</f>
        <v>5998</v>
      </c>
      <c r="T4954" s="43">
        <f>表格1[[#This Row],[Unit Price]]/表格1[[#This Row],[SRP]]</f>
        <v>0.66355451817272426</v>
      </c>
      <c r="U4954" s="86" t="str">
        <f>_xlfn.XLOOKUP(表格1[[#This Row],[Model]],表格3[Model-Input-Ref2],表格3[TOSHIBA/HIGHEST])</f>
        <v>Shops Highest Price</v>
      </c>
      <c r="W4954" s="86" t="str">
        <f>_xlfn.CONCAT(表格1[[#This Row],[欄4]],表格1[[#This Row],[inv no]])</f>
        <v>S056-24828</v>
      </c>
    </row>
    <row r="4955" spans="1:23" hidden="1">
      <c r="A4955" s="81">
        <v>4953</v>
      </c>
      <c r="B4955" s="86" t="s">
        <v>2165</v>
      </c>
      <c r="C4955" s="86" t="s">
        <v>2274</v>
      </c>
      <c r="D4955" s="89" t="str">
        <f ca="1">OFFSET(Roster!$A$3,MATCH(表格1[[#This Row],[Location]]&amp;" "&amp;表格1[[#This Row],[Shop]]&amp;"*",Roster!$A$4:$A$72,0),DAY(表格1[[#This Row],[date]]),1,1)</f>
        <v>Wendy Wong_3</v>
      </c>
      <c r="E4955" s="86">
        <v>3</v>
      </c>
      <c r="F4955" s="90">
        <v>46088</v>
      </c>
      <c r="G4955" s="86" t="str">
        <f>VLOOKUP("*"&amp;表格1[[#This Row],[Input]]&amp;"*",'Ref-List'!$B:$D,2,)</f>
        <v>RC-15BHH(W)</v>
      </c>
      <c r="H4955" s="86" t="str">
        <f>_xlfn.XLOOKUP(表格1[[#This Row],[Model]],表格3[Model-Input-Ref2],表格3[Product Line])</f>
        <v>酵活炊磁應電飯煲(1.5公升)</v>
      </c>
      <c r="I4955" s="86" t="str">
        <f>_xlfn.XLOOKUP(表格1[[#This Row],[Model]],表格3[Model-Input-Ref2],表格3[大小電])</f>
        <v>細電</v>
      </c>
      <c r="J4955" s="86" t="str">
        <f>_xlfn.XLOOKUP(表格1[[#This Row],[Model]],表格3[Model-Input-Ref2],表格3[Code])</f>
        <v>SDA</v>
      </c>
      <c r="K4955" s="89" t="s">
        <v>2244</v>
      </c>
      <c r="L4955" s="86">
        <v>1</v>
      </c>
      <c r="M4955" s="87">
        <v>1888</v>
      </c>
      <c r="N4955" s="87">
        <f>IFERROR(表格1[[#This Row],[QTY]]*表格1[[#This Row],[Unit Price]],"-")</f>
        <v>1888</v>
      </c>
      <c r="O4955" s="86" t="s">
        <v>2263</v>
      </c>
      <c r="R4955" s="86" t="str">
        <f>_xlfn.CONCAT(表格1[[#This Row],[Model]]," ",表格1[[#This Row],[inv no]])</f>
        <v>RC-15BHH(W) S056-24868</v>
      </c>
      <c r="S4955" s="86">
        <f>_xlfn.XLOOKUP(表格1[[#This Row],[Model]],表格3[Model-Input-Ref2],表格3[SRP PRICE])</f>
        <v>2388</v>
      </c>
      <c r="T4955" s="43">
        <f>表格1[[#This Row],[Unit Price]]/表格1[[#This Row],[SRP]]</f>
        <v>0.79061976549413737</v>
      </c>
      <c r="U4955" s="86" t="str">
        <f>_xlfn.XLOOKUP(表格1[[#This Row],[Model]],表格3[Model-Input-Ref2],表格3[TOSHIBA/HIGHEST])</f>
        <v>Toshiba SRP</v>
      </c>
      <c r="W4955" s="86" t="str">
        <f>_xlfn.CONCAT(表格1[[#This Row],[欄4]],表格1[[#This Row],[inv no]])</f>
        <v>S056-24868</v>
      </c>
    </row>
    <row r="4956" spans="1:23" hidden="1">
      <c r="A4956" s="81">
        <v>4954</v>
      </c>
      <c r="B4956" s="86" t="s">
        <v>2165</v>
      </c>
      <c r="C4956" s="86" t="s">
        <v>2274</v>
      </c>
      <c r="D4956" s="89" t="str">
        <f ca="1">OFFSET(Roster!$A$3,MATCH(表格1[[#This Row],[Location]]&amp;" "&amp;表格1[[#This Row],[Shop]]&amp;"*",Roster!$A$4:$A$72,0),DAY(表格1[[#This Row],[date]]),1,1)</f>
        <v>Wendy Wong_3</v>
      </c>
      <c r="E4956" s="86">
        <v>3</v>
      </c>
      <c r="F4956" s="90">
        <v>46088</v>
      </c>
      <c r="G4956" s="86" t="str">
        <f>VLOOKUP("*"&amp;表格1[[#This Row],[Input]]&amp;"*",'Ref-List'!$B:$D,2,)</f>
        <v>RC-DR10T(W)</v>
      </c>
      <c r="H4956" s="86" t="str">
        <f>_xlfn.XLOOKUP(表格1[[#This Row],[Model]],表格3[Model-Input-Ref2],表格3[Product Line])</f>
        <v>IH磁應電飯煲</v>
      </c>
      <c r="I4956" s="86" t="str">
        <f>_xlfn.XLOOKUP(表格1[[#This Row],[Model]],表格3[Model-Input-Ref2],表格3[大小電])</f>
        <v>細電</v>
      </c>
      <c r="J4956" s="86" t="str">
        <f>_xlfn.XLOOKUP(表格1[[#This Row],[Model]],表格3[Model-Input-Ref2],表格3[Code])</f>
        <v>SDA</v>
      </c>
      <c r="K4956" s="89" t="s">
        <v>2087</v>
      </c>
      <c r="L4956" s="86">
        <v>1</v>
      </c>
      <c r="M4956" s="87">
        <v>2380</v>
      </c>
      <c r="N4956" s="87">
        <f>IFERROR(表格1[[#This Row],[QTY]]*表格1[[#This Row],[Unit Price]],"-")</f>
        <v>2380</v>
      </c>
      <c r="O4956" s="86" t="s">
        <v>2264</v>
      </c>
      <c r="R4956" s="86" t="str">
        <f>_xlfn.CONCAT(表格1[[#This Row],[Model]]," ",表格1[[#This Row],[inv no]])</f>
        <v>RC-DR10T(W) S056-24880</v>
      </c>
      <c r="S4956" s="86">
        <f>_xlfn.XLOOKUP(表格1[[#This Row],[Model]],表格3[Model-Input-Ref2],表格3[SRP PRICE])</f>
        <v>3188</v>
      </c>
      <c r="T4956" s="43">
        <f>表格1[[#This Row],[Unit Price]]/表格1[[#This Row],[SRP]]</f>
        <v>0.74654956085319946</v>
      </c>
      <c r="U4956" s="86" t="str">
        <f>_xlfn.XLOOKUP(表格1[[#This Row],[Model]],表格3[Model-Input-Ref2],表格3[TOSHIBA/HIGHEST])</f>
        <v>Toshiba SRP</v>
      </c>
      <c r="W4956" s="86" t="str">
        <f>_xlfn.CONCAT(表格1[[#This Row],[欄4]],表格1[[#This Row],[inv no]])</f>
        <v>S056-24880</v>
      </c>
    </row>
    <row r="4957" spans="1:23" hidden="1">
      <c r="A4957" s="81">
        <v>4955</v>
      </c>
      <c r="B4957" s="86" t="s">
        <v>2165</v>
      </c>
      <c r="C4957" s="86" t="s">
        <v>2274</v>
      </c>
      <c r="D4957" s="89" t="str">
        <f ca="1">OFFSET(Roster!$A$3,MATCH(表格1[[#This Row],[Location]]&amp;" "&amp;表格1[[#This Row],[Shop]]&amp;"*",Roster!$A$4:$A$72,0),DAY(表格1[[#This Row],[date]]),1,1)</f>
        <v>Wendy Wong_3</v>
      </c>
      <c r="E4957" s="86">
        <v>3</v>
      </c>
      <c r="F4957" s="90">
        <v>46088</v>
      </c>
      <c r="G4957" s="86" t="str">
        <f>VLOOKUP("*"&amp;表格1[[#This Row],[Input]]&amp;"*",'Ref-List'!$B:$D,2,)</f>
        <v>RAD-D300H</v>
      </c>
      <c r="H4957" s="86" t="str">
        <f>_xlfn.XLOOKUP(表格1[[#This Row],[Model]],表格3[Model-Input-Ref2],表格3[Product Line])</f>
        <v>壓縮式抽濕機 (30公升)</v>
      </c>
      <c r="I4957" s="86" t="str">
        <f>_xlfn.XLOOKUP(表格1[[#This Row],[Model]],表格3[Model-Input-Ref2],表格3[大小電])</f>
        <v>細電</v>
      </c>
      <c r="J4957" s="86" t="str">
        <f>_xlfn.XLOOKUP(表格1[[#This Row],[Model]],表格3[Model-Input-Ref2],表格3[Code])</f>
        <v>RAC</v>
      </c>
      <c r="K4957" s="89" t="s">
        <v>1761</v>
      </c>
      <c r="L4957" s="86">
        <v>1</v>
      </c>
      <c r="M4957" s="87">
        <v>2280</v>
      </c>
      <c r="N4957" s="87">
        <f>IFERROR(表格1[[#This Row],[QTY]]*表格1[[#This Row],[Unit Price]],"-")</f>
        <v>2280</v>
      </c>
      <c r="O4957" s="86" t="s">
        <v>2265</v>
      </c>
      <c r="R4957" s="86" t="str">
        <f>_xlfn.CONCAT(表格1[[#This Row],[Model]]," ",表格1[[#This Row],[inv no]])</f>
        <v>RAD-D300H S056-24892</v>
      </c>
      <c r="S4957" s="86">
        <f>_xlfn.XLOOKUP(表格1[[#This Row],[Model]],表格3[Model-Input-Ref2],表格3[SRP PRICE])</f>
        <v>3380</v>
      </c>
      <c r="T4957" s="43">
        <f>表格1[[#This Row],[Unit Price]]/表格1[[#This Row],[SRP]]</f>
        <v>0.67455621301775148</v>
      </c>
      <c r="U4957" s="86" t="str">
        <f>_xlfn.XLOOKUP(表格1[[#This Row],[Model]],表格3[Model-Input-Ref2],表格3[TOSHIBA/HIGHEST])</f>
        <v>Shops Highest Price</v>
      </c>
      <c r="W4957" s="86" t="str">
        <f>_xlfn.CONCAT(表格1[[#This Row],[欄4]],表格1[[#This Row],[inv no]])</f>
        <v>S056-24892</v>
      </c>
    </row>
    <row r="4958" spans="1:23" hidden="1">
      <c r="A4958" s="81">
        <v>4956</v>
      </c>
      <c r="B4958" s="86" t="s">
        <v>2165</v>
      </c>
      <c r="C4958" s="86" t="s">
        <v>2274</v>
      </c>
      <c r="D4958" s="89" t="str">
        <f ca="1">OFFSET(Roster!$A$3,MATCH(表格1[[#This Row],[Location]]&amp;" "&amp;表格1[[#This Row],[Shop]]&amp;"*",Roster!$A$4:$A$72,0),DAY(表格1[[#This Row],[date]]),1,1)</f>
        <v>Wendy Wong_3</v>
      </c>
      <c r="E4958" s="86">
        <v>3</v>
      </c>
      <c r="F4958" s="90">
        <v>46089</v>
      </c>
      <c r="G4958" s="86" t="str">
        <f>VLOOKUP("*"&amp;表格1[[#This Row],[Input]]&amp;"*",'Ref-List'!$B:$D,2,)</f>
        <v>TW-T21BU80UWH(MG)</v>
      </c>
      <c r="H4958" s="86" t="str">
        <f>_xlfn.XLOOKUP(表格1[[#This Row],[Model]],表格3[Model-Input-Ref2],表格3[Product Line])</f>
        <v>400MM超薄身前置式變頻洗衣機(7公斤)</v>
      </c>
      <c r="I4958" s="86" t="str">
        <f>_xlfn.XLOOKUP(表格1[[#This Row],[Model]],表格3[Model-Input-Ref2],表格3[大小電])</f>
        <v>大電</v>
      </c>
      <c r="J4958" s="86" t="str">
        <f>_xlfn.XLOOKUP(表格1[[#This Row],[Model]],表格3[Model-Input-Ref2],表格3[Code])</f>
        <v>LAD</v>
      </c>
      <c r="K4958" s="89" t="s">
        <v>2117</v>
      </c>
      <c r="L4958" s="86">
        <v>1</v>
      </c>
      <c r="M4958" s="87">
        <v>3180</v>
      </c>
      <c r="N4958" s="87">
        <f>IFERROR(表格1[[#This Row],[QTY]]*表格1[[#This Row],[Unit Price]],"-")</f>
        <v>3180</v>
      </c>
      <c r="O4958" s="86" t="s">
        <v>2266</v>
      </c>
      <c r="R4958" s="86" t="str">
        <f>_xlfn.CONCAT(表格1[[#This Row],[Model]]," ",表格1[[#This Row],[inv no]])</f>
        <v>TW-T21BU80UWH(MG) S056-24912</v>
      </c>
      <c r="S4958" s="86">
        <f>_xlfn.XLOOKUP(表格1[[#This Row],[Model]],表格3[Model-Input-Ref2],表格3[SRP PRICE])</f>
        <v>5180</v>
      </c>
      <c r="T4958" s="43">
        <f>表格1[[#This Row],[Unit Price]]/表格1[[#This Row],[SRP]]</f>
        <v>0.61389961389961389</v>
      </c>
      <c r="U4958" s="86" t="str">
        <f>_xlfn.XLOOKUP(表格1[[#This Row],[Model]],表格3[Model-Input-Ref2],表格3[TOSHIBA/HIGHEST])</f>
        <v>Toshiba SRP</v>
      </c>
      <c r="W4958" s="86" t="str">
        <f>_xlfn.CONCAT(表格1[[#This Row],[欄4]],表格1[[#This Row],[inv no]])</f>
        <v>S056-24912</v>
      </c>
    </row>
    <row r="4959" spans="1:23" hidden="1">
      <c r="A4959" s="81">
        <v>4957</v>
      </c>
      <c r="B4959" s="86" t="s">
        <v>2165</v>
      </c>
      <c r="C4959" s="86" t="s">
        <v>2274</v>
      </c>
      <c r="D4959" s="89" t="str">
        <f ca="1">OFFSET(Roster!$A$3,MATCH(表格1[[#This Row],[Location]]&amp;" "&amp;表格1[[#This Row],[Shop]]&amp;"*",Roster!$A$4:$A$72,0),DAY(表格1[[#This Row],[date]]),1,1)</f>
        <v>Wendy Wong_3</v>
      </c>
      <c r="E4959" s="86">
        <v>3</v>
      </c>
      <c r="F4959" s="90">
        <v>46089</v>
      </c>
      <c r="G4959" s="86" t="str">
        <f>VLOOKUP("*"&amp;表格1[[#This Row],[Input]]&amp;"*",'Ref-List'!$B:$D,2,)</f>
        <v>MM2-EM20PC(WH)</v>
      </c>
      <c r="H4959" s="86" t="str">
        <f>_xlfn.XLOOKUP(表格1[[#This Row],[Model]],表格3[Model-Input-Ref2],表格3[Product Line])</f>
        <v>輕觸式微波爐 (20公升)</v>
      </c>
      <c r="I4959" s="86" t="str">
        <f>_xlfn.XLOOKUP(表格1[[#This Row],[Model]],表格3[Model-Input-Ref2],表格3[大小電])</f>
        <v>細電</v>
      </c>
      <c r="J4959" s="86" t="str">
        <f>_xlfn.XLOOKUP(表格1[[#This Row],[Model]],表格3[Model-Input-Ref2],表格3[Code])</f>
        <v>MCA</v>
      </c>
      <c r="K4959" s="89" t="s">
        <v>1947</v>
      </c>
      <c r="L4959" s="86">
        <v>1</v>
      </c>
      <c r="M4959" s="87">
        <v>598</v>
      </c>
      <c r="N4959" s="87">
        <f>IFERROR(表格1[[#This Row],[QTY]]*表格1[[#This Row],[Unit Price]],"-")</f>
        <v>598</v>
      </c>
      <c r="O4959" s="86" t="s">
        <v>2267</v>
      </c>
      <c r="R4959" s="86" t="str">
        <f>_xlfn.CONCAT(表格1[[#This Row],[Model]]," ",表格1[[#This Row],[inv no]])</f>
        <v>MM2-EM20PC(WH) S056-24941</v>
      </c>
      <c r="S4959" s="86">
        <f>_xlfn.XLOOKUP(表格1[[#This Row],[Model]],表格3[Model-Input-Ref2],表格3[SRP PRICE])</f>
        <v>788</v>
      </c>
      <c r="T4959" s="43">
        <f>表格1[[#This Row],[Unit Price]]/表格1[[#This Row],[SRP]]</f>
        <v>0.75888324873096447</v>
      </c>
      <c r="U4959" s="86" t="str">
        <f>_xlfn.XLOOKUP(表格1[[#This Row],[Model]],表格3[Model-Input-Ref2],表格3[TOSHIBA/HIGHEST])</f>
        <v>Toshiba SRP</v>
      </c>
      <c r="W4959" s="86" t="str">
        <f>_xlfn.CONCAT(表格1[[#This Row],[欄4]],表格1[[#This Row],[inv no]])</f>
        <v>S056-24941</v>
      </c>
    </row>
    <row r="4960" spans="1:23" hidden="1">
      <c r="A4960" s="81">
        <v>4958</v>
      </c>
      <c r="B4960" s="86" t="s">
        <v>2165</v>
      </c>
      <c r="C4960" s="86" t="s">
        <v>2274</v>
      </c>
      <c r="D4960" s="89" t="str">
        <f ca="1">OFFSET(Roster!$A$3,MATCH(表格1[[#This Row],[Location]]&amp;" "&amp;表格1[[#This Row],[Shop]]&amp;"*",Roster!$A$4:$A$72,0),DAY(表格1[[#This Row],[date]]),1,1)</f>
        <v>Wendy Wong_3</v>
      </c>
      <c r="E4960" s="86">
        <v>3</v>
      </c>
      <c r="F4960" s="90">
        <v>46089</v>
      </c>
      <c r="G4960" s="86" t="str">
        <f>VLOOKUP("*"&amp;表格1[[#This Row],[Input]]&amp;"*",'Ref-List'!$B:$D,2,)</f>
        <v>MX2-STR25SC(WH)</v>
      </c>
      <c r="H4960" s="86" t="str">
        <f>_xlfn.XLOOKUP(表格1[[#This Row],[Model]],表格3[Model-Input-Ref2],表格3[Product Line])</f>
        <v>4合1氣炸微波蒸焗爐(25公升)</v>
      </c>
      <c r="I4960" s="86" t="str">
        <f>_xlfn.XLOOKUP(表格1[[#This Row],[Model]],表格3[Model-Input-Ref2],表格3[大小電])</f>
        <v>細電</v>
      </c>
      <c r="J4960" s="86" t="str">
        <f>_xlfn.XLOOKUP(表格1[[#This Row],[Model]],表格3[Model-Input-Ref2],表格3[Code])</f>
        <v>MCA</v>
      </c>
      <c r="K4960" s="89" t="s">
        <v>2169</v>
      </c>
      <c r="L4960" s="86">
        <v>1</v>
      </c>
      <c r="M4960" s="87">
        <v>3580</v>
      </c>
      <c r="N4960" s="87">
        <f>IFERROR(表格1[[#This Row],[QTY]]*表格1[[#This Row],[Unit Price]],"-")</f>
        <v>3580</v>
      </c>
      <c r="O4960" s="86" t="s">
        <v>2268</v>
      </c>
      <c r="R4960" s="86" t="str">
        <f>_xlfn.CONCAT(表格1[[#This Row],[Model]]," ",表格1[[#This Row],[inv no]])</f>
        <v>MX2-STR25SC(WH) S056-24965</v>
      </c>
      <c r="S4960" s="86">
        <f>_xlfn.XLOOKUP(表格1[[#This Row],[Model]],表格3[Model-Input-Ref2],表格3[SRP PRICE])</f>
        <v>4998</v>
      </c>
      <c r="T4960" s="43">
        <f>表格1[[#This Row],[Unit Price]]/表格1[[#This Row],[SRP]]</f>
        <v>0.71628651460584236</v>
      </c>
      <c r="U4960" s="86" t="str">
        <f>_xlfn.XLOOKUP(表格1[[#This Row],[Model]],表格3[Model-Input-Ref2],表格3[TOSHIBA/HIGHEST])</f>
        <v>Toshiba SRP</v>
      </c>
      <c r="W4960" s="86" t="str">
        <f>_xlfn.CONCAT(表格1[[#This Row],[欄4]],表格1[[#This Row],[inv no]])</f>
        <v>S056-24965</v>
      </c>
    </row>
    <row r="4961" spans="1:23" hidden="1">
      <c r="A4961" s="81">
        <v>4959</v>
      </c>
      <c r="B4961" s="86" t="s">
        <v>2165</v>
      </c>
      <c r="C4961" s="86" t="s">
        <v>2274</v>
      </c>
      <c r="D4961" s="89" t="str">
        <f ca="1">OFFSET(Roster!$A$3,MATCH(表格1[[#This Row],[Location]]&amp;" "&amp;表格1[[#This Row],[Shop]]&amp;"*",Roster!$A$4:$A$72,0),DAY(表格1[[#This Row],[date]]),1,1)</f>
        <v>Wendy Wong_3</v>
      </c>
      <c r="E4961" s="86">
        <v>3</v>
      </c>
      <c r="F4961" s="90">
        <v>46089</v>
      </c>
      <c r="G4961" s="86" t="str">
        <f>VLOOKUP("*"&amp;表格1[[#This Row],[Input]]&amp;"*",'Ref-List'!$B:$D,2,)</f>
        <v>MX2-TT20SC(WH)</v>
      </c>
      <c r="H4961" s="86" t="str">
        <f>_xlfn.XLOOKUP(表格1[[#This Row],[Model]],表格3[Model-Input-Ref2],表格3[Product Line])</f>
        <v>3合1 微波蒸焗爐 (20公升)</v>
      </c>
      <c r="I4961" s="86" t="str">
        <f>_xlfn.XLOOKUP(表格1[[#This Row],[Model]],表格3[Model-Input-Ref2],表格3[大小電])</f>
        <v>細電</v>
      </c>
      <c r="J4961" s="86" t="str">
        <f>_xlfn.XLOOKUP(表格1[[#This Row],[Model]],表格3[Model-Input-Ref2],表格3[Code])</f>
        <v>MCA</v>
      </c>
      <c r="K4961" s="89" t="s">
        <v>2269</v>
      </c>
      <c r="L4961" s="86">
        <v>1</v>
      </c>
      <c r="M4961" s="87">
        <v>2580</v>
      </c>
      <c r="N4961" s="87">
        <f>IFERROR(表格1[[#This Row],[QTY]]*表格1[[#This Row],[Unit Price]],"-")</f>
        <v>2580</v>
      </c>
      <c r="O4961" s="86" t="s">
        <v>2270</v>
      </c>
      <c r="R4961" s="86" t="str">
        <f>_xlfn.CONCAT(表格1[[#This Row],[Model]]," ",表格1[[#This Row],[inv no]])</f>
        <v>MX2-TT20SC(WH) S056-24987</v>
      </c>
      <c r="S4961" s="86">
        <f>_xlfn.XLOOKUP(表格1[[#This Row],[Model]],表格3[Model-Input-Ref2],表格3[SRP PRICE])</f>
        <v>3580</v>
      </c>
      <c r="T4961" s="43">
        <f>表格1[[#This Row],[Unit Price]]/表格1[[#This Row],[SRP]]</f>
        <v>0.72067039106145248</v>
      </c>
      <c r="U4961" s="86" t="str">
        <f>_xlfn.XLOOKUP(表格1[[#This Row],[Model]],表格3[Model-Input-Ref2],表格3[TOSHIBA/HIGHEST])</f>
        <v>Toshiba SRP</v>
      </c>
      <c r="W4961" s="86" t="str">
        <f>_xlfn.CONCAT(表格1[[#This Row],[欄4]],表格1[[#This Row],[inv no]])</f>
        <v>S056-24987</v>
      </c>
    </row>
    <row r="4962" spans="1:23" hidden="1">
      <c r="A4962" s="81">
        <v>4960</v>
      </c>
      <c r="B4962" s="86" t="s">
        <v>2165</v>
      </c>
      <c r="C4962" s="86" t="s">
        <v>2274</v>
      </c>
      <c r="D4962" s="89" t="str">
        <f ca="1">OFFSET(Roster!$A$3,MATCH(表格1[[#This Row],[Location]]&amp;" "&amp;表格1[[#This Row],[Shop]]&amp;"*",Roster!$A$4:$A$72,0),DAY(表格1[[#This Row],[date]]),1,1)</f>
        <v>Wendy Wong_3</v>
      </c>
      <c r="E4962" s="86">
        <v>3</v>
      </c>
      <c r="F4962" s="90">
        <v>46089</v>
      </c>
      <c r="G4962" s="86" t="str">
        <f>VLOOKUP("*"&amp;表格1[[#This Row],[Input]]&amp;"*",'Ref-List'!$B:$D,2,)</f>
        <v>RC-10NMFIH(WT)</v>
      </c>
      <c r="H4962" s="86" t="str">
        <f>_xlfn.XLOOKUP(表格1[[#This Row],[Model]],表格3[Model-Input-Ref2],表格3[Product Line])</f>
        <v>4毫米厚釜電飯煲1L</v>
      </c>
      <c r="I4962" s="86" t="str">
        <f>_xlfn.XLOOKUP(表格1[[#This Row],[Model]],表格3[Model-Input-Ref2],表格3[大小電])</f>
        <v>細電</v>
      </c>
      <c r="J4962" s="86" t="str">
        <f>_xlfn.XLOOKUP(表格1[[#This Row],[Model]],表格3[Model-Input-Ref2],表格3[Code])</f>
        <v>SDA</v>
      </c>
      <c r="K4962" s="89" t="s">
        <v>1377</v>
      </c>
      <c r="L4962" s="86">
        <v>1</v>
      </c>
      <c r="M4962" s="87">
        <v>718</v>
      </c>
      <c r="N4962" s="87">
        <f>IFERROR(表格1[[#This Row],[QTY]]*表格1[[#This Row],[Unit Price]],"-")</f>
        <v>718</v>
      </c>
      <c r="O4962" s="86" t="s">
        <v>2271</v>
      </c>
      <c r="R4962" s="86" t="str">
        <f>_xlfn.CONCAT(表格1[[#This Row],[Model]]," ",表格1[[#This Row],[inv no]])</f>
        <v>RC-10NMFIH(WT) S055-10237</v>
      </c>
      <c r="S4962" s="86">
        <f>_xlfn.XLOOKUP(表格1[[#This Row],[Model]],表格3[Model-Input-Ref2],表格3[SRP PRICE])</f>
        <v>898</v>
      </c>
      <c r="T4962" s="43">
        <f>表格1[[#This Row],[Unit Price]]/表格1[[#This Row],[SRP]]</f>
        <v>0.79955456570155903</v>
      </c>
      <c r="U4962" s="86" t="str">
        <f>_xlfn.XLOOKUP(表格1[[#This Row],[Model]],表格3[Model-Input-Ref2],表格3[TOSHIBA/HIGHEST])</f>
        <v>Toshiba SRP</v>
      </c>
      <c r="W4962" s="86" t="str">
        <f>_xlfn.CONCAT(表格1[[#This Row],[欄4]],表格1[[#This Row],[inv no]])</f>
        <v>S055-10237</v>
      </c>
    </row>
    <row r="4963" spans="1:23" hidden="1">
      <c r="A4963" s="81">
        <v>4961</v>
      </c>
      <c r="B4963" s="86" t="s">
        <v>2165</v>
      </c>
      <c r="C4963" s="86" t="s">
        <v>2274</v>
      </c>
      <c r="D4963" s="89" t="str">
        <f ca="1">OFFSET(Roster!$A$3,MATCH(表格1[[#This Row],[Location]]&amp;" "&amp;表格1[[#This Row],[Shop]]&amp;"*",Roster!$A$4:$A$72,0),DAY(表格1[[#This Row],[date]]),1,1)</f>
        <v>Wendy Wong_3</v>
      </c>
      <c r="E4963" s="86">
        <v>3</v>
      </c>
      <c r="F4963" s="90">
        <v>46089</v>
      </c>
      <c r="G4963" s="86" t="str">
        <f>VLOOKUP("*"&amp;表格1[[#This Row],[Input]]&amp;"*",'Ref-List'!$B:$D,2,)</f>
        <v>TW-T22BU85UWH(WK)-B</v>
      </c>
      <c r="H4963" s="86" t="str">
        <f>_xlfn.XLOOKUP(表格1[[#This Row],[Model]],表格3[Model-Input-Ref2],表格3[Product Line])</f>
        <v>470MM超薄身前置式變頻洗衣機(7.5公斤, 可飛頂)</v>
      </c>
      <c r="I4963" s="86" t="str">
        <f>_xlfn.XLOOKUP(表格1[[#This Row],[Model]],表格3[Model-Input-Ref2],表格3[大小電])</f>
        <v>大電</v>
      </c>
      <c r="J4963" s="86" t="str">
        <f>_xlfn.XLOOKUP(表格1[[#This Row],[Model]],表格3[Model-Input-Ref2],表格3[Code])</f>
        <v>LAD</v>
      </c>
      <c r="K4963" s="89" t="s">
        <v>2272</v>
      </c>
      <c r="L4963" s="86">
        <v>1</v>
      </c>
      <c r="M4963" s="87">
        <v>3480</v>
      </c>
      <c r="N4963" s="87">
        <f>IFERROR(表格1[[#This Row],[QTY]]*表格1[[#This Row],[Unit Price]],"-")</f>
        <v>3480</v>
      </c>
      <c r="O4963" s="86" t="s">
        <v>2273</v>
      </c>
      <c r="R4963" s="86" t="str">
        <f>_xlfn.CONCAT(表格1[[#This Row],[Model]]," ",表格1[[#This Row],[inv no]])</f>
        <v>TW-T22BU85UWH(WK)-B S056-25006</v>
      </c>
      <c r="S4963" s="86">
        <f>_xlfn.XLOOKUP(表格1[[#This Row],[Model]],表格3[Model-Input-Ref2],表格3[SRP PRICE])</f>
        <v>5480</v>
      </c>
      <c r="T4963" s="43">
        <f>表格1[[#This Row],[Unit Price]]/表格1[[#This Row],[SRP]]</f>
        <v>0.63503649635036497</v>
      </c>
      <c r="U4963" s="86" t="str">
        <f>_xlfn.XLOOKUP(表格1[[#This Row],[Model]],表格3[Model-Input-Ref2],表格3[TOSHIBA/HIGHEST])</f>
        <v>Toshiba SRP</v>
      </c>
      <c r="W4963" s="86" t="str">
        <f>_xlfn.CONCAT(表格1[[#This Row],[欄4]],表格1[[#This Row],[inv no]])</f>
        <v>S056-25006</v>
      </c>
    </row>
    <row r="4964" spans="1:23" hidden="1">
      <c r="A4964" s="81">
        <v>4962</v>
      </c>
      <c r="B4964" s="86" t="s">
        <v>1477</v>
      </c>
      <c r="C4964" s="86" t="s">
        <v>1973</v>
      </c>
      <c r="D4964" s="89" t="str">
        <f ca="1">OFFSET(Roster!$A$3,MATCH(表格1[[#This Row],[Location]]&amp;" "&amp;表格1[[#This Row],[Shop]]&amp;"*",Roster!$A$4:$A$72,0),DAY(表格1[[#This Row],[date]]),1,1)</f>
        <v>Tiffany</v>
      </c>
      <c r="E4964" s="86">
        <f>MONTH(表格1[[#This Row],[date]])</f>
        <v>3</v>
      </c>
      <c r="F4964" s="90">
        <v>46082</v>
      </c>
      <c r="G4964" s="86" t="str">
        <f>VLOOKUP("*"&amp;表格1[[#This Row],[Input]]&amp;"*",'Ref-List'!$B:$D,2,)</f>
        <v>AW-Q800APH(WW)</v>
      </c>
      <c r="H4964" s="86" t="str">
        <f>_xlfn.XLOOKUP(表格1[[#This Row],[Model]],表格3[Model-Input-Ref2],表格3[Product Line])</f>
        <v>日式洗衣機 (7公斤 結合高低水位)</v>
      </c>
      <c r="I4964" s="86" t="str">
        <f>_xlfn.XLOOKUP(表格1[[#This Row],[Model]],表格3[Model-Input-Ref2],表格3[大小電])</f>
        <v>大電</v>
      </c>
      <c r="J4964" s="86" t="str">
        <f>_xlfn.XLOOKUP(表格1[[#This Row],[Model]],表格3[Model-Input-Ref2],表格3[Code])</f>
        <v>LAD</v>
      </c>
      <c r="K4964" s="89" t="s">
        <v>1479</v>
      </c>
      <c r="L4964" s="86">
        <v>1</v>
      </c>
      <c r="M4964" s="87">
        <v>2280</v>
      </c>
      <c r="N4964" s="87">
        <f>IFERROR(表格1[[#This Row],[QTY]]*表格1[[#This Row],[Unit Price]],"-")</f>
        <v>2280</v>
      </c>
      <c r="O4964" s="86">
        <v>703429</v>
      </c>
      <c r="R4964" s="86" t="str">
        <f>_xlfn.CONCAT(表格1[[#This Row],[Model]]," ",表格1[[#This Row],[inv no]])</f>
        <v>AW-Q800APH(WW) 703429</v>
      </c>
      <c r="S4964" s="86">
        <f>_xlfn.XLOOKUP(表格1[[#This Row],[Model]],表格3[Model-Input-Ref2],表格3[SRP PRICE])</f>
        <v>3580</v>
      </c>
      <c r="T4964" s="43">
        <f>表格1[[#This Row],[Unit Price]]/表格1[[#This Row],[SRP]]</f>
        <v>0.63687150837988826</v>
      </c>
      <c r="U4964" s="86" t="str">
        <f>_xlfn.XLOOKUP(表格1[[#This Row],[Model]],表格3[Model-Input-Ref2],表格3[TOSHIBA/HIGHEST])</f>
        <v>Toshiba SRP</v>
      </c>
      <c r="W4964" s="86" t="str">
        <f>_xlfn.CONCAT(表格1[[#This Row],[欄4]],表格1[[#This Row],[inv no]])</f>
        <v>703429</v>
      </c>
    </row>
    <row r="4965" spans="1:23" hidden="1">
      <c r="A4965" s="81">
        <v>4963</v>
      </c>
      <c r="B4965" s="86" t="s">
        <v>1477</v>
      </c>
      <c r="C4965" s="86" t="s">
        <v>1973</v>
      </c>
      <c r="D4965" s="89" t="str">
        <f ca="1">OFFSET(Roster!$A$3,MATCH(表格1[[#This Row],[Location]]&amp;" "&amp;表格1[[#This Row],[Shop]]&amp;"*",Roster!$A$4:$A$72,0),DAY(表格1[[#This Row],[date]]),1,1)</f>
        <v>Tiffany</v>
      </c>
      <c r="E4965" s="86">
        <f>MONTH(表格1[[#This Row],[date]])</f>
        <v>3</v>
      </c>
      <c r="F4965" s="90">
        <v>46082</v>
      </c>
      <c r="G4965" s="86" t="str">
        <f>VLOOKUP("*"&amp;表格1[[#This Row],[Input]]&amp;"*",'Ref-List'!$B:$D,2,)</f>
        <v>AW-Q901BPH(WW)</v>
      </c>
      <c r="H4965" s="86" t="str">
        <f>_xlfn.XLOOKUP(表格1[[#This Row],[Model]],表格3[Model-Input-Ref2],表格3[Product Line])</f>
        <v>日式洗衣機 (8公斤 結合高低水位)</v>
      </c>
      <c r="I4965" s="86" t="str">
        <f>_xlfn.XLOOKUP(表格1[[#This Row],[Model]],表格3[Model-Input-Ref2],表格3[大小電])</f>
        <v>大電</v>
      </c>
      <c r="J4965" s="86" t="str">
        <f>_xlfn.XLOOKUP(表格1[[#This Row],[Model]],表格3[Model-Input-Ref2],表格3[Code])</f>
        <v>LAD</v>
      </c>
      <c r="K4965" s="89" t="s">
        <v>1411</v>
      </c>
      <c r="L4965" s="86">
        <v>1</v>
      </c>
      <c r="M4965" s="87">
        <v>2280</v>
      </c>
      <c r="N4965" s="87">
        <f>IFERROR(表格1[[#This Row],[QTY]]*表格1[[#This Row],[Unit Price]],"-")</f>
        <v>2280</v>
      </c>
      <c r="O4965" s="86">
        <v>804071</v>
      </c>
      <c r="R4965" s="86" t="str">
        <f>_xlfn.CONCAT(表格1[[#This Row],[Model]]," ",表格1[[#This Row],[inv no]])</f>
        <v>AW-Q901BPH(WW) 804071</v>
      </c>
      <c r="S4965" s="86">
        <f>_xlfn.XLOOKUP(表格1[[#This Row],[Model]],表格3[Model-Input-Ref2],表格3[SRP PRICE])</f>
        <v>3780</v>
      </c>
      <c r="T4965" s="43">
        <f>表格1[[#This Row],[Unit Price]]/表格1[[#This Row],[SRP]]</f>
        <v>0.60317460317460314</v>
      </c>
      <c r="U4965" s="86" t="str">
        <f>_xlfn.XLOOKUP(表格1[[#This Row],[Model]],表格3[Model-Input-Ref2],表格3[TOSHIBA/HIGHEST])</f>
        <v>Toshiba SRP</v>
      </c>
      <c r="W4965" s="86" t="str">
        <f>_xlfn.CONCAT(表格1[[#This Row],[欄4]],表格1[[#This Row],[inv no]])</f>
        <v>804071</v>
      </c>
    </row>
    <row r="4966" spans="1:23" hidden="1">
      <c r="A4966" s="81">
        <v>4964</v>
      </c>
      <c r="B4966" s="86" t="s">
        <v>1477</v>
      </c>
      <c r="C4966" s="86" t="s">
        <v>1973</v>
      </c>
      <c r="D4966" s="89" t="str">
        <f ca="1">OFFSET(Roster!$A$3,MATCH(表格1[[#This Row],[Location]]&amp;" "&amp;表格1[[#This Row],[Shop]]&amp;"*",Roster!$A$4:$A$72,0),DAY(表格1[[#This Row],[date]]),1,1)</f>
        <v>Tiffany</v>
      </c>
      <c r="E4966" s="86">
        <f>MONTH(表格1[[#This Row],[date]])</f>
        <v>3</v>
      </c>
      <c r="F4966" s="90">
        <v>46082</v>
      </c>
      <c r="G4966" s="86" t="str">
        <f>VLOOKUP("*"&amp;表格1[[#This Row],[Input]]&amp;"*",'Ref-List'!$B:$D,2,)</f>
        <v>TW-T21BU80UWH(MG)</v>
      </c>
      <c r="H4966" s="86" t="str">
        <f>_xlfn.XLOOKUP(表格1[[#This Row],[Model]],表格3[Model-Input-Ref2],表格3[Product Line])</f>
        <v>400MM超薄身前置式變頻洗衣機(7公斤)</v>
      </c>
      <c r="I4966" s="86" t="str">
        <f>_xlfn.XLOOKUP(表格1[[#This Row],[Model]],表格3[Model-Input-Ref2],表格3[大小電])</f>
        <v>大電</v>
      </c>
      <c r="J4966" s="86" t="str">
        <f>_xlfn.XLOOKUP(表格1[[#This Row],[Model]],表格3[Model-Input-Ref2],表格3[Code])</f>
        <v>LAD</v>
      </c>
      <c r="K4966" s="89" t="s">
        <v>1280</v>
      </c>
      <c r="L4966" s="86">
        <v>1</v>
      </c>
      <c r="M4966" s="87">
        <v>3190</v>
      </c>
      <c r="N4966" s="87">
        <f>IFERROR(表格1[[#This Row],[QTY]]*表格1[[#This Row],[Unit Price]],"-")</f>
        <v>3190</v>
      </c>
      <c r="O4966" s="86">
        <v>703465</v>
      </c>
      <c r="R4966" s="86" t="str">
        <f>_xlfn.CONCAT(表格1[[#This Row],[Model]]," ",表格1[[#This Row],[inv no]])</f>
        <v>TW-T21BU80UWH(MG) 703465</v>
      </c>
      <c r="S4966" s="86">
        <f>_xlfn.XLOOKUP(表格1[[#This Row],[Model]],表格3[Model-Input-Ref2],表格3[SRP PRICE])</f>
        <v>5180</v>
      </c>
      <c r="T4966" s="43">
        <f>表格1[[#This Row],[Unit Price]]/表格1[[#This Row],[SRP]]</f>
        <v>0.61583011583011582</v>
      </c>
      <c r="U4966" s="86" t="str">
        <f>_xlfn.XLOOKUP(表格1[[#This Row],[Model]],表格3[Model-Input-Ref2],表格3[TOSHIBA/HIGHEST])</f>
        <v>Toshiba SRP</v>
      </c>
      <c r="W4966" s="86" t="str">
        <f>_xlfn.CONCAT(表格1[[#This Row],[欄4]],表格1[[#This Row],[inv no]])</f>
        <v>703465</v>
      </c>
    </row>
    <row r="4967" spans="1:23" hidden="1">
      <c r="A4967" s="81">
        <v>4965</v>
      </c>
      <c r="B4967" s="86" t="s">
        <v>1477</v>
      </c>
      <c r="C4967" s="86" t="s">
        <v>1973</v>
      </c>
      <c r="D4967" s="89" t="str">
        <f ca="1">OFFSET(Roster!$A$3,MATCH(表格1[[#This Row],[Location]]&amp;" "&amp;表格1[[#This Row],[Shop]]&amp;"*",Roster!$A$4:$A$72,0),DAY(表格1[[#This Row],[date]]),1,1)</f>
        <v>Tiffany</v>
      </c>
      <c r="E4967" s="86">
        <f>MONTH(表格1[[#This Row],[date]])</f>
        <v>3</v>
      </c>
      <c r="F4967" s="90">
        <v>46082</v>
      </c>
      <c r="G4967" s="86" t="str">
        <f>VLOOKUP("*"&amp;表格1[[#This Row],[Input]]&amp;"*",'Ref-List'!$B:$D,2,)</f>
        <v>TW-T21BU80UWH(MG)</v>
      </c>
      <c r="H4967" s="86" t="str">
        <f>_xlfn.XLOOKUP(表格1[[#This Row],[Model]],表格3[Model-Input-Ref2],表格3[Product Line])</f>
        <v>400MM超薄身前置式變頻洗衣機(7公斤)</v>
      </c>
      <c r="I4967" s="86" t="str">
        <f>_xlfn.XLOOKUP(表格1[[#This Row],[Model]],表格3[Model-Input-Ref2],表格3[大小電])</f>
        <v>大電</v>
      </c>
      <c r="J4967" s="86" t="str">
        <f>_xlfn.XLOOKUP(表格1[[#This Row],[Model]],表格3[Model-Input-Ref2],表格3[Code])</f>
        <v>LAD</v>
      </c>
      <c r="K4967" s="89" t="s">
        <v>1280</v>
      </c>
      <c r="L4967" s="86">
        <v>1</v>
      </c>
      <c r="M4967" s="87">
        <v>3190</v>
      </c>
      <c r="N4967" s="87">
        <f>IFERROR(表格1[[#This Row],[QTY]]*表格1[[#This Row],[Unit Price]],"-")</f>
        <v>3190</v>
      </c>
      <c r="O4967" s="86">
        <v>703412</v>
      </c>
      <c r="R4967" s="86" t="str">
        <f>_xlfn.CONCAT(表格1[[#This Row],[Model]]," ",表格1[[#This Row],[inv no]])</f>
        <v>TW-T21BU80UWH(MG) 703412</v>
      </c>
      <c r="S4967" s="86">
        <f>_xlfn.XLOOKUP(表格1[[#This Row],[Model]],表格3[Model-Input-Ref2],表格3[SRP PRICE])</f>
        <v>5180</v>
      </c>
      <c r="T4967" s="43">
        <f>表格1[[#This Row],[Unit Price]]/表格1[[#This Row],[SRP]]</f>
        <v>0.61583011583011582</v>
      </c>
      <c r="U4967" s="86" t="str">
        <f>_xlfn.XLOOKUP(表格1[[#This Row],[Model]],表格3[Model-Input-Ref2],表格3[TOSHIBA/HIGHEST])</f>
        <v>Toshiba SRP</v>
      </c>
      <c r="W4967" s="86" t="str">
        <f>_xlfn.CONCAT(表格1[[#This Row],[欄4]],表格1[[#This Row],[inv no]])</f>
        <v>703412</v>
      </c>
    </row>
    <row r="4968" spans="1:23" hidden="1">
      <c r="A4968" s="81">
        <v>4966</v>
      </c>
      <c r="B4968" s="86" t="s">
        <v>1477</v>
      </c>
      <c r="C4968" s="86" t="s">
        <v>1973</v>
      </c>
      <c r="D4968" s="89" t="str">
        <f ca="1">OFFSET(Roster!$A$3,MATCH(表格1[[#This Row],[Location]]&amp;" "&amp;表格1[[#This Row],[Shop]]&amp;"*",Roster!$A$4:$A$72,0),DAY(表格1[[#This Row],[date]]),1,1)</f>
        <v>Tiffany</v>
      </c>
      <c r="E4968" s="86">
        <f>MONTH(表格1[[#This Row],[date]])</f>
        <v>3</v>
      </c>
      <c r="F4968" s="90">
        <v>46082</v>
      </c>
      <c r="G4968" s="86" t="str">
        <f>VLOOKUP("*"&amp;表格1[[#This Row],[Input]]&amp;"*",'Ref-List'!$B:$D,2,)</f>
        <v>TWD-BN90GF4H(WK)</v>
      </c>
      <c r="H4968" s="86" t="str">
        <f>_xlfn.XLOOKUP(表格1[[#This Row],[Model]],表格3[Model-Input-Ref2],表格3[Product Line])</f>
        <v>超薄身前置式洗衣乾衣機 (洗8公斤 乾5公斤)</v>
      </c>
      <c r="I4968" s="86" t="str">
        <f>_xlfn.XLOOKUP(表格1[[#This Row],[Model]],表格3[Model-Input-Ref2],表格3[大小電])</f>
        <v>大電</v>
      </c>
      <c r="J4968" s="86" t="str">
        <f>_xlfn.XLOOKUP(表格1[[#This Row],[Model]],表格3[Model-Input-Ref2],表格3[Code])</f>
        <v>WM</v>
      </c>
      <c r="K4968" s="89" t="s">
        <v>1199</v>
      </c>
      <c r="L4968" s="86">
        <v>1</v>
      </c>
      <c r="M4968" s="87">
        <v>3980</v>
      </c>
      <c r="N4968" s="87">
        <f>IFERROR(表格1[[#This Row],[QTY]]*表格1[[#This Row],[Unit Price]],"-")</f>
        <v>3980</v>
      </c>
      <c r="O4968" s="86">
        <v>901917</v>
      </c>
      <c r="R4968" s="86" t="str">
        <f>_xlfn.CONCAT(表格1[[#This Row],[Model]]," ",表格1[[#This Row],[inv no]])</f>
        <v>TWD-BN90GF4H(WK) 901917</v>
      </c>
      <c r="S4968" s="86">
        <f>_xlfn.XLOOKUP(表格1[[#This Row],[Model]],表格3[Model-Input-Ref2],表格3[SRP PRICE])</f>
        <v>5980</v>
      </c>
      <c r="T4968" s="43">
        <f>表格1[[#This Row],[Unit Price]]/表格1[[#This Row],[SRP]]</f>
        <v>0.66555183946488294</v>
      </c>
      <c r="U4968" s="86" t="str">
        <f>_xlfn.XLOOKUP(表格1[[#This Row],[Model]],表格3[Model-Input-Ref2],表格3[TOSHIBA/HIGHEST])</f>
        <v>Toshiba SRP</v>
      </c>
      <c r="W4968" s="86" t="str">
        <f>_xlfn.CONCAT(表格1[[#This Row],[欄4]],表格1[[#This Row],[inv no]])</f>
        <v>901917</v>
      </c>
    </row>
    <row r="4969" spans="1:23" hidden="1">
      <c r="A4969" s="81">
        <v>4967</v>
      </c>
      <c r="B4969" s="86" t="s">
        <v>1477</v>
      </c>
      <c r="C4969" s="86" t="s">
        <v>1973</v>
      </c>
      <c r="D4969" s="89" t="str">
        <f ca="1">OFFSET(Roster!$A$3,MATCH(表格1[[#This Row],[Location]]&amp;" "&amp;表格1[[#This Row],[Shop]]&amp;"*",Roster!$A$4:$A$72,0),DAY(表格1[[#This Row],[date]]),1,1)</f>
        <v>Tiffany</v>
      </c>
      <c r="E4969" s="86">
        <f>MONTH(表格1[[#This Row],[date]])</f>
        <v>3</v>
      </c>
      <c r="F4969" s="90">
        <v>46082</v>
      </c>
      <c r="G4969" s="86" t="str">
        <f>VLOOKUP("*"&amp;表格1[[#This Row],[Input]]&amp;"*",'Ref-List'!$B:$D,2,)</f>
        <v>GR-RT300WE-PMA(57)</v>
      </c>
      <c r="H4969" s="86" t="str">
        <f>_xlfn.XLOOKUP(表格1[[#This Row],[Model]],表格3[Model-Input-Ref2],表格3[Product Line])</f>
        <v>變頻式環保雙門雪櫃(233L)</v>
      </c>
      <c r="I4969" s="86" t="str">
        <f>_xlfn.XLOOKUP(表格1[[#This Row],[Model]],表格3[Model-Input-Ref2],表格3[大小電])</f>
        <v>大電</v>
      </c>
      <c r="J4969" s="86" t="str">
        <f>_xlfn.XLOOKUP(表格1[[#This Row],[Model]],表格3[Model-Input-Ref2],表格3[Code])</f>
        <v>REF</v>
      </c>
      <c r="K4969" s="89" t="s">
        <v>1462</v>
      </c>
      <c r="L4969" s="86">
        <v>1</v>
      </c>
      <c r="M4969" s="87">
        <v>2780</v>
      </c>
      <c r="N4969" s="87">
        <f>IFERROR(表格1[[#This Row],[QTY]]*表格1[[#This Row],[Unit Price]],"-")</f>
        <v>2780</v>
      </c>
      <c r="O4969" s="86">
        <v>804101</v>
      </c>
      <c r="R4969" s="86" t="str">
        <f>_xlfn.CONCAT(表格1[[#This Row],[Model]]," ",表格1[[#This Row],[inv no]])</f>
        <v>GR-RT300WE-PMA(57) 804101</v>
      </c>
      <c r="S4969" s="86">
        <f>_xlfn.XLOOKUP(表格1[[#This Row],[Model]],表格3[Model-Input-Ref2],表格3[SRP PRICE])</f>
        <v>4280</v>
      </c>
      <c r="T4969" s="43">
        <f>表格1[[#This Row],[Unit Price]]/表格1[[#This Row],[SRP]]</f>
        <v>0.64953271028037385</v>
      </c>
      <c r="U4969" s="86" t="str">
        <f>_xlfn.XLOOKUP(表格1[[#This Row],[Model]],表格3[Model-Input-Ref2],表格3[TOSHIBA/HIGHEST])</f>
        <v>Toshiba SRP</v>
      </c>
      <c r="W4969" s="86" t="str">
        <f>_xlfn.CONCAT(表格1[[#This Row],[欄4]],表格1[[#This Row],[inv no]])</f>
        <v>804101</v>
      </c>
    </row>
    <row r="4970" spans="1:23" hidden="1">
      <c r="A4970" s="81">
        <v>4968</v>
      </c>
      <c r="B4970" s="86" t="s">
        <v>1477</v>
      </c>
      <c r="C4970" s="86" t="s">
        <v>1973</v>
      </c>
      <c r="D4970" s="89" t="str">
        <f ca="1">OFFSET(Roster!$A$3,MATCH(表格1[[#This Row],[Location]]&amp;" "&amp;表格1[[#This Row],[Shop]]&amp;"*",Roster!$A$4:$A$72,0),DAY(表格1[[#This Row],[date]]),1,1)</f>
        <v>Tiffany</v>
      </c>
      <c r="E4970" s="86">
        <f>MONTH(表格1[[#This Row],[date]])</f>
        <v>3</v>
      </c>
      <c r="F4970" s="90">
        <v>46082</v>
      </c>
      <c r="G4970" s="86" t="str">
        <f>VLOOKUP("*"&amp;表格1[[#This Row],[Input]]&amp;"*",'Ref-List'!$B:$D,2,)</f>
        <v>RC-10DRNH</v>
      </c>
      <c r="H4970" s="86" t="str">
        <f>_xlfn.XLOOKUP(表格1[[#This Row],[Model]],表格3[Model-Input-Ref2],表格3[Product Line])</f>
        <v>多功能備長炭本厚釜電飯煲1L</v>
      </c>
      <c r="I4970" s="86" t="str">
        <f>_xlfn.XLOOKUP(表格1[[#This Row],[Model]],表格3[Model-Input-Ref2],表格3[大小電])</f>
        <v>細電</v>
      </c>
      <c r="J4970" s="86" t="str">
        <f>_xlfn.XLOOKUP(表格1[[#This Row],[Model]],表格3[Model-Input-Ref2],表格3[Code])</f>
        <v>SDA</v>
      </c>
      <c r="K4970" s="89" t="s">
        <v>1376</v>
      </c>
      <c r="L4970" s="86">
        <v>1</v>
      </c>
      <c r="M4970" s="87">
        <v>537</v>
      </c>
      <c r="N4970" s="87">
        <f>IFERROR(表格1[[#This Row],[QTY]]*表格1[[#This Row],[Unit Price]],"-")</f>
        <v>537</v>
      </c>
      <c r="O4970" s="86">
        <v>804088</v>
      </c>
      <c r="R4970" s="86" t="str">
        <f>_xlfn.CONCAT(表格1[[#This Row],[Model]]," ",表格1[[#This Row],[inv no]])</f>
        <v>RC-10DRNH 804088</v>
      </c>
      <c r="S4970" s="86">
        <f>_xlfn.XLOOKUP(表格1[[#This Row],[Model]],表格3[Model-Input-Ref2],表格3[SRP PRICE])</f>
        <v>798</v>
      </c>
      <c r="T4970" s="43">
        <f>表格1[[#This Row],[Unit Price]]/表格1[[#This Row],[SRP]]</f>
        <v>0.67293233082706772</v>
      </c>
      <c r="U4970" s="86" t="str">
        <f>_xlfn.XLOOKUP(表格1[[#This Row],[Model]],表格3[Model-Input-Ref2],表格3[TOSHIBA/HIGHEST])</f>
        <v>Toshiba SRP</v>
      </c>
      <c r="W4970" s="86" t="str">
        <f>_xlfn.CONCAT(表格1[[#This Row],[欄4]],表格1[[#This Row],[inv no]])</f>
        <v>804088</v>
      </c>
    </row>
    <row r="4971" spans="1:23" hidden="1">
      <c r="A4971" s="81">
        <v>4969</v>
      </c>
      <c r="B4971" s="86" t="s">
        <v>1477</v>
      </c>
      <c r="C4971" s="86" t="s">
        <v>1973</v>
      </c>
      <c r="D4971" s="89" t="str">
        <f ca="1">OFFSET(Roster!$A$3,MATCH(表格1[[#This Row],[Location]]&amp;" "&amp;表格1[[#This Row],[Shop]]&amp;"*",Roster!$A$4:$A$72,0),DAY(表格1[[#This Row],[date]]),1,1)</f>
        <v>Tiffany</v>
      </c>
      <c r="E4971" s="86">
        <f>MONTH(表格1[[#This Row],[date]])</f>
        <v>3</v>
      </c>
      <c r="F4971" s="90">
        <v>46082</v>
      </c>
      <c r="G4971" s="86" t="str">
        <f>VLOOKUP("*"&amp;表格1[[#This Row],[Input]]&amp;"*",'Ref-List'!$B:$D,2,)</f>
        <v>RC-10NMFIH(WT)</v>
      </c>
      <c r="H4971" s="86" t="str">
        <f>_xlfn.XLOOKUP(表格1[[#This Row],[Model]],表格3[Model-Input-Ref2],表格3[Product Line])</f>
        <v>4毫米厚釜電飯煲1L</v>
      </c>
      <c r="I4971" s="86" t="str">
        <f>_xlfn.XLOOKUP(表格1[[#This Row],[Model]],表格3[Model-Input-Ref2],表格3[大小電])</f>
        <v>細電</v>
      </c>
      <c r="J4971" s="86" t="str">
        <f>_xlfn.XLOOKUP(表格1[[#This Row],[Model]],表格3[Model-Input-Ref2],表格3[Code])</f>
        <v>SDA</v>
      </c>
      <c r="K4971" s="89" t="s">
        <v>1244</v>
      </c>
      <c r="L4971" s="86">
        <v>1</v>
      </c>
      <c r="M4971" s="87">
        <v>719</v>
      </c>
      <c r="N4971" s="87">
        <f>IFERROR(表格1[[#This Row],[QTY]]*表格1[[#This Row],[Unit Price]],"-")</f>
        <v>719</v>
      </c>
      <c r="O4971" s="86">
        <v>804038</v>
      </c>
      <c r="R4971" s="86" t="str">
        <f>_xlfn.CONCAT(表格1[[#This Row],[Model]]," ",表格1[[#This Row],[inv no]])</f>
        <v>RC-10NMFIH(WT) 804038</v>
      </c>
      <c r="S4971" s="86">
        <f>_xlfn.XLOOKUP(表格1[[#This Row],[Model]],表格3[Model-Input-Ref2],表格3[SRP PRICE])</f>
        <v>898</v>
      </c>
      <c r="T4971" s="43">
        <f>表格1[[#This Row],[Unit Price]]/表格1[[#This Row],[SRP]]</f>
        <v>0.80066815144766146</v>
      </c>
      <c r="U4971" s="86" t="str">
        <f>_xlfn.XLOOKUP(表格1[[#This Row],[Model]],表格3[Model-Input-Ref2],表格3[TOSHIBA/HIGHEST])</f>
        <v>Toshiba SRP</v>
      </c>
      <c r="W4971" s="86" t="str">
        <f>_xlfn.CONCAT(表格1[[#This Row],[欄4]],表格1[[#This Row],[inv no]])</f>
        <v>804038</v>
      </c>
    </row>
    <row r="4972" spans="1:23" hidden="1">
      <c r="A4972" s="81">
        <v>4970</v>
      </c>
      <c r="B4972" s="86" t="s">
        <v>1477</v>
      </c>
      <c r="C4972" s="86" t="s">
        <v>1973</v>
      </c>
      <c r="D4972" s="89" t="str">
        <f ca="1">OFFSET(Roster!$A$3,MATCH(表格1[[#This Row],[Location]]&amp;" "&amp;表格1[[#This Row],[Shop]]&amp;"*",Roster!$A$4:$A$72,0),DAY(表格1[[#This Row],[date]]),1,1)</f>
        <v>Tiffany</v>
      </c>
      <c r="E4972" s="86">
        <f>MONTH(表格1[[#This Row],[date]])</f>
        <v>3</v>
      </c>
      <c r="F4972" s="90">
        <v>46082</v>
      </c>
      <c r="G4972" s="86" t="str">
        <f>VLOOKUP("*"&amp;表格1[[#This Row],[Input]]&amp;"*",'Ref-List'!$B:$D,2,)</f>
        <v>RC-18NMFIH(WT)</v>
      </c>
      <c r="H4972" s="86" t="str">
        <f>_xlfn.XLOOKUP(表格1[[#This Row],[Model]],表格3[Model-Input-Ref2],表格3[Product Line])</f>
        <v>4毫米厚釜電飯煲1.8L</v>
      </c>
      <c r="I4972" s="86" t="str">
        <f>_xlfn.XLOOKUP(表格1[[#This Row],[Model]],表格3[Model-Input-Ref2],表格3[大小電])</f>
        <v>細電</v>
      </c>
      <c r="J4972" s="86" t="str">
        <f>_xlfn.XLOOKUP(表格1[[#This Row],[Model]],表格3[Model-Input-Ref2],表格3[Code])</f>
        <v>SDA</v>
      </c>
      <c r="K4972" s="89" t="s">
        <v>1267</v>
      </c>
      <c r="L4972" s="86">
        <v>1</v>
      </c>
      <c r="M4972" s="87">
        <v>799</v>
      </c>
      <c r="N4972" s="87">
        <f>IFERROR(表格1[[#This Row],[QTY]]*表格1[[#This Row],[Unit Price]],"-")</f>
        <v>799</v>
      </c>
      <c r="O4972" s="86">
        <v>901879</v>
      </c>
      <c r="R4972" s="86" t="str">
        <f>_xlfn.CONCAT(表格1[[#This Row],[Model]]," ",表格1[[#This Row],[inv no]])</f>
        <v>RC-18NMFIH(WT) 901879</v>
      </c>
      <c r="S4972" s="86">
        <f>_xlfn.XLOOKUP(表格1[[#This Row],[Model]],表格3[Model-Input-Ref2],表格3[SRP PRICE])</f>
        <v>998</v>
      </c>
      <c r="T4972" s="43">
        <f>表格1[[#This Row],[Unit Price]]/表格1[[#This Row],[SRP]]</f>
        <v>0.80060120240480959</v>
      </c>
      <c r="U4972" s="86" t="str">
        <f>_xlfn.XLOOKUP(表格1[[#This Row],[Model]],表格3[Model-Input-Ref2],表格3[TOSHIBA/HIGHEST])</f>
        <v>Toshiba SRP</v>
      </c>
      <c r="W4972" s="86" t="str">
        <f>_xlfn.CONCAT(表格1[[#This Row],[欄4]],表格1[[#This Row],[inv no]])</f>
        <v>901879</v>
      </c>
    </row>
    <row r="4973" spans="1:23" hidden="1">
      <c r="A4973" s="81">
        <v>4971</v>
      </c>
      <c r="B4973" s="86" t="s">
        <v>1477</v>
      </c>
      <c r="C4973" s="86" t="s">
        <v>1973</v>
      </c>
      <c r="D4973" s="89" t="str">
        <f ca="1">OFFSET(Roster!$A$3,MATCH(表格1[[#This Row],[Location]]&amp;" "&amp;表格1[[#This Row],[Shop]]&amp;"*",Roster!$A$4:$A$72,0),DAY(表格1[[#This Row],[date]]),1,1)</f>
        <v>Tiffany</v>
      </c>
      <c r="E4973" s="86">
        <f>MONTH(表格1[[#This Row],[date]])</f>
        <v>3</v>
      </c>
      <c r="F4973" s="90">
        <v>46082</v>
      </c>
      <c r="G4973" s="86" t="str">
        <f>VLOOKUP("*"&amp;表格1[[#This Row],[Input]]&amp;"*",'Ref-List'!$B:$D,2,)</f>
        <v>RC-18NMFIH(WT)</v>
      </c>
      <c r="H4973" s="86" t="str">
        <f>_xlfn.XLOOKUP(表格1[[#This Row],[Model]],表格3[Model-Input-Ref2],表格3[Product Line])</f>
        <v>4毫米厚釜電飯煲1.8L</v>
      </c>
      <c r="I4973" s="86" t="str">
        <f>_xlfn.XLOOKUP(表格1[[#This Row],[Model]],表格3[Model-Input-Ref2],表格3[大小電])</f>
        <v>細電</v>
      </c>
      <c r="J4973" s="86" t="str">
        <f>_xlfn.XLOOKUP(表格1[[#This Row],[Model]],表格3[Model-Input-Ref2],表格3[Code])</f>
        <v>SDA</v>
      </c>
      <c r="K4973" s="89" t="s">
        <v>1267</v>
      </c>
      <c r="L4973" s="86">
        <v>1</v>
      </c>
      <c r="M4973" s="87">
        <v>799</v>
      </c>
      <c r="N4973" s="87">
        <f>IFERROR(表格1[[#This Row],[QTY]]*表格1[[#This Row],[Unit Price]],"-")</f>
        <v>799</v>
      </c>
      <c r="O4973" s="86">
        <v>901881</v>
      </c>
      <c r="R4973" s="86" t="str">
        <f>_xlfn.CONCAT(表格1[[#This Row],[Model]]," ",表格1[[#This Row],[inv no]])</f>
        <v>RC-18NMFIH(WT) 901881</v>
      </c>
      <c r="S4973" s="86">
        <f>_xlfn.XLOOKUP(表格1[[#This Row],[Model]],表格3[Model-Input-Ref2],表格3[SRP PRICE])</f>
        <v>998</v>
      </c>
      <c r="T4973" s="43">
        <f>表格1[[#This Row],[Unit Price]]/表格1[[#This Row],[SRP]]</f>
        <v>0.80060120240480959</v>
      </c>
      <c r="U4973" s="86" t="str">
        <f>_xlfn.XLOOKUP(表格1[[#This Row],[Model]],表格3[Model-Input-Ref2],表格3[TOSHIBA/HIGHEST])</f>
        <v>Toshiba SRP</v>
      </c>
      <c r="W4973" s="86" t="str">
        <f>_xlfn.CONCAT(表格1[[#This Row],[欄4]],表格1[[#This Row],[inv no]])</f>
        <v>901881</v>
      </c>
    </row>
    <row r="4974" spans="1:23" hidden="1">
      <c r="A4974" s="81">
        <v>4972</v>
      </c>
      <c r="B4974" s="86" t="s">
        <v>1477</v>
      </c>
      <c r="C4974" s="86" t="s">
        <v>1973</v>
      </c>
      <c r="D4974" s="89" t="str">
        <f ca="1">OFFSET(Roster!$A$3,MATCH(表格1[[#This Row],[Location]]&amp;" "&amp;表格1[[#This Row],[Shop]]&amp;"*",Roster!$A$4:$A$72,0),DAY(表格1[[#This Row],[date]]),1,1)</f>
        <v>Tiffany</v>
      </c>
      <c r="E4974" s="86">
        <f>MONTH(表格1[[#This Row],[date]])</f>
        <v>3</v>
      </c>
      <c r="F4974" s="90">
        <v>46082</v>
      </c>
      <c r="G4974" s="86" t="str">
        <f>VLOOKUP("*"&amp;表格1[[#This Row],[Input]]&amp;"*",'Ref-List'!$B:$D,2,)</f>
        <v>RC-7HMH</v>
      </c>
      <c r="H4974" s="86" t="str">
        <f>_xlfn.XLOOKUP(表格1[[#This Row],[Model]],表格3[Model-Input-Ref2],表格3[Product Line])</f>
        <v>備長炭本厚釜電飯煲0.7L</v>
      </c>
      <c r="I4974" s="86" t="str">
        <f>_xlfn.XLOOKUP(表格1[[#This Row],[Model]],表格3[Model-Input-Ref2],表格3[大小電])</f>
        <v>細電</v>
      </c>
      <c r="J4974" s="86" t="str">
        <f>_xlfn.XLOOKUP(表格1[[#This Row],[Model]],表格3[Model-Input-Ref2],表格3[Code])</f>
        <v>SDA</v>
      </c>
      <c r="K4974" s="89" t="s">
        <v>1284</v>
      </c>
      <c r="L4974" s="86">
        <v>1</v>
      </c>
      <c r="M4974" s="87">
        <v>838</v>
      </c>
      <c r="N4974" s="87">
        <f>IFERROR(表格1[[#This Row],[QTY]]*表格1[[#This Row],[Unit Price]],"-")</f>
        <v>838</v>
      </c>
      <c r="O4974" s="86">
        <v>901880</v>
      </c>
      <c r="R4974" s="86" t="str">
        <f>_xlfn.CONCAT(表格1[[#This Row],[Model]]," ",表格1[[#This Row],[inv no]])</f>
        <v>RC-7HMH 901880</v>
      </c>
      <c r="S4974" s="86">
        <f>_xlfn.XLOOKUP(表格1[[#This Row],[Model]],表格3[Model-Input-Ref2],表格3[SRP PRICE])</f>
        <v>1288</v>
      </c>
      <c r="T4974" s="43">
        <f>表格1[[#This Row],[Unit Price]]/表格1[[#This Row],[SRP]]</f>
        <v>0.65062111801242239</v>
      </c>
      <c r="U4974" s="86" t="str">
        <f>_xlfn.XLOOKUP(表格1[[#This Row],[Model]],表格3[Model-Input-Ref2],表格3[TOSHIBA/HIGHEST])</f>
        <v>Toshiba SRP</v>
      </c>
      <c r="W4974" s="86" t="str">
        <f>_xlfn.CONCAT(表格1[[#This Row],[欄4]],表格1[[#This Row],[inv no]])</f>
        <v>901880</v>
      </c>
    </row>
    <row r="4975" spans="1:23" hidden="1">
      <c r="A4975" s="81">
        <v>4973</v>
      </c>
      <c r="B4975" s="86" t="s">
        <v>1477</v>
      </c>
      <c r="C4975" s="86" t="s">
        <v>1973</v>
      </c>
      <c r="D4975" s="89" t="str">
        <f ca="1">OFFSET(Roster!$A$3,MATCH(表格1[[#This Row],[Location]]&amp;" "&amp;表格1[[#This Row],[Shop]]&amp;"*",Roster!$A$4:$A$72,0),DAY(表格1[[#This Row],[date]]),1,1)</f>
        <v>Tiffany</v>
      </c>
      <c r="E4975" s="86">
        <f>MONTH(表格1[[#This Row],[date]])</f>
        <v>3</v>
      </c>
      <c r="F4975" s="90">
        <v>46082</v>
      </c>
      <c r="G4975" s="86" t="str">
        <f>VLOOKUP("*"&amp;表格1[[#This Row],[Input]]&amp;"*",'Ref-List'!$B:$D,2,)</f>
        <v>PLK-45SFIH(WT)</v>
      </c>
      <c r="H4975" s="86" t="str">
        <f>_xlfn.XLOOKUP(表格1[[#This Row],[Model]],表格3[Model-Input-Ref2],表格3[Product Line])</f>
        <v>電熱水瓶4.5L</v>
      </c>
      <c r="I4975" s="86" t="str">
        <f>_xlfn.XLOOKUP(表格1[[#This Row],[Model]],表格3[Model-Input-Ref2],表格3[大小電])</f>
        <v>細電</v>
      </c>
      <c r="J4975" s="86" t="str">
        <f>_xlfn.XLOOKUP(表格1[[#This Row],[Model]],表格3[Model-Input-Ref2],表格3[Code])</f>
        <v>SDA</v>
      </c>
      <c r="K4975" s="89" t="s">
        <v>1117</v>
      </c>
      <c r="L4975" s="86">
        <v>1</v>
      </c>
      <c r="M4975" s="87">
        <v>589</v>
      </c>
      <c r="N4975" s="87">
        <f>IFERROR(表格1[[#This Row],[QTY]]*表格1[[#This Row],[Unit Price]],"-")</f>
        <v>589</v>
      </c>
      <c r="O4975" s="86">
        <v>804027</v>
      </c>
      <c r="R4975" s="86" t="str">
        <f>_xlfn.CONCAT(表格1[[#This Row],[Model]]," ",表格1[[#This Row],[inv no]])</f>
        <v>PLK-45SFIH(WT) 804027</v>
      </c>
      <c r="S4975" s="86">
        <f>_xlfn.XLOOKUP(表格1[[#This Row],[Model]],表格3[Model-Input-Ref2],表格3[SRP PRICE])</f>
        <v>788</v>
      </c>
      <c r="T4975" s="43">
        <f>表格1[[#This Row],[Unit Price]]/表格1[[#This Row],[SRP]]</f>
        <v>0.7474619289340102</v>
      </c>
      <c r="U4975" s="86" t="str">
        <f>_xlfn.XLOOKUP(表格1[[#This Row],[Model]],表格3[Model-Input-Ref2],表格3[TOSHIBA/HIGHEST])</f>
        <v>Toshiba SRP</v>
      </c>
      <c r="W4975" s="86" t="str">
        <f>_xlfn.CONCAT(表格1[[#This Row],[欄4]],表格1[[#This Row],[inv no]])</f>
        <v>804027</v>
      </c>
    </row>
    <row r="4976" spans="1:23" hidden="1">
      <c r="A4976" s="81">
        <v>4974</v>
      </c>
      <c r="B4976" s="86" t="s">
        <v>1477</v>
      </c>
      <c r="C4976" s="86" t="s">
        <v>1973</v>
      </c>
      <c r="D4976" s="89" t="str">
        <f ca="1">OFFSET(Roster!$A$3,MATCH(表格1[[#This Row],[Location]]&amp;" "&amp;表格1[[#This Row],[Shop]]&amp;"*",Roster!$A$4:$A$72,0),DAY(表格1[[#This Row],[date]]),1,1)</f>
        <v>Tiffany</v>
      </c>
      <c r="E4976" s="86">
        <f>MONTH(表格1[[#This Row],[date]])</f>
        <v>3</v>
      </c>
      <c r="F4976" s="90">
        <v>46082</v>
      </c>
      <c r="G4976" s="86" t="str">
        <f>VLOOKUP("*"&amp;表格1[[#This Row],[Input]]&amp;"*",'Ref-List'!$B:$D,2,)</f>
        <v>RAD-D300H</v>
      </c>
      <c r="H4976" s="86" t="str">
        <f>_xlfn.XLOOKUP(表格1[[#This Row],[Model]],表格3[Model-Input-Ref2],表格3[Product Line])</f>
        <v>壓縮式抽濕機 (30公升)</v>
      </c>
      <c r="I4976" s="86" t="str">
        <f>_xlfn.XLOOKUP(表格1[[#This Row],[Model]],表格3[Model-Input-Ref2],表格3[大小電])</f>
        <v>細電</v>
      </c>
      <c r="J4976" s="86" t="str">
        <f>_xlfn.XLOOKUP(表格1[[#This Row],[Model]],表格3[Model-Input-Ref2],表格3[Code])</f>
        <v>RAC</v>
      </c>
      <c r="K4976" s="89" t="s">
        <v>1252</v>
      </c>
      <c r="L4976" s="86">
        <v>1</v>
      </c>
      <c r="M4976" s="87">
        <v>2280</v>
      </c>
      <c r="N4976" s="87">
        <f>IFERROR(表格1[[#This Row],[QTY]]*表格1[[#This Row],[Unit Price]],"-")</f>
        <v>2280</v>
      </c>
      <c r="O4976" s="86">
        <v>703417</v>
      </c>
      <c r="R4976" s="86" t="str">
        <f>_xlfn.CONCAT(表格1[[#This Row],[Model]]," ",表格1[[#This Row],[inv no]])</f>
        <v>RAD-D300H 703417</v>
      </c>
      <c r="S4976" s="86">
        <f>_xlfn.XLOOKUP(表格1[[#This Row],[Model]],表格3[Model-Input-Ref2],表格3[SRP PRICE])</f>
        <v>3380</v>
      </c>
      <c r="T4976" s="43">
        <f>表格1[[#This Row],[Unit Price]]/表格1[[#This Row],[SRP]]</f>
        <v>0.67455621301775148</v>
      </c>
      <c r="U4976" s="86" t="str">
        <f>_xlfn.XLOOKUP(表格1[[#This Row],[Model]],表格3[Model-Input-Ref2],表格3[TOSHIBA/HIGHEST])</f>
        <v>Shops Highest Price</v>
      </c>
      <c r="W4976" s="86" t="str">
        <f>_xlfn.CONCAT(表格1[[#This Row],[欄4]],表格1[[#This Row],[inv no]])</f>
        <v>703417</v>
      </c>
    </row>
    <row r="4977" spans="1:23" hidden="1">
      <c r="A4977" s="81">
        <v>4975</v>
      </c>
      <c r="B4977" s="86" t="s">
        <v>1477</v>
      </c>
      <c r="C4977" s="86" t="s">
        <v>1973</v>
      </c>
      <c r="D4977" s="89" t="str">
        <f ca="1">OFFSET(Roster!$A$3,MATCH(表格1[[#This Row],[Location]]&amp;" "&amp;表格1[[#This Row],[Shop]]&amp;"*",Roster!$A$4:$A$72,0),DAY(表格1[[#This Row],[date]]),1,1)</f>
        <v>Tiffany</v>
      </c>
      <c r="E4977" s="86">
        <f>MONTH(表格1[[#This Row],[date]])</f>
        <v>3</v>
      </c>
      <c r="F4977" s="90">
        <v>46082</v>
      </c>
      <c r="G4977" s="86" t="str">
        <f>VLOOKUP("*"&amp;表格1[[#This Row],[Input]]&amp;"*",'Ref-List'!$B:$D,2,)</f>
        <v>RAD-D300H</v>
      </c>
      <c r="H4977" s="86" t="str">
        <f>_xlfn.XLOOKUP(表格1[[#This Row],[Model]],表格3[Model-Input-Ref2],表格3[Product Line])</f>
        <v>壓縮式抽濕機 (30公升)</v>
      </c>
      <c r="I4977" s="86" t="str">
        <f>_xlfn.XLOOKUP(表格1[[#This Row],[Model]],表格3[Model-Input-Ref2],表格3[大小電])</f>
        <v>細電</v>
      </c>
      <c r="J4977" s="86" t="str">
        <f>_xlfn.XLOOKUP(表格1[[#This Row],[Model]],表格3[Model-Input-Ref2],表格3[Code])</f>
        <v>RAC</v>
      </c>
      <c r="K4977" s="89" t="s">
        <v>1252</v>
      </c>
      <c r="L4977" s="86">
        <v>1</v>
      </c>
      <c r="M4977" s="87">
        <v>2280</v>
      </c>
      <c r="N4977" s="87">
        <f>IFERROR(表格1[[#This Row],[QTY]]*表格1[[#This Row],[Unit Price]],"-")</f>
        <v>2280</v>
      </c>
      <c r="O4977" s="86">
        <v>804074</v>
      </c>
      <c r="R4977" s="86" t="str">
        <f>_xlfn.CONCAT(表格1[[#This Row],[Model]]," ",表格1[[#This Row],[inv no]])</f>
        <v>RAD-D300H 804074</v>
      </c>
      <c r="S4977" s="86">
        <f>_xlfn.XLOOKUP(表格1[[#This Row],[Model]],表格3[Model-Input-Ref2],表格3[SRP PRICE])</f>
        <v>3380</v>
      </c>
      <c r="T4977" s="43">
        <f>表格1[[#This Row],[Unit Price]]/表格1[[#This Row],[SRP]]</f>
        <v>0.67455621301775148</v>
      </c>
      <c r="U4977" s="86" t="str">
        <f>_xlfn.XLOOKUP(表格1[[#This Row],[Model]],表格3[Model-Input-Ref2],表格3[TOSHIBA/HIGHEST])</f>
        <v>Shops Highest Price</v>
      </c>
      <c r="W4977" s="86" t="str">
        <f>_xlfn.CONCAT(表格1[[#This Row],[欄4]],表格1[[#This Row],[inv no]])</f>
        <v>804074</v>
      </c>
    </row>
    <row r="4978" spans="1:23" hidden="1">
      <c r="A4978" s="81">
        <v>4976</v>
      </c>
      <c r="B4978" s="86" t="s">
        <v>1477</v>
      </c>
      <c r="C4978" s="86" t="s">
        <v>1973</v>
      </c>
      <c r="D4978" s="89" t="str">
        <f ca="1">OFFSET(Roster!$A$3,MATCH(表格1[[#This Row],[Location]]&amp;" "&amp;表格1[[#This Row],[Shop]]&amp;"*",Roster!$A$4:$A$72,0),DAY(表格1[[#This Row],[date]]),1,1)</f>
        <v>Tiffany</v>
      </c>
      <c r="E4978" s="86">
        <f>MONTH(表格1[[#This Row],[date]])</f>
        <v>3</v>
      </c>
      <c r="F4978" s="90">
        <v>46082</v>
      </c>
      <c r="G4978" s="86" t="str">
        <f>VLOOKUP("*"&amp;表格1[[#This Row],[Input]]&amp;"*",'Ref-List'!$B:$D,2,)</f>
        <v>RAD-D300H</v>
      </c>
      <c r="H4978" s="86" t="str">
        <f>_xlfn.XLOOKUP(表格1[[#This Row],[Model]],表格3[Model-Input-Ref2],表格3[Product Line])</f>
        <v>壓縮式抽濕機 (30公升)</v>
      </c>
      <c r="I4978" s="86" t="str">
        <f>_xlfn.XLOOKUP(表格1[[#This Row],[Model]],表格3[Model-Input-Ref2],表格3[大小電])</f>
        <v>細電</v>
      </c>
      <c r="J4978" s="86" t="str">
        <f>_xlfn.XLOOKUP(表格1[[#This Row],[Model]],表格3[Model-Input-Ref2],表格3[Code])</f>
        <v>RAC</v>
      </c>
      <c r="K4978" s="89" t="s">
        <v>1252</v>
      </c>
      <c r="L4978" s="86">
        <v>1</v>
      </c>
      <c r="M4978" s="87">
        <v>2280</v>
      </c>
      <c r="N4978" s="87">
        <f>IFERROR(表格1[[#This Row],[QTY]]*表格1[[#This Row],[Unit Price]],"-")</f>
        <v>2280</v>
      </c>
      <c r="O4978" s="86">
        <v>804060</v>
      </c>
      <c r="R4978" s="86" t="str">
        <f>_xlfn.CONCAT(表格1[[#This Row],[Model]]," ",表格1[[#This Row],[inv no]])</f>
        <v>RAD-D300H 804060</v>
      </c>
      <c r="S4978" s="86">
        <f>_xlfn.XLOOKUP(表格1[[#This Row],[Model]],表格3[Model-Input-Ref2],表格3[SRP PRICE])</f>
        <v>3380</v>
      </c>
      <c r="T4978" s="43">
        <f>表格1[[#This Row],[Unit Price]]/表格1[[#This Row],[SRP]]</f>
        <v>0.67455621301775148</v>
      </c>
      <c r="U4978" s="86" t="str">
        <f>_xlfn.XLOOKUP(表格1[[#This Row],[Model]],表格3[Model-Input-Ref2],表格3[TOSHIBA/HIGHEST])</f>
        <v>Shops Highest Price</v>
      </c>
      <c r="W4978" s="86" t="str">
        <f>_xlfn.CONCAT(表格1[[#This Row],[欄4]],表格1[[#This Row],[inv no]])</f>
        <v>804060</v>
      </c>
    </row>
    <row r="4979" spans="1:23" hidden="1">
      <c r="A4979" s="81">
        <v>4977</v>
      </c>
      <c r="B4979" s="86" t="s">
        <v>1477</v>
      </c>
      <c r="C4979" s="86" t="s">
        <v>1973</v>
      </c>
      <c r="D4979" s="89" t="str">
        <f ca="1">OFFSET(Roster!$A$3,MATCH(表格1[[#This Row],[Location]]&amp;" "&amp;表格1[[#This Row],[Shop]]&amp;"*",Roster!$A$4:$A$72,0),DAY(表格1[[#This Row],[date]]),1,1)</f>
        <v>Tiffany</v>
      </c>
      <c r="E4979" s="86">
        <f>MONTH(表格1[[#This Row],[date]])</f>
        <v>3</v>
      </c>
      <c r="F4979" s="90">
        <v>46086</v>
      </c>
      <c r="G4979" s="86" t="str">
        <f>VLOOKUP("*"&amp;表格1[[#This Row],[Input]]&amp;"*",'Ref-List'!$B:$D,2,)</f>
        <v>TW-T21BU80UWH(MG)</v>
      </c>
      <c r="H4979" s="86" t="str">
        <f>_xlfn.XLOOKUP(表格1[[#This Row],[Model]],表格3[Model-Input-Ref2],表格3[Product Line])</f>
        <v>400MM超薄身前置式變頻洗衣機(7公斤)</v>
      </c>
      <c r="I4979" s="86" t="str">
        <f>_xlfn.XLOOKUP(表格1[[#This Row],[Model]],表格3[Model-Input-Ref2],表格3[大小電])</f>
        <v>大電</v>
      </c>
      <c r="J4979" s="86" t="str">
        <f>_xlfn.XLOOKUP(表格1[[#This Row],[Model]],表格3[Model-Input-Ref2],表格3[Code])</f>
        <v>LAD</v>
      </c>
      <c r="K4979" s="89" t="s">
        <v>1280</v>
      </c>
      <c r="L4979" s="86">
        <v>1</v>
      </c>
      <c r="M4979" s="87">
        <v>3190</v>
      </c>
      <c r="N4979" s="87">
        <f>IFERROR(表格1[[#This Row],[QTY]]*表格1[[#This Row],[Unit Price]],"-")</f>
        <v>3190</v>
      </c>
      <c r="O4979" s="86">
        <v>804333</v>
      </c>
      <c r="R4979" s="86" t="str">
        <f>_xlfn.CONCAT(表格1[[#This Row],[Model]]," ",表格1[[#This Row],[inv no]])</f>
        <v>TW-T21BU80UWH(MG) 804333</v>
      </c>
      <c r="S4979" s="86">
        <f>_xlfn.XLOOKUP(表格1[[#This Row],[Model]],表格3[Model-Input-Ref2],表格3[SRP PRICE])</f>
        <v>5180</v>
      </c>
      <c r="T4979" s="43">
        <f>表格1[[#This Row],[Unit Price]]/表格1[[#This Row],[SRP]]</f>
        <v>0.61583011583011582</v>
      </c>
      <c r="U4979" s="86" t="str">
        <f>_xlfn.XLOOKUP(表格1[[#This Row],[Model]],表格3[Model-Input-Ref2],表格3[TOSHIBA/HIGHEST])</f>
        <v>Toshiba SRP</v>
      </c>
      <c r="W4979" s="86" t="str">
        <f>_xlfn.CONCAT(表格1[[#This Row],[欄4]],表格1[[#This Row],[inv no]])</f>
        <v>804333</v>
      </c>
    </row>
    <row r="4980" spans="1:23" hidden="1">
      <c r="A4980" s="81">
        <v>4978</v>
      </c>
      <c r="B4980" s="86" t="s">
        <v>1477</v>
      </c>
      <c r="C4980" s="86" t="s">
        <v>1973</v>
      </c>
      <c r="D4980" s="89" t="str">
        <f ca="1">OFFSET(Roster!$A$3,MATCH(表格1[[#This Row],[Location]]&amp;" "&amp;表格1[[#This Row],[Shop]]&amp;"*",Roster!$A$4:$A$72,0),DAY(表格1[[#This Row],[date]]),1,1)</f>
        <v>Tiffany</v>
      </c>
      <c r="E4980" s="86">
        <f>MONTH(表格1[[#This Row],[date]])</f>
        <v>3</v>
      </c>
      <c r="F4980" s="90">
        <v>46086</v>
      </c>
      <c r="G4980" s="86" t="str">
        <f>VLOOKUP("*"&amp;表格1[[#This Row],[Input]]&amp;"*",'Ref-List'!$B:$D,2,)</f>
        <v>TW-T22BU95UWH(WK)-B</v>
      </c>
      <c r="H4980" s="86" t="str">
        <f>_xlfn.XLOOKUP(表格1[[#This Row],[Model]],表格3[Model-Input-Ref2],表格3[Product Line])</f>
        <v>470MM超薄身前置式變頻洗衣機(8.5公斤, 可飛頂)</v>
      </c>
      <c r="I4980" s="86" t="str">
        <f>_xlfn.XLOOKUP(表格1[[#This Row],[Model]],表格3[Model-Input-Ref2],表格3[大小電])</f>
        <v>大電</v>
      </c>
      <c r="J4980" s="86" t="str">
        <f>_xlfn.XLOOKUP(表格1[[#This Row],[Model]],表格3[Model-Input-Ref2],表格3[Code])</f>
        <v>LAD</v>
      </c>
      <c r="K4980" s="89" t="s">
        <v>969</v>
      </c>
      <c r="L4980" s="86">
        <v>1</v>
      </c>
      <c r="M4980" s="87">
        <v>3680</v>
      </c>
      <c r="N4980" s="87">
        <f>IFERROR(表格1[[#This Row],[QTY]]*表格1[[#This Row],[Unit Price]],"-")</f>
        <v>3680</v>
      </c>
      <c r="O4980" s="86">
        <v>804383</v>
      </c>
      <c r="R4980" s="86" t="str">
        <f>_xlfn.CONCAT(表格1[[#This Row],[Model]]," ",表格1[[#This Row],[inv no]])</f>
        <v>TW-T22BU95UWH(WK)-B 804383</v>
      </c>
      <c r="S4980" s="86">
        <f>_xlfn.XLOOKUP(表格1[[#This Row],[Model]],表格3[Model-Input-Ref2],表格3[SRP PRICE])</f>
        <v>5880</v>
      </c>
      <c r="T4980" s="43">
        <f>表格1[[#This Row],[Unit Price]]/表格1[[#This Row],[SRP]]</f>
        <v>0.62585034013605445</v>
      </c>
      <c r="U4980" s="86" t="str">
        <f>_xlfn.XLOOKUP(表格1[[#This Row],[Model]],表格3[Model-Input-Ref2],表格3[TOSHIBA/HIGHEST])</f>
        <v>Toshiba SRP</v>
      </c>
      <c r="W4980" s="86" t="str">
        <f>_xlfn.CONCAT(表格1[[#This Row],[欄4]],表格1[[#This Row],[inv no]])</f>
        <v>804383</v>
      </c>
    </row>
    <row r="4981" spans="1:23" hidden="1">
      <c r="A4981" s="81">
        <v>4979</v>
      </c>
      <c r="B4981" s="86" t="s">
        <v>1477</v>
      </c>
      <c r="C4981" s="86" t="s">
        <v>1973</v>
      </c>
      <c r="D4981" s="89" t="str">
        <f ca="1">OFFSET(Roster!$A$3,MATCH(表格1[[#This Row],[Location]]&amp;" "&amp;表格1[[#This Row],[Shop]]&amp;"*",Roster!$A$4:$A$72,0),DAY(表格1[[#This Row],[date]]),1,1)</f>
        <v>Tiffany</v>
      </c>
      <c r="E4981" s="86">
        <f>MONTH(表格1[[#This Row],[date]])</f>
        <v>3</v>
      </c>
      <c r="F4981" s="90">
        <v>46086</v>
      </c>
      <c r="G4981" s="86" t="str">
        <f>VLOOKUP("*"&amp;表格1[[#This Row],[Input]]&amp;"*",'Ref-List'!$B:$D,2,)</f>
        <v>TWD-T22BU95UWH(WK)-B</v>
      </c>
      <c r="H4981" s="86" t="str">
        <f>_xlfn.XLOOKUP(表格1[[#This Row],[Model]],表格3[Model-Input-Ref2],表格3[Product Line])</f>
        <v>470MM超薄身前置式變頻洗衣乾衣機 (洗8.5公斤/乾6公斤, 可飛頂)</v>
      </c>
      <c r="I4981" s="86" t="str">
        <f>_xlfn.XLOOKUP(表格1[[#This Row],[Model]],表格3[Model-Input-Ref2],表格3[大小電])</f>
        <v>大電</v>
      </c>
      <c r="J4981" s="86" t="str">
        <f>_xlfn.XLOOKUP(表格1[[#This Row],[Model]],表格3[Model-Input-Ref2],表格3[Code])</f>
        <v>LAD</v>
      </c>
      <c r="K4981" s="89" t="s">
        <v>1421</v>
      </c>
      <c r="L4981" s="86">
        <v>1</v>
      </c>
      <c r="M4981" s="87">
        <v>4780</v>
      </c>
      <c r="N4981" s="87">
        <f>IFERROR(表格1[[#This Row],[QTY]]*表格1[[#This Row],[Unit Price]],"-")</f>
        <v>4780</v>
      </c>
      <c r="O4981" s="86">
        <v>703562</v>
      </c>
      <c r="R4981" s="86" t="str">
        <f>_xlfn.CONCAT(表格1[[#This Row],[Model]]," ",表格1[[#This Row],[inv no]])</f>
        <v>TWD-T22BU95UWH(WK)-B 703562</v>
      </c>
      <c r="S4981" s="86">
        <f>_xlfn.XLOOKUP(表格1[[#This Row],[Model]],表格3[Model-Input-Ref2],表格3[SRP PRICE])</f>
        <v>7480</v>
      </c>
      <c r="T4981" s="43">
        <f>表格1[[#This Row],[Unit Price]]/表格1[[#This Row],[SRP]]</f>
        <v>0.63903743315508021</v>
      </c>
      <c r="U4981" s="86" t="str">
        <f>_xlfn.XLOOKUP(表格1[[#This Row],[Model]],表格3[Model-Input-Ref2],表格3[TOSHIBA/HIGHEST])</f>
        <v>Toshiba SRP</v>
      </c>
      <c r="W4981" s="86" t="str">
        <f>_xlfn.CONCAT(表格1[[#This Row],[欄4]],表格1[[#This Row],[inv no]])</f>
        <v>703562</v>
      </c>
    </row>
    <row r="4982" spans="1:23" hidden="1">
      <c r="A4982" s="81">
        <v>4980</v>
      </c>
      <c r="B4982" s="86" t="s">
        <v>1477</v>
      </c>
      <c r="C4982" s="86" t="s">
        <v>1973</v>
      </c>
      <c r="D4982" s="89" t="str">
        <f ca="1">OFFSET(Roster!$A$3,MATCH(表格1[[#This Row],[Location]]&amp;" "&amp;表格1[[#This Row],[Shop]]&amp;"*",Roster!$A$4:$A$72,0),DAY(表格1[[#This Row],[date]]),1,1)</f>
        <v>Tiffany</v>
      </c>
      <c r="E4982" s="86">
        <f>MONTH(表格1[[#This Row],[date]])</f>
        <v>3</v>
      </c>
      <c r="F4982" s="90">
        <v>46086</v>
      </c>
      <c r="G4982" s="86" t="str">
        <f>VLOOKUP("*"&amp;表格1[[#This Row],[Input]]&amp;"*",'Ref-List'!$B:$D,2,)</f>
        <v>GR-RB360WE-PMA(06)</v>
      </c>
      <c r="H4982" s="86" t="str">
        <f>_xlfn.XLOOKUP(表格1[[#This Row],[Model]],表格3[Model-Input-Ref2],表格3[Product Line])</f>
        <v>變頻下置式雙門雪櫃系列270L</v>
      </c>
      <c r="I4982" s="86" t="str">
        <f>_xlfn.XLOOKUP(表格1[[#This Row],[Model]],表格3[Model-Input-Ref2],表格3[大小電])</f>
        <v>大電</v>
      </c>
      <c r="J4982" s="86" t="str">
        <f>_xlfn.XLOOKUP(表格1[[#This Row],[Model]],表格3[Model-Input-Ref2],表格3[Code])</f>
        <v>REF</v>
      </c>
      <c r="K4982" s="89" t="s">
        <v>1282</v>
      </c>
      <c r="L4982" s="86">
        <v>1</v>
      </c>
      <c r="M4982" s="87">
        <v>3580</v>
      </c>
      <c r="N4982" s="87">
        <f>IFERROR(表格1[[#This Row],[QTY]]*表格1[[#This Row],[Unit Price]],"-")</f>
        <v>3580</v>
      </c>
      <c r="O4982" s="86">
        <v>703562</v>
      </c>
      <c r="R4982" s="86" t="str">
        <f>_xlfn.CONCAT(表格1[[#This Row],[Model]]," ",表格1[[#This Row],[inv no]])</f>
        <v>GR-RB360WE-PMA(06) 703562</v>
      </c>
      <c r="S4982" s="86">
        <f>_xlfn.XLOOKUP(表格1[[#This Row],[Model]],表格3[Model-Input-Ref2],表格3[SRP PRICE])</f>
        <v>5080</v>
      </c>
      <c r="T4982" s="43">
        <f>表格1[[#This Row],[Unit Price]]/表格1[[#This Row],[SRP]]</f>
        <v>0.70472440944881887</v>
      </c>
      <c r="U4982" s="86" t="str">
        <f>_xlfn.XLOOKUP(表格1[[#This Row],[Model]],表格3[Model-Input-Ref2],表格3[TOSHIBA/HIGHEST])</f>
        <v>Toshiba SRP</v>
      </c>
      <c r="W4982" s="86" t="str">
        <f>_xlfn.CONCAT(表格1[[#This Row],[欄4]],表格1[[#This Row],[inv no]])</f>
        <v>703562</v>
      </c>
    </row>
    <row r="4983" spans="1:23" hidden="1">
      <c r="A4983" s="81">
        <v>4981</v>
      </c>
      <c r="B4983" s="86" t="s">
        <v>1477</v>
      </c>
      <c r="C4983" s="86" t="s">
        <v>1973</v>
      </c>
      <c r="D4983" s="89" t="str">
        <f ca="1">OFFSET(Roster!$A$3,MATCH(表格1[[#This Row],[Location]]&amp;" "&amp;表格1[[#This Row],[Shop]]&amp;"*",Roster!$A$4:$A$72,0),DAY(表格1[[#This Row],[date]]),1,1)</f>
        <v>Tiffany</v>
      </c>
      <c r="E4983" s="86">
        <f>MONTH(表格1[[#This Row],[date]])</f>
        <v>3</v>
      </c>
      <c r="F4983" s="90">
        <v>46086</v>
      </c>
      <c r="G4983" s="86" t="str">
        <f>VLOOKUP("*"&amp;表格1[[#This Row],[Input]]&amp;"*",'Ref-List'!$B:$D,2,)</f>
        <v>GR-RM598WE-PGA(B3)</v>
      </c>
      <c r="H4983" s="86" t="str">
        <f>_xlfn.XLOOKUP(表格1[[#This Row],[Model]],表格3[Model-Input-Ref2],表格3[Product Line])</f>
        <v>變頻六門雪櫃(451L)</v>
      </c>
      <c r="I4983" s="86" t="str">
        <f>_xlfn.XLOOKUP(表格1[[#This Row],[Model]],表格3[Model-Input-Ref2],表格3[大小電])</f>
        <v>大電</v>
      </c>
      <c r="J4983" s="86" t="str">
        <f>_xlfn.XLOOKUP(表格1[[#This Row],[Model]],表格3[Model-Input-Ref2],表格3[Code])</f>
        <v>REF</v>
      </c>
      <c r="K4983" s="89" t="s">
        <v>1491</v>
      </c>
      <c r="L4983" s="86">
        <v>1</v>
      </c>
      <c r="M4983" s="87">
        <v>10990</v>
      </c>
      <c r="N4983" s="87">
        <f>IFERROR(表格1[[#This Row],[QTY]]*表格1[[#This Row],[Unit Price]],"-")</f>
        <v>10990</v>
      </c>
      <c r="O4983" s="86">
        <v>703556</v>
      </c>
      <c r="R4983" s="86" t="str">
        <f>_xlfn.CONCAT(表格1[[#This Row],[Model]]," ",表格1[[#This Row],[inv no]])</f>
        <v>GR-RM598WE-PGA(B3) 703556</v>
      </c>
      <c r="S4983" s="86">
        <f>_xlfn.XLOOKUP(表格1[[#This Row],[Model]],表格3[Model-Input-Ref2],表格3[SRP PRICE])</f>
        <v>14980</v>
      </c>
      <c r="T4983" s="43">
        <f>表格1[[#This Row],[Unit Price]]/表格1[[#This Row],[SRP]]</f>
        <v>0.73364485981308414</v>
      </c>
      <c r="U4983" s="86" t="str">
        <f>_xlfn.XLOOKUP(表格1[[#This Row],[Model]],表格3[Model-Input-Ref2],表格3[TOSHIBA/HIGHEST])</f>
        <v>Toshiba SRP</v>
      </c>
      <c r="W4983" s="86" t="str">
        <f>_xlfn.CONCAT(表格1[[#This Row],[欄4]],表格1[[#This Row],[inv no]])</f>
        <v>703556</v>
      </c>
    </row>
    <row r="4984" spans="1:23" hidden="1">
      <c r="A4984" s="81">
        <v>4982</v>
      </c>
      <c r="B4984" s="86" t="s">
        <v>1477</v>
      </c>
      <c r="C4984" s="86" t="s">
        <v>1973</v>
      </c>
      <c r="D4984" s="89" t="str">
        <f ca="1">OFFSET(Roster!$A$3,MATCH(表格1[[#This Row],[Location]]&amp;" "&amp;表格1[[#This Row],[Shop]]&amp;"*",Roster!$A$4:$A$72,0),DAY(表格1[[#This Row],[date]]),1,1)</f>
        <v>Tiffany</v>
      </c>
      <c r="E4984" s="86">
        <f>MONTH(表格1[[#This Row],[date]])</f>
        <v>3</v>
      </c>
      <c r="F4984" s="90">
        <v>46086</v>
      </c>
      <c r="G4984" s="86" t="str">
        <f>VLOOKUP("*"&amp;表格1[[#This Row],[Input]]&amp;"*",'Ref-List'!$B:$D,2,)</f>
        <v>RC-18NMFIH(WT)</v>
      </c>
      <c r="H4984" s="86" t="str">
        <f>_xlfn.XLOOKUP(表格1[[#This Row],[Model]],表格3[Model-Input-Ref2],表格3[Product Line])</f>
        <v>4毫米厚釜電飯煲1.8L</v>
      </c>
      <c r="I4984" s="86" t="str">
        <f>_xlfn.XLOOKUP(表格1[[#This Row],[Model]],表格3[Model-Input-Ref2],表格3[大小電])</f>
        <v>細電</v>
      </c>
      <c r="J4984" s="86" t="str">
        <f>_xlfn.XLOOKUP(表格1[[#This Row],[Model]],表格3[Model-Input-Ref2],表格3[Code])</f>
        <v>SDA</v>
      </c>
      <c r="K4984" s="89" t="s">
        <v>1267</v>
      </c>
      <c r="L4984" s="86">
        <v>1</v>
      </c>
      <c r="M4984" s="87">
        <v>799</v>
      </c>
      <c r="N4984" s="87">
        <f>IFERROR(表格1[[#This Row],[QTY]]*表格1[[#This Row],[Unit Price]],"-")</f>
        <v>799</v>
      </c>
      <c r="O4984" s="86">
        <v>804373</v>
      </c>
      <c r="R4984" s="86" t="str">
        <f>_xlfn.CONCAT(表格1[[#This Row],[Model]]," ",表格1[[#This Row],[inv no]])</f>
        <v>RC-18NMFIH(WT) 804373</v>
      </c>
      <c r="S4984" s="86">
        <f>_xlfn.XLOOKUP(表格1[[#This Row],[Model]],表格3[Model-Input-Ref2],表格3[SRP PRICE])</f>
        <v>998</v>
      </c>
      <c r="T4984" s="43">
        <f>表格1[[#This Row],[Unit Price]]/表格1[[#This Row],[SRP]]</f>
        <v>0.80060120240480959</v>
      </c>
      <c r="U4984" s="86" t="str">
        <f>_xlfn.XLOOKUP(表格1[[#This Row],[Model]],表格3[Model-Input-Ref2],表格3[TOSHIBA/HIGHEST])</f>
        <v>Toshiba SRP</v>
      </c>
      <c r="W4984" s="86" t="str">
        <f>_xlfn.CONCAT(表格1[[#This Row],[欄4]],表格1[[#This Row],[inv no]])</f>
        <v>804373</v>
      </c>
    </row>
    <row r="4985" spans="1:23" hidden="1">
      <c r="A4985" s="81">
        <v>4983</v>
      </c>
      <c r="B4985" s="86" t="s">
        <v>1477</v>
      </c>
      <c r="C4985" s="86" t="s">
        <v>1973</v>
      </c>
      <c r="D4985" s="89" t="str">
        <f ca="1">OFFSET(Roster!$A$3,MATCH(表格1[[#This Row],[Location]]&amp;" "&amp;表格1[[#This Row],[Shop]]&amp;"*",Roster!$A$4:$A$72,0),DAY(表格1[[#This Row],[date]]),1,1)</f>
        <v>Tiffany</v>
      </c>
      <c r="E4985" s="86">
        <f>MONTH(表格1[[#This Row],[date]])</f>
        <v>3</v>
      </c>
      <c r="F4985" s="90">
        <v>46086</v>
      </c>
      <c r="G4985" s="86" t="str">
        <f>VLOOKUP("*"&amp;表格1[[#This Row],[Input]]&amp;"*",'Ref-List'!$B:$D,2,)</f>
        <v>RAD-D300H</v>
      </c>
      <c r="H4985" s="86" t="str">
        <f>_xlfn.XLOOKUP(表格1[[#This Row],[Model]],表格3[Model-Input-Ref2],表格3[Product Line])</f>
        <v>壓縮式抽濕機 (30公升)</v>
      </c>
      <c r="I4985" s="86" t="str">
        <f>_xlfn.XLOOKUP(表格1[[#This Row],[Model]],表格3[Model-Input-Ref2],表格3[大小電])</f>
        <v>細電</v>
      </c>
      <c r="J4985" s="86" t="str">
        <f>_xlfn.XLOOKUP(表格1[[#This Row],[Model]],表格3[Model-Input-Ref2],表格3[Code])</f>
        <v>RAC</v>
      </c>
      <c r="K4985" s="89" t="s">
        <v>1252</v>
      </c>
      <c r="L4985" s="86">
        <v>1</v>
      </c>
      <c r="M4985" s="87">
        <v>2280</v>
      </c>
      <c r="N4985" s="87">
        <f>IFERROR(表格1[[#This Row],[QTY]]*表格1[[#This Row],[Unit Price]],"-")</f>
        <v>2280</v>
      </c>
      <c r="O4985" s="86">
        <v>804347</v>
      </c>
      <c r="R4985" s="86" t="str">
        <f>_xlfn.CONCAT(表格1[[#This Row],[Model]]," ",表格1[[#This Row],[inv no]])</f>
        <v>RAD-D300H 804347</v>
      </c>
      <c r="S4985" s="86">
        <f>_xlfn.XLOOKUP(表格1[[#This Row],[Model]],表格3[Model-Input-Ref2],表格3[SRP PRICE])</f>
        <v>3380</v>
      </c>
      <c r="T4985" s="43">
        <f>表格1[[#This Row],[Unit Price]]/表格1[[#This Row],[SRP]]</f>
        <v>0.67455621301775148</v>
      </c>
      <c r="U4985" s="86" t="str">
        <f>_xlfn.XLOOKUP(表格1[[#This Row],[Model]],表格3[Model-Input-Ref2],表格3[TOSHIBA/HIGHEST])</f>
        <v>Shops Highest Price</v>
      </c>
      <c r="W4985" s="86" t="str">
        <f>_xlfn.CONCAT(表格1[[#This Row],[欄4]],表格1[[#This Row],[inv no]])</f>
        <v>804347</v>
      </c>
    </row>
    <row r="4986" spans="1:23" hidden="1">
      <c r="A4986" s="81">
        <v>4984</v>
      </c>
      <c r="B4986" s="86" t="s">
        <v>1477</v>
      </c>
      <c r="C4986" s="86" t="s">
        <v>1973</v>
      </c>
      <c r="D4986" s="89" t="str">
        <f ca="1">OFFSET(Roster!$A$3,MATCH(表格1[[#This Row],[Location]]&amp;" "&amp;表格1[[#This Row],[Shop]]&amp;"*",Roster!$A$4:$A$72,0),DAY(表格1[[#This Row],[date]]),1,1)</f>
        <v>Tiffany</v>
      </c>
      <c r="E4986" s="86">
        <f>MONTH(表格1[[#This Row],[date]])</f>
        <v>3</v>
      </c>
      <c r="F4986" s="90">
        <v>46086</v>
      </c>
      <c r="G4986" s="86" t="str">
        <f>VLOOKUP("*"&amp;表格1[[#This Row],[Input]]&amp;"*",'Ref-List'!$B:$D,2,)</f>
        <v>RAD-D300H</v>
      </c>
      <c r="H4986" s="86" t="str">
        <f>_xlfn.XLOOKUP(表格1[[#This Row],[Model]],表格3[Model-Input-Ref2],表格3[Product Line])</f>
        <v>壓縮式抽濕機 (30公升)</v>
      </c>
      <c r="I4986" s="86" t="str">
        <f>_xlfn.XLOOKUP(表格1[[#This Row],[Model]],表格3[Model-Input-Ref2],表格3[大小電])</f>
        <v>細電</v>
      </c>
      <c r="J4986" s="86" t="str">
        <f>_xlfn.XLOOKUP(表格1[[#This Row],[Model]],表格3[Model-Input-Ref2],表格3[Code])</f>
        <v>RAC</v>
      </c>
      <c r="K4986" s="89" t="s">
        <v>1252</v>
      </c>
      <c r="L4986" s="86">
        <v>1</v>
      </c>
      <c r="M4986" s="87">
        <v>2280</v>
      </c>
      <c r="N4986" s="87">
        <f>IFERROR(表格1[[#This Row],[QTY]]*表格1[[#This Row],[Unit Price]],"-")</f>
        <v>2280</v>
      </c>
      <c r="O4986" s="86">
        <v>703571</v>
      </c>
      <c r="R4986" s="86" t="str">
        <f>_xlfn.CONCAT(表格1[[#This Row],[Model]]," ",表格1[[#This Row],[inv no]])</f>
        <v>RAD-D300H 703571</v>
      </c>
      <c r="S4986" s="86">
        <f>_xlfn.XLOOKUP(表格1[[#This Row],[Model]],表格3[Model-Input-Ref2],表格3[SRP PRICE])</f>
        <v>3380</v>
      </c>
      <c r="T4986" s="43">
        <f>表格1[[#This Row],[Unit Price]]/表格1[[#This Row],[SRP]]</f>
        <v>0.67455621301775148</v>
      </c>
      <c r="U4986" s="86" t="str">
        <f>_xlfn.XLOOKUP(表格1[[#This Row],[Model]],表格3[Model-Input-Ref2],表格3[TOSHIBA/HIGHEST])</f>
        <v>Shops Highest Price</v>
      </c>
      <c r="W4986" s="86" t="str">
        <f>_xlfn.CONCAT(表格1[[#This Row],[欄4]],表格1[[#This Row],[inv no]])</f>
        <v>703571</v>
      </c>
    </row>
    <row r="4987" spans="1:23" hidden="1">
      <c r="A4987" s="81">
        <v>4985</v>
      </c>
      <c r="B4987" s="86" t="s">
        <v>1477</v>
      </c>
      <c r="C4987" s="86" t="s">
        <v>1973</v>
      </c>
      <c r="D4987" s="89" t="str">
        <f ca="1">OFFSET(Roster!$A$3,MATCH(表格1[[#This Row],[Location]]&amp;" "&amp;表格1[[#This Row],[Shop]]&amp;"*",Roster!$A$4:$A$72,0),DAY(表格1[[#This Row],[date]]),1,1)</f>
        <v>Tiffany</v>
      </c>
      <c r="E4987" s="86">
        <f>MONTH(表格1[[#This Row],[date]])</f>
        <v>3</v>
      </c>
      <c r="F4987" s="90">
        <v>46087</v>
      </c>
      <c r="G4987" s="86" t="str">
        <f>VLOOKUP("*"&amp;表格1[[#This Row],[Input]]&amp;"*",'Ref-List'!$B:$D,2,)</f>
        <v>TWD-BN90GF4H(WK)</v>
      </c>
      <c r="H4987" s="86" t="str">
        <f>_xlfn.XLOOKUP(表格1[[#This Row],[Model]],表格3[Model-Input-Ref2],表格3[Product Line])</f>
        <v>超薄身前置式洗衣乾衣機 (洗8公斤 乾5公斤)</v>
      </c>
      <c r="I4987" s="86" t="str">
        <f>_xlfn.XLOOKUP(表格1[[#This Row],[Model]],表格3[Model-Input-Ref2],表格3[大小電])</f>
        <v>大電</v>
      </c>
      <c r="J4987" s="86" t="str">
        <f>_xlfn.XLOOKUP(表格1[[#This Row],[Model]],表格3[Model-Input-Ref2],表格3[Code])</f>
        <v>WM</v>
      </c>
      <c r="K4987" s="89" t="s">
        <v>1199</v>
      </c>
      <c r="L4987" s="86">
        <v>1</v>
      </c>
      <c r="M4987" s="87">
        <v>3980</v>
      </c>
      <c r="N4987" s="87">
        <f>IFERROR(表格1[[#This Row],[QTY]]*表格1[[#This Row],[Unit Price]],"-")</f>
        <v>3980</v>
      </c>
      <c r="O4987" s="86">
        <v>804452</v>
      </c>
      <c r="R4987" s="86" t="str">
        <f>_xlfn.CONCAT(表格1[[#This Row],[Model]]," ",表格1[[#This Row],[inv no]])</f>
        <v>TWD-BN90GF4H(WK) 804452</v>
      </c>
      <c r="S4987" s="86">
        <f>_xlfn.XLOOKUP(表格1[[#This Row],[Model]],表格3[Model-Input-Ref2],表格3[SRP PRICE])</f>
        <v>5980</v>
      </c>
      <c r="T4987" s="43">
        <f>表格1[[#This Row],[Unit Price]]/表格1[[#This Row],[SRP]]</f>
        <v>0.66555183946488294</v>
      </c>
      <c r="U4987" s="86" t="str">
        <f>_xlfn.XLOOKUP(表格1[[#This Row],[Model]],表格3[Model-Input-Ref2],表格3[TOSHIBA/HIGHEST])</f>
        <v>Toshiba SRP</v>
      </c>
      <c r="W4987" s="86" t="str">
        <f>_xlfn.CONCAT(表格1[[#This Row],[欄4]],表格1[[#This Row],[inv no]])</f>
        <v>804452</v>
      </c>
    </row>
    <row r="4988" spans="1:23" hidden="1">
      <c r="A4988" s="81">
        <v>4986</v>
      </c>
      <c r="B4988" s="86" t="s">
        <v>1477</v>
      </c>
      <c r="C4988" s="86" t="s">
        <v>1973</v>
      </c>
      <c r="D4988" s="89" t="str">
        <f ca="1">OFFSET(Roster!$A$3,MATCH(表格1[[#This Row],[Location]]&amp;" "&amp;表格1[[#This Row],[Shop]]&amp;"*",Roster!$A$4:$A$72,0),DAY(表格1[[#This Row],[date]]),1,1)</f>
        <v>Tiffany</v>
      </c>
      <c r="E4988" s="86">
        <f>MONTH(表格1[[#This Row],[date]])</f>
        <v>3</v>
      </c>
      <c r="F4988" s="90">
        <v>46087</v>
      </c>
      <c r="G4988" s="86" t="str">
        <f>VLOOKUP("*"&amp;表格1[[#This Row],[Input]]&amp;"*",'Ref-List'!$B:$D,2,)</f>
        <v>GR-RT300WE-PMA(57)</v>
      </c>
      <c r="H4988" s="86" t="str">
        <f>_xlfn.XLOOKUP(表格1[[#This Row],[Model]],表格3[Model-Input-Ref2],表格3[Product Line])</f>
        <v>變頻式環保雙門雪櫃(233L)</v>
      </c>
      <c r="I4988" s="86" t="str">
        <f>_xlfn.XLOOKUP(表格1[[#This Row],[Model]],表格3[Model-Input-Ref2],表格3[大小電])</f>
        <v>大電</v>
      </c>
      <c r="J4988" s="86" t="str">
        <f>_xlfn.XLOOKUP(表格1[[#This Row],[Model]],表格3[Model-Input-Ref2],表格3[Code])</f>
        <v>REF</v>
      </c>
      <c r="K4988" s="89" t="s">
        <v>1462</v>
      </c>
      <c r="L4988" s="86">
        <v>1</v>
      </c>
      <c r="M4988" s="87">
        <v>2780</v>
      </c>
      <c r="N4988" s="87">
        <f>IFERROR(表格1[[#This Row],[QTY]]*表格1[[#This Row],[Unit Price]],"-")</f>
        <v>2780</v>
      </c>
      <c r="O4988" s="86">
        <v>804390</v>
      </c>
      <c r="R4988" s="86" t="str">
        <f>_xlfn.CONCAT(表格1[[#This Row],[Model]]," ",表格1[[#This Row],[inv no]])</f>
        <v>GR-RT300WE-PMA(57) 804390</v>
      </c>
      <c r="S4988" s="86">
        <f>_xlfn.XLOOKUP(表格1[[#This Row],[Model]],表格3[Model-Input-Ref2],表格3[SRP PRICE])</f>
        <v>4280</v>
      </c>
      <c r="T4988" s="43">
        <f>表格1[[#This Row],[Unit Price]]/表格1[[#This Row],[SRP]]</f>
        <v>0.64953271028037385</v>
      </c>
      <c r="U4988" s="86" t="str">
        <f>_xlfn.XLOOKUP(表格1[[#This Row],[Model]],表格3[Model-Input-Ref2],表格3[TOSHIBA/HIGHEST])</f>
        <v>Toshiba SRP</v>
      </c>
      <c r="W4988" s="86" t="str">
        <f>_xlfn.CONCAT(表格1[[#This Row],[欄4]],表格1[[#This Row],[inv no]])</f>
        <v>804390</v>
      </c>
    </row>
    <row r="4989" spans="1:23" hidden="1">
      <c r="A4989" s="81">
        <v>4987</v>
      </c>
      <c r="B4989" s="86" t="s">
        <v>1477</v>
      </c>
      <c r="C4989" s="86" t="s">
        <v>1973</v>
      </c>
      <c r="D4989" s="89" t="str">
        <f ca="1">OFFSET(Roster!$A$3,MATCH(表格1[[#This Row],[Location]]&amp;" "&amp;表格1[[#This Row],[Shop]]&amp;"*",Roster!$A$4:$A$72,0),DAY(表格1[[#This Row],[date]]),1,1)</f>
        <v>Tiffany</v>
      </c>
      <c r="E4989" s="86">
        <f>MONTH(表格1[[#This Row],[date]])</f>
        <v>3</v>
      </c>
      <c r="F4989" s="90">
        <v>46087</v>
      </c>
      <c r="G4989" s="86" t="str">
        <f>VLOOKUP("*"&amp;表格1[[#This Row],[Input]]&amp;"*",'Ref-List'!$B:$D,2,)</f>
        <v>RC-10NMFIH(WT)</v>
      </c>
      <c r="H4989" s="86" t="str">
        <f>_xlfn.XLOOKUP(表格1[[#This Row],[Model]],表格3[Model-Input-Ref2],表格3[Product Line])</f>
        <v>4毫米厚釜電飯煲1L</v>
      </c>
      <c r="I4989" s="86" t="str">
        <f>_xlfn.XLOOKUP(表格1[[#This Row],[Model]],表格3[Model-Input-Ref2],表格3[大小電])</f>
        <v>細電</v>
      </c>
      <c r="J4989" s="86" t="str">
        <f>_xlfn.XLOOKUP(表格1[[#This Row],[Model]],表格3[Model-Input-Ref2],表格3[Code])</f>
        <v>SDA</v>
      </c>
      <c r="K4989" s="89" t="s">
        <v>1244</v>
      </c>
      <c r="L4989" s="86">
        <v>1</v>
      </c>
      <c r="M4989" s="87">
        <v>719</v>
      </c>
      <c r="N4989" s="87">
        <f>IFERROR(表格1[[#This Row],[QTY]]*表格1[[#This Row],[Unit Price]],"-")</f>
        <v>719</v>
      </c>
      <c r="O4989" s="86">
        <v>902133</v>
      </c>
      <c r="R4989" s="86" t="str">
        <f>_xlfn.CONCAT(表格1[[#This Row],[Model]]," ",表格1[[#This Row],[inv no]])</f>
        <v>RC-10NMFIH(WT) 902133</v>
      </c>
      <c r="S4989" s="86">
        <f>_xlfn.XLOOKUP(表格1[[#This Row],[Model]],表格3[Model-Input-Ref2],表格3[SRP PRICE])</f>
        <v>898</v>
      </c>
      <c r="T4989" s="43">
        <f>表格1[[#This Row],[Unit Price]]/表格1[[#This Row],[SRP]]</f>
        <v>0.80066815144766146</v>
      </c>
      <c r="U4989" s="86" t="str">
        <f>_xlfn.XLOOKUP(表格1[[#This Row],[Model]],表格3[Model-Input-Ref2],表格3[TOSHIBA/HIGHEST])</f>
        <v>Toshiba SRP</v>
      </c>
      <c r="W4989" s="86" t="str">
        <f>_xlfn.CONCAT(表格1[[#This Row],[欄4]],表格1[[#This Row],[inv no]])</f>
        <v>902133</v>
      </c>
    </row>
    <row r="4990" spans="1:23" hidden="1">
      <c r="A4990" s="81">
        <v>4988</v>
      </c>
      <c r="B4990" s="86" t="s">
        <v>1477</v>
      </c>
      <c r="C4990" s="86" t="s">
        <v>1973</v>
      </c>
      <c r="D4990" s="89" t="str">
        <f ca="1">OFFSET(Roster!$A$3,MATCH(表格1[[#This Row],[Location]]&amp;" "&amp;表格1[[#This Row],[Shop]]&amp;"*",Roster!$A$4:$A$72,0),DAY(表格1[[#This Row],[date]]),1,1)</f>
        <v>Tiffany</v>
      </c>
      <c r="E4990" s="86">
        <f>MONTH(表格1[[#This Row],[date]])</f>
        <v>3</v>
      </c>
      <c r="F4990" s="90">
        <v>46087</v>
      </c>
      <c r="G4990" s="86" t="str">
        <f>VLOOKUP("*"&amp;表格1[[#This Row],[Input]]&amp;"*",'Ref-List'!$B:$D,2,)</f>
        <v>TP-50DRUHK(W)</v>
      </c>
      <c r="H4990" s="86" t="str">
        <f>_xlfn.XLOOKUP(表格1[[#This Row],[Model]],表格3[Model-Input-Ref2],表格3[Product Line])</f>
        <v>電熱水瓶 (5公升)</v>
      </c>
      <c r="I4990" s="86" t="str">
        <f>_xlfn.XLOOKUP(表格1[[#This Row],[Model]],表格3[Model-Input-Ref2],表格3[大小電])</f>
        <v>細電</v>
      </c>
      <c r="J4990" s="86" t="str">
        <f>_xlfn.XLOOKUP(表格1[[#This Row],[Model]],表格3[Model-Input-Ref2],表格3[Code])</f>
        <v>SDA</v>
      </c>
      <c r="K4990" s="89" t="s">
        <v>1277</v>
      </c>
      <c r="L4990" s="86">
        <v>1</v>
      </c>
      <c r="M4990" s="87">
        <v>598</v>
      </c>
      <c r="N4990" s="87">
        <f>IFERROR(表格1[[#This Row],[QTY]]*表格1[[#This Row],[Unit Price]],"-")</f>
        <v>598</v>
      </c>
      <c r="O4990" s="86">
        <v>804437</v>
      </c>
      <c r="R4990" s="86" t="str">
        <f>_xlfn.CONCAT(表格1[[#This Row],[Model]]," ",表格1[[#This Row],[inv no]])</f>
        <v>TP-50DRUHK(W) 804437</v>
      </c>
      <c r="S4990" s="86">
        <f>_xlfn.XLOOKUP(表格1[[#This Row],[Model]],表格3[Model-Input-Ref2],表格3[SRP PRICE])</f>
        <v>718</v>
      </c>
      <c r="T4990" s="43">
        <f>表格1[[#This Row],[Unit Price]]/表格1[[#This Row],[SRP]]</f>
        <v>0.83286908077994426</v>
      </c>
      <c r="U4990" s="86" t="str">
        <f>_xlfn.XLOOKUP(表格1[[#This Row],[Model]],表格3[Model-Input-Ref2],表格3[TOSHIBA/HIGHEST])</f>
        <v>Toshiba SRP</v>
      </c>
      <c r="W4990" s="86" t="str">
        <f>_xlfn.CONCAT(表格1[[#This Row],[欄4]],表格1[[#This Row],[inv no]])</f>
        <v>804437</v>
      </c>
    </row>
    <row r="4991" spans="1:23" hidden="1">
      <c r="A4991" s="81">
        <v>4989</v>
      </c>
      <c r="B4991" s="86" t="s">
        <v>1477</v>
      </c>
      <c r="C4991" s="86" t="s">
        <v>1973</v>
      </c>
      <c r="D4991" s="89" t="str">
        <f ca="1">OFFSET(Roster!$A$3,MATCH(表格1[[#This Row],[Location]]&amp;" "&amp;表格1[[#This Row],[Shop]]&amp;"*",Roster!$A$4:$A$72,0),DAY(表格1[[#This Row],[date]]),1,1)</f>
        <v>Tiffany</v>
      </c>
      <c r="E4991" s="86">
        <f>MONTH(表格1[[#This Row],[date]])</f>
        <v>3</v>
      </c>
      <c r="F4991" s="90">
        <v>46089</v>
      </c>
      <c r="G4991" s="86" t="str">
        <f>VLOOKUP("*"&amp;表格1[[#This Row],[Input]]&amp;"*",'Ref-List'!$B:$D,2,)</f>
        <v>TWD-BN90GF4H(WK)</v>
      </c>
      <c r="H4991" s="86" t="str">
        <f>_xlfn.XLOOKUP(表格1[[#This Row],[Model]],表格3[Model-Input-Ref2],表格3[Product Line])</f>
        <v>超薄身前置式洗衣乾衣機 (洗8公斤 乾5公斤)</v>
      </c>
      <c r="I4991" s="86" t="str">
        <f>_xlfn.XLOOKUP(表格1[[#This Row],[Model]],表格3[Model-Input-Ref2],表格3[大小電])</f>
        <v>大電</v>
      </c>
      <c r="J4991" s="86" t="str">
        <f>_xlfn.XLOOKUP(表格1[[#This Row],[Model]],表格3[Model-Input-Ref2],表格3[Code])</f>
        <v>WM</v>
      </c>
      <c r="K4991" s="89" t="s">
        <v>1199</v>
      </c>
      <c r="L4991" s="86">
        <v>1</v>
      </c>
      <c r="M4991" s="87">
        <v>3980</v>
      </c>
      <c r="N4991" s="87">
        <f>IFERROR(表格1[[#This Row],[QTY]]*表格1[[#This Row],[Unit Price]],"-")</f>
        <v>3980</v>
      </c>
      <c r="O4991" s="86">
        <v>902225</v>
      </c>
      <c r="R4991" s="86" t="str">
        <f>_xlfn.CONCAT(表格1[[#This Row],[Model]]," ",表格1[[#This Row],[inv no]])</f>
        <v>TWD-BN90GF4H(WK) 902225</v>
      </c>
      <c r="S4991" s="86">
        <f>_xlfn.XLOOKUP(表格1[[#This Row],[Model]],表格3[Model-Input-Ref2],表格3[SRP PRICE])</f>
        <v>5980</v>
      </c>
      <c r="T4991" s="43">
        <f>表格1[[#This Row],[Unit Price]]/表格1[[#This Row],[SRP]]</f>
        <v>0.66555183946488294</v>
      </c>
      <c r="U4991" s="86" t="str">
        <f>_xlfn.XLOOKUP(表格1[[#This Row],[Model]],表格3[Model-Input-Ref2],表格3[TOSHIBA/HIGHEST])</f>
        <v>Toshiba SRP</v>
      </c>
      <c r="W4991" s="86" t="str">
        <f>_xlfn.CONCAT(表格1[[#This Row],[欄4]],表格1[[#This Row],[inv no]])</f>
        <v>902225</v>
      </c>
    </row>
    <row r="4992" spans="1:23" hidden="1">
      <c r="A4992" s="81">
        <v>4990</v>
      </c>
      <c r="B4992" s="86" t="s">
        <v>1477</v>
      </c>
      <c r="C4992" s="86" t="s">
        <v>1973</v>
      </c>
      <c r="D4992" s="89" t="str">
        <f ca="1">OFFSET(Roster!$A$3,MATCH(表格1[[#This Row],[Location]]&amp;" "&amp;表格1[[#This Row],[Shop]]&amp;"*",Roster!$A$4:$A$72,0),DAY(表格1[[#This Row],[date]]),1,1)</f>
        <v>Tiffany</v>
      </c>
      <c r="E4992" s="86">
        <f>MONTH(表格1[[#This Row],[date]])</f>
        <v>3</v>
      </c>
      <c r="F4992" s="90">
        <v>46089</v>
      </c>
      <c r="G4992" s="86" t="str">
        <f>VLOOKUP("*"&amp;表格1[[#This Row],[Input]]&amp;"*",'Ref-List'!$B:$D,2,)</f>
        <v>RC-10AMXH(W)</v>
      </c>
      <c r="H4992" s="86" t="str">
        <f>_xlfn.XLOOKUP(表格1[[#This Row],[Model]],表格3[Model-Input-Ref2],表格3[Product Line])</f>
        <v>酵活炊電飯煲(1.0公升)</v>
      </c>
      <c r="I4992" s="86" t="str">
        <f>_xlfn.XLOOKUP(表格1[[#This Row],[Model]],表格3[Model-Input-Ref2],表格3[大小電])</f>
        <v>細電</v>
      </c>
      <c r="J4992" s="86" t="str">
        <f>_xlfn.XLOOKUP(表格1[[#This Row],[Model]],表格3[Model-Input-Ref2],表格3[Code])</f>
        <v>SDA</v>
      </c>
      <c r="K4992" s="89" t="s">
        <v>1279</v>
      </c>
      <c r="L4992" s="86">
        <v>1</v>
      </c>
      <c r="M4992" s="87">
        <v>990</v>
      </c>
      <c r="N4992" s="87">
        <f>IFERROR(表格1[[#This Row],[QTY]]*表格1[[#This Row],[Unit Price]],"-")</f>
        <v>990</v>
      </c>
      <c r="O4992" s="86">
        <v>902261</v>
      </c>
      <c r="R4992" s="86" t="str">
        <f>_xlfn.CONCAT(表格1[[#This Row],[Model]]," ",表格1[[#This Row],[inv no]])</f>
        <v>RC-10AMXH(W) 902261</v>
      </c>
      <c r="S4992" s="86">
        <f>_xlfn.XLOOKUP(表格1[[#This Row],[Model]],表格3[Model-Input-Ref2],表格3[SRP PRICE])</f>
        <v>1288</v>
      </c>
      <c r="T4992" s="43">
        <f>表格1[[#This Row],[Unit Price]]/表格1[[#This Row],[SRP]]</f>
        <v>0.76863354037267084</v>
      </c>
      <c r="U4992" s="86" t="str">
        <f>_xlfn.XLOOKUP(表格1[[#This Row],[Model]],表格3[Model-Input-Ref2],表格3[TOSHIBA/HIGHEST])</f>
        <v>Toshiba SRP</v>
      </c>
      <c r="W4992" s="86" t="str">
        <f>_xlfn.CONCAT(表格1[[#This Row],[欄4]],表格1[[#This Row],[inv no]])</f>
        <v>902261</v>
      </c>
    </row>
    <row r="4993" spans="1:23" hidden="1">
      <c r="A4993" s="81">
        <v>4991</v>
      </c>
      <c r="B4993" s="86" t="s">
        <v>1477</v>
      </c>
      <c r="C4993" s="86" t="s">
        <v>1973</v>
      </c>
      <c r="D4993" s="89" t="str">
        <f ca="1">OFFSET(Roster!$A$3,MATCH(表格1[[#This Row],[Location]]&amp;" "&amp;表格1[[#This Row],[Shop]]&amp;"*",Roster!$A$4:$A$72,0),DAY(表格1[[#This Row],[date]]),1,1)</f>
        <v>Tiffany</v>
      </c>
      <c r="E4993" s="86">
        <f>MONTH(表格1[[#This Row],[date]])</f>
        <v>3</v>
      </c>
      <c r="F4993" s="90">
        <v>46089</v>
      </c>
      <c r="G4993" s="86" t="str">
        <f>VLOOKUP("*"&amp;表格1[[#This Row],[Input]]&amp;"*",'Ref-List'!$B:$D,2,)</f>
        <v>RC-DZ4K(N)</v>
      </c>
      <c r="H4993" s="86" t="str">
        <f>_xlfn.XLOOKUP(表格1[[#This Row],[Model]],表格3[Model-Input-Ref2],表格3[Product Line])</f>
        <v>IH磁應電飯煲</v>
      </c>
      <c r="I4993" s="86" t="str">
        <f>_xlfn.XLOOKUP(表格1[[#This Row],[Model]],表格3[Model-Input-Ref2],表格3[大小電])</f>
        <v>細電</v>
      </c>
      <c r="J4993" s="86" t="str">
        <f>_xlfn.XLOOKUP(表格1[[#This Row],[Model]],表格3[Model-Input-Ref2],表格3[Code])</f>
        <v>SDA</v>
      </c>
      <c r="K4993" s="89" t="s">
        <v>1561</v>
      </c>
      <c r="L4993" s="86">
        <v>1</v>
      </c>
      <c r="M4993" s="87">
        <v>3280</v>
      </c>
      <c r="N4993" s="87">
        <f>IFERROR(表格1[[#This Row],[QTY]]*表格1[[#This Row],[Unit Price]],"-")</f>
        <v>3280</v>
      </c>
      <c r="O4993" s="86">
        <v>902243</v>
      </c>
      <c r="R4993" s="86" t="str">
        <f>_xlfn.CONCAT(表格1[[#This Row],[Model]]," ",表格1[[#This Row],[inv no]])</f>
        <v>RC-DZ4K(N) 902243</v>
      </c>
      <c r="S4993" s="86">
        <f>_xlfn.XLOOKUP(表格1[[#This Row],[Model]],表格3[Model-Input-Ref2],表格3[SRP PRICE])</f>
        <v>3888</v>
      </c>
      <c r="T4993" s="43">
        <f>表格1[[#This Row],[Unit Price]]/表格1[[#This Row],[SRP]]</f>
        <v>0.84362139917695478</v>
      </c>
      <c r="U4993" s="86" t="str">
        <f>_xlfn.XLOOKUP(表格1[[#This Row],[Model]],表格3[Model-Input-Ref2],表格3[TOSHIBA/HIGHEST])</f>
        <v>Shops Highest Price</v>
      </c>
      <c r="W4993" s="86" t="str">
        <f>_xlfn.CONCAT(表格1[[#This Row],[欄4]],表格1[[#This Row],[inv no]])</f>
        <v>902243</v>
      </c>
    </row>
    <row r="4994" spans="1:23" hidden="1">
      <c r="A4994" s="81">
        <v>4992</v>
      </c>
      <c r="B4994" s="86" t="s">
        <v>1477</v>
      </c>
      <c r="C4994" s="86" t="s">
        <v>1973</v>
      </c>
      <c r="D4994" s="89" t="str">
        <f ca="1">OFFSET(Roster!$A$3,MATCH(表格1[[#This Row],[Location]]&amp;" "&amp;表格1[[#This Row],[Shop]]&amp;"*",Roster!$A$4:$A$72,0),DAY(表格1[[#This Row],[date]]),1,1)</f>
        <v>Tiffany</v>
      </c>
      <c r="E4994" s="86">
        <f>MONTH(表格1[[#This Row],[date]])</f>
        <v>3</v>
      </c>
      <c r="F4994" s="90">
        <v>46089</v>
      </c>
      <c r="G4994" s="86" t="str">
        <f>VLOOKUP("*"&amp;表格1[[#This Row],[Input]]&amp;"*",'Ref-List'!$B:$D,2,)</f>
        <v>KT-15DRTHK(W)</v>
      </c>
      <c r="H4994" s="86" t="str">
        <f>_xlfn.XLOOKUP(表格1[[#This Row],[Model]],表格3[Model-Input-Ref2],表格3[Product Line])</f>
        <v>無線雙層電熱水壺-附可鎖壺蓋</v>
      </c>
      <c r="I4994" s="86" t="str">
        <f>_xlfn.XLOOKUP(表格1[[#This Row],[Model]],表格3[Model-Input-Ref2],表格3[大小電])</f>
        <v>細電</v>
      </c>
      <c r="J4994" s="86" t="str">
        <f>_xlfn.XLOOKUP(表格1[[#This Row],[Model]],表格3[Model-Input-Ref2],表格3[Code])</f>
        <v>SDA</v>
      </c>
      <c r="K4994" s="89" t="s">
        <v>1278</v>
      </c>
      <c r="L4994" s="86">
        <v>1</v>
      </c>
      <c r="M4994" s="87">
        <v>358</v>
      </c>
      <c r="N4994" s="87">
        <f>IFERROR(表格1[[#This Row],[QTY]]*表格1[[#This Row],[Unit Price]],"-")</f>
        <v>358</v>
      </c>
      <c r="O4994" s="86">
        <v>804633</v>
      </c>
      <c r="R4994" s="86" t="str">
        <f>_xlfn.CONCAT(表格1[[#This Row],[Model]]," ",表格1[[#This Row],[inv no]])</f>
        <v>KT-15DRTHK(W) 804633</v>
      </c>
      <c r="S4994" s="86">
        <f>_xlfn.XLOOKUP(表格1[[#This Row],[Model]],表格3[Model-Input-Ref2],表格3[SRP PRICE])</f>
        <v>598</v>
      </c>
      <c r="T4994" s="43">
        <f>表格1[[#This Row],[Unit Price]]/表格1[[#This Row],[SRP]]</f>
        <v>0.59866220735785958</v>
      </c>
      <c r="U4994" s="86" t="str">
        <f>_xlfn.XLOOKUP(表格1[[#This Row],[Model]],表格3[Model-Input-Ref2],表格3[TOSHIBA/HIGHEST])</f>
        <v>Toshiba SRP</v>
      </c>
      <c r="W4994" s="86" t="str">
        <f>_xlfn.CONCAT(表格1[[#This Row],[欄4]],表格1[[#This Row],[inv no]])</f>
        <v>804633</v>
      </c>
    </row>
    <row r="4995" spans="1:23" hidden="1">
      <c r="A4995" s="81">
        <v>4993</v>
      </c>
      <c r="B4995" s="86" t="s">
        <v>1477</v>
      </c>
      <c r="C4995" s="86" t="s">
        <v>1973</v>
      </c>
      <c r="D4995" s="89" t="str">
        <f ca="1">OFFSET(Roster!$A$3,MATCH(表格1[[#This Row],[Location]]&amp;" "&amp;表格1[[#This Row],[Shop]]&amp;"*",Roster!$A$4:$A$72,0),DAY(表格1[[#This Row],[date]]),1,1)</f>
        <v>Tiffany</v>
      </c>
      <c r="E4995" s="86">
        <f>MONTH(表格1[[#This Row],[date]])</f>
        <v>3</v>
      </c>
      <c r="F4995" s="90">
        <v>46089</v>
      </c>
      <c r="G4995" s="86" t="str">
        <f>VLOOKUP("*"&amp;表格1[[#This Row],[Input]]&amp;"*",'Ref-List'!$B:$D,2,)</f>
        <v>RAD-D300H</v>
      </c>
      <c r="H4995" s="86" t="str">
        <f>_xlfn.XLOOKUP(表格1[[#This Row],[Model]],表格3[Model-Input-Ref2],表格3[Product Line])</f>
        <v>壓縮式抽濕機 (30公升)</v>
      </c>
      <c r="I4995" s="86" t="str">
        <f>_xlfn.XLOOKUP(表格1[[#This Row],[Model]],表格3[Model-Input-Ref2],表格3[大小電])</f>
        <v>細電</v>
      </c>
      <c r="J4995" s="86" t="str">
        <f>_xlfn.XLOOKUP(表格1[[#This Row],[Model]],表格3[Model-Input-Ref2],表格3[Code])</f>
        <v>RAC</v>
      </c>
      <c r="K4995" s="89" t="s">
        <v>1252</v>
      </c>
      <c r="L4995" s="86">
        <v>1</v>
      </c>
      <c r="M4995" s="87">
        <v>2280</v>
      </c>
      <c r="N4995" s="87">
        <f>IFERROR(表格1[[#This Row],[QTY]]*表格1[[#This Row],[Unit Price]],"-")</f>
        <v>2280</v>
      </c>
      <c r="O4995" s="86">
        <v>902232</v>
      </c>
      <c r="R4995" s="86" t="str">
        <f>_xlfn.CONCAT(表格1[[#This Row],[Model]]," ",表格1[[#This Row],[inv no]])</f>
        <v>RAD-D300H 902232</v>
      </c>
      <c r="S4995" s="86">
        <f>_xlfn.XLOOKUP(表格1[[#This Row],[Model]],表格3[Model-Input-Ref2],表格3[SRP PRICE])</f>
        <v>3380</v>
      </c>
      <c r="T4995" s="43">
        <f>表格1[[#This Row],[Unit Price]]/表格1[[#This Row],[SRP]]</f>
        <v>0.67455621301775148</v>
      </c>
      <c r="U4995" s="86" t="str">
        <f>_xlfn.XLOOKUP(表格1[[#This Row],[Model]],表格3[Model-Input-Ref2],表格3[TOSHIBA/HIGHEST])</f>
        <v>Shops Highest Price</v>
      </c>
      <c r="W4995" s="86" t="str">
        <f>_xlfn.CONCAT(表格1[[#This Row],[欄4]],表格1[[#This Row],[inv no]])</f>
        <v>902232</v>
      </c>
    </row>
    <row r="4996" spans="1:23" hidden="1">
      <c r="A4996" s="81">
        <v>4994</v>
      </c>
      <c r="B4996" s="86" t="s">
        <v>1477</v>
      </c>
      <c r="C4996" s="86" t="s">
        <v>1973</v>
      </c>
      <c r="D4996" s="89" t="str">
        <f ca="1">OFFSET(Roster!$A$3,MATCH(表格1[[#This Row],[Location]]&amp;" "&amp;表格1[[#This Row],[Shop]]&amp;"*",Roster!$A$4:$A$72,0),DAY(表格1[[#This Row],[date]]),1,1)</f>
        <v>Tiffany</v>
      </c>
      <c r="E4996" s="86">
        <f>MONTH(表格1[[#This Row],[date]])</f>
        <v>3</v>
      </c>
      <c r="F4996" s="90">
        <v>46089</v>
      </c>
      <c r="G4996" s="86" t="str">
        <f>VLOOKUP("*"&amp;表格1[[#This Row],[Input]]&amp;"*",'Ref-List'!$B:$D,2,)</f>
        <v>RAD-D300H</v>
      </c>
      <c r="H4996" s="86" t="str">
        <f>_xlfn.XLOOKUP(表格1[[#This Row],[Model]],表格3[Model-Input-Ref2],表格3[Product Line])</f>
        <v>壓縮式抽濕機 (30公升)</v>
      </c>
      <c r="I4996" s="86" t="str">
        <f>_xlfn.XLOOKUP(表格1[[#This Row],[Model]],表格3[Model-Input-Ref2],表格3[大小電])</f>
        <v>細電</v>
      </c>
      <c r="J4996" s="86" t="str">
        <f>_xlfn.XLOOKUP(表格1[[#This Row],[Model]],表格3[Model-Input-Ref2],表格3[Code])</f>
        <v>RAC</v>
      </c>
      <c r="K4996" s="89" t="s">
        <v>1252</v>
      </c>
      <c r="L4996" s="86">
        <v>1</v>
      </c>
      <c r="M4996" s="87">
        <v>2280</v>
      </c>
      <c r="N4996" s="87">
        <f>IFERROR(表格1[[#This Row],[QTY]]*表格1[[#This Row],[Unit Price]],"-")</f>
        <v>2280</v>
      </c>
      <c r="O4996" s="86">
        <v>902234</v>
      </c>
      <c r="R4996" s="86" t="str">
        <f>_xlfn.CONCAT(表格1[[#This Row],[Model]]," ",表格1[[#This Row],[inv no]])</f>
        <v>RAD-D300H 902234</v>
      </c>
      <c r="S4996" s="86">
        <f>_xlfn.XLOOKUP(表格1[[#This Row],[Model]],表格3[Model-Input-Ref2],表格3[SRP PRICE])</f>
        <v>3380</v>
      </c>
      <c r="T4996" s="43">
        <f>表格1[[#This Row],[Unit Price]]/表格1[[#This Row],[SRP]]</f>
        <v>0.67455621301775148</v>
      </c>
      <c r="U4996" s="86" t="str">
        <f>_xlfn.XLOOKUP(表格1[[#This Row],[Model]],表格3[Model-Input-Ref2],表格3[TOSHIBA/HIGHEST])</f>
        <v>Shops Highest Price</v>
      </c>
      <c r="W4996" s="86" t="str">
        <f>_xlfn.CONCAT(表格1[[#This Row],[欄4]],表格1[[#This Row],[inv no]])</f>
        <v>902234</v>
      </c>
    </row>
    <row r="4997" spans="1:23" hidden="1">
      <c r="A4997" s="81">
        <v>4995</v>
      </c>
      <c r="B4997" s="86" t="s">
        <v>1477</v>
      </c>
      <c r="C4997" s="86" t="s">
        <v>1973</v>
      </c>
      <c r="D4997" s="89" t="str">
        <f ca="1">OFFSET(Roster!$A$3,MATCH(表格1[[#This Row],[Location]]&amp;" "&amp;表格1[[#This Row],[Shop]]&amp;"*",Roster!$A$4:$A$72,0),DAY(表格1[[#This Row],[date]]),1,1)</f>
        <v>Tiffany</v>
      </c>
      <c r="E4997" s="86">
        <f>MONTH(表格1[[#This Row],[date]])</f>
        <v>3</v>
      </c>
      <c r="F4997" s="90">
        <v>46089</v>
      </c>
      <c r="G4997" s="86" t="str">
        <f>VLOOKUP("*"&amp;表格1[[#This Row],[Input]]&amp;"*",'Ref-List'!$B:$D,2,)</f>
        <v>RAD-D300H</v>
      </c>
      <c r="H4997" s="86" t="str">
        <f>_xlfn.XLOOKUP(表格1[[#This Row],[Model]],表格3[Model-Input-Ref2],表格3[Product Line])</f>
        <v>壓縮式抽濕機 (30公升)</v>
      </c>
      <c r="I4997" s="86" t="str">
        <f>_xlfn.XLOOKUP(表格1[[#This Row],[Model]],表格3[Model-Input-Ref2],表格3[大小電])</f>
        <v>細電</v>
      </c>
      <c r="J4997" s="86" t="str">
        <f>_xlfn.XLOOKUP(表格1[[#This Row],[Model]],表格3[Model-Input-Ref2],表格3[Code])</f>
        <v>RAC</v>
      </c>
      <c r="K4997" s="89" t="s">
        <v>1252</v>
      </c>
      <c r="L4997" s="86">
        <v>1</v>
      </c>
      <c r="M4997" s="87">
        <v>2280</v>
      </c>
      <c r="N4997" s="87">
        <f>IFERROR(表格1[[#This Row],[QTY]]*表格1[[#This Row],[Unit Price]],"-")</f>
        <v>2280</v>
      </c>
      <c r="O4997" s="86">
        <v>703652</v>
      </c>
      <c r="R4997" s="86" t="str">
        <f>_xlfn.CONCAT(表格1[[#This Row],[Model]]," ",表格1[[#This Row],[inv no]])</f>
        <v>RAD-D300H 703652</v>
      </c>
      <c r="S4997" s="86">
        <f>_xlfn.XLOOKUP(表格1[[#This Row],[Model]],表格3[Model-Input-Ref2],表格3[SRP PRICE])</f>
        <v>3380</v>
      </c>
      <c r="T4997" s="43">
        <f>表格1[[#This Row],[Unit Price]]/表格1[[#This Row],[SRP]]</f>
        <v>0.67455621301775148</v>
      </c>
      <c r="U4997" s="86" t="str">
        <f>_xlfn.XLOOKUP(表格1[[#This Row],[Model]],表格3[Model-Input-Ref2],表格3[TOSHIBA/HIGHEST])</f>
        <v>Shops Highest Price</v>
      </c>
      <c r="W4997" s="86" t="str">
        <f>_xlfn.CONCAT(表格1[[#This Row],[欄4]],表格1[[#This Row],[inv no]])</f>
        <v>703652</v>
      </c>
    </row>
    <row r="4998" spans="1:23" hidden="1">
      <c r="A4998" s="81">
        <v>4996</v>
      </c>
      <c r="B4998" s="86" t="s">
        <v>1477</v>
      </c>
      <c r="C4998" s="86" t="s">
        <v>1973</v>
      </c>
      <c r="D4998" s="89" t="str">
        <f ca="1">OFFSET(Roster!$A$3,MATCH(表格1[[#This Row],[Location]]&amp;" "&amp;表格1[[#This Row],[Shop]]&amp;"*",Roster!$A$4:$A$72,0),DAY(表格1[[#This Row],[date]]),1,1)</f>
        <v>Tiffany</v>
      </c>
      <c r="E4998" s="86">
        <f>MONTH(表格1[[#This Row],[date]])</f>
        <v>3</v>
      </c>
      <c r="F4998" s="90">
        <v>46089</v>
      </c>
      <c r="G4998" s="86" t="str">
        <f>VLOOKUP("*"&amp;表格1[[#This Row],[Input]]&amp;"*",'Ref-List'!$B:$D,2,)</f>
        <v>DW-05T2-HK</v>
      </c>
      <c r="H4998" s="86" t="str">
        <f>_xlfn.XLOOKUP(表格1[[#This Row],[Model]],表格3[Model-Input-Ref2],表格3[Product Line])</f>
        <v>座檯式洗碗碟機</v>
      </c>
      <c r="I4998" s="86" t="str">
        <f>_xlfn.XLOOKUP(表格1[[#This Row],[Model]],表格3[Model-Input-Ref2],表格3[大小電])</f>
        <v>細電</v>
      </c>
      <c r="J4998" s="86" t="str">
        <f>_xlfn.XLOOKUP(表格1[[#This Row],[Model]],表格3[Model-Input-Ref2],表格3[Code])</f>
        <v>DW</v>
      </c>
      <c r="K4998" s="89" t="s">
        <v>1475</v>
      </c>
      <c r="L4998" s="86">
        <v>1</v>
      </c>
      <c r="M4998" s="87">
        <v>3780</v>
      </c>
      <c r="N4998" s="87">
        <f>IFERROR(表格1[[#This Row],[QTY]]*表格1[[#This Row],[Unit Price]],"-")</f>
        <v>3780</v>
      </c>
      <c r="O4998" s="86">
        <v>902208</v>
      </c>
      <c r="R4998" s="86" t="str">
        <f>_xlfn.CONCAT(表格1[[#This Row],[Model]]," ",表格1[[#This Row],[inv no]])</f>
        <v>DW-05T2-HK 902208</v>
      </c>
      <c r="S4998" s="86">
        <f>_xlfn.XLOOKUP(表格1[[#This Row],[Model]],表格3[Model-Input-Ref2],表格3[SRP PRICE])</f>
        <v>4580</v>
      </c>
      <c r="T4998" s="43">
        <f>表格1[[#This Row],[Unit Price]]/表格1[[#This Row],[SRP]]</f>
        <v>0.8253275109170306</v>
      </c>
      <c r="U4998" s="86" t="str">
        <f>_xlfn.XLOOKUP(表格1[[#This Row],[Model]],表格3[Model-Input-Ref2],表格3[TOSHIBA/HIGHEST])</f>
        <v>Toshiba SRP</v>
      </c>
      <c r="W4998" s="86" t="str">
        <f>_xlfn.CONCAT(表格1[[#This Row],[欄4]],表格1[[#This Row],[inv no]])</f>
        <v>902208</v>
      </c>
    </row>
    <row r="4999" spans="1:23" hidden="1">
      <c r="A4999" s="81">
        <v>4997</v>
      </c>
      <c r="B4999" s="86" t="s">
        <v>1477</v>
      </c>
      <c r="C4999" s="86" t="s">
        <v>1973</v>
      </c>
      <c r="D4999" s="89" t="str">
        <f ca="1">OFFSET(Roster!$A$3,MATCH(表格1[[#This Row],[Location]]&amp;" "&amp;表格1[[#This Row],[Shop]]&amp;"*",Roster!$A$4:$A$72,0),DAY(表格1[[#This Row],[date]]),1,1)</f>
        <v>Tiffany</v>
      </c>
      <c r="E4999" s="86">
        <f>MONTH(表格1[[#This Row],[date]])</f>
        <v>3</v>
      </c>
      <c r="F4999" s="90">
        <v>46090</v>
      </c>
      <c r="G4999" s="86" t="str">
        <f>VLOOKUP("*"&amp;表格1[[#This Row],[Input]]&amp;"*",'Ref-List'!$B:$D,2,)</f>
        <v>GR-RM612WE-PGA(B5)</v>
      </c>
      <c r="H4999" s="86" t="str">
        <f>_xlfn.XLOOKUP(表格1[[#This Row],[Model]],表格3[Model-Input-Ref2],表格3[Product Line])</f>
        <v>變頻五門雪櫃(375L)</v>
      </c>
      <c r="I4999" s="86" t="str">
        <f>_xlfn.XLOOKUP(表格1[[#This Row],[Model]],表格3[Model-Input-Ref2],表格3[大小電])</f>
        <v>大電</v>
      </c>
      <c r="J4999" s="86" t="str">
        <f>_xlfn.XLOOKUP(表格1[[#This Row],[Model]],表格3[Model-Input-Ref2],表格3[Code])</f>
        <v>REF</v>
      </c>
      <c r="K4999" s="89" t="s">
        <v>1257</v>
      </c>
      <c r="L4999" s="86">
        <v>1</v>
      </c>
      <c r="M4999" s="87">
        <v>9980</v>
      </c>
      <c r="N4999" s="87">
        <f>IFERROR(表格1[[#This Row],[QTY]]*表格1[[#This Row],[Unit Price]],"-")</f>
        <v>9980</v>
      </c>
      <c r="O4999" s="86">
        <v>902272</v>
      </c>
      <c r="R4999" s="86" t="str">
        <f>_xlfn.CONCAT(表格1[[#This Row],[Model]]," ",表格1[[#This Row],[inv no]])</f>
        <v>GR-RM612WE-PGA(B5) 902272</v>
      </c>
      <c r="S4999" s="86">
        <f>_xlfn.XLOOKUP(表格1[[#This Row],[Model]],表格3[Model-Input-Ref2],表格3[SRP PRICE])</f>
        <v>11000</v>
      </c>
      <c r="T4999" s="43">
        <f>表格1[[#This Row],[Unit Price]]/表格1[[#This Row],[SRP]]</f>
        <v>0.90727272727272723</v>
      </c>
      <c r="U4999" s="86" t="str">
        <f>_xlfn.XLOOKUP(表格1[[#This Row],[Model]],表格3[Model-Input-Ref2],表格3[TOSHIBA/HIGHEST])</f>
        <v>Shops Highest Price</v>
      </c>
      <c r="W4999" s="86" t="str">
        <f>_xlfn.CONCAT(表格1[[#This Row],[欄4]],表格1[[#This Row],[inv no]])</f>
        <v>902272</v>
      </c>
    </row>
    <row r="5000" spans="1:23" hidden="1">
      <c r="A5000" s="81">
        <v>4998</v>
      </c>
      <c r="B5000" s="86" t="s">
        <v>1477</v>
      </c>
      <c r="C5000" s="86" t="s">
        <v>1973</v>
      </c>
      <c r="D5000" s="89" t="str">
        <f ca="1">OFFSET(Roster!$A$3,MATCH(表格1[[#This Row],[Location]]&amp;" "&amp;表格1[[#This Row],[Shop]]&amp;"*",Roster!$A$4:$A$72,0),DAY(表格1[[#This Row],[date]]),1,1)</f>
        <v>Tiffany</v>
      </c>
      <c r="E5000" s="86">
        <f>MONTH(表格1[[#This Row],[date]])</f>
        <v>3</v>
      </c>
      <c r="F5000" s="90">
        <v>46090</v>
      </c>
      <c r="G5000" s="86" t="str">
        <f>VLOOKUP("*"&amp;表格1[[#This Row],[Input]]&amp;"*",'Ref-List'!$B:$D,2,)</f>
        <v>KT-17SHNH</v>
      </c>
      <c r="H5000" s="86" t="str">
        <f>_xlfn.XLOOKUP(表格1[[#This Row],[Model]],表格3[Model-Input-Ref2],表格3[Product Line])</f>
        <v>1.7L無線雙層電熱水壺</v>
      </c>
      <c r="I5000" s="86" t="str">
        <f>_xlfn.XLOOKUP(表格1[[#This Row],[Model]],表格3[Model-Input-Ref2],表格3[大小電])</f>
        <v>細電</v>
      </c>
      <c r="J5000" s="86" t="str">
        <f>_xlfn.XLOOKUP(表格1[[#This Row],[Model]],表格3[Model-Input-Ref2],表格3[Code])</f>
        <v>SDA</v>
      </c>
      <c r="K5000" s="89" t="s">
        <v>1283</v>
      </c>
      <c r="L5000" s="86">
        <v>1</v>
      </c>
      <c r="M5000" s="87">
        <v>198</v>
      </c>
      <c r="N5000" s="87">
        <f>IFERROR(表格1[[#This Row],[QTY]]*表格1[[#This Row],[Unit Price]],"-")</f>
        <v>198</v>
      </c>
      <c r="O5000" s="86">
        <v>804671</v>
      </c>
      <c r="R5000" s="86" t="str">
        <f>_xlfn.CONCAT(表格1[[#This Row],[Model]]," ",表格1[[#This Row],[inv no]])</f>
        <v>KT-17SHNH 804671</v>
      </c>
      <c r="S5000" s="86">
        <f>_xlfn.XLOOKUP(表格1[[#This Row],[Model]],表格3[Model-Input-Ref2],表格3[SRP PRICE])</f>
        <v>299</v>
      </c>
      <c r="T5000" s="43">
        <f>表格1[[#This Row],[Unit Price]]/表格1[[#This Row],[SRP]]</f>
        <v>0.66220735785953178</v>
      </c>
      <c r="U5000" s="86" t="str">
        <f>_xlfn.XLOOKUP(表格1[[#This Row],[Model]],表格3[Model-Input-Ref2],表格3[TOSHIBA/HIGHEST])</f>
        <v>Shops Highest Price</v>
      </c>
      <c r="W5000" s="86" t="str">
        <f>_xlfn.CONCAT(表格1[[#This Row],[欄4]],表格1[[#This Row],[inv no]])</f>
        <v>804671</v>
      </c>
    </row>
    <row r="5001" spans="1:23" hidden="1">
      <c r="A5001" s="81">
        <v>4999</v>
      </c>
      <c r="B5001" s="86" t="s">
        <v>1477</v>
      </c>
      <c r="C5001" s="86" t="s">
        <v>1973</v>
      </c>
      <c r="D5001" s="89" t="str">
        <f ca="1">OFFSET(Roster!$A$3,MATCH(表格1[[#This Row],[Location]]&amp;" "&amp;表格1[[#This Row],[Shop]]&amp;"*",Roster!$A$4:$A$72,0),DAY(表格1[[#This Row],[date]]),1,1)</f>
        <v>Tiffany</v>
      </c>
      <c r="E5001" s="86">
        <f>MONTH(表格1[[#This Row],[date]])</f>
        <v>3</v>
      </c>
      <c r="F5001" s="90">
        <v>46090</v>
      </c>
      <c r="G5001" s="86" t="str">
        <f>VLOOKUP("*"&amp;表格1[[#This Row],[Input]]&amp;"*",'Ref-List'!$B:$D,2,)</f>
        <v>RAD-DIA17HK</v>
      </c>
      <c r="H5001" s="86" t="str">
        <f>_xlfn.XLOOKUP(表格1[[#This Row],[Model]],表格3[Model-Input-Ref2],表格3[Product Line])</f>
        <v>變頻二合一空氣淨化抽濕機 (28公升)</v>
      </c>
      <c r="I5001" s="86" t="str">
        <f>_xlfn.XLOOKUP(表格1[[#This Row],[Model]],表格3[Model-Input-Ref2],表格3[大小電])</f>
        <v>大電</v>
      </c>
      <c r="J5001" s="86" t="str">
        <f>_xlfn.XLOOKUP(表格1[[#This Row],[Model]],表格3[Model-Input-Ref2],表格3[Code])</f>
        <v>RAC</v>
      </c>
      <c r="K5001" s="89" t="s">
        <v>1480</v>
      </c>
      <c r="L5001" s="86">
        <v>1</v>
      </c>
      <c r="M5001" s="87">
        <v>3580</v>
      </c>
      <c r="N5001" s="87">
        <f>IFERROR(表格1[[#This Row],[QTY]]*表格1[[#This Row],[Unit Price]],"-")</f>
        <v>3580</v>
      </c>
      <c r="O5001" s="86">
        <v>902274</v>
      </c>
      <c r="R5001" s="86" t="str">
        <f>_xlfn.CONCAT(表格1[[#This Row],[Model]]," ",表格1[[#This Row],[inv no]])</f>
        <v>RAD-DIA17HK 902274</v>
      </c>
      <c r="S5001" s="86">
        <f>_xlfn.XLOOKUP(表格1[[#This Row],[Model]],表格3[Model-Input-Ref2],表格3[SRP PRICE])</f>
        <v>4980</v>
      </c>
      <c r="T5001" s="43">
        <f>表格1[[#This Row],[Unit Price]]/表格1[[#This Row],[SRP]]</f>
        <v>0.71887550200803207</v>
      </c>
      <c r="U5001" s="86" t="str">
        <f>_xlfn.XLOOKUP(表格1[[#This Row],[Model]],表格3[Model-Input-Ref2],表格3[TOSHIBA/HIGHEST])</f>
        <v>Toshiba SRP</v>
      </c>
      <c r="W5001" s="86" t="str">
        <f>_xlfn.CONCAT(表格1[[#This Row],[欄4]],表格1[[#This Row],[inv no]])</f>
        <v>902274</v>
      </c>
    </row>
    <row r="5002" spans="1:23" hidden="1">
      <c r="A5002" s="81">
        <v>5000</v>
      </c>
      <c r="B5002" s="86" t="s">
        <v>1477</v>
      </c>
      <c r="C5002" s="86" t="s">
        <v>1973</v>
      </c>
      <c r="D5002" s="89" t="str">
        <f ca="1">OFFSET(Roster!$A$3,MATCH(表格1[[#This Row],[Location]]&amp;" "&amp;表格1[[#This Row],[Shop]]&amp;"*",Roster!$A$4:$A$72,0),DAY(表格1[[#This Row],[date]]),1,1)</f>
        <v>Tiffany</v>
      </c>
      <c r="E5002" s="86">
        <f>MONTH(表格1[[#This Row],[date]])</f>
        <v>3</v>
      </c>
      <c r="F5002" s="90">
        <v>46090</v>
      </c>
      <c r="G5002" s="86" t="str">
        <f>VLOOKUP("*"&amp;表格1[[#This Row],[Input]]&amp;"*",'Ref-List'!$B:$D,2,)</f>
        <v>RAD-DIA17HK</v>
      </c>
      <c r="H5002" s="86" t="str">
        <f>_xlfn.XLOOKUP(表格1[[#This Row],[Model]],表格3[Model-Input-Ref2],表格3[Product Line])</f>
        <v>變頻二合一空氣淨化抽濕機 (28公升)</v>
      </c>
      <c r="I5002" s="86" t="str">
        <f>_xlfn.XLOOKUP(表格1[[#This Row],[Model]],表格3[Model-Input-Ref2],表格3[大小電])</f>
        <v>大電</v>
      </c>
      <c r="J5002" s="86" t="str">
        <f>_xlfn.XLOOKUP(表格1[[#This Row],[Model]],表格3[Model-Input-Ref2],表格3[Code])</f>
        <v>RAC</v>
      </c>
      <c r="K5002" s="89" t="s">
        <v>1480</v>
      </c>
      <c r="L5002" s="86">
        <v>1</v>
      </c>
      <c r="M5002" s="87">
        <v>3580</v>
      </c>
      <c r="N5002" s="87">
        <f>IFERROR(表格1[[#This Row],[QTY]]*表格1[[#This Row],[Unit Price]],"-")</f>
        <v>3580</v>
      </c>
      <c r="O5002" s="86">
        <v>902275</v>
      </c>
      <c r="R5002" s="86" t="str">
        <f>_xlfn.CONCAT(表格1[[#This Row],[Model]]," ",表格1[[#This Row],[inv no]])</f>
        <v>RAD-DIA17HK 902275</v>
      </c>
      <c r="S5002" s="86">
        <f>_xlfn.XLOOKUP(表格1[[#This Row],[Model]],表格3[Model-Input-Ref2],表格3[SRP PRICE])</f>
        <v>4980</v>
      </c>
      <c r="T5002" s="43">
        <f>表格1[[#This Row],[Unit Price]]/表格1[[#This Row],[SRP]]</f>
        <v>0.71887550200803207</v>
      </c>
      <c r="U5002" s="86" t="str">
        <f>_xlfn.XLOOKUP(表格1[[#This Row],[Model]],表格3[Model-Input-Ref2],表格3[TOSHIBA/HIGHEST])</f>
        <v>Toshiba SRP</v>
      </c>
      <c r="W5002" s="86" t="str">
        <f>_xlfn.CONCAT(表格1[[#This Row],[欄4]],表格1[[#This Row],[inv no]])</f>
        <v>902275</v>
      </c>
    </row>
    <row r="5003" spans="1:23" hidden="1">
      <c r="A5003" s="81">
        <v>5001</v>
      </c>
      <c r="B5003" s="86" t="s">
        <v>1477</v>
      </c>
      <c r="C5003" s="86" t="s">
        <v>1973</v>
      </c>
      <c r="D5003" s="89" t="str">
        <f ca="1">OFFSET(Roster!$A$3,MATCH(表格1[[#This Row],[Location]]&amp;" "&amp;表格1[[#This Row],[Shop]]&amp;"*",Roster!$A$4:$A$72,0),DAY(表格1[[#This Row],[date]]),1,1)</f>
        <v>Tiffany</v>
      </c>
      <c r="E5003" s="86">
        <f>MONTH(表格1[[#This Row],[date]])</f>
        <v>3</v>
      </c>
      <c r="F5003" s="90">
        <v>46090</v>
      </c>
      <c r="G5003" s="86" t="str">
        <f>VLOOKUP("*"&amp;表格1[[#This Row],[Input]]&amp;"*",'Ref-List'!$B:$D,2,)</f>
        <v>RAD-DIA17HK</v>
      </c>
      <c r="H5003" s="86" t="str">
        <f>_xlfn.XLOOKUP(表格1[[#This Row],[Model]],表格3[Model-Input-Ref2],表格3[Product Line])</f>
        <v>變頻二合一空氣淨化抽濕機 (28公升)</v>
      </c>
      <c r="I5003" s="86" t="str">
        <f>_xlfn.XLOOKUP(表格1[[#This Row],[Model]],表格3[Model-Input-Ref2],表格3[大小電])</f>
        <v>大電</v>
      </c>
      <c r="J5003" s="86" t="str">
        <f>_xlfn.XLOOKUP(表格1[[#This Row],[Model]],表格3[Model-Input-Ref2],表格3[Code])</f>
        <v>RAC</v>
      </c>
      <c r="K5003" s="89" t="s">
        <v>1480</v>
      </c>
      <c r="L5003" s="86">
        <v>1</v>
      </c>
      <c r="M5003" s="87">
        <v>3580</v>
      </c>
      <c r="N5003" s="87">
        <f>IFERROR(表格1[[#This Row],[QTY]]*表格1[[#This Row],[Unit Price]],"-")</f>
        <v>3580</v>
      </c>
      <c r="O5003" s="86">
        <v>902276</v>
      </c>
      <c r="R5003" s="86" t="str">
        <f>_xlfn.CONCAT(表格1[[#This Row],[Model]]," ",表格1[[#This Row],[inv no]])</f>
        <v>RAD-DIA17HK 902276</v>
      </c>
      <c r="S5003" s="86">
        <f>_xlfn.XLOOKUP(表格1[[#This Row],[Model]],表格3[Model-Input-Ref2],表格3[SRP PRICE])</f>
        <v>4980</v>
      </c>
      <c r="T5003" s="43">
        <f>表格1[[#This Row],[Unit Price]]/表格1[[#This Row],[SRP]]</f>
        <v>0.71887550200803207</v>
      </c>
      <c r="U5003" s="86" t="str">
        <f>_xlfn.XLOOKUP(表格1[[#This Row],[Model]],表格3[Model-Input-Ref2],表格3[TOSHIBA/HIGHEST])</f>
        <v>Toshiba SRP</v>
      </c>
      <c r="W5003" s="86" t="str">
        <f>_xlfn.CONCAT(表格1[[#This Row],[欄4]],表格1[[#This Row],[inv no]])</f>
        <v>902276</v>
      </c>
    </row>
    <row r="5004" spans="1:23" hidden="1">
      <c r="A5004" s="81">
        <v>5002</v>
      </c>
      <c r="B5004" s="86" t="s">
        <v>1477</v>
      </c>
      <c r="C5004" s="86" t="s">
        <v>1973</v>
      </c>
      <c r="D5004" s="89" t="str">
        <f ca="1">OFFSET(Roster!$A$3,MATCH(表格1[[#This Row],[Location]]&amp;" "&amp;表格1[[#This Row],[Shop]]&amp;"*",Roster!$A$4:$A$72,0),DAY(表格1[[#This Row],[date]]),1,1)</f>
        <v>Tiffany</v>
      </c>
      <c r="E5004" s="86">
        <f>MONTH(表格1[[#This Row],[date]])</f>
        <v>3</v>
      </c>
      <c r="F5004" s="90">
        <v>46092</v>
      </c>
      <c r="G5004" s="86" t="str">
        <f>VLOOKUP("*"&amp;表格1[[#This Row],[Input]]&amp;"*",'Ref-List'!$B:$D,2,)</f>
        <v>TW-T21BU80UWH(MG)</v>
      </c>
      <c r="H5004" s="86" t="str">
        <f>_xlfn.XLOOKUP(表格1[[#This Row],[Model]],表格3[Model-Input-Ref2],表格3[Product Line])</f>
        <v>400MM超薄身前置式變頻洗衣機(7公斤)</v>
      </c>
      <c r="I5004" s="86" t="str">
        <f>_xlfn.XLOOKUP(表格1[[#This Row],[Model]],表格3[Model-Input-Ref2],表格3[大小電])</f>
        <v>大電</v>
      </c>
      <c r="J5004" s="86" t="str">
        <f>_xlfn.XLOOKUP(表格1[[#This Row],[Model]],表格3[Model-Input-Ref2],表格3[Code])</f>
        <v>LAD</v>
      </c>
      <c r="K5004" s="89" t="s">
        <v>1280</v>
      </c>
      <c r="L5004" s="86">
        <v>1</v>
      </c>
      <c r="M5004" s="87">
        <v>3180</v>
      </c>
      <c r="N5004" s="87">
        <f>IFERROR(表格1[[#This Row],[QTY]]*表格1[[#This Row],[Unit Price]],"-")</f>
        <v>3180</v>
      </c>
      <c r="O5004" s="86">
        <v>902395</v>
      </c>
      <c r="R5004" s="86" t="str">
        <f>_xlfn.CONCAT(表格1[[#This Row],[Model]]," ",表格1[[#This Row],[inv no]])</f>
        <v>TW-T21BU80UWH(MG) 902395</v>
      </c>
      <c r="S5004" s="86">
        <f>_xlfn.XLOOKUP(表格1[[#This Row],[Model]],表格3[Model-Input-Ref2],表格3[SRP PRICE])</f>
        <v>5180</v>
      </c>
      <c r="T5004" s="43">
        <f>表格1[[#This Row],[Unit Price]]/表格1[[#This Row],[SRP]]</f>
        <v>0.61389961389961389</v>
      </c>
      <c r="U5004" s="86" t="str">
        <f>_xlfn.XLOOKUP(表格1[[#This Row],[Model]],表格3[Model-Input-Ref2],表格3[TOSHIBA/HIGHEST])</f>
        <v>Toshiba SRP</v>
      </c>
      <c r="W5004" s="86" t="str">
        <f>_xlfn.CONCAT(表格1[[#This Row],[欄4]],表格1[[#This Row],[inv no]])</f>
        <v>902395</v>
      </c>
    </row>
    <row r="5005" spans="1:23" hidden="1">
      <c r="A5005" s="81">
        <v>5003</v>
      </c>
      <c r="B5005" s="86" t="s">
        <v>1477</v>
      </c>
      <c r="C5005" s="86" t="s">
        <v>1973</v>
      </c>
      <c r="D5005" s="89" t="str">
        <f ca="1">OFFSET(Roster!$A$3,MATCH(表格1[[#This Row],[Location]]&amp;" "&amp;表格1[[#This Row],[Shop]]&amp;"*",Roster!$A$4:$A$72,0),DAY(表格1[[#This Row],[date]]),1,1)</f>
        <v>Tiffany</v>
      </c>
      <c r="E5005" s="86">
        <f>MONTH(表格1[[#This Row],[date]])</f>
        <v>3</v>
      </c>
      <c r="F5005" s="90">
        <v>46092</v>
      </c>
      <c r="G5005" s="86" t="str">
        <f>VLOOKUP("*"&amp;表格1[[#This Row],[Input]]&amp;"*",'Ref-List'!$B:$D,2,)</f>
        <v>GR-RM598WE-PGA(B3)</v>
      </c>
      <c r="H5005" s="86" t="str">
        <f>_xlfn.XLOOKUP(表格1[[#This Row],[Model]],表格3[Model-Input-Ref2],表格3[Product Line])</f>
        <v>變頻六門雪櫃(451L)</v>
      </c>
      <c r="I5005" s="86" t="str">
        <f>_xlfn.XLOOKUP(表格1[[#This Row],[Model]],表格3[Model-Input-Ref2],表格3[大小電])</f>
        <v>大電</v>
      </c>
      <c r="J5005" s="86" t="str">
        <f>_xlfn.XLOOKUP(表格1[[#This Row],[Model]],表格3[Model-Input-Ref2],表格3[Code])</f>
        <v>REF</v>
      </c>
      <c r="K5005" s="89" t="s">
        <v>1491</v>
      </c>
      <c r="L5005" s="86">
        <v>1</v>
      </c>
      <c r="M5005" s="87">
        <v>10990</v>
      </c>
      <c r="N5005" s="87">
        <f>IFERROR(表格1[[#This Row],[QTY]]*表格1[[#This Row],[Unit Price]],"-")</f>
        <v>10990</v>
      </c>
      <c r="O5005" s="86">
        <v>902388</v>
      </c>
      <c r="R5005" s="86" t="str">
        <f>_xlfn.CONCAT(表格1[[#This Row],[Model]]," ",表格1[[#This Row],[inv no]])</f>
        <v>GR-RM598WE-PGA(B3) 902388</v>
      </c>
      <c r="S5005" s="86">
        <f>_xlfn.XLOOKUP(表格1[[#This Row],[Model]],表格3[Model-Input-Ref2],表格3[SRP PRICE])</f>
        <v>14980</v>
      </c>
      <c r="T5005" s="43">
        <f>表格1[[#This Row],[Unit Price]]/表格1[[#This Row],[SRP]]</f>
        <v>0.73364485981308414</v>
      </c>
      <c r="U5005" s="86" t="str">
        <f>_xlfn.XLOOKUP(表格1[[#This Row],[Model]],表格3[Model-Input-Ref2],表格3[TOSHIBA/HIGHEST])</f>
        <v>Toshiba SRP</v>
      </c>
      <c r="W5005" s="86" t="str">
        <f>_xlfn.CONCAT(表格1[[#This Row],[欄4]],表格1[[#This Row],[inv no]])</f>
        <v>902388</v>
      </c>
    </row>
    <row r="5006" spans="1:23" hidden="1">
      <c r="A5006" s="81">
        <v>5004</v>
      </c>
      <c r="B5006" s="86" t="s">
        <v>1477</v>
      </c>
      <c r="C5006" s="86" t="s">
        <v>1973</v>
      </c>
      <c r="D5006" s="89" t="str">
        <f ca="1">OFFSET(Roster!$A$3,MATCH(表格1[[#This Row],[Location]]&amp;" "&amp;表格1[[#This Row],[Shop]]&amp;"*",Roster!$A$4:$A$72,0),DAY(表格1[[#This Row],[date]]),1,1)</f>
        <v>Tiffany</v>
      </c>
      <c r="E5006" s="86">
        <f>MONTH(表格1[[#This Row],[date]])</f>
        <v>3</v>
      </c>
      <c r="F5006" s="90">
        <v>46092</v>
      </c>
      <c r="G5006" s="86" t="str">
        <f>VLOOKUP("*"&amp;表格1[[#This Row],[Input]]&amp;"*",'Ref-List'!$B:$D,2,)</f>
        <v>RC-18NMFIH(WT)</v>
      </c>
      <c r="H5006" s="86" t="str">
        <f>_xlfn.XLOOKUP(表格1[[#This Row],[Model]],表格3[Model-Input-Ref2],表格3[Product Line])</f>
        <v>4毫米厚釜電飯煲1.8L</v>
      </c>
      <c r="I5006" s="86" t="str">
        <f>_xlfn.XLOOKUP(表格1[[#This Row],[Model]],表格3[Model-Input-Ref2],表格3[大小電])</f>
        <v>細電</v>
      </c>
      <c r="J5006" s="86" t="str">
        <f>_xlfn.XLOOKUP(表格1[[#This Row],[Model]],表格3[Model-Input-Ref2],表格3[Code])</f>
        <v>SDA</v>
      </c>
      <c r="K5006" s="89" t="s">
        <v>1267</v>
      </c>
      <c r="L5006" s="86">
        <v>1</v>
      </c>
      <c r="M5006" s="87">
        <v>799</v>
      </c>
      <c r="N5006" s="87">
        <f>IFERROR(表格1[[#This Row],[QTY]]*表格1[[#This Row],[Unit Price]],"-")</f>
        <v>799</v>
      </c>
      <c r="O5006" s="86">
        <v>804836</v>
      </c>
      <c r="R5006" s="86" t="str">
        <f>_xlfn.CONCAT(表格1[[#This Row],[Model]]," ",表格1[[#This Row],[inv no]])</f>
        <v>RC-18NMFIH(WT) 804836</v>
      </c>
      <c r="S5006" s="86">
        <f>_xlfn.XLOOKUP(表格1[[#This Row],[Model]],表格3[Model-Input-Ref2],表格3[SRP PRICE])</f>
        <v>998</v>
      </c>
      <c r="T5006" s="43">
        <f>表格1[[#This Row],[Unit Price]]/表格1[[#This Row],[SRP]]</f>
        <v>0.80060120240480959</v>
      </c>
      <c r="U5006" s="86" t="str">
        <f>_xlfn.XLOOKUP(表格1[[#This Row],[Model]],表格3[Model-Input-Ref2],表格3[TOSHIBA/HIGHEST])</f>
        <v>Toshiba SRP</v>
      </c>
      <c r="W5006" s="86" t="str">
        <f>_xlfn.CONCAT(表格1[[#This Row],[欄4]],表格1[[#This Row],[inv no]])</f>
        <v>804836</v>
      </c>
    </row>
    <row r="5007" spans="1:23" hidden="1">
      <c r="A5007" s="81">
        <v>5005</v>
      </c>
      <c r="B5007" s="86" t="s">
        <v>1477</v>
      </c>
      <c r="C5007" s="86" t="s">
        <v>1973</v>
      </c>
      <c r="D5007" s="89" t="str">
        <f ca="1">OFFSET(Roster!$A$3,MATCH(表格1[[#This Row],[Location]]&amp;" "&amp;表格1[[#This Row],[Shop]]&amp;"*",Roster!$A$4:$A$72,0),DAY(表格1[[#This Row],[date]]),1,1)</f>
        <v>Tiffany</v>
      </c>
      <c r="E5007" s="86">
        <f>MONTH(表格1[[#This Row],[date]])</f>
        <v>3</v>
      </c>
      <c r="F5007" s="90">
        <v>46092</v>
      </c>
      <c r="G5007" s="86" t="str">
        <f>VLOOKUP("*"&amp;表格1[[#This Row],[Input]]&amp;"*",'Ref-List'!$B:$D,2,)</f>
        <v>RC-18NMFIH(WT)</v>
      </c>
      <c r="H5007" s="86" t="str">
        <f>_xlfn.XLOOKUP(表格1[[#This Row],[Model]],表格3[Model-Input-Ref2],表格3[Product Line])</f>
        <v>4毫米厚釜電飯煲1.8L</v>
      </c>
      <c r="I5007" s="86" t="str">
        <f>_xlfn.XLOOKUP(表格1[[#This Row],[Model]],表格3[Model-Input-Ref2],表格3[大小電])</f>
        <v>細電</v>
      </c>
      <c r="J5007" s="86" t="str">
        <f>_xlfn.XLOOKUP(表格1[[#This Row],[Model]],表格3[Model-Input-Ref2],表格3[Code])</f>
        <v>SDA</v>
      </c>
      <c r="K5007" s="89" t="s">
        <v>1267</v>
      </c>
      <c r="L5007" s="86">
        <v>1</v>
      </c>
      <c r="M5007" s="87">
        <v>799</v>
      </c>
      <c r="N5007" s="87">
        <f>IFERROR(表格1[[#This Row],[QTY]]*表格1[[#This Row],[Unit Price]],"-")</f>
        <v>799</v>
      </c>
      <c r="O5007" s="86">
        <v>804848</v>
      </c>
      <c r="R5007" s="86" t="str">
        <f>_xlfn.CONCAT(表格1[[#This Row],[Model]]," ",表格1[[#This Row],[inv no]])</f>
        <v>RC-18NMFIH(WT) 804848</v>
      </c>
      <c r="S5007" s="86">
        <f>_xlfn.XLOOKUP(表格1[[#This Row],[Model]],表格3[Model-Input-Ref2],表格3[SRP PRICE])</f>
        <v>998</v>
      </c>
      <c r="T5007" s="43">
        <f>表格1[[#This Row],[Unit Price]]/表格1[[#This Row],[SRP]]</f>
        <v>0.80060120240480959</v>
      </c>
      <c r="U5007" s="86" t="str">
        <f>_xlfn.XLOOKUP(表格1[[#This Row],[Model]],表格3[Model-Input-Ref2],表格3[TOSHIBA/HIGHEST])</f>
        <v>Toshiba SRP</v>
      </c>
      <c r="W5007" s="86" t="str">
        <f>_xlfn.CONCAT(表格1[[#This Row],[欄4]],表格1[[#This Row],[inv no]])</f>
        <v>804848</v>
      </c>
    </row>
    <row r="5008" spans="1:23" hidden="1">
      <c r="A5008" s="81">
        <v>5006</v>
      </c>
      <c r="B5008" s="86" t="s">
        <v>1477</v>
      </c>
      <c r="C5008" s="86" t="s">
        <v>1973</v>
      </c>
      <c r="D5008" s="89" t="str">
        <f ca="1">OFFSET(Roster!$A$3,MATCH(表格1[[#This Row],[Location]]&amp;" "&amp;表格1[[#This Row],[Shop]]&amp;"*",Roster!$A$4:$A$72,0),DAY(表格1[[#This Row],[date]]),1,1)</f>
        <v>Tiffany</v>
      </c>
      <c r="E5008" s="86">
        <f>MONTH(表格1[[#This Row],[date]])</f>
        <v>3</v>
      </c>
      <c r="F5008" s="90">
        <v>46092</v>
      </c>
      <c r="G5008" s="86" t="str">
        <f>VLOOKUP("*"&amp;表格1[[#This Row],[Input]]&amp;"*",'Ref-List'!$B:$D,2,)</f>
        <v>RC-7HMH</v>
      </c>
      <c r="H5008" s="86" t="str">
        <f>_xlfn.XLOOKUP(表格1[[#This Row],[Model]],表格3[Model-Input-Ref2],表格3[Product Line])</f>
        <v>備長炭本厚釜電飯煲0.7L</v>
      </c>
      <c r="I5008" s="86" t="str">
        <f>_xlfn.XLOOKUP(表格1[[#This Row],[Model]],表格3[Model-Input-Ref2],表格3[大小電])</f>
        <v>細電</v>
      </c>
      <c r="J5008" s="86" t="str">
        <f>_xlfn.XLOOKUP(表格1[[#This Row],[Model]],表格3[Model-Input-Ref2],表格3[Code])</f>
        <v>SDA</v>
      </c>
      <c r="K5008" s="89" t="s">
        <v>1284</v>
      </c>
      <c r="L5008" s="86">
        <v>1</v>
      </c>
      <c r="M5008" s="87">
        <v>838</v>
      </c>
      <c r="N5008" s="87">
        <f>IFERROR(表格1[[#This Row],[QTY]]*表格1[[#This Row],[Unit Price]],"-")</f>
        <v>838</v>
      </c>
      <c r="O5008" s="86">
        <v>804795</v>
      </c>
      <c r="R5008" s="86" t="str">
        <f>_xlfn.CONCAT(表格1[[#This Row],[Model]]," ",表格1[[#This Row],[inv no]])</f>
        <v>RC-7HMH 804795</v>
      </c>
      <c r="S5008" s="86">
        <f>_xlfn.XLOOKUP(表格1[[#This Row],[Model]],表格3[Model-Input-Ref2],表格3[SRP PRICE])</f>
        <v>1288</v>
      </c>
      <c r="T5008" s="43">
        <f>表格1[[#This Row],[Unit Price]]/表格1[[#This Row],[SRP]]</f>
        <v>0.65062111801242239</v>
      </c>
      <c r="U5008" s="86" t="str">
        <f>_xlfn.XLOOKUP(表格1[[#This Row],[Model]],表格3[Model-Input-Ref2],表格3[TOSHIBA/HIGHEST])</f>
        <v>Toshiba SRP</v>
      </c>
      <c r="W5008" s="86" t="str">
        <f>_xlfn.CONCAT(表格1[[#This Row],[欄4]],表格1[[#This Row],[inv no]])</f>
        <v>804795</v>
      </c>
    </row>
    <row r="5009" spans="1:23" hidden="1">
      <c r="A5009" s="81">
        <v>5007</v>
      </c>
      <c r="B5009" s="86" t="s">
        <v>1477</v>
      </c>
      <c r="C5009" s="86" t="s">
        <v>1973</v>
      </c>
      <c r="D5009" s="89" t="str">
        <f ca="1">OFFSET(Roster!$A$3,MATCH(表格1[[#This Row],[Location]]&amp;" "&amp;表格1[[#This Row],[Shop]]&amp;"*",Roster!$A$4:$A$72,0),DAY(表格1[[#This Row],[date]]),1,1)</f>
        <v>Tiffany</v>
      </c>
      <c r="E5009" s="86">
        <f>MONTH(表格1[[#This Row],[date]])</f>
        <v>3</v>
      </c>
      <c r="F5009" s="90">
        <v>46092</v>
      </c>
      <c r="G5009" s="86" t="str">
        <f>VLOOKUP("*"&amp;表格1[[#This Row],[Input]]&amp;"*",'Ref-List'!$B:$D,2,)</f>
        <v>RC-DZ4K(N)</v>
      </c>
      <c r="H5009" s="86" t="str">
        <f>_xlfn.XLOOKUP(表格1[[#This Row],[Model]],表格3[Model-Input-Ref2],表格3[Product Line])</f>
        <v>IH磁應電飯煲</v>
      </c>
      <c r="I5009" s="86" t="str">
        <f>_xlfn.XLOOKUP(表格1[[#This Row],[Model]],表格3[Model-Input-Ref2],表格3[大小電])</f>
        <v>細電</v>
      </c>
      <c r="J5009" s="86" t="str">
        <f>_xlfn.XLOOKUP(表格1[[#This Row],[Model]],表格3[Model-Input-Ref2],表格3[Code])</f>
        <v>SDA</v>
      </c>
      <c r="K5009" s="89" t="s">
        <v>1561</v>
      </c>
      <c r="L5009" s="86">
        <v>1</v>
      </c>
      <c r="M5009" s="87">
        <v>3280</v>
      </c>
      <c r="N5009" s="87">
        <f>IFERROR(表格1[[#This Row],[QTY]]*表格1[[#This Row],[Unit Price]],"-")</f>
        <v>3280</v>
      </c>
      <c r="O5009" s="86">
        <v>802371</v>
      </c>
      <c r="R5009" s="86" t="str">
        <f>_xlfn.CONCAT(表格1[[#This Row],[Model]]," ",表格1[[#This Row],[inv no]])</f>
        <v>RC-DZ4K(N) 802371</v>
      </c>
      <c r="S5009" s="86">
        <f>_xlfn.XLOOKUP(表格1[[#This Row],[Model]],表格3[Model-Input-Ref2],表格3[SRP PRICE])</f>
        <v>3888</v>
      </c>
      <c r="T5009" s="43">
        <f>表格1[[#This Row],[Unit Price]]/表格1[[#This Row],[SRP]]</f>
        <v>0.84362139917695478</v>
      </c>
      <c r="U5009" s="86" t="str">
        <f>_xlfn.XLOOKUP(表格1[[#This Row],[Model]],表格3[Model-Input-Ref2],表格3[TOSHIBA/HIGHEST])</f>
        <v>Shops Highest Price</v>
      </c>
      <c r="W5009" s="86" t="str">
        <f>_xlfn.CONCAT(表格1[[#This Row],[欄4]],表格1[[#This Row],[inv no]])</f>
        <v>802371</v>
      </c>
    </row>
    <row r="5010" spans="1:23" hidden="1">
      <c r="A5010" s="81">
        <v>5008</v>
      </c>
      <c r="B5010" s="86" t="s">
        <v>1477</v>
      </c>
      <c r="C5010" s="86" t="s">
        <v>1973</v>
      </c>
      <c r="D5010" s="89" t="str">
        <f ca="1">OFFSET(Roster!$A$3,MATCH(表格1[[#This Row],[Location]]&amp;" "&amp;表格1[[#This Row],[Shop]]&amp;"*",Roster!$A$4:$A$72,0),DAY(表格1[[#This Row],[date]]),1,1)</f>
        <v>Tiffany</v>
      </c>
      <c r="E5010" s="86">
        <f>MONTH(表格1[[#This Row],[date]])</f>
        <v>3</v>
      </c>
      <c r="F5010" s="90">
        <v>46092</v>
      </c>
      <c r="G5010" s="86" t="str">
        <f>VLOOKUP("*"&amp;表格1[[#This Row],[Input]]&amp;"*",'Ref-List'!$B:$D,2,)</f>
        <v>PLK-30FLIH(WT)</v>
      </c>
      <c r="H5010" s="86" t="str">
        <f>_xlfn.XLOOKUP(表格1[[#This Row],[Model]],表格3[Model-Input-Ref2],表格3[Product Line])</f>
        <v>電熱水瓶3L</v>
      </c>
      <c r="I5010" s="86" t="str">
        <f>_xlfn.XLOOKUP(表格1[[#This Row],[Model]],表格3[Model-Input-Ref2],表格3[大小電])</f>
        <v>細電</v>
      </c>
      <c r="J5010" s="86" t="str">
        <f>_xlfn.XLOOKUP(表格1[[#This Row],[Model]],表格3[Model-Input-Ref2],表格3[Code])</f>
        <v>SDA</v>
      </c>
      <c r="K5010" s="89" t="s">
        <v>1272</v>
      </c>
      <c r="L5010" s="86">
        <v>1</v>
      </c>
      <c r="M5010" s="87">
        <v>489</v>
      </c>
      <c r="N5010" s="87">
        <f>IFERROR(表格1[[#This Row],[QTY]]*表格1[[#This Row],[Unit Price]],"-")</f>
        <v>489</v>
      </c>
      <c r="O5010" s="86">
        <v>804821</v>
      </c>
      <c r="R5010" s="86" t="str">
        <f>_xlfn.CONCAT(表格1[[#This Row],[Model]]," ",表格1[[#This Row],[inv no]])</f>
        <v>PLK-30FLIH(WT) 804821</v>
      </c>
      <c r="S5010" s="86">
        <f>_xlfn.XLOOKUP(表格1[[#This Row],[Model]],表格3[Model-Input-Ref2],表格3[SRP PRICE])</f>
        <v>658</v>
      </c>
      <c r="T5010" s="43">
        <f>表格1[[#This Row],[Unit Price]]/表格1[[#This Row],[SRP]]</f>
        <v>0.74316109422492405</v>
      </c>
      <c r="U5010" s="86" t="str">
        <f>_xlfn.XLOOKUP(表格1[[#This Row],[Model]],表格3[Model-Input-Ref2],表格3[TOSHIBA/HIGHEST])</f>
        <v>Toshiba SRP</v>
      </c>
      <c r="W5010" s="86" t="str">
        <f>_xlfn.CONCAT(表格1[[#This Row],[欄4]],表格1[[#This Row],[inv no]])</f>
        <v>804821</v>
      </c>
    </row>
    <row r="5011" spans="1:23" hidden="1">
      <c r="A5011" s="81">
        <v>5009</v>
      </c>
      <c r="B5011" s="86" t="s">
        <v>1477</v>
      </c>
      <c r="C5011" s="86" t="s">
        <v>1973</v>
      </c>
      <c r="D5011" s="89" t="str">
        <f ca="1">OFFSET(Roster!$A$3,MATCH(表格1[[#This Row],[Location]]&amp;" "&amp;表格1[[#This Row],[Shop]]&amp;"*",Roster!$A$4:$A$72,0),DAY(表格1[[#This Row],[date]]),1,1)</f>
        <v>Tiffany</v>
      </c>
      <c r="E5011" s="86">
        <f>MONTH(表格1[[#This Row],[date]])</f>
        <v>3</v>
      </c>
      <c r="F5011" s="90">
        <v>46092</v>
      </c>
      <c r="G5011" s="86" t="str">
        <f>VLOOKUP("*"&amp;表格1[[#This Row],[Input]]&amp;"*",'Ref-List'!$B:$D,2,)</f>
        <v>RAD-D300H</v>
      </c>
      <c r="H5011" s="86" t="str">
        <f>_xlfn.XLOOKUP(表格1[[#This Row],[Model]],表格3[Model-Input-Ref2],表格3[Product Line])</f>
        <v>壓縮式抽濕機 (30公升)</v>
      </c>
      <c r="I5011" s="86" t="str">
        <f>_xlfn.XLOOKUP(表格1[[#This Row],[Model]],表格3[Model-Input-Ref2],表格3[大小電])</f>
        <v>細電</v>
      </c>
      <c r="J5011" s="86" t="str">
        <f>_xlfn.XLOOKUP(表格1[[#This Row],[Model]],表格3[Model-Input-Ref2],表格3[Code])</f>
        <v>RAC</v>
      </c>
      <c r="K5011" s="89" t="s">
        <v>1252</v>
      </c>
      <c r="L5011" s="86">
        <v>1</v>
      </c>
      <c r="M5011" s="87">
        <v>2280</v>
      </c>
      <c r="N5011" s="87">
        <f>IFERROR(表格1[[#This Row],[QTY]]*表格1[[#This Row],[Unit Price]],"-")</f>
        <v>2280</v>
      </c>
      <c r="O5011" s="86">
        <v>902394</v>
      </c>
      <c r="R5011" s="86" t="str">
        <f>_xlfn.CONCAT(表格1[[#This Row],[Model]]," ",表格1[[#This Row],[inv no]])</f>
        <v>RAD-D300H 902394</v>
      </c>
      <c r="S5011" s="86">
        <f>_xlfn.XLOOKUP(表格1[[#This Row],[Model]],表格3[Model-Input-Ref2],表格3[SRP PRICE])</f>
        <v>3380</v>
      </c>
      <c r="T5011" s="43">
        <f>表格1[[#This Row],[Unit Price]]/表格1[[#This Row],[SRP]]</f>
        <v>0.67455621301775148</v>
      </c>
      <c r="U5011" s="86" t="str">
        <f>_xlfn.XLOOKUP(表格1[[#This Row],[Model]],表格3[Model-Input-Ref2],表格3[TOSHIBA/HIGHEST])</f>
        <v>Shops Highest Price</v>
      </c>
      <c r="W5011" s="86" t="str">
        <f>_xlfn.CONCAT(表格1[[#This Row],[欄4]],表格1[[#This Row],[inv no]])</f>
        <v>902394</v>
      </c>
    </row>
    <row r="5012" spans="1:23" hidden="1">
      <c r="A5012" s="81">
        <v>5010</v>
      </c>
      <c r="B5012" s="86" t="s">
        <v>1477</v>
      </c>
      <c r="C5012" s="86" t="s">
        <v>1973</v>
      </c>
      <c r="D5012" s="89" t="str">
        <f ca="1">OFFSET(Roster!$A$3,MATCH(表格1[[#This Row],[Location]]&amp;" "&amp;表格1[[#This Row],[Shop]]&amp;"*",Roster!$A$4:$A$72,0),DAY(表格1[[#This Row],[date]]),1,1)</f>
        <v>Tiffany</v>
      </c>
      <c r="E5012" s="86">
        <f>MONTH(表格1[[#This Row],[date]])</f>
        <v>3</v>
      </c>
      <c r="F5012" s="90">
        <v>46092</v>
      </c>
      <c r="G5012" s="86" t="str">
        <f>VLOOKUP("*"&amp;表格1[[#This Row],[Input]]&amp;"*",'Ref-List'!$B:$D,2,)</f>
        <v>DW-05T2-HK</v>
      </c>
      <c r="H5012" s="86" t="str">
        <f>_xlfn.XLOOKUP(表格1[[#This Row],[Model]],表格3[Model-Input-Ref2],表格3[Product Line])</f>
        <v>座檯式洗碗碟機</v>
      </c>
      <c r="I5012" s="86" t="str">
        <f>_xlfn.XLOOKUP(表格1[[#This Row],[Model]],表格3[Model-Input-Ref2],表格3[大小電])</f>
        <v>細電</v>
      </c>
      <c r="J5012" s="86" t="str">
        <f>_xlfn.XLOOKUP(表格1[[#This Row],[Model]],表格3[Model-Input-Ref2],表格3[Code])</f>
        <v>DW</v>
      </c>
      <c r="K5012" s="89" t="s">
        <v>1475</v>
      </c>
      <c r="L5012" s="86">
        <v>1</v>
      </c>
      <c r="M5012" s="87">
        <v>3780</v>
      </c>
      <c r="N5012" s="87">
        <f>IFERROR(表格1[[#This Row],[QTY]]*表格1[[#This Row],[Unit Price]],"-")</f>
        <v>3780</v>
      </c>
      <c r="O5012" s="86">
        <v>902389</v>
      </c>
      <c r="R5012" s="86" t="str">
        <f>_xlfn.CONCAT(表格1[[#This Row],[Model]]," ",表格1[[#This Row],[inv no]])</f>
        <v>DW-05T2-HK 902389</v>
      </c>
      <c r="S5012" s="86">
        <f>_xlfn.XLOOKUP(表格1[[#This Row],[Model]],表格3[Model-Input-Ref2],表格3[SRP PRICE])</f>
        <v>4580</v>
      </c>
      <c r="T5012" s="43">
        <f>表格1[[#This Row],[Unit Price]]/表格1[[#This Row],[SRP]]</f>
        <v>0.8253275109170306</v>
      </c>
      <c r="U5012" s="86" t="str">
        <f>_xlfn.XLOOKUP(表格1[[#This Row],[Model]],表格3[Model-Input-Ref2],表格3[TOSHIBA/HIGHEST])</f>
        <v>Toshiba SRP</v>
      </c>
      <c r="W5012" s="86" t="str">
        <f>_xlfn.CONCAT(表格1[[#This Row],[欄4]],表格1[[#This Row],[inv no]])</f>
        <v>902389</v>
      </c>
    </row>
    <row r="5013" spans="1:23" hidden="1">
      <c r="A5013" s="81">
        <v>5011</v>
      </c>
      <c r="B5013" s="86" t="s">
        <v>1477</v>
      </c>
      <c r="C5013" s="86" t="s">
        <v>1973</v>
      </c>
      <c r="D5013" s="89" t="str">
        <f ca="1">OFFSET(Roster!$A$3,MATCH(表格1[[#This Row],[Location]]&amp;" "&amp;表格1[[#This Row],[Shop]]&amp;"*",Roster!$A$4:$A$72,0),DAY(表格1[[#This Row],[date]]),1,1)</f>
        <v>Tiffany</v>
      </c>
      <c r="E5013" s="86">
        <f>MONTH(表格1[[#This Row],[date]])</f>
        <v>3</v>
      </c>
      <c r="F5013" s="90">
        <v>46092</v>
      </c>
      <c r="G5013" s="86" t="str">
        <f>VLOOKUP("*"&amp;表格1[[#This Row],[Input]]&amp;"*",'Ref-List'!$B:$D,2,)</f>
        <v>MV-AG21TF(BK)</v>
      </c>
      <c r="H5013" s="86" t="str">
        <f>_xlfn.XLOOKUP(表格1[[#This Row],[Model]],表格3[Model-Input-Ref2],表格3[Product Line])</f>
        <v>燒烤微波爐21L</v>
      </c>
      <c r="I5013" s="86" t="str">
        <f>_xlfn.XLOOKUP(表格1[[#This Row],[Model]],表格3[Model-Input-Ref2],表格3[大小電])</f>
        <v>細電</v>
      </c>
      <c r="J5013" s="86" t="str">
        <f>_xlfn.XLOOKUP(表格1[[#This Row],[Model]],表格3[Model-Input-Ref2],表格3[Code])</f>
        <v>SDA</v>
      </c>
      <c r="K5013" s="89" t="s">
        <v>1486</v>
      </c>
      <c r="L5013" s="86">
        <v>1</v>
      </c>
      <c r="M5013" s="87">
        <v>798</v>
      </c>
      <c r="N5013" s="87">
        <f>IFERROR(表格1[[#This Row],[QTY]]*表格1[[#This Row],[Unit Price]],"-")</f>
        <v>798</v>
      </c>
      <c r="O5013" s="86">
        <v>902389</v>
      </c>
      <c r="R5013" s="86" t="str">
        <f>_xlfn.CONCAT(表格1[[#This Row],[Model]]," ",表格1[[#This Row],[inv no]])</f>
        <v>MV-AG21TF(BK) 902389</v>
      </c>
      <c r="S5013" s="86">
        <f>_xlfn.XLOOKUP(表格1[[#This Row],[Model]],表格3[Model-Input-Ref2],表格3[SRP PRICE])</f>
        <v>1098</v>
      </c>
      <c r="T5013" s="43">
        <f>表格1[[#This Row],[Unit Price]]/表格1[[#This Row],[SRP]]</f>
        <v>0.72677595628415304</v>
      </c>
      <c r="U5013" s="86" t="str">
        <f>_xlfn.XLOOKUP(表格1[[#This Row],[Model]],表格3[Model-Input-Ref2],表格3[TOSHIBA/HIGHEST])</f>
        <v>Toshiba SRP</v>
      </c>
      <c r="W5013" s="86" t="str">
        <f>_xlfn.CONCAT(表格1[[#This Row],[欄4]],表格1[[#This Row],[inv no]])</f>
        <v>902389</v>
      </c>
    </row>
    <row r="5014" spans="1:23" hidden="1">
      <c r="A5014" s="81">
        <v>5012</v>
      </c>
      <c r="B5014" s="86" t="s">
        <v>1477</v>
      </c>
      <c r="C5014" s="86" t="s">
        <v>1973</v>
      </c>
      <c r="D5014" s="89" t="str">
        <f ca="1">OFFSET(Roster!$A$3,MATCH(表格1[[#This Row],[Location]]&amp;" "&amp;表格1[[#This Row],[Shop]]&amp;"*",Roster!$A$4:$A$72,0),DAY(表格1[[#This Row],[date]]),1,1)</f>
        <v>Tiffany</v>
      </c>
      <c r="E5014" s="86">
        <f>MONTH(表格1[[#This Row],[date]])</f>
        <v>3</v>
      </c>
      <c r="F5014" s="90">
        <v>46093</v>
      </c>
      <c r="G5014" s="86" t="str">
        <f>VLOOKUP("*"&amp;表格1[[#This Row],[Input]]&amp;"*",'Ref-List'!$B:$D,2,)</f>
        <v>GR-RB221WE-PMA(57)</v>
      </c>
      <c r="H5014" s="86" t="str">
        <f>_xlfn.XLOOKUP(表格1[[#This Row],[Model]],表格3[Model-Input-Ref2],表格3[Product Line])</f>
        <v>變頻下置式雙門雪櫃（163L）</v>
      </c>
      <c r="I5014" s="86" t="str">
        <f>_xlfn.XLOOKUP(表格1[[#This Row],[Model]],表格3[Model-Input-Ref2],表格3[大小電])</f>
        <v>大電</v>
      </c>
      <c r="J5014" s="86" t="str">
        <f>_xlfn.XLOOKUP(表格1[[#This Row],[Model]],表格3[Model-Input-Ref2],表格3[Code])</f>
        <v>REF</v>
      </c>
      <c r="K5014" s="89" t="s">
        <v>1386</v>
      </c>
      <c r="L5014" s="86">
        <v>1</v>
      </c>
      <c r="M5014" s="87">
        <v>1880</v>
      </c>
      <c r="N5014" s="87">
        <f>IFERROR(表格1[[#This Row],[QTY]]*表格1[[#This Row],[Unit Price]],"-")</f>
        <v>1880</v>
      </c>
      <c r="O5014" s="86">
        <v>902400</v>
      </c>
      <c r="R5014" s="86" t="str">
        <f>_xlfn.CONCAT(表格1[[#This Row],[Model]]," ",表格1[[#This Row],[inv no]])</f>
        <v>GR-RB221WE-PMA(57) 902400</v>
      </c>
      <c r="S5014" s="86">
        <f>_xlfn.XLOOKUP(表格1[[#This Row],[Model]],表格3[Model-Input-Ref2],表格3[SRP PRICE])</f>
        <v>3480</v>
      </c>
      <c r="T5014" s="43">
        <f>表格1[[#This Row],[Unit Price]]/表格1[[#This Row],[SRP]]</f>
        <v>0.54022988505747127</v>
      </c>
      <c r="U5014" s="86" t="str">
        <f>_xlfn.XLOOKUP(表格1[[#This Row],[Model]],表格3[Model-Input-Ref2],表格3[TOSHIBA/HIGHEST])</f>
        <v>Toshiba SRP</v>
      </c>
      <c r="W5014" s="86" t="str">
        <f>_xlfn.CONCAT(表格1[[#This Row],[欄4]],表格1[[#This Row],[inv no]])</f>
        <v>902400</v>
      </c>
    </row>
    <row r="5015" spans="1:23" hidden="1">
      <c r="A5015" s="81">
        <v>5013</v>
      </c>
      <c r="B5015" s="86" t="s">
        <v>1477</v>
      </c>
      <c r="C5015" s="86" t="s">
        <v>1973</v>
      </c>
      <c r="D5015" s="89" t="str">
        <f ca="1">OFFSET(Roster!$A$3,MATCH(表格1[[#This Row],[Location]]&amp;" "&amp;表格1[[#This Row],[Shop]]&amp;"*",Roster!$A$4:$A$72,0),DAY(表格1[[#This Row],[date]]),1,1)</f>
        <v>Tiffany</v>
      </c>
      <c r="E5015" s="86">
        <f>MONTH(表格1[[#This Row],[date]])</f>
        <v>3</v>
      </c>
      <c r="F5015" s="90">
        <v>46093</v>
      </c>
      <c r="G5015" s="86" t="str">
        <f>VLOOKUP("*"&amp;表格1[[#This Row],[Input]]&amp;"*",'Ref-List'!$B:$D,2,)</f>
        <v>RC-10DRNH</v>
      </c>
      <c r="H5015" s="86" t="str">
        <f>_xlfn.XLOOKUP(表格1[[#This Row],[Model]],表格3[Model-Input-Ref2],表格3[Product Line])</f>
        <v>多功能備長炭本厚釜電飯煲1L</v>
      </c>
      <c r="I5015" s="86" t="str">
        <f>_xlfn.XLOOKUP(表格1[[#This Row],[Model]],表格3[Model-Input-Ref2],表格3[大小電])</f>
        <v>細電</v>
      </c>
      <c r="J5015" s="86" t="str">
        <f>_xlfn.XLOOKUP(表格1[[#This Row],[Model]],表格3[Model-Input-Ref2],表格3[Code])</f>
        <v>SDA</v>
      </c>
      <c r="K5015" s="89" t="s">
        <v>1376</v>
      </c>
      <c r="L5015" s="86">
        <v>1</v>
      </c>
      <c r="M5015" s="87">
        <v>537</v>
      </c>
      <c r="N5015" s="87">
        <f>IFERROR(表格1[[#This Row],[QTY]]*表格1[[#This Row],[Unit Price]],"-")</f>
        <v>537</v>
      </c>
      <c r="O5015" s="86">
        <v>902411</v>
      </c>
      <c r="R5015" s="86" t="str">
        <f>_xlfn.CONCAT(表格1[[#This Row],[Model]]," ",表格1[[#This Row],[inv no]])</f>
        <v>RC-10DRNH 902411</v>
      </c>
      <c r="S5015" s="86">
        <f>_xlfn.XLOOKUP(表格1[[#This Row],[Model]],表格3[Model-Input-Ref2],表格3[SRP PRICE])</f>
        <v>798</v>
      </c>
      <c r="T5015" s="43">
        <f>表格1[[#This Row],[Unit Price]]/表格1[[#This Row],[SRP]]</f>
        <v>0.67293233082706772</v>
      </c>
      <c r="U5015" s="86" t="str">
        <f>_xlfn.XLOOKUP(表格1[[#This Row],[Model]],表格3[Model-Input-Ref2],表格3[TOSHIBA/HIGHEST])</f>
        <v>Toshiba SRP</v>
      </c>
      <c r="W5015" s="86" t="str">
        <f>_xlfn.CONCAT(表格1[[#This Row],[欄4]],表格1[[#This Row],[inv no]])</f>
        <v>902411</v>
      </c>
    </row>
    <row r="5016" spans="1:23" hidden="1">
      <c r="A5016" s="81">
        <v>5014</v>
      </c>
      <c r="B5016" s="86" t="s">
        <v>1477</v>
      </c>
      <c r="C5016" s="86" t="s">
        <v>1973</v>
      </c>
      <c r="D5016" s="89" t="str">
        <f ca="1">OFFSET(Roster!$A$3,MATCH(表格1[[#This Row],[Location]]&amp;" "&amp;表格1[[#This Row],[Shop]]&amp;"*",Roster!$A$4:$A$72,0),DAY(表格1[[#This Row],[date]]),1,1)</f>
        <v>Tiffany</v>
      </c>
      <c r="E5016" s="86">
        <f>MONTH(表格1[[#This Row],[date]])</f>
        <v>3</v>
      </c>
      <c r="F5016" s="90">
        <v>46093</v>
      </c>
      <c r="G5016" s="86" t="str">
        <f>VLOOKUP("*"&amp;表格1[[#This Row],[Input]]&amp;"*",'Ref-List'!$B:$D,2,)</f>
        <v>RC-7HMH</v>
      </c>
      <c r="H5016" s="86" t="str">
        <f>_xlfn.XLOOKUP(表格1[[#This Row],[Model]],表格3[Model-Input-Ref2],表格3[Product Line])</f>
        <v>備長炭本厚釜電飯煲0.7L</v>
      </c>
      <c r="I5016" s="86" t="str">
        <f>_xlfn.XLOOKUP(表格1[[#This Row],[Model]],表格3[Model-Input-Ref2],表格3[大小電])</f>
        <v>細電</v>
      </c>
      <c r="J5016" s="86" t="str">
        <f>_xlfn.XLOOKUP(表格1[[#This Row],[Model]],表格3[Model-Input-Ref2],表格3[Code])</f>
        <v>SDA</v>
      </c>
      <c r="K5016" s="89" t="s">
        <v>1284</v>
      </c>
      <c r="L5016" s="86">
        <v>1</v>
      </c>
      <c r="M5016" s="87">
        <v>838</v>
      </c>
      <c r="N5016" s="87">
        <f>IFERROR(表格1[[#This Row],[QTY]]*表格1[[#This Row],[Unit Price]],"-")</f>
        <v>838</v>
      </c>
      <c r="O5016" s="86">
        <v>804901</v>
      </c>
      <c r="R5016" s="86" t="str">
        <f>_xlfn.CONCAT(表格1[[#This Row],[Model]]," ",表格1[[#This Row],[inv no]])</f>
        <v>RC-7HMH 804901</v>
      </c>
      <c r="S5016" s="86">
        <f>_xlfn.XLOOKUP(表格1[[#This Row],[Model]],表格3[Model-Input-Ref2],表格3[SRP PRICE])</f>
        <v>1288</v>
      </c>
      <c r="T5016" s="43">
        <f>表格1[[#This Row],[Unit Price]]/表格1[[#This Row],[SRP]]</f>
        <v>0.65062111801242239</v>
      </c>
      <c r="U5016" s="86" t="str">
        <f>_xlfn.XLOOKUP(表格1[[#This Row],[Model]],表格3[Model-Input-Ref2],表格3[TOSHIBA/HIGHEST])</f>
        <v>Toshiba SRP</v>
      </c>
      <c r="W5016" s="86" t="str">
        <f>_xlfn.CONCAT(表格1[[#This Row],[欄4]],表格1[[#This Row],[inv no]])</f>
        <v>804901</v>
      </c>
    </row>
    <row r="5017" spans="1:23" hidden="1">
      <c r="A5017" s="81">
        <v>5015</v>
      </c>
      <c r="B5017" s="86" t="s">
        <v>1477</v>
      </c>
      <c r="C5017" s="86" t="s">
        <v>1973</v>
      </c>
      <c r="D5017" s="89" t="str">
        <f ca="1">OFFSET(Roster!$A$3,MATCH(表格1[[#This Row],[Location]]&amp;" "&amp;表格1[[#This Row],[Shop]]&amp;"*",Roster!$A$4:$A$72,0),DAY(表格1[[#This Row],[date]]),1,1)</f>
        <v>Tiffany</v>
      </c>
      <c r="E5017" s="86">
        <f>MONTH(表格1[[#This Row],[date]])</f>
        <v>3</v>
      </c>
      <c r="F5017" s="90">
        <v>46093</v>
      </c>
      <c r="G5017" s="86" t="str">
        <f>VLOOKUP("*"&amp;表格1[[#This Row],[Input]]&amp;"*",'Ref-List'!$B:$D,2,)</f>
        <v>RC-10ISSHK(W)</v>
      </c>
      <c r="H5017" s="86" t="str">
        <f>_xlfn.XLOOKUP(表格1[[#This Row],[Model]],表格3[Model-Input-Ref2],表格3[Product Line])</f>
        <v>磁應電飯煲(1公升)</v>
      </c>
      <c r="I5017" s="86" t="str">
        <f>_xlfn.XLOOKUP(表格1[[#This Row],[Model]],表格3[Model-Input-Ref2],表格3[大小電])</f>
        <v>細電</v>
      </c>
      <c r="J5017" s="86" t="str">
        <f>_xlfn.XLOOKUP(表格1[[#This Row],[Model]],表格3[Model-Input-Ref2],表格3[Code])</f>
        <v>SDA</v>
      </c>
      <c r="K5017" s="89" t="s">
        <v>1286</v>
      </c>
      <c r="L5017" s="86">
        <v>1</v>
      </c>
      <c r="M5017" s="87">
        <v>939</v>
      </c>
      <c r="N5017" s="87">
        <f>IFERROR(表格1[[#This Row],[QTY]]*表格1[[#This Row],[Unit Price]],"-")</f>
        <v>939</v>
      </c>
      <c r="O5017" s="86">
        <v>804901</v>
      </c>
      <c r="R5017" s="86" t="str">
        <f>_xlfn.CONCAT(表格1[[#This Row],[Model]]," ",表格1[[#This Row],[inv no]])</f>
        <v>RC-10ISSHK(W) 804901</v>
      </c>
      <c r="S5017" s="86">
        <f>_xlfn.XLOOKUP(表格1[[#This Row],[Model]],表格3[Model-Input-Ref2],表格3[SRP PRICE])</f>
        <v>1188</v>
      </c>
      <c r="T5017" s="43">
        <f>表格1[[#This Row],[Unit Price]]/表格1[[#This Row],[SRP]]</f>
        <v>0.79040404040404044</v>
      </c>
      <c r="U5017" s="86" t="str">
        <f>_xlfn.XLOOKUP(表格1[[#This Row],[Model]],表格3[Model-Input-Ref2],表格3[TOSHIBA/HIGHEST])</f>
        <v>Shops Highest Price</v>
      </c>
      <c r="W5017" s="86" t="str">
        <f>_xlfn.CONCAT(表格1[[#This Row],[欄4]],表格1[[#This Row],[inv no]])</f>
        <v>804901</v>
      </c>
    </row>
    <row r="5018" spans="1:23" hidden="1">
      <c r="A5018" s="81">
        <v>5016</v>
      </c>
      <c r="B5018" s="86" t="s">
        <v>1477</v>
      </c>
      <c r="C5018" s="86" t="s">
        <v>1973</v>
      </c>
      <c r="D5018" s="89" t="str">
        <f ca="1">OFFSET(Roster!$A$3,MATCH(表格1[[#This Row],[Location]]&amp;" "&amp;表格1[[#This Row],[Shop]]&amp;"*",Roster!$A$4:$A$72,0),DAY(表格1[[#This Row],[date]]),1,1)</f>
        <v>Tiffany</v>
      </c>
      <c r="E5018" s="86">
        <f>MONTH(表格1[[#This Row],[date]])</f>
        <v>3</v>
      </c>
      <c r="F5018" s="90">
        <v>46093</v>
      </c>
      <c r="G5018" s="86" t="str">
        <f>VLOOKUP("*"&amp;表格1[[#This Row],[Input]]&amp;"*",'Ref-List'!$B:$D,2,)</f>
        <v>RAD-D300H</v>
      </c>
      <c r="H5018" s="86" t="str">
        <f>_xlfn.XLOOKUP(表格1[[#This Row],[Model]],表格3[Model-Input-Ref2],表格3[Product Line])</f>
        <v>壓縮式抽濕機 (30公升)</v>
      </c>
      <c r="I5018" s="86" t="str">
        <f>_xlfn.XLOOKUP(表格1[[#This Row],[Model]],表格3[Model-Input-Ref2],表格3[大小電])</f>
        <v>細電</v>
      </c>
      <c r="J5018" s="86" t="str">
        <f>_xlfn.XLOOKUP(表格1[[#This Row],[Model]],表格3[Model-Input-Ref2],表格3[Code])</f>
        <v>RAC</v>
      </c>
      <c r="K5018" s="89" t="s">
        <v>1252</v>
      </c>
      <c r="L5018" s="86">
        <v>1</v>
      </c>
      <c r="M5018" s="87">
        <v>2280</v>
      </c>
      <c r="N5018" s="87">
        <f>IFERROR(表格1[[#This Row],[QTY]]*表格1[[#This Row],[Unit Price]],"-")</f>
        <v>2280</v>
      </c>
      <c r="O5018" s="86">
        <v>902426</v>
      </c>
      <c r="R5018" s="86" t="str">
        <f>_xlfn.CONCAT(表格1[[#This Row],[Model]]," ",表格1[[#This Row],[inv no]])</f>
        <v>RAD-D300H 902426</v>
      </c>
      <c r="S5018" s="86">
        <f>_xlfn.XLOOKUP(表格1[[#This Row],[Model]],表格3[Model-Input-Ref2],表格3[SRP PRICE])</f>
        <v>3380</v>
      </c>
      <c r="T5018" s="43">
        <f>表格1[[#This Row],[Unit Price]]/表格1[[#This Row],[SRP]]</f>
        <v>0.67455621301775148</v>
      </c>
      <c r="U5018" s="86" t="str">
        <f>_xlfn.XLOOKUP(表格1[[#This Row],[Model]],表格3[Model-Input-Ref2],表格3[TOSHIBA/HIGHEST])</f>
        <v>Shops Highest Price</v>
      </c>
      <c r="W5018" s="86" t="str">
        <f>_xlfn.CONCAT(表格1[[#This Row],[欄4]],表格1[[#This Row],[inv no]])</f>
        <v>902426</v>
      </c>
    </row>
    <row r="5019" spans="1:23" hidden="1">
      <c r="A5019" s="81">
        <v>5017</v>
      </c>
      <c r="B5019" s="86" t="s">
        <v>1477</v>
      </c>
      <c r="C5019" s="86" t="s">
        <v>1973</v>
      </c>
      <c r="D5019" s="89" t="str">
        <f ca="1">OFFSET(Roster!$A$3,MATCH(表格1[[#This Row],[Location]]&amp;" "&amp;表格1[[#This Row],[Shop]]&amp;"*",Roster!$A$4:$A$72,0),DAY(表格1[[#This Row],[date]]),1,1)</f>
        <v>Tiffany</v>
      </c>
      <c r="E5019" s="86">
        <f>MONTH(表格1[[#This Row],[date]])</f>
        <v>3</v>
      </c>
      <c r="F5019" s="90">
        <v>46093</v>
      </c>
      <c r="G5019" s="86" t="str">
        <f>VLOOKUP("*"&amp;表格1[[#This Row],[Input]]&amp;"*",'Ref-List'!$B:$D,2,)</f>
        <v>MM2-EG20PC(WH)</v>
      </c>
      <c r="H5019" s="86" t="str">
        <f>_xlfn.XLOOKUP(表格1[[#This Row],[Model]],表格3[Model-Input-Ref2],表格3[Product Line])</f>
        <v>輕觸式燒烤微波爐</v>
      </c>
      <c r="I5019" s="86" t="str">
        <f>_xlfn.XLOOKUP(表格1[[#This Row],[Model]],表格3[Model-Input-Ref2],表格3[大小電])</f>
        <v>細電</v>
      </c>
      <c r="J5019" s="86" t="str">
        <f>_xlfn.XLOOKUP(表格1[[#This Row],[Model]],表格3[Model-Input-Ref2],表格3[Code])</f>
        <v>MCA</v>
      </c>
      <c r="K5019" s="89" t="s">
        <v>1273</v>
      </c>
      <c r="L5019" s="86">
        <v>1</v>
      </c>
      <c r="M5019" s="87">
        <v>698</v>
      </c>
      <c r="N5019" s="87">
        <f>IFERROR(表格1[[#This Row],[QTY]]*表格1[[#This Row],[Unit Price]],"-")</f>
        <v>698</v>
      </c>
      <c r="O5019" s="86">
        <v>804926</v>
      </c>
      <c r="R5019" s="86" t="str">
        <f>_xlfn.CONCAT(表格1[[#This Row],[Model]]," ",表格1[[#This Row],[inv no]])</f>
        <v>MM2-EG20PC(WH) 804926</v>
      </c>
      <c r="S5019" s="86">
        <f>_xlfn.XLOOKUP(表格1[[#This Row],[Model]],表格3[Model-Input-Ref2],表格3[SRP PRICE])</f>
        <v>918</v>
      </c>
      <c r="T5019" s="43">
        <f>表格1[[#This Row],[Unit Price]]/表格1[[#This Row],[SRP]]</f>
        <v>0.76034858387799564</v>
      </c>
      <c r="U5019" s="86" t="str">
        <f>_xlfn.XLOOKUP(表格1[[#This Row],[Model]],表格3[Model-Input-Ref2],表格3[TOSHIBA/HIGHEST])</f>
        <v>Shops Highest Price</v>
      </c>
      <c r="W5019" s="86" t="str">
        <f>_xlfn.CONCAT(表格1[[#This Row],[欄4]],表格1[[#This Row],[inv no]])</f>
        <v>804926</v>
      </c>
    </row>
    <row r="5020" spans="1:23" hidden="1">
      <c r="A5020" s="81">
        <v>5018</v>
      </c>
      <c r="B5020" s="86" t="s">
        <v>1477</v>
      </c>
      <c r="C5020" s="86" t="s">
        <v>1973</v>
      </c>
      <c r="D5020" s="89" t="str">
        <f ca="1">OFFSET(Roster!$A$3,MATCH(表格1[[#This Row],[Location]]&amp;" "&amp;表格1[[#This Row],[Shop]]&amp;"*",Roster!$A$4:$A$72,0),DAY(表格1[[#This Row],[date]]),1,1)</f>
        <v>Tiffany</v>
      </c>
      <c r="E5020" s="86">
        <f>MONTH(表格1[[#This Row],[date]])</f>
        <v>3</v>
      </c>
      <c r="F5020" s="90">
        <v>46093</v>
      </c>
      <c r="G5020" s="86" t="str">
        <f>VLOOKUP("*"&amp;表格1[[#This Row],[Input]]&amp;"*",'Ref-List'!$B:$D,2,)</f>
        <v>MX2-STR25SC(WH)</v>
      </c>
      <c r="H5020" s="86" t="str">
        <f>_xlfn.XLOOKUP(表格1[[#This Row],[Model]],表格3[Model-Input-Ref2],表格3[Product Line])</f>
        <v>4合1氣炸微波蒸焗爐(25公升)</v>
      </c>
      <c r="I5020" s="86" t="str">
        <f>_xlfn.XLOOKUP(表格1[[#This Row],[Model]],表格3[Model-Input-Ref2],表格3[大小電])</f>
        <v>細電</v>
      </c>
      <c r="J5020" s="86" t="str">
        <f>_xlfn.XLOOKUP(表格1[[#This Row],[Model]],表格3[Model-Input-Ref2],表格3[Code])</f>
        <v>MCA</v>
      </c>
      <c r="K5020" s="89" t="s">
        <v>1410</v>
      </c>
      <c r="L5020" s="86">
        <v>1</v>
      </c>
      <c r="M5020" s="87">
        <v>3464</v>
      </c>
      <c r="N5020" s="87">
        <f>IFERROR(表格1[[#This Row],[QTY]]*表格1[[#This Row],[Unit Price]],"-")</f>
        <v>3464</v>
      </c>
      <c r="O5020" s="86">
        <v>902423</v>
      </c>
      <c r="R5020" s="86" t="str">
        <f>_xlfn.CONCAT(表格1[[#This Row],[Model]]," ",表格1[[#This Row],[inv no]])</f>
        <v>MX2-STR25SC(WH) 902423</v>
      </c>
      <c r="S5020" s="86">
        <f>_xlfn.XLOOKUP(表格1[[#This Row],[Model]],表格3[Model-Input-Ref2],表格3[SRP PRICE])</f>
        <v>4998</v>
      </c>
      <c r="T5020" s="43">
        <f>表格1[[#This Row],[Unit Price]]/表格1[[#This Row],[SRP]]</f>
        <v>0.69307723089235695</v>
      </c>
      <c r="U5020" s="86" t="str">
        <f>_xlfn.XLOOKUP(表格1[[#This Row],[Model]],表格3[Model-Input-Ref2],表格3[TOSHIBA/HIGHEST])</f>
        <v>Toshiba SRP</v>
      </c>
      <c r="W5020" s="86" t="str">
        <f>_xlfn.CONCAT(表格1[[#This Row],[欄4]],表格1[[#This Row],[inv no]])</f>
        <v>902423</v>
      </c>
    </row>
    <row r="5021" spans="1:23" hidden="1">
      <c r="A5021" s="81">
        <v>5019</v>
      </c>
      <c r="B5021" s="86" t="s">
        <v>1477</v>
      </c>
      <c r="C5021" s="86" t="s">
        <v>1973</v>
      </c>
      <c r="D5021" s="89" t="str">
        <f ca="1">OFFSET(Roster!$A$3,MATCH(表格1[[#This Row],[Location]]&amp;" "&amp;表格1[[#This Row],[Shop]]&amp;"*",Roster!$A$4:$A$72,0),DAY(表格1[[#This Row],[date]]),1,1)</f>
        <v>Tiffany</v>
      </c>
      <c r="E5021" s="86">
        <f>MONTH(表格1[[#This Row],[date]])</f>
        <v>3</v>
      </c>
      <c r="F5021" s="90">
        <v>46095</v>
      </c>
      <c r="G5021" s="86" t="str">
        <f>VLOOKUP("*"&amp;表格1[[#This Row],[Input]]&amp;"*",'Ref-List'!$B:$D,2,)</f>
        <v>TW-T21BU80UWH(MG)</v>
      </c>
      <c r="H5021" s="86" t="str">
        <f>_xlfn.XLOOKUP(表格1[[#This Row],[Model]],表格3[Model-Input-Ref2],表格3[Product Line])</f>
        <v>400MM超薄身前置式變頻洗衣機(7公斤)</v>
      </c>
      <c r="I5021" s="86" t="str">
        <f>_xlfn.XLOOKUP(表格1[[#This Row],[Model]],表格3[Model-Input-Ref2],表格3[大小電])</f>
        <v>大電</v>
      </c>
      <c r="J5021" s="86" t="str">
        <f>_xlfn.XLOOKUP(表格1[[#This Row],[Model]],表格3[Model-Input-Ref2],表格3[Code])</f>
        <v>LAD</v>
      </c>
      <c r="K5021" s="89" t="s">
        <v>1280</v>
      </c>
      <c r="L5021" s="86">
        <v>1</v>
      </c>
      <c r="M5021" s="87">
        <v>3190</v>
      </c>
      <c r="N5021" s="87">
        <f>IFERROR(表格1[[#This Row],[QTY]]*表格1[[#This Row],[Unit Price]],"-")</f>
        <v>3190</v>
      </c>
      <c r="O5021" s="86">
        <v>703777</v>
      </c>
      <c r="R5021" s="86" t="str">
        <f>_xlfn.CONCAT(表格1[[#This Row],[Model]]," ",表格1[[#This Row],[inv no]])</f>
        <v>TW-T21BU80UWH(MG) 703777</v>
      </c>
      <c r="S5021" s="86">
        <f>_xlfn.XLOOKUP(表格1[[#This Row],[Model]],表格3[Model-Input-Ref2],表格3[SRP PRICE])</f>
        <v>5180</v>
      </c>
      <c r="T5021" s="43">
        <f>表格1[[#This Row],[Unit Price]]/表格1[[#This Row],[SRP]]</f>
        <v>0.61583011583011582</v>
      </c>
      <c r="U5021" s="86" t="str">
        <f>_xlfn.XLOOKUP(表格1[[#This Row],[Model]],表格3[Model-Input-Ref2],表格3[TOSHIBA/HIGHEST])</f>
        <v>Toshiba SRP</v>
      </c>
      <c r="W5021" s="86" t="str">
        <f>_xlfn.CONCAT(表格1[[#This Row],[欄4]],表格1[[#This Row],[inv no]])</f>
        <v>703777</v>
      </c>
    </row>
    <row r="5022" spans="1:23" hidden="1">
      <c r="A5022" s="81">
        <v>5020</v>
      </c>
      <c r="B5022" s="86" t="s">
        <v>1477</v>
      </c>
      <c r="C5022" s="86" t="s">
        <v>1973</v>
      </c>
      <c r="D5022" s="89" t="str">
        <f ca="1">OFFSET(Roster!$A$3,MATCH(表格1[[#This Row],[Location]]&amp;" "&amp;表格1[[#This Row],[Shop]]&amp;"*",Roster!$A$4:$A$72,0),DAY(表格1[[#This Row],[date]]),1,1)</f>
        <v>Tiffany</v>
      </c>
      <c r="E5022" s="86">
        <f>MONTH(表格1[[#This Row],[date]])</f>
        <v>3</v>
      </c>
      <c r="F5022" s="90">
        <v>46095</v>
      </c>
      <c r="G5022" s="86" t="str">
        <f>VLOOKUP("*"&amp;表格1[[#This Row],[Input]]&amp;"*",'Ref-List'!$B:$D,2,)</f>
        <v>GR-RB221WE-PMA(57)</v>
      </c>
      <c r="H5022" s="86" t="str">
        <f>_xlfn.XLOOKUP(表格1[[#This Row],[Model]],表格3[Model-Input-Ref2],表格3[Product Line])</f>
        <v>變頻下置式雙門雪櫃（163L）</v>
      </c>
      <c r="I5022" s="86" t="str">
        <f>_xlfn.XLOOKUP(表格1[[#This Row],[Model]],表格3[Model-Input-Ref2],表格3[大小電])</f>
        <v>大電</v>
      </c>
      <c r="J5022" s="86" t="str">
        <f>_xlfn.XLOOKUP(表格1[[#This Row],[Model]],表格3[Model-Input-Ref2],表格3[Code])</f>
        <v>REF</v>
      </c>
      <c r="K5022" s="89" t="s">
        <v>1386</v>
      </c>
      <c r="L5022" s="86">
        <v>1</v>
      </c>
      <c r="M5022" s="87">
        <v>1880</v>
      </c>
      <c r="N5022" s="87">
        <f>IFERROR(表格1[[#This Row],[QTY]]*表格1[[#This Row],[Unit Price]],"-")</f>
        <v>1880</v>
      </c>
      <c r="O5022" s="86">
        <v>805065</v>
      </c>
      <c r="R5022" s="86" t="str">
        <f>_xlfn.CONCAT(表格1[[#This Row],[Model]]," ",表格1[[#This Row],[inv no]])</f>
        <v>GR-RB221WE-PMA(57) 805065</v>
      </c>
      <c r="S5022" s="86">
        <f>_xlfn.XLOOKUP(表格1[[#This Row],[Model]],表格3[Model-Input-Ref2],表格3[SRP PRICE])</f>
        <v>3480</v>
      </c>
      <c r="T5022" s="43">
        <f>表格1[[#This Row],[Unit Price]]/表格1[[#This Row],[SRP]]</f>
        <v>0.54022988505747127</v>
      </c>
      <c r="U5022" s="86" t="str">
        <f>_xlfn.XLOOKUP(表格1[[#This Row],[Model]],表格3[Model-Input-Ref2],表格3[TOSHIBA/HIGHEST])</f>
        <v>Toshiba SRP</v>
      </c>
      <c r="W5022" s="86" t="str">
        <f>_xlfn.CONCAT(表格1[[#This Row],[欄4]],表格1[[#This Row],[inv no]])</f>
        <v>805065</v>
      </c>
    </row>
    <row r="5023" spans="1:23" hidden="1">
      <c r="A5023" s="81">
        <v>5021</v>
      </c>
      <c r="B5023" s="86" t="s">
        <v>1477</v>
      </c>
      <c r="C5023" s="86" t="s">
        <v>1973</v>
      </c>
      <c r="D5023" s="89" t="str">
        <f ca="1">OFFSET(Roster!$A$3,MATCH(表格1[[#This Row],[Location]]&amp;" "&amp;表格1[[#This Row],[Shop]]&amp;"*",Roster!$A$4:$A$72,0),DAY(表格1[[#This Row],[date]]),1,1)</f>
        <v>Tiffany</v>
      </c>
      <c r="E5023" s="86">
        <f>MONTH(表格1[[#This Row],[date]])</f>
        <v>3</v>
      </c>
      <c r="F5023" s="90">
        <v>46095</v>
      </c>
      <c r="G5023" s="86" t="str">
        <f>VLOOKUP("*"&amp;表格1[[#This Row],[Input]]&amp;"*",'Ref-List'!$B:$D,2,)</f>
        <v>GR-RM352WI-PMA(53)</v>
      </c>
      <c r="H5023" s="86" t="str">
        <f>_xlfn.XLOOKUP(表格1[[#This Row],[Model]],表格3[Model-Input-Ref2],表格3[Product Line])</f>
        <v>變頻三門雪櫃 (233L)</v>
      </c>
      <c r="I5023" s="86" t="str">
        <f>_xlfn.XLOOKUP(表格1[[#This Row],[Model]],表格3[Model-Input-Ref2],表格3[大小電])</f>
        <v>大電</v>
      </c>
      <c r="J5023" s="86" t="str">
        <f>_xlfn.XLOOKUP(表格1[[#This Row],[Model]],表格3[Model-Input-Ref2],表格3[Code])</f>
        <v>REF</v>
      </c>
      <c r="K5023" s="89" t="s">
        <v>1495</v>
      </c>
      <c r="L5023" s="86">
        <v>1</v>
      </c>
      <c r="M5023" s="87">
        <v>3480</v>
      </c>
      <c r="N5023" s="87">
        <f>IFERROR(表格1[[#This Row],[QTY]]*表格1[[#This Row],[Unit Price]],"-")</f>
        <v>3480</v>
      </c>
      <c r="O5023" s="86">
        <v>703784</v>
      </c>
      <c r="R5023" s="86" t="str">
        <f>_xlfn.CONCAT(表格1[[#This Row],[Model]]," ",表格1[[#This Row],[inv no]])</f>
        <v>GR-RM352WI-PMA(53) 703784</v>
      </c>
      <c r="S5023" s="86">
        <f>_xlfn.XLOOKUP(表格1[[#This Row],[Model]],表格3[Model-Input-Ref2],表格3[SRP PRICE])</f>
        <v>5580</v>
      </c>
      <c r="T5023" s="43">
        <f>表格1[[#This Row],[Unit Price]]/表格1[[#This Row],[SRP]]</f>
        <v>0.62365591397849462</v>
      </c>
      <c r="U5023" s="86" t="str">
        <f>_xlfn.XLOOKUP(表格1[[#This Row],[Model]],表格3[Model-Input-Ref2],表格3[TOSHIBA/HIGHEST])</f>
        <v>Toshiba SRP</v>
      </c>
      <c r="W5023" s="86" t="str">
        <f>_xlfn.CONCAT(表格1[[#This Row],[欄4]],表格1[[#This Row],[inv no]])</f>
        <v>703784</v>
      </c>
    </row>
    <row r="5024" spans="1:23" hidden="1">
      <c r="A5024" s="81">
        <v>5022</v>
      </c>
      <c r="B5024" s="86" t="s">
        <v>1477</v>
      </c>
      <c r="C5024" s="86" t="s">
        <v>1973</v>
      </c>
      <c r="D5024" s="89" t="str">
        <f ca="1">OFFSET(Roster!$A$3,MATCH(表格1[[#This Row],[Location]]&amp;" "&amp;表格1[[#This Row],[Shop]]&amp;"*",Roster!$A$4:$A$72,0),DAY(表格1[[#This Row],[date]]),1,1)</f>
        <v>Tiffany</v>
      </c>
      <c r="E5024" s="86">
        <f>MONTH(表格1[[#This Row],[date]])</f>
        <v>3</v>
      </c>
      <c r="F5024" s="90">
        <v>46095</v>
      </c>
      <c r="G5024" s="86" t="str">
        <f>VLOOKUP("*"&amp;表格1[[#This Row],[Input]]&amp;"*",'Ref-List'!$B:$D,2,)</f>
        <v>GR-RM598WE-PGA(B3)</v>
      </c>
      <c r="H5024" s="86" t="str">
        <f>_xlfn.XLOOKUP(表格1[[#This Row],[Model]],表格3[Model-Input-Ref2],表格3[Product Line])</f>
        <v>變頻六門雪櫃(451L)</v>
      </c>
      <c r="I5024" s="86" t="str">
        <f>_xlfn.XLOOKUP(表格1[[#This Row],[Model]],表格3[Model-Input-Ref2],表格3[大小電])</f>
        <v>大電</v>
      </c>
      <c r="J5024" s="86" t="str">
        <f>_xlfn.XLOOKUP(表格1[[#This Row],[Model]],表格3[Model-Input-Ref2],表格3[Code])</f>
        <v>REF</v>
      </c>
      <c r="K5024" s="89" t="s">
        <v>1491</v>
      </c>
      <c r="L5024" s="86">
        <v>1</v>
      </c>
      <c r="M5024" s="87">
        <v>10990</v>
      </c>
      <c r="N5024" s="87">
        <f>IFERROR(表格1[[#This Row],[QTY]]*表格1[[#This Row],[Unit Price]],"-")</f>
        <v>10990</v>
      </c>
      <c r="O5024" s="86">
        <v>805084</v>
      </c>
      <c r="R5024" s="86" t="str">
        <f>_xlfn.CONCAT(表格1[[#This Row],[Model]]," ",表格1[[#This Row],[inv no]])</f>
        <v>GR-RM598WE-PGA(B3) 805084</v>
      </c>
      <c r="S5024" s="86">
        <f>_xlfn.XLOOKUP(表格1[[#This Row],[Model]],表格3[Model-Input-Ref2],表格3[SRP PRICE])</f>
        <v>14980</v>
      </c>
      <c r="T5024" s="43">
        <f>表格1[[#This Row],[Unit Price]]/表格1[[#This Row],[SRP]]</f>
        <v>0.73364485981308414</v>
      </c>
      <c r="U5024" s="86" t="str">
        <f>_xlfn.XLOOKUP(表格1[[#This Row],[Model]],表格3[Model-Input-Ref2],表格3[TOSHIBA/HIGHEST])</f>
        <v>Toshiba SRP</v>
      </c>
      <c r="W5024" s="86" t="str">
        <f>_xlfn.CONCAT(表格1[[#This Row],[欄4]],表格1[[#This Row],[inv no]])</f>
        <v>805084</v>
      </c>
    </row>
    <row r="5025" spans="1:23" hidden="1">
      <c r="A5025" s="81">
        <v>5023</v>
      </c>
      <c r="B5025" s="86" t="s">
        <v>1477</v>
      </c>
      <c r="C5025" s="86" t="s">
        <v>1973</v>
      </c>
      <c r="D5025" s="89" t="str">
        <f ca="1">OFFSET(Roster!$A$3,MATCH(表格1[[#This Row],[Location]]&amp;" "&amp;表格1[[#This Row],[Shop]]&amp;"*",Roster!$A$4:$A$72,0),DAY(表格1[[#This Row],[date]]),1,1)</f>
        <v>Tiffany</v>
      </c>
      <c r="E5025" s="86">
        <f>MONTH(表格1[[#This Row],[date]])</f>
        <v>3</v>
      </c>
      <c r="F5025" s="90">
        <v>46095</v>
      </c>
      <c r="G5025" s="86" t="str">
        <f>VLOOKUP("*"&amp;表格1[[#This Row],[Input]]&amp;"*",'Ref-List'!$B:$D,2,)</f>
        <v>RC-10NMFIH(WT)</v>
      </c>
      <c r="H5025" s="86" t="str">
        <f>_xlfn.XLOOKUP(表格1[[#This Row],[Model]],表格3[Model-Input-Ref2],表格3[Product Line])</f>
        <v>4毫米厚釜電飯煲1L</v>
      </c>
      <c r="I5025" s="86" t="str">
        <f>_xlfn.XLOOKUP(表格1[[#This Row],[Model]],表格3[Model-Input-Ref2],表格3[大小電])</f>
        <v>細電</v>
      </c>
      <c r="J5025" s="86" t="str">
        <f>_xlfn.XLOOKUP(表格1[[#This Row],[Model]],表格3[Model-Input-Ref2],表格3[Code])</f>
        <v>SDA</v>
      </c>
      <c r="K5025" s="89" t="s">
        <v>1244</v>
      </c>
      <c r="L5025" s="86">
        <v>1</v>
      </c>
      <c r="M5025" s="87">
        <v>719</v>
      </c>
      <c r="N5025" s="87">
        <f>IFERROR(表格1[[#This Row],[QTY]]*表格1[[#This Row],[Unit Price]],"-")</f>
        <v>719</v>
      </c>
      <c r="O5025" s="86">
        <v>703769</v>
      </c>
      <c r="R5025" s="86" t="str">
        <f>_xlfn.CONCAT(表格1[[#This Row],[Model]]," ",表格1[[#This Row],[inv no]])</f>
        <v>RC-10NMFIH(WT) 703769</v>
      </c>
      <c r="S5025" s="86">
        <f>_xlfn.XLOOKUP(表格1[[#This Row],[Model]],表格3[Model-Input-Ref2],表格3[SRP PRICE])</f>
        <v>898</v>
      </c>
      <c r="T5025" s="43">
        <f>表格1[[#This Row],[Unit Price]]/表格1[[#This Row],[SRP]]</f>
        <v>0.80066815144766146</v>
      </c>
      <c r="U5025" s="86" t="str">
        <f>_xlfn.XLOOKUP(表格1[[#This Row],[Model]],表格3[Model-Input-Ref2],表格3[TOSHIBA/HIGHEST])</f>
        <v>Toshiba SRP</v>
      </c>
      <c r="W5025" s="86" t="str">
        <f>_xlfn.CONCAT(表格1[[#This Row],[欄4]],表格1[[#This Row],[inv no]])</f>
        <v>703769</v>
      </c>
    </row>
    <row r="5026" spans="1:23" hidden="1">
      <c r="A5026" s="81">
        <v>5024</v>
      </c>
      <c r="B5026" s="86" t="s">
        <v>1477</v>
      </c>
      <c r="C5026" s="86" t="s">
        <v>1973</v>
      </c>
      <c r="D5026" s="89" t="str">
        <f ca="1">OFFSET(Roster!$A$3,MATCH(表格1[[#This Row],[Location]]&amp;" "&amp;表格1[[#This Row],[Shop]]&amp;"*",Roster!$A$4:$A$72,0),DAY(表格1[[#This Row],[date]]),1,1)</f>
        <v>Tiffany</v>
      </c>
      <c r="E5026" s="86">
        <f>MONTH(表格1[[#This Row],[date]])</f>
        <v>3</v>
      </c>
      <c r="F5026" s="90">
        <v>46095</v>
      </c>
      <c r="G5026" s="86" t="str">
        <f>VLOOKUP("*"&amp;表格1[[#This Row],[Input]]&amp;"*",'Ref-List'!$B:$D,2,)</f>
        <v>RC-10NMFIH(WT)</v>
      </c>
      <c r="H5026" s="86" t="str">
        <f>_xlfn.XLOOKUP(表格1[[#This Row],[Model]],表格3[Model-Input-Ref2],表格3[Product Line])</f>
        <v>4毫米厚釜電飯煲1L</v>
      </c>
      <c r="I5026" s="86" t="str">
        <f>_xlfn.XLOOKUP(表格1[[#This Row],[Model]],表格3[Model-Input-Ref2],表格3[大小電])</f>
        <v>細電</v>
      </c>
      <c r="J5026" s="86" t="str">
        <f>_xlfn.XLOOKUP(表格1[[#This Row],[Model]],表格3[Model-Input-Ref2],表格3[Code])</f>
        <v>SDA</v>
      </c>
      <c r="K5026" s="89" t="s">
        <v>1244</v>
      </c>
      <c r="L5026" s="86">
        <v>1</v>
      </c>
      <c r="M5026" s="87">
        <v>719</v>
      </c>
      <c r="N5026" s="87">
        <f>IFERROR(表格1[[#This Row],[QTY]]*表格1[[#This Row],[Unit Price]],"-")</f>
        <v>719</v>
      </c>
      <c r="O5026" s="86">
        <v>703777</v>
      </c>
      <c r="R5026" s="86" t="str">
        <f>_xlfn.CONCAT(表格1[[#This Row],[Model]]," ",表格1[[#This Row],[inv no]])</f>
        <v>RC-10NMFIH(WT) 703777</v>
      </c>
      <c r="S5026" s="86">
        <f>_xlfn.XLOOKUP(表格1[[#This Row],[Model]],表格3[Model-Input-Ref2],表格3[SRP PRICE])</f>
        <v>898</v>
      </c>
      <c r="T5026" s="43">
        <f>表格1[[#This Row],[Unit Price]]/表格1[[#This Row],[SRP]]</f>
        <v>0.80066815144766146</v>
      </c>
      <c r="U5026" s="86" t="str">
        <f>_xlfn.XLOOKUP(表格1[[#This Row],[Model]],表格3[Model-Input-Ref2],表格3[TOSHIBA/HIGHEST])</f>
        <v>Toshiba SRP</v>
      </c>
      <c r="W5026" s="86" t="str">
        <f>_xlfn.CONCAT(表格1[[#This Row],[欄4]],表格1[[#This Row],[inv no]])</f>
        <v>703777</v>
      </c>
    </row>
    <row r="5027" spans="1:23" hidden="1">
      <c r="A5027" s="81">
        <v>5025</v>
      </c>
      <c r="B5027" s="86" t="s">
        <v>1477</v>
      </c>
      <c r="C5027" s="86" t="s">
        <v>1973</v>
      </c>
      <c r="D5027" s="89" t="str">
        <f ca="1">OFFSET(Roster!$A$3,MATCH(表格1[[#This Row],[Location]]&amp;" "&amp;表格1[[#This Row],[Shop]]&amp;"*",Roster!$A$4:$A$72,0),DAY(表格1[[#This Row],[date]]),1,1)</f>
        <v>Tiffany</v>
      </c>
      <c r="E5027" s="86">
        <f>MONTH(表格1[[#This Row],[date]])</f>
        <v>3</v>
      </c>
      <c r="F5027" s="90">
        <v>46095</v>
      </c>
      <c r="G5027" s="86" t="str">
        <f>VLOOKUP("*"&amp;表格1[[#This Row],[Input]]&amp;"*",'Ref-List'!$B:$D,2,)</f>
        <v>RC-18AMXH(W)</v>
      </c>
      <c r="H5027" s="86" t="str">
        <f>_xlfn.XLOOKUP(表格1[[#This Row],[Model]],表格3[Model-Input-Ref2],表格3[Product Line])</f>
        <v>酵活炊電飯煲(1.8公升)</v>
      </c>
      <c r="I5027" s="86" t="str">
        <f>_xlfn.XLOOKUP(表格1[[#This Row],[Model]],表格3[Model-Input-Ref2],表格3[大小電])</f>
        <v>細電</v>
      </c>
      <c r="J5027" s="86" t="str">
        <f>_xlfn.XLOOKUP(表格1[[#This Row],[Model]],表格3[Model-Input-Ref2],表格3[Code])</f>
        <v>SDA</v>
      </c>
      <c r="K5027" s="89" t="s">
        <v>1362</v>
      </c>
      <c r="L5027" s="86">
        <v>1</v>
      </c>
      <c r="M5027" s="87">
        <v>990</v>
      </c>
      <c r="N5027" s="87">
        <f>IFERROR(表格1[[#This Row],[QTY]]*表格1[[#This Row],[Unit Price]],"-")</f>
        <v>990</v>
      </c>
      <c r="O5027" s="86">
        <v>703791</v>
      </c>
      <c r="R5027" s="86" t="str">
        <f>_xlfn.CONCAT(表格1[[#This Row],[Model]]," ",表格1[[#This Row],[inv no]])</f>
        <v>RC-18AMXH(W) 703791</v>
      </c>
      <c r="S5027" s="86">
        <f>_xlfn.XLOOKUP(表格1[[#This Row],[Model]],表格3[Model-Input-Ref2],表格3[SRP PRICE])</f>
        <v>1588</v>
      </c>
      <c r="T5027" s="43">
        <f>表格1[[#This Row],[Unit Price]]/表格1[[#This Row],[SRP]]</f>
        <v>0.62342569269521408</v>
      </c>
      <c r="U5027" s="86" t="str">
        <f>_xlfn.XLOOKUP(表格1[[#This Row],[Model]],表格3[Model-Input-Ref2],表格3[TOSHIBA/HIGHEST])</f>
        <v>Toshiba SRP</v>
      </c>
      <c r="W5027" s="86" t="str">
        <f>_xlfn.CONCAT(表格1[[#This Row],[欄4]],表格1[[#This Row],[inv no]])</f>
        <v>703791</v>
      </c>
    </row>
    <row r="5028" spans="1:23" hidden="1">
      <c r="A5028" s="81">
        <v>5026</v>
      </c>
      <c r="B5028" s="86" t="s">
        <v>1477</v>
      </c>
      <c r="C5028" s="86" t="s">
        <v>1973</v>
      </c>
      <c r="D5028" s="89" t="str">
        <f ca="1">OFFSET(Roster!$A$3,MATCH(表格1[[#This Row],[Location]]&amp;" "&amp;表格1[[#This Row],[Shop]]&amp;"*",Roster!$A$4:$A$72,0),DAY(表格1[[#This Row],[date]]),1,1)</f>
        <v>Tiffany</v>
      </c>
      <c r="E5028" s="86">
        <f>MONTH(表格1[[#This Row],[date]])</f>
        <v>3</v>
      </c>
      <c r="F5028" s="90">
        <v>46095</v>
      </c>
      <c r="G5028" s="86" t="str">
        <f>VLOOKUP("*"&amp;表格1[[#This Row],[Input]]&amp;"*",'Ref-List'!$B:$D,2,)</f>
        <v>KT-15DRTHK(W)</v>
      </c>
      <c r="H5028" s="86" t="str">
        <f>_xlfn.XLOOKUP(表格1[[#This Row],[Model]],表格3[Model-Input-Ref2],表格3[Product Line])</f>
        <v>無線雙層電熱水壺-附可鎖壺蓋</v>
      </c>
      <c r="I5028" s="86" t="str">
        <f>_xlfn.XLOOKUP(表格1[[#This Row],[Model]],表格3[Model-Input-Ref2],表格3[大小電])</f>
        <v>細電</v>
      </c>
      <c r="J5028" s="86" t="str">
        <f>_xlfn.XLOOKUP(表格1[[#This Row],[Model]],表格3[Model-Input-Ref2],表格3[Code])</f>
        <v>SDA</v>
      </c>
      <c r="K5028" s="89" t="s">
        <v>1278</v>
      </c>
      <c r="L5028" s="86">
        <v>1</v>
      </c>
      <c r="M5028" s="87">
        <v>358</v>
      </c>
      <c r="N5028" s="87">
        <f>IFERROR(表格1[[#This Row],[QTY]]*表格1[[#This Row],[Unit Price]],"-")</f>
        <v>358</v>
      </c>
      <c r="O5028" s="86">
        <v>902505</v>
      </c>
      <c r="R5028" s="86" t="str">
        <f>_xlfn.CONCAT(表格1[[#This Row],[Model]]," ",表格1[[#This Row],[inv no]])</f>
        <v>KT-15DRTHK(W) 902505</v>
      </c>
      <c r="S5028" s="86">
        <f>_xlfn.XLOOKUP(表格1[[#This Row],[Model]],表格3[Model-Input-Ref2],表格3[SRP PRICE])</f>
        <v>598</v>
      </c>
      <c r="T5028" s="43">
        <f>表格1[[#This Row],[Unit Price]]/表格1[[#This Row],[SRP]]</f>
        <v>0.59866220735785958</v>
      </c>
      <c r="U5028" s="86" t="str">
        <f>_xlfn.XLOOKUP(表格1[[#This Row],[Model]],表格3[Model-Input-Ref2],表格3[TOSHIBA/HIGHEST])</f>
        <v>Toshiba SRP</v>
      </c>
      <c r="W5028" s="86" t="str">
        <f>_xlfn.CONCAT(表格1[[#This Row],[欄4]],表格1[[#This Row],[inv no]])</f>
        <v>902505</v>
      </c>
    </row>
    <row r="5029" spans="1:23" hidden="1">
      <c r="A5029" s="81">
        <v>5027</v>
      </c>
      <c r="B5029" s="86" t="s">
        <v>1477</v>
      </c>
      <c r="C5029" s="86" t="s">
        <v>1973</v>
      </c>
      <c r="D5029" s="89" t="str">
        <f ca="1">OFFSET(Roster!$A$3,MATCH(表格1[[#This Row],[Location]]&amp;" "&amp;表格1[[#This Row],[Shop]]&amp;"*",Roster!$A$4:$A$72,0),DAY(表格1[[#This Row],[date]]),1,1)</f>
        <v>Tiffany</v>
      </c>
      <c r="E5029" s="86">
        <f>MONTH(表格1[[#This Row],[date]])</f>
        <v>3</v>
      </c>
      <c r="F5029" s="90">
        <v>46095</v>
      </c>
      <c r="G5029" s="86" t="str">
        <f>VLOOKUP("*"&amp;表格1[[#This Row],[Input]]&amp;"*",'Ref-List'!$B:$D,2,)</f>
        <v>RAD-D300H</v>
      </c>
      <c r="H5029" s="86" t="str">
        <f>_xlfn.XLOOKUP(表格1[[#This Row],[Model]],表格3[Model-Input-Ref2],表格3[Product Line])</f>
        <v>壓縮式抽濕機 (30公升)</v>
      </c>
      <c r="I5029" s="86" t="str">
        <f>_xlfn.XLOOKUP(表格1[[#This Row],[Model]],表格3[Model-Input-Ref2],表格3[大小電])</f>
        <v>細電</v>
      </c>
      <c r="J5029" s="86" t="str">
        <f>_xlfn.XLOOKUP(表格1[[#This Row],[Model]],表格3[Model-Input-Ref2],表格3[Code])</f>
        <v>RAC</v>
      </c>
      <c r="K5029" s="89" t="s">
        <v>1252</v>
      </c>
      <c r="L5029" s="86">
        <v>1</v>
      </c>
      <c r="M5029" s="87">
        <v>2280</v>
      </c>
      <c r="N5029" s="87">
        <f>IFERROR(表格1[[#This Row],[QTY]]*表格1[[#This Row],[Unit Price]],"-")</f>
        <v>2280</v>
      </c>
      <c r="O5029" s="86">
        <v>703777</v>
      </c>
      <c r="R5029" s="86" t="str">
        <f>_xlfn.CONCAT(表格1[[#This Row],[Model]]," ",表格1[[#This Row],[inv no]])</f>
        <v>RAD-D300H 703777</v>
      </c>
      <c r="S5029" s="86">
        <f>_xlfn.XLOOKUP(表格1[[#This Row],[Model]],表格3[Model-Input-Ref2],表格3[SRP PRICE])</f>
        <v>3380</v>
      </c>
      <c r="T5029" s="43">
        <f>表格1[[#This Row],[Unit Price]]/表格1[[#This Row],[SRP]]</f>
        <v>0.67455621301775148</v>
      </c>
      <c r="U5029" s="86" t="str">
        <f>_xlfn.XLOOKUP(表格1[[#This Row],[Model]],表格3[Model-Input-Ref2],表格3[TOSHIBA/HIGHEST])</f>
        <v>Shops Highest Price</v>
      </c>
      <c r="W5029" s="86" t="str">
        <f>_xlfn.CONCAT(表格1[[#This Row],[欄4]],表格1[[#This Row],[inv no]])</f>
        <v>703777</v>
      </c>
    </row>
    <row r="5030" spans="1:23" hidden="1">
      <c r="A5030" s="81">
        <v>5028</v>
      </c>
      <c r="B5030" s="86" t="s">
        <v>1477</v>
      </c>
      <c r="C5030" s="86" t="s">
        <v>1973</v>
      </c>
      <c r="D5030" s="89" t="str">
        <f ca="1">OFFSET(Roster!$A$3,MATCH(表格1[[#This Row],[Location]]&amp;" "&amp;表格1[[#This Row],[Shop]]&amp;"*",Roster!$A$4:$A$72,0),DAY(表格1[[#This Row],[date]]),1,1)</f>
        <v>Tiffany</v>
      </c>
      <c r="E5030" s="86">
        <f>MONTH(表格1[[#This Row],[date]])</f>
        <v>3</v>
      </c>
      <c r="F5030" s="90">
        <v>46095</v>
      </c>
      <c r="G5030" s="86" t="str">
        <f>VLOOKUP("*"&amp;表格1[[#This Row],[Input]]&amp;"*",'Ref-List'!$B:$D,2,)</f>
        <v>RAD-D300H</v>
      </c>
      <c r="H5030" s="86" t="str">
        <f>_xlfn.XLOOKUP(表格1[[#This Row],[Model]],表格3[Model-Input-Ref2],表格3[Product Line])</f>
        <v>壓縮式抽濕機 (30公升)</v>
      </c>
      <c r="I5030" s="86" t="str">
        <f>_xlfn.XLOOKUP(表格1[[#This Row],[Model]],表格3[Model-Input-Ref2],表格3[大小電])</f>
        <v>細電</v>
      </c>
      <c r="J5030" s="86" t="str">
        <f>_xlfn.XLOOKUP(表格1[[#This Row],[Model]],表格3[Model-Input-Ref2],表格3[Code])</f>
        <v>RAC</v>
      </c>
      <c r="K5030" s="89" t="s">
        <v>1252</v>
      </c>
      <c r="L5030" s="86">
        <v>1</v>
      </c>
      <c r="M5030" s="87">
        <v>2280</v>
      </c>
      <c r="N5030" s="87">
        <f>IFERROR(表格1[[#This Row],[QTY]]*表格1[[#This Row],[Unit Price]],"-")</f>
        <v>2280</v>
      </c>
      <c r="O5030" s="86">
        <v>805086</v>
      </c>
      <c r="R5030" s="86" t="str">
        <f>_xlfn.CONCAT(表格1[[#This Row],[Model]]," ",表格1[[#This Row],[inv no]])</f>
        <v>RAD-D300H 805086</v>
      </c>
      <c r="S5030" s="86">
        <f>_xlfn.XLOOKUP(表格1[[#This Row],[Model]],表格3[Model-Input-Ref2],表格3[SRP PRICE])</f>
        <v>3380</v>
      </c>
      <c r="T5030" s="43">
        <f>表格1[[#This Row],[Unit Price]]/表格1[[#This Row],[SRP]]</f>
        <v>0.67455621301775148</v>
      </c>
      <c r="U5030" s="86" t="str">
        <f>_xlfn.XLOOKUP(表格1[[#This Row],[Model]],表格3[Model-Input-Ref2],表格3[TOSHIBA/HIGHEST])</f>
        <v>Shops Highest Price</v>
      </c>
      <c r="W5030" s="86" t="str">
        <f>_xlfn.CONCAT(表格1[[#This Row],[欄4]],表格1[[#This Row],[inv no]])</f>
        <v>805086</v>
      </c>
    </row>
    <row r="5031" spans="1:23" hidden="1">
      <c r="A5031" s="81">
        <v>5029</v>
      </c>
      <c r="B5031" s="86" t="s">
        <v>1477</v>
      </c>
      <c r="C5031" s="86" t="s">
        <v>1973</v>
      </c>
      <c r="D5031" s="89" t="str">
        <f ca="1">OFFSET(Roster!$A$3,MATCH(表格1[[#This Row],[Location]]&amp;" "&amp;表格1[[#This Row],[Shop]]&amp;"*",Roster!$A$4:$A$72,0),DAY(表格1[[#This Row],[date]]),1,1)</f>
        <v>Tiffany</v>
      </c>
      <c r="E5031" s="86">
        <f>MONTH(表格1[[#This Row],[date]])</f>
        <v>3</v>
      </c>
      <c r="F5031" s="90">
        <v>46095</v>
      </c>
      <c r="G5031" s="86" t="str">
        <f>VLOOKUP("*"&amp;表格1[[#This Row],[Input]]&amp;"*",'Ref-List'!$B:$D,2,)</f>
        <v>RAD-D300H</v>
      </c>
      <c r="H5031" s="86" t="str">
        <f>_xlfn.XLOOKUP(表格1[[#This Row],[Model]],表格3[Model-Input-Ref2],表格3[Product Line])</f>
        <v>壓縮式抽濕機 (30公升)</v>
      </c>
      <c r="I5031" s="86" t="str">
        <f>_xlfn.XLOOKUP(表格1[[#This Row],[Model]],表格3[Model-Input-Ref2],表格3[大小電])</f>
        <v>細電</v>
      </c>
      <c r="J5031" s="86" t="str">
        <f>_xlfn.XLOOKUP(表格1[[#This Row],[Model]],表格3[Model-Input-Ref2],表格3[Code])</f>
        <v>RAC</v>
      </c>
      <c r="K5031" s="89" t="s">
        <v>1252</v>
      </c>
      <c r="L5031" s="86">
        <v>1</v>
      </c>
      <c r="M5031" s="87">
        <v>2280</v>
      </c>
      <c r="N5031" s="87">
        <f>IFERROR(表格1[[#This Row],[QTY]]*表格1[[#This Row],[Unit Price]],"-")</f>
        <v>2280</v>
      </c>
      <c r="O5031" s="86">
        <v>902519</v>
      </c>
      <c r="R5031" s="86" t="str">
        <f>_xlfn.CONCAT(表格1[[#This Row],[Model]]," ",表格1[[#This Row],[inv no]])</f>
        <v>RAD-D300H 902519</v>
      </c>
      <c r="S5031" s="86">
        <f>_xlfn.XLOOKUP(表格1[[#This Row],[Model]],表格3[Model-Input-Ref2],表格3[SRP PRICE])</f>
        <v>3380</v>
      </c>
      <c r="T5031" s="43">
        <f>表格1[[#This Row],[Unit Price]]/表格1[[#This Row],[SRP]]</f>
        <v>0.67455621301775148</v>
      </c>
      <c r="U5031" s="86" t="str">
        <f>_xlfn.XLOOKUP(表格1[[#This Row],[Model]],表格3[Model-Input-Ref2],表格3[TOSHIBA/HIGHEST])</f>
        <v>Shops Highest Price</v>
      </c>
      <c r="W5031" s="86" t="str">
        <f>_xlfn.CONCAT(表格1[[#This Row],[欄4]],表格1[[#This Row],[inv no]])</f>
        <v>902519</v>
      </c>
    </row>
    <row r="5032" spans="1:23" hidden="1">
      <c r="A5032" s="81">
        <v>5030</v>
      </c>
      <c r="B5032" s="86" t="s">
        <v>1477</v>
      </c>
      <c r="C5032" s="86" t="s">
        <v>1973</v>
      </c>
      <c r="D5032" s="89" t="str">
        <f ca="1">OFFSET(Roster!$A$3,MATCH(表格1[[#This Row],[Location]]&amp;" "&amp;表格1[[#This Row],[Shop]]&amp;"*",Roster!$A$4:$A$72,0),DAY(表格1[[#This Row],[date]]),1,1)</f>
        <v>Tiffany</v>
      </c>
      <c r="E5032" s="86">
        <f>MONTH(表格1[[#This Row],[date]])</f>
        <v>3</v>
      </c>
      <c r="F5032" s="90">
        <v>46095</v>
      </c>
      <c r="G5032" s="86" t="str">
        <f>VLOOKUP("*"&amp;表格1[[#This Row],[Input]]&amp;"*",'Ref-List'!$B:$D,2,)</f>
        <v>RAD-D300H</v>
      </c>
      <c r="H5032" s="86" t="str">
        <f>_xlfn.XLOOKUP(表格1[[#This Row],[Model]],表格3[Model-Input-Ref2],表格3[Product Line])</f>
        <v>壓縮式抽濕機 (30公升)</v>
      </c>
      <c r="I5032" s="86" t="str">
        <f>_xlfn.XLOOKUP(表格1[[#This Row],[Model]],表格3[Model-Input-Ref2],表格3[大小電])</f>
        <v>細電</v>
      </c>
      <c r="J5032" s="86" t="str">
        <f>_xlfn.XLOOKUP(表格1[[#This Row],[Model]],表格3[Model-Input-Ref2],表格3[Code])</f>
        <v>RAC</v>
      </c>
      <c r="K5032" s="89" t="s">
        <v>1252</v>
      </c>
      <c r="L5032" s="86">
        <v>1</v>
      </c>
      <c r="M5032" s="87">
        <v>2280</v>
      </c>
      <c r="N5032" s="87">
        <f>IFERROR(表格1[[#This Row],[QTY]]*表格1[[#This Row],[Unit Price]],"-")</f>
        <v>2280</v>
      </c>
      <c r="O5032" s="86">
        <v>902520</v>
      </c>
      <c r="R5032" s="86" t="str">
        <f>_xlfn.CONCAT(表格1[[#This Row],[Model]]," ",表格1[[#This Row],[inv no]])</f>
        <v>RAD-D300H 902520</v>
      </c>
      <c r="S5032" s="86">
        <f>_xlfn.XLOOKUP(表格1[[#This Row],[Model]],表格3[Model-Input-Ref2],表格3[SRP PRICE])</f>
        <v>3380</v>
      </c>
      <c r="T5032" s="43">
        <f>表格1[[#This Row],[Unit Price]]/表格1[[#This Row],[SRP]]</f>
        <v>0.67455621301775148</v>
      </c>
      <c r="U5032" s="86" t="str">
        <f>_xlfn.XLOOKUP(表格1[[#This Row],[Model]],表格3[Model-Input-Ref2],表格3[TOSHIBA/HIGHEST])</f>
        <v>Shops Highest Price</v>
      </c>
      <c r="W5032" s="86" t="str">
        <f>_xlfn.CONCAT(表格1[[#This Row],[欄4]],表格1[[#This Row],[inv no]])</f>
        <v>902520</v>
      </c>
    </row>
    <row r="5033" spans="1:23" hidden="1">
      <c r="A5033" s="81">
        <v>5031</v>
      </c>
      <c r="B5033" s="86" t="s">
        <v>1477</v>
      </c>
      <c r="C5033" s="86" t="s">
        <v>1973</v>
      </c>
      <c r="D5033" s="89" t="str">
        <f ca="1">OFFSET(Roster!$A$3,MATCH(表格1[[#This Row],[Location]]&amp;" "&amp;表格1[[#This Row],[Shop]]&amp;"*",Roster!$A$4:$A$72,0),DAY(表格1[[#This Row],[date]]),1,1)</f>
        <v>Tiffany</v>
      </c>
      <c r="E5033" s="86">
        <f>MONTH(表格1[[#This Row],[date]])</f>
        <v>3</v>
      </c>
      <c r="F5033" s="90">
        <v>46095</v>
      </c>
      <c r="G5033" s="86" t="str">
        <f>VLOOKUP("*"&amp;表格1[[#This Row],[Input]]&amp;"*",'Ref-List'!$B:$D,2,)</f>
        <v>MM2-EG20PC(WH)</v>
      </c>
      <c r="H5033" s="86" t="str">
        <f>_xlfn.XLOOKUP(表格1[[#This Row],[Model]],表格3[Model-Input-Ref2],表格3[Product Line])</f>
        <v>輕觸式燒烤微波爐</v>
      </c>
      <c r="I5033" s="86" t="str">
        <f>_xlfn.XLOOKUP(表格1[[#This Row],[Model]],表格3[Model-Input-Ref2],表格3[大小電])</f>
        <v>細電</v>
      </c>
      <c r="J5033" s="86" t="str">
        <f>_xlfn.XLOOKUP(表格1[[#This Row],[Model]],表格3[Model-Input-Ref2],表格3[Code])</f>
        <v>MCA</v>
      </c>
      <c r="K5033" s="89" t="s">
        <v>1273</v>
      </c>
      <c r="L5033" s="86">
        <v>1</v>
      </c>
      <c r="M5033" s="87">
        <v>698</v>
      </c>
      <c r="N5033" s="87">
        <f>IFERROR(表格1[[#This Row],[QTY]]*表格1[[#This Row],[Unit Price]],"-")</f>
        <v>698</v>
      </c>
      <c r="O5033" s="86">
        <v>805065</v>
      </c>
      <c r="R5033" s="86" t="str">
        <f>_xlfn.CONCAT(表格1[[#This Row],[Model]]," ",表格1[[#This Row],[inv no]])</f>
        <v>MM2-EG20PC(WH) 805065</v>
      </c>
      <c r="S5033" s="86">
        <f>_xlfn.XLOOKUP(表格1[[#This Row],[Model]],表格3[Model-Input-Ref2],表格3[SRP PRICE])</f>
        <v>918</v>
      </c>
      <c r="T5033" s="43">
        <f>表格1[[#This Row],[Unit Price]]/表格1[[#This Row],[SRP]]</f>
        <v>0.76034858387799564</v>
      </c>
      <c r="U5033" s="86" t="str">
        <f>_xlfn.XLOOKUP(表格1[[#This Row],[Model]],表格3[Model-Input-Ref2],表格3[TOSHIBA/HIGHEST])</f>
        <v>Shops Highest Price</v>
      </c>
      <c r="W5033" s="86" t="str">
        <f>_xlfn.CONCAT(表格1[[#This Row],[欄4]],表格1[[#This Row],[inv no]])</f>
        <v>805065</v>
      </c>
    </row>
    <row r="5034" spans="1:23" hidden="1">
      <c r="A5034" s="81">
        <v>5032</v>
      </c>
      <c r="B5034" s="86" t="s">
        <v>1477</v>
      </c>
      <c r="C5034" s="86" t="s">
        <v>1973</v>
      </c>
      <c r="D5034" s="89" t="str">
        <f ca="1">OFFSET(Roster!$A$3,MATCH(表格1[[#This Row],[Location]]&amp;" "&amp;表格1[[#This Row],[Shop]]&amp;"*",Roster!$A$4:$A$72,0),DAY(表格1[[#This Row],[date]]),1,1)</f>
        <v>Tiffany</v>
      </c>
      <c r="E5034" s="86">
        <f>MONTH(表格1[[#This Row],[date]])</f>
        <v>3</v>
      </c>
      <c r="F5034" s="90">
        <v>46095</v>
      </c>
      <c r="G5034" s="86" t="str">
        <f>VLOOKUP("*"&amp;表格1[[#This Row],[Input]]&amp;"*",'Ref-List'!$B:$D,2,)</f>
        <v>MM2-EG20PC(WH)</v>
      </c>
      <c r="H5034" s="86" t="str">
        <f>_xlfn.XLOOKUP(表格1[[#This Row],[Model]],表格3[Model-Input-Ref2],表格3[Product Line])</f>
        <v>輕觸式燒烤微波爐</v>
      </c>
      <c r="I5034" s="86" t="str">
        <f>_xlfn.XLOOKUP(表格1[[#This Row],[Model]],表格3[Model-Input-Ref2],表格3[大小電])</f>
        <v>細電</v>
      </c>
      <c r="J5034" s="86" t="str">
        <f>_xlfn.XLOOKUP(表格1[[#This Row],[Model]],表格3[Model-Input-Ref2],表格3[Code])</f>
        <v>MCA</v>
      </c>
      <c r="K5034" s="89" t="s">
        <v>1273</v>
      </c>
      <c r="L5034" s="86">
        <v>1</v>
      </c>
      <c r="M5034" s="87">
        <v>698</v>
      </c>
      <c r="N5034" s="87">
        <f>IFERROR(表格1[[#This Row],[QTY]]*表格1[[#This Row],[Unit Price]],"-")</f>
        <v>698</v>
      </c>
      <c r="O5034" s="86">
        <v>902515</v>
      </c>
      <c r="R5034" s="86" t="str">
        <f>_xlfn.CONCAT(表格1[[#This Row],[Model]]," ",表格1[[#This Row],[inv no]])</f>
        <v>MM2-EG20PC(WH) 902515</v>
      </c>
      <c r="S5034" s="86">
        <f>_xlfn.XLOOKUP(表格1[[#This Row],[Model]],表格3[Model-Input-Ref2],表格3[SRP PRICE])</f>
        <v>918</v>
      </c>
      <c r="T5034" s="43">
        <f>表格1[[#This Row],[Unit Price]]/表格1[[#This Row],[SRP]]</f>
        <v>0.76034858387799564</v>
      </c>
      <c r="U5034" s="86" t="str">
        <f>_xlfn.XLOOKUP(表格1[[#This Row],[Model]],表格3[Model-Input-Ref2],表格3[TOSHIBA/HIGHEST])</f>
        <v>Shops Highest Price</v>
      </c>
      <c r="W5034" s="86" t="str">
        <f>_xlfn.CONCAT(表格1[[#This Row],[欄4]],表格1[[#This Row],[inv no]])</f>
        <v>902515</v>
      </c>
    </row>
    <row r="5035" spans="1:23" hidden="1">
      <c r="A5035" s="81">
        <v>5033</v>
      </c>
      <c r="B5035" s="86" t="s">
        <v>1477</v>
      </c>
      <c r="C5035" s="86" t="s">
        <v>1973</v>
      </c>
      <c r="D5035" s="89" t="str">
        <f ca="1">OFFSET(Roster!$A$3,MATCH(表格1[[#This Row],[Location]]&amp;" "&amp;表格1[[#This Row],[Shop]]&amp;"*",Roster!$A$4:$A$72,0),DAY(表格1[[#This Row],[date]]),1,1)</f>
        <v>Tiffany</v>
      </c>
      <c r="E5035" s="86">
        <f>MONTH(表格1[[#This Row],[date]])</f>
        <v>3</v>
      </c>
      <c r="F5035" s="90">
        <v>46097</v>
      </c>
      <c r="G5035" s="86" t="str">
        <f>VLOOKUP("*"&amp;表格1[[#This Row],[Input]]&amp;"*",'Ref-List'!$B:$D,2,)</f>
        <v>TWD-T21BU95UWH(WW)</v>
      </c>
      <c r="H5035" s="86" t="str">
        <f>_xlfn.XLOOKUP(表格1[[#This Row],[Model]],表格3[Model-Input-Ref2],表格3[Product Line])</f>
        <v>470MM超薄身前置式變頻洗衣乾衣機 (洗8.5公斤 乾6公斤)</v>
      </c>
      <c r="I5035" s="86" t="str">
        <f>_xlfn.XLOOKUP(表格1[[#This Row],[Model]],表格3[Model-Input-Ref2],表格3[大小電])</f>
        <v>大電</v>
      </c>
      <c r="J5035" s="86" t="str">
        <f>_xlfn.XLOOKUP(表格1[[#This Row],[Model]],表格3[Model-Input-Ref2],表格3[Code])</f>
        <v>LAD</v>
      </c>
      <c r="K5035" s="89" t="s">
        <v>1461</v>
      </c>
      <c r="L5035" s="86">
        <v>1</v>
      </c>
      <c r="M5035" s="87">
        <v>3999</v>
      </c>
      <c r="N5035" s="87">
        <f>IFERROR(表格1[[#This Row],[QTY]]*表格1[[#This Row],[Unit Price]],"-")</f>
        <v>3999</v>
      </c>
      <c r="O5035" s="86">
        <v>805312</v>
      </c>
      <c r="R5035" s="86" t="str">
        <f>_xlfn.CONCAT(表格1[[#This Row],[Model]]," ",表格1[[#This Row],[inv no]])</f>
        <v>TWD-T21BU95UWH(WW) 805312</v>
      </c>
      <c r="S5035" s="86">
        <f>_xlfn.XLOOKUP(表格1[[#This Row],[Model]],表格3[Model-Input-Ref2],表格3[SRP PRICE])</f>
        <v>7280</v>
      </c>
      <c r="T5035" s="43">
        <f>表格1[[#This Row],[Unit Price]]/表格1[[#This Row],[SRP]]</f>
        <v>0.54931318681318686</v>
      </c>
      <c r="U5035" s="86" t="str">
        <f>_xlfn.XLOOKUP(表格1[[#This Row],[Model]],表格3[Model-Input-Ref2],表格3[TOSHIBA/HIGHEST])</f>
        <v>Toshiba SRP</v>
      </c>
      <c r="W5035" s="86" t="str">
        <f>_xlfn.CONCAT(表格1[[#This Row],[欄4]],表格1[[#This Row],[inv no]])</f>
        <v>805312</v>
      </c>
    </row>
    <row r="5036" spans="1:23" hidden="1">
      <c r="A5036" s="81">
        <v>5034</v>
      </c>
      <c r="B5036" s="86" t="s">
        <v>1477</v>
      </c>
      <c r="C5036" s="86" t="s">
        <v>1973</v>
      </c>
      <c r="D5036" s="89" t="str">
        <f ca="1">OFFSET(Roster!$A$3,MATCH(表格1[[#This Row],[Location]]&amp;" "&amp;表格1[[#This Row],[Shop]]&amp;"*",Roster!$A$4:$A$72,0),DAY(表格1[[#This Row],[date]]),1,1)</f>
        <v>Tiffany</v>
      </c>
      <c r="E5036" s="86">
        <f>MONTH(表格1[[#This Row],[date]])</f>
        <v>3</v>
      </c>
      <c r="F5036" s="90">
        <v>46097</v>
      </c>
      <c r="G5036" s="86" t="str">
        <f>VLOOKUP("*"&amp;表格1[[#This Row],[Input]]&amp;"*",'Ref-List'!$B:$D,2,)</f>
        <v>GR-RT300WE-PMA(57)</v>
      </c>
      <c r="H5036" s="86" t="str">
        <f>_xlfn.XLOOKUP(表格1[[#This Row],[Model]],表格3[Model-Input-Ref2],表格3[Product Line])</f>
        <v>變頻式環保雙門雪櫃(233L)</v>
      </c>
      <c r="I5036" s="86" t="str">
        <f>_xlfn.XLOOKUP(表格1[[#This Row],[Model]],表格3[Model-Input-Ref2],表格3[大小電])</f>
        <v>大電</v>
      </c>
      <c r="J5036" s="86" t="str">
        <f>_xlfn.XLOOKUP(表格1[[#This Row],[Model]],表格3[Model-Input-Ref2],表格3[Code])</f>
        <v>REF</v>
      </c>
      <c r="K5036" s="89" t="s">
        <v>1462</v>
      </c>
      <c r="L5036" s="86">
        <v>1</v>
      </c>
      <c r="M5036" s="87">
        <v>2780</v>
      </c>
      <c r="N5036" s="87">
        <f>IFERROR(表格1[[#This Row],[QTY]]*表格1[[#This Row],[Unit Price]],"-")</f>
        <v>2780</v>
      </c>
      <c r="O5036" s="86">
        <v>902633</v>
      </c>
      <c r="R5036" s="86" t="str">
        <f>_xlfn.CONCAT(表格1[[#This Row],[Model]]," ",表格1[[#This Row],[inv no]])</f>
        <v>GR-RT300WE-PMA(57) 902633</v>
      </c>
      <c r="S5036" s="86">
        <f>_xlfn.XLOOKUP(表格1[[#This Row],[Model]],表格3[Model-Input-Ref2],表格3[SRP PRICE])</f>
        <v>4280</v>
      </c>
      <c r="T5036" s="43">
        <f>表格1[[#This Row],[Unit Price]]/表格1[[#This Row],[SRP]]</f>
        <v>0.64953271028037385</v>
      </c>
      <c r="U5036" s="86" t="str">
        <f>_xlfn.XLOOKUP(表格1[[#This Row],[Model]],表格3[Model-Input-Ref2],表格3[TOSHIBA/HIGHEST])</f>
        <v>Toshiba SRP</v>
      </c>
      <c r="W5036" s="86" t="str">
        <f>_xlfn.CONCAT(表格1[[#This Row],[欄4]],表格1[[#This Row],[inv no]])</f>
        <v>902633</v>
      </c>
    </row>
    <row r="5037" spans="1:23" hidden="1">
      <c r="A5037" s="81">
        <v>5035</v>
      </c>
      <c r="B5037" s="86" t="s">
        <v>1477</v>
      </c>
      <c r="C5037" s="86" t="s">
        <v>1973</v>
      </c>
      <c r="D5037" s="89" t="str">
        <f ca="1">OFFSET(Roster!$A$3,MATCH(表格1[[#This Row],[Location]]&amp;" "&amp;表格1[[#This Row],[Shop]]&amp;"*",Roster!$A$4:$A$72,0),DAY(表格1[[#This Row],[date]]),1,1)</f>
        <v>Tiffany</v>
      </c>
      <c r="E5037" s="86">
        <f>MONTH(表格1[[#This Row],[date]])</f>
        <v>3</v>
      </c>
      <c r="F5037" s="90">
        <v>46097</v>
      </c>
      <c r="G5037" s="86" t="str">
        <f>VLOOKUP("*"&amp;表格1[[#This Row],[Input]]&amp;"*",'Ref-List'!$B:$D,2,)</f>
        <v>GR-RB221WE-PMA(57)</v>
      </c>
      <c r="H5037" s="86" t="str">
        <f>_xlfn.XLOOKUP(表格1[[#This Row],[Model]],表格3[Model-Input-Ref2],表格3[Product Line])</f>
        <v>變頻下置式雙門雪櫃（163L）</v>
      </c>
      <c r="I5037" s="86" t="str">
        <f>_xlfn.XLOOKUP(表格1[[#This Row],[Model]],表格3[Model-Input-Ref2],表格3[大小電])</f>
        <v>大電</v>
      </c>
      <c r="J5037" s="86" t="str">
        <f>_xlfn.XLOOKUP(表格1[[#This Row],[Model]],表格3[Model-Input-Ref2],表格3[Code])</f>
        <v>REF</v>
      </c>
      <c r="K5037" s="89" t="s">
        <v>1386</v>
      </c>
      <c r="L5037" s="86">
        <v>1</v>
      </c>
      <c r="M5037" s="87">
        <v>1880</v>
      </c>
      <c r="N5037" s="87">
        <f>IFERROR(表格1[[#This Row],[QTY]]*表格1[[#This Row],[Unit Price]],"-")</f>
        <v>1880</v>
      </c>
      <c r="O5037" s="86">
        <v>902618</v>
      </c>
      <c r="R5037" s="86" t="str">
        <f>_xlfn.CONCAT(表格1[[#This Row],[Model]]," ",表格1[[#This Row],[inv no]])</f>
        <v>GR-RB221WE-PMA(57) 902618</v>
      </c>
      <c r="S5037" s="86">
        <f>_xlfn.XLOOKUP(表格1[[#This Row],[Model]],表格3[Model-Input-Ref2],表格3[SRP PRICE])</f>
        <v>3480</v>
      </c>
      <c r="T5037" s="43">
        <f>表格1[[#This Row],[Unit Price]]/表格1[[#This Row],[SRP]]</f>
        <v>0.54022988505747127</v>
      </c>
      <c r="U5037" s="86" t="str">
        <f>_xlfn.XLOOKUP(表格1[[#This Row],[Model]],表格3[Model-Input-Ref2],表格3[TOSHIBA/HIGHEST])</f>
        <v>Toshiba SRP</v>
      </c>
      <c r="W5037" s="86" t="str">
        <f>_xlfn.CONCAT(表格1[[#This Row],[欄4]],表格1[[#This Row],[inv no]])</f>
        <v>902618</v>
      </c>
    </row>
    <row r="5038" spans="1:23" hidden="1">
      <c r="A5038" s="81">
        <v>5036</v>
      </c>
      <c r="B5038" s="86" t="s">
        <v>1477</v>
      </c>
      <c r="C5038" s="86" t="s">
        <v>1973</v>
      </c>
      <c r="D5038" s="89" t="str">
        <f ca="1">OFFSET(Roster!$A$3,MATCH(表格1[[#This Row],[Location]]&amp;" "&amp;表格1[[#This Row],[Shop]]&amp;"*",Roster!$A$4:$A$72,0),DAY(表格1[[#This Row],[date]]),1,1)</f>
        <v>Tiffany</v>
      </c>
      <c r="E5038" s="86">
        <f>MONTH(表格1[[#This Row],[date]])</f>
        <v>3</v>
      </c>
      <c r="F5038" s="90">
        <v>46097</v>
      </c>
      <c r="G5038" s="86" t="str">
        <f>VLOOKUP("*"&amp;表格1[[#This Row],[Input]]&amp;"*",'Ref-List'!$B:$D,2,)</f>
        <v>GR-RM352WI-PMA(53)</v>
      </c>
      <c r="H5038" s="86" t="str">
        <f>_xlfn.XLOOKUP(表格1[[#This Row],[Model]],表格3[Model-Input-Ref2],表格3[Product Line])</f>
        <v>變頻三門雪櫃 (233L)</v>
      </c>
      <c r="I5038" s="86" t="str">
        <f>_xlfn.XLOOKUP(表格1[[#This Row],[Model]],表格3[Model-Input-Ref2],表格3[大小電])</f>
        <v>大電</v>
      </c>
      <c r="J5038" s="86" t="str">
        <f>_xlfn.XLOOKUP(表格1[[#This Row],[Model]],表格3[Model-Input-Ref2],表格3[Code])</f>
        <v>REF</v>
      </c>
      <c r="K5038" s="89" t="s">
        <v>1495</v>
      </c>
      <c r="L5038" s="86">
        <v>1</v>
      </c>
      <c r="M5038" s="87">
        <v>3480</v>
      </c>
      <c r="N5038" s="87">
        <f>IFERROR(表格1[[#This Row],[QTY]]*表格1[[#This Row],[Unit Price]],"-")</f>
        <v>3480</v>
      </c>
      <c r="O5038" s="86">
        <v>805273</v>
      </c>
      <c r="R5038" s="86" t="str">
        <f>_xlfn.CONCAT(表格1[[#This Row],[Model]]," ",表格1[[#This Row],[inv no]])</f>
        <v>GR-RM352WI-PMA(53) 805273</v>
      </c>
      <c r="S5038" s="86">
        <f>_xlfn.XLOOKUP(表格1[[#This Row],[Model]],表格3[Model-Input-Ref2],表格3[SRP PRICE])</f>
        <v>5580</v>
      </c>
      <c r="T5038" s="43">
        <f>表格1[[#This Row],[Unit Price]]/表格1[[#This Row],[SRP]]</f>
        <v>0.62365591397849462</v>
      </c>
      <c r="U5038" s="86" t="str">
        <f>_xlfn.XLOOKUP(表格1[[#This Row],[Model]],表格3[Model-Input-Ref2],表格3[TOSHIBA/HIGHEST])</f>
        <v>Toshiba SRP</v>
      </c>
      <c r="W5038" s="86" t="str">
        <f>_xlfn.CONCAT(表格1[[#This Row],[欄4]],表格1[[#This Row],[inv no]])</f>
        <v>805273</v>
      </c>
    </row>
    <row r="5039" spans="1:23" hidden="1">
      <c r="A5039" s="81">
        <v>5037</v>
      </c>
      <c r="B5039" s="86" t="s">
        <v>1477</v>
      </c>
      <c r="C5039" s="86" t="s">
        <v>1973</v>
      </c>
      <c r="D5039" s="89" t="str">
        <f ca="1">OFFSET(Roster!$A$3,MATCH(表格1[[#This Row],[Location]]&amp;" "&amp;表格1[[#This Row],[Shop]]&amp;"*",Roster!$A$4:$A$72,0),DAY(表格1[[#This Row],[date]]),1,1)</f>
        <v>Tiffany</v>
      </c>
      <c r="E5039" s="86">
        <f>MONTH(表格1[[#This Row],[date]])</f>
        <v>3</v>
      </c>
      <c r="F5039" s="90">
        <v>46097</v>
      </c>
      <c r="G5039" s="86" t="str">
        <f>VLOOKUP("*"&amp;表格1[[#This Row],[Input]]&amp;"*",'Ref-List'!$B:$D,2,)</f>
        <v>RC-10NMFIH(WT)</v>
      </c>
      <c r="H5039" s="86" t="str">
        <f>_xlfn.XLOOKUP(表格1[[#This Row],[Model]],表格3[Model-Input-Ref2],表格3[Product Line])</f>
        <v>4毫米厚釜電飯煲1L</v>
      </c>
      <c r="I5039" s="86" t="str">
        <f>_xlfn.XLOOKUP(表格1[[#This Row],[Model]],表格3[Model-Input-Ref2],表格3[大小電])</f>
        <v>細電</v>
      </c>
      <c r="J5039" s="86" t="str">
        <f>_xlfn.XLOOKUP(表格1[[#This Row],[Model]],表格3[Model-Input-Ref2],表格3[Code])</f>
        <v>SDA</v>
      </c>
      <c r="K5039" s="89" t="s">
        <v>1244</v>
      </c>
      <c r="L5039" s="86">
        <v>1</v>
      </c>
      <c r="M5039" s="87">
        <v>719</v>
      </c>
      <c r="N5039" s="87">
        <f>IFERROR(表格1[[#This Row],[QTY]]*表格1[[#This Row],[Unit Price]],"-")</f>
        <v>719</v>
      </c>
      <c r="O5039" s="142" t="s">
        <v>2276</v>
      </c>
      <c r="R5039" s="86" t="str">
        <f>_xlfn.CONCAT(表格1[[#This Row],[Model]]," ",表格1[[#This Row],[inv no]])</f>
        <v>RC-10NMFIH(WT) 073847</v>
      </c>
      <c r="S5039" s="86">
        <f>_xlfn.XLOOKUP(表格1[[#This Row],[Model]],表格3[Model-Input-Ref2],表格3[SRP PRICE])</f>
        <v>898</v>
      </c>
      <c r="T5039" s="43">
        <f>表格1[[#This Row],[Unit Price]]/表格1[[#This Row],[SRP]]</f>
        <v>0.80066815144766146</v>
      </c>
      <c r="U5039" s="86" t="str">
        <f>_xlfn.XLOOKUP(表格1[[#This Row],[Model]],表格3[Model-Input-Ref2],表格3[TOSHIBA/HIGHEST])</f>
        <v>Toshiba SRP</v>
      </c>
      <c r="W5039" s="86" t="str">
        <f>_xlfn.CONCAT(表格1[[#This Row],[欄4]],表格1[[#This Row],[inv no]])</f>
        <v>073847</v>
      </c>
    </row>
    <row r="5040" spans="1:23" hidden="1">
      <c r="A5040" s="81">
        <v>5038</v>
      </c>
      <c r="B5040" s="86" t="s">
        <v>1477</v>
      </c>
      <c r="C5040" s="86" t="s">
        <v>1973</v>
      </c>
      <c r="D5040" s="89" t="str">
        <f ca="1">OFFSET(Roster!$A$3,MATCH(表格1[[#This Row],[Location]]&amp;" "&amp;表格1[[#This Row],[Shop]]&amp;"*",Roster!$A$4:$A$72,0),DAY(表格1[[#This Row],[date]]),1,1)</f>
        <v>Tiffany</v>
      </c>
      <c r="E5040" s="86">
        <f>MONTH(表格1[[#This Row],[date]])</f>
        <v>3</v>
      </c>
      <c r="F5040" s="90">
        <v>46097</v>
      </c>
      <c r="G5040" s="86" t="str">
        <f>VLOOKUP("*"&amp;表格1[[#This Row],[Input]]&amp;"*",'Ref-List'!$B:$D,2,)</f>
        <v>RC-18NMFIH(WT)</v>
      </c>
      <c r="H5040" s="86" t="str">
        <f>_xlfn.XLOOKUP(表格1[[#This Row],[Model]],表格3[Model-Input-Ref2],表格3[Product Line])</f>
        <v>4毫米厚釜電飯煲1.8L</v>
      </c>
      <c r="I5040" s="86" t="str">
        <f>_xlfn.XLOOKUP(表格1[[#This Row],[Model]],表格3[Model-Input-Ref2],表格3[大小電])</f>
        <v>細電</v>
      </c>
      <c r="J5040" s="86" t="str">
        <f>_xlfn.XLOOKUP(表格1[[#This Row],[Model]],表格3[Model-Input-Ref2],表格3[Code])</f>
        <v>SDA</v>
      </c>
      <c r="K5040" s="89" t="s">
        <v>1267</v>
      </c>
      <c r="L5040" s="86">
        <v>1</v>
      </c>
      <c r="M5040" s="87">
        <v>799</v>
      </c>
      <c r="N5040" s="87">
        <f>IFERROR(表格1[[#This Row],[QTY]]*表格1[[#This Row],[Unit Price]],"-")</f>
        <v>799</v>
      </c>
      <c r="O5040" s="86">
        <v>902621</v>
      </c>
      <c r="R5040" s="86" t="str">
        <f>_xlfn.CONCAT(表格1[[#This Row],[Model]]," ",表格1[[#This Row],[inv no]])</f>
        <v>RC-18NMFIH(WT) 902621</v>
      </c>
      <c r="S5040" s="86">
        <f>_xlfn.XLOOKUP(表格1[[#This Row],[Model]],表格3[Model-Input-Ref2],表格3[SRP PRICE])</f>
        <v>998</v>
      </c>
      <c r="T5040" s="43">
        <f>表格1[[#This Row],[Unit Price]]/表格1[[#This Row],[SRP]]</f>
        <v>0.80060120240480959</v>
      </c>
      <c r="U5040" s="86" t="str">
        <f>_xlfn.XLOOKUP(表格1[[#This Row],[Model]],表格3[Model-Input-Ref2],表格3[TOSHIBA/HIGHEST])</f>
        <v>Toshiba SRP</v>
      </c>
      <c r="W5040" s="86" t="str">
        <f>_xlfn.CONCAT(表格1[[#This Row],[欄4]],表格1[[#This Row],[inv no]])</f>
        <v>902621</v>
      </c>
    </row>
    <row r="5041" spans="1:23" hidden="1">
      <c r="A5041" s="81">
        <v>5039</v>
      </c>
      <c r="B5041" s="86" t="s">
        <v>1477</v>
      </c>
      <c r="C5041" s="86" t="s">
        <v>1973</v>
      </c>
      <c r="D5041" s="89" t="str">
        <f ca="1">OFFSET(Roster!$A$3,MATCH(表格1[[#This Row],[Location]]&amp;" "&amp;表格1[[#This Row],[Shop]]&amp;"*",Roster!$A$4:$A$72,0),DAY(表格1[[#This Row],[date]]),1,1)</f>
        <v>Tiffany</v>
      </c>
      <c r="E5041" s="86">
        <f>MONTH(表格1[[#This Row],[date]])</f>
        <v>3</v>
      </c>
      <c r="F5041" s="90">
        <v>46097</v>
      </c>
      <c r="G5041" s="86" t="str">
        <f>VLOOKUP("*"&amp;表格1[[#This Row],[Input]]&amp;"*",'Ref-List'!$B:$D,2,)</f>
        <v>RC-18NMFIH(WT)</v>
      </c>
      <c r="H5041" s="86" t="str">
        <f>_xlfn.XLOOKUP(表格1[[#This Row],[Model]],表格3[Model-Input-Ref2],表格3[Product Line])</f>
        <v>4毫米厚釜電飯煲1.8L</v>
      </c>
      <c r="I5041" s="86" t="str">
        <f>_xlfn.XLOOKUP(表格1[[#This Row],[Model]],表格3[Model-Input-Ref2],表格3[大小電])</f>
        <v>細電</v>
      </c>
      <c r="J5041" s="86" t="str">
        <f>_xlfn.XLOOKUP(表格1[[#This Row],[Model]],表格3[Model-Input-Ref2],表格3[Code])</f>
        <v>SDA</v>
      </c>
      <c r="K5041" s="89" t="s">
        <v>1267</v>
      </c>
      <c r="L5041" s="86">
        <v>1</v>
      </c>
      <c r="M5041" s="87">
        <v>799</v>
      </c>
      <c r="N5041" s="87">
        <f>IFERROR(表格1[[#This Row],[QTY]]*表格1[[#This Row],[Unit Price]],"-")</f>
        <v>799</v>
      </c>
      <c r="O5041" s="86">
        <v>805314</v>
      </c>
      <c r="R5041" s="86" t="str">
        <f>_xlfn.CONCAT(表格1[[#This Row],[Model]]," ",表格1[[#This Row],[inv no]])</f>
        <v>RC-18NMFIH(WT) 805314</v>
      </c>
      <c r="S5041" s="86">
        <f>_xlfn.XLOOKUP(表格1[[#This Row],[Model]],表格3[Model-Input-Ref2],表格3[SRP PRICE])</f>
        <v>998</v>
      </c>
      <c r="T5041" s="43">
        <f>表格1[[#This Row],[Unit Price]]/表格1[[#This Row],[SRP]]</f>
        <v>0.80060120240480959</v>
      </c>
      <c r="U5041" s="86" t="str">
        <f>_xlfn.XLOOKUP(表格1[[#This Row],[Model]],表格3[Model-Input-Ref2],表格3[TOSHIBA/HIGHEST])</f>
        <v>Toshiba SRP</v>
      </c>
      <c r="W5041" s="86" t="str">
        <f>_xlfn.CONCAT(表格1[[#This Row],[欄4]],表格1[[#This Row],[inv no]])</f>
        <v>805314</v>
      </c>
    </row>
    <row r="5042" spans="1:23" hidden="1">
      <c r="A5042" s="81">
        <v>5040</v>
      </c>
      <c r="B5042" s="86" t="s">
        <v>1477</v>
      </c>
      <c r="C5042" s="86" t="s">
        <v>1973</v>
      </c>
      <c r="D5042" s="89" t="str">
        <f ca="1">OFFSET(Roster!$A$3,MATCH(表格1[[#This Row],[Location]]&amp;" "&amp;表格1[[#This Row],[Shop]]&amp;"*",Roster!$A$4:$A$72,0),DAY(表格1[[#This Row],[date]]),1,1)</f>
        <v>Tiffany</v>
      </c>
      <c r="E5042" s="86">
        <f>MONTH(表格1[[#This Row],[date]])</f>
        <v>3</v>
      </c>
      <c r="F5042" s="90">
        <v>46097</v>
      </c>
      <c r="G5042" s="86" t="str">
        <f>VLOOKUP("*"&amp;表格1[[#This Row],[Input]]&amp;"*",'Ref-List'!$B:$D,2,)</f>
        <v>RC-10AMXH(W)</v>
      </c>
      <c r="H5042" s="86" t="str">
        <f>_xlfn.XLOOKUP(表格1[[#This Row],[Model]],表格3[Model-Input-Ref2],表格3[Product Line])</f>
        <v>酵活炊電飯煲(1.0公升)</v>
      </c>
      <c r="I5042" s="86" t="str">
        <f>_xlfn.XLOOKUP(表格1[[#This Row],[Model]],表格3[Model-Input-Ref2],表格3[大小電])</f>
        <v>細電</v>
      </c>
      <c r="J5042" s="86" t="str">
        <f>_xlfn.XLOOKUP(表格1[[#This Row],[Model]],表格3[Model-Input-Ref2],表格3[Code])</f>
        <v>SDA</v>
      </c>
      <c r="K5042" s="89" t="s">
        <v>1279</v>
      </c>
      <c r="L5042" s="86">
        <v>1</v>
      </c>
      <c r="M5042" s="87">
        <v>990</v>
      </c>
      <c r="N5042" s="87">
        <f>IFERROR(表格1[[#This Row],[QTY]]*表格1[[#This Row],[Unit Price]],"-")</f>
        <v>990</v>
      </c>
      <c r="O5042" s="86">
        <v>805265</v>
      </c>
      <c r="R5042" s="86" t="str">
        <f>_xlfn.CONCAT(表格1[[#This Row],[Model]]," ",表格1[[#This Row],[inv no]])</f>
        <v>RC-10AMXH(W) 805265</v>
      </c>
      <c r="S5042" s="86">
        <f>_xlfn.XLOOKUP(表格1[[#This Row],[Model]],表格3[Model-Input-Ref2],表格3[SRP PRICE])</f>
        <v>1288</v>
      </c>
      <c r="T5042" s="43">
        <f>表格1[[#This Row],[Unit Price]]/表格1[[#This Row],[SRP]]</f>
        <v>0.76863354037267084</v>
      </c>
      <c r="U5042" s="86" t="str">
        <f>_xlfn.XLOOKUP(表格1[[#This Row],[Model]],表格3[Model-Input-Ref2],表格3[TOSHIBA/HIGHEST])</f>
        <v>Toshiba SRP</v>
      </c>
      <c r="W5042" s="86" t="str">
        <f>_xlfn.CONCAT(表格1[[#This Row],[欄4]],表格1[[#This Row],[inv no]])</f>
        <v>805265</v>
      </c>
    </row>
    <row r="5043" spans="1:23" hidden="1">
      <c r="A5043" s="81">
        <v>5041</v>
      </c>
      <c r="B5043" s="86" t="s">
        <v>1477</v>
      </c>
      <c r="C5043" s="86" t="s">
        <v>1973</v>
      </c>
      <c r="D5043" s="89" t="str">
        <f ca="1">OFFSET(Roster!$A$3,MATCH(表格1[[#This Row],[Location]]&amp;" "&amp;表格1[[#This Row],[Shop]]&amp;"*",Roster!$A$4:$A$72,0),DAY(表格1[[#This Row],[date]]),1,1)</f>
        <v>Tiffany</v>
      </c>
      <c r="E5043" s="86">
        <f>MONTH(表格1[[#This Row],[date]])</f>
        <v>3</v>
      </c>
      <c r="F5043" s="90">
        <v>46097</v>
      </c>
      <c r="G5043" s="86" t="str">
        <f>VLOOKUP("*"&amp;表格1[[#This Row],[Input]]&amp;"*",'Ref-List'!$B:$D,2,)</f>
        <v>RC-6PXTHK(W)</v>
      </c>
      <c r="H5043" s="86" t="str">
        <f>_xlfn.XLOOKUP(表格1[[#This Row],[Model]],表格3[Model-Input-Ref2],表格3[Product Line])</f>
        <v>迷你壓力磁應電飯煲(0.63公升)</v>
      </c>
      <c r="I5043" s="86" t="str">
        <f>_xlfn.XLOOKUP(表格1[[#This Row],[Model]],表格3[Model-Input-Ref2],表格3[大小電])</f>
        <v>細電</v>
      </c>
      <c r="J5043" s="86" t="str">
        <f>_xlfn.XLOOKUP(表格1[[#This Row],[Model]],表格3[Model-Input-Ref2],表格3[Code])</f>
        <v>SDA</v>
      </c>
      <c r="K5043" s="89" t="s">
        <v>1494</v>
      </c>
      <c r="L5043" s="86">
        <v>1</v>
      </c>
      <c r="M5043" s="87">
        <v>938</v>
      </c>
      <c r="N5043" s="87">
        <f>IFERROR(表格1[[#This Row],[QTY]]*表格1[[#This Row],[Unit Price]],"-")</f>
        <v>938</v>
      </c>
      <c r="O5043" s="86">
        <v>902636</v>
      </c>
      <c r="R5043" s="86" t="str">
        <f>_xlfn.CONCAT(表格1[[#This Row],[Model]]," ",表格1[[#This Row],[inv no]])</f>
        <v>RC-6PXTHK(W) 902636</v>
      </c>
      <c r="S5043" s="86">
        <f>_xlfn.XLOOKUP(表格1[[#This Row],[Model]],表格3[Model-Input-Ref2],表格3[SRP PRICE])</f>
        <v>1398</v>
      </c>
      <c r="T5043" s="43">
        <f>表格1[[#This Row],[Unit Price]]/表格1[[#This Row],[SRP]]</f>
        <v>0.67095851216022895</v>
      </c>
      <c r="U5043" s="86" t="str">
        <f>_xlfn.XLOOKUP(表格1[[#This Row],[Model]],表格3[Model-Input-Ref2],表格3[TOSHIBA/HIGHEST])</f>
        <v>Toshiba SRP</v>
      </c>
      <c r="W5043" s="86" t="str">
        <f>_xlfn.CONCAT(表格1[[#This Row],[欄4]],表格1[[#This Row],[inv no]])</f>
        <v>902636</v>
      </c>
    </row>
    <row r="5044" spans="1:23" hidden="1">
      <c r="A5044" s="81">
        <v>5042</v>
      </c>
      <c r="B5044" s="86" t="s">
        <v>1477</v>
      </c>
      <c r="C5044" s="86" t="s">
        <v>1973</v>
      </c>
      <c r="D5044" s="89" t="str">
        <f ca="1">OFFSET(Roster!$A$3,MATCH(表格1[[#This Row],[Location]]&amp;" "&amp;表格1[[#This Row],[Shop]]&amp;"*",Roster!$A$4:$A$72,0),DAY(表格1[[#This Row],[date]]),1,1)</f>
        <v>Tiffany</v>
      </c>
      <c r="E5044" s="86">
        <f>MONTH(表格1[[#This Row],[date]])</f>
        <v>3</v>
      </c>
      <c r="F5044" s="90">
        <v>46097</v>
      </c>
      <c r="G5044" s="86" t="str">
        <f>VLOOKUP("*"&amp;表格1[[#This Row],[Input]]&amp;"*",'Ref-List'!$B:$D,2,)</f>
        <v>RC-DR10T(R)</v>
      </c>
      <c r="H5044" s="86" t="str">
        <f>_xlfn.XLOOKUP(表格1[[#This Row],[Model]],表格3[Model-Input-Ref2],表格3[Product Line])</f>
        <v>IH磁應電飯煲</v>
      </c>
      <c r="I5044" s="86" t="str">
        <f>_xlfn.XLOOKUP(表格1[[#This Row],[Model]],表格3[Model-Input-Ref2],表格3[大小電])</f>
        <v>細電</v>
      </c>
      <c r="J5044" s="86" t="str">
        <f>_xlfn.XLOOKUP(表格1[[#This Row],[Model]],表格3[Model-Input-Ref2],表格3[Code])</f>
        <v>SDA</v>
      </c>
      <c r="K5044" s="89" t="s">
        <v>1296</v>
      </c>
      <c r="L5044" s="86">
        <v>1</v>
      </c>
      <c r="M5044" s="87">
        <v>2380</v>
      </c>
      <c r="N5044" s="87">
        <f>IFERROR(表格1[[#This Row],[QTY]]*表格1[[#This Row],[Unit Price]],"-")</f>
        <v>2380</v>
      </c>
      <c r="O5044" s="86">
        <v>902631</v>
      </c>
      <c r="R5044" s="86" t="str">
        <f>_xlfn.CONCAT(表格1[[#This Row],[Model]]," ",表格1[[#This Row],[inv no]])</f>
        <v>RC-DR10T(R) 902631</v>
      </c>
      <c r="S5044" s="86">
        <f>_xlfn.XLOOKUP(表格1[[#This Row],[Model]],表格3[Model-Input-Ref2],表格3[SRP PRICE])</f>
        <v>3188</v>
      </c>
      <c r="T5044" s="43">
        <f>表格1[[#This Row],[Unit Price]]/表格1[[#This Row],[SRP]]</f>
        <v>0.74654956085319946</v>
      </c>
      <c r="U5044" s="86" t="str">
        <f>_xlfn.XLOOKUP(表格1[[#This Row],[Model]],表格3[Model-Input-Ref2],表格3[TOSHIBA/HIGHEST])</f>
        <v>Toshiba SRP</v>
      </c>
      <c r="W5044" s="86" t="str">
        <f>_xlfn.CONCAT(表格1[[#This Row],[欄4]],表格1[[#This Row],[inv no]])</f>
        <v>902631</v>
      </c>
    </row>
    <row r="5045" spans="1:23" hidden="1">
      <c r="A5045" s="81">
        <v>5043</v>
      </c>
      <c r="B5045" s="86" t="s">
        <v>1477</v>
      </c>
      <c r="C5045" s="86" t="s">
        <v>1973</v>
      </c>
      <c r="D5045" s="89" t="str">
        <f ca="1">OFFSET(Roster!$A$3,MATCH(表格1[[#This Row],[Location]]&amp;" "&amp;表格1[[#This Row],[Shop]]&amp;"*",Roster!$A$4:$A$72,0),DAY(表格1[[#This Row],[date]]),1,1)</f>
        <v>Tiffany</v>
      </c>
      <c r="E5045" s="86">
        <f>MONTH(表格1[[#This Row],[date]])</f>
        <v>3</v>
      </c>
      <c r="F5045" s="90">
        <v>46097</v>
      </c>
      <c r="G5045" s="86" t="str">
        <f>VLOOKUP("*"&amp;表格1[[#This Row],[Input]]&amp;"*",'Ref-List'!$B:$D,2,)</f>
        <v>RC-DR18T(W)</v>
      </c>
      <c r="H5045" s="86" t="str">
        <f>_xlfn.XLOOKUP(表格1[[#This Row],[Model]],表格3[Model-Input-Ref2],表格3[Product Line])</f>
        <v>IH磁應電飯煲
鑽石銅鍋</v>
      </c>
      <c r="I5045" s="86" t="str">
        <f>_xlfn.XLOOKUP(表格1[[#This Row],[Model]],表格3[Model-Input-Ref2],表格3[大小電])</f>
        <v>細電</v>
      </c>
      <c r="J5045" s="86" t="str">
        <f>_xlfn.XLOOKUP(表格1[[#This Row],[Model]],表格3[Model-Input-Ref2],表格3[Code])</f>
        <v>SDA</v>
      </c>
      <c r="K5045" s="89" t="s">
        <v>1378</v>
      </c>
      <c r="L5045" s="86">
        <v>1</v>
      </c>
      <c r="M5045" s="87">
        <v>2800</v>
      </c>
      <c r="N5045" s="87">
        <f>IFERROR(表格1[[#This Row],[QTY]]*表格1[[#This Row],[Unit Price]],"-")</f>
        <v>2800</v>
      </c>
      <c r="O5045" s="86">
        <v>902625</v>
      </c>
      <c r="R5045" s="86" t="str">
        <f>_xlfn.CONCAT(表格1[[#This Row],[Model]]," ",表格1[[#This Row],[inv no]])</f>
        <v>RC-DR18T(W) 902625</v>
      </c>
      <c r="S5045" s="86">
        <f>_xlfn.XLOOKUP(表格1[[#This Row],[Model]],表格3[Model-Input-Ref2],表格3[SRP PRICE])</f>
        <v>3588</v>
      </c>
      <c r="T5045" s="43">
        <f>表格1[[#This Row],[Unit Price]]/表格1[[#This Row],[SRP]]</f>
        <v>0.78037904124860646</v>
      </c>
      <c r="U5045" s="86" t="str">
        <f>_xlfn.XLOOKUP(表格1[[#This Row],[Model]],表格3[Model-Input-Ref2],表格3[TOSHIBA/HIGHEST])</f>
        <v>Toshiba SRP</v>
      </c>
      <c r="W5045" s="86" t="str">
        <f>_xlfn.CONCAT(表格1[[#This Row],[欄4]],表格1[[#This Row],[inv no]])</f>
        <v>902625</v>
      </c>
    </row>
    <row r="5046" spans="1:23" hidden="1">
      <c r="A5046" s="81">
        <v>5044</v>
      </c>
      <c r="B5046" s="86" t="s">
        <v>1477</v>
      </c>
      <c r="C5046" s="86" t="s">
        <v>1973</v>
      </c>
      <c r="D5046" s="89" t="str">
        <f ca="1">OFFSET(Roster!$A$3,MATCH(表格1[[#This Row],[Location]]&amp;" "&amp;表格1[[#This Row],[Shop]]&amp;"*",Roster!$A$4:$A$72,0),DAY(表格1[[#This Row],[date]]),1,1)</f>
        <v>Tiffany</v>
      </c>
      <c r="E5046" s="86">
        <f>MONTH(表格1[[#This Row],[date]])</f>
        <v>3</v>
      </c>
      <c r="F5046" s="90">
        <v>46097</v>
      </c>
      <c r="G5046" s="86" t="str">
        <f>VLOOKUP("*"&amp;表格1[[#This Row],[Input]]&amp;"*",'Ref-List'!$B:$D,2,)</f>
        <v>PLK-45SFIH(WT)</v>
      </c>
      <c r="H5046" s="86" t="str">
        <f>_xlfn.XLOOKUP(表格1[[#This Row],[Model]],表格3[Model-Input-Ref2],表格3[Product Line])</f>
        <v>電熱水瓶4.5L</v>
      </c>
      <c r="I5046" s="86" t="str">
        <f>_xlfn.XLOOKUP(表格1[[#This Row],[Model]],表格3[Model-Input-Ref2],表格3[大小電])</f>
        <v>細電</v>
      </c>
      <c r="J5046" s="86" t="str">
        <f>_xlfn.XLOOKUP(表格1[[#This Row],[Model]],表格3[Model-Input-Ref2],表格3[Code])</f>
        <v>SDA</v>
      </c>
      <c r="K5046" s="89" t="s">
        <v>1117</v>
      </c>
      <c r="L5046" s="86">
        <v>1</v>
      </c>
      <c r="M5046" s="87">
        <v>589</v>
      </c>
      <c r="N5046" s="87">
        <f>IFERROR(表格1[[#This Row],[QTY]]*表格1[[#This Row],[Unit Price]],"-")</f>
        <v>589</v>
      </c>
      <c r="O5046" s="86">
        <v>902621</v>
      </c>
      <c r="R5046" s="86" t="str">
        <f>_xlfn.CONCAT(表格1[[#This Row],[Model]]," ",表格1[[#This Row],[inv no]])</f>
        <v>PLK-45SFIH(WT) 902621</v>
      </c>
      <c r="S5046" s="86">
        <f>_xlfn.XLOOKUP(表格1[[#This Row],[Model]],表格3[Model-Input-Ref2],表格3[SRP PRICE])</f>
        <v>788</v>
      </c>
      <c r="T5046" s="43">
        <f>表格1[[#This Row],[Unit Price]]/表格1[[#This Row],[SRP]]</f>
        <v>0.7474619289340102</v>
      </c>
      <c r="U5046" s="86" t="str">
        <f>_xlfn.XLOOKUP(表格1[[#This Row],[Model]],表格3[Model-Input-Ref2],表格3[TOSHIBA/HIGHEST])</f>
        <v>Toshiba SRP</v>
      </c>
      <c r="W5046" s="86" t="str">
        <f>_xlfn.CONCAT(表格1[[#This Row],[欄4]],表格1[[#This Row],[inv no]])</f>
        <v>902621</v>
      </c>
    </row>
    <row r="5047" spans="1:23" hidden="1">
      <c r="A5047" s="81">
        <v>5045</v>
      </c>
      <c r="B5047" s="86" t="s">
        <v>1477</v>
      </c>
      <c r="C5047" s="86" t="s">
        <v>1973</v>
      </c>
      <c r="D5047" s="89" t="str">
        <f ca="1">OFFSET(Roster!$A$3,MATCH(表格1[[#This Row],[Location]]&amp;" "&amp;表格1[[#This Row],[Shop]]&amp;"*",Roster!$A$4:$A$72,0),DAY(表格1[[#This Row],[date]]),1,1)</f>
        <v>Tiffany</v>
      </c>
      <c r="E5047" s="86">
        <f>MONTH(表格1[[#This Row],[date]])</f>
        <v>3</v>
      </c>
      <c r="F5047" s="90">
        <v>46097</v>
      </c>
      <c r="G5047" s="86" t="str">
        <f>VLOOKUP("*"&amp;表格1[[#This Row],[Input]]&amp;"*",'Ref-List'!$B:$D,2,)</f>
        <v>MX1-TH23SC(WH)</v>
      </c>
      <c r="H5047" s="86" t="str">
        <f>_xlfn.XLOOKUP(表格1[[#This Row],[Model]],表格3[Model-Input-Ref2],表格3[Product Line])</f>
        <v>微波蒸焗爐23L</v>
      </c>
      <c r="I5047" s="86" t="str">
        <f>_xlfn.XLOOKUP(表格1[[#This Row],[Model]],表格3[Model-Input-Ref2],表格3[大小電])</f>
        <v>細電</v>
      </c>
      <c r="J5047" s="86" t="str">
        <f>_xlfn.XLOOKUP(表格1[[#This Row],[Model]],表格3[Model-Input-Ref2],表格3[Code])</f>
        <v>SDA</v>
      </c>
      <c r="K5047" s="89" t="s">
        <v>1496</v>
      </c>
      <c r="L5047" s="86">
        <v>1</v>
      </c>
      <c r="M5047" s="87">
        <v>2580</v>
      </c>
      <c r="N5047" s="87">
        <f>IFERROR(表格1[[#This Row],[QTY]]*表格1[[#This Row],[Unit Price]],"-")</f>
        <v>2580</v>
      </c>
      <c r="O5047" s="86">
        <v>902656</v>
      </c>
      <c r="R5047" s="86" t="str">
        <f>_xlfn.CONCAT(表格1[[#This Row],[Model]]," ",表格1[[#This Row],[inv no]])</f>
        <v>MX1-TH23SC(WH) 902656</v>
      </c>
      <c r="S5047" s="86">
        <f>_xlfn.XLOOKUP(表格1[[#This Row],[Model]],表格3[Model-Input-Ref2],表格3[SRP PRICE])</f>
        <v>3380</v>
      </c>
      <c r="T5047" s="43">
        <f>表格1[[#This Row],[Unit Price]]/表格1[[#This Row],[SRP]]</f>
        <v>0.76331360946745563</v>
      </c>
      <c r="U5047" s="86" t="str">
        <f>_xlfn.XLOOKUP(表格1[[#This Row],[Model]],表格3[Model-Input-Ref2],表格3[TOSHIBA/HIGHEST])</f>
        <v>Toshiba SRP</v>
      </c>
      <c r="W5047" s="86" t="str">
        <f>_xlfn.CONCAT(表格1[[#This Row],[欄4]],表格1[[#This Row],[inv no]])</f>
        <v>902656</v>
      </c>
    </row>
    <row r="5048" spans="1:23" hidden="1">
      <c r="A5048" s="81">
        <v>5046</v>
      </c>
      <c r="B5048" s="86" t="s">
        <v>1477</v>
      </c>
      <c r="C5048" s="86" t="s">
        <v>1973</v>
      </c>
      <c r="D5048" s="89" t="str">
        <f ca="1">OFFSET(Roster!$A$3,MATCH(表格1[[#This Row],[Location]]&amp;" "&amp;表格1[[#This Row],[Shop]]&amp;"*",Roster!$A$4:$A$72,0),DAY(表格1[[#This Row],[date]]),1,1)</f>
        <v>Tiffany</v>
      </c>
      <c r="E5048" s="86">
        <f>MONTH(表格1[[#This Row],[date]])</f>
        <v>3</v>
      </c>
      <c r="F5048" s="90">
        <v>46100</v>
      </c>
      <c r="G5048" s="86" t="str">
        <f>VLOOKUP("*"&amp;表格1[[#This Row],[Input]]&amp;"*",'Ref-List'!$B:$D,2,)</f>
        <v>GR-RT300WE-PMA(57)</v>
      </c>
      <c r="H5048" s="86" t="str">
        <f>_xlfn.XLOOKUP(表格1[[#This Row],[Model]],表格3[Model-Input-Ref2],表格3[Product Line])</f>
        <v>變頻式環保雙門雪櫃(233L)</v>
      </c>
      <c r="I5048" s="86" t="str">
        <f>_xlfn.XLOOKUP(表格1[[#This Row],[Model]],表格3[Model-Input-Ref2],表格3[大小電])</f>
        <v>大電</v>
      </c>
      <c r="J5048" s="86" t="str">
        <f>_xlfn.XLOOKUP(表格1[[#This Row],[Model]],表格3[Model-Input-Ref2],表格3[Code])</f>
        <v>REF</v>
      </c>
      <c r="K5048" s="89" t="s">
        <v>1462</v>
      </c>
      <c r="L5048" s="86">
        <v>1</v>
      </c>
      <c r="M5048" s="87">
        <v>2780</v>
      </c>
      <c r="N5048" s="87">
        <f>IFERROR(表格1[[#This Row],[QTY]]*表格1[[#This Row],[Unit Price]],"-")</f>
        <v>2780</v>
      </c>
      <c r="O5048" s="86">
        <v>805494</v>
      </c>
      <c r="R5048" s="86" t="str">
        <f>_xlfn.CONCAT(表格1[[#This Row],[Model]]," ",表格1[[#This Row],[inv no]])</f>
        <v>GR-RT300WE-PMA(57) 805494</v>
      </c>
      <c r="S5048" s="86">
        <f>_xlfn.XLOOKUP(表格1[[#This Row],[Model]],表格3[Model-Input-Ref2],表格3[SRP PRICE])</f>
        <v>4280</v>
      </c>
      <c r="T5048" s="43">
        <f>表格1[[#This Row],[Unit Price]]/表格1[[#This Row],[SRP]]</f>
        <v>0.64953271028037385</v>
      </c>
      <c r="U5048" s="86" t="str">
        <f>_xlfn.XLOOKUP(表格1[[#This Row],[Model]],表格3[Model-Input-Ref2],表格3[TOSHIBA/HIGHEST])</f>
        <v>Toshiba SRP</v>
      </c>
      <c r="W5048" s="86" t="str">
        <f>_xlfn.CONCAT(表格1[[#This Row],[欄4]],表格1[[#This Row],[inv no]])</f>
        <v>805494</v>
      </c>
    </row>
    <row r="5049" spans="1:23" hidden="1">
      <c r="A5049" s="81">
        <v>5047</v>
      </c>
      <c r="B5049" s="86" t="s">
        <v>1477</v>
      </c>
      <c r="C5049" s="86" t="s">
        <v>1973</v>
      </c>
      <c r="D5049" s="89" t="str">
        <f ca="1">OFFSET(Roster!$A$3,MATCH(表格1[[#This Row],[Location]]&amp;" "&amp;表格1[[#This Row],[Shop]]&amp;"*",Roster!$A$4:$A$72,0),DAY(表格1[[#This Row],[date]]),1,1)</f>
        <v>Tiffany</v>
      </c>
      <c r="E5049" s="86">
        <f>MONTH(表格1[[#This Row],[date]])</f>
        <v>3</v>
      </c>
      <c r="F5049" s="90">
        <v>46100</v>
      </c>
      <c r="G5049" s="86" t="str">
        <f>VLOOKUP("*"&amp;表格1[[#This Row],[Input]]&amp;"*",'Ref-List'!$B:$D,2,)</f>
        <v>GR-RT300WE-PMA(57)</v>
      </c>
      <c r="H5049" s="86" t="str">
        <f>_xlfn.XLOOKUP(表格1[[#This Row],[Model]],表格3[Model-Input-Ref2],表格3[Product Line])</f>
        <v>變頻式環保雙門雪櫃(233L)</v>
      </c>
      <c r="I5049" s="86" t="str">
        <f>_xlfn.XLOOKUP(表格1[[#This Row],[Model]],表格3[Model-Input-Ref2],表格3[大小電])</f>
        <v>大電</v>
      </c>
      <c r="J5049" s="86" t="str">
        <f>_xlfn.XLOOKUP(表格1[[#This Row],[Model]],表格3[Model-Input-Ref2],表格3[Code])</f>
        <v>REF</v>
      </c>
      <c r="K5049" s="89" t="s">
        <v>1462</v>
      </c>
      <c r="L5049" s="86">
        <v>1</v>
      </c>
      <c r="M5049" s="87">
        <v>2780</v>
      </c>
      <c r="N5049" s="87">
        <f>IFERROR(表格1[[#This Row],[QTY]]*表格1[[#This Row],[Unit Price]],"-")</f>
        <v>2780</v>
      </c>
      <c r="O5049" s="86">
        <v>703910</v>
      </c>
      <c r="R5049" s="86" t="str">
        <f>_xlfn.CONCAT(表格1[[#This Row],[Model]]," ",表格1[[#This Row],[inv no]])</f>
        <v>GR-RT300WE-PMA(57) 703910</v>
      </c>
      <c r="S5049" s="86">
        <f>_xlfn.XLOOKUP(表格1[[#This Row],[Model]],表格3[Model-Input-Ref2],表格3[SRP PRICE])</f>
        <v>4280</v>
      </c>
      <c r="T5049" s="43">
        <f>表格1[[#This Row],[Unit Price]]/表格1[[#This Row],[SRP]]</f>
        <v>0.64953271028037385</v>
      </c>
      <c r="U5049" s="86" t="str">
        <f>_xlfn.XLOOKUP(表格1[[#This Row],[Model]],表格3[Model-Input-Ref2],表格3[TOSHIBA/HIGHEST])</f>
        <v>Toshiba SRP</v>
      </c>
      <c r="W5049" s="86" t="str">
        <f>_xlfn.CONCAT(表格1[[#This Row],[欄4]],表格1[[#This Row],[inv no]])</f>
        <v>703910</v>
      </c>
    </row>
    <row r="5050" spans="1:23" hidden="1">
      <c r="A5050" s="81">
        <v>5048</v>
      </c>
      <c r="B5050" s="86" t="s">
        <v>1477</v>
      </c>
      <c r="C5050" s="86" t="s">
        <v>1973</v>
      </c>
      <c r="D5050" s="89" t="str">
        <f ca="1">OFFSET(Roster!$A$3,MATCH(表格1[[#This Row],[Location]]&amp;" "&amp;表格1[[#This Row],[Shop]]&amp;"*",Roster!$A$4:$A$72,0),DAY(表格1[[#This Row],[date]]),1,1)</f>
        <v>Tiffany</v>
      </c>
      <c r="E5050" s="86">
        <f>MONTH(表格1[[#This Row],[date]])</f>
        <v>3</v>
      </c>
      <c r="F5050" s="90">
        <v>46100</v>
      </c>
      <c r="G5050" s="86" t="str">
        <f>VLOOKUP("*"&amp;表格1[[#This Row],[Input]]&amp;"*",'Ref-List'!$B:$D,2,)</f>
        <v>RC-18DRNH</v>
      </c>
      <c r="H5050" s="86" t="str">
        <f>_xlfn.XLOOKUP(表格1[[#This Row],[Model]],表格3[Model-Input-Ref2],表格3[Product Line])</f>
        <v>多功能備長炭本厚釜電飯煲1.8L</v>
      </c>
      <c r="I5050" s="86" t="str">
        <f>_xlfn.XLOOKUP(表格1[[#This Row],[Model]],表格3[Model-Input-Ref2],表格3[大小電])</f>
        <v>細電</v>
      </c>
      <c r="J5050" s="86" t="str">
        <f>_xlfn.XLOOKUP(表格1[[#This Row],[Model]],表格3[Model-Input-Ref2],表格3[Code])</f>
        <v>SDA</v>
      </c>
      <c r="K5050" s="89" t="s">
        <v>1389</v>
      </c>
      <c r="L5050" s="86">
        <v>1</v>
      </c>
      <c r="M5050" s="87">
        <v>619</v>
      </c>
      <c r="N5050" s="87">
        <f>IFERROR(表格1[[#This Row],[QTY]]*表格1[[#This Row],[Unit Price]],"-")</f>
        <v>619</v>
      </c>
      <c r="O5050" s="86">
        <v>805481</v>
      </c>
      <c r="R5050" s="86" t="str">
        <f>_xlfn.CONCAT(表格1[[#This Row],[Model]]," ",表格1[[#This Row],[inv no]])</f>
        <v>RC-18DRNH 805481</v>
      </c>
      <c r="S5050" s="86">
        <f>_xlfn.XLOOKUP(表格1[[#This Row],[Model]],表格3[Model-Input-Ref2],表格3[SRP PRICE])</f>
        <v>898</v>
      </c>
      <c r="T5050" s="43">
        <f>表格1[[#This Row],[Unit Price]]/表格1[[#This Row],[SRP]]</f>
        <v>0.68930957683741645</v>
      </c>
      <c r="U5050" s="86" t="str">
        <f>_xlfn.XLOOKUP(表格1[[#This Row],[Model]],表格3[Model-Input-Ref2],表格3[TOSHIBA/HIGHEST])</f>
        <v>Toshiba SRP</v>
      </c>
      <c r="W5050" s="86" t="str">
        <f>_xlfn.CONCAT(表格1[[#This Row],[欄4]],表格1[[#This Row],[inv no]])</f>
        <v>805481</v>
      </c>
    </row>
    <row r="5051" spans="1:23" hidden="1">
      <c r="A5051" s="81">
        <v>5049</v>
      </c>
      <c r="B5051" s="86" t="s">
        <v>1477</v>
      </c>
      <c r="C5051" s="86" t="s">
        <v>1973</v>
      </c>
      <c r="D5051" s="89" t="str">
        <f ca="1">OFFSET(Roster!$A$3,MATCH(表格1[[#This Row],[Location]]&amp;" "&amp;表格1[[#This Row],[Shop]]&amp;"*",Roster!$A$4:$A$72,0),DAY(表格1[[#This Row],[date]]),1,1)</f>
        <v>Tiffany</v>
      </c>
      <c r="E5051" s="86">
        <f>MONTH(表格1[[#This Row],[date]])</f>
        <v>3</v>
      </c>
      <c r="F5051" s="90">
        <v>46100</v>
      </c>
      <c r="G5051" s="86" t="str">
        <f>VLOOKUP("*"&amp;表格1[[#This Row],[Input]]&amp;"*",'Ref-List'!$B:$D,2,)</f>
        <v>RC-10IRPH</v>
      </c>
      <c r="H5051" s="86" t="str">
        <f>_xlfn.XLOOKUP(表格1[[#This Row],[Model]],表格3[Model-Input-Ref2],表格3[Product Line])</f>
        <v>低醣磁應電飯煲1L</v>
      </c>
      <c r="I5051" s="86" t="str">
        <f>_xlfn.XLOOKUP(表格1[[#This Row],[Model]],表格3[Model-Input-Ref2],表格3[大小電])</f>
        <v>細電</v>
      </c>
      <c r="J5051" s="86" t="str">
        <f>_xlfn.XLOOKUP(表格1[[#This Row],[Model]],表格3[Model-Input-Ref2],表格3[Code])</f>
        <v>SDA</v>
      </c>
      <c r="K5051" s="89" t="s">
        <v>1297</v>
      </c>
      <c r="L5051" s="86">
        <v>1</v>
      </c>
      <c r="M5051" s="87">
        <v>798</v>
      </c>
      <c r="N5051" s="87">
        <f>IFERROR(表格1[[#This Row],[QTY]]*表格1[[#This Row],[Unit Price]],"-")</f>
        <v>798</v>
      </c>
      <c r="O5051" s="86">
        <v>703915</v>
      </c>
      <c r="R5051" s="86" t="str">
        <f>_xlfn.CONCAT(表格1[[#This Row],[Model]]," ",表格1[[#This Row],[inv no]])</f>
        <v>RC-10IRPH 703915</v>
      </c>
      <c r="S5051" s="86">
        <f>_xlfn.XLOOKUP(表格1[[#This Row],[Model]],表格3[Model-Input-Ref2],表格3[SRP PRICE])</f>
        <v>1388</v>
      </c>
      <c r="T5051" s="43">
        <f>表格1[[#This Row],[Unit Price]]/表格1[[#This Row],[SRP]]</f>
        <v>0.5749279538904899</v>
      </c>
      <c r="U5051" s="86" t="str">
        <f>_xlfn.XLOOKUP(表格1[[#This Row],[Model]],表格3[Model-Input-Ref2],表格3[TOSHIBA/HIGHEST])</f>
        <v>Toshiba SRP</v>
      </c>
      <c r="W5051" s="86" t="str">
        <f>_xlfn.CONCAT(表格1[[#This Row],[欄4]],表格1[[#This Row],[inv no]])</f>
        <v>703915</v>
      </c>
    </row>
    <row r="5052" spans="1:23" hidden="1">
      <c r="A5052" s="81">
        <v>5050</v>
      </c>
      <c r="B5052" s="86" t="s">
        <v>1477</v>
      </c>
      <c r="C5052" s="86" t="s">
        <v>1973</v>
      </c>
      <c r="D5052" s="89" t="str">
        <f ca="1">OFFSET(Roster!$A$3,MATCH(表格1[[#This Row],[Location]]&amp;" "&amp;表格1[[#This Row],[Shop]]&amp;"*",Roster!$A$4:$A$72,0),DAY(表格1[[#This Row],[date]]),1,1)</f>
        <v>Tiffany</v>
      </c>
      <c r="E5052" s="86">
        <f>MONTH(表格1[[#This Row],[date]])</f>
        <v>3</v>
      </c>
      <c r="F5052" s="90">
        <v>46100</v>
      </c>
      <c r="G5052" s="86" t="str">
        <f>VLOOKUP("*"&amp;表格1[[#This Row],[Input]]&amp;"*",'Ref-List'!$B:$D,2,)</f>
        <v>RC-DS18K(N)</v>
      </c>
      <c r="H5052" s="86" t="str">
        <f>_xlfn.XLOOKUP(表格1[[#This Row],[Model]],表格3[Model-Input-Ref2],表格3[Product Line])</f>
        <v>IH磁應電飯煲</v>
      </c>
      <c r="I5052" s="86" t="str">
        <f>_xlfn.XLOOKUP(表格1[[#This Row],[Model]],表格3[Model-Input-Ref2],表格3[大小電])</f>
        <v>細電</v>
      </c>
      <c r="J5052" s="86" t="str">
        <f>_xlfn.XLOOKUP(表格1[[#This Row],[Model]],表格3[Model-Input-Ref2],表格3[Code])</f>
        <v>SDA</v>
      </c>
      <c r="K5052" s="89" t="s">
        <v>1498</v>
      </c>
      <c r="L5052" s="86">
        <v>1</v>
      </c>
      <c r="M5052" s="87">
        <v>3490</v>
      </c>
      <c r="N5052" s="87">
        <f>IFERROR(表格1[[#This Row],[QTY]]*表格1[[#This Row],[Unit Price]],"-")</f>
        <v>3490</v>
      </c>
      <c r="O5052" s="86">
        <v>902758</v>
      </c>
      <c r="R5052" s="86" t="str">
        <f>_xlfn.CONCAT(表格1[[#This Row],[Model]]," ",表格1[[#This Row],[inv no]])</f>
        <v>RC-DS18K(N) 902758</v>
      </c>
      <c r="S5052" s="86">
        <f>_xlfn.XLOOKUP(表格1[[#This Row],[Model]],表格3[Model-Input-Ref2],表格3[SRP PRICE])</f>
        <v>4988</v>
      </c>
      <c r="T5052" s="43">
        <f>表格1[[#This Row],[Unit Price]]/表格1[[#This Row],[SRP]]</f>
        <v>0.69967923015236566</v>
      </c>
      <c r="U5052" s="86" t="str">
        <f>_xlfn.XLOOKUP(表格1[[#This Row],[Model]],表格3[Model-Input-Ref2],表格3[TOSHIBA/HIGHEST])</f>
        <v>Toshiba SRP</v>
      </c>
      <c r="W5052" s="86" t="str">
        <f>_xlfn.CONCAT(表格1[[#This Row],[欄4]],表格1[[#This Row],[inv no]])</f>
        <v>902758</v>
      </c>
    </row>
    <row r="5053" spans="1:23" hidden="1">
      <c r="A5053" s="81">
        <v>5051</v>
      </c>
      <c r="B5053" s="86" t="s">
        <v>1477</v>
      </c>
      <c r="C5053" s="86" t="s">
        <v>1973</v>
      </c>
      <c r="D5053" s="89" t="str">
        <f ca="1">OFFSET(Roster!$A$3,MATCH(表格1[[#This Row],[Location]]&amp;" "&amp;表格1[[#This Row],[Shop]]&amp;"*",Roster!$A$4:$A$72,0),DAY(表格1[[#This Row],[date]]),1,1)</f>
        <v>Tiffany</v>
      </c>
      <c r="E5053" s="86">
        <f>MONTH(表格1[[#This Row],[date]])</f>
        <v>3</v>
      </c>
      <c r="F5053" s="90">
        <v>46100</v>
      </c>
      <c r="G5053" s="86" t="str">
        <f>VLOOKUP("*"&amp;表格1[[#This Row],[Input]]&amp;"*",'Ref-List'!$B:$D,2,)</f>
        <v>RC-DS18K(N)</v>
      </c>
      <c r="H5053" s="86" t="str">
        <f>_xlfn.XLOOKUP(表格1[[#This Row],[Model]],表格3[Model-Input-Ref2],表格3[Product Line])</f>
        <v>IH磁應電飯煲</v>
      </c>
      <c r="I5053" s="86" t="str">
        <f>_xlfn.XLOOKUP(表格1[[#This Row],[Model]],表格3[Model-Input-Ref2],表格3[大小電])</f>
        <v>細電</v>
      </c>
      <c r="J5053" s="86" t="str">
        <f>_xlfn.XLOOKUP(表格1[[#This Row],[Model]],表格3[Model-Input-Ref2],表格3[Code])</f>
        <v>SDA</v>
      </c>
      <c r="K5053" s="89" t="s">
        <v>1498</v>
      </c>
      <c r="L5053" s="86">
        <v>1</v>
      </c>
      <c r="M5053" s="87">
        <v>3490</v>
      </c>
      <c r="N5053" s="87">
        <f>IFERROR(表格1[[#This Row],[QTY]]*表格1[[#This Row],[Unit Price]],"-")</f>
        <v>3490</v>
      </c>
      <c r="O5053" s="86">
        <v>902759</v>
      </c>
      <c r="R5053" s="86" t="str">
        <f>_xlfn.CONCAT(表格1[[#This Row],[Model]]," ",表格1[[#This Row],[inv no]])</f>
        <v>RC-DS18K(N) 902759</v>
      </c>
      <c r="S5053" s="86">
        <f>_xlfn.XLOOKUP(表格1[[#This Row],[Model]],表格3[Model-Input-Ref2],表格3[SRP PRICE])</f>
        <v>4988</v>
      </c>
      <c r="T5053" s="43">
        <f>表格1[[#This Row],[Unit Price]]/表格1[[#This Row],[SRP]]</f>
        <v>0.69967923015236566</v>
      </c>
      <c r="U5053" s="86" t="str">
        <f>_xlfn.XLOOKUP(表格1[[#This Row],[Model]],表格3[Model-Input-Ref2],表格3[TOSHIBA/HIGHEST])</f>
        <v>Toshiba SRP</v>
      </c>
      <c r="W5053" s="86" t="str">
        <f>_xlfn.CONCAT(表格1[[#This Row],[欄4]],表格1[[#This Row],[inv no]])</f>
        <v>902759</v>
      </c>
    </row>
    <row r="5054" spans="1:23" hidden="1">
      <c r="A5054" s="81">
        <v>5052</v>
      </c>
      <c r="B5054" s="86" t="s">
        <v>1477</v>
      </c>
      <c r="C5054" s="86" t="s">
        <v>1973</v>
      </c>
      <c r="D5054" s="89" t="str">
        <f ca="1">OFFSET(Roster!$A$3,MATCH(表格1[[#This Row],[Location]]&amp;" "&amp;表格1[[#This Row],[Shop]]&amp;"*",Roster!$A$4:$A$72,0),DAY(表格1[[#This Row],[date]]),1,1)</f>
        <v>Tiffany</v>
      </c>
      <c r="E5054" s="86">
        <f>MONTH(表格1[[#This Row],[date]])</f>
        <v>3</v>
      </c>
      <c r="F5054" s="90">
        <v>46100</v>
      </c>
      <c r="G5054" s="86" t="str">
        <f>VLOOKUP("*"&amp;表格1[[#This Row],[Input]]&amp;"*",'Ref-List'!$B:$D,2,)</f>
        <v>PLK-30FLIH(WT)</v>
      </c>
      <c r="H5054" s="86" t="str">
        <f>_xlfn.XLOOKUP(表格1[[#This Row],[Model]],表格3[Model-Input-Ref2],表格3[Product Line])</f>
        <v>電熱水瓶3L</v>
      </c>
      <c r="I5054" s="86" t="str">
        <f>_xlfn.XLOOKUP(表格1[[#This Row],[Model]],表格3[Model-Input-Ref2],表格3[大小電])</f>
        <v>細電</v>
      </c>
      <c r="J5054" s="86" t="str">
        <f>_xlfn.XLOOKUP(表格1[[#This Row],[Model]],表格3[Model-Input-Ref2],表格3[Code])</f>
        <v>SDA</v>
      </c>
      <c r="K5054" s="89" t="s">
        <v>1272</v>
      </c>
      <c r="L5054" s="86">
        <v>1</v>
      </c>
      <c r="M5054" s="87">
        <v>489</v>
      </c>
      <c r="N5054" s="87">
        <f>IFERROR(表格1[[#This Row],[QTY]]*表格1[[#This Row],[Unit Price]],"-")</f>
        <v>489</v>
      </c>
      <c r="O5054" s="86">
        <v>805528</v>
      </c>
      <c r="R5054" s="86" t="str">
        <f>_xlfn.CONCAT(表格1[[#This Row],[Model]]," ",表格1[[#This Row],[inv no]])</f>
        <v>PLK-30FLIH(WT) 805528</v>
      </c>
      <c r="S5054" s="86">
        <f>_xlfn.XLOOKUP(表格1[[#This Row],[Model]],表格3[Model-Input-Ref2],表格3[SRP PRICE])</f>
        <v>658</v>
      </c>
      <c r="T5054" s="43">
        <f>表格1[[#This Row],[Unit Price]]/表格1[[#This Row],[SRP]]</f>
        <v>0.74316109422492405</v>
      </c>
      <c r="U5054" s="86" t="str">
        <f>_xlfn.XLOOKUP(表格1[[#This Row],[Model]],表格3[Model-Input-Ref2],表格3[TOSHIBA/HIGHEST])</f>
        <v>Toshiba SRP</v>
      </c>
      <c r="W5054" s="86" t="str">
        <f>_xlfn.CONCAT(表格1[[#This Row],[欄4]],表格1[[#This Row],[inv no]])</f>
        <v>805528</v>
      </c>
    </row>
    <row r="5055" spans="1:23" hidden="1">
      <c r="A5055" s="81">
        <v>5053</v>
      </c>
      <c r="B5055" s="86" t="s">
        <v>1477</v>
      </c>
      <c r="C5055" s="86" t="s">
        <v>1973</v>
      </c>
      <c r="D5055" s="89" t="str">
        <f ca="1">OFFSET(Roster!$A$3,MATCH(表格1[[#This Row],[Location]]&amp;" "&amp;表格1[[#This Row],[Shop]]&amp;"*",Roster!$A$4:$A$72,0),DAY(表格1[[#This Row],[date]]),1,1)</f>
        <v>Tiffany</v>
      </c>
      <c r="E5055" s="86">
        <f>MONTH(表格1[[#This Row],[date]])</f>
        <v>3</v>
      </c>
      <c r="F5055" s="90">
        <v>46100</v>
      </c>
      <c r="G5055" s="86" t="str">
        <f>VLOOKUP("*"&amp;表格1[[#This Row],[Input]]&amp;"*",'Ref-List'!$B:$D,2,)</f>
        <v>KT-15DRTHK(W)</v>
      </c>
      <c r="H5055" s="86" t="str">
        <f>_xlfn.XLOOKUP(表格1[[#This Row],[Model]],表格3[Model-Input-Ref2],表格3[Product Line])</f>
        <v>無線雙層電熱水壺-附可鎖壺蓋</v>
      </c>
      <c r="I5055" s="86" t="str">
        <f>_xlfn.XLOOKUP(表格1[[#This Row],[Model]],表格3[Model-Input-Ref2],表格3[大小電])</f>
        <v>細電</v>
      </c>
      <c r="J5055" s="86" t="str">
        <f>_xlfn.XLOOKUP(表格1[[#This Row],[Model]],表格3[Model-Input-Ref2],表格3[Code])</f>
        <v>SDA</v>
      </c>
      <c r="K5055" s="89" t="s">
        <v>1278</v>
      </c>
      <c r="L5055" s="86">
        <v>1</v>
      </c>
      <c r="M5055" s="87">
        <v>358</v>
      </c>
      <c r="N5055" s="87">
        <f>IFERROR(表格1[[#This Row],[QTY]]*表格1[[#This Row],[Unit Price]],"-")</f>
        <v>358</v>
      </c>
      <c r="O5055" s="86">
        <v>902760</v>
      </c>
      <c r="R5055" s="86" t="str">
        <f>_xlfn.CONCAT(表格1[[#This Row],[Model]]," ",表格1[[#This Row],[inv no]])</f>
        <v>KT-15DRTHK(W) 902760</v>
      </c>
      <c r="S5055" s="86">
        <f>_xlfn.XLOOKUP(表格1[[#This Row],[Model]],表格3[Model-Input-Ref2],表格3[SRP PRICE])</f>
        <v>598</v>
      </c>
      <c r="T5055" s="43">
        <f>表格1[[#This Row],[Unit Price]]/表格1[[#This Row],[SRP]]</f>
        <v>0.59866220735785958</v>
      </c>
      <c r="U5055" s="86" t="str">
        <f>_xlfn.XLOOKUP(表格1[[#This Row],[Model]],表格3[Model-Input-Ref2],表格3[TOSHIBA/HIGHEST])</f>
        <v>Toshiba SRP</v>
      </c>
      <c r="W5055" s="86" t="str">
        <f>_xlfn.CONCAT(表格1[[#This Row],[欄4]],表格1[[#This Row],[inv no]])</f>
        <v>902760</v>
      </c>
    </row>
    <row r="5056" spans="1:23" hidden="1">
      <c r="A5056" s="81">
        <v>5054</v>
      </c>
      <c r="B5056" s="86" t="s">
        <v>1477</v>
      </c>
      <c r="C5056" s="86" t="s">
        <v>1973</v>
      </c>
      <c r="D5056" s="89" t="str">
        <f ca="1">OFFSET(Roster!$A$3,MATCH(表格1[[#This Row],[Location]]&amp;" "&amp;表格1[[#This Row],[Shop]]&amp;"*",Roster!$A$4:$A$72,0),DAY(表格1[[#This Row],[date]]),1,1)</f>
        <v>Tiffany</v>
      </c>
      <c r="E5056" s="86">
        <f>MONTH(表格1[[#This Row],[date]])</f>
        <v>3</v>
      </c>
      <c r="F5056" s="90">
        <v>46100</v>
      </c>
      <c r="G5056" s="86" t="str">
        <f>VLOOKUP("*"&amp;表格1[[#This Row],[Input]]&amp;"*",'Ref-List'!$B:$D,2,)</f>
        <v>RAD-D300H</v>
      </c>
      <c r="H5056" s="86" t="str">
        <f>_xlfn.XLOOKUP(表格1[[#This Row],[Model]],表格3[Model-Input-Ref2],表格3[Product Line])</f>
        <v>壓縮式抽濕機 (30公升)</v>
      </c>
      <c r="I5056" s="86" t="str">
        <f>_xlfn.XLOOKUP(表格1[[#This Row],[Model]],表格3[Model-Input-Ref2],表格3[大小電])</f>
        <v>細電</v>
      </c>
      <c r="J5056" s="86" t="str">
        <f>_xlfn.XLOOKUP(表格1[[#This Row],[Model]],表格3[Model-Input-Ref2],表格3[Code])</f>
        <v>RAC</v>
      </c>
      <c r="K5056" s="89" t="s">
        <v>1252</v>
      </c>
      <c r="L5056" s="86">
        <v>1</v>
      </c>
      <c r="M5056" s="87">
        <v>2280</v>
      </c>
      <c r="N5056" s="87">
        <f>IFERROR(表格1[[#This Row],[QTY]]*表格1[[#This Row],[Unit Price]],"-")</f>
        <v>2280</v>
      </c>
      <c r="O5056" s="86">
        <v>902772</v>
      </c>
      <c r="R5056" s="86" t="str">
        <f>_xlfn.CONCAT(表格1[[#This Row],[Model]]," ",表格1[[#This Row],[inv no]])</f>
        <v>RAD-D300H 902772</v>
      </c>
      <c r="S5056" s="86">
        <f>_xlfn.XLOOKUP(表格1[[#This Row],[Model]],表格3[Model-Input-Ref2],表格3[SRP PRICE])</f>
        <v>3380</v>
      </c>
      <c r="T5056" s="43">
        <f>表格1[[#This Row],[Unit Price]]/表格1[[#This Row],[SRP]]</f>
        <v>0.67455621301775148</v>
      </c>
      <c r="U5056" s="86" t="str">
        <f>_xlfn.XLOOKUP(表格1[[#This Row],[Model]],表格3[Model-Input-Ref2],表格3[TOSHIBA/HIGHEST])</f>
        <v>Shops Highest Price</v>
      </c>
      <c r="W5056" s="86" t="str">
        <f>_xlfn.CONCAT(表格1[[#This Row],[欄4]],表格1[[#This Row],[inv no]])</f>
        <v>902772</v>
      </c>
    </row>
    <row r="5057" spans="1:23" hidden="1">
      <c r="A5057" s="81">
        <v>5055</v>
      </c>
      <c r="B5057" s="86" t="s">
        <v>1477</v>
      </c>
      <c r="C5057" s="86" t="s">
        <v>1973</v>
      </c>
      <c r="D5057" s="89" t="str">
        <f ca="1">OFFSET(Roster!$A$3,MATCH(表格1[[#This Row],[Location]]&amp;" "&amp;表格1[[#This Row],[Shop]]&amp;"*",Roster!$A$4:$A$72,0),DAY(表格1[[#This Row],[date]]),1,1)</f>
        <v>Tiffany</v>
      </c>
      <c r="E5057" s="86">
        <f>MONTH(表格1[[#This Row],[date]])</f>
        <v>3</v>
      </c>
      <c r="F5057" s="90">
        <v>46100</v>
      </c>
      <c r="G5057" s="86" t="str">
        <f>VLOOKUP("*"&amp;表格1[[#This Row],[Input]]&amp;"*",'Ref-List'!$B:$D,2,)</f>
        <v>DW-05T2-HK</v>
      </c>
      <c r="H5057" s="86" t="str">
        <f>_xlfn.XLOOKUP(表格1[[#This Row],[Model]],表格3[Model-Input-Ref2],表格3[Product Line])</f>
        <v>座檯式洗碗碟機</v>
      </c>
      <c r="I5057" s="86" t="str">
        <f>_xlfn.XLOOKUP(表格1[[#This Row],[Model]],表格3[Model-Input-Ref2],表格3[大小電])</f>
        <v>細電</v>
      </c>
      <c r="J5057" s="86" t="str">
        <f>_xlfn.XLOOKUP(表格1[[#This Row],[Model]],表格3[Model-Input-Ref2],表格3[Code])</f>
        <v>DW</v>
      </c>
      <c r="K5057" s="89" t="s">
        <v>1475</v>
      </c>
      <c r="L5057" s="86">
        <v>1</v>
      </c>
      <c r="M5057" s="87">
        <v>3780</v>
      </c>
      <c r="N5057" s="87">
        <f>IFERROR(表格1[[#This Row],[QTY]]*表格1[[#This Row],[Unit Price]],"-")</f>
        <v>3780</v>
      </c>
      <c r="O5057" s="86">
        <v>902791</v>
      </c>
      <c r="R5057" s="86" t="str">
        <f>_xlfn.CONCAT(表格1[[#This Row],[Model]]," ",表格1[[#This Row],[inv no]])</f>
        <v>DW-05T2-HK 902791</v>
      </c>
      <c r="S5057" s="86">
        <f>_xlfn.XLOOKUP(表格1[[#This Row],[Model]],表格3[Model-Input-Ref2],表格3[SRP PRICE])</f>
        <v>4580</v>
      </c>
      <c r="T5057" s="43">
        <f>表格1[[#This Row],[Unit Price]]/表格1[[#This Row],[SRP]]</f>
        <v>0.8253275109170306</v>
      </c>
      <c r="U5057" s="86" t="str">
        <f>_xlfn.XLOOKUP(表格1[[#This Row],[Model]],表格3[Model-Input-Ref2],表格3[TOSHIBA/HIGHEST])</f>
        <v>Toshiba SRP</v>
      </c>
      <c r="W5057" s="86" t="str">
        <f>_xlfn.CONCAT(表格1[[#This Row],[欄4]],表格1[[#This Row],[inv no]])</f>
        <v>902791</v>
      </c>
    </row>
    <row r="5058" spans="1:23" hidden="1">
      <c r="A5058" s="81">
        <v>5056</v>
      </c>
      <c r="B5058" s="86" t="s">
        <v>1477</v>
      </c>
      <c r="C5058" s="86" t="s">
        <v>1973</v>
      </c>
      <c r="D5058" s="89" t="str">
        <f ca="1">OFFSET(Roster!$A$3,MATCH(表格1[[#This Row],[Location]]&amp;" "&amp;表格1[[#This Row],[Shop]]&amp;"*",Roster!$A$4:$A$72,0),DAY(表格1[[#This Row],[date]]),1,1)</f>
        <v>Tiffany</v>
      </c>
      <c r="E5058" s="86">
        <f>MONTH(表格1[[#This Row],[date]])</f>
        <v>3</v>
      </c>
      <c r="F5058" s="90">
        <v>46101</v>
      </c>
      <c r="G5058" s="86" t="str">
        <f>VLOOKUP("*"&amp;表格1[[#This Row],[Input]]&amp;"*",'Ref-List'!$B:$D,2,)</f>
        <v>GR-RB360WE-PMA(06)</v>
      </c>
      <c r="H5058" s="86" t="str">
        <f>_xlfn.XLOOKUP(表格1[[#This Row],[Model]],表格3[Model-Input-Ref2],表格3[Product Line])</f>
        <v>變頻下置式雙門雪櫃系列270L</v>
      </c>
      <c r="I5058" s="86" t="str">
        <f>_xlfn.XLOOKUP(表格1[[#This Row],[Model]],表格3[Model-Input-Ref2],表格3[大小電])</f>
        <v>大電</v>
      </c>
      <c r="J5058" s="86" t="str">
        <f>_xlfn.XLOOKUP(表格1[[#This Row],[Model]],表格3[Model-Input-Ref2],表格3[Code])</f>
        <v>REF</v>
      </c>
      <c r="K5058" s="89" t="s">
        <v>1282</v>
      </c>
      <c r="L5058" s="86">
        <v>1</v>
      </c>
      <c r="M5058" s="87">
        <v>3680</v>
      </c>
      <c r="N5058" s="87">
        <f>IFERROR(表格1[[#This Row],[QTY]]*表格1[[#This Row],[Unit Price]],"-")</f>
        <v>3680</v>
      </c>
      <c r="O5058" s="86">
        <v>703932</v>
      </c>
      <c r="R5058" s="86" t="str">
        <f>_xlfn.CONCAT(表格1[[#This Row],[Model]]," ",表格1[[#This Row],[inv no]])</f>
        <v>GR-RB360WE-PMA(06) 703932</v>
      </c>
      <c r="S5058" s="86">
        <f>_xlfn.XLOOKUP(表格1[[#This Row],[Model]],表格3[Model-Input-Ref2],表格3[SRP PRICE])</f>
        <v>5080</v>
      </c>
      <c r="T5058" s="43">
        <f>表格1[[#This Row],[Unit Price]]/表格1[[#This Row],[SRP]]</f>
        <v>0.72440944881889768</v>
      </c>
      <c r="U5058" s="86" t="str">
        <f>_xlfn.XLOOKUP(表格1[[#This Row],[Model]],表格3[Model-Input-Ref2],表格3[TOSHIBA/HIGHEST])</f>
        <v>Toshiba SRP</v>
      </c>
      <c r="W5058" s="86" t="str">
        <f>_xlfn.CONCAT(表格1[[#This Row],[欄4]],表格1[[#This Row],[inv no]])</f>
        <v>703932</v>
      </c>
    </row>
    <row r="5059" spans="1:23" hidden="1">
      <c r="A5059" s="81">
        <v>5057</v>
      </c>
      <c r="B5059" s="86" t="s">
        <v>1477</v>
      </c>
      <c r="C5059" s="86" t="s">
        <v>1973</v>
      </c>
      <c r="D5059" s="89" t="str">
        <f ca="1">OFFSET(Roster!$A$3,MATCH(表格1[[#This Row],[Location]]&amp;" "&amp;表格1[[#This Row],[Shop]]&amp;"*",Roster!$A$4:$A$72,0),DAY(表格1[[#This Row],[date]]),1,1)</f>
        <v>Tiffany</v>
      </c>
      <c r="E5059" s="86">
        <f>MONTH(表格1[[#This Row],[date]])</f>
        <v>3</v>
      </c>
      <c r="F5059" s="90">
        <v>46101</v>
      </c>
      <c r="G5059" s="86" t="str">
        <f>VLOOKUP("*"&amp;表格1[[#This Row],[Input]]&amp;"*",'Ref-List'!$B:$D,2,)</f>
        <v>RC-10IRPH</v>
      </c>
      <c r="H5059" s="86" t="str">
        <f>_xlfn.XLOOKUP(表格1[[#This Row],[Model]],表格3[Model-Input-Ref2],表格3[Product Line])</f>
        <v>低醣磁應電飯煲1L</v>
      </c>
      <c r="I5059" s="86" t="str">
        <f>_xlfn.XLOOKUP(表格1[[#This Row],[Model]],表格3[Model-Input-Ref2],表格3[大小電])</f>
        <v>細電</v>
      </c>
      <c r="J5059" s="86" t="str">
        <f>_xlfn.XLOOKUP(表格1[[#This Row],[Model]],表格3[Model-Input-Ref2],表格3[Code])</f>
        <v>SDA</v>
      </c>
      <c r="K5059" s="89" t="s">
        <v>1297</v>
      </c>
      <c r="L5059" s="86">
        <v>1</v>
      </c>
      <c r="M5059" s="87">
        <v>798</v>
      </c>
      <c r="N5059" s="87">
        <f>IFERROR(表格1[[#This Row],[QTY]]*表格1[[#This Row],[Unit Price]],"-")</f>
        <v>798</v>
      </c>
      <c r="O5059" s="86">
        <v>805555</v>
      </c>
      <c r="R5059" s="86" t="str">
        <f>_xlfn.CONCAT(表格1[[#This Row],[Model]]," ",表格1[[#This Row],[inv no]])</f>
        <v>RC-10IRPH 805555</v>
      </c>
      <c r="S5059" s="86">
        <f>_xlfn.XLOOKUP(表格1[[#This Row],[Model]],表格3[Model-Input-Ref2],表格3[SRP PRICE])</f>
        <v>1388</v>
      </c>
      <c r="T5059" s="43">
        <f>表格1[[#This Row],[Unit Price]]/表格1[[#This Row],[SRP]]</f>
        <v>0.5749279538904899</v>
      </c>
      <c r="U5059" s="86" t="str">
        <f>_xlfn.XLOOKUP(表格1[[#This Row],[Model]],表格3[Model-Input-Ref2],表格3[TOSHIBA/HIGHEST])</f>
        <v>Toshiba SRP</v>
      </c>
      <c r="W5059" s="86" t="str">
        <f>_xlfn.CONCAT(表格1[[#This Row],[欄4]],表格1[[#This Row],[inv no]])</f>
        <v>805555</v>
      </c>
    </row>
    <row r="5060" spans="1:23" hidden="1">
      <c r="A5060" s="81">
        <v>5058</v>
      </c>
      <c r="B5060" s="86" t="s">
        <v>1477</v>
      </c>
      <c r="C5060" s="86" t="s">
        <v>1973</v>
      </c>
      <c r="D5060" s="89" t="str">
        <f ca="1">OFFSET(Roster!$A$3,MATCH(表格1[[#This Row],[Location]]&amp;" "&amp;表格1[[#This Row],[Shop]]&amp;"*",Roster!$A$4:$A$72,0),DAY(表格1[[#This Row],[date]]),1,1)</f>
        <v>Tiffany</v>
      </c>
      <c r="E5060" s="86">
        <f>MONTH(表格1[[#This Row],[date]])</f>
        <v>3</v>
      </c>
      <c r="F5060" s="90">
        <v>46101</v>
      </c>
      <c r="G5060" s="86" t="str">
        <f>VLOOKUP("*"&amp;表格1[[#This Row],[Input]]&amp;"*",'Ref-List'!$B:$D,2,)</f>
        <v>RAD-D300H</v>
      </c>
      <c r="H5060" s="86" t="str">
        <f>_xlfn.XLOOKUP(表格1[[#This Row],[Model]],表格3[Model-Input-Ref2],表格3[Product Line])</f>
        <v>壓縮式抽濕機 (30公升)</v>
      </c>
      <c r="I5060" s="86" t="str">
        <f>_xlfn.XLOOKUP(表格1[[#This Row],[Model]],表格3[Model-Input-Ref2],表格3[大小電])</f>
        <v>細電</v>
      </c>
      <c r="J5060" s="86" t="str">
        <f>_xlfn.XLOOKUP(表格1[[#This Row],[Model]],表格3[Model-Input-Ref2],表格3[Code])</f>
        <v>RAC</v>
      </c>
      <c r="K5060" s="89" t="s">
        <v>1252</v>
      </c>
      <c r="L5060" s="86">
        <v>1</v>
      </c>
      <c r="M5060" s="87">
        <v>2280</v>
      </c>
      <c r="N5060" s="87">
        <f>IFERROR(表格1[[#This Row],[QTY]]*表格1[[#This Row],[Unit Price]],"-")</f>
        <v>2280</v>
      </c>
      <c r="O5060" s="86">
        <v>703925</v>
      </c>
      <c r="R5060" s="86" t="str">
        <f>_xlfn.CONCAT(表格1[[#This Row],[Model]]," ",表格1[[#This Row],[inv no]])</f>
        <v>RAD-D300H 703925</v>
      </c>
      <c r="S5060" s="86">
        <f>_xlfn.XLOOKUP(表格1[[#This Row],[Model]],表格3[Model-Input-Ref2],表格3[SRP PRICE])</f>
        <v>3380</v>
      </c>
      <c r="T5060" s="43">
        <f>表格1[[#This Row],[Unit Price]]/表格1[[#This Row],[SRP]]</f>
        <v>0.67455621301775148</v>
      </c>
      <c r="U5060" s="86" t="str">
        <f>_xlfn.XLOOKUP(表格1[[#This Row],[Model]],表格3[Model-Input-Ref2],表格3[TOSHIBA/HIGHEST])</f>
        <v>Shops Highest Price</v>
      </c>
      <c r="W5060" s="86" t="str">
        <f>_xlfn.CONCAT(表格1[[#This Row],[欄4]],表格1[[#This Row],[inv no]])</f>
        <v>703925</v>
      </c>
    </row>
    <row r="5061" spans="1:23" hidden="1">
      <c r="A5061" s="81">
        <v>5059</v>
      </c>
      <c r="B5061" s="86" t="s">
        <v>1477</v>
      </c>
      <c r="C5061" s="86" t="s">
        <v>1973</v>
      </c>
      <c r="D5061" s="89" t="str">
        <f ca="1">OFFSET(Roster!$A$3,MATCH(表格1[[#This Row],[Location]]&amp;" "&amp;表格1[[#This Row],[Shop]]&amp;"*",Roster!$A$4:$A$72,0),DAY(表格1[[#This Row],[date]]),1,1)</f>
        <v>Tiffany</v>
      </c>
      <c r="E5061" s="86">
        <f>MONTH(表格1[[#This Row],[date]])</f>
        <v>3</v>
      </c>
      <c r="F5061" s="90">
        <v>46101</v>
      </c>
      <c r="G5061" s="86" t="str">
        <f>VLOOKUP("*"&amp;表格1[[#This Row],[Input]]&amp;"*",'Ref-List'!$B:$D,2,)</f>
        <v>RAD-D300H</v>
      </c>
      <c r="H5061" s="86" t="str">
        <f>_xlfn.XLOOKUP(表格1[[#This Row],[Model]],表格3[Model-Input-Ref2],表格3[Product Line])</f>
        <v>壓縮式抽濕機 (30公升)</v>
      </c>
      <c r="I5061" s="86" t="str">
        <f>_xlfn.XLOOKUP(表格1[[#This Row],[Model]],表格3[Model-Input-Ref2],表格3[大小電])</f>
        <v>細電</v>
      </c>
      <c r="J5061" s="86" t="str">
        <f>_xlfn.XLOOKUP(表格1[[#This Row],[Model]],表格3[Model-Input-Ref2],表格3[Code])</f>
        <v>RAC</v>
      </c>
      <c r="K5061" s="89" t="s">
        <v>1252</v>
      </c>
      <c r="L5061" s="86">
        <v>1</v>
      </c>
      <c r="M5061" s="87">
        <v>2280</v>
      </c>
      <c r="N5061" s="87">
        <f>IFERROR(表格1[[#This Row],[QTY]]*表格1[[#This Row],[Unit Price]],"-")</f>
        <v>2280</v>
      </c>
      <c r="O5061" s="86">
        <v>703928</v>
      </c>
      <c r="R5061" s="86" t="str">
        <f>_xlfn.CONCAT(表格1[[#This Row],[Model]]," ",表格1[[#This Row],[inv no]])</f>
        <v>RAD-D300H 703928</v>
      </c>
      <c r="S5061" s="86">
        <f>_xlfn.XLOOKUP(表格1[[#This Row],[Model]],表格3[Model-Input-Ref2],表格3[SRP PRICE])</f>
        <v>3380</v>
      </c>
      <c r="T5061" s="43">
        <f>表格1[[#This Row],[Unit Price]]/表格1[[#This Row],[SRP]]</f>
        <v>0.67455621301775148</v>
      </c>
      <c r="U5061" s="86" t="str">
        <f>_xlfn.XLOOKUP(表格1[[#This Row],[Model]],表格3[Model-Input-Ref2],表格3[TOSHIBA/HIGHEST])</f>
        <v>Shops Highest Price</v>
      </c>
      <c r="W5061" s="86" t="str">
        <f>_xlfn.CONCAT(表格1[[#This Row],[欄4]],表格1[[#This Row],[inv no]])</f>
        <v>703928</v>
      </c>
    </row>
    <row r="5062" spans="1:23" hidden="1">
      <c r="A5062" s="81">
        <v>5060</v>
      </c>
      <c r="B5062" s="86" t="s">
        <v>1477</v>
      </c>
      <c r="C5062" s="86" t="s">
        <v>1973</v>
      </c>
      <c r="D5062" s="89" t="str">
        <f ca="1">OFFSET(Roster!$A$3,MATCH(表格1[[#This Row],[Location]]&amp;" "&amp;表格1[[#This Row],[Shop]]&amp;"*",Roster!$A$4:$A$72,0),DAY(表格1[[#This Row],[date]]),1,1)</f>
        <v>Tiffany</v>
      </c>
      <c r="E5062" s="86">
        <f>MONTH(表格1[[#This Row],[date]])</f>
        <v>3</v>
      </c>
      <c r="F5062" s="90">
        <v>46101</v>
      </c>
      <c r="G5062" s="86" t="str">
        <f>VLOOKUP("*"&amp;表格1[[#This Row],[Input]]&amp;"*",'Ref-List'!$B:$D,2,)</f>
        <v>RAD-D300H</v>
      </c>
      <c r="H5062" s="86" t="str">
        <f>_xlfn.XLOOKUP(表格1[[#This Row],[Model]],表格3[Model-Input-Ref2],表格3[Product Line])</f>
        <v>壓縮式抽濕機 (30公升)</v>
      </c>
      <c r="I5062" s="86" t="str">
        <f>_xlfn.XLOOKUP(表格1[[#This Row],[Model]],表格3[Model-Input-Ref2],表格3[大小電])</f>
        <v>細電</v>
      </c>
      <c r="J5062" s="86" t="str">
        <f>_xlfn.XLOOKUP(表格1[[#This Row],[Model]],表格3[Model-Input-Ref2],表格3[Code])</f>
        <v>RAC</v>
      </c>
      <c r="K5062" s="89" t="s">
        <v>1252</v>
      </c>
      <c r="L5062" s="86">
        <v>1</v>
      </c>
      <c r="M5062" s="87">
        <v>2280</v>
      </c>
      <c r="N5062" s="87">
        <f>IFERROR(表格1[[#This Row],[QTY]]*表格1[[#This Row],[Unit Price]],"-")</f>
        <v>2280</v>
      </c>
      <c r="O5062" s="86">
        <v>902823</v>
      </c>
      <c r="R5062" s="86" t="str">
        <f>_xlfn.CONCAT(表格1[[#This Row],[Model]]," ",表格1[[#This Row],[inv no]])</f>
        <v>RAD-D300H 902823</v>
      </c>
      <c r="S5062" s="86">
        <f>_xlfn.XLOOKUP(表格1[[#This Row],[Model]],表格3[Model-Input-Ref2],表格3[SRP PRICE])</f>
        <v>3380</v>
      </c>
      <c r="T5062" s="43">
        <f>表格1[[#This Row],[Unit Price]]/表格1[[#This Row],[SRP]]</f>
        <v>0.67455621301775148</v>
      </c>
      <c r="U5062" s="86" t="str">
        <f>_xlfn.XLOOKUP(表格1[[#This Row],[Model]],表格3[Model-Input-Ref2],表格3[TOSHIBA/HIGHEST])</f>
        <v>Shops Highest Price</v>
      </c>
      <c r="W5062" s="86" t="str">
        <f>_xlfn.CONCAT(表格1[[#This Row],[欄4]],表格1[[#This Row],[inv no]])</f>
        <v>902823</v>
      </c>
    </row>
    <row r="5063" spans="1:23" hidden="1">
      <c r="A5063" s="81">
        <v>5061</v>
      </c>
      <c r="B5063" s="86" t="s">
        <v>1477</v>
      </c>
      <c r="C5063" s="86" t="s">
        <v>1973</v>
      </c>
      <c r="D5063" s="89" t="str">
        <f ca="1">OFFSET(Roster!$A$3,MATCH(表格1[[#This Row],[Location]]&amp;" "&amp;表格1[[#This Row],[Shop]]&amp;"*",Roster!$A$4:$A$72,0),DAY(表格1[[#This Row],[date]]),1,1)</f>
        <v>Tiffany</v>
      </c>
      <c r="E5063" s="86">
        <f>MONTH(表格1[[#This Row],[date]])</f>
        <v>3</v>
      </c>
      <c r="F5063" s="90">
        <v>46101</v>
      </c>
      <c r="G5063" s="86" t="str">
        <f>VLOOKUP("*"&amp;表格1[[#This Row],[Input]]&amp;"*",'Ref-List'!$B:$D,2,)</f>
        <v>RAC-09G3CVRGR-HK</v>
      </c>
      <c r="H5063" s="86" t="str">
        <f>_xlfn.XLOOKUP(表格1[[#This Row],[Model]],表格3[Model-Input-Ref2],表格3[Product Line])</f>
        <v>1 匹 R32變頻窗口式冷氣機 (獨立抽濕遙控</v>
      </c>
      <c r="I5063" s="86" t="str">
        <f>_xlfn.XLOOKUP(表格1[[#This Row],[Model]],表格3[Model-Input-Ref2],表格3[大小電])</f>
        <v>大電</v>
      </c>
      <c r="J5063" s="86" t="str">
        <f>_xlfn.XLOOKUP(表格1[[#This Row],[Model]],表格3[Model-Input-Ref2],表格3[Code])</f>
        <v>AC</v>
      </c>
      <c r="K5063" s="89" t="s">
        <v>1474</v>
      </c>
      <c r="L5063" s="86">
        <v>1</v>
      </c>
      <c r="M5063" s="87">
        <v>4517</v>
      </c>
      <c r="N5063" s="87">
        <f>IFERROR(表格1[[#This Row],[QTY]]*表格1[[#This Row],[Unit Price]],"-")</f>
        <v>4517</v>
      </c>
      <c r="O5063" s="86">
        <v>703918</v>
      </c>
      <c r="R5063" s="86" t="str">
        <f>_xlfn.CONCAT(表格1[[#This Row],[Model]]," ",表格1[[#This Row],[inv no]])</f>
        <v>RAC-09G3CVRGR-HK 703918</v>
      </c>
      <c r="S5063" s="86">
        <f>_xlfn.XLOOKUP(表格1[[#This Row],[Model]],表格3[Model-Input-Ref2],表格3[SRP PRICE])</f>
        <v>6980</v>
      </c>
      <c r="T5063" s="43">
        <f>表格1[[#This Row],[Unit Price]]/表格1[[#This Row],[SRP]]</f>
        <v>0.64713467048710605</v>
      </c>
      <c r="U5063" s="86" t="str">
        <f>_xlfn.XLOOKUP(表格1[[#This Row],[Model]],表格3[Model-Input-Ref2],表格3[TOSHIBA/HIGHEST])</f>
        <v>Toshiba SRP</v>
      </c>
      <c r="W5063" s="86" t="str">
        <f>_xlfn.CONCAT(表格1[[#This Row],[欄4]],表格1[[#This Row],[inv no]])</f>
        <v>703918</v>
      </c>
    </row>
    <row r="5064" spans="1:23" hidden="1">
      <c r="A5064" s="81">
        <v>5062</v>
      </c>
      <c r="B5064" s="86" t="s">
        <v>1477</v>
      </c>
      <c r="C5064" s="86" t="s">
        <v>1973</v>
      </c>
      <c r="D5064" s="89" t="str">
        <f ca="1">OFFSET(Roster!$A$3,MATCH(表格1[[#This Row],[Location]]&amp;" "&amp;表格1[[#This Row],[Shop]]&amp;"*",Roster!$A$4:$A$72,0),DAY(表格1[[#This Row],[date]]),1,1)</f>
        <v>Tiffany</v>
      </c>
      <c r="E5064" s="86">
        <f>MONTH(表格1[[#This Row],[date]])</f>
        <v>3</v>
      </c>
      <c r="F5064" s="90">
        <v>46102</v>
      </c>
      <c r="G5064" s="86" t="str">
        <f>VLOOKUP("*"&amp;表格1[[#This Row],[Input]]&amp;"*",'Ref-List'!$B:$D,2,)</f>
        <v>GR-RT300WE-PMA(57)</v>
      </c>
      <c r="H5064" s="86" t="str">
        <f>_xlfn.XLOOKUP(表格1[[#This Row],[Model]],表格3[Model-Input-Ref2],表格3[Product Line])</f>
        <v>變頻式環保雙門雪櫃(233L)</v>
      </c>
      <c r="I5064" s="86" t="str">
        <f>_xlfn.XLOOKUP(表格1[[#This Row],[Model]],表格3[Model-Input-Ref2],表格3[大小電])</f>
        <v>大電</v>
      </c>
      <c r="J5064" s="86" t="str">
        <f>_xlfn.XLOOKUP(表格1[[#This Row],[Model]],表格3[Model-Input-Ref2],表格3[Code])</f>
        <v>REF</v>
      </c>
      <c r="K5064" s="89" t="s">
        <v>1462</v>
      </c>
      <c r="L5064" s="86">
        <v>1</v>
      </c>
      <c r="M5064" s="87">
        <v>2780</v>
      </c>
      <c r="N5064" s="87">
        <f>IFERROR(表格1[[#This Row],[QTY]]*表格1[[#This Row],[Unit Price]],"-")</f>
        <v>2780</v>
      </c>
      <c r="O5064" s="86">
        <v>703941</v>
      </c>
      <c r="R5064" s="86" t="str">
        <f>_xlfn.CONCAT(表格1[[#This Row],[Model]]," ",表格1[[#This Row],[inv no]])</f>
        <v>GR-RT300WE-PMA(57) 703941</v>
      </c>
      <c r="S5064" s="86">
        <f>_xlfn.XLOOKUP(表格1[[#This Row],[Model]],表格3[Model-Input-Ref2],表格3[SRP PRICE])</f>
        <v>4280</v>
      </c>
      <c r="T5064" s="43">
        <f>表格1[[#This Row],[Unit Price]]/表格1[[#This Row],[SRP]]</f>
        <v>0.64953271028037385</v>
      </c>
      <c r="U5064" s="86" t="str">
        <f>_xlfn.XLOOKUP(表格1[[#This Row],[Model]],表格3[Model-Input-Ref2],表格3[TOSHIBA/HIGHEST])</f>
        <v>Toshiba SRP</v>
      </c>
      <c r="W5064" s="86" t="str">
        <f>_xlfn.CONCAT(表格1[[#This Row],[欄4]],表格1[[#This Row],[inv no]])</f>
        <v>703941</v>
      </c>
    </row>
    <row r="5065" spans="1:23" hidden="1">
      <c r="A5065" s="81">
        <v>5063</v>
      </c>
      <c r="B5065" s="86" t="s">
        <v>1477</v>
      </c>
      <c r="C5065" s="86" t="s">
        <v>1973</v>
      </c>
      <c r="D5065" s="89" t="str">
        <f ca="1">OFFSET(Roster!$A$3,MATCH(表格1[[#This Row],[Location]]&amp;" "&amp;表格1[[#This Row],[Shop]]&amp;"*",Roster!$A$4:$A$72,0),DAY(表格1[[#This Row],[date]]),1,1)</f>
        <v>Tiffany</v>
      </c>
      <c r="E5065" s="86">
        <f>MONTH(表格1[[#This Row],[date]])</f>
        <v>3</v>
      </c>
      <c r="F5065" s="90">
        <v>46102</v>
      </c>
      <c r="G5065" s="86" t="str">
        <f>VLOOKUP("*"&amp;表格1[[#This Row],[Input]]&amp;"*",'Ref-List'!$B:$D,2,)</f>
        <v>GR-RB360WE-PMA(06)</v>
      </c>
      <c r="H5065" s="86" t="str">
        <f>_xlfn.XLOOKUP(表格1[[#This Row],[Model]],表格3[Model-Input-Ref2],表格3[Product Line])</f>
        <v>變頻下置式雙門雪櫃系列270L</v>
      </c>
      <c r="I5065" s="86" t="str">
        <f>_xlfn.XLOOKUP(表格1[[#This Row],[Model]],表格3[Model-Input-Ref2],表格3[大小電])</f>
        <v>大電</v>
      </c>
      <c r="J5065" s="86" t="str">
        <f>_xlfn.XLOOKUP(表格1[[#This Row],[Model]],表格3[Model-Input-Ref2],表格3[Code])</f>
        <v>REF</v>
      </c>
      <c r="K5065" s="89" t="s">
        <v>1282</v>
      </c>
      <c r="L5065" s="86">
        <v>1</v>
      </c>
      <c r="M5065" s="87">
        <v>3580</v>
      </c>
      <c r="N5065" s="87">
        <f>IFERROR(表格1[[#This Row],[QTY]]*表格1[[#This Row],[Unit Price]],"-")</f>
        <v>3580</v>
      </c>
      <c r="O5065" s="86">
        <v>902844</v>
      </c>
      <c r="R5065" s="86" t="str">
        <f>_xlfn.CONCAT(表格1[[#This Row],[Model]]," ",表格1[[#This Row],[inv no]])</f>
        <v>GR-RB360WE-PMA(06) 902844</v>
      </c>
      <c r="S5065" s="86">
        <f>_xlfn.XLOOKUP(表格1[[#This Row],[Model]],表格3[Model-Input-Ref2],表格3[SRP PRICE])</f>
        <v>5080</v>
      </c>
      <c r="T5065" s="43">
        <f>表格1[[#This Row],[Unit Price]]/表格1[[#This Row],[SRP]]</f>
        <v>0.70472440944881887</v>
      </c>
      <c r="U5065" s="86" t="str">
        <f>_xlfn.XLOOKUP(表格1[[#This Row],[Model]],表格3[Model-Input-Ref2],表格3[TOSHIBA/HIGHEST])</f>
        <v>Toshiba SRP</v>
      </c>
      <c r="W5065" s="86" t="str">
        <f>_xlfn.CONCAT(表格1[[#This Row],[欄4]],表格1[[#This Row],[inv no]])</f>
        <v>902844</v>
      </c>
    </row>
    <row r="5066" spans="1:23" hidden="1">
      <c r="A5066" s="81">
        <v>5064</v>
      </c>
      <c r="B5066" s="86" t="s">
        <v>1477</v>
      </c>
      <c r="C5066" s="86" t="s">
        <v>1973</v>
      </c>
      <c r="D5066" s="89" t="str">
        <f ca="1">OFFSET(Roster!$A$3,MATCH(表格1[[#This Row],[Location]]&amp;" "&amp;表格1[[#This Row],[Shop]]&amp;"*",Roster!$A$4:$A$72,0),DAY(表格1[[#This Row],[date]]),1,1)</f>
        <v>Tiffany</v>
      </c>
      <c r="E5066" s="86">
        <f>MONTH(表格1[[#This Row],[date]])</f>
        <v>3</v>
      </c>
      <c r="F5066" s="90">
        <v>46102</v>
      </c>
      <c r="G5066" s="86" t="str">
        <f>VLOOKUP("*"&amp;表格1[[#This Row],[Input]]&amp;"*",'Ref-List'!$B:$D,2,)</f>
        <v>RC-10DRNH</v>
      </c>
      <c r="H5066" s="86" t="str">
        <f>_xlfn.XLOOKUP(表格1[[#This Row],[Model]],表格3[Model-Input-Ref2],表格3[Product Line])</f>
        <v>多功能備長炭本厚釜電飯煲1L</v>
      </c>
      <c r="I5066" s="86" t="str">
        <f>_xlfn.XLOOKUP(表格1[[#This Row],[Model]],表格3[Model-Input-Ref2],表格3[大小電])</f>
        <v>細電</v>
      </c>
      <c r="J5066" s="86" t="str">
        <f>_xlfn.XLOOKUP(表格1[[#This Row],[Model]],表格3[Model-Input-Ref2],表格3[Code])</f>
        <v>SDA</v>
      </c>
      <c r="K5066" s="89" t="s">
        <v>1376</v>
      </c>
      <c r="L5066" s="86">
        <v>1</v>
      </c>
      <c r="M5066" s="87">
        <v>537</v>
      </c>
      <c r="N5066" s="87">
        <f>IFERROR(表格1[[#This Row],[QTY]]*表格1[[#This Row],[Unit Price]],"-")</f>
        <v>537</v>
      </c>
      <c r="O5066" s="86">
        <v>703947</v>
      </c>
      <c r="R5066" s="86" t="str">
        <f>_xlfn.CONCAT(表格1[[#This Row],[Model]]," ",表格1[[#This Row],[inv no]])</f>
        <v>RC-10DRNH 703947</v>
      </c>
      <c r="S5066" s="86">
        <f>_xlfn.XLOOKUP(表格1[[#This Row],[Model]],表格3[Model-Input-Ref2],表格3[SRP PRICE])</f>
        <v>798</v>
      </c>
      <c r="T5066" s="43">
        <f>表格1[[#This Row],[Unit Price]]/表格1[[#This Row],[SRP]]</f>
        <v>0.67293233082706772</v>
      </c>
      <c r="U5066" s="86" t="str">
        <f>_xlfn.XLOOKUP(表格1[[#This Row],[Model]],表格3[Model-Input-Ref2],表格3[TOSHIBA/HIGHEST])</f>
        <v>Toshiba SRP</v>
      </c>
      <c r="W5066" s="86" t="str">
        <f>_xlfn.CONCAT(表格1[[#This Row],[欄4]],表格1[[#This Row],[inv no]])</f>
        <v>703947</v>
      </c>
    </row>
    <row r="5067" spans="1:23" hidden="1">
      <c r="A5067" s="81">
        <v>5065</v>
      </c>
      <c r="B5067" s="86" t="s">
        <v>1477</v>
      </c>
      <c r="C5067" s="86" t="s">
        <v>1973</v>
      </c>
      <c r="D5067" s="89" t="str">
        <f ca="1">OFFSET(Roster!$A$3,MATCH(表格1[[#This Row],[Location]]&amp;" "&amp;表格1[[#This Row],[Shop]]&amp;"*",Roster!$A$4:$A$72,0),DAY(表格1[[#This Row],[date]]),1,1)</f>
        <v>Tiffany</v>
      </c>
      <c r="E5067" s="86">
        <f>MONTH(表格1[[#This Row],[date]])</f>
        <v>3</v>
      </c>
      <c r="F5067" s="90">
        <v>46102</v>
      </c>
      <c r="G5067" s="86" t="str">
        <f>VLOOKUP("*"&amp;表格1[[#This Row],[Input]]&amp;"*",'Ref-List'!$B:$D,2,)</f>
        <v>RC-10NMFIH(WT)</v>
      </c>
      <c r="H5067" s="86" t="str">
        <f>_xlfn.XLOOKUP(表格1[[#This Row],[Model]],表格3[Model-Input-Ref2],表格3[Product Line])</f>
        <v>4毫米厚釜電飯煲1L</v>
      </c>
      <c r="I5067" s="86" t="str">
        <f>_xlfn.XLOOKUP(表格1[[#This Row],[Model]],表格3[Model-Input-Ref2],表格3[大小電])</f>
        <v>細電</v>
      </c>
      <c r="J5067" s="86" t="str">
        <f>_xlfn.XLOOKUP(表格1[[#This Row],[Model]],表格3[Model-Input-Ref2],表格3[Code])</f>
        <v>SDA</v>
      </c>
      <c r="K5067" s="89" t="s">
        <v>1244</v>
      </c>
      <c r="L5067" s="86">
        <v>1</v>
      </c>
      <c r="M5067" s="87">
        <v>719</v>
      </c>
      <c r="N5067" s="87">
        <f>IFERROR(表格1[[#This Row],[QTY]]*表格1[[#This Row],[Unit Price]],"-")</f>
        <v>719</v>
      </c>
      <c r="O5067" s="86">
        <v>902840</v>
      </c>
      <c r="R5067" s="86" t="str">
        <f>_xlfn.CONCAT(表格1[[#This Row],[Model]]," ",表格1[[#This Row],[inv no]])</f>
        <v>RC-10NMFIH(WT) 902840</v>
      </c>
      <c r="S5067" s="86">
        <f>_xlfn.XLOOKUP(表格1[[#This Row],[Model]],表格3[Model-Input-Ref2],表格3[SRP PRICE])</f>
        <v>898</v>
      </c>
      <c r="T5067" s="43">
        <f>表格1[[#This Row],[Unit Price]]/表格1[[#This Row],[SRP]]</f>
        <v>0.80066815144766146</v>
      </c>
      <c r="U5067" s="86" t="str">
        <f>_xlfn.XLOOKUP(表格1[[#This Row],[Model]],表格3[Model-Input-Ref2],表格3[TOSHIBA/HIGHEST])</f>
        <v>Toshiba SRP</v>
      </c>
      <c r="W5067" s="86" t="str">
        <f>_xlfn.CONCAT(表格1[[#This Row],[欄4]],表格1[[#This Row],[inv no]])</f>
        <v>902840</v>
      </c>
    </row>
    <row r="5068" spans="1:23" hidden="1">
      <c r="A5068" s="81">
        <v>5066</v>
      </c>
      <c r="B5068" s="86" t="s">
        <v>1477</v>
      </c>
      <c r="C5068" s="86" t="s">
        <v>1973</v>
      </c>
      <c r="D5068" s="89" t="str">
        <f ca="1">OFFSET(Roster!$A$3,MATCH(表格1[[#This Row],[Location]]&amp;" "&amp;表格1[[#This Row],[Shop]]&amp;"*",Roster!$A$4:$A$72,0),DAY(表格1[[#This Row],[date]]),1,1)</f>
        <v>Tiffany</v>
      </c>
      <c r="E5068" s="86">
        <f>MONTH(表格1[[#This Row],[date]])</f>
        <v>3</v>
      </c>
      <c r="F5068" s="90">
        <v>46102</v>
      </c>
      <c r="G5068" s="86" t="str">
        <f>VLOOKUP("*"&amp;表格1[[#This Row],[Input]]&amp;"*",'Ref-List'!$B:$D,2,)</f>
        <v>RC-10NMFIH(WT)</v>
      </c>
      <c r="H5068" s="86" t="str">
        <f>_xlfn.XLOOKUP(表格1[[#This Row],[Model]],表格3[Model-Input-Ref2],表格3[Product Line])</f>
        <v>4毫米厚釜電飯煲1L</v>
      </c>
      <c r="I5068" s="86" t="str">
        <f>_xlfn.XLOOKUP(表格1[[#This Row],[Model]],表格3[Model-Input-Ref2],表格3[大小電])</f>
        <v>細電</v>
      </c>
      <c r="J5068" s="86" t="str">
        <f>_xlfn.XLOOKUP(表格1[[#This Row],[Model]],表格3[Model-Input-Ref2],表格3[Code])</f>
        <v>SDA</v>
      </c>
      <c r="K5068" s="89" t="s">
        <v>1244</v>
      </c>
      <c r="L5068" s="86">
        <v>1</v>
      </c>
      <c r="M5068" s="87">
        <v>719</v>
      </c>
      <c r="N5068" s="87">
        <f>IFERROR(表格1[[#This Row],[QTY]]*表格1[[#This Row],[Unit Price]],"-")</f>
        <v>719</v>
      </c>
      <c r="O5068" s="86">
        <v>805642</v>
      </c>
      <c r="R5068" s="86" t="str">
        <f>_xlfn.CONCAT(表格1[[#This Row],[Model]]," ",表格1[[#This Row],[inv no]])</f>
        <v>RC-10NMFIH(WT) 805642</v>
      </c>
      <c r="S5068" s="86">
        <f>_xlfn.XLOOKUP(表格1[[#This Row],[Model]],表格3[Model-Input-Ref2],表格3[SRP PRICE])</f>
        <v>898</v>
      </c>
      <c r="T5068" s="43">
        <f>表格1[[#This Row],[Unit Price]]/表格1[[#This Row],[SRP]]</f>
        <v>0.80066815144766146</v>
      </c>
      <c r="U5068" s="86" t="str">
        <f>_xlfn.XLOOKUP(表格1[[#This Row],[Model]],表格3[Model-Input-Ref2],表格3[TOSHIBA/HIGHEST])</f>
        <v>Toshiba SRP</v>
      </c>
      <c r="W5068" s="86" t="str">
        <f>_xlfn.CONCAT(表格1[[#This Row],[欄4]],表格1[[#This Row],[inv no]])</f>
        <v>805642</v>
      </c>
    </row>
    <row r="5069" spans="1:23" hidden="1">
      <c r="A5069" s="81">
        <v>5067</v>
      </c>
      <c r="B5069" s="86" t="s">
        <v>1477</v>
      </c>
      <c r="C5069" s="86" t="s">
        <v>1973</v>
      </c>
      <c r="D5069" s="89" t="str">
        <f ca="1">OFFSET(Roster!$A$3,MATCH(表格1[[#This Row],[Location]]&amp;" "&amp;表格1[[#This Row],[Shop]]&amp;"*",Roster!$A$4:$A$72,0),DAY(表格1[[#This Row],[date]]),1,1)</f>
        <v>Tiffany</v>
      </c>
      <c r="E5069" s="86">
        <f>MONTH(表格1[[#This Row],[date]])</f>
        <v>3</v>
      </c>
      <c r="F5069" s="90">
        <v>46102</v>
      </c>
      <c r="G5069" s="86" t="str">
        <f>VLOOKUP("*"&amp;表格1[[#This Row],[Input]]&amp;"*",'Ref-List'!$B:$D,2,)</f>
        <v>RC-18NMFIH(WT)</v>
      </c>
      <c r="H5069" s="86" t="str">
        <f>_xlfn.XLOOKUP(表格1[[#This Row],[Model]],表格3[Model-Input-Ref2],表格3[Product Line])</f>
        <v>4毫米厚釜電飯煲1.8L</v>
      </c>
      <c r="I5069" s="86" t="str">
        <f>_xlfn.XLOOKUP(表格1[[#This Row],[Model]],表格3[Model-Input-Ref2],表格3[大小電])</f>
        <v>細電</v>
      </c>
      <c r="J5069" s="86" t="str">
        <f>_xlfn.XLOOKUP(表格1[[#This Row],[Model]],表格3[Model-Input-Ref2],表格3[Code])</f>
        <v>SDA</v>
      </c>
      <c r="K5069" s="89" t="s">
        <v>1267</v>
      </c>
      <c r="L5069" s="86">
        <v>1</v>
      </c>
      <c r="M5069" s="87">
        <v>799</v>
      </c>
      <c r="N5069" s="87">
        <f>IFERROR(表格1[[#This Row],[QTY]]*表格1[[#This Row],[Unit Price]],"-")</f>
        <v>799</v>
      </c>
      <c r="O5069" s="86">
        <v>902841</v>
      </c>
      <c r="R5069" s="86" t="str">
        <f>_xlfn.CONCAT(表格1[[#This Row],[Model]]," ",表格1[[#This Row],[inv no]])</f>
        <v>RC-18NMFIH(WT) 902841</v>
      </c>
      <c r="S5069" s="86">
        <f>_xlfn.XLOOKUP(表格1[[#This Row],[Model]],表格3[Model-Input-Ref2],表格3[SRP PRICE])</f>
        <v>998</v>
      </c>
      <c r="T5069" s="43">
        <f>表格1[[#This Row],[Unit Price]]/表格1[[#This Row],[SRP]]</f>
        <v>0.80060120240480959</v>
      </c>
      <c r="U5069" s="86" t="str">
        <f>_xlfn.XLOOKUP(表格1[[#This Row],[Model]],表格3[Model-Input-Ref2],表格3[TOSHIBA/HIGHEST])</f>
        <v>Toshiba SRP</v>
      </c>
      <c r="W5069" s="86" t="str">
        <f>_xlfn.CONCAT(表格1[[#This Row],[欄4]],表格1[[#This Row],[inv no]])</f>
        <v>902841</v>
      </c>
    </row>
    <row r="5070" spans="1:23" hidden="1">
      <c r="A5070" s="81">
        <v>5068</v>
      </c>
      <c r="B5070" s="86" t="s">
        <v>1477</v>
      </c>
      <c r="C5070" s="86" t="s">
        <v>1973</v>
      </c>
      <c r="D5070" s="89" t="str">
        <f ca="1">OFFSET(Roster!$A$3,MATCH(表格1[[#This Row],[Location]]&amp;" "&amp;表格1[[#This Row],[Shop]]&amp;"*",Roster!$A$4:$A$72,0),DAY(表格1[[#This Row],[date]]),1,1)</f>
        <v>Tiffany</v>
      </c>
      <c r="E5070" s="86">
        <f>MONTH(表格1[[#This Row],[date]])</f>
        <v>3</v>
      </c>
      <c r="F5070" s="90">
        <v>46102</v>
      </c>
      <c r="G5070" s="86" t="str">
        <f>VLOOKUP("*"&amp;表格1[[#This Row],[Input]]&amp;"*",'Ref-List'!$B:$D,2,)</f>
        <v>KT-15DRTHK(W)</v>
      </c>
      <c r="H5070" s="86" t="str">
        <f>_xlfn.XLOOKUP(表格1[[#This Row],[Model]],表格3[Model-Input-Ref2],表格3[Product Line])</f>
        <v>無線雙層電熱水壺-附可鎖壺蓋</v>
      </c>
      <c r="I5070" s="86" t="str">
        <f>_xlfn.XLOOKUP(表格1[[#This Row],[Model]],表格3[Model-Input-Ref2],表格3[大小電])</f>
        <v>細電</v>
      </c>
      <c r="J5070" s="86" t="str">
        <f>_xlfn.XLOOKUP(表格1[[#This Row],[Model]],表格3[Model-Input-Ref2],表格3[Code])</f>
        <v>SDA</v>
      </c>
      <c r="K5070" s="89" t="s">
        <v>1278</v>
      </c>
      <c r="L5070" s="86">
        <v>1</v>
      </c>
      <c r="M5070" s="87">
        <v>358</v>
      </c>
      <c r="N5070" s="87">
        <f>IFERROR(表格1[[#This Row],[QTY]]*表格1[[#This Row],[Unit Price]],"-")</f>
        <v>358</v>
      </c>
      <c r="O5070" s="86">
        <v>805624</v>
      </c>
      <c r="R5070" s="86" t="str">
        <f>_xlfn.CONCAT(表格1[[#This Row],[Model]]," ",表格1[[#This Row],[inv no]])</f>
        <v>KT-15DRTHK(W) 805624</v>
      </c>
      <c r="S5070" s="86">
        <f>_xlfn.XLOOKUP(表格1[[#This Row],[Model]],表格3[Model-Input-Ref2],表格3[SRP PRICE])</f>
        <v>598</v>
      </c>
      <c r="T5070" s="43">
        <f>表格1[[#This Row],[Unit Price]]/表格1[[#This Row],[SRP]]</f>
        <v>0.59866220735785958</v>
      </c>
      <c r="U5070" s="86" t="str">
        <f>_xlfn.XLOOKUP(表格1[[#This Row],[Model]],表格3[Model-Input-Ref2],表格3[TOSHIBA/HIGHEST])</f>
        <v>Toshiba SRP</v>
      </c>
      <c r="W5070" s="86" t="str">
        <f>_xlfn.CONCAT(表格1[[#This Row],[欄4]],表格1[[#This Row],[inv no]])</f>
        <v>805624</v>
      </c>
    </row>
    <row r="5071" spans="1:23" hidden="1">
      <c r="A5071" s="81">
        <v>5069</v>
      </c>
      <c r="B5071" s="86" t="s">
        <v>1477</v>
      </c>
      <c r="C5071" s="86" t="s">
        <v>1973</v>
      </c>
      <c r="D5071" s="89" t="str">
        <f ca="1">OFFSET(Roster!$A$3,MATCH(表格1[[#This Row],[Location]]&amp;" "&amp;表格1[[#This Row],[Shop]]&amp;"*",Roster!$A$4:$A$72,0),DAY(表格1[[#This Row],[date]]),1,1)</f>
        <v>Tiffany</v>
      </c>
      <c r="E5071" s="86">
        <f>MONTH(表格1[[#This Row],[date]])</f>
        <v>3</v>
      </c>
      <c r="F5071" s="90">
        <v>46102</v>
      </c>
      <c r="G5071" s="86" t="str">
        <f>VLOOKUP("*"&amp;表格1[[#This Row],[Input]]&amp;"*",'Ref-List'!$B:$D,2,)</f>
        <v>TW-T22BU95UWH(WK)-B</v>
      </c>
      <c r="H5071" s="86" t="str">
        <f>_xlfn.XLOOKUP(表格1[[#This Row],[Model]],表格3[Model-Input-Ref2],表格3[Product Line])</f>
        <v>470MM超薄身前置式變頻洗衣機(8.5公斤, 可飛頂)</v>
      </c>
      <c r="I5071" s="86" t="str">
        <f>_xlfn.XLOOKUP(表格1[[#This Row],[Model]],表格3[Model-Input-Ref2],表格3[大小電])</f>
        <v>大電</v>
      </c>
      <c r="J5071" s="86" t="str">
        <f>_xlfn.XLOOKUP(表格1[[#This Row],[Model]],表格3[Model-Input-Ref2],表格3[Code])</f>
        <v>LAD</v>
      </c>
      <c r="K5071" s="89" t="s">
        <v>969</v>
      </c>
      <c r="L5071" s="86">
        <v>1</v>
      </c>
      <c r="M5071" s="87">
        <v>3680</v>
      </c>
      <c r="N5071" s="87">
        <f>IFERROR(表格1[[#This Row],[QTY]]*表格1[[#This Row],[Unit Price]],"-")</f>
        <v>3680</v>
      </c>
      <c r="O5071" s="86">
        <v>902842</v>
      </c>
      <c r="R5071" s="86" t="str">
        <f>_xlfn.CONCAT(表格1[[#This Row],[Model]]," ",表格1[[#This Row],[inv no]])</f>
        <v>TW-T22BU95UWH(WK)-B 902842</v>
      </c>
      <c r="S5071" s="86">
        <f>_xlfn.XLOOKUP(表格1[[#This Row],[Model]],表格3[Model-Input-Ref2],表格3[SRP PRICE])</f>
        <v>5880</v>
      </c>
      <c r="T5071" s="43">
        <f>表格1[[#This Row],[Unit Price]]/表格1[[#This Row],[SRP]]</f>
        <v>0.62585034013605445</v>
      </c>
      <c r="U5071" s="86" t="str">
        <f>_xlfn.XLOOKUP(表格1[[#This Row],[Model]],表格3[Model-Input-Ref2],表格3[TOSHIBA/HIGHEST])</f>
        <v>Toshiba SRP</v>
      </c>
      <c r="W5071" s="86" t="str">
        <f>_xlfn.CONCAT(表格1[[#This Row],[欄4]],表格1[[#This Row],[inv no]])</f>
        <v>902842</v>
      </c>
    </row>
    <row r="5072" spans="1:23" hidden="1">
      <c r="A5072" s="81">
        <v>5070</v>
      </c>
      <c r="B5072" s="86" t="s">
        <v>1477</v>
      </c>
      <c r="C5072" s="86" t="s">
        <v>1973</v>
      </c>
      <c r="D5072" s="89" t="str">
        <f ca="1">OFFSET(Roster!$A$3,MATCH(表格1[[#This Row],[Location]]&amp;" "&amp;表格1[[#This Row],[Shop]]&amp;"*",Roster!$A$4:$A$72,0),DAY(表格1[[#This Row],[date]]),1,1)</f>
        <v>Tiffany</v>
      </c>
      <c r="E5072" s="86">
        <f>MONTH(表格1[[#This Row],[date]])</f>
        <v>3</v>
      </c>
      <c r="F5072" s="90">
        <v>46103</v>
      </c>
      <c r="G5072" s="86" t="str">
        <f>VLOOKUP("*"&amp;表格1[[#This Row],[Input]]&amp;"*",'Ref-List'!$B:$D,2,)</f>
        <v>TWD-T21BU95UWH(WW)</v>
      </c>
      <c r="H5072" s="86" t="str">
        <f>_xlfn.XLOOKUP(表格1[[#This Row],[Model]],表格3[Model-Input-Ref2],表格3[Product Line])</f>
        <v>470MM超薄身前置式變頻洗衣乾衣機 (洗8.5公斤 乾6公斤)</v>
      </c>
      <c r="I5072" s="86" t="str">
        <f>_xlfn.XLOOKUP(表格1[[#This Row],[Model]],表格3[Model-Input-Ref2],表格3[大小電])</f>
        <v>大電</v>
      </c>
      <c r="J5072" s="86" t="str">
        <f>_xlfn.XLOOKUP(表格1[[#This Row],[Model]],表格3[Model-Input-Ref2],表格3[Code])</f>
        <v>LAD</v>
      </c>
      <c r="K5072" s="89" t="s">
        <v>1461</v>
      </c>
      <c r="L5072" s="86">
        <v>1</v>
      </c>
      <c r="M5072" s="87">
        <v>3999</v>
      </c>
      <c r="N5072" s="87">
        <f>IFERROR(表格1[[#This Row],[QTY]]*表格1[[#This Row],[Unit Price]],"-")</f>
        <v>3999</v>
      </c>
      <c r="O5072" s="86">
        <v>805743</v>
      </c>
      <c r="R5072" s="86" t="str">
        <f>_xlfn.CONCAT(表格1[[#This Row],[Model]]," ",表格1[[#This Row],[inv no]])</f>
        <v>TWD-T21BU95UWH(WW) 805743</v>
      </c>
      <c r="S5072" s="86">
        <f>_xlfn.XLOOKUP(表格1[[#This Row],[Model]],表格3[Model-Input-Ref2],表格3[SRP PRICE])</f>
        <v>7280</v>
      </c>
      <c r="T5072" s="43">
        <f>表格1[[#This Row],[Unit Price]]/表格1[[#This Row],[SRP]]</f>
        <v>0.54931318681318686</v>
      </c>
      <c r="U5072" s="86" t="str">
        <f>_xlfn.XLOOKUP(表格1[[#This Row],[Model]],表格3[Model-Input-Ref2],表格3[TOSHIBA/HIGHEST])</f>
        <v>Toshiba SRP</v>
      </c>
      <c r="W5072" s="86" t="str">
        <f>_xlfn.CONCAT(表格1[[#This Row],[欄4]],表格1[[#This Row],[inv no]])</f>
        <v>805743</v>
      </c>
    </row>
    <row r="5073" spans="1:23" hidden="1">
      <c r="A5073" s="81">
        <v>5071</v>
      </c>
      <c r="B5073" s="86" t="s">
        <v>1477</v>
      </c>
      <c r="C5073" s="86" t="s">
        <v>1973</v>
      </c>
      <c r="D5073" s="89" t="str">
        <f ca="1">OFFSET(Roster!$A$3,MATCH(表格1[[#This Row],[Location]]&amp;" "&amp;表格1[[#This Row],[Shop]]&amp;"*",Roster!$A$4:$A$72,0),DAY(表格1[[#This Row],[date]]),1,1)</f>
        <v>Tiffany</v>
      </c>
      <c r="E5073" s="86">
        <f>MONTH(表格1[[#This Row],[date]])</f>
        <v>3</v>
      </c>
      <c r="F5073" s="90">
        <v>46103</v>
      </c>
      <c r="G5073" s="86" t="str">
        <f>VLOOKUP("*"&amp;表格1[[#This Row],[Input]]&amp;"*",'Ref-List'!$B:$D,2,)</f>
        <v>GR-RB221WE-PMA(57)</v>
      </c>
      <c r="H5073" s="86" t="str">
        <f>_xlfn.XLOOKUP(表格1[[#This Row],[Model]],表格3[Model-Input-Ref2],表格3[Product Line])</f>
        <v>變頻下置式雙門雪櫃（163L）</v>
      </c>
      <c r="I5073" s="86" t="str">
        <f>_xlfn.XLOOKUP(表格1[[#This Row],[Model]],表格3[Model-Input-Ref2],表格3[大小電])</f>
        <v>大電</v>
      </c>
      <c r="J5073" s="86" t="str">
        <f>_xlfn.XLOOKUP(表格1[[#This Row],[Model]],表格3[Model-Input-Ref2],表格3[Code])</f>
        <v>REF</v>
      </c>
      <c r="K5073" s="89" t="s">
        <v>1386</v>
      </c>
      <c r="L5073" s="86">
        <v>1</v>
      </c>
      <c r="M5073" s="87">
        <v>1880</v>
      </c>
      <c r="N5073" s="87">
        <f>IFERROR(表格1[[#This Row],[QTY]]*表格1[[#This Row],[Unit Price]],"-")</f>
        <v>1880</v>
      </c>
      <c r="O5073" s="86">
        <v>902934</v>
      </c>
      <c r="R5073" s="86" t="str">
        <f>_xlfn.CONCAT(表格1[[#This Row],[Model]]," ",表格1[[#This Row],[inv no]])</f>
        <v>GR-RB221WE-PMA(57) 902934</v>
      </c>
      <c r="S5073" s="86">
        <f>_xlfn.XLOOKUP(表格1[[#This Row],[Model]],表格3[Model-Input-Ref2],表格3[SRP PRICE])</f>
        <v>3480</v>
      </c>
      <c r="T5073" s="43">
        <f>表格1[[#This Row],[Unit Price]]/表格1[[#This Row],[SRP]]</f>
        <v>0.54022988505747127</v>
      </c>
      <c r="U5073" s="86" t="str">
        <f>_xlfn.XLOOKUP(表格1[[#This Row],[Model]],表格3[Model-Input-Ref2],表格3[TOSHIBA/HIGHEST])</f>
        <v>Toshiba SRP</v>
      </c>
      <c r="W5073" s="86" t="str">
        <f>_xlfn.CONCAT(表格1[[#This Row],[欄4]],表格1[[#This Row],[inv no]])</f>
        <v>902934</v>
      </c>
    </row>
    <row r="5074" spans="1:23" hidden="1">
      <c r="A5074" s="81">
        <v>5072</v>
      </c>
      <c r="B5074" s="86" t="s">
        <v>1477</v>
      </c>
      <c r="C5074" s="86" t="s">
        <v>1973</v>
      </c>
      <c r="D5074" s="89" t="str">
        <f ca="1">OFFSET(Roster!$A$3,MATCH(表格1[[#This Row],[Location]]&amp;" "&amp;表格1[[#This Row],[Shop]]&amp;"*",Roster!$A$4:$A$72,0),DAY(表格1[[#This Row],[date]]),1,1)</f>
        <v>Tiffany</v>
      </c>
      <c r="E5074" s="86">
        <f>MONTH(表格1[[#This Row],[date]])</f>
        <v>3</v>
      </c>
      <c r="F5074" s="90">
        <v>46103</v>
      </c>
      <c r="G5074" s="86" t="str">
        <f>VLOOKUP("*"&amp;表格1[[#This Row],[Input]]&amp;"*",'Ref-List'!$B:$D,2,)</f>
        <v>RC-18NMFIH(WT)</v>
      </c>
      <c r="H5074" s="86" t="str">
        <f>_xlfn.XLOOKUP(表格1[[#This Row],[Model]],表格3[Model-Input-Ref2],表格3[Product Line])</f>
        <v>4毫米厚釜電飯煲1.8L</v>
      </c>
      <c r="I5074" s="86" t="str">
        <f>_xlfn.XLOOKUP(表格1[[#This Row],[Model]],表格3[Model-Input-Ref2],表格3[大小電])</f>
        <v>細電</v>
      </c>
      <c r="J5074" s="86" t="str">
        <f>_xlfn.XLOOKUP(表格1[[#This Row],[Model]],表格3[Model-Input-Ref2],表格3[Code])</f>
        <v>SDA</v>
      </c>
      <c r="K5074" s="89" t="s">
        <v>1267</v>
      </c>
      <c r="L5074" s="86">
        <v>1</v>
      </c>
      <c r="M5074" s="87">
        <v>799</v>
      </c>
      <c r="N5074" s="87">
        <f>IFERROR(表格1[[#This Row],[QTY]]*表格1[[#This Row],[Unit Price]],"-")</f>
        <v>799</v>
      </c>
      <c r="O5074" s="86">
        <v>703992</v>
      </c>
      <c r="R5074" s="86" t="str">
        <f>_xlfn.CONCAT(表格1[[#This Row],[Model]]," ",表格1[[#This Row],[inv no]])</f>
        <v>RC-18NMFIH(WT) 703992</v>
      </c>
      <c r="S5074" s="86">
        <f>_xlfn.XLOOKUP(表格1[[#This Row],[Model]],表格3[Model-Input-Ref2],表格3[SRP PRICE])</f>
        <v>998</v>
      </c>
      <c r="T5074" s="43">
        <f>表格1[[#This Row],[Unit Price]]/表格1[[#This Row],[SRP]]</f>
        <v>0.80060120240480959</v>
      </c>
      <c r="U5074" s="86" t="str">
        <f>_xlfn.XLOOKUP(表格1[[#This Row],[Model]],表格3[Model-Input-Ref2],表格3[TOSHIBA/HIGHEST])</f>
        <v>Toshiba SRP</v>
      </c>
      <c r="W5074" s="86" t="str">
        <f>_xlfn.CONCAT(表格1[[#This Row],[欄4]],表格1[[#This Row],[inv no]])</f>
        <v>703992</v>
      </c>
    </row>
    <row r="5075" spans="1:23" hidden="1">
      <c r="A5075" s="81">
        <v>5073</v>
      </c>
      <c r="B5075" s="86" t="s">
        <v>1477</v>
      </c>
      <c r="C5075" s="86" t="s">
        <v>1973</v>
      </c>
      <c r="D5075" s="89" t="str">
        <f ca="1">OFFSET(Roster!$A$3,MATCH(表格1[[#This Row],[Location]]&amp;" "&amp;表格1[[#This Row],[Shop]]&amp;"*",Roster!$A$4:$A$72,0),DAY(表格1[[#This Row],[date]]),1,1)</f>
        <v>Tiffany</v>
      </c>
      <c r="E5075" s="86">
        <f>MONTH(表格1[[#This Row],[date]])</f>
        <v>3</v>
      </c>
      <c r="F5075" s="90">
        <v>46103</v>
      </c>
      <c r="G5075" s="86" t="str">
        <f>VLOOKUP("*"&amp;表格1[[#This Row],[Input]]&amp;"*",'Ref-List'!$B:$D,2,)</f>
        <v>RC-10AMXH(W)</v>
      </c>
      <c r="H5075" s="86" t="str">
        <f>_xlfn.XLOOKUP(表格1[[#This Row],[Model]],表格3[Model-Input-Ref2],表格3[Product Line])</f>
        <v>酵活炊電飯煲(1.0公升)</v>
      </c>
      <c r="I5075" s="86" t="str">
        <f>_xlfn.XLOOKUP(表格1[[#This Row],[Model]],表格3[Model-Input-Ref2],表格3[大小電])</f>
        <v>細電</v>
      </c>
      <c r="J5075" s="86" t="str">
        <f>_xlfn.XLOOKUP(表格1[[#This Row],[Model]],表格3[Model-Input-Ref2],表格3[Code])</f>
        <v>SDA</v>
      </c>
      <c r="K5075" s="89" t="s">
        <v>1279</v>
      </c>
      <c r="L5075" s="86">
        <v>1</v>
      </c>
      <c r="M5075" s="87">
        <v>990</v>
      </c>
      <c r="N5075" s="87">
        <f>IFERROR(表格1[[#This Row],[QTY]]*表格1[[#This Row],[Unit Price]],"-")</f>
        <v>990</v>
      </c>
      <c r="O5075" s="86">
        <v>902890</v>
      </c>
      <c r="R5075" s="86" t="str">
        <f>_xlfn.CONCAT(表格1[[#This Row],[Model]]," ",表格1[[#This Row],[inv no]])</f>
        <v>RC-10AMXH(W) 902890</v>
      </c>
      <c r="S5075" s="86">
        <f>_xlfn.XLOOKUP(表格1[[#This Row],[Model]],表格3[Model-Input-Ref2],表格3[SRP PRICE])</f>
        <v>1288</v>
      </c>
      <c r="T5075" s="43">
        <f>表格1[[#This Row],[Unit Price]]/表格1[[#This Row],[SRP]]</f>
        <v>0.76863354037267084</v>
      </c>
      <c r="U5075" s="86" t="str">
        <f>_xlfn.XLOOKUP(表格1[[#This Row],[Model]],表格3[Model-Input-Ref2],表格3[TOSHIBA/HIGHEST])</f>
        <v>Toshiba SRP</v>
      </c>
      <c r="W5075" s="86" t="str">
        <f>_xlfn.CONCAT(表格1[[#This Row],[欄4]],表格1[[#This Row],[inv no]])</f>
        <v>902890</v>
      </c>
    </row>
    <row r="5076" spans="1:23" hidden="1">
      <c r="A5076" s="81">
        <v>5074</v>
      </c>
      <c r="B5076" s="86" t="s">
        <v>1477</v>
      </c>
      <c r="C5076" s="86" t="s">
        <v>1973</v>
      </c>
      <c r="D5076" s="89" t="str">
        <f ca="1">OFFSET(Roster!$A$3,MATCH(表格1[[#This Row],[Location]]&amp;" "&amp;表格1[[#This Row],[Shop]]&amp;"*",Roster!$A$4:$A$72,0),DAY(表格1[[#This Row],[date]]),1,1)</f>
        <v>Tiffany</v>
      </c>
      <c r="E5076" s="86">
        <f>MONTH(表格1[[#This Row],[date]])</f>
        <v>3</v>
      </c>
      <c r="F5076" s="90">
        <v>46103</v>
      </c>
      <c r="G5076" s="86" t="str">
        <f>VLOOKUP("*"&amp;表格1[[#This Row],[Input]]&amp;"*",'Ref-List'!$B:$D,2,)</f>
        <v>TP-50DRUHK(W)</v>
      </c>
      <c r="H5076" s="86" t="str">
        <f>_xlfn.XLOOKUP(表格1[[#This Row],[Model]],表格3[Model-Input-Ref2],表格3[Product Line])</f>
        <v>電熱水瓶 (5公升)</v>
      </c>
      <c r="I5076" s="86" t="str">
        <f>_xlfn.XLOOKUP(表格1[[#This Row],[Model]],表格3[Model-Input-Ref2],表格3[大小電])</f>
        <v>細電</v>
      </c>
      <c r="J5076" s="86" t="str">
        <f>_xlfn.XLOOKUP(表格1[[#This Row],[Model]],表格3[Model-Input-Ref2],表格3[Code])</f>
        <v>SDA</v>
      </c>
      <c r="K5076" s="89" t="s">
        <v>1277</v>
      </c>
      <c r="L5076" s="86">
        <v>1</v>
      </c>
      <c r="M5076" s="87">
        <v>598</v>
      </c>
      <c r="N5076" s="87">
        <f>IFERROR(表格1[[#This Row],[QTY]]*表格1[[#This Row],[Unit Price]],"-")</f>
        <v>598</v>
      </c>
      <c r="O5076" s="86">
        <v>805705</v>
      </c>
      <c r="R5076" s="86" t="str">
        <f>_xlfn.CONCAT(表格1[[#This Row],[Model]]," ",表格1[[#This Row],[inv no]])</f>
        <v>TP-50DRUHK(W) 805705</v>
      </c>
      <c r="S5076" s="86">
        <f>_xlfn.XLOOKUP(表格1[[#This Row],[Model]],表格3[Model-Input-Ref2],表格3[SRP PRICE])</f>
        <v>718</v>
      </c>
      <c r="T5076" s="43">
        <f>表格1[[#This Row],[Unit Price]]/表格1[[#This Row],[SRP]]</f>
        <v>0.83286908077994426</v>
      </c>
      <c r="U5076" s="86" t="str">
        <f>_xlfn.XLOOKUP(表格1[[#This Row],[Model]],表格3[Model-Input-Ref2],表格3[TOSHIBA/HIGHEST])</f>
        <v>Toshiba SRP</v>
      </c>
      <c r="W5076" s="86" t="str">
        <f>_xlfn.CONCAT(表格1[[#This Row],[欄4]],表格1[[#This Row],[inv no]])</f>
        <v>805705</v>
      </c>
    </row>
    <row r="5077" spans="1:23" hidden="1">
      <c r="A5077" s="81">
        <v>5075</v>
      </c>
      <c r="B5077" s="86" t="s">
        <v>1477</v>
      </c>
      <c r="C5077" s="86" t="s">
        <v>1973</v>
      </c>
      <c r="D5077" s="89" t="str">
        <f ca="1">OFFSET(Roster!$A$3,MATCH(表格1[[#This Row],[Location]]&amp;" "&amp;表格1[[#This Row],[Shop]]&amp;"*",Roster!$A$4:$A$72,0),DAY(表格1[[#This Row],[date]]),1,1)</f>
        <v>Tiffany</v>
      </c>
      <c r="E5077" s="86">
        <f>MONTH(表格1[[#This Row],[date]])</f>
        <v>3</v>
      </c>
      <c r="F5077" s="90">
        <v>46103</v>
      </c>
      <c r="G5077" s="86" t="str">
        <f>VLOOKUP("*"&amp;表格1[[#This Row],[Input]]&amp;"*",'Ref-List'!$B:$D,2,)</f>
        <v>RAC-12G3CVRGR-HK</v>
      </c>
      <c r="H5077" s="86" t="str">
        <f>_xlfn.XLOOKUP(表格1[[#This Row],[Model]],表格3[Model-Input-Ref2],表格3[Product Line])</f>
        <v>R32變頻窗口式冷氣機 (獨立抽濕遙控</v>
      </c>
      <c r="I5077" s="86" t="str">
        <f>_xlfn.XLOOKUP(表格1[[#This Row],[Model]],表格3[Model-Input-Ref2],表格3[大小電])</f>
        <v>大電</v>
      </c>
      <c r="J5077" s="86" t="str">
        <f>_xlfn.XLOOKUP(表格1[[#This Row],[Model]],表格3[Model-Input-Ref2],表格3[Code])</f>
        <v>AC</v>
      </c>
      <c r="K5077" s="89" t="s">
        <v>1454</v>
      </c>
      <c r="L5077" s="86">
        <v>1</v>
      </c>
      <c r="M5077" s="87">
        <v>5480</v>
      </c>
      <c r="N5077" s="87">
        <f>IFERROR(表格1[[#This Row],[QTY]]*表格1[[#This Row],[Unit Price]],"-")</f>
        <v>5480</v>
      </c>
      <c r="O5077" s="86">
        <v>805718</v>
      </c>
      <c r="R5077" s="86" t="str">
        <f>_xlfn.CONCAT(表格1[[#This Row],[Model]]," ",表格1[[#This Row],[inv no]])</f>
        <v>RAC-12G3CVRGR-HK 805718</v>
      </c>
      <c r="S5077" s="86">
        <f>_xlfn.XLOOKUP(表格1[[#This Row],[Model]],表格3[Model-Input-Ref2],表格3[SRP PRICE])</f>
        <v>8680</v>
      </c>
      <c r="T5077" s="43">
        <f>表格1[[#This Row],[Unit Price]]/表格1[[#This Row],[SRP]]</f>
        <v>0.63133640552995396</v>
      </c>
      <c r="U5077" s="86" t="str">
        <f>_xlfn.XLOOKUP(表格1[[#This Row],[Model]],表格3[Model-Input-Ref2],表格3[TOSHIBA/HIGHEST])</f>
        <v>Toshiba SRP</v>
      </c>
      <c r="W5077" s="86" t="str">
        <f>_xlfn.CONCAT(表格1[[#This Row],[欄4]],表格1[[#This Row],[inv no]])</f>
        <v>805718</v>
      </c>
    </row>
    <row r="5078" spans="1:23" hidden="1">
      <c r="A5078" s="81">
        <v>5076</v>
      </c>
      <c r="B5078" s="86" t="s">
        <v>1477</v>
      </c>
      <c r="C5078" s="86" t="s">
        <v>1973</v>
      </c>
      <c r="D5078" s="89" t="str">
        <f ca="1">OFFSET(Roster!$A$3,MATCH(表格1[[#This Row],[Location]]&amp;" "&amp;表格1[[#This Row],[Shop]]&amp;"*",Roster!$A$4:$A$72,0),DAY(表格1[[#This Row],[date]]),1,1)</f>
        <v>Tiffany</v>
      </c>
      <c r="E5078" s="86">
        <f>MONTH(表格1[[#This Row],[date]])</f>
        <v>3</v>
      </c>
      <c r="F5078" s="90">
        <v>46103</v>
      </c>
      <c r="G5078" s="86" t="str">
        <f>VLOOKUP("*"&amp;表格1[[#This Row],[Input]]&amp;"*",'Ref-List'!$B:$D,2,)</f>
        <v>MX2-TT20SC(WH)</v>
      </c>
      <c r="H5078" s="86" t="str">
        <f>_xlfn.XLOOKUP(表格1[[#This Row],[Model]],表格3[Model-Input-Ref2],表格3[Product Line])</f>
        <v>3合1 微波蒸焗爐 (20公升)</v>
      </c>
      <c r="I5078" s="86" t="str">
        <f>_xlfn.XLOOKUP(表格1[[#This Row],[Model]],表格3[Model-Input-Ref2],表格3[大小電])</f>
        <v>細電</v>
      </c>
      <c r="J5078" s="86" t="str">
        <f>_xlfn.XLOOKUP(表格1[[#This Row],[Model]],表格3[Model-Input-Ref2],表格3[Code])</f>
        <v>MCA</v>
      </c>
      <c r="K5078" s="89" t="s">
        <v>1287</v>
      </c>
      <c r="L5078" s="86">
        <v>1</v>
      </c>
      <c r="M5078" s="87">
        <v>2580</v>
      </c>
      <c r="N5078" s="87">
        <f>IFERROR(表格1[[#This Row],[QTY]]*表格1[[#This Row],[Unit Price]],"-")</f>
        <v>2580</v>
      </c>
      <c r="O5078" s="86">
        <v>805750</v>
      </c>
      <c r="R5078" s="86" t="str">
        <f>_xlfn.CONCAT(表格1[[#This Row],[Model]]," ",表格1[[#This Row],[inv no]])</f>
        <v>MX2-TT20SC(WH) 805750</v>
      </c>
      <c r="S5078" s="86">
        <f>_xlfn.XLOOKUP(表格1[[#This Row],[Model]],表格3[Model-Input-Ref2],表格3[SRP PRICE])</f>
        <v>3580</v>
      </c>
      <c r="T5078" s="43">
        <f>表格1[[#This Row],[Unit Price]]/表格1[[#This Row],[SRP]]</f>
        <v>0.72067039106145248</v>
      </c>
      <c r="U5078" s="86" t="str">
        <f>_xlfn.XLOOKUP(表格1[[#This Row],[Model]],表格3[Model-Input-Ref2],表格3[TOSHIBA/HIGHEST])</f>
        <v>Toshiba SRP</v>
      </c>
      <c r="W5078" s="86" t="str">
        <f>_xlfn.CONCAT(表格1[[#This Row],[欄4]],表格1[[#This Row],[inv no]])</f>
        <v>805750</v>
      </c>
    </row>
    <row r="5079" spans="1:23" hidden="1">
      <c r="A5079" s="81">
        <v>5077</v>
      </c>
      <c r="B5079" s="86" t="s">
        <v>1477</v>
      </c>
      <c r="C5079" s="86" t="s">
        <v>1973</v>
      </c>
      <c r="D5079" s="89" t="str">
        <f ca="1">OFFSET(Roster!$A$3,MATCH(表格1[[#This Row],[Location]]&amp;" "&amp;表格1[[#This Row],[Shop]]&amp;"*",Roster!$A$4:$A$72,0),DAY(表格1[[#This Row],[date]]),1,1)</f>
        <v>Tiffany</v>
      </c>
      <c r="E5079" s="86">
        <f>MONTH(表格1[[#This Row],[date]])</f>
        <v>3</v>
      </c>
      <c r="F5079" s="90">
        <v>46103</v>
      </c>
      <c r="G5079" s="86" t="str">
        <f>VLOOKUP("*"&amp;表格1[[#This Row],[Input]]&amp;"*",'Ref-List'!$B:$D,2,)</f>
        <v>MX2-TT20SC(WH)</v>
      </c>
      <c r="H5079" s="86" t="str">
        <f>_xlfn.XLOOKUP(表格1[[#This Row],[Model]],表格3[Model-Input-Ref2],表格3[Product Line])</f>
        <v>3合1 微波蒸焗爐 (20公升)</v>
      </c>
      <c r="I5079" s="86" t="str">
        <f>_xlfn.XLOOKUP(表格1[[#This Row],[Model]],表格3[Model-Input-Ref2],表格3[大小電])</f>
        <v>細電</v>
      </c>
      <c r="J5079" s="86" t="str">
        <f>_xlfn.XLOOKUP(表格1[[#This Row],[Model]],表格3[Model-Input-Ref2],表格3[Code])</f>
        <v>MCA</v>
      </c>
      <c r="K5079" s="89" t="s">
        <v>1287</v>
      </c>
      <c r="L5079" s="86">
        <v>1</v>
      </c>
      <c r="M5079" s="87">
        <v>2580</v>
      </c>
      <c r="N5079" s="87">
        <f>IFERROR(表格1[[#This Row],[QTY]]*表格1[[#This Row],[Unit Price]],"-")</f>
        <v>2580</v>
      </c>
      <c r="O5079" s="86">
        <v>902938</v>
      </c>
      <c r="R5079" s="86" t="str">
        <f>_xlfn.CONCAT(表格1[[#This Row],[Model]]," ",表格1[[#This Row],[inv no]])</f>
        <v>MX2-TT20SC(WH) 902938</v>
      </c>
      <c r="S5079" s="86">
        <f>_xlfn.XLOOKUP(表格1[[#This Row],[Model]],表格3[Model-Input-Ref2],表格3[SRP PRICE])</f>
        <v>3580</v>
      </c>
      <c r="T5079" s="43">
        <f>表格1[[#This Row],[Unit Price]]/表格1[[#This Row],[SRP]]</f>
        <v>0.72067039106145248</v>
      </c>
      <c r="U5079" s="86" t="str">
        <f>_xlfn.XLOOKUP(表格1[[#This Row],[Model]],表格3[Model-Input-Ref2],表格3[TOSHIBA/HIGHEST])</f>
        <v>Toshiba SRP</v>
      </c>
      <c r="W5079" s="86" t="str">
        <f>_xlfn.CONCAT(表格1[[#This Row],[欄4]],表格1[[#This Row],[inv no]])</f>
        <v>902938</v>
      </c>
    </row>
    <row r="5080" spans="1:23" hidden="1">
      <c r="A5080" s="81">
        <v>5078</v>
      </c>
      <c r="B5080" s="86" t="s">
        <v>1477</v>
      </c>
      <c r="C5080" s="86" t="s">
        <v>1973</v>
      </c>
      <c r="D5080" s="89" t="str">
        <f ca="1">OFFSET(Roster!$A$3,MATCH(表格1[[#This Row],[Location]]&amp;" "&amp;表格1[[#This Row],[Shop]]&amp;"*",Roster!$A$4:$A$72,0),DAY(表格1[[#This Row],[date]]),1,1)</f>
        <v>Tiffany</v>
      </c>
      <c r="E5080" s="86">
        <f>MONTH(表格1[[#This Row],[date]])</f>
        <v>3</v>
      </c>
      <c r="F5080" s="90">
        <v>46103</v>
      </c>
      <c r="G5080" s="86" t="str">
        <f>VLOOKUP("*"&amp;表格1[[#This Row],[Input]]&amp;"*",'Ref-List'!$B:$D,2,)</f>
        <v>TWD-T25BZU115MWH(MG)</v>
      </c>
      <c r="H5080" s="86" t="str">
        <f>_xlfn.XLOOKUP(表格1[[#This Row],[Model]],表格3[Model-Input-Ref2],表格3[Product Line])</f>
        <v>前置式變頻洗衣乾衣機 (洗10.5公斤 乾7公斤)</v>
      </c>
      <c r="I5080" s="86" t="str">
        <f>_xlfn.XLOOKUP(表格1[[#This Row],[Model]],表格3[Model-Input-Ref2],表格3[大小電])</f>
        <v>大電</v>
      </c>
      <c r="J5080" s="86" t="str">
        <f>_xlfn.XLOOKUP(表格1[[#This Row],[Model]],表格3[Model-Input-Ref2],表格3[Code])</f>
        <v>LAD</v>
      </c>
      <c r="K5080" s="89" t="s">
        <v>1098</v>
      </c>
      <c r="L5080" s="86">
        <v>1</v>
      </c>
      <c r="M5080" s="87">
        <v>5980</v>
      </c>
      <c r="N5080" s="87">
        <f>IFERROR(表格1[[#This Row],[QTY]]*表格1[[#This Row],[Unit Price]],"-")</f>
        <v>5980</v>
      </c>
      <c r="O5080" s="86">
        <v>902936</v>
      </c>
      <c r="R5080" s="86" t="str">
        <f>_xlfn.CONCAT(表格1[[#This Row],[Model]]," ",表格1[[#This Row],[inv no]])</f>
        <v>TWD-T25BZU115MWH(MG) 902936</v>
      </c>
      <c r="S5080" s="86">
        <f>_xlfn.XLOOKUP(表格1[[#This Row],[Model]],表格3[Model-Input-Ref2],表格3[SRP PRICE])</f>
        <v>8280</v>
      </c>
      <c r="T5080" s="43">
        <f>表格1[[#This Row],[Unit Price]]/表格1[[#This Row],[SRP]]</f>
        <v>0.72222222222222221</v>
      </c>
      <c r="U5080" s="86" t="str">
        <f>_xlfn.XLOOKUP(表格1[[#This Row],[Model]],表格3[Model-Input-Ref2],表格3[TOSHIBA/HIGHEST])</f>
        <v>Toshiba SRP</v>
      </c>
      <c r="W5080" s="86" t="str">
        <f>_xlfn.CONCAT(表格1[[#This Row],[欄4]],表格1[[#This Row],[inv no]])</f>
        <v>902936</v>
      </c>
    </row>
    <row r="5081" spans="1:23" hidden="1">
      <c r="A5081" s="81">
        <v>5079</v>
      </c>
      <c r="B5081" s="86" t="s">
        <v>1477</v>
      </c>
      <c r="C5081" s="86" t="s">
        <v>1973</v>
      </c>
      <c r="D5081" s="89" t="str">
        <f ca="1">OFFSET(Roster!$A$3,MATCH(表格1[[#This Row],[Location]]&amp;" "&amp;表格1[[#This Row],[Shop]]&amp;"*",Roster!$A$4:$A$72,0),DAY(表格1[[#This Row],[date]]),1,1)</f>
        <v>Tiffany</v>
      </c>
      <c r="E5081" s="86">
        <f>MONTH(表格1[[#This Row],[date]])</f>
        <v>3</v>
      </c>
      <c r="F5081" s="90">
        <v>46103</v>
      </c>
      <c r="G5081" s="86" t="str">
        <f>VLOOKUP("*"&amp;表格1[[#This Row],[Input]]&amp;"*",'Ref-List'!$B:$D,2,)</f>
        <v>TW-BL115A2H(WW)</v>
      </c>
      <c r="H5081" s="86" t="str">
        <f>_xlfn.XLOOKUP(表格1[[#This Row],[Model]],表格3[Model-Input-Ref2],表格3[Product Line])</f>
        <v>10.5KG前置式變頻洗衣機</v>
      </c>
      <c r="I5081" s="86" t="str">
        <f>_xlfn.XLOOKUP(表格1[[#This Row],[Model]],表格3[Model-Input-Ref2],表格3[大小電])</f>
        <v>大電</v>
      </c>
      <c r="J5081" s="86" t="str">
        <f>_xlfn.XLOOKUP(表格1[[#This Row],[Model]],表格3[Model-Input-Ref2],表格3[Code])</f>
        <v>WM</v>
      </c>
      <c r="K5081" s="89" t="s">
        <v>1949</v>
      </c>
      <c r="L5081" s="86">
        <v>1</v>
      </c>
      <c r="M5081" s="87">
        <v>3380</v>
      </c>
      <c r="N5081" s="87">
        <f>IFERROR(表格1[[#This Row],[QTY]]*表格1[[#This Row],[Unit Price]],"-")</f>
        <v>3380</v>
      </c>
      <c r="O5081" s="86">
        <v>703976</v>
      </c>
      <c r="R5081" s="86" t="str">
        <f>_xlfn.CONCAT(表格1[[#This Row],[Model]]," ",表格1[[#This Row],[inv no]])</f>
        <v>TW-BL115A2H(WW) 703976</v>
      </c>
      <c r="S5081" s="86">
        <f>_xlfn.XLOOKUP(表格1[[#This Row],[Model]],表格3[Model-Input-Ref2],表格3[SRP PRICE])</f>
        <v>6480</v>
      </c>
      <c r="T5081" s="43">
        <f>表格1[[#This Row],[Unit Price]]/表格1[[#This Row],[SRP]]</f>
        <v>0.52160493827160492</v>
      </c>
      <c r="U5081" s="86" t="str">
        <f>_xlfn.XLOOKUP(表格1[[#This Row],[Model]],表格3[Model-Input-Ref2],表格3[TOSHIBA/HIGHEST])</f>
        <v>Toshiba SRP</v>
      </c>
      <c r="W5081" s="86" t="str">
        <f>_xlfn.CONCAT(表格1[[#This Row],[欄4]],表格1[[#This Row],[inv no]])</f>
        <v>703976</v>
      </c>
    </row>
    <row r="5082" spans="1:23" hidden="1">
      <c r="A5082" s="81">
        <v>5080</v>
      </c>
      <c r="B5082" s="86" t="s">
        <v>1477</v>
      </c>
      <c r="C5082" s="86" t="s">
        <v>1973</v>
      </c>
      <c r="D5082" s="89" t="str">
        <f ca="1">OFFSET(Roster!$A$3,MATCH(表格1[[#This Row],[Location]]&amp;" "&amp;表格1[[#This Row],[Shop]]&amp;"*",Roster!$A$4:$A$72,0),DAY(表格1[[#This Row],[date]]),1,1)</f>
        <v>Tiffany</v>
      </c>
      <c r="E5082" s="86">
        <f>MONTH(表格1[[#This Row],[date]])</f>
        <v>3</v>
      </c>
      <c r="F5082" s="90">
        <v>46103</v>
      </c>
      <c r="G5082" s="86" t="str">
        <f>VLOOKUP("*"&amp;表格1[[#This Row],[Input]]&amp;"*",'Ref-List'!$B:$D,2,)</f>
        <v>Model-Input-Ref2</v>
      </c>
      <c r="H5082" s="86" t="e">
        <f>_xlfn.XLOOKUP(表格1[[#This Row],[Model]],表格3[Model-Input-Ref2],表格3[Product Line])</f>
        <v>#N/A</v>
      </c>
      <c r="I5082" s="86" t="e">
        <f>_xlfn.XLOOKUP(表格1[[#This Row],[Model]],表格3[Model-Input-Ref2],表格3[大小電])</f>
        <v>#N/A</v>
      </c>
      <c r="J5082" s="86" t="e">
        <f>_xlfn.XLOOKUP(表格1[[#This Row],[Model]],表格3[Model-Input-Ref2],表格3[Code])</f>
        <v>#N/A</v>
      </c>
      <c r="N5082" s="87">
        <f>IFERROR(表格1[[#This Row],[QTY]]*表格1[[#This Row],[Unit Price]],"-")</f>
        <v>0</v>
      </c>
      <c r="P5082" s="86" t="s">
        <v>2277</v>
      </c>
      <c r="R5082" s="86" t="str">
        <f>_xlfn.CONCAT(表格1[[#This Row],[Model]]," ",表格1[[#This Row],[inv no]])</f>
        <v xml:space="preserve">Model-Input-Ref2 </v>
      </c>
      <c r="S5082" s="86" t="e">
        <f>_xlfn.XLOOKUP(表格1[[#This Row],[Model]],表格3[Model-Input-Ref2],表格3[SRP PRICE])</f>
        <v>#N/A</v>
      </c>
      <c r="T5082" s="43" t="e">
        <f>表格1[[#This Row],[Unit Price]]/表格1[[#This Row],[SRP]]</f>
        <v>#N/A</v>
      </c>
      <c r="U5082" s="86" t="e">
        <f>_xlfn.XLOOKUP(表格1[[#This Row],[Model]],表格3[Model-Input-Ref2],表格3[TOSHIBA/HIGHEST])</f>
        <v>#N/A</v>
      </c>
      <c r="W5082" s="86" t="str">
        <f>_xlfn.CONCAT(表格1[[#This Row],[欄4]],表格1[[#This Row],[inv no]])</f>
        <v/>
      </c>
    </row>
    <row r="5083" spans="1:23" hidden="1">
      <c r="A5083" s="81">
        <v>5081</v>
      </c>
      <c r="B5083" s="86" t="s">
        <v>1477</v>
      </c>
      <c r="C5083" s="86" t="s">
        <v>1973</v>
      </c>
      <c r="D5083" s="89" t="str">
        <f ca="1">OFFSET(Roster!$A$3,MATCH(表格1[[#This Row],[Location]]&amp;" "&amp;表格1[[#This Row],[Shop]]&amp;"*",Roster!$A$4:$A$72,0),DAY(表格1[[#This Row],[date]]),1,1)</f>
        <v>Tiffany</v>
      </c>
      <c r="E5083" s="86">
        <f>MONTH(表格1[[#This Row],[date]])</f>
        <v>3</v>
      </c>
      <c r="F5083" s="90">
        <v>46105</v>
      </c>
      <c r="G5083" s="86" t="str">
        <f>VLOOKUP("*"&amp;表格1[[#This Row],[Input]]&amp;"*",'Ref-List'!$B:$D,2,)</f>
        <v>AW-Q901BPH(WW)</v>
      </c>
      <c r="H5083" s="86" t="str">
        <f>_xlfn.XLOOKUP(表格1[[#This Row],[Model]],表格3[Model-Input-Ref2],表格3[Product Line])</f>
        <v>日式洗衣機 (8公斤 結合高低水位)</v>
      </c>
      <c r="I5083" s="86" t="str">
        <f>_xlfn.XLOOKUP(表格1[[#This Row],[Model]],表格3[Model-Input-Ref2],表格3[大小電])</f>
        <v>大電</v>
      </c>
      <c r="J5083" s="86" t="str">
        <f>_xlfn.XLOOKUP(表格1[[#This Row],[Model]],表格3[Model-Input-Ref2],表格3[Code])</f>
        <v>LAD</v>
      </c>
      <c r="K5083" s="89" t="s">
        <v>1411</v>
      </c>
      <c r="L5083" s="86">
        <v>1</v>
      </c>
      <c r="M5083" s="87">
        <v>2280</v>
      </c>
      <c r="N5083" s="87">
        <f>IFERROR(表格1[[#This Row],[QTY]]*表格1[[#This Row],[Unit Price]],"-")</f>
        <v>2280</v>
      </c>
      <c r="O5083" s="86">
        <v>704076</v>
      </c>
      <c r="R5083" s="86" t="str">
        <f>_xlfn.CONCAT(表格1[[#This Row],[Model]]," ",表格1[[#This Row],[inv no]])</f>
        <v>AW-Q901BPH(WW) 704076</v>
      </c>
      <c r="S5083" s="86">
        <f>_xlfn.XLOOKUP(表格1[[#This Row],[Model]],表格3[Model-Input-Ref2],表格3[SRP PRICE])</f>
        <v>3780</v>
      </c>
      <c r="T5083" s="43">
        <f>表格1[[#This Row],[Unit Price]]/表格1[[#This Row],[SRP]]</f>
        <v>0.60317460317460314</v>
      </c>
      <c r="U5083" s="86" t="str">
        <f>_xlfn.XLOOKUP(表格1[[#This Row],[Model]],表格3[Model-Input-Ref2],表格3[TOSHIBA/HIGHEST])</f>
        <v>Toshiba SRP</v>
      </c>
      <c r="W5083" s="86" t="str">
        <f>_xlfn.CONCAT(表格1[[#This Row],[欄4]],表格1[[#This Row],[inv no]])</f>
        <v>704076</v>
      </c>
    </row>
    <row r="5084" spans="1:23" hidden="1">
      <c r="A5084" s="81">
        <v>5082</v>
      </c>
      <c r="B5084" s="86" t="s">
        <v>1477</v>
      </c>
      <c r="C5084" s="86" t="s">
        <v>1973</v>
      </c>
      <c r="D5084" s="89" t="str">
        <f ca="1">OFFSET(Roster!$A$3,MATCH(表格1[[#This Row],[Location]]&amp;" "&amp;表格1[[#This Row],[Shop]]&amp;"*",Roster!$A$4:$A$72,0),DAY(表格1[[#This Row],[date]]),1,1)</f>
        <v>Tiffany</v>
      </c>
      <c r="E5084" s="86">
        <f>MONTH(表格1[[#This Row],[date]])</f>
        <v>3</v>
      </c>
      <c r="F5084" s="90">
        <v>46105</v>
      </c>
      <c r="G5084" s="86" t="str">
        <f>VLOOKUP("*"&amp;表格1[[#This Row],[Input]]&amp;"*",'Ref-List'!$B:$D,2,)</f>
        <v>GR-RT300WE-PMA(57)</v>
      </c>
      <c r="H5084" s="86" t="str">
        <f>_xlfn.XLOOKUP(表格1[[#This Row],[Model]],表格3[Model-Input-Ref2],表格3[Product Line])</f>
        <v>變頻式環保雙門雪櫃(233L)</v>
      </c>
      <c r="I5084" s="86" t="str">
        <f>_xlfn.XLOOKUP(表格1[[#This Row],[Model]],表格3[Model-Input-Ref2],表格3[大小電])</f>
        <v>大電</v>
      </c>
      <c r="J5084" s="86" t="str">
        <f>_xlfn.XLOOKUP(表格1[[#This Row],[Model]],表格3[Model-Input-Ref2],表格3[Code])</f>
        <v>REF</v>
      </c>
      <c r="K5084" s="89" t="s">
        <v>1462</v>
      </c>
      <c r="L5084" s="86">
        <v>1</v>
      </c>
      <c r="M5084" s="87">
        <v>2780</v>
      </c>
      <c r="N5084" s="87">
        <f>IFERROR(表格1[[#This Row],[QTY]]*表格1[[#This Row],[Unit Price]],"-")</f>
        <v>2780</v>
      </c>
      <c r="O5084" s="86">
        <v>902990</v>
      </c>
      <c r="R5084" s="86" t="str">
        <f>_xlfn.CONCAT(表格1[[#This Row],[Model]]," ",表格1[[#This Row],[inv no]])</f>
        <v>GR-RT300WE-PMA(57) 902990</v>
      </c>
      <c r="S5084" s="86">
        <f>_xlfn.XLOOKUP(表格1[[#This Row],[Model]],表格3[Model-Input-Ref2],表格3[SRP PRICE])</f>
        <v>4280</v>
      </c>
      <c r="T5084" s="43">
        <f>表格1[[#This Row],[Unit Price]]/表格1[[#This Row],[SRP]]</f>
        <v>0.64953271028037385</v>
      </c>
      <c r="U5084" s="86" t="str">
        <f>_xlfn.XLOOKUP(表格1[[#This Row],[Model]],表格3[Model-Input-Ref2],表格3[TOSHIBA/HIGHEST])</f>
        <v>Toshiba SRP</v>
      </c>
      <c r="W5084" s="86" t="str">
        <f>_xlfn.CONCAT(表格1[[#This Row],[欄4]],表格1[[#This Row],[inv no]])</f>
        <v>902990</v>
      </c>
    </row>
    <row r="5085" spans="1:23" hidden="1">
      <c r="A5085" s="81">
        <v>5083</v>
      </c>
      <c r="B5085" s="86" t="s">
        <v>1477</v>
      </c>
      <c r="C5085" s="86" t="s">
        <v>1973</v>
      </c>
      <c r="D5085" s="89" t="str">
        <f ca="1">OFFSET(Roster!$A$3,MATCH(表格1[[#This Row],[Location]]&amp;" "&amp;表格1[[#This Row],[Shop]]&amp;"*",Roster!$A$4:$A$72,0),DAY(表格1[[#This Row],[date]]),1,1)</f>
        <v>Tiffany</v>
      </c>
      <c r="E5085" s="86">
        <f>MONTH(表格1[[#This Row],[date]])</f>
        <v>3</v>
      </c>
      <c r="F5085" s="90">
        <v>46105</v>
      </c>
      <c r="G5085" s="86" t="str">
        <f>VLOOKUP("*"&amp;表格1[[#This Row],[Input]]&amp;"*",'Ref-List'!$B:$D,2,)</f>
        <v>GR-RT300WE-PMA(57)</v>
      </c>
      <c r="H5085" s="86" t="str">
        <f>_xlfn.XLOOKUP(表格1[[#This Row],[Model]],表格3[Model-Input-Ref2],表格3[Product Line])</f>
        <v>變頻式環保雙門雪櫃(233L)</v>
      </c>
      <c r="I5085" s="86" t="str">
        <f>_xlfn.XLOOKUP(表格1[[#This Row],[Model]],表格3[Model-Input-Ref2],表格3[大小電])</f>
        <v>大電</v>
      </c>
      <c r="J5085" s="86" t="str">
        <f>_xlfn.XLOOKUP(表格1[[#This Row],[Model]],表格3[Model-Input-Ref2],表格3[Code])</f>
        <v>REF</v>
      </c>
      <c r="K5085" s="89" t="s">
        <v>1462</v>
      </c>
      <c r="L5085" s="86">
        <v>1</v>
      </c>
      <c r="M5085" s="87">
        <v>2780</v>
      </c>
      <c r="N5085" s="87">
        <f>IFERROR(表格1[[#This Row],[QTY]]*表格1[[#This Row],[Unit Price]],"-")</f>
        <v>2780</v>
      </c>
      <c r="O5085" s="86">
        <v>704043</v>
      </c>
      <c r="R5085" s="86" t="str">
        <f>_xlfn.CONCAT(表格1[[#This Row],[Model]]," ",表格1[[#This Row],[inv no]])</f>
        <v>GR-RT300WE-PMA(57) 704043</v>
      </c>
      <c r="S5085" s="86">
        <f>_xlfn.XLOOKUP(表格1[[#This Row],[Model]],表格3[Model-Input-Ref2],表格3[SRP PRICE])</f>
        <v>4280</v>
      </c>
      <c r="T5085" s="43">
        <f>表格1[[#This Row],[Unit Price]]/表格1[[#This Row],[SRP]]</f>
        <v>0.64953271028037385</v>
      </c>
      <c r="U5085" s="86" t="str">
        <f>_xlfn.XLOOKUP(表格1[[#This Row],[Model]],表格3[Model-Input-Ref2],表格3[TOSHIBA/HIGHEST])</f>
        <v>Toshiba SRP</v>
      </c>
      <c r="W5085" s="86" t="str">
        <f>_xlfn.CONCAT(表格1[[#This Row],[欄4]],表格1[[#This Row],[inv no]])</f>
        <v>704043</v>
      </c>
    </row>
    <row r="5086" spans="1:23" hidden="1">
      <c r="A5086" s="81">
        <v>5084</v>
      </c>
      <c r="B5086" s="86" t="s">
        <v>1477</v>
      </c>
      <c r="C5086" s="86" t="s">
        <v>1973</v>
      </c>
      <c r="D5086" s="89" t="str">
        <f ca="1">OFFSET(Roster!$A$3,MATCH(表格1[[#This Row],[Location]]&amp;" "&amp;表格1[[#This Row],[Shop]]&amp;"*",Roster!$A$4:$A$72,0),DAY(表格1[[#This Row],[date]]),1,1)</f>
        <v>Tiffany</v>
      </c>
      <c r="E5086" s="86">
        <f>MONTH(表格1[[#This Row],[date]])</f>
        <v>3</v>
      </c>
      <c r="F5086" s="90">
        <v>46105</v>
      </c>
      <c r="G5086" s="86" t="str">
        <f>VLOOKUP("*"&amp;表格1[[#This Row],[Input]]&amp;"*",'Ref-List'!$B:$D,2,)</f>
        <v>GR-RT300WE-PMA(57)</v>
      </c>
      <c r="H5086" s="86" t="str">
        <f>_xlfn.XLOOKUP(表格1[[#This Row],[Model]],表格3[Model-Input-Ref2],表格3[Product Line])</f>
        <v>變頻式環保雙門雪櫃(233L)</v>
      </c>
      <c r="I5086" s="86" t="str">
        <f>_xlfn.XLOOKUP(表格1[[#This Row],[Model]],表格3[Model-Input-Ref2],表格3[大小電])</f>
        <v>大電</v>
      </c>
      <c r="J5086" s="86" t="str">
        <f>_xlfn.XLOOKUP(表格1[[#This Row],[Model]],表格3[Model-Input-Ref2],表格3[Code])</f>
        <v>REF</v>
      </c>
      <c r="K5086" s="89" t="s">
        <v>1462</v>
      </c>
      <c r="L5086" s="86">
        <v>1</v>
      </c>
      <c r="M5086" s="87">
        <v>2780</v>
      </c>
      <c r="N5086" s="87">
        <f>IFERROR(表格1[[#This Row],[QTY]]*表格1[[#This Row],[Unit Price]],"-")</f>
        <v>2780</v>
      </c>
      <c r="O5086" s="86">
        <v>704048</v>
      </c>
      <c r="R5086" s="86" t="str">
        <f>_xlfn.CONCAT(表格1[[#This Row],[Model]]," ",表格1[[#This Row],[inv no]])</f>
        <v>GR-RT300WE-PMA(57) 704048</v>
      </c>
      <c r="S5086" s="86">
        <f>_xlfn.XLOOKUP(表格1[[#This Row],[Model]],表格3[Model-Input-Ref2],表格3[SRP PRICE])</f>
        <v>4280</v>
      </c>
      <c r="T5086" s="43">
        <f>表格1[[#This Row],[Unit Price]]/表格1[[#This Row],[SRP]]</f>
        <v>0.64953271028037385</v>
      </c>
      <c r="U5086" s="86" t="str">
        <f>_xlfn.XLOOKUP(表格1[[#This Row],[Model]],表格3[Model-Input-Ref2],表格3[TOSHIBA/HIGHEST])</f>
        <v>Toshiba SRP</v>
      </c>
      <c r="W5086" s="86" t="str">
        <f>_xlfn.CONCAT(表格1[[#This Row],[欄4]],表格1[[#This Row],[inv no]])</f>
        <v>704048</v>
      </c>
    </row>
    <row r="5087" spans="1:23" hidden="1">
      <c r="A5087" s="81">
        <v>5085</v>
      </c>
      <c r="B5087" s="86" t="s">
        <v>1477</v>
      </c>
      <c r="C5087" s="86" t="s">
        <v>1973</v>
      </c>
      <c r="D5087" s="89" t="str">
        <f ca="1">OFFSET(Roster!$A$3,MATCH(表格1[[#This Row],[Location]]&amp;" "&amp;表格1[[#This Row],[Shop]]&amp;"*",Roster!$A$4:$A$72,0),DAY(表格1[[#This Row],[date]]),1,1)</f>
        <v>Tiffany</v>
      </c>
      <c r="E5087" s="86">
        <f>MONTH(表格1[[#This Row],[date]])</f>
        <v>3</v>
      </c>
      <c r="F5087" s="90">
        <v>46105</v>
      </c>
      <c r="G5087" s="86" t="str">
        <f>VLOOKUP("*"&amp;表格1[[#This Row],[Input]]&amp;"*",'Ref-List'!$B:$D,2,)</f>
        <v>GR-RB360WE-PMA(06)</v>
      </c>
      <c r="H5087" s="86" t="str">
        <f>_xlfn.XLOOKUP(表格1[[#This Row],[Model]],表格3[Model-Input-Ref2],表格3[Product Line])</f>
        <v>變頻下置式雙門雪櫃系列270L</v>
      </c>
      <c r="I5087" s="86" t="str">
        <f>_xlfn.XLOOKUP(表格1[[#This Row],[Model]],表格3[Model-Input-Ref2],表格3[大小電])</f>
        <v>大電</v>
      </c>
      <c r="J5087" s="86" t="str">
        <f>_xlfn.XLOOKUP(表格1[[#This Row],[Model]],表格3[Model-Input-Ref2],表格3[Code])</f>
        <v>REF</v>
      </c>
      <c r="K5087" s="89" t="s">
        <v>1282</v>
      </c>
      <c r="L5087" s="86">
        <v>1</v>
      </c>
      <c r="M5087" s="87">
        <v>3680</v>
      </c>
      <c r="N5087" s="87">
        <f>IFERROR(表格1[[#This Row],[QTY]]*表格1[[#This Row],[Unit Price]],"-")</f>
        <v>3680</v>
      </c>
      <c r="O5087" s="86">
        <v>704019</v>
      </c>
      <c r="R5087" s="86" t="str">
        <f>_xlfn.CONCAT(表格1[[#This Row],[Model]]," ",表格1[[#This Row],[inv no]])</f>
        <v>GR-RB360WE-PMA(06) 704019</v>
      </c>
      <c r="S5087" s="86">
        <f>_xlfn.XLOOKUP(表格1[[#This Row],[Model]],表格3[Model-Input-Ref2],表格3[SRP PRICE])</f>
        <v>5080</v>
      </c>
      <c r="T5087" s="43">
        <f>表格1[[#This Row],[Unit Price]]/表格1[[#This Row],[SRP]]</f>
        <v>0.72440944881889768</v>
      </c>
      <c r="U5087" s="86" t="str">
        <f>_xlfn.XLOOKUP(表格1[[#This Row],[Model]],表格3[Model-Input-Ref2],表格3[TOSHIBA/HIGHEST])</f>
        <v>Toshiba SRP</v>
      </c>
      <c r="W5087" s="86" t="str">
        <f>_xlfn.CONCAT(表格1[[#This Row],[欄4]],表格1[[#This Row],[inv no]])</f>
        <v>704019</v>
      </c>
    </row>
    <row r="5088" spans="1:23" hidden="1">
      <c r="A5088" s="81">
        <v>5086</v>
      </c>
      <c r="B5088" s="86" t="s">
        <v>1477</v>
      </c>
      <c r="C5088" s="86" t="s">
        <v>1973</v>
      </c>
      <c r="D5088" s="89" t="str">
        <f ca="1">OFFSET(Roster!$A$3,MATCH(表格1[[#This Row],[Location]]&amp;" "&amp;表格1[[#This Row],[Shop]]&amp;"*",Roster!$A$4:$A$72,0),DAY(表格1[[#This Row],[date]]),1,1)</f>
        <v>Tiffany</v>
      </c>
      <c r="E5088" s="86">
        <f>MONTH(表格1[[#This Row],[date]])</f>
        <v>3</v>
      </c>
      <c r="F5088" s="90">
        <v>46105</v>
      </c>
      <c r="G5088" s="86" t="str">
        <f>VLOOKUP("*"&amp;表格1[[#This Row],[Input]]&amp;"*",'Ref-List'!$B:$D,2,)</f>
        <v>RC-10NMFIH(WT)</v>
      </c>
      <c r="H5088" s="86" t="str">
        <f>_xlfn.XLOOKUP(表格1[[#This Row],[Model]],表格3[Model-Input-Ref2],表格3[Product Line])</f>
        <v>4毫米厚釜電飯煲1L</v>
      </c>
      <c r="I5088" s="86" t="str">
        <f>_xlfn.XLOOKUP(表格1[[#This Row],[Model]],表格3[Model-Input-Ref2],表格3[大小電])</f>
        <v>細電</v>
      </c>
      <c r="J5088" s="86" t="str">
        <f>_xlfn.XLOOKUP(表格1[[#This Row],[Model]],表格3[Model-Input-Ref2],表格3[Code])</f>
        <v>SDA</v>
      </c>
      <c r="K5088" s="89" t="s">
        <v>1244</v>
      </c>
      <c r="L5088" s="86">
        <v>1</v>
      </c>
      <c r="M5088" s="87">
        <v>719</v>
      </c>
      <c r="N5088" s="87">
        <f>IFERROR(表格1[[#This Row],[QTY]]*表格1[[#This Row],[Unit Price]],"-")</f>
        <v>719</v>
      </c>
      <c r="O5088" s="86">
        <v>704025</v>
      </c>
      <c r="R5088" s="86" t="str">
        <f>_xlfn.CONCAT(表格1[[#This Row],[Model]]," ",表格1[[#This Row],[inv no]])</f>
        <v>RC-10NMFIH(WT) 704025</v>
      </c>
      <c r="S5088" s="86">
        <f>_xlfn.XLOOKUP(表格1[[#This Row],[Model]],表格3[Model-Input-Ref2],表格3[SRP PRICE])</f>
        <v>898</v>
      </c>
      <c r="T5088" s="43">
        <f>表格1[[#This Row],[Unit Price]]/表格1[[#This Row],[SRP]]</f>
        <v>0.80066815144766146</v>
      </c>
      <c r="U5088" s="86" t="str">
        <f>_xlfn.XLOOKUP(表格1[[#This Row],[Model]],表格3[Model-Input-Ref2],表格3[TOSHIBA/HIGHEST])</f>
        <v>Toshiba SRP</v>
      </c>
      <c r="W5088" s="86" t="str">
        <f>_xlfn.CONCAT(表格1[[#This Row],[欄4]],表格1[[#This Row],[inv no]])</f>
        <v>704025</v>
      </c>
    </row>
    <row r="5089" spans="1:23" hidden="1">
      <c r="A5089" s="81">
        <v>5087</v>
      </c>
      <c r="B5089" s="86" t="s">
        <v>1477</v>
      </c>
      <c r="C5089" s="86" t="s">
        <v>1973</v>
      </c>
      <c r="D5089" s="89" t="str">
        <f ca="1">OFFSET(Roster!$A$3,MATCH(表格1[[#This Row],[Location]]&amp;" "&amp;表格1[[#This Row],[Shop]]&amp;"*",Roster!$A$4:$A$72,0),DAY(表格1[[#This Row],[date]]),1,1)</f>
        <v>Tiffany</v>
      </c>
      <c r="E5089" s="86">
        <f>MONTH(表格1[[#This Row],[date]])</f>
        <v>3</v>
      </c>
      <c r="F5089" s="90">
        <v>46105</v>
      </c>
      <c r="G5089" s="86" t="str">
        <f>VLOOKUP("*"&amp;表格1[[#This Row],[Input]]&amp;"*",'Ref-List'!$B:$D,2,)</f>
        <v>RC-10AMXH(W)</v>
      </c>
      <c r="H5089" s="86" t="str">
        <f>_xlfn.XLOOKUP(表格1[[#This Row],[Model]],表格3[Model-Input-Ref2],表格3[Product Line])</f>
        <v>酵活炊電飯煲(1.0公升)</v>
      </c>
      <c r="I5089" s="86" t="str">
        <f>_xlfn.XLOOKUP(表格1[[#This Row],[Model]],表格3[Model-Input-Ref2],表格3[大小電])</f>
        <v>細電</v>
      </c>
      <c r="J5089" s="86" t="str">
        <f>_xlfn.XLOOKUP(表格1[[#This Row],[Model]],表格3[Model-Input-Ref2],表格3[Code])</f>
        <v>SDA</v>
      </c>
      <c r="K5089" s="89" t="s">
        <v>1279</v>
      </c>
      <c r="L5089" s="86">
        <v>1</v>
      </c>
      <c r="M5089" s="87">
        <v>990</v>
      </c>
      <c r="N5089" s="87">
        <f>IFERROR(表格1[[#This Row],[QTY]]*表格1[[#This Row],[Unit Price]],"-")</f>
        <v>990</v>
      </c>
      <c r="O5089" s="86">
        <v>704020</v>
      </c>
      <c r="R5089" s="86" t="str">
        <f>_xlfn.CONCAT(表格1[[#This Row],[Model]]," ",表格1[[#This Row],[inv no]])</f>
        <v>RC-10AMXH(W) 704020</v>
      </c>
      <c r="S5089" s="86">
        <f>_xlfn.XLOOKUP(表格1[[#This Row],[Model]],表格3[Model-Input-Ref2],表格3[SRP PRICE])</f>
        <v>1288</v>
      </c>
      <c r="T5089" s="43">
        <f>表格1[[#This Row],[Unit Price]]/表格1[[#This Row],[SRP]]</f>
        <v>0.76863354037267084</v>
      </c>
      <c r="U5089" s="86" t="str">
        <f>_xlfn.XLOOKUP(表格1[[#This Row],[Model]],表格3[Model-Input-Ref2],表格3[TOSHIBA/HIGHEST])</f>
        <v>Toshiba SRP</v>
      </c>
      <c r="W5089" s="86" t="str">
        <f>_xlfn.CONCAT(表格1[[#This Row],[欄4]],表格1[[#This Row],[inv no]])</f>
        <v>704020</v>
      </c>
    </row>
    <row r="5090" spans="1:23" hidden="1">
      <c r="A5090" s="81">
        <v>5088</v>
      </c>
      <c r="B5090" s="86" t="s">
        <v>1477</v>
      </c>
      <c r="C5090" s="86" t="s">
        <v>1973</v>
      </c>
      <c r="D5090" s="89" t="str">
        <f ca="1">OFFSET(Roster!$A$3,MATCH(表格1[[#This Row],[Location]]&amp;" "&amp;表格1[[#This Row],[Shop]]&amp;"*",Roster!$A$4:$A$72,0),DAY(表格1[[#This Row],[date]]),1,1)</f>
        <v>Tiffany</v>
      </c>
      <c r="E5090" s="86">
        <f>MONTH(表格1[[#This Row],[date]])</f>
        <v>3</v>
      </c>
      <c r="F5090" s="90">
        <v>46105</v>
      </c>
      <c r="G5090" s="86" t="str">
        <f>VLOOKUP("*"&amp;表格1[[#This Row],[Input]]&amp;"*",'Ref-List'!$B:$D,2,)</f>
        <v>RC-10AMXH(W)</v>
      </c>
      <c r="H5090" s="86" t="str">
        <f>_xlfn.XLOOKUP(表格1[[#This Row],[Model]],表格3[Model-Input-Ref2],表格3[Product Line])</f>
        <v>酵活炊電飯煲(1.0公升)</v>
      </c>
      <c r="I5090" s="86" t="str">
        <f>_xlfn.XLOOKUP(表格1[[#This Row],[Model]],表格3[Model-Input-Ref2],表格3[大小電])</f>
        <v>細電</v>
      </c>
      <c r="J5090" s="86" t="str">
        <f>_xlfn.XLOOKUP(表格1[[#This Row],[Model]],表格3[Model-Input-Ref2],表格3[Code])</f>
        <v>SDA</v>
      </c>
      <c r="K5090" s="89" t="s">
        <v>1279</v>
      </c>
      <c r="L5090" s="86">
        <v>1</v>
      </c>
      <c r="M5090" s="87">
        <v>990</v>
      </c>
      <c r="N5090" s="87">
        <f>IFERROR(表格1[[#This Row],[QTY]]*表格1[[#This Row],[Unit Price]],"-")</f>
        <v>990</v>
      </c>
      <c r="O5090" s="86">
        <v>902979</v>
      </c>
      <c r="R5090" s="86" t="str">
        <f>_xlfn.CONCAT(表格1[[#This Row],[Model]]," ",表格1[[#This Row],[inv no]])</f>
        <v>RC-10AMXH(W) 902979</v>
      </c>
      <c r="S5090" s="86">
        <f>_xlfn.XLOOKUP(表格1[[#This Row],[Model]],表格3[Model-Input-Ref2],表格3[SRP PRICE])</f>
        <v>1288</v>
      </c>
      <c r="T5090" s="43">
        <f>表格1[[#This Row],[Unit Price]]/表格1[[#This Row],[SRP]]</f>
        <v>0.76863354037267084</v>
      </c>
      <c r="U5090" s="86" t="str">
        <f>_xlfn.XLOOKUP(表格1[[#This Row],[Model]],表格3[Model-Input-Ref2],表格3[TOSHIBA/HIGHEST])</f>
        <v>Toshiba SRP</v>
      </c>
      <c r="W5090" s="86" t="str">
        <f>_xlfn.CONCAT(表格1[[#This Row],[欄4]],表格1[[#This Row],[inv no]])</f>
        <v>902979</v>
      </c>
    </row>
    <row r="5091" spans="1:23" hidden="1">
      <c r="A5091" s="81">
        <v>5089</v>
      </c>
      <c r="B5091" s="86" t="s">
        <v>1477</v>
      </c>
      <c r="C5091" s="86" t="s">
        <v>1973</v>
      </c>
      <c r="D5091" s="89" t="str">
        <f ca="1">OFFSET(Roster!$A$3,MATCH(表格1[[#This Row],[Location]]&amp;" "&amp;表格1[[#This Row],[Shop]]&amp;"*",Roster!$A$4:$A$72,0),DAY(表格1[[#This Row],[date]]),1,1)</f>
        <v>Tiffany</v>
      </c>
      <c r="E5091" s="86">
        <f>MONTH(表格1[[#This Row],[date]])</f>
        <v>3</v>
      </c>
      <c r="F5091" s="90">
        <v>46105</v>
      </c>
      <c r="G5091" s="86" t="str">
        <f>VLOOKUP("*"&amp;表格1[[#This Row],[Input]]&amp;"*",'Ref-List'!$B:$D,2,)</f>
        <v>RC-10AMXH(W)</v>
      </c>
      <c r="H5091" s="86" t="str">
        <f>_xlfn.XLOOKUP(表格1[[#This Row],[Model]],表格3[Model-Input-Ref2],表格3[Product Line])</f>
        <v>酵活炊電飯煲(1.0公升)</v>
      </c>
      <c r="I5091" s="86" t="str">
        <f>_xlfn.XLOOKUP(表格1[[#This Row],[Model]],表格3[Model-Input-Ref2],表格3[大小電])</f>
        <v>細電</v>
      </c>
      <c r="J5091" s="86" t="str">
        <f>_xlfn.XLOOKUP(表格1[[#This Row],[Model]],表格3[Model-Input-Ref2],表格3[Code])</f>
        <v>SDA</v>
      </c>
      <c r="K5091" s="89" t="s">
        <v>1279</v>
      </c>
      <c r="L5091" s="86">
        <v>1</v>
      </c>
      <c r="M5091" s="87">
        <v>990</v>
      </c>
      <c r="N5091" s="87">
        <f>IFERROR(表格1[[#This Row],[QTY]]*表格1[[#This Row],[Unit Price]],"-")</f>
        <v>990</v>
      </c>
      <c r="O5091" s="86">
        <v>704033</v>
      </c>
      <c r="R5091" s="86" t="str">
        <f>_xlfn.CONCAT(表格1[[#This Row],[Model]]," ",表格1[[#This Row],[inv no]])</f>
        <v>RC-10AMXH(W) 704033</v>
      </c>
      <c r="S5091" s="86">
        <f>_xlfn.XLOOKUP(表格1[[#This Row],[Model]],表格3[Model-Input-Ref2],表格3[SRP PRICE])</f>
        <v>1288</v>
      </c>
      <c r="T5091" s="43">
        <f>表格1[[#This Row],[Unit Price]]/表格1[[#This Row],[SRP]]</f>
        <v>0.76863354037267084</v>
      </c>
      <c r="U5091" s="86" t="str">
        <f>_xlfn.XLOOKUP(表格1[[#This Row],[Model]],表格3[Model-Input-Ref2],表格3[TOSHIBA/HIGHEST])</f>
        <v>Toshiba SRP</v>
      </c>
      <c r="W5091" s="86" t="str">
        <f>_xlfn.CONCAT(表格1[[#This Row],[欄4]],表格1[[#This Row],[inv no]])</f>
        <v>704033</v>
      </c>
    </row>
    <row r="5092" spans="1:23" hidden="1">
      <c r="A5092" s="81">
        <v>5090</v>
      </c>
      <c r="B5092" s="86" t="s">
        <v>1477</v>
      </c>
      <c r="C5092" s="86" t="s">
        <v>1973</v>
      </c>
      <c r="D5092" s="89" t="str">
        <f ca="1">OFFSET(Roster!$A$3,MATCH(表格1[[#This Row],[Location]]&amp;" "&amp;表格1[[#This Row],[Shop]]&amp;"*",Roster!$A$4:$A$72,0),DAY(表格1[[#This Row],[date]]),1,1)</f>
        <v>Tiffany</v>
      </c>
      <c r="E5092" s="86">
        <f>MONTH(表格1[[#This Row],[date]])</f>
        <v>3</v>
      </c>
      <c r="F5092" s="90">
        <v>46106</v>
      </c>
      <c r="G5092" s="86" t="str">
        <f>VLOOKUP("*"&amp;表格1[[#This Row],[Input]]&amp;"*",'Ref-List'!$B:$D,2,)</f>
        <v>RC-18NMFIH(WT)</v>
      </c>
      <c r="H5092" s="86" t="str">
        <f>_xlfn.XLOOKUP(表格1[[#This Row],[Model]],表格3[Model-Input-Ref2],表格3[Product Line])</f>
        <v>4毫米厚釜電飯煲1.8L</v>
      </c>
      <c r="I5092" s="86" t="str">
        <f>_xlfn.XLOOKUP(表格1[[#This Row],[Model]],表格3[Model-Input-Ref2],表格3[大小電])</f>
        <v>細電</v>
      </c>
      <c r="J5092" s="86" t="str">
        <f>_xlfn.XLOOKUP(表格1[[#This Row],[Model]],表格3[Model-Input-Ref2],表格3[Code])</f>
        <v>SDA</v>
      </c>
      <c r="K5092" s="89" t="s">
        <v>1267</v>
      </c>
      <c r="L5092" s="86">
        <v>1</v>
      </c>
      <c r="M5092" s="87">
        <v>799</v>
      </c>
      <c r="N5092" s="87">
        <f>IFERROR(表格1[[#This Row],[QTY]]*表格1[[#This Row],[Unit Price]],"-")</f>
        <v>799</v>
      </c>
      <c r="O5092" s="86">
        <v>805986</v>
      </c>
      <c r="R5092" s="86" t="str">
        <f>_xlfn.CONCAT(表格1[[#This Row],[Model]]," ",表格1[[#This Row],[inv no]])</f>
        <v>RC-18NMFIH(WT) 805986</v>
      </c>
      <c r="S5092" s="86">
        <f>_xlfn.XLOOKUP(表格1[[#This Row],[Model]],表格3[Model-Input-Ref2],表格3[SRP PRICE])</f>
        <v>998</v>
      </c>
      <c r="T5092" s="43">
        <f>表格1[[#This Row],[Unit Price]]/表格1[[#This Row],[SRP]]</f>
        <v>0.80060120240480959</v>
      </c>
      <c r="U5092" s="86" t="str">
        <f>_xlfn.XLOOKUP(表格1[[#This Row],[Model]],表格3[Model-Input-Ref2],表格3[TOSHIBA/HIGHEST])</f>
        <v>Toshiba SRP</v>
      </c>
      <c r="W5092" s="86" t="str">
        <f>_xlfn.CONCAT(表格1[[#This Row],[欄4]],表格1[[#This Row],[inv no]])</f>
        <v>805986</v>
      </c>
    </row>
    <row r="5093" spans="1:23" hidden="1">
      <c r="A5093" s="81">
        <v>5091</v>
      </c>
      <c r="B5093" s="86" t="s">
        <v>1477</v>
      </c>
      <c r="C5093" s="86" t="s">
        <v>1973</v>
      </c>
      <c r="D5093" s="89" t="str">
        <f ca="1">OFFSET(Roster!$A$3,MATCH(表格1[[#This Row],[Location]]&amp;" "&amp;表格1[[#This Row],[Shop]]&amp;"*",Roster!$A$4:$A$72,0),DAY(表格1[[#This Row],[date]]),1,1)</f>
        <v>Tiffany</v>
      </c>
      <c r="E5093" s="86">
        <f>MONTH(表格1[[#This Row],[date]])</f>
        <v>3</v>
      </c>
      <c r="F5093" s="90">
        <v>46106</v>
      </c>
      <c r="G5093" s="86" t="str">
        <f>VLOOKUP("*"&amp;表格1[[#This Row],[Input]]&amp;"*",'Ref-List'!$B:$D,2,)</f>
        <v>RC-18AMXH(W)</v>
      </c>
      <c r="H5093" s="86" t="str">
        <f>_xlfn.XLOOKUP(表格1[[#This Row],[Model]],表格3[Model-Input-Ref2],表格3[Product Line])</f>
        <v>酵活炊電飯煲(1.8公升)</v>
      </c>
      <c r="I5093" s="86" t="str">
        <f>_xlfn.XLOOKUP(表格1[[#This Row],[Model]],表格3[Model-Input-Ref2],表格3[大小電])</f>
        <v>細電</v>
      </c>
      <c r="J5093" s="86" t="str">
        <f>_xlfn.XLOOKUP(表格1[[#This Row],[Model]],表格3[Model-Input-Ref2],表格3[Code])</f>
        <v>SDA</v>
      </c>
      <c r="K5093" s="89" t="s">
        <v>1362</v>
      </c>
      <c r="L5093" s="86">
        <v>1</v>
      </c>
      <c r="M5093" s="87">
        <v>990</v>
      </c>
      <c r="N5093" s="87">
        <f>IFERROR(表格1[[#This Row],[QTY]]*表格1[[#This Row],[Unit Price]],"-")</f>
        <v>990</v>
      </c>
      <c r="O5093" s="86">
        <v>805954</v>
      </c>
      <c r="R5093" s="86" t="str">
        <f>_xlfn.CONCAT(表格1[[#This Row],[Model]]," ",表格1[[#This Row],[inv no]])</f>
        <v>RC-18AMXH(W) 805954</v>
      </c>
      <c r="S5093" s="86">
        <f>_xlfn.XLOOKUP(表格1[[#This Row],[Model]],表格3[Model-Input-Ref2],表格3[SRP PRICE])</f>
        <v>1588</v>
      </c>
      <c r="T5093" s="43">
        <f>表格1[[#This Row],[Unit Price]]/表格1[[#This Row],[SRP]]</f>
        <v>0.62342569269521408</v>
      </c>
      <c r="U5093" s="86" t="str">
        <f>_xlfn.XLOOKUP(表格1[[#This Row],[Model]],表格3[Model-Input-Ref2],表格3[TOSHIBA/HIGHEST])</f>
        <v>Toshiba SRP</v>
      </c>
      <c r="W5093" s="86" t="str">
        <f>_xlfn.CONCAT(表格1[[#This Row],[欄4]],表格1[[#This Row],[inv no]])</f>
        <v>805954</v>
      </c>
    </row>
    <row r="5094" spans="1:23" hidden="1">
      <c r="A5094" s="81">
        <v>5092</v>
      </c>
      <c r="B5094" s="86" t="s">
        <v>1477</v>
      </c>
      <c r="C5094" s="86" t="s">
        <v>1973</v>
      </c>
      <c r="D5094" s="89" t="str">
        <f ca="1">OFFSET(Roster!$A$3,MATCH(表格1[[#This Row],[Location]]&amp;" "&amp;表格1[[#This Row],[Shop]]&amp;"*",Roster!$A$4:$A$72,0),DAY(表格1[[#This Row],[date]]),1,1)</f>
        <v>Tiffany</v>
      </c>
      <c r="E5094" s="86">
        <f>MONTH(表格1[[#This Row],[date]])</f>
        <v>3</v>
      </c>
      <c r="F5094" s="90">
        <v>46106</v>
      </c>
      <c r="G5094" s="86" t="str">
        <f>VLOOKUP("*"&amp;表格1[[#This Row],[Input]]&amp;"*",'Ref-List'!$B:$D,2,)</f>
        <v>RC-6PXTHK(W)</v>
      </c>
      <c r="H5094" s="86" t="str">
        <f>_xlfn.XLOOKUP(表格1[[#This Row],[Model]],表格3[Model-Input-Ref2],表格3[Product Line])</f>
        <v>迷你壓力磁應電飯煲(0.63公升)</v>
      </c>
      <c r="I5094" s="86" t="str">
        <f>_xlfn.XLOOKUP(表格1[[#This Row],[Model]],表格3[Model-Input-Ref2],表格3[大小電])</f>
        <v>細電</v>
      </c>
      <c r="J5094" s="86" t="str">
        <f>_xlfn.XLOOKUP(表格1[[#This Row],[Model]],表格3[Model-Input-Ref2],表格3[Code])</f>
        <v>SDA</v>
      </c>
      <c r="K5094" s="89" t="s">
        <v>1494</v>
      </c>
      <c r="L5094" s="86">
        <v>1</v>
      </c>
      <c r="M5094" s="87">
        <v>938</v>
      </c>
      <c r="N5094" s="87">
        <f>IFERROR(表格1[[#This Row],[QTY]]*表格1[[#This Row],[Unit Price]],"-")</f>
        <v>938</v>
      </c>
      <c r="O5094" s="86">
        <v>805947</v>
      </c>
      <c r="R5094" s="86" t="str">
        <f>_xlfn.CONCAT(表格1[[#This Row],[Model]]," ",表格1[[#This Row],[inv no]])</f>
        <v>RC-6PXTHK(W) 805947</v>
      </c>
      <c r="S5094" s="86">
        <f>_xlfn.XLOOKUP(表格1[[#This Row],[Model]],表格3[Model-Input-Ref2],表格3[SRP PRICE])</f>
        <v>1398</v>
      </c>
      <c r="T5094" s="43">
        <f>表格1[[#This Row],[Unit Price]]/表格1[[#This Row],[SRP]]</f>
        <v>0.67095851216022895</v>
      </c>
      <c r="U5094" s="86" t="str">
        <f>_xlfn.XLOOKUP(表格1[[#This Row],[Model]],表格3[Model-Input-Ref2],表格3[TOSHIBA/HIGHEST])</f>
        <v>Toshiba SRP</v>
      </c>
      <c r="W5094" s="86" t="str">
        <f>_xlfn.CONCAT(表格1[[#This Row],[欄4]],表格1[[#This Row],[inv no]])</f>
        <v>805947</v>
      </c>
    </row>
    <row r="5095" spans="1:23" hidden="1">
      <c r="A5095" s="81">
        <v>5093</v>
      </c>
      <c r="B5095" s="86" t="s">
        <v>1477</v>
      </c>
      <c r="C5095" s="86" t="s">
        <v>1973</v>
      </c>
      <c r="D5095" s="89" t="str">
        <f ca="1">OFFSET(Roster!$A$3,MATCH(表格1[[#This Row],[Location]]&amp;" "&amp;表格1[[#This Row],[Shop]]&amp;"*",Roster!$A$4:$A$72,0),DAY(表格1[[#This Row],[date]]),1,1)</f>
        <v>Tiffany</v>
      </c>
      <c r="E5095" s="86">
        <f>MONTH(表格1[[#This Row],[date]])</f>
        <v>3</v>
      </c>
      <c r="F5095" s="90">
        <v>46106</v>
      </c>
      <c r="G5095" s="86" t="str">
        <f>VLOOKUP("*"&amp;表格1[[#This Row],[Input]]&amp;"*",'Ref-List'!$B:$D,2,)</f>
        <v>RC-10IRPH</v>
      </c>
      <c r="H5095" s="86" t="str">
        <f>_xlfn.XLOOKUP(表格1[[#This Row],[Model]],表格3[Model-Input-Ref2],表格3[Product Line])</f>
        <v>低醣磁應電飯煲1L</v>
      </c>
      <c r="I5095" s="86" t="str">
        <f>_xlfn.XLOOKUP(表格1[[#This Row],[Model]],表格3[Model-Input-Ref2],表格3[大小電])</f>
        <v>細電</v>
      </c>
      <c r="J5095" s="86" t="str">
        <f>_xlfn.XLOOKUP(表格1[[#This Row],[Model]],表格3[Model-Input-Ref2],表格3[Code])</f>
        <v>SDA</v>
      </c>
      <c r="K5095" s="89" t="s">
        <v>1297</v>
      </c>
      <c r="L5095" s="86">
        <v>1</v>
      </c>
      <c r="M5095" s="87">
        <v>798</v>
      </c>
      <c r="N5095" s="87">
        <f>IFERROR(表格1[[#This Row],[QTY]]*表格1[[#This Row],[Unit Price]],"-")</f>
        <v>798</v>
      </c>
      <c r="O5095" s="86">
        <v>805988</v>
      </c>
      <c r="R5095" s="86" t="str">
        <f>_xlfn.CONCAT(表格1[[#This Row],[Model]]," ",表格1[[#This Row],[inv no]])</f>
        <v>RC-10IRPH 805988</v>
      </c>
      <c r="S5095" s="86">
        <f>_xlfn.XLOOKUP(表格1[[#This Row],[Model]],表格3[Model-Input-Ref2],表格3[SRP PRICE])</f>
        <v>1388</v>
      </c>
      <c r="T5095" s="43">
        <f>表格1[[#This Row],[Unit Price]]/表格1[[#This Row],[SRP]]</f>
        <v>0.5749279538904899</v>
      </c>
      <c r="U5095" s="86" t="str">
        <f>_xlfn.XLOOKUP(表格1[[#This Row],[Model]],表格3[Model-Input-Ref2],表格3[TOSHIBA/HIGHEST])</f>
        <v>Toshiba SRP</v>
      </c>
      <c r="W5095" s="86" t="str">
        <f>_xlfn.CONCAT(表格1[[#This Row],[欄4]],表格1[[#This Row],[inv no]])</f>
        <v>805988</v>
      </c>
    </row>
    <row r="5096" spans="1:23" hidden="1">
      <c r="A5096" s="81">
        <v>5094</v>
      </c>
      <c r="B5096" s="86" t="s">
        <v>1477</v>
      </c>
      <c r="C5096" s="86" t="s">
        <v>1973</v>
      </c>
      <c r="D5096" s="89" t="str">
        <f ca="1">OFFSET(Roster!$A$3,MATCH(表格1[[#This Row],[Location]]&amp;" "&amp;表格1[[#This Row],[Shop]]&amp;"*",Roster!$A$4:$A$72,0),DAY(表格1[[#This Row],[date]]),1,1)</f>
        <v>Tiffany</v>
      </c>
      <c r="E5096" s="86">
        <f>MONTH(表格1[[#This Row],[date]])</f>
        <v>3</v>
      </c>
      <c r="F5096" s="90">
        <v>46106</v>
      </c>
      <c r="G5096" s="86" t="str">
        <f>VLOOKUP("*"&amp;表格1[[#This Row],[Input]]&amp;"*",'Ref-List'!$B:$D,2,)</f>
        <v>KT-15DRTHK(W)</v>
      </c>
      <c r="H5096" s="86" t="str">
        <f>_xlfn.XLOOKUP(表格1[[#This Row],[Model]],表格3[Model-Input-Ref2],表格3[Product Line])</f>
        <v>無線雙層電熱水壺-附可鎖壺蓋</v>
      </c>
      <c r="I5096" s="86" t="str">
        <f>_xlfn.XLOOKUP(表格1[[#This Row],[Model]],表格3[Model-Input-Ref2],表格3[大小電])</f>
        <v>細電</v>
      </c>
      <c r="J5096" s="86" t="str">
        <f>_xlfn.XLOOKUP(表格1[[#This Row],[Model]],表格3[Model-Input-Ref2],表格3[Code])</f>
        <v>SDA</v>
      </c>
      <c r="K5096" s="89" t="s">
        <v>1278</v>
      </c>
      <c r="L5096" s="86">
        <v>1</v>
      </c>
      <c r="M5096" s="87">
        <v>358</v>
      </c>
      <c r="N5096" s="87">
        <f>IFERROR(表格1[[#This Row],[QTY]]*表格1[[#This Row],[Unit Price]],"-")</f>
        <v>358</v>
      </c>
      <c r="O5096" s="86">
        <v>903030</v>
      </c>
      <c r="R5096" s="86" t="str">
        <f>_xlfn.CONCAT(表格1[[#This Row],[Model]]," ",表格1[[#This Row],[inv no]])</f>
        <v>KT-15DRTHK(W) 903030</v>
      </c>
      <c r="S5096" s="86">
        <f>_xlfn.XLOOKUP(表格1[[#This Row],[Model]],表格3[Model-Input-Ref2],表格3[SRP PRICE])</f>
        <v>598</v>
      </c>
      <c r="T5096" s="43">
        <f>表格1[[#This Row],[Unit Price]]/表格1[[#This Row],[SRP]]</f>
        <v>0.59866220735785958</v>
      </c>
      <c r="U5096" s="86" t="str">
        <f>_xlfn.XLOOKUP(表格1[[#This Row],[Model]],表格3[Model-Input-Ref2],表格3[TOSHIBA/HIGHEST])</f>
        <v>Toshiba SRP</v>
      </c>
      <c r="W5096" s="86" t="str">
        <f>_xlfn.CONCAT(表格1[[#This Row],[欄4]],表格1[[#This Row],[inv no]])</f>
        <v>903030</v>
      </c>
    </row>
    <row r="5097" spans="1:23" hidden="1">
      <c r="A5097" s="81">
        <v>5095</v>
      </c>
      <c r="B5097" s="86" t="s">
        <v>1477</v>
      </c>
      <c r="C5097" s="86" t="s">
        <v>1973</v>
      </c>
      <c r="D5097" s="89" t="str">
        <f ca="1">OFFSET(Roster!$A$3,MATCH(表格1[[#This Row],[Location]]&amp;" "&amp;表格1[[#This Row],[Shop]]&amp;"*",Roster!$A$4:$A$72,0),DAY(表格1[[#This Row],[date]]),1,1)</f>
        <v>Tiffany</v>
      </c>
      <c r="E5097" s="86">
        <f>MONTH(表格1[[#This Row],[date]])</f>
        <v>3</v>
      </c>
      <c r="F5097" s="90">
        <v>46106</v>
      </c>
      <c r="G5097" s="86" t="str">
        <f>VLOOKUP("*"&amp;表格1[[#This Row],[Input]]&amp;"*",'Ref-List'!$B:$D,2,)</f>
        <v>MW3-SAC24SE(BK)</v>
      </c>
      <c r="H5097" s="86" t="str">
        <f>_xlfn.XLOOKUP(表格1[[#This Row],[Model]],表格3[Model-Input-Ref2],表格3[Product Line])</f>
        <v>智能氣炸烤焗爐(24公升)</v>
      </c>
      <c r="I5097" s="86" t="str">
        <f>_xlfn.XLOOKUP(表格1[[#This Row],[Model]],表格3[Model-Input-Ref2],表格3[大小電])</f>
        <v>細電</v>
      </c>
      <c r="J5097" s="86" t="str">
        <f>_xlfn.XLOOKUP(表格1[[#This Row],[Model]],表格3[Model-Input-Ref2],表格3[Code])</f>
        <v>MCA</v>
      </c>
      <c r="K5097" s="89" t="s">
        <v>1274</v>
      </c>
      <c r="L5097" s="86">
        <v>1</v>
      </c>
      <c r="M5097" s="87">
        <v>1249</v>
      </c>
      <c r="N5097" s="87">
        <f>IFERROR(表格1[[#This Row],[QTY]]*表格1[[#This Row],[Unit Price]],"-")</f>
        <v>1249</v>
      </c>
      <c r="O5097" s="86">
        <v>903052</v>
      </c>
      <c r="R5097" s="86" t="str">
        <f>_xlfn.CONCAT(表格1[[#This Row],[Model]]," ",表格1[[#This Row],[inv no]])</f>
        <v>MW3-SAC24SE(BK) 903052</v>
      </c>
      <c r="S5097" s="86">
        <f>_xlfn.XLOOKUP(表格1[[#This Row],[Model]],表格3[Model-Input-Ref2],表格3[SRP PRICE])</f>
        <v>1680</v>
      </c>
      <c r="T5097" s="43">
        <f>表格1[[#This Row],[Unit Price]]/表格1[[#This Row],[SRP]]</f>
        <v>0.74345238095238098</v>
      </c>
      <c r="U5097" s="86" t="str">
        <f>_xlfn.XLOOKUP(表格1[[#This Row],[Model]],表格3[Model-Input-Ref2],表格3[TOSHIBA/HIGHEST])</f>
        <v>Toshiba SRP</v>
      </c>
      <c r="W5097" s="86" t="str">
        <f>_xlfn.CONCAT(表格1[[#This Row],[欄4]],表格1[[#This Row],[inv no]])</f>
        <v>903052</v>
      </c>
    </row>
    <row r="5098" spans="1:23" hidden="1">
      <c r="A5098" s="81">
        <v>5096</v>
      </c>
      <c r="B5098" s="86" t="s">
        <v>1477</v>
      </c>
      <c r="C5098" s="86" t="s">
        <v>1973</v>
      </c>
      <c r="D5098" s="89" t="str">
        <f ca="1">OFFSET(Roster!$A$3,MATCH(表格1[[#This Row],[Location]]&amp;" "&amp;表格1[[#This Row],[Shop]]&amp;"*",Roster!$A$4:$A$72,0),DAY(表格1[[#This Row],[date]]),1,1)</f>
        <v>Tiffany</v>
      </c>
      <c r="E5098" s="86">
        <f>MONTH(表格1[[#This Row],[date]])</f>
        <v>3</v>
      </c>
      <c r="F5098" s="90">
        <v>46107</v>
      </c>
      <c r="G5098" s="86" t="str">
        <f>VLOOKUP("*"&amp;表格1[[#This Row],[Input]]&amp;"*",'Ref-List'!$B:$D,2,)</f>
        <v>AW-Q800APH(WW)</v>
      </c>
      <c r="H5098" s="86" t="str">
        <f>_xlfn.XLOOKUP(表格1[[#This Row],[Model]],表格3[Model-Input-Ref2],表格3[Product Line])</f>
        <v>日式洗衣機 (7公斤 結合高低水位)</v>
      </c>
      <c r="I5098" s="86" t="str">
        <f>_xlfn.XLOOKUP(表格1[[#This Row],[Model]],表格3[Model-Input-Ref2],表格3[大小電])</f>
        <v>大電</v>
      </c>
      <c r="J5098" s="86" t="str">
        <f>_xlfn.XLOOKUP(表格1[[#This Row],[Model]],表格3[Model-Input-Ref2],表格3[Code])</f>
        <v>LAD</v>
      </c>
      <c r="K5098" s="89" t="s">
        <v>1479</v>
      </c>
      <c r="L5098" s="86">
        <v>1</v>
      </c>
      <c r="M5098" s="87">
        <v>1980</v>
      </c>
      <c r="N5098" s="87">
        <f>IFERROR(表格1[[#This Row],[QTY]]*表格1[[#This Row],[Unit Price]],"-")</f>
        <v>1980</v>
      </c>
      <c r="O5098" s="86">
        <v>806008</v>
      </c>
      <c r="R5098" s="86" t="str">
        <f>_xlfn.CONCAT(表格1[[#This Row],[Model]]," ",表格1[[#This Row],[inv no]])</f>
        <v>AW-Q800APH(WW) 806008</v>
      </c>
      <c r="S5098" s="86">
        <f>_xlfn.XLOOKUP(表格1[[#This Row],[Model]],表格3[Model-Input-Ref2],表格3[SRP PRICE])</f>
        <v>3580</v>
      </c>
      <c r="T5098" s="43">
        <f>表格1[[#This Row],[Unit Price]]/表格1[[#This Row],[SRP]]</f>
        <v>0.55307262569832405</v>
      </c>
      <c r="U5098" s="86" t="str">
        <f>_xlfn.XLOOKUP(表格1[[#This Row],[Model]],表格3[Model-Input-Ref2],表格3[TOSHIBA/HIGHEST])</f>
        <v>Toshiba SRP</v>
      </c>
      <c r="W5098" s="86" t="str">
        <f>_xlfn.CONCAT(表格1[[#This Row],[欄4]],表格1[[#This Row],[inv no]])</f>
        <v>806008</v>
      </c>
    </row>
    <row r="5099" spans="1:23" hidden="1">
      <c r="A5099" s="81">
        <v>5097</v>
      </c>
      <c r="B5099" s="86" t="s">
        <v>1477</v>
      </c>
      <c r="C5099" s="86" t="s">
        <v>1973</v>
      </c>
      <c r="D5099" s="89" t="str">
        <f ca="1">OFFSET(Roster!$A$3,MATCH(表格1[[#This Row],[Location]]&amp;" "&amp;表格1[[#This Row],[Shop]]&amp;"*",Roster!$A$4:$A$72,0),DAY(表格1[[#This Row],[date]]),1,1)</f>
        <v>Tiffany</v>
      </c>
      <c r="E5099" s="86">
        <f>MONTH(表格1[[#This Row],[date]])</f>
        <v>3</v>
      </c>
      <c r="F5099" s="90">
        <v>46107</v>
      </c>
      <c r="G5099" s="86" t="str">
        <f>VLOOKUP("*"&amp;表格1[[#This Row],[Input]]&amp;"*",'Ref-List'!$B:$D,2,)</f>
        <v>AW-Q800APH(WW)</v>
      </c>
      <c r="H5099" s="86" t="str">
        <f>_xlfn.XLOOKUP(表格1[[#This Row],[Model]],表格3[Model-Input-Ref2],表格3[Product Line])</f>
        <v>日式洗衣機 (7公斤 結合高低水位)</v>
      </c>
      <c r="I5099" s="86" t="str">
        <f>_xlfn.XLOOKUP(表格1[[#This Row],[Model]],表格3[Model-Input-Ref2],表格3[大小電])</f>
        <v>大電</v>
      </c>
      <c r="J5099" s="86" t="str">
        <f>_xlfn.XLOOKUP(表格1[[#This Row],[Model]],表格3[Model-Input-Ref2],表格3[Code])</f>
        <v>LAD</v>
      </c>
      <c r="K5099" s="89" t="s">
        <v>1479</v>
      </c>
      <c r="L5099" s="86">
        <v>1</v>
      </c>
      <c r="M5099" s="87">
        <v>1980</v>
      </c>
      <c r="N5099" s="87">
        <f>IFERROR(表格1[[#This Row],[QTY]]*表格1[[#This Row],[Unit Price]],"-")</f>
        <v>1980</v>
      </c>
      <c r="O5099" s="86">
        <v>806032</v>
      </c>
      <c r="R5099" s="86" t="str">
        <f>_xlfn.CONCAT(表格1[[#This Row],[Model]]," ",表格1[[#This Row],[inv no]])</f>
        <v>AW-Q800APH(WW) 806032</v>
      </c>
      <c r="S5099" s="86">
        <f>_xlfn.XLOOKUP(表格1[[#This Row],[Model]],表格3[Model-Input-Ref2],表格3[SRP PRICE])</f>
        <v>3580</v>
      </c>
      <c r="T5099" s="43">
        <f>表格1[[#This Row],[Unit Price]]/表格1[[#This Row],[SRP]]</f>
        <v>0.55307262569832405</v>
      </c>
      <c r="U5099" s="86" t="str">
        <f>_xlfn.XLOOKUP(表格1[[#This Row],[Model]],表格3[Model-Input-Ref2],表格3[TOSHIBA/HIGHEST])</f>
        <v>Toshiba SRP</v>
      </c>
      <c r="W5099" s="86" t="str">
        <f>_xlfn.CONCAT(表格1[[#This Row],[欄4]],表格1[[#This Row],[inv no]])</f>
        <v>806032</v>
      </c>
    </row>
    <row r="5100" spans="1:23" hidden="1">
      <c r="A5100" s="81">
        <v>5098</v>
      </c>
      <c r="B5100" s="86" t="s">
        <v>1477</v>
      </c>
      <c r="C5100" s="86" t="s">
        <v>1973</v>
      </c>
      <c r="D5100" s="89" t="str">
        <f ca="1">OFFSET(Roster!$A$3,MATCH(表格1[[#This Row],[Location]]&amp;" "&amp;表格1[[#This Row],[Shop]]&amp;"*",Roster!$A$4:$A$72,0),DAY(表格1[[#This Row],[date]]),1,1)</f>
        <v>Tiffany</v>
      </c>
      <c r="E5100" s="86">
        <f>MONTH(表格1[[#This Row],[date]])</f>
        <v>3</v>
      </c>
      <c r="F5100" s="90">
        <v>46107</v>
      </c>
      <c r="G5100" s="86" t="str">
        <f>VLOOKUP("*"&amp;表格1[[#This Row],[Input]]&amp;"*",'Ref-List'!$B:$D,2,)</f>
        <v>AW-Q800APH(WW)</v>
      </c>
      <c r="H5100" s="86" t="str">
        <f>_xlfn.XLOOKUP(表格1[[#This Row],[Model]],表格3[Model-Input-Ref2],表格3[Product Line])</f>
        <v>日式洗衣機 (7公斤 結合高低水位)</v>
      </c>
      <c r="I5100" s="86" t="str">
        <f>_xlfn.XLOOKUP(表格1[[#This Row],[Model]],表格3[Model-Input-Ref2],表格3[大小電])</f>
        <v>大電</v>
      </c>
      <c r="J5100" s="86" t="str">
        <f>_xlfn.XLOOKUP(表格1[[#This Row],[Model]],表格3[Model-Input-Ref2],表格3[Code])</f>
        <v>LAD</v>
      </c>
      <c r="K5100" s="89" t="s">
        <v>1479</v>
      </c>
      <c r="L5100" s="86">
        <v>1</v>
      </c>
      <c r="M5100" s="87">
        <v>1980</v>
      </c>
      <c r="N5100" s="87">
        <f>IFERROR(表格1[[#This Row],[QTY]]*表格1[[#This Row],[Unit Price]],"-")</f>
        <v>1980</v>
      </c>
      <c r="O5100" s="86">
        <v>806035</v>
      </c>
      <c r="R5100" s="86" t="str">
        <f>_xlfn.CONCAT(表格1[[#This Row],[Model]]," ",表格1[[#This Row],[inv no]])</f>
        <v>AW-Q800APH(WW) 806035</v>
      </c>
      <c r="S5100" s="86">
        <f>_xlfn.XLOOKUP(表格1[[#This Row],[Model]],表格3[Model-Input-Ref2],表格3[SRP PRICE])</f>
        <v>3580</v>
      </c>
      <c r="T5100" s="43">
        <f>表格1[[#This Row],[Unit Price]]/表格1[[#This Row],[SRP]]</f>
        <v>0.55307262569832405</v>
      </c>
      <c r="U5100" s="86" t="str">
        <f>_xlfn.XLOOKUP(表格1[[#This Row],[Model]],表格3[Model-Input-Ref2],表格3[TOSHIBA/HIGHEST])</f>
        <v>Toshiba SRP</v>
      </c>
      <c r="W5100" s="86" t="str">
        <f>_xlfn.CONCAT(表格1[[#This Row],[欄4]],表格1[[#This Row],[inv no]])</f>
        <v>806035</v>
      </c>
    </row>
    <row r="5101" spans="1:23" hidden="1">
      <c r="A5101" s="81">
        <v>5099</v>
      </c>
      <c r="B5101" s="86" t="s">
        <v>1477</v>
      </c>
      <c r="C5101" s="86" t="s">
        <v>1973</v>
      </c>
      <c r="D5101" s="89" t="str">
        <f ca="1">OFFSET(Roster!$A$3,MATCH(表格1[[#This Row],[Location]]&amp;" "&amp;表格1[[#This Row],[Shop]]&amp;"*",Roster!$A$4:$A$72,0),DAY(表格1[[#This Row],[date]]),1,1)</f>
        <v>Tiffany</v>
      </c>
      <c r="E5101" s="86">
        <f>MONTH(表格1[[#This Row],[date]])</f>
        <v>3</v>
      </c>
      <c r="F5101" s="90">
        <v>46107</v>
      </c>
      <c r="G5101" s="86" t="str">
        <f>VLOOKUP("*"&amp;表格1[[#This Row],[Input]]&amp;"*",'Ref-List'!$B:$D,2,)</f>
        <v>AW-Q800APH(WW)</v>
      </c>
      <c r="H5101" s="86" t="str">
        <f>_xlfn.XLOOKUP(表格1[[#This Row],[Model]],表格3[Model-Input-Ref2],表格3[Product Line])</f>
        <v>日式洗衣機 (7公斤 結合高低水位)</v>
      </c>
      <c r="I5101" s="86" t="str">
        <f>_xlfn.XLOOKUP(表格1[[#This Row],[Model]],表格3[Model-Input-Ref2],表格3[大小電])</f>
        <v>大電</v>
      </c>
      <c r="J5101" s="86" t="str">
        <f>_xlfn.XLOOKUP(表格1[[#This Row],[Model]],表格3[Model-Input-Ref2],表格3[Code])</f>
        <v>LAD</v>
      </c>
      <c r="K5101" s="89" t="s">
        <v>1479</v>
      </c>
      <c r="L5101" s="86">
        <v>1</v>
      </c>
      <c r="M5101" s="87">
        <v>1980</v>
      </c>
      <c r="N5101" s="87">
        <f>IFERROR(表格1[[#This Row],[QTY]]*表格1[[#This Row],[Unit Price]],"-")</f>
        <v>1980</v>
      </c>
      <c r="O5101" s="86">
        <v>806061</v>
      </c>
      <c r="R5101" s="86" t="str">
        <f>_xlfn.CONCAT(表格1[[#This Row],[Model]]," ",表格1[[#This Row],[inv no]])</f>
        <v>AW-Q800APH(WW) 806061</v>
      </c>
      <c r="S5101" s="86">
        <f>_xlfn.XLOOKUP(表格1[[#This Row],[Model]],表格3[Model-Input-Ref2],表格3[SRP PRICE])</f>
        <v>3580</v>
      </c>
      <c r="T5101" s="43">
        <f>表格1[[#This Row],[Unit Price]]/表格1[[#This Row],[SRP]]</f>
        <v>0.55307262569832405</v>
      </c>
      <c r="U5101" s="86" t="str">
        <f>_xlfn.XLOOKUP(表格1[[#This Row],[Model]],表格3[Model-Input-Ref2],表格3[TOSHIBA/HIGHEST])</f>
        <v>Toshiba SRP</v>
      </c>
      <c r="W5101" s="86" t="str">
        <f>_xlfn.CONCAT(表格1[[#This Row],[欄4]],表格1[[#This Row],[inv no]])</f>
        <v>806061</v>
      </c>
    </row>
    <row r="5102" spans="1:23" hidden="1">
      <c r="A5102" s="81">
        <v>5100</v>
      </c>
      <c r="B5102" s="86" t="s">
        <v>1477</v>
      </c>
      <c r="C5102" s="86" t="s">
        <v>1973</v>
      </c>
      <c r="D5102" s="89" t="str">
        <f ca="1">OFFSET(Roster!$A$3,MATCH(表格1[[#This Row],[Location]]&amp;" "&amp;表格1[[#This Row],[Shop]]&amp;"*",Roster!$A$4:$A$72,0),DAY(表格1[[#This Row],[date]]),1,1)</f>
        <v>Tiffany</v>
      </c>
      <c r="E5102" s="86">
        <f>MONTH(表格1[[#This Row],[date]])</f>
        <v>3</v>
      </c>
      <c r="F5102" s="90">
        <v>46107</v>
      </c>
      <c r="G5102" s="86" t="str">
        <f>VLOOKUP("*"&amp;表格1[[#This Row],[Input]]&amp;"*",'Ref-List'!$B:$D,2,)</f>
        <v>AW-Q800APH(WW)</v>
      </c>
      <c r="H5102" s="86" t="str">
        <f>_xlfn.XLOOKUP(表格1[[#This Row],[Model]],表格3[Model-Input-Ref2],表格3[Product Line])</f>
        <v>日式洗衣機 (7公斤 結合高低水位)</v>
      </c>
      <c r="I5102" s="86" t="str">
        <f>_xlfn.XLOOKUP(表格1[[#This Row],[Model]],表格3[Model-Input-Ref2],表格3[大小電])</f>
        <v>大電</v>
      </c>
      <c r="J5102" s="86" t="str">
        <f>_xlfn.XLOOKUP(表格1[[#This Row],[Model]],表格3[Model-Input-Ref2],表格3[Code])</f>
        <v>LAD</v>
      </c>
      <c r="K5102" s="89" t="s">
        <v>1479</v>
      </c>
      <c r="L5102" s="86">
        <v>1</v>
      </c>
      <c r="M5102" s="87">
        <v>1980</v>
      </c>
      <c r="N5102" s="87">
        <f>IFERROR(表格1[[#This Row],[QTY]]*表格1[[#This Row],[Unit Price]],"-")</f>
        <v>1980</v>
      </c>
      <c r="O5102" s="86">
        <v>903101</v>
      </c>
      <c r="R5102" s="86" t="str">
        <f>_xlfn.CONCAT(表格1[[#This Row],[Model]]," ",表格1[[#This Row],[inv no]])</f>
        <v>AW-Q800APH(WW) 903101</v>
      </c>
      <c r="S5102" s="86">
        <f>_xlfn.XLOOKUP(表格1[[#This Row],[Model]],表格3[Model-Input-Ref2],表格3[SRP PRICE])</f>
        <v>3580</v>
      </c>
      <c r="T5102" s="43">
        <f>表格1[[#This Row],[Unit Price]]/表格1[[#This Row],[SRP]]</f>
        <v>0.55307262569832405</v>
      </c>
      <c r="U5102" s="86" t="str">
        <f>_xlfn.XLOOKUP(表格1[[#This Row],[Model]],表格3[Model-Input-Ref2],表格3[TOSHIBA/HIGHEST])</f>
        <v>Toshiba SRP</v>
      </c>
      <c r="W5102" s="86" t="str">
        <f>_xlfn.CONCAT(表格1[[#This Row],[欄4]],表格1[[#This Row],[inv no]])</f>
        <v>903101</v>
      </c>
    </row>
    <row r="5103" spans="1:23" hidden="1">
      <c r="A5103" s="81">
        <v>5101</v>
      </c>
      <c r="B5103" s="86" t="s">
        <v>1477</v>
      </c>
      <c r="C5103" s="86" t="s">
        <v>1973</v>
      </c>
      <c r="D5103" s="89" t="str">
        <f ca="1">OFFSET(Roster!$A$3,MATCH(表格1[[#This Row],[Location]]&amp;" "&amp;表格1[[#This Row],[Shop]]&amp;"*",Roster!$A$4:$A$72,0),DAY(表格1[[#This Row],[date]]),1,1)</f>
        <v>Tiffany</v>
      </c>
      <c r="E5103" s="86">
        <f>MONTH(表格1[[#This Row],[date]])</f>
        <v>3</v>
      </c>
      <c r="F5103" s="90">
        <v>46107</v>
      </c>
      <c r="G5103" s="86" t="str">
        <f>VLOOKUP("*"&amp;表格1[[#This Row],[Input]]&amp;"*",'Ref-List'!$B:$D,2,)</f>
        <v>TW-T22BU95UWH(WK)-B</v>
      </c>
      <c r="H5103" s="86" t="str">
        <f>_xlfn.XLOOKUP(表格1[[#This Row],[Model]],表格3[Model-Input-Ref2],表格3[Product Line])</f>
        <v>470MM超薄身前置式變頻洗衣機(8.5公斤, 可飛頂)</v>
      </c>
      <c r="I5103" s="86" t="str">
        <f>_xlfn.XLOOKUP(表格1[[#This Row],[Model]],表格3[Model-Input-Ref2],表格3[大小電])</f>
        <v>大電</v>
      </c>
      <c r="J5103" s="86" t="str">
        <f>_xlfn.XLOOKUP(表格1[[#This Row],[Model]],表格3[Model-Input-Ref2],表格3[Code])</f>
        <v>LAD</v>
      </c>
      <c r="K5103" s="89" t="s">
        <v>969</v>
      </c>
      <c r="L5103" s="86">
        <v>1</v>
      </c>
      <c r="M5103" s="87">
        <v>3690</v>
      </c>
      <c r="N5103" s="87">
        <f>IFERROR(表格1[[#This Row],[QTY]]*表格1[[#This Row],[Unit Price]],"-")</f>
        <v>3690</v>
      </c>
      <c r="O5103" s="86">
        <v>805990</v>
      </c>
      <c r="R5103" s="86" t="str">
        <f>_xlfn.CONCAT(表格1[[#This Row],[Model]]," ",表格1[[#This Row],[inv no]])</f>
        <v>TW-T22BU95UWH(WK)-B 805990</v>
      </c>
      <c r="S5103" s="86">
        <f>_xlfn.XLOOKUP(表格1[[#This Row],[Model]],表格3[Model-Input-Ref2],表格3[SRP PRICE])</f>
        <v>5880</v>
      </c>
      <c r="T5103" s="43">
        <f>表格1[[#This Row],[Unit Price]]/表格1[[#This Row],[SRP]]</f>
        <v>0.62755102040816324</v>
      </c>
      <c r="U5103" s="86" t="str">
        <f>_xlfn.XLOOKUP(表格1[[#This Row],[Model]],表格3[Model-Input-Ref2],表格3[TOSHIBA/HIGHEST])</f>
        <v>Toshiba SRP</v>
      </c>
      <c r="W5103" s="86" t="str">
        <f>_xlfn.CONCAT(表格1[[#This Row],[欄4]],表格1[[#This Row],[inv no]])</f>
        <v>805990</v>
      </c>
    </row>
    <row r="5104" spans="1:23" hidden="1">
      <c r="A5104" s="81">
        <v>5102</v>
      </c>
      <c r="B5104" s="86" t="s">
        <v>1477</v>
      </c>
      <c r="C5104" s="86" t="s">
        <v>1973</v>
      </c>
      <c r="D5104" s="89" t="str">
        <f ca="1">OFFSET(Roster!$A$3,MATCH(表格1[[#This Row],[Location]]&amp;" "&amp;表格1[[#This Row],[Shop]]&amp;"*",Roster!$A$4:$A$72,0),DAY(表格1[[#This Row],[date]]),1,1)</f>
        <v>Tiffany</v>
      </c>
      <c r="E5104" s="86">
        <f>MONTH(表格1[[#This Row],[date]])</f>
        <v>3</v>
      </c>
      <c r="F5104" s="90">
        <v>46107</v>
      </c>
      <c r="G5104" s="86" t="str">
        <f>VLOOKUP("*"&amp;表格1[[#This Row],[Input]]&amp;"*",'Ref-List'!$B:$D,2,)</f>
        <v>GR-RB221WE-PMA(57)</v>
      </c>
      <c r="H5104" s="86" t="str">
        <f>_xlfn.XLOOKUP(表格1[[#This Row],[Model]],表格3[Model-Input-Ref2],表格3[Product Line])</f>
        <v>變頻下置式雙門雪櫃（163L）</v>
      </c>
      <c r="I5104" s="86" t="str">
        <f>_xlfn.XLOOKUP(表格1[[#This Row],[Model]],表格3[Model-Input-Ref2],表格3[大小電])</f>
        <v>大電</v>
      </c>
      <c r="J5104" s="86" t="str">
        <f>_xlfn.XLOOKUP(表格1[[#This Row],[Model]],表格3[Model-Input-Ref2],表格3[Code])</f>
        <v>REF</v>
      </c>
      <c r="K5104" s="89" t="s">
        <v>1386</v>
      </c>
      <c r="L5104" s="86">
        <v>1</v>
      </c>
      <c r="M5104" s="87">
        <v>1880</v>
      </c>
      <c r="N5104" s="87">
        <f>IFERROR(表格1[[#This Row],[QTY]]*表格1[[#This Row],[Unit Price]],"-")</f>
        <v>1880</v>
      </c>
      <c r="O5104" s="86">
        <v>806032</v>
      </c>
      <c r="R5104" s="86" t="str">
        <f>_xlfn.CONCAT(表格1[[#This Row],[Model]]," ",表格1[[#This Row],[inv no]])</f>
        <v>GR-RB221WE-PMA(57) 806032</v>
      </c>
      <c r="S5104" s="86">
        <f>_xlfn.XLOOKUP(表格1[[#This Row],[Model]],表格3[Model-Input-Ref2],表格3[SRP PRICE])</f>
        <v>3480</v>
      </c>
      <c r="T5104" s="43">
        <f>表格1[[#This Row],[Unit Price]]/表格1[[#This Row],[SRP]]</f>
        <v>0.54022988505747127</v>
      </c>
      <c r="U5104" s="86" t="str">
        <f>_xlfn.XLOOKUP(表格1[[#This Row],[Model]],表格3[Model-Input-Ref2],表格3[TOSHIBA/HIGHEST])</f>
        <v>Toshiba SRP</v>
      </c>
      <c r="W5104" s="86" t="str">
        <f>_xlfn.CONCAT(表格1[[#This Row],[欄4]],表格1[[#This Row],[inv no]])</f>
        <v>806032</v>
      </c>
    </row>
    <row r="5105" spans="1:23" hidden="1">
      <c r="A5105" s="81">
        <v>5103</v>
      </c>
      <c r="B5105" s="86" t="s">
        <v>1477</v>
      </c>
      <c r="C5105" s="86" t="s">
        <v>1973</v>
      </c>
      <c r="D5105" s="89" t="str">
        <f ca="1">OFFSET(Roster!$A$3,MATCH(表格1[[#This Row],[Location]]&amp;" "&amp;表格1[[#This Row],[Shop]]&amp;"*",Roster!$A$4:$A$72,0),DAY(表格1[[#This Row],[date]]),1,1)</f>
        <v>Tiffany</v>
      </c>
      <c r="E5105" s="86">
        <f>MONTH(表格1[[#This Row],[date]])</f>
        <v>3</v>
      </c>
      <c r="F5105" s="90">
        <v>46107</v>
      </c>
      <c r="G5105" s="86" t="str">
        <f>VLOOKUP("*"&amp;表格1[[#This Row],[Input]]&amp;"*",'Ref-List'!$B:$D,2,)</f>
        <v>GR-RB360WE-PMA(06)</v>
      </c>
      <c r="H5105" s="86" t="str">
        <f>_xlfn.XLOOKUP(表格1[[#This Row],[Model]],表格3[Model-Input-Ref2],表格3[Product Line])</f>
        <v>變頻下置式雙門雪櫃系列270L</v>
      </c>
      <c r="I5105" s="86" t="str">
        <f>_xlfn.XLOOKUP(表格1[[#This Row],[Model]],表格3[Model-Input-Ref2],表格3[大小電])</f>
        <v>大電</v>
      </c>
      <c r="J5105" s="86" t="str">
        <f>_xlfn.XLOOKUP(表格1[[#This Row],[Model]],表格3[Model-Input-Ref2],表格3[Code])</f>
        <v>REF</v>
      </c>
      <c r="K5105" s="89" t="s">
        <v>1282</v>
      </c>
      <c r="L5105" s="86">
        <v>1</v>
      </c>
      <c r="M5105" s="87">
        <v>3680</v>
      </c>
      <c r="N5105" s="87">
        <f>IFERROR(表格1[[#This Row],[QTY]]*表格1[[#This Row],[Unit Price]],"-")</f>
        <v>3680</v>
      </c>
      <c r="O5105" s="86">
        <v>806026</v>
      </c>
      <c r="R5105" s="86" t="str">
        <f>_xlfn.CONCAT(表格1[[#This Row],[Model]]," ",表格1[[#This Row],[inv no]])</f>
        <v>GR-RB360WE-PMA(06) 806026</v>
      </c>
      <c r="S5105" s="86">
        <f>_xlfn.XLOOKUP(表格1[[#This Row],[Model]],表格3[Model-Input-Ref2],表格3[SRP PRICE])</f>
        <v>5080</v>
      </c>
      <c r="T5105" s="43">
        <f>表格1[[#This Row],[Unit Price]]/表格1[[#This Row],[SRP]]</f>
        <v>0.72440944881889768</v>
      </c>
      <c r="U5105" s="86" t="str">
        <f>_xlfn.XLOOKUP(表格1[[#This Row],[Model]],表格3[Model-Input-Ref2],表格3[TOSHIBA/HIGHEST])</f>
        <v>Toshiba SRP</v>
      </c>
      <c r="W5105" s="86" t="str">
        <f>_xlfn.CONCAT(表格1[[#This Row],[欄4]],表格1[[#This Row],[inv no]])</f>
        <v>806026</v>
      </c>
    </row>
    <row r="5106" spans="1:23" hidden="1">
      <c r="A5106" s="81">
        <v>5104</v>
      </c>
      <c r="B5106" s="86" t="s">
        <v>1477</v>
      </c>
      <c r="C5106" s="86" t="s">
        <v>1973</v>
      </c>
      <c r="D5106" s="89" t="str">
        <f ca="1">OFFSET(Roster!$A$3,MATCH(表格1[[#This Row],[Location]]&amp;" "&amp;表格1[[#This Row],[Shop]]&amp;"*",Roster!$A$4:$A$72,0),DAY(表格1[[#This Row],[date]]),1,1)</f>
        <v>Tiffany</v>
      </c>
      <c r="E5106" s="86">
        <f>MONTH(表格1[[#This Row],[date]])</f>
        <v>3</v>
      </c>
      <c r="F5106" s="90">
        <v>46107</v>
      </c>
      <c r="G5106" s="86" t="str">
        <f>VLOOKUP("*"&amp;表格1[[#This Row],[Input]]&amp;"*",'Ref-List'!$B:$D,2,)</f>
        <v>GR-RM598WE-PGA(B3)</v>
      </c>
      <c r="H5106" s="86" t="str">
        <f>_xlfn.XLOOKUP(表格1[[#This Row],[Model]],表格3[Model-Input-Ref2],表格3[Product Line])</f>
        <v>變頻六門雪櫃(451L)</v>
      </c>
      <c r="I5106" s="86" t="str">
        <f>_xlfn.XLOOKUP(表格1[[#This Row],[Model]],表格3[Model-Input-Ref2],表格3[大小電])</f>
        <v>大電</v>
      </c>
      <c r="J5106" s="86" t="str">
        <f>_xlfn.XLOOKUP(表格1[[#This Row],[Model]],表格3[Model-Input-Ref2],表格3[Code])</f>
        <v>REF</v>
      </c>
      <c r="K5106" s="89" t="s">
        <v>1491</v>
      </c>
      <c r="L5106" s="86">
        <v>1</v>
      </c>
      <c r="M5106" s="87">
        <v>10990</v>
      </c>
      <c r="N5106" s="87">
        <f>IFERROR(表格1[[#This Row],[QTY]]*表格1[[#This Row],[Unit Price]],"-")</f>
        <v>10990</v>
      </c>
      <c r="O5106" s="86">
        <v>704095</v>
      </c>
      <c r="R5106" s="86" t="str">
        <f>_xlfn.CONCAT(表格1[[#This Row],[Model]]," ",表格1[[#This Row],[inv no]])</f>
        <v>GR-RM598WE-PGA(B3) 704095</v>
      </c>
      <c r="S5106" s="86">
        <f>_xlfn.XLOOKUP(表格1[[#This Row],[Model]],表格3[Model-Input-Ref2],表格3[SRP PRICE])</f>
        <v>14980</v>
      </c>
      <c r="T5106" s="43">
        <f>表格1[[#This Row],[Unit Price]]/表格1[[#This Row],[SRP]]</f>
        <v>0.73364485981308414</v>
      </c>
      <c r="U5106" s="86" t="str">
        <f>_xlfn.XLOOKUP(表格1[[#This Row],[Model]],表格3[Model-Input-Ref2],表格3[TOSHIBA/HIGHEST])</f>
        <v>Toshiba SRP</v>
      </c>
      <c r="W5106" s="86" t="str">
        <f>_xlfn.CONCAT(表格1[[#This Row],[欄4]],表格1[[#This Row],[inv no]])</f>
        <v>704095</v>
      </c>
    </row>
    <row r="5107" spans="1:23" hidden="1">
      <c r="A5107" s="81">
        <v>5105</v>
      </c>
      <c r="B5107" s="86" t="s">
        <v>1477</v>
      </c>
      <c r="C5107" s="86" t="s">
        <v>1973</v>
      </c>
      <c r="D5107" s="89" t="str">
        <f ca="1">OFFSET(Roster!$A$3,MATCH(表格1[[#This Row],[Location]]&amp;" "&amp;表格1[[#This Row],[Shop]]&amp;"*",Roster!$A$4:$A$72,0),DAY(表格1[[#This Row],[date]]),1,1)</f>
        <v>Tiffany</v>
      </c>
      <c r="E5107" s="86">
        <f>MONTH(表格1[[#This Row],[date]])</f>
        <v>3</v>
      </c>
      <c r="F5107" s="90">
        <v>46107</v>
      </c>
      <c r="G5107" s="86" t="str">
        <f>VLOOKUP("*"&amp;表格1[[#This Row],[Input]]&amp;"*",'Ref-List'!$B:$D,2,)</f>
        <v>RC-18AMXH(W)</v>
      </c>
      <c r="H5107" s="86" t="str">
        <f>_xlfn.XLOOKUP(表格1[[#This Row],[Model]],表格3[Model-Input-Ref2],表格3[Product Line])</f>
        <v>酵活炊電飯煲(1.8公升)</v>
      </c>
      <c r="I5107" s="86" t="str">
        <f>_xlfn.XLOOKUP(表格1[[#This Row],[Model]],表格3[Model-Input-Ref2],表格3[大小電])</f>
        <v>細電</v>
      </c>
      <c r="J5107" s="86" t="str">
        <f>_xlfn.XLOOKUP(表格1[[#This Row],[Model]],表格3[Model-Input-Ref2],表格3[Code])</f>
        <v>SDA</v>
      </c>
      <c r="K5107" s="89" t="s">
        <v>1362</v>
      </c>
      <c r="L5107" s="86">
        <v>1</v>
      </c>
      <c r="M5107" s="87">
        <v>990</v>
      </c>
      <c r="N5107" s="87">
        <f>IFERROR(表格1[[#This Row],[QTY]]*表格1[[#This Row],[Unit Price]],"-")</f>
        <v>990</v>
      </c>
      <c r="O5107" s="86">
        <v>903094</v>
      </c>
      <c r="R5107" s="86" t="str">
        <f>_xlfn.CONCAT(表格1[[#This Row],[Model]]," ",表格1[[#This Row],[inv no]])</f>
        <v>RC-18AMXH(W) 903094</v>
      </c>
      <c r="S5107" s="86">
        <f>_xlfn.XLOOKUP(表格1[[#This Row],[Model]],表格3[Model-Input-Ref2],表格3[SRP PRICE])</f>
        <v>1588</v>
      </c>
      <c r="T5107" s="43">
        <f>表格1[[#This Row],[Unit Price]]/表格1[[#This Row],[SRP]]</f>
        <v>0.62342569269521408</v>
      </c>
      <c r="U5107" s="86" t="str">
        <f>_xlfn.XLOOKUP(表格1[[#This Row],[Model]],表格3[Model-Input-Ref2],表格3[TOSHIBA/HIGHEST])</f>
        <v>Toshiba SRP</v>
      </c>
      <c r="W5107" s="86" t="str">
        <f>_xlfn.CONCAT(表格1[[#This Row],[欄4]],表格1[[#This Row],[inv no]])</f>
        <v>903094</v>
      </c>
    </row>
    <row r="5108" spans="1:23" hidden="1">
      <c r="A5108" s="81">
        <v>5106</v>
      </c>
      <c r="B5108" s="86" t="s">
        <v>1477</v>
      </c>
      <c r="C5108" s="86" t="s">
        <v>1973</v>
      </c>
      <c r="D5108" s="89" t="str">
        <f ca="1">OFFSET(Roster!$A$3,MATCH(表格1[[#This Row],[Location]]&amp;" "&amp;表格1[[#This Row],[Shop]]&amp;"*",Roster!$A$4:$A$72,0),DAY(表格1[[#This Row],[date]]),1,1)</f>
        <v>Tiffany</v>
      </c>
      <c r="E5108" s="86">
        <f>MONTH(表格1[[#This Row],[date]])</f>
        <v>3</v>
      </c>
      <c r="F5108" s="90">
        <v>46110</v>
      </c>
      <c r="G5108" s="86" t="str">
        <f>VLOOKUP("*"&amp;表格1[[#This Row],[Input]]&amp;"*",'Ref-List'!$B:$D,2,)</f>
        <v>AW-DQ110JPH(WW)</v>
      </c>
      <c r="H5108" s="86" t="str">
        <f>_xlfn.XLOOKUP(表格1[[#This Row],[Model]],表格3[Model-Input-Ref2],表格3[Product Line])</f>
        <v>變頻日式洗衣機 (10公斤 結合高低水位)</v>
      </c>
      <c r="I5108" s="86" t="str">
        <f>_xlfn.XLOOKUP(表格1[[#This Row],[Model]],表格3[Model-Input-Ref2],表格3[大小電])</f>
        <v>大電</v>
      </c>
      <c r="J5108" s="86" t="str">
        <f>_xlfn.XLOOKUP(表格1[[#This Row],[Model]],表格3[Model-Input-Ref2],表格3[Code])</f>
        <v>LAD</v>
      </c>
      <c r="K5108" s="89" t="s">
        <v>1831</v>
      </c>
      <c r="L5108" s="86">
        <v>1</v>
      </c>
      <c r="M5108" s="87">
        <v>2780</v>
      </c>
      <c r="N5108" s="87">
        <f>IFERROR(表格1[[#This Row],[QTY]]*表格1[[#This Row],[Unit Price]],"-")</f>
        <v>2780</v>
      </c>
      <c r="O5108" s="86">
        <v>806106</v>
      </c>
      <c r="R5108" s="86" t="str">
        <f>_xlfn.CONCAT(表格1[[#This Row],[Model]]," ",表格1[[#This Row],[inv no]])</f>
        <v>AW-DQ110JPH(WW) 806106</v>
      </c>
      <c r="S5108" s="86">
        <f>_xlfn.XLOOKUP(表格1[[#This Row],[Model]],表格3[Model-Input-Ref2],表格3[SRP PRICE])</f>
        <v>4680</v>
      </c>
      <c r="T5108" s="43">
        <f>表格1[[#This Row],[Unit Price]]/表格1[[#This Row],[SRP]]</f>
        <v>0.59401709401709402</v>
      </c>
      <c r="U5108" s="86" t="str">
        <f>_xlfn.XLOOKUP(表格1[[#This Row],[Model]],表格3[Model-Input-Ref2],表格3[TOSHIBA/HIGHEST])</f>
        <v>Toshiba SRP</v>
      </c>
      <c r="W5108" s="86" t="str">
        <f>_xlfn.CONCAT(表格1[[#This Row],[欄4]],表格1[[#This Row],[inv no]])</f>
        <v>806106</v>
      </c>
    </row>
    <row r="5109" spans="1:23" hidden="1">
      <c r="A5109" s="81">
        <v>5107</v>
      </c>
      <c r="B5109" s="86" t="s">
        <v>1477</v>
      </c>
      <c r="C5109" s="86" t="s">
        <v>1973</v>
      </c>
      <c r="D5109" s="89" t="str">
        <f ca="1">OFFSET(Roster!$A$3,MATCH(表格1[[#This Row],[Location]]&amp;" "&amp;表格1[[#This Row],[Shop]]&amp;"*",Roster!$A$4:$A$72,0),DAY(表格1[[#This Row],[date]]),1,1)</f>
        <v>Tiffany</v>
      </c>
      <c r="E5109" s="86">
        <f>MONTH(表格1[[#This Row],[date]])</f>
        <v>3</v>
      </c>
      <c r="F5109" s="90">
        <v>46110</v>
      </c>
      <c r="G5109" s="86" t="str">
        <f>VLOOKUP("*"&amp;表格1[[#This Row],[Input]]&amp;"*",'Ref-List'!$B:$D,2,)</f>
        <v>AW-Q901BPH(WW)</v>
      </c>
      <c r="H5109" s="86" t="str">
        <f>_xlfn.XLOOKUP(表格1[[#This Row],[Model]],表格3[Model-Input-Ref2],表格3[Product Line])</f>
        <v>日式洗衣機 (8公斤 結合高低水位)</v>
      </c>
      <c r="I5109" s="86" t="str">
        <f>_xlfn.XLOOKUP(表格1[[#This Row],[Model]],表格3[Model-Input-Ref2],表格3[大小電])</f>
        <v>大電</v>
      </c>
      <c r="J5109" s="86" t="str">
        <f>_xlfn.XLOOKUP(表格1[[#This Row],[Model]],表格3[Model-Input-Ref2],表格3[Code])</f>
        <v>LAD</v>
      </c>
      <c r="K5109" s="89" t="s">
        <v>1411</v>
      </c>
      <c r="L5109" s="86">
        <v>1</v>
      </c>
      <c r="M5109" s="87">
        <v>2280</v>
      </c>
      <c r="N5109" s="87">
        <f>IFERROR(表格1[[#This Row],[QTY]]*表格1[[#This Row],[Unit Price]],"-")</f>
        <v>2280</v>
      </c>
      <c r="O5109" s="86">
        <v>806255</v>
      </c>
      <c r="R5109" s="86" t="str">
        <f>_xlfn.CONCAT(表格1[[#This Row],[Model]]," ",表格1[[#This Row],[inv no]])</f>
        <v>AW-Q901BPH(WW) 806255</v>
      </c>
      <c r="S5109" s="86">
        <f>_xlfn.XLOOKUP(表格1[[#This Row],[Model]],表格3[Model-Input-Ref2],表格3[SRP PRICE])</f>
        <v>3780</v>
      </c>
      <c r="T5109" s="43">
        <f>表格1[[#This Row],[Unit Price]]/表格1[[#This Row],[SRP]]</f>
        <v>0.60317460317460314</v>
      </c>
      <c r="U5109" s="86" t="str">
        <f>_xlfn.XLOOKUP(表格1[[#This Row],[Model]],表格3[Model-Input-Ref2],表格3[TOSHIBA/HIGHEST])</f>
        <v>Toshiba SRP</v>
      </c>
      <c r="W5109" s="86" t="str">
        <f>_xlfn.CONCAT(表格1[[#This Row],[欄4]],表格1[[#This Row],[inv no]])</f>
        <v>806255</v>
      </c>
    </row>
    <row r="5110" spans="1:23" hidden="1">
      <c r="A5110" s="81">
        <v>5108</v>
      </c>
      <c r="B5110" s="86" t="s">
        <v>1477</v>
      </c>
      <c r="C5110" s="86" t="s">
        <v>1973</v>
      </c>
      <c r="D5110" s="89" t="str">
        <f ca="1">OFFSET(Roster!$A$3,MATCH(表格1[[#This Row],[Location]]&amp;" "&amp;表格1[[#This Row],[Shop]]&amp;"*",Roster!$A$4:$A$72,0),DAY(表格1[[#This Row],[date]]),1,1)</f>
        <v>Tiffany</v>
      </c>
      <c r="E5110" s="86">
        <f>MONTH(表格1[[#This Row],[date]])</f>
        <v>3</v>
      </c>
      <c r="F5110" s="90">
        <v>46110</v>
      </c>
      <c r="G5110" s="86" t="str">
        <f>VLOOKUP("*"&amp;表格1[[#This Row],[Input]]&amp;"*",'Ref-List'!$B:$D,2,)</f>
        <v>TW-BL115A2H(WW)</v>
      </c>
      <c r="H5110" s="86" t="str">
        <f>_xlfn.XLOOKUP(表格1[[#This Row],[Model]],表格3[Model-Input-Ref2],表格3[Product Line])</f>
        <v>10.5KG前置式變頻洗衣機</v>
      </c>
      <c r="I5110" s="86" t="str">
        <f>_xlfn.XLOOKUP(表格1[[#This Row],[Model]],表格3[Model-Input-Ref2],表格3[大小電])</f>
        <v>大電</v>
      </c>
      <c r="J5110" s="86" t="str">
        <f>_xlfn.XLOOKUP(表格1[[#This Row],[Model]],表格3[Model-Input-Ref2],表格3[Code])</f>
        <v>WM</v>
      </c>
      <c r="K5110" s="89" t="s">
        <v>1949</v>
      </c>
      <c r="L5110" s="86">
        <v>1</v>
      </c>
      <c r="M5110" s="87">
        <v>3380</v>
      </c>
      <c r="N5110" s="87">
        <f>IFERROR(表格1[[#This Row],[QTY]]*表格1[[#This Row],[Unit Price]],"-")</f>
        <v>3380</v>
      </c>
      <c r="O5110" s="86">
        <v>903207</v>
      </c>
      <c r="R5110" s="86" t="str">
        <f>_xlfn.CONCAT(表格1[[#This Row],[Model]]," ",表格1[[#This Row],[inv no]])</f>
        <v>TW-BL115A2H(WW) 903207</v>
      </c>
      <c r="S5110" s="86">
        <f>_xlfn.XLOOKUP(表格1[[#This Row],[Model]],表格3[Model-Input-Ref2],表格3[SRP PRICE])</f>
        <v>6480</v>
      </c>
      <c r="T5110" s="43">
        <f>表格1[[#This Row],[Unit Price]]/表格1[[#This Row],[SRP]]</f>
        <v>0.52160493827160492</v>
      </c>
      <c r="U5110" s="86" t="str">
        <f>_xlfn.XLOOKUP(表格1[[#This Row],[Model]],表格3[Model-Input-Ref2],表格3[TOSHIBA/HIGHEST])</f>
        <v>Toshiba SRP</v>
      </c>
      <c r="W5110" s="86" t="str">
        <f>_xlfn.CONCAT(表格1[[#This Row],[欄4]],表格1[[#This Row],[inv no]])</f>
        <v>903207</v>
      </c>
    </row>
    <row r="5111" spans="1:23" hidden="1">
      <c r="A5111" s="81">
        <v>5109</v>
      </c>
      <c r="B5111" s="86" t="s">
        <v>1477</v>
      </c>
      <c r="C5111" s="86" t="s">
        <v>1973</v>
      </c>
      <c r="D5111" s="89" t="str">
        <f ca="1">OFFSET(Roster!$A$3,MATCH(表格1[[#This Row],[Location]]&amp;" "&amp;表格1[[#This Row],[Shop]]&amp;"*",Roster!$A$4:$A$72,0),DAY(表格1[[#This Row],[date]]),1,1)</f>
        <v>Tiffany</v>
      </c>
      <c r="E5111" s="86">
        <f>MONTH(表格1[[#This Row],[date]])</f>
        <v>3</v>
      </c>
      <c r="F5111" s="90">
        <v>46110</v>
      </c>
      <c r="G5111" s="86" t="str">
        <f>VLOOKUP("*"&amp;表格1[[#This Row],[Input]]&amp;"*",'Ref-List'!$B:$D,2,)</f>
        <v>GR-RT300WE-PMA(57)</v>
      </c>
      <c r="H5111" s="86" t="str">
        <f>_xlfn.XLOOKUP(表格1[[#This Row],[Model]],表格3[Model-Input-Ref2],表格3[Product Line])</f>
        <v>變頻式環保雙門雪櫃(233L)</v>
      </c>
      <c r="I5111" s="86" t="str">
        <f>_xlfn.XLOOKUP(表格1[[#This Row],[Model]],表格3[Model-Input-Ref2],表格3[大小電])</f>
        <v>大電</v>
      </c>
      <c r="J5111" s="86" t="str">
        <f>_xlfn.XLOOKUP(表格1[[#This Row],[Model]],表格3[Model-Input-Ref2],表格3[Code])</f>
        <v>REF</v>
      </c>
      <c r="K5111" s="89" t="s">
        <v>1462</v>
      </c>
      <c r="L5111" s="86">
        <v>1</v>
      </c>
      <c r="M5111" s="87">
        <v>2780</v>
      </c>
      <c r="N5111" s="87">
        <f>IFERROR(表格1[[#This Row],[QTY]]*表格1[[#This Row],[Unit Price]],"-")</f>
        <v>2780</v>
      </c>
      <c r="O5111" s="86">
        <v>806306</v>
      </c>
      <c r="R5111" s="86" t="str">
        <f>_xlfn.CONCAT(表格1[[#This Row],[Model]]," ",表格1[[#This Row],[inv no]])</f>
        <v>GR-RT300WE-PMA(57) 806306</v>
      </c>
      <c r="S5111" s="86">
        <f>_xlfn.XLOOKUP(表格1[[#This Row],[Model]],表格3[Model-Input-Ref2],表格3[SRP PRICE])</f>
        <v>4280</v>
      </c>
      <c r="T5111" s="43">
        <f>表格1[[#This Row],[Unit Price]]/表格1[[#This Row],[SRP]]</f>
        <v>0.64953271028037385</v>
      </c>
      <c r="U5111" s="86" t="str">
        <f>_xlfn.XLOOKUP(表格1[[#This Row],[Model]],表格3[Model-Input-Ref2],表格3[TOSHIBA/HIGHEST])</f>
        <v>Toshiba SRP</v>
      </c>
      <c r="W5111" s="86" t="str">
        <f>_xlfn.CONCAT(表格1[[#This Row],[欄4]],表格1[[#This Row],[inv no]])</f>
        <v>806306</v>
      </c>
    </row>
    <row r="5112" spans="1:23" hidden="1">
      <c r="A5112" s="81">
        <v>5110</v>
      </c>
      <c r="B5112" s="86" t="s">
        <v>1477</v>
      </c>
      <c r="C5112" s="86" t="s">
        <v>1973</v>
      </c>
      <c r="D5112" s="89" t="str">
        <f ca="1">OFFSET(Roster!$A$3,MATCH(表格1[[#This Row],[Location]]&amp;" "&amp;表格1[[#This Row],[Shop]]&amp;"*",Roster!$A$4:$A$72,0),DAY(表格1[[#This Row],[date]]),1,1)</f>
        <v>Tiffany</v>
      </c>
      <c r="E5112" s="86">
        <f>MONTH(表格1[[#This Row],[date]])</f>
        <v>3</v>
      </c>
      <c r="F5112" s="90">
        <v>46110</v>
      </c>
      <c r="G5112" s="86" t="str">
        <f>VLOOKUP("*"&amp;表格1[[#This Row],[Input]]&amp;"*",'Ref-List'!$B:$D,2,)</f>
        <v>GR-RB221WE-PMA(57)</v>
      </c>
      <c r="H5112" s="86" t="str">
        <f>_xlfn.XLOOKUP(表格1[[#This Row],[Model]],表格3[Model-Input-Ref2],表格3[Product Line])</f>
        <v>變頻下置式雙門雪櫃（163L）</v>
      </c>
      <c r="I5112" s="86" t="str">
        <f>_xlfn.XLOOKUP(表格1[[#This Row],[Model]],表格3[Model-Input-Ref2],表格3[大小電])</f>
        <v>大電</v>
      </c>
      <c r="J5112" s="86" t="str">
        <f>_xlfn.XLOOKUP(表格1[[#This Row],[Model]],表格3[Model-Input-Ref2],表格3[Code])</f>
        <v>REF</v>
      </c>
      <c r="K5112" s="89" t="s">
        <v>1386</v>
      </c>
      <c r="L5112" s="86">
        <v>1</v>
      </c>
      <c r="M5112" s="87">
        <v>1880</v>
      </c>
      <c r="N5112" s="87">
        <f>IFERROR(表格1[[#This Row],[QTY]]*表格1[[#This Row],[Unit Price]],"-")</f>
        <v>1880</v>
      </c>
      <c r="O5112" s="86">
        <v>903215</v>
      </c>
      <c r="R5112" s="86" t="str">
        <f>_xlfn.CONCAT(表格1[[#This Row],[Model]]," ",表格1[[#This Row],[inv no]])</f>
        <v>GR-RB221WE-PMA(57) 903215</v>
      </c>
      <c r="S5112" s="86">
        <f>_xlfn.XLOOKUP(表格1[[#This Row],[Model]],表格3[Model-Input-Ref2],表格3[SRP PRICE])</f>
        <v>3480</v>
      </c>
      <c r="T5112" s="43">
        <f>表格1[[#This Row],[Unit Price]]/表格1[[#This Row],[SRP]]</f>
        <v>0.54022988505747127</v>
      </c>
      <c r="U5112" s="86" t="str">
        <f>_xlfn.XLOOKUP(表格1[[#This Row],[Model]],表格3[Model-Input-Ref2],表格3[TOSHIBA/HIGHEST])</f>
        <v>Toshiba SRP</v>
      </c>
      <c r="W5112" s="86" t="str">
        <f>_xlfn.CONCAT(表格1[[#This Row],[欄4]],表格1[[#This Row],[inv no]])</f>
        <v>903215</v>
      </c>
    </row>
    <row r="5113" spans="1:23" hidden="1">
      <c r="A5113" s="81">
        <v>5111</v>
      </c>
      <c r="B5113" s="86" t="s">
        <v>1477</v>
      </c>
      <c r="C5113" s="86" t="s">
        <v>1973</v>
      </c>
      <c r="D5113" s="89" t="str">
        <f ca="1">OFFSET(Roster!$A$3,MATCH(表格1[[#This Row],[Location]]&amp;" "&amp;表格1[[#This Row],[Shop]]&amp;"*",Roster!$A$4:$A$72,0),DAY(表格1[[#This Row],[date]]),1,1)</f>
        <v>Tiffany</v>
      </c>
      <c r="E5113" s="86">
        <f>MONTH(表格1[[#This Row],[date]])</f>
        <v>3</v>
      </c>
      <c r="F5113" s="90">
        <v>46110</v>
      </c>
      <c r="G5113" s="86" t="str">
        <f>VLOOKUP("*"&amp;表格1[[#This Row],[Input]]&amp;"*",'Ref-List'!$B:$D,2,)</f>
        <v>GR-RB360WE-PMA(06)</v>
      </c>
      <c r="H5113" s="86" t="str">
        <f>_xlfn.XLOOKUP(表格1[[#This Row],[Model]],表格3[Model-Input-Ref2],表格3[Product Line])</f>
        <v>變頻下置式雙門雪櫃系列270L</v>
      </c>
      <c r="I5113" s="86" t="str">
        <f>_xlfn.XLOOKUP(表格1[[#This Row],[Model]],表格3[Model-Input-Ref2],表格3[大小電])</f>
        <v>大電</v>
      </c>
      <c r="J5113" s="86" t="str">
        <f>_xlfn.XLOOKUP(表格1[[#This Row],[Model]],表格3[Model-Input-Ref2],表格3[Code])</f>
        <v>REF</v>
      </c>
      <c r="K5113" s="89" t="s">
        <v>1282</v>
      </c>
      <c r="L5113" s="86">
        <v>1</v>
      </c>
      <c r="M5113" s="87">
        <v>3780</v>
      </c>
      <c r="N5113" s="87">
        <f>IFERROR(表格1[[#This Row],[QTY]]*表格1[[#This Row],[Unit Price]],"-")</f>
        <v>3780</v>
      </c>
      <c r="O5113" s="86">
        <v>903216</v>
      </c>
      <c r="R5113" s="86" t="str">
        <f>_xlfn.CONCAT(表格1[[#This Row],[Model]]," ",表格1[[#This Row],[inv no]])</f>
        <v>GR-RB360WE-PMA(06) 903216</v>
      </c>
      <c r="S5113" s="86">
        <f>_xlfn.XLOOKUP(表格1[[#This Row],[Model]],表格3[Model-Input-Ref2],表格3[SRP PRICE])</f>
        <v>5080</v>
      </c>
      <c r="T5113" s="43">
        <f>表格1[[#This Row],[Unit Price]]/表格1[[#This Row],[SRP]]</f>
        <v>0.74409448818897639</v>
      </c>
      <c r="U5113" s="86" t="str">
        <f>_xlfn.XLOOKUP(表格1[[#This Row],[Model]],表格3[Model-Input-Ref2],表格3[TOSHIBA/HIGHEST])</f>
        <v>Toshiba SRP</v>
      </c>
      <c r="W5113" s="86" t="str">
        <f>_xlfn.CONCAT(表格1[[#This Row],[欄4]],表格1[[#This Row],[inv no]])</f>
        <v>903216</v>
      </c>
    </row>
    <row r="5114" spans="1:23" hidden="1">
      <c r="A5114" s="81">
        <v>5112</v>
      </c>
      <c r="B5114" s="86" t="s">
        <v>1477</v>
      </c>
      <c r="C5114" s="86" t="s">
        <v>1973</v>
      </c>
      <c r="D5114" s="89" t="str">
        <f ca="1">OFFSET(Roster!$A$3,MATCH(表格1[[#This Row],[Location]]&amp;" "&amp;表格1[[#This Row],[Shop]]&amp;"*",Roster!$A$4:$A$72,0),DAY(表格1[[#This Row],[date]]),1,1)</f>
        <v>Tiffany</v>
      </c>
      <c r="E5114" s="86">
        <f>MONTH(表格1[[#This Row],[date]])</f>
        <v>3</v>
      </c>
      <c r="F5114" s="90">
        <v>46110</v>
      </c>
      <c r="G5114" s="86" t="str">
        <f>VLOOKUP("*"&amp;表格1[[#This Row],[Input]]&amp;"*",'Ref-List'!$B:$D,2,)</f>
        <v>GR-RB360WE-PMA(06)</v>
      </c>
      <c r="H5114" s="86" t="str">
        <f>_xlfn.XLOOKUP(表格1[[#This Row],[Model]],表格3[Model-Input-Ref2],表格3[Product Line])</f>
        <v>變頻下置式雙門雪櫃系列270L</v>
      </c>
      <c r="I5114" s="86" t="str">
        <f>_xlfn.XLOOKUP(表格1[[#This Row],[Model]],表格3[Model-Input-Ref2],表格3[大小電])</f>
        <v>大電</v>
      </c>
      <c r="J5114" s="86" t="str">
        <f>_xlfn.XLOOKUP(表格1[[#This Row],[Model]],表格3[Model-Input-Ref2],表格3[Code])</f>
        <v>REF</v>
      </c>
      <c r="K5114" s="89" t="s">
        <v>1282</v>
      </c>
      <c r="L5114" s="86">
        <v>1</v>
      </c>
      <c r="M5114" s="87">
        <v>3780</v>
      </c>
      <c r="N5114" s="87">
        <f>IFERROR(表格1[[#This Row],[QTY]]*表格1[[#This Row],[Unit Price]],"-")</f>
        <v>3780</v>
      </c>
      <c r="O5114" s="86">
        <v>903220</v>
      </c>
      <c r="R5114" s="86" t="str">
        <f>_xlfn.CONCAT(表格1[[#This Row],[Model]]," ",表格1[[#This Row],[inv no]])</f>
        <v>GR-RB360WE-PMA(06) 903220</v>
      </c>
      <c r="S5114" s="86">
        <f>_xlfn.XLOOKUP(表格1[[#This Row],[Model]],表格3[Model-Input-Ref2],表格3[SRP PRICE])</f>
        <v>5080</v>
      </c>
      <c r="T5114" s="43">
        <f>表格1[[#This Row],[Unit Price]]/表格1[[#This Row],[SRP]]</f>
        <v>0.74409448818897639</v>
      </c>
      <c r="U5114" s="86" t="str">
        <f>_xlfn.XLOOKUP(表格1[[#This Row],[Model]],表格3[Model-Input-Ref2],表格3[TOSHIBA/HIGHEST])</f>
        <v>Toshiba SRP</v>
      </c>
      <c r="W5114" s="86" t="str">
        <f>_xlfn.CONCAT(表格1[[#This Row],[欄4]],表格1[[#This Row],[inv no]])</f>
        <v>903220</v>
      </c>
    </row>
    <row r="5115" spans="1:23" hidden="1">
      <c r="A5115" s="81">
        <v>5113</v>
      </c>
      <c r="B5115" s="86" t="s">
        <v>1477</v>
      </c>
      <c r="C5115" s="86" t="s">
        <v>1973</v>
      </c>
      <c r="D5115" s="89" t="str">
        <f ca="1">OFFSET(Roster!$A$3,MATCH(表格1[[#This Row],[Location]]&amp;" "&amp;表格1[[#This Row],[Shop]]&amp;"*",Roster!$A$4:$A$72,0),DAY(表格1[[#This Row],[date]]),1,1)</f>
        <v>Tiffany</v>
      </c>
      <c r="E5115" s="86">
        <f>MONTH(表格1[[#This Row],[date]])</f>
        <v>3</v>
      </c>
      <c r="F5115" s="90">
        <v>46110</v>
      </c>
      <c r="G5115" s="86" t="str">
        <f>VLOOKUP("*"&amp;表格1[[#This Row],[Input]]&amp;"*",'Ref-List'!$B:$D,2,)</f>
        <v>RC-10AMXH(W)</v>
      </c>
      <c r="H5115" s="86" t="str">
        <f>_xlfn.XLOOKUP(表格1[[#This Row],[Model]],表格3[Model-Input-Ref2],表格3[Product Line])</f>
        <v>酵活炊電飯煲(1.0公升)</v>
      </c>
      <c r="I5115" s="86" t="str">
        <f>_xlfn.XLOOKUP(表格1[[#This Row],[Model]],表格3[Model-Input-Ref2],表格3[大小電])</f>
        <v>細電</v>
      </c>
      <c r="J5115" s="86" t="str">
        <f>_xlfn.XLOOKUP(表格1[[#This Row],[Model]],表格3[Model-Input-Ref2],表格3[Code])</f>
        <v>SDA</v>
      </c>
      <c r="K5115" s="89" t="s">
        <v>1279</v>
      </c>
      <c r="L5115" s="86">
        <v>1</v>
      </c>
      <c r="M5115" s="87">
        <v>990</v>
      </c>
      <c r="N5115" s="87">
        <f>IFERROR(表格1[[#This Row],[QTY]]*表格1[[#This Row],[Unit Price]],"-")</f>
        <v>990</v>
      </c>
      <c r="O5115" s="86">
        <v>903237</v>
      </c>
      <c r="R5115" s="86" t="str">
        <f>_xlfn.CONCAT(表格1[[#This Row],[Model]]," ",表格1[[#This Row],[inv no]])</f>
        <v>RC-10AMXH(W) 903237</v>
      </c>
      <c r="S5115" s="86">
        <f>_xlfn.XLOOKUP(表格1[[#This Row],[Model]],表格3[Model-Input-Ref2],表格3[SRP PRICE])</f>
        <v>1288</v>
      </c>
      <c r="T5115" s="43">
        <f>表格1[[#This Row],[Unit Price]]/表格1[[#This Row],[SRP]]</f>
        <v>0.76863354037267084</v>
      </c>
      <c r="U5115" s="86" t="str">
        <f>_xlfn.XLOOKUP(表格1[[#This Row],[Model]],表格3[Model-Input-Ref2],表格3[TOSHIBA/HIGHEST])</f>
        <v>Toshiba SRP</v>
      </c>
      <c r="W5115" s="86" t="str">
        <f>_xlfn.CONCAT(表格1[[#This Row],[欄4]],表格1[[#This Row],[inv no]])</f>
        <v>903237</v>
      </c>
    </row>
    <row r="5116" spans="1:23" hidden="1">
      <c r="A5116" s="81">
        <v>5114</v>
      </c>
      <c r="B5116" s="86" t="s">
        <v>1477</v>
      </c>
      <c r="C5116" s="86" t="s">
        <v>1973</v>
      </c>
      <c r="D5116" s="89" t="str">
        <f ca="1">OFFSET(Roster!$A$3,MATCH(表格1[[#This Row],[Location]]&amp;" "&amp;表格1[[#This Row],[Shop]]&amp;"*",Roster!$A$4:$A$72,0),DAY(表格1[[#This Row],[date]]),1,1)</f>
        <v>Tiffany</v>
      </c>
      <c r="E5116" s="86">
        <f>MONTH(表格1[[#This Row],[date]])</f>
        <v>3</v>
      </c>
      <c r="F5116" s="90">
        <v>46110</v>
      </c>
      <c r="G5116" s="86" t="str">
        <f>VLOOKUP("*"&amp;表格1[[#This Row],[Input]]&amp;"*",'Ref-List'!$B:$D,2,)</f>
        <v>F-ALB60HK(B)</v>
      </c>
      <c r="H5116" s="86" t="str">
        <f>_xlfn.XLOOKUP(表格1[[#This Row],[Model]],表格3[Model-Input-Ref2],表格3[Product Line])</f>
        <v>12吋座地座檯電風扇</v>
      </c>
      <c r="I5116" s="86" t="str">
        <f>_xlfn.XLOOKUP(表格1[[#This Row],[Model]],表格3[Model-Input-Ref2],表格3[大小電])</f>
        <v>細電</v>
      </c>
      <c r="J5116" s="86" t="str">
        <f>_xlfn.XLOOKUP(表格1[[#This Row],[Model]],表格3[Model-Input-Ref2],表格3[Code])</f>
        <v>SDA</v>
      </c>
      <c r="K5116" s="89" t="s">
        <v>1490</v>
      </c>
      <c r="L5116" s="86">
        <v>1</v>
      </c>
      <c r="M5116" s="87">
        <v>498</v>
      </c>
      <c r="N5116" s="87">
        <f>IFERROR(表格1[[#This Row],[QTY]]*表格1[[#This Row],[Unit Price]],"-")</f>
        <v>498</v>
      </c>
      <c r="O5116" s="86">
        <v>806263</v>
      </c>
      <c r="R5116" s="86" t="str">
        <f>_xlfn.CONCAT(表格1[[#This Row],[Model]]," ",表格1[[#This Row],[inv no]])</f>
        <v>F-ALB60HK(B) 806263</v>
      </c>
      <c r="S5116" s="86">
        <f>_xlfn.XLOOKUP(表格1[[#This Row],[Model]],表格3[Model-Input-Ref2],表格3[SRP PRICE])</f>
        <v>839</v>
      </c>
      <c r="T5116" s="43">
        <f>表格1[[#This Row],[Unit Price]]/表格1[[#This Row],[SRP]]</f>
        <v>0.59356376638855779</v>
      </c>
      <c r="U5116" s="86" t="str">
        <f>_xlfn.XLOOKUP(表格1[[#This Row],[Model]],表格3[Model-Input-Ref2],表格3[TOSHIBA/HIGHEST])</f>
        <v>Shops Highest Price</v>
      </c>
      <c r="W5116" s="86" t="str">
        <f>_xlfn.CONCAT(表格1[[#This Row],[欄4]],表格1[[#This Row],[inv no]])</f>
        <v>806263</v>
      </c>
    </row>
    <row r="5117" spans="1:23" hidden="1">
      <c r="A5117" s="81">
        <v>5115</v>
      </c>
      <c r="B5117" s="86" t="s">
        <v>1477</v>
      </c>
      <c r="C5117" s="86" t="s">
        <v>1973</v>
      </c>
      <c r="D5117" s="89" t="str">
        <f ca="1">OFFSET(Roster!$A$3,MATCH(表格1[[#This Row],[Location]]&amp;" "&amp;表格1[[#This Row],[Shop]]&amp;"*",Roster!$A$4:$A$72,0),DAY(表格1[[#This Row],[date]]),1,1)</f>
        <v>Tiffany</v>
      </c>
      <c r="E5117" s="86">
        <f>MONTH(表格1[[#This Row],[date]])</f>
        <v>3</v>
      </c>
      <c r="F5117" s="90">
        <v>46110</v>
      </c>
      <c r="G5117" s="86" t="str">
        <f>VLOOKUP("*"&amp;表格1[[#This Row],[Input]]&amp;"*",'Ref-List'!$B:$D,2,)</f>
        <v>RAC-09G3CVRGR-HK</v>
      </c>
      <c r="H5117" s="86" t="str">
        <f>_xlfn.XLOOKUP(表格1[[#This Row],[Model]],表格3[Model-Input-Ref2],表格3[Product Line])</f>
        <v>1 匹 R32變頻窗口式冷氣機 (獨立抽濕遙控</v>
      </c>
      <c r="I5117" s="86" t="str">
        <f>_xlfn.XLOOKUP(表格1[[#This Row],[Model]],表格3[Model-Input-Ref2],表格3[大小電])</f>
        <v>大電</v>
      </c>
      <c r="J5117" s="86" t="str">
        <f>_xlfn.XLOOKUP(表格1[[#This Row],[Model]],表格3[Model-Input-Ref2],表格3[Code])</f>
        <v>AC</v>
      </c>
      <c r="K5117" s="89" t="s">
        <v>1474</v>
      </c>
      <c r="L5117" s="86">
        <v>1</v>
      </c>
      <c r="M5117" s="87">
        <v>4517</v>
      </c>
      <c r="N5117" s="87">
        <f>IFERROR(表格1[[#This Row],[QTY]]*表格1[[#This Row],[Unit Price]],"-")</f>
        <v>4517</v>
      </c>
      <c r="O5117" s="86">
        <v>806286</v>
      </c>
      <c r="R5117" s="86" t="str">
        <f>_xlfn.CONCAT(表格1[[#This Row],[Model]]," ",表格1[[#This Row],[inv no]])</f>
        <v>RAC-09G3CVRGR-HK 806286</v>
      </c>
      <c r="S5117" s="86">
        <f>_xlfn.XLOOKUP(表格1[[#This Row],[Model]],表格3[Model-Input-Ref2],表格3[SRP PRICE])</f>
        <v>6980</v>
      </c>
      <c r="T5117" s="43">
        <f>表格1[[#This Row],[Unit Price]]/表格1[[#This Row],[SRP]]</f>
        <v>0.64713467048710605</v>
      </c>
      <c r="U5117" s="86" t="str">
        <f>_xlfn.XLOOKUP(表格1[[#This Row],[Model]],表格3[Model-Input-Ref2],表格3[TOSHIBA/HIGHEST])</f>
        <v>Toshiba SRP</v>
      </c>
      <c r="W5117" s="86" t="str">
        <f>_xlfn.CONCAT(表格1[[#This Row],[欄4]],表格1[[#This Row],[inv no]])</f>
        <v>806286</v>
      </c>
    </row>
    <row r="5118" spans="1:23" hidden="1">
      <c r="A5118" s="81">
        <v>5116</v>
      </c>
      <c r="B5118" s="86" t="s">
        <v>1477</v>
      </c>
      <c r="C5118" s="86" t="s">
        <v>1973</v>
      </c>
      <c r="D5118" s="89" t="str">
        <f ca="1">OFFSET(Roster!$A$3,MATCH(表格1[[#This Row],[Location]]&amp;" "&amp;表格1[[#This Row],[Shop]]&amp;"*",Roster!$A$4:$A$72,0),DAY(表格1[[#This Row],[date]]),1,1)</f>
        <v>Tiffany</v>
      </c>
      <c r="E5118" s="86">
        <f>MONTH(表格1[[#This Row],[date]])</f>
        <v>3</v>
      </c>
      <c r="F5118" s="90">
        <v>46110</v>
      </c>
      <c r="G5118" s="86" t="str">
        <f>VLOOKUP("*"&amp;表格1[[#This Row],[Input]]&amp;"*",'Ref-List'!$B:$D,2,)</f>
        <v>Model-Input-Ref2</v>
      </c>
      <c r="H5118" s="86" t="e">
        <f>_xlfn.XLOOKUP(表格1[[#This Row],[Model]],表格3[Model-Input-Ref2],表格3[Product Line])</f>
        <v>#N/A</v>
      </c>
      <c r="I5118" s="86" t="e">
        <f>_xlfn.XLOOKUP(表格1[[#This Row],[Model]],表格3[Model-Input-Ref2],表格3[大小電])</f>
        <v>#N/A</v>
      </c>
      <c r="J5118" s="86" t="e">
        <f>_xlfn.XLOOKUP(表格1[[#This Row],[Model]],表格3[Model-Input-Ref2],表格3[Code])</f>
        <v>#N/A</v>
      </c>
      <c r="N5118" s="87">
        <f>IFERROR(表格1[[#This Row],[QTY]]*表格1[[#This Row],[Unit Price]],"-")</f>
        <v>0</v>
      </c>
      <c r="P5118" s="86" t="s">
        <v>2278</v>
      </c>
      <c r="R5118" s="86" t="str">
        <f>_xlfn.CONCAT(表格1[[#This Row],[Model]]," ",表格1[[#This Row],[inv no]])</f>
        <v xml:space="preserve">Model-Input-Ref2 </v>
      </c>
      <c r="S5118" s="86" t="e">
        <f>_xlfn.XLOOKUP(表格1[[#This Row],[Model]],表格3[Model-Input-Ref2],表格3[SRP PRICE])</f>
        <v>#N/A</v>
      </c>
      <c r="T5118" s="43" t="e">
        <f>表格1[[#This Row],[Unit Price]]/表格1[[#This Row],[SRP]]</f>
        <v>#N/A</v>
      </c>
      <c r="U5118" s="86" t="e">
        <f>_xlfn.XLOOKUP(表格1[[#This Row],[Model]],表格3[Model-Input-Ref2],表格3[TOSHIBA/HIGHEST])</f>
        <v>#N/A</v>
      </c>
      <c r="W5118" s="86" t="str">
        <f>_xlfn.CONCAT(表格1[[#This Row],[欄4]],表格1[[#This Row],[inv no]])</f>
        <v/>
      </c>
    </row>
    <row r="5119" spans="1:23" hidden="1">
      <c r="A5119" s="81">
        <v>5117</v>
      </c>
      <c r="B5119" s="86" t="s">
        <v>1477</v>
      </c>
      <c r="C5119" s="86" t="s">
        <v>1973</v>
      </c>
      <c r="D5119" s="89" t="str">
        <f ca="1">OFFSET(Roster!$A$3,MATCH(表格1[[#This Row],[Location]]&amp;" "&amp;表格1[[#This Row],[Shop]]&amp;"*",Roster!$A$4:$A$72,0),DAY(表格1[[#This Row],[date]]),1,1)</f>
        <v>Tiffany</v>
      </c>
      <c r="E5119" s="86">
        <f>MONTH(表格1[[#This Row],[date]])</f>
        <v>3</v>
      </c>
      <c r="F5119" s="90">
        <v>46112</v>
      </c>
      <c r="G5119" s="86" t="str">
        <f>VLOOKUP("*"&amp;表格1[[#This Row],[Input]]&amp;"*",'Ref-List'!$B:$D,2,)</f>
        <v>AW-Q800APH(WW)</v>
      </c>
      <c r="H5119" s="86" t="str">
        <f>_xlfn.XLOOKUP(表格1[[#This Row],[Model]],表格3[Model-Input-Ref2],表格3[Product Line])</f>
        <v>日式洗衣機 (7公斤 結合高低水位)</v>
      </c>
      <c r="I5119" s="86" t="str">
        <f>_xlfn.XLOOKUP(表格1[[#This Row],[Model]],表格3[Model-Input-Ref2],表格3[大小電])</f>
        <v>大電</v>
      </c>
      <c r="J5119" s="86" t="str">
        <f>_xlfn.XLOOKUP(表格1[[#This Row],[Model]],表格3[Model-Input-Ref2],表格3[Code])</f>
        <v>LAD</v>
      </c>
      <c r="K5119" s="89" t="s">
        <v>1479</v>
      </c>
      <c r="L5119" s="86">
        <v>1</v>
      </c>
      <c r="M5119" s="87">
        <v>1980</v>
      </c>
      <c r="N5119" s="87">
        <f>IFERROR(表格1[[#This Row],[QTY]]*表格1[[#This Row],[Unit Price]],"-")</f>
        <v>1980</v>
      </c>
      <c r="O5119" s="86">
        <v>903318</v>
      </c>
      <c r="R5119" s="86" t="str">
        <f>_xlfn.CONCAT(表格1[[#This Row],[Model]]," ",表格1[[#This Row],[inv no]])</f>
        <v>AW-Q800APH(WW) 903318</v>
      </c>
      <c r="S5119" s="86">
        <f>_xlfn.XLOOKUP(表格1[[#This Row],[Model]],表格3[Model-Input-Ref2],表格3[SRP PRICE])</f>
        <v>3580</v>
      </c>
      <c r="T5119" s="43">
        <f>表格1[[#This Row],[Unit Price]]/表格1[[#This Row],[SRP]]</f>
        <v>0.55307262569832405</v>
      </c>
      <c r="U5119" s="86" t="str">
        <f>_xlfn.XLOOKUP(表格1[[#This Row],[Model]],表格3[Model-Input-Ref2],表格3[TOSHIBA/HIGHEST])</f>
        <v>Toshiba SRP</v>
      </c>
      <c r="W5119" s="86" t="str">
        <f>_xlfn.CONCAT(表格1[[#This Row],[欄4]],表格1[[#This Row],[inv no]])</f>
        <v>903318</v>
      </c>
    </row>
    <row r="5120" spans="1:23" hidden="1">
      <c r="A5120" s="81">
        <v>5118</v>
      </c>
      <c r="B5120" s="86" t="s">
        <v>1477</v>
      </c>
      <c r="C5120" s="86" t="s">
        <v>1973</v>
      </c>
      <c r="D5120" s="89" t="str">
        <f ca="1">OFFSET(Roster!$A$3,MATCH(表格1[[#This Row],[Location]]&amp;" "&amp;表格1[[#This Row],[Shop]]&amp;"*",Roster!$A$4:$A$72,0),DAY(表格1[[#This Row],[date]]),1,1)</f>
        <v>Tiffany</v>
      </c>
      <c r="E5120" s="86">
        <f>MONTH(表格1[[#This Row],[date]])</f>
        <v>3</v>
      </c>
      <c r="F5120" s="90">
        <v>46112</v>
      </c>
      <c r="G5120" s="86" t="str">
        <f>VLOOKUP("*"&amp;表格1[[#This Row],[Input]]&amp;"*",'Ref-List'!$B:$D,2,)</f>
        <v>GR-RT300WE-PMA(57)</v>
      </c>
      <c r="H5120" s="86" t="str">
        <f>_xlfn.XLOOKUP(表格1[[#This Row],[Model]],表格3[Model-Input-Ref2],表格3[Product Line])</f>
        <v>變頻式環保雙門雪櫃(233L)</v>
      </c>
      <c r="I5120" s="86" t="str">
        <f>_xlfn.XLOOKUP(表格1[[#This Row],[Model]],表格3[Model-Input-Ref2],表格3[大小電])</f>
        <v>大電</v>
      </c>
      <c r="J5120" s="86" t="str">
        <f>_xlfn.XLOOKUP(表格1[[#This Row],[Model]],表格3[Model-Input-Ref2],表格3[Code])</f>
        <v>REF</v>
      </c>
      <c r="K5120" s="89" t="s">
        <v>1462</v>
      </c>
      <c r="L5120" s="86">
        <v>1</v>
      </c>
      <c r="M5120" s="87">
        <v>2780</v>
      </c>
      <c r="N5120" s="87">
        <f>IFERROR(表格1[[#This Row],[QTY]]*表格1[[#This Row],[Unit Price]],"-")</f>
        <v>2780</v>
      </c>
      <c r="O5120" s="86">
        <v>903317</v>
      </c>
      <c r="R5120" s="86" t="str">
        <f>_xlfn.CONCAT(表格1[[#This Row],[Model]]," ",表格1[[#This Row],[inv no]])</f>
        <v>GR-RT300WE-PMA(57) 903317</v>
      </c>
      <c r="S5120" s="86">
        <f>_xlfn.XLOOKUP(表格1[[#This Row],[Model]],表格3[Model-Input-Ref2],表格3[SRP PRICE])</f>
        <v>4280</v>
      </c>
      <c r="T5120" s="43">
        <f>表格1[[#This Row],[Unit Price]]/表格1[[#This Row],[SRP]]</f>
        <v>0.64953271028037385</v>
      </c>
      <c r="U5120" s="86" t="str">
        <f>_xlfn.XLOOKUP(表格1[[#This Row],[Model]],表格3[Model-Input-Ref2],表格3[TOSHIBA/HIGHEST])</f>
        <v>Toshiba SRP</v>
      </c>
      <c r="W5120" s="86" t="str">
        <f>_xlfn.CONCAT(表格1[[#This Row],[欄4]],表格1[[#This Row],[inv no]])</f>
        <v>903317</v>
      </c>
    </row>
    <row r="5121" spans="1:23" hidden="1">
      <c r="A5121" s="81">
        <v>5119</v>
      </c>
      <c r="B5121" s="86" t="s">
        <v>1477</v>
      </c>
      <c r="C5121" s="86" t="s">
        <v>1973</v>
      </c>
      <c r="D5121" s="89" t="str">
        <f ca="1">OFFSET(Roster!$A$3,MATCH(表格1[[#This Row],[Location]]&amp;" "&amp;表格1[[#This Row],[Shop]]&amp;"*",Roster!$A$4:$A$72,0),DAY(表格1[[#This Row],[date]]),1,1)</f>
        <v>Tiffany</v>
      </c>
      <c r="E5121" s="86">
        <f>MONTH(表格1[[#This Row],[date]])</f>
        <v>3</v>
      </c>
      <c r="F5121" s="90">
        <v>46112</v>
      </c>
      <c r="G5121" s="86" t="str">
        <f>VLOOKUP("*"&amp;表格1[[#This Row],[Input]]&amp;"*",'Ref-List'!$B:$D,2,)</f>
        <v>RC-5MMIH(WT)</v>
      </c>
      <c r="H5121" s="86" t="str">
        <f>_xlfn.XLOOKUP(表格1[[#This Row],[Model]],表格3[Model-Input-Ref2],表格3[Product Line])</f>
        <v>4毫米厚釜電飯煲0.54L</v>
      </c>
      <c r="I5121" s="86" t="str">
        <f>_xlfn.XLOOKUP(表格1[[#This Row],[Model]],表格3[Model-Input-Ref2],表格3[大小電])</f>
        <v>細電</v>
      </c>
      <c r="J5121" s="86" t="str">
        <f>_xlfn.XLOOKUP(表格1[[#This Row],[Model]],表格3[Model-Input-Ref2],表格3[Code])</f>
        <v>SDA</v>
      </c>
      <c r="K5121" s="89" t="s">
        <v>1195</v>
      </c>
      <c r="L5121" s="86">
        <v>1</v>
      </c>
      <c r="M5121" s="87">
        <v>557</v>
      </c>
      <c r="N5121" s="87">
        <f>IFERROR(表格1[[#This Row],[QTY]]*表格1[[#This Row],[Unit Price]],"-")</f>
        <v>557</v>
      </c>
      <c r="O5121" s="86">
        <v>806463</v>
      </c>
      <c r="R5121" s="86" t="str">
        <f>_xlfn.CONCAT(表格1[[#This Row],[Model]]," ",表格1[[#This Row],[inv no]])</f>
        <v>RC-5MMIH(WT) 806463</v>
      </c>
      <c r="S5121" s="86">
        <f>_xlfn.XLOOKUP(表格1[[#This Row],[Model]],表格3[Model-Input-Ref2],表格3[SRP PRICE])</f>
        <v>618</v>
      </c>
      <c r="T5121" s="43">
        <f>表格1[[#This Row],[Unit Price]]/表格1[[#This Row],[SRP]]</f>
        <v>0.90129449838187703</v>
      </c>
      <c r="U5121" s="86" t="str">
        <f>_xlfn.XLOOKUP(表格1[[#This Row],[Model]],表格3[Model-Input-Ref2],表格3[TOSHIBA/HIGHEST])</f>
        <v>Toshiba SRP</v>
      </c>
      <c r="W5121" s="86" t="str">
        <f>_xlfn.CONCAT(表格1[[#This Row],[欄4]],表格1[[#This Row],[inv no]])</f>
        <v>806463</v>
      </c>
    </row>
    <row r="5122" spans="1:23" hidden="1">
      <c r="A5122" s="81">
        <v>5120</v>
      </c>
      <c r="B5122" s="86" t="s">
        <v>1477</v>
      </c>
      <c r="C5122" s="86" t="s">
        <v>1973</v>
      </c>
      <c r="D5122" s="89" t="str">
        <f ca="1">OFFSET(Roster!$A$3,MATCH(表格1[[#This Row],[Location]]&amp;" "&amp;表格1[[#This Row],[Shop]]&amp;"*",Roster!$A$4:$A$72,0),DAY(表格1[[#This Row],[date]]),1,1)</f>
        <v>Tiffany</v>
      </c>
      <c r="E5122" s="86">
        <f>MONTH(表格1[[#This Row],[date]])</f>
        <v>3</v>
      </c>
      <c r="F5122" s="90">
        <v>46112</v>
      </c>
      <c r="G5122" s="86" t="str">
        <f>VLOOKUP("*"&amp;表格1[[#This Row],[Input]]&amp;"*",'Ref-List'!$B:$D,2,)</f>
        <v>RC-6PXTHK(W)</v>
      </c>
      <c r="H5122" s="86" t="str">
        <f>_xlfn.XLOOKUP(表格1[[#This Row],[Model]],表格3[Model-Input-Ref2],表格3[Product Line])</f>
        <v>迷你壓力磁應電飯煲(0.63公升)</v>
      </c>
      <c r="I5122" s="86" t="str">
        <f>_xlfn.XLOOKUP(表格1[[#This Row],[Model]],表格3[Model-Input-Ref2],表格3[大小電])</f>
        <v>細電</v>
      </c>
      <c r="J5122" s="86" t="str">
        <f>_xlfn.XLOOKUP(表格1[[#This Row],[Model]],表格3[Model-Input-Ref2],表格3[Code])</f>
        <v>SDA</v>
      </c>
      <c r="K5122" s="89" t="s">
        <v>1494</v>
      </c>
      <c r="L5122" s="86">
        <v>1</v>
      </c>
      <c r="M5122" s="87">
        <v>938</v>
      </c>
      <c r="N5122" s="87">
        <f>IFERROR(表格1[[#This Row],[QTY]]*表格1[[#This Row],[Unit Price]],"-")</f>
        <v>938</v>
      </c>
      <c r="O5122" s="86">
        <v>704178</v>
      </c>
      <c r="R5122" s="86" t="str">
        <f>_xlfn.CONCAT(表格1[[#This Row],[Model]]," ",表格1[[#This Row],[inv no]])</f>
        <v>RC-6PXTHK(W) 704178</v>
      </c>
      <c r="S5122" s="86">
        <f>_xlfn.XLOOKUP(表格1[[#This Row],[Model]],表格3[Model-Input-Ref2],表格3[SRP PRICE])</f>
        <v>1398</v>
      </c>
      <c r="T5122" s="43">
        <f>表格1[[#This Row],[Unit Price]]/表格1[[#This Row],[SRP]]</f>
        <v>0.67095851216022895</v>
      </c>
      <c r="U5122" s="86" t="str">
        <f>_xlfn.XLOOKUP(表格1[[#This Row],[Model]],表格3[Model-Input-Ref2],表格3[TOSHIBA/HIGHEST])</f>
        <v>Toshiba SRP</v>
      </c>
      <c r="W5122" s="86" t="str">
        <f>_xlfn.CONCAT(表格1[[#This Row],[欄4]],表格1[[#This Row],[inv no]])</f>
        <v>704178</v>
      </c>
    </row>
    <row r="5123" spans="1:23" hidden="1">
      <c r="A5123" s="81">
        <v>5121</v>
      </c>
      <c r="B5123" s="86" t="s">
        <v>1477</v>
      </c>
      <c r="C5123" s="86" t="s">
        <v>1973</v>
      </c>
      <c r="D5123" s="89" t="str">
        <f ca="1">OFFSET(Roster!$A$3,MATCH(表格1[[#This Row],[Location]]&amp;" "&amp;表格1[[#This Row],[Shop]]&amp;"*",Roster!$A$4:$A$72,0),DAY(表格1[[#This Row],[date]]),1,1)</f>
        <v>Tiffany</v>
      </c>
      <c r="E5123" s="86">
        <f>MONTH(表格1[[#This Row],[date]])</f>
        <v>3</v>
      </c>
      <c r="F5123" s="90">
        <v>46112</v>
      </c>
      <c r="G5123" s="86" t="str">
        <f>VLOOKUP("*"&amp;表格1[[#This Row],[Input]]&amp;"*",'Ref-List'!$B:$D,2,)</f>
        <v>RC-6PXTHK(W)</v>
      </c>
      <c r="H5123" s="86" t="str">
        <f>_xlfn.XLOOKUP(表格1[[#This Row],[Model]],表格3[Model-Input-Ref2],表格3[Product Line])</f>
        <v>迷你壓力磁應電飯煲(0.63公升)</v>
      </c>
      <c r="I5123" s="86" t="str">
        <f>_xlfn.XLOOKUP(表格1[[#This Row],[Model]],表格3[Model-Input-Ref2],表格3[大小電])</f>
        <v>細電</v>
      </c>
      <c r="J5123" s="86" t="str">
        <f>_xlfn.XLOOKUP(表格1[[#This Row],[Model]],表格3[Model-Input-Ref2],表格3[Code])</f>
        <v>SDA</v>
      </c>
      <c r="K5123" s="89" t="s">
        <v>1494</v>
      </c>
      <c r="L5123" s="86">
        <v>1</v>
      </c>
      <c r="M5123" s="87">
        <v>938</v>
      </c>
      <c r="N5123" s="87">
        <f>IFERROR(表格1[[#This Row],[QTY]]*表格1[[#This Row],[Unit Price]],"-")</f>
        <v>938</v>
      </c>
      <c r="O5123" s="86">
        <v>806487</v>
      </c>
      <c r="R5123" s="86" t="str">
        <f>_xlfn.CONCAT(表格1[[#This Row],[Model]]," ",表格1[[#This Row],[inv no]])</f>
        <v>RC-6PXTHK(W) 806487</v>
      </c>
      <c r="S5123" s="86">
        <f>_xlfn.XLOOKUP(表格1[[#This Row],[Model]],表格3[Model-Input-Ref2],表格3[SRP PRICE])</f>
        <v>1398</v>
      </c>
      <c r="T5123" s="43">
        <f>表格1[[#This Row],[Unit Price]]/表格1[[#This Row],[SRP]]</f>
        <v>0.67095851216022895</v>
      </c>
      <c r="U5123" s="86" t="str">
        <f>_xlfn.XLOOKUP(表格1[[#This Row],[Model]],表格3[Model-Input-Ref2],表格3[TOSHIBA/HIGHEST])</f>
        <v>Toshiba SRP</v>
      </c>
      <c r="W5123" s="86" t="str">
        <f>_xlfn.CONCAT(表格1[[#This Row],[欄4]],表格1[[#This Row],[inv no]])</f>
        <v>806487</v>
      </c>
    </row>
    <row r="5124" spans="1:23" hidden="1">
      <c r="A5124" s="81">
        <v>5122</v>
      </c>
      <c r="B5124" s="86" t="s">
        <v>1477</v>
      </c>
      <c r="C5124" s="86" t="s">
        <v>1973</v>
      </c>
      <c r="D5124" s="89" t="str">
        <f ca="1">OFFSET(Roster!$A$3,MATCH(表格1[[#This Row],[Location]]&amp;" "&amp;表格1[[#This Row],[Shop]]&amp;"*",Roster!$A$4:$A$72,0),DAY(表格1[[#This Row],[date]]),1,1)</f>
        <v>Tiffany</v>
      </c>
      <c r="E5124" s="86">
        <f>MONTH(表格1[[#This Row],[date]])</f>
        <v>3</v>
      </c>
      <c r="F5124" s="90">
        <v>46112</v>
      </c>
      <c r="G5124" s="86" t="str">
        <f>VLOOKUP("*"&amp;表格1[[#This Row],[Input]]&amp;"*",'Ref-List'!$B:$D,2,)</f>
        <v>ER-SD99HKW</v>
      </c>
      <c r="H5124" s="86" t="str">
        <f>_xlfn.XLOOKUP(表格1[[#This Row],[Model]],表格3[Model-Input-Ref2],表格3[Product Line])</f>
        <v>智能水波爐 (26公升)</v>
      </c>
      <c r="I5124" s="86" t="str">
        <f>_xlfn.XLOOKUP(表格1[[#This Row],[Model]],表格3[Model-Input-Ref2],表格3[大小電])</f>
        <v>細電</v>
      </c>
      <c r="J5124" s="86" t="str">
        <f>_xlfn.XLOOKUP(表格1[[#This Row],[Model]],表格3[Model-Input-Ref2],表格3[Code])</f>
        <v>MCA</v>
      </c>
      <c r="K5124" s="89" t="s">
        <v>1382</v>
      </c>
      <c r="L5124" s="86">
        <v>1</v>
      </c>
      <c r="M5124" s="87">
        <v>3589</v>
      </c>
      <c r="N5124" s="87">
        <f>IFERROR(表格1[[#This Row],[QTY]]*表格1[[#This Row],[Unit Price]],"-")</f>
        <v>3589</v>
      </c>
      <c r="O5124" s="86">
        <v>903302</v>
      </c>
      <c r="R5124" s="86" t="str">
        <f>_xlfn.CONCAT(表格1[[#This Row],[Model]]," ",表格1[[#This Row],[inv no]])</f>
        <v>ER-SD99HKW 903302</v>
      </c>
      <c r="S5124" s="86">
        <f>_xlfn.XLOOKUP(表格1[[#This Row],[Model]],表格3[Model-Input-Ref2],表格3[SRP PRICE])</f>
        <v>5888</v>
      </c>
      <c r="T5124" s="43">
        <f>表格1[[#This Row],[Unit Price]]/表格1[[#This Row],[SRP]]</f>
        <v>0.60954483695652173</v>
      </c>
      <c r="U5124" s="86" t="str">
        <f>_xlfn.XLOOKUP(表格1[[#This Row],[Model]],表格3[Model-Input-Ref2],表格3[TOSHIBA/HIGHEST])</f>
        <v>Toshiba SRP</v>
      </c>
      <c r="W5124" s="86" t="str">
        <f>_xlfn.CONCAT(表格1[[#This Row],[欄4]],表格1[[#This Row],[inv no]])</f>
        <v>903302</v>
      </c>
    </row>
    <row r="5125" spans="1:23" hidden="1">
      <c r="A5125" s="81">
        <v>5123</v>
      </c>
      <c r="B5125" s="86" t="s">
        <v>1477</v>
      </c>
      <c r="C5125" s="86" t="s">
        <v>1973</v>
      </c>
      <c r="D5125" s="89" t="str">
        <f ca="1">OFFSET(Roster!$A$3,MATCH(表格1[[#This Row],[Location]]&amp;" "&amp;表格1[[#This Row],[Shop]]&amp;"*",Roster!$A$4:$A$72,0),DAY(表格1[[#This Row],[date]]),1,1)</f>
        <v>Tiffany</v>
      </c>
      <c r="E5125" s="86">
        <f>MONTH(表格1[[#This Row],[date]])</f>
        <v>3</v>
      </c>
      <c r="F5125" s="90">
        <v>46112</v>
      </c>
      <c r="G5125" s="86" t="str">
        <f>VLOOKUP("*"&amp;表格1[[#This Row],[Input]]&amp;"*",'Ref-List'!$B:$D,2,)</f>
        <v>MX2-TT20SC(WH)</v>
      </c>
      <c r="H5125" s="86" t="str">
        <f>_xlfn.XLOOKUP(表格1[[#This Row],[Model]],表格3[Model-Input-Ref2],表格3[Product Line])</f>
        <v>3合1 微波蒸焗爐 (20公升)</v>
      </c>
      <c r="I5125" s="86" t="str">
        <f>_xlfn.XLOOKUP(表格1[[#This Row],[Model]],表格3[Model-Input-Ref2],表格3[大小電])</f>
        <v>細電</v>
      </c>
      <c r="J5125" s="86" t="str">
        <f>_xlfn.XLOOKUP(表格1[[#This Row],[Model]],表格3[Model-Input-Ref2],表格3[Code])</f>
        <v>MCA</v>
      </c>
      <c r="K5125" s="89" t="s">
        <v>1287</v>
      </c>
      <c r="L5125" s="86">
        <v>1</v>
      </c>
      <c r="M5125" s="87">
        <v>2580</v>
      </c>
      <c r="N5125" s="87">
        <f>IFERROR(表格1[[#This Row],[QTY]]*表格1[[#This Row],[Unit Price]],"-")</f>
        <v>2580</v>
      </c>
      <c r="O5125" s="86">
        <v>806469</v>
      </c>
      <c r="R5125" s="86" t="str">
        <f>_xlfn.CONCAT(表格1[[#This Row],[Model]]," ",表格1[[#This Row],[inv no]])</f>
        <v>MX2-TT20SC(WH) 806469</v>
      </c>
      <c r="S5125" s="86">
        <f>_xlfn.XLOOKUP(表格1[[#This Row],[Model]],表格3[Model-Input-Ref2],表格3[SRP PRICE])</f>
        <v>3580</v>
      </c>
      <c r="T5125" s="43">
        <f>表格1[[#This Row],[Unit Price]]/表格1[[#This Row],[SRP]]</f>
        <v>0.72067039106145248</v>
      </c>
      <c r="U5125" s="86" t="str">
        <f>_xlfn.XLOOKUP(表格1[[#This Row],[Model]],表格3[Model-Input-Ref2],表格3[TOSHIBA/HIGHEST])</f>
        <v>Toshiba SRP</v>
      </c>
      <c r="W5125" s="86" t="str">
        <f>_xlfn.CONCAT(表格1[[#This Row],[欄4]],表格1[[#This Row],[inv no]])</f>
        <v>806469</v>
      </c>
    </row>
    <row r="5126" spans="1:23" hidden="1">
      <c r="A5126" s="81">
        <v>5124</v>
      </c>
      <c r="B5126" s="86" t="s">
        <v>1403</v>
      </c>
      <c r="C5126" s="86" t="s">
        <v>2457</v>
      </c>
      <c r="D5126" s="89" t="str">
        <f ca="1">OFFSET(Roster!$A$3,MATCH(表格1[[#This Row],[Location]]&amp;" "&amp;表格1[[#This Row],[Shop]]&amp;"*",Roster!$A$4:$A$72,0),DAY(表格1[[#This Row],[date]]),1,1)</f>
        <v>PoWan</v>
      </c>
      <c r="E5126" s="86">
        <f>MONTH(表格1[[#This Row],[date]])</f>
        <v>3</v>
      </c>
      <c r="F5126" s="90">
        <v>46082</v>
      </c>
      <c r="G5126" s="86" t="str">
        <f>VLOOKUP("*"&amp;表格1[[#This Row],[Input]]&amp;"*",'Ref-List'!$B:$D,2,)</f>
        <v>DWS-34AHK</v>
      </c>
      <c r="H5126" s="86" t="str">
        <f>_xlfn.XLOOKUP(表格1[[#This Row],[Model]],表格3[Model-Input-Ref2],表格3[Product Line])</f>
        <v>獨立式免安裝洗碗碟機</v>
      </c>
      <c r="I5126" s="86" t="str">
        <f>_xlfn.XLOOKUP(表格1[[#This Row],[Model]],表格3[Model-Input-Ref2],表格3[大小電])</f>
        <v>細電</v>
      </c>
      <c r="J5126" s="86" t="str">
        <f>_xlfn.XLOOKUP(表格1[[#This Row],[Model]],表格3[Model-Input-Ref2],表格3[Code])</f>
        <v>DM</v>
      </c>
      <c r="K5126" s="89" t="s">
        <v>1240</v>
      </c>
      <c r="L5126" s="86">
        <v>1</v>
      </c>
      <c r="M5126" s="87">
        <v>2230</v>
      </c>
      <c r="N5126" s="87">
        <f>IFERROR(表格1[[#This Row],[QTY]]*表格1[[#This Row],[Unit Price]],"-")</f>
        <v>2230</v>
      </c>
      <c r="O5126" s="86" t="s">
        <v>2300</v>
      </c>
      <c r="R5126" s="86" t="str">
        <f>_xlfn.CONCAT(表格1[[#This Row],[Model]]," ",表格1[[#This Row],[inv no]])</f>
        <v>DWS-34AHK 451695</v>
      </c>
      <c r="S5126" s="86">
        <f>_xlfn.XLOOKUP(表格1[[#This Row],[Model]],表格3[Model-Input-Ref2],表格3[SRP PRICE])</f>
        <v>3999</v>
      </c>
      <c r="T5126" s="43">
        <f>表格1[[#This Row],[Unit Price]]/表格1[[#This Row],[SRP]]</f>
        <v>0.55763940985246307</v>
      </c>
      <c r="U5126" s="86" t="str">
        <f>_xlfn.XLOOKUP(表格1[[#This Row],[Model]],表格3[Model-Input-Ref2],表格3[TOSHIBA/HIGHEST])</f>
        <v>Web SRP</v>
      </c>
      <c r="W5126" s="86" t="str">
        <f>_xlfn.CONCAT(表格1[[#This Row],[欄4]],表格1[[#This Row],[inv no]])</f>
        <v>451695</v>
      </c>
    </row>
    <row r="5127" spans="1:23" hidden="1">
      <c r="A5127" s="81">
        <v>5125</v>
      </c>
      <c r="B5127" s="86" t="s">
        <v>1403</v>
      </c>
      <c r="C5127" s="86" t="s">
        <v>2457</v>
      </c>
      <c r="D5127" s="89" t="str">
        <f ca="1">OFFSET(Roster!$A$3,MATCH(表格1[[#This Row],[Location]]&amp;" "&amp;表格1[[#This Row],[Shop]]&amp;"*",Roster!$A$4:$A$72,0),DAY(表格1[[#This Row],[date]]),1,1)</f>
        <v>PoWan</v>
      </c>
      <c r="E5127" s="86">
        <f>MONTH(表格1[[#This Row],[date]])</f>
        <v>3</v>
      </c>
      <c r="F5127" s="90">
        <v>46082</v>
      </c>
      <c r="G5127" s="86" t="str">
        <f>VLOOKUP("*"&amp;表格1[[#This Row],[Input]]&amp;"*",'Ref-List'!$B:$D,2,)</f>
        <v>RC-DS10K(N)</v>
      </c>
      <c r="H5127" s="86" t="str">
        <f>_xlfn.XLOOKUP(表格1[[#This Row],[Model]],表格3[Model-Input-Ref2],表格3[Product Line])</f>
        <v>IH磁應電飯煲</v>
      </c>
      <c r="I5127" s="86" t="str">
        <f>_xlfn.XLOOKUP(表格1[[#This Row],[Model]],表格3[Model-Input-Ref2],表格3[大小電])</f>
        <v>細電</v>
      </c>
      <c r="J5127" s="86" t="str">
        <f>_xlfn.XLOOKUP(表格1[[#This Row],[Model]],表格3[Model-Input-Ref2],表格3[Code])</f>
        <v>SDA</v>
      </c>
      <c r="K5127" s="89" t="s">
        <v>1633</v>
      </c>
      <c r="L5127" s="86">
        <v>1</v>
      </c>
      <c r="M5127" s="87">
        <v>2870</v>
      </c>
      <c r="N5127" s="87">
        <f>IFERROR(表格1[[#This Row],[QTY]]*表格1[[#This Row],[Unit Price]],"-")</f>
        <v>2870</v>
      </c>
      <c r="O5127" s="86" t="s">
        <v>2312</v>
      </c>
      <c r="R5127" s="86" t="str">
        <f>_xlfn.CONCAT(表格1[[#This Row],[Model]]," ",表格1[[#This Row],[inv no]])</f>
        <v>RC-DS10K(N) 451715</v>
      </c>
      <c r="S5127" s="86">
        <f>_xlfn.XLOOKUP(表格1[[#This Row],[Model]],表格3[Model-Input-Ref2],表格3[SRP PRICE])</f>
        <v>4588</v>
      </c>
      <c r="T5127" s="43">
        <f>表格1[[#This Row],[Unit Price]]/表格1[[#This Row],[SRP]]</f>
        <v>0.62554489973844818</v>
      </c>
      <c r="U5127" s="86" t="str">
        <f>_xlfn.XLOOKUP(表格1[[#This Row],[Model]],表格3[Model-Input-Ref2],表格3[TOSHIBA/HIGHEST])</f>
        <v>Toshiba SRP</v>
      </c>
      <c r="W5127" s="86" t="str">
        <f>_xlfn.CONCAT(表格1[[#This Row],[欄4]],表格1[[#This Row],[inv no]])</f>
        <v>451715</v>
      </c>
    </row>
    <row r="5128" spans="1:23" hidden="1">
      <c r="A5128" s="81">
        <v>5126</v>
      </c>
      <c r="B5128" s="86" t="s">
        <v>1403</v>
      </c>
      <c r="C5128" s="86" t="s">
        <v>2457</v>
      </c>
      <c r="D5128" s="89" t="str">
        <f ca="1">OFFSET(Roster!$A$3,MATCH(表格1[[#This Row],[Location]]&amp;" "&amp;表格1[[#This Row],[Shop]]&amp;"*",Roster!$A$4:$A$72,0),DAY(表格1[[#This Row],[date]]),1,1)</f>
        <v>PoWan</v>
      </c>
      <c r="E5128" s="86">
        <f>MONTH(表格1[[#This Row],[date]])</f>
        <v>3</v>
      </c>
      <c r="F5128" s="90">
        <v>46082</v>
      </c>
      <c r="G5128" s="86" t="str">
        <f>VLOOKUP("*"&amp;表格1[[#This Row],[Input]]&amp;"*",'Ref-List'!$B:$D,2,)</f>
        <v>PC-48DRSHK(K)</v>
      </c>
      <c r="H5128" s="86" t="str">
        <f>_xlfn.XLOOKUP(表格1[[#This Row],[Model]],表格3[Model-Input-Ref2],表格3[Product Line])</f>
        <v>電壓力鍋</v>
      </c>
      <c r="I5128" s="86" t="str">
        <f>_xlfn.XLOOKUP(表格1[[#This Row],[Model]],表格3[Model-Input-Ref2],表格3[大小電])</f>
        <v>細電</v>
      </c>
      <c r="J5128" s="86" t="str">
        <f>_xlfn.XLOOKUP(表格1[[#This Row],[Model]],表格3[Model-Input-Ref2],表格3[Code])</f>
        <v>SDA</v>
      </c>
      <c r="K5128" s="89" t="s">
        <v>698</v>
      </c>
      <c r="L5128" s="86">
        <v>1</v>
      </c>
      <c r="M5128" s="87">
        <v>788</v>
      </c>
      <c r="N5128" s="87">
        <f>IFERROR(表格1[[#This Row],[QTY]]*表格1[[#This Row],[Unit Price]],"-")</f>
        <v>788</v>
      </c>
      <c r="O5128" s="86" t="s">
        <v>2314</v>
      </c>
      <c r="R5128" s="86" t="str">
        <f>_xlfn.CONCAT(表格1[[#This Row],[Model]]," ",表格1[[#This Row],[inv no]])</f>
        <v>PC-48DRSHK(K) S17M63-589</v>
      </c>
      <c r="S5128" s="86">
        <f>_xlfn.XLOOKUP(表格1[[#This Row],[Model]],表格3[Model-Input-Ref2],表格3[SRP PRICE])</f>
        <v>1188</v>
      </c>
      <c r="T5128" s="43">
        <f>表格1[[#This Row],[Unit Price]]/表格1[[#This Row],[SRP]]</f>
        <v>0.66329966329966328</v>
      </c>
      <c r="U5128" s="86" t="str">
        <f>_xlfn.XLOOKUP(表格1[[#This Row],[Model]],表格3[Model-Input-Ref2],表格3[TOSHIBA/HIGHEST])</f>
        <v>Shops Highest Price</v>
      </c>
      <c r="W5128" s="86" t="str">
        <f>_xlfn.CONCAT(表格1[[#This Row],[欄4]],表格1[[#This Row],[inv no]])</f>
        <v>S17M63-589</v>
      </c>
    </row>
    <row r="5129" spans="1:23" hidden="1">
      <c r="A5129" s="81">
        <v>5127</v>
      </c>
      <c r="B5129" s="86" t="s">
        <v>1403</v>
      </c>
      <c r="C5129" s="86" t="s">
        <v>2457</v>
      </c>
      <c r="D5129" s="89" t="str">
        <f ca="1">OFFSET(Roster!$A$3,MATCH(表格1[[#This Row],[Location]]&amp;" "&amp;表格1[[#This Row],[Shop]]&amp;"*",Roster!$A$4:$A$72,0),DAY(表格1[[#This Row],[date]]),1,1)</f>
        <v>PoWan</v>
      </c>
      <c r="E5129" s="86">
        <f>MONTH(表格1[[#This Row],[date]])</f>
        <v>3</v>
      </c>
      <c r="F5129" s="90">
        <v>46082</v>
      </c>
      <c r="G5129" s="86" t="str">
        <f>VLOOKUP("*"&amp;表格1[[#This Row],[Input]]&amp;"*",'Ref-List'!$B:$D,2,)</f>
        <v>KT-08DH1VHK(W)</v>
      </c>
      <c r="H5129" s="86" t="str">
        <f>_xlfn.XLOOKUP(表格1[[#This Row],[Model]],表格3[Model-Input-Ref2],表格3[Product Line])</f>
        <v>無線雙層電熱水壺-附可鎖壺蓋(0.8公升)</v>
      </c>
      <c r="I5129" s="86" t="str">
        <f>_xlfn.XLOOKUP(表格1[[#This Row],[Model]],表格3[Model-Input-Ref2],表格3[大小電])</f>
        <v>細電</v>
      </c>
      <c r="J5129" s="86" t="str">
        <f>_xlfn.XLOOKUP(表格1[[#This Row],[Model]],表格3[Model-Input-Ref2],表格3[Code])</f>
        <v>SDA</v>
      </c>
      <c r="K5129" s="89" t="s">
        <v>910</v>
      </c>
      <c r="L5129" s="86">
        <v>1</v>
      </c>
      <c r="M5129" s="87">
        <v>308</v>
      </c>
      <c r="N5129" s="87">
        <f>IFERROR(表格1[[#This Row],[QTY]]*表格1[[#This Row],[Unit Price]],"-")</f>
        <v>308</v>
      </c>
      <c r="O5129" s="86" t="s">
        <v>2312</v>
      </c>
      <c r="R5129" s="86" t="str">
        <f>_xlfn.CONCAT(表格1[[#This Row],[Model]]," ",表格1[[#This Row],[inv no]])</f>
        <v>KT-08DH1VHK(W) 451715</v>
      </c>
      <c r="S5129" s="86">
        <f>_xlfn.XLOOKUP(表格1[[#This Row],[Model]],表格3[Model-Input-Ref2],表格3[SRP PRICE])</f>
        <v>428</v>
      </c>
      <c r="T5129" s="43">
        <f>表格1[[#This Row],[Unit Price]]/表格1[[#This Row],[SRP]]</f>
        <v>0.71962616822429903</v>
      </c>
      <c r="U5129" s="86" t="str">
        <f>_xlfn.XLOOKUP(表格1[[#This Row],[Model]],表格3[Model-Input-Ref2],表格3[TOSHIBA/HIGHEST])</f>
        <v>Toshiba SRP</v>
      </c>
      <c r="W5129" s="86" t="str">
        <f>_xlfn.CONCAT(表格1[[#This Row],[欄4]],表格1[[#This Row],[inv no]])</f>
        <v>451715</v>
      </c>
    </row>
    <row r="5130" spans="1:23" hidden="1">
      <c r="A5130" s="81">
        <v>5128</v>
      </c>
      <c r="B5130" s="86" t="s">
        <v>1403</v>
      </c>
      <c r="C5130" s="86" t="s">
        <v>2457</v>
      </c>
      <c r="D5130" s="89" t="str">
        <f ca="1">OFFSET(Roster!$A$3,MATCH(表格1[[#This Row],[Location]]&amp;" "&amp;表格1[[#This Row],[Shop]]&amp;"*",Roster!$A$4:$A$72,0),DAY(表格1[[#This Row],[date]]),1,1)</f>
        <v>PoWan</v>
      </c>
      <c r="E5130" s="86">
        <f>MONTH(表格1[[#This Row],[date]])</f>
        <v>3</v>
      </c>
      <c r="F5130" s="90">
        <v>46082</v>
      </c>
      <c r="G5130" s="86" t="str">
        <f>VLOOKUP("*"&amp;表格1[[#This Row],[Input]]&amp;"*",'Ref-List'!$B:$D,2,)</f>
        <v>RC-DS10K(N)</v>
      </c>
      <c r="H5130" s="86" t="str">
        <f>_xlfn.XLOOKUP(表格1[[#This Row],[Model]],表格3[Model-Input-Ref2],表格3[Product Line])</f>
        <v>IH磁應電飯煲</v>
      </c>
      <c r="I5130" s="86" t="str">
        <f>_xlfn.XLOOKUP(表格1[[#This Row],[Model]],表格3[Model-Input-Ref2],表格3[大小電])</f>
        <v>細電</v>
      </c>
      <c r="J5130" s="86" t="str">
        <f>_xlfn.XLOOKUP(表格1[[#This Row],[Model]],表格3[Model-Input-Ref2],表格3[Code])</f>
        <v>SDA</v>
      </c>
      <c r="K5130" s="89" t="s">
        <v>1633</v>
      </c>
      <c r="L5130" s="86">
        <v>1</v>
      </c>
      <c r="M5130" s="87">
        <v>2870</v>
      </c>
      <c r="N5130" s="87">
        <f>IFERROR(表格1[[#This Row],[QTY]]*表格1[[#This Row],[Unit Price]],"-")</f>
        <v>2870</v>
      </c>
      <c r="O5130" s="86" t="s">
        <v>2317</v>
      </c>
      <c r="R5130" s="86" t="str">
        <f>_xlfn.CONCAT(表格1[[#This Row],[Model]]," ",表格1[[#This Row],[inv no]])</f>
        <v>RC-DS10K(N) 451702</v>
      </c>
      <c r="S5130" s="86">
        <f>_xlfn.XLOOKUP(表格1[[#This Row],[Model]],表格3[Model-Input-Ref2],表格3[SRP PRICE])</f>
        <v>4588</v>
      </c>
      <c r="T5130" s="43">
        <f>表格1[[#This Row],[Unit Price]]/表格1[[#This Row],[SRP]]</f>
        <v>0.62554489973844818</v>
      </c>
      <c r="U5130" s="86" t="str">
        <f>_xlfn.XLOOKUP(表格1[[#This Row],[Model]],表格3[Model-Input-Ref2],表格3[TOSHIBA/HIGHEST])</f>
        <v>Toshiba SRP</v>
      </c>
      <c r="W5130" s="86" t="str">
        <f>_xlfn.CONCAT(表格1[[#This Row],[欄4]],表格1[[#This Row],[inv no]])</f>
        <v>451702</v>
      </c>
    </row>
    <row r="5131" spans="1:23" hidden="1">
      <c r="A5131" s="81">
        <v>5129</v>
      </c>
      <c r="B5131" s="86" t="s">
        <v>1403</v>
      </c>
      <c r="C5131" s="86" t="s">
        <v>2457</v>
      </c>
      <c r="D5131" s="89" t="str">
        <f ca="1">OFFSET(Roster!$A$3,MATCH(表格1[[#This Row],[Location]]&amp;" "&amp;表格1[[#This Row],[Shop]]&amp;"*",Roster!$A$4:$A$72,0),DAY(表格1[[#This Row],[date]]),1,1)</f>
        <v>PoWan</v>
      </c>
      <c r="E5131" s="86">
        <f>MONTH(表格1[[#This Row],[date]])</f>
        <v>3</v>
      </c>
      <c r="F5131" s="90">
        <v>46082</v>
      </c>
      <c r="G5131" s="86" t="str">
        <f>VLOOKUP("*"&amp;表格1[[#This Row],[Input]]&amp;"*",'Ref-List'!$B:$D,2,)</f>
        <v>RC-DS18K(N)</v>
      </c>
      <c r="H5131" s="86" t="str">
        <f>_xlfn.XLOOKUP(表格1[[#This Row],[Model]],表格3[Model-Input-Ref2],表格3[Product Line])</f>
        <v>IH磁應電飯煲</v>
      </c>
      <c r="I5131" s="86" t="str">
        <f>_xlfn.XLOOKUP(表格1[[#This Row],[Model]],表格3[Model-Input-Ref2],表格3[大小電])</f>
        <v>細電</v>
      </c>
      <c r="J5131" s="86" t="str">
        <f>_xlfn.XLOOKUP(表格1[[#This Row],[Model]],表格3[Model-Input-Ref2],表格3[Code])</f>
        <v>SDA</v>
      </c>
      <c r="K5131" s="89" t="s">
        <v>1498</v>
      </c>
      <c r="L5131" s="86">
        <v>1</v>
      </c>
      <c r="M5131" s="87">
        <v>3190</v>
      </c>
      <c r="N5131" s="87">
        <f>IFERROR(表格1[[#This Row],[QTY]]*表格1[[#This Row],[Unit Price]],"-")</f>
        <v>3190</v>
      </c>
      <c r="O5131" s="86" t="s">
        <v>2317</v>
      </c>
      <c r="R5131" s="86" t="str">
        <f>_xlfn.CONCAT(表格1[[#This Row],[Model]]," ",表格1[[#This Row],[inv no]])</f>
        <v>RC-DS18K(N) 451702</v>
      </c>
      <c r="S5131" s="86">
        <f>_xlfn.XLOOKUP(表格1[[#This Row],[Model]],表格3[Model-Input-Ref2],表格3[SRP PRICE])</f>
        <v>4988</v>
      </c>
      <c r="T5131" s="43">
        <f>表格1[[#This Row],[Unit Price]]/表格1[[#This Row],[SRP]]</f>
        <v>0.63953488372093026</v>
      </c>
      <c r="U5131" s="86" t="str">
        <f>_xlfn.XLOOKUP(表格1[[#This Row],[Model]],表格3[Model-Input-Ref2],表格3[TOSHIBA/HIGHEST])</f>
        <v>Toshiba SRP</v>
      </c>
      <c r="W5131" s="86" t="str">
        <f>_xlfn.CONCAT(表格1[[#This Row],[欄4]],表格1[[#This Row],[inv no]])</f>
        <v>451702</v>
      </c>
    </row>
    <row r="5132" spans="1:23" hidden="1">
      <c r="A5132" s="81">
        <v>5130</v>
      </c>
      <c r="B5132" s="86" t="s">
        <v>1403</v>
      </c>
      <c r="C5132" s="86" t="s">
        <v>2457</v>
      </c>
      <c r="D5132" s="89" t="str">
        <f ca="1">OFFSET(Roster!$A$3,MATCH(表格1[[#This Row],[Location]]&amp;" "&amp;表格1[[#This Row],[Shop]]&amp;"*",Roster!$A$4:$A$72,0),DAY(表格1[[#This Row],[date]]),1,1)</f>
        <v>PoWan</v>
      </c>
      <c r="E5132" s="86">
        <f>MONTH(表格1[[#This Row],[date]])</f>
        <v>3</v>
      </c>
      <c r="F5132" s="90">
        <v>46082</v>
      </c>
      <c r="G5132" s="86" t="str">
        <f>VLOOKUP("*"&amp;表格1[[#This Row],[Input]]&amp;"*",'Ref-List'!$B:$D,2,)</f>
        <v>MX2-STR25SC(WH)</v>
      </c>
      <c r="H5132" s="86" t="str">
        <f>_xlfn.XLOOKUP(表格1[[#This Row],[Model]],表格3[Model-Input-Ref2],表格3[Product Line])</f>
        <v>4合1氣炸微波蒸焗爐(25公升)</v>
      </c>
      <c r="I5132" s="86" t="str">
        <f>_xlfn.XLOOKUP(表格1[[#This Row],[Model]],表格3[Model-Input-Ref2],表格3[大小電])</f>
        <v>細電</v>
      </c>
      <c r="J5132" s="86" t="str">
        <f>_xlfn.XLOOKUP(表格1[[#This Row],[Model]],表格3[Model-Input-Ref2],表格3[Code])</f>
        <v>MCA</v>
      </c>
      <c r="K5132" s="89" t="s">
        <v>861</v>
      </c>
      <c r="L5132" s="86">
        <v>1</v>
      </c>
      <c r="M5132" s="87">
        <v>3278</v>
      </c>
      <c r="N5132" s="87">
        <f>IFERROR(表格1[[#This Row],[QTY]]*表格1[[#This Row],[Unit Price]],"-")</f>
        <v>3278</v>
      </c>
      <c r="O5132" s="86" t="s">
        <v>2367</v>
      </c>
      <c r="R5132" s="86" t="str">
        <f>_xlfn.CONCAT(表格1[[#This Row],[Model]]," ",表格1[[#This Row],[inv no]])</f>
        <v>MX2-STR25SC(WH) 451741</v>
      </c>
      <c r="S5132" s="86">
        <f>_xlfn.XLOOKUP(表格1[[#This Row],[Model]],表格3[Model-Input-Ref2],表格3[SRP PRICE])</f>
        <v>4998</v>
      </c>
      <c r="T5132" s="43">
        <f>表格1[[#This Row],[Unit Price]]/表格1[[#This Row],[SRP]]</f>
        <v>0.65586234493797524</v>
      </c>
      <c r="U5132" s="86" t="str">
        <f>_xlfn.XLOOKUP(表格1[[#This Row],[Model]],表格3[Model-Input-Ref2],表格3[TOSHIBA/HIGHEST])</f>
        <v>Toshiba SRP</v>
      </c>
      <c r="W5132" s="86" t="str">
        <f>_xlfn.CONCAT(表格1[[#This Row],[欄4]],表格1[[#This Row],[inv no]])</f>
        <v>451741</v>
      </c>
    </row>
    <row r="5133" spans="1:23" hidden="1">
      <c r="A5133" s="81">
        <v>5131</v>
      </c>
      <c r="B5133" s="86" t="s">
        <v>1403</v>
      </c>
      <c r="C5133" s="86" t="s">
        <v>2457</v>
      </c>
      <c r="D5133" s="89" t="str">
        <f ca="1">OFFSET(Roster!$A$3,MATCH(表格1[[#This Row],[Location]]&amp;" "&amp;表格1[[#This Row],[Shop]]&amp;"*",Roster!$A$4:$A$72,0),DAY(表格1[[#This Row],[date]]),1,1)</f>
        <v>PoWan</v>
      </c>
      <c r="E5133" s="86">
        <f>MONTH(表格1[[#This Row],[date]])</f>
        <v>3</v>
      </c>
      <c r="F5133" s="90">
        <v>46082</v>
      </c>
      <c r="G5133" s="86" t="str">
        <f>VLOOKUP("*"&amp;表格1[[#This Row],[Input]]&amp;"*",'Ref-List'!$B:$D,2,)</f>
        <v>MX2-STR25SC(WH)</v>
      </c>
      <c r="H5133" s="86" t="str">
        <f>_xlfn.XLOOKUP(表格1[[#This Row],[Model]],表格3[Model-Input-Ref2],表格3[Product Line])</f>
        <v>4合1氣炸微波蒸焗爐(25公升)</v>
      </c>
      <c r="I5133" s="86" t="str">
        <f>_xlfn.XLOOKUP(表格1[[#This Row],[Model]],表格3[Model-Input-Ref2],表格3[大小電])</f>
        <v>細電</v>
      </c>
      <c r="J5133" s="86" t="str">
        <f>_xlfn.XLOOKUP(表格1[[#This Row],[Model]],表格3[Model-Input-Ref2],表格3[Code])</f>
        <v>MCA</v>
      </c>
      <c r="K5133" s="89" t="s">
        <v>861</v>
      </c>
      <c r="L5133" s="86">
        <v>1</v>
      </c>
      <c r="M5133" s="87">
        <v>3278</v>
      </c>
      <c r="N5133" s="87">
        <f>IFERROR(表格1[[#This Row],[QTY]]*表格1[[#This Row],[Unit Price]],"-")</f>
        <v>3278</v>
      </c>
      <c r="O5133" s="86" t="s">
        <v>2369</v>
      </c>
      <c r="R5133" s="86" t="str">
        <f>_xlfn.CONCAT(表格1[[#This Row],[Model]]," ",表格1[[#This Row],[inv no]])</f>
        <v>MX2-STR25SC(WH) 451717</v>
      </c>
      <c r="S5133" s="86">
        <f>_xlfn.XLOOKUP(表格1[[#This Row],[Model]],表格3[Model-Input-Ref2],表格3[SRP PRICE])</f>
        <v>4998</v>
      </c>
      <c r="T5133" s="43">
        <f>表格1[[#This Row],[Unit Price]]/表格1[[#This Row],[SRP]]</f>
        <v>0.65586234493797524</v>
      </c>
      <c r="U5133" s="86" t="str">
        <f>_xlfn.XLOOKUP(表格1[[#This Row],[Model]],表格3[Model-Input-Ref2],表格3[TOSHIBA/HIGHEST])</f>
        <v>Toshiba SRP</v>
      </c>
      <c r="W5133" s="86" t="str">
        <f>_xlfn.CONCAT(表格1[[#This Row],[欄4]],表格1[[#This Row],[inv no]])</f>
        <v>451717</v>
      </c>
    </row>
    <row r="5134" spans="1:23" hidden="1">
      <c r="A5134" s="81">
        <v>5132</v>
      </c>
      <c r="B5134" s="86" t="s">
        <v>1403</v>
      </c>
      <c r="C5134" s="86" t="s">
        <v>2457</v>
      </c>
      <c r="D5134" s="89" t="str">
        <f ca="1">OFFSET(Roster!$A$3,MATCH(表格1[[#This Row],[Location]]&amp;" "&amp;表格1[[#This Row],[Shop]]&amp;"*",Roster!$A$4:$A$72,0),DAY(表格1[[#This Row],[date]]),1,1)</f>
        <v>PoWan</v>
      </c>
      <c r="E5134" s="86">
        <f>MONTH(表格1[[#This Row],[date]])</f>
        <v>3</v>
      </c>
      <c r="F5134" s="90">
        <v>46082</v>
      </c>
      <c r="G5134" s="86" t="str">
        <f>VLOOKUP("*"&amp;表格1[[#This Row],[Input]]&amp;"*",'Ref-List'!$B:$D,2,)</f>
        <v>MX2-STR25SC(WH)</v>
      </c>
      <c r="H5134" s="86" t="str">
        <f>_xlfn.XLOOKUP(表格1[[#This Row],[Model]],表格3[Model-Input-Ref2],表格3[Product Line])</f>
        <v>4合1氣炸微波蒸焗爐(25公升)</v>
      </c>
      <c r="I5134" s="86" t="str">
        <f>_xlfn.XLOOKUP(表格1[[#This Row],[Model]],表格3[Model-Input-Ref2],表格3[大小電])</f>
        <v>細電</v>
      </c>
      <c r="J5134" s="86" t="str">
        <f>_xlfn.XLOOKUP(表格1[[#This Row],[Model]],表格3[Model-Input-Ref2],表格3[Code])</f>
        <v>MCA</v>
      </c>
      <c r="K5134" s="89" t="s">
        <v>861</v>
      </c>
      <c r="L5134" s="86">
        <v>1</v>
      </c>
      <c r="M5134" s="87">
        <v>3278</v>
      </c>
      <c r="N5134" s="87">
        <f>IFERROR(表格1[[#This Row],[QTY]]*表格1[[#This Row],[Unit Price]],"-")</f>
        <v>3278</v>
      </c>
      <c r="O5134" s="86" t="s">
        <v>2371</v>
      </c>
      <c r="R5134" s="86" t="str">
        <f>_xlfn.CONCAT(表格1[[#This Row],[Model]]," ",表格1[[#This Row],[inv no]])</f>
        <v>MX2-STR25SC(WH) S17M51-4034</v>
      </c>
      <c r="S5134" s="86">
        <f>_xlfn.XLOOKUP(表格1[[#This Row],[Model]],表格3[Model-Input-Ref2],表格3[SRP PRICE])</f>
        <v>4998</v>
      </c>
      <c r="T5134" s="43">
        <f>表格1[[#This Row],[Unit Price]]/表格1[[#This Row],[SRP]]</f>
        <v>0.65586234493797524</v>
      </c>
      <c r="U5134" s="86" t="str">
        <f>_xlfn.XLOOKUP(表格1[[#This Row],[Model]],表格3[Model-Input-Ref2],表格3[TOSHIBA/HIGHEST])</f>
        <v>Toshiba SRP</v>
      </c>
      <c r="W5134" s="86" t="str">
        <f>_xlfn.CONCAT(表格1[[#This Row],[欄4]],表格1[[#This Row],[inv no]])</f>
        <v>S17M51-4034</v>
      </c>
    </row>
    <row r="5135" spans="1:23" hidden="1">
      <c r="A5135" s="81">
        <v>5133</v>
      </c>
      <c r="B5135" s="86" t="s">
        <v>1403</v>
      </c>
      <c r="C5135" s="86" t="s">
        <v>2457</v>
      </c>
      <c r="D5135" s="89" t="str">
        <f ca="1">OFFSET(Roster!$A$3,MATCH(表格1[[#This Row],[Location]]&amp;" "&amp;表格1[[#This Row],[Shop]]&amp;"*",Roster!$A$4:$A$72,0),DAY(表格1[[#This Row],[date]]),1,1)</f>
        <v>PoWan</v>
      </c>
      <c r="E5135" s="86">
        <f>MONTH(表格1[[#This Row],[date]])</f>
        <v>3</v>
      </c>
      <c r="F5135" s="90">
        <v>46082</v>
      </c>
      <c r="G5135" s="86" t="str">
        <f>VLOOKUP("*"&amp;表格1[[#This Row],[Input]]&amp;"*",'Ref-List'!$B:$D,2,)</f>
        <v>MX2-TT20SC(WH)</v>
      </c>
      <c r="H5135" s="86" t="str">
        <f>_xlfn.XLOOKUP(表格1[[#This Row],[Model]],表格3[Model-Input-Ref2],表格3[Product Line])</f>
        <v>3合1 微波蒸焗爐 (20公升)</v>
      </c>
      <c r="I5135" s="86" t="str">
        <f>_xlfn.XLOOKUP(表格1[[#This Row],[Model]],表格3[Model-Input-Ref2],表格3[大小電])</f>
        <v>細電</v>
      </c>
      <c r="J5135" s="86" t="str">
        <f>_xlfn.XLOOKUP(表格1[[#This Row],[Model]],表格3[Model-Input-Ref2],表格3[Code])</f>
        <v>MCA</v>
      </c>
      <c r="K5135" s="89" t="s">
        <v>944</v>
      </c>
      <c r="L5135" s="86">
        <v>1</v>
      </c>
      <c r="M5135" s="87">
        <v>2330</v>
      </c>
      <c r="N5135" s="87">
        <f>IFERROR(表格1[[#This Row],[QTY]]*表格1[[#This Row],[Unit Price]],"-")</f>
        <v>2330</v>
      </c>
      <c r="O5135" s="171" t="s">
        <v>2406</v>
      </c>
      <c r="R5135" s="86" t="str">
        <f>_xlfn.CONCAT(表格1[[#This Row],[Model]]," ",表格1[[#This Row],[inv no]])</f>
        <v>MX2-TT20SC(WH) 451716</v>
      </c>
      <c r="S5135" s="86">
        <f>_xlfn.XLOOKUP(表格1[[#This Row],[Model]],表格3[Model-Input-Ref2],表格3[SRP PRICE])</f>
        <v>3580</v>
      </c>
      <c r="T5135" s="43">
        <f>表格1[[#This Row],[Unit Price]]/表格1[[#This Row],[SRP]]</f>
        <v>0.65083798882681565</v>
      </c>
      <c r="U5135" s="86" t="str">
        <f>_xlfn.XLOOKUP(表格1[[#This Row],[Model]],表格3[Model-Input-Ref2],表格3[TOSHIBA/HIGHEST])</f>
        <v>Toshiba SRP</v>
      </c>
      <c r="W5135" s="86" t="str">
        <f>_xlfn.CONCAT(表格1[[#This Row],[欄4]],表格1[[#This Row],[inv no]])</f>
        <v>451716</v>
      </c>
    </row>
    <row r="5136" spans="1:23" hidden="1">
      <c r="A5136" s="81">
        <v>5134</v>
      </c>
      <c r="B5136" s="86" t="s">
        <v>1403</v>
      </c>
      <c r="C5136" s="86" t="s">
        <v>2457</v>
      </c>
      <c r="D5136" s="89" t="str">
        <f ca="1">OFFSET(Roster!$A$3,MATCH(表格1[[#This Row],[Location]]&amp;" "&amp;表格1[[#This Row],[Shop]]&amp;"*",Roster!$A$4:$A$72,0),DAY(表格1[[#This Row],[date]]),1,1)</f>
        <v>PoWan</v>
      </c>
      <c r="E5136" s="86">
        <f>MONTH(表格1[[#This Row],[date]])</f>
        <v>3</v>
      </c>
      <c r="F5136" s="90">
        <v>46083</v>
      </c>
      <c r="G5136" s="86" t="str">
        <f>VLOOKUP("*"&amp;表格1[[#This Row],[Input]]&amp;"*",'Ref-List'!$B:$D,2,)</f>
        <v>ER-VD7000HK(XK)</v>
      </c>
      <c r="H5136" s="86" t="str">
        <f>_xlfn.XLOOKUP(表格1[[#This Row],[Model]],表格3[Model-Input-Ref2],表格3[Product Line])</f>
        <v>水波爐</v>
      </c>
      <c r="I5136" s="86" t="str">
        <f>_xlfn.XLOOKUP(表格1[[#This Row],[Model]],表格3[Model-Input-Ref2],表格3[大小電])</f>
        <v>細電</v>
      </c>
      <c r="J5136" s="86" t="str">
        <f>_xlfn.XLOOKUP(表格1[[#This Row],[Model]],表格3[Model-Input-Ref2],表格3[Code])</f>
        <v>MCA</v>
      </c>
      <c r="K5136" s="89" t="s">
        <v>819</v>
      </c>
      <c r="L5136" s="86">
        <v>1</v>
      </c>
      <c r="M5136" s="87">
        <v>6200</v>
      </c>
      <c r="N5136" s="87">
        <f>IFERROR(表格1[[#This Row],[QTY]]*表格1[[#This Row],[Unit Price]],"-")</f>
        <v>6200</v>
      </c>
      <c r="O5136" s="171" t="s">
        <v>2310</v>
      </c>
      <c r="P5136" s="171"/>
      <c r="R5136" s="86" t="str">
        <f>_xlfn.CONCAT(表格1[[#This Row],[Model]]," ",表格1[[#This Row],[inv no]])</f>
        <v>ER-VD7000HK(XK) 451744</v>
      </c>
      <c r="S5136" s="86">
        <f>_xlfn.XLOOKUP(表格1[[#This Row],[Model]],表格3[Model-Input-Ref2],表格3[SRP PRICE])</f>
        <v>8998</v>
      </c>
      <c r="T5136" s="43">
        <f>表格1[[#This Row],[Unit Price]]/表格1[[#This Row],[SRP]]</f>
        <v>0.68904200933540782</v>
      </c>
      <c r="U5136" s="86" t="str">
        <f>_xlfn.XLOOKUP(表格1[[#This Row],[Model]],表格3[Model-Input-Ref2],表格3[TOSHIBA/HIGHEST])</f>
        <v>Toshiba SRP</v>
      </c>
      <c r="W5136" s="86" t="str">
        <f>_xlfn.CONCAT(表格1[[#This Row],[欄4]],表格1[[#This Row],[inv no]])</f>
        <v>451744</v>
      </c>
    </row>
    <row r="5137" spans="1:23" hidden="1">
      <c r="A5137" s="81">
        <v>5135</v>
      </c>
      <c r="B5137" s="86" t="s">
        <v>1403</v>
      </c>
      <c r="C5137" s="86" t="s">
        <v>2457</v>
      </c>
      <c r="D5137" s="89" t="str">
        <f ca="1">OFFSET(Roster!$A$3,MATCH(表格1[[#This Row],[Location]]&amp;" "&amp;表格1[[#This Row],[Shop]]&amp;"*",Roster!$A$4:$A$72,0),DAY(表格1[[#This Row],[date]]),1,1)</f>
        <v>PoWan</v>
      </c>
      <c r="E5137" s="86">
        <f>MONTH(表格1[[#This Row],[date]])</f>
        <v>3</v>
      </c>
      <c r="F5137" s="90">
        <v>46083</v>
      </c>
      <c r="G5137" s="86" t="str">
        <f>VLOOKUP("*"&amp;表格1[[#This Row],[Input]]&amp;"*",'Ref-List'!$B:$D,2,)</f>
        <v>KT-17DRTHK(H)</v>
      </c>
      <c r="H5137" s="86" t="str">
        <f>_xlfn.XLOOKUP(表格1[[#This Row],[Model]],表格3[Model-Input-Ref2],表格3[Product Line])</f>
        <v>無線雙層電熱水壺(1.7公升)</v>
      </c>
      <c r="I5137" s="86" t="str">
        <f>_xlfn.XLOOKUP(表格1[[#This Row],[Model]],表格3[Model-Input-Ref2],表格3[大小電])</f>
        <v>細電</v>
      </c>
      <c r="J5137" s="86" t="str">
        <f>_xlfn.XLOOKUP(表格1[[#This Row],[Model]],表格3[Model-Input-Ref2],表格3[Code])</f>
        <v>SDA</v>
      </c>
      <c r="K5137" s="89" t="s">
        <v>798</v>
      </c>
      <c r="L5137" s="86">
        <v>1</v>
      </c>
      <c r="M5137" s="87">
        <v>388</v>
      </c>
      <c r="N5137" s="87">
        <f>IFERROR(表格1[[#This Row],[QTY]]*表格1[[#This Row],[Unit Price]],"-")</f>
        <v>388</v>
      </c>
      <c r="O5137" s="86" t="s">
        <v>2319</v>
      </c>
      <c r="R5137" s="86" t="str">
        <f>_xlfn.CONCAT(表格1[[#This Row],[Model]]," ",表格1[[#This Row],[inv no]])</f>
        <v>KT-17DRTHK(H) 1450</v>
      </c>
      <c r="S5137" s="86">
        <f>_xlfn.XLOOKUP(表格1[[#This Row],[Model]],表格3[Model-Input-Ref2],表格3[SRP PRICE])</f>
        <v>498</v>
      </c>
      <c r="T5137" s="43">
        <f>表格1[[#This Row],[Unit Price]]/表格1[[#This Row],[SRP]]</f>
        <v>0.77911646586345384</v>
      </c>
      <c r="U5137" s="86" t="str">
        <f>_xlfn.XLOOKUP(表格1[[#This Row],[Model]],表格3[Model-Input-Ref2],表格3[TOSHIBA/HIGHEST])</f>
        <v>Toshiba SRP</v>
      </c>
      <c r="W5137" s="86" t="str">
        <f>_xlfn.CONCAT(表格1[[#This Row],[欄4]],表格1[[#This Row],[inv no]])</f>
        <v>1450</v>
      </c>
    </row>
    <row r="5138" spans="1:23" hidden="1">
      <c r="A5138" s="81">
        <v>5136</v>
      </c>
      <c r="B5138" s="86" t="s">
        <v>1403</v>
      </c>
      <c r="C5138" s="86" t="s">
        <v>2457</v>
      </c>
      <c r="D5138" s="89" t="str">
        <f ca="1">OFFSET(Roster!$A$3,MATCH(表格1[[#This Row],[Location]]&amp;" "&amp;表格1[[#This Row],[Shop]]&amp;"*",Roster!$A$4:$A$72,0),DAY(表格1[[#This Row],[date]]),1,1)</f>
        <v>PoWan</v>
      </c>
      <c r="E5138" s="86">
        <f>MONTH(表格1[[#This Row],[date]])</f>
        <v>3</v>
      </c>
      <c r="F5138" s="90">
        <v>46083</v>
      </c>
      <c r="G5138" s="86" t="str">
        <f>VLOOKUP("*"&amp;表格1[[#This Row],[Input]]&amp;"*",'Ref-List'!$B:$D,2,)</f>
        <v>MM2-EG20PC(WH)</v>
      </c>
      <c r="H5138" s="86" t="str">
        <f>_xlfn.XLOOKUP(表格1[[#This Row],[Model]],表格3[Model-Input-Ref2],表格3[Product Line])</f>
        <v>輕觸式燒烤微波爐</v>
      </c>
      <c r="I5138" s="86" t="str">
        <f>_xlfn.XLOOKUP(表格1[[#This Row],[Model]],表格3[Model-Input-Ref2],表格3[大小電])</f>
        <v>細電</v>
      </c>
      <c r="J5138" s="86" t="str">
        <f>_xlfn.XLOOKUP(表格1[[#This Row],[Model]],表格3[Model-Input-Ref2],表格3[Code])</f>
        <v>MCA</v>
      </c>
      <c r="K5138" s="89" t="s">
        <v>824</v>
      </c>
      <c r="L5138" s="86">
        <v>1</v>
      </c>
      <c r="M5138" s="87">
        <v>698</v>
      </c>
      <c r="N5138" s="87">
        <f>IFERROR(表格1[[#This Row],[QTY]]*表格1[[#This Row],[Unit Price]],"-")</f>
        <v>698</v>
      </c>
      <c r="O5138" s="86" t="s">
        <v>2321</v>
      </c>
      <c r="R5138" s="86" t="str">
        <f>_xlfn.CONCAT(表格1[[#This Row],[Model]]," ",表格1[[#This Row],[inv no]])</f>
        <v>MM2-EG20PC(WH) 5479</v>
      </c>
      <c r="S5138" s="86">
        <f>_xlfn.XLOOKUP(表格1[[#This Row],[Model]],表格3[Model-Input-Ref2],表格3[SRP PRICE])</f>
        <v>918</v>
      </c>
      <c r="T5138" s="43">
        <f>表格1[[#This Row],[Unit Price]]/表格1[[#This Row],[SRP]]</f>
        <v>0.76034858387799564</v>
      </c>
      <c r="U5138" s="86" t="str">
        <f>_xlfn.XLOOKUP(表格1[[#This Row],[Model]],表格3[Model-Input-Ref2],表格3[TOSHIBA/HIGHEST])</f>
        <v>Shops Highest Price</v>
      </c>
      <c r="W5138" s="86" t="str">
        <f>_xlfn.CONCAT(表格1[[#This Row],[欄4]],表格1[[#This Row],[inv no]])</f>
        <v>5479</v>
      </c>
    </row>
    <row r="5139" spans="1:23" hidden="1">
      <c r="A5139" s="81">
        <v>5137</v>
      </c>
      <c r="B5139" s="86" t="s">
        <v>1403</v>
      </c>
      <c r="C5139" s="86" t="s">
        <v>2457</v>
      </c>
      <c r="D5139" s="89" t="str">
        <f ca="1">OFFSET(Roster!$A$3,MATCH(表格1[[#This Row],[Location]]&amp;" "&amp;表格1[[#This Row],[Shop]]&amp;"*",Roster!$A$4:$A$72,0),DAY(表格1[[#This Row],[date]]),1,1)</f>
        <v>PoWan</v>
      </c>
      <c r="E5139" s="86">
        <f>MONTH(表格1[[#This Row],[date]])</f>
        <v>3</v>
      </c>
      <c r="F5139" s="90">
        <v>46083</v>
      </c>
      <c r="G5139" s="86" t="str">
        <f>VLOOKUP("*"&amp;表格1[[#This Row],[Input]]&amp;"*",'Ref-List'!$B:$D,2,)</f>
        <v>MM2-EG20PC(WH)</v>
      </c>
      <c r="H5139" s="86" t="str">
        <f>_xlfn.XLOOKUP(表格1[[#This Row],[Model]],表格3[Model-Input-Ref2],表格3[Product Line])</f>
        <v>輕觸式燒烤微波爐</v>
      </c>
      <c r="I5139" s="86" t="str">
        <f>_xlfn.XLOOKUP(表格1[[#This Row],[Model]],表格3[Model-Input-Ref2],表格3[大小電])</f>
        <v>細電</v>
      </c>
      <c r="J5139" s="86" t="str">
        <f>_xlfn.XLOOKUP(表格1[[#This Row],[Model]],表格3[Model-Input-Ref2],表格3[Code])</f>
        <v>MCA</v>
      </c>
      <c r="K5139" s="89" t="s">
        <v>824</v>
      </c>
      <c r="L5139" s="86">
        <v>1</v>
      </c>
      <c r="M5139" s="87">
        <v>698</v>
      </c>
      <c r="N5139" s="87">
        <f>IFERROR(表格1[[#This Row],[QTY]]*表格1[[#This Row],[Unit Price]],"-")</f>
        <v>698</v>
      </c>
      <c r="O5139" s="86" t="s">
        <v>2323</v>
      </c>
      <c r="R5139" s="86" t="str">
        <f>_xlfn.CONCAT(表格1[[#This Row],[Model]]," ",表格1[[#This Row],[inv no]])</f>
        <v>MM2-EG20PC(WH) 5482</v>
      </c>
      <c r="S5139" s="86">
        <f>_xlfn.XLOOKUP(表格1[[#This Row],[Model]],表格3[Model-Input-Ref2],表格3[SRP PRICE])</f>
        <v>918</v>
      </c>
      <c r="T5139" s="43">
        <f>表格1[[#This Row],[Unit Price]]/表格1[[#This Row],[SRP]]</f>
        <v>0.76034858387799564</v>
      </c>
      <c r="U5139" s="86" t="str">
        <f>_xlfn.XLOOKUP(表格1[[#This Row],[Model]],表格3[Model-Input-Ref2],表格3[TOSHIBA/HIGHEST])</f>
        <v>Shops Highest Price</v>
      </c>
      <c r="W5139" s="86" t="str">
        <f>_xlfn.CONCAT(表格1[[#This Row],[欄4]],表格1[[#This Row],[inv no]])</f>
        <v>5482</v>
      </c>
    </row>
    <row r="5140" spans="1:23" hidden="1">
      <c r="A5140" s="81">
        <v>5138</v>
      </c>
      <c r="B5140" s="86" t="s">
        <v>1403</v>
      </c>
      <c r="C5140" s="86" t="s">
        <v>2457</v>
      </c>
      <c r="D5140" s="89" t="str">
        <f ca="1">OFFSET(Roster!$A$3,MATCH(表格1[[#This Row],[Location]]&amp;" "&amp;表格1[[#This Row],[Shop]]&amp;"*",Roster!$A$4:$A$72,0),DAY(表格1[[#This Row],[date]]),1,1)</f>
        <v>PoWan</v>
      </c>
      <c r="E5140" s="86">
        <f>MONTH(表格1[[#This Row],[date]])</f>
        <v>3</v>
      </c>
      <c r="F5140" s="90">
        <v>46083</v>
      </c>
      <c r="G5140" s="86" t="str">
        <f>VLOOKUP("*"&amp;表格1[[#This Row],[Input]]&amp;"*",'Ref-List'!$B:$D,2,)</f>
        <v>MX2-STR25SC(WH)</v>
      </c>
      <c r="H5140" s="86" t="str">
        <f>_xlfn.XLOOKUP(表格1[[#This Row],[Model]],表格3[Model-Input-Ref2],表格3[Product Line])</f>
        <v>4合1氣炸微波蒸焗爐(25公升)</v>
      </c>
      <c r="I5140" s="86" t="str">
        <f>_xlfn.XLOOKUP(表格1[[#This Row],[Model]],表格3[Model-Input-Ref2],表格3[大小電])</f>
        <v>細電</v>
      </c>
      <c r="J5140" s="86" t="str">
        <f>_xlfn.XLOOKUP(表格1[[#This Row],[Model]],表格3[Model-Input-Ref2],表格3[Code])</f>
        <v>MCA</v>
      </c>
      <c r="K5140" s="89" t="s">
        <v>861</v>
      </c>
      <c r="L5140" s="86">
        <v>1</v>
      </c>
      <c r="M5140" s="87">
        <v>3278</v>
      </c>
      <c r="N5140" s="87">
        <f>IFERROR(表格1[[#This Row],[QTY]]*表格1[[#This Row],[Unit Price]],"-")</f>
        <v>3278</v>
      </c>
      <c r="O5140" s="86" t="s">
        <v>2365</v>
      </c>
      <c r="R5140" s="86" t="str">
        <f>_xlfn.CONCAT(表格1[[#This Row],[Model]]," ",表格1[[#This Row],[inv no]])</f>
        <v>MX2-STR25SC(WH) S17M63-597</v>
      </c>
      <c r="S5140" s="86">
        <f>_xlfn.XLOOKUP(表格1[[#This Row],[Model]],表格3[Model-Input-Ref2],表格3[SRP PRICE])</f>
        <v>4998</v>
      </c>
      <c r="T5140" s="43">
        <f>表格1[[#This Row],[Unit Price]]/表格1[[#This Row],[SRP]]</f>
        <v>0.65586234493797524</v>
      </c>
      <c r="U5140" s="86" t="str">
        <f>_xlfn.XLOOKUP(表格1[[#This Row],[Model]],表格3[Model-Input-Ref2],表格3[TOSHIBA/HIGHEST])</f>
        <v>Toshiba SRP</v>
      </c>
      <c r="W5140" s="86" t="str">
        <f>_xlfn.CONCAT(表格1[[#This Row],[欄4]],表格1[[#This Row],[inv no]])</f>
        <v>S17M63-597</v>
      </c>
    </row>
    <row r="5141" spans="1:23" hidden="1">
      <c r="A5141" s="81">
        <v>5139</v>
      </c>
      <c r="B5141" s="86" t="s">
        <v>1403</v>
      </c>
      <c r="C5141" s="86" t="s">
        <v>2457</v>
      </c>
      <c r="D5141" s="89" t="str">
        <f ca="1">OFFSET(Roster!$A$3,MATCH(表格1[[#This Row],[Location]]&amp;" "&amp;表格1[[#This Row],[Shop]]&amp;"*",Roster!$A$4:$A$72,0),DAY(表格1[[#This Row],[date]]),1,1)</f>
        <v>PoWan</v>
      </c>
      <c r="E5141" s="86">
        <f>MONTH(表格1[[#This Row],[date]])</f>
        <v>3</v>
      </c>
      <c r="F5141" s="90">
        <v>46083</v>
      </c>
      <c r="G5141" s="86" t="str">
        <f>VLOOKUP("*"&amp;表格1[[#This Row],[Input]]&amp;"*",'Ref-List'!$B:$D,2,)</f>
        <v>KT-17DRTHK(H)</v>
      </c>
      <c r="H5141" s="86" t="str">
        <f>_xlfn.XLOOKUP(表格1[[#This Row],[Model]],表格3[Model-Input-Ref2],表格3[Product Line])</f>
        <v>無線雙層電熱水壺(1.7公升)</v>
      </c>
      <c r="I5141" s="86" t="str">
        <f>_xlfn.XLOOKUP(表格1[[#This Row],[Model]],表格3[Model-Input-Ref2],表格3[大小電])</f>
        <v>細電</v>
      </c>
      <c r="J5141" s="86" t="str">
        <f>_xlfn.XLOOKUP(表格1[[#This Row],[Model]],表格3[Model-Input-Ref2],表格3[Code])</f>
        <v>SDA</v>
      </c>
      <c r="K5141" s="89" t="s">
        <v>798</v>
      </c>
      <c r="L5141" s="86">
        <v>1</v>
      </c>
      <c r="M5141" s="87">
        <v>388</v>
      </c>
      <c r="N5141" s="87">
        <f>IFERROR(表格1[[#This Row],[QTY]]*表格1[[#This Row],[Unit Price]],"-")</f>
        <v>388</v>
      </c>
      <c r="O5141" s="86" t="s">
        <v>2408</v>
      </c>
      <c r="R5141" s="86" t="str">
        <f>_xlfn.CONCAT(表格1[[#This Row],[Model]]," ",表格1[[#This Row],[inv no]])</f>
        <v>KT-17DRTHK(H) 756</v>
      </c>
      <c r="S5141" s="86">
        <f>_xlfn.XLOOKUP(表格1[[#This Row],[Model]],表格3[Model-Input-Ref2],表格3[SRP PRICE])</f>
        <v>498</v>
      </c>
      <c r="T5141" s="43">
        <f>表格1[[#This Row],[Unit Price]]/表格1[[#This Row],[SRP]]</f>
        <v>0.77911646586345384</v>
      </c>
      <c r="U5141" s="86" t="str">
        <f>_xlfn.XLOOKUP(表格1[[#This Row],[Model]],表格3[Model-Input-Ref2],表格3[TOSHIBA/HIGHEST])</f>
        <v>Toshiba SRP</v>
      </c>
      <c r="W5141" s="86" t="str">
        <f>_xlfn.CONCAT(表格1[[#This Row],[欄4]],表格1[[#This Row],[inv no]])</f>
        <v>756</v>
      </c>
    </row>
    <row r="5142" spans="1:23" hidden="1">
      <c r="A5142" s="81">
        <v>5140</v>
      </c>
      <c r="B5142" s="86" t="s">
        <v>1403</v>
      </c>
      <c r="C5142" s="86" t="s">
        <v>2457</v>
      </c>
      <c r="D5142" s="89" t="str">
        <f ca="1">OFFSET(Roster!$A$3,MATCH(表格1[[#This Row],[Location]]&amp;" "&amp;表格1[[#This Row],[Shop]]&amp;"*",Roster!$A$4:$A$72,0),DAY(表格1[[#This Row],[date]]),1,1)</f>
        <v>PoWan</v>
      </c>
      <c r="E5142" s="86">
        <f>MONTH(表格1[[#This Row],[date]])</f>
        <v>3</v>
      </c>
      <c r="F5142" s="90">
        <v>46084</v>
      </c>
      <c r="G5142" s="86" t="str">
        <f>VLOOKUP("*"&amp;表格1[[#This Row],[Input]]&amp;"*",'Ref-List'!$B:$D,2,)</f>
        <v>MX2-TT20SC(WH)</v>
      </c>
      <c r="H5142" s="86" t="str">
        <f>_xlfn.XLOOKUP(表格1[[#This Row],[Model]],表格3[Model-Input-Ref2],表格3[Product Line])</f>
        <v>3合1 微波蒸焗爐 (20公升)</v>
      </c>
      <c r="I5142" s="86" t="str">
        <f>_xlfn.XLOOKUP(表格1[[#This Row],[Model]],表格3[Model-Input-Ref2],表格3[大小電])</f>
        <v>細電</v>
      </c>
      <c r="J5142" s="86" t="str">
        <f>_xlfn.XLOOKUP(表格1[[#This Row],[Model]],表格3[Model-Input-Ref2],表格3[Code])</f>
        <v>MCA</v>
      </c>
      <c r="K5142" s="89" t="s">
        <v>944</v>
      </c>
      <c r="L5142" s="86">
        <v>1</v>
      </c>
      <c r="M5142" s="87">
        <v>2330</v>
      </c>
      <c r="N5142" s="87">
        <f>IFERROR(表格1[[#This Row],[QTY]]*表格1[[#This Row],[Unit Price]],"-")</f>
        <v>2330</v>
      </c>
      <c r="O5142" s="86" t="s">
        <v>2402</v>
      </c>
      <c r="R5142" s="86" t="str">
        <f>_xlfn.CONCAT(表格1[[#This Row],[Model]]," ",表格1[[#This Row],[inv no]])</f>
        <v>MX2-TT20SC(WH) 451815</v>
      </c>
      <c r="S5142" s="86">
        <f>_xlfn.XLOOKUP(表格1[[#This Row],[Model]],表格3[Model-Input-Ref2],表格3[SRP PRICE])</f>
        <v>3580</v>
      </c>
      <c r="T5142" s="43">
        <f>表格1[[#This Row],[Unit Price]]/表格1[[#This Row],[SRP]]</f>
        <v>0.65083798882681565</v>
      </c>
      <c r="U5142" s="86" t="str">
        <f>_xlfn.XLOOKUP(表格1[[#This Row],[Model]],表格3[Model-Input-Ref2],表格3[TOSHIBA/HIGHEST])</f>
        <v>Toshiba SRP</v>
      </c>
      <c r="W5142" s="86" t="str">
        <f>_xlfn.CONCAT(表格1[[#This Row],[欄4]],表格1[[#This Row],[inv no]])</f>
        <v>451815</v>
      </c>
    </row>
    <row r="5143" spans="1:23" hidden="1">
      <c r="A5143" s="81">
        <v>5141</v>
      </c>
      <c r="B5143" s="86" t="s">
        <v>1403</v>
      </c>
      <c r="C5143" s="86" t="s">
        <v>2457</v>
      </c>
      <c r="D5143" s="89" t="str">
        <f ca="1">OFFSET(Roster!$A$3,MATCH(表格1[[#This Row],[Location]]&amp;" "&amp;表格1[[#This Row],[Shop]]&amp;"*",Roster!$A$4:$A$72,0),DAY(表格1[[#This Row],[date]]),1,1)</f>
        <v>PoWan</v>
      </c>
      <c r="E5143" s="86">
        <f>MONTH(表格1[[#This Row],[date]])</f>
        <v>3</v>
      </c>
      <c r="F5143" s="90">
        <v>46084</v>
      </c>
      <c r="G5143" s="86" t="str">
        <f>VLOOKUP("*"&amp;表格1[[#This Row],[Input]]&amp;"*",'Ref-List'!$B:$D,2,)</f>
        <v>MX2-TT20SC(WH)</v>
      </c>
      <c r="H5143" s="86" t="str">
        <f>_xlfn.XLOOKUP(表格1[[#This Row],[Model]],表格3[Model-Input-Ref2],表格3[Product Line])</f>
        <v>3合1 微波蒸焗爐 (20公升)</v>
      </c>
      <c r="I5143" s="86" t="str">
        <f>_xlfn.XLOOKUP(表格1[[#This Row],[Model]],表格3[Model-Input-Ref2],表格3[大小電])</f>
        <v>細電</v>
      </c>
      <c r="J5143" s="86" t="str">
        <f>_xlfn.XLOOKUP(表格1[[#This Row],[Model]],表格3[Model-Input-Ref2],表格3[Code])</f>
        <v>MCA</v>
      </c>
      <c r="K5143" s="89" t="s">
        <v>944</v>
      </c>
      <c r="L5143" s="86">
        <v>1</v>
      </c>
      <c r="M5143" s="87">
        <v>2330</v>
      </c>
      <c r="N5143" s="87">
        <f>IFERROR(表格1[[#This Row],[QTY]]*表格1[[#This Row],[Unit Price]],"-")</f>
        <v>2330</v>
      </c>
      <c r="O5143" s="86" t="s">
        <v>2404</v>
      </c>
      <c r="R5143" s="86" t="str">
        <f>_xlfn.CONCAT(表格1[[#This Row],[Model]]," ",表格1[[#This Row],[inv no]])</f>
        <v>MX2-TT20SC(WH) 451785</v>
      </c>
      <c r="S5143" s="86">
        <f>_xlfn.XLOOKUP(表格1[[#This Row],[Model]],表格3[Model-Input-Ref2],表格3[SRP PRICE])</f>
        <v>3580</v>
      </c>
      <c r="T5143" s="43">
        <f>表格1[[#This Row],[Unit Price]]/表格1[[#This Row],[SRP]]</f>
        <v>0.65083798882681565</v>
      </c>
      <c r="U5143" s="86" t="str">
        <f>_xlfn.XLOOKUP(表格1[[#This Row],[Model]],表格3[Model-Input-Ref2],表格3[TOSHIBA/HIGHEST])</f>
        <v>Toshiba SRP</v>
      </c>
      <c r="W5143" s="86" t="str">
        <f>_xlfn.CONCAT(表格1[[#This Row],[欄4]],表格1[[#This Row],[inv no]])</f>
        <v>451785</v>
      </c>
    </row>
    <row r="5144" spans="1:23" hidden="1">
      <c r="A5144" s="81">
        <v>5142</v>
      </c>
      <c r="B5144" s="86" t="s">
        <v>1403</v>
      </c>
      <c r="C5144" s="86" t="s">
        <v>2457</v>
      </c>
      <c r="D5144" s="89" t="str">
        <f ca="1">OFFSET(Roster!$A$3,MATCH(表格1[[#This Row],[Location]]&amp;" "&amp;表格1[[#This Row],[Shop]]&amp;"*",Roster!$A$4:$A$72,0),DAY(表格1[[#This Row],[date]]),1,1)</f>
        <v>PoWan</v>
      </c>
      <c r="E5144" s="86">
        <f>MONTH(表格1[[#This Row],[date]])</f>
        <v>3</v>
      </c>
      <c r="F5144" s="90">
        <v>46084</v>
      </c>
      <c r="G5144" s="86" t="str">
        <f>VLOOKUP("*"&amp;表格1[[#This Row],[Input]]&amp;"*",'Ref-List'!$B:$D,2,)</f>
        <v>RC-DR18T(W)</v>
      </c>
      <c r="H5144" s="86" t="str">
        <f>_xlfn.XLOOKUP(表格1[[#This Row],[Model]],表格3[Model-Input-Ref2],表格3[Product Line])</f>
        <v>IH磁應電飯煲
鑽石銅鍋</v>
      </c>
      <c r="I5144" s="86" t="str">
        <f>_xlfn.XLOOKUP(表格1[[#This Row],[Model]],表格3[Model-Input-Ref2],表格3[大小電])</f>
        <v>細電</v>
      </c>
      <c r="J5144" s="86" t="str">
        <f>_xlfn.XLOOKUP(表格1[[#This Row],[Model]],表格3[Model-Input-Ref2],表格3[Code])</f>
        <v>SDA</v>
      </c>
      <c r="K5144" s="89" t="s">
        <v>1378</v>
      </c>
      <c r="L5144" s="86">
        <v>1</v>
      </c>
      <c r="M5144" s="87">
        <v>2630</v>
      </c>
      <c r="N5144" s="87">
        <f>IFERROR(表格1[[#This Row],[QTY]]*表格1[[#This Row],[Unit Price]],"-")</f>
        <v>2630</v>
      </c>
      <c r="O5144" s="86">
        <v>451790</v>
      </c>
      <c r="R5144" s="86" t="str">
        <f>_xlfn.CONCAT(表格1[[#This Row],[Model]]," ",表格1[[#This Row],[inv no]])</f>
        <v>RC-DR18T(W) 451790</v>
      </c>
      <c r="S5144" s="86">
        <f>_xlfn.XLOOKUP(表格1[[#This Row],[Model]],表格3[Model-Input-Ref2],表格3[SRP PRICE])</f>
        <v>3588</v>
      </c>
      <c r="T5144" s="43">
        <f>表格1[[#This Row],[Unit Price]]/表格1[[#This Row],[SRP]]</f>
        <v>0.73299888517279821</v>
      </c>
      <c r="U5144" s="86" t="str">
        <f>_xlfn.XLOOKUP(表格1[[#This Row],[Model]],表格3[Model-Input-Ref2],表格3[TOSHIBA/HIGHEST])</f>
        <v>Toshiba SRP</v>
      </c>
      <c r="W5144" s="86" t="str">
        <f>_xlfn.CONCAT(表格1[[#This Row],[欄4]],表格1[[#This Row],[inv no]])</f>
        <v>451790</v>
      </c>
    </row>
    <row r="5145" spans="1:23" hidden="1">
      <c r="A5145" s="81">
        <v>5143</v>
      </c>
      <c r="B5145" s="86" t="s">
        <v>1403</v>
      </c>
      <c r="C5145" s="86" t="s">
        <v>2457</v>
      </c>
      <c r="D5145" s="89" t="str">
        <f ca="1">OFFSET(Roster!$A$3,MATCH(表格1[[#This Row],[Location]]&amp;" "&amp;表格1[[#This Row],[Shop]]&amp;"*",Roster!$A$4:$A$72,0),DAY(表格1[[#This Row],[date]]),1,1)</f>
        <v>PoWan</v>
      </c>
      <c r="E5145" s="86">
        <f>MONTH(表格1[[#This Row],[date]])</f>
        <v>3</v>
      </c>
      <c r="F5145" s="90">
        <v>46084</v>
      </c>
      <c r="G5145" s="86" t="str">
        <f>VLOOKUP("*"&amp;表格1[[#This Row],[Input]]&amp;"*",'Ref-List'!$B:$D,2,)</f>
        <v>RC-18NMFIH(WT)</v>
      </c>
      <c r="H5145" s="86" t="str">
        <f>_xlfn.XLOOKUP(表格1[[#This Row],[Model]],表格3[Model-Input-Ref2],表格3[Product Line])</f>
        <v>4毫米厚釜電飯煲1.8L</v>
      </c>
      <c r="I5145" s="86" t="str">
        <f>_xlfn.XLOOKUP(表格1[[#This Row],[Model]],表格3[Model-Input-Ref2],表格3[大小電])</f>
        <v>細電</v>
      </c>
      <c r="J5145" s="86" t="str">
        <f>_xlfn.XLOOKUP(表格1[[#This Row],[Model]],表格3[Model-Input-Ref2],表格3[Code])</f>
        <v>SDA</v>
      </c>
      <c r="K5145" s="89" t="s">
        <v>1267</v>
      </c>
      <c r="L5145" s="86">
        <v>1</v>
      </c>
      <c r="M5145" s="87">
        <v>798</v>
      </c>
      <c r="N5145" s="87">
        <f>IFERROR(表格1[[#This Row],[QTY]]*表格1[[#This Row],[Unit Price]],"-")</f>
        <v>798</v>
      </c>
      <c r="O5145" s="86" t="s">
        <v>2412</v>
      </c>
      <c r="R5145" s="86" t="str">
        <f>_xlfn.CONCAT(表格1[[#This Row],[Model]]," ",表格1[[#This Row],[inv no]])</f>
        <v>RC-18NMFIH(WT) S17M52-5486</v>
      </c>
      <c r="S5145" s="86">
        <f>_xlfn.XLOOKUP(表格1[[#This Row],[Model]],表格3[Model-Input-Ref2],表格3[SRP PRICE])</f>
        <v>998</v>
      </c>
      <c r="T5145" s="43">
        <f>表格1[[#This Row],[Unit Price]]/表格1[[#This Row],[SRP]]</f>
        <v>0.79959919839679361</v>
      </c>
      <c r="U5145" s="86" t="str">
        <f>_xlfn.XLOOKUP(表格1[[#This Row],[Model]],表格3[Model-Input-Ref2],表格3[TOSHIBA/HIGHEST])</f>
        <v>Toshiba SRP</v>
      </c>
      <c r="W5145" s="86" t="str">
        <f>_xlfn.CONCAT(表格1[[#This Row],[欄4]],表格1[[#This Row],[inv no]])</f>
        <v>S17M52-5486</v>
      </c>
    </row>
    <row r="5146" spans="1:23" hidden="1">
      <c r="A5146" s="81">
        <v>5144</v>
      </c>
      <c r="B5146" s="86" t="s">
        <v>1403</v>
      </c>
      <c r="C5146" s="86" t="s">
        <v>2457</v>
      </c>
      <c r="D5146" s="89" t="str">
        <f ca="1">OFFSET(Roster!$A$3,MATCH(表格1[[#This Row],[Location]]&amp;" "&amp;表格1[[#This Row],[Shop]]&amp;"*",Roster!$A$4:$A$72,0),DAY(表格1[[#This Row],[date]]),1,1)</f>
        <v>PoWan</v>
      </c>
      <c r="E5146" s="86">
        <f>MONTH(表格1[[#This Row],[date]])</f>
        <v>3</v>
      </c>
      <c r="F5146" s="90">
        <v>46084</v>
      </c>
      <c r="G5146" s="86" t="str">
        <f>VLOOKUP("*"&amp;表格1[[#This Row],[Input]]&amp;"*",'Ref-List'!$B:$D,2,)</f>
        <v>RC-5SLIH(W)</v>
      </c>
      <c r="H5146" s="86" t="str">
        <f>_xlfn.XLOOKUP(表格1[[#This Row],[Model]],表格3[Model-Input-Ref2],表格3[Product Line])</f>
        <v>微型電腦珍珠飯煲</v>
      </c>
      <c r="I5146" s="86" t="str">
        <f>_xlfn.XLOOKUP(表格1[[#This Row],[Model]],表格3[Model-Input-Ref2],表格3[大小電])</f>
        <v>細電</v>
      </c>
      <c r="J5146" s="86" t="str">
        <f>_xlfn.XLOOKUP(表格1[[#This Row],[Model]],表格3[Model-Input-Ref2],表格3[Code])</f>
        <v>SDA</v>
      </c>
      <c r="K5146" s="89" t="s">
        <v>1264</v>
      </c>
      <c r="L5146" s="86">
        <v>1</v>
      </c>
      <c r="M5146" s="87">
        <v>548</v>
      </c>
      <c r="N5146" s="87">
        <f>IFERROR(表格1[[#This Row],[QTY]]*表格1[[#This Row],[Unit Price]],"-")</f>
        <v>548</v>
      </c>
      <c r="O5146" s="86" t="s">
        <v>2414</v>
      </c>
      <c r="R5146" s="86" t="str">
        <f>_xlfn.CONCAT(表格1[[#This Row],[Model]]," ",表格1[[#This Row],[inv no]])</f>
        <v>RC-5SLIH(W) S17M62-773</v>
      </c>
      <c r="S5146" s="86">
        <f>_xlfn.XLOOKUP(表格1[[#This Row],[Model]],表格3[Model-Input-Ref2],表格3[SRP PRICE])</f>
        <v>658</v>
      </c>
      <c r="T5146" s="43">
        <f>表格1[[#This Row],[Unit Price]]/表格1[[#This Row],[SRP]]</f>
        <v>0.83282674772036469</v>
      </c>
      <c r="U5146" s="86" t="str">
        <f>_xlfn.XLOOKUP(表格1[[#This Row],[Model]],表格3[Model-Input-Ref2],表格3[TOSHIBA/HIGHEST])</f>
        <v>Toshiba SRP</v>
      </c>
      <c r="W5146" s="86" t="str">
        <f>_xlfn.CONCAT(表格1[[#This Row],[欄4]],表格1[[#This Row],[inv no]])</f>
        <v>S17M62-773</v>
      </c>
    </row>
    <row r="5147" spans="1:23" hidden="1">
      <c r="A5147" s="81">
        <v>5145</v>
      </c>
      <c r="B5147" s="86" t="s">
        <v>1403</v>
      </c>
      <c r="C5147" s="86" t="s">
        <v>2457</v>
      </c>
      <c r="D5147" s="89" t="str">
        <f ca="1">OFFSET(Roster!$A$3,MATCH(表格1[[#This Row],[Location]]&amp;" "&amp;表格1[[#This Row],[Shop]]&amp;"*",Roster!$A$4:$A$72,0),DAY(表格1[[#This Row],[date]]),1,1)</f>
        <v>PoWan</v>
      </c>
      <c r="E5147" s="86">
        <f>MONTH(表格1[[#This Row],[date]])</f>
        <v>3</v>
      </c>
      <c r="F5147" s="90">
        <v>46084</v>
      </c>
      <c r="G5147" s="86" t="str">
        <f>VLOOKUP("*"&amp;表格1[[#This Row],[Input]]&amp;"*",'Ref-List'!$B:$D,2,)</f>
        <v>RC-10ISSHK(W)</v>
      </c>
      <c r="H5147" s="86" t="str">
        <f>_xlfn.XLOOKUP(表格1[[#This Row],[Model]],表格3[Model-Input-Ref2],表格3[Product Line])</f>
        <v>磁應電飯煲(1公升)</v>
      </c>
      <c r="I5147" s="86" t="str">
        <f>_xlfn.XLOOKUP(表格1[[#This Row],[Model]],表格3[Model-Input-Ref2],表格3[大小電])</f>
        <v>細電</v>
      </c>
      <c r="J5147" s="86" t="str">
        <f>_xlfn.XLOOKUP(表格1[[#This Row],[Model]],表格3[Model-Input-Ref2],表格3[Code])</f>
        <v>SDA</v>
      </c>
      <c r="K5147" s="89" t="s">
        <v>719</v>
      </c>
      <c r="L5147" s="86">
        <v>1</v>
      </c>
      <c r="M5147" s="87">
        <v>898</v>
      </c>
      <c r="N5147" s="87">
        <f>IFERROR(表格1[[#This Row],[QTY]]*表格1[[#This Row],[Unit Price]],"-")</f>
        <v>898</v>
      </c>
      <c r="O5147" s="86" t="s">
        <v>2416</v>
      </c>
      <c r="R5147" s="86" t="str">
        <f>_xlfn.CONCAT(表格1[[#This Row],[Model]]," ",表格1[[#This Row],[inv no]])</f>
        <v>RC-10ISSHK(W) S17M63-599</v>
      </c>
      <c r="S5147" s="86">
        <f>_xlfn.XLOOKUP(表格1[[#This Row],[Model]],表格3[Model-Input-Ref2],表格3[SRP PRICE])</f>
        <v>1188</v>
      </c>
      <c r="T5147" s="43">
        <f>表格1[[#This Row],[Unit Price]]/表格1[[#This Row],[SRP]]</f>
        <v>0.75589225589225584</v>
      </c>
      <c r="U5147" s="86" t="str">
        <f>_xlfn.XLOOKUP(表格1[[#This Row],[Model]],表格3[Model-Input-Ref2],表格3[TOSHIBA/HIGHEST])</f>
        <v>Shops Highest Price</v>
      </c>
      <c r="W5147" s="86" t="str">
        <f>_xlfn.CONCAT(表格1[[#This Row],[欄4]],表格1[[#This Row],[inv no]])</f>
        <v>S17M63-599</v>
      </c>
    </row>
    <row r="5148" spans="1:23" hidden="1">
      <c r="A5148" s="81">
        <v>5146</v>
      </c>
      <c r="B5148" s="86" t="s">
        <v>1403</v>
      </c>
      <c r="C5148" s="86" t="s">
        <v>2457</v>
      </c>
      <c r="D5148" s="89" t="str">
        <f ca="1">OFFSET(Roster!$A$3,MATCH(表格1[[#This Row],[Location]]&amp;" "&amp;表格1[[#This Row],[Shop]]&amp;"*",Roster!$A$4:$A$72,0),DAY(表格1[[#This Row],[date]]),1,1)</f>
        <v>PoWan</v>
      </c>
      <c r="E5148" s="86">
        <f>MONTH(表格1[[#This Row],[date]])</f>
        <v>3</v>
      </c>
      <c r="F5148" s="90">
        <v>46084</v>
      </c>
      <c r="G5148" s="86" t="str">
        <f>VLOOKUP("*"&amp;表格1[[#This Row],[Input]]&amp;"*",'Ref-List'!$B:$D,2,)</f>
        <v>TWP-W2265THK(W)</v>
      </c>
      <c r="H5148" s="86" t="str">
        <f>_xlfn.XLOOKUP(表格1[[#This Row],[Model]],表格3[Model-Input-Ref2],表格3[Product Line])</f>
        <v>RO座檯式冷熱飲水機</v>
      </c>
      <c r="I5148" s="86" t="str">
        <f>_xlfn.XLOOKUP(表格1[[#This Row],[Model]],表格3[Model-Input-Ref2],表格3[大小電])</f>
        <v>細電</v>
      </c>
      <c r="J5148" s="86" t="str">
        <f>_xlfn.XLOOKUP(表格1[[#This Row],[Model]],表格3[Model-Input-Ref2],表格3[Code])</f>
        <v>KWH</v>
      </c>
      <c r="K5148" s="89" t="s">
        <v>783</v>
      </c>
      <c r="L5148" s="86">
        <v>1</v>
      </c>
      <c r="M5148" s="87">
        <v>2850</v>
      </c>
      <c r="N5148" s="87">
        <f>IFERROR(表格1[[#This Row],[QTY]]*表格1[[#This Row],[Unit Price]],"-")</f>
        <v>2850</v>
      </c>
      <c r="O5148" s="86" t="s">
        <v>2456</v>
      </c>
      <c r="R5148" s="86" t="str">
        <f>_xlfn.CONCAT(表格1[[#This Row],[Model]]," ",表格1[[#This Row],[inv no]])</f>
        <v>TWP-W2265THK(W) S17M52-5487</v>
      </c>
      <c r="S5148" s="86">
        <f>_xlfn.XLOOKUP(表格1[[#This Row],[Model]],表格3[Model-Input-Ref2],表格3[SRP PRICE])</f>
        <v>3480</v>
      </c>
      <c r="T5148" s="43">
        <f>表格1[[#This Row],[Unit Price]]/表格1[[#This Row],[SRP]]</f>
        <v>0.81896551724137934</v>
      </c>
      <c r="U5148" s="86" t="str">
        <f>_xlfn.XLOOKUP(表格1[[#This Row],[Model]],表格3[Model-Input-Ref2],表格3[TOSHIBA/HIGHEST])</f>
        <v>Shops Highest Price</v>
      </c>
      <c r="W5148" s="86" t="str">
        <f>_xlfn.CONCAT(表格1[[#This Row],[欄4]],表格1[[#This Row],[inv no]])</f>
        <v>S17M52-5487</v>
      </c>
    </row>
    <row r="5149" spans="1:23" hidden="1">
      <c r="A5149" s="81">
        <v>5147</v>
      </c>
      <c r="B5149" s="86" t="s">
        <v>1403</v>
      </c>
      <c r="C5149" s="86" t="s">
        <v>2457</v>
      </c>
      <c r="D5149" s="89" t="str">
        <f ca="1">OFFSET(Roster!$A$3,MATCH(表格1[[#This Row],[Location]]&amp;" "&amp;表格1[[#This Row],[Shop]]&amp;"*",Roster!$A$4:$A$72,0),DAY(表格1[[#This Row],[date]]),1,1)</f>
        <v>PoWan</v>
      </c>
      <c r="E5149" s="86">
        <f>MONTH(表格1[[#This Row],[date]])</f>
        <v>3</v>
      </c>
      <c r="F5149" s="90">
        <v>46085</v>
      </c>
      <c r="G5149" s="86" t="str">
        <f>VLOOKUP("*"&amp;表格1[[#This Row],[Input]]&amp;"*",'Ref-List'!$B:$D,2,)</f>
        <v>ER-VD7000HK(XK)</v>
      </c>
      <c r="H5149" s="86" t="str">
        <f>_xlfn.XLOOKUP(表格1[[#This Row],[Model]],表格3[Model-Input-Ref2],表格3[Product Line])</f>
        <v>水波爐</v>
      </c>
      <c r="I5149" s="86" t="str">
        <f>_xlfn.XLOOKUP(表格1[[#This Row],[Model]],表格3[Model-Input-Ref2],表格3[大小電])</f>
        <v>細電</v>
      </c>
      <c r="J5149" s="86" t="str">
        <f>_xlfn.XLOOKUP(表格1[[#This Row],[Model]],表格3[Model-Input-Ref2],表格3[Code])</f>
        <v>MCA</v>
      </c>
      <c r="K5149" s="89" t="s">
        <v>819</v>
      </c>
      <c r="L5149" s="86">
        <v>1</v>
      </c>
      <c r="M5149" s="87">
        <v>6200</v>
      </c>
      <c r="N5149" s="87">
        <f>IFERROR(表格1[[#This Row],[QTY]]*表格1[[#This Row],[Unit Price]],"-")</f>
        <v>6200</v>
      </c>
      <c r="O5149" s="86">
        <v>451848</v>
      </c>
      <c r="R5149" s="86" t="str">
        <f>_xlfn.CONCAT(表格1[[#This Row],[Model]]," ",表格1[[#This Row],[inv no]])</f>
        <v>ER-VD7000HK(XK) 451848</v>
      </c>
      <c r="S5149" s="86">
        <f>_xlfn.XLOOKUP(表格1[[#This Row],[Model]],表格3[Model-Input-Ref2],表格3[SRP PRICE])</f>
        <v>8998</v>
      </c>
      <c r="T5149" s="43">
        <f>表格1[[#This Row],[Unit Price]]/表格1[[#This Row],[SRP]]</f>
        <v>0.68904200933540782</v>
      </c>
      <c r="U5149" s="86" t="str">
        <f>_xlfn.XLOOKUP(表格1[[#This Row],[Model]],表格3[Model-Input-Ref2],表格3[TOSHIBA/HIGHEST])</f>
        <v>Toshiba SRP</v>
      </c>
      <c r="W5149" s="86" t="str">
        <f>_xlfn.CONCAT(表格1[[#This Row],[欄4]],表格1[[#This Row],[inv no]])</f>
        <v>451848</v>
      </c>
    </row>
    <row r="5150" spans="1:23" hidden="1">
      <c r="A5150" s="81">
        <v>5148</v>
      </c>
      <c r="B5150" s="86" t="s">
        <v>1403</v>
      </c>
      <c r="C5150" s="86" t="s">
        <v>2457</v>
      </c>
      <c r="D5150" s="89" t="str">
        <f ca="1">OFFSET(Roster!$A$3,MATCH(表格1[[#This Row],[Location]]&amp;" "&amp;表格1[[#This Row],[Shop]]&amp;"*",Roster!$A$4:$A$72,0),DAY(表格1[[#This Row],[date]]),1,1)</f>
        <v>PoWan</v>
      </c>
      <c r="E5150" s="86">
        <f>MONTH(表格1[[#This Row],[date]])</f>
        <v>3</v>
      </c>
      <c r="F5150" s="90">
        <v>46085</v>
      </c>
      <c r="G5150" s="86" t="str">
        <f>VLOOKUP("*"&amp;表格1[[#This Row],[Input]]&amp;"*",'Ref-List'!$B:$D,2,)</f>
        <v>RC-7HMH</v>
      </c>
      <c r="H5150" s="86" t="str">
        <f>_xlfn.XLOOKUP(表格1[[#This Row],[Model]],表格3[Model-Input-Ref2],表格3[Product Line])</f>
        <v>備長炭本厚釜電飯煲0.7L</v>
      </c>
      <c r="I5150" s="86" t="str">
        <f>_xlfn.XLOOKUP(表格1[[#This Row],[Model]],表格3[Model-Input-Ref2],表格3[大小電])</f>
        <v>細電</v>
      </c>
      <c r="J5150" s="86" t="str">
        <f>_xlfn.XLOOKUP(表格1[[#This Row],[Model]],表格3[Model-Input-Ref2],表格3[Code])</f>
        <v>SDA</v>
      </c>
      <c r="K5150" s="89" t="s">
        <v>1284</v>
      </c>
      <c r="L5150" s="86">
        <v>1</v>
      </c>
      <c r="M5150" s="87">
        <v>788</v>
      </c>
      <c r="N5150" s="87">
        <f>IFERROR(表格1[[#This Row],[QTY]]*表格1[[#This Row],[Unit Price]],"-")</f>
        <v>788</v>
      </c>
      <c r="O5150" s="86" t="s">
        <v>2418</v>
      </c>
      <c r="R5150" s="86" t="str">
        <f>_xlfn.CONCAT(表格1[[#This Row],[Model]]," ",表格1[[#This Row],[inv no]])</f>
        <v>RC-7HMH S17M61-2197</v>
      </c>
      <c r="S5150" s="86">
        <f>_xlfn.XLOOKUP(表格1[[#This Row],[Model]],表格3[Model-Input-Ref2],表格3[SRP PRICE])</f>
        <v>1288</v>
      </c>
      <c r="T5150" s="43">
        <f>表格1[[#This Row],[Unit Price]]/表格1[[#This Row],[SRP]]</f>
        <v>0.61180124223602483</v>
      </c>
      <c r="U5150" s="86" t="str">
        <f>_xlfn.XLOOKUP(表格1[[#This Row],[Model]],表格3[Model-Input-Ref2],表格3[TOSHIBA/HIGHEST])</f>
        <v>Toshiba SRP</v>
      </c>
      <c r="W5150" s="86" t="str">
        <f>_xlfn.CONCAT(表格1[[#This Row],[欄4]],表格1[[#This Row],[inv no]])</f>
        <v>S17M61-2197</v>
      </c>
    </row>
    <row r="5151" spans="1:23" hidden="1">
      <c r="A5151" s="81">
        <v>5149</v>
      </c>
      <c r="B5151" s="86" t="s">
        <v>1403</v>
      </c>
      <c r="C5151" s="86" t="s">
        <v>2457</v>
      </c>
      <c r="D5151" s="89" t="str">
        <f ca="1">OFFSET(Roster!$A$3,MATCH(表格1[[#This Row],[Location]]&amp;" "&amp;表格1[[#This Row],[Shop]]&amp;"*",Roster!$A$4:$A$72,0),DAY(表格1[[#This Row],[date]]),1,1)</f>
        <v>PoWan</v>
      </c>
      <c r="E5151" s="86">
        <f>MONTH(表格1[[#This Row],[date]])</f>
        <v>3</v>
      </c>
      <c r="F5151" s="90">
        <v>46086</v>
      </c>
      <c r="G5151" s="86" t="str">
        <f>VLOOKUP("*"&amp;表格1[[#This Row],[Input]]&amp;"*",'Ref-List'!$B:$D,2,)</f>
        <v>MM-2MM20PC(WH)</v>
      </c>
      <c r="H5151" s="86" t="str">
        <f>_xlfn.XLOOKUP(表格1[[#This Row],[Model]],表格3[Model-Input-Ref2],表格3[Product Line])</f>
        <v>旋鈕式微波爐 (20公升)</v>
      </c>
      <c r="I5151" s="86" t="str">
        <f>_xlfn.XLOOKUP(表格1[[#This Row],[Model]],表格3[Model-Input-Ref2],表格3[大小電])</f>
        <v>細電</v>
      </c>
      <c r="J5151" s="86" t="str">
        <f>_xlfn.XLOOKUP(表格1[[#This Row],[Model]],表格3[Model-Input-Ref2],表格3[Code])</f>
        <v>MCA</v>
      </c>
      <c r="K5151" s="89" t="s">
        <v>733</v>
      </c>
      <c r="L5151" s="86">
        <v>1</v>
      </c>
      <c r="M5151" s="87">
        <v>598</v>
      </c>
      <c r="N5151" s="87">
        <f>IFERROR(表格1[[#This Row],[QTY]]*表格1[[#This Row],[Unit Price]],"-")</f>
        <v>598</v>
      </c>
      <c r="O5151" s="86" t="s">
        <v>2329</v>
      </c>
      <c r="R5151" s="86" t="str">
        <f>_xlfn.CONCAT(表格1[[#This Row],[Model]]," ",表格1[[#This Row],[inv no]])</f>
        <v>MM-2MM20PC(WH) 2207</v>
      </c>
      <c r="S5151" s="86">
        <f>_xlfn.XLOOKUP(表格1[[#This Row],[Model]],表格3[Model-Input-Ref2],表格3[SRP PRICE])</f>
        <v>738</v>
      </c>
      <c r="T5151" s="43">
        <f>表格1[[#This Row],[Unit Price]]/表格1[[#This Row],[SRP]]</f>
        <v>0.81029810298102978</v>
      </c>
      <c r="U5151" s="86" t="str">
        <f>_xlfn.XLOOKUP(表格1[[#This Row],[Model]],表格3[Model-Input-Ref2],表格3[TOSHIBA/HIGHEST])</f>
        <v>Toshiba SRP</v>
      </c>
      <c r="W5151" s="86" t="str">
        <f>_xlfn.CONCAT(表格1[[#This Row],[欄4]],表格1[[#This Row],[inv no]])</f>
        <v>2207</v>
      </c>
    </row>
    <row r="5152" spans="1:23" hidden="1">
      <c r="A5152" s="81">
        <v>5150</v>
      </c>
      <c r="B5152" s="86" t="s">
        <v>1403</v>
      </c>
      <c r="C5152" s="86" t="s">
        <v>2457</v>
      </c>
      <c r="D5152" s="89" t="str">
        <f ca="1">OFFSET(Roster!$A$3,MATCH(表格1[[#This Row],[Location]]&amp;" "&amp;表格1[[#This Row],[Shop]]&amp;"*",Roster!$A$4:$A$72,0),DAY(表格1[[#This Row],[date]]),1,1)</f>
        <v>PoWan</v>
      </c>
      <c r="E5152" s="86">
        <f>MONTH(表格1[[#This Row],[date]])</f>
        <v>3</v>
      </c>
      <c r="F5152" s="90">
        <v>46086</v>
      </c>
      <c r="G5152" s="86" t="str">
        <f>VLOOKUP("*"&amp;表格1[[#This Row],[Input]]&amp;"*",'Ref-List'!$B:$D,2,)</f>
        <v>MS5-STR30SC(BK)</v>
      </c>
      <c r="H5152" s="86" t="str">
        <f>_xlfn.XLOOKUP(表格1[[#This Row],[Model]],表格3[Model-Input-Ref2],表格3[Product Line])</f>
        <v>30公升蒸氣焗爐</v>
      </c>
      <c r="I5152" s="86" t="str">
        <f>_xlfn.XLOOKUP(表格1[[#This Row],[Model]],表格3[Model-Input-Ref2],表格3[大小電])</f>
        <v>細電</v>
      </c>
      <c r="J5152" s="86" t="str">
        <f>_xlfn.XLOOKUP(表格1[[#This Row],[Model]],表格3[Model-Input-Ref2],表格3[Code])</f>
        <v>MCA</v>
      </c>
      <c r="K5152" s="89" t="s">
        <v>727</v>
      </c>
      <c r="L5152" s="86">
        <v>1</v>
      </c>
      <c r="M5152" s="87">
        <v>3490</v>
      </c>
      <c r="N5152" s="87">
        <f>IFERROR(表格1[[#This Row],[QTY]]*表格1[[#This Row],[Unit Price]],"-")</f>
        <v>3490</v>
      </c>
      <c r="O5152" s="86" t="s">
        <v>2338</v>
      </c>
      <c r="R5152" s="86" t="str">
        <f>_xlfn.CONCAT(表格1[[#This Row],[Model]]," ",表格1[[#This Row],[inv no]])</f>
        <v>MS5-STR30SC(BK) 451886</v>
      </c>
      <c r="S5152" s="86">
        <f>_xlfn.XLOOKUP(表格1[[#This Row],[Model]],表格3[Model-Input-Ref2],表格3[SRP PRICE])</f>
        <v>5998</v>
      </c>
      <c r="T5152" s="43">
        <f>表格1[[#This Row],[Unit Price]]/表格1[[#This Row],[SRP]]</f>
        <v>0.58186062020673557</v>
      </c>
      <c r="U5152" s="86" t="str">
        <f>_xlfn.XLOOKUP(表格1[[#This Row],[Model]],表格3[Model-Input-Ref2],表格3[TOSHIBA/HIGHEST])</f>
        <v>Shops Highest Price</v>
      </c>
      <c r="W5152" s="86" t="str">
        <f>_xlfn.CONCAT(表格1[[#This Row],[欄4]],表格1[[#This Row],[inv no]])</f>
        <v>451886</v>
      </c>
    </row>
    <row r="5153" spans="1:23" hidden="1">
      <c r="A5153" s="81">
        <v>5151</v>
      </c>
      <c r="B5153" s="86" t="s">
        <v>1403</v>
      </c>
      <c r="C5153" s="86" t="s">
        <v>2457</v>
      </c>
      <c r="D5153" s="89" t="str">
        <f ca="1">OFFSET(Roster!$A$3,MATCH(表格1[[#This Row],[Location]]&amp;" "&amp;表格1[[#This Row],[Shop]]&amp;"*",Roster!$A$4:$A$72,0),DAY(表格1[[#This Row],[date]]),1,1)</f>
        <v>PoWan</v>
      </c>
      <c r="E5153" s="86">
        <f>MONTH(表格1[[#This Row],[date]])</f>
        <v>3</v>
      </c>
      <c r="F5153" s="90">
        <v>46086</v>
      </c>
      <c r="G5153" s="86" t="str">
        <f>VLOOKUP("*"&amp;表格1[[#This Row],[Input]]&amp;"*",'Ref-List'!$B:$D,2,)</f>
        <v>MX2-STR25SC(WH)</v>
      </c>
      <c r="H5153" s="86" t="str">
        <f>_xlfn.XLOOKUP(表格1[[#This Row],[Model]],表格3[Model-Input-Ref2],表格3[Product Line])</f>
        <v>4合1氣炸微波蒸焗爐(25公升)</v>
      </c>
      <c r="I5153" s="86" t="str">
        <f>_xlfn.XLOOKUP(表格1[[#This Row],[Model]],表格3[Model-Input-Ref2],表格3[大小電])</f>
        <v>細電</v>
      </c>
      <c r="J5153" s="86" t="str">
        <f>_xlfn.XLOOKUP(表格1[[#This Row],[Model]],表格3[Model-Input-Ref2],表格3[Code])</f>
        <v>MCA</v>
      </c>
      <c r="K5153" s="89" t="s">
        <v>861</v>
      </c>
      <c r="L5153" s="86">
        <v>1</v>
      </c>
      <c r="M5153" s="87">
        <v>3278</v>
      </c>
      <c r="N5153" s="87">
        <f>IFERROR(表格1[[#This Row],[QTY]]*表格1[[#This Row],[Unit Price]],"-")</f>
        <v>3278</v>
      </c>
      <c r="O5153" s="86" t="s">
        <v>2363</v>
      </c>
      <c r="R5153" s="86" t="str">
        <f>_xlfn.CONCAT(表格1[[#This Row],[Model]]," ",表格1[[#This Row],[inv no]])</f>
        <v>MX2-STR25SC(WH) S17M61-2215</v>
      </c>
      <c r="S5153" s="86">
        <f>_xlfn.XLOOKUP(表格1[[#This Row],[Model]],表格3[Model-Input-Ref2],表格3[SRP PRICE])</f>
        <v>4998</v>
      </c>
      <c r="T5153" s="43">
        <f>表格1[[#This Row],[Unit Price]]/表格1[[#This Row],[SRP]]</f>
        <v>0.65586234493797524</v>
      </c>
      <c r="U5153" s="86" t="str">
        <f>_xlfn.XLOOKUP(表格1[[#This Row],[Model]],表格3[Model-Input-Ref2],表格3[TOSHIBA/HIGHEST])</f>
        <v>Toshiba SRP</v>
      </c>
      <c r="W5153" s="86" t="str">
        <f>_xlfn.CONCAT(表格1[[#This Row],[欄4]],表格1[[#This Row],[inv no]])</f>
        <v>S17M61-2215</v>
      </c>
    </row>
    <row r="5154" spans="1:23" hidden="1">
      <c r="A5154" s="81">
        <v>5152</v>
      </c>
      <c r="B5154" s="86" t="s">
        <v>1403</v>
      </c>
      <c r="C5154" s="86" t="s">
        <v>2457</v>
      </c>
      <c r="D5154" s="89" t="str">
        <f ca="1">OFFSET(Roster!$A$3,MATCH(表格1[[#This Row],[Location]]&amp;" "&amp;表格1[[#This Row],[Shop]]&amp;"*",Roster!$A$4:$A$72,0),DAY(表格1[[#This Row],[date]]),1,1)</f>
        <v>PoWan</v>
      </c>
      <c r="E5154" s="86">
        <f>MONTH(表格1[[#This Row],[date]])</f>
        <v>3</v>
      </c>
      <c r="F5154" s="90">
        <v>46086</v>
      </c>
      <c r="G5154" s="86" t="str">
        <f>VLOOKUP("*"&amp;表格1[[#This Row],[Input]]&amp;"*",'Ref-List'!$B:$D,2,)</f>
        <v>MX2-TT20SC(WH)</v>
      </c>
      <c r="H5154" s="86" t="str">
        <f>_xlfn.XLOOKUP(表格1[[#This Row],[Model]],表格3[Model-Input-Ref2],表格3[Product Line])</f>
        <v>3合1 微波蒸焗爐 (20公升)</v>
      </c>
      <c r="I5154" s="86" t="str">
        <f>_xlfn.XLOOKUP(表格1[[#This Row],[Model]],表格3[Model-Input-Ref2],表格3[大小電])</f>
        <v>細電</v>
      </c>
      <c r="J5154" s="86" t="str">
        <f>_xlfn.XLOOKUP(表格1[[#This Row],[Model]],表格3[Model-Input-Ref2],表格3[Code])</f>
        <v>MCA</v>
      </c>
      <c r="K5154" s="89" t="s">
        <v>944</v>
      </c>
      <c r="L5154" s="86">
        <v>1</v>
      </c>
      <c r="M5154" s="87">
        <v>2330</v>
      </c>
      <c r="N5154" s="87">
        <f>IFERROR(表格1[[#This Row],[QTY]]*表格1[[#This Row],[Unit Price]],"-")</f>
        <v>2330</v>
      </c>
      <c r="O5154" s="86" t="s">
        <v>2400</v>
      </c>
      <c r="R5154" s="86" t="str">
        <f>_xlfn.CONCAT(表格1[[#This Row],[Model]]," ",表格1[[#This Row],[inv no]])</f>
        <v>MX2-TT20SC(WH) 451864</v>
      </c>
      <c r="S5154" s="86">
        <f>_xlfn.XLOOKUP(表格1[[#This Row],[Model]],表格3[Model-Input-Ref2],表格3[SRP PRICE])</f>
        <v>3580</v>
      </c>
      <c r="T5154" s="43">
        <f>表格1[[#This Row],[Unit Price]]/表格1[[#This Row],[SRP]]</f>
        <v>0.65083798882681565</v>
      </c>
      <c r="U5154" s="86" t="str">
        <f>_xlfn.XLOOKUP(表格1[[#This Row],[Model]],表格3[Model-Input-Ref2],表格3[TOSHIBA/HIGHEST])</f>
        <v>Toshiba SRP</v>
      </c>
      <c r="W5154" s="86" t="str">
        <f>_xlfn.CONCAT(表格1[[#This Row],[欄4]],表格1[[#This Row],[inv no]])</f>
        <v>451864</v>
      </c>
    </row>
    <row r="5155" spans="1:23" hidden="1">
      <c r="A5155" s="81">
        <v>5153</v>
      </c>
      <c r="B5155" s="86" t="s">
        <v>1403</v>
      </c>
      <c r="C5155" s="86" t="s">
        <v>2457</v>
      </c>
      <c r="D5155" s="89" t="str">
        <f ca="1">OFFSET(Roster!$A$3,MATCH(表格1[[#This Row],[Location]]&amp;" "&amp;表格1[[#This Row],[Shop]]&amp;"*",Roster!$A$4:$A$72,0),DAY(表格1[[#This Row],[date]]),1,1)</f>
        <v>PoWan</v>
      </c>
      <c r="E5155" s="86">
        <f>MONTH(表格1[[#This Row],[date]])</f>
        <v>3</v>
      </c>
      <c r="F5155" s="90">
        <v>46086</v>
      </c>
      <c r="G5155" s="86" t="str">
        <f>VLOOKUP("*"&amp;表格1[[#This Row],[Input]]&amp;"*",'Ref-List'!$B:$D,2,)</f>
        <v>RC-DR18T(W)</v>
      </c>
      <c r="H5155" s="86" t="str">
        <f>_xlfn.XLOOKUP(表格1[[#This Row],[Model]],表格3[Model-Input-Ref2],表格3[Product Line])</f>
        <v>IH磁應電飯煲
鑽石銅鍋</v>
      </c>
      <c r="I5155" s="86" t="str">
        <f>_xlfn.XLOOKUP(表格1[[#This Row],[Model]],表格3[Model-Input-Ref2],表格3[大小電])</f>
        <v>細電</v>
      </c>
      <c r="J5155" s="86" t="str">
        <f>_xlfn.XLOOKUP(表格1[[#This Row],[Model]],表格3[Model-Input-Ref2],表格3[Code])</f>
        <v>SDA</v>
      </c>
      <c r="K5155" s="89" t="s">
        <v>1378</v>
      </c>
      <c r="L5155" s="86">
        <v>1</v>
      </c>
      <c r="M5155" s="87">
        <v>2630</v>
      </c>
      <c r="N5155" s="87">
        <f>IFERROR(表格1[[#This Row],[QTY]]*表格1[[#This Row],[Unit Price]],"-")</f>
        <v>2630</v>
      </c>
      <c r="O5155" s="86" t="s">
        <v>2420</v>
      </c>
      <c r="R5155" s="86" t="str">
        <f>_xlfn.CONCAT(表格1[[#This Row],[Model]]," ",表格1[[#This Row],[inv no]])</f>
        <v>RC-DR18T(W) S17M58-1462</v>
      </c>
      <c r="S5155" s="86">
        <f>_xlfn.XLOOKUP(表格1[[#This Row],[Model]],表格3[Model-Input-Ref2],表格3[SRP PRICE])</f>
        <v>3588</v>
      </c>
      <c r="T5155" s="43">
        <f>表格1[[#This Row],[Unit Price]]/表格1[[#This Row],[SRP]]</f>
        <v>0.73299888517279821</v>
      </c>
      <c r="U5155" s="86" t="str">
        <f>_xlfn.XLOOKUP(表格1[[#This Row],[Model]],表格3[Model-Input-Ref2],表格3[TOSHIBA/HIGHEST])</f>
        <v>Toshiba SRP</v>
      </c>
      <c r="W5155" s="86" t="str">
        <f>_xlfn.CONCAT(表格1[[#This Row],[欄4]],表格1[[#This Row],[inv no]])</f>
        <v>S17M58-1462</v>
      </c>
    </row>
    <row r="5156" spans="1:23" hidden="1">
      <c r="A5156" s="81">
        <v>5154</v>
      </c>
      <c r="B5156" s="86" t="s">
        <v>1403</v>
      </c>
      <c r="C5156" s="86" t="s">
        <v>2457</v>
      </c>
      <c r="D5156" s="89" t="str">
        <f ca="1">OFFSET(Roster!$A$3,MATCH(表格1[[#This Row],[Location]]&amp;" "&amp;表格1[[#This Row],[Shop]]&amp;"*",Roster!$A$4:$A$72,0),DAY(表格1[[#This Row],[date]]),1,1)</f>
        <v>PoWan</v>
      </c>
      <c r="E5156" s="86">
        <f>MONTH(表格1[[#This Row],[date]])</f>
        <v>3</v>
      </c>
      <c r="F5156" s="90">
        <v>46086</v>
      </c>
      <c r="G5156" s="86" t="str">
        <f>VLOOKUP("*"&amp;表格1[[#This Row],[Input]]&amp;"*",'Ref-List'!$B:$D,2,)</f>
        <v>RC-15BHH(W)</v>
      </c>
      <c r="H5156" s="86" t="str">
        <f>_xlfn.XLOOKUP(表格1[[#This Row],[Model]],表格3[Model-Input-Ref2],表格3[Product Line])</f>
        <v>酵活炊磁應電飯煲(1.5公升)</v>
      </c>
      <c r="I5156" s="86" t="str">
        <f>_xlfn.XLOOKUP(表格1[[#This Row],[Model]],表格3[Model-Input-Ref2],表格3[大小電])</f>
        <v>細電</v>
      </c>
      <c r="J5156" s="86" t="str">
        <f>_xlfn.XLOOKUP(表格1[[#This Row],[Model]],表格3[Model-Input-Ref2],表格3[Code])</f>
        <v>SDA</v>
      </c>
      <c r="K5156" s="89" t="s">
        <v>855</v>
      </c>
      <c r="L5156" s="86">
        <v>1</v>
      </c>
      <c r="M5156" s="87">
        <v>1818</v>
      </c>
      <c r="N5156" s="87">
        <f>IFERROR(表格1[[#This Row],[QTY]]*表格1[[#This Row],[Unit Price]],"-")</f>
        <v>1818</v>
      </c>
      <c r="O5156" s="86" t="s">
        <v>2422</v>
      </c>
      <c r="R5156" s="86" t="str">
        <f>_xlfn.CONCAT(表格1[[#This Row],[Model]]," ",表格1[[#This Row],[inv no]])</f>
        <v>RC-15BHH(W) 451862</v>
      </c>
      <c r="S5156" s="86">
        <f>_xlfn.XLOOKUP(表格1[[#This Row],[Model]],表格3[Model-Input-Ref2],表格3[SRP PRICE])</f>
        <v>2388</v>
      </c>
      <c r="T5156" s="43">
        <f>表格1[[#This Row],[Unit Price]]/表格1[[#This Row],[SRP]]</f>
        <v>0.7613065326633166</v>
      </c>
      <c r="U5156" s="86" t="str">
        <f>_xlfn.XLOOKUP(表格1[[#This Row],[Model]],表格3[Model-Input-Ref2],表格3[TOSHIBA/HIGHEST])</f>
        <v>Toshiba SRP</v>
      </c>
      <c r="W5156" s="86" t="str">
        <f>_xlfn.CONCAT(表格1[[#This Row],[欄4]],表格1[[#This Row],[inv no]])</f>
        <v>451862</v>
      </c>
    </row>
    <row r="5157" spans="1:23" hidden="1">
      <c r="A5157" s="81">
        <v>5155</v>
      </c>
      <c r="B5157" s="86" t="s">
        <v>1403</v>
      </c>
      <c r="C5157" s="86" t="s">
        <v>2457</v>
      </c>
      <c r="D5157" s="89" t="str">
        <f ca="1">OFFSET(Roster!$A$3,MATCH(表格1[[#This Row],[Location]]&amp;" "&amp;表格1[[#This Row],[Shop]]&amp;"*",Roster!$A$4:$A$72,0),DAY(表格1[[#This Row],[date]]),1,1)</f>
        <v>PoWan</v>
      </c>
      <c r="E5157" s="86">
        <f>MONTH(表格1[[#This Row],[date]])</f>
        <v>3</v>
      </c>
      <c r="F5157" s="90">
        <v>46086</v>
      </c>
      <c r="G5157" s="86" t="str">
        <f>VLOOKUP("*"&amp;表格1[[#This Row],[Input]]&amp;"*",'Ref-List'!$B:$D,2,)</f>
        <v>RC-5SLIH(W)</v>
      </c>
      <c r="H5157" s="86" t="str">
        <f>_xlfn.XLOOKUP(表格1[[#This Row],[Model]],表格3[Model-Input-Ref2],表格3[Product Line])</f>
        <v>微型電腦珍珠飯煲</v>
      </c>
      <c r="I5157" s="86" t="str">
        <f>_xlfn.XLOOKUP(表格1[[#This Row],[Model]],表格3[Model-Input-Ref2],表格3[大小電])</f>
        <v>細電</v>
      </c>
      <c r="J5157" s="86" t="str">
        <f>_xlfn.XLOOKUP(表格1[[#This Row],[Model]],表格3[Model-Input-Ref2],表格3[Code])</f>
        <v>SDA</v>
      </c>
      <c r="K5157" s="89" t="s">
        <v>1264</v>
      </c>
      <c r="L5157" s="86">
        <v>1</v>
      </c>
      <c r="M5157" s="87">
        <v>548</v>
      </c>
      <c r="N5157" s="87">
        <f>IFERROR(表格1[[#This Row],[QTY]]*表格1[[#This Row],[Unit Price]],"-")</f>
        <v>548</v>
      </c>
      <c r="O5157" s="86" t="s">
        <v>2424</v>
      </c>
      <c r="R5157" s="86" t="str">
        <f>_xlfn.CONCAT(表格1[[#This Row],[Model]]," ",表格1[[#This Row],[inv no]])</f>
        <v>RC-5SLIH(W) 2208</v>
      </c>
      <c r="S5157" s="86">
        <f>_xlfn.XLOOKUP(表格1[[#This Row],[Model]],表格3[Model-Input-Ref2],表格3[SRP PRICE])</f>
        <v>658</v>
      </c>
      <c r="T5157" s="43">
        <f>表格1[[#This Row],[Unit Price]]/表格1[[#This Row],[SRP]]</f>
        <v>0.83282674772036469</v>
      </c>
      <c r="U5157" s="86" t="str">
        <f>_xlfn.XLOOKUP(表格1[[#This Row],[Model]],表格3[Model-Input-Ref2],表格3[TOSHIBA/HIGHEST])</f>
        <v>Toshiba SRP</v>
      </c>
      <c r="W5157" s="86" t="str">
        <f>_xlfn.CONCAT(表格1[[#This Row],[欄4]],表格1[[#This Row],[inv no]])</f>
        <v>2208</v>
      </c>
    </row>
    <row r="5158" spans="1:23" hidden="1">
      <c r="A5158" s="81">
        <v>5156</v>
      </c>
      <c r="B5158" s="86" t="s">
        <v>1403</v>
      </c>
      <c r="C5158" s="86" t="s">
        <v>2457</v>
      </c>
      <c r="D5158" s="89" t="str">
        <f ca="1">OFFSET(Roster!$A$3,MATCH(表格1[[#This Row],[Location]]&amp;" "&amp;表格1[[#This Row],[Shop]]&amp;"*",Roster!$A$4:$A$72,0),DAY(表格1[[#This Row],[date]]),1,1)</f>
        <v>PoWan</v>
      </c>
      <c r="E5158" s="86">
        <f>MONTH(表格1[[#This Row],[date]])</f>
        <v>3</v>
      </c>
      <c r="F5158" s="90">
        <v>46086</v>
      </c>
      <c r="G5158" s="86" t="str">
        <f>VLOOKUP("*"&amp;表格1[[#This Row],[Input]]&amp;"*",'Ref-List'!$B:$D,2,)</f>
        <v>RC-5SLIH(W)</v>
      </c>
      <c r="H5158" s="86" t="str">
        <f>_xlfn.XLOOKUP(表格1[[#This Row],[Model]],表格3[Model-Input-Ref2],表格3[Product Line])</f>
        <v>微型電腦珍珠飯煲</v>
      </c>
      <c r="I5158" s="86" t="str">
        <f>_xlfn.XLOOKUP(表格1[[#This Row],[Model]],表格3[Model-Input-Ref2],表格3[大小電])</f>
        <v>細電</v>
      </c>
      <c r="J5158" s="86" t="str">
        <f>_xlfn.XLOOKUP(表格1[[#This Row],[Model]],表格3[Model-Input-Ref2],表格3[Code])</f>
        <v>SDA</v>
      </c>
      <c r="K5158" s="89" t="s">
        <v>1264</v>
      </c>
      <c r="L5158" s="86">
        <v>1</v>
      </c>
      <c r="M5158" s="87">
        <v>548</v>
      </c>
      <c r="N5158" s="87">
        <f>IFERROR(表格1[[#This Row],[QTY]]*表格1[[#This Row],[Unit Price]],"-")</f>
        <v>548</v>
      </c>
      <c r="O5158" s="86" t="s">
        <v>2426</v>
      </c>
      <c r="R5158" s="86" t="str">
        <f>_xlfn.CONCAT(表格1[[#This Row],[Model]]," ",表格1[[#This Row],[inv no]])</f>
        <v>RC-5SLIH(W) 4052</v>
      </c>
      <c r="S5158" s="86">
        <f>_xlfn.XLOOKUP(表格1[[#This Row],[Model]],表格3[Model-Input-Ref2],表格3[SRP PRICE])</f>
        <v>658</v>
      </c>
      <c r="T5158" s="43">
        <f>表格1[[#This Row],[Unit Price]]/表格1[[#This Row],[SRP]]</f>
        <v>0.83282674772036469</v>
      </c>
      <c r="U5158" s="86" t="str">
        <f>_xlfn.XLOOKUP(表格1[[#This Row],[Model]],表格3[Model-Input-Ref2],表格3[TOSHIBA/HIGHEST])</f>
        <v>Toshiba SRP</v>
      </c>
      <c r="W5158" s="86" t="str">
        <f>_xlfn.CONCAT(表格1[[#This Row],[欄4]],表格1[[#This Row],[inv no]])</f>
        <v>4052</v>
      </c>
    </row>
    <row r="5159" spans="1:23" hidden="1">
      <c r="A5159" s="81">
        <v>5157</v>
      </c>
      <c r="B5159" s="86" t="s">
        <v>1403</v>
      </c>
      <c r="C5159" s="86" t="s">
        <v>2457</v>
      </c>
      <c r="D5159" s="89" t="str">
        <f ca="1">OFFSET(Roster!$A$3,MATCH(表格1[[#This Row],[Location]]&amp;" "&amp;表格1[[#This Row],[Shop]]&amp;"*",Roster!$A$4:$A$72,0),DAY(表格1[[#This Row],[date]]),1,1)</f>
        <v>PoWan</v>
      </c>
      <c r="E5159" s="86">
        <f>MONTH(表格1[[#This Row],[date]])</f>
        <v>3</v>
      </c>
      <c r="F5159" s="90">
        <v>46087</v>
      </c>
      <c r="G5159" s="86" t="str">
        <f>VLOOKUP("*"&amp;表格1[[#This Row],[Input]]&amp;"*",'Ref-List'!$B:$D,2,)</f>
        <v>MS5-STR30SC(BK)</v>
      </c>
      <c r="H5159" s="86" t="str">
        <f>_xlfn.XLOOKUP(表格1[[#This Row],[Model]],表格3[Model-Input-Ref2],表格3[Product Line])</f>
        <v>30公升蒸氣焗爐</v>
      </c>
      <c r="I5159" s="86" t="str">
        <f>_xlfn.XLOOKUP(表格1[[#This Row],[Model]],表格3[Model-Input-Ref2],表格3[大小電])</f>
        <v>細電</v>
      </c>
      <c r="J5159" s="86" t="str">
        <f>_xlfn.XLOOKUP(表格1[[#This Row],[Model]],表格3[Model-Input-Ref2],表格3[Code])</f>
        <v>MCA</v>
      </c>
      <c r="K5159" s="89" t="s">
        <v>727</v>
      </c>
      <c r="L5159" s="86">
        <v>1</v>
      </c>
      <c r="M5159" s="87">
        <v>3490</v>
      </c>
      <c r="N5159" s="87">
        <f>IFERROR(表格1[[#This Row],[QTY]]*表格1[[#This Row],[Unit Price]],"-")</f>
        <v>3490</v>
      </c>
      <c r="O5159" s="86" t="s">
        <v>2336</v>
      </c>
      <c r="R5159" s="86" t="str">
        <f>_xlfn.CONCAT(表格1[[#This Row],[Model]]," ",表格1[[#This Row],[inv no]])</f>
        <v>MS5-STR30SC(BK) 451903</v>
      </c>
      <c r="S5159" s="86">
        <f>_xlfn.XLOOKUP(表格1[[#This Row],[Model]],表格3[Model-Input-Ref2],表格3[SRP PRICE])</f>
        <v>5998</v>
      </c>
      <c r="T5159" s="43">
        <f>表格1[[#This Row],[Unit Price]]/表格1[[#This Row],[SRP]]</f>
        <v>0.58186062020673557</v>
      </c>
      <c r="U5159" s="86" t="str">
        <f>_xlfn.XLOOKUP(表格1[[#This Row],[Model]],表格3[Model-Input-Ref2],表格3[TOSHIBA/HIGHEST])</f>
        <v>Shops Highest Price</v>
      </c>
      <c r="W5159" s="86" t="str">
        <f>_xlfn.CONCAT(表格1[[#This Row],[欄4]],表格1[[#This Row],[inv no]])</f>
        <v>451903</v>
      </c>
    </row>
    <row r="5160" spans="1:23" hidden="1">
      <c r="A5160" s="81">
        <v>5158</v>
      </c>
      <c r="B5160" s="86" t="s">
        <v>1403</v>
      </c>
      <c r="C5160" s="86" t="s">
        <v>2457</v>
      </c>
      <c r="D5160" s="89" t="str">
        <f ca="1">OFFSET(Roster!$A$3,MATCH(表格1[[#This Row],[Location]]&amp;" "&amp;表格1[[#This Row],[Shop]]&amp;"*",Roster!$A$4:$A$72,0),DAY(表格1[[#This Row],[date]]),1,1)</f>
        <v>PoWan</v>
      </c>
      <c r="E5160" s="86">
        <f>MONTH(表格1[[#This Row],[date]])</f>
        <v>3</v>
      </c>
      <c r="F5160" s="90">
        <v>46087</v>
      </c>
      <c r="G5160" s="86" t="str">
        <f>VLOOKUP("*"&amp;表格1[[#This Row],[Input]]&amp;"*",'Ref-List'!$B:$D,2,)</f>
        <v>MX2-STR25SC(WH)</v>
      </c>
      <c r="H5160" s="86" t="str">
        <f>_xlfn.XLOOKUP(表格1[[#This Row],[Model]],表格3[Model-Input-Ref2],表格3[Product Line])</f>
        <v>4合1氣炸微波蒸焗爐(25公升)</v>
      </c>
      <c r="I5160" s="86" t="str">
        <f>_xlfn.XLOOKUP(表格1[[#This Row],[Model]],表格3[Model-Input-Ref2],表格3[大小電])</f>
        <v>細電</v>
      </c>
      <c r="J5160" s="86" t="str">
        <f>_xlfn.XLOOKUP(表格1[[#This Row],[Model]],表格3[Model-Input-Ref2],表格3[Code])</f>
        <v>MCA</v>
      </c>
      <c r="K5160" s="89" t="s">
        <v>861</v>
      </c>
      <c r="L5160" s="86">
        <v>1</v>
      </c>
      <c r="M5160" s="87">
        <v>3278</v>
      </c>
      <c r="N5160" s="87">
        <f>IFERROR(表格1[[#This Row],[QTY]]*表格1[[#This Row],[Unit Price]],"-")</f>
        <v>3278</v>
      </c>
      <c r="O5160" s="86" t="s">
        <v>2361</v>
      </c>
      <c r="R5160" s="86" t="str">
        <f>_xlfn.CONCAT(表格1[[#This Row],[Model]]," ",表格1[[#This Row],[inv no]])</f>
        <v>MX2-STR25SC(WH) 451925</v>
      </c>
      <c r="S5160" s="86">
        <f>_xlfn.XLOOKUP(表格1[[#This Row],[Model]],表格3[Model-Input-Ref2],表格3[SRP PRICE])</f>
        <v>4998</v>
      </c>
      <c r="T5160" s="43">
        <f>表格1[[#This Row],[Unit Price]]/表格1[[#This Row],[SRP]]</f>
        <v>0.65586234493797524</v>
      </c>
      <c r="U5160" s="86" t="str">
        <f>_xlfn.XLOOKUP(表格1[[#This Row],[Model]],表格3[Model-Input-Ref2],表格3[TOSHIBA/HIGHEST])</f>
        <v>Toshiba SRP</v>
      </c>
      <c r="W5160" s="86" t="str">
        <f>_xlfn.CONCAT(表格1[[#This Row],[欄4]],表格1[[#This Row],[inv no]])</f>
        <v>451925</v>
      </c>
    </row>
    <row r="5161" spans="1:23" hidden="1">
      <c r="A5161" s="81">
        <v>5159</v>
      </c>
      <c r="B5161" s="86" t="s">
        <v>1403</v>
      </c>
      <c r="C5161" s="86" t="s">
        <v>2457</v>
      </c>
      <c r="D5161" s="89" t="str">
        <f ca="1">OFFSET(Roster!$A$3,MATCH(表格1[[#This Row],[Location]]&amp;" "&amp;表格1[[#This Row],[Shop]]&amp;"*",Roster!$A$4:$A$72,0),DAY(表格1[[#This Row],[date]]),1,1)</f>
        <v>PoWan</v>
      </c>
      <c r="E5161" s="86">
        <f>MONTH(表格1[[#This Row],[date]])</f>
        <v>3</v>
      </c>
      <c r="F5161" s="90">
        <v>46087</v>
      </c>
      <c r="G5161" s="86" t="str">
        <f>VLOOKUP("*"&amp;表格1[[#This Row],[Input]]&amp;"*",'Ref-List'!$B:$D,2,)</f>
        <v>MX2-TT20SC(WH)</v>
      </c>
      <c r="H5161" s="86" t="str">
        <f>_xlfn.XLOOKUP(表格1[[#This Row],[Model]],表格3[Model-Input-Ref2],表格3[Product Line])</f>
        <v>3合1 微波蒸焗爐 (20公升)</v>
      </c>
      <c r="I5161" s="86" t="str">
        <f>_xlfn.XLOOKUP(表格1[[#This Row],[Model]],表格3[Model-Input-Ref2],表格3[大小電])</f>
        <v>細電</v>
      </c>
      <c r="J5161" s="86" t="str">
        <f>_xlfn.XLOOKUP(表格1[[#This Row],[Model]],表格3[Model-Input-Ref2],表格3[Code])</f>
        <v>MCA</v>
      </c>
      <c r="K5161" s="89" t="s">
        <v>944</v>
      </c>
      <c r="L5161" s="86">
        <v>1</v>
      </c>
      <c r="M5161" s="87">
        <v>2330</v>
      </c>
      <c r="N5161" s="87">
        <f>IFERROR(表格1[[#This Row],[QTY]]*表格1[[#This Row],[Unit Price]],"-")</f>
        <v>2330</v>
      </c>
      <c r="O5161" s="86" t="s">
        <v>2394</v>
      </c>
      <c r="R5161" s="86" t="str">
        <f>_xlfn.CONCAT(表格1[[#This Row],[Model]]," ",表格1[[#This Row],[inv no]])</f>
        <v>MX2-TT20SC(WH) 451907</v>
      </c>
      <c r="S5161" s="86">
        <f>_xlfn.XLOOKUP(表格1[[#This Row],[Model]],表格3[Model-Input-Ref2],表格3[SRP PRICE])</f>
        <v>3580</v>
      </c>
      <c r="T5161" s="43">
        <f>表格1[[#This Row],[Unit Price]]/表格1[[#This Row],[SRP]]</f>
        <v>0.65083798882681565</v>
      </c>
      <c r="U5161" s="86" t="str">
        <f>_xlfn.XLOOKUP(表格1[[#This Row],[Model]],表格3[Model-Input-Ref2],表格3[TOSHIBA/HIGHEST])</f>
        <v>Toshiba SRP</v>
      </c>
      <c r="W5161" s="86" t="str">
        <f>_xlfn.CONCAT(表格1[[#This Row],[欄4]],表格1[[#This Row],[inv no]])</f>
        <v>451907</v>
      </c>
    </row>
    <row r="5162" spans="1:23" hidden="1">
      <c r="A5162" s="81">
        <v>5160</v>
      </c>
      <c r="B5162" s="86" t="s">
        <v>1403</v>
      </c>
      <c r="C5162" s="86" t="s">
        <v>2457</v>
      </c>
      <c r="D5162" s="89" t="str">
        <f ca="1">OFFSET(Roster!$A$3,MATCH(表格1[[#This Row],[Location]]&amp;" "&amp;表格1[[#This Row],[Shop]]&amp;"*",Roster!$A$4:$A$72,0),DAY(表格1[[#This Row],[date]]),1,1)</f>
        <v>PoWan</v>
      </c>
      <c r="E5162" s="86">
        <f>MONTH(表格1[[#This Row],[date]])</f>
        <v>3</v>
      </c>
      <c r="F5162" s="90">
        <v>46087</v>
      </c>
      <c r="G5162" s="86" t="str">
        <f>VLOOKUP("*"&amp;表格1[[#This Row],[Input]]&amp;"*",'Ref-List'!$B:$D,2,)</f>
        <v>MX2-TT20SC(WH)</v>
      </c>
      <c r="H5162" s="86" t="str">
        <f>_xlfn.XLOOKUP(表格1[[#This Row],[Model]],表格3[Model-Input-Ref2],表格3[Product Line])</f>
        <v>3合1 微波蒸焗爐 (20公升)</v>
      </c>
      <c r="I5162" s="86" t="str">
        <f>_xlfn.XLOOKUP(表格1[[#This Row],[Model]],表格3[Model-Input-Ref2],表格3[大小電])</f>
        <v>細電</v>
      </c>
      <c r="J5162" s="86" t="str">
        <f>_xlfn.XLOOKUP(表格1[[#This Row],[Model]],表格3[Model-Input-Ref2],表格3[Code])</f>
        <v>MCA</v>
      </c>
      <c r="K5162" s="89" t="s">
        <v>944</v>
      </c>
      <c r="L5162" s="86">
        <v>1</v>
      </c>
      <c r="M5162" s="87">
        <v>2330</v>
      </c>
      <c r="N5162" s="87">
        <f>IFERROR(表格1[[#This Row],[QTY]]*表格1[[#This Row],[Unit Price]],"-")</f>
        <v>2330</v>
      </c>
      <c r="O5162" s="86" t="s">
        <v>2396</v>
      </c>
      <c r="R5162" s="86" t="str">
        <f>_xlfn.CONCAT(表格1[[#This Row],[Model]]," ",表格1[[#This Row],[inv no]])</f>
        <v>MX2-TT20SC(WH) 451908</v>
      </c>
      <c r="S5162" s="86">
        <f>_xlfn.XLOOKUP(表格1[[#This Row],[Model]],表格3[Model-Input-Ref2],表格3[SRP PRICE])</f>
        <v>3580</v>
      </c>
      <c r="T5162" s="43">
        <f>表格1[[#This Row],[Unit Price]]/表格1[[#This Row],[SRP]]</f>
        <v>0.65083798882681565</v>
      </c>
      <c r="U5162" s="86" t="str">
        <f>_xlfn.XLOOKUP(表格1[[#This Row],[Model]],表格3[Model-Input-Ref2],表格3[TOSHIBA/HIGHEST])</f>
        <v>Toshiba SRP</v>
      </c>
      <c r="W5162" s="86" t="str">
        <f>_xlfn.CONCAT(表格1[[#This Row],[欄4]],表格1[[#This Row],[inv no]])</f>
        <v>451908</v>
      </c>
    </row>
    <row r="5163" spans="1:23" hidden="1">
      <c r="A5163" s="81">
        <v>5161</v>
      </c>
      <c r="B5163" s="86" t="s">
        <v>1403</v>
      </c>
      <c r="C5163" s="86" t="s">
        <v>2457</v>
      </c>
      <c r="D5163" s="89" t="str">
        <f ca="1">OFFSET(Roster!$A$3,MATCH(表格1[[#This Row],[Location]]&amp;" "&amp;表格1[[#This Row],[Shop]]&amp;"*",Roster!$A$4:$A$72,0),DAY(表格1[[#This Row],[date]]),1,1)</f>
        <v>PoWan</v>
      </c>
      <c r="E5163" s="86">
        <f>MONTH(表格1[[#This Row],[date]])</f>
        <v>3</v>
      </c>
      <c r="F5163" s="90">
        <v>46087</v>
      </c>
      <c r="G5163" s="86" t="str">
        <f>VLOOKUP("*"&amp;表格1[[#This Row],[Input]]&amp;"*",'Ref-List'!$B:$D,2,)</f>
        <v>MX2-TT20SC(WH)</v>
      </c>
      <c r="H5163" s="86" t="str">
        <f>_xlfn.XLOOKUP(表格1[[#This Row],[Model]],表格3[Model-Input-Ref2],表格3[Product Line])</f>
        <v>3合1 微波蒸焗爐 (20公升)</v>
      </c>
      <c r="I5163" s="86" t="str">
        <f>_xlfn.XLOOKUP(表格1[[#This Row],[Model]],表格3[Model-Input-Ref2],表格3[大小電])</f>
        <v>細電</v>
      </c>
      <c r="J5163" s="86" t="str">
        <f>_xlfn.XLOOKUP(表格1[[#This Row],[Model]],表格3[Model-Input-Ref2],表格3[Code])</f>
        <v>MCA</v>
      </c>
      <c r="K5163" s="89" t="s">
        <v>944</v>
      </c>
      <c r="L5163" s="86">
        <v>1</v>
      </c>
      <c r="M5163" s="87">
        <v>2330</v>
      </c>
      <c r="N5163" s="87">
        <f>IFERROR(表格1[[#This Row],[QTY]]*表格1[[#This Row],[Unit Price]],"-")</f>
        <v>2330</v>
      </c>
      <c r="O5163" s="86" t="s">
        <v>2398</v>
      </c>
      <c r="R5163" s="86" t="str">
        <f>_xlfn.CONCAT(表格1[[#This Row],[Model]]," ",表格1[[#This Row],[inv no]])</f>
        <v>MX2-TT20SC(WH) 451898</v>
      </c>
      <c r="S5163" s="86">
        <f>_xlfn.XLOOKUP(表格1[[#This Row],[Model]],表格3[Model-Input-Ref2],表格3[SRP PRICE])</f>
        <v>3580</v>
      </c>
      <c r="T5163" s="43">
        <f>表格1[[#This Row],[Unit Price]]/表格1[[#This Row],[SRP]]</f>
        <v>0.65083798882681565</v>
      </c>
      <c r="U5163" s="86" t="str">
        <f>_xlfn.XLOOKUP(表格1[[#This Row],[Model]],表格3[Model-Input-Ref2],表格3[TOSHIBA/HIGHEST])</f>
        <v>Toshiba SRP</v>
      </c>
      <c r="W5163" s="86" t="str">
        <f>_xlfn.CONCAT(表格1[[#This Row],[欄4]],表格1[[#This Row],[inv no]])</f>
        <v>451898</v>
      </c>
    </row>
    <row r="5164" spans="1:23" hidden="1">
      <c r="A5164" s="81">
        <v>5162</v>
      </c>
      <c r="B5164" s="86" t="s">
        <v>1403</v>
      </c>
      <c r="C5164" s="86" t="s">
        <v>2457</v>
      </c>
      <c r="D5164" s="89" t="str">
        <f ca="1">OFFSET(Roster!$A$3,MATCH(表格1[[#This Row],[Location]]&amp;" "&amp;表格1[[#This Row],[Shop]]&amp;"*",Roster!$A$4:$A$72,0),DAY(表格1[[#This Row],[date]]),1,1)</f>
        <v>PoWan</v>
      </c>
      <c r="E5164" s="86">
        <f>MONTH(表格1[[#This Row],[date]])</f>
        <v>3</v>
      </c>
      <c r="F5164" s="90">
        <v>46087</v>
      </c>
      <c r="G5164" s="86" t="str">
        <f>VLOOKUP("*"&amp;表格1[[#This Row],[Input]]&amp;"*",'Ref-List'!$B:$D,2,)</f>
        <v>RC-10ISSHK(W)</v>
      </c>
      <c r="H5164" s="86" t="str">
        <f>_xlfn.XLOOKUP(表格1[[#This Row],[Model]],表格3[Model-Input-Ref2],表格3[Product Line])</f>
        <v>磁應電飯煲(1公升)</v>
      </c>
      <c r="I5164" s="86" t="str">
        <f>_xlfn.XLOOKUP(表格1[[#This Row],[Model]],表格3[Model-Input-Ref2],表格3[大小電])</f>
        <v>細電</v>
      </c>
      <c r="J5164" s="86" t="str">
        <f>_xlfn.XLOOKUP(表格1[[#This Row],[Model]],表格3[Model-Input-Ref2],表格3[Code])</f>
        <v>SDA</v>
      </c>
      <c r="K5164" s="89" t="s">
        <v>719</v>
      </c>
      <c r="L5164" s="86">
        <v>1</v>
      </c>
      <c r="M5164" s="87">
        <v>898</v>
      </c>
      <c r="N5164" s="87">
        <f>IFERROR(表格1[[#This Row],[QTY]]*表格1[[#This Row],[Unit Price]],"-")</f>
        <v>898</v>
      </c>
      <c r="O5164" s="86" t="s">
        <v>2428</v>
      </c>
      <c r="R5164" s="86" t="str">
        <f>_xlfn.CONCAT(表格1[[#This Row],[Model]]," ",表格1[[#This Row],[inv no]])</f>
        <v>RC-10ISSHK(W) 2210</v>
      </c>
      <c r="S5164" s="86">
        <f>_xlfn.XLOOKUP(表格1[[#This Row],[Model]],表格3[Model-Input-Ref2],表格3[SRP PRICE])</f>
        <v>1188</v>
      </c>
      <c r="T5164" s="43">
        <f>表格1[[#This Row],[Unit Price]]/表格1[[#This Row],[SRP]]</f>
        <v>0.75589225589225584</v>
      </c>
      <c r="U5164" s="86" t="str">
        <f>_xlfn.XLOOKUP(表格1[[#This Row],[Model]],表格3[Model-Input-Ref2],表格3[TOSHIBA/HIGHEST])</f>
        <v>Shops Highest Price</v>
      </c>
      <c r="W5164" s="86" t="str">
        <f>_xlfn.CONCAT(表格1[[#This Row],[欄4]],表格1[[#This Row],[inv no]])</f>
        <v>2210</v>
      </c>
    </row>
    <row r="5165" spans="1:23" hidden="1">
      <c r="A5165" s="81">
        <v>5163</v>
      </c>
      <c r="B5165" s="86" t="s">
        <v>1403</v>
      </c>
      <c r="C5165" s="86" t="s">
        <v>2457</v>
      </c>
      <c r="D5165" s="89" t="str">
        <f ca="1">OFFSET(Roster!$A$3,MATCH(表格1[[#This Row],[Location]]&amp;" "&amp;表格1[[#This Row],[Shop]]&amp;"*",Roster!$A$4:$A$72,0),DAY(表格1[[#This Row],[date]]),1,1)</f>
        <v>PoWan</v>
      </c>
      <c r="E5165" s="86">
        <f>MONTH(表格1[[#This Row],[date]])</f>
        <v>3</v>
      </c>
      <c r="F5165" s="90">
        <v>46088</v>
      </c>
      <c r="G5165" s="86" t="str">
        <f>VLOOKUP("*"&amp;表格1[[#This Row],[Input]]&amp;"*",'Ref-List'!$B:$D,2,)</f>
        <v>MM2-EM20PC(WH)</v>
      </c>
      <c r="H5165" s="86" t="str">
        <f>_xlfn.XLOOKUP(表格1[[#This Row],[Model]],表格3[Model-Input-Ref2],表格3[Product Line])</f>
        <v>輕觸式微波爐 (20公升)</v>
      </c>
      <c r="I5165" s="86" t="str">
        <f>_xlfn.XLOOKUP(表格1[[#This Row],[Model]],表格3[Model-Input-Ref2],表格3[大小電])</f>
        <v>細電</v>
      </c>
      <c r="J5165" s="86" t="str">
        <f>_xlfn.XLOOKUP(表格1[[#This Row],[Model]],表格3[Model-Input-Ref2],表格3[Code])</f>
        <v>MCA</v>
      </c>
      <c r="K5165" s="89" t="s">
        <v>791</v>
      </c>
      <c r="L5165" s="86">
        <v>1</v>
      </c>
      <c r="M5165" s="87">
        <v>598</v>
      </c>
      <c r="N5165" s="87">
        <f>IFERROR(表格1[[#This Row],[QTY]]*表格1[[#This Row],[Unit Price]],"-")</f>
        <v>598</v>
      </c>
      <c r="O5165" s="86" t="s">
        <v>2326</v>
      </c>
      <c r="R5165" s="86" t="str">
        <f>_xlfn.CONCAT(表格1[[#This Row],[Model]]," ",表格1[[#This Row],[inv no]])</f>
        <v>MM2-EM20PC(WH) 2234</v>
      </c>
      <c r="S5165" s="86">
        <f>_xlfn.XLOOKUP(表格1[[#This Row],[Model]],表格3[Model-Input-Ref2],表格3[SRP PRICE])</f>
        <v>788</v>
      </c>
      <c r="T5165" s="43">
        <f>表格1[[#This Row],[Unit Price]]/表格1[[#This Row],[SRP]]</f>
        <v>0.75888324873096447</v>
      </c>
      <c r="U5165" s="86" t="str">
        <f>_xlfn.XLOOKUP(表格1[[#This Row],[Model]],表格3[Model-Input-Ref2],表格3[TOSHIBA/HIGHEST])</f>
        <v>Toshiba SRP</v>
      </c>
      <c r="W5165" s="86" t="str">
        <f>_xlfn.CONCAT(表格1[[#This Row],[欄4]],表格1[[#This Row],[inv no]])</f>
        <v>2234</v>
      </c>
    </row>
    <row r="5166" spans="1:23" hidden="1">
      <c r="A5166" s="81">
        <v>5164</v>
      </c>
      <c r="B5166" s="86" t="s">
        <v>1403</v>
      </c>
      <c r="C5166" s="86" t="s">
        <v>2457</v>
      </c>
      <c r="D5166" s="89" t="str">
        <f ca="1">OFFSET(Roster!$A$3,MATCH(表格1[[#This Row],[Location]]&amp;" "&amp;表格1[[#This Row],[Shop]]&amp;"*",Roster!$A$4:$A$72,0),DAY(表格1[[#This Row],[date]]),1,1)</f>
        <v>PoWan</v>
      </c>
      <c r="E5166" s="86">
        <f>MONTH(表格1[[#This Row],[date]])</f>
        <v>3</v>
      </c>
      <c r="F5166" s="90">
        <v>46088</v>
      </c>
      <c r="G5166" s="86" t="str">
        <f>VLOOKUP("*"&amp;表格1[[#This Row],[Input]]&amp;"*",'Ref-List'!$B:$D,2,)</f>
        <v>MW3-SAC24SE(BK)</v>
      </c>
      <c r="H5166" s="86" t="str">
        <f>_xlfn.XLOOKUP(表格1[[#This Row],[Model]],表格3[Model-Input-Ref2],表格3[Product Line])</f>
        <v>智能氣炸烤焗爐(24公升)</v>
      </c>
      <c r="I5166" s="86" t="str">
        <f>_xlfn.XLOOKUP(表格1[[#This Row],[Model]],表格3[Model-Input-Ref2],表格3[大小電])</f>
        <v>細電</v>
      </c>
      <c r="J5166" s="86" t="str">
        <f>_xlfn.XLOOKUP(表格1[[#This Row],[Model]],表格3[Model-Input-Ref2],表格3[Code])</f>
        <v>MCA</v>
      </c>
      <c r="K5166" s="89" t="s">
        <v>724</v>
      </c>
      <c r="L5166" s="86">
        <v>1</v>
      </c>
      <c r="M5166" s="87">
        <v>1288</v>
      </c>
      <c r="N5166" s="87">
        <f>IFERROR(表格1[[#This Row],[QTY]]*表格1[[#This Row],[Unit Price]],"-")</f>
        <v>1288</v>
      </c>
      <c r="O5166" s="86" t="s">
        <v>2344</v>
      </c>
      <c r="R5166" s="86" t="str">
        <f>_xlfn.CONCAT(表格1[[#This Row],[Model]]," ",表格1[[#This Row],[inv no]])</f>
        <v>MW3-SAC24SE(BK) 451993</v>
      </c>
      <c r="S5166" s="86">
        <f>_xlfn.XLOOKUP(表格1[[#This Row],[Model]],表格3[Model-Input-Ref2],表格3[SRP PRICE])</f>
        <v>1680</v>
      </c>
      <c r="T5166" s="43">
        <f>表格1[[#This Row],[Unit Price]]/表格1[[#This Row],[SRP]]</f>
        <v>0.76666666666666672</v>
      </c>
      <c r="U5166" s="86" t="str">
        <f>_xlfn.XLOOKUP(表格1[[#This Row],[Model]],表格3[Model-Input-Ref2],表格3[TOSHIBA/HIGHEST])</f>
        <v>Toshiba SRP</v>
      </c>
      <c r="W5166" s="86" t="str">
        <f>_xlfn.CONCAT(表格1[[#This Row],[欄4]],表格1[[#This Row],[inv no]])</f>
        <v>451993</v>
      </c>
    </row>
    <row r="5167" spans="1:23" hidden="1">
      <c r="A5167" s="81">
        <v>5165</v>
      </c>
      <c r="B5167" s="86" t="s">
        <v>1403</v>
      </c>
      <c r="C5167" s="86" t="s">
        <v>2457</v>
      </c>
      <c r="D5167" s="89" t="str">
        <f ca="1">OFFSET(Roster!$A$3,MATCH(表格1[[#This Row],[Location]]&amp;" "&amp;表格1[[#This Row],[Shop]]&amp;"*",Roster!$A$4:$A$72,0),DAY(表格1[[#This Row],[date]]),1,1)</f>
        <v>PoWan</v>
      </c>
      <c r="E5167" s="86">
        <f>MONTH(表格1[[#This Row],[date]])</f>
        <v>3</v>
      </c>
      <c r="F5167" s="90">
        <v>46088</v>
      </c>
      <c r="G5167" s="86" t="str">
        <f>VLOOKUP("*"&amp;表格1[[#This Row],[Input]]&amp;"*",'Ref-List'!$B:$D,2,)</f>
        <v>MX2-STR25SC(WH)</v>
      </c>
      <c r="H5167" s="86" t="str">
        <f>_xlfn.XLOOKUP(表格1[[#This Row],[Model]],表格3[Model-Input-Ref2],表格3[Product Line])</f>
        <v>4合1氣炸微波蒸焗爐(25公升)</v>
      </c>
      <c r="I5167" s="86" t="str">
        <f>_xlfn.XLOOKUP(表格1[[#This Row],[Model]],表格3[Model-Input-Ref2],表格3[大小電])</f>
        <v>細電</v>
      </c>
      <c r="J5167" s="86" t="str">
        <f>_xlfn.XLOOKUP(表格1[[#This Row],[Model]],表格3[Model-Input-Ref2],表格3[Code])</f>
        <v>MCA</v>
      </c>
      <c r="K5167" s="89" t="s">
        <v>861</v>
      </c>
      <c r="L5167" s="86">
        <v>1</v>
      </c>
      <c r="M5167" s="87">
        <v>3278</v>
      </c>
      <c r="N5167" s="87">
        <f>IFERROR(表格1[[#This Row],[QTY]]*表格1[[#This Row],[Unit Price]],"-")</f>
        <v>3278</v>
      </c>
      <c r="O5167" s="86" t="s">
        <v>2355</v>
      </c>
      <c r="R5167" s="86" t="str">
        <f>_xlfn.CONCAT(表格1[[#This Row],[Model]]," ",表格1[[#This Row],[inv no]])</f>
        <v>MX2-STR25SC(WH) 452009</v>
      </c>
      <c r="S5167" s="86">
        <f>_xlfn.XLOOKUP(表格1[[#This Row],[Model]],表格3[Model-Input-Ref2],表格3[SRP PRICE])</f>
        <v>4998</v>
      </c>
      <c r="T5167" s="43">
        <f>表格1[[#This Row],[Unit Price]]/表格1[[#This Row],[SRP]]</f>
        <v>0.65586234493797524</v>
      </c>
      <c r="U5167" s="86" t="str">
        <f>_xlfn.XLOOKUP(表格1[[#This Row],[Model]],表格3[Model-Input-Ref2],表格3[TOSHIBA/HIGHEST])</f>
        <v>Toshiba SRP</v>
      </c>
      <c r="W5167" s="86" t="str">
        <f>_xlfn.CONCAT(表格1[[#This Row],[欄4]],表格1[[#This Row],[inv no]])</f>
        <v>452009</v>
      </c>
    </row>
    <row r="5168" spans="1:23" hidden="1">
      <c r="A5168" s="81">
        <v>5166</v>
      </c>
      <c r="B5168" s="86" t="s">
        <v>1403</v>
      </c>
      <c r="C5168" s="86" t="s">
        <v>2457</v>
      </c>
      <c r="D5168" s="89" t="str">
        <f ca="1">OFFSET(Roster!$A$3,MATCH(表格1[[#This Row],[Location]]&amp;" "&amp;表格1[[#This Row],[Shop]]&amp;"*",Roster!$A$4:$A$72,0),DAY(表格1[[#This Row],[date]]),1,1)</f>
        <v>PoWan</v>
      </c>
      <c r="E5168" s="86">
        <f>MONTH(表格1[[#This Row],[date]])</f>
        <v>3</v>
      </c>
      <c r="F5168" s="90">
        <v>46088</v>
      </c>
      <c r="G5168" s="86" t="str">
        <f>VLOOKUP("*"&amp;表格1[[#This Row],[Input]]&amp;"*",'Ref-List'!$B:$D,2,)</f>
        <v>MX2-STR25SC(WH)</v>
      </c>
      <c r="H5168" s="86" t="str">
        <f>_xlfn.XLOOKUP(表格1[[#This Row],[Model]],表格3[Model-Input-Ref2],表格3[Product Line])</f>
        <v>4合1氣炸微波蒸焗爐(25公升)</v>
      </c>
      <c r="I5168" s="86" t="str">
        <f>_xlfn.XLOOKUP(表格1[[#This Row],[Model]],表格3[Model-Input-Ref2],表格3[大小電])</f>
        <v>細電</v>
      </c>
      <c r="J5168" s="86" t="str">
        <f>_xlfn.XLOOKUP(表格1[[#This Row],[Model]],表格3[Model-Input-Ref2],表格3[Code])</f>
        <v>MCA</v>
      </c>
      <c r="K5168" s="89" t="s">
        <v>861</v>
      </c>
      <c r="L5168" s="86">
        <v>1</v>
      </c>
      <c r="M5168" s="87">
        <v>3278</v>
      </c>
      <c r="N5168" s="87">
        <f>IFERROR(表格1[[#This Row],[QTY]]*表格1[[#This Row],[Unit Price]],"-")</f>
        <v>3278</v>
      </c>
      <c r="O5168" s="86" t="s">
        <v>2357</v>
      </c>
      <c r="R5168" s="86" t="str">
        <f>_xlfn.CONCAT(表格1[[#This Row],[Model]]," ",表格1[[#This Row],[inv no]])</f>
        <v>MX2-STR25SC(WH) 451955</v>
      </c>
      <c r="S5168" s="86">
        <f>_xlfn.XLOOKUP(表格1[[#This Row],[Model]],表格3[Model-Input-Ref2],表格3[SRP PRICE])</f>
        <v>4998</v>
      </c>
      <c r="T5168" s="43">
        <f>表格1[[#This Row],[Unit Price]]/表格1[[#This Row],[SRP]]</f>
        <v>0.65586234493797524</v>
      </c>
      <c r="U5168" s="86" t="str">
        <f>_xlfn.XLOOKUP(表格1[[#This Row],[Model]],表格3[Model-Input-Ref2],表格3[TOSHIBA/HIGHEST])</f>
        <v>Toshiba SRP</v>
      </c>
      <c r="W5168" s="86" t="str">
        <f>_xlfn.CONCAT(表格1[[#This Row],[欄4]],表格1[[#This Row],[inv no]])</f>
        <v>451955</v>
      </c>
    </row>
    <row r="5169" spans="1:23" hidden="1">
      <c r="A5169" s="81">
        <v>5167</v>
      </c>
      <c r="B5169" s="86" t="s">
        <v>1403</v>
      </c>
      <c r="C5169" s="86" t="s">
        <v>2457</v>
      </c>
      <c r="D5169" s="89" t="str">
        <f ca="1">OFFSET(Roster!$A$3,MATCH(表格1[[#This Row],[Location]]&amp;" "&amp;表格1[[#This Row],[Shop]]&amp;"*",Roster!$A$4:$A$72,0),DAY(表格1[[#This Row],[date]]),1,1)</f>
        <v>PoWan</v>
      </c>
      <c r="E5169" s="86">
        <f>MONTH(表格1[[#This Row],[date]])</f>
        <v>3</v>
      </c>
      <c r="F5169" s="90">
        <v>46088</v>
      </c>
      <c r="G5169" s="86" t="str">
        <f>VLOOKUP("*"&amp;表格1[[#This Row],[Input]]&amp;"*",'Ref-List'!$B:$D,2,)</f>
        <v>MX2-STR25SC(WH)</v>
      </c>
      <c r="H5169" s="86" t="str">
        <f>_xlfn.XLOOKUP(表格1[[#This Row],[Model]],表格3[Model-Input-Ref2],表格3[Product Line])</f>
        <v>4合1氣炸微波蒸焗爐(25公升)</v>
      </c>
      <c r="I5169" s="86" t="str">
        <f>_xlfn.XLOOKUP(表格1[[#This Row],[Model]],表格3[Model-Input-Ref2],表格3[大小電])</f>
        <v>細電</v>
      </c>
      <c r="J5169" s="86" t="str">
        <f>_xlfn.XLOOKUP(表格1[[#This Row],[Model]],表格3[Model-Input-Ref2],表格3[Code])</f>
        <v>MCA</v>
      </c>
      <c r="K5169" s="89" t="s">
        <v>861</v>
      </c>
      <c r="L5169" s="86">
        <v>1</v>
      </c>
      <c r="M5169" s="87">
        <v>3278</v>
      </c>
      <c r="N5169" s="87">
        <f>IFERROR(表格1[[#This Row],[QTY]]*表格1[[#This Row],[Unit Price]],"-")</f>
        <v>3278</v>
      </c>
      <c r="O5169" s="86" t="s">
        <v>2359</v>
      </c>
      <c r="R5169" s="86" t="str">
        <f>_xlfn.CONCAT(表格1[[#This Row],[Model]]," ",表格1[[#This Row],[inv no]])</f>
        <v>MX2-STR25SC(WH) 451994</v>
      </c>
      <c r="S5169" s="86">
        <f>_xlfn.XLOOKUP(表格1[[#This Row],[Model]],表格3[Model-Input-Ref2],表格3[SRP PRICE])</f>
        <v>4998</v>
      </c>
      <c r="T5169" s="43">
        <f>表格1[[#This Row],[Unit Price]]/表格1[[#This Row],[SRP]]</f>
        <v>0.65586234493797524</v>
      </c>
      <c r="U5169" s="86" t="str">
        <f>_xlfn.XLOOKUP(表格1[[#This Row],[Model]],表格3[Model-Input-Ref2],表格3[TOSHIBA/HIGHEST])</f>
        <v>Toshiba SRP</v>
      </c>
      <c r="W5169" s="86" t="str">
        <f>_xlfn.CONCAT(表格1[[#This Row],[欄4]],表格1[[#This Row],[inv no]])</f>
        <v>451994</v>
      </c>
    </row>
    <row r="5170" spans="1:23" hidden="1">
      <c r="A5170" s="81">
        <v>5168</v>
      </c>
      <c r="B5170" s="86" t="s">
        <v>1403</v>
      </c>
      <c r="C5170" s="86" t="s">
        <v>2457</v>
      </c>
      <c r="D5170" s="89" t="str">
        <f ca="1">OFFSET(Roster!$A$3,MATCH(表格1[[#This Row],[Location]]&amp;" "&amp;表格1[[#This Row],[Shop]]&amp;"*",Roster!$A$4:$A$72,0),DAY(表格1[[#This Row],[date]]),1,1)</f>
        <v>PoWan</v>
      </c>
      <c r="E5170" s="86">
        <f>MONTH(表格1[[#This Row],[date]])</f>
        <v>3</v>
      </c>
      <c r="F5170" s="90">
        <v>46088</v>
      </c>
      <c r="G5170" s="86" t="str">
        <f>VLOOKUP("*"&amp;表格1[[#This Row],[Input]]&amp;"*",'Ref-List'!$B:$D,2,)</f>
        <v>MX2-TT20SC(WH)</v>
      </c>
      <c r="H5170" s="86" t="str">
        <f>_xlfn.XLOOKUP(表格1[[#This Row],[Model]],表格3[Model-Input-Ref2],表格3[Product Line])</f>
        <v>3合1 微波蒸焗爐 (20公升)</v>
      </c>
      <c r="I5170" s="86" t="str">
        <f>_xlfn.XLOOKUP(表格1[[#This Row],[Model]],表格3[Model-Input-Ref2],表格3[大小電])</f>
        <v>細電</v>
      </c>
      <c r="J5170" s="86" t="str">
        <f>_xlfn.XLOOKUP(表格1[[#This Row],[Model]],表格3[Model-Input-Ref2],表格3[Code])</f>
        <v>MCA</v>
      </c>
      <c r="K5170" s="89" t="s">
        <v>944</v>
      </c>
      <c r="L5170" s="86">
        <v>1</v>
      </c>
      <c r="M5170" s="87">
        <v>2330</v>
      </c>
      <c r="N5170" s="87">
        <f>IFERROR(表格1[[#This Row],[QTY]]*表格1[[#This Row],[Unit Price]],"-")</f>
        <v>2330</v>
      </c>
      <c r="O5170" s="86" t="s">
        <v>2389</v>
      </c>
      <c r="R5170" s="86" t="str">
        <f>_xlfn.CONCAT(表格1[[#This Row],[Model]]," ",表格1[[#This Row],[inv no]])</f>
        <v>MX2-TT20SC(WH) S17M61-2232</v>
      </c>
      <c r="S5170" s="86">
        <f>_xlfn.XLOOKUP(表格1[[#This Row],[Model]],表格3[Model-Input-Ref2],表格3[SRP PRICE])</f>
        <v>3580</v>
      </c>
      <c r="T5170" s="43">
        <f>表格1[[#This Row],[Unit Price]]/表格1[[#This Row],[SRP]]</f>
        <v>0.65083798882681565</v>
      </c>
      <c r="U5170" s="86" t="str">
        <f>_xlfn.XLOOKUP(表格1[[#This Row],[Model]],表格3[Model-Input-Ref2],表格3[TOSHIBA/HIGHEST])</f>
        <v>Toshiba SRP</v>
      </c>
      <c r="W5170" s="86" t="str">
        <f>_xlfn.CONCAT(表格1[[#This Row],[欄4]],表格1[[#This Row],[inv no]])</f>
        <v>S17M61-2232</v>
      </c>
    </row>
    <row r="5171" spans="1:23" hidden="1">
      <c r="A5171" s="81">
        <v>5169</v>
      </c>
      <c r="B5171" s="86" t="s">
        <v>1403</v>
      </c>
      <c r="C5171" s="86" t="s">
        <v>2457</v>
      </c>
      <c r="D5171" s="89" t="str">
        <f ca="1">OFFSET(Roster!$A$3,MATCH(表格1[[#This Row],[Location]]&amp;" "&amp;表格1[[#This Row],[Shop]]&amp;"*",Roster!$A$4:$A$72,0),DAY(表格1[[#This Row],[date]]),1,1)</f>
        <v>PoWan</v>
      </c>
      <c r="E5171" s="86">
        <f>MONTH(表格1[[#This Row],[date]])</f>
        <v>3</v>
      </c>
      <c r="F5171" s="90">
        <v>46088</v>
      </c>
      <c r="G5171" s="86" t="str">
        <f>VLOOKUP("*"&amp;表格1[[#This Row],[Input]]&amp;"*",'Ref-List'!$B:$D,2,)</f>
        <v>MX2-TT20SC(WH)</v>
      </c>
      <c r="H5171" s="86" t="str">
        <f>_xlfn.XLOOKUP(表格1[[#This Row],[Model]],表格3[Model-Input-Ref2],表格3[Product Line])</f>
        <v>3合1 微波蒸焗爐 (20公升)</v>
      </c>
      <c r="I5171" s="86" t="str">
        <f>_xlfn.XLOOKUP(表格1[[#This Row],[Model]],表格3[Model-Input-Ref2],表格3[大小電])</f>
        <v>細電</v>
      </c>
      <c r="J5171" s="86" t="str">
        <f>_xlfn.XLOOKUP(表格1[[#This Row],[Model]],表格3[Model-Input-Ref2],表格3[Code])</f>
        <v>MCA</v>
      </c>
      <c r="K5171" s="89" t="s">
        <v>944</v>
      </c>
      <c r="L5171" s="86">
        <v>1</v>
      </c>
      <c r="M5171" s="87">
        <v>2330</v>
      </c>
      <c r="N5171" s="87">
        <f>IFERROR(表格1[[#This Row],[QTY]]*表格1[[#This Row],[Unit Price]],"-")</f>
        <v>2330</v>
      </c>
      <c r="O5171" s="86" t="s">
        <v>2391</v>
      </c>
      <c r="R5171" s="86" t="str">
        <f>_xlfn.CONCAT(表格1[[#This Row],[Model]]," ",表格1[[#This Row],[inv no]])</f>
        <v>MX2-TT20SC(WH) 451937</v>
      </c>
      <c r="S5171" s="86">
        <f>_xlfn.XLOOKUP(表格1[[#This Row],[Model]],表格3[Model-Input-Ref2],表格3[SRP PRICE])</f>
        <v>3580</v>
      </c>
      <c r="T5171" s="43">
        <f>表格1[[#This Row],[Unit Price]]/表格1[[#This Row],[SRP]]</f>
        <v>0.65083798882681565</v>
      </c>
      <c r="U5171" s="86" t="str">
        <f>_xlfn.XLOOKUP(表格1[[#This Row],[Model]],表格3[Model-Input-Ref2],表格3[TOSHIBA/HIGHEST])</f>
        <v>Toshiba SRP</v>
      </c>
      <c r="W5171" s="86" t="str">
        <f>_xlfn.CONCAT(表格1[[#This Row],[欄4]],表格1[[#This Row],[inv no]])</f>
        <v>451937</v>
      </c>
    </row>
    <row r="5172" spans="1:23" hidden="1">
      <c r="A5172" s="81">
        <v>5170</v>
      </c>
      <c r="B5172" s="86" t="s">
        <v>1403</v>
      </c>
      <c r="C5172" s="86" t="s">
        <v>2457</v>
      </c>
      <c r="D5172" s="89" t="str">
        <f ca="1">OFFSET(Roster!$A$3,MATCH(表格1[[#This Row],[Location]]&amp;" "&amp;表格1[[#This Row],[Shop]]&amp;"*",Roster!$A$4:$A$72,0),DAY(表格1[[#This Row],[date]]),1,1)</f>
        <v>PoWan</v>
      </c>
      <c r="E5172" s="86">
        <f>MONTH(表格1[[#This Row],[date]])</f>
        <v>3</v>
      </c>
      <c r="F5172" s="90">
        <v>46088</v>
      </c>
      <c r="G5172" s="86" t="str">
        <f>VLOOKUP("*"&amp;表格1[[#This Row],[Input]]&amp;"*",'Ref-List'!$B:$D,2,)</f>
        <v>MX2-TT20SC(WH)</v>
      </c>
      <c r="H5172" s="86" t="str">
        <f>_xlfn.XLOOKUP(表格1[[#This Row],[Model]],表格3[Model-Input-Ref2],表格3[Product Line])</f>
        <v>3合1 微波蒸焗爐 (20公升)</v>
      </c>
      <c r="I5172" s="86" t="str">
        <f>_xlfn.XLOOKUP(表格1[[#This Row],[Model]],表格3[Model-Input-Ref2],表格3[大小電])</f>
        <v>細電</v>
      </c>
      <c r="J5172" s="86" t="str">
        <f>_xlfn.XLOOKUP(表格1[[#This Row],[Model]],表格3[Model-Input-Ref2],表格3[Code])</f>
        <v>MCA</v>
      </c>
      <c r="K5172" s="89" t="s">
        <v>944</v>
      </c>
      <c r="L5172" s="86">
        <v>1</v>
      </c>
      <c r="M5172" s="87">
        <v>2330</v>
      </c>
      <c r="N5172" s="87">
        <f>IFERROR(表格1[[#This Row],[QTY]]*表格1[[#This Row],[Unit Price]],"-")</f>
        <v>2330</v>
      </c>
      <c r="O5172" s="86" t="s">
        <v>2392</v>
      </c>
      <c r="R5172" s="86" t="str">
        <f>_xlfn.CONCAT(表格1[[#This Row],[Model]]," ",表格1[[#This Row],[inv no]])</f>
        <v>MX2-TT20SC(WH) 451991</v>
      </c>
      <c r="S5172" s="86">
        <f>_xlfn.XLOOKUP(表格1[[#This Row],[Model]],表格3[Model-Input-Ref2],表格3[SRP PRICE])</f>
        <v>3580</v>
      </c>
      <c r="T5172" s="43">
        <f>表格1[[#This Row],[Unit Price]]/表格1[[#This Row],[SRP]]</f>
        <v>0.65083798882681565</v>
      </c>
      <c r="U5172" s="86" t="str">
        <f>_xlfn.XLOOKUP(表格1[[#This Row],[Model]],表格3[Model-Input-Ref2],表格3[TOSHIBA/HIGHEST])</f>
        <v>Toshiba SRP</v>
      </c>
      <c r="W5172" s="86" t="str">
        <f>_xlfn.CONCAT(表格1[[#This Row],[欄4]],表格1[[#This Row],[inv no]])</f>
        <v>451991</v>
      </c>
    </row>
    <row r="5173" spans="1:23" hidden="1">
      <c r="A5173" s="81">
        <v>5171</v>
      </c>
      <c r="B5173" s="86" t="s">
        <v>1403</v>
      </c>
      <c r="C5173" s="86" t="s">
        <v>2457</v>
      </c>
      <c r="D5173" s="89" t="str">
        <f ca="1">OFFSET(Roster!$A$3,MATCH(表格1[[#This Row],[Location]]&amp;" "&amp;表格1[[#This Row],[Shop]]&amp;"*",Roster!$A$4:$A$72,0),DAY(表格1[[#This Row],[date]]),1,1)</f>
        <v>PoWan</v>
      </c>
      <c r="E5173" s="86">
        <f>MONTH(表格1[[#This Row],[date]])</f>
        <v>3</v>
      </c>
      <c r="F5173" s="90">
        <v>46088</v>
      </c>
      <c r="G5173" s="86" t="str">
        <f>VLOOKUP("*"&amp;表格1[[#This Row],[Input]]&amp;"*",'Ref-List'!$B:$D,2,)</f>
        <v>KT-15DRTHK(W)</v>
      </c>
      <c r="H5173" s="86" t="str">
        <f>_xlfn.XLOOKUP(表格1[[#This Row],[Model]],表格3[Model-Input-Ref2],表格3[Product Line])</f>
        <v>無線雙層電熱水壺-附可鎖壺蓋</v>
      </c>
      <c r="I5173" s="86" t="str">
        <f>_xlfn.XLOOKUP(表格1[[#This Row],[Model]],表格3[Model-Input-Ref2],表格3[大小電])</f>
        <v>細電</v>
      </c>
      <c r="J5173" s="86" t="str">
        <f>_xlfn.XLOOKUP(表格1[[#This Row],[Model]],表格3[Model-Input-Ref2],表格3[Code])</f>
        <v>SDA</v>
      </c>
      <c r="K5173" s="89" t="s">
        <v>793</v>
      </c>
      <c r="L5173" s="86">
        <v>1</v>
      </c>
      <c r="M5173" s="87">
        <v>388</v>
      </c>
      <c r="N5173" s="87">
        <f>IFERROR(表格1[[#This Row],[QTY]]*表格1[[#This Row],[Unit Price]],"-")</f>
        <v>388</v>
      </c>
      <c r="O5173" s="86" t="s">
        <v>2430</v>
      </c>
      <c r="R5173" s="86" t="str">
        <f>_xlfn.CONCAT(表格1[[#This Row],[Model]]," ",表格1[[#This Row],[inv no]])</f>
        <v>KT-15DRTHK(W) 2075</v>
      </c>
      <c r="S5173" s="86">
        <f>_xlfn.XLOOKUP(表格1[[#This Row],[Model]],表格3[Model-Input-Ref2],表格3[SRP PRICE])</f>
        <v>598</v>
      </c>
      <c r="T5173" s="43">
        <f>表格1[[#This Row],[Unit Price]]/表格1[[#This Row],[SRP]]</f>
        <v>0.6488294314381271</v>
      </c>
      <c r="U5173" s="86" t="str">
        <f>_xlfn.XLOOKUP(表格1[[#This Row],[Model]],表格3[Model-Input-Ref2],表格3[TOSHIBA/HIGHEST])</f>
        <v>Toshiba SRP</v>
      </c>
      <c r="W5173" s="86" t="str">
        <f>_xlfn.CONCAT(表格1[[#This Row],[欄4]],表格1[[#This Row],[inv no]])</f>
        <v>2075</v>
      </c>
    </row>
    <row r="5174" spans="1:23" hidden="1">
      <c r="A5174" s="81">
        <v>5172</v>
      </c>
      <c r="B5174" s="86" t="s">
        <v>1403</v>
      </c>
      <c r="C5174" s="86" t="s">
        <v>2457</v>
      </c>
      <c r="D5174" s="89" t="str">
        <f ca="1">OFFSET(Roster!$A$3,MATCH(表格1[[#This Row],[Location]]&amp;" "&amp;表格1[[#This Row],[Shop]]&amp;"*",Roster!$A$4:$A$72,0),DAY(表格1[[#This Row],[date]]),1,1)</f>
        <v>PoWan</v>
      </c>
      <c r="E5174" s="86">
        <f>MONTH(表格1[[#This Row],[date]])</f>
        <v>3</v>
      </c>
      <c r="F5174" s="90">
        <v>46088</v>
      </c>
      <c r="G5174" s="86" t="str">
        <f>VLOOKUP("*"&amp;表格1[[#This Row],[Input]]&amp;"*",'Ref-List'!$B:$D,2,)</f>
        <v>KT-08DH1VHK(W)</v>
      </c>
      <c r="H5174" s="86" t="str">
        <f>_xlfn.XLOOKUP(表格1[[#This Row],[Model]],表格3[Model-Input-Ref2],表格3[Product Line])</f>
        <v>無線雙層電熱水壺-附可鎖壺蓋(0.8公升)</v>
      </c>
      <c r="I5174" s="86" t="str">
        <f>_xlfn.XLOOKUP(表格1[[#This Row],[Model]],表格3[Model-Input-Ref2],表格3[大小電])</f>
        <v>細電</v>
      </c>
      <c r="J5174" s="86" t="str">
        <f>_xlfn.XLOOKUP(表格1[[#This Row],[Model]],表格3[Model-Input-Ref2],表格3[Code])</f>
        <v>SDA</v>
      </c>
      <c r="K5174" s="89" t="s">
        <v>910</v>
      </c>
      <c r="L5174" s="86">
        <v>1</v>
      </c>
      <c r="M5174" s="87">
        <v>308</v>
      </c>
      <c r="N5174" s="87">
        <f>IFERROR(表格1[[#This Row],[QTY]]*表格1[[#This Row],[Unit Price]],"-")</f>
        <v>308</v>
      </c>
      <c r="O5174" s="86" t="s">
        <v>2432</v>
      </c>
      <c r="R5174" s="86" t="str">
        <f>_xlfn.CONCAT(表格1[[#This Row],[Model]]," ",表格1[[#This Row],[inv no]])</f>
        <v>KT-08DH1VHK(W) 4068</v>
      </c>
      <c r="S5174" s="86">
        <f>_xlfn.XLOOKUP(表格1[[#This Row],[Model]],表格3[Model-Input-Ref2],表格3[SRP PRICE])</f>
        <v>428</v>
      </c>
      <c r="T5174" s="43">
        <f>表格1[[#This Row],[Unit Price]]/表格1[[#This Row],[SRP]]</f>
        <v>0.71962616822429903</v>
      </c>
      <c r="U5174" s="86" t="str">
        <f>_xlfn.XLOOKUP(表格1[[#This Row],[Model]],表格3[Model-Input-Ref2],表格3[TOSHIBA/HIGHEST])</f>
        <v>Toshiba SRP</v>
      </c>
      <c r="W5174" s="86" t="str">
        <f>_xlfn.CONCAT(表格1[[#This Row],[欄4]],表格1[[#This Row],[inv no]])</f>
        <v>4068</v>
      </c>
    </row>
    <row r="5175" spans="1:23" hidden="1">
      <c r="A5175" s="81">
        <v>5173</v>
      </c>
      <c r="B5175" s="86" t="s">
        <v>1403</v>
      </c>
      <c r="C5175" s="86" t="s">
        <v>2457</v>
      </c>
      <c r="D5175" s="89" t="str">
        <f ca="1">OFFSET(Roster!$A$3,MATCH(表格1[[#This Row],[Location]]&amp;" "&amp;表格1[[#This Row],[Shop]]&amp;"*",Roster!$A$4:$A$72,0),DAY(表格1[[#This Row],[date]]),1,1)</f>
        <v>PoWan</v>
      </c>
      <c r="E5175" s="86">
        <f>MONTH(表格1[[#This Row],[date]])</f>
        <v>3</v>
      </c>
      <c r="F5175" s="90">
        <v>46088</v>
      </c>
      <c r="G5175" s="86" t="str">
        <f>VLOOKUP("*"&amp;表格1[[#This Row],[Input]]&amp;"*",'Ref-List'!$B:$D,2,)</f>
        <v>RC-DR10T(W)</v>
      </c>
      <c r="H5175" s="86" t="str">
        <f>_xlfn.XLOOKUP(表格1[[#This Row],[Model]],表格3[Model-Input-Ref2],表格3[Product Line])</f>
        <v>IH磁應電飯煲</v>
      </c>
      <c r="I5175" s="86" t="str">
        <f>_xlfn.XLOOKUP(表格1[[#This Row],[Model]],表格3[Model-Input-Ref2],表格3[大小電])</f>
        <v>細電</v>
      </c>
      <c r="J5175" s="86" t="str">
        <f>_xlfn.XLOOKUP(表格1[[#This Row],[Model]],表格3[Model-Input-Ref2],表格3[Code])</f>
        <v>SDA</v>
      </c>
      <c r="K5175" s="89" t="s">
        <v>1294</v>
      </c>
      <c r="L5175" s="86">
        <v>1</v>
      </c>
      <c r="M5175" s="87">
        <v>2230</v>
      </c>
      <c r="N5175" s="87">
        <f>IFERROR(表格1[[#This Row],[QTY]]*表格1[[#This Row],[Unit Price]],"-")</f>
        <v>2230</v>
      </c>
      <c r="O5175" s="86" t="s">
        <v>2434</v>
      </c>
      <c r="R5175" s="86" t="str">
        <f>_xlfn.CONCAT(表格1[[#This Row],[Model]]," ",表格1[[#This Row],[inv no]])</f>
        <v>RC-DR10T(W) S17M51-4065</v>
      </c>
      <c r="S5175" s="86">
        <f>_xlfn.XLOOKUP(表格1[[#This Row],[Model]],表格3[Model-Input-Ref2],表格3[SRP PRICE])</f>
        <v>3188</v>
      </c>
      <c r="T5175" s="43">
        <f>表格1[[#This Row],[Unit Price]]/表格1[[#This Row],[SRP]]</f>
        <v>0.69949811794228356</v>
      </c>
      <c r="U5175" s="86" t="str">
        <f>_xlfn.XLOOKUP(表格1[[#This Row],[Model]],表格3[Model-Input-Ref2],表格3[TOSHIBA/HIGHEST])</f>
        <v>Toshiba SRP</v>
      </c>
      <c r="W5175" s="86" t="str">
        <f>_xlfn.CONCAT(表格1[[#This Row],[欄4]],表格1[[#This Row],[inv no]])</f>
        <v>S17M51-4065</v>
      </c>
    </row>
    <row r="5176" spans="1:23" hidden="1">
      <c r="A5176" s="81">
        <v>5174</v>
      </c>
      <c r="B5176" s="86" t="s">
        <v>1403</v>
      </c>
      <c r="C5176" s="86" t="s">
        <v>2457</v>
      </c>
      <c r="D5176" s="89" t="str">
        <f ca="1">OFFSET(Roster!$A$3,MATCH(表格1[[#This Row],[Location]]&amp;" "&amp;表格1[[#This Row],[Shop]]&amp;"*",Roster!$A$4:$A$72,0),DAY(表格1[[#This Row],[date]]),1,1)</f>
        <v>PoWan</v>
      </c>
      <c r="E5176" s="86">
        <f>MONTH(表格1[[#This Row],[date]])</f>
        <v>3</v>
      </c>
      <c r="F5176" s="90">
        <v>46088</v>
      </c>
      <c r="G5176" s="86" t="str">
        <f>VLOOKUP("*"&amp;表格1[[#This Row],[Input]]&amp;"*",'Ref-List'!$B:$D,2,)</f>
        <v>RC-DR10T(W)</v>
      </c>
      <c r="H5176" s="86" t="str">
        <f>_xlfn.XLOOKUP(表格1[[#This Row],[Model]],表格3[Model-Input-Ref2],表格3[Product Line])</f>
        <v>IH磁應電飯煲</v>
      </c>
      <c r="I5176" s="86" t="str">
        <f>_xlfn.XLOOKUP(表格1[[#This Row],[Model]],表格3[Model-Input-Ref2],表格3[大小電])</f>
        <v>細電</v>
      </c>
      <c r="J5176" s="86" t="str">
        <f>_xlfn.XLOOKUP(表格1[[#This Row],[Model]],表格3[Model-Input-Ref2],表格3[Code])</f>
        <v>SDA</v>
      </c>
      <c r="K5176" s="89" t="s">
        <v>1294</v>
      </c>
      <c r="L5176" s="86">
        <v>1</v>
      </c>
      <c r="M5176" s="87">
        <v>2230</v>
      </c>
      <c r="N5176" s="87">
        <f>IFERROR(表格1[[#This Row],[QTY]]*表格1[[#This Row],[Unit Price]],"-")</f>
        <v>2230</v>
      </c>
      <c r="O5176" s="86" t="s">
        <v>2436</v>
      </c>
      <c r="R5176" s="86" t="str">
        <f>_xlfn.CONCAT(表格1[[#This Row],[Model]]," ",表格1[[#This Row],[inv no]])</f>
        <v>RC-DR10T(W) S17M51-4063</v>
      </c>
      <c r="S5176" s="86">
        <f>_xlfn.XLOOKUP(表格1[[#This Row],[Model]],表格3[Model-Input-Ref2],表格3[SRP PRICE])</f>
        <v>3188</v>
      </c>
      <c r="T5176" s="43">
        <f>表格1[[#This Row],[Unit Price]]/表格1[[#This Row],[SRP]]</f>
        <v>0.69949811794228356</v>
      </c>
      <c r="U5176" s="86" t="str">
        <f>_xlfn.XLOOKUP(表格1[[#This Row],[Model]],表格3[Model-Input-Ref2],表格3[TOSHIBA/HIGHEST])</f>
        <v>Toshiba SRP</v>
      </c>
      <c r="W5176" s="86" t="str">
        <f>_xlfn.CONCAT(表格1[[#This Row],[欄4]],表格1[[#This Row],[inv no]])</f>
        <v>S17M51-4063</v>
      </c>
    </row>
    <row r="5177" spans="1:23" hidden="1">
      <c r="A5177" s="81">
        <v>5175</v>
      </c>
      <c r="B5177" s="86" t="s">
        <v>1403</v>
      </c>
      <c r="C5177" s="86" t="s">
        <v>2457</v>
      </c>
      <c r="D5177" s="89" t="str">
        <f ca="1">OFFSET(Roster!$A$3,MATCH(表格1[[#This Row],[Location]]&amp;" "&amp;表格1[[#This Row],[Shop]]&amp;"*",Roster!$A$4:$A$72,0),DAY(表格1[[#This Row],[date]]),1,1)</f>
        <v>PoWan</v>
      </c>
      <c r="E5177" s="86">
        <f>MONTH(表格1[[#This Row],[date]])</f>
        <v>3</v>
      </c>
      <c r="F5177" s="90">
        <v>46088</v>
      </c>
      <c r="G5177" s="86" t="str">
        <f>VLOOKUP("*"&amp;表格1[[#This Row],[Input]]&amp;"*",'Ref-List'!$B:$D,2,)</f>
        <v>RC-DS10K(N)</v>
      </c>
      <c r="H5177" s="86" t="str">
        <f>_xlfn.XLOOKUP(表格1[[#This Row],[Model]],表格3[Model-Input-Ref2],表格3[Product Line])</f>
        <v>IH磁應電飯煲</v>
      </c>
      <c r="I5177" s="86" t="str">
        <f>_xlfn.XLOOKUP(表格1[[#This Row],[Model]],表格3[Model-Input-Ref2],表格3[大小電])</f>
        <v>細電</v>
      </c>
      <c r="J5177" s="86" t="str">
        <f>_xlfn.XLOOKUP(表格1[[#This Row],[Model]],表格3[Model-Input-Ref2],表格3[Code])</f>
        <v>SDA</v>
      </c>
      <c r="K5177" s="89" t="s">
        <v>1633</v>
      </c>
      <c r="L5177" s="86">
        <v>1</v>
      </c>
      <c r="M5177" s="87">
        <v>2870</v>
      </c>
      <c r="N5177" s="87">
        <f>IFERROR(表格1[[#This Row],[QTY]]*表格1[[#This Row],[Unit Price]],"-")</f>
        <v>2870</v>
      </c>
      <c r="O5177" s="86" t="s">
        <v>2438</v>
      </c>
      <c r="R5177" s="86" t="str">
        <f>_xlfn.CONCAT(表格1[[#This Row],[Model]]," ",表格1[[#This Row],[inv no]])</f>
        <v>RC-DS10K(N) S17M51-4064</v>
      </c>
      <c r="S5177" s="86">
        <f>_xlfn.XLOOKUP(表格1[[#This Row],[Model]],表格3[Model-Input-Ref2],表格3[SRP PRICE])</f>
        <v>4588</v>
      </c>
      <c r="T5177" s="43">
        <f>表格1[[#This Row],[Unit Price]]/表格1[[#This Row],[SRP]]</f>
        <v>0.62554489973844818</v>
      </c>
      <c r="U5177" s="86" t="str">
        <f>_xlfn.XLOOKUP(表格1[[#This Row],[Model]],表格3[Model-Input-Ref2],表格3[TOSHIBA/HIGHEST])</f>
        <v>Toshiba SRP</v>
      </c>
      <c r="W5177" s="86" t="str">
        <f>_xlfn.CONCAT(表格1[[#This Row],[欄4]],表格1[[#This Row],[inv no]])</f>
        <v>S17M51-4064</v>
      </c>
    </row>
    <row r="5178" spans="1:23" hidden="1">
      <c r="A5178" s="81">
        <v>5176</v>
      </c>
      <c r="B5178" s="86" t="s">
        <v>1403</v>
      </c>
      <c r="C5178" s="86" t="s">
        <v>2457</v>
      </c>
      <c r="D5178" s="89" t="str">
        <f ca="1">OFFSET(Roster!$A$3,MATCH(表格1[[#This Row],[Location]]&amp;" "&amp;表格1[[#This Row],[Shop]]&amp;"*",Roster!$A$4:$A$72,0),DAY(表格1[[#This Row],[date]]),1,1)</f>
        <v>PoWan</v>
      </c>
      <c r="E5178" s="86">
        <f>MONTH(表格1[[#This Row],[date]])</f>
        <v>3</v>
      </c>
      <c r="F5178" s="90">
        <v>46089</v>
      </c>
      <c r="G5178" s="86" t="str">
        <f>VLOOKUP("*"&amp;表格1[[#This Row],[Input]]&amp;"*",'Ref-List'!$B:$D,2,)</f>
        <v>MS5-STR30SC(BK)</v>
      </c>
      <c r="H5178" s="86" t="str">
        <f>_xlfn.XLOOKUP(表格1[[#This Row],[Model]],表格3[Model-Input-Ref2],表格3[Product Line])</f>
        <v>30公升蒸氣焗爐</v>
      </c>
      <c r="I5178" s="86" t="str">
        <f>_xlfn.XLOOKUP(表格1[[#This Row],[Model]],表格3[Model-Input-Ref2],表格3[大小電])</f>
        <v>細電</v>
      </c>
      <c r="J5178" s="86" t="str">
        <f>_xlfn.XLOOKUP(表格1[[#This Row],[Model]],表格3[Model-Input-Ref2],表格3[Code])</f>
        <v>MCA</v>
      </c>
      <c r="K5178" s="89" t="s">
        <v>727</v>
      </c>
      <c r="L5178" s="86">
        <v>1</v>
      </c>
      <c r="M5178" s="87">
        <v>3490</v>
      </c>
      <c r="N5178" s="87">
        <f>IFERROR(表格1[[#This Row],[QTY]]*表格1[[#This Row],[Unit Price]],"-")</f>
        <v>3490</v>
      </c>
      <c r="O5178" s="86" t="s">
        <v>2333</v>
      </c>
      <c r="R5178" s="86" t="str">
        <f>_xlfn.CONCAT(表格1[[#This Row],[Model]]," ",表格1[[#This Row],[inv no]])</f>
        <v>MS5-STR30SC(BK) 452088</v>
      </c>
      <c r="S5178" s="86">
        <f>_xlfn.XLOOKUP(表格1[[#This Row],[Model]],表格3[Model-Input-Ref2],表格3[SRP PRICE])</f>
        <v>5998</v>
      </c>
      <c r="T5178" s="43">
        <f>表格1[[#This Row],[Unit Price]]/表格1[[#This Row],[SRP]]</f>
        <v>0.58186062020673557</v>
      </c>
      <c r="U5178" s="86" t="str">
        <f>_xlfn.XLOOKUP(表格1[[#This Row],[Model]],表格3[Model-Input-Ref2],表格3[TOSHIBA/HIGHEST])</f>
        <v>Shops Highest Price</v>
      </c>
      <c r="W5178" s="86" t="str">
        <f>_xlfn.CONCAT(表格1[[#This Row],[欄4]],表格1[[#This Row],[inv no]])</f>
        <v>452088</v>
      </c>
    </row>
    <row r="5179" spans="1:23" hidden="1">
      <c r="A5179" s="81">
        <v>5177</v>
      </c>
      <c r="B5179" s="86" t="s">
        <v>1403</v>
      </c>
      <c r="C5179" s="86" t="s">
        <v>2457</v>
      </c>
      <c r="D5179" s="89" t="str">
        <f ca="1">OFFSET(Roster!$A$3,MATCH(表格1[[#This Row],[Location]]&amp;" "&amp;表格1[[#This Row],[Shop]]&amp;"*",Roster!$A$4:$A$72,0),DAY(表格1[[#This Row],[date]]),1,1)</f>
        <v>PoWan</v>
      </c>
      <c r="E5179" s="86">
        <f>MONTH(表格1[[#This Row],[date]])</f>
        <v>3</v>
      </c>
      <c r="F5179" s="90">
        <v>46089</v>
      </c>
      <c r="G5179" s="86" t="str">
        <f>VLOOKUP("*"&amp;表格1[[#This Row],[Input]]&amp;"*",'Ref-List'!$B:$D,2,)</f>
        <v>MV2-EG26PEI(BK)</v>
      </c>
      <c r="H5179" s="86" t="str">
        <f>_xlfn.XLOOKUP(表格1[[#This Row],[Model]],表格3[Model-Input-Ref2],表格3[Product Line])</f>
        <v>輕觸式平板燒烤微波爐 (26公升)</v>
      </c>
      <c r="I5179" s="86" t="str">
        <f>_xlfn.XLOOKUP(表格1[[#This Row],[Model]],表格3[Model-Input-Ref2],表格3[大小電])</f>
        <v>細電</v>
      </c>
      <c r="J5179" s="86" t="str">
        <f>_xlfn.XLOOKUP(表格1[[#This Row],[Model]],表格3[Model-Input-Ref2],表格3[Code])</f>
        <v>MCA</v>
      </c>
      <c r="K5179" s="89" t="s">
        <v>1007</v>
      </c>
      <c r="L5179" s="86">
        <v>1</v>
      </c>
      <c r="M5179" s="87">
        <v>918</v>
      </c>
      <c r="N5179" s="87">
        <f>IFERROR(表格1[[#This Row],[QTY]]*表格1[[#This Row],[Unit Price]],"-")</f>
        <v>918</v>
      </c>
      <c r="O5179" s="86" t="s">
        <v>2340</v>
      </c>
      <c r="R5179" s="86" t="str">
        <f>_xlfn.CONCAT(表格1[[#This Row],[Model]]," ",表格1[[#This Row],[inv no]])</f>
        <v>MV2-EG26PEI(BK) 452032</v>
      </c>
      <c r="S5179" s="86">
        <f>_xlfn.XLOOKUP(表格1[[#This Row],[Model]],表格3[Model-Input-Ref2],表格3[SRP PRICE])</f>
        <v>1180</v>
      </c>
      <c r="T5179" s="43">
        <f>表格1[[#This Row],[Unit Price]]/表格1[[#This Row],[SRP]]</f>
        <v>0.7779661016949152</v>
      </c>
      <c r="U5179" s="86" t="str">
        <f>_xlfn.XLOOKUP(表格1[[#This Row],[Model]],表格3[Model-Input-Ref2],表格3[TOSHIBA/HIGHEST])</f>
        <v>Toshiba SRP</v>
      </c>
      <c r="W5179" s="86" t="str">
        <f>_xlfn.CONCAT(表格1[[#This Row],[欄4]],表格1[[#This Row],[inv no]])</f>
        <v>452032</v>
      </c>
    </row>
    <row r="5180" spans="1:23" hidden="1">
      <c r="A5180" s="81">
        <v>5178</v>
      </c>
      <c r="B5180" s="86" t="s">
        <v>1403</v>
      </c>
      <c r="C5180" s="86" t="s">
        <v>2457</v>
      </c>
      <c r="D5180" s="89" t="str">
        <f ca="1">OFFSET(Roster!$A$3,MATCH(表格1[[#This Row],[Location]]&amp;" "&amp;表格1[[#This Row],[Shop]]&amp;"*",Roster!$A$4:$A$72,0),DAY(表格1[[#This Row],[date]]),1,1)</f>
        <v>PoWan</v>
      </c>
      <c r="E5180" s="86">
        <f>MONTH(表格1[[#This Row],[date]])</f>
        <v>3</v>
      </c>
      <c r="F5180" s="90">
        <v>46089</v>
      </c>
      <c r="G5180" s="86" t="str">
        <f>VLOOKUP("*"&amp;表格1[[#This Row],[Input]]&amp;"*",'Ref-List'!$B:$D,2,)</f>
        <v>MX2-STR25SC(WH)</v>
      </c>
      <c r="H5180" s="86" t="str">
        <f>_xlfn.XLOOKUP(表格1[[#This Row],[Model]],表格3[Model-Input-Ref2],表格3[Product Line])</f>
        <v>4合1氣炸微波蒸焗爐(25公升)</v>
      </c>
      <c r="I5180" s="86" t="str">
        <f>_xlfn.XLOOKUP(表格1[[#This Row],[Model]],表格3[Model-Input-Ref2],表格3[大小電])</f>
        <v>細電</v>
      </c>
      <c r="J5180" s="86" t="str">
        <f>_xlfn.XLOOKUP(表格1[[#This Row],[Model]],表格3[Model-Input-Ref2],表格3[Code])</f>
        <v>MCA</v>
      </c>
      <c r="K5180" s="89" t="s">
        <v>861</v>
      </c>
      <c r="L5180" s="86">
        <v>1</v>
      </c>
      <c r="M5180" s="87">
        <v>3278</v>
      </c>
      <c r="N5180" s="87">
        <f>IFERROR(表格1[[#This Row],[QTY]]*表格1[[#This Row],[Unit Price]],"-")</f>
        <v>3278</v>
      </c>
      <c r="O5180" s="86" t="s">
        <v>2351</v>
      </c>
      <c r="R5180" s="86" t="str">
        <f>_xlfn.CONCAT(表格1[[#This Row],[Model]]," ",表格1[[#This Row],[inv no]])</f>
        <v>MX2-STR25SC(WH) 452037</v>
      </c>
      <c r="S5180" s="86">
        <f>_xlfn.XLOOKUP(表格1[[#This Row],[Model]],表格3[Model-Input-Ref2],表格3[SRP PRICE])</f>
        <v>4998</v>
      </c>
      <c r="T5180" s="43">
        <f>表格1[[#This Row],[Unit Price]]/表格1[[#This Row],[SRP]]</f>
        <v>0.65586234493797524</v>
      </c>
      <c r="U5180" s="86" t="str">
        <f>_xlfn.XLOOKUP(表格1[[#This Row],[Model]],表格3[Model-Input-Ref2],表格3[TOSHIBA/HIGHEST])</f>
        <v>Toshiba SRP</v>
      </c>
      <c r="W5180" s="86" t="str">
        <f>_xlfn.CONCAT(表格1[[#This Row],[欄4]],表格1[[#This Row],[inv no]])</f>
        <v>452037</v>
      </c>
    </row>
    <row r="5181" spans="1:23" hidden="1">
      <c r="A5181" s="81">
        <v>5179</v>
      </c>
      <c r="B5181" s="86" t="s">
        <v>1403</v>
      </c>
      <c r="C5181" s="86" t="s">
        <v>2457</v>
      </c>
      <c r="D5181" s="89" t="str">
        <f ca="1">OFFSET(Roster!$A$3,MATCH(表格1[[#This Row],[Location]]&amp;" "&amp;表格1[[#This Row],[Shop]]&amp;"*",Roster!$A$4:$A$72,0),DAY(表格1[[#This Row],[date]]),1,1)</f>
        <v>PoWan</v>
      </c>
      <c r="E5181" s="86">
        <f>MONTH(表格1[[#This Row],[date]])</f>
        <v>3</v>
      </c>
      <c r="F5181" s="90">
        <v>46089</v>
      </c>
      <c r="G5181" s="86" t="str">
        <f>VLOOKUP("*"&amp;表格1[[#This Row],[Input]]&amp;"*",'Ref-List'!$B:$D,2,)</f>
        <v>MX2-STR25SC(WH)</v>
      </c>
      <c r="H5181" s="86" t="str">
        <f>_xlfn.XLOOKUP(表格1[[#This Row],[Model]],表格3[Model-Input-Ref2],表格3[Product Line])</f>
        <v>4合1氣炸微波蒸焗爐(25公升)</v>
      </c>
      <c r="I5181" s="86" t="str">
        <f>_xlfn.XLOOKUP(表格1[[#This Row],[Model]],表格3[Model-Input-Ref2],表格3[大小電])</f>
        <v>細電</v>
      </c>
      <c r="J5181" s="86" t="str">
        <f>_xlfn.XLOOKUP(表格1[[#This Row],[Model]],表格3[Model-Input-Ref2],表格3[Code])</f>
        <v>MCA</v>
      </c>
      <c r="K5181" s="89" t="s">
        <v>861</v>
      </c>
      <c r="L5181" s="86">
        <v>1</v>
      </c>
      <c r="M5181" s="87">
        <v>3278</v>
      </c>
      <c r="N5181" s="87">
        <f>IFERROR(表格1[[#This Row],[QTY]]*表格1[[#This Row],[Unit Price]],"-")</f>
        <v>3278</v>
      </c>
      <c r="O5181" s="86" t="s">
        <v>2353</v>
      </c>
      <c r="R5181" s="86" t="str">
        <f>_xlfn.CONCAT(表格1[[#This Row],[Model]]," ",表格1[[#This Row],[inv no]])</f>
        <v>MX2-STR25SC(WH) LMP-1198</v>
      </c>
      <c r="S5181" s="86">
        <f>_xlfn.XLOOKUP(表格1[[#This Row],[Model]],表格3[Model-Input-Ref2],表格3[SRP PRICE])</f>
        <v>4998</v>
      </c>
      <c r="T5181" s="43">
        <f>表格1[[#This Row],[Unit Price]]/表格1[[#This Row],[SRP]]</f>
        <v>0.65586234493797524</v>
      </c>
      <c r="U5181" s="86" t="str">
        <f>_xlfn.XLOOKUP(表格1[[#This Row],[Model]],表格3[Model-Input-Ref2],表格3[TOSHIBA/HIGHEST])</f>
        <v>Toshiba SRP</v>
      </c>
      <c r="W5181" s="86" t="str">
        <f>_xlfn.CONCAT(表格1[[#This Row],[欄4]],表格1[[#This Row],[inv no]])</f>
        <v>LMP-1198</v>
      </c>
    </row>
    <row r="5182" spans="1:23" hidden="1">
      <c r="A5182" s="81">
        <v>5180</v>
      </c>
      <c r="B5182" s="86" t="s">
        <v>1403</v>
      </c>
      <c r="C5182" s="86" t="s">
        <v>2457</v>
      </c>
      <c r="D5182" s="89" t="str">
        <f ca="1">OFFSET(Roster!$A$3,MATCH(表格1[[#This Row],[Location]]&amp;" "&amp;表格1[[#This Row],[Shop]]&amp;"*",Roster!$A$4:$A$72,0),DAY(表格1[[#This Row],[date]]),1,1)</f>
        <v>PoWan</v>
      </c>
      <c r="E5182" s="86">
        <f>MONTH(表格1[[#This Row],[date]])</f>
        <v>3</v>
      </c>
      <c r="F5182" s="90">
        <v>46089</v>
      </c>
      <c r="G5182" s="86" t="str">
        <f>VLOOKUP("*"&amp;表格1[[#This Row],[Input]]&amp;"*",'Ref-List'!$B:$D,2,)</f>
        <v>MX2-TT20SC(WH)</v>
      </c>
      <c r="H5182" s="86" t="str">
        <f>_xlfn.XLOOKUP(表格1[[#This Row],[Model]],表格3[Model-Input-Ref2],表格3[Product Line])</f>
        <v>3合1 微波蒸焗爐 (20公升)</v>
      </c>
      <c r="I5182" s="86" t="str">
        <f>_xlfn.XLOOKUP(表格1[[#This Row],[Model]],表格3[Model-Input-Ref2],表格3[大小電])</f>
        <v>細電</v>
      </c>
      <c r="J5182" s="86" t="str">
        <f>_xlfn.XLOOKUP(表格1[[#This Row],[Model]],表格3[Model-Input-Ref2],表格3[Code])</f>
        <v>MCA</v>
      </c>
      <c r="K5182" s="89" t="s">
        <v>944</v>
      </c>
      <c r="L5182" s="86">
        <v>1</v>
      </c>
      <c r="M5182" s="87">
        <v>2330</v>
      </c>
      <c r="N5182" s="87">
        <f>IFERROR(表格1[[#This Row],[QTY]]*表格1[[#This Row],[Unit Price]],"-")</f>
        <v>2330</v>
      </c>
      <c r="O5182" s="86" t="s">
        <v>2381</v>
      </c>
      <c r="R5182" s="86" t="str">
        <f>_xlfn.CONCAT(表格1[[#This Row],[Model]]," ",表格1[[#This Row],[inv no]])</f>
        <v>MX2-TT20SC(WH) 452045</v>
      </c>
      <c r="S5182" s="86">
        <f>_xlfn.XLOOKUP(表格1[[#This Row],[Model]],表格3[Model-Input-Ref2],表格3[SRP PRICE])</f>
        <v>3580</v>
      </c>
      <c r="T5182" s="43">
        <f>表格1[[#This Row],[Unit Price]]/表格1[[#This Row],[SRP]]</f>
        <v>0.65083798882681565</v>
      </c>
      <c r="U5182" s="86" t="str">
        <f>_xlfn.XLOOKUP(表格1[[#This Row],[Model]],表格3[Model-Input-Ref2],表格3[TOSHIBA/HIGHEST])</f>
        <v>Toshiba SRP</v>
      </c>
      <c r="W5182" s="86" t="str">
        <f>_xlfn.CONCAT(表格1[[#This Row],[欄4]],表格1[[#This Row],[inv no]])</f>
        <v>452045</v>
      </c>
    </row>
    <row r="5183" spans="1:23" hidden="1">
      <c r="A5183" s="81">
        <v>5181</v>
      </c>
      <c r="B5183" s="86" t="s">
        <v>1403</v>
      </c>
      <c r="C5183" s="86" t="s">
        <v>2457</v>
      </c>
      <c r="D5183" s="89" t="str">
        <f ca="1">OFFSET(Roster!$A$3,MATCH(表格1[[#This Row],[Location]]&amp;" "&amp;表格1[[#This Row],[Shop]]&amp;"*",Roster!$A$4:$A$72,0),DAY(表格1[[#This Row],[date]]),1,1)</f>
        <v>PoWan</v>
      </c>
      <c r="E5183" s="86">
        <f>MONTH(表格1[[#This Row],[date]])</f>
        <v>3</v>
      </c>
      <c r="F5183" s="90">
        <v>46089</v>
      </c>
      <c r="G5183" s="86" t="str">
        <f>VLOOKUP("*"&amp;表格1[[#This Row],[Input]]&amp;"*",'Ref-List'!$B:$D,2,)</f>
        <v>MX2-TT20SC(WH)</v>
      </c>
      <c r="H5183" s="86" t="str">
        <f>_xlfn.XLOOKUP(表格1[[#This Row],[Model]],表格3[Model-Input-Ref2],表格3[Product Line])</f>
        <v>3合1 微波蒸焗爐 (20公升)</v>
      </c>
      <c r="I5183" s="86" t="str">
        <f>_xlfn.XLOOKUP(表格1[[#This Row],[Model]],表格3[Model-Input-Ref2],表格3[大小電])</f>
        <v>細電</v>
      </c>
      <c r="J5183" s="86" t="str">
        <f>_xlfn.XLOOKUP(表格1[[#This Row],[Model]],表格3[Model-Input-Ref2],表格3[Code])</f>
        <v>MCA</v>
      </c>
      <c r="K5183" s="89" t="s">
        <v>944</v>
      </c>
      <c r="L5183" s="86">
        <v>1</v>
      </c>
      <c r="M5183" s="87">
        <v>2330</v>
      </c>
      <c r="N5183" s="87">
        <f>IFERROR(表格1[[#This Row],[QTY]]*表格1[[#This Row],[Unit Price]],"-")</f>
        <v>2330</v>
      </c>
      <c r="O5183" s="86" t="s">
        <v>2382</v>
      </c>
      <c r="R5183" s="86" t="str">
        <f>_xlfn.CONCAT(表格1[[#This Row],[Model]]," ",表格1[[#This Row],[inv no]])</f>
        <v>MX2-TT20SC(WH) 452061</v>
      </c>
      <c r="S5183" s="86">
        <f>_xlfn.XLOOKUP(表格1[[#This Row],[Model]],表格3[Model-Input-Ref2],表格3[SRP PRICE])</f>
        <v>3580</v>
      </c>
      <c r="T5183" s="43">
        <f>表格1[[#This Row],[Unit Price]]/表格1[[#This Row],[SRP]]</f>
        <v>0.65083798882681565</v>
      </c>
      <c r="U5183" s="86" t="str">
        <f>_xlfn.XLOOKUP(表格1[[#This Row],[Model]],表格3[Model-Input-Ref2],表格3[TOSHIBA/HIGHEST])</f>
        <v>Toshiba SRP</v>
      </c>
      <c r="W5183" s="86" t="str">
        <f>_xlfn.CONCAT(表格1[[#This Row],[欄4]],表格1[[#This Row],[inv no]])</f>
        <v>452061</v>
      </c>
    </row>
    <row r="5184" spans="1:23" hidden="1">
      <c r="A5184" s="81">
        <v>5182</v>
      </c>
      <c r="B5184" s="86" t="s">
        <v>1403</v>
      </c>
      <c r="C5184" s="86" t="s">
        <v>2457</v>
      </c>
      <c r="D5184" s="89" t="str">
        <f ca="1">OFFSET(Roster!$A$3,MATCH(表格1[[#This Row],[Location]]&amp;" "&amp;表格1[[#This Row],[Shop]]&amp;"*",Roster!$A$4:$A$72,0),DAY(表格1[[#This Row],[date]]),1,1)</f>
        <v>PoWan</v>
      </c>
      <c r="E5184" s="86">
        <f>MONTH(表格1[[#This Row],[date]])</f>
        <v>3</v>
      </c>
      <c r="F5184" s="90">
        <v>46089</v>
      </c>
      <c r="G5184" s="86" t="str">
        <f>VLOOKUP("*"&amp;表格1[[#This Row],[Input]]&amp;"*",'Ref-List'!$B:$D,2,)</f>
        <v>MX2-TT20SC(WH)</v>
      </c>
      <c r="H5184" s="86" t="str">
        <f>_xlfn.XLOOKUP(表格1[[#This Row],[Model]],表格3[Model-Input-Ref2],表格3[Product Line])</f>
        <v>3合1 微波蒸焗爐 (20公升)</v>
      </c>
      <c r="I5184" s="86" t="str">
        <f>_xlfn.XLOOKUP(表格1[[#This Row],[Model]],表格3[Model-Input-Ref2],表格3[大小電])</f>
        <v>細電</v>
      </c>
      <c r="J5184" s="86" t="str">
        <f>_xlfn.XLOOKUP(表格1[[#This Row],[Model]],表格3[Model-Input-Ref2],表格3[Code])</f>
        <v>MCA</v>
      </c>
      <c r="K5184" s="89" t="s">
        <v>944</v>
      </c>
      <c r="L5184" s="86">
        <v>1</v>
      </c>
      <c r="M5184" s="87">
        <v>2330</v>
      </c>
      <c r="N5184" s="87">
        <f>IFERROR(表格1[[#This Row],[QTY]]*表格1[[#This Row],[Unit Price]],"-")</f>
        <v>2330</v>
      </c>
      <c r="O5184" s="86" t="s">
        <v>2385</v>
      </c>
      <c r="R5184" s="86" t="str">
        <f>_xlfn.CONCAT(表格1[[#This Row],[Model]]," ",表格1[[#This Row],[inv no]])</f>
        <v>MX2-TT20SC(WH) 452097</v>
      </c>
      <c r="S5184" s="86">
        <f>_xlfn.XLOOKUP(表格1[[#This Row],[Model]],表格3[Model-Input-Ref2],表格3[SRP PRICE])</f>
        <v>3580</v>
      </c>
      <c r="T5184" s="43">
        <f>表格1[[#This Row],[Unit Price]]/表格1[[#This Row],[SRP]]</f>
        <v>0.65083798882681565</v>
      </c>
      <c r="U5184" s="86" t="str">
        <f>_xlfn.XLOOKUP(表格1[[#This Row],[Model]],表格3[Model-Input-Ref2],表格3[TOSHIBA/HIGHEST])</f>
        <v>Toshiba SRP</v>
      </c>
      <c r="W5184" s="86" t="str">
        <f>_xlfn.CONCAT(表格1[[#This Row],[欄4]],表格1[[#This Row],[inv no]])</f>
        <v>452097</v>
      </c>
    </row>
    <row r="5185" spans="1:23" hidden="1">
      <c r="A5185" s="81">
        <v>5183</v>
      </c>
      <c r="B5185" s="86" t="s">
        <v>1403</v>
      </c>
      <c r="C5185" s="86" t="s">
        <v>2457</v>
      </c>
      <c r="D5185" s="89" t="str">
        <f ca="1">OFFSET(Roster!$A$3,MATCH(表格1[[#This Row],[Location]]&amp;" "&amp;表格1[[#This Row],[Shop]]&amp;"*",Roster!$A$4:$A$72,0),DAY(表格1[[#This Row],[date]]),1,1)</f>
        <v>PoWan</v>
      </c>
      <c r="E5185" s="86">
        <f>MONTH(表格1[[#This Row],[date]])</f>
        <v>3</v>
      </c>
      <c r="F5185" s="90">
        <v>46089</v>
      </c>
      <c r="G5185" s="86" t="str">
        <f>VLOOKUP("*"&amp;表格1[[#This Row],[Input]]&amp;"*",'Ref-List'!$B:$D,2,)</f>
        <v>MX2-TT20SC(WH)</v>
      </c>
      <c r="H5185" s="86" t="str">
        <f>_xlfn.XLOOKUP(表格1[[#This Row],[Model]],表格3[Model-Input-Ref2],表格3[Product Line])</f>
        <v>3合1 微波蒸焗爐 (20公升)</v>
      </c>
      <c r="I5185" s="86" t="str">
        <f>_xlfn.XLOOKUP(表格1[[#This Row],[Model]],表格3[Model-Input-Ref2],表格3[大小電])</f>
        <v>細電</v>
      </c>
      <c r="J5185" s="86" t="str">
        <f>_xlfn.XLOOKUP(表格1[[#This Row],[Model]],表格3[Model-Input-Ref2],表格3[Code])</f>
        <v>MCA</v>
      </c>
      <c r="K5185" s="89" t="s">
        <v>944</v>
      </c>
      <c r="L5185" s="86">
        <v>1</v>
      </c>
      <c r="M5185" s="87">
        <v>2330</v>
      </c>
      <c r="N5185" s="87">
        <f>IFERROR(表格1[[#This Row],[QTY]]*表格1[[#This Row],[Unit Price]],"-")</f>
        <v>2330</v>
      </c>
      <c r="O5185" s="86" t="s">
        <v>2386</v>
      </c>
      <c r="R5185" s="86" t="str">
        <f>_xlfn.CONCAT(表格1[[#This Row],[Model]]," ",表格1[[#This Row],[inv no]])</f>
        <v>MX2-TT20SC(WH) S17M61-2248</v>
      </c>
      <c r="S5185" s="86">
        <f>_xlfn.XLOOKUP(表格1[[#This Row],[Model]],表格3[Model-Input-Ref2],表格3[SRP PRICE])</f>
        <v>3580</v>
      </c>
      <c r="T5185" s="43">
        <f>表格1[[#This Row],[Unit Price]]/表格1[[#This Row],[SRP]]</f>
        <v>0.65083798882681565</v>
      </c>
      <c r="U5185" s="86" t="str">
        <f>_xlfn.XLOOKUP(表格1[[#This Row],[Model]],表格3[Model-Input-Ref2],表格3[TOSHIBA/HIGHEST])</f>
        <v>Toshiba SRP</v>
      </c>
      <c r="W5185" s="86" t="str">
        <f>_xlfn.CONCAT(表格1[[#This Row],[欄4]],表格1[[#This Row],[inv no]])</f>
        <v>S17M61-2248</v>
      </c>
    </row>
    <row r="5186" spans="1:23" hidden="1">
      <c r="A5186" s="81">
        <v>5184</v>
      </c>
      <c r="B5186" s="86" t="s">
        <v>1403</v>
      </c>
      <c r="C5186" s="86" t="s">
        <v>2457</v>
      </c>
      <c r="D5186" s="89" t="str">
        <f ca="1">OFFSET(Roster!$A$3,MATCH(表格1[[#This Row],[Location]]&amp;" "&amp;表格1[[#This Row],[Shop]]&amp;"*",Roster!$A$4:$A$72,0),DAY(表格1[[#This Row],[date]]),1,1)</f>
        <v>PoWan</v>
      </c>
      <c r="E5186" s="86">
        <f>MONTH(表格1[[#This Row],[date]])</f>
        <v>3</v>
      </c>
      <c r="F5186" s="90">
        <v>46089</v>
      </c>
      <c r="G5186" s="86" t="str">
        <f>VLOOKUP("*"&amp;表格1[[#This Row],[Input]]&amp;"*",'Ref-List'!$B:$D,2,)</f>
        <v>PC-48DRSHK(K)</v>
      </c>
      <c r="H5186" s="86" t="str">
        <f>_xlfn.XLOOKUP(表格1[[#This Row],[Model]],表格3[Model-Input-Ref2],表格3[Product Line])</f>
        <v>電壓力鍋</v>
      </c>
      <c r="I5186" s="86" t="str">
        <f>_xlfn.XLOOKUP(表格1[[#This Row],[Model]],表格3[Model-Input-Ref2],表格3[大小電])</f>
        <v>細電</v>
      </c>
      <c r="J5186" s="86" t="str">
        <f>_xlfn.XLOOKUP(表格1[[#This Row],[Model]],表格3[Model-Input-Ref2],表格3[Code])</f>
        <v>SDA</v>
      </c>
      <c r="K5186" s="89" t="s">
        <v>698</v>
      </c>
      <c r="L5186" s="86">
        <v>1</v>
      </c>
      <c r="M5186" s="87">
        <v>788</v>
      </c>
      <c r="N5186" s="87">
        <f>IFERROR(表格1[[#This Row],[QTY]]*表格1[[#This Row],[Unit Price]],"-")</f>
        <v>788</v>
      </c>
      <c r="O5186" s="86" t="s">
        <v>2440</v>
      </c>
      <c r="R5186" s="86" t="str">
        <f>_xlfn.CONCAT(表格1[[#This Row],[Model]]," ",表格1[[#This Row],[inv no]])</f>
        <v>PC-48DRSHK(K) S17M51-4074</v>
      </c>
      <c r="S5186" s="86">
        <f>_xlfn.XLOOKUP(表格1[[#This Row],[Model]],表格3[Model-Input-Ref2],表格3[SRP PRICE])</f>
        <v>1188</v>
      </c>
      <c r="T5186" s="43">
        <f>表格1[[#This Row],[Unit Price]]/表格1[[#This Row],[SRP]]</f>
        <v>0.66329966329966328</v>
      </c>
      <c r="U5186" s="86" t="str">
        <f>_xlfn.XLOOKUP(表格1[[#This Row],[Model]],表格3[Model-Input-Ref2],表格3[TOSHIBA/HIGHEST])</f>
        <v>Shops Highest Price</v>
      </c>
      <c r="W5186" s="86" t="str">
        <f>_xlfn.CONCAT(表格1[[#This Row],[欄4]],表格1[[#This Row],[inv no]])</f>
        <v>S17M51-4074</v>
      </c>
    </row>
    <row r="5187" spans="1:23" hidden="1">
      <c r="A5187" s="81">
        <v>5185</v>
      </c>
      <c r="B5187" s="86" t="s">
        <v>1403</v>
      </c>
      <c r="C5187" s="86" t="s">
        <v>2457</v>
      </c>
      <c r="D5187" s="89" t="str">
        <f ca="1">OFFSET(Roster!$A$3,MATCH(表格1[[#This Row],[Location]]&amp;" "&amp;表格1[[#This Row],[Shop]]&amp;"*",Roster!$A$4:$A$72,0),DAY(表格1[[#This Row],[date]]),1,1)</f>
        <v>PoWan</v>
      </c>
      <c r="E5187" s="86">
        <f>MONTH(表格1[[#This Row],[date]])</f>
        <v>3</v>
      </c>
      <c r="F5187" s="90">
        <v>46089</v>
      </c>
      <c r="G5187" s="86" t="str">
        <f>VLOOKUP("*"&amp;表格1[[#This Row],[Input]]&amp;"*",'Ref-List'!$B:$D,2,)</f>
        <v>RC-18NMFIH(WT)</v>
      </c>
      <c r="H5187" s="86" t="str">
        <f>_xlfn.XLOOKUP(表格1[[#This Row],[Model]],表格3[Model-Input-Ref2],表格3[Product Line])</f>
        <v>4毫米厚釜電飯煲1.8L</v>
      </c>
      <c r="I5187" s="86" t="str">
        <f>_xlfn.XLOOKUP(表格1[[#This Row],[Model]],表格3[Model-Input-Ref2],表格3[大小電])</f>
        <v>細電</v>
      </c>
      <c r="J5187" s="86" t="str">
        <f>_xlfn.XLOOKUP(表格1[[#This Row],[Model]],表格3[Model-Input-Ref2],表格3[Code])</f>
        <v>SDA</v>
      </c>
      <c r="K5187" s="89" t="s">
        <v>1267</v>
      </c>
      <c r="L5187" s="86">
        <v>1</v>
      </c>
      <c r="M5187" s="87">
        <v>798</v>
      </c>
      <c r="N5187" s="87">
        <f>IFERROR(表格1[[#This Row],[QTY]]*表格1[[#This Row],[Unit Price]],"-")</f>
        <v>798</v>
      </c>
      <c r="O5187" s="86" t="s">
        <v>2442</v>
      </c>
      <c r="R5187" s="86" t="str">
        <f>_xlfn.CONCAT(表格1[[#This Row],[Model]]," ",表格1[[#This Row],[inv no]])</f>
        <v>RC-18NMFIH(WT) S17M61-2236</v>
      </c>
      <c r="S5187" s="86">
        <f>_xlfn.XLOOKUP(表格1[[#This Row],[Model]],表格3[Model-Input-Ref2],表格3[SRP PRICE])</f>
        <v>998</v>
      </c>
      <c r="T5187" s="43">
        <f>表格1[[#This Row],[Unit Price]]/表格1[[#This Row],[SRP]]</f>
        <v>0.79959919839679361</v>
      </c>
      <c r="U5187" s="86" t="str">
        <f>_xlfn.XLOOKUP(表格1[[#This Row],[Model]],表格3[Model-Input-Ref2],表格3[TOSHIBA/HIGHEST])</f>
        <v>Toshiba SRP</v>
      </c>
      <c r="W5187" s="86" t="str">
        <f>_xlfn.CONCAT(表格1[[#This Row],[欄4]],表格1[[#This Row],[inv no]])</f>
        <v>S17M61-2236</v>
      </c>
    </row>
    <row r="5188" spans="1:23" hidden="1">
      <c r="A5188" s="81">
        <v>5186</v>
      </c>
      <c r="B5188" s="86" t="s">
        <v>1403</v>
      </c>
      <c r="C5188" s="86" t="s">
        <v>2457</v>
      </c>
      <c r="D5188" s="89" t="str">
        <f ca="1">OFFSET(Roster!$A$3,MATCH(表格1[[#This Row],[Location]]&amp;" "&amp;表格1[[#This Row],[Shop]]&amp;"*",Roster!$A$4:$A$72,0),DAY(表格1[[#This Row],[date]]),1,1)</f>
        <v>PoWan</v>
      </c>
      <c r="E5188" s="86">
        <f>MONTH(表格1[[#This Row],[date]])</f>
        <v>3</v>
      </c>
      <c r="F5188" s="90">
        <v>46089</v>
      </c>
      <c r="G5188" s="86" t="str">
        <f>VLOOKUP("*"&amp;表格1[[#This Row],[Input]]&amp;"*",'Ref-List'!$B:$D,2,)</f>
        <v>RC-10BHH(W)</v>
      </c>
      <c r="H5188" s="86" t="str">
        <f>_xlfn.XLOOKUP(表格1[[#This Row],[Model]],表格3[Model-Input-Ref2],表格3[Product Line])</f>
        <v>酵活炊磁應電飯煲</v>
      </c>
      <c r="I5188" s="86" t="str">
        <f>_xlfn.XLOOKUP(表格1[[#This Row],[Model]],表格3[Model-Input-Ref2],表格3[大小電])</f>
        <v>細電</v>
      </c>
      <c r="J5188" s="86" t="str">
        <f>_xlfn.XLOOKUP(表格1[[#This Row],[Model]],表格3[Model-Input-Ref2],表格3[Code])</f>
        <v>SDA</v>
      </c>
      <c r="K5188" s="89" t="s">
        <v>852</v>
      </c>
      <c r="L5188" s="86">
        <v>1</v>
      </c>
      <c r="M5188" s="87">
        <v>1618</v>
      </c>
      <c r="N5188" s="87">
        <f>IFERROR(表格1[[#This Row],[QTY]]*表格1[[#This Row],[Unit Price]],"-")</f>
        <v>1618</v>
      </c>
      <c r="O5188" s="86" t="s">
        <v>2444</v>
      </c>
      <c r="R5188" s="86" t="str">
        <f>_xlfn.CONCAT(表格1[[#This Row],[Model]]," ",表格1[[#This Row],[inv no]])</f>
        <v>RC-10BHH(W) S17M61-2245</v>
      </c>
      <c r="S5188" s="86">
        <f>_xlfn.XLOOKUP(表格1[[#This Row],[Model]],表格3[Model-Input-Ref2],表格3[SRP PRICE])</f>
        <v>2088</v>
      </c>
      <c r="T5188" s="43">
        <f>表格1[[#This Row],[Unit Price]]/表格1[[#This Row],[SRP]]</f>
        <v>0.77490421455938696</v>
      </c>
      <c r="U5188" s="86" t="str">
        <f>_xlfn.XLOOKUP(表格1[[#This Row],[Model]],表格3[Model-Input-Ref2],表格3[TOSHIBA/HIGHEST])</f>
        <v>Shops Highest Price</v>
      </c>
      <c r="W5188" s="86" t="str">
        <f>_xlfn.CONCAT(表格1[[#This Row],[欄4]],表格1[[#This Row],[inv no]])</f>
        <v>S17M61-2245</v>
      </c>
    </row>
    <row r="5189" spans="1:23" hidden="1">
      <c r="A5189" s="81">
        <v>5187</v>
      </c>
      <c r="B5189" s="86" t="s">
        <v>1403</v>
      </c>
      <c r="C5189" s="86" t="s">
        <v>2457</v>
      </c>
      <c r="D5189" s="89" t="str">
        <f ca="1">OFFSET(Roster!$A$3,MATCH(表格1[[#This Row],[Location]]&amp;" "&amp;表格1[[#This Row],[Shop]]&amp;"*",Roster!$A$4:$A$72,0),DAY(表格1[[#This Row],[date]]),1,1)</f>
        <v>PoWan</v>
      </c>
      <c r="E5189" s="86">
        <f>MONTH(表格1[[#This Row],[date]])</f>
        <v>3</v>
      </c>
      <c r="F5189" s="90">
        <v>46089</v>
      </c>
      <c r="G5189" s="86" t="str">
        <f>VLOOKUP("*"&amp;表格1[[#This Row],[Input]]&amp;"*",'Ref-List'!$B:$D,2,)</f>
        <v>RC-5SLIH(W)</v>
      </c>
      <c r="H5189" s="86" t="str">
        <f>_xlfn.XLOOKUP(表格1[[#This Row],[Model]],表格3[Model-Input-Ref2],表格3[Product Line])</f>
        <v>微型電腦珍珠飯煲</v>
      </c>
      <c r="I5189" s="86" t="str">
        <f>_xlfn.XLOOKUP(表格1[[#This Row],[Model]],表格3[Model-Input-Ref2],表格3[大小電])</f>
        <v>細電</v>
      </c>
      <c r="J5189" s="86" t="str">
        <f>_xlfn.XLOOKUP(表格1[[#This Row],[Model]],表格3[Model-Input-Ref2],表格3[Code])</f>
        <v>SDA</v>
      </c>
      <c r="K5189" s="89" t="s">
        <v>1264</v>
      </c>
      <c r="L5189" s="86">
        <v>1</v>
      </c>
      <c r="M5189" s="87">
        <v>548</v>
      </c>
      <c r="N5189" s="87">
        <f>IFERROR(表格1[[#This Row],[QTY]]*表格1[[#This Row],[Unit Price]],"-")</f>
        <v>548</v>
      </c>
      <c r="O5189" s="86" t="s">
        <v>2446</v>
      </c>
      <c r="R5189" s="86" t="str">
        <f>_xlfn.CONCAT(表格1[[#This Row],[Model]]," ",表格1[[#This Row],[inv no]])</f>
        <v>RC-5SLIH(W) 2235</v>
      </c>
      <c r="S5189" s="86">
        <f>_xlfn.XLOOKUP(表格1[[#This Row],[Model]],表格3[Model-Input-Ref2],表格3[SRP PRICE])</f>
        <v>658</v>
      </c>
      <c r="T5189" s="43">
        <f>表格1[[#This Row],[Unit Price]]/表格1[[#This Row],[SRP]]</f>
        <v>0.83282674772036469</v>
      </c>
      <c r="U5189" s="86" t="str">
        <f>_xlfn.XLOOKUP(表格1[[#This Row],[Model]],表格3[Model-Input-Ref2],表格3[TOSHIBA/HIGHEST])</f>
        <v>Toshiba SRP</v>
      </c>
      <c r="W5189" s="86" t="str">
        <f>_xlfn.CONCAT(表格1[[#This Row],[欄4]],表格1[[#This Row],[inv no]])</f>
        <v>2235</v>
      </c>
    </row>
    <row r="5190" spans="1:23" hidden="1">
      <c r="A5190" s="81">
        <v>5188</v>
      </c>
      <c r="B5190" s="86" t="s">
        <v>1403</v>
      </c>
      <c r="C5190" s="86" t="s">
        <v>2457</v>
      </c>
      <c r="D5190" s="89" t="str">
        <f ca="1">OFFSET(Roster!$A$3,MATCH(表格1[[#This Row],[Location]]&amp;" "&amp;表格1[[#This Row],[Shop]]&amp;"*",Roster!$A$4:$A$72,0),DAY(表格1[[#This Row],[date]]),1,1)</f>
        <v>PoWan</v>
      </c>
      <c r="E5190" s="86">
        <f>MONTH(表格1[[#This Row],[date]])</f>
        <v>3</v>
      </c>
      <c r="F5190" s="90">
        <v>46089</v>
      </c>
      <c r="G5190" s="86" t="str">
        <f>VLOOKUP("*"&amp;表格1[[#This Row],[Input]]&amp;"*",'Ref-List'!$B:$D,2,)</f>
        <v>KT-08DH1VHK(W)</v>
      </c>
      <c r="H5190" s="86" t="str">
        <f>_xlfn.XLOOKUP(表格1[[#This Row],[Model]],表格3[Model-Input-Ref2],表格3[Product Line])</f>
        <v>無線雙層電熱水壺-附可鎖壺蓋(0.8公升)</v>
      </c>
      <c r="I5190" s="86" t="str">
        <f>_xlfn.XLOOKUP(表格1[[#This Row],[Model]],表格3[Model-Input-Ref2],表格3[大小電])</f>
        <v>細電</v>
      </c>
      <c r="J5190" s="86" t="str">
        <f>_xlfn.XLOOKUP(表格1[[#This Row],[Model]],表格3[Model-Input-Ref2],表格3[Code])</f>
        <v>SDA</v>
      </c>
      <c r="K5190" s="89" t="s">
        <v>910</v>
      </c>
      <c r="L5190" s="86">
        <v>1</v>
      </c>
      <c r="M5190" s="87">
        <v>308</v>
      </c>
      <c r="N5190" s="87">
        <f>IFERROR(表格1[[#This Row],[QTY]]*表格1[[#This Row],[Unit Price]],"-")</f>
        <v>308</v>
      </c>
      <c r="O5190" s="86" t="s">
        <v>2448</v>
      </c>
      <c r="R5190" s="86" t="str">
        <f>_xlfn.CONCAT(表格1[[#This Row],[Model]]," ",表格1[[#This Row],[inv no]])</f>
        <v>KT-08DH1VHK(W) 4082</v>
      </c>
      <c r="S5190" s="86">
        <f>_xlfn.XLOOKUP(表格1[[#This Row],[Model]],表格3[Model-Input-Ref2],表格3[SRP PRICE])</f>
        <v>428</v>
      </c>
      <c r="T5190" s="43">
        <f>表格1[[#This Row],[Unit Price]]/表格1[[#This Row],[SRP]]</f>
        <v>0.71962616822429903</v>
      </c>
      <c r="U5190" s="86" t="str">
        <f>_xlfn.XLOOKUP(表格1[[#This Row],[Model]],表格3[Model-Input-Ref2],表格3[TOSHIBA/HIGHEST])</f>
        <v>Toshiba SRP</v>
      </c>
      <c r="W5190" s="86" t="str">
        <f>_xlfn.CONCAT(表格1[[#This Row],[欄4]],表格1[[#This Row],[inv no]])</f>
        <v>4082</v>
      </c>
    </row>
    <row r="5191" spans="1:23" hidden="1">
      <c r="A5191" s="81">
        <v>5189</v>
      </c>
      <c r="B5191" s="86" t="s">
        <v>1403</v>
      </c>
      <c r="C5191" s="86" t="s">
        <v>2457</v>
      </c>
      <c r="D5191" s="89" t="str">
        <f ca="1">OFFSET(Roster!$A$3,MATCH(表格1[[#This Row],[Location]]&amp;" "&amp;表格1[[#This Row],[Shop]]&amp;"*",Roster!$A$4:$A$72,0),DAY(表格1[[#This Row],[date]]),1,1)</f>
        <v>PoWan</v>
      </c>
      <c r="E5191" s="86">
        <f>MONTH(表格1[[#This Row],[date]])</f>
        <v>3</v>
      </c>
      <c r="F5191" s="90">
        <v>46089</v>
      </c>
      <c r="G5191" s="86" t="str">
        <f>VLOOKUP("*"&amp;表格1[[#This Row],[Input]]&amp;"*",'Ref-List'!$B:$D,2,)</f>
        <v>TL-MC35Z</v>
      </c>
      <c r="H5191" s="86" t="str">
        <f>_xlfn.XLOOKUP(表格1[[#This Row],[Model]],表格3[Model-Input-Ref2],表格3[Product Line])</f>
        <v>35L多功能電焗爐</v>
      </c>
      <c r="I5191" s="86" t="str">
        <f>_xlfn.XLOOKUP(表格1[[#This Row],[Model]],表格3[Model-Input-Ref2],表格3[大小電])</f>
        <v>細電</v>
      </c>
      <c r="J5191" s="86" t="str">
        <f>_xlfn.XLOOKUP(表格1[[#This Row],[Model]],表格3[Model-Input-Ref2],表格3[Code])</f>
        <v>SDA</v>
      </c>
      <c r="K5191" s="89" t="s">
        <v>1295</v>
      </c>
      <c r="L5191" s="86">
        <v>1</v>
      </c>
      <c r="M5191" s="87">
        <v>888</v>
      </c>
      <c r="N5191" s="87">
        <f>IFERROR(表格1[[#This Row],[QTY]]*表格1[[#This Row],[Unit Price]],"-")</f>
        <v>888</v>
      </c>
      <c r="O5191" s="86" t="s">
        <v>2340</v>
      </c>
      <c r="R5191" s="86" t="str">
        <f>_xlfn.CONCAT(表格1[[#This Row],[Model]]," ",表格1[[#This Row],[inv no]])</f>
        <v>TL-MC35Z 452032</v>
      </c>
      <c r="S5191" s="86">
        <f>_xlfn.XLOOKUP(表格1[[#This Row],[Model]],表格3[Model-Input-Ref2],表格3[SRP PRICE])</f>
        <v>1098</v>
      </c>
      <c r="T5191" s="43">
        <f>表格1[[#This Row],[Unit Price]]/表格1[[#This Row],[SRP]]</f>
        <v>0.80874316939890711</v>
      </c>
      <c r="U5191" s="86" t="str">
        <f>_xlfn.XLOOKUP(表格1[[#This Row],[Model]],表格3[Model-Input-Ref2],表格3[TOSHIBA/HIGHEST])</f>
        <v>Toshiba SRP</v>
      </c>
      <c r="W5191" s="86" t="str">
        <f>_xlfn.CONCAT(表格1[[#This Row],[欄4]],表格1[[#This Row],[inv no]])</f>
        <v>452032</v>
      </c>
    </row>
    <row r="5192" spans="1:23" hidden="1">
      <c r="A5192" s="81">
        <v>5190</v>
      </c>
      <c r="B5192" s="86" t="s">
        <v>1403</v>
      </c>
      <c r="C5192" s="86" t="s">
        <v>2457</v>
      </c>
      <c r="D5192" s="89" t="str">
        <f ca="1">OFFSET(Roster!$A$3,MATCH(表格1[[#This Row],[Location]]&amp;" "&amp;表格1[[#This Row],[Shop]]&amp;"*",Roster!$A$4:$A$72,0),DAY(表格1[[#This Row],[date]]),1,1)</f>
        <v>PoWan</v>
      </c>
      <c r="E5192" s="86">
        <f>MONTH(表格1[[#This Row],[date]])</f>
        <v>3</v>
      </c>
      <c r="F5192" s="90">
        <v>46089</v>
      </c>
      <c r="G5192" s="86" t="str">
        <f>VLOOKUP("*"&amp;表格1[[#This Row],[Input]]&amp;"*",'Ref-List'!$B:$D,2,)</f>
        <v>TL-MC35Z</v>
      </c>
      <c r="H5192" s="86" t="str">
        <f>_xlfn.XLOOKUP(表格1[[#This Row],[Model]],表格3[Model-Input-Ref2],表格3[Product Line])</f>
        <v>35L多功能電焗爐</v>
      </c>
      <c r="I5192" s="86" t="str">
        <f>_xlfn.XLOOKUP(表格1[[#This Row],[Model]],表格3[Model-Input-Ref2],表格3[大小電])</f>
        <v>細電</v>
      </c>
      <c r="J5192" s="86" t="str">
        <f>_xlfn.XLOOKUP(表格1[[#This Row],[Model]],表格3[Model-Input-Ref2],表格3[Code])</f>
        <v>SDA</v>
      </c>
      <c r="K5192" s="89" t="s">
        <v>1295</v>
      </c>
      <c r="L5192" s="86">
        <v>1</v>
      </c>
      <c r="M5192" s="87">
        <v>888</v>
      </c>
      <c r="N5192" s="87">
        <f>IFERROR(表格1[[#This Row],[QTY]]*表格1[[#This Row],[Unit Price]],"-")</f>
        <v>888</v>
      </c>
      <c r="O5192" s="86" t="s">
        <v>2454</v>
      </c>
      <c r="R5192" s="86" t="str">
        <f>_xlfn.CONCAT(表格1[[#This Row],[Model]]," ",表格1[[#This Row],[inv no]])</f>
        <v>TL-MC35Z 452074</v>
      </c>
      <c r="S5192" s="86">
        <f>_xlfn.XLOOKUP(表格1[[#This Row],[Model]],表格3[Model-Input-Ref2],表格3[SRP PRICE])</f>
        <v>1098</v>
      </c>
      <c r="T5192" s="43">
        <f>表格1[[#This Row],[Unit Price]]/表格1[[#This Row],[SRP]]</f>
        <v>0.80874316939890711</v>
      </c>
      <c r="U5192" s="86" t="str">
        <f>_xlfn.XLOOKUP(表格1[[#This Row],[Model]],表格3[Model-Input-Ref2],表格3[TOSHIBA/HIGHEST])</f>
        <v>Toshiba SRP</v>
      </c>
      <c r="W5192" s="86" t="str">
        <f>_xlfn.CONCAT(表格1[[#This Row],[欄4]],表格1[[#This Row],[inv no]])</f>
        <v>452074</v>
      </c>
    </row>
    <row r="5193" spans="1:23" hidden="1">
      <c r="A5193" s="81">
        <v>5191</v>
      </c>
      <c r="B5193" s="86" t="s">
        <v>1403</v>
      </c>
      <c r="C5193" s="86" t="s">
        <v>2457</v>
      </c>
      <c r="D5193" s="89" t="str">
        <f ca="1">OFFSET(Roster!$A$3,MATCH(表格1[[#This Row],[Location]]&amp;" "&amp;表格1[[#This Row],[Shop]]&amp;"*",Roster!$A$4:$A$72,0),DAY(表格1[[#This Row],[date]]),1,1)</f>
        <v>PoWan</v>
      </c>
      <c r="E5193" s="86">
        <f>MONTH(表格1[[#This Row],[date]])</f>
        <v>3</v>
      </c>
      <c r="F5193" s="90">
        <v>46090</v>
      </c>
      <c r="G5193" s="86" t="str">
        <f>VLOOKUP("*"&amp;表格1[[#This Row],[Input]]&amp;"*",'Ref-List'!$B:$D,2,)</f>
        <v>EB-T500APW</v>
      </c>
      <c r="H5193" s="86" t="str">
        <f>_xlfn.XLOOKUP(表格1[[#This Row],[Model]],表格3[Model-Input-Ref2],表格3[Product Line])</f>
        <v>JAPANDi 嵌入式微波氣炸蒸焗爐 (45厘米)</v>
      </c>
      <c r="I5193" s="86" t="str">
        <f>_xlfn.XLOOKUP(表格1[[#This Row],[Model]],表格3[Model-Input-Ref2],表格3[大小電])</f>
        <v>大電</v>
      </c>
      <c r="J5193" s="86" t="str">
        <f>_xlfn.XLOOKUP(表格1[[#This Row],[Model]],表格3[Model-Input-Ref2],表格3[Code])</f>
        <v>MCA</v>
      </c>
      <c r="K5193" s="89" t="s">
        <v>991</v>
      </c>
      <c r="L5193" s="86">
        <v>1</v>
      </c>
      <c r="M5193" s="87">
        <v>13450</v>
      </c>
      <c r="N5193" s="87">
        <f>IFERROR(表格1[[#This Row],[QTY]]*表格1[[#This Row],[Unit Price]],"-")</f>
        <v>13450</v>
      </c>
      <c r="O5193" s="86" t="s">
        <v>2304</v>
      </c>
      <c r="R5193" s="86" t="str">
        <f>_xlfn.CONCAT(表格1[[#This Row],[Model]]," ",表格1[[#This Row],[inv no]])</f>
        <v>EB-T500APW 452128</v>
      </c>
      <c r="S5193" s="86">
        <f>_xlfn.XLOOKUP(表格1[[#This Row],[Model]],表格3[Model-Input-Ref2],表格3[SRP PRICE])</f>
        <v>28800</v>
      </c>
      <c r="T5193" s="43">
        <f>表格1[[#This Row],[Unit Price]]/表格1[[#This Row],[SRP]]</f>
        <v>0.4670138888888889</v>
      </c>
      <c r="U5193" s="86" t="str">
        <f>_xlfn.XLOOKUP(表格1[[#This Row],[Model]],表格3[Model-Input-Ref2],表格3[TOSHIBA/HIGHEST])</f>
        <v>Toshiba SRP</v>
      </c>
      <c r="W5193" s="86" t="str">
        <f>_xlfn.CONCAT(表格1[[#This Row],[欄4]],表格1[[#This Row],[inv no]])</f>
        <v>452128</v>
      </c>
    </row>
    <row r="5194" spans="1:23" hidden="1">
      <c r="A5194" s="81">
        <v>5192</v>
      </c>
      <c r="B5194" s="86" t="s">
        <v>1403</v>
      </c>
      <c r="C5194" s="86" t="s">
        <v>2457</v>
      </c>
      <c r="D5194" s="89" t="str">
        <f ca="1">OFFSET(Roster!$A$3,MATCH(表格1[[#This Row],[Location]]&amp;" "&amp;表格1[[#This Row],[Shop]]&amp;"*",Roster!$A$4:$A$72,0),DAY(表格1[[#This Row],[date]]),1,1)</f>
        <v>PoWan</v>
      </c>
      <c r="E5194" s="86">
        <f>MONTH(表格1[[#This Row],[date]])</f>
        <v>3</v>
      </c>
      <c r="F5194" s="90">
        <v>46090</v>
      </c>
      <c r="G5194" s="86" t="str">
        <f>VLOOKUP("*"&amp;表格1[[#This Row],[Input]]&amp;"*",'Ref-List'!$B:$D,2,)</f>
        <v>MS3-STQ20SC(WH)</v>
      </c>
      <c r="H5194" s="86" t="str">
        <f>_xlfn.XLOOKUP(表格1[[#This Row],[Model]],表格3[Model-Input-Ref2],表格3[Product Line])</f>
        <v>20L 智能蒸氣焗爐</v>
      </c>
      <c r="I5194" s="86" t="str">
        <f>_xlfn.XLOOKUP(表格1[[#This Row],[Model]],表格3[Model-Input-Ref2],表格3[大小電])</f>
        <v>細電</v>
      </c>
      <c r="J5194" s="86" t="str">
        <f>_xlfn.XLOOKUP(表格1[[#This Row],[Model]],表格3[Model-Input-Ref2],表格3[Code])</f>
        <v>MCA</v>
      </c>
      <c r="K5194" s="89" t="s">
        <v>1383</v>
      </c>
      <c r="L5194" s="86">
        <v>1</v>
      </c>
      <c r="M5194" s="87">
        <v>1950</v>
      </c>
      <c r="N5194" s="87">
        <f>IFERROR(表格1[[#This Row],[QTY]]*表格1[[#This Row],[Unit Price]],"-")</f>
        <v>1950</v>
      </c>
      <c r="O5194" s="86" t="s">
        <v>2331</v>
      </c>
      <c r="R5194" s="86" t="str">
        <f>_xlfn.CONCAT(表格1[[#This Row],[Model]]," ",表格1[[#This Row],[inv no]])</f>
        <v>MS3-STQ20SC(WH) 452134</v>
      </c>
      <c r="S5194" s="86">
        <f>_xlfn.XLOOKUP(表格1[[#This Row],[Model]],表格3[Model-Input-Ref2],表格3[SRP PRICE])</f>
        <v>2880</v>
      </c>
      <c r="T5194" s="43">
        <f>表格1[[#This Row],[Unit Price]]/表格1[[#This Row],[SRP]]</f>
        <v>0.67708333333333337</v>
      </c>
      <c r="U5194" s="86" t="str">
        <f>_xlfn.XLOOKUP(表格1[[#This Row],[Model]],表格3[Model-Input-Ref2],表格3[TOSHIBA/HIGHEST])</f>
        <v>Toshiba SRP</v>
      </c>
      <c r="W5194" s="86" t="str">
        <f>_xlfn.CONCAT(表格1[[#This Row],[欄4]],表格1[[#This Row],[inv no]])</f>
        <v>452134</v>
      </c>
    </row>
    <row r="5195" spans="1:23" hidden="1">
      <c r="A5195" s="81">
        <v>5193</v>
      </c>
      <c r="B5195" s="86" t="s">
        <v>1403</v>
      </c>
      <c r="C5195" s="86" t="s">
        <v>2457</v>
      </c>
      <c r="D5195" s="89" t="str">
        <f ca="1">OFFSET(Roster!$A$3,MATCH(表格1[[#This Row],[Location]]&amp;" "&amp;表格1[[#This Row],[Shop]]&amp;"*",Roster!$A$4:$A$72,0),DAY(表格1[[#This Row],[date]]),1,1)</f>
        <v>PoWan</v>
      </c>
      <c r="E5195" s="86">
        <f>MONTH(表格1[[#This Row],[date]])</f>
        <v>3</v>
      </c>
      <c r="F5195" s="90">
        <v>46090</v>
      </c>
      <c r="G5195" s="86" t="str">
        <f>VLOOKUP("*"&amp;表格1[[#This Row],[Input]]&amp;"*",'Ref-List'!$B:$D,2,)</f>
        <v>MW3-MM25PC(BK)</v>
      </c>
      <c r="H5195" s="86" t="str">
        <f>_xlfn.XLOOKUP(表格1[[#This Row],[Model]],表格3[Model-Input-Ref2],表格3[Product Line])</f>
        <v>旋鈕式微波爐 (25公升)</v>
      </c>
      <c r="I5195" s="86" t="str">
        <f>_xlfn.XLOOKUP(表格1[[#This Row],[Model]],表格3[Model-Input-Ref2],表格3[大小電])</f>
        <v>細電</v>
      </c>
      <c r="J5195" s="86" t="str">
        <f>_xlfn.XLOOKUP(表格1[[#This Row],[Model]],表格3[Model-Input-Ref2],表格3[Code])</f>
        <v>MOA</v>
      </c>
      <c r="K5195" s="89" t="s">
        <v>1122</v>
      </c>
      <c r="L5195" s="86">
        <v>1</v>
      </c>
      <c r="M5195" s="87">
        <v>718</v>
      </c>
      <c r="N5195" s="87">
        <f>IFERROR(表格1[[#This Row],[QTY]]*表格1[[#This Row],[Unit Price]],"-")</f>
        <v>718</v>
      </c>
      <c r="O5195" s="86" t="s">
        <v>2342</v>
      </c>
      <c r="R5195" s="86" t="str">
        <f>_xlfn.CONCAT(表格1[[#This Row],[Model]]," ",表格1[[#This Row],[inv no]])</f>
        <v>MW3-MM25PC(BK) 452112</v>
      </c>
      <c r="S5195" s="86">
        <f>_xlfn.XLOOKUP(表格1[[#This Row],[Model]],表格3[Model-Input-Ref2],表格3[SRP PRICE])</f>
        <v>998</v>
      </c>
      <c r="T5195" s="43">
        <f>表格1[[#This Row],[Unit Price]]/表格1[[#This Row],[SRP]]</f>
        <v>0.71943887775551107</v>
      </c>
      <c r="U5195" s="86" t="str">
        <f>_xlfn.XLOOKUP(表格1[[#This Row],[Model]],表格3[Model-Input-Ref2],表格3[TOSHIBA/HIGHEST])</f>
        <v>Toshiba SRP</v>
      </c>
      <c r="W5195" s="86" t="str">
        <f>_xlfn.CONCAT(表格1[[#This Row],[欄4]],表格1[[#This Row],[inv no]])</f>
        <v>452112</v>
      </c>
    </row>
    <row r="5196" spans="1:23" hidden="1">
      <c r="A5196" s="81">
        <v>5194</v>
      </c>
      <c r="B5196" s="86" t="s">
        <v>1403</v>
      </c>
      <c r="C5196" s="86" t="s">
        <v>2457</v>
      </c>
      <c r="D5196" s="89" t="str">
        <f ca="1">OFFSET(Roster!$A$3,MATCH(表格1[[#This Row],[Location]]&amp;" "&amp;表格1[[#This Row],[Shop]]&amp;"*",Roster!$A$4:$A$72,0),DAY(表格1[[#This Row],[date]]),1,1)</f>
        <v>PoWan</v>
      </c>
      <c r="E5196" s="86">
        <f>MONTH(表格1[[#This Row],[date]])</f>
        <v>3</v>
      </c>
      <c r="F5196" s="90">
        <v>46090</v>
      </c>
      <c r="G5196" s="86" t="str">
        <f>VLOOKUP("*"&amp;表格1[[#This Row],[Input]]&amp;"*",'Ref-List'!$B:$D,2,)</f>
        <v>MX2-STR25SC(WH)</v>
      </c>
      <c r="H5196" s="86" t="str">
        <f>_xlfn.XLOOKUP(表格1[[#This Row],[Model]],表格3[Model-Input-Ref2],表格3[Product Line])</f>
        <v>4合1氣炸微波蒸焗爐(25公升)</v>
      </c>
      <c r="I5196" s="86" t="str">
        <f>_xlfn.XLOOKUP(表格1[[#This Row],[Model]],表格3[Model-Input-Ref2],表格3[大小電])</f>
        <v>細電</v>
      </c>
      <c r="J5196" s="86" t="str">
        <f>_xlfn.XLOOKUP(表格1[[#This Row],[Model]],表格3[Model-Input-Ref2],表格3[Code])</f>
        <v>MCA</v>
      </c>
      <c r="K5196" s="89" t="s">
        <v>861</v>
      </c>
      <c r="L5196" s="86">
        <v>1</v>
      </c>
      <c r="M5196" s="87">
        <v>3278</v>
      </c>
      <c r="N5196" s="87">
        <f>IFERROR(表格1[[#This Row],[QTY]]*表格1[[#This Row],[Unit Price]],"-")</f>
        <v>3278</v>
      </c>
      <c r="O5196" s="86" t="s">
        <v>2346</v>
      </c>
      <c r="R5196" s="86" t="str">
        <f>_xlfn.CONCAT(表格1[[#This Row],[Model]]," ",表格1[[#This Row],[inv no]])</f>
        <v>MX2-STR25SC(WH) 452107</v>
      </c>
      <c r="S5196" s="86">
        <f>_xlfn.XLOOKUP(表格1[[#This Row],[Model]],表格3[Model-Input-Ref2],表格3[SRP PRICE])</f>
        <v>4998</v>
      </c>
      <c r="T5196" s="43">
        <f>表格1[[#This Row],[Unit Price]]/表格1[[#This Row],[SRP]]</f>
        <v>0.65586234493797524</v>
      </c>
      <c r="U5196" s="86" t="str">
        <f>_xlfn.XLOOKUP(表格1[[#This Row],[Model]],表格3[Model-Input-Ref2],表格3[TOSHIBA/HIGHEST])</f>
        <v>Toshiba SRP</v>
      </c>
      <c r="W5196" s="86" t="str">
        <f>_xlfn.CONCAT(表格1[[#This Row],[欄4]],表格1[[#This Row],[inv no]])</f>
        <v>452107</v>
      </c>
    </row>
    <row r="5197" spans="1:23" hidden="1">
      <c r="A5197" s="81">
        <v>5195</v>
      </c>
      <c r="B5197" s="86" t="s">
        <v>1403</v>
      </c>
      <c r="C5197" s="86" t="s">
        <v>2457</v>
      </c>
      <c r="D5197" s="89" t="str">
        <f ca="1">OFFSET(Roster!$A$3,MATCH(表格1[[#This Row],[Location]]&amp;" "&amp;表格1[[#This Row],[Shop]]&amp;"*",Roster!$A$4:$A$72,0),DAY(表格1[[#This Row],[date]]),1,1)</f>
        <v>PoWan</v>
      </c>
      <c r="E5197" s="86">
        <f>MONTH(表格1[[#This Row],[date]])</f>
        <v>3</v>
      </c>
      <c r="F5197" s="90">
        <v>46090</v>
      </c>
      <c r="G5197" s="86" t="str">
        <f>VLOOKUP("*"&amp;表格1[[#This Row],[Input]]&amp;"*",'Ref-List'!$B:$D,2,)</f>
        <v>MX2-STR25SC(WH)</v>
      </c>
      <c r="H5197" s="86" t="str">
        <f>_xlfn.XLOOKUP(表格1[[#This Row],[Model]],表格3[Model-Input-Ref2],表格3[Product Line])</f>
        <v>4合1氣炸微波蒸焗爐(25公升)</v>
      </c>
      <c r="I5197" s="86" t="str">
        <f>_xlfn.XLOOKUP(表格1[[#This Row],[Model]],表格3[Model-Input-Ref2],表格3[大小電])</f>
        <v>細電</v>
      </c>
      <c r="J5197" s="86" t="str">
        <f>_xlfn.XLOOKUP(表格1[[#This Row],[Model]],表格3[Model-Input-Ref2],表格3[Code])</f>
        <v>MCA</v>
      </c>
      <c r="K5197" s="89" t="s">
        <v>861</v>
      </c>
      <c r="L5197" s="86">
        <v>1</v>
      </c>
      <c r="M5197" s="87">
        <v>3278</v>
      </c>
      <c r="N5197" s="87">
        <f>IFERROR(表格1[[#This Row],[QTY]]*表格1[[#This Row],[Unit Price]],"-")</f>
        <v>3278</v>
      </c>
      <c r="O5197" s="86" t="s">
        <v>2348</v>
      </c>
      <c r="R5197" s="86" t="str">
        <f>_xlfn.CONCAT(表格1[[#This Row],[Model]]," ",表格1[[#This Row],[inv no]])</f>
        <v>MX2-STR25SC(WH) 452139</v>
      </c>
      <c r="S5197" s="86">
        <f>_xlfn.XLOOKUP(表格1[[#This Row],[Model]],表格3[Model-Input-Ref2],表格3[SRP PRICE])</f>
        <v>4998</v>
      </c>
      <c r="T5197" s="43">
        <f>表格1[[#This Row],[Unit Price]]/表格1[[#This Row],[SRP]]</f>
        <v>0.65586234493797524</v>
      </c>
      <c r="U5197" s="86" t="str">
        <f>_xlfn.XLOOKUP(表格1[[#This Row],[Model]],表格3[Model-Input-Ref2],表格3[TOSHIBA/HIGHEST])</f>
        <v>Toshiba SRP</v>
      </c>
      <c r="W5197" s="86" t="str">
        <f>_xlfn.CONCAT(表格1[[#This Row],[欄4]],表格1[[#This Row],[inv no]])</f>
        <v>452139</v>
      </c>
    </row>
    <row r="5198" spans="1:23" hidden="1">
      <c r="A5198" s="81">
        <v>5196</v>
      </c>
      <c r="B5198" s="86" t="s">
        <v>1403</v>
      </c>
      <c r="C5198" s="86" t="s">
        <v>2457</v>
      </c>
      <c r="D5198" s="89" t="str">
        <f ca="1">OFFSET(Roster!$A$3,MATCH(表格1[[#This Row],[Location]]&amp;" "&amp;表格1[[#This Row],[Shop]]&amp;"*",Roster!$A$4:$A$72,0),DAY(表格1[[#This Row],[date]]),1,1)</f>
        <v>PoWan</v>
      </c>
      <c r="E5198" s="86">
        <f>MONTH(表格1[[#This Row],[date]])</f>
        <v>3</v>
      </c>
      <c r="F5198" s="90">
        <v>46090</v>
      </c>
      <c r="G5198" s="86" t="str">
        <f>VLOOKUP("*"&amp;表格1[[#This Row],[Input]]&amp;"*",'Ref-List'!$B:$D,2,)</f>
        <v>MX2-TT20SC(WH)</v>
      </c>
      <c r="H5198" s="86" t="str">
        <f>_xlfn.XLOOKUP(表格1[[#This Row],[Model]],表格3[Model-Input-Ref2],表格3[Product Line])</f>
        <v>3合1 微波蒸焗爐 (20公升)</v>
      </c>
      <c r="I5198" s="86" t="str">
        <f>_xlfn.XLOOKUP(表格1[[#This Row],[Model]],表格3[Model-Input-Ref2],表格3[大小電])</f>
        <v>細電</v>
      </c>
      <c r="J5198" s="86" t="str">
        <f>_xlfn.XLOOKUP(表格1[[#This Row],[Model]],表格3[Model-Input-Ref2],表格3[Code])</f>
        <v>MCA</v>
      </c>
      <c r="K5198" s="89" t="s">
        <v>944</v>
      </c>
      <c r="L5198" s="86">
        <v>1</v>
      </c>
      <c r="M5198" s="87">
        <v>2330</v>
      </c>
      <c r="N5198" s="87">
        <f>IFERROR(表格1[[#This Row],[QTY]]*表格1[[#This Row],[Unit Price]],"-")</f>
        <v>2330</v>
      </c>
      <c r="O5198" s="86" t="s">
        <v>2373</v>
      </c>
      <c r="R5198" s="86" t="str">
        <f>_xlfn.CONCAT(表格1[[#This Row],[Model]]," ",表格1[[#This Row],[inv no]])</f>
        <v>MX2-TT20SC(WH) 452121</v>
      </c>
      <c r="S5198" s="86">
        <f>_xlfn.XLOOKUP(表格1[[#This Row],[Model]],表格3[Model-Input-Ref2],表格3[SRP PRICE])</f>
        <v>3580</v>
      </c>
      <c r="T5198" s="43">
        <f>表格1[[#This Row],[Unit Price]]/表格1[[#This Row],[SRP]]</f>
        <v>0.65083798882681565</v>
      </c>
      <c r="U5198" s="86" t="str">
        <f>_xlfn.XLOOKUP(表格1[[#This Row],[Model]],表格3[Model-Input-Ref2],表格3[TOSHIBA/HIGHEST])</f>
        <v>Toshiba SRP</v>
      </c>
      <c r="W5198" s="86" t="str">
        <f>_xlfn.CONCAT(表格1[[#This Row],[欄4]],表格1[[#This Row],[inv no]])</f>
        <v>452121</v>
      </c>
    </row>
    <row r="5199" spans="1:23" hidden="1">
      <c r="A5199" s="81">
        <v>5197</v>
      </c>
      <c r="B5199" s="86" t="s">
        <v>1403</v>
      </c>
      <c r="C5199" s="86" t="s">
        <v>2457</v>
      </c>
      <c r="D5199" s="89" t="str">
        <f ca="1">OFFSET(Roster!$A$3,MATCH(表格1[[#This Row],[Location]]&amp;" "&amp;表格1[[#This Row],[Shop]]&amp;"*",Roster!$A$4:$A$72,0),DAY(表格1[[#This Row],[date]]),1,1)</f>
        <v>PoWan</v>
      </c>
      <c r="E5199" s="86">
        <f>MONTH(表格1[[#This Row],[date]])</f>
        <v>3</v>
      </c>
      <c r="F5199" s="90">
        <v>46090</v>
      </c>
      <c r="G5199" s="86" t="str">
        <f>VLOOKUP("*"&amp;表格1[[#This Row],[Input]]&amp;"*",'Ref-List'!$B:$D,2,)</f>
        <v>MX2-TT20SC(WH)</v>
      </c>
      <c r="H5199" s="86" t="str">
        <f>_xlfn.XLOOKUP(表格1[[#This Row],[Model]],表格3[Model-Input-Ref2],表格3[Product Line])</f>
        <v>3合1 微波蒸焗爐 (20公升)</v>
      </c>
      <c r="I5199" s="86" t="str">
        <f>_xlfn.XLOOKUP(表格1[[#This Row],[Model]],表格3[Model-Input-Ref2],表格3[大小電])</f>
        <v>細電</v>
      </c>
      <c r="J5199" s="86" t="str">
        <f>_xlfn.XLOOKUP(表格1[[#This Row],[Model]],表格3[Model-Input-Ref2],表格3[Code])</f>
        <v>MCA</v>
      </c>
      <c r="K5199" s="89" t="s">
        <v>944</v>
      </c>
      <c r="L5199" s="86">
        <v>1</v>
      </c>
      <c r="M5199" s="87">
        <v>2330</v>
      </c>
      <c r="N5199" s="87">
        <f>IFERROR(表格1[[#This Row],[QTY]]*表格1[[#This Row],[Unit Price]],"-")</f>
        <v>2330</v>
      </c>
      <c r="O5199" s="86" t="s">
        <v>2375</v>
      </c>
      <c r="R5199" s="86" t="str">
        <f>_xlfn.CONCAT(表格1[[#This Row],[Model]]," ",表格1[[#This Row],[inv no]])</f>
        <v>MX2-TT20SC(WH) 452120</v>
      </c>
      <c r="S5199" s="86">
        <f>_xlfn.XLOOKUP(表格1[[#This Row],[Model]],表格3[Model-Input-Ref2],表格3[SRP PRICE])</f>
        <v>3580</v>
      </c>
      <c r="T5199" s="43">
        <f>表格1[[#This Row],[Unit Price]]/表格1[[#This Row],[SRP]]</f>
        <v>0.65083798882681565</v>
      </c>
      <c r="U5199" s="86" t="str">
        <f>_xlfn.XLOOKUP(表格1[[#This Row],[Model]],表格3[Model-Input-Ref2],表格3[TOSHIBA/HIGHEST])</f>
        <v>Toshiba SRP</v>
      </c>
      <c r="W5199" s="86" t="str">
        <f>_xlfn.CONCAT(表格1[[#This Row],[欄4]],表格1[[#This Row],[inv no]])</f>
        <v>452120</v>
      </c>
    </row>
    <row r="5200" spans="1:23" hidden="1">
      <c r="A5200" s="81">
        <v>5198</v>
      </c>
      <c r="B5200" s="86" t="s">
        <v>1403</v>
      </c>
      <c r="C5200" s="86" t="s">
        <v>2457</v>
      </c>
      <c r="D5200" s="89" t="str">
        <f ca="1">OFFSET(Roster!$A$3,MATCH(表格1[[#This Row],[Location]]&amp;" "&amp;表格1[[#This Row],[Shop]]&amp;"*",Roster!$A$4:$A$72,0),DAY(表格1[[#This Row],[date]]),1,1)</f>
        <v>PoWan</v>
      </c>
      <c r="E5200" s="86">
        <f>MONTH(表格1[[#This Row],[date]])</f>
        <v>3</v>
      </c>
      <c r="F5200" s="90">
        <v>46090</v>
      </c>
      <c r="G5200" s="86" t="str">
        <f>VLOOKUP("*"&amp;表格1[[#This Row],[Input]]&amp;"*",'Ref-List'!$B:$D,2,)</f>
        <v>MX2-TT20SC(WH)</v>
      </c>
      <c r="H5200" s="86" t="str">
        <f>_xlfn.XLOOKUP(表格1[[#This Row],[Model]],表格3[Model-Input-Ref2],表格3[Product Line])</f>
        <v>3合1 微波蒸焗爐 (20公升)</v>
      </c>
      <c r="I5200" s="86" t="str">
        <f>_xlfn.XLOOKUP(表格1[[#This Row],[Model]],表格3[Model-Input-Ref2],表格3[大小電])</f>
        <v>細電</v>
      </c>
      <c r="J5200" s="86" t="str">
        <f>_xlfn.XLOOKUP(表格1[[#This Row],[Model]],表格3[Model-Input-Ref2],表格3[Code])</f>
        <v>MCA</v>
      </c>
      <c r="K5200" s="89" t="s">
        <v>944</v>
      </c>
      <c r="L5200" s="86">
        <v>1</v>
      </c>
      <c r="M5200" s="87">
        <v>2330</v>
      </c>
      <c r="N5200" s="87">
        <f>IFERROR(表格1[[#This Row],[QTY]]*表格1[[#This Row],[Unit Price]],"-")</f>
        <v>2330</v>
      </c>
      <c r="O5200" s="86" t="s">
        <v>2377</v>
      </c>
      <c r="R5200" s="86" t="str">
        <f>_xlfn.CONCAT(表格1[[#This Row],[Model]]," ",表格1[[#This Row],[inv no]])</f>
        <v>MX2-TT20SC(WH) 452119</v>
      </c>
      <c r="S5200" s="86">
        <f>_xlfn.XLOOKUP(表格1[[#This Row],[Model]],表格3[Model-Input-Ref2],表格3[SRP PRICE])</f>
        <v>3580</v>
      </c>
      <c r="T5200" s="43">
        <f>表格1[[#This Row],[Unit Price]]/表格1[[#This Row],[SRP]]</f>
        <v>0.65083798882681565</v>
      </c>
      <c r="U5200" s="86" t="str">
        <f>_xlfn.XLOOKUP(表格1[[#This Row],[Model]],表格3[Model-Input-Ref2],表格3[TOSHIBA/HIGHEST])</f>
        <v>Toshiba SRP</v>
      </c>
      <c r="W5200" s="86" t="str">
        <f>_xlfn.CONCAT(表格1[[#This Row],[欄4]],表格1[[#This Row],[inv no]])</f>
        <v>452119</v>
      </c>
    </row>
    <row r="5201" spans="1:23" hidden="1">
      <c r="A5201" s="81">
        <v>5199</v>
      </c>
      <c r="B5201" s="86" t="s">
        <v>1403</v>
      </c>
      <c r="C5201" s="86" t="s">
        <v>2457</v>
      </c>
      <c r="D5201" s="89" t="str">
        <f ca="1">OFFSET(Roster!$A$3,MATCH(表格1[[#This Row],[Location]]&amp;" "&amp;表格1[[#This Row],[Shop]]&amp;"*",Roster!$A$4:$A$72,0),DAY(表格1[[#This Row],[date]]),1,1)</f>
        <v>PoWan</v>
      </c>
      <c r="E5201" s="86">
        <f>MONTH(表格1[[#This Row],[date]])</f>
        <v>3</v>
      </c>
      <c r="F5201" s="90">
        <v>46090</v>
      </c>
      <c r="G5201" s="86" t="str">
        <f>VLOOKUP("*"&amp;表格1[[#This Row],[Input]]&amp;"*",'Ref-List'!$B:$D,2,)</f>
        <v>MX2-TT20SC(WH)</v>
      </c>
      <c r="H5201" s="86" t="str">
        <f>_xlfn.XLOOKUP(表格1[[#This Row],[Model]],表格3[Model-Input-Ref2],表格3[Product Line])</f>
        <v>3合1 微波蒸焗爐 (20公升)</v>
      </c>
      <c r="I5201" s="86" t="str">
        <f>_xlfn.XLOOKUP(表格1[[#This Row],[Model]],表格3[Model-Input-Ref2],表格3[大小電])</f>
        <v>細電</v>
      </c>
      <c r="J5201" s="86" t="str">
        <f>_xlfn.XLOOKUP(表格1[[#This Row],[Model]],表格3[Model-Input-Ref2],表格3[Code])</f>
        <v>MCA</v>
      </c>
      <c r="K5201" s="89" t="s">
        <v>944</v>
      </c>
      <c r="L5201" s="86">
        <v>1</v>
      </c>
      <c r="M5201" s="87">
        <v>2330</v>
      </c>
      <c r="N5201" s="87">
        <f>IFERROR(表格1[[#This Row],[QTY]]*表格1[[#This Row],[Unit Price]],"-")</f>
        <v>2330</v>
      </c>
      <c r="O5201" s="86" t="s">
        <v>2379</v>
      </c>
      <c r="R5201" s="86" t="str">
        <f>_xlfn.CONCAT(表格1[[#This Row],[Model]]," ",表格1[[#This Row],[inv no]])</f>
        <v>MX2-TT20SC(WH) 452138</v>
      </c>
      <c r="S5201" s="86">
        <f>_xlfn.XLOOKUP(表格1[[#This Row],[Model]],表格3[Model-Input-Ref2],表格3[SRP PRICE])</f>
        <v>3580</v>
      </c>
      <c r="T5201" s="43">
        <f>表格1[[#This Row],[Unit Price]]/表格1[[#This Row],[SRP]]</f>
        <v>0.65083798882681565</v>
      </c>
      <c r="U5201" s="86" t="str">
        <f>_xlfn.XLOOKUP(表格1[[#This Row],[Model]],表格3[Model-Input-Ref2],表格3[TOSHIBA/HIGHEST])</f>
        <v>Toshiba SRP</v>
      </c>
      <c r="W5201" s="86" t="str">
        <f>_xlfn.CONCAT(表格1[[#This Row],[欄4]],表格1[[#This Row],[inv no]])</f>
        <v>452138</v>
      </c>
    </row>
    <row r="5202" spans="1:23" hidden="1">
      <c r="A5202" s="81">
        <v>5200</v>
      </c>
      <c r="B5202" s="86" t="s">
        <v>1403</v>
      </c>
      <c r="C5202" s="86" t="s">
        <v>2457</v>
      </c>
      <c r="D5202" s="89" t="str">
        <f ca="1">OFFSET(Roster!$A$3,MATCH(表格1[[#This Row],[Location]]&amp;" "&amp;表格1[[#This Row],[Shop]]&amp;"*",Roster!$A$4:$A$72,0),DAY(表格1[[#This Row],[date]]),1,1)</f>
        <v>PoWan</v>
      </c>
      <c r="E5202" s="86">
        <f>MONTH(表格1[[#This Row],[date]])</f>
        <v>3</v>
      </c>
      <c r="F5202" s="90">
        <v>46090</v>
      </c>
      <c r="G5202" s="86" t="str">
        <f>VLOOKUP("*"&amp;表格1[[#This Row],[Input]]&amp;"*",'Ref-List'!$B:$D,2,)</f>
        <v>RC-7HMH</v>
      </c>
      <c r="H5202" s="86" t="str">
        <f>_xlfn.XLOOKUP(表格1[[#This Row],[Model]],表格3[Model-Input-Ref2],表格3[Product Line])</f>
        <v>備長炭本厚釜電飯煲0.7L</v>
      </c>
      <c r="I5202" s="86" t="str">
        <f>_xlfn.XLOOKUP(表格1[[#This Row],[Model]],表格3[Model-Input-Ref2],表格3[大小電])</f>
        <v>細電</v>
      </c>
      <c r="J5202" s="86" t="str">
        <f>_xlfn.XLOOKUP(表格1[[#This Row],[Model]],表格3[Model-Input-Ref2],表格3[Code])</f>
        <v>SDA</v>
      </c>
      <c r="K5202" s="89" t="s">
        <v>1284</v>
      </c>
      <c r="L5202" s="86">
        <v>1</v>
      </c>
      <c r="M5202" s="87">
        <v>788</v>
      </c>
      <c r="N5202" s="87">
        <f>IFERROR(表格1[[#This Row],[QTY]]*表格1[[#This Row],[Unit Price]],"-")</f>
        <v>788</v>
      </c>
      <c r="O5202" s="86" t="s">
        <v>2450</v>
      </c>
      <c r="R5202" s="86" t="str">
        <f>_xlfn.CONCAT(表格1[[#This Row],[Model]]," ",表格1[[#This Row],[inv no]])</f>
        <v>RC-7HMH S17M58-1481</v>
      </c>
      <c r="S5202" s="86">
        <f>_xlfn.XLOOKUP(表格1[[#This Row],[Model]],表格3[Model-Input-Ref2],表格3[SRP PRICE])</f>
        <v>1288</v>
      </c>
      <c r="T5202" s="43">
        <f>表格1[[#This Row],[Unit Price]]/表格1[[#This Row],[SRP]]</f>
        <v>0.61180124223602483</v>
      </c>
      <c r="U5202" s="86" t="str">
        <f>_xlfn.XLOOKUP(表格1[[#This Row],[Model]],表格3[Model-Input-Ref2],表格3[TOSHIBA/HIGHEST])</f>
        <v>Toshiba SRP</v>
      </c>
      <c r="W5202" s="86" t="str">
        <f>_xlfn.CONCAT(表格1[[#This Row],[欄4]],表格1[[#This Row],[inv no]])</f>
        <v>S17M58-1481</v>
      </c>
    </row>
    <row r="5203" spans="1:23" hidden="1">
      <c r="A5203" s="81">
        <v>5201</v>
      </c>
      <c r="B5203" s="86" t="s">
        <v>1403</v>
      </c>
      <c r="C5203" s="86" t="s">
        <v>2457</v>
      </c>
      <c r="D5203" s="89" t="str">
        <f ca="1">OFFSET(Roster!$A$3,MATCH(表格1[[#This Row],[Location]]&amp;" "&amp;表格1[[#This Row],[Shop]]&amp;"*",Roster!$A$4:$A$72,0),DAY(表格1[[#This Row],[date]]),1,1)</f>
        <v>PoWan</v>
      </c>
      <c r="E5203" s="86">
        <f>MONTH(表格1[[#This Row],[date]])</f>
        <v>3</v>
      </c>
      <c r="F5203" s="90">
        <v>46090</v>
      </c>
      <c r="G5203" s="86" t="str">
        <f>VLOOKUP("*"&amp;表格1[[#This Row],[Input]]&amp;"*",'Ref-List'!$B:$D,2,)</f>
        <v>RC-10BHH(W)</v>
      </c>
      <c r="H5203" s="86" t="str">
        <f>_xlfn.XLOOKUP(表格1[[#This Row],[Model]],表格3[Model-Input-Ref2],表格3[Product Line])</f>
        <v>酵活炊磁應電飯煲</v>
      </c>
      <c r="I5203" s="86" t="str">
        <f>_xlfn.XLOOKUP(表格1[[#This Row],[Model]],表格3[Model-Input-Ref2],表格3[大小電])</f>
        <v>細電</v>
      </c>
      <c r="J5203" s="86" t="str">
        <f>_xlfn.XLOOKUP(表格1[[#This Row],[Model]],表格3[Model-Input-Ref2],表格3[Code])</f>
        <v>SDA</v>
      </c>
      <c r="K5203" s="89" t="s">
        <v>852</v>
      </c>
      <c r="L5203" s="86">
        <v>1</v>
      </c>
      <c r="M5203" s="87">
        <v>1618</v>
      </c>
      <c r="N5203" s="87">
        <f>IFERROR(表格1[[#This Row],[QTY]]*表格1[[#This Row],[Unit Price]],"-")</f>
        <v>1618</v>
      </c>
      <c r="O5203" s="86" t="s">
        <v>2452</v>
      </c>
      <c r="R5203" s="86" t="str">
        <f>_xlfn.CONCAT(表格1[[#This Row],[Model]]," ",表格1[[#This Row],[inv no]])</f>
        <v>RC-10BHH(W) S17M58-1485</v>
      </c>
      <c r="S5203" s="86">
        <f>_xlfn.XLOOKUP(表格1[[#This Row],[Model]],表格3[Model-Input-Ref2],表格3[SRP PRICE])</f>
        <v>2088</v>
      </c>
      <c r="T5203" s="43">
        <f>表格1[[#This Row],[Unit Price]]/表格1[[#This Row],[SRP]]</f>
        <v>0.77490421455938696</v>
      </c>
      <c r="U5203" s="86" t="str">
        <f>_xlfn.XLOOKUP(表格1[[#This Row],[Model]],表格3[Model-Input-Ref2],表格3[TOSHIBA/HIGHEST])</f>
        <v>Shops Highest Price</v>
      </c>
      <c r="W5203" s="86" t="str">
        <f>_xlfn.CONCAT(表格1[[#This Row],[欄4]],表格1[[#This Row],[inv no]])</f>
        <v>S17M58-1485</v>
      </c>
    </row>
    <row r="5204" spans="1:23" hidden="1">
      <c r="A5204" s="81">
        <v>5202</v>
      </c>
      <c r="B5204" s="86" t="s">
        <v>1470</v>
      </c>
      <c r="C5204" s="86" t="s">
        <v>2028</v>
      </c>
      <c r="D5204" s="89" t="str">
        <f ca="1">OFFSET(Roster!$A$3,MATCH(表格1[[#This Row],[Location]]&amp;" "&amp;表格1[[#This Row],[Shop]]&amp;"*",Roster!$A$4:$A$72,0),DAY(表格1[[#This Row],[date]]),1,1)</f>
        <v>Hung</v>
      </c>
      <c r="E5204" s="86">
        <f>MONTH(表格1[[#This Row],[date]])</f>
        <v>3</v>
      </c>
      <c r="F5204" s="90">
        <v>46085</v>
      </c>
      <c r="G5204" s="86" t="str">
        <f>VLOOKUP("*"&amp;表格1[[#This Row],[Input]]&amp;"*",'Ref-List'!$B:$D,2,)</f>
        <v>CWF-07CRFN8-AD5</v>
      </c>
      <c r="H5204" s="86" t="str">
        <f>_xlfn.XLOOKUP(表格1[[#This Row],[Model]],表格3[Model-Input-Ref2],表格3[Product Line])</f>
        <v>Comfee 3/4匹變頻窗口式冷氣機</v>
      </c>
      <c r="I5204" s="86" t="str">
        <f>_xlfn.XLOOKUP(表格1[[#This Row],[Model]],表格3[Model-Input-Ref2],表格3[大小電])</f>
        <v>大電</v>
      </c>
      <c r="J5204" s="86" t="str">
        <f>_xlfn.XLOOKUP(表格1[[#This Row],[Model]],表格3[Model-Input-Ref2],表格3[Code])</f>
        <v>RAC</v>
      </c>
      <c r="K5204" s="89" t="s">
        <v>1769</v>
      </c>
      <c r="L5204" s="86">
        <v>1</v>
      </c>
      <c r="M5204" s="87">
        <v>2650</v>
      </c>
      <c r="N5204" s="87">
        <f>IFERROR(表格1[[#This Row],[QTY]]*表格1[[#This Row],[Unit Price]],"-")</f>
        <v>2650</v>
      </c>
      <c r="O5204" s="86">
        <v>3527</v>
      </c>
      <c r="R5204" s="86" t="str">
        <f>_xlfn.CONCAT(表格1[[#This Row],[Model]]," ",表格1[[#This Row],[inv no]])</f>
        <v>CWF-07CRFN8-AD5 3527</v>
      </c>
      <c r="S5204" s="86">
        <f>_xlfn.XLOOKUP(表格1[[#This Row],[Model]],表格3[Model-Input-Ref2],表格3[SRP PRICE])</f>
        <v>3800</v>
      </c>
      <c r="T5204" s="43">
        <f>表格1[[#This Row],[Unit Price]]/表格1[[#This Row],[SRP]]</f>
        <v>0.69736842105263153</v>
      </c>
      <c r="U5204" s="86" t="str">
        <f>_xlfn.XLOOKUP(表格1[[#This Row],[Model]],表格3[Model-Input-Ref2],表格3[TOSHIBA/HIGHEST])</f>
        <v>Shops Highest Price</v>
      </c>
      <c r="W5204" s="86" t="str">
        <f>_xlfn.CONCAT(表格1[[#This Row],[欄4]],表格1[[#This Row],[inv no]])</f>
        <v>3527</v>
      </c>
    </row>
    <row r="5205" spans="1:23" hidden="1">
      <c r="A5205" s="81">
        <v>5203</v>
      </c>
      <c r="B5205" s="86" t="s">
        <v>1470</v>
      </c>
      <c r="C5205" s="86" t="s">
        <v>2028</v>
      </c>
      <c r="D5205" s="89" t="str">
        <f ca="1">OFFSET(Roster!$A$3,MATCH(表格1[[#This Row],[Location]]&amp;" "&amp;表格1[[#This Row],[Shop]]&amp;"*",Roster!$A$4:$A$72,0),DAY(表格1[[#This Row],[date]]),1,1)</f>
        <v>Hung</v>
      </c>
      <c r="E5205" s="86">
        <f>MONTH(表格1[[#This Row],[date]])</f>
        <v>3</v>
      </c>
      <c r="F5205" s="90">
        <v>46088</v>
      </c>
      <c r="G5205" s="86" t="str">
        <f>VLOOKUP("*"&amp;表格1[[#This Row],[Input]]&amp;"*",'Ref-List'!$B:$D,2,)</f>
        <v>CWF-09CRFN8-AD5</v>
      </c>
      <c r="H5205" s="86" t="str">
        <f>_xlfn.XLOOKUP(表格1[[#This Row],[Model]],表格3[Model-Input-Ref2],表格3[Product Line])</f>
        <v>Comfee 1匹變頻窗口式冷氣機</v>
      </c>
      <c r="I5205" s="86" t="str">
        <f>_xlfn.XLOOKUP(表格1[[#This Row],[Model]],表格3[Model-Input-Ref2],表格3[大小電])</f>
        <v>大電</v>
      </c>
      <c r="J5205" s="86" t="str">
        <f>_xlfn.XLOOKUP(表格1[[#This Row],[Model]],表格3[Model-Input-Ref2],表格3[Code])</f>
        <v>RAC</v>
      </c>
      <c r="K5205" s="89" t="s">
        <v>1768</v>
      </c>
      <c r="L5205" s="86">
        <v>1</v>
      </c>
      <c r="M5205" s="87">
        <v>3540</v>
      </c>
      <c r="N5205" s="87">
        <f>IFERROR(表格1[[#This Row],[QTY]]*表格1[[#This Row],[Unit Price]],"-")</f>
        <v>3540</v>
      </c>
      <c r="O5205" s="86">
        <v>3859</v>
      </c>
      <c r="R5205" s="86" t="str">
        <f>_xlfn.CONCAT(表格1[[#This Row],[Model]]," ",表格1[[#This Row],[inv no]])</f>
        <v>CWF-09CRFN8-AD5 3859</v>
      </c>
      <c r="S5205" s="86">
        <f>_xlfn.XLOOKUP(表格1[[#This Row],[Model]],表格3[Model-Input-Ref2],表格3[SRP PRICE])</f>
        <v>4600</v>
      </c>
      <c r="T5205" s="43">
        <f>表格1[[#This Row],[Unit Price]]/表格1[[#This Row],[SRP]]</f>
        <v>0.76956521739130435</v>
      </c>
      <c r="U5205" s="86" t="str">
        <f>_xlfn.XLOOKUP(表格1[[#This Row],[Model]],表格3[Model-Input-Ref2],表格3[TOSHIBA/HIGHEST])</f>
        <v>Shops Highest Price</v>
      </c>
      <c r="W5205" s="86" t="str">
        <f>_xlfn.CONCAT(表格1[[#This Row],[欄4]],表格1[[#This Row],[inv no]])</f>
        <v>3859</v>
      </c>
    </row>
    <row r="5206" spans="1:23" hidden="1">
      <c r="A5206" s="81">
        <v>5204</v>
      </c>
      <c r="B5206" s="86" t="s">
        <v>1470</v>
      </c>
      <c r="C5206" s="86" t="s">
        <v>2028</v>
      </c>
      <c r="D5206" s="89" t="str">
        <f ca="1">OFFSET(Roster!$A$3,MATCH(表格1[[#This Row],[Location]]&amp;" "&amp;表格1[[#This Row],[Shop]]&amp;"*",Roster!$A$4:$A$72,0),DAY(表格1[[#This Row],[date]]),1,1)</f>
        <v>Hung</v>
      </c>
      <c r="E5206" s="86">
        <f>MONTH(表格1[[#This Row],[date]])</f>
        <v>3</v>
      </c>
      <c r="F5206" s="90">
        <v>46089</v>
      </c>
      <c r="G5206" s="86" t="str">
        <f>VLOOKUP("*"&amp;表格1[[#This Row],[Input]]&amp;"*",'Ref-List'!$B:$D,2,)</f>
        <v>CFK01W75</v>
      </c>
      <c r="H5206" s="86" t="str">
        <f>_xlfn.XLOOKUP(表格1[[#This Row],[Model]],表格3[Model-Input-Ref2],表格3[Product Line])</f>
        <v>變頻頂揭式洗衣機 (7.5公斤)</v>
      </c>
      <c r="I5206" s="86" t="str">
        <f>_xlfn.XLOOKUP(表格1[[#This Row],[Model]],表格3[Model-Input-Ref2],表格3[大小電])</f>
        <v>大電</v>
      </c>
      <c r="J5206" s="86" t="str">
        <f>_xlfn.XLOOKUP(表格1[[#This Row],[Model]],表格3[Model-Input-Ref2],表格3[Code])</f>
        <v>LAD</v>
      </c>
      <c r="K5206" s="89" t="s">
        <v>1266</v>
      </c>
      <c r="L5206" s="86">
        <v>1</v>
      </c>
      <c r="M5206" s="87">
        <v>3380</v>
      </c>
      <c r="N5206" s="87">
        <f>IFERROR(表格1[[#This Row],[QTY]]*表格1[[#This Row],[Unit Price]],"-")</f>
        <v>3380</v>
      </c>
      <c r="O5206" s="86">
        <v>3973</v>
      </c>
      <c r="R5206" s="86" t="str">
        <f>_xlfn.CONCAT(表格1[[#This Row],[Model]]," ",表格1[[#This Row],[inv no]])</f>
        <v>CFK01W75 3973</v>
      </c>
      <c r="S5206" s="86">
        <f>_xlfn.XLOOKUP(表格1[[#This Row],[Model]],表格3[Model-Input-Ref2],表格3[SRP PRICE])</f>
        <v>3888</v>
      </c>
      <c r="T5206" s="43">
        <f>表格1[[#This Row],[Unit Price]]/表格1[[#This Row],[SRP]]</f>
        <v>0.86934156378600824</v>
      </c>
      <c r="U5206" s="86" t="str">
        <f>_xlfn.XLOOKUP(表格1[[#This Row],[Model]],表格3[Model-Input-Ref2],表格3[TOSHIBA/HIGHEST])</f>
        <v>Shops Highest Price</v>
      </c>
      <c r="W5206" s="86" t="str">
        <f>_xlfn.CONCAT(表格1[[#This Row],[欄4]],表格1[[#This Row],[inv no]])</f>
        <v>3973</v>
      </c>
    </row>
    <row r="5207" spans="1:23" hidden="1">
      <c r="A5207" s="81">
        <v>5205</v>
      </c>
      <c r="B5207" s="86" t="s">
        <v>1470</v>
      </c>
      <c r="C5207" s="86" t="s">
        <v>2028</v>
      </c>
      <c r="D5207" s="89" t="str">
        <f ca="1">OFFSET(Roster!$A$3,MATCH(表格1[[#This Row],[Location]]&amp;" "&amp;表格1[[#This Row],[Shop]]&amp;"*",Roster!$A$4:$A$72,0),DAY(表格1[[#This Row],[date]]),1,1)</f>
        <v>Hung</v>
      </c>
      <c r="E5207" s="86">
        <f>MONTH(表格1[[#This Row],[date]])</f>
        <v>3</v>
      </c>
      <c r="F5207" s="90">
        <v>46089</v>
      </c>
      <c r="G5207" s="86" t="str">
        <f>VLOOKUP("*"&amp;表格1[[#This Row],[Input]]&amp;"*",'Ref-List'!$B:$D,2,)</f>
        <v>CFK01W75</v>
      </c>
      <c r="H5207" s="86" t="str">
        <f>_xlfn.XLOOKUP(表格1[[#This Row],[Model]],表格3[Model-Input-Ref2],表格3[Product Line])</f>
        <v>變頻頂揭式洗衣機 (7.5公斤)</v>
      </c>
      <c r="I5207" s="86" t="str">
        <f>_xlfn.XLOOKUP(表格1[[#This Row],[Model]],表格3[Model-Input-Ref2],表格3[大小電])</f>
        <v>大電</v>
      </c>
      <c r="J5207" s="86" t="str">
        <f>_xlfn.XLOOKUP(表格1[[#This Row],[Model]],表格3[Model-Input-Ref2],表格3[Code])</f>
        <v>LAD</v>
      </c>
      <c r="K5207" s="89" t="s">
        <v>1266</v>
      </c>
      <c r="L5207" s="86">
        <v>1</v>
      </c>
      <c r="M5207" s="87">
        <v>3380</v>
      </c>
      <c r="N5207" s="87">
        <f>IFERROR(表格1[[#This Row],[QTY]]*表格1[[#This Row],[Unit Price]],"-")</f>
        <v>3380</v>
      </c>
      <c r="O5207" s="86">
        <v>3991</v>
      </c>
      <c r="R5207" s="86" t="str">
        <f>_xlfn.CONCAT(表格1[[#This Row],[Model]]," ",表格1[[#This Row],[inv no]])</f>
        <v>CFK01W75 3991</v>
      </c>
      <c r="S5207" s="86">
        <f>_xlfn.XLOOKUP(表格1[[#This Row],[Model]],表格3[Model-Input-Ref2],表格3[SRP PRICE])</f>
        <v>3888</v>
      </c>
      <c r="T5207" s="43">
        <f>表格1[[#This Row],[Unit Price]]/表格1[[#This Row],[SRP]]</f>
        <v>0.86934156378600824</v>
      </c>
      <c r="U5207" s="86" t="str">
        <f>_xlfn.XLOOKUP(表格1[[#This Row],[Model]],表格3[Model-Input-Ref2],表格3[TOSHIBA/HIGHEST])</f>
        <v>Shops Highest Price</v>
      </c>
      <c r="W5207" s="86" t="str">
        <f>_xlfn.CONCAT(表格1[[#This Row],[欄4]],表格1[[#This Row],[inv no]])</f>
        <v>3991</v>
      </c>
    </row>
    <row r="5208" spans="1:23" hidden="1">
      <c r="A5208" s="81">
        <v>5206</v>
      </c>
      <c r="B5208" s="86" t="s">
        <v>1470</v>
      </c>
      <c r="C5208" s="86" t="s">
        <v>2028</v>
      </c>
      <c r="D5208" s="89" t="str">
        <f ca="1">OFFSET(Roster!$A$3,MATCH(表格1[[#This Row],[Location]]&amp;" "&amp;表格1[[#This Row],[Shop]]&amp;"*",Roster!$A$4:$A$72,0),DAY(表格1[[#This Row],[date]]),1,1)</f>
        <v>Hung</v>
      </c>
      <c r="E5208" s="86">
        <f>MONTH(表格1[[#This Row],[date]])</f>
        <v>3</v>
      </c>
      <c r="F5208" s="90">
        <v>46093</v>
      </c>
      <c r="G5208" s="86" t="str">
        <f>VLOOKUP("*"&amp;表格1[[#This Row],[Input]]&amp;"*",'Ref-List'!$B:$D,2,)</f>
        <v>CWF-09CRFN8-AD5</v>
      </c>
      <c r="H5208" s="86" t="str">
        <f>_xlfn.XLOOKUP(表格1[[#This Row],[Model]],表格3[Model-Input-Ref2],表格3[Product Line])</f>
        <v>Comfee 1匹變頻窗口式冷氣機</v>
      </c>
      <c r="I5208" s="86" t="str">
        <f>_xlfn.XLOOKUP(表格1[[#This Row],[Model]],表格3[Model-Input-Ref2],表格3[大小電])</f>
        <v>大電</v>
      </c>
      <c r="J5208" s="86" t="str">
        <f>_xlfn.XLOOKUP(表格1[[#This Row],[Model]],表格3[Model-Input-Ref2],表格3[Code])</f>
        <v>RAC</v>
      </c>
      <c r="K5208" s="89" t="s">
        <v>1768</v>
      </c>
      <c r="L5208" s="86">
        <v>1</v>
      </c>
      <c r="M5208" s="87">
        <v>3540</v>
      </c>
      <c r="N5208" s="87">
        <f>IFERROR(表格1[[#This Row],[QTY]]*表格1[[#This Row],[Unit Price]],"-")</f>
        <v>3540</v>
      </c>
      <c r="O5208" s="86">
        <v>4357</v>
      </c>
      <c r="R5208" s="86" t="str">
        <f>_xlfn.CONCAT(表格1[[#This Row],[Model]]," ",表格1[[#This Row],[inv no]])</f>
        <v>CWF-09CRFN8-AD5 4357</v>
      </c>
      <c r="S5208" s="86">
        <f>_xlfn.XLOOKUP(表格1[[#This Row],[Model]],表格3[Model-Input-Ref2],表格3[SRP PRICE])</f>
        <v>4600</v>
      </c>
      <c r="T5208" s="43">
        <f>表格1[[#This Row],[Unit Price]]/表格1[[#This Row],[SRP]]</f>
        <v>0.76956521739130435</v>
      </c>
      <c r="U5208" s="86" t="str">
        <f>_xlfn.XLOOKUP(表格1[[#This Row],[Model]],表格3[Model-Input-Ref2],表格3[TOSHIBA/HIGHEST])</f>
        <v>Shops Highest Price</v>
      </c>
      <c r="W5208" s="86" t="str">
        <f>_xlfn.CONCAT(表格1[[#This Row],[欄4]],表格1[[#This Row],[inv no]])</f>
        <v>4357</v>
      </c>
    </row>
    <row r="5209" spans="1:23" hidden="1">
      <c r="A5209" s="81">
        <v>5207</v>
      </c>
      <c r="B5209" s="86" t="s">
        <v>1470</v>
      </c>
      <c r="C5209" s="86" t="s">
        <v>2028</v>
      </c>
      <c r="D5209" s="89" t="str">
        <f ca="1">OFFSET(Roster!$A$3,MATCH(表格1[[#This Row],[Location]]&amp;" "&amp;表格1[[#This Row],[Shop]]&amp;"*",Roster!$A$4:$A$72,0),DAY(表格1[[#This Row],[date]]),1,1)</f>
        <v>Hung</v>
      </c>
      <c r="E5209" s="86">
        <f>MONTH(表格1[[#This Row],[date]])</f>
        <v>3</v>
      </c>
      <c r="F5209" s="90">
        <v>46095</v>
      </c>
      <c r="G5209" s="86" t="str">
        <f>VLOOKUP("*"&amp;表格1[[#This Row],[Input]]&amp;"*",'Ref-List'!$B:$D,2,)</f>
        <v>CFW-07FF-H</v>
      </c>
      <c r="H5209" s="86" t="str">
        <f>_xlfn.XLOOKUP(表格1[[#This Row],[Model]],表格3[Model-Input-Ref2],表格3[Product Line])</f>
        <v>Comfee 窗口冷氣機</v>
      </c>
      <c r="I5209" s="86" t="str">
        <f>_xlfn.XLOOKUP(表格1[[#This Row],[Model]],表格3[Model-Input-Ref2],表格3[大小電])</f>
        <v>大電</v>
      </c>
      <c r="J5209" s="86" t="str">
        <f>_xlfn.XLOOKUP(表格1[[#This Row],[Model]],表格3[Model-Input-Ref2],表格3[Code])</f>
        <v>AC</v>
      </c>
      <c r="K5209" s="89" t="s">
        <v>2127</v>
      </c>
      <c r="L5209" s="86">
        <v>1</v>
      </c>
      <c r="M5209" s="87">
        <v>2338</v>
      </c>
      <c r="N5209" s="87">
        <f>IFERROR(表格1[[#This Row],[QTY]]*表格1[[#This Row],[Unit Price]],"-")</f>
        <v>2338</v>
      </c>
      <c r="O5209" s="86">
        <v>4588</v>
      </c>
      <c r="R5209" s="86" t="str">
        <f>_xlfn.CONCAT(表格1[[#This Row],[Model]]," ",表格1[[#This Row],[inv no]])</f>
        <v>CFW-07FF-H 4588</v>
      </c>
      <c r="S5209" s="86">
        <f>_xlfn.XLOOKUP(表格1[[#This Row],[Model]],表格3[Model-Input-Ref2],表格3[SRP PRICE])</f>
        <v>2880</v>
      </c>
      <c r="T5209" s="43">
        <f>表格1[[#This Row],[Unit Price]]/表格1[[#This Row],[SRP]]</f>
        <v>0.81180555555555556</v>
      </c>
      <c r="U5209" s="86" t="str">
        <f>_xlfn.XLOOKUP(表格1[[#This Row],[Model]],表格3[Model-Input-Ref2],表格3[TOSHIBA/HIGHEST])</f>
        <v>web SRP</v>
      </c>
      <c r="W5209" s="86" t="str">
        <f>_xlfn.CONCAT(表格1[[#This Row],[欄4]],表格1[[#This Row],[inv no]])</f>
        <v>4588</v>
      </c>
    </row>
    <row r="5210" spans="1:23" hidden="1">
      <c r="A5210" s="81">
        <v>5208</v>
      </c>
      <c r="B5210" s="86" t="s">
        <v>1470</v>
      </c>
      <c r="C5210" s="86" t="s">
        <v>2028</v>
      </c>
      <c r="D5210" s="89" t="str">
        <f ca="1">OFFSET(Roster!$A$3,MATCH(表格1[[#This Row],[Location]]&amp;" "&amp;表格1[[#This Row],[Shop]]&amp;"*",Roster!$A$4:$A$72,0),DAY(表格1[[#This Row],[date]]),1,1)</f>
        <v>Hung</v>
      </c>
      <c r="E5210" s="86">
        <f>MONTH(表格1[[#This Row],[date]])</f>
        <v>3</v>
      </c>
      <c r="F5210" s="90">
        <v>46097</v>
      </c>
      <c r="G5210" s="86" t="str">
        <f>VLOOKUP("*"&amp;表格1[[#This Row],[Input]]&amp;"*",'Ref-List'!$B:$D,2,)</f>
        <v>CWF-09CRFN8-AD5</v>
      </c>
      <c r="H5210" s="86" t="str">
        <f>_xlfn.XLOOKUP(表格1[[#This Row],[Model]],表格3[Model-Input-Ref2],表格3[Product Line])</f>
        <v>Comfee 1匹變頻窗口式冷氣機</v>
      </c>
      <c r="I5210" s="86" t="str">
        <f>_xlfn.XLOOKUP(表格1[[#This Row],[Model]],表格3[Model-Input-Ref2],表格3[大小電])</f>
        <v>大電</v>
      </c>
      <c r="J5210" s="86" t="str">
        <f>_xlfn.XLOOKUP(表格1[[#This Row],[Model]],表格3[Model-Input-Ref2],表格3[Code])</f>
        <v>RAC</v>
      </c>
      <c r="K5210" s="89" t="s">
        <v>1768</v>
      </c>
      <c r="L5210" s="86">
        <v>1</v>
      </c>
      <c r="M5210" s="87">
        <v>3540</v>
      </c>
      <c r="N5210" s="87">
        <f>IFERROR(表格1[[#This Row],[QTY]]*表格1[[#This Row],[Unit Price]],"-")</f>
        <v>3540</v>
      </c>
      <c r="O5210" s="86">
        <v>4788</v>
      </c>
      <c r="R5210" s="86" t="str">
        <f>_xlfn.CONCAT(表格1[[#This Row],[Model]]," ",表格1[[#This Row],[inv no]])</f>
        <v>CWF-09CRFN8-AD5 4788</v>
      </c>
      <c r="S5210" s="86">
        <f>_xlfn.XLOOKUP(表格1[[#This Row],[Model]],表格3[Model-Input-Ref2],表格3[SRP PRICE])</f>
        <v>4600</v>
      </c>
      <c r="T5210" s="43">
        <f>表格1[[#This Row],[Unit Price]]/表格1[[#This Row],[SRP]]</f>
        <v>0.76956521739130435</v>
      </c>
      <c r="U5210" s="86" t="str">
        <f>_xlfn.XLOOKUP(表格1[[#This Row],[Model]],表格3[Model-Input-Ref2],表格3[TOSHIBA/HIGHEST])</f>
        <v>Shops Highest Price</v>
      </c>
      <c r="W5210" s="86" t="str">
        <f>_xlfn.CONCAT(表格1[[#This Row],[欄4]],表格1[[#This Row],[inv no]])</f>
        <v>4788</v>
      </c>
    </row>
    <row r="5211" spans="1:23" hidden="1">
      <c r="A5211" s="81">
        <v>5209</v>
      </c>
      <c r="B5211" s="86" t="s">
        <v>1470</v>
      </c>
      <c r="C5211" s="86" t="s">
        <v>2028</v>
      </c>
      <c r="D5211" s="89" t="str">
        <f ca="1">OFFSET(Roster!$A$3,MATCH(表格1[[#This Row],[Location]]&amp;" "&amp;表格1[[#This Row],[Shop]]&amp;"*",Roster!$A$4:$A$72,0),DAY(表格1[[#This Row],[date]]),1,1)</f>
        <v>Hung off</v>
      </c>
      <c r="E5211" s="86">
        <f>MONTH(表格1[[#This Row],[date]])</f>
        <v>3</v>
      </c>
      <c r="F5211" s="90">
        <v>46111</v>
      </c>
      <c r="G5211" s="86" t="str">
        <f>VLOOKUP("*"&amp;表格1[[#This Row],[Input]]&amp;"*",'Ref-List'!$B:$D,2,)</f>
        <v>CWF-07CRFN8-AD5</v>
      </c>
      <c r="H5211" s="86" t="str">
        <f>_xlfn.XLOOKUP(表格1[[#This Row],[Model]],表格3[Model-Input-Ref2],表格3[Product Line])</f>
        <v>Comfee 3/4匹變頻窗口式冷氣機</v>
      </c>
      <c r="I5211" s="86" t="str">
        <f>_xlfn.XLOOKUP(表格1[[#This Row],[Model]],表格3[Model-Input-Ref2],表格3[大小電])</f>
        <v>大電</v>
      </c>
      <c r="J5211" s="86" t="str">
        <f>_xlfn.XLOOKUP(表格1[[#This Row],[Model]],表格3[Model-Input-Ref2],表格3[Code])</f>
        <v>RAC</v>
      </c>
      <c r="K5211" s="89" t="s">
        <v>1769</v>
      </c>
      <c r="L5211" s="86">
        <v>3</v>
      </c>
      <c r="M5211" s="87">
        <v>2650</v>
      </c>
      <c r="N5211" s="87">
        <f>IFERROR(表格1[[#This Row],[QTY]]*表格1[[#This Row],[Unit Price]],"-")</f>
        <v>7950</v>
      </c>
      <c r="O5211" s="86">
        <v>6042</v>
      </c>
      <c r="R5211" s="86" t="str">
        <f>_xlfn.CONCAT(表格1[[#This Row],[Model]]," ",表格1[[#This Row],[inv no]])</f>
        <v>CWF-07CRFN8-AD5 6042</v>
      </c>
      <c r="S5211" s="86">
        <f>_xlfn.XLOOKUP(表格1[[#This Row],[Model]],表格3[Model-Input-Ref2],表格3[SRP PRICE])</f>
        <v>3800</v>
      </c>
      <c r="T5211" s="43">
        <f>表格1[[#This Row],[Unit Price]]/表格1[[#This Row],[SRP]]</f>
        <v>0.69736842105263153</v>
      </c>
      <c r="U5211" s="86" t="str">
        <f>_xlfn.XLOOKUP(表格1[[#This Row],[Model]],表格3[Model-Input-Ref2],表格3[TOSHIBA/HIGHEST])</f>
        <v>Shops Highest Price</v>
      </c>
      <c r="W5211" s="86" t="str">
        <f>_xlfn.CONCAT(表格1[[#This Row],[欄4]],表格1[[#This Row],[inv no]])</f>
        <v>6042</v>
      </c>
    </row>
    <row r="5212" spans="1:23" hidden="1">
      <c r="A5212" s="81">
        <v>5210</v>
      </c>
      <c r="B5212" s="86" t="s">
        <v>1470</v>
      </c>
      <c r="C5212" s="86" t="s">
        <v>2028</v>
      </c>
      <c r="D5212" s="89" t="str">
        <f ca="1">OFFSET(Roster!$A$3,MATCH(表格1[[#This Row],[Location]]&amp;" "&amp;表格1[[#This Row],[Shop]]&amp;"*",Roster!$A$4:$A$72,0),DAY(表格1[[#This Row],[date]]),1,1)</f>
        <v>Hung off</v>
      </c>
      <c r="E5212" s="86">
        <f>MONTH(表格1[[#This Row],[date]])</f>
        <v>3</v>
      </c>
      <c r="F5212" s="90">
        <v>46107</v>
      </c>
      <c r="G5212" s="86" t="str">
        <f>VLOOKUP("*"&amp;表格1[[#This Row],[Input]]&amp;"*",'Ref-List'!$B:$D,2,)</f>
        <v>CWF-18CRFN8-AD5</v>
      </c>
      <c r="H5212" s="86" t="str">
        <f>_xlfn.XLOOKUP(表格1[[#This Row],[Model]],表格3[Model-Input-Ref2],表格3[Product Line])</f>
        <v>Comfee 2匹變頻窗口式冷氣機</v>
      </c>
      <c r="I5212" s="86" t="str">
        <f>_xlfn.XLOOKUP(表格1[[#This Row],[Model]],表格3[Model-Input-Ref2],表格3[大小電])</f>
        <v>大電</v>
      </c>
      <c r="J5212" s="86" t="str">
        <f>_xlfn.XLOOKUP(表格1[[#This Row],[Model]],表格3[Model-Input-Ref2],表格3[Code])</f>
        <v>RAC</v>
      </c>
      <c r="K5212" s="89" t="s">
        <v>1970</v>
      </c>
      <c r="L5212" s="86">
        <v>1</v>
      </c>
      <c r="M5212" s="87">
        <v>4880</v>
      </c>
      <c r="N5212" s="87">
        <f>IFERROR(表格1[[#This Row],[QTY]]*表格1[[#This Row],[Unit Price]],"-")</f>
        <v>4880</v>
      </c>
      <c r="O5212" s="86">
        <v>5650</v>
      </c>
      <c r="R5212" s="86" t="str">
        <f>_xlfn.CONCAT(表格1[[#This Row],[Model]]," ",表格1[[#This Row],[inv no]])</f>
        <v>CWF-18CRFN8-AD5 5650</v>
      </c>
      <c r="S5212" s="86">
        <f>_xlfn.XLOOKUP(表格1[[#This Row],[Model]],表格3[Model-Input-Ref2],表格3[SRP PRICE])</f>
        <v>6600</v>
      </c>
      <c r="T5212" s="43">
        <f>表格1[[#This Row],[Unit Price]]/表格1[[#This Row],[SRP]]</f>
        <v>0.73939393939393938</v>
      </c>
      <c r="U5212" s="86" t="str">
        <f>_xlfn.XLOOKUP(表格1[[#This Row],[Model]],表格3[Model-Input-Ref2],表格3[TOSHIBA/HIGHEST])</f>
        <v>Shops Highest Price</v>
      </c>
      <c r="W5212" s="86" t="str">
        <f>_xlfn.CONCAT(表格1[[#This Row],[欄4]],表格1[[#This Row],[inv no]])</f>
        <v>5650</v>
      </c>
    </row>
    <row r="5213" spans="1:23" hidden="1">
      <c r="A5213" s="81">
        <v>5211</v>
      </c>
      <c r="B5213" s="86" t="s">
        <v>1470</v>
      </c>
      <c r="C5213" s="86" t="s">
        <v>2028</v>
      </c>
      <c r="D5213" s="89" t="str">
        <f ca="1">OFFSET(Roster!$A$3,MATCH(表格1[[#This Row],[Location]]&amp;" "&amp;表格1[[#This Row],[Shop]]&amp;"*",Roster!$A$4:$A$72,0),DAY(表格1[[#This Row],[date]]),1,1)</f>
        <v>Hung off</v>
      </c>
      <c r="E5213" s="86">
        <f>MONTH(表格1[[#This Row],[date]])</f>
        <v>3</v>
      </c>
      <c r="F5213" s="90">
        <v>46112</v>
      </c>
      <c r="G5213" s="86" t="str">
        <f>VLOOKUP("*"&amp;表格1[[#This Row],[Input]]&amp;"*",'Ref-List'!$B:$D,2,)</f>
        <v>CFW-07FF-H</v>
      </c>
      <c r="H5213" s="86" t="str">
        <f>_xlfn.XLOOKUP(表格1[[#This Row],[Model]],表格3[Model-Input-Ref2],表格3[Product Line])</f>
        <v>Comfee 窗口冷氣機</v>
      </c>
      <c r="I5213" s="86" t="str">
        <f>_xlfn.XLOOKUP(表格1[[#This Row],[Model]],表格3[Model-Input-Ref2],表格3[大小電])</f>
        <v>大電</v>
      </c>
      <c r="J5213" s="86" t="str">
        <f>_xlfn.XLOOKUP(表格1[[#This Row],[Model]],表格3[Model-Input-Ref2],表格3[Code])</f>
        <v>AC</v>
      </c>
      <c r="K5213" s="89" t="s">
        <v>2127</v>
      </c>
      <c r="L5213" s="86">
        <v>1</v>
      </c>
      <c r="M5213" s="87">
        <v>2338</v>
      </c>
      <c r="N5213" s="87">
        <f>IFERROR(表格1[[#This Row],[QTY]]*表格1[[#This Row],[Unit Price]],"-")</f>
        <v>2338</v>
      </c>
      <c r="O5213" s="86">
        <v>6171</v>
      </c>
      <c r="R5213" s="86" t="str">
        <f>_xlfn.CONCAT(表格1[[#This Row],[Model]]," ",表格1[[#This Row],[inv no]])</f>
        <v>CFW-07FF-H 6171</v>
      </c>
      <c r="S5213" s="86">
        <f>_xlfn.XLOOKUP(表格1[[#This Row],[Model]],表格3[Model-Input-Ref2],表格3[SRP PRICE])</f>
        <v>2880</v>
      </c>
      <c r="T5213" s="43">
        <f>表格1[[#This Row],[Unit Price]]/表格1[[#This Row],[SRP]]</f>
        <v>0.81180555555555556</v>
      </c>
      <c r="U5213" s="86" t="str">
        <f>_xlfn.XLOOKUP(表格1[[#This Row],[Model]],表格3[Model-Input-Ref2],表格3[TOSHIBA/HIGHEST])</f>
        <v>web SRP</v>
      </c>
      <c r="W5213" s="86" t="str">
        <f>_xlfn.CONCAT(表格1[[#This Row],[欄4]],表格1[[#This Row],[inv no]])</f>
        <v>6171</v>
      </c>
    </row>
    <row r="5214" spans="1:23" hidden="1">
      <c r="A5214" s="81">
        <v>5212</v>
      </c>
      <c r="B5214" s="86" t="s">
        <v>1470</v>
      </c>
      <c r="C5214" s="86" t="s">
        <v>2028</v>
      </c>
      <c r="D5214" s="89" t="str">
        <f ca="1">OFFSET(Roster!$A$3,MATCH(表格1[[#This Row],[Location]]&amp;" "&amp;表格1[[#This Row],[Shop]]&amp;"*",Roster!$A$4:$A$72,0),DAY(表格1[[#This Row],[date]]),1,1)</f>
        <v>Hung</v>
      </c>
      <c r="E5214" s="86">
        <f>MONTH(表格1[[#This Row],[date]])</f>
        <v>3</v>
      </c>
      <c r="F5214" s="90">
        <v>46082</v>
      </c>
      <c r="G5214" s="86" t="str">
        <f>VLOOKUP("*"&amp;表格1[[#This Row],[Input]]&amp;"*",'Ref-List'!$B:$D,2,)</f>
        <v>RAD-D300H</v>
      </c>
      <c r="H5214" s="86" t="str">
        <f>_xlfn.XLOOKUP(表格1[[#This Row],[Model]],表格3[Model-Input-Ref2],表格3[Product Line])</f>
        <v>壓縮式抽濕機 (30公升)</v>
      </c>
      <c r="I5214" s="86" t="str">
        <f>_xlfn.XLOOKUP(表格1[[#This Row],[Model]],表格3[Model-Input-Ref2],表格3[大小電])</f>
        <v>細電</v>
      </c>
      <c r="J5214" s="86" t="str">
        <f>_xlfn.XLOOKUP(表格1[[#This Row],[Model]],表格3[Model-Input-Ref2],表格3[Code])</f>
        <v>RAC</v>
      </c>
      <c r="K5214" s="89" t="s">
        <v>1252</v>
      </c>
      <c r="L5214" s="86">
        <v>1</v>
      </c>
      <c r="M5214" s="87">
        <v>1980</v>
      </c>
      <c r="N5214" s="87">
        <f>IFERROR(表格1[[#This Row],[QTY]]*表格1[[#This Row],[Unit Price]],"-")</f>
        <v>1980</v>
      </c>
      <c r="O5214" s="86">
        <v>3036</v>
      </c>
      <c r="R5214" s="86" t="str">
        <f>_xlfn.CONCAT(表格1[[#This Row],[Model]]," ",表格1[[#This Row],[inv no]])</f>
        <v>RAD-D300H 3036</v>
      </c>
      <c r="S5214" s="86">
        <f>_xlfn.XLOOKUP(表格1[[#This Row],[Model]],表格3[Model-Input-Ref2],表格3[SRP PRICE])</f>
        <v>3380</v>
      </c>
      <c r="T5214" s="43">
        <f>表格1[[#This Row],[Unit Price]]/表格1[[#This Row],[SRP]]</f>
        <v>0.58579881656804733</v>
      </c>
      <c r="U5214" s="86" t="str">
        <f>_xlfn.XLOOKUP(表格1[[#This Row],[Model]],表格3[Model-Input-Ref2],表格3[TOSHIBA/HIGHEST])</f>
        <v>Shops Highest Price</v>
      </c>
      <c r="W5214" s="86" t="str">
        <f>_xlfn.CONCAT(表格1[[#This Row],[欄4]],表格1[[#This Row],[inv no]])</f>
        <v>3036</v>
      </c>
    </row>
    <row r="5215" spans="1:23" hidden="1">
      <c r="A5215" s="81">
        <v>5213</v>
      </c>
      <c r="B5215" s="86" t="s">
        <v>1470</v>
      </c>
      <c r="C5215" s="86" t="s">
        <v>2028</v>
      </c>
      <c r="D5215" s="89" t="str">
        <f ca="1">OFFSET(Roster!$A$3,MATCH(表格1[[#This Row],[Location]]&amp;" "&amp;表格1[[#This Row],[Shop]]&amp;"*",Roster!$A$4:$A$72,0),DAY(表格1[[#This Row],[date]]),1,1)</f>
        <v>Hung</v>
      </c>
      <c r="E5215" s="86">
        <f>MONTH(表格1[[#This Row],[date]])</f>
        <v>3</v>
      </c>
      <c r="F5215" s="90">
        <v>46082</v>
      </c>
      <c r="G5215" s="86" t="str">
        <f>VLOOKUP("*"&amp;表格1[[#This Row],[Input]]&amp;"*",'Ref-List'!$B:$D,2,)</f>
        <v>RAD-D300H</v>
      </c>
      <c r="H5215" s="86" t="str">
        <f>_xlfn.XLOOKUP(表格1[[#This Row],[Model]],表格3[Model-Input-Ref2],表格3[Product Line])</f>
        <v>壓縮式抽濕機 (30公升)</v>
      </c>
      <c r="I5215" s="86" t="str">
        <f>_xlfn.XLOOKUP(表格1[[#This Row],[Model]],表格3[Model-Input-Ref2],表格3[大小電])</f>
        <v>細電</v>
      </c>
      <c r="J5215" s="86" t="str">
        <f>_xlfn.XLOOKUP(表格1[[#This Row],[Model]],表格3[Model-Input-Ref2],表格3[Code])</f>
        <v>RAC</v>
      </c>
      <c r="K5215" s="89" t="s">
        <v>1252</v>
      </c>
      <c r="L5215" s="86">
        <v>1</v>
      </c>
      <c r="M5215" s="87">
        <v>1980</v>
      </c>
      <c r="N5215" s="87">
        <f>IFERROR(表格1[[#This Row],[QTY]]*表格1[[#This Row],[Unit Price]],"-")</f>
        <v>1980</v>
      </c>
      <c r="O5215" s="86">
        <v>3144</v>
      </c>
      <c r="R5215" s="86" t="str">
        <f>_xlfn.CONCAT(表格1[[#This Row],[Model]]," ",表格1[[#This Row],[inv no]])</f>
        <v>RAD-D300H 3144</v>
      </c>
      <c r="S5215" s="86">
        <f>_xlfn.XLOOKUP(表格1[[#This Row],[Model]],表格3[Model-Input-Ref2],表格3[SRP PRICE])</f>
        <v>3380</v>
      </c>
      <c r="T5215" s="43">
        <f>表格1[[#This Row],[Unit Price]]/表格1[[#This Row],[SRP]]</f>
        <v>0.58579881656804733</v>
      </c>
      <c r="U5215" s="86" t="str">
        <f>_xlfn.XLOOKUP(表格1[[#This Row],[Model]],表格3[Model-Input-Ref2],表格3[TOSHIBA/HIGHEST])</f>
        <v>Shops Highest Price</v>
      </c>
      <c r="W5215" s="86" t="str">
        <f>_xlfn.CONCAT(表格1[[#This Row],[欄4]],表格1[[#This Row],[inv no]])</f>
        <v>3144</v>
      </c>
    </row>
    <row r="5216" spans="1:23" hidden="1">
      <c r="A5216" s="81">
        <v>5214</v>
      </c>
      <c r="B5216" s="86" t="s">
        <v>1470</v>
      </c>
      <c r="C5216" s="86" t="s">
        <v>2028</v>
      </c>
      <c r="D5216" s="89" t="str">
        <f ca="1">OFFSET(Roster!$A$3,MATCH(表格1[[#This Row],[Location]]&amp;" "&amp;表格1[[#This Row],[Shop]]&amp;"*",Roster!$A$4:$A$72,0),DAY(表格1[[#This Row],[date]]),1,1)</f>
        <v>Hung</v>
      </c>
      <c r="E5216" s="86">
        <f>MONTH(表格1[[#This Row],[date]])</f>
        <v>3</v>
      </c>
      <c r="F5216" s="90">
        <v>46082</v>
      </c>
      <c r="G5216" s="86" t="str">
        <f>VLOOKUP("*"&amp;表格1[[#This Row],[Input]]&amp;"*",'Ref-List'!$B:$D,2,)</f>
        <v>Model-Input-Ref2</v>
      </c>
      <c r="H5216" s="86" t="e">
        <f>_xlfn.XLOOKUP(表格1[[#This Row],[Model]],表格3[Model-Input-Ref2],表格3[Product Line])</f>
        <v>#N/A</v>
      </c>
      <c r="I5216" s="86" t="e">
        <f>_xlfn.XLOOKUP(表格1[[#This Row],[Model]],表格3[Model-Input-Ref2],表格3[大小電])</f>
        <v>#N/A</v>
      </c>
      <c r="J5216" s="86" t="e">
        <f>_xlfn.XLOOKUP(表格1[[#This Row],[Model]],表格3[Model-Input-Ref2],表格3[Code])</f>
        <v>#N/A</v>
      </c>
      <c r="N5216" s="87">
        <f>IFERROR(表格1[[#This Row],[QTY]]*表格1[[#This Row],[Unit Price]],"-")</f>
        <v>0</v>
      </c>
      <c r="P5216" s="86" t="s">
        <v>2478</v>
      </c>
      <c r="R5216" s="86" t="str">
        <f>_xlfn.CONCAT(表格1[[#This Row],[Model]]," ",表格1[[#This Row],[inv no]])</f>
        <v xml:space="preserve">Model-Input-Ref2 </v>
      </c>
      <c r="S5216" s="86" t="e">
        <f>_xlfn.XLOOKUP(表格1[[#This Row],[Model]],表格3[Model-Input-Ref2],表格3[SRP PRICE])</f>
        <v>#N/A</v>
      </c>
      <c r="T5216" s="43" t="e">
        <f>表格1[[#This Row],[Unit Price]]/表格1[[#This Row],[SRP]]</f>
        <v>#N/A</v>
      </c>
      <c r="U5216" s="86" t="e">
        <f>_xlfn.XLOOKUP(表格1[[#This Row],[Model]],表格3[Model-Input-Ref2],表格3[TOSHIBA/HIGHEST])</f>
        <v>#N/A</v>
      </c>
      <c r="W5216" s="86" t="str">
        <f>_xlfn.CONCAT(表格1[[#This Row],[欄4]],表格1[[#This Row],[inv no]])</f>
        <v/>
      </c>
    </row>
    <row r="5217" spans="1:23" hidden="1">
      <c r="A5217" s="81">
        <v>5215</v>
      </c>
      <c r="B5217" s="86" t="s">
        <v>1470</v>
      </c>
      <c r="C5217" s="86" t="s">
        <v>2028</v>
      </c>
      <c r="D5217" s="89" t="str">
        <f ca="1">OFFSET(Roster!$A$3,MATCH(表格1[[#This Row],[Location]]&amp;" "&amp;表格1[[#This Row],[Shop]]&amp;"*",Roster!$A$4:$A$72,0),DAY(表格1[[#This Row],[date]]),1,1)</f>
        <v>Hung</v>
      </c>
      <c r="E5217" s="86">
        <f>MONTH(表格1[[#This Row],[date]])</f>
        <v>3</v>
      </c>
      <c r="F5217" s="90">
        <v>46082</v>
      </c>
      <c r="G5217" s="86" t="str">
        <f>VLOOKUP("*"&amp;表格1[[#This Row],[Input]]&amp;"*",'Ref-List'!$B:$D,2,)</f>
        <v>Model-Input-Ref2</v>
      </c>
      <c r="H5217" s="86" t="e">
        <f>_xlfn.XLOOKUP(表格1[[#This Row],[Model]],表格3[Model-Input-Ref2],表格3[Product Line])</f>
        <v>#N/A</v>
      </c>
      <c r="I5217" s="86" t="e">
        <f>_xlfn.XLOOKUP(表格1[[#This Row],[Model]],表格3[Model-Input-Ref2],表格3[大小電])</f>
        <v>#N/A</v>
      </c>
      <c r="J5217" s="86" t="e">
        <f>_xlfn.XLOOKUP(表格1[[#This Row],[Model]],表格3[Model-Input-Ref2],表格3[Code])</f>
        <v>#N/A</v>
      </c>
      <c r="N5217" s="87">
        <f>IFERROR(表格1[[#This Row],[QTY]]*表格1[[#This Row],[Unit Price]],"-")</f>
        <v>0</v>
      </c>
      <c r="P5217" s="86" t="s">
        <v>2479</v>
      </c>
      <c r="R5217" s="86" t="str">
        <f>_xlfn.CONCAT(表格1[[#This Row],[Model]]," ",表格1[[#This Row],[inv no]])</f>
        <v xml:space="preserve">Model-Input-Ref2 </v>
      </c>
      <c r="S5217" s="86" t="e">
        <f>_xlfn.XLOOKUP(表格1[[#This Row],[Model]],表格3[Model-Input-Ref2],表格3[SRP PRICE])</f>
        <v>#N/A</v>
      </c>
      <c r="T5217" s="43" t="e">
        <f>表格1[[#This Row],[Unit Price]]/表格1[[#This Row],[SRP]]</f>
        <v>#N/A</v>
      </c>
      <c r="U5217" s="86" t="e">
        <f>_xlfn.XLOOKUP(表格1[[#This Row],[Model]],表格3[Model-Input-Ref2],表格3[TOSHIBA/HIGHEST])</f>
        <v>#N/A</v>
      </c>
      <c r="W5217" s="86" t="str">
        <f>_xlfn.CONCAT(表格1[[#This Row],[欄4]],表格1[[#This Row],[inv no]])</f>
        <v/>
      </c>
    </row>
    <row r="5218" spans="1:23" hidden="1">
      <c r="A5218" s="81">
        <v>5216</v>
      </c>
      <c r="B5218" s="86" t="s">
        <v>1470</v>
      </c>
      <c r="C5218" s="86" t="s">
        <v>2028</v>
      </c>
      <c r="D5218" s="89" t="str">
        <f ca="1">OFFSET(Roster!$A$3,MATCH(表格1[[#This Row],[Location]]&amp;" "&amp;表格1[[#This Row],[Shop]]&amp;"*",Roster!$A$4:$A$72,0),DAY(表格1[[#This Row],[date]]),1,1)</f>
        <v>Hung</v>
      </c>
      <c r="E5218" s="86">
        <f>MONTH(表格1[[#This Row],[date]])</f>
        <v>3</v>
      </c>
      <c r="F5218" s="90">
        <v>46082</v>
      </c>
      <c r="G5218" s="86" t="str">
        <f>VLOOKUP("*"&amp;表格1[[#This Row],[Input]]&amp;"*",'Ref-List'!$B:$D,2,)</f>
        <v>Model-Input-Ref2</v>
      </c>
      <c r="H5218" s="86" t="e">
        <f>_xlfn.XLOOKUP(表格1[[#This Row],[Model]],表格3[Model-Input-Ref2],表格3[Product Line])</f>
        <v>#N/A</v>
      </c>
      <c r="I5218" s="86" t="e">
        <f>_xlfn.XLOOKUP(表格1[[#This Row],[Model]],表格3[Model-Input-Ref2],表格3[大小電])</f>
        <v>#N/A</v>
      </c>
      <c r="J5218" s="86" t="e">
        <f>_xlfn.XLOOKUP(表格1[[#This Row],[Model]],表格3[Model-Input-Ref2],表格3[Code])</f>
        <v>#N/A</v>
      </c>
      <c r="N5218" s="87">
        <f>IFERROR(表格1[[#This Row],[QTY]]*表格1[[#This Row],[Unit Price]],"-")</f>
        <v>0</v>
      </c>
      <c r="P5218" s="86" t="s">
        <v>2477</v>
      </c>
      <c r="R5218" s="86" t="str">
        <f>_xlfn.CONCAT(表格1[[#This Row],[Model]]," ",表格1[[#This Row],[inv no]])</f>
        <v xml:space="preserve">Model-Input-Ref2 </v>
      </c>
      <c r="S5218" s="86" t="e">
        <f>_xlfn.XLOOKUP(表格1[[#This Row],[Model]],表格3[Model-Input-Ref2],表格3[SRP PRICE])</f>
        <v>#N/A</v>
      </c>
      <c r="T5218" s="43" t="e">
        <f>表格1[[#This Row],[Unit Price]]/表格1[[#This Row],[SRP]]</f>
        <v>#N/A</v>
      </c>
      <c r="U5218" s="86" t="e">
        <f>_xlfn.XLOOKUP(表格1[[#This Row],[Model]],表格3[Model-Input-Ref2],表格3[TOSHIBA/HIGHEST])</f>
        <v>#N/A</v>
      </c>
      <c r="W5218" s="86" t="str">
        <f>_xlfn.CONCAT(表格1[[#This Row],[欄4]],表格1[[#This Row],[inv no]])</f>
        <v/>
      </c>
    </row>
    <row r="5219" spans="1:23" hidden="1">
      <c r="A5219" s="81">
        <v>5217</v>
      </c>
      <c r="B5219" s="86" t="s">
        <v>1470</v>
      </c>
      <c r="C5219" s="86" t="s">
        <v>2028</v>
      </c>
      <c r="D5219" s="89" t="str">
        <f ca="1">OFFSET(Roster!$A$3,MATCH(表格1[[#This Row],[Location]]&amp;" "&amp;表格1[[#This Row],[Shop]]&amp;"*",Roster!$A$4:$A$72,0),DAY(表格1[[#This Row],[date]]),1,1)</f>
        <v>Hung</v>
      </c>
      <c r="E5219" s="86">
        <f>MONTH(表格1[[#This Row],[date]])</f>
        <v>3</v>
      </c>
      <c r="F5219" s="90">
        <v>46082</v>
      </c>
      <c r="G5219" s="86" t="str">
        <f>VLOOKUP("*"&amp;表格1[[#This Row],[Input]]&amp;"*",'Ref-List'!$B:$D,2,)</f>
        <v>RAD-D300H</v>
      </c>
      <c r="H5219" s="86" t="str">
        <f>_xlfn.XLOOKUP(表格1[[#This Row],[Model]],表格3[Model-Input-Ref2],表格3[Product Line])</f>
        <v>壓縮式抽濕機 (30公升)</v>
      </c>
      <c r="I5219" s="86" t="str">
        <f>_xlfn.XLOOKUP(表格1[[#This Row],[Model]],表格3[Model-Input-Ref2],表格3[大小電])</f>
        <v>細電</v>
      </c>
      <c r="J5219" s="86" t="str">
        <f>_xlfn.XLOOKUP(表格1[[#This Row],[Model]],表格3[Model-Input-Ref2],表格3[Code])</f>
        <v>RAC</v>
      </c>
      <c r="K5219" s="89" t="s">
        <v>1252</v>
      </c>
      <c r="L5219" s="86">
        <v>1</v>
      </c>
      <c r="M5219" s="87">
        <v>2180</v>
      </c>
      <c r="N5219" s="87">
        <f>IFERROR(表格1[[#This Row],[QTY]]*表格1[[#This Row],[Unit Price]],"-")</f>
        <v>2180</v>
      </c>
      <c r="O5219" s="86">
        <v>3215</v>
      </c>
      <c r="R5219" s="86" t="str">
        <f>_xlfn.CONCAT(表格1[[#This Row],[Model]]," ",表格1[[#This Row],[inv no]])</f>
        <v>RAD-D300H 3215</v>
      </c>
      <c r="S5219" s="86">
        <f>_xlfn.XLOOKUP(表格1[[#This Row],[Model]],表格3[Model-Input-Ref2],表格3[SRP PRICE])</f>
        <v>3380</v>
      </c>
      <c r="T5219" s="43">
        <f>表格1[[#This Row],[Unit Price]]/表格1[[#This Row],[SRP]]</f>
        <v>0.6449704142011834</v>
      </c>
      <c r="U5219" s="86" t="str">
        <f>_xlfn.XLOOKUP(表格1[[#This Row],[Model]],表格3[Model-Input-Ref2],表格3[TOSHIBA/HIGHEST])</f>
        <v>Shops Highest Price</v>
      </c>
      <c r="W5219" s="86" t="str">
        <f>_xlfn.CONCAT(表格1[[#This Row],[欄4]],表格1[[#This Row],[inv no]])</f>
        <v>3215</v>
      </c>
    </row>
    <row r="5220" spans="1:23" hidden="1">
      <c r="A5220" s="81">
        <v>5218</v>
      </c>
      <c r="B5220" s="86" t="s">
        <v>1470</v>
      </c>
      <c r="C5220" s="86" t="s">
        <v>2028</v>
      </c>
      <c r="D5220" s="89" t="str">
        <f ca="1">OFFSET(Roster!$A$3,MATCH(表格1[[#This Row],[Location]]&amp;" "&amp;表格1[[#This Row],[Shop]]&amp;"*",Roster!$A$4:$A$72,0),DAY(表格1[[#This Row],[date]]),1,1)</f>
        <v>Hung</v>
      </c>
      <c r="E5220" s="86">
        <f>MONTH(表格1[[#This Row],[date]])</f>
        <v>3</v>
      </c>
      <c r="F5220" s="90">
        <v>46082</v>
      </c>
      <c r="G5220" s="86" t="str">
        <f>VLOOKUP("*"&amp;表格1[[#This Row],[Input]]&amp;"*",'Ref-List'!$B:$D,2,)</f>
        <v>RAD-D300H</v>
      </c>
      <c r="H5220" s="86" t="str">
        <f>_xlfn.XLOOKUP(表格1[[#This Row],[Model]],表格3[Model-Input-Ref2],表格3[Product Line])</f>
        <v>壓縮式抽濕機 (30公升)</v>
      </c>
      <c r="I5220" s="86" t="str">
        <f>_xlfn.XLOOKUP(表格1[[#This Row],[Model]],表格3[Model-Input-Ref2],表格3[大小電])</f>
        <v>細電</v>
      </c>
      <c r="J5220" s="86" t="str">
        <f>_xlfn.XLOOKUP(表格1[[#This Row],[Model]],表格3[Model-Input-Ref2],表格3[Code])</f>
        <v>RAC</v>
      </c>
      <c r="K5220" s="89" t="s">
        <v>1252</v>
      </c>
      <c r="L5220" s="86">
        <v>1</v>
      </c>
      <c r="M5220" s="87">
        <v>1980</v>
      </c>
      <c r="N5220" s="87">
        <f>IFERROR(表格1[[#This Row],[QTY]]*表格1[[#This Row],[Unit Price]],"-")</f>
        <v>1980</v>
      </c>
      <c r="O5220" s="86">
        <v>3222</v>
      </c>
      <c r="R5220" s="86" t="str">
        <f>_xlfn.CONCAT(表格1[[#This Row],[Model]]," ",表格1[[#This Row],[inv no]])</f>
        <v>RAD-D300H 3222</v>
      </c>
      <c r="S5220" s="86">
        <f>_xlfn.XLOOKUP(表格1[[#This Row],[Model]],表格3[Model-Input-Ref2],表格3[SRP PRICE])</f>
        <v>3380</v>
      </c>
      <c r="T5220" s="43">
        <f>表格1[[#This Row],[Unit Price]]/表格1[[#This Row],[SRP]]</f>
        <v>0.58579881656804733</v>
      </c>
      <c r="U5220" s="86" t="str">
        <f>_xlfn.XLOOKUP(表格1[[#This Row],[Model]],表格3[Model-Input-Ref2],表格3[TOSHIBA/HIGHEST])</f>
        <v>Shops Highest Price</v>
      </c>
      <c r="W5220" s="86" t="str">
        <f>_xlfn.CONCAT(表格1[[#This Row],[欄4]],表格1[[#This Row],[inv no]])</f>
        <v>3222</v>
      </c>
    </row>
    <row r="5221" spans="1:23" hidden="1">
      <c r="A5221" s="81">
        <v>5219</v>
      </c>
      <c r="B5221" s="86" t="s">
        <v>1470</v>
      </c>
      <c r="C5221" s="86" t="s">
        <v>2028</v>
      </c>
      <c r="D5221" s="89" t="str">
        <f ca="1">OFFSET(Roster!$A$3,MATCH(表格1[[#This Row],[Location]]&amp;" "&amp;表格1[[#This Row],[Shop]]&amp;"*",Roster!$A$4:$A$72,0),DAY(表格1[[#This Row],[date]]),1,1)</f>
        <v>Hung</v>
      </c>
      <c r="E5221" s="86">
        <f>MONTH(表格1[[#This Row],[date]])</f>
        <v>3</v>
      </c>
      <c r="F5221" s="90">
        <v>46082</v>
      </c>
      <c r="G5221" s="86" t="str">
        <f>VLOOKUP("*"&amp;表格1[[#This Row],[Input]]&amp;"*",'Ref-List'!$B:$D,2,)</f>
        <v>KT-17SHNH</v>
      </c>
      <c r="H5221" s="86" t="str">
        <f>_xlfn.XLOOKUP(表格1[[#This Row],[Model]],表格3[Model-Input-Ref2],表格3[Product Line])</f>
        <v>1.7L無線雙層電熱水壺</v>
      </c>
      <c r="I5221" s="86" t="str">
        <f>_xlfn.XLOOKUP(表格1[[#This Row],[Model]],表格3[Model-Input-Ref2],表格3[大小電])</f>
        <v>細電</v>
      </c>
      <c r="J5221" s="86" t="str">
        <f>_xlfn.XLOOKUP(表格1[[#This Row],[Model]],表格3[Model-Input-Ref2],表格3[Code])</f>
        <v>SDA</v>
      </c>
      <c r="K5221" s="89" t="s">
        <v>1283</v>
      </c>
      <c r="L5221" s="86">
        <v>1</v>
      </c>
      <c r="M5221" s="87">
        <v>198</v>
      </c>
      <c r="N5221" s="87">
        <f>IFERROR(表格1[[#This Row],[QTY]]*表格1[[#This Row],[Unit Price]],"-")</f>
        <v>198</v>
      </c>
      <c r="O5221" s="86">
        <v>3245</v>
      </c>
      <c r="R5221" s="86" t="str">
        <f>_xlfn.CONCAT(表格1[[#This Row],[Model]]," ",表格1[[#This Row],[inv no]])</f>
        <v>KT-17SHNH 3245</v>
      </c>
      <c r="S5221" s="86">
        <f>_xlfn.XLOOKUP(表格1[[#This Row],[Model]],表格3[Model-Input-Ref2],表格3[SRP PRICE])</f>
        <v>299</v>
      </c>
      <c r="T5221" s="43">
        <f>表格1[[#This Row],[Unit Price]]/表格1[[#This Row],[SRP]]</f>
        <v>0.66220735785953178</v>
      </c>
      <c r="U5221" s="86" t="str">
        <f>_xlfn.XLOOKUP(表格1[[#This Row],[Model]],表格3[Model-Input-Ref2],表格3[TOSHIBA/HIGHEST])</f>
        <v>Shops Highest Price</v>
      </c>
      <c r="W5221" s="86" t="str">
        <f>_xlfn.CONCAT(表格1[[#This Row],[欄4]],表格1[[#This Row],[inv no]])</f>
        <v>3245</v>
      </c>
    </row>
    <row r="5222" spans="1:23" hidden="1">
      <c r="A5222" s="81">
        <v>5220</v>
      </c>
      <c r="B5222" s="86" t="s">
        <v>1470</v>
      </c>
      <c r="C5222" s="86" t="s">
        <v>2028</v>
      </c>
      <c r="D5222" s="89" t="str">
        <f ca="1">OFFSET(Roster!$A$3,MATCH(表格1[[#This Row],[Location]]&amp;" "&amp;表格1[[#This Row],[Shop]]&amp;"*",Roster!$A$4:$A$72,0),DAY(表格1[[#This Row],[date]]),1,1)</f>
        <v>Hung</v>
      </c>
      <c r="E5222" s="86">
        <f>MONTH(表格1[[#This Row],[date]])</f>
        <v>3</v>
      </c>
      <c r="F5222" s="90">
        <v>46082</v>
      </c>
      <c r="G5222" s="86" t="str">
        <f>VLOOKUP("*"&amp;表格1[[#This Row],[Input]]&amp;"*",'Ref-List'!$B:$D,2,)</f>
        <v>RC-10AMXH(W)</v>
      </c>
      <c r="H5222" s="86" t="str">
        <f>_xlfn.XLOOKUP(表格1[[#This Row],[Model]],表格3[Model-Input-Ref2],表格3[Product Line])</f>
        <v>酵活炊電飯煲(1.0公升)</v>
      </c>
      <c r="I5222" s="86" t="str">
        <f>_xlfn.XLOOKUP(表格1[[#This Row],[Model]],表格3[Model-Input-Ref2],表格3[大小電])</f>
        <v>細電</v>
      </c>
      <c r="J5222" s="86" t="str">
        <f>_xlfn.XLOOKUP(表格1[[#This Row],[Model]],表格3[Model-Input-Ref2],表格3[Code])</f>
        <v>SDA</v>
      </c>
      <c r="K5222" s="89" t="s">
        <v>1279</v>
      </c>
      <c r="L5222" s="86">
        <v>1</v>
      </c>
      <c r="M5222" s="87">
        <v>990</v>
      </c>
      <c r="N5222" s="87">
        <f>IFERROR(表格1[[#This Row],[QTY]]*表格1[[#This Row],[Unit Price]],"-")</f>
        <v>990</v>
      </c>
      <c r="O5222" s="86">
        <v>3246</v>
      </c>
      <c r="R5222" s="86" t="str">
        <f>_xlfn.CONCAT(表格1[[#This Row],[Model]]," ",表格1[[#This Row],[inv no]])</f>
        <v>RC-10AMXH(W) 3246</v>
      </c>
      <c r="S5222" s="86">
        <f>_xlfn.XLOOKUP(表格1[[#This Row],[Model]],表格3[Model-Input-Ref2],表格3[SRP PRICE])</f>
        <v>1288</v>
      </c>
      <c r="T5222" s="43">
        <f>表格1[[#This Row],[Unit Price]]/表格1[[#This Row],[SRP]]</f>
        <v>0.76863354037267084</v>
      </c>
      <c r="U5222" s="86" t="str">
        <f>_xlfn.XLOOKUP(表格1[[#This Row],[Model]],表格3[Model-Input-Ref2],表格3[TOSHIBA/HIGHEST])</f>
        <v>Toshiba SRP</v>
      </c>
      <c r="W5222" s="86" t="str">
        <f>_xlfn.CONCAT(表格1[[#This Row],[欄4]],表格1[[#This Row],[inv no]])</f>
        <v>3246</v>
      </c>
    </row>
    <row r="5223" spans="1:23" hidden="1">
      <c r="A5223" s="81">
        <v>5221</v>
      </c>
      <c r="B5223" s="86" t="s">
        <v>1470</v>
      </c>
      <c r="C5223" s="86" t="s">
        <v>2028</v>
      </c>
      <c r="D5223" s="89" t="str">
        <f ca="1">OFFSET(Roster!$A$3,MATCH(表格1[[#This Row],[Location]]&amp;" "&amp;表格1[[#This Row],[Shop]]&amp;"*",Roster!$A$4:$A$72,0),DAY(表格1[[#This Row],[date]]),1,1)</f>
        <v>Hung</v>
      </c>
      <c r="E5223" s="86">
        <f>MONTH(表格1[[#This Row],[date]])</f>
        <v>3</v>
      </c>
      <c r="F5223" s="90">
        <v>46083</v>
      </c>
      <c r="G5223" s="86" t="str">
        <f>VLOOKUP("*"&amp;表格1[[#This Row],[Input]]&amp;"*",'Ref-List'!$B:$D,2,)</f>
        <v>RAD-D300H</v>
      </c>
      <c r="H5223" s="86" t="str">
        <f>_xlfn.XLOOKUP(表格1[[#This Row],[Model]],表格3[Model-Input-Ref2],表格3[Product Line])</f>
        <v>壓縮式抽濕機 (30公升)</v>
      </c>
      <c r="I5223" s="86" t="str">
        <f>_xlfn.XLOOKUP(表格1[[#This Row],[Model]],表格3[Model-Input-Ref2],表格3[大小電])</f>
        <v>細電</v>
      </c>
      <c r="J5223" s="86" t="str">
        <f>_xlfn.XLOOKUP(表格1[[#This Row],[Model]],表格3[Model-Input-Ref2],表格3[Code])</f>
        <v>RAC</v>
      </c>
      <c r="K5223" s="89" t="s">
        <v>1252</v>
      </c>
      <c r="L5223" s="86">
        <v>1</v>
      </c>
      <c r="M5223" s="87">
        <v>1980</v>
      </c>
      <c r="N5223" s="87">
        <f>IFERROR(表格1[[#This Row],[QTY]]*表格1[[#This Row],[Unit Price]],"-")</f>
        <v>1980</v>
      </c>
      <c r="O5223" s="86">
        <v>3264</v>
      </c>
      <c r="R5223" s="86" t="str">
        <f>_xlfn.CONCAT(表格1[[#This Row],[Model]]," ",表格1[[#This Row],[inv no]])</f>
        <v>RAD-D300H 3264</v>
      </c>
      <c r="S5223" s="86">
        <f>_xlfn.XLOOKUP(表格1[[#This Row],[Model]],表格3[Model-Input-Ref2],表格3[SRP PRICE])</f>
        <v>3380</v>
      </c>
      <c r="T5223" s="43">
        <f>表格1[[#This Row],[Unit Price]]/表格1[[#This Row],[SRP]]</f>
        <v>0.58579881656804733</v>
      </c>
      <c r="U5223" s="86" t="str">
        <f>_xlfn.XLOOKUP(表格1[[#This Row],[Model]],表格3[Model-Input-Ref2],表格3[TOSHIBA/HIGHEST])</f>
        <v>Shops Highest Price</v>
      </c>
      <c r="W5223" s="86" t="str">
        <f>_xlfn.CONCAT(表格1[[#This Row],[欄4]],表格1[[#This Row],[inv no]])</f>
        <v>3264</v>
      </c>
    </row>
    <row r="5224" spans="1:23" hidden="1">
      <c r="A5224" s="81">
        <v>5222</v>
      </c>
      <c r="B5224" s="86" t="s">
        <v>1470</v>
      </c>
      <c r="C5224" s="86" t="s">
        <v>2028</v>
      </c>
      <c r="D5224" s="89" t="str">
        <f ca="1">OFFSET(Roster!$A$3,MATCH(表格1[[#This Row],[Location]]&amp;" "&amp;表格1[[#This Row],[Shop]]&amp;"*",Roster!$A$4:$A$72,0),DAY(表格1[[#This Row],[date]]),1,1)</f>
        <v>Hung</v>
      </c>
      <c r="E5224" s="86">
        <f>MONTH(表格1[[#This Row],[date]])</f>
        <v>3</v>
      </c>
      <c r="F5224" s="90">
        <v>46083</v>
      </c>
      <c r="G5224" s="86" t="str">
        <f>VLOOKUP("*"&amp;表格1[[#This Row],[Input]]&amp;"*",'Ref-List'!$B:$D,2,)</f>
        <v>GR-RM352WI-PMA(53)</v>
      </c>
      <c r="H5224" s="86" t="str">
        <f>_xlfn.XLOOKUP(表格1[[#This Row],[Model]],表格3[Model-Input-Ref2],表格3[Product Line])</f>
        <v>變頻三門雪櫃 (233L)</v>
      </c>
      <c r="I5224" s="86" t="str">
        <f>_xlfn.XLOOKUP(表格1[[#This Row],[Model]],表格3[Model-Input-Ref2],表格3[大小電])</f>
        <v>大電</v>
      </c>
      <c r="J5224" s="86" t="str">
        <f>_xlfn.XLOOKUP(表格1[[#This Row],[Model]],表格3[Model-Input-Ref2],表格3[Code])</f>
        <v>REF</v>
      </c>
      <c r="K5224" s="89" t="s">
        <v>1495</v>
      </c>
      <c r="L5224" s="86">
        <v>1</v>
      </c>
      <c r="M5224" s="87">
        <v>3470</v>
      </c>
      <c r="N5224" s="87">
        <f>IFERROR(表格1[[#This Row],[QTY]]*表格1[[#This Row],[Unit Price]],"-")</f>
        <v>3470</v>
      </c>
      <c r="O5224" s="86">
        <v>3272</v>
      </c>
      <c r="R5224" s="86" t="str">
        <f>_xlfn.CONCAT(表格1[[#This Row],[Model]]," ",表格1[[#This Row],[inv no]])</f>
        <v>GR-RM352WI-PMA(53) 3272</v>
      </c>
      <c r="S5224" s="86">
        <f>_xlfn.XLOOKUP(表格1[[#This Row],[Model]],表格3[Model-Input-Ref2],表格3[SRP PRICE])</f>
        <v>5580</v>
      </c>
      <c r="T5224" s="43">
        <f>表格1[[#This Row],[Unit Price]]/表格1[[#This Row],[SRP]]</f>
        <v>0.62186379928315416</v>
      </c>
      <c r="U5224" s="86" t="str">
        <f>_xlfn.XLOOKUP(表格1[[#This Row],[Model]],表格3[Model-Input-Ref2],表格3[TOSHIBA/HIGHEST])</f>
        <v>Toshiba SRP</v>
      </c>
      <c r="W5224" s="86" t="str">
        <f>_xlfn.CONCAT(表格1[[#This Row],[欄4]],表格1[[#This Row],[inv no]])</f>
        <v>3272</v>
      </c>
    </row>
    <row r="5225" spans="1:23" hidden="1">
      <c r="A5225" s="81">
        <v>5223</v>
      </c>
      <c r="B5225" s="86" t="s">
        <v>1470</v>
      </c>
      <c r="C5225" s="86" t="s">
        <v>2028</v>
      </c>
      <c r="D5225" s="89" t="str">
        <f ca="1">OFFSET(Roster!$A$3,MATCH(表格1[[#This Row],[Location]]&amp;" "&amp;表格1[[#This Row],[Shop]]&amp;"*",Roster!$A$4:$A$72,0),DAY(表格1[[#This Row],[date]]),1,1)</f>
        <v>Hung</v>
      </c>
      <c r="E5225" s="86">
        <f>MONTH(表格1[[#This Row],[date]])</f>
        <v>3</v>
      </c>
      <c r="F5225" s="90">
        <v>46083</v>
      </c>
      <c r="G5225" s="86" t="str">
        <f>VLOOKUP("*"&amp;表格1[[#This Row],[Input]]&amp;"*",'Ref-List'!$B:$D,2,)</f>
        <v>RAD-D300H</v>
      </c>
      <c r="H5225" s="86" t="str">
        <f>_xlfn.XLOOKUP(表格1[[#This Row],[Model]],表格3[Model-Input-Ref2],表格3[Product Line])</f>
        <v>壓縮式抽濕機 (30公升)</v>
      </c>
      <c r="I5225" s="86" t="str">
        <f>_xlfn.XLOOKUP(表格1[[#This Row],[Model]],表格3[Model-Input-Ref2],表格3[大小電])</f>
        <v>細電</v>
      </c>
      <c r="J5225" s="86" t="str">
        <f>_xlfn.XLOOKUP(表格1[[#This Row],[Model]],表格3[Model-Input-Ref2],表格3[Code])</f>
        <v>RAC</v>
      </c>
      <c r="K5225" s="89" t="s">
        <v>1252</v>
      </c>
      <c r="L5225" s="86">
        <v>1</v>
      </c>
      <c r="M5225" s="87">
        <v>1980</v>
      </c>
      <c r="N5225" s="87">
        <f>IFERROR(表格1[[#This Row],[QTY]]*表格1[[#This Row],[Unit Price]],"-")</f>
        <v>1980</v>
      </c>
      <c r="O5225" s="86">
        <v>3275</v>
      </c>
      <c r="R5225" s="86" t="str">
        <f>_xlfn.CONCAT(表格1[[#This Row],[Model]]," ",表格1[[#This Row],[inv no]])</f>
        <v>RAD-D300H 3275</v>
      </c>
      <c r="S5225" s="86">
        <f>_xlfn.XLOOKUP(表格1[[#This Row],[Model]],表格3[Model-Input-Ref2],表格3[SRP PRICE])</f>
        <v>3380</v>
      </c>
      <c r="T5225" s="43">
        <f>表格1[[#This Row],[Unit Price]]/表格1[[#This Row],[SRP]]</f>
        <v>0.58579881656804733</v>
      </c>
      <c r="U5225" s="86" t="str">
        <f>_xlfn.XLOOKUP(表格1[[#This Row],[Model]],表格3[Model-Input-Ref2],表格3[TOSHIBA/HIGHEST])</f>
        <v>Shops Highest Price</v>
      </c>
      <c r="W5225" s="86" t="str">
        <f>_xlfn.CONCAT(表格1[[#This Row],[欄4]],表格1[[#This Row],[inv no]])</f>
        <v>3275</v>
      </c>
    </row>
    <row r="5226" spans="1:23" hidden="1">
      <c r="A5226" s="81">
        <v>5224</v>
      </c>
      <c r="B5226" s="86" t="s">
        <v>1470</v>
      </c>
      <c r="C5226" s="86" t="s">
        <v>2028</v>
      </c>
      <c r="D5226" s="89" t="str">
        <f ca="1">OFFSET(Roster!$A$3,MATCH(表格1[[#This Row],[Location]]&amp;" "&amp;表格1[[#This Row],[Shop]]&amp;"*",Roster!$A$4:$A$72,0),DAY(表格1[[#This Row],[date]]),1,1)</f>
        <v>Hung</v>
      </c>
      <c r="E5226" s="86">
        <f>MONTH(表格1[[#This Row],[date]])</f>
        <v>3</v>
      </c>
      <c r="F5226" s="90">
        <v>46083</v>
      </c>
      <c r="G5226" s="86" t="str">
        <f>VLOOKUP("*"&amp;表格1[[#This Row],[Input]]&amp;"*",'Ref-List'!$B:$D,2,)</f>
        <v>RAD-D200H</v>
      </c>
      <c r="H5226" s="86" t="str">
        <f>_xlfn.XLOOKUP(表格1[[#This Row],[Model]],表格3[Model-Input-Ref2],表格3[Product Line])</f>
        <v>壓縮式抽濕機 (22公升)</v>
      </c>
      <c r="I5226" s="86" t="str">
        <f>_xlfn.XLOOKUP(表格1[[#This Row],[Model]],表格3[Model-Input-Ref2],表格3[大小電])</f>
        <v>細電</v>
      </c>
      <c r="J5226" s="86" t="str">
        <f>_xlfn.XLOOKUP(表格1[[#This Row],[Model]],表格3[Model-Input-Ref2],表格3[Code])</f>
        <v>RAC</v>
      </c>
      <c r="K5226" s="89" t="s">
        <v>1250</v>
      </c>
      <c r="L5226" s="86">
        <v>1</v>
      </c>
      <c r="M5226" s="87">
        <v>1940</v>
      </c>
      <c r="N5226" s="87">
        <f>IFERROR(表格1[[#This Row],[QTY]]*表格1[[#This Row],[Unit Price]],"-")</f>
        <v>1940</v>
      </c>
      <c r="O5226" s="86">
        <v>3277</v>
      </c>
      <c r="R5226" s="86" t="str">
        <f>_xlfn.CONCAT(表格1[[#This Row],[Model]]," ",表格1[[#This Row],[inv no]])</f>
        <v>RAD-D200H 3277</v>
      </c>
      <c r="S5226" s="86">
        <f>_xlfn.XLOOKUP(表格1[[#This Row],[Model]],表格3[Model-Input-Ref2],表格3[SRP PRICE])</f>
        <v>2880</v>
      </c>
      <c r="T5226" s="43">
        <f>表格1[[#This Row],[Unit Price]]/表格1[[#This Row],[SRP]]</f>
        <v>0.67361111111111116</v>
      </c>
      <c r="U5226" s="86" t="str">
        <f>_xlfn.XLOOKUP(表格1[[#This Row],[Model]],表格3[Model-Input-Ref2],表格3[TOSHIBA/HIGHEST])</f>
        <v>Shops Highest Price</v>
      </c>
      <c r="W5226" s="86" t="str">
        <f>_xlfn.CONCAT(表格1[[#This Row],[欄4]],表格1[[#This Row],[inv no]])</f>
        <v>3277</v>
      </c>
    </row>
    <row r="5227" spans="1:23" hidden="1">
      <c r="A5227" s="81">
        <v>5225</v>
      </c>
      <c r="B5227" s="86" t="s">
        <v>1470</v>
      </c>
      <c r="C5227" s="86" t="s">
        <v>2028</v>
      </c>
      <c r="D5227" s="89" t="str">
        <f ca="1">OFFSET(Roster!$A$3,MATCH(表格1[[#This Row],[Location]]&amp;" "&amp;表格1[[#This Row],[Shop]]&amp;"*",Roster!$A$4:$A$72,0),DAY(表格1[[#This Row],[date]]),1,1)</f>
        <v>Hung</v>
      </c>
      <c r="E5227" s="86">
        <f>MONTH(表格1[[#This Row],[date]])</f>
        <v>3</v>
      </c>
      <c r="F5227" s="90">
        <v>46084</v>
      </c>
      <c r="G5227" s="86" t="str">
        <f>VLOOKUP("*"&amp;表格1[[#This Row],[Input]]&amp;"*",'Ref-List'!$B:$D,2,)</f>
        <v>MX2-STR25SC(WH)</v>
      </c>
      <c r="H5227" s="86" t="str">
        <f>_xlfn.XLOOKUP(表格1[[#This Row],[Model]],表格3[Model-Input-Ref2],表格3[Product Line])</f>
        <v>4合1氣炸微波蒸焗爐(25公升)</v>
      </c>
      <c r="I5227" s="86" t="str">
        <f>_xlfn.XLOOKUP(表格1[[#This Row],[Model]],表格3[Model-Input-Ref2],表格3[大小電])</f>
        <v>細電</v>
      </c>
      <c r="J5227" s="86" t="str">
        <f>_xlfn.XLOOKUP(表格1[[#This Row],[Model]],表格3[Model-Input-Ref2],表格3[Code])</f>
        <v>MCA</v>
      </c>
      <c r="K5227" s="89" t="s">
        <v>1410</v>
      </c>
      <c r="L5227" s="86">
        <v>1</v>
      </c>
      <c r="M5227" s="87">
        <v>3250</v>
      </c>
      <c r="N5227" s="87">
        <f>IFERROR(表格1[[#This Row],[QTY]]*表格1[[#This Row],[Unit Price]],"-")</f>
        <v>3250</v>
      </c>
      <c r="O5227" s="86">
        <v>3306</v>
      </c>
      <c r="R5227" s="86" t="str">
        <f>_xlfn.CONCAT(表格1[[#This Row],[Model]]," ",表格1[[#This Row],[inv no]])</f>
        <v>MX2-STR25SC(WH) 3306</v>
      </c>
      <c r="S5227" s="86">
        <f>_xlfn.XLOOKUP(表格1[[#This Row],[Model]],表格3[Model-Input-Ref2],表格3[SRP PRICE])</f>
        <v>4998</v>
      </c>
      <c r="T5227" s="43">
        <f>表格1[[#This Row],[Unit Price]]/表格1[[#This Row],[SRP]]</f>
        <v>0.6502601040416166</v>
      </c>
      <c r="U5227" s="86" t="str">
        <f>_xlfn.XLOOKUP(表格1[[#This Row],[Model]],表格3[Model-Input-Ref2],表格3[TOSHIBA/HIGHEST])</f>
        <v>Toshiba SRP</v>
      </c>
      <c r="W5227" s="86" t="str">
        <f>_xlfn.CONCAT(表格1[[#This Row],[欄4]],表格1[[#This Row],[inv no]])</f>
        <v>3306</v>
      </c>
    </row>
    <row r="5228" spans="1:23" hidden="1">
      <c r="A5228" s="81">
        <v>5226</v>
      </c>
      <c r="B5228" s="86" t="s">
        <v>1470</v>
      </c>
      <c r="C5228" s="86" t="s">
        <v>2028</v>
      </c>
      <c r="D5228" s="89" t="str">
        <f ca="1">OFFSET(Roster!$A$3,MATCH(表格1[[#This Row],[Location]]&amp;" "&amp;表格1[[#This Row],[Shop]]&amp;"*",Roster!$A$4:$A$72,0),DAY(表格1[[#This Row],[date]]),1,1)</f>
        <v>Hung</v>
      </c>
      <c r="E5228" s="86">
        <f>MONTH(表格1[[#This Row],[date]])</f>
        <v>3</v>
      </c>
      <c r="F5228" s="90">
        <v>46084</v>
      </c>
      <c r="G5228" s="86" t="str">
        <f>VLOOKUP("*"&amp;表格1[[#This Row],[Input]]&amp;"*",'Ref-List'!$B:$D,2,)</f>
        <v>MW3-SAC24SE(BK)</v>
      </c>
      <c r="H5228" s="86" t="str">
        <f>_xlfn.XLOOKUP(表格1[[#This Row],[Model]],表格3[Model-Input-Ref2],表格3[Product Line])</f>
        <v>智能氣炸烤焗爐(24公升)</v>
      </c>
      <c r="I5228" s="86" t="str">
        <f>_xlfn.XLOOKUP(表格1[[#This Row],[Model]],表格3[Model-Input-Ref2],表格3[大小電])</f>
        <v>細電</v>
      </c>
      <c r="J5228" s="86" t="str">
        <f>_xlfn.XLOOKUP(表格1[[#This Row],[Model]],表格3[Model-Input-Ref2],表格3[Code])</f>
        <v>MCA</v>
      </c>
      <c r="K5228" s="89" t="s">
        <v>1274</v>
      </c>
      <c r="L5228" s="86">
        <v>1</v>
      </c>
      <c r="M5228" s="87">
        <v>1298</v>
      </c>
      <c r="N5228" s="87">
        <f>IFERROR(表格1[[#This Row],[QTY]]*表格1[[#This Row],[Unit Price]],"-")</f>
        <v>1298</v>
      </c>
      <c r="O5228" s="86">
        <v>3337</v>
      </c>
      <c r="R5228" s="86" t="str">
        <f>_xlfn.CONCAT(表格1[[#This Row],[Model]]," ",表格1[[#This Row],[inv no]])</f>
        <v>MW3-SAC24SE(BK) 3337</v>
      </c>
      <c r="S5228" s="86">
        <f>_xlfn.XLOOKUP(表格1[[#This Row],[Model]],表格3[Model-Input-Ref2],表格3[SRP PRICE])</f>
        <v>1680</v>
      </c>
      <c r="T5228" s="43">
        <f>表格1[[#This Row],[Unit Price]]/表格1[[#This Row],[SRP]]</f>
        <v>0.77261904761904765</v>
      </c>
      <c r="U5228" s="86" t="str">
        <f>_xlfn.XLOOKUP(表格1[[#This Row],[Model]],表格3[Model-Input-Ref2],表格3[TOSHIBA/HIGHEST])</f>
        <v>Toshiba SRP</v>
      </c>
      <c r="W5228" s="86" t="str">
        <f>_xlfn.CONCAT(表格1[[#This Row],[欄4]],表格1[[#This Row],[inv no]])</f>
        <v>3337</v>
      </c>
    </row>
    <row r="5229" spans="1:23" hidden="1">
      <c r="A5229" s="81">
        <v>5227</v>
      </c>
      <c r="B5229" s="86" t="s">
        <v>1470</v>
      </c>
      <c r="C5229" s="86" t="s">
        <v>2028</v>
      </c>
      <c r="D5229" s="89" t="str">
        <f ca="1">OFFSET(Roster!$A$3,MATCH(表格1[[#This Row],[Location]]&amp;" "&amp;表格1[[#This Row],[Shop]]&amp;"*",Roster!$A$4:$A$72,0),DAY(表格1[[#This Row],[date]]),1,1)</f>
        <v>Hung</v>
      </c>
      <c r="E5229" s="86">
        <f>MONTH(表格1[[#This Row],[date]])</f>
        <v>3</v>
      </c>
      <c r="F5229" s="90">
        <v>46084</v>
      </c>
      <c r="G5229" s="86" t="str">
        <f>VLOOKUP("*"&amp;表格1[[#This Row],[Input]]&amp;"*",'Ref-List'!$B:$D,2,)</f>
        <v>RAD-D300H</v>
      </c>
      <c r="H5229" s="86" t="str">
        <f>_xlfn.XLOOKUP(表格1[[#This Row],[Model]],表格3[Model-Input-Ref2],表格3[Product Line])</f>
        <v>壓縮式抽濕機 (30公升)</v>
      </c>
      <c r="I5229" s="86" t="str">
        <f>_xlfn.XLOOKUP(表格1[[#This Row],[Model]],表格3[Model-Input-Ref2],表格3[大小電])</f>
        <v>細電</v>
      </c>
      <c r="J5229" s="86" t="str">
        <f>_xlfn.XLOOKUP(表格1[[#This Row],[Model]],表格3[Model-Input-Ref2],表格3[Code])</f>
        <v>RAC</v>
      </c>
      <c r="K5229" s="89" t="s">
        <v>1252</v>
      </c>
      <c r="L5229" s="86">
        <v>1</v>
      </c>
      <c r="M5229" s="87">
        <v>1980</v>
      </c>
      <c r="N5229" s="87">
        <f>IFERROR(表格1[[#This Row],[QTY]]*表格1[[#This Row],[Unit Price]],"-")</f>
        <v>1980</v>
      </c>
      <c r="O5229" s="86">
        <v>3350</v>
      </c>
      <c r="R5229" s="86" t="str">
        <f>_xlfn.CONCAT(表格1[[#This Row],[Model]]," ",表格1[[#This Row],[inv no]])</f>
        <v>RAD-D300H 3350</v>
      </c>
      <c r="S5229" s="86">
        <f>_xlfn.XLOOKUP(表格1[[#This Row],[Model]],表格3[Model-Input-Ref2],表格3[SRP PRICE])</f>
        <v>3380</v>
      </c>
      <c r="T5229" s="43">
        <f>表格1[[#This Row],[Unit Price]]/表格1[[#This Row],[SRP]]</f>
        <v>0.58579881656804733</v>
      </c>
      <c r="U5229" s="86" t="str">
        <f>_xlfn.XLOOKUP(表格1[[#This Row],[Model]],表格3[Model-Input-Ref2],表格3[TOSHIBA/HIGHEST])</f>
        <v>Shops Highest Price</v>
      </c>
      <c r="W5229" s="86" t="str">
        <f>_xlfn.CONCAT(表格1[[#This Row],[欄4]],表格1[[#This Row],[inv no]])</f>
        <v>3350</v>
      </c>
    </row>
    <row r="5230" spans="1:23" hidden="1">
      <c r="A5230" s="81">
        <v>5228</v>
      </c>
      <c r="B5230" s="86" t="s">
        <v>1470</v>
      </c>
      <c r="C5230" s="86" t="s">
        <v>2028</v>
      </c>
      <c r="D5230" s="89" t="str">
        <f ca="1">OFFSET(Roster!$A$3,MATCH(表格1[[#This Row],[Location]]&amp;" "&amp;表格1[[#This Row],[Shop]]&amp;"*",Roster!$A$4:$A$72,0),DAY(表格1[[#This Row],[date]]),1,1)</f>
        <v>Hung</v>
      </c>
      <c r="E5230" s="86">
        <f>MONTH(表格1[[#This Row],[date]])</f>
        <v>3</v>
      </c>
      <c r="F5230" s="90">
        <v>46084</v>
      </c>
      <c r="G5230" s="86" t="str">
        <f>VLOOKUP("*"&amp;表格1[[#This Row],[Input]]&amp;"*",'Ref-List'!$B:$D,2,)</f>
        <v>AW-Q901BPH(WW)</v>
      </c>
      <c r="H5230" s="86" t="str">
        <f>_xlfn.XLOOKUP(表格1[[#This Row],[Model]],表格3[Model-Input-Ref2],表格3[Product Line])</f>
        <v>日式洗衣機 (8公斤 結合高低水位)</v>
      </c>
      <c r="I5230" s="86" t="str">
        <f>_xlfn.XLOOKUP(表格1[[#This Row],[Model]],表格3[Model-Input-Ref2],表格3[大小電])</f>
        <v>大電</v>
      </c>
      <c r="J5230" s="86" t="str">
        <f>_xlfn.XLOOKUP(表格1[[#This Row],[Model]],表格3[Model-Input-Ref2],表格3[Code])</f>
        <v>LAD</v>
      </c>
      <c r="K5230" s="89" t="s">
        <v>1411</v>
      </c>
      <c r="L5230" s="86">
        <v>1</v>
      </c>
      <c r="M5230" s="87">
        <v>2280</v>
      </c>
      <c r="N5230" s="87">
        <f>IFERROR(表格1[[#This Row],[QTY]]*表格1[[#This Row],[Unit Price]],"-")</f>
        <v>2280</v>
      </c>
      <c r="O5230" s="86">
        <v>3387</v>
      </c>
      <c r="R5230" s="86" t="str">
        <f>_xlfn.CONCAT(表格1[[#This Row],[Model]]," ",表格1[[#This Row],[inv no]])</f>
        <v>AW-Q901BPH(WW) 3387</v>
      </c>
      <c r="S5230" s="86">
        <f>_xlfn.XLOOKUP(表格1[[#This Row],[Model]],表格3[Model-Input-Ref2],表格3[SRP PRICE])</f>
        <v>3780</v>
      </c>
      <c r="T5230" s="43">
        <f>表格1[[#This Row],[Unit Price]]/表格1[[#This Row],[SRP]]</f>
        <v>0.60317460317460314</v>
      </c>
      <c r="U5230" s="86" t="str">
        <f>_xlfn.XLOOKUP(表格1[[#This Row],[Model]],表格3[Model-Input-Ref2],表格3[TOSHIBA/HIGHEST])</f>
        <v>Toshiba SRP</v>
      </c>
      <c r="W5230" s="86" t="str">
        <f>_xlfn.CONCAT(表格1[[#This Row],[欄4]],表格1[[#This Row],[inv no]])</f>
        <v>3387</v>
      </c>
    </row>
    <row r="5231" spans="1:23" hidden="1">
      <c r="A5231" s="81">
        <v>5229</v>
      </c>
      <c r="B5231" s="86" t="s">
        <v>1470</v>
      </c>
      <c r="C5231" s="86" t="s">
        <v>2028</v>
      </c>
      <c r="D5231" s="89" t="str">
        <f ca="1">OFFSET(Roster!$A$3,MATCH(表格1[[#This Row],[Location]]&amp;" "&amp;表格1[[#This Row],[Shop]]&amp;"*",Roster!$A$4:$A$72,0),DAY(表格1[[#This Row],[date]]),1,1)</f>
        <v>Hung</v>
      </c>
      <c r="E5231" s="86">
        <f>MONTH(表格1[[#This Row],[date]])</f>
        <v>3</v>
      </c>
      <c r="F5231" s="90">
        <v>46084</v>
      </c>
      <c r="G5231" s="86" t="str">
        <f>VLOOKUP("*"&amp;表格1[[#This Row],[Input]]&amp;"*",'Ref-List'!$B:$D,2,)</f>
        <v>RAD-D300H</v>
      </c>
      <c r="H5231" s="86" t="str">
        <f>_xlfn.XLOOKUP(表格1[[#This Row],[Model]],表格3[Model-Input-Ref2],表格3[Product Line])</f>
        <v>壓縮式抽濕機 (30公升)</v>
      </c>
      <c r="I5231" s="86" t="str">
        <f>_xlfn.XLOOKUP(表格1[[#This Row],[Model]],表格3[Model-Input-Ref2],表格3[大小電])</f>
        <v>細電</v>
      </c>
      <c r="J5231" s="86" t="str">
        <f>_xlfn.XLOOKUP(表格1[[#This Row],[Model]],表格3[Model-Input-Ref2],表格3[Code])</f>
        <v>RAC</v>
      </c>
      <c r="K5231" s="89" t="s">
        <v>1252</v>
      </c>
      <c r="L5231" s="86">
        <v>1</v>
      </c>
      <c r="M5231" s="87">
        <v>1980</v>
      </c>
      <c r="N5231" s="87">
        <f>IFERROR(表格1[[#This Row],[QTY]]*表格1[[#This Row],[Unit Price]],"-")</f>
        <v>1980</v>
      </c>
      <c r="O5231" s="86">
        <v>3400</v>
      </c>
      <c r="R5231" s="86" t="str">
        <f>_xlfn.CONCAT(表格1[[#This Row],[Model]]," ",表格1[[#This Row],[inv no]])</f>
        <v>RAD-D300H 3400</v>
      </c>
      <c r="S5231" s="86">
        <f>_xlfn.XLOOKUP(表格1[[#This Row],[Model]],表格3[Model-Input-Ref2],表格3[SRP PRICE])</f>
        <v>3380</v>
      </c>
      <c r="T5231" s="43">
        <f>表格1[[#This Row],[Unit Price]]/表格1[[#This Row],[SRP]]</f>
        <v>0.58579881656804733</v>
      </c>
      <c r="U5231" s="86" t="str">
        <f>_xlfn.XLOOKUP(表格1[[#This Row],[Model]],表格3[Model-Input-Ref2],表格3[TOSHIBA/HIGHEST])</f>
        <v>Shops Highest Price</v>
      </c>
      <c r="W5231" s="86" t="str">
        <f>_xlfn.CONCAT(表格1[[#This Row],[欄4]],表格1[[#This Row],[inv no]])</f>
        <v>3400</v>
      </c>
    </row>
    <row r="5232" spans="1:23" hidden="1">
      <c r="A5232" s="81">
        <v>5230</v>
      </c>
      <c r="B5232" s="86" t="s">
        <v>1470</v>
      </c>
      <c r="C5232" s="86" t="s">
        <v>2028</v>
      </c>
      <c r="D5232" s="89" t="str">
        <f ca="1">OFFSET(Roster!$A$3,MATCH(表格1[[#This Row],[Location]]&amp;" "&amp;表格1[[#This Row],[Shop]]&amp;"*",Roster!$A$4:$A$72,0),DAY(表格1[[#This Row],[date]]),1,1)</f>
        <v>Hung</v>
      </c>
      <c r="E5232" s="86">
        <f>MONTH(表格1[[#This Row],[date]])</f>
        <v>3</v>
      </c>
      <c r="F5232" s="90">
        <v>46085</v>
      </c>
      <c r="G5232" s="86" t="str">
        <f>VLOOKUP("*"&amp;表格1[[#This Row],[Input]]&amp;"*",'Ref-List'!$B:$D,2,)</f>
        <v>RAD-D300H</v>
      </c>
      <c r="H5232" s="86" t="str">
        <f>_xlfn.XLOOKUP(表格1[[#This Row],[Model]],表格3[Model-Input-Ref2],表格3[Product Line])</f>
        <v>壓縮式抽濕機 (30公升)</v>
      </c>
      <c r="I5232" s="86" t="str">
        <f>_xlfn.XLOOKUP(表格1[[#This Row],[Model]],表格3[Model-Input-Ref2],表格3[大小電])</f>
        <v>細電</v>
      </c>
      <c r="J5232" s="86" t="str">
        <f>_xlfn.XLOOKUP(表格1[[#This Row],[Model]],表格3[Model-Input-Ref2],表格3[Code])</f>
        <v>RAC</v>
      </c>
      <c r="K5232" s="89" t="s">
        <v>1252</v>
      </c>
      <c r="L5232" s="86">
        <v>1</v>
      </c>
      <c r="M5232" s="87">
        <v>2080</v>
      </c>
      <c r="N5232" s="87">
        <f>IFERROR(表格1[[#This Row],[QTY]]*表格1[[#This Row],[Unit Price]],"-")</f>
        <v>2080</v>
      </c>
      <c r="O5232" s="86">
        <v>3421</v>
      </c>
      <c r="R5232" s="86" t="str">
        <f>_xlfn.CONCAT(表格1[[#This Row],[Model]]," ",表格1[[#This Row],[inv no]])</f>
        <v>RAD-D300H 3421</v>
      </c>
      <c r="S5232" s="86">
        <f>_xlfn.XLOOKUP(表格1[[#This Row],[Model]],表格3[Model-Input-Ref2],表格3[SRP PRICE])</f>
        <v>3380</v>
      </c>
      <c r="T5232" s="43">
        <f>表格1[[#This Row],[Unit Price]]/表格1[[#This Row],[SRP]]</f>
        <v>0.61538461538461542</v>
      </c>
      <c r="U5232" s="86" t="str">
        <f>_xlfn.XLOOKUP(表格1[[#This Row],[Model]],表格3[Model-Input-Ref2],表格3[TOSHIBA/HIGHEST])</f>
        <v>Shops Highest Price</v>
      </c>
      <c r="W5232" s="86" t="str">
        <f>_xlfn.CONCAT(表格1[[#This Row],[欄4]],表格1[[#This Row],[inv no]])</f>
        <v>3421</v>
      </c>
    </row>
    <row r="5233" spans="1:23" hidden="1">
      <c r="A5233" s="81">
        <v>5231</v>
      </c>
      <c r="B5233" s="86" t="s">
        <v>1470</v>
      </c>
      <c r="C5233" s="86" t="s">
        <v>2028</v>
      </c>
      <c r="D5233" s="89" t="str">
        <f ca="1">OFFSET(Roster!$A$3,MATCH(表格1[[#This Row],[Location]]&amp;" "&amp;表格1[[#This Row],[Shop]]&amp;"*",Roster!$A$4:$A$72,0),DAY(表格1[[#This Row],[date]]),1,1)</f>
        <v>Hung</v>
      </c>
      <c r="E5233" s="86">
        <f>MONTH(表格1[[#This Row],[date]])</f>
        <v>3</v>
      </c>
      <c r="F5233" s="90">
        <v>46085</v>
      </c>
      <c r="G5233" s="86" t="str">
        <f>VLOOKUP("*"&amp;表格1[[#This Row],[Input]]&amp;"*",'Ref-List'!$B:$D,2,)</f>
        <v>RC-15BHH(W)</v>
      </c>
      <c r="H5233" s="86" t="str">
        <f>_xlfn.XLOOKUP(表格1[[#This Row],[Model]],表格3[Model-Input-Ref2],表格3[Product Line])</f>
        <v>酵活炊磁應電飯煲(1.5公升)</v>
      </c>
      <c r="I5233" s="86" t="str">
        <f>_xlfn.XLOOKUP(表格1[[#This Row],[Model]],表格3[Model-Input-Ref2],表格3[大小電])</f>
        <v>細電</v>
      </c>
      <c r="J5233" s="86" t="str">
        <f>_xlfn.XLOOKUP(表格1[[#This Row],[Model]],表格3[Model-Input-Ref2],表格3[Code])</f>
        <v>SDA</v>
      </c>
      <c r="K5233" s="89" t="s">
        <v>1381</v>
      </c>
      <c r="L5233" s="86">
        <v>1</v>
      </c>
      <c r="M5233" s="87">
        <v>1938</v>
      </c>
      <c r="N5233" s="87">
        <f>IFERROR(表格1[[#This Row],[QTY]]*表格1[[#This Row],[Unit Price]],"-")</f>
        <v>1938</v>
      </c>
      <c r="O5233" s="86">
        <v>3480</v>
      </c>
      <c r="R5233" s="86" t="str">
        <f>_xlfn.CONCAT(表格1[[#This Row],[Model]]," ",表格1[[#This Row],[inv no]])</f>
        <v>RC-15BHH(W) 3480</v>
      </c>
      <c r="S5233" s="86">
        <f>_xlfn.XLOOKUP(表格1[[#This Row],[Model]],表格3[Model-Input-Ref2],表格3[SRP PRICE])</f>
        <v>2388</v>
      </c>
      <c r="T5233" s="43">
        <f>表格1[[#This Row],[Unit Price]]/表格1[[#This Row],[SRP]]</f>
        <v>0.81155778894472363</v>
      </c>
      <c r="U5233" s="86" t="str">
        <f>_xlfn.XLOOKUP(表格1[[#This Row],[Model]],表格3[Model-Input-Ref2],表格3[TOSHIBA/HIGHEST])</f>
        <v>Toshiba SRP</v>
      </c>
      <c r="W5233" s="86" t="str">
        <f>_xlfn.CONCAT(表格1[[#This Row],[欄4]],表格1[[#This Row],[inv no]])</f>
        <v>3480</v>
      </c>
    </row>
    <row r="5234" spans="1:23" hidden="1">
      <c r="A5234" s="81">
        <v>5232</v>
      </c>
      <c r="B5234" s="86" t="s">
        <v>1470</v>
      </c>
      <c r="C5234" s="86" t="s">
        <v>2028</v>
      </c>
      <c r="D5234" s="89" t="str">
        <f ca="1">OFFSET(Roster!$A$3,MATCH(表格1[[#This Row],[Location]]&amp;" "&amp;表格1[[#This Row],[Shop]]&amp;"*",Roster!$A$4:$A$72,0),DAY(表格1[[#This Row],[date]]),1,1)</f>
        <v>Hung</v>
      </c>
      <c r="E5234" s="86">
        <f>MONTH(表格1[[#This Row],[date]])</f>
        <v>3</v>
      </c>
      <c r="F5234" s="90">
        <v>46085</v>
      </c>
      <c r="G5234" s="86" t="str">
        <f>VLOOKUP("*"&amp;表格1[[#This Row],[Input]]&amp;"*",'Ref-List'!$B:$D,2,)</f>
        <v>RAD-D300H</v>
      </c>
      <c r="H5234" s="86" t="str">
        <f>_xlfn.XLOOKUP(表格1[[#This Row],[Model]],表格3[Model-Input-Ref2],表格3[Product Line])</f>
        <v>壓縮式抽濕機 (30公升)</v>
      </c>
      <c r="I5234" s="86" t="str">
        <f>_xlfn.XLOOKUP(表格1[[#This Row],[Model]],表格3[Model-Input-Ref2],表格3[大小電])</f>
        <v>細電</v>
      </c>
      <c r="J5234" s="86" t="str">
        <f>_xlfn.XLOOKUP(表格1[[#This Row],[Model]],表格3[Model-Input-Ref2],表格3[Code])</f>
        <v>RAC</v>
      </c>
      <c r="K5234" s="89" t="s">
        <v>1252</v>
      </c>
      <c r="L5234" s="86">
        <v>1</v>
      </c>
      <c r="M5234" s="87">
        <v>1980</v>
      </c>
      <c r="N5234" s="87">
        <f>IFERROR(表格1[[#This Row],[QTY]]*表格1[[#This Row],[Unit Price]],"-")</f>
        <v>1980</v>
      </c>
      <c r="O5234" s="86">
        <v>3490</v>
      </c>
      <c r="R5234" s="86" t="str">
        <f>_xlfn.CONCAT(表格1[[#This Row],[Model]]," ",表格1[[#This Row],[inv no]])</f>
        <v>RAD-D300H 3490</v>
      </c>
      <c r="S5234" s="86">
        <f>_xlfn.XLOOKUP(表格1[[#This Row],[Model]],表格3[Model-Input-Ref2],表格3[SRP PRICE])</f>
        <v>3380</v>
      </c>
      <c r="T5234" s="43">
        <f>表格1[[#This Row],[Unit Price]]/表格1[[#This Row],[SRP]]</f>
        <v>0.58579881656804733</v>
      </c>
      <c r="U5234" s="86" t="str">
        <f>_xlfn.XLOOKUP(表格1[[#This Row],[Model]],表格3[Model-Input-Ref2],表格3[TOSHIBA/HIGHEST])</f>
        <v>Shops Highest Price</v>
      </c>
      <c r="W5234" s="86" t="str">
        <f>_xlfn.CONCAT(表格1[[#This Row],[欄4]],表格1[[#This Row],[inv no]])</f>
        <v>3490</v>
      </c>
    </row>
    <row r="5235" spans="1:23" hidden="1">
      <c r="A5235" s="81">
        <v>5233</v>
      </c>
      <c r="B5235" s="86" t="s">
        <v>1470</v>
      </c>
      <c r="C5235" s="86" t="s">
        <v>2028</v>
      </c>
      <c r="D5235" s="89" t="str">
        <f ca="1">OFFSET(Roster!$A$3,MATCH(表格1[[#This Row],[Location]]&amp;" "&amp;表格1[[#This Row],[Shop]]&amp;"*",Roster!$A$4:$A$72,0),DAY(表格1[[#This Row],[date]]),1,1)</f>
        <v>Hung</v>
      </c>
      <c r="E5235" s="86">
        <f>MONTH(表格1[[#This Row],[date]])</f>
        <v>3</v>
      </c>
      <c r="F5235" s="90">
        <v>46085</v>
      </c>
      <c r="G5235" s="86" t="str">
        <f>VLOOKUP("*"&amp;表格1[[#This Row],[Input]]&amp;"*",'Ref-List'!$B:$D,2,)</f>
        <v>RAD-Y200H</v>
      </c>
      <c r="H5235" s="86" t="str">
        <f>_xlfn.XLOOKUP(表格1[[#This Row],[Model]],表格3[Model-Input-Ref2],表格3[Product Line])</f>
        <v>21L壓縮式抽濕機</v>
      </c>
      <c r="I5235" s="86" t="str">
        <f>_xlfn.XLOOKUP(表格1[[#This Row],[Model]],表格3[Model-Input-Ref2],表格3[大小電])</f>
        <v>大電</v>
      </c>
      <c r="J5235" s="86" t="str">
        <f>_xlfn.XLOOKUP(表格1[[#This Row],[Model]],表格3[Model-Input-Ref2],表格3[Code])</f>
        <v>RAC</v>
      </c>
      <c r="K5235" s="89" t="s">
        <v>1241</v>
      </c>
      <c r="L5235" s="86">
        <v>1</v>
      </c>
      <c r="M5235" s="87">
        <v>1888</v>
      </c>
      <c r="N5235" s="87">
        <f>IFERROR(表格1[[#This Row],[QTY]]*表格1[[#This Row],[Unit Price]],"-")</f>
        <v>1888</v>
      </c>
      <c r="O5235" s="86">
        <v>3491</v>
      </c>
      <c r="R5235" s="86" t="str">
        <f>_xlfn.CONCAT(表格1[[#This Row],[Model]]," ",表格1[[#This Row],[inv no]])</f>
        <v>RAD-Y200H 3491</v>
      </c>
      <c r="S5235" s="86">
        <f>_xlfn.XLOOKUP(表格1[[#This Row],[Model]],表格3[Model-Input-Ref2],表格3[SRP PRICE])</f>
        <v>3280</v>
      </c>
      <c r="T5235" s="43">
        <f>表格1[[#This Row],[Unit Price]]/表格1[[#This Row],[SRP]]</f>
        <v>0.57560975609756093</v>
      </c>
      <c r="U5235" s="86" t="str">
        <f>_xlfn.XLOOKUP(表格1[[#This Row],[Model]],表格3[Model-Input-Ref2],表格3[TOSHIBA/HIGHEST])</f>
        <v>Toshiba SRP</v>
      </c>
      <c r="W5235" s="86" t="str">
        <f>_xlfn.CONCAT(表格1[[#This Row],[欄4]],表格1[[#This Row],[inv no]])</f>
        <v>3491</v>
      </c>
    </row>
    <row r="5236" spans="1:23" hidden="1">
      <c r="A5236" s="81">
        <v>5234</v>
      </c>
      <c r="B5236" s="86" t="s">
        <v>1470</v>
      </c>
      <c r="C5236" s="86" t="s">
        <v>2028</v>
      </c>
      <c r="D5236" s="89" t="str">
        <f ca="1">OFFSET(Roster!$A$3,MATCH(表格1[[#This Row],[Location]]&amp;" "&amp;表格1[[#This Row],[Shop]]&amp;"*",Roster!$A$4:$A$72,0),DAY(表格1[[#This Row],[date]]),1,1)</f>
        <v>Hung</v>
      </c>
      <c r="E5236" s="86">
        <f>MONTH(表格1[[#This Row],[date]])</f>
        <v>3</v>
      </c>
      <c r="F5236" s="90">
        <v>46085</v>
      </c>
      <c r="G5236" s="86" t="str">
        <f>VLOOKUP("*"&amp;表格1[[#This Row],[Input]]&amp;"*",'Ref-List'!$B:$D,2,)</f>
        <v>TW-T21BU80UWH(MG)</v>
      </c>
      <c r="H5236" s="86" t="str">
        <f>_xlfn.XLOOKUP(表格1[[#This Row],[Model]],表格3[Model-Input-Ref2],表格3[Product Line])</f>
        <v>400MM超薄身前置式變頻洗衣機(7公斤)</v>
      </c>
      <c r="I5236" s="86" t="str">
        <f>_xlfn.XLOOKUP(表格1[[#This Row],[Model]],表格3[Model-Input-Ref2],表格3[大小電])</f>
        <v>大電</v>
      </c>
      <c r="J5236" s="86" t="str">
        <f>_xlfn.XLOOKUP(表格1[[#This Row],[Model]],表格3[Model-Input-Ref2],表格3[Code])</f>
        <v>LAD</v>
      </c>
      <c r="K5236" s="89" t="s">
        <v>1280</v>
      </c>
      <c r="L5236" s="86">
        <v>1</v>
      </c>
      <c r="M5236" s="87">
        <v>2880</v>
      </c>
      <c r="N5236" s="87">
        <f>IFERROR(表格1[[#This Row],[QTY]]*表格1[[#This Row],[Unit Price]],"-")</f>
        <v>2880</v>
      </c>
      <c r="O5236" s="86">
        <v>3514</v>
      </c>
      <c r="R5236" s="86" t="str">
        <f>_xlfn.CONCAT(表格1[[#This Row],[Model]]," ",表格1[[#This Row],[inv no]])</f>
        <v>TW-T21BU80UWH(MG) 3514</v>
      </c>
      <c r="S5236" s="86">
        <f>_xlfn.XLOOKUP(表格1[[#This Row],[Model]],表格3[Model-Input-Ref2],表格3[SRP PRICE])</f>
        <v>5180</v>
      </c>
      <c r="T5236" s="43">
        <f>表格1[[#This Row],[Unit Price]]/表格1[[#This Row],[SRP]]</f>
        <v>0.55598455598455598</v>
      </c>
      <c r="U5236" s="86" t="str">
        <f>_xlfn.XLOOKUP(表格1[[#This Row],[Model]],表格3[Model-Input-Ref2],表格3[TOSHIBA/HIGHEST])</f>
        <v>Toshiba SRP</v>
      </c>
      <c r="W5236" s="86" t="str">
        <f>_xlfn.CONCAT(表格1[[#This Row],[欄4]],表格1[[#This Row],[inv no]])</f>
        <v>3514</v>
      </c>
    </row>
    <row r="5237" spans="1:23" hidden="1">
      <c r="A5237" s="81">
        <v>5235</v>
      </c>
      <c r="B5237" s="86" t="s">
        <v>1470</v>
      </c>
      <c r="C5237" s="86" t="s">
        <v>2028</v>
      </c>
      <c r="D5237" s="89" t="str">
        <f ca="1">OFFSET(Roster!$A$3,MATCH(表格1[[#This Row],[Location]]&amp;" "&amp;表格1[[#This Row],[Shop]]&amp;"*",Roster!$A$4:$A$72,0),DAY(表格1[[#This Row],[date]]),1,1)</f>
        <v>Hung</v>
      </c>
      <c r="E5237" s="86">
        <f>MONTH(表格1[[#This Row],[date]])</f>
        <v>3</v>
      </c>
      <c r="F5237" s="90">
        <v>46085</v>
      </c>
      <c r="G5237" s="86" t="str">
        <f>VLOOKUP("*"&amp;表格1[[#This Row],[Input]]&amp;"*",'Ref-List'!$B:$D,2,)</f>
        <v>RAD-D300H</v>
      </c>
      <c r="H5237" s="86" t="str">
        <f>_xlfn.XLOOKUP(表格1[[#This Row],[Model]],表格3[Model-Input-Ref2],表格3[Product Line])</f>
        <v>壓縮式抽濕機 (30公升)</v>
      </c>
      <c r="I5237" s="86" t="str">
        <f>_xlfn.XLOOKUP(表格1[[#This Row],[Model]],表格3[Model-Input-Ref2],表格3[大小電])</f>
        <v>細電</v>
      </c>
      <c r="J5237" s="86" t="str">
        <f>_xlfn.XLOOKUP(表格1[[#This Row],[Model]],表格3[Model-Input-Ref2],表格3[Code])</f>
        <v>RAC</v>
      </c>
      <c r="K5237" s="89" t="s">
        <v>1252</v>
      </c>
      <c r="L5237" s="86">
        <v>1</v>
      </c>
      <c r="M5237" s="87">
        <v>1980</v>
      </c>
      <c r="N5237" s="87">
        <f>IFERROR(表格1[[#This Row],[QTY]]*表格1[[#This Row],[Unit Price]],"-")</f>
        <v>1980</v>
      </c>
      <c r="O5237" s="86">
        <v>3510</v>
      </c>
      <c r="R5237" s="86" t="str">
        <f>_xlfn.CONCAT(表格1[[#This Row],[Model]]," ",表格1[[#This Row],[inv no]])</f>
        <v>RAD-D300H 3510</v>
      </c>
      <c r="S5237" s="86">
        <f>_xlfn.XLOOKUP(表格1[[#This Row],[Model]],表格3[Model-Input-Ref2],表格3[SRP PRICE])</f>
        <v>3380</v>
      </c>
      <c r="T5237" s="43">
        <f>表格1[[#This Row],[Unit Price]]/表格1[[#This Row],[SRP]]</f>
        <v>0.58579881656804733</v>
      </c>
      <c r="U5237" s="86" t="str">
        <f>_xlfn.XLOOKUP(表格1[[#This Row],[Model]],表格3[Model-Input-Ref2],表格3[TOSHIBA/HIGHEST])</f>
        <v>Shops Highest Price</v>
      </c>
      <c r="W5237" s="86" t="str">
        <f>_xlfn.CONCAT(表格1[[#This Row],[欄4]],表格1[[#This Row],[inv no]])</f>
        <v>3510</v>
      </c>
    </row>
    <row r="5238" spans="1:23" hidden="1">
      <c r="A5238" s="81">
        <v>5236</v>
      </c>
      <c r="B5238" s="86" t="s">
        <v>1470</v>
      </c>
      <c r="C5238" s="86" t="s">
        <v>2028</v>
      </c>
      <c r="D5238" s="89" t="str">
        <f ca="1">OFFSET(Roster!$A$3,MATCH(表格1[[#This Row],[Location]]&amp;" "&amp;表格1[[#This Row],[Shop]]&amp;"*",Roster!$A$4:$A$72,0),DAY(表格1[[#This Row],[date]]),1,1)</f>
        <v>Hung</v>
      </c>
      <c r="E5238" s="86">
        <f>MONTH(表格1[[#This Row],[date]])</f>
        <v>3</v>
      </c>
      <c r="F5238" s="90">
        <v>46087</v>
      </c>
      <c r="G5238" s="86" t="str">
        <f>VLOOKUP("*"&amp;表格1[[#This Row],[Input]]&amp;"*",'Ref-List'!$B:$D,2,)</f>
        <v>RAD-D300H</v>
      </c>
      <c r="H5238" s="86" t="str">
        <f>_xlfn.XLOOKUP(表格1[[#This Row],[Model]],表格3[Model-Input-Ref2],表格3[Product Line])</f>
        <v>壓縮式抽濕機 (30公升)</v>
      </c>
      <c r="I5238" s="86" t="str">
        <f>_xlfn.XLOOKUP(表格1[[#This Row],[Model]],表格3[Model-Input-Ref2],表格3[大小電])</f>
        <v>細電</v>
      </c>
      <c r="J5238" s="86" t="str">
        <f>_xlfn.XLOOKUP(表格1[[#This Row],[Model]],表格3[Model-Input-Ref2],表格3[Code])</f>
        <v>RAC</v>
      </c>
      <c r="K5238" s="89" t="s">
        <v>1252</v>
      </c>
      <c r="L5238" s="86">
        <v>1</v>
      </c>
      <c r="M5238" s="87">
        <v>2088</v>
      </c>
      <c r="N5238" s="87">
        <f>IFERROR(表格1[[#This Row],[QTY]]*表格1[[#This Row],[Unit Price]],"-")</f>
        <v>2088</v>
      </c>
      <c r="O5238" s="86">
        <v>3520</v>
      </c>
      <c r="R5238" s="86" t="str">
        <f>_xlfn.CONCAT(表格1[[#This Row],[Model]]," ",表格1[[#This Row],[inv no]])</f>
        <v>RAD-D300H 3520</v>
      </c>
      <c r="S5238" s="86">
        <f>_xlfn.XLOOKUP(表格1[[#This Row],[Model]],表格3[Model-Input-Ref2],表格3[SRP PRICE])</f>
        <v>3380</v>
      </c>
      <c r="T5238" s="43">
        <f>表格1[[#This Row],[Unit Price]]/表格1[[#This Row],[SRP]]</f>
        <v>0.61775147928994079</v>
      </c>
      <c r="U5238" s="86" t="str">
        <f>_xlfn.XLOOKUP(表格1[[#This Row],[Model]],表格3[Model-Input-Ref2],表格3[TOSHIBA/HIGHEST])</f>
        <v>Shops Highest Price</v>
      </c>
      <c r="W5238" s="86" t="str">
        <f>_xlfn.CONCAT(表格1[[#This Row],[欄4]],表格1[[#This Row],[inv no]])</f>
        <v>3520</v>
      </c>
    </row>
    <row r="5239" spans="1:23" hidden="1">
      <c r="A5239" s="81">
        <v>5237</v>
      </c>
      <c r="B5239" s="86" t="s">
        <v>1470</v>
      </c>
      <c r="C5239" s="86" t="s">
        <v>2028</v>
      </c>
      <c r="D5239" s="89" t="str">
        <f ca="1">OFFSET(Roster!$A$3,MATCH(表格1[[#This Row],[Location]]&amp;" "&amp;表格1[[#This Row],[Shop]]&amp;"*",Roster!$A$4:$A$72,0),DAY(表格1[[#This Row],[date]]),1,1)</f>
        <v>Hung</v>
      </c>
      <c r="E5239" s="86">
        <f>MONTH(表格1[[#This Row],[date]])</f>
        <v>3</v>
      </c>
      <c r="F5239" s="90">
        <v>46087</v>
      </c>
      <c r="G5239" s="86" t="str">
        <f>VLOOKUP("*"&amp;表格1[[#This Row],[Input]]&amp;"*",'Ref-List'!$B:$D,2,)</f>
        <v>KT-17SHNH</v>
      </c>
      <c r="H5239" s="86" t="str">
        <f>_xlfn.XLOOKUP(表格1[[#This Row],[Model]],表格3[Model-Input-Ref2],表格3[Product Line])</f>
        <v>1.7L無線雙層電熱水壺</v>
      </c>
      <c r="I5239" s="86" t="str">
        <f>_xlfn.XLOOKUP(表格1[[#This Row],[Model]],表格3[Model-Input-Ref2],表格3[大小電])</f>
        <v>細電</v>
      </c>
      <c r="J5239" s="86" t="str">
        <f>_xlfn.XLOOKUP(表格1[[#This Row],[Model]],表格3[Model-Input-Ref2],表格3[Code])</f>
        <v>SDA</v>
      </c>
      <c r="K5239" s="89" t="s">
        <v>1283</v>
      </c>
      <c r="L5239" s="86">
        <v>1</v>
      </c>
      <c r="M5239" s="87">
        <v>198</v>
      </c>
      <c r="N5239" s="87">
        <f>IFERROR(表格1[[#This Row],[QTY]]*表格1[[#This Row],[Unit Price]],"-")</f>
        <v>198</v>
      </c>
      <c r="O5239" s="86">
        <v>3541</v>
      </c>
      <c r="R5239" s="86" t="str">
        <f>_xlfn.CONCAT(表格1[[#This Row],[Model]]," ",表格1[[#This Row],[inv no]])</f>
        <v>KT-17SHNH 3541</v>
      </c>
      <c r="S5239" s="86">
        <f>_xlfn.XLOOKUP(表格1[[#This Row],[Model]],表格3[Model-Input-Ref2],表格3[SRP PRICE])</f>
        <v>299</v>
      </c>
      <c r="T5239" s="43">
        <f>表格1[[#This Row],[Unit Price]]/表格1[[#This Row],[SRP]]</f>
        <v>0.66220735785953178</v>
      </c>
      <c r="U5239" s="86" t="str">
        <f>_xlfn.XLOOKUP(表格1[[#This Row],[Model]],表格3[Model-Input-Ref2],表格3[TOSHIBA/HIGHEST])</f>
        <v>Shops Highest Price</v>
      </c>
      <c r="W5239" s="86" t="str">
        <f>_xlfn.CONCAT(表格1[[#This Row],[欄4]],表格1[[#This Row],[inv no]])</f>
        <v>3541</v>
      </c>
    </row>
    <row r="5240" spans="1:23" hidden="1">
      <c r="A5240" s="81">
        <v>5238</v>
      </c>
      <c r="B5240" s="86" t="s">
        <v>1470</v>
      </c>
      <c r="C5240" s="86" t="s">
        <v>2028</v>
      </c>
      <c r="D5240" s="89" t="str">
        <f ca="1">OFFSET(Roster!$A$3,MATCH(表格1[[#This Row],[Location]]&amp;" "&amp;表格1[[#This Row],[Shop]]&amp;"*",Roster!$A$4:$A$72,0),DAY(表格1[[#This Row],[date]]),1,1)</f>
        <v>Hung</v>
      </c>
      <c r="E5240" s="86">
        <f>MONTH(表格1[[#This Row],[date]])</f>
        <v>3</v>
      </c>
      <c r="F5240" s="90">
        <v>46087</v>
      </c>
      <c r="G5240" s="86" t="str">
        <f>VLOOKUP("*"&amp;表格1[[#This Row],[Input]]&amp;"*",'Ref-List'!$B:$D,2,)</f>
        <v>RAD-D300H</v>
      </c>
      <c r="H5240" s="86" t="str">
        <f>_xlfn.XLOOKUP(表格1[[#This Row],[Model]],表格3[Model-Input-Ref2],表格3[Product Line])</f>
        <v>壓縮式抽濕機 (30公升)</v>
      </c>
      <c r="I5240" s="86" t="str">
        <f>_xlfn.XLOOKUP(表格1[[#This Row],[Model]],表格3[Model-Input-Ref2],表格3[大小電])</f>
        <v>細電</v>
      </c>
      <c r="J5240" s="86" t="str">
        <f>_xlfn.XLOOKUP(表格1[[#This Row],[Model]],表格3[Model-Input-Ref2],表格3[Code])</f>
        <v>RAC</v>
      </c>
      <c r="K5240" s="89" t="s">
        <v>1252</v>
      </c>
      <c r="L5240" s="86">
        <v>1</v>
      </c>
      <c r="M5240" s="87">
        <v>1980</v>
      </c>
      <c r="N5240" s="87">
        <f>IFERROR(表格1[[#This Row],[QTY]]*表格1[[#This Row],[Unit Price]],"-")</f>
        <v>1980</v>
      </c>
      <c r="O5240" s="86">
        <v>3605</v>
      </c>
      <c r="R5240" s="86" t="str">
        <f>_xlfn.CONCAT(表格1[[#This Row],[Model]]," ",表格1[[#This Row],[inv no]])</f>
        <v>RAD-D300H 3605</v>
      </c>
      <c r="S5240" s="86">
        <f>_xlfn.XLOOKUP(表格1[[#This Row],[Model]],表格3[Model-Input-Ref2],表格3[SRP PRICE])</f>
        <v>3380</v>
      </c>
      <c r="T5240" s="43">
        <f>表格1[[#This Row],[Unit Price]]/表格1[[#This Row],[SRP]]</f>
        <v>0.58579881656804733</v>
      </c>
      <c r="U5240" s="86" t="str">
        <f>_xlfn.XLOOKUP(表格1[[#This Row],[Model]],表格3[Model-Input-Ref2],表格3[TOSHIBA/HIGHEST])</f>
        <v>Shops Highest Price</v>
      </c>
      <c r="W5240" s="86" t="str">
        <f>_xlfn.CONCAT(表格1[[#This Row],[欄4]],表格1[[#This Row],[inv no]])</f>
        <v>3605</v>
      </c>
    </row>
    <row r="5241" spans="1:23" hidden="1">
      <c r="A5241" s="81">
        <v>5239</v>
      </c>
      <c r="B5241" s="86" t="s">
        <v>1470</v>
      </c>
      <c r="C5241" s="86" t="s">
        <v>2028</v>
      </c>
      <c r="D5241" s="89" t="str">
        <f ca="1">OFFSET(Roster!$A$3,MATCH(表格1[[#This Row],[Location]]&amp;" "&amp;表格1[[#This Row],[Shop]]&amp;"*",Roster!$A$4:$A$72,0),DAY(表格1[[#This Row],[date]]),1,1)</f>
        <v>Hung</v>
      </c>
      <c r="E5241" s="86">
        <f>MONTH(表格1[[#This Row],[date]])</f>
        <v>3</v>
      </c>
      <c r="F5241" s="90">
        <v>46088</v>
      </c>
      <c r="G5241" s="86" t="str">
        <f>VLOOKUP("*"&amp;表格1[[#This Row],[Input]]&amp;"*",'Ref-List'!$B:$D,2,)</f>
        <v>RAD-D300H</v>
      </c>
      <c r="H5241" s="86" t="str">
        <f>_xlfn.XLOOKUP(表格1[[#This Row],[Model]],表格3[Model-Input-Ref2],表格3[Product Line])</f>
        <v>壓縮式抽濕機 (30公升)</v>
      </c>
      <c r="I5241" s="86" t="str">
        <f>_xlfn.XLOOKUP(表格1[[#This Row],[Model]],表格3[Model-Input-Ref2],表格3[大小電])</f>
        <v>細電</v>
      </c>
      <c r="J5241" s="86" t="str">
        <f>_xlfn.XLOOKUP(表格1[[#This Row],[Model]],表格3[Model-Input-Ref2],表格3[Code])</f>
        <v>RAC</v>
      </c>
      <c r="K5241" s="89" t="s">
        <v>1252</v>
      </c>
      <c r="L5241" s="86">
        <v>1</v>
      </c>
      <c r="M5241" s="87">
        <v>1980</v>
      </c>
      <c r="N5241" s="87">
        <f>IFERROR(表格1[[#This Row],[QTY]]*表格1[[#This Row],[Unit Price]],"-")</f>
        <v>1980</v>
      </c>
      <c r="O5241" s="86">
        <v>3606</v>
      </c>
      <c r="R5241" s="86" t="str">
        <f>_xlfn.CONCAT(表格1[[#This Row],[Model]]," ",表格1[[#This Row],[inv no]])</f>
        <v>RAD-D300H 3606</v>
      </c>
      <c r="S5241" s="86">
        <f>_xlfn.XLOOKUP(表格1[[#This Row],[Model]],表格3[Model-Input-Ref2],表格3[SRP PRICE])</f>
        <v>3380</v>
      </c>
      <c r="T5241" s="43">
        <f>表格1[[#This Row],[Unit Price]]/表格1[[#This Row],[SRP]]</f>
        <v>0.58579881656804733</v>
      </c>
      <c r="U5241" s="86" t="str">
        <f>_xlfn.XLOOKUP(表格1[[#This Row],[Model]],表格3[Model-Input-Ref2],表格3[TOSHIBA/HIGHEST])</f>
        <v>Shops Highest Price</v>
      </c>
      <c r="W5241" s="86" t="str">
        <f>_xlfn.CONCAT(表格1[[#This Row],[欄4]],表格1[[#This Row],[inv no]])</f>
        <v>3606</v>
      </c>
    </row>
    <row r="5242" spans="1:23" hidden="1">
      <c r="A5242" s="81">
        <v>5240</v>
      </c>
      <c r="B5242" s="86" t="s">
        <v>1470</v>
      </c>
      <c r="C5242" s="86" t="s">
        <v>2028</v>
      </c>
      <c r="D5242" s="89" t="str">
        <f ca="1">OFFSET(Roster!$A$3,MATCH(表格1[[#This Row],[Location]]&amp;" "&amp;表格1[[#This Row],[Shop]]&amp;"*",Roster!$A$4:$A$72,0),DAY(表格1[[#This Row],[date]]),1,1)</f>
        <v>Hung</v>
      </c>
      <c r="E5242" s="86">
        <f>MONTH(表格1[[#This Row],[date]])</f>
        <v>3</v>
      </c>
      <c r="F5242" s="90">
        <v>46088</v>
      </c>
      <c r="G5242" s="86" t="str">
        <f>VLOOKUP("*"&amp;表格1[[#This Row],[Input]]&amp;"*",'Ref-List'!$B:$D,2,)</f>
        <v>RAD-D300H</v>
      </c>
      <c r="H5242" s="86" t="str">
        <f>_xlfn.XLOOKUP(表格1[[#This Row],[Model]],表格3[Model-Input-Ref2],表格3[Product Line])</f>
        <v>壓縮式抽濕機 (30公升)</v>
      </c>
      <c r="I5242" s="86" t="str">
        <f>_xlfn.XLOOKUP(表格1[[#This Row],[Model]],表格3[Model-Input-Ref2],表格3[大小電])</f>
        <v>細電</v>
      </c>
      <c r="J5242" s="86" t="str">
        <f>_xlfn.XLOOKUP(表格1[[#This Row],[Model]],表格3[Model-Input-Ref2],表格3[Code])</f>
        <v>RAC</v>
      </c>
      <c r="K5242" s="89" t="s">
        <v>1252</v>
      </c>
      <c r="L5242" s="86">
        <v>1</v>
      </c>
      <c r="M5242" s="87">
        <v>2088</v>
      </c>
      <c r="N5242" s="87">
        <f>IFERROR(表格1[[#This Row],[QTY]]*表格1[[#This Row],[Unit Price]],"-")</f>
        <v>2088</v>
      </c>
      <c r="O5242" s="86">
        <v>3643</v>
      </c>
      <c r="R5242" s="86" t="str">
        <f>_xlfn.CONCAT(表格1[[#This Row],[Model]]," ",表格1[[#This Row],[inv no]])</f>
        <v>RAD-D300H 3643</v>
      </c>
      <c r="S5242" s="86">
        <f>_xlfn.XLOOKUP(表格1[[#This Row],[Model]],表格3[Model-Input-Ref2],表格3[SRP PRICE])</f>
        <v>3380</v>
      </c>
      <c r="T5242" s="43">
        <f>表格1[[#This Row],[Unit Price]]/表格1[[#This Row],[SRP]]</f>
        <v>0.61775147928994079</v>
      </c>
      <c r="U5242" s="86" t="str">
        <f>_xlfn.XLOOKUP(表格1[[#This Row],[Model]],表格3[Model-Input-Ref2],表格3[TOSHIBA/HIGHEST])</f>
        <v>Shops Highest Price</v>
      </c>
      <c r="W5242" s="86" t="str">
        <f>_xlfn.CONCAT(表格1[[#This Row],[欄4]],表格1[[#This Row],[inv no]])</f>
        <v>3643</v>
      </c>
    </row>
    <row r="5243" spans="1:23" hidden="1">
      <c r="A5243" s="81">
        <v>5241</v>
      </c>
      <c r="B5243" s="86" t="s">
        <v>1470</v>
      </c>
      <c r="C5243" s="86" t="s">
        <v>2028</v>
      </c>
      <c r="D5243" s="89" t="str">
        <f ca="1">OFFSET(Roster!$A$3,MATCH(表格1[[#This Row],[Location]]&amp;" "&amp;表格1[[#This Row],[Shop]]&amp;"*",Roster!$A$4:$A$72,0),DAY(表格1[[#This Row],[date]]),1,1)</f>
        <v>Hung</v>
      </c>
      <c r="E5243" s="86">
        <f>MONTH(表格1[[#This Row],[date]])</f>
        <v>3</v>
      </c>
      <c r="F5243" s="90">
        <v>46088</v>
      </c>
      <c r="G5243" s="86" t="str">
        <f>VLOOKUP("*"&amp;表格1[[#This Row],[Input]]&amp;"*",'Ref-List'!$B:$D,2,)</f>
        <v>GR-RT300WE-PMA(57)</v>
      </c>
      <c r="H5243" s="86" t="str">
        <f>_xlfn.XLOOKUP(表格1[[#This Row],[Model]],表格3[Model-Input-Ref2],表格3[Product Line])</f>
        <v>變頻式環保雙門雪櫃(233L)</v>
      </c>
      <c r="I5243" s="86" t="str">
        <f>_xlfn.XLOOKUP(表格1[[#This Row],[Model]],表格3[Model-Input-Ref2],表格3[大小電])</f>
        <v>大電</v>
      </c>
      <c r="J5243" s="86" t="str">
        <f>_xlfn.XLOOKUP(表格1[[#This Row],[Model]],表格3[Model-Input-Ref2],表格3[Code])</f>
        <v>REF</v>
      </c>
      <c r="K5243" s="89" t="s">
        <v>1462</v>
      </c>
      <c r="L5243" s="86">
        <v>1</v>
      </c>
      <c r="M5243" s="87">
        <v>2680</v>
      </c>
      <c r="N5243" s="87">
        <f>IFERROR(表格1[[#This Row],[QTY]]*表格1[[#This Row],[Unit Price]],"-")</f>
        <v>2680</v>
      </c>
      <c r="O5243" s="86">
        <v>3698</v>
      </c>
      <c r="R5243" s="86" t="str">
        <f>_xlfn.CONCAT(表格1[[#This Row],[Model]]," ",表格1[[#This Row],[inv no]])</f>
        <v>GR-RT300WE-PMA(57) 3698</v>
      </c>
      <c r="S5243" s="86">
        <f>_xlfn.XLOOKUP(表格1[[#This Row],[Model]],表格3[Model-Input-Ref2],表格3[SRP PRICE])</f>
        <v>4280</v>
      </c>
      <c r="T5243" s="43">
        <f>表格1[[#This Row],[Unit Price]]/表格1[[#This Row],[SRP]]</f>
        <v>0.62616822429906538</v>
      </c>
      <c r="U5243" s="86" t="str">
        <f>_xlfn.XLOOKUP(表格1[[#This Row],[Model]],表格3[Model-Input-Ref2],表格3[TOSHIBA/HIGHEST])</f>
        <v>Toshiba SRP</v>
      </c>
      <c r="W5243" s="86" t="str">
        <f>_xlfn.CONCAT(表格1[[#This Row],[欄4]],表格1[[#This Row],[inv no]])</f>
        <v>3698</v>
      </c>
    </row>
    <row r="5244" spans="1:23" hidden="1">
      <c r="A5244" s="81">
        <v>5242</v>
      </c>
      <c r="B5244" s="86" t="s">
        <v>1470</v>
      </c>
      <c r="C5244" s="86" t="s">
        <v>2028</v>
      </c>
      <c r="D5244" s="89" t="str">
        <f ca="1">OFFSET(Roster!$A$3,MATCH(表格1[[#This Row],[Location]]&amp;" "&amp;表格1[[#This Row],[Shop]]&amp;"*",Roster!$A$4:$A$72,0),DAY(表格1[[#This Row],[date]]),1,1)</f>
        <v>Hung</v>
      </c>
      <c r="E5244" s="86">
        <f>MONTH(表格1[[#This Row],[date]])</f>
        <v>3</v>
      </c>
      <c r="F5244" s="90">
        <v>46088</v>
      </c>
      <c r="G5244" s="86" t="str">
        <f>VLOOKUP("*"&amp;表格1[[#This Row],[Input]]&amp;"*",'Ref-List'!$B:$D,2,)</f>
        <v>ET-TD7080(PN)</v>
      </c>
      <c r="H5244" s="86" t="str">
        <f>_xlfn.XLOOKUP(表格1[[#This Row],[Model]],表格3[Model-Input-Ref2],表格3[Product Line])</f>
        <v>多士焗爐8L</v>
      </c>
      <c r="I5244" s="86" t="str">
        <f>_xlfn.XLOOKUP(表格1[[#This Row],[Model]],表格3[Model-Input-Ref2],表格3[大小電])</f>
        <v>細電</v>
      </c>
      <c r="J5244" s="86" t="str">
        <f>_xlfn.XLOOKUP(表格1[[#This Row],[Model]],表格3[Model-Input-Ref2],表格3[Code])</f>
        <v>SDA</v>
      </c>
      <c r="K5244" s="89">
        <v>7080</v>
      </c>
      <c r="L5244" s="86">
        <v>1</v>
      </c>
      <c r="M5244" s="87">
        <v>428</v>
      </c>
      <c r="N5244" s="87">
        <f>IFERROR(表格1[[#This Row],[QTY]]*表格1[[#This Row],[Unit Price]],"-")</f>
        <v>428</v>
      </c>
      <c r="O5244" s="86">
        <v>3728</v>
      </c>
      <c r="R5244" s="86" t="str">
        <f>_xlfn.CONCAT(表格1[[#This Row],[Model]]," ",表格1[[#This Row],[inv no]])</f>
        <v>ET-TD7080(PN) 3728</v>
      </c>
      <c r="S5244" s="86">
        <f>_xlfn.XLOOKUP(表格1[[#This Row],[Model]],表格3[Model-Input-Ref2],表格3[SRP PRICE])</f>
        <v>498</v>
      </c>
      <c r="T5244" s="43">
        <f>表格1[[#This Row],[Unit Price]]/表格1[[#This Row],[SRP]]</f>
        <v>0.85943775100401609</v>
      </c>
      <c r="U5244" s="86" t="str">
        <f>_xlfn.XLOOKUP(表格1[[#This Row],[Model]],表格3[Model-Input-Ref2],表格3[TOSHIBA/HIGHEST])</f>
        <v>Toshiba SRP</v>
      </c>
      <c r="W5244" s="86" t="str">
        <f>_xlfn.CONCAT(表格1[[#This Row],[欄4]],表格1[[#This Row],[inv no]])</f>
        <v>3728</v>
      </c>
    </row>
    <row r="5245" spans="1:23" hidden="1">
      <c r="A5245" s="81">
        <v>5243</v>
      </c>
      <c r="B5245" s="86" t="s">
        <v>1470</v>
      </c>
      <c r="C5245" s="86" t="s">
        <v>2028</v>
      </c>
      <c r="D5245" s="89" t="str">
        <f ca="1">OFFSET(Roster!$A$3,MATCH(表格1[[#This Row],[Location]]&amp;" "&amp;表格1[[#This Row],[Shop]]&amp;"*",Roster!$A$4:$A$72,0),DAY(表格1[[#This Row],[date]]),1,1)</f>
        <v>Hung</v>
      </c>
      <c r="E5245" s="86">
        <f>MONTH(表格1[[#This Row],[date]])</f>
        <v>3</v>
      </c>
      <c r="F5245" s="90">
        <v>46088</v>
      </c>
      <c r="G5245" s="86" t="str">
        <f>VLOOKUP("*"&amp;表格1[[#This Row],[Input]]&amp;"*",'Ref-List'!$B:$D,2,)</f>
        <v>RAD-Y200H</v>
      </c>
      <c r="H5245" s="86" t="str">
        <f>_xlfn.XLOOKUP(表格1[[#This Row],[Model]],表格3[Model-Input-Ref2],表格3[Product Line])</f>
        <v>21L壓縮式抽濕機</v>
      </c>
      <c r="I5245" s="86" t="str">
        <f>_xlfn.XLOOKUP(表格1[[#This Row],[Model]],表格3[Model-Input-Ref2],表格3[大小電])</f>
        <v>大電</v>
      </c>
      <c r="J5245" s="86" t="str">
        <f>_xlfn.XLOOKUP(表格1[[#This Row],[Model]],表格3[Model-Input-Ref2],表格3[Code])</f>
        <v>RAC</v>
      </c>
      <c r="K5245" s="89" t="s">
        <v>1241</v>
      </c>
      <c r="L5245" s="86">
        <v>1</v>
      </c>
      <c r="M5245" s="87">
        <v>1788</v>
      </c>
      <c r="N5245" s="87">
        <f>IFERROR(表格1[[#This Row],[QTY]]*表格1[[#This Row],[Unit Price]],"-")</f>
        <v>1788</v>
      </c>
      <c r="O5245" s="86">
        <v>3736</v>
      </c>
      <c r="R5245" s="86" t="str">
        <f>_xlfn.CONCAT(表格1[[#This Row],[Model]]," ",表格1[[#This Row],[inv no]])</f>
        <v>RAD-Y200H 3736</v>
      </c>
      <c r="S5245" s="86">
        <f>_xlfn.XLOOKUP(表格1[[#This Row],[Model]],表格3[Model-Input-Ref2],表格3[SRP PRICE])</f>
        <v>3280</v>
      </c>
      <c r="T5245" s="43">
        <f>表格1[[#This Row],[Unit Price]]/表格1[[#This Row],[SRP]]</f>
        <v>0.54512195121951224</v>
      </c>
      <c r="U5245" s="86" t="str">
        <f>_xlfn.XLOOKUP(表格1[[#This Row],[Model]],表格3[Model-Input-Ref2],表格3[TOSHIBA/HIGHEST])</f>
        <v>Toshiba SRP</v>
      </c>
      <c r="W5245" s="86" t="str">
        <f>_xlfn.CONCAT(表格1[[#This Row],[欄4]],表格1[[#This Row],[inv no]])</f>
        <v>3736</v>
      </c>
    </row>
    <row r="5246" spans="1:23" hidden="1">
      <c r="A5246" s="81">
        <v>5244</v>
      </c>
      <c r="B5246" s="86" t="s">
        <v>1470</v>
      </c>
      <c r="C5246" s="86" t="s">
        <v>2028</v>
      </c>
      <c r="D5246" s="89" t="str">
        <f ca="1">OFFSET(Roster!$A$3,MATCH(表格1[[#This Row],[Location]]&amp;" "&amp;表格1[[#This Row],[Shop]]&amp;"*",Roster!$A$4:$A$72,0),DAY(表格1[[#This Row],[date]]),1,1)</f>
        <v>Hung</v>
      </c>
      <c r="E5246" s="86">
        <f>MONTH(表格1[[#This Row],[date]])</f>
        <v>3</v>
      </c>
      <c r="F5246" s="90">
        <v>46089</v>
      </c>
      <c r="G5246" s="86" t="str">
        <f>VLOOKUP("*"&amp;表格1[[#This Row],[Input]]&amp;"*",'Ref-List'!$B:$D,2,)</f>
        <v>DW-05T2-HK</v>
      </c>
      <c r="H5246" s="86" t="str">
        <f>_xlfn.XLOOKUP(表格1[[#This Row],[Model]],表格3[Model-Input-Ref2],表格3[Product Line])</f>
        <v>座檯式洗碗碟機</v>
      </c>
      <c r="I5246" s="86" t="str">
        <f>_xlfn.XLOOKUP(表格1[[#This Row],[Model]],表格3[Model-Input-Ref2],表格3[大小電])</f>
        <v>細電</v>
      </c>
      <c r="J5246" s="86" t="str">
        <f>_xlfn.XLOOKUP(表格1[[#This Row],[Model]],表格3[Model-Input-Ref2],表格3[Code])</f>
        <v>DW</v>
      </c>
      <c r="K5246" s="89" t="s">
        <v>1475</v>
      </c>
      <c r="L5246" s="86">
        <v>1</v>
      </c>
      <c r="M5246" s="87">
        <v>3460</v>
      </c>
      <c r="N5246" s="87">
        <f>IFERROR(表格1[[#This Row],[QTY]]*表格1[[#This Row],[Unit Price]],"-")</f>
        <v>3460</v>
      </c>
      <c r="O5246" s="86">
        <v>3747</v>
      </c>
      <c r="R5246" s="86" t="str">
        <f>_xlfn.CONCAT(表格1[[#This Row],[Model]]," ",表格1[[#This Row],[inv no]])</f>
        <v>DW-05T2-HK 3747</v>
      </c>
      <c r="S5246" s="86">
        <f>_xlfn.XLOOKUP(表格1[[#This Row],[Model]],表格3[Model-Input-Ref2],表格3[SRP PRICE])</f>
        <v>4580</v>
      </c>
      <c r="T5246" s="43">
        <f>表格1[[#This Row],[Unit Price]]/表格1[[#This Row],[SRP]]</f>
        <v>0.75545851528384278</v>
      </c>
      <c r="U5246" s="86" t="str">
        <f>_xlfn.XLOOKUP(表格1[[#This Row],[Model]],表格3[Model-Input-Ref2],表格3[TOSHIBA/HIGHEST])</f>
        <v>Toshiba SRP</v>
      </c>
      <c r="W5246" s="86" t="str">
        <f>_xlfn.CONCAT(表格1[[#This Row],[欄4]],表格1[[#This Row],[inv no]])</f>
        <v>3747</v>
      </c>
    </row>
    <row r="5247" spans="1:23" hidden="1">
      <c r="A5247" s="81">
        <v>5245</v>
      </c>
      <c r="B5247" s="86" t="s">
        <v>1470</v>
      </c>
      <c r="C5247" s="86" t="s">
        <v>2028</v>
      </c>
      <c r="D5247" s="89" t="str">
        <f ca="1">OFFSET(Roster!$A$3,MATCH(表格1[[#This Row],[Location]]&amp;" "&amp;表格1[[#This Row],[Shop]]&amp;"*",Roster!$A$4:$A$72,0),DAY(表格1[[#This Row],[date]]),1,1)</f>
        <v>Hung</v>
      </c>
      <c r="E5247" s="86">
        <f>MONTH(表格1[[#This Row],[date]])</f>
        <v>3</v>
      </c>
      <c r="F5247" s="90">
        <v>46089</v>
      </c>
      <c r="G5247" s="86" t="str">
        <f>VLOOKUP("*"&amp;表格1[[#This Row],[Input]]&amp;"*",'Ref-List'!$B:$D,2,)</f>
        <v>GR-RB449WE-PMA(57)</v>
      </c>
      <c r="H5247" s="86" t="str">
        <f>_xlfn.XLOOKUP(表格1[[#This Row],[Model]],表格3[Model-Input-Ref2],表格3[Product Line])</f>
        <v>變頻下置式雙門雪櫃</v>
      </c>
      <c r="I5247" s="86" t="str">
        <f>_xlfn.XLOOKUP(表格1[[#This Row],[Model]],表格3[Model-Input-Ref2],表格3[大小電])</f>
        <v>大電</v>
      </c>
      <c r="J5247" s="86" t="str">
        <f>_xlfn.XLOOKUP(表格1[[#This Row],[Model]],表格3[Model-Input-Ref2],表格3[Code])</f>
        <v>REF</v>
      </c>
      <c r="K5247" s="89" t="s">
        <v>1484</v>
      </c>
      <c r="L5247" s="86">
        <v>1</v>
      </c>
      <c r="M5247" s="87">
        <v>4300</v>
      </c>
      <c r="N5247" s="87">
        <f>IFERROR(表格1[[#This Row],[QTY]]*表格1[[#This Row],[Unit Price]],"-")</f>
        <v>4300</v>
      </c>
      <c r="O5247" s="86">
        <v>3749</v>
      </c>
      <c r="R5247" s="86" t="str">
        <f>_xlfn.CONCAT(表格1[[#This Row],[Model]]," ",表格1[[#This Row],[inv no]])</f>
        <v>GR-RB449WE-PMA(57) 3749</v>
      </c>
      <c r="S5247" s="86">
        <f>_xlfn.XLOOKUP(表格1[[#This Row],[Model]],表格3[Model-Input-Ref2],表格3[SRP PRICE])</f>
        <v>6280</v>
      </c>
      <c r="T5247" s="43">
        <f>表格1[[#This Row],[Unit Price]]/表格1[[#This Row],[SRP]]</f>
        <v>0.6847133757961783</v>
      </c>
      <c r="U5247" s="86" t="str">
        <f>_xlfn.XLOOKUP(表格1[[#This Row],[Model]],表格3[Model-Input-Ref2],表格3[TOSHIBA/HIGHEST])</f>
        <v>Toshiba SRP</v>
      </c>
      <c r="W5247" s="86" t="str">
        <f>_xlfn.CONCAT(表格1[[#This Row],[欄4]],表格1[[#This Row],[inv no]])</f>
        <v>3749</v>
      </c>
    </row>
    <row r="5248" spans="1:23" hidden="1">
      <c r="A5248" s="81">
        <v>5246</v>
      </c>
      <c r="B5248" s="86" t="s">
        <v>1470</v>
      </c>
      <c r="C5248" s="86" t="s">
        <v>2028</v>
      </c>
      <c r="D5248" s="89" t="str">
        <f ca="1">OFFSET(Roster!$A$3,MATCH(表格1[[#This Row],[Location]]&amp;" "&amp;表格1[[#This Row],[Shop]]&amp;"*",Roster!$A$4:$A$72,0),DAY(表格1[[#This Row],[date]]),1,1)</f>
        <v>Hung</v>
      </c>
      <c r="E5248" s="86">
        <f>MONTH(表格1[[#This Row],[date]])</f>
        <v>3</v>
      </c>
      <c r="F5248" s="90">
        <v>46089</v>
      </c>
      <c r="G5248" s="86" t="str">
        <f>VLOOKUP("*"&amp;表格1[[#This Row],[Input]]&amp;"*",'Ref-List'!$B:$D,2,)</f>
        <v>KT-08DH1VHK(W)</v>
      </c>
      <c r="H5248" s="86" t="str">
        <f>_xlfn.XLOOKUP(表格1[[#This Row],[Model]],表格3[Model-Input-Ref2],表格3[Product Line])</f>
        <v>無線雙層電熱水壺-附可鎖壺蓋(0.8公升)</v>
      </c>
      <c r="I5248" s="86" t="str">
        <f>_xlfn.XLOOKUP(表格1[[#This Row],[Model]],表格3[Model-Input-Ref2],表格3[大小電])</f>
        <v>細電</v>
      </c>
      <c r="J5248" s="86" t="str">
        <f>_xlfn.XLOOKUP(表格1[[#This Row],[Model]],表格3[Model-Input-Ref2],表格3[Code])</f>
        <v>SDA</v>
      </c>
      <c r="K5248" s="89" t="s">
        <v>1268</v>
      </c>
      <c r="L5248" s="86">
        <v>1</v>
      </c>
      <c r="M5248" s="87">
        <v>268</v>
      </c>
      <c r="N5248" s="87">
        <f>IFERROR(表格1[[#This Row],[QTY]]*表格1[[#This Row],[Unit Price]],"-")</f>
        <v>268</v>
      </c>
      <c r="O5248" s="86">
        <v>3759</v>
      </c>
      <c r="R5248" s="86" t="str">
        <f>_xlfn.CONCAT(表格1[[#This Row],[Model]]," ",表格1[[#This Row],[inv no]])</f>
        <v>KT-08DH1VHK(W) 3759</v>
      </c>
      <c r="S5248" s="86">
        <f>_xlfn.XLOOKUP(表格1[[#This Row],[Model]],表格3[Model-Input-Ref2],表格3[SRP PRICE])</f>
        <v>428</v>
      </c>
      <c r="T5248" s="43">
        <f>表格1[[#This Row],[Unit Price]]/表格1[[#This Row],[SRP]]</f>
        <v>0.62616822429906538</v>
      </c>
      <c r="U5248" s="86" t="str">
        <f>_xlfn.XLOOKUP(表格1[[#This Row],[Model]],表格3[Model-Input-Ref2],表格3[TOSHIBA/HIGHEST])</f>
        <v>Toshiba SRP</v>
      </c>
      <c r="W5248" s="86" t="str">
        <f>_xlfn.CONCAT(表格1[[#This Row],[欄4]],表格1[[#This Row],[inv no]])</f>
        <v>3759</v>
      </c>
    </row>
    <row r="5249" spans="1:23" hidden="1">
      <c r="A5249" s="81">
        <v>5247</v>
      </c>
      <c r="B5249" s="86" t="s">
        <v>1470</v>
      </c>
      <c r="C5249" s="86" t="s">
        <v>2028</v>
      </c>
      <c r="D5249" s="89" t="str">
        <f ca="1">OFFSET(Roster!$A$3,MATCH(表格1[[#This Row],[Location]]&amp;" "&amp;表格1[[#This Row],[Shop]]&amp;"*",Roster!$A$4:$A$72,0),DAY(表格1[[#This Row],[date]]),1,1)</f>
        <v>Hung</v>
      </c>
      <c r="E5249" s="86">
        <f>MONTH(表格1[[#This Row],[date]])</f>
        <v>3</v>
      </c>
      <c r="F5249" s="90">
        <v>46089</v>
      </c>
      <c r="G5249" s="86" t="str">
        <f>VLOOKUP("*"&amp;表格1[[#This Row],[Input]]&amp;"*",'Ref-List'!$B:$D,2,)</f>
        <v>GR-RB221WE-PMA(57)</v>
      </c>
      <c r="H5249" s="86" t="str">
        <f>_xlfn.XLOOKUP(表格1[[#This Row],[Model]],表格3[Model-Input-Ref2],表格3[Product Line])</f>
        <v>變頻下置式雙門雪櫃（163L）</v>
      </c>
      <c r="I5249" s="86" t="str">
        <f>_xlfn.XLOOKUP(表格1[[#This Row],[Model]],表格3[Model-Input-Ref2],表格3[大小電])</f>
        <v>大電</v>
      </c>
      <c r="J5249" s="86" t="str">
        <f>_xlfn.XLOOKUP(表格1[[#This Row],[Model]],表格3[Model-Input-Ref2],表格3[Code])</f>
        <v>REF</v>
      </c>
      <c r="K5249" s="89" t="s">
        <v>1386</v>
      </c>
      <c r="L5249" s="86">
        <v>1</v>
      </c>
      <c r="M5249" s="87">
        <v>2080</v>
      </c>
      <c r="N5249" s="87">
        <f>IFERROR(表格1[[#This Row],[QTY]]*表格1[[#This Row],[Unit Price]],"-")</f>
        <v>2080</v>
      </c>
      <c r="O5249" s="86">
        <v>3800</v>
      </c>
      <c r="R5249" s="86" t="str">
        <f>_xlfn.CONCAT(表格1[[#This Row],[Model]]," ",表格1[[#This Row],[inv no]])</f>
        <v>GR-RB221WE-PMA(57) 3800</v>
      </c>
      <c r="S5249" s="86">
        <f>_xlfn.XLOOKUP(表格1[[#This Row],[Model]],表格3[Model-Input-Ref2],表格3[SRP PRICE])</f>
        <v>3480</v>
      </c>
      <c r="T5249" s="43">
        <f>表格1[[#This Row],[Unit Price]]/表格1[[#This Row],[SRP]]</f>
        <v>0.5977011494252874</v>
      </c>
      <c r="U5249" s="86" t="str">
        <f>_xlfn.XLOOKUP(表格1[[#This Row],[Model]],表格3[Model-Input-Ref2],表格3[TOSHIBA/HIGHEST])</f>
        <v>Toshiba SRP</v>
      </c>
      <c r="W5249" s="86" t="str">
        <f>_xlfn.CONCAT(表格1[[#This Row],[欄4]],表格1[[#This Row],[inv no]])</f>
        <v>3800</v>
      </c>
    </row>
    <row r="5250" spans="1:23" hidden="1">
      <c r="A5250" s="81">
        <v>5248</v>
      </c>
      <c r="B5250" s="86" t="s">
        <v>1470</v>
      </c>
      <c r="C5250" s="86" t="s">
        <v>2028</v>
      </c>
      <c r="D5250" s="89" t="str">
        <f ca="1">OFFSET(Roster!$A$3,MATCH(表格1[[#This Row],[Location]]&amp;" "&amp;表格1[[#This Row],[Shop]]&amp;"*",Roster!$A$4:$A$72,0),DAY(表格1[[#This Row],[date]]),1,1)</f>
        <v>Hung</v>
      </c>
      <c r="E5250" s="86">
        <f>MONTH(表格1[[#This Row],[date]])</f>
        <v>3</v>
      </c>
      <c r="F5250" s="90">
        <v>46089</v>
      </c>
      <c r="G5250" s="86" t="str">
        <f>VLOOKUP("*"&amp;表格1[[#This Row],[Input]]&amp;"*",'Ref-List'!$B:$D,2,)</f>
        <v>RAD-D300H</v>
      </c>
      <c r="H5250" s="86" t="str">
        <f>_xlfn.XLOOKUP(表格1[[#This Row],[Model]],表格3[Model-Input-Ref2],表格3[Product Line])</f>
        <v>壓縮式抽濕機 (30公升)</v>
      </c>
      <c r="I5250" s="86" t="str">
        <f>_xlfn.XLOOKUP(表格1[[#This Row],[Model]],表格3[Model-Input-Ref2],表格3[大小電])</f>
        <v>細電</v>
      </c>
      <c r="J5250" s="86" t="str">
        <f>_xlfn.XLOOKUP(表格1[[#This Row],[Model]],表格3[Model-Input-Ref2],表格3[Code])</f>
        <v>RAC</v>
      </c>
      <c r="K5250" s="89" t="s">
        <v>1252</v>
      </c>
      <c r="L5250" s="86">
        <v>1</v>
      </c>
      <c r="M5250" s="87">
        <v>1980</v>
      </c>
      <c r="N5250" s="87">
        <f>IFERROR(表格1[[#This Row],[QTY]]*表格1[[#This Row],[Unit Price]],"-")</f>
        <v>1980</v>
      </c>
      <c r="O5250" s="86">
        <v>3866</v>
      </c>
      <c r="R5250" s="86" t="str">
        <f>_xlfn.CONCAT(表格1[[#This Row],[Model]]," ",表格1[[#This Row],[inv no]])</f>
        <v>RAD-D300H 3866</v>
      </c>
      <c r="S5250" s="86">
        <f>_xlfn.XLOOKUP(表格1[[#This Row],[Model]],表格3[Model-Input-Ref2],表格3[SRP PRICE])</f>
        <v>3380</v>
      </c>
      <c r="T5250" s="43">
        <f>表格1[[#This Row],[Unit Price]]/表格1[[#This Row],[SRP]]</f>
        <v>0.58579881656804733</v>
      </c>
      <c r="U5250" s="86" t="str">
        <f>_xlfn.XLOOKUP(表格1[[#This Row],[Model]],表格3[Model-Input-Ref2],表格3[TOSHIBA/HIGHEST])</f>
        <v>Shops Highest Price</v>
      </c>
      <c r="W5250" s="86" t="str">
        <f>_xlfn.CONCAT(表格1[[#This Row],[欄4]],表格1[[#This Row],[inv no]])</f>
        <v>3866</v>
      </c>
    </row>
    <row r="5251" spans="1:23" hidden="1">
      <c r="A5251" s="81">
        <v>5249</v>
      </c>
      <c r="B5251" s="86" t="s">
        <v>1470</v>
      </c>
      <c r="C5251" s="86" t="s">
        <v>2028</v>
      </c>
      <c r="D5251" s="89" t="str">
        <f ca="1">OFFSET(Roster!$A$3,MATCH(表格1[[#This Row],[Location]]&amp;" "&amp;表格1[[#This Row],[Shop]]&amp;"*",Roster!$A$4:$A$72,0),DAY(表格1[[#This Row],[date]]),1,1)</f>
        <v>Hung</v>
      </c>
      <c r="E5251" s="86">
        <f>MONTH(表格1[[#This Row],[date]])</f>
        <v>3</v>
      </c>
      <c r="F5251" s="90">
        <v>46089</v>
      </c>
      <c r="G5251" s="86" t="str">
        <f>VLOOKUP("*"&amp;表格1[[#This Row],[Input]]&amp;"*",'Ref-List'!$B:$D,2,)</f>
        <v>RC-10ISSHK(W)</v>
      </c>
      <c r="H5251" s="86" t="str">
        <f>_xlfn.XLOOKUP(表格1[[#This Row],[Model]],表格3[Model-Input-Ref2],表格3[Product Line])</f>
        <v>磁應電飯煲(1公升)</v>
      </c>
      <c r="I5251" s="86" t="str">
        <f>_xlfn.XLOOKUP(表格1[[#This Row],[Model]],表格3[Model-Input-Ref2],表格3[大小電])</f>
        <v>細電</v>
      </c>
      <c r="J5251" s="86" t="str">
        <f>_xlfn.XLOOKUP(表格1[[#This Row],[Model]],表格3[Model-Input-Ref2],表格3[Code])</f>
        <v>SDA</v>
      </c>
      <c r="K5251" s="89" t="s">
        <v>1286</v>
      </c>
      <c r="L5251" s="86">
        <v>1</v>
      </c>
      <c r="M5251" s="87">
        <v>980</v>
      </c>
      <c r="N5251" s="87">
        <f>IFERROR(表格1[[#This Row],[QTY]]*表格1[[#This Row],[Unit Price]],"-")</f>
        <v>980</v>
      </c>
      <c r="O5251" s="86">
        <v>3895</v>
      </c>
      <c r="R5251" s="86" t="str">
        <f>_xlfn.CONCAT(表格1[[#This Row],[Model]]," ",表格1[[#This Row],[inv no]])</f>
        <v>RC-10ISSHK(W) 3895</v>
      </c>
      <c r="S5251" s="86">
        <f>_xlfn.XLOOKUP(表格1[[#This Row],[Model]],表格3[Model-Input-Ref2],表格3[SRP PRICE])</f>
        <v>1188</v>
      </c>
      <c r="T5251" s="43">
        <f>表格1[[#This Row],[Unit Price]]/表格1[[#This Row],[SRP]]</f>
        <v>0.82491582491582494</v>
      </c>
      <c r="U5251" s="86" t="str">
        <f>_xlfn.XLOOKUP(表格1[[#This Row],[Model]],表格3[Model-Input-Ref2],表格3[TOSHIBA/HIGHEST])</f>
        <v>Shops Highest Price</v>
      </c>
      <c r="W5251" s="86" t="str">
        <f>_xlfn.CONCAT(表格1[[#This Row],[欄4]],表格1[[#This Row],[inv no]])</f>
        <v>3895</v>
      </c>
    </row>
    <row r="5252" spans="1:23" hidden="1">
      <c r="A5252" s="81">
        <v>5250</v>
      </c>
      <c r="B5252" s="86" t="s">
        <v>1470</v>
      </c>
      <c r="C5252" s="86" t="s">
        <v>2028</v>
      </c>
      <c r="D5252" s="89" t="str">
        <f ca="1">OFFSET(Roster!$A$3,MATCH(表格1[[#This Row],[Location]]&amp;" "&amp;表格1[[#This Row],[Shop]]&amp;"*",Roster!$A$4:$A$72,0),DAY(表格1[[#This Row],[date]]),1,1)</f>
        <v>Hung</v>
      </c>
      <c r="E5252" s="86">
        <f>MONTH(表格1[[#This Row],[date]])</f>
        <v>3</v>
      </c>
      <c r="F5252" s="90">
        <v>46089</v>
      </c>
      <c r="G5252" s="86" t="str">
        <f>VLOOKUP("*"&amp;表格1[[#This Row],[Input]]&amp;"*",'Ref-List'!$B:$D,2,)</f>
        <v>MW3-SAC24SE(BK)</v>
      </c>
      <c r="H5252" s="86" t="str">
        <f>_xlfn.XLOOKUP(表格1[[#This Row],[Model]],表格3[Model-Input-Ref2],表格3[Product Line])</f>
        <v>智能氣炸烤焗爐(24公升)</v>
      </c>
      <c r="I5252" s="86" t="str">
        <f>_xlfn.XLOOKUP(表格1[[#This Row],[Model]],表格3[Model-Input-Ref2],表格3[大小電])</f>
        <v>細電</v>
      </c>
      <c r="J5252" s="86" t="str">
        <f>_xlfn.XLOOKUP(表格1[[#This Row],[Model]],表格3[Model-Input-Ref2],表格3[Code])</f>
        <v>MCA</v>
      </c>
      <c r="K5252" s="89" t="s">
        <v>1274</v>
      </c>
      <c r="L5252" s="86">
        <v>1</v>
      </c>
      <c r="M5252" s="87">
        <v>1298</v>
      </c>
      <c r="N5252" s="87">
        <f>IFERROR(表格1[[#This Row],[QTY]]*表格1[[#This Row],[Unit Price]],"-")</f>
        <v>1298</v>
      </c>
      <c r="O5252" s="86">
        <v>3905</v>
      </c>
      <c r="R5252" s="86" t="str">
        <f>_xlfn.CONCAT(表格1[[#This Row],[Model]]," ",表格1[[#This Row],[inv no]])</f>
        <v>MW3-SAC24SE(BK) 3905</v>
      </c>
      <c r="S5252" s="86">
        <f>_xlfn.XLOOKUP(表格1[[#This Row],[Model]],表格3[Model-Input-Ref2],表格3[SRP PRICE])</f>
        <v>1680</v>
      </c>
      <c r="T5252" s="43">
        <f>表格1[[#This Row],[Unit Price]]/表格1[[#This Row],[SRP]]</f>
        <v>0.77261904761904765</v>
      </c>
      <c r="U5252" s="86" t="str">
        <f>_xlfn.XLOOKUP(表格1[[#This Row],[Model]],表格3[Model-Input-Ref2],表格3[TOSHIBA/HIGHEST])</f>
        <v>Toshiba SRP</v>
      </c>
      <c r="W5252" s="86" t="str">
        <f>_xlfn.CONCAT(表格1[[#This Row],[欄4]],表格1[[#This Row],[inv no]])</f>
        <v>3905</v>
      </c>
    </row>
    <row r="5253" spans="1:23" hidden="1">
      <c r="A5253" s="81">
        <v>5251</v>
      </c>
      <c r="B5253" s="86" t="s">
        <v>1470</v>
      </c>
      <c r="C5253" s="86" t="s">
        <v>2028</v>
      </c>
      <c r="D5253" s="89" t="str">
        <f ca="1">OFFSET(Roster!$A$3,MATCH(表格1[[#This Row],[Location]]&amp;" "&amp;表格1[[#This Row],[Shop]]&amp;"*",Roster!$A$4:$A$72,0),DAY(表格1[[#This Row],[date]]),1,1)</f>
        <v>Hung</v>
      </c>
      <c r="E5253" s="86">
        <f>MONTH(表格1[[#This Row],[date]])</f>
        <v>3</v>
      </c>
      <c r="F5253" s="90">
        <v>46089</v>
      </c>
      <c r="G5253" s="86" t="str">
        <f>VLOOKUP("*"&amp;表格1[[#This Row],[Input]]&amp;"*",'Ref-List'!$B:$D,2,)</f>
        <v>RAD-D300H</v>
      </c>
      <c r="H5253" s="86" t="str">
        <f>_xlfn.XLOOKUP(表格1[[#This Row],[Model]],表格3[Model-Input-Ref2],表格3[Product Line])</f>
        <v>壓縮式抽濕機 (30公升)</v>
      </c>
      <c r="I5253" s="86" t="str">
        <f>_xlfn.XLOOKUP(表格1[[#This Row],[Model]],表格3[Model-Input-Ref2],表格3[大小電])</f>
        <v>細電</v>
      </c>
      <c r="J5253" s="86" t="str">
        <f>_xlfn.XLOOKUP(表格1[[#This Row],[Model]],表格3[Model-Input-Ref2],表格3[Code])</f>
        <v>RAC</v>
      </c>
      <c r="K5253" s="89" t="s">
        <v>1252</v>
      </c>
      <c r="L5253" s="86">
        <v>1</v>
      </c>
      <c r="M5253" s="87">
        <v>1980</v>
      </c>
      <c r="N5253" s="87">
        <f>IFERROR(表格1[[#This Row],[QTY]]*表格1[[#This Row],[Unit Price]],"-")</f>
        <v>1980</v>
      </c>
      <c r="O5253" s="86">
        <v>3910</v>
      </c>
      <c r="R5253" s="86" t="str">
        <f>_xlfn.CONCAT(表格1[[#This Row],[Model]]," ",表格1[[#This Row],[inv no]])</f>
        <v>RAD-D300H 3910</v>
      </c>
      <c r="S5253" s="86">
        <f>_xlfn.XLOOKUP(表格1[[#This Row],[Model]],表格3[Model-Input-Ref2],表格3[SRP PRICE])</f>
        <v>3380</v>
      </c>
      <c r="T5253" s="43">
        <f>表格1[[#This Row],[Unit Price]]/表格1[[#This Row],[SRP]]</f>
        <v>0.58579881656804733</v>
      </c>
      <c r="U5253" s="86" t="str">
        <f>_xlfn.XLOOKUP(表格1[[#This Row],[Model]],表格3[Model-Input-Ref2],表格3[TOSHIBA/HIGHEST])</f>
        <v>Shops Highest Price</v>
      </c>
      <c r="W5253" s="86" t="str">
        <f>_xlfn.CONCAT(表格1[[#This Row],[欄4]],表格1[[#This Row],[inv no]])</f>
        <v>3910</v>
      </c>
    </row>
    <row r="5254" spans="1:23" hidden="1">
      <c r="A5254" s="81">
        <v>5252</v>
      </c>
      <c r="B5254" s="86" t="s">
        <v>1470</v>
      </c>
      <c r="C5254" s="86" t="s">
        <v>2028</v>
      </c>
      <c r="D5254" s="89" t="str">
        <f ca="1">OFFSET(Roster!$A$3,MATCH(表格1[[#This Row],[Location]]&amp;" "&amp;表格1[[#This Row],[Shop]]&amp;"*",Roster!$A$4:$A$72,0),DAY(表格1[[#This Row],[date]]),1,1)</f>
        <v>Hung</v>
      </c>
      <c r="E5254" s="86">
        <f>MONTH(表格1[[#This Row],[date]])</f>
        <v>3</v>
      </c>
      <c r="F5254" s="90">
        <v>46089</v>
      </c>
      <c r="G5254" s="86" t="str">
        <f>VLOOKUP("*"&amp;表格1[[#This Row],[Input]]&amp;"*",'Ref-List'!$B:$D,2,)</f>
        <v>KT-17SHNH</v>
      </c>
      <c r="H5254" s="86" t="str">
        <f>_xlfn.XLOOKUP(表格1[[#This Row],[Model]],表格3[Model-Input-Ref2],表格3[Product Line])</f>
        <v>1.7L無線雙層電熱水壺</v>
      </c>
      <c r="I5254" s="86" t="str">
        <f>_xlfn.XLOOKUP(表格1[[#This Row],[Model]],表格3[Model-Input-Ref2],表格3[大小電])</f>
        <v>細電</v>
      </c>
      <c r="J5254" s="86" t="str">
        <f>_xlfn.XLOOKUP(表格1[[#This Row],[Model]],表格3[Model-Input-Ref2],表格3[Code])</f>
        <v>SDA</v>
      </c>
      <c r="K5254" s="89" t="s">
        <v>1283</v>
      </c>
      <c r="L5254" s="86">
        <v>1</v>
      </c>
      <c r="M5254" s="87">
        <v>198</v>
      </c>
      <c r="N5254" s="87">
        <f>IFERROR(表格1[[#This Row],[QTY]]*表格1[[#This Row],[Unit Price]],"-")</f>
        <v>198</v>
      </c>
      <c r="O5254" s="86">
        <v>3911</v>
      </c>
      <c r="R5254" s="86" t="str">
        <f>_xlfn.CONCAT(表格1[[#This Row],[Model]]," ",表格1[[#This Row],[inv no]])</f>
        <v>KT-17SHNH 3911</v>
      </c>
      <c r="S5254" s="86">
        <f>_xlfn.XLOOKUP(表格1[[#This Row],[Model]],表格3[Model-Input-Ref2],表格3[SRP PRICE])</f>
        <v>299</v>
      </c>
      <c r="T5254" s="43">
        <f>表格1[[#This Row],[Unit Price]]/表格1[[#This Row],[SRP]]</f>
        <v>0.66220735785953178</v>
      </c>
      <c r="U5254" s="86" t="str">
        <f>_xlfn.XLOOKUP(表格1[[#This Row],[Model]],表格3[Model-Input-Ref2],表格3[TOSHIBA/HIGHEST])</f>
        <v>Shops Highest Price</v>
      </c>
      <c r="W5254" s="86" t="str">
        <f>_xlfn.CONCAT(表格1[[#This Row],[欄4]],表格1[[#This Row],[inv no]])</f>
        <v>3911</v>
      </c>
    </row>
    <row r="5255" spans="1:23" hidden="1">
      <c r="A5255" s="81">
        <v>5253</v>
      </c>
      <c r="B5255" s="86" t="s">
        <v>1470</v>
      </c>
      <c r="C5255" s="86" t="s">
        <v>2028</v>
      </c>
      <c r="D5255" s="89" t="str">
        <f ca="1">OFFSET(Roster!$A$3,MATCH(表格1[[#This Row],[Location]]&amp;" "&amp;表格1[[#This Row],[Shop]]&amp;"*",Roster!$A$4:$A$72,0),DAY(表格1[[#This Row],[date]]),1,1)</f>
        <v>Hung</v>
      </c>
      <c r="E5255" s="86">
        <f>MONTH(表格1[[#This Row],[date]])</f>
        <v>3</v>
      </c>
      <c r="F5255" s="90">
        <v>46090</v>
      </c>
      <c r="G5255" s="86" t="str">
        <f>VLOOKUP("*"&amp;表格1[[#This Row],[Input]]&amp;"*",'Ref-List'!$B:$D,2,)</f>
        <v>RC-10ISSHK(W)</v>
      </c>
      <c r="H5255" s="86" t="str">
        <f>_xlfn.XLOOKUP(表格1[[#This Row],[Model]],表格3[Model-Input-Ref2],表格3[Product Line])</f>
        <v>磁應電飯煲(1公升)</v>
      </c>
      <c r="I5255" s="86" t="str">
        <f>_xlfn.XLOOKUP(表格1[[#This Row],[Model]],表格3[Model-Input-Ref2],表格3[大小電])</f>
        <v>細電</v>
      </c>
      <c r="J5255" s="86" t="str">
        <f>_xlfn.XLOOKUP(表格1[[#This Row],[Model]],表格3[Model-Input-Ref2],表格3[Code])</f>
        <v>SDA</v>
      </c>
      <c r="K5255" s="89" t="s">
        <v>1286</v>
      </c>
      <c r="L5255" s="86">
        <v>1</v>
      </c>
      <c r="M5255" s="87">
        <v>980</v>
      </c>
      <c r="N5255" s="87">
        <f>IFERROR(表格1[[#This Row],[QTY]]*表格1[[#This Row],[Unit Price]],"-")</f>
        <v>980</v>
      </c>
      <c r="O5255" s="86">
        <v>3920</v>
      </c>
      <c r="R5255" s="86" t="str">
        <f>_xlfn.CONCAT(表格1[[#This Row],[Model]]," ",表格1[[#This Row],[inv no]])</f>
        <v>RC-10ISSHK(W) 3920</v>
      </c>
      <c r="S5255" s="86">
        <f>_xlfn.XLOOKUP(表格1[[#This Row],[Model]],表格3[Model-Input-Ref2],表格3[SRP PRICE])</f>
        <v>1188</v>
      </c>
      <c r="T5255" s="43">
        <f>表格1[[#This Row],[Unit Price]]/表格1[[#This Row],[SRP]]</f>
        <v>0.82491582491582494</v>
      </c>
      <c r="U5255" s="86" t="str">
        <f>_xlfn.XLOOKUP(表格1[[#This Row],[Model]],表格3[Model-Input-Ref2],表格3[TOSHIBA/HIGHEST])</f>
        <v>Shops Highest Price</v>
      </c>
      <c r="W5255" s="86" t="str">
        <f>_xlfn.CONCAT(表格1[[#This Row],[欄4]],表格1[[#This Row],[inv no]])</f>
        <v>3920</v>
      </c>
    </row>
    <row r="5256" spans="1:23" hidden="1">
      <c r="A5256" s="81">
        <v>5254</v>
      </c>
      <c r="B5256" s="86" t="s">
        <v>1470</v>
      </c>
      <c r="C5256" s="86" t="s">
        <v>2028</v>
      </c>
      <c r="D5256" s="89" t="str">
        <f ca="1">OFFSET(Roster!$A$3,MATCH(表格1[[#This Row],[Location]]&amp;" "&amp;表格1[[#This Row],[Shop]]&amp;"*",Roster!$A$4:$A$72,0),DAY(表格1[[#This Row],[date]]),1,1)</f>
        <v>Hung</v>
      </c>
      <c r="E5256" s="86">
        <f>MONTH(表格1[[#This Row],[date]])</f>
        <v>3</v>
      </c>
      <c r="F5256" s="90">
        <v>46090</v>
      </c>
      <c r="G5256" s="86" t="str">
        <f>VLOOKUP("*"&amp;表格1[[#This Row],[Input]]&amp;"*",'Ref-List'!$B:$D,2,)</f>
        <v>RAD-D300H</v>
      </c>
      <c r="H5256" s="86" t="str">
        <f>_xlfn.XLOOKUP(表格1[[#This Row],[Model]],表格3[Model-Input-Ref2],表格3[Product Line])</f>
        <v>壓縮式抽濕機 (30公升)</v>
      </c>
      <c r="I5256" s="86" t="str">
        <f>_xlfn.XLOOKUP(表格1[[#This Row],[Model]],表格3[Model-Input-Ref2],表格3[大小電])</f>
        <v>細電</v>
      </c>
      <c r="J5256" s="86" t="str">
        <f>_xlfn.XLOOKUP(表格1[[#This Row],[Model]],表格3[Model-Input-Ref2],表格3[Code])</f>
        <v>RAC</v>
      </c>
      <c r="K5256" s="89" t="s">
        <v>1252</v>
      </c>
      <c r="L5256" s="86">
        <v>1</v>
      </c>
      <c r="M5256" s="87">
        <v>2088</v>
      </c>
      <c r="N5256" s="87">
        <f>IFERROR(表格1[[#This Row],[QTY]]*表格1[[#This Row],[Unit Price]],"-")</f>
        <v>2088</v>
      </c>
      <c r="O5256" s="86">
        <v>3942</v>
      </c>
      <c r="R5256" s="86" t="str">
        <f>_xlfn.CONCAT(表格1[[#This Row],[Model]]," ",表格1[[#This Row],[inv no]])</f>
        <v>RAD-D300H 3942</v>
      </c>
      <c r="S5256" s="86">
        <f>_xlfn.XLOOKUP(表格1[[#This Row],[Model]],表格3[Model-Input-Ref2],表格3[SRP PRICE])</f>
        <v>3380</v>
      </c>
      <c r="T5256" s="43">
        <f>表格1[[#This Row],[Unit Price]]/表格1[[#This Row],[SRP]]</f>
        <v>0.61775147928994079</v>
      </c>
      <c r="U5256" s="86" t="str">
        <f>_xlfn.XLOOKUP(表格1[[#This Row],[Model]],表格3[Model-Input-Ref2],表格3[TOSHIBA/HIGHEST])</f>
        <v>Shops Highest Price</v>
      </c>
      <c r="W5256" s="86" t="str">
        <f>_xlfn.CONCAT(表格1[[#This Row],[欄4]],表格1[[#This Row],[inv no]])</f>
        <v>3942</v>
      </c>
    </row>
    <row r="5257" spans="1:23" hidden="1">
      <c r="A5257" s="81">
        <v>5255</v>
      </c>
      <c r="B5257" s="86" t="s">
        <v>1470</v>
      </c>
      <c r="C5257" s="86" t="s">
        <v>2028</v>
      </c>
      <c r="D5257" s="89" t="str">
        <f ca="1">OFFSET(Roster!$A$3,MATCH(表格1[[#This Row],[Location]]&amp;" "&amp;表格1[[#This Row],[Shop]]&amp;"*",Roster!$A$4:$A$72,0),DAY(表格1[[#This Row],[date]]),1,1)</f>
        <v>Hung</v>
      </c>
      <c r="E5257" s="86">
        <f>MONTH(表格1[[#This Row],[date]])</f>
        <v>3</v>
      </c>
      <c r="F5257" s="90">
        <v>46090</v>
      </c>
      <c r="G5257" s="86" t="str">
        <f>VLOOKUP("*"&amp;表格1[[#This Row],[Input]]&amp;"*",'Ref-List'!$B:$D,2,)</f>
        <v>RAD-D300H</v>
      </c>
      <c r="H5257" s="86" t="str">
        <f>_xlfn.XLOOKUP(表格1[[#This Row],[Model]],表格3[Model-Input-Ref2],表格3[Product Line])</f>
        <v>壓縮式抽濕機 (30公升)</v>
      </c>
      <c r="I5257" s="86" t="str">
        <f>_xlfn.XLOOKUP(表格1[[#This Row],[Model]],表格3[Model-Input-Ref2],表格3[大小電])</f>
        <v>細電</v>
      </c>
      <c r="J5257" s="86" t="str">
        <f>_xlfn.XLOOKUP(表格1[[#This Row],[Model]],表格3[Model-Input-Ref2],表格3[Code])</f>
        <v>RAC</v>
      </c>
      <c r="K5257" s="89" t="s">
        <v>1252</v>
      </c>
      <c r="L5257" s="86">
        <v>1</v>
      </c>
      <c r="M5257" s="87">
        <v>2088</v>
      </c>
      <c r="N5257" s="87">
        <f>IFERROR(表格1[[#This Row],[QTY]]*表格1[[#This Row],[Unit Price]],"-")</f>
        <v>2088</v>
      </c>
      <c r="O5257" s="86">
        <v>3949</v>
      </c>
      <c r="R5257" s="86" t="str">
        <f>_xlfn.CONCAT(表格1[[#This Row],[Model]]," ",表格1[[#This Row],[inv no]])</f>
        <v>RAD-D300H 3949</v>
      </c>
      <c r="S5257" s="86">
        <f>_xlfn.XLOOKUP(表格1[[#This Row],[Model]],表格3[Model-Input-Ref2],表格3[SRP PRICE])</f>
        <v>3380</v>
      </c>
      <c r="T5257" s="43">
        <f>表格1[[#This Row],[Unit Price]]/表格1[[#This Row],[SRP]]</f>
        <v>0.61775147928994079</v>
      </c>
      <c r="U5257" s="86" t="str">
        <f>_xlfn.XLOOKUP(表格1[[#This Row],[Model]],表格3[Model-Input-Ref2],表格3[TOSHIBA/HIGHEST])</f>
        <v>Shops Highest Price</v>
      </c>
      <c r="W5257" s="86" t="str">
        <f>_xlfn.CONCAT(表格1[[#This Row],[欄4]],表格1[[#This Row],[inv no]])</f>
        <v>3949</v>
      </c>
    </row>
    <row r="5258" spans="1:23" hidden="1">
      <c r="A5258" s="81">
        <v>5256</v>
      </c>
      <c r="B5258" s="86" t="s">
        <v>1470</v>
      </c>
      <c r="C5258" s="86" t="s">
        <v>2028</v>
      </c>
      <c r="D5258" s="89" t="str">
        <f ca="1">OFFSET(Roster!$A$3,MATCH(表格1[[#This Row],[Location]]&amp;" "&amp;表格1[[#This Row],[Shop]]&amp;"*",Roster!$A$4:$A$72,0),DAY(表格1[[#This Row],[date]]),1,1)</f>
        <v>Hung</v>
      </c>
      <c r="E5258" s="86">
        <f>MONTH(表格1[[#This Row],[date]])</f>
        <v>3</v>
      </c>
      <c r="F5258" s="90">
        <v>46091</v>
      </c>
      <c r="G5258" s="86" t="str">
        <f>VLOOKUP("*"&amp;表格1[[#This Row],[Input]]&amp;"*",'Ref-List'!$B:$D,2,)</f>
        <v>RAD-D300H</v>
      </c>
      <c r="H5258" s="86" t="str">
        <f>_xlfn.XLOOKUP(表格1[[#This Row],[Model]],表格3[Model-Input-Ref2],表格3[Product Line])</f>
        <v>壓縮式抽濕機 (30公升)</v>
      </c>
      <c r="I5258" s="86" t="str">
        <f>_xlfn.XLOOKUP(表格1[[#This Row],[Model]],表格3[Model-Input-Ref2],表格3[大小電])</f>
        <v>細電</v>
      </c>
      <c r="J5258" s="86" t="str">
        <f>_xlfn.XLOOKUP(表格1[[#This Row],[Model]],表格3[Model-Input-Ref2],表格3[Code])</f>
        <v>RAC</v>
      </c>
      <c r="K5258" s="89" t="s">
        <v>1252</v>
      </c>
      <c r="L5258" s="86">
        <v>1</v>
      </c>
      <c r="M5258" s="87">
        <v>1980</v>
      </c>
      <c r="N5258" s="87">
        <f>IFERROR(表格1[[#This Row],[QTY]]*表格1[[#This Row],[Unit Price]],"-")</f>
        <v>1980</v>
      </c>
      <c r="O5258" s="86">
        <v>3978</v>
      </c>
      <c r="R5258" s="86" t="str">
        <f>_xlfn.CONCAT(表格1[[#This Row],[Model]]," ",表格1[[#This Row],[inv no]])</f>
        <v>RAD-D300H 3978</v>
      </c>
      <c r="S5258" s="86">
        <f>_xlfn.XLOOKUP(表格1[[#This Row],[Model]],表格3[Model-Input-Ref2],表格3[SRP PRICE])</f>
        <v>3380</v>
      </c>
      <c r="T5258" s="43">
        <f>表格1[[#This Row],[Unit Price]]/表格1[[#This Row],[SRP]]</f>
        <v>0.58579881656804733</v>
      </c>
      <c r="U5258" s="86" t="str">
        <f>_xlfn.XLOOKUP(表格1[[#This Row],[Model]],表格3[Model-Input-Ref2],表格3[TOSHIBA/HIGHEST])</f>
        <v>Shops Highest Price</v>
      </c>
      <c r="W5258" s="86" t="str">
        <f>_xlfn.CONCAT(表格1[[#This Row],[欄4]],表格1[[#This Row],[inv no]])</f>
        <v>3978</v>
      </c>
    </row>
    <row r="5259" spans="1:23" hidden="1">
      <c r="A5259" s="81">
        <v>5257</v>
      </c>
      <c r="B5259" s="86" t="s">
        <v>1470</v>
      </c>
      <c r="C5259" s="86" t="s">
        <v>2028</v>
      </c>
      <c r="D5259" s="89" t="str">
        <f ca="1">OFFSET(Roster!$A$3,MATCH(表格1[[#This Row],[Location]]&amp;" "&amp;表格1[[#This Row],[Shop]]&amp;"*",Roster!$A$4:$A$72,0),DAY(表格1[[#This Row],[date]]),1,1)</f>
        <v>Hung</v>
      </c>
      <c r="E5259" s="86">
        <f>MONTH(表格1[[#This Row],[date]])</f>
        <v>3</v>
      </c>
      <c r="F5259" s="90">
        <v>46091</v>
      </c>
      <c r="G5259" s="86" t="str">
        <f>VLOOKUP("*"&amp;表格1[[#This Row],[Input]]&amp;"*",'Ref-List'!$B:$D,2,)</f>
        <v>RAC-18G3CVRGR-HK</v>
      </c>
      <c r="H5259" s="86" t="str">
        <f>_xlfn.XLOOKUP(表格1[[#This Row],[Model]],表格3[Model-Input-Ref2],表格3[Product Line])</f>
        <v>2 匹 R32變頻窗口式冷氣機 (remote)</v>
      </c>
      <c r="I5259" s="86" t="str">
        <f>_xlfn.XLOOKUP(表格1[[#This Row],[Model]],表格3[Model-Input-Ref2],表格3[大小電])</f>
        <v>大電</v>
      </c>
      <c r="J5259" s="86" t="str">
        <f>_xlfn.XLOOKUP(表格1[[#This Row],[Model]],表格3[Model-Input-Ref2],表格3[Code])</f>
        <v>AC</v>
      </c>
      <c r="K5259" s="89" t="s">
        <v>1471</v>
      </c>
      <c r="L5259" s="86">
        <v>1</v>
      </c>
      <c r="M5259" s="87">
        <v>5999</v>
      </c>
      <c r="N5259" s="87">
        <f>IFERROR(表格1[[#This Row],[QTY]]*表格1[[#This Row],[Unit Price]],"-")</f>
        <v>5999</v>
      </c>
      <c r="O5259" s="86">
        <v>3994</v>
      </c>
      <c r="R5259" s="86" t="str">
        <f>_xlfn.CONCAT(表格1[[#This Row],[Model]]," ",表格1[[#This Row],[inv no]])</f>
        <v>RAC-18G3CVRGR-HK 3994</v>
      </c>
      <c r="S5259" s="86">
        <f>_xlfn.XLOOKUP(表格1[[#This Row],[Model]],表格3[Model-Input-Ref2],表格3[SRP PRICE])</f>
        <v>10380</v>
      </c>
      <c r="T5259" s="43">
        <f>表格1[[#This Row],[Unit Price]]/表格1[[#This Row],[SRP]]</f>
        <v>0.57793834296724467</v>
      </c>
      <c r="U5259" s="86" t="str">
        <f>_xlfn.XLOOKUP(表格1[[#This Row],[Model]],表格3[Model-Input-Ref2],表格3[TOSHIBA/HIGHEST])</f>
        <v>Toshiba SRP</v>
      </c>
      <c r="W5259" s="86" t="str">
        <f>_xlfn.CONCAT(表格1[[#This Row],[欄4]],表格1[[#This Row],[inv no]])</f>
        <v>3994</v>
      </c>
    </row>
    <row r="5260" spans="1:23" hidden="1">
      <c r="A5260" s="81">
        <v>5258</v>
      </c>
      <c r="B5260" s="86" t="s">
        <v>1470</v>
      </c>
      <c r="C5260" s="86" t="s">
        <v>2028</v>
      </c>
      <c r="D5260" s="89" t="str">
        <f ca="1">OFFSET(Roster!$A$3,MATCH(表格1[[#This Row],[Location]]&amp;" "&amp;表格1[[#This Row],[Shop]]&amp;"*",Roster!$A$4:$A$72,0),DAY(表格1[[#This Row],[date]]),1,1)</f>
        <v>Hung</v>
      </c>
      <c r="E5260" s="86">
        <f>MONTH(表格1[[#This Row],[date]])</f>
        <v>3</v>
      </c>
      <c r="F5260" s="90">
        <v>46091</v>
      </c>
      <c r="G5260" s="86" t="str">
        <f>VLOOKUP("*"&amp;表格1[[#This Row],[Input]]&amp;"*",'Ref-List'!$B:$D,2,)</f>
        <v>MM-2MM20PC(WH)</v>
      </c>
      <c r="H5260" s="86" t="str">
        <f>_xlfn.XLOOKUP(表格1[[#This Row],[Model]],表格3[Model-Input-Ref2],表格3[Product Line])</f>
        <v>旋鈕式微波爐 (20公升)</v>
      </c>
      <c r="I5260" s="86" t="str">
        <f>_xlfn.XLOOKUP(表格1[[#This Row],[Model]],表格3[Model-Input-Ref2],表格3[大小電])</f>
        <v>細電</v>
      </c>
      <c r="J5260" s="86" t="str">
        <f>_xlfn.XLOOKUP(表格1[[#This Row],[Model]],表格3[Model-Input-Ref2],表格3[Code])</f>
        <v>MCA</v>
      </c>
      <c r="K5260" s="89" t="s">
        <v>1388</v>
      </c>
      <c r="L5260" s="86">
        <v>1</v>
      </c>
      <c r="M5260" s="87">
        <v>618</v>
      </c>
      <c r="N5260" s="87">
        <f>IFERROR(表格1[[#This Row],[QTY]]*表格1[[#This Row],[Unit Price]],"-")</f>
        <v>618</v>
      </c>
      <c r="O5260" s="86">
        <v>4000</v>
      </c>
      <c r="R5260" s="86" t="str">
        <f>_xlfn.CONCAT(表格1[[#This Row],[Model]]," ",表格1[[#This Row],[inv no]])</f>
        <v>MM-2MM20PC(WH) 4000</v>
      </c>
      <c r="S5260" s="86">
        <f>_xlfn.XLOOKUP(表格1[[#This Row],[Model]],表格3[Model-Input-Ref2],表格3[SRP PRICE])</f>
        <v>738</v>
      </c>
      <c r="T5260" s="43">
        <f>表格1[[#This Row],[Unit Price]]/表格1[[#This Row],[SRP]]</f>
        <v>0.83739837398373984</v>
      </c>
      <c r="U5260" s="86" t="str">
        <f>_xlfn.XLOOKUP(表格1[[#This Row],[Model]],表格3[Model-Input-Ref2],表格3[TOSHIBA/HIGHEST])</f>
        <v>Toshiba SRP</v>
      </c>
      <c r="W5260" s="86" t="str">
        <f>_xlfn.CONCAT(表格1[[#This Row],[欄4]],表格1[[#This Row],[inv no]])</f>
        <v>4000</v>
      </c>
    </row>
    <row r="5261" spans="1:23" hidden="1">
      <c r="A5261" s="81">
        <v>5259</v>
      </c>
      <c r="B5261" s="86" t="s">
        <v>1470</v>
      </c>
      <c r="C5261" s="86" t="s">
        <v>2028</v>
      </c>
      <c r="D5261" s="89" t="str">
        <f ca="1">OFFSET(Roster!$A$3,MATCH(表格1[[#This Row],[Location]]&amp;" "&amp;表格1[[#This Row],[Shop]]&amp;"*",Roster!$A$4:$A$72,0),DAY(表格1[[#This Row],[date]]),1,1)</f>
        <v>Hung</v>
      </c>
      <c r="E5261" s="86">
        <f>MONTH(表格1[[#This Row],[date]])</f>
        <v>3</v>
      </c>
      <c r="F5261" s="90">
        <v>46091</v>
      </c>
      <c r="G5261" s="86" t="str">
        <f>VLOOKUP("*"&amp;表格1[[#This Row],[Input]]&amp;"*",'Ref-List'!$B:$D,2,)</f>
        <v>KT-17DRTHK(H)</v>
      </c>
      <c r="H5261" s="86" t="str">
        <f>_xlfn.XLOOKUP(表格1[[#This Row],[Model]],表格3[Model-Input-Ref2],表格3[Product Line])</f>
        <v>無線雙層電熱水壺(1.7公升)</v>
      </c>
      <c r="I5261" s="86" t="str">
        <f>_xlfn.XLOOKUP(表格1[[#This Row],[Model]],表格3[Model-Input-Ref2],表格3[大小電])</f>
        <v>細電</v>
      </c>
      <c r="J5261" s="86" t="str">
        <f>_xlfn.XLOOKUP(表格1[[#This Row],[Model]],表格3[Model-Input-Ref2],表格3[Code])</f>
        <v>SDA</v>
      </c>
      <c r="K5261" s="89" t="s">
        <v>1271</v>
      </c>
      <c r="L5261" s="86">
        <v>1</v>
      </c>
      <c r="M5261" s="87">
        <v>388</v>
      </c>
      <c r="N5261" s="87">
        <f>IFERROR(表格1[[#This Row],[QTY]]*表格1[[#This Row],[Unit Price]],"-")</f>
        <v>388</v>
      </c>
      <c r="O5261" s="86">
        <v>4018</v>
      </c>
      <c r="R5261" s="86" t="str">
        <f>_xlfn.CONCAT(表格1[[#This Row],[Model]]," ",表格1[[#This Row],[inv no]])</f>
        <v>KT-17DRTHK(H) 4018</v>
      </c>
      <c r="S5261" s="86">
        <f>_xlfn.XLOOKUP(表格1[[#This Row],[Model]],表格3[Model-Input-Ref2],表格3[SRP PRICE])</f>
        <v>498</v>
      </c>
      <c r="T5261" s="43">
        <f>表格1[[#This Row],[Unit Price]]/表格1[[#This Row],[SRP]]</f>
        <v>0.77911646586345384</v>
      </c>
      <c r="U5261" s="86" t="str">
        <f>_xlfn.XLOOKUP(表格1[[#This Row],[Model]],表格3[Model-Input-Ref2],表格3[TOSHIBA/HIGHEST])</f>
        <v>Toshiba SRP</v>
      </c>
      <c r="W5261" s="86" t="str">
        <f>_xlfn.CONCAT(表格1[[#This Row],[欄4]],表格1[[#This Row],[inv no]])</f>
        <v>4018</v>
      </c>
    </row>
    <row r="5262" spans="1:23" hidden="1">
      <c r="A5262" s="81">
        <v>5260</v>
      </c>
      <c r="B5262" s="86" t="s">
        <v>1470</v>
      </c>
      <c r="C5262" s="86" t="s">
        <v>2028</v>
      </c>
      <c r="D5262" s="89" t="str">
        <f ca="1">OFFSET(Roster!$A$3,MATCH(表格1[[#This Row],[Location]]&amp;" "&amp;表格1[[#This Row],[Shop]]&amp;"*",Roster!$A$4:$A$72,0),DAY(表格1[[#This Row],[date]]),1,1)</f>
        <v>Hung</v>
      </c>
      <c r="E5262" s="86">
        <f>MONTH(表格1[[#This Row],[date]])</f>
        <v>3</v>
      </c>
      <c r="F5262" s="90">
        <v>46091</v>
      </c>
      <c r="G5262" s="86" t="str">
        <f>VLOOKUP("*"&amp;表格1[[#This Row],[Input]]&amp;"*",'Ref-List'!$B:$D,2,)</f>
        <v>TWD-BN90GF4H(WK)</v>
      </c>
      <c r="H5262" s="86" t="str">
        <f>_xlfn.XLOOKUP(表格1[[#This Row],[Model]],表格3[Model-Input-Ref2],表格3[Product Line])</f>
        <v>超薄身前置式洗衣乾衣機 (洗8公斤 乾5公斤)</v>
      </c>
      <c r="I5262" s="86" t="str">
        <f>_xlfn.XLOOKUP(表格1[[#This Row],[Model]],表格3[Model-Input-Ref2],表格3[大小電])</f>
        <v>大電</v>
      </c>
      <c r="J5262" s="86" t="str">
        <f>_xlfn.XLOOKUP(表格1[[#This Row],[Model]],表格3[Model-Input-Ref2],表格3[Code])</f>
        <v>WM</v>
      </c>
      <c r="K5262" s="89" t="s">
        <v>1199</v>
      </c>
      <c r="L5262" s="86">
        <v>1</v>
      </c>
      <c r="M5262" s="87">
        <v>3688</v>
      </c>
      <c r="N5262" s="87">
        <f>IFERROR(表格1[[#This Row],[QTY]]*表格1[[#This Row],[Unit Price]],"-")</f>
        <v>3688</v>
      </c>
      <c r="O5262" s="86">
        <v>4020</v>
      </c>
      <c r="R5262" s="86" t="str">
        <f>_xlfn.CONCAT(表格1[[#This Row],[Model]]," ",表格1[[#This Row],[inv no]])</f>
        <v>TWD-BN90GF4H(WK) 4020</v>
      </c>
      <c r="S5262" s="86">
        <f>_xlfn.XLOOKUP(表格1[[#This Row],[Model]],表格3[Model-Input-Ref2],表格3[SRP PRICE])</f>
        <v>5980</v>
      </c>
      <c r="T5262" s="43">
        <f>表格1[[#This Row],[Unit Price]]/表格1[[#This Row],[SRP]]</f>
        <v>0.61672240802675582</v>
      </c>
      <c r="U5262" s="86" t="str">
        <f>_xlfn.XLOOKUP(表格1[[#This Row],[Model]],表格3[Model-Input-Ref2],表格3[TOSHIBA/HIGHEST])</f>
        <v>Toshiba SRP</v>
      </c>
      <c r="W5262" s="86" t="str">
        <f>_xlfn.CONCAT(表格1[[#This Row],[欄4]],表格1[[#This Row],[inv no]])</f>
        <v>4020</v>
      </c>
    </row>
    <row r="5263" spans="1:23" hidden="1">
      <c r="A5263" s="81">
        <v>5261</v>
      </c>
      <c r="B5263" s="86" t="s">
        <v>1470</v>
      </c>
      <c r="C5263" s="86" t="s">
        <v>2028</v>
      </c>
      <c r="D5263" s="89" t="str">
        <f ca="1">OFFSET(Roster!$A$3,MATCH(表格1[[#This Row],[Location]]&amp;" "&amp;表格1[[#This Row],[Shop]]&amp;"*",Roster!$A$4:$A$72,0),DAY(表格1[[#This Row],[date]]),1,1)</f>
        <v>Hung</v>
      </c>
      <c r="E5263" s="86">
        <f>MONTH(表格1[[#This Row],[date]])</f>
        <v>3</v>
      </c>
      <c r="F5263" s="90">
        <v>46092</v>
      </c>
      <c r="G5263" s="86" t="str">
        <f>VLOOKUP("*"&amp;表格1[[#This Row],[Input]]&amp;"*",'Ref-List'!$B:$D,2,)</f>
        <v>GR-RM352WI-PMA(53)</v>
      </c>
      <c r="H5263" s="86" t="str">
        <f>_xlfn.XLOOKUP(表格1[[#This Row],[Model]],表格3[Model-Input-Ref2],表格3[Product Line])</f>
        <v>變頻三門雪櫃 (233L)</v>
      </c>
      <c r="I5263" s="86" t="str">
        <f>_xlfn.XLOOKUP(表格1[[#This Row],[Model]],表格3[Model-Input-Ref2],表格3[大小電])</f>
        <v>大電</v>
      </c>
      <c r="J5263" s="86" t="str">
        <f>_xlfn.XLOOKUP(表格1[[#This Row],[Model]],表格3[Model-Input-Ref2],表格3[Code])</f>
        <v>REF</v>
      </c>
      <c r="K5263" s="89" t="s">
        <v>1495</v>
      </c>
      <c r="L5263" s="86">
        <v>1</v>
      </c>
      <c r="M5263" s="87">
        <v>3470</v>
      </c>
      <c r="N5263" s="87">
        <f>IFERROR(表格1[[#This Row],[QTY]]*表格1[[#This Row],[Unit Price]],"-")</f>
        <v>3470</v>
      </c>
      <c r="O5263" s="86">
        <v>4027</v>
      </c>
      <c r="R5263" s="86" t="str">
        <f>_xlfn.CONCAT(表格1[[#This Row],[Model]]," ",表格1[[#This Row],[inv no]])</f>
        <v>GR-RM352WI-PMA(53) 4027</v>
      </c>
      <c r="S5263" s="86">
        <f>_xlfn.XLOOKUP(表格1[[#This Row],[Model]],表格3[Model-Input-Ref2],表格3[SRP PRICE])</f>
        <v>5580</v>
      </c>
      <c r="T5263" s="43">
        <f>表格1[[#This Row],[Unit Price]]/表格1[[#This Row],[SRP]]</f>
        <v>0.62186379928315416</v>
      </c>
      <c r="U5263" s="86" t="str">
        <f>_xlfn.XLOOKUP(表格1[[#This Row],[Model]],表格3[Model-Input-Ref2],表格3[TOSHIBA/HIGHEST])</f>
        <v>Toshiba SRP</v>
      </c>
      <c r="W5263" s="86" t="str">
        <f>_xlfn.CONCAT(表格1[[#This Row],[欄4]],表格1[[#This Row],[inv no]])</f>
        <v>4027</v>
      </c>
    </row>
    <row r="5264" spans="1:23" hidden="1">
      <c r="A5264" s="81">
        <v>5262</v>
      </c>
      <c r="B5264" s="86" t="s">
        <v>1470</v>
      </c>
      <c r="C5264" s="86" t="s">
        <v>2028</v>
      </c>
      <c r="D5264" s="89" t="str">
        <f ca="1">OFFSET(Roster!$A$3,MATCH(表格1[[#This Row],[Location]]&amp;" "&amp;表格1[[#This Row],[Shop]]&amp;"*",Roster!$A$4:$A$72,0),DAY(表格1[[#This Row],[date]]),1,1)</f>
        <v>Hung</v>
      </c>
      <c r="E5264" s="86">
        <f>MONTH(表格1[[#This Row],[date]])</f>
        <v>3</v>
      </c>
      <c r="F5264" s="90">
        <v>46092</v>
      </c>
      <c r="G5264" s="86" t="str">
        <f>VLOOKUP("*"&amp;表格1[[#This Row],[Input]]&amp;"*",'Ref-List'!$B:$D,2,)</f>
        <v>MM2-EG20PC(WH)</v>
      </c>
      <c r="H5264" s="86" t="str">
        <f>_xlfn.XLOOKUP(表格1[[#This Row],[Model]],表格3[Model-Input-Ref2],表格3[Product Line])</f>
        <v>輕觸式燒烤微波爐</v>
      </c>
      <c r="I5264" s="86" t="str">
        <f>_xlfn.XLOOKUP(表格1[[#This Row],[Model]],表格3[Model-Input-Ref2],表格3[大小電])</f>
        <v>細電</v>
      </c>
      <c r="J5264" s="86" t="str">
        <f>_xlfn.XLOOKUP(表格1[[#This Row],[Model]],表格3[Model-Input-Ref2],表格3[Code])</f>
        <v>MCA</v>
      </c>
      <c r="K5264" s="89" t="s">
        <v>1273</v>
      </c>
      <c r="L5264" s="86">
        <v>1</v>
      </c>
      <c r="M5264" s="87">
        <v>698</v>
      </c>
      <c r="N5264" s="87">
        <f>IFERROR(表格1[[#This Row],[QTY]]*表格1[[#This Row],[Unit Price]],"-")</f>
        <v>698</v>
      </c>
      <c r="O5264" s="86">
        <v>4069</v>
      </c>
      <c r="R5264" s="86" t="str">
        <f>_xlfn.CONCAT(表格1[[#This Row],[Model]]," ",表格1[[#This Row],[inv no]])</f>
        <v>MM2-EG20PC(WH) 4069</v>
      </c>
      <c r="S5264" s="86">
        <f>_xlfn.XLOOKUP(表格1[[#This Row],[Model]],表格3[Model-Input-Ref2],表格3[SRP PRICE])</f>
        <v>918</v>
      </c>
      <c r="T5264" s="43">
        <f>表格1[[#This Row],[Unit Price]]/表格1[[#This Row],[SRP]]</f>
        <v>0.76034858387799564</v>
      </c>
      <c r="U5264" s="86" t="str">
        <f>_xlfn.XLOOKUP(表格1[[#This Row],[Model]],表格3[Model-Input-Ref2],表格3[TOSHIBA/HIGHEST])</f>
        <v>Shops Highest Price</v>
      </c>
      <c r="W5264" s="86" t="str">
        <f>_xlfn.CONCAT(表格1[[#This Row],[欄4]],表格1[[#This Row],[inv no]])</f>
        <v>4069</v>
      </c>
    </row>
    <row r="5265" spans="1:23" hidden="1">
      <c r="A5265" s="81">
        <v>5263</v>
      </c>
      <c r="B5265" s="86" t="s">
        <v>1470</v>
      </c>
      <c r="C5265" s="86" t="s">
        <v>2028</v>
      </c>
      <c r="D5265" s="89" t="str">
        <f ca="1">OFFSET(Roster!$A$3,MATCH(表格1[[#This Row],[Location]]&amp;" "&amp;表格1[[#This Row],[Shop]]&amp;"*",Roster!$A$4:$A$72,0),DAY(表格1[[#This Row],[date]]),1,1)</f>
        <v>Hung</v>
      </c>
      <c r="E5265" s="86">
        <f>MONTH(表格1[[#This Row],[date]])</f>
        <v>3</v>
      </c>
      <c r="F5265" s="90">
        <v>46092</v>
      </c>
      <c r="G5265" s="86" t="str">
        <f>VLOOKUP("*"&amp;表格1[[#This Row],[Input]]&amp;"*",'Ref-List'!$B:$D,2,)</f>
        <v>RC-DS10K(R)</v>
      </c>
      <c r="H5265" s="86" t="str">
        <f>_xlfn.XLOOKUP(表格1[[#This Row],[Model]],表格3[Model-Input-Ref2],表格3[Product Line])</f>
        <v>IH磁應電飯煲</v>
      </c>
      <c r="I5265" s="86" t="str">
        <f>_xlfn.XLOOKUP(表格1[[#This Row],[Model]],表格3[Model-Input-Ref2],表格3[大小電])</f>
        <v>細電</v>
      </c>
      <c r="J5265" s="86" t="str">
        <f>_xlfn.XLOOKUP(表格1[[#This Row],[Model]],表格3[Model-Input-Ref2],表格3[Code])</f>
        <v>SDA</v>
      </c>
      <c r="K5265" s="89" t="s">
        <v>1424</v>
      </c>
      <c r="L5265" s="86">
        <v>1</v>
      </c>
      <c r="M5265" s="87">
        <v>2988</v>
      </c>
      <c r="N5265" s="87">
        <f>IFERROR(表格1[[#This Row],[QTY]]*表格1[[#This Row],[Unit Price]],"-")</f>
        <v>2988</v>
      </c>
      <c r="O5265" s="86">
        <v>4105</v>
      </c>
      <c r="R5265" s="86" t="str">
        <f>_xlfn.CONCAT(表格1[[#This Row],[Model]]," ",表格1[[#This Row],[inv no]])</f>
        <v>RC-DS10K(R) 4105</v>
      </c>
      <c r="S5265" s="86">
        <f>_xlfn.XLOOKUP(表格1[[#This Row],[Model]],表格3[Model-Input-Ref2],表格3[SRP PRICE])</f>
        <v>4588</v>
      </c>
      <c r="T5265" s="43">
        <f>表格1[[#This Row],[Unit Price]]/表格1[[#This Row],[SRP]]</f>
        <v>0.6512641673931997</v>
      </c>
      <c r="U5265" s="86" t="str">
        <f>_xlfn.XLOOKUP(表格1[[#This Row],[Model]],表格3[Model-Input-Ref2],表格3[TOSHIBA/HIGHEST])</f>
        <v>Toshiba SRP</v>
      </c>
      <c r="W5265" s="86" t="str">
        <f>_xlfn.CONCAT(表格1[[#This Row],[欄4]],表格1[[#This Row],[inv no]])</f>
        <v>4105</v>
      </c>
    </row>
    <row r="5266" spans="1:23" hidden="1">
      <c r="A5266" s="81">
        <v>5264</v>
      </c>
      <c r="B5266" s="86" t="s">
        <v>1470</v>
      </c>
      <c r="C5266" s="86" t="s">
        <v>2028</v>
      </c>
      <c r="D5266" s="89" t="str">
        <f ca="1">OFFSET(Roster!$A$3,MATCH(表格1[[#This Row],[Location]]&amp;" "&amp;表格1[[#This Row],[Shop]]&amp;"*",Roster!$A$4:$A$72,0),DAY(表格1[[#This Row],[date]]),1,1)</f>
        <v>Hung</v>
      </c>
      <c r="E5266" s="86">
        <f>MONTH(表格1[[#This Row],[date]])</f>
        <v>3</v>
      </c>
      <c r="F5266" s="90">
        <v>46092</v>
      </c>
      <c r="G5266" s="86" t="str">
        <f>VLOOKUP("*"&amp;表格1[[#This Row],[Input]]&amp;"*",'Ref-List'!$B:$D,2,)</f>
        <v>GR-RB221WE-PMA(57)</v>
      </c>
      <c r="H5266" s="86" t="str">
        <f>_xlfn.XLOOKUP(表格1[[#This Row],[Model]],表格3[Model-Input-Ref2],表格3[Product Line])</f>
        <v>變頻下置式雙門雪櫃（163L）</v>
      </c>
      <c r="I5266" s="86" t="str">
        <f>_xlfn.XLOOKUP(表格1[[#This Row],[Model]],表格3[Model-Input-Ref2],表格3[大小電])</f>
        <v>大電</v>
      </c>
      <c r="J5266" s="86" t="str">
        <f>_xlfn.XLOOKUP(表格1[[#This Row],[Model]],表格3[Model-Input-Ref2],表格3[Code])</f>
        <v>REF</v>
      </c>
      <c r="K5266" s="89" t="s">
        <v>1386</v>
      </c>
      <c r="L5266" s="86">
        <v>1</v>
      </c>
      <c r="M5266" s="87">
        <v>2080</v>
      </c>
      <c r="N5266" s="87">
        <f>IFERROR(表格1[[#This Row],[QTY]]*表格1[[#This Row],[Unit Price]],"-")</f>
        <v>2080</v>
      </c>
      <c r="O5266" s="86">
        <v>4121</v>
      </c>
      <c r="R5266" s="86" t="str">
        <f>_xlfn.CONCAT(表格1[[#This Row],[Model]]," ",表格1[[#This Row],[inv no]])</f>
        <v>GR-RB221WE-PMA(57) 4121</v>
      </c>
      <c r="S5266" s="86">
        <f>_xlfn.XLOOKUP(表格1[[#This Row],[Model]],表格3[Model-Input-Ref2],表格3[SRP PRICE])</f>
        <v>3480</v>
      </c>
      <c r="T5266" s="43">
        <f>表格1[[#This Row],[Unit Price]]/表格1[[#This Row],[SRP]]</f>
        <v>0.5977011494252874</v>
      </c>
      <c r="U5266" s="86" t="str">
        <f>_xlfn.XLOOKUP(表格1[[#This Row],[Model]],表格3[Model-Input-Ref2],表格3[TOSHIBA/HIGHEST])</f>
        <v>Toshiba SRP</v>
      </c>
      <c r="W5266" s="86" t="str">
        <f>_xlfn.CONCAT(表格1[[#This Row],[欄4]],表格1[[#This Row],[inv no]])</f>
        <v>4121</v>
      </c>
    </row>
    <row r="5267" spans="1:23" hidden="1">
      <c r="A5267" s="81">
        <v>5265</v>
      </c>
      <c r="B5267" s="86" t="s">
        <v>1470</v>
      </c>
      <c r="C5267" s="86" t="s">
        <v>2028</v>
      </c>
      <c r="D5267" s="89" t="str">
        <f ca="1">OFFSET(Roster!$A$3,MATCH(表格1[[#This Row],[Location]]&amp;" "&amp;表格1[[#This Row],[Shop]]&amp;"*",Roster!$A$4:$A$72,0),DAY(表格1[[#This Row],[date]]),1,1)</f>
        <v>Hung</v>
      </c>
      <c r="E5267" s="86">
        <f>MONTH(表格1[[#This Row],[date]])</f>
        <v>3</v>
      </c>
      <c r="F5267" s="90">
        <v>46092</v>
      </c>
      <c r="G5267" s="86" t="str">
        <f>VLOOKUP("*"&amp;表格1[[#This Row],[Input]]&amp;"*",'Ref-List'!$B:$D,2,)</f>
        <v>GR-RB221WE-PMA(57)</v>
      </c>
      <c r="H5267" s="86" t="str">
        <f>_xlfn.XLOOKUP(表格1[[#This Row],[Model]],表格3[Model-Input-Ref2],表格3[Product Line])</f>
        <v>變頻下置式雙門雪櫃（163L）</v>
      </c>
      <c r="I5267" s="86" t="str">
        <f>_xlfn.XLOOKUP(表格1[[#This Row],[Model]],表格3[Model-Input-Ref2],表格3[大小電])</f>
        <v>大電</v>
      </c>
      <c r="J5267" s="86" t="str">
        <f>_xlfn.XLOOKUP(表格1[[#This Row],[Model]],表格3[Model-Input-Ref2],表格3[Code])</f>
        <v>REF</v>
      </c>
      <c r="K5267" s="89" t="s">
        <v>1386</v>
      </c>
      <c r="L5267" s="86">
        <v>1</v>
      </c>
      <c r="M5267" s="87">
        <v>2080</v>
      </c>
      <c r="N5267" s="87">
        <f>IFERROR(表格1[[#This Row],[QTY]]*表格1[[#This Row],[Unit Price]],"-")</f>
        <v>2080</v>
      </c>
      <c r="O5267" s="86">
        <v>4135</v>
      </c>
      <c r="R5267" s="86" t="str">
        <f>_xlfn.CONCAT(表格1[[#This Row],[Model]]," ",表格1[[#This Row],[inv no]])</f>
        <v>GR-RB221WE-PMA(57) 4135</v>
      </c>
      <c r="S5267" s="86">
        <f>_xlfn.XLOOKUP(表格1[[#This Row],[Model]],表格3[Model-Input-Ref2],表格3[SRP PRICE])</f>
        <v>3480</v>
      </c>
      <c r="T5267" s="43">
        <f>表格1[[#This Row],[Unit Price]]/表格1[[#This Row],[SRP]]</f>
        <v>0.5977011494252874</v>
      </c>
      <c r="U5267" s="86" t="str">
        <f>_xlfn.XLOOKUP(表格1[[#This Row],[Model]],表格3[Model-Input-Ref2],表格3[TOSHIBA/HIGHEST])</f>
        <v>Toshiba SRP</v>
      </c>
      <c r="W5267" s="86" t="str">
        <f>_xlfn.CONCAT(表格1[[#This Row],[欄4]],表格1[[#This Row],[inv no]])</f>
        <v>4135</v>
      </c>
    </row>
    <row r="5268" spans="1:23" hidden="1">
      <c r="A5268" s="81">
        <v>5266</v>
      </c>
      <c r="B5268" s="86" t="s">
        <v>1470</v>
      </c>
      <c r="C5268" s="86" t="s">
        <v>2028</v>
      </c>
      <c r="D5268" s="89" t="str">
        <f ca="1">OFFSET(Roster!$A$3,MATCH(表格1[[#This Row],[Location]]&amp;" "&amp;表格1[[#This Row],[Shop]]&amp;"*",Roster!$A$4:$A$72,0),DAY(表格1[[#This Row],[date]]),1,1)</f>
        <v>Hung</v>
      </c>
      <c r="E5268" s="86">
        <f>MONTH(表格1[[#This Row],[date]])</f>
        <v>3</v>
      </c>
      <c r="F5268" s="90">
        <v>46092</v>
      </c>
      <c r="G5268" s="86" t="str">
        <f>VLOOKUP("*"&amp;表格1[[#This Row],[Input]]&amp;"*",'Ref-List'!$B:$D,2,)</f>
        <v>RC-7HMH</v>
      </c>
      <c r="H5268" s="86" t="str">
        <f>_xlfn.XLOOKUP(表格1[[#This Row],[Model]],表格3[Model-Input-Ref2],表格3[Product Line])</f>
        <v>備長炭本厚釜電飯煲0.7L</v>
      </c>
      <c r="I5268" s="86" t="str">
        <f>_xlfn.XLOOKUP(表格1[[#This Row],[Model]],表格3[Model-Input-Ref2],表格3[大小電])</f>
        <v>細電</v>
      </c>
      <c r="J5268" s="86" t="str">
        <f>_xlfn.XLOOKUP(表格1[[#This Row],[Model]],表格3[Model-Input-Ref2],表格3[Code])</f>
        <v>SDA</v>
      </c>
      <c r="K5268" s="89" t="s">
        <v>1284</v>
      </c>
      <c r="L5268" s="86">
        <v>1</v>
      </c>
      <c r="M5268" s="87">
        <v>838</v>
      </c>
      <c r="N5268" s="87">
        <f>IFERROR(表格1[[#This Row],[QTY]]*表格1[[#This Row],[Unit Price]],"-")</f>
        <v>838</v>
      </c>
      <c r="O5268" s="86">
        <v>4153</v>
      </c>
      <c r="R5268" s="86" t="str">
        <f>_xlfn.CONCAT(表格1[[#This Row],[Model]]," ",表格1[[#This Row],[inv no]])</f>
        <v>RC-7HMH 4153</v>
      </c>
      <c r="S5268" s="86">
        <f>_xlfn.XLOOKUP(表格1[[#This Row],[Model]],表格3[Model-Input-Ref2],表格3[SRP PRICE])</f>
        <v>1288</v>
      </c>
      <c r="T5268" s="43">
        <f>表格1[[#This Row],[Unit Price]]/表格1[[#This Row],[SRP]]</f>
        <v>0.65062111801242239</v>
      </c>
      <c r="U5268" s="86" t="str">
        <f>_xlfn.XLOOKUP(表格1[[#This Row],[Model]],表格3[Model-Input-Ref2],表格3[TOSHIBA/HIGHEST])</f>
        <v>Toshiba SRP</v>
      </c>
      <c r="W5268" s="86" t="str">
        <f>_xlfn.CONCAT(表格1[[#This Row],[欄4]],表格1[[#This Row],[inv no]])</f>
        <v>4153</v>
      </c>
    </row>
    <row r="5269" spans="1:23" hidden="1">
      <c r="A5269" s="81">
        <v>5267</v>
      </c>
      <c r="B5269" s="86" t="s">
        <v>1470</v>
      </c>
      <c r="C5269" s="86" t="s">
        <v>2028</v>
      </c>
      <c r="D5269" s="89" t="str">
        <f ca="1">OFFSET(Roster!$A$3,MATCH(表格1[[#This Row],[Location]]&amp;" "&amp;表格1[[#This Row],[Shop]]&amp;"*",Roster!$A$4:$A$72,0),DAY(表格1[[#This Row],[date]]),1,1)</f>
        <v>Hung</v>
      </c>
      <c r="E5269" s="86">
        <f>MONTH(表格1[[#This Row],[date]])</f>
        <v>3</v>
      </c>
      <c r="F5269" s="90">
        <v>46093</v>
      </c>
      <c r="G5269" s="86" t="str">
        <f>VLOOKUP("*"&amp;表格1[[#This Row],[Input]]&amp;"*",'Ref-List'!$B:$D,2,)</f>
        <v>RC-10AMXH(W)</v>
      </c>
      <c r="H5269" s="86" t="str">
        <f>_xlfn.XLOOKUP(表格1[[#This Row],[Model]],表格3[Model-Input-Ref2],表格3[Product Line])</f>
        <v>酵活炊電飯煲(1.0公升)</v>
      </c>
      <c r="I5269" s="86" t="str">
        <f>_xlfn.XLOOKUP(表格1[[#This Row],[Model]],表格3[Model-Input-Ref2],表格3[大小電])</f>
        <v>細電</v>
      </c>
      <c r="J5269" s="86" t="str">
        <f>_xlfn.XLOOKUP(表格1[[#This Row],[Model]],表格3[Model-Input-Ref2],表格3[Code])</f>
        <v>SDA</v>
      </c>
      <c r="K5269" s="89" t="s">
        <v>1279</v>
      </c>
      <c r="L5269" s="86">
        <v>1</v>
      </c>
      <c r="M5269" s="87">
        <v>990</v>
      </c>
      <c r="N5269" s="87">
        <f>IFERROR(表格1[[#This Row],[QTY]]*表格1[[#This Row],[Unit Price]],"-")</f>
        <v>990</v>
      </c>
      <c r="O5269" s="86">
        <v>4164</v>
      </c>
      <c r="R5269" s="86" t="str">
        <f>_xlfn.CONCAT(表格1[[#This Row],[Model]]," ",表格1[[#This Row],[inv no]])</f>
        <v>RC-10AMXH(W) 4164</v>
      </c>
      <c r="S5269" s="86">
        <f>_xlfn.XLOOKUP(表格1[[#This Row],[Model]],表格3[Model-Input-Ref2],表格3[SRP PRICE])</f>
        <v>1288</v>
      </c>
      <c r="T5269" s="43">
        <f>表格1[[#This Row],[Unit Price]]/表格1[[#This Row],[SRP]]</f>
        <v>0.76863354037267084</v>
      </c>
      <c r="U5269" s="86" t="str">
        <f>_xlfn.XLOOKUP(表格1[[#This Row],[Model]],表格3[Model-Input-Ref2],表格3[TOSHIBA/HIGHEST])</f>
        <v>Toshiba SRP</v>
      </c>
      <c r="W5269" s="86" t="str">
        <f>_xlfn.CONCAT(表格1[[#This Row],[欄4]],表格1[[#This Row],[inv no]])</f>
        <v>4164</v>
      </c>
    </row>
    <row r="5270" spans="1:23" hidden="1">
      <c r="A5270" s="81">
        <v>5268</v>
      </c>
      <c r="B5270" s="86" t="s">
        <v>1470</v>
      </c>
      <c r="C5270" s="86" t="s">
        <v>2028</v>
      </c>
      <c r="D5270" s="89" t="str">
        <f ca="1">OFFSET(Roster!$A$3,MATCH(表格1[[#This Row],[Location]]&amp;" "&amp;表格1[[#This Row],[Shop]]&amp;"*",Roster!$A$4:$A$72,0),DAY(表格1[[#This Row],[date]]),1,1)</f>
        <v>Hung</v>
      </c>
      <c r="E5270" s="86">
        <f>MONTH(表格1[[#This Row],[date]])</f>
        <v>3</v>
      </c>
      <c r="F5270" s="90">
        <v>46093</v>
      </c>
      <c r="G5270" s="86" t="str">
        <f>VLOOKUP("*"&amp;表格1[[#This Row],[Input]]&amp;"*",'Ref-List'!$B:$D,2,)</f>
        <v>KT-17DRTHK(H)</v>
      </c>
      <c r="H5270" s="86" t="str">
        <f>_xlfn.XLOOKUP(表格1[[#This Row],[Model]],表格3[Model-Input-Ref2],表格3[Product Line])</f>
        <v>無線雙層電熱水壺(1.7公升)</v>
      </c>
      <c r="I5270" s="86" t="str">
        <f>_xlfn.XLOOKUP(表格1[[#This Row],[Model]],表格3[Model-Input-Ref2],表格3[大小電])</f>
        <v>細電</v>
      </c>
      <c r="J5270" s="86" t="str">
        <f>_xlfn.XLOOKUP(表格1[[#This Row],[Model]],表格3[Model-Input-Ref2],表格3[Code])</f>
        <v>SDA</v>
      </c>
      <c r="K5270" s="89" t="s">
        <v>1271</v>
      </c>
      <c r="L5270" s="86">
        <v>1</v>
      </c>
      <c r="M5270" s="87">
        <v>388</v>
      </c>
      <c r="N5270" s="87">
        <f>IFERROR(表格1[[#This Row],[QTY]]*表格1[[#This Row],[Unit Price]],"-")</f>
        <v>388</v>
      </c>
      <c r="O5270" s="86">
        <v>4176</v>
      </c>
      <c r="R5270" s="86" t="str">
        <f>_xlfn.CONCAT(表格1[[#This Row],[Model]]," ",表格1[[#This Row],[inv no]])</f>
        <v>KT-17DRTHK(H) 4176</v>
      </c>
      <c r="S5270" s="86">
        <f>_xlfn.XLOOKUP(表格1[[#This Row],[Model]],表格3[Model-Input-Ref2],表格3[SRP PRICE])</f>
        <v>498</v>
      </c>
      <c r="T5270" s="43">
        <f>表格1[[#This Row],[Unit Price]]/表格1[[#This Row],[SRP]]</f>
        <v>0.77911646586345384</v>
      </c>
      <c r="U5270" s="86" t="str">
        <f>_xlfn.XLOOKUP(表格1[[#This Row],[Model]],表格3[Model-Input-Ref2],表格3[TOSHIBA/HIGHEST])</f>
        <v>Toshiba SRP</v>
      </c>
      <c r="W5270" s="86" t="str">
        <f>_xlfn.CONCAT(表格1[[#This Row],[欄4]],表格1[[#This Row],[inv no]])</f>
        <v>4176</v>
      </c>
    </row>
    <row r="5271" spans="1:23" hidden="1">
      <c r="A5271" s="81">
        <v>5269</v>
      </c>
      <c r="B5271" s="86" t="s">
        <v>1470</v>
      </c>
      <c r="C5271" s="86" t="s">
        <v>2028</v>
      </c>
      <c r="D5271" s="89" t="str">
        <f ca="1">OFFSET(Roster!$A$3,MATCH(表格1[[#This Row],[Location]]&amp;" "&amp;表格1[[#This Row],[Shop]]&amp;"*",Roster!$A$4:$A$72,0),DAY(表格1[[#This Row],[date]]),1,1)</f>
        <v>Hung</v>
      </c>
      <c r="E5271" s="86">
        <f>MONTH(表格1[[#This Row],[date]])</f>
        <v>3</v>
      </c>
      <c r="F5271" s="90">
        <v>46093</v>
      </c>
      <c r="G5271" s="86" t="str">
        <f>VLOOKUP("*"&amp;表格1[[#This Row],[Input]]&amp;"*",'Ref-List'!$B:$D,2,)</f>
        <v>MM2-EM20PC(WH)</v>
      </c>
      <c r="H5271" s="86" t="str">
        <f>_xlfn.XLOOKUP(表格1[[#This Row],[Model]],表格3[Model-Input-Ref2],表格3[Product Line])</f>
        <v>輕觸式微波爐 (20公升)</v>
      </c>
      <c r="I5271" s="86" t="str">
        <f>_xlfn.XLOOKUP(表格1[[#This Row],[Model]],表格3[Model-Input-Ref2],表格3[大小電])</f>
        <v>細電</v>
      </c>
      <c r="J5271" s="86" t="str">
        <f>_xlfn.XLOOKUP(表格1[[#This Row],[Model]],表格3[Model-Input-Ref2],表格3[Code])</f>
        <v>MCA</v>
      </c>
      <c r="K5271" s="89" t="s">
        <v>1276</v>
      </c>
      <c r="L5271" s="86">
        <v>1</v>
      </c>
      <c r="M5271" s="87">
        <v>618</v>
      </c>
      <c r="N5271" s="87">
        <f>IFERROR(表格1[[#This Row],[QTY]]*表格1[[#This Row],[Unit Price]],"-")</f>
        <v>618</v>
      </c>
      <c r="O5271" s="86">
        <v>4168</v>
      </c>
      <c r="R5271" s="86" t="str">
        <f>_xlfn.CONCAT(表格1[[#This Row],[Model]]," ",表格1[[#This Row],[inv no]])</f>
        <v>MM2-EM20PC(WH) 4168</v>
      </c>
      <c r="S5271" s="86">
        <f>_xlfn.XLOOKUP(表格1[[#This Row],[Model]],表格3[Model-Input-Ref2],表格3[SRP PRICE])</f>
        <v>788</v>
      </c>
      <c r="T5271" s="43">
        <f>表格1[[#This Row],[Unit Price]]/表格1[[#This Row],[SRP]]</f>
        <v>0.78426395939086291</v>
      </c>
      <c r="U5271" s="86" t="str">
        <f>_xlfn.XLOOKUP(表格1[[#This Row],[Model]],表格3[Model-Input-Ref2],表格3[TOSHIBA/HIGHEST])</f>
        <v>Toshiba SRP</v>
      </c>
      <c r="W5271" s="86" t="str">
        <f>_xlfn.CONCAT(表格1[[#This Row],[欄4]],表格1[[#This Row],[inv no]])</f>
        <v>4168</v>
      </c>
    </row>
    <row r="5272" spans="1:23" hidden="1">
      <c r="A5272" s="81">
        <v>5270</v>
      </c>
      <c r="B5272" s="86" t="s">
        <v>1470</v>
      </c>
      <c r="C5272" s="86" t="s">
        <v>2028</v>
      </c>
      <c r="D5272" s="89" t="str">
        <f ca="1">OFFSET(Roster!$A$3,MATCH(表格1[[#This Row],[Location]]&amp;" "&amp;表格1[[#This Row],[Shop]]&amp;"*",Roster!$A$4:$A$72,0),DAY(表格1[[#This Row],[date]]),1,1)</f>
        <v>Hung</v>
      </c>
      <c r="E5272" s="86">
        <f>MONTH(表格1[[#This Row],[date]])</f>
        <v>3</v>
      </c>
      <c r="F5272" s="90">
        <v>46093</v>
      </c>
      <c r="G5272" s="86" t="str">
        <f>VLOOKUP("*"&amp;表格1[[#This Row],[Input]]&amp;"*",'Ref-List'!$B:$D,2,)</f>
        <v>RAD-D300H</v>
      </c>
      <c r="H5272" s="86" t="str">
        <f>_xlfn.XLOOKUP(表格1[[#This Row],[Model]],表格3[Model-Input-Ref2],表格3[Product Line])</f>
        <v>壓縮式抽濕機 (30公升)</v>
      </c>
      <c r="I5272" s="86" t="str">
        <f>_xlfn.XLOOKUP(表格1[[#This Row],[Model]],表格3[Model-Input-Ref2],表格3[大小電])</f>
        <v>細電</v>
      </c>
      <c r="J5272" s="86" t="str">
        <f>_xlfn.XLOOKUP(表格1[[#This Row],[Model]],表格3[Model-Input-Ref2],表格3[Code])</f>
        <v>RAC</v>
      </c>
      <c r="K5272" s="89" t="s">
        <v>1252</v>
      </c>
      <c r="L5272" s="86">
        <v>1</v>
      </c>
      <c r="M5272" s="87">
        <v>1980</v>
      </c>
      <c r="N5272" s="87">
        <f>IFERROR(表格1[[#This Row],[QTY]]*表格1[[#This Row],[Unit Price]],"-")</f>
        <v>1980</v>
      </c>
      <c r="O5272" s="86">
        <v>4188</v>
      </c>
      <c r="R5272" s="86" t="str">
        <f>_xlfn.CONCAT(表格1[[#This Row],[Model]]," ",表格1[[#This Row],[inv no]])</f>
        <v>RAD-D300H 4188</v>
      </c>
      <c r="S5272" s="86">
        <f>_xlfn.XLOOKUP(表格1[[#This Row],[Model]],表格3[Model-Input-Ref2],表格3[SRP PRICE])</f>
        <v>3380</v>
      </c>
      <c r="T5272" s="43">
        <f>表格1[[#This Row],[Unit Price]]/表格1[[#This Row],[SRP]]</f>
        <v>0.58579881656804733</v>
      </c>
      <c r="U5272" s="86" t="str">
        <f>_xlfn.XLOOKUP(表格1[[#This Row],[Model]],表格3[Model-Input-Ref2],表格3[TOSHIBA/HIGHEST])</f>
        <v>Shops Highest Price</v>
      </c>
      <c r="W5272" s="86" t="str">
        <f>_xlfn.CONCAT(表格1[[#This Row],[欄4]],表格1[[#This Row],[inv no]])</f>
        <v>4188</v>
      </c>
    </row>
    <row r="5273" spans="1:23" hidden="1">
      <c r="A5273" s="81">
        <v>5271</v>
      </c>
      <c r="B5273" s="86" t="s">
        <v>1470</v>
      </c>
      <c r="C5273" s="86" t="s">
        <v>2028</v>
      </c>
      <c r="D5273" s="89" t="str">
        <f ca="1">OFFSET(Roster!$A$3,MATCH(表格1[[#This Row],[Location]]&amp;" "&amp;表格1[[#This Row],[Shop]]&amp;"*",Roster!$A$4:$A$72,0),DAY(表格1[[#This Row],[date]]),1,1)</f>
        <v>Hung</v>
      </c>
      <c r="E5273" s="86">
        <f>MONTH(表格1[[#This Row],[date]])</f>
        <v>3</v>
      </c>
      <c r="F5273" s="90">
        <v>46093</v>
      </c>
      <c r="G5273" s="86" t="str">
        <f>VLOOKUP("*"&amp;表格1[[#This Row],[Input]]&amp;"*",'Ref-List'!$B:$D,2,)</f>
        <v>TW-T22BU95UWH(WK)-B</v>
      </c>
      <c r="H5273" s="86" t="str">
        <f>_xlfn.XLOOKUP(表格1[[#This Row],[Model]],表格3[Model-Input-Ref2],表格3[Product Line])</f>
        <v>470MM超薄身前置式變頻洗衣機(8.5公斤, 可飛頂)</v>
      </c>
      <c r="I5273" s="86" t="str">
        <f>_xlfn.XLOOKUP(表格1[[#This Row],[Model]],表格3[Model-Input-Ref2],表格3[大小電])</f>
        <v>大電</v>
      </c>
      <c r="J5273" s="86" t="str">
        <f>_xlfn.XLOOKUP(表格1[[#This Row],[Model]],表格3[Model-Input-Ref2],表格3[Code])</f>
        <v>LAD</v>
      </c>
      <c r="K5273" s="89" t="s">
        <v>969</v>
      </c>
      <c r="L5273" s="86">
        <v>1</v>
      </c>
      <c r="M5273" s="87">
        <v>3580</v>
      </c>
      <c r="N5273" s="87">
        <f>IFERROR(表格1[[#This Row],[QTY]]*表格1[[#This Row],[Unit Price]],"-")</f>
        <v>3580</v>
      </c>
      <c r="O5273" s="86">
        <v>4217</v>
      </c>
      <c r="R5273" s="86" t="str">
        <f>_xlfn.CONCAT(表格1[[#This Row],[Model]]," ",表格1[[#This Row],[inv no]])</f>
        <v>TW-T22BU95UWH(WK)-B 4217</v>
      </c>
      <c r="S5273" s="86">
        <f>_xlfn.XLOOKUP(表格1[[#This Row],[Model]],表格3[Model-Input-Ref2],表格3[SRP PRICE])</f>
        <v>5880</v>
      </c>
      <c r="T5273" s="43">
        <f>表格1[[#This Row],[Unit Price]]/表格1[[#This Row],[SRP]]</f>
        <v>0.608843537414966</v>
      </c>
      <c r="U5273" s="86" t="str">
        <f>_xlfn.XLOOKUP(表格1[[#This Row],[Model]],表格3[Model-Input-Ref2],表格3[TOSHIBA/HIGHEST])</f>
        <v>Toshiba SRP</v>
      </c>
      <c r="W5273" s="86" t="str">
        <f>_xlfn.CONCAT(表格1[[#This Row],[欄4]],表格1[[#This Row],[inv no]])</f>
        <v>4217</v>
      </c>
    </row>
    <row r="5274" spans="1:23" hidden="1">
      <c r="A5274" s="81">
        <v>5272</v>
      </c>
      <c r="B5274" s="86" t="s">
        <v>1470</v>
      </c>
      <c r="C5274" s="86" t="s">
        <v>2028</v>
      </c>
      <c r="D5274" s="89" t="str">
        <f ca="1">OFFSET(Roster!$A$3,MATCH(表格1[[#This Row],[Location]]&amp;" "&amp;表格1[[#This Row],[Shop]]&amp;"*",Roster!$A$4:$A$72,0),DAY(表格1[[#This Row],[date]]),1,1)</f>
        <v>Hung</v>
      </c>
      <c r="E5274" s="86">
        <f>MONTH(表格1[[#This Row],[date]])</f>
        <v>3</v>
      </c>
      <c r="F5274" s="90">
        <v>46095</v>
      </c>
      <c r="G5274" s="86" t="str">
        <f>VLOOKUP("*"&amp;表格1[[#This Row],[Input]]&amp;"*",'Ref-List'!$B:$D,2,)</f>
        <v>RAD-D300H</v>
      </c>
      <c r="H5274" s="86" t="str">
        <f>_xlfn.XLOOKUP(表格1[[#This Row],[Model]],表格3[Model-Input-Ref2],表格3[Product Line])</f>
        <v>壓縮式抽濕機 (30公升)</v>
      </c>
      <c r="I5274" s="86" t="str">
        <f>_xlfn.XLOOKUP(表格1[[#This Row],[Model]],表格3[Model-Input-Ref2],表格3[大小電])</f>
        <v>細電</v>
      </c>
      <c r="J5274" s="86" t="str">
        <f>_xlfn.XLOOKUP(表格1[[#This Row],[Model]],表格3[Model-Input-Ref2],表格3[Code])</f>
        <v>RAC</v>
      </c>
      <c r="K5274" s="89" t="s">
        <v>1252</v>
      </c>
      <c r="L5274" s="86">
        <v>1</v>
      </c>
      <c r="M5274" s="87">
        <v>1980</v>
      </c>
      <c r="N5274" s="87">
        <f>IFERROR(表格1[[#This Row],[QTY]]*表格1[[#This Row],[Unit Price]],"-")</f>
        <v>1980</v>
      </c>
      <c r="O5274" s="86">
        <v>4225</v>
      </c>
      <c r="R5274" s="86" t="str">
        <f>_xlfn.CONCAT(表格1[[#This Row],[Model]]," ",表格1[[#This Row],[inv no]])</f>
        <v>RAD-D300H 4225</v>
      </c>
      <c r="S5274" s="86">
        <f>_xlfn.XLOOKUP(表格1[[#This Row],[Model]],表格3[Model-Input-Ref2],表格3[SRP PRICE])</f>
        <v>3380</v>
      </c>
      <c r="T5274" s="43">
        <f>表格1[[#This Row],[Unit Price]]/表格1[[#This Row],[SRP]]</f>
        <v>0.58579881656804733</v>
      </c>
      <c r="U5274" s="86" t="str">
        <f>_xlfn.XLOOKUP(表格1[[#This Row],[Model]],表格3[Model-Input-Ref2],表格3[TOSHIBA/HIGHEST])</f>
        <v>Shops Highest Price</v>
      </c>
      <c r="W5274" s="86" t="str">
        <f>_xlfn.CONCAT(表格1[[#This Row],[欄4]],表格1[[#This Row],[inv no]])</f>
        <v>4225</v>
      </c>
    </row>
    <row r="5275" spans="1:23" hidden="1">
      <c r="A5275" s="81">
        <v>5273</v>
      </c>
      <c r="B5275" s="86" t="s">
        <v>1470</v>
      </c>
      <c r="C5275" s="86" t="s">
        <v>2028</v>
      </c>
      <c r="D5275" s="89" t="str">
        <f ca="1">OFFSET(Roster!$A$3,MATCH(表格1[[#This Row],[Location]]&amp;" "&amp;表格1[[#This Row],[Shop]]&amp;"*",Roster!$A$4:$A$72,0),DAY(表格1[[#This Row],[date]]),1,1)</f>
        <v>Hung</v>
      </c>
      <c r="E5275" s="86">
        <f>MONTH(表格1[[#This Row],[date]])</f>
        <v>3</v>
      </c>
      <c r="F5275" s="90">
        <v>46095</v>
      </c>
      <c r="G5275" s="86" t="str">
        <f>VLOOKUP("*"&amp;表格1[[#This Row],[Input]]&amp;"*",'Ref-List'!$B:$D,2,)</f>
        <v>KT-17SHNH</v>
      </c>
      <c r="H5275" s="86" t="str">
        <f>_xlfn.XLOOKUP(表格1[[#This Row],[Model]],表格3[Model-Input-Ref2],表格3[Product Line])</f>
        <v>1.7L無線雙層電熱水壺</v>
      </c>
      <c r="I5275" s="86" t="str">
        <f>_xlfn.XLOOKUP(表格1[[#This Row],[Model]],表格3[Model-Input-Ref2],表格3[大小電])</f>
        <v>細電</v>
      </c>
      <c r="J5275" s="86" t="str">
        <f>_xlfn.XLOOKUP(表格1[[#This Row],[Model]],表格3[Model-Input-Ref2],表格3[Code])</f>
        <v>SDA</v>
      </c>
      <c r="K5275" s="89" t="s">
        <v>1283</v>
      </c>
      <c r="L5275" s="86">
        <v>1</v>
      </c>
      <c r="M5275" s="87">
        <v>198</v>
      </c>
      <c r="N5275" s="87">
        <f>IFERROR(表格1[[#This Row],[QTY]]*表格1[[#This Row],[Unit Price]],"-")</f>
        <v>198</v>
      </c>
      <c r="O5275" s="86">
        <v>4350</v>
      </c>
      <c r="R5275" s="86" t="str">
        <f>_xlfn.CONCAT(表格1[[#This Row],[Model]]," ",表格1[[#This Row],[inv no]])</f>
        <v>KT-17SHNH 4350</v>
      </c>
      <c r="S5275" s="86">
        <f>_xlfn.XLOOKUP(表格1[[#This Row],[Model]],表格3[Model-Input-Ref2],表格3[SRP PRICE])</f>
        <v>299</v>
      </c>
      <c r="T5275" s="43">
        <f>表格1[[#This Row],[Unit Price]]/表格1[[#This Row],[SRP]]</f>
        <v>0.66220735785953178</v>
      </c>
      <c r="U5275" s="86" t="str">
        <f>_xlfn.XLOOKUP(表格1[[#This Row],[Model]],表格3[Model-Input-Ref2],表格3[TOSHIBA/HIGHEST])</f>
        <v>Shops Highest Price</v>
      </c>
      <c r="W5275" s="86" t="str">
        <f>_xlfn.CONCAT(表格1[[#This Row],[欄4]],表格1[[#This Row],[inv no]])</f>
        <v>4350</v>
      </c>
    </row>
    <row r="5276" spans="1:23" hidden="1">
      <c r="A5276" s="81">
        <v>5274</v>
      </c>
      <c r="B5276" s="86" t="s">
        <v>1470</v>
      </c>
      <c r="C5276" s="86" t="s">
        <v>2028</v>
      </c>
      <c r="D5276" s="89" t="str">
        <f ca="1">OFFSET(Roster!$A$3,MATCH(表格1[[#This Row],[Location]]&amp;" "&amp;表格1[[#This Row],[Shop]]&amp;"*",Roster!$A$4:$A$72,0),DAY(表格1[[#This Row],[date]]),1,1)</f>
        <v>Hung</v>
      </c>
      <c r="E5276" s="86">
        <f>MONTH(表格1[[#This Row],[date]])</f>
        <v>3</v>
      </c>
      <c r="F5276" s="90">
        <v>46095</v>
      </c>
      <c r="G5276" s="86" t="str">
        <f>VLOOKUP("*"&amp;表格1[[#This Row],[Input]]&amp;"*",'Ref-List'!$B:$D,2,)</f>
        <v>GR-RB360WE-PMA(06)</v>
      </c>
      <c r="H5276" s="86" t="str">
        <f>_xlfn.XLOOKUP(表格1[[#This Row],[Model]],表格3[Model-Input-Ref2],表格3[Product Line])</f>
        <v>變頻下置式雙門雪櫃系列270L</v>
      </c>
      <c r="I5276" s="86" t="str">
        <f>_xlfn.XLOOKUP(表格1[[#This Row],[Model]],表格3[Model-Input-Ref2],表格3[大小電])</f>
        <v>大電</v>
      </c>
      <c r="J5276" s="86" t="str">
        <f>_xlfn.XLOOKUP(表格1[[#This Row],[Model]],表格3[Model-Input-Ref2],表格3[Code])</f>
        <v>REF</v>
      </c>
      <c r="K5276" s="89" t="s">
        <v>1282</v>
      </c>
      <c r="L5276" s="86">
        <v>1</v>
      </c>
      <c r="M5276" s="87">
        <v>3880</v>
      </c>
      <c r="N5276" s="87">
        <f>IFERROR(表格1[[#This Row],[QTY]]*表格1[[#This Row],[Unit Price]],"-")</f>
        <v>3880</v>
      </c>
      <c r="O5276" s="86">
        <v>4377</v>
      </c>
      <c r="R5276" s="86" t="str">
        <f>_xlfn.CONCAT(表格1[[#This Row],[Model]]," ",表格1[[#This Row],[inv no]])</f>
        <v>GR-RB360WE-PMA(06) 4377</v>
      </c>
      <c r="S5276" s="86">
        <f>_xlfn.XLOOKUP(表格1[[#This Row],[Model]],表格3[Model-Input-Ref2],表格3[SRP PRICE])</f>
        <v>5080</v>
      </c>
      <c r="T5276" s="43">
        <f>表格1[[#This Row],[Unit Price]]/表格1[[#This Row],[SRP]]</f>
        <v>0.76377952755905509</v>
      </c>
      <c r="U5276" s="86" t="str">
        <f>_xlfn.XLOOKUP(表格1[[#This Row],[Model]],表格3[Model-Input-Ref2],表格3[TOSHIBA/HIGHEST])</f>
        <v>Toshiba SRP</v>
      </c>
      <c r="W5276" s="86" t="str">
        <f>_xlfn.CONCAT(表格1[[#This Row],[欄4]],表格1[[#This Row],[inv no]])</f>
        <v>4377</v>
      </c>
    </row>
    <row r="5277" spans="1:23" hidden="1">
      <c r="A5277" s="81">
        <v>5275</v>
      </c>
      <c r="B5277" s="86" t="s">
        <v>1470</v>
      </c>
      <c r="C5277" s="86" t="s">
        <v>2028</v>
      </c>
      <c r="D5277" s="89" t="str">
        <f ca="1">OFFSET(Roster!$A$3,MATCH(表格1[[#This Row],[Location]]&amp;" "&amp;表格1[[#This Row],[Shop]]&amp;"*",Roster!$A$4:$A$72,0),DAY(表格1[[#This Row],[date]]),1,1)</f>
        <v>Hung</v>
      </c>
      <c r="E5277" s="86">
        <f>MONTH(表格1[[#This Row],[date]])</f>
        <v>3</v>
      </c>
      <c r="F5277" s="90">
        <v>46095</v>
      </c>
      <c r="G5277" s="86" t="str">
        <f>VLOOKUP("*"&amp;表格1[[#This Row],[Input]]&amp;"*",'Ref-List'!$B:$D,2,)</f>
        <v>RAC-07G3CVG-HK</v>
      </c>
      <c r="H5277" s="86" t="str">
        <f>_xlfn.XLOOKUP(表格1[[#This Row],[Model]],表格3[Model-Input-Ref2],表格3[Product Line])</f>
        <v>3/4 匹 R32變頻窗口式冷氣機</v>
      </c>
      <c r="I5277" s="86" t="str">
        <f>_xlfn.XLOOKUP(表格1[[#This Row],[Model]],表格3[Model-Input-Ref2],表格3[大小電])</f>
        <v>大電</v>
      </c>
      <c r="J5277" s="86" t="str">
        <f>_xlfn.XLOOKUP(表格1[[#This Row],[Model]],表格3[Model-Input-Ref2],表格3[Code])</f>
        <v>AC</v>
      </c>
      <c r="K5277" s="89" t="s">
        <v>1473</v>
      </c>
      <c r="L5277" s="86">
        <v>1</v>
      </c>
      <c r="M5277" s="87">
        <v>3099</v>
      </c>
      <c r="N5277" s="87">
        <f>IFERROR(表格1[[#This Row],[QTY]]*表格1[[#This Row],[Unit Price]],"-")</f>
        <v>3099</v>
      </c>
      <c r="O5277" s="86">
        <v>4389</v>
      </c>
      <c r="R5277" s="86" t="str">
        <f>_xlfn.CONCAT(表格1[[#This Row],[Model]]," ",表格1[[#This Row],[inv no]])</f>
        <v>RAC-07G3CVG-HK 4389</v>
      </c>
      <c r="S5277" s="86">
        <f>_xlfn.XLOOKUP(表格1[[#This Row],[Model]],表格3[Model-Input-Ref2],表格3[SRP PRICE])</f>
        <v>4980</v>
      </c>
      <c r="T5277" s="43">
        <f>表格1[[#This Row],[Unit Price]]/表格1[[#This Row],[SRP]]</f>
        <v>0.62228915662650608</v>
      </c>
      <c r="U5277" s="86" t="str">
        <f>_xlfn.XLOOKUP(表格1[[#This Row],[Model]],表格3[Model-Input-Ref2],表格3[TOSHIBA/HIGHEST])</f>
        <v>Toshiba SRP</v>
      </c>
      <c r="W5277" s="86" t="str">
        <f>_xlfn.CONCAT(表格1[[#This Row],[欄4]],表格1[[#This Row],[inv no]])</f>
        <v>4389</v>
      </c>
    </row>
    <row r="5278" spans="1:23" hidden="1">
      <c r="A5278" s="81">
        <v>5276</v>
      </c>
      <c r="B5278" s="86" t="s">
        <v>1470</v>
      </c>
      <c r="C5278" s="86" t="s">
        <v>2028</v>
      </c>
      <c r="D5278" s="89" t="str">
        <f ca="1">OFFSET(Roster!$A$3,MATCH(表格1[[#This Row],[Location]]&amp;" "&amp;表格1[[#This Row],[Shop]]&amp;"*",Roster!$A$4:$A$72,0),DAY(表格1[[#This Row],[date]]),1,1)</f>
        <v>Hung</v>
      </c>
      <c r="E5278" s="86">
        <f>MONTH(表格1[[#This Row],[date]])</f>
        <v>3</v>
      </c>
      <c r="F5278" s="90">
        <v>46095</v>
      </c>
      <c r="G5278" s="86" t="str">
        <f>VLOOKUP("*"&amp;表格1[[#This Row],[Input]]&amp;"*",'Ref-List'!$B:$D,2,)</f>
        <v>MM2-EM20PC(WH)</v>
      </c>
      <c r="H5278" s="86" t="str">
        <f>_xlfn.XLOOKUP(表格1[[#This Row],[Model]],表格3[Model-Input-Ref2],表格3[Product Line])</f>
        <v>輕觸式微波爐 (20公升)</v>
      </c>
      <c r="I5278" s="86" t="str">
        <f>_xlfn.XLOOKUP(表格1[[#This Row],[Model]],表格3[Model-Input-Ref2],表格3[大小電])</f>
        <v>細電</v>
      </c>
      <c r="J5278" s="86" t="str">
        <f>_xlfn.XLOOKUP(表格1[[#This Row],[Model]],表格3[Model-Input-Ref2],表格3[Code])</f>
        <v>MCA</v>
      </c>
      <c r="K5278" s="89" t="s">
        <v>1276</v>
      </c>
      <c r="L5278" s="86">
        <v>1</v>
      </c>
      <c r="M5278" s="87">
        <v>598</v>
      </c>
      <c r="N5278" s="87">
        <f>IFERROR(表格1[[#This Row],[QTY]]*表格1[[#This Row],[Unit Price]],"-")</f>
        <v>598</v>
      </c>
      <c r="O5278" s="86">
        <v>4398</v>
      </c>
      <c r="R5278" s="86" t="str">
        <f>_xlfn.CONCAT(表格1[[#This Row],[Model]]," ",表格1[[#This Row],[inv no]])</f>
        <v>MM2-EM20PC(WH) 4398</v>
      </c>
      <c r="S5278" s="86">
        <f>_xlfn.XLOOKUP(表格1[[#This Row],[Model]],表格3[Model-Input-Ref2],表格3[SRP PRICE])</f>
        <v>788</v>
      </c>
      <c r="T5278" s="43">
        <f>表格1[[#This Row],[Unit Price]]/表格1[[#This Row],[SRP]]</f>
        <v>0.75888324873096447</v>
      </c>
      <c r="U5278" s="86" t="str">
        <f>_xlfn.XLOOKUP(表格1[[#This Row],[Model]],表格3[Model-Input-Ref2],表格3[TOSHIBA/HIGHEST])</f>
        <v>Toshiba SRP</v>
      </c>
      <c r="W5278" s="86" t="str">
        <f>_xlfn.CONCAT(表格1[[#This Row],[欄4]],表格1[[#This Row],[inv no]])</f>
        <v>4398</v>
      </c>
    </row>
    <row r="5279" spans="1:23" hidden="1">
      <c r="A5279" s="81">
        <v>5277</v>
      </c>
      <c r="B5279" s="86" t="s">
        <v>1470</v>
      </c>
      <c r="C5279" s="86" t="s">
        <v>2028</v>
      </c>
      <c r="D5279" s="89" t="str">
        <f ca="1">OFFSET(Roster!$A$3,MATCH(表格1[[#This Row],[Location]]&amp;" "&amp;表格1[[#This Row],[Shop]]&amp;"*",Roster!$A$4:$A$72,0),DAY(表格1[[#This Row],[date]]),1,1)</f>
        <v>Hung</v>
      </c>
      <c r="E5279" s="86">
        <f>MONTH(表格1[[#This Row],[date]])</f>
        <v>3</v>
      </c>
      <c r="F5279" s="90">
        <v>46095</v>
      </c>
      <c r="G5279" s="86" t="str">
        <f>VLOOKUP("*"&amp;表格1[[#This Row],[Input]]&amp;"*",'Ref-List'!$B:$D,2,)</f>
        <v>GR-RT234WE-PMA(57)</v>
      </c>
      <c r="H5279" s="86" t="str">
        <f>_xlfn.XLOOKUP(表格1[[#This Row],[Model]],表格3[Model-Input-Ref2],表格3[Product Line])</f>
        <v>變頻式環保雙門雪櫃（179L）</v>
      </c>
      <c r="I5279" s="86" t="str">
        <f>_xlfn.XLOOKUP(表格1[[#This Row],[Model]],表格3[Model-Input-Ref2],表格3[大小電])</f>
        <v>大電</v>
      </c>
      <c r="J5279" s="86" t="str">
        <f>_xlfn.XLOOKUP(表格1[[#This Row],[Model]],表格3[Model-Input-Ref2],表格3[Code])</f>
        <v>REF</v>
      </c>
      <c r="K5279" s="89" t="s">
        <v>1423</v>
      </c>
      <c r="L5279" s="86">
        <v>1</v>
      </c>
      <c r="M5279" s="87">
        <v>1980</v>
      </c>
      <c r="N5279" s="87">
        <f>IFERROR(表格1[[#This Row],[QTY]]*表格1[[#This Row],[Unit Price]],"-")</f>
        <v>1980</v>
      </c>
      <c r="O5279" s="86">
        <v>4400</v>
      </c>
      <c r="R5279" s="86" t="str">
        <f>_xlfn.CONCAT(表格1[[#This Row],[Model]]," ",表格1[[#This Row],[inv no]])</f>
        <v>GR-RT234WE-PMA(57) 4400</v>
      </c>
      <c r="S5279" s="86">
        <f>_xlfn.XLOOKUP(表格1[[#This Row],[Model]],表格3[Model-Input-Ref2],表格3[SRP PRICE])</f>
        <v>3680</v>
      </c>
      <c r="T5279" s="43">
        <f>表格1[[#This Row],[Unit Price]]/表格1[[#This Row],[SRP]]</f>
        <v>0.53804347826086951</v>
      </c>
      <c r="U5279" s="86" t="str">
        <f>_xlfn.XLOOKUP(表格1[[#This Row],[Model]],表格3[Model-Input-Ref2],表格3[TOSHIBA/HIGHEST])</f>
        <v>Toshiba SRP</v>
      </c>
      <c r="W5279" s="86" t="str">
        <f>_xlfn.CONCAT(表格1[[#This Row],[欄4]],表格1[[#This Row],[inv no]])</f>
        <v>4400</v>
      </c>
    </row>
    <row r="5280" spans="1:23" hidden="1">
      <c r="A5280" s="81">
        <v>5278</v>
      </c>
      <c r="B5280" s="86" t="s">
        <v>1470</v>
      </c>
      <c r="C5280" s="86" t="s">
        <v>2028</v>
      </c>
      <c r="D5280" s="89" t="str">
        <f ca="1">OFFSET(Roster!$A$3,MATCH(表格1[[#This Row],[Location]]&amp;" "&amp;表格1[[#This Row],[Shop]]&amp;"*",Roster!$A$4:$A$72,0),DAY(表格1[[#This Row],[date]]),1,1)</f>
        <v>Hung</v>
      </c>
      <c r="E5280" s="86">
        <f>MONTH(表格1[[#This Row],[date]])</f>
        <v>3</v>
      </c>
      <c r="F5280" s="90">
        <v>46095</v>
      </c>
      <c r="G5280" s="86" t="str">
        <f>VLOOKUP("*"&amp;表格1[[#This Row],[Input]]&amp;"*",'Ref-List'!$B:$D,2,)</f>
        <v>KT-14DHUHK(W)</v>
      </c>
      <c r="H5280" s="86" t="str">
        <f>_xlfn.XLOOKUP(表格1[[#This Row],[Model]],表格3[Model-Input-Ref2],表格3[Product Line])</f>
        <v>無線雙層電熱水壺(1.4公升)</v>
      </c>
      <c r="I5280" s="86" t="str">
        <f>_xlfn.XLOOKUP(表格1[[#This Row],[Model]],表格3[Model-Input-Ref2],表格3[大小電])</f>
        <v>細電</v>
      </c>
      <c r="J5280" s="86" t="str">
        <f>_xlfn.XLOOKUP(表格1[[#This Row],[Model]],表格3[Model-Input-Ref2],表格3[Code])</f>
        <v>SDA</v>
      </c>
      <c r="K5280" s="89" t="s">
        <v>1425</v>
      </c>
      <c r="L5280" s="86">
        <v>1</v>
      </c>
      <c r="M5280" s="87">
        <v>298</v>
      </c>
      <c r="N5280" s="87">
        <f>IFERROR(表格1[[#This Row],[QTY]]*表格1[[#This Row],[Unit Price]],"-")</f>
        <v>298</v>
      </c>
      <c r="O5280" s="86">
        <v>4453</v>
      </c>
      <c r="R5280" s="86" t="str">
        <f>_xlfn.CONCAT(表格1[[#This Row],[Model]]," ",表格1[[#This Row],[inv no]])</f>
        <v>KT-14DHUHK(W) 4453</v>
      </c>
      <c r="S5280" s="86">
        <f>_xlfn.XLOOKUP(表格1[[#This Row],[Model]],表格3[Model-Input-Ref2],表格3[SRP PRICE])</f>
        <v>458</v>
      </c>
      <c r="T5280" s="43">
        <f>表格1[[#This Row],[Unit Price]]/表格1[[#This Row],[SRP]]</f>
        <v>0.6506550218340611</v>
      </c>
      <c r="U5280" s="86" t="str">
        <f>_xlfn.XLOOKUP(表格1[[#This Row],[Model]],表格3[Model-Input-Ref2],表格3[TOSHIBA/HIGHEST])</f>
        <v>Toshiba SRP</v>
      </c>
      <c r="W5280" s="86" t="str">
        <f>_xlfn.CONCAT(表格1[[#This Row],[欄4]],表格1[[#This Row],[inv no]])</f>
        <v>4453</v>
      </c>
    </row>
    <row r="5281" spans="1:23" hidden="1">
      <c r="A5281" s="81">
        <v>5279</v>
      </c>
      <c r="B5281" s="86" t="s">
        <v>1470</v>
      </c>
      <c r="C5281" s="86" t="s">
        <v>2028</v>
      </c>
      <c r="D5281" s="89" t="str">
        <f ca="1">OFFSET(Roster!$A$3,MATCH(表格1[[#This Row],[Location]]&amp;" "&amp;表格1[[#This Row],[Shop]]&amp;"*",Roster!$A$4:$A$72,0),DAY(表格1[[#This Row],[date]]),1,1)</f>
        <v>Hung</v>
      </c>
      <c r="E5281" s="86">
        <f>MONTH(表格1[[#This Row],[date]])</f>
        <v>3</v>
      </c>
      <c r="F5281" s="90">
        <v>46095</v>
      </c>
      <c r="G5281" s="86" t="str">
        <f>VLOOKUP("*"&amp;表格1[[#This Row],[Input]]&amp;"*",'Ref-List'!$B:$D,2,)</f>
        <v>KT-17SHNH</v>
      </c>
      <c r="H5281" s="86" t="str">
        <f>_xlfn.XLOOKUP(表格1[[#This Row],[Model]],表格3[Model-Input-Ref2],表格3[Product Line])</f>
        <v>1.7L無線雙層電熱水壺</v>
      </c>
      <c r="I5281" s="86" t="str">
        <f>_xlfn.XLOOKUP(表格1[[#This Row],[Model]],表格3[Model-Input-Ref2],表格3[大小電])</f>
        <v>細電</v>
      </c>
      <c r="J5281" s="86" t="str">
        <f>_xlfn.XLOOKUP(表格1[[#This Row],[Model]],表格3[Model-Input-Ref2],表格3[Code])</f>
        <v>SDA</v>
      </c>
      <c r="K5281" s="89" t="s">
        <v>1283</v>
      </c>
      <c r="L5281" s="86">
        <v>1</v>
      </c>
      <c r="M5281" s="87">
        <v>198</v>
      </c>
      <c r="N5281" s="87">
        <f>IFERROR(表格1[[#This Row],[QTY]]*表格1[[#This Row],[Unit Price]],"-")</f>
        <v>198</v>
      </c>
      <c r="O5281" s="86">
        <v>4475</v>
      </c>
      <c r="R5281" s="86" t="str">
        <f>_xlfn.CONCAT(表格1[[#This Row],[Model]]," ",表格1[[#This Row],[inv no]])</f>
        <v>KT-17SHNH 4475</v>
      </c>
      <c r="S5281" s="86">
        <f>_xlfn.XLOOKUP(表格1[[#This Row],[Model]],表格3[Model-Input-Ref2],表格3[SRP PRICE])</f>
        <v>299</v>
      </c>
      <c r="T5281" s="43">
        <f>表格1[[#This Row],[Unit Price]]/表格1[[#This Row],[SRP]]</f>
        <v>0.66220735785953178</v>
      </c>
      <c r="U5281" s="86" t="str">
        <f>_xlfn.XLOOKUP(表格1[[#This Row],[Model]],表格3[Model-Input-Ref2],表格3[TOSHIBA/HIGHEST])</f>
        <v>Shops Highest Price</v>
      </c>
      <c r="W5281" s="86" t="str">
        <f>_xlfn.CONCAT(表格1[[#This Row],[欄4]],表格1[[#This Row],[inv no]])</f>
        <v>4475</v>
      </c>
    </row>
    <row r="5282" spans="1:23" hidden="1">
      <c r="A5282" s="81">
        <v>5280</v>
      </c>
      <c r="B5282" s="86" t="s">
        <v>1470</v>
      </c>
      <c r="C5282" s="86" t="s">
        <v>2028</v>
      </c>
      <c r="D5282" s="89" t="str">
        <f ca="1">OFFSET(Roster!$A$3,MATCH(表格1[[#This Row],[Location]]&amp;" "&amp;表格1[[#This Row],[Shop]]&amp;"*",Roster!$A$4:$A$72,0),DAY(表格1[[#This Row],[date]]),1,1)</f>
        <v>Hung</v>
      </c>
      <c r="E5282" s="86">
        <f>MONTH(表格1[[#This Row],[date]])</f>
        <v>3</v>
      </c>
      <c r="F5282" s="90">
        <v>46095</v>
      </c>
      <c r="G5282" s="86" t="str">
        <f>VLOOKUP("*"&amp;表格1[[#This Row],[Input]]&amp;"*",'Ref-List'!$B:$D,2,)</f>
        <v>RAD-D300H</v>
      </c>
      <c r="H5282" s="86" t="str">
        <f>_xlfn.XLOOKUP(表格1[[#This Row],[Model]],表格3[Model-Input-Ref2],表格3[Product Line])</f>
        <v>壓縮式抽濕機 (30公升)</v>
      </c>
      <c r="I5282" s="86" t="str">
        <f>_xlfn.XLOOKUP(表格1[[#This Row],[Model]],表格3[Model-Input-Ref2],表格3[大小電])</f>
        <v>細電</v>
      </c>
      <c r="J5282" s="86" t="str">
        <f>_xlfn.XLOOKUP(表格1[[#This Row],[Model]],表格3[Model-Input-Ref2],表格3[Code])</f>
        <v>RAC</v>
      </c>
      <c r="K5282" s="89" t="s">
        <v>1252</v>
      </c>
      <c r="L5282" s="86">
        <v>1</v>
      </c>
      <c r="M5282" s="87">
        <v>2088</v>
      </c>
      <c r="N5282" s="87">
        <f>IFERROR(表格1[[#This Row],[QTY]]*表格1[[#This Row],[Unit Price]],"-")</f>
        <v>2088</v>
      </c>
      <c r="O5282" s="86">
        <v>4511</v>
      </c>
      <c r="R5282" s="86" t="str">
        <f>_xlfn.CONCAT(表格1[[#This Row],[Model]]," ",表格1[[#This Row],[inv no]])</f>
        <v>RAD-D300H 4511</v>
      </c>
      <c r="S5282" s="86">
        <f>_xlfn.XLOOKUP(表格1[[#This Row],[Model]],表格3[Model-Input-Ref2],表格3[SRP PRICE])</f>
        <v>3380</v>
      </c>
      <c r="T5282" s="43">
        <f>表格1[[#This Row],[Unit Price]]/表格1[[#This Row],[SRP]]</f>
        <v>0.61775147928994079</v>
      </c>
      <c r="U5282" s="86" t="str">
        <f>_xlfn.XLOOKUP(表格1[[#This Row],[Model]],表格3[Model-Input-Ref2],表格3[TOSHIBA/HIGHEST])</f>
        <v>Shops Highest Price</v>
      </c>
      <c r="W5282" s="86" t="str">
        <f>_xlfn.CONCAT(表格1[[#This Row],[欄4]],表格1[[#This Row],[inv no]])</f>
        <v>4511</v>
      </c>
    </row>
    <row r="5283" spans="1:23" hidden="1">
      <c r="A5283" s="81">
        <v>5281</v>
      </c>
      <c r="B5283" s="86" t="s">
        <v>1470</v>
      </c>
      <c r="C5283" s="86" t="s">
        <v>2028</v>
      </c>
      <c r="D5283" s="89" t="str">
        <f ca="1">OFFSET(Roster!$A$3,MATCH(表格1[[#This Row],[Location]]&amp;" "&amp;表格1[[#This Row],[Shop]]&amp;"*",Roster!$A$4:$A$72,0),DAY(表格1[[#This Row],[date]]),1,1)</f>
        <v>Hung</v>
      </c>
      <c r="E5283" s="86">
        <f>MONTH(表格1[[#This Row],[date]])</f>
        <v>3</v>
      </c>
      <c r="F5283" s="90">
        <v>46095</v>
      </c>
      <c r="G5283" s="86" t="str">
        <f>VLOOKUP("*"&amp;表格1[[#This Row],[Input]]&amp;"*",'Ref-List'!$B:$D,2,)</f>
        <v>MM2-EM20PC(WH)</v>
      </c>
      <c r="H5283" s="86" t="str">
        <f>_xlfn.XLOOKUP(表格1[[#This Row],[Model]],表格3[Model-Input-Ref2],表格3[Product Line])</f>
        <v>輕觸式微波爐 (20公升)</v>
      </c>
      <c r="I5283" s="86" t="str">
        <f>_xlfn.XLOOKUP(表格1[[#This Row],[Model]],表格3[Model-Input-Ref2],表格3[大小電])</f>
        <v>細電</v>
      </c>
      <c r="J5283" s="86" t="str">
        <f>_xlfn.XLOOKUP(表格1[[#This Row],[Model]],表格3[Model-Input-Ref2],表格3[Code])</f>
        <v>MCA</v>
      </c>
      <c r="K5283" s="89" t="s">
        <v>1276</v>
      </c>
      <c r="L5283" s="86">
        <v>1</v>
      </c>
      <c r="M5283" s="87">
        <v>618</v>
      </c>
      <c r="N5283" s="87">
        <f>IFERROR(表格1[[#This Row],[QTY]]*表格1[[#This Row],[Unit Price]],"-")</f>
        <v>618</v>
      </c>
      <c r="O5283" s="86">
        <v>4525</v>
      </c>
      <c r="R5283" s="86" t="str">
        <f>_xlfn.CONCAT(表格1[[#This Row],[Model]]," ",表格1[[#This Row],[inv no]])</f>
        <v>MM2-EM20PC(WH) 4525</v>
      </c>
      <c r="S5283" s="86">
        <f>_xlfn.XLOOKUP(表格1[[#This Row],[Model]],表格3[Model-Input-Ref2],表格3[SRP PRICE])</f>
        <v>788</v>
      </c>
      <c r="T5283" s="43">
        <f>表格1[[#This Row],[Unit Price]]/表格1[[#This Row],[SRP]]</f>
        <v>0.78426395939086291</v>
      </c>
      <c r="U5283" s="86" t="str">
        <f>_xlfn.XLOOKUP(表格1[[#This Row],[Model]],表格3[Model-Input-Ref2],表格3[TOSHIBA/HIGHEST])</f>
        <v>Toshiba SRP</v>
      </c>
      <c r="W5283" s="86" t="str">
        <f>_xlfn.CONCAT(表格1[[#This Row],[欄4]],表格1[[#This Row],[inv no]])</f>
        <v>4525</v>
      </c>
    </row>
    <row r="5284" spans="1:23" hidden="1">
      <c r="A5284" s="81">
        <v>5282</v>
      </c>
      <c r="B5284" s="86" t="s">
        <v>1470</v>
      </c>
      <c r="C5284" s="86" t="s">
        <v>2028</v>
      </c>
      <c r="D5284" s="89" t="str">
        <f ca="1">OFFSET(Roster!$A$3,MATCH(表格1[[#This Row],[Location]]&amp;" "&amp;表格1[[#This Row],[Shop]]&amp;"*",Roster!$A$4:$A$72,0),DAY(表格1[[#This Row],[date]]),1,1)</f>
        <v>Hung</v>
      </c>
      <c r="E5284" s="86">
        <f>MONTH(表格1[[#This Row],[date]])</f>
        <v>3</v>
      </c>
      <c r="F5284" s="90">
        <v>46095</v>
      </c>
      <c r="G5284" s="86" t="str">
        <f>VLOOKUP("*"&amp;表格1[[#This Row],[Input]]&amp;"*",'Ref-List'!$B:$D,2,)</f>
        <v>GR-H713(WH)</v>
      </c>
      <c r="H5284" s="86" t="str">
        <f>_xlfn.XLOOKUP(表格1[[#This Row],[Model]],表格3[Model-Input-Ref2],表格3[Product Line])</f>
        <v>單門直冷式環保雪櫃44L</v>
      </c>
      <c r="I5284" s="86" t="str">
        <f>_xlfn.XLOOKUP(表格1[[#This Row],[Model]],表格3[Model-Input-Ref2],表格3[大小電])</f>
        <v>大電</v>
      </c>
      <c r="J5284" s="86" t="str">
        <f>_xlfn.XLOOKUP(表格1[[#This Row],[Model]],表格3[Model-Input-Ref2],表格3[Code])</f>
        <v>REF</v>
      </c>
      <c r="K5284" s="89" t="s">
        <v>1861</v>
      </c>
      <c r="L5284" s="86">
        <v>1</v>
      </c>
      <c r="M5284" s="87">
        <v>1600</v>
      </c>
      <c r="N5284" s="87">
        <f>IFERROR(表格1[[#This Row],[QTY]]*表格1[[#This Row],[Unit Price]],"-")</f>
        <v>1600</v>
      </c>
      <c r="O5284" s="86">
        <v>4522</v>
      </c>
      <c r="R5284" s="86" t="str">
        <f>_xlfn.CONCAT(表格1[[#This Row],[Model]]," ",表格1[[#This Row],[inv no]])</f>
        <v>GR-H713(WH) 4522</v>
      </c>
      <c r="S5284" s="86">
        <f>_xlfn.XLOOKUP(表格1[[#This Row],[Model]],表格3[Model-Input-Ref2],表格3[SRP PRICE])</f>
        <v>1780</v>
      </c>
      <c r="T5284" s="43">
        <f>表格1[[#This Row],[Unit Price]]/表格1[[#This Row],[SRP]]</f>
        <v>0.898876404494382</v>
      </c>
      <c r="U5284" s="86" t="str">
        <f>_xlfn.XLOOKUP(表格1[[#This Row],[Model]],表格3[Model-Input-Ref2],表格3[TOSHIBA/HIGHEST])</f>
        <v>Toshiba SRP</v>
      </c>
      <c r="W5284" s="86" t="str">
        <f>_xlfn.CONCAT(表格1[[#This Row],[欄4]],表格1[[#This Row],[inv no]])</f>
        <v>4522</v>
      </c>
    </row>
    <row r="5285" spans="1:23" hidden="1">
      <c r="A5285" s="81">
        <v>5283</v>
      </c>
      <c r="B5285" s="86" t="s">
        <v>1470</v>
      </c>
      <c r="C5285" s="86" t="s">
        <v>2028</v>
      </c>
      <c r="D5285" s="89" t="str">
        <f ca="1">OFFSET(Roster!$A$3,MATCH(表格1[[#This Row],[Location]]&amp;" "&amp;表格1[[#This Row],[Shop]]&amp;"*",Roster!$A$4:$A$72,0),DAY(表格1[[#This Row],[date]]),1,1)</f>
        <v>Hung</v>
      </c>
      <c r="E5285" s="86">
        <f>MONTH(表格1[[#This Row],[date]])</f>
        <v>3</v>
      </c>
      <c r="F5285" s="90">
        <v>46095</v>
      </c>
      <c r="G5285" s="86" t="str">
        <f>VLOOKUP("*"&amp;表格1[[#This Row],[Input]]&amp;"*",'Ref-List'!$B:$D,2,)</f>
        <v>GR-RB360WE-PMA(06)</v>
      </c>
      <c r="H5285" s="86" t="str">
        <f>_xlfn.XLOOKUP(表格1[[#This Row],[Model]],表格3[Model-Input-Ref2],表格3[Product Line])</f>
        <v>變頻下置式雙門雪櫃系列270L</v>
      </c>
      <c r="I5285" s="86" t="str">
        <f>_xlfn.XLOOKUP(表格1[[#This Row],[Model]],表格3[Model-Input-Ref2],表格3[大小電])</f>
        <v>大電</v>
      </c>
      <c r="J5285" s="86" t="str">
        <f>_xlfn.XLOOKUP(表格1[[#This Row],[Model]],表格3[Model-Input-Ref2],表格3[Code])</f>
        <v>REF</v>
      </c>
      <c r="K5285" s="89" t="s">
        <v>1282</v>
      </c>
      <c r="L5285" s="86">
        <v>1</v>
      </c>
      <c r="M5285" s="87">
        <v>3780</v>
      </c>
      <c r="N5285" s="87">
        <f>IFERROR(表格1[[#This Row],[QTY]]*表格1[[#This Row],[Unit Price]],"-")</f>
        <v>3780</v>
      </c>
      <c r="O5285" s="86">
        <v>4549</v>
      </c>
      <c r="R5285" s="86" t="str">
        <f>_xlfn.CONCAT(表格1[[#This Row],[Model]]," ",表格1[[#This Row],[inv no]])</f>
        <v>GR-RB360WE-PMA(06) 4549</v>
      </c>
      <c r="S5285" s="86">
        <f>_xlfn.XLOOKUP(表格1[[#This Row],[Model]],表格3[Model-Input-Ref2],表格3[SRP PRICE])</f>
        <v>5080</v>
      </c>
      <c r="T5285" s="43">
        <f>表格1[[#This Row],[Unit Price]]/表格1[[#This Row],[SRP]]</f>
        <v>0.74409448818897639</v>
      </c>
      <c r="U5285" s="86" t="str">
        <f>_xlfn.XLOOKUP(表格1[[#This Row],[Model]],表格3[Model-Input-Ref2],表格3[TOSHIBA/HIGHEST])</f>
        <v>Toshiba SRP</v>
      </c>
      <c r="W5285" s="86" t="str">
        <f>_xlfn.CONCAT(表格1[[#This Row],[欄4]],表格1[[#This Row],[inv no]])</f>
        <v>4549</v>
      </c>
    </row>
    <row r="5286" spans="1:23" hidden="1">
      <c r="A5286" s="81">
        <v>5284</v>
      </c>
      <c r="B5286" s="86" t="s">
        <v>1470</v>
      </c>
      <c r="C5286" s="86" t="s">
        <v>2028</v>
      </c>
      <c r="D5286" s="89" t="str">
        <f ca="1">OFFSET(Roster!$A$3,MATCH(表格1[[#This Row],[Location]]&amp;" "&amp;表格1[[#This Row],[Shop]]&amp;"*",Roster!$A$4:$A$72,0),DAY(表格1[[#This Row],[date]]),1,1)</f>
        <v>Hung</v>
      </c>
      <c r="E5286" s="86">
        <f>MONTH(表格1[[#This Row],[date]])</f>
        <v>3</v>
      </c>
      <c r="F5286" s="90">
        <v>46096</v>
      </c>
      <c r="G5286" s="86" t="str">
        <f>VLOOKUP("*"&amp;表格1[[#This Row],[Input]]&amp;"*",'Ref-List'!$B:$D,2,)</f>
        <v>RC-DS10K(R)</v>
      </c>
      <c r="H5286" s="86" t="str">
        <f>_xlfn.XLOOKUP(表格1[[#This Row],[Model]],表格3[Model-Input-Ref2],表格3[Product Line])</f>
        <v>IH磁應電飯煲</v>
      </c>
      <c r="I5286" s="86" t="str">
        <f>_xlfn.XLOOKUP(表格1[[#This Row],[Model]],表格3[Model-Input-Ref2],表格3[大小電])</f>
        <v>細電</v>
      </c>
      <c r="J5286" s="86" t="str">
        <f>_xlfn.XLOOKUP(表格1[[#This Row],[Model]],表格3[Model-Input-Ref2],表格3[Code])</f>
        <v>SDA</v>
      </c>
      <c r="K5286" s="89" t="s">
        <v>1424</v>
      </c>
      <c r="L5286" s="86">
        <v>1</v>
      </c>
      <c r="M5286" s="87">
        <v>2988</v>
      </c>
      <c r="N5286" s="87">
        <f>IFERROR(表格1[[#This Row],[QTY]]*表格1[[#This Row],[Unit Price]],"-")</f>
        <v>2988</v>
      </c>
      <c r="O5286" s="86">
        <v>4648</v>
      </c>
      <c r="R5286" s="86" t="str">
        <f>_xlfn.CONCAT(表格1[[#This Row],[Model]]," ",表格1[[#This Row],[inv no]])</f>
        <v>RC-DS10K(R) 4648</v>
      </c>
      <c r="S5286" s="86">
        <f>_xlfn.XLOOKUP(表格1[[#This Row],[Model]],表格3[Model-Input-Ref2],表格3[SRP PRICE])</f>
        <v>4588</v>
      </c>
      <c r="T5286" s="43">
        <f>表格1[[#This Row],[Unit Price]]/表格1[[#This Row],[SRP]]</f>
        <v>0.6512641673931997</v>
      </c>
      <c r="U5286" s="86" t="str">
        <f>_xlfn.XLOOKUP(表格1[[#This Row],[Model]],表格3[Model-Input-Ref2],表格3[TOSHIBA/HIGHEST])</f>
        <v>Toshiba SRP</v>
      </c>
      <c r="W5286" s="86" t="str">
        <f>_xlfn.CONCAT(表格1[[#This Row],[欄4]],表格1[[#This Row],[inv no]])</f>
        <v>4648</v>
      </c>
    </row>
    <row r="5287" spans="1:23" hidden="1">
      <c r="A5287" s="81">
        <v>5285</v>
      </c>
      <c r="B5287" s="86" t="s">
        <v>1470</v>
      </c>
      <c r="C5287" s="86" t="s">
        <v>2028</v>
      </c>
      <c r="D5287" s="89" t="str">
        <f ca="1">OFFSET(Roster!$A$3,MATCH(表格1[[#This Row],[Location]]&amp;" "&amp;表格1[[#This Row],[Shop]]&amp;"*",Roster!$A$4:$A$72,0),DAY(表格1[[#This Row],[date]]),1,1)</f>
        <v>Hung</v>
      </c>
      <c r="E5287" s="86">
        <f>MONTH(表格1[[#This Row],[date]])</f>
        <v>3</v>
      </c>
      <c r="F5287" s="90">
        <v>46096</v>
      </c>
      <c r="G5287" s="86" t="str">
        <f>VLOOKUP("*"&amp;表格1[[#This Row],[Input]]&amp;"*",'Ref-List'!$B:$D,2,)</f>
        <v>MM2-EG20PC(WH)</v>
      </c>
      <c r="H5287" s="86" t="str">
        <f>_xlfn.XLOOKUP(表格1[[#This Row],[Model]],表格3[Model-Input-Ref2],表格3[Product Line])</f>
        <v>輕觸式燒烤微波爐</v>
      </c>
      <c r="I5287" s="86" t="str">
        <f>_xlfn.XLOOKUP(表格1[[#This Row],[Model]],表格3[Model-Input-Ref2],表格3[大小電])</f>
        <v>細電</v>
      </c>
      <c r="J5287" s="86" t="str">
        <f>_xlfn.XLOOKUP(表格1[[#This Row],[Model]],表格3[Model-Input-Ref2],表格3[Code])</f>
        <v>MCA</v>
      </c>
      <c r="K5287" s="89" t="s">
        <v>1273</v>
      </c>
      <c r="L5287" s="86">
        <v>1</v>
      </c>
      <c r="M5287" s="87">
        <v>698</v>
      </c>
      <c r="N5287" s="87">
        <f>IFERROR(表格1[[#This Row],[QTY]]*表格1[[#This Row],[Unit Price]],"-")</f>
        <v>698</v>
      </c>
      <c r="O5287" s="86">
        <v>4666</v>
      </c>
      <c r="R5287" s="86" t="str">
        <f>_xlfn.CONCAT(表格1[[#This Row],[Model]]," ",表格1[[#This Row],[inv no]])</f>
        <v>MM2-EG20PC(WH) 4666</v>
      </c>
      <c r="S5287" s="86">
        <f>_xlfn.XLOOKUP(表格1[[#This Row],[Model]],表格3[Model-Input-Ref2],表格3[SRP PRICE])</f>
        <v>918</v>
      </c>
      <c r="T5287" s="43">
        <f>表格1[[#This Row],[Unit Price]]/表格1[[#This Row],[SRP]]</f>
        <v>0.76034858387799564</v>
      </c>
      <c r="U5287" s="86" t="str">
        <f>_xlfn.XLOOKUP(表格1[[#This Row],[Model]],表格3[Model-Input-Ref2],表格3[TOSHIBA/HIGHEST])</f>
        <v>Shops Highest Price</v>
      </c>
      <c r="W5287" s="86" t="str">
        <f>_xlfn.CONCAT(表格1[[#This Row],[欄4]],表格1[[#This Row],[inv no]])</f>
        <v>4666</v>
      </c>
    </row>
    <row r="5288" spans="1:23" hidden="1">
      <c r="A5288" s="81">
        <v>5286</v>
      </c>
      <c r="B5288" s="86" t="s">
        <v>1470</v>
      </c>
      <c r="C5288" s="86" t="s">
        <v>2028</v>
      </c>
      <c r="D5288" s="89" t="str">
        <f ca="1">OFFSET(Roster!$A$3,MATCH(表格1[[#This Row],[Location]]&amp;" "&amp;表格1[[#This Row],[Shop]]&amp;"*",Roster!$A$4:$A$72,0),DAY(表格1[[#This Row],[date]]),1,1)</f>
        <v>Hung</v>
      </c>
      <c r="E5288" s="86">
        <f>MONTH(表格1[[#This Row],[date]])</f>
        <v>3</v>
      </c>
      <c r="F5288" s="90">
        <v>46096</v>
      </c>
      <c r="G5288" s="86" t="str">
        <f>VLOOKUP("*"&amp;表格1[[#This Row],[Input]]&amp;"*",'Ref-List'!$B:$D,2,)</f>
        <v>MX2-TT20SC(WH)</v>
      </c>
      <c r="H5288" s="86" t="str">
        <f>_xlfn.XLOOKUP(表格1[[#This Row],[Model]],表格3[Model-Input-Ref2],表格3[Product Line])</f>
        <v>3合1 微波蒸焗爐 (20公升)</v>
      </c>
      <c r="I5288" s="86" t="str">
        <f>_xlfn.XLOOKUP(表格1[[#This Row],[Model]],表格3[Model-Input-Ref2],表格3[大小電])</f>
        <v>細電</v>
      </c>
      <c r="J5288" s="86" t="str">
        <f>_xlfn.XLOOKUP(表格1[[#This Row],[Model]],表格3[Model-Input-Ref2],表格3[Code])</f>
        <v>MCA</v>
      </c>
      <c r="K5288" s="89" t="s">
        <v>1287</v>
      </c>
      <c r="L5288" s="86">
        <v>1</v>
      </c>
      <c r="M5288" s="87">
        <v>2440</v>
      </c>
      <c r="N5288" s="87">
        <f>IFERROR(表格1[[#This Row],[QTY]]*表格1[[#This Row],[Unit Price]],"-")</f>
        <v>2440</v>
      </c>
      <c r="O5288" s="86">
        <v>4684</v>
      </c>
      <c r="R5288" s="86" t="str">
        <f>_xlfn.CONCAT(表格1[[#This Row],[Model]]," ",表格1[[#This Row],[inv no]])</f>
        <v>MX2-TT20SC(WH) 4684</v>
      </c>
      <c r="S5288" s="86">
        <f>_xlfn.XLOOKUP(表格1[[#This Row],[Model]],表格3[Model-Input-Ref2],表格3[SRP PRICE])</f>
        <v>3580</v>
      </c>
      <c r="T5288" s="43">
        <f>表格1[[#This Row],[Unit Price]]/表格1[[#This Row],[SRP]]</f>
        <v>0.68156424581005581</v>
      </c>
      <c r="U5288" s="86" t="str">
        <f>_xlfn.XLOOKUP(表格1[[#This Row],[Model]],表格3[Model-Input-Ref2],表格3[TOSHIBA/HIGHEST])</f>
        <v>Toshiba SRP</v>
      </c>
      <c r="W5288" s="86" t="str">
        <f>_xlfn.CONCAT(表格1[[#This Row],[欄4]],表格1[[#This Row],[inv no]])</f>
        <v>4684</v>
      </c>
    </row>
    <row r="5289" spans="1:23" hidden="1">
      <c r="A5289" s="81">
        <v>5287</v>
      </c>
      <c r="B5289" s="86" t="s">
        <v>1470</v>
      </c>
      <c r="C5289" s="86" t="s">
        <v>2028</v>
      </c>
      <c r="D5289" s="89" t="str">
        <f ca="1">OFFSET(Roster!$A$3,MATCH(表格1[[#This Row],[Location]]&amp;" "&amp;表格1[[#This Row],[Shop]]&amp;"*",Roster!$A$4:$A$72,0),DAY(表格1[[#This Row],[date]]),1,1)</f>
        <v>Hung</v>
      </c>
      <c r="E5289" s="86">
        <f>MONTH(表格1[[#This Row],[date]])</f>
        <v>3</v>
      </c>
      <c r="F5289" s="90">
        <v>46096</v>
      </c>
      <c r="G5289" s="86" t="str">
        <f>VLOOKUP("*"&amp;表格1[[#This Row],[Input]]&amp;"*",'Ref-List'!$B:$D,2,)</f>
        <v>MWP-MM20P(WH)</v>
      </c>
      <c r="H5289" s="86" t="str">
        <f>_xlfn.XLOOKUP(表格1[[#This Row],[Model]],表格3[Model-Input-Ref2],表格3[Product Line])</f>
        <v>旋鈕式燒烤微波爐20L</v>
      </c>
      <c r="I5289" s="86" t="str">
        <f>_xlfn.XLOOKUP(表格1[[#This Row],[Model]],表格3[Model-Input-Ref2],表格3[大小電])</f>
        <v>細電</v>
      </c>
      <c r="J5289" s="86" t="str">
        <f>_xlfn.XLOOKUP(表格1[[#This Row],[Model]],表格3[Model-Input-Ref2],表格3[Code])</f>
        <v>SDA</v>
      </c>
      <c r="K5289" s="89" t="s">
        <v>1270</v>
      </c>
      <c r="L5289" s="86">
        <v>1</v>
      </c>
      <c r="M5289" s="87">
        <v>599</v>
      </c>
      <c r="N5289" s="87">
        <f>IFERROR(表格1[[#This Row],[QTY]]*表格1[[#This Row],[Unit Price]],"-")</f>
        <v>599</v>
      </c>
      <c r="O5289" s="86">
        <v>4694</v>
      </c>
      <c r="R5289" s="86" t="str">
        <f>_xlfn.CONCAT(表格1[[#This Row],[Model]]," ",表格1[[#This Row],[inv no]])</f>
        <v>MWP-MM20P(WH) 4694</v>
      </c>
      <c r="S5289" s="86">
        <f>_xlfn.XLOOKUP(表格1[[#This Row],[Model]],表格3[Model-Input-Ref2],表格3[SRP PRICE])</f>
        <v>648</v>
      </c>
      <c r="T5289" s="43">
        <f>表格1[[#This Row],[Unit Price]]/表格1[[#This Row],[SRP]]</f>
        <v>0.92438271604938271</v>
      </c>
      <c r="U5289" s="86" t="str">
        <f>_xlfn.XLOOKUP(表格1[[#This Row],[Model]],表格3[Model-Input-Ref2],表格3[TOSHIBA/HIGHEST])</f>
        <v>Toshiba SRP</v>
      </c>
      <c r="W5289" s="86" t="str">
        <f>_xlfn.CONCAT(表格1[[#This Row],[欄4]],表格1[[#This Row],[inv no]])</f>
        <v>4694</v>
      </c>
    </row>
    <row r="5290" spans="1:23" hidden="1">
      <c r="A5290" s="81">
        <v>5288</v>
      </c>
      <c r="B5290" s="86" t="s">
        <v>1470</v>
      </c>
      <c r="C5290" s="86" t="s">
        <v>2028</v>
      </c>
      <c r="D5290" s="89" t="str">
        <f ca="1">OFFSET(Roster!$A$3,MATCH(表格1[[#This Row],[Location]]&amp;" "&amp;表格1[[#This Row],[Shop]]&amp;"*",Roster!$A$4:$A$72,0),DAY(表格1[[#This Row],[date]]),1,1)</f>
        <v>Hung</v>
      </c>
      <c r="E5290" s="86">
        <f>MONTH(表格1[[#This Row],[date]])</f>
        <v>3</v>
      </c>
      <c r="F5290" s="90">
        <v>46096</v>
      </c>
      <c r="G5290" s="86" t="str">
        <f>VLOOKUP("*"&amp;表格1[[#This Row],[Input]]&amp;"*",'Ref-List'!$B:$D,2,)</f>
        <v>KT-17DRTHK(H)</v>
      </c>
      <c r="H5290" s="86" t="str">
        <f>_xlfn.XLOOKUP(表格1[[#This Row],[Model]],表格3[Model-Input-Ref2],表格3[Product Line])</f>
        <v>無線雙層電熱水壺(1.7公升)</v>
      </c>
      <c r="I5290" s="86" t="str">
        <f>_xlfn.XLOOKUP(表格1[[#This Row],[Model]],表格3[Model-Input-Ref2],表格3[大小電])</f>
        <v>細電</v>
      </c>
      <c r="J5290" s="86" t="str">
        <f>_xlfn.XLOOKUP(表格1[[#This Row],[Model]],表格3[Model-Input-Ref2],表格3[Code])</f>
        <v>SDA</v>
      </c>
      <c r="K5290" s="89" t="s">
        <v>1271</v>
      </c>
      <c r="L5290" s="86">
        <v>1</v>
      </c>
      <c r="M5290" s="87">
        <v>388</v>
      </c>
      <c r="N5290" s="87">
        <f>IFERROR(表格1[[#This Row],[QTY]]*表格1[[#This Row],[Unit Price]],"-")</f>
        <v>388</v>
      </c>
      <c r="O5290" s="86">
        <v>4695</v>
      </c>
      <c r="R5290" s="86" t="str">
        <f>_xlfn.CONCAT(表格1[[#This Row],[Model]]," ",表格1[[#This Row],[inv no]])</f>
        <v>KT-17DRTHK(H) 4695</v>
      </c>
      <c r="S5290" s="86">
        <f>_xlfn.XLOOKUP(表格1[[#This Row],[Model]],表格3[Model-Input-Ref2],表格3[SRP PRICE])</f>
        <v>498</v>
      </c>
      <c r="T5290" s="43">
        <f>表格1[[#This Row],[Unit Price]]/表格1[[#This Row],[SRP]]</f>
        <v>0.77911646586345384</v>
      </c>
      <c r="U5290" s="86" t="str">
        <f>_xlfn.XLOOKUP(表格1[[#This Row],[Model]],表格3[Model-Input-Ref2],表格3[TOSHIBA/HIGHEST])</f>
        <v>Toshiba SRP</v>
      </c>
      <c r="W5290" s="86" t="str">
        <f>_xlfn.CONCAT(表格1[[#This Row],[欄4]],表格1[[#This Row],[inv no]])</f>
        <v>4695</v>
      </c>
    </row>
    <row r="5291" spans="1:23" hidden="1">
      <c r="A5291" s="81">
        <v>5289</v>
      </c>
      <c r="B5291" s="86" t="s">
        <v>1470</v>
      </c>
      <c r="C5291" s="86" t="s">
        <v>2028</v>
      </c>
      <c r="D5291" s="89" t="str">
        <f ca="1">OFFSET(Roster!$A$3,MATCH(表格1[[#This Row],[Location]]&amp;" "&amp;表格1[[#This Row],[Shop]]&amp;"*",Roster!$A$4:$A$72,0),DAY(表格1[[#This Row],[date]]),1,1)</f>
        <v>Hung</v>
      </c>
      <c r="E5291" s="86">
        <f>MONTH(表格1[[#This Row],[date]])</f>
        <v>3</v>
      </c>
      <c r="F5291" s="90">
        <v>46096</v>
      </c>
      <c r="G5291" s="86" t="str">
        <f>VLOOKUP("*"&amp;表格1[[#This Row],[Input]]&amp;"*",'Ref-List'!$B:$D,2,)</f>
        <v>DW-05T2-HK</v>
      </c>
      <c r="H5291" s="86" t="str">
        <f>_xlfn.XLOOKUP(表格1[[#This Row],[Model]],表格3[Model-Input-Ref2],表格3[Product Line])</f>
        <v>座檯式洗碗碟機</v>
      </c>
      <c r="I5291" s="86" t="str">
        <f>_xlfn.XLOOKUP(表格1[[#This Row],[Model]],表格3[Model-Input-Ref2],表格3[大小電])</f>
        <v>細電</v>
      </c>
      <c r="J5291" s="86" t="str">
        <f>_xlfn.XLOOKUP(表格1[[#This Row],[Model]],表格3[Model-Input-Ref2],表格3[Code])</f>
        <v>DW</v>
      </c>
      <c r="K5291" s="89" t="s">
        <v>1475</v>
      </c>
      <c r="L5291" s="86">
        <v>1</v>
      </c>
      <c r="M5291" s="87">
        <v>3460</v>
      </c>
      <c r="N5291" s="87">
        <f>IFERROR(表格1[[#This Row],[QTY]]*表格1[[#This Row],[Unit Price]],"-")</f>
        <v>3460</v>
      </c>
      <c r="O5291" s="86">
        <v>4707</v>
      </c>
      <c r="R5291" s="86" t="str">
        <f>_xlfn.CONCAT(表格1[[#This Row],[Model]]," ",表格1[[#This Row],[inv no]])</f>
        <v>DW-05T2-HK 4707</v>
      </c>
      <c r="S5291" s="86">
        <f>_xlfn.XLOOKUP(表格1[[#This Row],[Model]],表格3[Model-Input-Ref2],表格3[SRP PRICE])</f>
        <v>4580</v>
      </c>
      <c r="T5291" s="43">
        <f>表格1[[#This Row],[Unit Price]]/表格1[[#This Row],[SRP]]</f>
        <v>0.75545851528384278</v>
      </c>
      <c r="U5291" s="86" t="str">
        <f>_xlfn.XLOOKUP(表格1[[#This Row],[Model]],表格3[Model-Input-Ref2],表格3[TOSHIBA/HIGHEST])</f>
        <v>Toshiba SRP</v>
      </c>
      <c r="W5291" s="86" t="str">
        <f>_xlfn.CONCAT(表格1[[#This Row],[欄4]],表格1[[#This Row],[inv no]])</f>
        <v>4707</v>
      </c>
    </row>
    <row r="5292" spans="1:23" hidden="1">
      <c r="A5292" s="81">
        <v>5290</v>
      </c>
      <c r="B5292" s="86" t="s">
        <v>1470</v>
      </c>
      <c r="C5292" s="86" t="s">
        <v>2028</v>
      </c>
      <c r="D5292" s="89" t="str">
        <f ca="1">OFFSET(Roster!$A$3,MATCH(表格1[[#This Row],[Location]]&amp;" "&amp;表格1[[#This Row],[Shop]]&amp;"*",Roster!$A$4:$A$72,0),DAY(表格1[[#This Row],[date]]),1,1)</f>
        <v>Hung</v>
      </c>
      <c r="E5292" s="86">
        <f>MONTH(表格1[[#This Row],[date]])</f>
        <v>3</v>
      </c>
      <c r="F5292" s="90">
        <v>46096</v>
      </c>
      <c r="G5292" s="86" t="str">
        <f>VLOOKUP("*"&amp;表格1[[#This Row],[Input]]&amp;"*",'Ref-List'!$B:$D,2,)</f>
        <v>TWP-W2265THK(W)</v>
      </c>
      <c r="H5292" s="86" t="str">
        <f>_xlfn.XLOOKUP(表格1[[#This Row],[Model]],表格3[Model-Input-Ref2],表格3[Product Line])</f>
        <v>RO座檯式冷熱飲水機</v>
      </c>
      <c r="I5292" s="86" t="str">
        <f>_xlfn.XLOOKUP(表格1[[#This Row],[Model]],表格3[Model-Input-Ref2],表格3[大小電])</f>
        <v>細電</v>
      </c>
      <c r="J5292" s="86" t="str">
        <f>_xlfn.XLOOKUP(表格1[[#This Row],[Model]],表格3[Model-Input-Ref2],表格3[Code])</f>
        <v>KWH</v>
      </c>
      <c r="K5292" s="89" t="s">
        <v>1694</v>
      </c>
      <c r="L5292" s="86">
        <v>1</v>
      </c>
      <c r="M5292" s="87">
        <v>2886</v>
      </c>
      <c r="N5292" s="87">
        <f>IFERROR(表格1[[#This Row],[QTY]]*表格1[[#This Row],[Unit Price]],"-")</f>
        <v>2886</v>
      </c>
      <c r="O5292" s="86">
        <v>4709</v>
      </c>
      <c r="R5292" s="86" t="str">
        <f>_xlfn.CONCAT(表格1[[#This Row],[Model]]," ",表格1[[#This Row],[inv no]])</f>
        <v>TWP-W2265THK(W) 4709</v>
      </c>
      <c r="S5292" s="86">
        <f>_xlfn.XLOOKUP(表格1[[#This Row],[Model]],表格3[Model-Input-Ref2],表格3[SRP PRICE])</f>
        <v>3480</v>
      </c>
      <c r="T5292" s="43">
        <f>表格1[[#This Row],[Unit Price]]/表格1[[#This Row],[SRP]]</f>
        <v>0.82931034482758625</v>
      </c>
      <c r="U5292" s="86" t="str">
        <f>_xlfn.XLOOKUP(表格1[[#This Row],[Model]],表格3[Model-Input-Ref2],表格3[TOSHIBA/HIGHEST])</f>
        <v>Shops Highest Price</v>
      </c>
      <c r="W5292" s="86" t="str">
        <f>_xlfn.CONCAT(表格1[[#This Row],[欄4]],表格1[[#This Row],[inv no]])</f>
        <v>4709</v>
      </c>
    </row>
    <row r="5293" spans="1:23" hidden="1">
      <c r="A5293" s="81">
        <v>5291</v>
      </c>
      <c r="B5293" s="86" t="s">
        <v>1470</v>
      </c>
      <c r="C5293" s="86" t="s">
        <v>2028</v>
      </c>
      <c r="D5293" s="89" t="str">
        <f ca="1">OFFSET(Roster!$A$3,MATCH(表格1[[#This Row],[Location]]&amp;" "&amp;表格1[[#This Row],[Shop]]&amp;"*",Roster!$A$4:$A$72,0),DAY(表格1[[#This Row],[date]]),1,1)</f>
        <v>Hung</v>
      </c>
      <c r="E5293" s="86">
        <f>MONTH(表格1[[#This Row],[date]])</f>
        <v>3</v>
      </c>
      <c r="F5293" s="90">
        <v>46096</v>
      </c>
      <c r="G5293" s="86" t="str">
        <f>VLOOKUP("*"&amp;表格1[[#This Row],[Input]]&amp;"*",'Ref-List'!$B:$D,2,)</f>
        <v>TP-50DRUHK(W)</v>
      </c>
      <c r="H5293" s="86" t="str">
        <f>_xlfn.XLOOKUP(表格1[[#This Row],[Model]],表格3[Model-Input-Ref2],表格3[Product Line])</f>
        <v>電熱水瓶 (5公升)</v>
      </c>
      <c r="I5293" s="86" t="str">
        <f>_xlfn.XLOOKUP(表格1[[#This Row],[Model]],表格3[Model-Input-Ref2],表格3[大小電])</f>
        <v>細電</v>
      </c>
      <c r="J5293" s="86" t="str">
        <f>_xlfn.XLOOKUP(表格1[[#This Row],[Model]],表格3[Model-Input-Ref2],表格3[Code])</f>
        <v>SDA</v>
      </c>
      <c r="K5293" s="89" t="s">
        <v>1277</v>
      </c>
      <c r="L5293" s="86">
        <v>1</v>
      </c>
      <c r="M5293" s="87">
        <v>600</v>
      </c>
      <c r="N5293" s="87">
        <f>IFERROR(表格1[[#This Row],[QTY]]*表格1[[#This Row],[Unit Price]],"-")</f>
        <v>600</v>
      </c>
      <c r="O5293" s="86">
        <v>4721</v>
      </c>
      <c r="R5293" s="86" t="str">
        <f>_xlfn.CONCAT(表格1[[#This Row],[Model]]," ",表格1[[#This Row],[inv no]])</f>
        <v>TP-50DRUHK(W) 4721</v>
      </c>
      <c r="S5293" s="86">
        <f>_xlfn.XLOOKUP(表格1[[#This Row],[Model]],表格3[Model-Input-Ref2],表格3[SRP PRICE])</f>
        <v>718</v>
      </c>
      <c r="T5293" s="43">
        <f>表格1[[#This Row],[Unit Price]]/表格1[[#This Row],[SRP]]</f>
        <v>0.83565459610027859</v>
      </c>
      <c r="U5293" s="86" t="str">
        <f>_xlfn.XLOOKUP(表格1[[#This Row],[Model]],表格3[Model-Input-Ref2],表格3[TOSHIBA/HIGHEST])</f>
        <v>Toshiba SRP</v>
      </c>
      <c r="W5293" s="86" t="str">
        <f>_xlfn.CONCAT(表格1[[#This Row],[欄4]],表格1[[#This Row],[inv no]])</f>
        <v>4721</v>
      </c>
    </row>
    <row r="5294" spans="1:23" hidden="1">
      <c r="A5294" s="81">
        <v>5292</v>
      </c>
      <c r="B5294" s="86" t="s">
        <v>1470</v>
      </c>
      <c r="C5294" s="86" t="s">
        <v>2028</v>
      </c>
      <c r="D5294" s="89" t="str">
        <f ca="1">OFFSET(Roster!$A$3,MATCH(表格1[[#This Row],[Location]]&amp;" "&amp;表格1[[#This Row],[Shop]]&amp;"*",Roster!$A$4:$A$72,0),DAY(表格1[[#This Row],[date]]),1,1)</f>
        <v>Hung</v>
      </c>
      <c r="E5294" s="86">
        <f>MONTH(表格1[[#This Row],[date]])</f>
        <v>3</v>
      </c>
      <c r="F5294" s="90">
        <v>46096</v>
      </c>
      <c r="G5294" s="86" t="str">
        <f>VLOOKUP("*"&amp;表格1[[#This Row],[Input]]&amp;"*",'Ref-List'!$B:$D,2,)</f>
        <v>RC-DS10K(R)</v>
      </c>
      <c r="H5294" s="86" t="str">
        <f>_xlfn.XLOOKUP(表格1[[#This Row],[Model]],表格3[Model-Input-Ref2],表格3[Product Line])</f>
        <v>IH磁應電飯煲</v>
      </c>
      <c r="I5294" s="86" t="str">
        <f>_xlfn.XLOOKUP(表格1[[#This Row],[Model]],表格3[Model-Input-Ref2],表格3[大小電])</f>
        <v>細電</v>
      </c>
      <c r="J5294" s="86" t="str">
        <f>_xlfn.XLOOKUP(表格1[[#This Row],[Model]],表格3[Model-Input-Ref2],表格3[Code])</f>
        <v>SDA</v>
      </c>
      <c r="K5294" s="89" t="s">
        <v>1424</v>
      </c>
      <c r="L5294" s="86">
        <v>1</v>
      </c>
      <c r="M5294" s="87">
        <v>2988</v>
      </c>
      <c r="N5294" s="87">
        <f>IFERROR(表格1[[#This Row],[QTY]]*表格1[[#This Row],[Unit Price]],"-")</f>
        <v>2988</v>
      </c>
      <c r="O5294" s="86">
        <v>4734</v>
      </c>
      <c r="R5294" s="86" t="str">
        <f>_xlfn.CONCAT(表格1[[#This Row],[Model]]," ",表格1[[#This Row],[inv no]])</f>
        <v>RC-DS10K(R) 4734</v>
      </c>
      <c r="S5294" s="86">
        <f>_xlfn.XLOOKUP(表格1[[#This Row],[Model]],表格3[Model-Input-Ref2],表格3[SRP PRICE])</f>
        <v>4588</v>
      </c>
      <c r="T5294" s="43">
        <f>表格1[[#This Row],[Unit Price]]/表格1[[#This Row],[SRP]]</f>
        <v>0.6512641673931997</v>
      </c>
      <c r="U5294" s="86" t="str">
        <f>_xlfn.XLOOKUP(表格1[[#This Row],[Model]],表格3[Model-Input-Ref2],表格3[TOSHIBA/HIGHEST])</f>
        <v>Toshiba SRP</v>
      </c>
      <c r="W5294" s="86" t="str">
        <f>_xlfn.CONCAT(表格1[[#This Row],[欄4]],表格1[[#This Row],[inv no]])</f>
        <v>4734</v>
      </c>
    </row>
    <row r="5295" spans="1:23" hidden="1">
      <c r="A5295" s="81">
        <v>5293</v>
      </c>
      <c r="B5295" s="86" t="s">
        <v>1470</v>
      </c>
      <c r="C5295" s="86" t="s">
        <v>2028</v>
      </c>
      <c r="D5295" s="89" t="str">
        <f ca="1">OFFSET(Roster!$A$3,MATCH(表格1[[#This Row],[Location]]&amp;" "&amp;表格1[[#This Row],[Shop]]&amp;"*",Roster!$A$4:$A$72,0),DAY(表格1[[#This Row],[date]]),1,1)</f>
        <v>Hung</v>
      </c>
      <c r="E5295" s="86">
        <f>MONTH(表格1[[#This Row],[date]])</f>
        <v>3</v>
      </c>
      <c r="F5295" s="90">
        <v>46096</v>
      </c>
      <c r="G5295" s="86" t="str">
        <f>VLOOKUP("*"&amp;表格1[[#This Row],[Input]]&amp;"*",'Ref-List'!$B:$D,2,)</f>
        <v>MW3-SAC24SE(BK)</v>
      </c>
      <c r="H5295" s="86" t="str">
        <f>_xlfn.XLOOKUP(表格1[[#This Row],[Model]],表格3[Model-Input-Ref2],表格3[Product Line])</f>
        <v>智能氣炸烤焗爐(24公升)</v>
      </c>
      <c r="I5295" s="86" t="str">
        <f>_xlfn.XLOOKUP(表格1[[#This Row],[Model]],表格3[Model-Input-Ref2],表格3[大小電])</f>
        <v>細電</v>
      </c>
      <c r="J5295" s="86" t="str">
        <f>_xlfn.XLOOKUP(表格1[[#This Row],[Model]],表格3[Model-Input-Ref2],表格3[Code])</f>
        <v>MCA</v>
      </c>
      <c r="K5295" s="89" t="s">
        <v>1274</v>
      </c>
      <c r="L5295" s="86">
        <v>1</v>
      </c>
      <c r="M5295" s="87">
        <v>1258</v>
      </c>
      <c r="N5295" s="87">
        <f>IFERROR(表格1[[#This Row],[QTY]]*表格1[[#This Row],[Unit Price]],"-")</f>
        <v>1258</v>
      </c>
      <c r="O5295" s="86">
        <v>4737</v>
      </c>
      <c r="R5295" s="86" t="str">
        <f>_xlfn.CONCAT(表格1[[#This Row],[Model]]," ",表格1[[#This Row],[inv no]])</f>
        <v>MW3-SAC24SE(BK) 4737</v>
      </c>
      <c r="S5295" s="86">
        <f>_xlfn.XLOOKUP(表格1[[#This Row],[Model]],表格3[Model-Input-Ref2],表格3[SRP PRICE])</f>
        <v>1680</v>
      </c>
      <c r="T5295" s="43">
        <f>表格1[[#This Row],[Unit Price]]/表格1[[#This Row],[SRP]]</f>
        <v>0.74880952380952381</v>
      </c>
      <c r="U5295" s="86" t="str">
        <f>_xlfn.XLOOKUP(表格1[[#This Row],[Model]],表格3[Model-Input-Ref2],表格3[TOSHIBA/HIGHEST])</f>
        <v>Toshiba SRP</v>
      </c>
      <c r="W5295" s="86" t="str">
        <f>_xlfn.CONCAT(表格1[[#This Row],[欄4]],表格1[[#This Row],[inv no]])</f>
        <v>4737</v>
      </c>
    </row>
    <row r="5296" spans="1:23" hidden="1">
      <c r="A5296" s="81">
        <v>5294</v>
      </c>
      <c r="B5296" s="86" t="s">
        <v>1470</v>
      </c>
      <c r="C5296" s="86" t="s">
        <v>2028</v>
      </c>
      <c r="D5296" s="89" t="str">
        <f ca="1">OFFSET(Roster!$A$3,MATCH(表格1[[#This Row],[Location]]&amp;" "&amp;表格1[[#This Row],[Shop]]&amp;"*",Roster!$A$4:$A$72,0),DAY(表格1[[#This Row],[date]]),1,1)</f>
        <v>Hung</v>
      </c>
      <c r="E5296" s="86">
        <f>MONTH(表格1[[#This Row],[date]])</f>
        <v>3</v>
      </c>
      <c r="F5296" s="90">
        <v>46096</v>
      </c>
      <c r="G5296" s="86" t="str">
        <f>VLOOKUP("*"&amp;表格1[[#This Row],[Input]]&amp;"*",'Ref-List'!$B:$D,2,)</f>
        <v>RC-7HMH</v>
      </c>
      <c r="H5296" s="86" t="str">
        <f>_xlfn.XLOOKUP(表格1[[#This Row],[Model]],表格3[Model-Input-Ref2],表格3[Product Line])</f>
        <v>備長炭本厚釜電飯煲0.7L</v>
      </c>
      <c r="I5296" s="86" t="str">
        <f>_xlfn.XLOOKUP(表格1[[#This Row],[Model]],表格3[Model-Input-Ref2],表格3[大小電])</f>
        <v>細電</v>
      </c>
      <c r="J5296" s="86" t="str">
        <f>_xlfn.XLOOKUP(表格1[[#This Row],[Model]],表格3[Model-Input-Ref2],表格3[Code])</f>
        <v>SDA</v>
      </c>
      <c r="K5296" s="89" t="s">
        <v>1284</v>
      </c>
      <c r="L5296" s="86">
        <v>1</v>
      </c>
      <c r="M5296" s="87">
        <v>820</v>
      </c>
      <c r="N5296" s="87">
        <f>IFERROR(表格1[[#This Row],[QTY]]*表格1[[#This Row],[Unit Price]],"-")</f>
        <v>820</v>
      </c>
      <c r="O5296" s="86">
        <v>4744</v>
      </c>
      <c r="R5296" s="86" t="str">
        <f>_xlfn.CONCAT(表格1[[#This Row],[Model]]," ",表格1[[#This Row],[inv no]])</f>
        <v>RC-7HMH 4744</v>
      </c>
      <c r="S5296" s="86">
        <f>_xlfn.XLOOKUP(表格1[[#This Row],[Model]],表格3[Model-Input-Ref2],表格3[SRP PRICE])</f>
        <v>1288</v>
      </c>
      <c r="T5296" s="43">
        <f>表格1[[#This Row],[Unit Price]]/表格1[[#This Row],[SRP]]</f>
        <v>0.63664596273291929</v>
      </c>
      <c r="U5296" s="86" t="str">
        <f>_xlfn.XLOOKUP(表格1[[#This Row],[Model]],表格3[Model-Input-Ref2],表格3[TOSHIBA/HIGHEST])</f>
        <v>Toshiba SRP</v>
      </c>
      <c r="W5296" s="86" t="str">
        <f>_xlfn.CONCAT(表格1[[#This Row],[欄4]],表格1[[#This Row],[inv no]])</f>
        <v>4744</v>
      </c>
    </row>
    <row r="5297" spans="1:23" hidden="1">
      <c r="A5297" s="81">
        <v>5295</v>
      </c>
      <c r="B5297" s="86" t="s">
        <v>1470</v>
      </c>
      <c r="C5297" s="86" t="s">
        <v>2028</v>
      </c>
      <c r="D5297" s="89" t="str">
        <f ca="1">OFFSET(Roster!$A$3,MATCH(表格1[[#This Row],[Location]]&amp;" "&amp;表格1[[#This Row],[Shop]]&amp;"*",Roster!$A$4:$A$72,0),DAY(表格1[[#This Row],[date]]),1,1)</f>
        <v>Hung</v>
      </c>
      <c r="E5297" s="86">
        <f>MONTH(表格1[[#This Row],[date]])</f>
        <v>3</v>
      </c>
      <c r="F5297" s="90">
        <v>46096</v>
      </c>
      <c r="G5297" s="86" t="str">
        <f>VLOOKUP("*"&amp;表格1[[#This Row],[Input]]&amp;"*",'Ref-List'!$B:$D,2,)</f>
        <v>RAD-D300H</v>
      </c>
      <c r="H5297" s="86" t="str">
        <f>_xlfn.XLOOKUP(表格1[[#This Row],[Model]],表格3[Model-Input-Ref2],表格3[Product Line])</f>
        <v>壓縮式抽濕機 (30公升)</v>
      </c>
      <c r="I5297" s="86" t="str">
        <f>_xlfn.XLOOKUP(表格1[[#This Row],[Model]],表格3[Model-Input-Ref2],表格3[大小電])</f>
        <v>細電</v>
      </c>
      <c r="J5297" s="86" t="str">
        <f>_xlfn.XLOOKUP(表格1[[#This Row],[Model]],表格3[Model-Input-Ref2],表格3[Code])</f>
        <v>RAC</v>
      </c>
      <c r="K5297" s="89" t="s">
        <v>1252</v>
      </c>
      <c r="L5297" s="86">
        <v>1</v>
      </c>
      <c r="M5297" s="87">
        <v>1980</v>
      </c>
      <c r="N5297" s="87">
        <f>IFERROR(表格1[[#This Row],[QTY]]*表格1[[#This Row],[Unit Price]],"-")</f>
        <v>1980</v>
      </c>
      <c r="O5297" s="86">
        <v>4750</v>
      </c>
      <c r="R5297" s="86" t="str">
        <f>_xlfn.CONCAT(表格1[[#This Row],[Model]]," ",表格1[[#This Row],[inv no]])</f>
        <v>RAD-D300H 4750</v>
      </c>
      <c r="S5297" s="86">
        <f>_xlfn.XLOOKUP(表格1[[#This Row],[Model]],表格3[Model-Input-Ref2],表格3[SRP PRICE])</f>
        <v>3380</v>
      </c>
      <c r="T5297" s="43">
        <f>表格1[[#This Row],[Unit Price]]/表格1[[#This Row],[SRP]]</f>
        <v>0.58579881656804733</v>
      </c>
      <c r="U5297" s="86" t="str">
        <f>_xlfn.XLOOKUP(表格1[[#This Row],[Model]],表格3[Model-Input-Ref2],表格3[TOSHIBA/HIGHEST])</f>
        <v>Shops Highest Price</v>
      </c>
      <c r="W5297" s="86" t="str">
        <f>_xlfn.CONCAT(表格1[[#This Row],[欄4]],表格1[[#This Row],[inv no]])</f>
        <v>4750</v>
      </c>
    </row>
    <row r="5298" spans="1:23" hidden="1">
      <c r="A5298" s="81">
        <v>5296</v>
      </c>
      <c r="B5298" s="86" t="s">
        <v>1470</v>
      </c>
      <c r="C5298" s="86" t="s">
        <v>2028</v>
      </c>
      <c r="D5298" s="89" t="str">
        <f ca="1">OFFSET(Roster!$A$3,MATCH(表格1[[#This Row],[Location]]&amp;" "&amp;表格1[[#This Row],[Shop]]&amp;"*",Roster!$A$4:$A$72,0),DAY(表格1[[#This Row],[date]]),1,1)</f>
        <v>Hung</v>
      </c>
      <c r="E5298" s="86">
        <f>MONTH(表格1[[#This Row],[date]])</f>
        <v>3</v>
      </c>
      <c r="F5298" s="90">
        <v>46096</v>
      </c>
      <c r="G5298" s="86" t="str">
        <f>VLOOKUP("*"&amp;表格1[[#This Row],[Input]]&amp;"*",'Ref-List'!$B:$D,2,)</f>
        <v>MX2-STR25SC(WH)</v>
      </c>
      <c r="H5298" s="86" t="str">
        <f>_xlfn.XLOOKUP(表格1[[#This Row],[Model]],表格3[Model-Input-Ref2],表格3[Product Line])</f>
        <v>4合1氣炸微波蒸焗爐(25公升)</v>
      </c>
      <c r="I5298" s="86" t="str">
        <f>_xlfn.XLOOKUP(表格1[[#This Row],[Model]],表格3[Model-Input-Ref2],表格3[大小電])</f>
        <v>細電</v>
      </c>
      <c r="J5298" s="86" t="str">
        <f>_xlfn.XLOOKUP(表格1[[#This Row],[Model]],表格3[Model-Input-Ref2],表格3[Code])</f>
        <v>MCA</v>
      </c>
      <c r="K5298" s="89" t="s">
        <v>1410</v>
      </c>
      <c r="L5298" s="86">
        <v>1</v>
      </c>
      <c r="M5298" s="87">
        <v>3250</v>
      </c>
      <c r="N5298" s="87">
        <f>IFERROR(表格1[[#This Row],[QTY]]*表格1[[#This Row],[Unit Price]],"-")</f>
        <v>3250</v>
      </c>
      <c r="O5298" s="86">
        <v>4748</v>
      </c>
      <c r="R5298" s="86" t="str">
        <f>_xlfn.CONCAT(表格1[[#This Row],[Model]]," ",表格1[[#This Row],[inv no]])</f>
        <v>MX2-STR25SC(WH) 4748</v>
      </c>
      <c r="S5298" s="86">
        <f>_xlfn.XLOOKUP(表格1[[#This Row],[Model]],表格3[Model-Input-Ref2],表格3[SRP PRICE])</f>
        <v>4998</v>
      </c>
      <c r="T5298" s="43">
        <f>表格1[[#This Row],[Unit Price]]/表格1[[#This Row],[SRP]]</f>
        <v>0.6502601040416166</v>
      </c>
      <c r="U5298" s="86" t="str">
        <f>_xlfn.XLOOKUP(表格1[[#This Row],[Model]],表格3[Model-Input-Ref2],表格3[TOSHIBA/HIGHEST])</f>
        <v>Toshiba SRP</v>
      </c>
      <c r="W5298" s="86" t="str">
        <f>_xlfn.CONCAT(表格1[[#This Row],[欄4]],表格1[[#This Row],[inv no]])</f>
        <v>4748</v>
      </c>
    </row>
    <row r="5299" spans="1:23" hidden="1">
      <c r="A5299" s="81">
        <v>5297</v>
      </c>
      <c r="B5299" s="86" t="s">
        <v>1470</v>
      </c>
      <c r="C5299" s="86" t="s">
        <v>2028</v>
      </c>
      <c r="D5299" s="89" t="str">
        <f ca="1">OFFSET(Roster!$A$3,MATCH(表格1[[#This Row],[Location]]&amp;" "&amp;表格1[[#This Row],[Shop]]&amp;"*",Roster!$A$4:$A$72,0),DAY(表格1[[#This Row],[date]]),1,1)</f>
        <v>Hung</v>
      </c>
      <c r="E5299" s="86">
        <f>MONTH(表格1[[#This Row],[date]])</f>
        <v>3</v>
      </c>
      <c r="F5299" s="90">
        <v>46096</v>
      </c>
      <c r="G5299" s="86" t="str">
        <f>VLOOKUP("*"&amp;表格1[[#This Row],[Input]]&amp;"*",'Ref-List'!$B:$D,2,)</f>
        <v>DW-05T2-HK</v>
      </c>
      <c r="H5299" s="86" t="str">
        <f>_xlfn.XLOOKUP(表格1[[#This Row],[Model]],表格3[Model-Input-Ref2],表格3[Product Line])</f>
        <v>座檯式洗碗碟機</v>
      </c>
      <c r="I5299" s="86" t="str">
        <f>_xlfn.XLOOKUP(表格1[[#This Row],[Model]],表格3[Model-Input-Ref2],表格3[大小電])</f>
        <v>細電</v>
      </c>
      <c r="J5299" s="86" t="str">
        <f>_xlfn.XLOOKUP(表格1[[#This Row],[Model]],表格3[Model-Input-Ref2],表格3[Code])</f>
        <v>DW</v>
      </c>
      <c r="K5299" s="89" t="s">
        <v>1475</v>
      </c>
      <c r="L5299" s="86">
        <v>1</v>
      </c>
      <c r="M5299" s="87">
        <v>3460</v>
      </c>
      <c r="N5299" s="87">
        <f>IFERROR(表格1[[#This Row],[QTY]]*表格1[[#This Row],[Unit Price]],"-")</f>
        <v>3460</v>
      </c>
      <c r="O5299" s="86">
        <v>4751</v>
      </c>
      <c r="R5299" s="86" t="str">
        <f>_xlfn.CONCAT(表格1[[#This Row],[Model]]," ",表格1[[#This Row],[inv no]])</f>
        <v>DW-05T2-HK 4751</v>
      </c>
      <c r="S5299" s="86">
        <f>_xlfn.XLOOKUP(表格1[[#This Row],[Model]],表格3[Model-Input-Ref2],表格3[SRP PRICE])</f>
        <v>4580</v>
      </c>
      <c r="T5299" s="43">
        <f>表格1[[#This Row],[Unit Price]]/表格1[[#This Row],[SRP]]</f>
        <v>0.75545851528384278</v>
      </c>
      <c r="U5299" s="86" t="str">
        <f>_xlfn.XLOOKUP(表格1[[#This Row],[Model]],表格3[Model-Input-Ref2],表格3[TOSHIBA/HIGHEST])</f>
        <v>Toshiba SRP</v>
      </c>
      <c r="W5299" s="86" t="str">
        <f>_xlfn.CONCAT(表格1[[#This Row],[欄4]],表格1[[#This Row],[inv no]])</f>
        <v>4751</v>
      </c>
    </row>
    <row r="5300" spans="1:23" hidden="1">
      <c r="A5300" s="81">
        <v>5298</v>
      </c>
      <c r="B5300" s="86" t="s">
        <v>1470</v>
      </c>
      <c r="C5300" s="86" t="s">
        <v>2028</v>
      </c>
      <c r="D5300" s="89" t="str">
        <f ca="1">OFFSET(Roster!$A$3,MATCH(表格1[[#This Row],[Location]]&amp;" "&amp;表格1[[#This Row],[Shop]]&amp;"*",Roster!$A$4:$A$72,0),DAY(表格1[[#This Row],[date]]),1,1)</f>
        <v>Hung</v>
      </c>
      <c r="E5300" s="86">
        <f>MONTH(表格1[[#This Row],[date]])</f>
        <v>3</v>
      </c>
      <c r="F5300" s="90">
        <v>46096</v>
      </c>
      <c r="G5300" s="86" t="str">
        <f>VLOOKUP("*"&amp;表格1[[#This Row],[Input]]&amp;"*",'Ref-List'!$B:$D,2,)</f>
        <v>RAC-07G3CVG-HK</v>
      </c>
      <c r="H5300" s="86" t="str">
        <f>_xlfn.XLOOKUP(表格1[[#This Row],[Model]],表格3[Model-Input-Ref2],表格3[Product Line])</f>
        <v>3/4 匹 R32變頻窗口式冷氣機</v>
      </c>
      <c r="I5300" s="86" t="str">
        <f>_xlfn.XLOOKUP(表格1[[#This Row],[Model]],表格3[Model-Input-Ref2],表格3[大小電])</f>
        <v>大電</v>
      </c>
      <c r="J5300" s="86" t="str">
        <f>_xlfn.XLOOKUP(表格1[[#This Row],[Model]],表格3[Model-Input-Ref2],表格3[Code])</f>
        <v>AC</v>
      </c>
      <c r="K5300" s="89" t="s">
        <v>1473</v>
      </c>
      <c r="L5300" s="86">
        <v>1</v>
      </c>
      <c r="M5300" s="87">
        <v>3099</v>
      </c>
      <c r="N5300" s="87">
        <f>IFERROR(表格1[[#This Row],[QTY]]*表格1[[#This Row],[Unit Price]],"-")</f>
        <v>3099</v>
      </c>
      <c r="O5300" s="86">
        <v>4754</v>
      </c>
      <c r="R5300" s="86" t="str">
        <f>_xlfn.CONCAT(表格1[[#This Row],[Model]]," ",表格1[[#This Row],[inv no]])</f>
        <v>RAC-07G3CVG-HK 4754</v>
      </c>
      <c r="S5300" s="86">
        <f>_xlfn.XLOOKUP(表格1[[#This Row],[Model]],表格3[Model-Input-Ref2],表格3[SRP PRICE])</f>
        <v>4980</v>
      </c>
      <c r="T5300" s="43">
        <f>表格1[[#This Row],[Unit Price]]/表格1[[#This Row],[SRP]]</f>
        <v>0.62228915662650608</v>
      </c>
      <c r="U5300" s="86" t="str">
        <f>_xlfn.XLOOKUP(表格1[[#This Row],[Model]],表格3[Model-Input-Ref2],表格3[TOSHIBA/HIGHEST])</f>
        <v>Toshiba SRP</v>
      </c>
      <c r="W5300" s="86" t="str">
        <f>_xlfn.CONCAT(表格1[[#This Row],[欄4]],表格1[[#This Row],[inv no]])</f>
        <v>4754</v>
      </c>
    </row>
    <row r="5301" spans="1:23" hidden="1">
      <c r="A5301" s="81">
        <v>5299</v>
      </c>
      <c r="B5301" s="86" t="s">
        <v>1470</v>
      </c>
      <c r="C5301" s="86" t="s">
        <v>2028</v>
      </c>
      <c r="D5301" s="89" t="str">
        <f ca="1">OFFSET(Roster!$A$3,MATCH(表格1[[#This Row],[Location]]&amp;" "&amp;表格1[[#This Row],[Shop]]&amp;"*",Roster!$A$4:$A$72,0),DAY(表格1[[#This Row],[date]]),1,1)</f>
        <v>Hung</v>
      </c>
      <c r="E5301" s="86">
        <f>MONTH(表格1[[#This Row],[date]])</f>
        <v>3</v>
      </c>
      <c r="F5301" s="90">
        <v>46097</v>
      </c>
      <c r="G5301" s="86" t="str">
        <f>VLOOKUP("*"&amp;表格1[[#This Row],[Input]]&amp;"*",'Ref-List'!$B:$D,2,)</f>
        <v>RC-10ISSHK(W)</v>
      </c>
      <c r="H5301" s="86" t="str">
        <f>_xlfn.XLOOKUP(表格1[[#This Row],[Model]],表格3[Model-Input-Ref2],表格3[Product Line])</f>
        <v>磁應電飯煲(1公升)</v>
      </c>
      <c r="I5301" s="86" t="str">
        <f>_xlfn.XLOOKUP(表格1[[#This Row],[Model]],表格3[Model-Input-Ref2],表格3[大小電])</f>
        <v>細電</v>
      </c>
      <c r="J5301" s="86" t="str">
        <f>_xlfn.XLOOKUP(表格1[[#This Row],[Model]],表格3[Model-Input-Ref2],表格3[Code])</f>
        <v>SDA</v>
      </c>
      <c r="K5301" s="89" t="s">
        <v>1286</v>
      </c>
      <c r="L5301" s="86">
        <v>1</v>
      </c>
      <c r="M5301" s="87">
        <v>980</v>
      </c>
      <c r="N5301" s="87">
        <f>IFERROR(表格1[[#This Row],[QTY]]*表格1[[#This Row],[Unit Price]],"-")</f>
        <v>980</v>
      </c>
      <c r="O5301" s="86">
        <v>4777</v>
      </c>
      <c r="R5301" s="86" t="str">
        <f>_xlfn.CONCAT(表格1[[#This Row],[Model]]," ",表格1[[#This Row],[inv no]])</f>
        <v>RC-10ISSHK(W) 4777</v>
      </c>
      <c r="S5301" s="86">
        <f>_xlfn.XLOOKUP(表格1[[#This Row],[Model]],表格3[Model-Input-Ref2],表格3[SRP PRICE])</f>
        <v>1188</v>
      </c>
      <c r="T5301" s="43">
        <f>表格1[[#This Row],[Unit Price]]/表格1[[#This Row],[SRP]]</f>
        <v>0.82491582491582494</v>
      </c>
      <c r="U5301" s="86" t="str">
        <f>_xlfn.XLOOKUP(表格1[[#This Row],[Model]],表格3[Model-Input-Ref2],表格3[TOSHIBA/HIGHEST])</f>
        <v>Shops Highest Price</v>
      </c>
      <c r="W5301" s="86" t="str">
        <f>_xlfn.CONCAT(表格1[[#This Row],[欄4]],表格1[[#This Row],[inv no]])</f>
        <v>4777</v>
      </c>
    </row>
    <row r="5302" spans="1:23" hidden="1">
      <c r="A5302" s="81">
        <v>5300</v>
      </c>
      <c r="B5302" s="86" t="s">
        <v>1470</v>
      </c>
      <c r="C5302" s="86" t="s">
        <v>2028</v>
      </c>
      <c r="D5302" s="89" t="str">
        <f ca="1">OFFSET(Roster!$A$3,MATCH(表格1[[#This Row],[Location]]&amp;" "&amp;表格1[[#This Row],[Shop]]&amp;"*",Roster!$A$4:$A$72,0),DAY(表格1[[#This Row],[date]]),1,1)</f>
        <v>Hung</v>
      </c>
      <c r="E5302" s="86">
        <f>MONTH(表格1[[#This Row],[date]])</f>
        <v>3</v>
      </c>
      <c r="F5302" s="90">
        <v>46097</v>
      </c>
      <c r="G5302" s="86" t="str">
        <f>VLOOKUP("*"&amp;表格1[[#This Row],[Input]]&amp;"*",'Ref-List'!$B:$D,2,)</f>
        <v>MM2-EM20PC(WH)</v>
      </c>
      <c r="H5302" s="86" t="str">
        <f>_xlfn.XLOOKUP(表格1[[#This Row],[Model]],表格3[Model-Input-Ref2],表格3[Product Line])</f>
        <v>輕觸式微波爐 (20公升)</v>
      </c>
      <c r="I5302" s="86" t="str">
        <f>_xlfn.XLOOKUP(表格1[[#This Row],[Model]],表格3[Model-Input-Ref2],表格3[大小電])</f>
        <v>細電</v>
      </c>
      <c r="J5302" s="86" t="str">
        <f>_xlfn.XLOOKUP(表格1[[#This Row],[Model]],表格3[Model-Input-Ref2],表格3[Code])</f>
        <v>MCA</v>
      </c>
      <c r="K5302" s="89" t="s">
        <v>1276</v>
      </c>
      <c r="L5302" s="86">
        <v>1</v>
      </c>
      <c r="M5302" s="87">
        <v>618</v>
      </c>
      <c r="N5302" s="87">
        <f>IFERROR(表格1[[#This Row],[QTY]]*表格1[[#This Row],[Unit Price]],"-")</f>
        <v>618</v>
      </c>
      <c r="O5302" s="86">
        <v>4779</v>
      </c>
      <c r="R5302" s="86" t="str">
        <f>_xlfn.CONCAT(表格1[[#This Row],[Model]]," ",表格1[[#This Row],[inv no]])</f>
        <v>MM2-EM20PC(WH) 4779</v>
      </c>
      <c r="S5302" s="86">
        <f>_xlfn.XLOOKUP(表格1[[#This Row],[Model]],表格3[Model-Input-Ref2],表格3[SRP PRICE])</f>
        <v>788</v>
      </c>
      <c r="T5302" s="43">
        <f>表格1[[#This Row],[Unit Price]]/表格1[[#This Row],[SRP]]</f>
        <v>0.78426395939086291</v>
      </c>
      <c r="U5302" s="86" t="str">
        <f>_xlfn.XLOOKUP(表格1[[#This Row],[Model]],表格3[Model-Input-Ref2],表格3[TOSHIBA/HIGHEST])</f>
        <v>Toshiba SRP</v>
      </c>
      <c r="W5302" s="86" t="str">
        <f>_xlfn.CONCAT(表格1[[#This Row],[欄4]],表格1[[#This Row],[inv no]])</f>
        <v>4779</v>
      </c>
    </row>
    <row r="5303" spans="1:23" hidden="1">
      <c r="A5303" s="81">
        <v>5301</v>
      </c>
      <c r="B5303" s="86" t="s">
        <v>1470</v>
      </c>
      <c r="C5303" s="86" t="s">
        <v>2028</v>
      </c>
      <c r="D5303" s="89" t="str">
        <f ca="1">OFFSET(Roster!$A$3,MATCH(表格1[[#This Row],[Location]]&amp;" "&amp;表格1[[#This Row],[Shop]]&amp;"*",Roster!$A$4:$A$72,0),DAY(表格1[[#This Row],[date]]),1,1)</f>
        <v>Hung</v>
      </c>
      <c r="E5303" s="86">
        <f>MONTH(表格1[[#This Row],[date]])</f>
        <v>3</v>
      </c>
      <c r="F5303" s="90">
        <v>46097</v>
      </c>
      <c r="G5303" s="86" t="str">
        <f>VLOOKUP("*"&amp;表格1[[#This Row],[Input]]&amp;"*",'Ref-List'!$B:$D,2,)</f>
        <v>AW-DQ110JPH(WW)</v>
      </c>
      <c r="H5303" s="86" t="str">
        <f>_xlfn.XLOOKUP(表格1[[#This Row],[Model]],表格3[Model-Input-Ref2],表格3[Product Line])</f>
        <v>變頻日式洗衣機 (10公斤 結合高低水位)</v>
      </c>
      <c r="I5303" s="86" t="str">
        <f>_xlfn.XLOOKUP(表格1[[#This Row],[Model]],表格3[Model-Input-Ref2],表格3[大小電])</f>
        <v>大電</v>
      </c>
      <c r="J5303" s="86" t="str">
        <f>_xlfn.XLOOKUP(表格1[[#This Row],[Model]],表格3[Model-Input-Ref2],表格3[Code])</f>
        <v>LAD</v>
      </c>
      <c r="K5303" s="89" t="s">
        <v>1831</v>
      </c>
      <c r="L5303" s="86">
        <v>1</v>
      </c>
      <c r="M5303" s="87">
        <v>2580</v>
      </c>
      <c r="N5303" s="87">
        <f>IFERROR(表格1[[#This Row],[QTY]]*表格1[[#This Row],[Unit Price]],"-")</f>
        <v>2580</v>
      </c>
      <c r="O5303" s="86">
        <v>4805</v>
      </c>
      <c r="R5303" s="86" t="str">
        <f>_xlfn.CONCAT(表格1[[#This Row],[Model]]," ",表格1[[#This Row],[inv no]])</f>
        <v>AW-DQ110JPH(WW) 4805</v>
      </c>
      <c r="S5303" s="86">
        <f>_xlfn.XLOOKUP(表格1[[#This Row],[Model]],表格3[Model-Input-Ref2],表格3[SRP PRICE])</f>
        <v>4680</v>
      </c>
      <c r="T5303" s="43">
        <f>表格1[[#This Row],[Unit Price]]/表格1[[#This Row],[SRP]]</f>
        <v>0.55128205128205132</v>
      </c>
      <c r="U5303" s="86" t="str">
        <f>_xlfn.XLOOKUP(表格1[[#This Row],[Model]],表格3[Model-Input-Ref2],表格3[TOSHIBA/HIGHEST])</f>
        <v>Toshiba SRP</v>
      </c>
      <c r="W5303" s="86" t="str">
        <f>_xlfn.CONCAT(表格1[[#This Row],[欄4]],表格1[[#This Row],[inv no]])</f>
        <v>4805</v>
      </c>
    </row>
    <row r="5304" spans="1:23" hidden="1">
      <c r="A5304" s="81">
        <v>5302</v>
      </c>
      <c r="B5304" s="86" t="s">
        <v>1470</v>
      </c>
      <c r="C5304" s="86" t="s">
        <v>2028</v>
      </c>
      <c r="D5304" s="89" t="str">
        <f ca="1">OFFSET(Roster!$A$3,MATCH(表格1[[#This Row],[Location]]&amp;" "&amp;表格1[[#This Row],[Shop]]&amp;"*",Roster!$A$4:$A$72,0),DAY(表格1[[#This Row],[date]]),1,1)</f>
        <v>Hung</v>
      </c>
      <c r="E5304" s="86">
        <f>MONTH(表格1[[#This Row],[date]])</f>
        <v>3</v>
      </c>
      <c r="F5304" s="90">
        <v>46098</v>
      </c>
      <c r="G5304" s="86" t="str">
        <f>VLOOKUP("*"&amp;表格1[[#This Row],[Input]]&amp;"*",'Ref-List'!$B:$D,2,)</f>
        <v>TWD-BN90GF4H(WK)</v>
      </c>
      <c r="H5304" s="86" t="str">
        <f>_xlfn.XLOOKUP(表格1[[#This Row],[Model]],表格3[Model-Input-Ref2],表格3[Product Line])</f>
        <v>超薄身前置式洗衣乾衣機 (洗8公斤 乾5公斤)</v>
      </c>
      <c r="I5304" s="86" t="str">
        <f>_xlfn.XLOOKUP(表格1[[#This Row],[Model]],表格3[Model-Input-Ref2],表格3[大小電])</f>
        <v>大電</v>
      </c>
      <c r="J5304" s="86" t="str">
        <f>_xlfn.XLOOKUP(表格1[[#This Row],[Model]],表格3[Model-Input-Ref2],表格3[Code])</f>
        <v>WM</v>
      </c>
      <c r="K5304" s="89" t="s">
        <v>1199</v>
      </c>
      <c r="L5304" s="86">
        <v>1</v>
      </c>
      <c r="M5304" s="87">
        <v>3688</v>
      </c>
      <c r="N5304" s="87">
        <f>IFERROR(表格1[[#This Row],[QTY]]*表格1[[#This Row],[Unit Price]],"-")</f>
        <v>3688</v>
      </c>
      <c r="O5304" s="86">
        <v>4815</v>
      </c>
      <c r="R5304" s="86" t="str">
        <f>_xlfn.CONCAT(表格1[[#This Row],[Model]]," ",表格1[[#This Row],[inv no]])</f>
        <v>TWD-BN90GF4H(WK) 4815</v>
      </c>
      <c r="S5304" s="86">
        <f>_xlfn.XLOOKUP(表格1[[#This Row],[Model]],表格3[Model-Input-Ref2],表格3[SRP PRICE])</f>
        <v>5980</v>
      </c>
      <c r="T5304" s="43">
        <f>表格1[[#This Row],[Unit Price]]/表格1[[#This Row],[SRP]]</f>
        <v>0.61672240802675582</v>
      </c>
      <c r="U5304" s="86" t="str">
        <f>_xlfn.XLOOKUP(表格1[[#This Row],[Model]],表格3[Model-Input-Ref2],表格3[TOSHIBA/HIGHEST])</f>
        <v>Toshiba SRP</v>
      </c>
      <c r="W5304" s="86" t="str">
        <f>_xlfn.CONCAT(表格1[[#This Row],[欄4]],表格1[[#This Row],[inv no]])</f>
        <v>4815</v>
      </c>
    </row>
    <row r="5305" spans="1:23" hidden="1">
      <c r="A5305" s="81">
        <v>5303</v>
      </c>
      <c r="B5305" s="86" t="s">
        <v>1470</v>
      </c>
      <c r="C5305" s="86" t="s">
        <v>2028</v>
      </c>
      <c r="D5305" s="89" t="str">
        <f ca="1">OFFSET(Roster!$A$3,MATCH(表格1[[#This Row],[Location]]&amp;" "&amp;表格1[[#This Row],[Shop]]&amp;"*",Roster!$A$4:$A$72,0),DAY(表格1[[#This Row],[date]]),1,1)</f>
        <v>Hung</v>
      </c>
      <c r="E5305" s="86">
        <f>MONTH(表格1[[#This Row],[date]])</f>
        <v>3</v>
      </c>
      <c r="F5305" s="90">
        <v>46098</v>
      </c>
      <c r="G5305" s="86" t="str">
        <f>VLOOKUP("*"&amp;表格1[[#This Row],[Input]]&amp;"*",'Ref-List'!$B:$D,2,)</f>
        <v>TP-50DRUHK(W)</v>
      </c>
      <c r="H5305" s="86" t="str">
        <f>_xlfn.XLOOKUP(表格1[[#This Row],[Model]],表格3[Model-Input-Ref2],表格3[Product Line])</f>
        <v>電熱水瓶 (5公升)</v>
      </c>
      <c r="I5305" s="86" t="str">
        <f>_xlfn.XLOOKUP(表格1[[#This Row],[Model]],表格3[Model-Input-Ref2],表格3[大小電])</f>
        <v>細電</v>
      </c>
      <c r="J5305" s="86" t="str">
        <f>_xlfn.XLOOKUP(表格1[[#This Row],[Model]],表格3[Model-Input-Ref2],表格3[Code])</f>
        <v>SDA</v>
      </c>
      <c r="K5305" s="89" t="s">
        <v>1277</v>
      </c>
      <c r="L5305" s="86">
        <v>1</v>
      </c>
      <c r="M5305" s="87">
        <v>600</v>
      </c>
      <c r="N5305" s="87">
        <f>IFERROR(表格1[[#This Row],[QTY]]*表格1[[#This Row],[Unit Price]],"-")</f>
        <v>600</v>
      </c>
      <c r="O5305" s="86">
        <v>4817</v>
      </c>
      <c r="R5305" s="86" t="str">
        <f>_xlfn.CONCAT(表格1[[#This Row],[Model]]," ",表格1[[#This Row],[inv no]])</f>
        <v>TP-50DRUHK(W) 4817</v>
      </c>
      <c r="S5305" s="86">
        <f>_xlfn.XLOOKUP(表格1[[#This Row],[Model]],表格3[Model-Input-Ref2],表格3[SRP PRICE])</f>
        <v>718</v>
      </c>
      <c r="T5305" s="43">
        <f>表格1[[#This Row],[Unit Price]]/表格1[[#This Row],[SRP]]</f>
        <v>0.83565459610027859</v>
      </c>
      <c r="U5305" s="86" t="str">
        <f>_xlfn.XLOOKUP(表格1[[#This Row],[Model]],表格3[Model-Input-Ref2],表格3[TOSHIBA/HIGHEST])</f>
        <v>Toshiba SRP</v>
      </c>
      <c r="W5305" s="86" t="str">
        <f>_xlfn.CONCAT(表格1[[#This Row],[欄4]],表格1[[#This Row],[inv no]])</f>
        <v>4817</v>
      </c>
    </row>
    <row r="5306" spans="1:23" hidden="1">
      <c r="A5306" s="81">
        <v>5304</v>
      </c>
      <c r="B5306" s="86" t="s">
        <v>1470</v>
      </c>
      <c r="C5306" s="86" t="s">
        <v>2028</v>
      </c>
      <c r="D5306" s="89" t="str">
        <f ca="1">OFFSET(Roster!$A$3,MATCH(表格1[[#This Row],[Location]]&amp;" "&amp;表格1[[#This Row],[Shop]]&amp;"*",Roster!$A$4:$A$72,0),DAY(表格1[[#This Row],[date]]),1,1)</f>
        <v>Hung</v>
      </c>
      <c r="E5306" s="86">
        <f>MONTH(表格1[[#This Row],[date]])</f>
        <v>3</v>
      </c>
      <c r="F5306" s="90">
        <v>46098</v>
      </c>
      <c r="G5306" s="86" t="str">
        <f>VLOOKUP("*"&amp;表格1[[#This Row],[Input]]&amp;"*",'Ref-List'!$B:$D,2,)</f>
        <v>TW-T21BU80UWH(MG)</v>
      </c>
      <c r="H5306" s="86" t="str">
        <f>_xlfn.XLOOKUP(表格1[[#This Row],[Model]],表格3[Model-Input-Ref2],表格3[Product Line])</f>
        <v>400MM超薄身前置式變頻洗衣機(7公斤)</v>
      </c>
      <c r="I5306" s="86" t="str">
        <f>_xlfn.XLOOKUP(表格1[[#This Row],[Model]],表格3[Model-Input-Ref2],表格3[大小電])</f>
        <v>大電</v>
      </c>
      <c r="J5306" s="86" t="str">
        <f>_xlfn.XLOOKUP(表格1[[#This Row],[Model]],表格3[Model-Input-Ref2],表格3[Code])</f>
        <v>LAD</v>
      </c>
      <c r="K5306" s="89" t="s">
        <v>1280</v>
      </c>
      <c r="L5306" s="86">
        <v>1</v>
      </c>
      <c r="M5306" s="87">
        <v>2880</v>
      </c>
      <c r="N5306" s="87">
        <f>IFERROR(表格1[[#This Row],[QTY]]*表格1[[#This Row],[Unit Price]],"-")</f>
        <v>2880</v>
      </c>
      <c r="O5306" s="86">
        <v>4836</v>
      </c>
      <c r="R5306" s="86" t="str">
        <f>_xlfn.CONCAT(表格1[[#This Row],[Model]]," ",表格1[[#This Row],[inv no]])</f>
        <v>TW-T21BU80UWH(MG) 4836</v>
      </c>
      <c r="S5306" s="86">
        <f>_xlfn.XLOOKUP(表格1[[#This Row],[Model]],表格3[Model-Input-Ref2],表格3[SRP PRICE])</f>
        <v>5180</v>
      </c>
      <c r="T5306" s="43">
        <f>表格1[[#This Row],[Unit Price]]/表格1[[#This Row],[SRP]]</f>
        <v>0.55598455598455598</v>
      </c>
      <c r="U5306" s="86" t="str">
        <f>_xlfn.XLOOKUP(表格1[[#This Row],[Model]],表格3[Model-Input-Ref2],表格3[TOSHIBA/HIGHEST])</f>
        <v>Toshiba SRP</v>
      </c>
      <c r="W5306" s="86" t="str">
        <f>_xlfn.CONCAT(表格1[[#This Row],[欄4]],表格1[[#This Row],[inv no]])</f>
        <v>4836</v>
      </c>
    </row>
    <row r="5307" spans="1:23" hidden="1">
      <c r="A5307" s="81">
        <v>5305</v>
      </c>
      <c r="B5307" s="86" t="s">
        <v>1470</v>
      </c>
      <c r="C5307" s="86" t="s">
        <v>2028</v>
      </c>
      <c r="D5307" s="89" t="str">
        <f ca="1">OFFSET(Roster!$A$3,MATCH(表格1[[#This Row],[Location]]&amp;" "&amp;表格1[[#This Row],[Shop]]&amp;"*",Roster!$A$4:$A$72,0),DAY(表格1[[#This Row],[date]]),1,1)</f>
        <v>Hung</v>
      </c>
      <c r="E5307" s="86">
        <f>MONTH(表格1[[#This Row],[date]])</f>
        <v>3</v>
      </c>
      <c r="F5307" s="90">
        <v>46098</v>
      </c>
      <c r="G5307" s="86" t="str">
        <f>VLOOKUP("*"&amp;表格1[[#This Row],[Input]]&amp;"*",'Ref-List'!$B:$D,2,)</f>
        <v>RC-18JRUH(N)</v>
      </c>
      <c r="H5307" s="86" t="str">
        <f>_xlfn.XLOOKUP(表格1[[#This Row],[Model]],表格3[Model-Input-Ref2],表格3[Product Line])</f>
        <v>1.8公升電飯煲</v>
      </c>
      <c r="I5307" s="86" t="str">
        <f>_xlfn.XLOOKUP(表格1[[#This Row],[Model]],表格3[Model-Input-Ref2],表格3[大小電])</f>
        <v>細電</v>
      </c>
      <c r="J5307" s="86" t="str">
        <f>_xlfn.XLOOKUP(表格1[[#This Row],[Model]],表格3[Model-Input-Ref2],表格3[Code])</f>
        <v>SDA</v>
      </c>
      <c r="K5307" s="89" t="s">
        <v>1275</v>
      </c>
      <c r="L5307" s="86">
        <v>1</v>
      </c>
      <c r="M5307" s="87">
        <v>388</v>
      </c>
      <c r="N5307" s="87">
        <f>IFERROR(表格1[[#This Row],[QTY]]*表格1[[#This Row],[Unit Price]],"-")</f>
        <v>388</v>
      </c>
      <c r="O5307" s="86">
        <v>4854</v>
      </c>
      <c r="R5307" s="86" t="str">
        <f>_xlfn.CONCAT(表格1[[#This Row],[Model]]," ",表格1[[#This Row],[inv no]])</f>
        <v>RC-18JRUH(N) 4854</v>
      </c>
      <c r="S5307" s="86">
        <f>_xlfn.XLOOKUP(表格1[[#This Row],[Model]],表格3[Model-Input-Ref2],表格3[SRP PRICE])</f>
        <v>458</v>
      </c>
      <c r="T5307" s="43">
        <f>表格1[[#This Row],[Unit Price]]/表格1[[#This Row],[SRP]]</f>
        <v>0.84716157205240172</v>
      </c>
      <c r="U5307" s="86" t="str">
        <f>_xlfn.XLOOKUP(表格1[[#This Row],[Model]],表格3[Model-Input-Ref2],表格3[TOSHIBA/HIGHEST])</f>
        <v>Shops Highest Price</v>
      </c>
      <c r="W5307" s="86" t="str">
        <f>_xlfn.CONCAT(表格1[[#This Row],[欄4]],表格1[[#This Row],[inv no]])</f>
        <v>4854</v>
      </c>
    </row>
    <row r="5308" spans="1:23" hidden="1">
      <c r="A5308" s="81">
        <v>5306</v>
      </c>
      <c r="B5308" s="86" t="s">
        <v>1470</v>
      </c>
      <c r="C5308" s="86" t="s">
        <v>2028</v>
      </c>
      <c r="D5308" s="89" t="str">
        <f ca="1">OFFSET(Roster!$A$3,MATCH(表格1[[#This Row],[Location]]&amp;" "&amp;表格1[[#This Row],[Shop]]&amp;"*",Roster!$A$4:$A$72,0),DAY(表格1[[#This Row],[date]]),1,1)</f>
        <v>Hung</v>
      </c>
      <c r="E5308" s="86">
        <f>MONTH(表格1[[#This Row],[date]])</f>
        <v>3</v>
      </c>
      <c r="F5308" s="90">
        <v>46098</v>
      </c>
      <c r="G5308" s="86" t="str">
        <f>VLOOKUP("*"&amp;表格1[[#This Row],[Input]]&amp;"*",'Ref-List'!$B:$D,2,)</f>
        <v>RC-18JRUH(N)</v>
      </c>
      <c r="H5308" s="86" t="str">
        <f>_xlfn.XLOOKUP(表格1[[#This Row],[Model]],表格3[Model-Input-Ref2],表格3[Product Line])</f>
        <v>1.8公升電飯煲</v>
      </c>
      <c r="I5308" s="86" t="str">
        <f>_xlfn.XLOOKUP(表格1[[#This Row],[Model]],表格3[Model-Input-Ref2],表格3[大小電])</f>
        <v>細電</v>
      </c>
      <c r="J5308" s="86" t="str">
        <f>_xlfn.XLOOKUP(表格1[[#This Row],[Model]],表格3[Model-Input-Ref2],表格3[Code])</f>
        <v>SDA</v>
      </c>
      <c r="K5308" s="89" t="s">
        <v>1275</v>
      </c>
      <c r="L5308" s="86">
        <v>1</v>
      </c>
      <c r="M5308" s="87">
        <v>388</v>
      </c>
      <c r="N5308" s="87">
        <f>IFERROR(表格1[[#This Row],[QTY]]*表格1[[#This Row],[Unit Price]],"-")</f>
        <v>388</v>
      </c>
      <c r="O5308" s="86">
        <v>4859</v>
      </c>
      <c r="R5308" s="86" t="str">
        <f>_xlfn.CONCAT(表格1[[#This Row],[Model]]," ",表格1[[#This Row],[inv no]])</f>
        <v>RC-18JRUH(N) 4859</v>
      </c>
      <c r="S5308" s="86">
        <f>_xlfn.XLOOKUP(表格1[[#This Row],[Model]],表格3[Model-Input-Ref2],表格3[SRP PRICE])</f>
        <v>458</v>
      </c>
      <c r="T5308" s="43">
        <f>表格1[[#This Row],[Unit Price]]/表格1[[#This Row],[SRP]]</f>
        <v>0.84716157205240172</v>
      </c>
      <c r="U5308" s="86" t="str">
        <f>_xlfn.XLOOKUP(表格1[[#This Row],[Model]],表格3[Model-Input-Ref2],表格3[TOSHIBA/HIGHEST])</f>
        <v>Shops Highest Price</v>
      </c>
      <c r="W5308" s="86" t="str">
        <f>_xlfn.CONCAT(表格1[[#This Row],[欄4]],表格1[[#This Row],[inv no]])</f>
        <v>4859</v>
      </c>
    </row>
    <row r="5309" spans="1:23" hidden="1">
      <c r="A5309" s="81">
        <v>5307</v>
      </c>
      <c r="B5309" s="86" t="s">
        <v>1470</v>
      </c>
      <c r="C5309" s="86" t="s">
        <v>2028</v>
      </c>
      <c r="D5309" s="89" t="str">
        <f ca="1">OFFSET(Roster!$A$3,MATCH(表格1[[#This Row],[Location]]&amp;" "&amp;表格1[[#This Row],[Shop]]&amp;"*",Roster!$A$4:$A$72,0),DAY(表格1[[#This Row],[date]]),1,1)</f>
        <v>Hung</v>
      </c>
      <c r="E5309" s="86">
        <f>MONTH(表格1[[#This Row],[date]])</f>
        <v>3</v>
      </c>
      <c r="F5309" s="90">
        <v>46098</v>
      </c>
      <c r="G5309" s="86" t="str">
        <f>VLOOKUP("*"&amp;表格1[[#This Row],[Input]]&amp;"*",'Ref-List'!$B:$D,2,)</f>
        <v>DW-05T2-HK</v>
      </c>
      <c r="H5309" s="86" t="str">
        <f>_xlfn.XLOOKUP(表格1[[#This Row],[Model]],表格3[Model-Input-Ref2],表格3[Product Line])</f>
        <v>座檯式洗碗碟機</v>
      </c>
      <c r="I5309" s="86" t="str">
        <f>_xlfn.XLOOKUP(表格1[[#This Row],[Model]],表格3[Model-Input-Ref2],表格3[大小電])</f>
        <v>細電</v>
      </c>
      <c r="J5309" s="86" t="str">
        <f>_xlfn.XLOOKUP(表格1[[#This Row],[Model]],表格3[Model-Input-Ref2],表格3[Code])</f>
        <v>DW</v>
      </c>
      <c r="K5309" s="89" t="s">
        <v>1475</v>
      </c>
      <c r="L5309" s="86">
        <v>1</v>
      </c>
      <c r="M5309" s="87">
        <v>3460</v>
      </c>
      <c r="N5309" s="87">
        <f>IFERROR(表格1[[#This Row],[QTY]]*表格1[[#This Row],[Unit Price]],"-")</f>
        <v>3460</v>
      </c>
      <c r="O5309" s="86">
        <v>4864</v>
      </c>
      <c r="R5309" s="86" t="str">
        <f>_xlfn.CONCAT(表格1[[#This Row],[Model]]," ",表格1[[#This Row],[inv no]])</f>
        <v>DW-05T2-HK 4864</v>
      </c>
      <c r="S5309" s="86">
        <f>_xlfn.XLOOKUP(表格1[[#This Row],[Model]],表格3[Model-Input-Ref2],表格3[SRP PRICE])</f>
        <v>4580</v>
      </c>
      <c r="T5309" s="43">
        <f>表格1[[#This Row],[Unit Price]]/表格1[[#This Row],[SRP]]</f>
        <v>0.75545851528384278</v>
      </c>
      <c r="U5309" s="86" t="str">
        <f>_xlfn.XLOOKUP(表格1[[#This Row],[Model]],表格3[Model-Input-Ref2],表格3[TOSHIBA/HIGHEST])</f>
        <v>Toshiba SRP</v>
      </c>
      <c r="W5309" s="86" t="str">
        <f>_xlfn.CONCAT(表格1[[#This Row],[欄4]],表格1[[#This Row],[inv no]])</f>
        <v>4864</v>
      </c>
    </row>
    <row r="5310" spans="1:23" hidden="1">
      <c r="A5310" s="81">
        <v>5308</v>
      </c>
      <c r="B5310" s="86" t="s">
        <v>1470</v>
      </c>
      <c r="C5310" s="86" t="s">
        <v>2028</v>
      </c>
      <c r="D5310" s="89" t="str">
        <f ca="1">OFFSET(Roster!$A$3,MATCH(表格1[[#This Row],[Location]]&amp;" "&amp;表格1[[#This Row],[Shop]]&amp;"*",Roster!$A$4:$A$72,0),DAY(表格1[[#This Row],[date]]),1,1)</f>
        <v>Hung</v>
      </c>
      <c r="E5310" s="86">
        <f>MONTH(表格1[[#This Row],[date]])</f>
        <v>3</v>
      </c>
      <c r="F5310" s="90">
        <v>46098</v>
      </c>
      <c r="G5310" s="86" t="str">
        <f>VLOOKUP("*"&amp;表格1[[#This Row],[Input]]&amp;"*",'Ref-List'!$B:$D,2,)</f>
        <v>GR-RB360WE-PMA(06)</v>
      </c>
      <c r="H5310" s="86" t="str">
        <f>_xlfn.XLOOKUP(表格1[[#This Row],[Model]],表格3[Model-Input-Ref2],表格3[Product Line])</f>
        <v>變頻下置式雙門雪櫃系列270L</v>
      </c>
      <c r="I5310" s="86" t="str">
        <f>_xlfn.XLOOKUP(表格1[[#This Row],[Model]],表格3[Model-Input-Ref2],表格3[大小電])</f>
        <v>大電</v>
      </c>
      <c r="J5310" s="86" t="str">
        <f>_xlfn.XLOOKUP(表格1[[#This Row],[Model]],表格3[Model-Input-Ref2],表格3[Code])</f>
        <v>REF</v>
      </c>
      <c r="K5310" s="89" t="s">
        <v>1282</v>
      </c>
      <c r="L5310" s="86">
        <v>1</v>
      </c>
      <c r="M5310" s="87">
        <v>3480</v>
      </c>
      <c r="N5310" s="87">
        <f>IFERROR(表格1[[#This Row],[QTY]]*表格1[[#This Row],[Unit Price]],"-")</f>
        <v>3480</v>
      </c>
      <c r="O5310" s="86">
        <v>4881</v>
      </c>
      <c r="R5310" s="86" t="str">
        <f>_xlfn.CONCAT(表格1[[#This Row],[Model]]," ",表格1[[#This Row],[inv no]])</f>
        <v>GR-RB360WE-PMA(06) 4881</v>
      </c>
      <c r="S5310" s="86">
        <f>_xlfn.XLOOKUP(表格1[[#This Row],[Model]],表格3[Model-Input-Ref2],表格3[SRP PRICE])</f>
        <v>5080</v>
      </c>
      <c r="T5310" s="43">
        <f>表格1[[#This Row],[Unit Price]]/表格1[[#This Row],[SRP]]</f>
        <v>0.68503937007874016</v>
      </c>
      <c r="U5310" s="86" t="str">
        <f>_xlfn.XLOOKUP(表格1[[#This Row],[Model]],表格3[Model-Input-Ref2],表格3[TOSHIBA/HIGHEST])</f>
        <v>Toshiba SRP</v>
      </c>
      <c r="W5310" s="86" t="str">
        <f>_xlfn.CONCAT(表格1[[#This Row],[欄4]],表格1[[#This Row],[inv no]])</f>
        <v>4881</v>
      </c>
    </row>
    <row r="5311" spans="1:23" hidden="1">
      <c r="A5311" s="81">
        <v>5309</v>
      </c>
      <c r="B5311" s="86" t="s">
        <v>1470</v>
      </c>
      <c r="C5311" s="86" t="s">
        <v>2028</v>
      </c>
      <c r="D5311" s="89" t="str">
        <f ca="1">OFFSET(Roster!$A$3,MATCH(表格1[[#This Row],[Location]]&amp;" "&amp;表格1[[#This Row],[Shop]]&amp;"*",Roster!$A$4:$A$72,0),DAY(表格1[[#This Row],[date]]),1,1)</f>
        <v>Hung</v>
      </c>
      <c r="E5311" s="86">
        <f>MONTH(表格1[[#This Row],[date]])</f>
        <v>3</v>
      </c>
      <c r="F5311" s="90">
        <v>46098</v>
      </c>
      <c r="G5311" s="86" t="str">
        <f>VLOOKUP("*"&amp;表格1[[#This Row],[Input]]&amp;"*",'Ref-List'!$B:$D,2,)</f>
        <v>RAD-D300H</v>
      </c>
      <c r="H5311" s="86" t="str">
        <f>_xlfn.XLOOKUP(表格1[[#This Row],[Model]],表格3[Model-Input-Ref2],表格3[Product Line])</f>
        <v>壓縮式抽濕機 (30公升)</v>
      </c>
      <c r="I5311" s="86" t="str">
        <f>_xlfn.XLOOKUP(表格1[[#This Row],[Model]],表格3[Model-Input-Ref2],表格3[大小電])</f>
        <v>細電</v>
      </c>
      <c r="J5311" s="86" t="str">
        <f>_xlfn.XLOOKUP(表格1[[#This Row],[Model]],表格3[Model-Input-Ref2],表格3[Code])</f>
        <v>RAC</v>
      </c>
      <c r="K5311" s="89" t="s">
        <v>1252</v>
      </c>
      <c r="L5311" s="86">
        <v>1</v>
      </c>
      <c r="M5311" s="87">
        <v>2088</v>
      </c>
      <c r="N5311" s="87">
        <f>IFERROR(表格1[[#This Row],[QTY]]*表格1[[#This Row],[Unit Price]],"-")</f>
        <v>2088</v>
      </c>
      <c r="O5311" s="86">
        <v>4884</v>
      </c>
      <c r="R5311" s="86" t="str">
        <f>_xlfn.CONCAT(表格1[[#This Row],[Model]]," ",表格1[[#This Row],[inv no]])</f>
        <v>RAD-D300H 4884</v>
      </c>
      <c r="S5311" s="86">
        <f>_xlfn.XLOOKUP(表格1[[#This Row],[Model]],表格3[Model-Input-Ref2],表格3[SRP PRICE])</f>
        <v>3380</v>
      </c>
      <c r="T5311" s="43">
        <f>表格1[[#This Row],[Unit Price]]/表格1[[#This Row],[SRP]]</f>
        <v>0.61775147928994079</v>
      </c>
      <c r="U5311" s="86" t="str">
        <f>_xlfn.XLOOKUP(表格1[[#This Row],[Model]],表格3[Model-Input-Ref2],表格3[TOSHIBA/HIGHEST])</f>
        <v>Shops Highest Price</v>
      </c>
      <c r="W5311" s="86" t="str">
        <f>_xlfn.CONCAT(表格1[[#This Row],[欄4]],表格1[[#This Row],[inv no]])</f>
        <v>4884</v>
      </c>
    </row>
    <row r="5312" spans="1:23" hidden="1">
      <c r="A5312" s="81">
        <v>5310</v>
      </c>
      <c r="B5312" s="86" t="s">
        <v>1470</v>
      </c>
      <c r="C5312" s="86" t="s">
        <v>2028</v>
      </c>
      <c r="D5312" s="89" t="str">
        <f ca="1">OFFSET(Roster!$A$3,MATCH(表格1[[#This Row],[Location]]&amp;" "&amp;表格1[[#This Row],[Shop]]&amp;"*",Roster!$A$4:$A$72,0),DAY(表格1[[#This Row],[date]]),1,1)</f>
        <v>Hung</v>
      </c>
      <c r="E5312" s="86">
        <f>MONTH(表格1[[#This Row],[date]])</f>
        <v>3</v>
      </c>
      <c r="F5312" s="90">
        <v>46099</v>
      </c>
      <c r="G5312" s="86" t="str">
        <f>VLOOKUP("*"&amp;表格1[[#This Row],[Input]]&amp;"*",'Ref-List'!$B:$D,2,)</f>
        <v>RAD-D300H</v>
      </c>
      <c r="H5312" s="86" t="str">
        <f>_xlfn.XLOOKUP(表格1[[#This Row],[Model]],表格3[Model-Input-Ref2],表格3[Product Line])</f>
        <v>壓縮式抽濕機 (30公升)</v>
      </c>
      <c r="I5312" s="86" t="str">
        <f>_xlfn.XLOOKUP(表格1[[#This Row],[Model]],表格3[Model-Input-Ref2],表格3[大小電])</f>
        <v>細電</v>
      </c>
      <c r="J5312" s="86" t="str">
        <f>_xlfn.XLOOKUP(表格1[[#This Row],[Model]],表格3[Model-Input-Ref2],表格3[Code])</f>
        <v>RAC</v>
      </c>
      <c r="K5312" s="89" t="s">
        <v>1252</v>
      </c>
      <c r="L5312" s="86">
        <v>1</v>
      </c>
      <c r="M5312" s="87">
        <v>2088</v>
      </c>
      <c r="N5312" s="87">
        <f>IFERROR(表格1[[#This Row],[QTY]]*表格1[[#This Row],[Unit Price]],"-")</f>
        <v>2088</v>
      </c>
      <c r="O5312" s="86">
        <v>4892</v>
      </c>
      <c r="R5312" s="86" t="str">
        <f>_xlfn.CONCAT(表格1[[#This Row],[Model]]," ",表格1[[#This Row],[inv no]])</f>
        <v>RAD-D300H 4892</v>
      </c>
      <c r="S5312" s="86">
        <f>_xlfn.XLOOKUP(表格1[[#This Row],[Model]],表格3[Model-Input-Ref2],表格3[SRP PRICE])</f>
        <v>3380</v>
      </c>
      <c r="T5312" s="43">
        <f>表格1[[#This Row],[Unit Price]]/表格1[[#This Row],[SRP]]</f>
        <v>0.61775147928994079</v>
      </c>
      <c r="U5312" s="86" t="str">
        <f>_xlfn.XLOOKUP(表格1[[#This Row],[Model]],表格3[Model-Input-Ref2],表格3[TOSHIBA/HIGHEST])</f>
        <v>Shops Highest Price</v>
      </c>
      <c r="W5312" s="86" t="str">
        <f>_xlfn.CONCAT(表格1[[#This Row],[欄4]],表格1[[#This Row],[inv no]])</f>
        <v>4892</v>
      </c>
    </row>
    <row r="5313" spans="1:23" hidden="1">
      <c r="A5313" s="81">
        <v>5311</v>
      </c>
      <c r="B5313" s="86" t="s">
        <v>1470</v>
      </c>
      <c r="C5313" s="86" t="s">
        <v>2028</v>
      </c>
      <c r="D5313" s="89" t="str">
        <f ca="1">OFFSET(Roster!$A$3,MATCH(表格1[[#This Row],[Location]]&amp;" "&amp;表格1[[#This Row],[Shop]]&amp;"*",Roster!$A$4:$A$72,0),DAY(表格1[[#This Row],[date]]),1,1)</f>
        <v>Hung</v>
      </c>
      <c r="E5313" s="86">
        <f>MONTH(表格1[[#This Row],[date]])</f>
        <v>3</v>
      </c>
      <c r="F5313" s="90">
        <v>46099</v>
      </c>
      <c r="G5313" s="86" t="str">
        <f>VLOOKUP("*"&amp;表格1[[#This Row],[Input]]&amp;"*",'Ref-List'!$B:$D,2,)</f>
        <v>RAD-D300H</v>
      </c>
      <c r="H5313" s="86" t="str">
        <f>_xlfn.XLOOKUP(表格1[[#This Row],[Model]],表格3[Model-Input-Ref2],表格3[Product Line])</f>
        <v>壓縮式抽濕機 (30公升)</v>
      </c>
      <c r="I5313" s="86" t="str">
        <f>_xlfn.XLOOKUP(表格1[[#This Row],[Model]],表格3[Model-Input-Ref2],表格3[大小電])</f>
        <v>細電</v>
      </c>
      <c r="J5313" s="86" t="str">
        <f>_xlfn.XLOOKUP(表格1[[#This Row],[Model]],表格3[Model-Input-Ref2],表格3[Code])</f>
        <v>RAC</v>
      </c>
      <c r="K5313" s="89" t="s">
        <v>1252</v>
      </c>
      <c r="L5313" s="86">
        <v>1</v>
      </c>
      <c r="M5313" s="87">
        <v>2030</v>
      </c>
      <c r="N5313" s="87">
        <f>IFERROR(表格1[[#This Row],[QTY]]*表格1[[#This Row],[Unit Price]],"-")</f>
        <v>2030</v>
      </c>
      <c r="O5313" s="86">
        <v>4900</v>
      </c>
      <c r="R5313" s="86" t="str">
        <f>_xlfn.CONCAT(表格1[[#This Row],[Model]]," ",表格1[[#This Row],[inv no]])</f>
        <v>RAD-D300H 4900</v>
      </c>
      <c r="S5313" s="86">
        <f>_xlfn.XLOOKUP(表格1[[#This Row],[Model]],表格3[Model-Input-Ref2],表格3[SRP PRICE])</f>
        <v>3380</v>
      </c>
      <c r="T5313" s="43">
        <f>表格1[[#This Row],[Unit Price]]/表格1[[#This Row],[SRP]]</f>
        <v>0.60059171597633132</v>
      </c>
      <c r="U5313" s="86" t="str">
        <f>_xlfn.XLOOKUP(表格1[[#This Row],[Model]],表格3[Model-Input-Ref2],表格3[TOSHIBA/HIGHEST])</f>
        <v>Shops Highest Price</v>
      </c>
      <c r="W5313" s="86" t="str">
        <f>_xlfn.CONCAT(表格1[[#This Row],[欄4]],表格1[[#This Row],[inv no]])</f>
        <v>4900</v>
      </c>
    </row>
    <row r="5314" spans="1:23" hidden="1">
      <c r="A5314" s="81">
        <v>5312</v>
      </c>
      <c r="B5314" s="86" t="s">
        <v>1470</v>
      </c>
      <c r="C5314" s="86" t="s">
        <v>2028</v>
      </c>
      <c r="D5314" s="89" t="str">
        <f ca="1">OFFSET(Roster!$A$3,MATCH(表格1[[#This Row],[Location]]&amp;" "&amp;表格1[[#This Row],[Shop]]&amp;"*",Roster!$A$4:$A$72,0),DAY(表格1[[#This Row],[date]]),1,1)</f>
        <v>Hung off</v>
      </c>
      <c r="E5314" s="86">
        <f>MONTH(表格1[[#This Row],[date]])</f>
        <v>3</v>
      </c>
      <c r="F5314" s="90">
        <v>46100</v>
      </c>
      <c r="G5314" s="86" t="str">
        <f>VLOOKUP("*"&amp;表格1[[#This Row],[Input]]&amp;"*",'Ref-List'!$B:$D,2,)</f>
        <v>DW-05T2-HK</v>
      </c>
      <c r="H5314" s="86" t="str">
        <f>_xlfn.XLOOKUP(表格1[[#This Row],[Model]],表格3[Model-Input-Ref2],表格3[Product Line])</f>
        <v>座檯式洗碗碟機</v>
      </c>
      <c r="I5314" s="86" t="str">
        <f>_xlfn.XLOOKUP(表格1[[#This Row],[Model]],表格3[Model-Input-Ref2],表格3[大小電])</f>
        <v>細電</v>
      </c>
      <c r="J5314" s="86" t="str">
        <f>_xlfn.XLOOKUP(表格1[[#This Row],[Model]],表格3[Model-Input-Ref2],表格3[Code])</f>
        <v>DW</v>
      </c>
      <c r="K5314" s="89" t="s">
        <v>1475</v>
      </c>
      <c r="L5314" s="86">
        <v>1</v>
      </c>
      <c r="M5314" s="87">
        <v>3460</v>
      </c>
      <c r="N5314" s="87">
        <f>IFERROR(表格1[[#This Row],[QTY]]*表格1[[#This Row],[Unit Price]],"-")</f>
        <v>3460</v>
      </c>
      <c r="O5314" s="86">
        <v>4947</v>
      </c>
      <c r="R5314" s="86" t="str">
        <f>_xlfn.CONCAT(表格1[[#This Row],[Model]]," ",表格1[[#This Row],[inv no]])</f>
        <v>DW-05T2-HK 4947</v>
      </c>
      <c r="S5314" s="86">
        <f>_xlfn.XLOOKUP(表格1[[#This Row],[Model]],表格3[Model-Input-Ref2],表格3[SRP PRICE])</f>
        <v>4580</v>
      </c>
      <c r="T5314" s="43">
        <f>表格1[[#This Row],[Unit Price]]/表格1[[#This Row],[SRP]]</f>
        <v>0.75545851528384278</v>
      </c>
      <c r="U5314" s="86" t="str">
        <f>_xlfn.XLOOKUP(表格1[[#This Row],[Model]],表格3[Model-Input-Ref2],表格3[TOSHIBA/HIGHEST])</f>
        <v>Toshiba SRP</v>
      </c>
      <c r="W5314" s="86" t="str">
        <f>_xlfn.CONCAT(表格1[[#This Row],[欄4]],表格1[[#This Row],[inv no]])</f>
        <v>4947</v>
      </c>
    </row>
    <row r="5315" spans="1:23" hidden="1">
      <c r="A5315" s="81">
        <v>5313</v>
      </c>
      <c r="B5315" s="86" t="s">
        <v>1470</v>
      </c>
      <c r="C5315" s="86" t="s">
        <v>2028</v>
      </c>
      <c r="D5315" s="89" t="str">
        <f ca="1">OFFSET(Roster!$A$3,MATCH(表格1[[#This Row],[Location]]&amp;" "&amp;表格1[[#This Row],[Shop]]&amp;"*",Roster!$A$4:$A$72,0),DAY(表格1[[#This Row],[date]]),1,1)</f>
        <v>Hung off</v>
      </c>
      <c r="E5315" s="86">
        <f>MONTH(表格1[[#This Row],[date]])</f>
        <v>3</v>
      </c>
      <c r="F5315" s="90">
        <v>46100</v>
      </c>
      <c r="G5315" s="86" t="str">
        <f>VLOOKUP("*"&amp;表格1[[#This Row],[Input]]&amp;"*",'Ref-List'!$B:$D,2,)</f>
        <v>RAC-12G3CVRGR-HK</v>
      </c>
      <c r="H5315" s="86" t="str">
        <f>_xlfn.XLOOKUP(表格1[[#This Row],[Model]],表格3[Model-Input-Ref2],表格3[Product Line])</f>
        <v>R32變頻窗口式冷氣機 (獨立抽濕遙控</v>
      </c>
      <c r="I5315" s="86" t="str">
        <f>_xlfn.XLOOKUP(表格1[[#This Row],[Model]],表格3[Model-Input-Ref2],表格3[大小電])</f>
        <v>大電</v>
      </c>
      <c r="J5315" s="86" t="str">
        <f>_xlfn.XLOOKUP(表格1[[#This Row],[Model]],表格3[Model-Input-Ref2],表格3[Code])</f>
        <v>AC</v>
      </c>
      <c r="K5315" s="89" t="s">
        <v>1454</v>
      </c>
      <c r="L5315" s="86">
        <v>1</v>
      </c>
      <c r="M5315" s="87">
        <v>5480</v>
      </c>
      <c r="N5315" s="87">
        <f>IFERROR(表格1[[#This Row],[QTY]]*表格1[[#This Row],[Unit Price]],"-")</f>
        <v>5480</v>
      </c>
      <c r="O5315" s="86">
        <v>4992</v>
      </c>
      <c r="R5315" s="86" t="str">
        <f>_xlfn.CONCAT(表格1[[#This Row],[Model]]," ",表格1[[#This Row],[inv no]])</f>
        <v>RAC-12G3CVRGR-HK 4992</v>
      </c>
      <c r="S5315" s="86">
        <f>_xlfn.XLOOKUP(表格1[[#This Row],[Model]],表格3[Model-Input-Ref2],表格3[SRP PRICE])</f>
        <v>8680</v>
      </c>
      <c r="T5315" s="43">
        <f>表格1[[#This Row],[Unit Price]]/表格1[[#This Row],[SRP]]</f>
        <v>0.63133640552995396</v>
      </c>
      <c r="U5315" s="86" t="str">
        <f>_xlfn.XLOOKUP(表格1[[#This Row],[Model]],表格3[Model-Input-Ref2],表格3[TOSHIBA/HIGHEST])</f>
        <v>Toshiba SRP</v>
      </c>
      <c r="W5315" s="86" t="str">
        <f>_xlfn.CONCAT(表格1[[#This Row],[欄4]],表格1[[#This Row],[inv no]])</f>
        <v>4992</v>
      </c>
    </row>
    <row r="5316" spans="1:23" hidden="1">
      <c r="A5316" s="81">
        <v>5314</v>
      </c>
      <c r="B5316" s="86" t="s">
        <v>1470</v>
      </c>
      <c r="C5316" s="86" t="s">
        <v>2028</v>
      </c>
      <c r="D5316" s="89" t="str">
        <f ca="1">OFFSET(Roster!$A$3,MATCH(表格1[[#This Row],[Location]]&amp;" "&amp;表格1[[#This Row],[Shop]]&amp;"*",Roster!$A$4:$A$72,0),DAY(表格1[[#This Row],[date]]),1,1)</f>
        <v>Hung off</v>
      </c>
      <c r="E5316" s="86">
        <f>MONTH(表格1[[#This Row],[date]])</f>
        <v>3</v>
      </c>
      <c r="F5316" s="90">
        <v>46100</v>
      </c>
      <c r="G5316" s="86" t="str">
        <f>VLOOKUP("*"&amp;表格1[[#This Row],[Input]]&amp;"*",'Ref-List'!$B:$D,2,)</f>
        <v>KT-15DRRH</v>
      </c>
      <c r="H5316" s="86" t="str">
        <f>_xlfn.XLOOKUP(表格1[[#This Row],[Model]],表格3[Model-Input-Ref2],表格3[Product Line])</f>
        <v>1.5L無線雙層電熱水壺</v>
      </c>
      <c r="I5316" s="86" t="str">
        <f>_xlfn.XLOOKUP(表格1[[#This Row],[Model]],表格3[Model-Input-Ref2],表格3[大小電])</f>
        <v>細電</v>
      </c>
      <c r="J5316" s="86" t="str">
        <f>_xlfn.XLOOKUP(表格1[[#This Row],[Model]],表格3[Model-Input-Ref2],表格3[Code])</f>
        <v>SDA</v>
      </c>
      <c r="K5316" s="89" t="s">
        <v>1488</v>
      </c>
      <c r="L5316" s="86">
        <v>1</v>
      </c>
      <c r="M5316" s="87">
        <v>368</v>
      </c>
      <c r="N5316" s="87">
        <f>IFERROR(表格1[[#This Row],[QTY]]*表格1[[#This Row],[Unit Price]],"-")</f>
        <v>368</v>
      </c>
      <c r="O5316" s="86">
        <v>4994</v>
      </c>
      <c r="R5316" s="86" t="str">
        <f>_xlfn.CONCAT(表格1[[#This Row],[Model]]," ",表格1[[#This Row],[inv no]])</f>
        <v>KT-15DRRH 4994</v>
      </c>
      <c r="S5316" s="86">
        <f>_xlfn.XLOOKUP(表格1[[#This Row],[Model]],表格3[Model-Input-Ref2],表格3[SRP PRICE])</f>
        <v>438</v>
      </c>
      <c r="T5316" s="43">
        <f>表格1[[#This Row],[Unit Price]]/表格1[[#This Row],[SRP]]</f>
        <v>0.84018264840182644</v>
      </c>
      <c r="U5316" s="86" t="str">
        <f>_xlfn.XLOOKUP(表格1[[#This Row],[Model]],表格3[Model-Input-Ref2],表格3[TOSHIBA/HIGHEST])</f>
        <v>Toshiba SRP</v>
      </c>
      <c r="W5316" s="86" t="str">
        <f>_xlfn.CONCAT(表格1[[#This Row],[欄4]],表格1[[#This Row],[inv no]])</f>
        <v>4994</v>
      </c>
    </row>
    <row r="5317" spans="1:23" hidden="1">
      <c r="A5317" s="81">
        <v>5315</v>
      </c>
      <c r="B5317" s="86" t="s">
        <v>1470</v>
      </c>
      <c r="C5317" s="86" t="s">
        <v>2028</v>
      </c>
      <c r="D5317" s="89" t="str">
        <f ca="1">OFFSET(Roster!$A$3,MATCH(表格1[[#This Row],[Location]]&amp;" "&amp;表格1[[#This Row],[Shop]]&amp;"*",Roster!$A$4:$A$72,0),DAY(表格1[[#This Row],[date]]),1,1)</f>
        <v>Hung off</v>
      </c>
      <c r="E5317" s="86">
        <f>MONTH(表格1[[#This Row],[date]])</f>
        <v>3</v>
      </c>
      <c r="F5317" s="90">
        <v>46100</v>
      </c>
      <c r="G5317" s="86" t="str">
        <f>VLOOKUP("*"&amp;表格1[[#This Row],[Input]]&amp;"*",'Ref-List'!$B:$D,2,)</f>
        <v>RC-18JRUH(N)</v>
      </c>
      <c r="H5317" s="86" t="str">
        <f>_xlfn.XLOOKUP(表格1[[#This Row],[Model]],表格3[Model-Input-Ref2],表格3[Product Line])</f>
        <v>1.8公升電飯煲</v>
      </c>
      <c r="I5317" s="86" t="str">
        <f>_xlfn.XLOOKUP(表格1[[#This Row],[Model]],表格3[Model-Input-Ref2],表格3[大小電])</f>
        <v>細電</v>
      </c>
      <c r="J5317" s="86" t="str">
        <f>_xlfn.XLOOKUP(表格1[[#This Row],[Model]],表格3[Model-Input-Ref2],表格3[Code])</f>
        <v>SDA</v>
      </c>
      <c r="K5317" s="89" t="s">
        <v>1275</v>
      </c>
      <c r="L5317" s="86">
        <v>1</v>
      </c>
      <c r="M5317" s="87">
        <v>388</v>
      </c>
      <c r="N5317" s="87">
        <f>IFERROR(表格1[[#This Row],[QTY]]*表格1[[#This Row],[Unit Price]],"-")</f>
        <v>388</v>
      </c>
      <c r="O5317" s="86">
        <v>5003</v>
      </c>
      <c r="R5317" s="86" t="str">
        <f>_xlfn.CONCAT(表格1[[#This Row],[Model]]," ",表格1[[#This Row],[inv no]])</f>
        <v>RC-18JRUH(N) 5003</v>
      </c>
      <c r="S5317" s="86">
        <f>_xlfn.XLOOKUP(表格1[[#This Row],[Model]],表格3[Model-Input-Ref2],表格3[SRP PRICE])</f>
        <v>458</v>
      </c>
      <c r="T5317" s="43">
        <f>表格1[[#This Row],[Unit Price]]/表格1[[#This Row],[SRP]]</f>
        <v>0.84716157205240172</v>
      </c>
      <c r="U5317" s="86" t="str">
        <f>_xlfn.XLOOKUP(表格1[[#This Row],[Model]],表格3[Model-Input-Ref2],表格3[TOSHIBA/HIGHEST])</f>
        <v>Shops Highest Price</v>
      </c>
      <c r="W5317" s="86" t="str">
        <f>_xlfn.CONCAT(表格1[[#This Row],[欄4]],表格1[[#This Row],[inv no]])</f>
        <v>5003</v>
      </c>
    </row>
    <row r="5318" spans="1:23" hidden="1">
      <c r="A5318" s="81">
        <v>5316</v>
      </c>
      <c r="B5318" s="86" t="s">
        <v>1470</v>
      </c>
      <c r="C5318" s="86" t="s">
        <v>2028</v>
      </c>
      <c r="D5318" s="89" t="str">
        <f ca="1">OFFSET(Roster!$A$3,MATCH(表格1[[#This Row],[Location]]&amp;" "&amp;表格1[[#This Row],[Shop]]&amp;"*",Roster!$A$4:$A$72,0),DAY(表格1[[#This Row],[date]]),1,1)</f>
        <v>Hung</v>
      </c>
      <c r="E5318" s="86">
        <f>MONTH(表格1[[#This Row],[date]])</f>
        <v>3</v>
      </c>
      <c r="F5318" s="90">
        <v>46101</v>
      </c>
      <c r="G5318" s="86" t="str">
        <f>VLOOKUP("*"&amp;表格1[[#This Row],[Input]]&amp;"*",'Ref-List'!$B:$D,2,)</f>
        <v>MWP-MM20P(WH)</v>
      </c>
      <c r="H5318" s="86" t="str">
        <f>_xlfn.XLOOKUP(表格1[[#This Row],[Model]],表格3[Model-Input-Ref2],表格3[Product Line])</f>
        <v>旋鈕式燒烤微波爐20L</v>
      </c>
      <c r="I5318" s="86" t="str">
        <f>_xlfn.XLOOKUP(表格1[[#This Row],[Model]],表格3[Model-Input-Ref2],表格3[大小電])</f>
        <v>細電</v>
      </c>
      <c r="J5318" s="86" t="str">
        <f>_xlfn.XLOOKUP(表格1[[#This Row],[Model]],表格3[Model-Input-Ref2],表格3[Code])</f>
        <v>SDA</v>
      </c>
      <c r="K5318" s="89" t="s">
        <v>1270</v>
      </c>
      <c r="L5318" s="86">
        <v>1</v>
      </c>
      <c r="M5318" s="87">
        <v>599</v>
      </c>
      <c r="N5318" s="87">
        <f>IFERROR(表格1[[#This Row],[QTY]]*表格1[[#This Row],[Unit Price]],"-")</f>
        <v>599</v>
      </c>
      <c r="O5318" s="86">
        <v>5029</v>
      </c>
      <c r="R5318" s="86" t="str">
        <f>_xlfn.CONCAT(表格1[[#This Row],[Model]]," ",表格1[[#This Row],[inv no]])</f>
        <v>MWP-MM20P(WH) 5029</v>
      </c>
      <c r="S5318" s="86">
        <f>_xlfn.XLOOKUP(表格1[[#This Row],[Model]],表格3[Model-Input-Ref2],表格3[SRP PRICE])</f>
        <v>648</v>
      </c>
      <c r="T5318" s="43">
        <f>表格1[[#This Row],[Unit Price]]/表格1[[#This Row],[SRP]]</f>
        <v>0.92438271604938271</v>
      </c>
      <c r="U5318" s="86" t="str">
        <f>_xlfn.XLOOKUP(表格1[[#This Row],[Model]],表格3[Model-Input-Ref2],表格3[TOSHIBA/HIGHEST])</f>
        <v>Toshiba SRP</v>
      </c>
      <c r="W5318" s="86" t="str">
        <f>_xlfn.CONCAT(表格1[[#This Row],[欄4]],表格1[[#This Row],[inv no]])</f>
        <v>5029</v>
      </c>
    </row>
    <row r="5319" spans="1:23" hidden="1">
      <c r="A5319" s="81">
        <v>5317</v>
      </c>
      <c r="B5319" s="86" t="s">
        <v>1470</v>
      </c>
      <c r="C5319" s="86" t="s">
        <v>2028</v>
      </c>
      <c r="D5319" s="89" t="str">
        <f ca="1">OFFSET(Roster!$A$3,MATCH(表格1[[#This Row],[Location]]&amp;" "&amp;表格1[[#This Row],[Shop]]&amp;"*",Roster!$A$4:$A$72,0),DAY(表格1[[#This Row],[date]]),1,1)</f>
        <v>Hung</v>
      </c>
      <c r="E5319" s="86">
        <f>MONTH(表格1[[#This Row],[date]])</f>
        <v>3</v>
      </c>
      <c r="F5319" s="90">
        <v>46101</v>
      </c>
      <c r="G5319" s="86" t="str">
        <f>VLOOKUP("*"&amp;表格1[[#This Row],[Input]]&amp;"*",'Ref-List'!$B:$D,2,)</f>
        <v>RAC-07G3CVG-HK</v>
      </c>
      <c r="H5319" s="86" t="str">
        <f>_xlfn.XLOOKUP(表格1[[#This Row],[Model]],表格3[Model-Input-Ref2],表格3[Product Line])</f>
        <v>3/4 匹 R32變頻窗口式冷氣機</v>
      </c>
      <c r="I5319" s="86" t="str">
        <f>_xlfn.XLOOKUP(表格1[[#This Row],[Model]],表格3[Model-Input-Ref2],表格3[大小電])</f>
        <v>大電</v>
      </c>
      <c r="J5319" s="86" t="str">
        <f>_xlfn.XLOOKUP(表格1[[#This Row],[Model]],表格3[Model-Input-Ref2],表格3[Code])</f>
        <v>AC</v>
      </c>
      <c r="K5319" s="89" t="s">
        <v>1473</v>
      </c>
      <c r="L5319" s="86">
        <v>1</v>
      </c>
      <c r="M5319" s="87">
        <v>3099</v>
      </c>
      <c r="N5319" s="87">
        <f>IFERROR(表格1[[#This Row],[QTY]]*表格1[[#This Row],[Unit Price]],"-")</f>
        <v>3099</v>
      </c>
      <c r="O5319" s="86">
        <v>5068</v>
      </c>
      <c r="R5319" s="86" t="str">
        <f>_xlfn.CONCAT(表格1[[#This Row],[Model]]," ",表格1[[#This Row],[inv no]])</f>
        <v>RAC-07G3CVG-HK 5068</v>
      </c>
      <c r="S5319" s="86">
        <f>_xlfn.XLOOKUP(表格1[[#This Row],[Model]],表格3[Model-Input-Ref2],表格3[SRP PRICE])</f>
        <v>4980</v>
      </c>
      <c r="T5319" s="43">
        <f>表格1[[#This Row],[Unit Price]]/表格1[[#This Row],[SRP]]</f>
        <v>0.62228915662650608</v>
      </c>
      <c r="U5319" s="86" t="str">
        <f>_xlfn.XLOOKUP(表格1[[#This Row],[Model]],表格3[Model-Input-Ref2],表格3[TOSHIBA/HIGHEST])</f>
        <v>Toshiba SRP</v>
      </c>
      <c r="W5319" s="86" t="str">
        <f>_xlfn.CONCAT(表格1[[#This Row],[欄4]],表格1[[#This Row],[inv no]])</f>
        <v>5068</v>
      </c>
    </row>
    <row r="5320" spans="1:23" hidden="1">
      <c r="A5320" s="81">
        <v>5318</v>
      </c>
      <c r="B5320" s="86" t="s">
        <v>1470</v>
      </c>
      <c r="C5320" s="86" t="s">
        <v>2028</v>
      </c>
      <c r="D5320" s="89" t="str">
        <f ca="1">OFFSET(Roster!$A$3,MATCH(表格1[[#This Row],[Location]]&amp;" "&amp;表格1[[#This Row],[Shop]]&amp;"*",Roster!$A$4:$A$72,0),DAY(表格1[[#This Row],[date]]),1,1)</f>
        <v>Hung</v>
      </c>
      <c r="E5320" s="86">
        <f>MONTH(表格1[[#This Row],[date]])</f>
        <v>3</v>
      </c>
      <c r="F5320" s="90">
        <v>46101</v>
      </c>
      <c r="G5320" s="86" t="str">
        <f>VLOOKUP("*"&amp;表格1[[#This Row],[Input]]&amp;"*",'Ref-List'!$B:$D,2,)</f>
        <v>MX2-STR25SC(WH)</v>
      </c>
      <c r="H5320" s="86" t="str">
        <f>_xlfn.XLOOKUP(表格1[[#This Row],[Model]],表格3[Model-Input-Ref2],表格3[Product Line])</f>
        <v>4合1氣炸微波蒸焗爐(25公升)</v>
      </c>
      <c r="I5320" s="86" t="str">
        <f>_xlfn.XLOOKUP(表格1[[#This Row],[Model]],表格3[Model-Input-Ref2],表格3[大小電])</f>
        <v>細電</v>
      </c>
      <c r="J5320" s="86" t="str">
        <f>_xlfn.XLOOKUP(表格1[[#This Row],[Model]],表格3[Model-Input-Ref2],表格3[Code])</f>
        <v>MCA</v>
      </c>
      <c r="K5320" s="89" t="s">
        <v>1410</v>
      </c>
      <c r="L5320" s="86">
        <v>1</v>
      </c>
      <c r="M5320" s="87">
        <v>3250</v>
      </c>
      <c r="N5320" s="87">
        <f>IFERROR(表格1[[#This Row],[QTY]]*表格1[[#This Row],[Unit Price]],"-")</f>
        <v>3250</v>
      </c>
      <c r="O5320" s="86">
        <v>5096</v>
      </c>
      <c r="R5320" s="86" t="str">
        <f>_xlfn.CONCAT(表格1[[#This Row],[Model]]," ",表格1[[#This Row],[inv no]])</f>
        <v>MX2-STR25SC(WH) 5096</v>
      </c>
      <c r="S5320" s="86">
        <f>_xlfn.XLOOKUP(表格1[[#This Row],[Model]],表格3[Model-Input-Ref2],表格3[SRP PRICE])</f>
        <v>4998</v>
      </c>
      <c r="T5320" s="43">
        <f>表格1[[#This Row],[Unit Price]]/表格1[[#This Row],[SRP]]</f>
        <v>0.6502601040416166</v>
      </c>
      <c r="U5320" s="86" t="str">
        <f>_xlfn.XLOOKUP(表格1[[#This Row],[Model]],表格3[Model-Input-Ref2],表格3[TOSHIBA/HIGHEST])</f>
        <v>Toshiba SRP</v>
      </c>
      <c r="W5320" s="86" t="str">
        <f>_xlfn.CONCAT(表格1[[#This Row],[欄4]],表格1[[#This Row],[inv no]])</f>
        <v>5096</v>
      </c>
    </row>
    <row r="5321" spans="1:23" hidden="1">
      <c r="A5321" s="81">
        <v>5319</v>
      </c>
      <c r="B5321" s="86" t="s">
        <v>1470</v>
      </c>
      <c r="C5321" s="86" t="s">
        <v>2028</v>
      </c>
      <c r="D5321" s="89" t="str">
        <f ca="1">OFFSET(Roster!$A$3,MATCH(表格1[[#This Row],[Location]]&amp;" "&amp;表格1[[#This Row],[Shop]]&amp;"*",Roster!$A$4:$A$72,0),DAY(表格1[[#This Row],[date]]),1,1)</f>
        <v>Hung</v>
      </c>
      <c r="E5321" s="86">
        <f>MONTH(表格1[[#This Row],[date]])</f>
        <v>3</v>
      </c>
      <c r="F5321" s="90">
        <v>46102</v>
      </c>
      <c r="G5321" s="86" t="str">
        <f>VLOOKUP("*"&amp;表格1[[#This Row],[Input]]&amp;"*",'Ref-List'!$B:$D,2,)</f>
        <v>ET-TD7080(PN)</v>
      </c>
      <c r="H5321" s="86" t="str">
        <f>_xlfn.XLOOKUP(表格1[[#This Row],[Model]],表格3[Model-Input-Ref2],表格3[Product Line])</f>
        <v>多士焗爐8L</v>
      </c>
      <c r="I5321" s="86" t="str">
        <f>_xlfn.XLOOKUP(表格1[[#This Row],[Model]],表格3[Model-Input-Ref2],表格3[大小電])</f>
        <v>細電</v>
      </c>
      <c r="J5321" s="86" t="str">
        <f>_xlfn.XLOOKUP(表格1[[#This Row],[Model]],表格3[Model-Input-Ref2],表格3[Code])</f>
        <v>SDA</v>
      </c>
      <c r="K5321" s="89">
        <v>7080</v>
      </c>
      <c r="L5321" s="86">
        <v>1</v>
      </c>
      <c r="M5321" s="87">
        <v>428</v>
      </c>
      <c r="N5321" s="87">
        <f>IFERROR(表格1[[#This Row],[QTY]]*表格1[[#This Row],[Unit Price]],"-")</f>
        <v>428</v>
      </c>
      <c r="O5321" s="86">
        <v>5118</v>
      </c>
      <c r="R5321" s="86" t="str">
        <f>_xlfn.CONCAT(表格1[[#This Row],[Model]]," ",表格1[[#This Row],[inv no]])</f>
        <v>ET-TD7080(PN) 5118</v>
      </c>
      <c r="S5321" s="86">
        <f>_xlfn.XLOOKUP(表格1[[#This Row],[Model]],表格3[Model-Input-Ref2],表格3[SRP PRICE])</f>
        <v>498</v>
      </c>
      <c r="T5321" s="43">
        <f>表格1[[#This Row],[Unit Price]]/表格1[[#This Row],[SRP]]</f>
        <v>0.85943775100401609</v>
      </c>
      <c r="U5321" s="86" t="str">
        <f>_xlfn.XLOOKUP(表格1[[#This Row],[Model]],表格3[Model-Input-Ref2],表格3[TOSHIBA/HIGHEST])</f>
        <v>Toshiba SRP</v>
      </c>
      <c r="W5321" s="86" t="str">
        <f>_xlfn.CONCAT(表格1[[#This Row],[欄4]],表格1[[#This Row],[inv no]])</f>
        <v>5118</v>
      </c>
    </row>
    <row r="5322" spans="1:23" hidden="1">
      <c r="A5322" s="81">
        <v>5320</v>
      </c>
      <c r="B5322" s="86" t="s">
        <v>1470</v>
      </c>
      <c r="C5322" s="86" t="s">
        <v>2028</v>
      </c>
      <c r="D5322" s="89" t="str">
        <f ca="1">OFFSET(Roster!$A$3,MATCH(表格1[[#This Row],[Location]]&amp;" "&amp;表格1[[#This Row],[Shop]]&amp;"*",Roster!$A$4:$A$72,0),DAY(表格1[[#This Row],[date]]),1,1)</f>
        <v>Hung</v>
      </c>
      <c r="E5322" s="86">
        <f>MONTH(表格1[[#This Row],[date]])</f>
        <v>3</v>
      </c>
      <c r="F5322" s="90">
        <v>46102</v>
      </c>
      <c r="G5322" s="86" t="str">
        <f>VLOOKUP("*"&amp;表格1[[#This Row],[Input]]&amp;"*",'Ref-List'!$B:$D,2,)</f>
        <v>RC-5SLIH(W)</v>
      </c>
      <c r="H5322" s="86" t="str">
        <f>_xlfn.XLOOKUP(表格1[[#This Row],[Model]],表格3[Model-Input-Ref2],表格3[Product Line])</f>
        <v>微型電腦珍珠飯煲</v>
      </c>
      <c r="I5322" s="86" t="str">
        <f>_xlfn.XLOOKUP(表格1[[#This Row],[Model]],表格3[Model-Input-Ref2],表格3[大小電])</f>
        <v>細電</v>
      </c>
      <c r="J5322" s="86" t="str">
        <f>_xlfn.XLOOKUP(表格1[[#This Row],[Model]],表格3[Model-Input-Ref2],表格3[Code])</f>
        <v>SDA</v>
      </c>
      <c r="K5322" s="89" t="s">
        <v>1264</v>
      </c>
      <c r="L5322" s="86">
        <v>1</v>
      </c>
      <c r="M5322" s="87">
        <v>598</v>
      </c>
      <c r="N5322" s="87">
        <f>IFERROR(表格1[[#This Row],[QTY]]*表格1[[#This Row],[Unit Price]],"-")</f>
        <v>598</v>
      </c>
      <c r="O5322" s="86">
        <v>5140</v>
      </c>
      <c r="R5322" s="86" t="str">
        <f>_xlfn.CONCAT(表格1[[#This Row],[Model]]," ",表格1[[#This Row],[inv no]])</f>
        <v>RC-5SLIH(W) 5140</v>
      </c>
      <c r="S5322" s="86">
        <f>_xlfn.XLOOKUP(表格1[[#This Row],[Model]],表格3[Model-Input-Ref2],表格3[SRP PRICE])</f>
        <v>658</v>
      </c>
      <c r="T5322" s="43">
        <f>表格1[[#This Row],[Unit Price]]/表格1[[#This Row],[SRP]]</f>
        <v>0.90881458966565354</v>
      </c>
      <c r="U5322" s="86" t="str">
        <f>_xlfn.XLOOKUP(表格1[[#This Row],[Model]],表格3[Model-Input-Ref2],表格3[TOSHIBA/HIGHEST])</f>
        <v>Toshiba SRP</v>
      </c>
      <c r="W5322" s="86" t="str">
        <f>_xlfn.CONCAT(表格1[[#This Row],[欄4]],表格1[[#This Row],[inv no]])</f>
        <v>5140</v>
      </c>
    </row>
    <row r="5323" spans="1:23" hidden="1">
      <c r="A5323" s="81">
        <v>5321</v>
      </c>
      <c r="B5323" s="86" t="s">
        <v>1470</v>
      </c>
      <c r="C5323" s="86" t="s">
        <v>2028</v>
      </c>
      <c r="D5323" s="89" t="str">
        <f ca="1">OFFSET(Roster!$A$3,MATCH(表格1[[#This Row],[Location]]&amp;" "&amp;表格1[[#This Row],[Shop]]&amp;"*",Roster!$A$4:$A$72,0),DAY(表格1[[#This Row],[date]]),1,1)</f>
        <v>Hung</v>
      </c>
      <c r="E5323" s="86">
        <f>MONTH(表格1[[#This Row],[date]])</f>
        <v>3</v>
      </c>
      <c r="F5323" s="90">
        <v>46102</v>
      </c>
      <c r="G5323" s="86" t="str">
        <f>VLOOKUP("*"&amp;表格1[[#This Row],[Input]]&amp;"*",'Ref-List'!$B:$D,2,)</f>
        <v>GR-RM469WE-PGA(B3)</v>
      </c>
      <c r="H5323" s="86" t="str">
        <f>_xlfn.XLOOKUP(表格1[[#This Row],[Model]],表格3[Model-Input-Ref2],表格3[Product Line])</f>
        <v>旗艦級變頻三門雪櫃 (300L)</v>
      </c>
      <c r="I5323" s="86" t="str">
        <f>_xlfn.XLOOKUP(表格1[[#This Row],[Model]],表格3[Model-Input-Ref2],表格3[大小電])</f>
        <v>大電</v>
      </c>
      <c r="J5323" s="86" t="str">
        <f>_xlfn.XLOOKUP(表格1[[#This Row],[Model]],表格3[Model-Input-Ref2],表格3[Code])</f>
        <v>REF</v>
      </c>
      <c r="K5323" s="89" t="s">
        <v>1460</v>
      </c>
      <c r="L5323" s="86">
        <v>1</v>
      </c>
      <c r="M5323" s="87">
        <v>5880</v>
      </c>
      <c r="N5323" s="87">
        <f>IFERROR(表格1[[#This Row],[QTY]]*表格1[[#This Row],[Unit Price]],"-")</f>
        <v>5880</v>
      </c>
      <c r="O5323" s="86">
        <v>5156</v>
      </c>
      <c r="R5323" s="86" t="str">
        <f>_xlfn.CONCAT(表格1[[#This Row],[Model]]," ",表格1[[#This Row],[inv no]])</f>
        <v>GR-RM469WE-PGA(B3) 5156</v>
      </c>
      <c r="S5323" s="86">
        <f>_xlfn.XLOOKUP(表格1[[#This Row],[Model]],表格3[Model-Input-Ref2],表格3[SRP PRICE])</f>
        <v>8990</v>
      </c>
      <c r="T5323" s="43">
        <f>表格1[[#This Row],[Unit Price]]/表格1[[#This Row],[SRP]]</f>
        <v>0.65406006674082318</v>
      </c>
      <c r="U5323" s="86" t="str">
        <f>_xlfn.XLOOKUP(表格1[[#This Row],[Model]],表格3[Model-Input-Ref2],表格3[TOSHIBA/HIGHEST])</f>
        <v>Toshiba SRP</v>
      </c>
      <c r="W5323" s="86" t="str">
        <f>_xlfn.CONCAT(表格1[[#This Row],[欄4]],表格1[[#This Row],[inv no]])</f>
        <v>5156</v>
      </c>
    </row>
    <row r="5324" spans="1:23" hidden="1">
      <c r="A5324" s="81">
        <v>5322</v>
      </c>
      <c r="B5324" s="86" t="s">
        <v>1470</v>
      </c>
      <c r="C5324" s="86" t="s">
        <v>2028</v>
      </c>
      <c r="D5324" s="89" t="str">
        <f ca="1">OFFSET(Roster!$A$3,MATCH(表格1[[#This Row],[Location]]&amp;" "&amp;表格1[[#This Row],[Shop]]&amp;"*",Roster!$A$4:$A$72,0),DAY(表格1[[#This Row],[date]]),1,1)</f>
        <v>Hung</v>
      </c>
      <c r="E5324" s="86">
        <f>MONTH(表格1[[#This Row],[date]])</f>
        <v>3</v>
      </c>
      <c r="F5324" s="90">
        <v>46102</v>
      </c>
      <c r="G5324" s="86" t="str">
        <f>VLOOKUP("*"&amp;表格1[[#This Row],[Input]]&amp;"*",'Ref-List'!$B:$D,2,)</f>
        <v>AW-Q901BPH(WW)</v>
      </c>
      <c r="H5324" s="86" t="str">
        <f>_xlfn.XLOOKUP(表格1[[#This Row],[Model]],表格3[Model-Input-Ref2],表格3[Product Line])</f>
        <v>日式洗衣機 (8公斤 結合高低水位)</v>
      </c>
      <c r="I5324" s="86" t="str">
        <f>_xlfn.XLOOKUP(表格1[[#This Row],[Model]],表格3[Model-Input-Ref2],表格3[大小電])</f>
        <v>大電</v>
      </c>
      <c r="J5324" s="86" t="str">
        <f>_xlfn.XLOOKUP(表格1[[#This Row],[Model]],表格3[Model-Input-Ref2],表格3[Code])</f>
        <v>LAD</v>
      </c>
      <c r="K5324" s="89" t="s">
        <v>1411</v>
      </c>
      <c r="L5324" s="86">
        <v>1</v>
      </c>
      <c r="M5324" s="87">
        <v>2280</v>
      </c>
      <c r="N5324" s="87">
        <f>IFERROR(表格1[[#This Row],[QTY]]*表格1[[#This Row],[Unit Price]],"-")</f>
        <v>2280</v>
      </c>
      <c r="O5324" s="86">
        <v>5157</v>
      </c>
      <c r="R5324" s="86" t="str">
        <f>_xlfn.CONCAT(表格1[[#This Row],[Model]]," ",表格1[[#This Row],[inv no]])</f>
        <v>AW-Q901BPH(WW) 5157</v>
      </c>
      <c r="S5324" s="86">
        <f>_xlfn.XLOOKUP(表格1[[#This Row],[Model]],表格3[Model-Input-Ref2],表格3[SRP PRICE])</f>
        <v>3780</v>
      </c>
      <c r="T5324" s="43">
        <f>表格1[[#This Row],[Unit Price]]/表格1[[#This Row],[SRP]]</f>
        <v>0.60317460317460314</v>
      </c>
      <c r="U5324" s="86" t="str">
        <f>_xlfn.XLOOKUP(表格1[[#This Row],[Model]],表格3[Model-Input-Ref2],表格3[TOSHIBA/HIGHEST])</f>
        <v>Toshiba SRP</v>
      </c>
      <c r="W5324" s="86" t="str">
        <f>_xlfn.CONCAT(表格1[[#This Row],[欄4]],表格1[[#This Row],[inv no]])</f>
        <v>5157</v>
      </c>
    </row>
    <row r="5325" spans="1:23" hidden="1">
      <c r="A5325" s="81">
        <v>5323</v>
      </c>
      <c r="B5325" s="86" t="s">
        <v>1470</v>
      </c>
      <c r="C5325" s="86" t="s">
        <v>2028</v>
      </c>
      <c r="D5325" s="89" t="str">
        <f ca="1">OFFSET(Roster!$A$3,MATCH(表格1[[#This Row],[Location]]&amp;" "&amp;表格1[[#This Row],[Shop]]&amp;"*",Roster!$A$4:$A$72,0),DAY(表格1[[#This Row],[date]]),1,1)</f>
        <v>Hung</v>
      </c>
      <c r="E5325" s="86">
        <f>MONTH(表格1[[#This Row],[date]])</f>
        <v>3</v>
      </c>
      <c r="F5325" s="90">
        <v>46102</v>
      </c>
      <c r="G5325" s="86" t="str">
        <f>VLOOKUP("*"&amp;表格1[[#This Row],[Input]]&amp;"*",'Ref-List'!$B:$D,2,)</f>
        <v>RC-7HMH</v>
      </c>
      <c r="H5325" s="86" t="str">
        <f>_xlfn.XLOOKUP(表格1[[#This Row],[Model]],表格3[Model-Input-Ref2],表格3[Product Line])</f>
        <v>備長炭本厚釜電飯煲0.7L</v>
      </c>
      <c r="I5325" s="86" t="str">
        <f>_xlfn.XLOOKUP(表格1[[#This Row],[Model]],表格3[Model-Input-Ref2],表格3[大小電])</f>
        <v>細電</v>
      </c>
      <c r="J5325" s="86" t="str">
        <f>_xlfn.XLOOKUP(表格1[[#This Row],[Model]],表格3[Model-Input-Ref2],表格3[Code])</f>
        <v>SDA</v>
      </c>
      <c r="K5325" s="89" t="s">
        <v>1284</v>
      </c>
      <c r="L5325" s="86">
        <v>1</v>
      </c>
      <c r="M5325" s="87">
        <v>820</v>
      </c>
      <c r="N5325" s="87">
        <f>IFERROR(表格1[[#This Row],[QTY]]*表格1[[#This Row],[Unit Price]],"-")</f>
        <v>820</v>
      </c>
      <c r="O5325" s="86">
        <v>5168</v>
      </c>
      <c r="R5325" s="86" t="str">
        <f>_xlfn.CONCAT(表格1[[#This Row],[Model]]," ",表格1[[#This Row],[inv no]])</f>
        <v>RC-7HMH 5168</v>
      </c>
      <c r="S5325" s="86">
        <f>_xlfn.XLOOKUP(表格1[[#This Row],[Model]],表格3[Model-Input-Ref2],表格3[SRP PRICE])</f>
        <v>1288</v>
      </c>
      <c r="T5325" s="43">
        <f>表格1[[#This Row],[Unit Price]]/表格1[[#This Row],[SRP]]</f>
        <v>0.63664596273291929</v>
      </c>
      <c r="U5325" s="86" t="str">
        <f>_xlfn.XLOOKUP(表格1[[#This Row],[Model]],表格3[Model-Input-Ref2],表格3[TOSHIBA/HIGHEST])</f>
        <v>Toshiba SRP</v>
      </c>
      <c r="W5325" s="86" t="str">
        <f>_xlfn.CONCAT(表格1[[#This Row],[欄4]],表格1[[#This Row],[inv no]])</f>
        <v>5168</v>
      </c>
    </row>
    <row r="5326" spans="1:23" hidden="1">
      <c r="A5326" s="81">
        <v>5324</v>
      </c>
      <c r="B5326" s="86" t="s">
        <v>1470</v>
      </c>
      <c r="C5326" s="86" t="s">
        <v>2028</v>
      </c>
      <c r="D5326" s="89" t="str">
        <f ca="1">OFFSET(Roster!$A$3,MATCH(表格1[[#This Row],[Location]]&amp;" "&amp;表格1[[#This Row],[Shop]]&amp;"*",Roster!$A$4:$A$72,0),DAY(表格1[[#This Row],[date]]),1,1)</f>
        <v>Hung</v>
      </c>
      <c r="E5326" s="86">
        <f>MONTH(表格1[[#This Row],[date]])</f>
        <v>3</v>
      </c>
      <c r="F5326" s="90">
        <v>46102</v>
      </c>
      <c r="G5326" s="86" t="str">
        <f>VLOOKUP("*"&amp;表格1[[#This Row],[Input]]&amp;"*",'Ref-List'!$B:$D,2,)</f>
        <v>KT-17DRTHK(H)</v>
      </c>
      <c r="H5326" s="86" t="str">
        <f>_xlfn.XLOOKUP(表格1[[#This Row],[Model]],表格3[Model-Input-Ref2],表格3[Product Line])</f>
        <v>無線雙層電熱水壺(1.7公升)</v>
      </c>
      <c r="I5326" s="86" t="str">
        <f>_xlfn.XLOOKUP(表格1[[#This Row],[Model]],表格3[Model-Input-Ref2],表格3[大小電])</f>
        <v>細電</v>
      </c>
      <c r="J5326" s="86" t="str">
        <f>_xlfn.XLOOKUP(表格1[[#This Row],[Model]],表格3[Model-Input-Ref2],表格3[Code])</f>
        <v>SDA</v>
      </c>
      <c r="K5326" s="89" t="s">
        <v>1271</v>
      </c>
      <c r="L5326" s="86">
        <v>1</v>
      </c>
      <c r="M5326" s="87">
        <v>388</v>
      </c>
      <c r="N5326" s="87">
        <f>IFERROR(表格1[[#This Row],[QTY]]*表格1[[#This Row],[Unit Price]],"-")</f>
        <v>388</v>
      </c>
      <c r="O5326" s="86">
        <v>5169</v>
      </c>
      <c r="R5326" s="86" t="str">
        <f>_xlfn.CONCAT(表格1[[#This Row],[Model]]," ",表格1[[#This Row],[inv no]])</f>
        <v>KT-17DRTHK(H) 5169</v>
      </c>
      <c r="S5326" s="86">
        <f>_xlfn.XLOOKUP(表格1[[#This Row],[Model]],表格3[Model-Input-Ref2],表格3[SRP PRICE])</f>
        <v>498</v>
      </c>
      <c r="T5326" s="43">
        <f>表格1[[#This Row],[Unit Price]]/表格1[[#This Row],[SRP]]</f>
        <v>0.77911646586345384</v>
      </c>
      <c r="U5326" s="86" t="str">
        <f>_xlfn.XLOOKUP(表格1[[#This Row],[Model]],表格3[Model-Input-Ref2],表格3[TOSHIBA/HIGHEST])</f>
        <v>Toshiba SRP</v>
      </c>
      <c r="W5326" s="86" t="str">
        <f>_xlfn.CONCAT(表格1[[#This Row],[欄4]],表格1[[#This Row],[inv no]])</f>
        <v>5169</v>
      </c>
    </row>
    <row r="5327" spans="1:23" hidden="1">
      <c r="A5327" s="81">
        <v>5325</v>
      </c>
      <c r="B5327" s="86" t="s">
        <v>1470</v>
      </c>
      <c r="C5327" s="86" t="s">
        <v>2028</v>
      </c>
      <c r="D5327" s="89" t="str">
        <f ca="1">OFFSET(Roster!$A$3,MATCH(表格1[[#This Row],[Location]]&amp;" "&amp;表格1[[#This Row],[Shop]]&amp;"*",Roster!$A$4:$A$72,0),DAY(表格1[[#This Row],[date]]),1,1)</f>
        <v>Hung</v>
      </c>
      <c r="E5327" s="86">
        <f>MONTH(表格1[[#This Row],[date]])</f>
        <v>3</v>
      </c>
      <c r="F5327" s="90">
        <v>46102</v>
      </c>
      <c r="G5327" s="86" t="str">
        <f>VLOOKUP("*"&amp;表格1[[#This Row],[Input]]&amp;"*",'Ref-List'!$B:$D,2,)</f>
        <v>RAD-Y200H</v>
      </c>
      <c r="H5327" s="86" t="str">
        <f>_xlfn.XLOOKUP(表格1[[#This Row],[Model]],表格3[Model-Input-Ref2],表格3[Product Line])</f>
        <v>21L壓縮式抽濕機</v>
      </c>
      <c r="I5327" s="86" t="str">
        <f>_xlfn.XLOOKUP(表格1[[#This Row],[Model]],表格3[Model-Input-Ref2],表格3[大小電])</f>
        <v>大電</v>
      </c>
      <c r="J5327" s="86" t="str">
        <f>_xlfn.XLOOKUP(表格1[[#This Row],[Model]],表格3[Model-Input-Ref2],表格3[Code])</f>
        <v>RAC</v>
      </c>
      <c r="K5327" s="89" t="s">
        <v>1241</v>
      </c>
      <c r="L5327" s="86">
        <v>1</v>
      </c>
      <c r="M5327" s="87">
        <v>1788</v>
      </c>
      <c r="N5327" s="87">
        <f>IFERROR(表格1[[#This Row],[QTY]]*表格1[[#This Row],[Unit Price]],"-")</f>
        <v>1788</v>
      </c>
      <c r="O5327" s="86">
        <v>5172</v>
      </c>
      <c r="R5327" s="86" t="str">
        <f>_xlfn.CONCAT(表格1[[#This Row],[Model]]," ",表格1[[#This Row],[inv no]])</f>
        <v>RAD-Y200H 5172</v>
      </c>
      <c r="S5327" s="86">
        <f>_xlfn.XLOOKUP(表格1[[#This Row],[Model]],表格3[Model-Input-Ref2],表格3[SRP PRICE])</f>
        <v>3280</v>
      </c>
      <c r="T5327" s="43">
        <f>表格1[[#This Row],[Unit Price]]/表格1[[#This Row],[SRP]]</f>
        <v>0.54512195121951224</v>
      </c>
      <c r="U5327" s="86" t="str">
        <f>_xlfn.XLOOKUP(表格1[[#This Row],[Model]],表格3[Model-Input-Ref2],表格3[TOSHIBA/HIGHEST])</f>
        <v>Toshiba SRP</v>
      </c>
      <c r="W5327" s="86" t="str">
        <f>_xlfn.CONCAT(表格1[[#This Row],[欄4]],表格1[[#This Row],[inv no]])</f>
        <v>5172</v>
      </c>
    </row>
    <row r="5328" spans="1:23" hidden="1">
      <c r="A5328" s="81">
        <v>5326</v>
      </c>
      <c r="B5328" s="86" t="s">
        <v>1470</v>
      </c>
      <c r="C5328" s="86" t="s">
        <v>2028</v>
      </c>
      <c r="D5328" s="89" t="str">
        <f ca="1">OFFSET(Roster!$A$3,MATCH(表格1[[#This Row],[Location]]&amp;" "&amp;表格1[[#This Row],[Shop]]&amp;"*",Roster!$A$4:$A$72,0),DAY(表格1[[#This Row],[date]]),1,1)</f>
        <v>Hung</v>
      </c>
      <c r="E5328" s="86">
        <f>MONTH(表格1[[#This Row],[date]])</f>
        <v>3</v>
      </c>
      <c r="F5328" s="90">
        <v>46102</v>
      </c>
      <c r="G5328" s="86" t="str">
        <f>VLOOKUP("*"&amp;表格1[[#This Row],[Input]]&amp;"*",'Ref-List'!$B:$D,2,)</f>
        <v>GR-RT300WE-PMA(57)</v>
      </c>
      <c r="H5328" s="86" t="str">
        <f>_xlfn.XLOOKUP(表格1[[#This Row],[Model]],表格3[Model-Input-Ref2],表格3[Product Line])</f>
        <v>變頻式環保雙門雪櫃(233L)</v>
      </c>
      <c r="I5328" s="86" t="str">
        <f>_xlfn.XLOOKUP(表格1[[#This Row],[Model]],表格3[Model-Input-Ref2],表格3[大小電])</f>
        <v>大電</v>
      </c>
      <c r="J5328" s="86" t="str">
        <f>_xlfn.XLOOKUP(表格1[[#This Row],[Model]],表格3[Model-Input-Ref2],表格3[Code])</f>
        <v>REF</v>
      </c>
      <c r="K5328" s="89" t="s">
        <v>1462</v>
      </c>
      <c r="L5328" s="86">
        <v>1</v>
      </c>
      <c r="M5328" s="87">
        <v>2680</v>
      </c>
      <c r="N5328" s="87">
        <f>IFERROR(表格1[[#This Row],[QTY]]*表格1[[#This Row],[Unit Price]],"-")</f>
        <v>2680</v>
      </c>
      <c r="O5328" s="86">
        <v>5187</v>
      </c>
      <c r="R5328" s="86" t="str">
        <f>_xlfn.CONCAT(表格1[[#This Row],[Model]]," ",表格1[[#This Row],[inv no]])</f>
        <v>GR-RT300WE-PMA(57) 5187</v>
      </c>
      <c r="S5328" s="86">
        <f>_xlfn.XLOOKUP(表格1[[#This Row],[Model]],表格3[Model-Input-Ref2],表格3[SRP PRICE])</f>
        <v>4280</v>
      </c>
      <c r="T5328" s="43">
        <f>表格1[[#This Row],[Unit Price]]/表格1[[#This Row],[SRP]]</f>
        <v>0.62616822429906538</v>
      </c>
      <c r="U5328" s="86" t="str">
        <f>_xlfn.XLOOKUP(表格1[[#This Row],[Model]],表格3[Model-Input-Ref2],表格3[TOSHIBA/HIGHEST])</f>
        <v>Toshiba SRP</v>
      </c>
      <c r="W5328" s="86" t="str">
        <f>_xlfn.CONCAT(表格1[[#This Row],[欄4]],表格1[[#This Row],[inv no]])</f>
        <v>5187</v>
      </c>
    </row>
    <row r="5329" spans="1:23" hidden="1">
      <c r="A5329" s="81">
        <v>5327</v>
      </c>
      <c r="B5329" s="86" t="s">
        <v>1470</v>
      </c>
      <c r="C5329" s="86" t="s">
        <v>2028</v>
      </c>
      <c r="D5329" s="89" t="str">
        <f ca="1">OFFSET(Roster!$A$3,MATCH(表格1[[#This Row],[Location]]&amp;" "&amp;表格1[[#This Row],[Shop]]&amp;"*",Roster!$A$4:$A$72,0),DAY(表格1[[#This Row],[date]]),1,1)</f>
        <v>Hung</v>
      </c>
      <c r="E5329" s="86">
        <f>MONTH(表格1[[#This Row],[date]])</f>
        <v>3</v>
      </c>
      <c r="F5329" s="90">
        <v>46102</v>
      </c>
      <c r="G5329" s="86" t="str">
        <f>VLOOKUP("*"&amp;表格1[[#This Row],[Input]]&amp;"*",'Ref-List'!$B:$D,2,)</f>
        <v>TP-25DR2UHK(W)</v>
      </c>
      <c r="H5329" s="86" t="str">
        <f>_xlfn.XLOOKUP(表格1[[#This Row],[Model]],表格3[Model-Input-Ref2],表格3[Product Line])</f>
        <v>電熱水瓶 (2.5公升)</v>
      </c>
      <c r="I5329" s="86" t="str">
        <f>_xlfn.XLOOKUP(表格1[[#This Row],[Model]],表格3[Model-Input-Ref2],表格3[大小電])</f>
        <v>細電</v>
      </c>
      <c r="J5329" s="86" t="str">
        <f>_xlfn.XLOOKUP(表格1[[#This Row],[Model]],表格3[Model-Input-Ref2],表格3[Code])</f>
        <v>SDA</v>
      </c>
      <c r="K5329" s="89" t="s">
        <v>1285</v>
      </c>
      <c r="L5329" s="86">
        <v>1</v>
      </c>
      <c r="M5329" s="87">
        <v>398</v>
      </c>
      <c r="N5329" s="87">
        <f>IFERROR(表格1[[#This Row],[QTY]]*表格1[[#This Row],[Unit Price]],"-")</f>
        <v>398</v>
      </c>
      <c r="O5329" s="86">
        <v>5189</v>
      </c>
      <c r="R5329" s="86" t="str">
        <f>_xlfn.CONCAT(表格1[[#This Row],[Model]]," ",表格1[[#This Row],[inv no]])</f>
        <v>TP-25DR2UHK(W) 5189</v>
      </c>
      <c r="S5329" s="86">
        <f>_xlfn.XLOOKUP(表格1[[#This Row],[Model]],表格3[Model-Input-Ref2],表格3[SRP PRICE])</f>
        <v>538</v>
      </c>
      <c r="T5329" s="43">
        <f>表格1[[#This Row],[Unit Price]]/表格1[[#This Row],[SRP]]</f>
        <v>0.7397769516728625</v>
      </c>
      <c r="U5329" s="86" t="str">
        <f>_xlfn.XLOOKUP(表格1[[#This Row],[Model]],表格3[Model-Input-Ref2],表格3[TOSHIBA/HIGHEST])</f>
        <v>Toshiba SRP</v>
      </c>
      <c r="W5329" s="86" t="str">
        <f>_xlfn.CONCAT(表格1[[#This Row],[欄4]],表格1[[#This Row],[inv no]])</f>
        <v>5189</v>
      </c>
    </row>
    <row r="5330" spans="1:23" hidden="1">
      <c r="A5330" s="81">
        <v>5328</v>
      </c>
      <c r="B5330" s="86" t="s">
        <v>1470</v>
      </c>
      <c r="C5330" s="86" t="s">
        <v>2028</v>
      </c>
      <c r="D5330" s="89" t="str">
        <f ca="1">OFFSET(Roster!$A$3,MATCH(表格1[[#This Row],[Location]]&amp;" "&amp;表格1[[#This Row],[Shop]]&amp;"*",Roster!$A$4:$A$72,0),DAY(表格1[[#This Row],[date]]),1,1)</f>
        <v>Hung</v>
      </c>
      <c r="E5330" s="86">
        <f>MONTH(表格1[[#This Row],[date]])</f>
        <v>3</v>
      </c>
      <c r="F5330" s="90">
        <v>46102</v>
      </c>
      <c r="G5330" s="86" t="str">
        <f>VLOOKUP("*"&amp;表格1[[#This Row],[Input]]&amp;"*",'Ref-List'!$B:$D,2,)</f>
        <v>DW-05T2-HK</v>
      </c>
      <c r="H5330" s="86" t="str">
        <f>_xlfn.XLOOKUP(表格1[[#This Row],[Model]],表格3[Model-Input-Ref2],表格3[Product Line])</f>
        <v>座檯式洗碗碟機</v>
      </c>
      <c r="I5330" s="86" t="str">
        <f>_xlfn.XLOOKUP(表格1[[#This Row],[Model]],表格3[Model-Input-Ref2],表格3[大小電])</f>
        <v>細電</v>
      </c>
      <c r="J5330" s="86" t="str">
        <f>_xlfn.XLOOKUP(表格1[[#This Row],[Model]],表格3[Model-Input-Ref2],表格3[Code])</f>
        <v>DW</v>
      </c>
      <c r="K5330" s="89" t="s">
        <v>1475</v>
      </c>
      <c r="L5330" s="86">
        <v>1</v>
      </c>
      <c r="M5330" s="87">
        <v>3460</v>
      </c>
      <c r="N5330" s="87">
        <f>IFERROR(表格1[[#This Row],[QTY]]*表格1[[#This Row],[Unit Price]],"-")</f>
        <v>3460</v>
      </c>
      <c r="O5330" s="86">
        <v>5199</v>
      </c>
      <c r="R5330" s="86" t="str">
        <f>_xlfn.CONCAT(表格1[[#This Row],[Model]]," ",表格1[[#This Row],[inv no]])</f>
        <v>DW-05T2-HK 5199</v>
      </c>
      <c r="S5330" s="86">
        <f>_xlfn.XLOOKUP(表格1[[#This Row],[Model]],表格3[Model-Input-Ref2],表格3[SRP PRICE])</f>
        <v>4580</v>
      </c>
      <c r="T5330" s="43">
        <f>表格1[[#This Row],[Unit Price]]/表格1[[#This Row],[SRP]]</f>
        <v>0.75545851528384278</v>
      </c>
      <c r="U5330" s="86" t="str">
        <f>_xlfn.XLOOKUP(表格1[[#This Row],[Model]],表格3[Model-Input-Ref2],表格3[TOSHIBA/HIGHEST])</f>
        <v>Toshiba SRP</v>
      </c>
      <c r="W5330" s="86" t="str">
        <f>_xlfn.CONCAT(表格1[[#This Row],[欄4]],表格1[[#This Row],[inv no]])</f>
        <v>5199</v>
      </c>
    </row>
    <row r="5331" spans="1:23" hidden="1">
      <c r="A5331" s="81">
        <v>5329</v>
      </c>
      <c r="B5331" s="86" t="s">
        <v>1470</v>
      </c>
      <c r="C5331" s="86" t="s">
        <v>2028</v>
      </c>
      <c r="D5331" s="89" t="str">
        <f ca="1">OFFSET(Roster!$A$3,MATCH(表格1[[#This Row],[Location]]&amp;" "&amp;表格1[[#This Row],[Shop]]&amp;"*",Roster!$A$4:$A$72,0),DAY(表格1[[#This Row],[date]]),1,1)</f>
        <v>Hung</v>
      </c>
      <c r="E5331" s="86">
        <f>MONTH(表格1[[#This Row],[date]])</f>
        <v>3</v>
      </c>
      <c r="F5331" s="90">
        <v>46103</v>
      </c>
      <c r="G5331" s="86" t="str">
        <f>VLOOKUP("*"&amp;表格1[[#This Row],[Input]]&amp;"*",'Ref-List'!$B:$D,2,)</f>
        <v>GR-RB221WE-PMA(57)</v>
      </c>
      <c r="H5331" s="86" t="str">
        <f>_xlfn.XLOOKUP(表格1[[#This Row],[Model]],表格3[Model-Input-Ref2],表格3[Product Line])</f>
        <v>變頻下置式雙門雪櫃（163L）</v>
      </c>
      <c r="I5331" s="86" t="str">
        <f>_xlfn.XLOOKUP(表格1[[#This Row],[Model]],表格3[Model-Input-Ref2],表格3[大小電])</f>
        <v>大電</v>
      </c>
      <c r="J5331" s="86" t="str">
        <f>_xlfn.XLOOKUP(表格1[[#This Row],[Model]],表格3[Model-Input-Ref2],表格3[Code])</f>
        <v>REF</v>
      </c>
      <c r="K5331" s="89" t="s">
        <v>1386</v>
      </c>
      <c r="L5331" s="86">
        <v>1</v>
      </c>
      <c r="M5331" s="87">
        <v>1880</v>
      </c>
      <c r="N5331" s="87">
        <f>IFERROR(表格1[[#This Row],[QTY]]*表格1[[#This Row],[Unit Price]],"-")</f>
        <v>1880</v>
      </c>
      <c r="O5331" s="86">
        <v>5234</v>
      </c>
      <c r="R5331" s="86" t="str">
        <f>_xlfn.CONCAT(表格1[[#This Row],[Model]]," ",表格1[[#This Row],[inv no]])</f>
        <v>GR-RB221WE-PMA(57) 5234</v>
      </c>
      <c r="S5331" s="86">
        <f>_xlfn.XLOOKUP(表格1[[#This Row],[Model]],表格3[Model-Input-Ref2],表格3[SRP PRICE])</f>
        <v>3480</v>
      </c>
      <c r="T5331" s="43">
        <f>表格1[[#This Row],[Unit Price]]/表格1[[#This Row],[SRP]]</f>
        <v>0.54022988505747127</v>
      </c>
      <c r="U5331" s="86" t="str">
        <f>_xlfn.XLOOKUP(表格1[[#This Row],[Model]],表格3[Model-Input-Ref2],表格3[TOSHIBA/HIGHEST])</f>
        <v>Toshiba SRP</v>
      </c>
      <c r="W5331" s="86" t="str">
        <f>_xlfn.CONCAT(表格1[[#This Row],[欄4]],表格1[[#This Row],[inv no]])</f>
        <v>5234</v>
      </c>
    </row>
    <row r="5332" spans="1:23" hidden="1">
      <c r="A5332" s="81">
        <v>5330</v>
      </c>
      <c r="B5332" s="86" t="s">
        <v>1470</v>
      </c>
      <c r="C5332" s="86" t="s">
        <v>2028</v>
      </c>
      <c r="D5332" s="89" t="str">
        <f ca="1">OFFSET(Roster!$A$3,MATCH(表格1[[#This Row],[Location]]&amp;" "&amp;表格1[[#This Row],[Shop]]&amp;"*",Roster!$A$4:$A$72,0),DAY(表格1[[#This Row],[date]]),1,1)</f>
        <v>Hung</v>
      </c>
      <c r="E5332" s="86">
        <f>MONTH(表格1[[#This Row],[date]])</f>
        <v>3</v>
      </c>
      <c r="F5332" s="90">
        <v>46103</v>
      </c>
      <c r="G5332" s="86" t="str">
        <f>VLOOKUP("*"&amp;表格1[[#This Row],[Input]]&amp;"*",'Ref-List'!$B:$D,2,)</f>
        <v>RAD-D200H</v>
      </c>
      <c r="H5332" s="86" t="str">
        <f>_xlfn.XLOOKUP(表格1[[#This Row],[Model]],表格3[Model-Input-Ref2],表格3[Product Line])</f>
        <v>壓縮式抽濕機 (22公升)</v>
      </c>
      <c r="I5332" s="86" t="str">
        <f>_xlfn.XLOOKUP(表格1[[#This Row],[Model]],表格3[Model-Input-Ref2],表格3[大小電])</f>
        <v>細電</v>
      </c>
      <c r="J5332" s="86" t="str">
        <f>_xlfn.XLOOKUP(表格1[[#This Row],[Model]],表格3[Model-Input-Ref2],表格3[Code])</f>
        <v>RAC</v>
      </c>
      <c r="K5332" s="89" t="s">
        <v>1250</v>
      </c>
      <c r="L5332" s="86">
        <v>1</v>
      </c>
      <c r="M5332" s="87">
        <v>1880</v>
      </c>
      <c r="N5332" s="87">
        <f>IFERROR(表格1[[#This Row],[QTY]]*表格1[[#This Row],[Unit Price]],"-")</f>
        <v>1880</v>
      </c>
      <c r="O5332" s="86">
        <v>5237</v>
      </c>
      <c r="R5332" s="86" t="str">
        <f>_xlfn.CONCAT(表格1[[#This Row],[Model]]," ",表格1[[#This Row],[inv no]])</f>
        <v>RAD-D200H 5237</v>
      </c>
      <c r="S5332" s="86">
        <f>_xlfn.XLOOKUP(表格1[[#This Row],[Model]],表格3[Model-Input-Ref2],表格3[SRP PRICE])</f>
        <v>2880</v>
      </c>
      <c r="T5332" s="43">
        <f>表格1[[#This Row],[Unit Price]]/表格1[[#This Row],[SRP]]</f>
        <v>0.65277777777777779</v>
      </c>
      <c r="U5332" s="86" t="str">
        <f>_xlfn.XLOOKUP(表格1[[#This Row],[Model]],表格3[Model-Input-Ref2],表格3[TOSHIBA/HIGHEST])</f>
        <v>Shops Highest Price</v>
      </c>
      <c r="W5332" s="86" t="str">
        <f>_xlfn.CONCAT(表格1[[#This Row],[欄4]],表格1[[#This Row],[inv no]])</f>
        <v>5237</v>
      </c>
    </row>
    <row r="5333" spans="1:23" hidden="1">
      <c r="A5333" s="81">
        <v>5331</v>
      </c>
      <c r="B5333" s="86" t="s">
        <v>1470</v>
      </c>
      <c r="C5333" s="86" t="s">
        <v>2028</v>
      </c>
      <c r="D5333" s="89" t="str">
        <f ca="1">OFFSET(Roster!$A$3,MATCH(表格1[[#This Row],[Location]]&amp;" "&amp;表格1[[#This Row],[Shop]]&amp;"*",Roster!$A$4:$A$72,0),DAY(表格1[[#This Row],[date]]),1,1)</f>
        <v>Hung</v>
      </c>
      <c r="E5333" s="86">
        <f>MONTH(表格1[[#This Row],[date]])</f>
        <v>3</v>
      </c>
      <c r="F5333" s="90">
        <v>46103</v>
      </c>
      <c r="G5333" s="86" t="str">
        <f>VLOOKUP("*"&amp;表格1[[#This Row],[Input]]&amp;"*",'Ref-List'!$B:$D,2,)</f>
        <v>RAC-07G3CVG-HK</v>
      </c>
      <c r="H5333" s="86" t="str">
        <f>_xlfn.XLOOKUP(表格1[[#This Row],[Model]],表格3[Model-Input-Ref2],表格3[Product Line])</f>
        <v>3/4 匹 R32變頻窗口式冷氣機</v>
      </c>
      <c r="I5333" s="86" t="str">
        <f>_xlfn.XLOOKUP(表格1[[#This Row],[Model]],表格3[Model-Input-Ref2],表格3[大小電])</f>
        <v>大電</v>
      </c>
      <c r="J5333" s="86" t="str">
        <f>_xlfn.XLOOKUP(表格1[[#This Row],[Model]],表格3[Model-Input-Ref2],表格3[Code])</f>
        <v>AC</v>
      </c>
      <c r="K5333" s="89" t="s">
        <v>1473</v>
      </c>
      <c r="L5333" s="86">
        <v>1</v>
      </c>
      <c r="M5333" s="87">
        <v>3099</v>
      </c>
      <c r="N5333" s="87">
        <f>IFERROR(表格1[[#This Row],[QTY]]*表格1[[#This Row],[Unit Price]],"-")</f>
        <v>3099</v>
      </c>
      <c r="O5333" s="86">
        <v>5258</v>
      </c>
      <c r="R5333" s="86" t="str">
        <f>_xlfn.CONCAT(表格1[[#This Row],[Model]]," ",表格1[[#This Row],[inv no]])</f>
        <v>RAC-07G3CVG-HK 5258</v>
      </c>
      <c r="S5333" s="86">
        <f>_xlfn.XLOOKUP(表格1[[#This Row],[Model]],表格3[Model-Input-Ref2],表格3[SRP PRICE])</f>
        <v>4980</v>
      </c>
      <c r="T5333" s="43">
        <f>表格1[[#This Row],[Unit Price]]/表格1[[#This Row],[SRP]]</f>
        <v>0.62228915662650608</v>
      </c>
      <c r="U5333" s="86" t="str">
        <f>_xlfn.XLOOKUP(表格1[[#This Row],[Model]],表格3[Model-Input-Ref2],表格3[TOSHIBA/HIGHEST])</f>
        <v>Toshiba SRP</v>
      </c>
      <c r="W5333" s="86" t="str">
        <f>_xlfn.CONCAT(表格1[[#This Row],[欄4]],表格1[[#This Row],[inv no]])</f>
        <v>5258</v>
      </c>
    </row>
    <row r="5334" spans="1:23" hidden="1">
      <c r="A5334" s="81">
        <v>5332</v>
      </c>
      <c r="B5334" s="86" t="s">
        <v>1470</v>
      </c>
      <c r="C5334" s="86" t="s">
        <v>2028</v>
      </c>
      <c r="D5334" s="89" t="str">
        <f ca="1">OFFSET(Roster!$A$3,MATCH(表格1[[#This Row],[Location]]&amp;" "&amp;表格1[[#This Row],[Shop]]&amp;"*",Roster!$A$4:$A$72,0),DAY(表格1[[#This Row],[date]]),1,1)</f>
        <v>Hung</v>
      </c>
      <c r="E5334" s="86">
        <f>MONTH(表格1[[#This Row],[date]])</f>
        <v>3</v>
      </c>
      <c r="F5334" s="90">
        <v>46103</v>
      </c>
      <c r="G5334" s="86" t="str">
        <f>VLOOKUP("*"&amp;表格1[[#This Row],[Input]]&amp;"*",'Ref-List'!$B:$D,2,)</f>
        <v>RAC-07G3CVG-HK</v>
      </c>
      <c r="H5334" s="86" t="str">
        <f>_xlfn.XLOOKUP(表格1[[#This Row],[Model]],表格3[Model-Input-Ref2],表格3[Product Line])</f>
        <v>3/4 匹 R32變頻窗口式冷氣機</v>
      </c>
      <c r="I5334" s="86" t="str">
        <f>_xlfn.XLOOKUP(表格1[[#This Row],[Model]],表格3[Model-Input-Ref2],表格3[大小電])</f>
        <v>大電</v>
      </c>
      <c r="J5334" s="86" t="str">
        <f>_xlfn.XLOOKUP(表格1[[#This Row],[Model]],表格3[Model-Input-Ref2],表格3[Code])</f>
        <v>AC</v>
      </c>
      <c r="K5334" s="89" t="s">
        <v>1473</v>
      </c>
      <c r="L5334" s="86">
        <v>1</v>
      </c>
      <c r="M5334" s="87">
        <v>3099</v>
      </c>
      <c r="N5334" s="87">
        <f>IFERROR(表格1[[#This Row],[QTY]]*表格1[[#This Row],[Unit Price]],"-")</f>
        <v>3099</v>
      </c>
      <c r="O5334" s="86">
        <v>5257</v>
      </c>
      <c r="R5334" s="86" t="str">
        <f>_xlfn.CONCAT(表格1[[#This Row],[Model]]," ",表格1[[#This Row],[inv no]])</f>
        <v>RAC-07G3CVG-HK 5257</v>
      </c>
      <c r="S5334" s="86">
        <f>_xlfn.XLOOKUP(表格1[[#This Row],[Model]],表格3[Model-Input-Ref2],表格3[SRP PRICE])</f>
        <v>4980</v>
      </c>
      <c r="T5334" s="43">
        <f>表格1[[#This Row],[Unit Price]]/表格1[[#This Row],[SRP]]</f>
        <v>0.62228915662650608</v>
      </c>
      <c r="U5334" s="86" t="str">
        <f>_xlfn.XLOOKUP(表格1[[#This Row],[Model]],表格3[Model-Input-Ref2],表格3[TOSHIBA/HIGHEST])</f>
        <v>Toshiba SRP</v>
      </c>
      <c r="W5334" s="86" t="str">
        <f>_xlfn.CONCAT(表格1[[#This Row],[欄4]],表格1[[#This Row],[inv no]])</f>
        <v>5257</v>
      </c>
    </row>
    <row r="5335" spans="1:23" hidden="1">
      <c r="A5335" s="81">
        <v>5333</v>
      </c>
      <c r="B5335" s="86" t="s">
        <v>1470</v>
      </c>
      <c r="C5335" s="86" t="s">
        <v>2028</v>
      </c>
      <c r="D5335" s="89" t="str">
        <f ca="1">OFFSET(Roster!$A$3,MATCH(表格1[[#This Row],[Location]]&amp;" "&amp;表格1[[#This Row],[Shop]]&amp;"*",Roster!$A$4:$A$72,0),DAY(表格1[[#This Row],[date]]),1,1)</f>
        <v>Hung</v>
      </c>
      <c r="E5335" s="86">
        <f>MONTH(表格1[[#This Row],[date]])</f>
        <v>3</v>
      </c>
      <c r="F5335" s="90">
        <v>46103</v>
      </c>
      <c r="G5335" s="86" t="str">
        <f>VLOOKUP("*"&amp;表格1[[#This Row],[Input]]&amp;"*",'Ref-List'!$B:$D,2,)</f>
        <v>TP-50DRUHK(W)</v>
      </c>
      <c r="H5335" s="86" t="str">
        <f>_xlfn.XLOOKUP(表格1[[#This Row],[Model]],表格3[Model-Input-Ref2],表格3[Product Line])</f>
        <v>電熱水瓶 (5公升)</v>
      </c>
      <c r="I5335" s="86" t="str">
        <f>_xlfn.XLOOKUP(表格1[[#This Row],[Model]],表格3[Model-Input-Ref2],表格3[大小電])</f>
        <v>細電</v>
      </c>
      <c r="J5335" s="86" t="str">
        <f>_xlfn.XLOOKUP(表格1[[#This Row],[Model]],表格3[Model-Input-Ref2],表格3[Code])</f>
        <v>SDA</v>
      </c>
      <c r="K5335" s="89" t="s">
        <v>1277</v>
      </c>
      <c r="L5335" s="86">
        <v>1</v>
      </c>
      <c r="M5335" s="87">
        <v>598</v>
      </c>
      <c r="N5335" s="87">
        <f>IFERROR(表格1[[#This Row],[QTY]]*表格1[[#This Row],[Unit Price]],"-")</f>
        <v>598</v>
      </c>
      <c r="O5335" s="86">
        <v>5259</v>
      </c>
      <c r="R5335" s="86" t="str">
        <f>_xlfn.CONCAT(表格1[[#This Row],[Model]]," ",表格1[[#This Row],[inv no]])</f>
        <v>TP-50DRUHK(W) 5259</v>
      </c>
      <c r="S5335" s="86">
        <f>_xlfn.XLOOKUP(表格1[[#This Row],[Model]],表格3[Model-Input-Ref2],表格3[SRP PRICE])</f>
        <v>718</v>
      </c>
      <c r="T5335" s="43">
        <f>表格1[[#This Row],[Unit Price]]/表格1[[#This Row],[SRP]]</f>
        <v>0.83286908077994426</v>
      </c>
      <c r="U5335" s="86" t="str">
        <f>_xlfn.XLOOKUP(表格1[[#This Row],[Model]],表格3[Model-Input-Ref2],表格3[TOSHIBA/HIGHEST])</f>
        <v>Toshiba SRP</v>
      </c>
      <c r="W5335" s="86" t="str">
        <f>_xlfn.CONCAT(表格1[[#This Row],[欄4]],表格1[[#This Row],[inv no]])</f>
        <v>5259</v>
      </c>
    </row>
    <row r="5336" spans="1:23" hidden="1">
      <c r="A5336" s="81">
        <v>5334</v>
      </c>
      <c r="B5336" s="86" t="s">
        <v>1470</v>
      </c>
      <c r="C5336" s="86" t="s">
        <v>2028</v>
      </c>
      <c r="D5336" s="89" t="str">
        <f ca="1">OFFSET(Roster!$A$3,MATCH(表格1[[#This Row],[Location]]&amp;" "&amp;表格1[[#This Row],[Shop]]&amp;"*",Roster!$A$4:$A$72,0),DAY(表格1[[#This Row],[date]]),1,1)</f>
        <v>Hung</v>
      </c>
      <c r="E5336" s="86">
        <f>MONTH(表格1[[#This Row],[date]])</f>
        <v>3</v>
      </c>
      <c r="F5336" s="90">
        <v>46103</v>
      </c>
      <c r="G5336" s="86" t="str">
        <f>VLOOKUP("*"&amp;表格1[[#This Row],[Input]]&amp;"*",'Ref-List'!$B:$D,2,)</f>
        <v>GR-RT300WE-PMA(57)</v>
      </c>
      <c r="H5336" s="86" t="str">
        <f>_xlfn.XLOOKUP(表格1[[#This Row],[Model]],表格3[Model-Input-Ref2],表格3[Product Line])</f>
        <v>變頻式環保雙門雪櫃(233L)</v>
      </c>
      <c r="I5336" s="86" t="str">
        <f>_xlfn.XLOOKUP(表格1[[#This Row],[Model]],表格3[Model-Input-Ref2],表格3[大小電])</f>
        <v>大電</v>
      </c>
      <c r="J5336" s="86" t="str">
        <f>_xlfn.XLOOKUP(表格1[[#This Row],[Model]],表格3[Model-Input-Ref2],表格3[Code])</f>
        <v>REF</v>
      </c>
      <c r="K5336" s="89" t="s">
        <v>1462</v>
      </c>
      <c r="L5336" s="86">
        <v>1</v>
      </c>
      <c r="M5336" s="87">
        <v>2680</v>
      </c>
      <c r="N5336" s="87">
        <f>IFERROR(表格1[[#This Row],[QTY]]*表格1[[#This Row],[Unit Price]],"-")</f>
        <v>2680</v>
      </c>
      <c r="O5336" s="86">
        <v>5261</v>
      </c>
      <c r="R5336" s="86" t="str">
        <f>_xlfn.CONCAT(表格1[[#This Row],[Model]]," ",表格1[[#This Row],[inv no]])</f>
        <v>GR-RT300WE-PMA(57) 5261</v>
      </c>
      <c r="S5336" s="86">
        <f>_xlfn.XLOOKUP(表格1[[#This Row],[Model]],表格3[Model-Input-Ref2],表格3[SRP PRICE])</f>
        <v>4280</v>
      </c>
      <c r="T5336" s="43">
        <f>表格1[[#This Row],[Unit Price]]/表格1[[#This Row],[SRP]]</f>
        <v>0.62616822429906538</v>
      </c>
      <c r="U5336" s="86" t="str">
        <f>_xlfn.XLOOKUP(表格1[[#This Row],[Model]],表格3[Model-Input-Ref2],表格3[TOSHIBA/HIGHEST])</f>
        <v>Toshiba SRP</v>
      </c>
      <c r="W5336" s="86" t="str">
        <f>_xlfn.CONCAT(表格1[[#This Row],[欄4]],表格1[[#This Row],[inv no]])</f>
        <v>5261</v>
      </c>
    </row>
    <row r="5337" spans="1:23" hidden="1">
      <c r="A5337" s="81">
        <v>5335</v>
      </c>
      <c r="B5337" s="86" t="s">
        <v>1470</v>
      </c>
      <c r="C5337" s="86" t="s">
        <v>2028</v>
      </c>
      <c r="D5337" s="89" t="str">
        <f ca="1">OFFSET(Roster!$A$3,MATCH(表格1[[#This Row],[Location]]&amp;" "&amp;表格1[[#This Row],[Shop]]&amp;"*",Roster!$A$4:$A$72,0),DAY(表格1[[#This Row],[date]]),1,1)</f>
        <v>Hung</v>
      </c>
      <c r="E5337" s="86">
        <f>MONTH(表格1[[#This Row],[date]])</f>
        <v>3</v>
      </c>
      <c r="F5337" s="90">
        <v>46103</v>
      </c>
      <c r="G5337" s="86" t="str">
        <f>VLOOKUP("*"&amp;表格1[[#This Row],[Input]]&amp;"*",'Ref-List'!$B:$D,2,)</f>
        <v>GR-RT300WE-PMA(57)</v>
      </c>
      <c r="H5337" s="86" t="str">
        <f>_xlfn.XLOOKUP(表格1[[#This Row],[Model]],表格3[Model-Input-Ref2],表格3[Product Line])</f>
        <v>變頻式環保雙門雪櫃(233L)</v>
      </c>
      <c r="I5337" s="86" t="str">
        <f>_xlfn.XLOOKUP(表格1[[#This Row],[Model]],表格3[Model-Input-Ref2],表格3[大小電])</f>
        <v>大電</v>
      </c>
      <c r="J5337" s="86" t="str">
        <f>_xlfn.XLOOKUP(表格1[[#This Row],[Model]],表格3[Model-Input-Ref2],表格3[Code])</f>
        <v>REF</v>
      </c>
      <c r="K5337" s="89" t="s">
        <v>1462</v>
      </c>
      <c r="L5337" s="86">
        <v>1</v>
      </c>
      <c r="M5337" s="87">
        <v>2680</v>
      </c>
      <c r="N5337" s="87">
        <f>IFERROR(表格1[[#This Row],[QTY]]*表格1[[#This Row],[Unit Price]],"-")</f>
        <v>2680</v>
      </c>
      <c r="O5337" s="86">
        <v>5267</v>
      </c>
      <c r="R5337" s="86" t="str">
        <f>_xlfn.CONCAT(表格1[[#This Row],[Model]]," ",表格1[[#This Row],[inv no]])</f>
        <v>GR-RT300WE-PMA(57) 5267</v>
      </c>
      <c r="S5337" s="86">
        <f>_xlfn.XLOOKUP(表格1[[#This Row],[Model]],表格3[Model-Input-Ref2],表格3[SRP PRICE])</f>
        <v>4280</v>
      </c>
      <c r="T5337" s="43">
        <f>表格1[[#This Row],[Unit Price]]/表格1[[#This Row],[SRP]]</f>
        <v>0.62616822429906538</v>
      </c>
      <c r="U5337" s="86" t="str">
        <f>_xlfn.XLOOKUP(表格1[[#This Row],[Model]],表格3[Model-Input-Ref2],表格3[TOSHIBA/HIGHEST])</f>
        <v>Toshiba SRP</v>
      </c>
      <c r="W5337" s="86" t="str">
        <f>_xlfn.CONCAT(表格1[[#This Row],[欄4]],表格1[[#This Row],[inv no]])</f>
        <v>5267</v>
      </c>
    </row>
    <row r="5338" spans="1:23" hidden="1">
      <c r="A5338" s="81">
        <v>5336</v>
      </c>
      <c r="B5338" s="86" t="s">
        <v>1470</v>
      </c>
      <c r="C5338" s="86" t="s">
        <v>2028</v>
      </c>
      <c r="D5338" s="89" t="str">
        <f ca="1">OFFSET(Roster!$A$3,MATCH(表格1[[#This Row],[Location]]&amp;" "&amp;表格1[[#This Row],[Shop]]&amp;"*",Roster!$A$4:$A$72,0),DAY(表格1[[#This Row],[date]]),1,1)</f>
        <v>Hung</v>
      </c>
      <c r="E5338" s="86">
        <f>MONTH(表格1[[#This Row],[date]])</f>
        <v>3</v>
      </c>
      <c r="F5338" s="90">
        <v>46103</v>
      </c>
      <c r="G5338" s="86" t="str">
        <f>VLOOKUP("*"&amp;表格1[[#This Row],[Input]]&amp;"*",'Ref-List'!$B:$D,2,)</f>
        <v>RC-10NMFIH(WT)</v>
      </c>
      <c r="H5338" s="86" t="str">
        <f>_xlfn.XLOOKUP(表格1[[#This Row],[Model]],表格3[Model-Input-Ref2],表格3[Product Line])</f>
        <v>4毫米厚釜電飯煲1L</v>
      </c>
      <c r="I5338" s="86" t="str">
        <f>_xlfn.XLOOKUP(表格1[[#This Row],[Model]],表格3[Model-Input-Ref2],表格3[大小電])</f>
        <v>細電</v>
      </c>
      <c r="J5338" s="86" t="str">
        <f>_xlfn.XLOOKUP(表格1[[#This Row],[Model]],表格3[Model-Input-Ref2],表格3[Code])</f>
        <v>SDA</v>
      </c>
      <c r="K5338" s="89" t="s">
        <v>1244</v>
      </c>
      <c r="L5338" s="86">
        <v>1</v>
      </c>
      <c r="M5338" s="87">
        <v>738</v>
      </c>
      <c r="N5338" s="87">
        <f>IFERROR(表格1[[#This Row],[QTY]]*表格1[[#This Row],[Unit Price]],"-")</f>
        <v>738</v>
      </c>
      <c r="O5338" s="86">
        <v>5278</v>
      </c>
      <c r="R5338" s="86" t="str">
        <f>_xlfn.CONCAT(表格1[[#This Row],[Model]]," ",表格1[[#This Row],[inv no]])</f>
        <v>RC-10NMFIH(WT) 5278</v>
      </c>
      <c r="S5338" s="86">
        <f>_xlfn.XLOOKUP(表格1[[#This Row],[Model]],表格3[Model-Input-Ref2],表格3[SRP PRICE])</f>
        <v>898</v>
      </c>
      <c r="T5338" s="43">
        <f>表格1[[#This Row],[Unit Price]]/表格1[[#This Row],[SRP]]</f>
        <v>0.82182628062360796</v>
      </c>
      <c r="U5338" s="86" t="str">
        <f>_xlfn.XLOOKUP(表格1[[#This Row],[Model]],表格3[Model-Input-Ref2],表格3[TOSHIBA/HIGHEST])</f>
        <v>Toshiba SRP</v>
      </c>
      <c r="W5338" s="86" t="str">
        <f>_xlfn.CONCAT(表格1[[#This Row],[欄4]],表格1[[#This Row],[inv no]])</f>
        <v>5278</v>
      </c>
    </row>
    <row r="5339" spans="1:23" hidden="1">
      <c r="A5339" s="81">
        <v>5337</v>
      </c>
      <c r="B5339" s="86" t="s">
        <v>1470</v>
      </c>
      <c r="C5339" s="86" t="s">
        <v>2028</v>
      </c>
      <c r="D5339" s="89" t="str">
        <f ca="1">OFFSET(Roster!$A$3,MATCH(表格1[[#This Row],[Location]]&amp;" "&amp;表格1[[#This Row],[Shop]]&amp;"*",Roster!$A$4:$A$72,0),DAY(表格1[[#This Row],[date]]),1,1)</f>
        <v>Hung</v>
      </c>
      <c r="E5339" s="86">
        <f>MONTH(表格1[[#This Row],[date]])</f>
        <v>3</v>
      </c>
      <c r="F5339" s="90">
        <v>46103</v>
      </c>
      <c r="G5339" s="86" t="str">
        <f>VLOOKUP("*"&amp;表格1[[#This Row],[Input]]&amp;"*",'Ref-List'!$B:$D,2,)</f>
        <v>KT-15DRTHK(W)</v>
      </c>
      <c r="H5339" s="86" t="str">
        <f>_xlfn.XLOOKUP(表格1[[#This Row],[Model]],表格3[Model-Input-Ref2],表格3[Product Line])</f>
        <v>無線雙層電熱水壺-附可鎖壺蓋</v>
      </c>
      <c r="I5339" s="86" t="str">
        <f>_xlfn.XLOOKUP(表格1[[#This Row],[Model]],表格3[Model-Input-Ref2],表格3[大小電])</f>
        <v>細電</v>
      </c>
      <c r="J5339" s="86" t="str">
        <f>_xlfn.XLOOKUP(表格1[[#This Row],[Model]],表格3[Model-Input-Ref2],表格3[Code])</f>
        <v>SDA</v>
      </c>
      <c r="K5339" s="89" t="s">
        <v>1278</v>
      </c>
      <c r="L5339" s="86">
        <v>1</v>
      </c>
      <c r="M5339" s="87">
        <v>308</v>
      </c>
      <c r="N5339" s="87">
        <f>IFERROR(表格1[[#This Row],[QTY]]*表格1[[#This Row],[Unit Price]],"-")</f>
        <v>308</v>
      </c>
      <c r="O5339" s="86">
        <v>5293</v>
      </c>
      <c r="R5339" s="86" t="str">
        <f>_xlfn.CONCAT(表格1[[#This Row],[Model]]," ",表格1[[#This Row],[inv no]])</f>
        <v>KT-15DRTHK(W) 5293</v>
      </c>
      <c r="S5339" s="86">
        <f>_xlfn.XLOOKUP(表格1[[#This Row],[Model]],表格3[Model-Input-Ref2],表格3[SRP PRICE])</f>
        <v>598</v>
      </c>
      <c r="T5339" s="43">
        <f>表格1[[#This Row],[Unit Price]]/表格1[[#This Row],[SRP]]</f>
        <v>0.51505016722408026</v>
      </c>
      <c r="U5339" s="86" t="str">
        <f>_xlfn.XLOOKUP(表格1[[#This Row],[Model]],表格3[Model-Input-Ref2],表格3[TOSHIBA/HIGHEST])</f>
        <v>Toshiba SRP</v>
      </c>
      <c r="W5339" s="86" t="str">
        <f>_xlfn.CONCAT(表格1[[#This Row],[欄4]],表格1[[#This Row],[inv no]])</f>
        <v>5293</v>
      </c>
    </row>
    <row r="5340" spans="1:23" hidden="1">
      <c r="A5340" s="81">
        <v>5338</v>
      </c>
      <c r="B5340" s="86" t="s">
        <v>1470</v>
      </c>
      <c r="C5340" s="86" t="s">
        <v>2028</v>
      </c>
      <c r="D5340" s="89" t="str">
        <f ca="1">OFFSET(Roster!$A$3,MATCH(表格1[[#This Row],[Location]]&amp;" "&amp;表格1[[#This Row],[Shop]]&amp;"*",Roster!$A$4:$A$72,0),DAY(表格1[[#This Row],[date]]),1,1)</f>
        <v>Hung</v>
      </c>
      <c r="E5340" s="86">
        <f>MONTH(表格1[[#This Row],[date]])</f>
        <v>3</v>
      </c>
      <c r="F5340" s="90">
        <v>46103</v>
      </c>
      <c r="G5340" s="86" t="str">
        <f>VLOOKUP("*"&amp;表格1[[#This Row],[Input]]&amp;"*",'Ref-List'!$B:$D,2,)</f>
        <v>RAD-D300H</v>
      </c>
      <c r="H5340" s="86" t="str">
        <f>_xlfn.XLOOKUP(表格1[[#This Row],[Model]],表格3[Model-Input-Ref2],表格3[Product Line])</f>
        <v>壓縮式抽濕機 (30公升)</v>
      </c>
      <c r="I5340" s="86" t="str">
        <f>_xlfn.XLOOKUP(表格1[[#This Row],[Model]],表格3[Model-Input-Ref2],表格3[大小電])</f>
        <v>細電</v>
      </c>
      <c r="J5340" s="86" t="str">
        <f>_xlfn.XLOOKUP(表格1[[#This Row],[Model]],表格3[Model-Input-Ref2],表格3[Code])</f>
        <v>RAC</v>
      </c>
      <c r="K5340" s="89" t="s">
        <v>1252</v>
      </c>
      <c r="L5340" s="86">
        <v>1</v>
      </c>
      <c r="M5340" s="87">
        <v>2088</v>
      </c>
      <c r="N5340" s="87">
        <f>IFERROR(表格1[[#This Row],[QTY]]*表格1[[#This Row],[Unit Price]],"-")</f>
        <v>2088</v>
      </c>
      <c r="O5340" s="86">
        <v>5307</v>
      </c>
      <c r="R5340" s="86" t="str">
        <f>_xlfn.CONCAT(表格1[[#This Row],[Model]]," ",表格1[[#This Row],[inv no]])</f>
        <v>RAD-D300H 5307</v>
      </c>
      <c r="S5340" s="86">
        <f>_xlfn.XLOOKUP(表格1[[#This Row],[Model]],表格3[Model-Input-Ref2],表格3[SRP PRICE])</f>
        <v>3380</v>
      </c>
      <c r="T5340" s="43">
        <f>表格1[[#This Row],[Unit Price]]/表格1[[#This Row],[SRP]]</f>
        <v>0.61775147928994079</v>
      </c>
      <c r="U5340" s="86" t="str">
        <f>_xlfn.XLOOKUP(表格1[[#This Row],[Model]],表格3[Model-Input-Ref2],表格3[TOSHIBA/HIGHEST])</f>
        <v>Shops Highest Price</v>
      </c>
      <c r="W5340" s="86" t="str">
        <f>_xlfn.CONCAT(表格1[[#This Row],[欄4]],表格1[[#This Row],[inv no]])</f>
        <v>5307</v>
      </c>
    </row>
    <row r="5341" spans="1:23" hidden="1">
      <c r="A5341" s="81">
        <v>5339</v>
      </c>
      <c r="B5341" s="86" t="s">
        <v>1470</v>
      </c>
      <c r="C5341" s="86" t="s">
        <v>2028</v>
      </c>
      <c r="D5341" s="89" t="str">
        <f ca="1">OFFSET(Roster!$A$3,MATCH(表格1[[#This Row],[Location]]&amp;" "&amp;表格1[[#This Row],[Shop]]&amp;"*",Roster!$A$4:$A$72,0),DAY(表格1[[#This Row],[date]]),1,1)</f>
        <v>Hung</v>
      </c>
      <c r="E5341" s="86">
        <f>MONTH(表格1[[#This Row],[date]])</f>
        <v>3</v>
      </c>
      <c r="F5341" s="90">
        <v>46103</v>
      </c>
      <c r="G5341" s="86" t="str">
        <f>VLOOKUP("*"&amp;表格1[[#This Row],[Input]]&amp;"*",'Ref-List'!$B:$D,2,)</f>
        <v>KT-14DHUHK(W)</v>
      </c>
      <c r="H5341" s="86" t="str">
        <f>_xlfn.XLOOKUP(表格1[[#This Row],[Model]],表格3[Model-Input-Ref2],表格3[Product Line])</f>
        <v>無線雙層電熱水壺(1.4公升)</v>
      </c>
      <c r="I5341" s="86" t="str">
        <f>_xlfn.XLOOKUP(表格1[[#This Row],[Model]],表格3[Model-Input-Ref2],表格3[大小電])</f>
        <v>細電</v>
      </c>
      <c r="J5341" s="86" t="str">
        <f>_xlfn.XLOOKUP(表格1[[#This Row],[Model]],表格3[Model-Input-Ref2],表格3[Code])</f>
        <v>SDA</v>
      </c>
      <c r="K5341" s="89" t="s">
        <v>1425</v>
      </c>
      <c r="L5341" s="86">
        <v>1</v>
      </c>
      <c r="M5341" s="87">
        <v>298</v>
      </c>
      <c r="N5341" s="87">
        <f>IFERROR(表格1[[#This Row],[QTY]]*表格1[[#This Row],[Unit Price]],"-")</f>
        <v>298</v>
      </c>
      <c r="O5341" s="86">
        <v>5311</v>
      </c>
      <c r="R5341" s="86" t="str">
        <f>_xlfn.CONCAT(表格1[[#This Row],[Model]]," ",表格1[[#This Row],[inv no]])</f>
        <v>KT-14DHUHK(W) 5311</v>
      </c>
      <c r="S5341" s="86">
        <f>_xlfn.XLOOKUP(表格1[[#This Row],[Model]],表格3[Model-Input-Ref2],表格3[SRP PRICE])</f>
        <v>458</v>
      </c>
      <c r="T5341" s="43">
        <f>表格1[[#This Row],[Unit Price]]/表格1[[#This Row],[SRP]]</f>
        <v>0.6506550218340611</v>
      </c>
      <c r="U5341" s="86" t="str">
        <f>_xlfn.XLOOKUP(表格1[[#This Row],[Model]],表格3[Model-Input-Ref2],表格3[TOSHIBA/HIGHEST])</f>
        <v>Toshiba SRP</v>
      </c>
      <c r="W5341" s="86" t="str">
        <f>_xlfn.CONCAT(表格1[[#This Row],[欄4]],表格1[[#This Row],[inv no]])</f>
        <v>5311</v>
      </c>
    </row>
    <row r="5342" spans="1:23" hidden="1">
      <c r="A5342" s="81">
        <v>5340</v>
      </c>
      <c r="B5342" s="86" t="s">
        <v>1470</v>
      </c>
      <c r="C5342" s="86" t="s">
        <v>2028</v>
      </c>
      <c r="D5342" s="89" t="str">
        <f ca="1">OFFSET(Roster!$A$3,MATCH(表格1[[#This Row],[Location]]&amp;" "&amp;表格1[[#This Row],[Shop]]&amp;"*",Roster!$A$4:$A$72,0),DAY(表格1[[#This Row],[date]]),1,1)</f>
        <v>Hung</v>
      </c>
      <c r="E5342" s="86">
        <f>MONTH(表格1[[#This Row],[date]])</f>
        <v>3</v>
      </c>
      <c r="F5342" s="90">
        <v>46103</v>
      </c>
      <c r="G5342" s="86" t="str">
        <f>VLOOKUP("*"&amp;表格1[[#This Row],[Input]]&amp;"*",'Ref-List'!$B:$D,2,)</f>
        <v>RC-10ISSHK(W)</v>
      </c>
      <c r="H5342" s="86" t="str">
        <f>_xlfn.XLOOKUP(表格1[[#This Row],[Model]],表格3[Model-Input-Ref2],表格3[Product Line])</f>
        <v>磁應電飯煲(1公升)</v>
      </c>
      <c r="I5342" s="86" t="str">
        <f>_xlfn.XLOOKUP(表格1[[#This Row],[Model]],表格3[Model-Input-Ref2],表格3[大小電])</f>
        <v>細電</v>
      </c>
      <c r="J5342" s="86" t="str">
        <f>_xlfn.XLOOKUP(表格1[[#This Row],[Model]],表格3[Model-Input-Ref2],表格3[Code])</f>
        <v>SDA</v>
      </c>
      <c r="K5342" s="89" t="s">
        <v>1286</v>
      </c>
      <c r="L5342" s="86">
        <v>1</v>
      </c>
      <c r="M5342" s="87">
        <v>980</v>
      </c>
      <c r="N5342" s="87">
        <f>IFERROR(表格1[[#This Row],[QTY]]*表格1[[#This Row],[Unit Price]],"-")</f>
        <v>980</v>
      </c>
      <c r="O5342" s="86">
        <v>5324</v>
      </c>
      <c r="R5342" s="86" t="str">
        <f>_xlfn.CONCAT(表格1[[#This Row],[Model]]," ",表格1[[#This Row],[inv no]])</f>
        <v>RC-10ISSHK(W) 5324</v>
      </c>
      <c r="S5342" s="86">
        <f>_xlfn.XLOOKUP(表格1[[#This Row],[Model]],表格3[Model-Input-Ref2],表格3[SRP PRICE])</f>
        <v>1188</v>
      </c>
      <c r="T5342" s="43">
        <f>表格1[[#This Row],[Unit Price]]/表格1[[#This Row],[SRP]]</f>
        <v>0.82491582491582494</v>
      </c>
      <c r="U5342" s="86" t="str">
        <f>_xlfn.XLOOKUP(表格1[[#This Row],[Model]],表格3[Model-Input-Ref2],表格3[TOSHIBA/HIGHEST])</f>
        <v>Shops Highest Price</v>
      </c>
      <c r="W5342" s="86" t="str">
        <f>_xlfn.CONCAT(表格1[[#This Row],[欄4]],表格1[[#This Row],[inv no]])</f>
        <v>5324</v>
      </c>
    </row>
    <row r="5343" spans="1:23" hidden="1">
      <c r="A5343" s="81">
        <v>5341</v>
      </c>
      <c r="B5343" s="86" t="s">
        <v>1470</v>
      </c>
      <c r="C5343" s="86" t="s">
        <v>2028</v>
      </c>
      <c r="D5343" s="89" t="str">
        <f ca="1">OFFSET(Roster!$A$3,MATCH(表格1[[#This Row],[Location]]&amp;" "&amp;表格1[[#This Row],[Shop]]&amp;"*",Roster!$A$4:$A$72,0),DAY(表格1[[#This Row],[date]]),1,1)</f>
        <v>Hung</v>
      </c>
      <c r="E5343" s="86">
        <f>MONTH(表格1[[#This Row],[date]])</f>
        <v>3</v>
      </c>
      <c r="F5343" s="90">
        <v>46103</v>
      </c>
      <c r="G5343" s="86" t="str">
        <f>VLOOKUP("*"&amp;表格1[[#This Row],[Input]]&amp;"*",'Ref-List'!$B:$D,2,)</f>
        <v>KT-17DRTHK(H)</v>
      </c>
      <c r="H5343" s="86" t="str">
        <f>_xlfn.XLOOKUP(表格1[[#This Row],[Model]],表格3[Model-Input-Ref2],表格3[Product Line])</f>
        <v>無線雙層電熱水壺(1.7公升)</v>
      </c>
      <c r="I5343" s="86" t="str">
        <f>_xlfn.XLOOKUP(表格1[[#This Row],[Model]],表格3[Model-Input-Ref2],表格3[大小電])</f>
        <v>細電</v>
      </c>
      <c r="J5343" s="86" t="str">
        <f>_xlfn.XLOOKUP(表格1[[#This Row],[Model]],表格3[Model-Input-Ref2],表格3[Code])</f>
        <v>SDA</v>
      </c>
      <c r="K5343" s="89" t="s">
        <v>1271</v>
      </c>
      <c r="L5343" s="86">
        <v>1</v>
      </c>
      <c r="M5343" s="87">
        <v>388</v>
      </c>
      <c r="N5343" s="87">
        <f>IFERROR(表格1[[#This Row],[QTY]]*表格1[[#This Row],[Unit Price]],"-")</f>
        <v>388</v>
      </c>
      <c r="O5343" s="86">
        <v>5338</v>
      </c>
      <c r="R5343" s="86" t="str">
        <f>_xlfn.CONCAT(表格1[[#This Row],[Model]]," ",表格1[[#This Row],[inv no]])</f>
        <v>KT-17DRTHK(H) 5338</v>
      </c>
      <c r="S5343" s="86">
        <f>_xlfn.XLOOKUP(表格1[[#This Row],[Model]],表格3[Model-Input-Ref2],表格3[SRP PRICE])</f>
        <v>498</v>
      </c>
      <c r="T5343" s="43">
        <f>表格1[[#This Row],[Unit Price]]/表格1[[#This Row],[SRP]]</f>
        <v>0.77911646586345384</v>
      </c>
      <c r="U5343" s="86" t="str">
        <f>_xlfn.XLOOKUP(表格1[[#This Row],[Model]],表格3[Model-Input-Ref2],表格3[TOSHIBA/HIGHEST])</f>
        <v>Toshiba SRP</v>
      </c>
      <c r="W5343" s="86" t="str">
        <f>_xlfn.CONCAT(表格1[[#This Row],[欄4]],表格1[[#This Row],[inv no]])</f>
        <v>5338</v>
      </c>
    </row>
    <row r="5344" spans="1:23" hidden="1">
      <c r="A5344" s="81">
        <v>5342</v>
      </c>
      <c r="B5344" s="86" t="s">
        <v>1470</v>
      </c>
      <c r="C5344" s="86" t="s">
        <v>2028</v>
      </c>
      <c r="D5344" s="89" t="str">
        <f ca="1">OFFSET(Roster!$A$3,MATCH(表格1[[#This Row],[Location]]&amp;" "&amp;表格1[[#This Row],[Shop]]&amp;"*",Roster!$A$4:$A$72,0),DAY(表格1[[#This Row],[date]]),1,1)</f>
        <v>Hung</v>
      </c>
      <c r="E5344" s="86">
        <f>MONTH(表格1[[#This Row],[date]])</f>
        <v>3</v>
      </c>
      <c r="F5344" s="90">
        <v>46103</v>
      </c>
      <c r="G5344" s="86" t="str">
        <f>VLOOKUP("*"&amp;表格1[[#This Row],[Input]]&amp;"*",'Ref-List'!$B:$D,2,)</f>
        <v>IC-S19RH</v>
      </c>
      <c r="H5344" s="86" t="str">
        <f>_xlfn.XLOOKUP(表格1[[#This Row],[Model]],表格3[Model-Input-Ref2],表格3[Product Line])</f>
        <v>輕便式電磁爐7個功能</v>
      </c>
      <c r="I5344" s="86" t="str">
        <f>_xlfn.XLOOKUP(表格1[[#This Row],[Model]],表格3[Model-Input-Ref2],表格3[大小電])</f>
        <v>細電</v>
      </c>
      <c r="J5344" s="86" t="str">
        <f>_xlfn.XLOOKUP(表格1[[#This Row],[Model]],表格3[Model-Input-Ref2],表格3[Code])</f>
        <v>SDA</v>
      </c>
      <c r="K5344" s="89" t="s">
        <v>1289</v>
      </c>
      <c r="L5344" s="86">
        <v>1</v>
      </c>
      <c r="M5344" s="87">
        <v>400</v>
      </c>
      <c r="N5344" s="87">
        <f>IFERROR(表格1[[#This Row],[QTY]]*表格1[[#This Row],[Unit Price]],"-")</f>
        <v>400</v>
      </c>
      <c r="O5344" s="86">
        <v>5341</v>
      </c>
      <c r="R5344" s="86" t="str">
        <f>_xlfn.CONCAT(表格1[[#This Row],[Model]]," ",表格1[[#This Row],[inv no]])</f>
        <v>IC-S19RH 5341</v>
      </c>
      <c r="S5344" s="86">
        <f>_xlfn.XLOOKUP(表格1[[#This Row],[Model]],表格3[Model-Input-Ref2],表格3[SRP PRICE])</f>
        <v>638</v>
      </c>
      <c r="T5344" s="43">
        <f>表格1[[#This Row],[Unit Price]]/表格1[[#This Row],[SRP]]</f>
        <v>0.62695924764890287</v>
      </c>
      <c r="U5344" s="86" t="str">
        <f>_xlfn.XLOOKUP(表格1[[#This Row],[Model]],表格3[Model-Input-Ref2],表格3[TOSHIBA/HIGHEST])</f>
        <v>Toshiba SRP</v>
      </c>
      <c r="W5344" s="86" t="str">
        <f>_xlfn.CONCAT(表格1[[#This Row],[欄4]],表格1[[#This Row],[inv no]])</f>
        <v>5341</v>
      </c>
    </row>
    <row r="5345" spans="1:23" hidden="1">
      <c r="A5345" s="81">
        <v>5343</v>
      </c>
      <c r="B5345" s="86" t="s">
        <v>1470</v>
      </c>
      <c r="C5345" s="86" t="s">
        <v>2028</v>
      </c>
      <c r="D5345" s="89" t="str">
        <f ca="1">OFFSET(Roster!$A$3,MATCH(表格1[[#This Row],[Location]]&amp;" "&amp;表格1[[#This Row],[Shop]]&amp;"*",Roster!$A$4:$A$72,0),DAY(表格1[[#This Row],[date]]),1,1)</f>
        <v>Hung</v>
      </c>
      <c r="E5345" s="86">
        <f>MONTH(表格1[[#This Row],[date]])</f>
        <v>3</v>
      </c>
      <c r="F5345" s="90">
        <v>46104</v>
      </c>
      <c r="G5345" s="86" t="str">
        <f>VLOOKUP("*"&amp;表格1[[#This Row],[Input]]&amp;"*",'Ref-List'!$B:$D,2,)</f>
        <v>RC-18NMFIH(WT)</v>
      </c>
      <c r="H5345" s="86" t="str">
        <f>_xlfn.XLOOKUP(表格1[[#This Row],[Model]],表格3[Model-Input-Ref2],表格3[Product Line])</f>
        <v>4毫米厚釜電飯煲1.8L</v>
      </c>
      <c r="I5345" s="86" t="str">
        <f>_xlfn.XLOOKUP(表格1[[#This Row],[Model]],表格3[Model-Input-Ref2],表格3[大小電])</f>
        <v>細電</v>
      </c>
      <c r="J5345" s="86" t="str">
        <f>_xlfn.XLOOKUP(表格1[[#This Row],[Model]],表格3[Model-Input-Ref2],表格3[Code])</f>
        <v>SDA</v>
      </c>
      <c r="K5345" s="89" t="s">
        <v>1267</v>
      </c>
      <c r="L5345" s="86">
        <v>1</v>
      </c>
      <c r="M5345" s="87">
        <v>828</v>
      </c>
      <c r="N5345" s="87">
        <f>IFERROR(表格1[[#This Row],[QTY]]*表格1[[#This Row],[Unit Price]],"-")</f>
        <v>828</v>
      </c>
      <c r="O5345" s="86">
        <v>5365</v>
      </c>
      <c r="R5345" s="86" t="str">
        <f>_xlfn.CONCAT(表格1[[#This Row],[Model]]," ",表格1[[#This Row],[inv no]])</f>
        <v>RC-18NMFIH(WT) 5365</v>
      </c>
      <c r="S5345" s="86">
        <f>_xlfn.XLOOKUP(表格1[[#This Row],[Model]],表格3[Model-Input-Ref2],表格3[SRP PRICE])</f>
        <v>998</v>
      </c>
      <c r="T5345" s="43">
        <f>表格1[[#This Row],[Unit Price]]/表格1[[#This Row],[SRP]]</f>
        <v>0.8296593186372746</v>
      </c>
      <c r="U5345" s="86" t="str">
        <f>_xlfn.XLOOKUP(表格1[[#This Row],[Model]],表格3[Model-Input-Ref2],表格3[TOSHIBA/HIGHEST])</f>
        <v>Toshiba SRP</v>
      </c>
      <c r="W5345" s="86" t="str">
        <f>_xlfn.CONCAT(表格1[[#This Row],[欄4]],表格1[[#This Row],[inv no]])</f>
        <v>5365</v>
      </c>
    </row>
    <row r="5346" spans="1:23" hidden="1">
      <c r="A5346" s="81">
        <v>5344</v>
      </c>
      <c r="B5346" s="86" t="s">
        <v>1470</v>
      </c>
      <c r="C5346" s="86" t="s">
        <v>2028</v>
      </c>
      <c r="D5346" s="89" t="str">
        <f ca="1">OFFSET(Roster!$A$3,MATCH(表格1[[#This Row],[Location]]&amp;" "&amp;表格1[[#This Row],[Shop]]&amp;"*",Roster!$A$4:$A$72,0),DAY(表格1[[#This Row],[date]]),1,1)</f>
        <v>Hung</v>
      </c>
      <c r="E5346" s="86">
        <f>MONTH(表格1[[#This Row],[date]])</f>
        <v>3</v>
      </c>
      <c r="F5346" s="90">
        <v>46104</v>
      </c>
      <c r="G5346" s="86" t="str">
        <f>VLOOKUP("*"&amp;表格1[[#This Row],[Input]]&amp;"*",'Ref-List'!$B:$D,2,)</f>
        <v>GR-RM612WE-PGA(B5)</v>
      </c>
      <c r="H5346" s="86" t="str">
        <f>_xlfn.XLOOKUP(表格1[[#This Row],[Model]],表格3[Model-Input-Ref2],表格3[Product Line])</f>
        <v>變頻五門雪櫃(375L)</v>
      </c>
      <c r="I5346" s="86" t="str">
        <f>_xlfn.XLOOKUP(表格1[[#This Row],[Model]],表格3[Model-Input-Ref2],表格3[大小電])</f>
        <v>大電</v>
      </c>
      <c r="J5346" s="86" t="str">
        <f>_xlfn.XLOOKUP(表格1[[#This Row],[Model]],表格3[Model-Input-Ref2],表格3[Code])</f>
        <v>REF</v>
      </c>
      <c r="K5346" s="89" t="s">
        <v>1257</v>
      </c>
      <c r="L5346" s="86">
        <v>1</v>
      </c>
      <c r="M5346" s="87">
        <v>8999</v>
      </c>
      <c r="N5346" s="87">
        <f>IFERROR(表格1[[#This Row],[QTY]]*表格1[[#This Row],[Unit Price]],"-")</f>
        <v>8999</v>
      </c>
      <c r="O5346" s="86">
        <v>5403</v>
      </c>
      <c r="R5346" s="86" t="str">
        <f>_xlfn.CONCAT(表格1[[#This Row],[Model]]," ",表格1[[#This Row],[inv no]])</f>
        <v>GR-RM612WE-PGA(B5) 5403</v>
      </c>
      <c r="S5346" s="86">
        <f>_xlfn.XLOOKUP(表格1[[#This Row],[Model]],表格3[Model-Input-Ref2],表格3[SRP PRICE])</f>
        <v>11000</v>
      </c>
      <c r="T5346" s="43">
        <f>表格1[[#This Row],[Unit Price]]/表格1[[#This Row],[SRP]]</f>
        <v>0.81809090909090909</v>
      </c>
      <c r="U5346" s="86" t="str">
        <f>_xlfn.XLOOKUP(表格1[[#This Row],[Model]],表格3[Model-Input-Ref2],表格3[TOSHIBA/HIGHEST])</f>
        <v>Shops Highest Price</v>
      </c>
      <c r="W5346" s="86" t="str">
        <f>_xlfn.CONCAT(表格1[[#This Row],[欄4]],表格1[[#This Row],[inv no]])</f>
        <v>5403</v>
      </c>
    </row>
    <row r="5347" spans="1:23" hidden="1">
      <c r="A5347" s="81">
        <v>5345</v>
      </c>
      <c r="B5347" s="86" t="s">
        <v>1470</v>
      </c>
      <c r="C5347" s="86" t="s">
        <v>2028</v>
      </c>
      <c r="D5347" s="89" t="str">
        <f ca="1">OFFSET(Roster!$A$3,MATCH(表格1[[#This Row],[Location]]&amp;" "&amp;表格1[[#This Row],[Shop]]&amp;"*",Roster!$A$4:$A$72,0),DAY(表格1[[#This Row],[date]]),1,1)</f>
        <v>Hung</v>
      </c>
      <c r="E5347" s="86">
        <f>MONTH(表格1[[#This Row],[date]])</f>
        <v>3</v>
      </c>
      <c r="F5347" s="90">
        <v>46104</v>
      </c>
      <c r="G5347" s="86" t="str">
        <f>VLOOKUP("*"&amp;表格1[[#This Row],[Input]]&amp;"*",'Ref-List'!$B:$D,2,)</f>
        <v>TWD-T22BU95UWH(WK)-B</v>
      </c>
      <c r="H5347" s="86" t="str">
        <f>_xlfn.XLOOKUP(表格1[[#This Row],[Model]],表格3[Model-Input-Ref2],表格3[Product Line])</f>
        <v>470MM超薄身前置式變頻洗衣乾衣機 (洗8.5公斤/乾6公斤, 可飛頂)</v>
      </c>
      <c r="I5347" s="86" t="str">
        <f>_xlfn.XLOOKUP(表格1[[#This Row],[Model]],表格3[Model-Input-Ref2],表格3[大小電])</f>
        <v>大電</v>
      </c>
      <c r="J5347" s="86" t="str">
        <f>_xlfn.XLOOKUP(表格1[[#This Row],[Model]],表格3[Model-Input-Ref2],表格3[Code])</f>
        <v>LAD</v>
      </c>
      <c r="K5347" s="89" t="s">
        <v>1421</v>
      </c>
      <c r="L5347" s="86">
        <v>1</v>
      </c>
      <c r="M5347" s="87">
        <v>4580</v>
      </c>
      <c r="N5347" s="87">
        <f>IFERROR(表格1[[#This Row],[QTY]]*表格1[[#This Row],[Unit Price]],"-")</f>
        <v>4580</v>
      </c>
      <c r="O5347" s="86">
        <v>5404</v>
      </c>
      <c r="R5347" s="86" t="str">
        <f>_xlfn.CONCAT(表格1[[#This Row],[Model]]," ",表格1[[#This Row],[inv no]])</f>
        <v>TWD-T22BU95UWH(WK)-B 5404</v>
      </c>
      <c r="S5347" s="86">
        <f>_xlfn.XLOOKUP(表格1[[#This Row],[Model]],表格3[Model-Input-Ref2],表格3[SRP PRICE])</f>
        <v>7480</v>
      </c>
      <c r="T5347" s="43">
        <f>表格1[[#This Row],[Unit Price]]/表格1[[#This Row],[SRP]]</f>
        <v>0.61229946524064172</v>
      </c>
      <c r="U5347" s="86" t="str">
        <f>_xlfn.XLOOKUP(表格1[[#This Row],[Model]],表格3[Model-Input-Ref2],表格3[TOSHIBA/HIGHEST])</f>
        <v>Toshiba SRP</v>
      </c>
      <c r="W5347" s="86" t="str">
        <f>_xlfn.CONCAT(表格1[[#This Row],[欄4]],表格1[[#This Row],[inv no]])</f>
        <v>5404</v>
      </c>
    </row>
    <row r="5348" spans="1:23" hidden="1">
      <c r="A5348" s="81">
        <v>5346</v>
      </c>
      <c r="B5348" s="86" t="s">
        <v>1470</v>
      </c>
      <c r="C5348" s="86" t="s">
        <v>2028</v>
      </c>
      <c r="D5348" s="89" t="str">
        <f ca="1">OFFSET(Roster!$A$3,MATCH(表格1[[#This Row],[Location]]&amp;" "&amp;表格1[[#This Row],[Shop]]&amp;"*",Roster!$A$4:$A$72,0),DAY(表格1[[#This Row],[date]]),1,1)</f>
        <v>Hung</v>
      </c>
      <c r="E5348" s="86">
        <f>MONTH(表格1[[#This Row],[date]])</f>
        <v>3</v>
      </c>
      <c r="F5348" s="90">
        <v>46105</v>
      </c>
      <c r="G5348" s="86" t="str">
        <f>VLOOKUP("*"&amp;表格1[[#This Row],[Input]]&amp;"*",'Ref-List'!$B:$D,2,)</f>
        <v>GR-RB360WE-PMA(06)</v>
      </c>
      <c r="H5348" s="86" t="str">
        <f>_xlfn.XLOOKUP(表格1[[#This Row],[Model]],表格3[Model-Input-Ref2],表格3[Product Line])</f>
        <v>變頻下置式雙門雪櫃系列270L</v>
      </c>
      <c r="I5348" s="86" t="str">
        <f>_xlfn.XLOOKUP(表格1[[#This Row],[Model]],表格3[Model-Input-Ref2],表格3[大小電])</f>
        <v>大電</v>
      </c>
      <c r="J5348" s="86" t="str">
        <f>_xlfn.XLOOKUP(表格1[[#This Row],[Model]],表格3[Model-Input-Ref2],表格3[Code])</f>
        <v>REF</v>
      </c>
      <c r="K5348" s="89" t="s">
        <v>1282</v>
      </c>
      <c r="L5348" s="86">
        <v>1</v>
      </c>
      <c r="M5348" s="87">
        <v>3480</v>
      </c>
      <c r="N5348" s="87">
        <f>IFERROR(表格1[[#This Row],[QTY]]*表格1[[#This Row],[Unit Price]],"-")</f>
        <v>3480</v>
      </c>
      <c r="O5348" s="86">
        <v>5442</v>
      </c>
      <c r="R5348" s="86" t="str">
        <f>_xlfn.CONCAT(表格1[[#This Row],[Model]]," ",表格1[[#This Row],[inv no]])</f>
        <v>GR-RB360WE-PMA(06) 5442</v>
      </c>
      <c r="S5348" s="86">
        <f>_xlfn.XLOOKUP(表格1[[#This Row],[Model]],表格3[Model-Input-Ref2],表格3[SRP PRICE])</f>
        <v>5080</v>
      </c>
      <c r="T5348" s="43">
        <f>表格1[[#This Row],[Unit Price]]/表格1[[#This Row],[SRP]]</f>
        <v>0.68503937007874016</v>
      </c>
      <c r="U5348" s="86" t="str">
        <f>_xlfn.XLOOKUP(表格1[[#This Row],[Model]],表格3[Model-Input-Ref2],表格3[TOSHIBA/HIGHEST])</f>
        <v>Toshiba SRP</v>
      </c>
      <c r="W5348" s="86" t="str">
        <f>_xlfn.CONCAT(表格1[[#This Row],[欄4]],表格1[[#This Row],[inv no]])</f>
        <v>5442</v>
      </c>
    </row>
    <row r="5349" spans="1:23" hidden="1">
      <c r="A5349" s="81">
        <v>5347</v>
      </c>
      <c r="B5349" s="86" t="s">
        <v>1470</v>
      </c>
      <c r="C5349" s="86" t="s">
        <v>2028</v>
      </c>
      <c r="D5349" s="89" t="str">
        <f ca="1">OFFSET(Roster!$A$3,MATCH(表格1[[#This Row],[Location]]&amp;" "&amp;表格1[[#This Row],[Shop]]&amp;"*",Roster!$A$4:$A$72,0),DAY(表格1[[#This Row],[date]]),1,1)</f>
        <v>Hung</v>
      </c>
      <c r="E5349" s="86">
        <f>MONTH(表格1[[#This Row],[date]])</f>
        <v>3</v>
      </c>
      <c r="F5349" s="90">
        <v>46105</v>
      </c>
      <c r="G5349" s="86" t="str">
        <f>VLOOKUP("*"&amp;表格1[[#This Row],[Input]]&amp;"*",'Ref-List'!$B:$D,2,)</f>
        <v>MX2-STR25SC(WH)</v>
      </c>
      <c r="H5349" s="86" t="str">
        <f>_xlfn.XLOOKUP(表格1[[#This Row],[Model]],表格3[Model-Input-Ref2],表格3[Product Line])</f>
        <v>4合1氣炸微波蒸焗爐(25公升)</v>
      </c>
      <c r="I5349" s="86" t="str">
        <f>_xlfn.XLOOKUP(表格1[[#This Row],[Model]],表格3[Model-Input-Ref2],表格3[大小電])</f>
        <v>細電</v>
      </c>
      <c r="J5349" s="86" t="str">
        <f>_xlfn.XLOOKUP(表格1[[#This Row],[Model]],表格3[Model-Input-Ref2],表格3[Code])</f>
        <v>MCA</v>
      </c>
      <c r="K5349" s="89" t="s">
        <v>1410</v>
      </c>
      <c r="L5349" s="86">
        <v>1</v>
      </c>
      <c r="M5349" s="87">
        <v>3250</v>
      </c>
      <c r="N5349" s="87">
        <f>IFERROR(表格1[[#This Row],[QTY]]*表格1[[#This Row],[Unit Price]],"-")</f>
        <v>3250</v>
      </c>
      <c r="O5349" s="86">
        <v>5501</v>
      </c>
      <c r="R5349" s="86" t="str">
        <f>_xlfn.CONCAT(表格1[[#This Row],[Model]]," ",表格1[[#This Row],[inv no]])</f>
        <v>MX2-STR25SC(WH) 5501</v>
      </c>
      <c r="S5349" s="86">
        <f>_xlfn.XLOOKUP(表格1[[#This Row],[Model]],表格3[Model-Input-Ref2],表格3[SRP PRICE])</f>
        <v>4998</v>
      </c>
      <c r="T5349" s="43">
        <f>表格1[[#This Row],[Unit Price]]/表格1[[#This Row],[SRP]]</f>
        <v>0.6502601040416166</v>
      </c>
      <c r="U5349" s="86" t="str">
        <f>_xlfn.XLOOKUP(表格1[[#This Row],[Model]],表格3[Model-Input-Ref2],表格3[TOSHIBA/HIGHEST])</f>
        <v>Toshiba SRP</v>
      </c>
      <c r="W5349" s="86" t="str">
        <f>_xlfn.CONCAT(表格1[[#This Row],[欄4]],表格1[[#This Row],[inv no]])</f>
        <v>5501</v>
      </c>
    </row>
    <row r="5350" spans="1:23" hidden="1">
      <c r="A5350" s="81">
        <v>5348</v>
      </c>
      <c r="B5350" s="86" t="s">
        <v>1470</v>
      </c>
      <c r="C5350" s="86" t="s">
        <v>2028</v>
      </c>
      <c r="D5350" s="89" t="str">
        <f ca="1">OFFSET(Roster!$A$3,MATCH(表格1[[#This Row],[Location]]&amp;" "&amp;表格1[[#This Row],[Shop]]&amp;"*",Roster!$A$4:$A$72,0),DAY(表格1[[#This Row],[date]]),1,1)</f>
        <v>Hung</v>
      </c>
      <c r="E5350" s="86">
        <f>MONTH(表格1[[#This Row],[date]])</f>
        <v>3</v>
      </c>
      <c r="F5350" s="90">
        <v>46105</v>
      </c>
      <c r="G5350" s="86" t="str">
        <f>VLOOKUP("*"&amp;表格1[[#This Row],[Input]]&amp;"*",'Ref-List'!$B:$D,2,)</f>
        <v>MX2-TT20SC(WH)</v>
      </c>
      <c r="H5350" s="86" t="str">
        <f>_xlfn.XLOOKUP(表格1[[#This Row],[Model]],表格3[Model-Input-Ref2],表格3[Product Line])</f>
        <v>3合1 微波蒸焗爐 (20公升)</v>
      </c>
      <c r="I5350" s="86" t="str">
        <f>_xlfn.XLOOKUP(表格1[[#This Row],[Model]],表格3[Model-Input-Ref2],表格3[大小電])</f>
        <v>細電</v>
      </c>
      <c r="J5350" s="86" t="str">
        <f>_xlfn.XLOOKUP(表格1[[#This Row],[Model]],表格3[Model-Input-Ref2],表格3[Code])</f>
        <v>MCA</v>
      </c>
      <c r="K5350" s="89" t="s">
        <v>1287</v>
      </c>
      <c r="L5350" s="86">
        <v>1</v>
      </c>
      <c r="M5350" s="87">
        <v>2440</v>
      </c>
      <c r="N5350" s="87">
        <f>IFERROR(表格1[[#This Row],[QTY]]*表格1[[#This Row],[Unit Price]],"-")</f>
        <v>2440</v>
      </c>
      <c r="O5350" s="86">
        <v>5515</v>
      </c>
      <c r="R5350" s="86" t="str">
        <f>_xlfn.CONCAT(表格1[[#This Row],[Model]]," ",表格1[[#This Row],[inv no]])</f>
        <v>MX2-TT20SC(WH) 5515</v>
      </c>
      <c r="S5350" s="86">
        <f>_xlfn.XLOOKUP(表格1[[#This Row],[Model]],表格3[Model-Input-Ref2],表格3[SRP PRICE])</f>
        <v>3580</v>
      </c>
      <c r="T5350" s="43">
        <f>表格1[[#This Row],[Unit Price]]/表格1[[#This Row],[SRP]]</f>
        <v>0.68156424581005581</v>
      </c>
      <c r="U5350" s="86" t="str">
        <f>_xlfn.XLOOKUP(表格1[[#This Row],[Model]],表格3[Model-Input-Ref2],表格3[TOSHIBA/HIGHEST])</f>
        <v>Toshiba SRP</v>
      </c>
      <c r="W5350" s="86" t="str">
        <f>_xlfn.CONCAT(表格1[[#This Row],[欄4]],表格1[[#This Row],[inv no]])</f>
        <v>5515</v>
      </c>
    </row>
    <row r="5351" spans="1:23" hidden="1">
      <c r="A5351" s="81">
        <v>5349</v>
      </c>
      <c r="B5351" s="86" t="s">
        <v>1470</v>
      </c>
      <c r="C5351" s="86" t="s">
        <v>2028</v>
      </c>
      <c r="D5351" s="89" t="str">
        <f ca="1">OFFSET(Roster!$A$3,MATCH(表格1[[#This Row],[Location]]&amp;" "&amp;表格1[[#This Row],[Shop]]&amp;"*",Roster!$A$4:$A$72,0),DAY(表格1[[#This Row],[date]]),1,1)</f>
        <v>Hung</v>
      </c>
      <c r="E5351" s="86">
        <f>MONTH(表格1[[#This Row],[date]])</f>
        <v>3</v>
      </c>
      <c r="F5351" s="90">
        <v>46105</v>
      </c>
      <c r="G5351" s="86" t="str">
        <f>VLOOKUP("*"&amp;表格1[[#This Row],[Input]]&amp;"*",'Ref-List'!$B:$D,2,)</f>
        <v>RAD-D300H</v>
      </c>
      <c r="H5351" s="86" t="str">
        <f>_xlfn.XLOOKUP(表格1[[#This Row],[Model]],表格3[Model-Input-Ref2],表格3[Product Line])</f>
        <v>壓縮式抽濕機 (30公升)</v>
      </c>
      <c r="I5351" s="86" t="str">
        <f>_xlfn.XLOOKUP(表格1[[#This Row],[Model]],表格3[Model-Input-Ref2],表格3[大小電])</f>
        <v>細電</v>
      </c>
      <c r="J5351" s="86" t="str">
        <f>_xlfn.XLOOKUP(表格1[[#This Row],[Model]],表格3[Model-Input-Ref2],表格3[Code])</f>
        <v>RAC</v>
      </c>
      <c r="K5351" s="89" t="s">
        <v>1252</v>
      </c>
      <c r="L5351" s="86">
        <v>1</v>
      </c>
      <c r="M5351" s="87">
        <v>2088</v>
      </c>
      <c r="N5351" s="87">
        <f>IFERROR(表格1[[#This Row],[QTY]]*表格1[[#This Row],[Unit Price]],"-")</f>
        <v>2088</v>
      </c>
      <c r="O5351" s="86">
        <v>5521</v>
      </c>
      <c r="R5351" s="86" t="str">
        <f>_xlfn.CONCAT(表格1[[#This Row],[Model]]," ",表格1[[#This Row],[inv no]])</f>
        <v>RAD-D300H 5521</v>
      </c>
      <c r="S5351" s="86">
        <f>_xlfn.XLOOKUP(表格1[[#This Row],[Model]],表格3[Model-Input-Ref2],表格3[SRP PRICE])</f>
        <v>3380</v>
      </c>
      <c r="T5351" s="43">
        <f>表格1[[#This Row],[Unit Price]]/表格1[[#This Row],[SRP]]</f>
        <v>0.61775147928994079</v>
      </c>
      <c r="U5351" s="86" t="str">
        <f>_xlfn.XLOOKUP(表格1[[#This Row],[Model]],表格3[Model-Input-Ref2],表格3[TOSHIBA/HIGHEST])</f>
        <v>Shops Highest Price</v>
      </c>
      <c r="W5351" s="86" t="str">
        <f>_xlfn.CONCAT(表格1[[#This Row],[欄4]],表格1[[#This Row],[inv no]])</f>
        <v>5521</v>
      </c>
    </row>
    <row r="5352" spans="1:23" hidden="1">
      <c r="A5352" s="81">
        <v>5350</v>
      </c>
      <c r="B5352" s="86" t="s">
        <v>1470</v>
      </c>
      <c r="C5352" s="86" t="s">
        <v>2028</v>
      </c>
      <c r="D5352" s="89" t="str">
        <f ca="1">OFFSET(Roster!$A$3,MATCH(表格1[[#This Row],[Location]]&amp;" "&amp;表格1[[#This Row],[Shop]]&amp;"*",Roster!$A$4:$A$72,0),DAY(表格1[[#This Row],[date]]),1,1)</f>
        <v>Hung</v>
      </c>
      <c r="E5352" s="86">
        <f>MONTH(表格1[[#This Row],[date]])</f>
        <v>3</v>
      </c>
      <c r="F5352" s="90">
        <v>46106</v>
      </c>
      <c r="G5352" s="86" t="str">
        <f>VLOOKUP("*"&amp;表格1[[#This Row],[Input]]&amp;"*",'Ref-List'!$B:$D,2,)</f>
        <v>RAC-18G3CVRGR-HK</v>
      </c>
      <c r="H5352" s="86" t="str">
        <f>_xlfn.XLOOKUP(表格1[[#This Row],[Model]],表格3[Model-Input-Ref2],表格3[Product Line])</f>
        <v>2 匹 R32變頻窗口式冷氣機 (remote)</v>
      </c>
      <c r="I5352" s="86" t="str">
        <f>_xlfn.XLOOKUP(表格1[[#This Row],[Model]],表格3[Model-Input-Ref2],表格3[大小電])</f>
        <v>大電</v>
      </c>
      <c r="J5352" s="86" t="str">
        <f>_xlfn.XLOOKUP(表格1[[#This Row],[Model]],表格3[Model-Input-Ref2],表格3[Code])</f>
        <v>AC</v>
      </c>
      <c r="K5352" s="89" t="s">
        <v>1471</v>
      </c>
      <c r="L5352" s="86">
        <v>1</v>
      </c>
      <c r="M5352" s="87">
        <v>6280</v>
      </c>
      <c r="N5352" s="87">
        <f>IFERROR(表格1[[#This Row],[QTY]]*表格1[[#This Row],[Unit Price]],"-")</f>
        <v>6280</v>
      </c>
      <c r="O5352" s="86">
        <v>5536</v>
      </c>
      <c r="R5352" s="86" t="str">
        <f>_xlfn.CONCAT(表格1[[#This Row],[Model]]," ",表格1[[#This Row],[inv no]])</f>
        <v>RAC-18G3CVRGR-HK 5536</v>
      </c>
      <c r="S5352" s="86">
        <f>_xlfn.XLOOKUP(表格1[[#This Row],[Model]],表格3[Model-Input-Ref2],表格3[SRP PRICE])</f>
        <v>10380</v>
      </c>
      <c r="T5352" s="43">
        <f>表格1[[#This Row],[Unit Price]]/表格1[[#This Row],[SRP]]</f>
        <v>0.60500963391136797</v>
      </c>
      <c r="U5352" s="86" t="str">
        <f>_xlfn.XLOOKUP(表格1[[#This Row],[Model]],表格3[Model-Input-Ref2],表格3[TOSHIBA/HIGHEST])</f>
        <v>Toshiba SRP</v>
      </c>
      <c r="W5352" s="86" t="str">
        <f>_xlfn.CONCAT(表格1[[#This Row],[欄4]],表格1[[#This Row],[inv no]])</f>
        <v>5536</v>
      </c>
    </row>
    <row r="5353" spans="1:23" hidden="1">
      <c r="A5353" s="81">
        <v>5351</v>
      </c>
      <c r="B5353" s="86" t="s">
        <v>1470</v>
      </c>
      <c r="C5353" s="86" t="s">
        <v>2028</v>
      </c>
      <c r="D5353" s="89" t="str">
        <f ca="1">OFFSET(Roster!$A$3,MATCH(表格1[[#This Row],[Location]]&amp;" "&amp;表格1[[#This Row],[Shop]]&amp;"*",Roster!$A$4:$A$72,0),DAY(表格1[[#This Row],[date]]),1,1)</f>
        <v>Hung off</v>
      </c>
      <c r="E5353" s="86">
        <f>MONTH(表格1[[#This Row],[date]])</f>
        <v>3</v>
      </c>
      <c r="F5353" s="90">
        <v>46107</v>
      </c>
      <c r="G5353" s="86" t="str">
        <f>VLOOKUP("*"&amp;表格1[[#This Row],[Input]]&amp;"*",'Ref-List'!$B:$D,2,)</f>
        <v>RAC-07G3CVG-HK</v>
      </c>
      <c r="H5353" s="86" t="str">
        <f>_xlfn.XLOOKUP(表格1[[#This Row],[Model]],表格3[Model-Input-Ref2],表格3[Product Line])</f>
        <v>3/4 匹 R32變頻窗口式冷氣機</v>
      </c>
      <c r="I5353" s="86" t="str">
        <f>_xlfn.XLOOKUP(表格1[[#This Row],[Model]],表格3[Model-Input-Ref2],表格3[大小電])</f>
        <v>大電</v>
      </c>
      <c r="J5353" s="86" t="str">
        <f>_xlfn.XLOOKUP(表格1[[#This Row],[Model]],表格3[Model-Input-Ref2],表格3[Code])</f>
        <v>AC</v>
      </c>
      <c r="K5353" s="89" t="s">
        <v>1473</v>
      </c>
      <c r="L5353" s="86">
        <v>1</v>
      </c>
      <c r="M5353" s="87">
        <v>3380</v>
      </c>
      <c r="N5353" s="87">
        <f>IFERROR(表格1[[#This Row],[QTY]]*表格1[[#This Row],[Unit Price]],"-")</f>
        <v>3380</v>
      </c>
      <c r="O5353" s="86">
        <v>5557</v>
      </c>
      <c r="R5353" s="86" t="str">
        <f>_xlfn.CONCAT(表格1[[#This Row],[Model]]," ",表格1[[#This Row],[inv no]])</f>
        <v>RAC-07G3CVG-HK 5557</v>
      </c>
      <c r="S5353" s="86">
        <f>_xlfn.XLOOKUP(表格1[[#This Row],[Model]],表格3[Model-Input-Ref2],表格3[SRP PRICE])</f>
        <v>4980</v>
      </c>
      <c r="T5353" s="43">
        <f>表格1[[#This Row],[Unit Price]]/表格1[[#This Row],[SRP]]</f>
        <v>0.67871485943775101</v>
      </c>
      <c r="U5353" s="86" t="str">
        <f>_xlfn.XLOOKUP(表格1[[#This Row],[Model]],表格3[Model-Input-Ref2],表格3[TOSHIBA/HIGHEST])</f>
        <v>Toshiba SRP</v>
      </c>
      <c r="W5353" s="86" t="str">
        <f>_xlfn.CONCAT(表格1[[#This Row],[欄4]],表格1[[#This Row],[inv no]])</f>
        <v>5557</v>
      </c>
    </row>
    <row r="5354" spans="1:23" hidden="1">
      <c r="A5354" s="81">
        <v>5352</v>
      </c>
      <c r="B5354" s="86" t="s">
        <v>1470</v>
      </c>
      <c r="C5354" s="86" t="s">
        <v>2028</v>
      </c>
      <c r="D5354" s="89" t="str">
        <f ca="1">OFFSET(Roster!$A$3,MATCH(表格1[[#This Row],[Location]]&amp;" "&amp;表格1[[#This Row],[Shop]]&amp;"*",Roster!$A$4:$A$72,0),DAY(表格1[[#This Row],[date]]),1,1)</f>
        <v>Hung off</v>
      </c>
      <c r="E5354" s="86">
        <f>MONTH(表格1[[#This Row],[date]])</f>
        <v>3</v>
      </c>
      <c r="F5354" s="90">
        <v>46107</v>
      </c>
      <c r="G5354" s="86" t="str">
        <f>VLOOKUP("*"&amp;表格1[[#This Row],[Input]]&amp;"*",'Ref-List'!$B:$D,2,)</f>
        <v>MM2-EM20PC(WH)</v>
      </c>
      <c r="H5354" s="86" t="str">
        <f>_xlfn.XLOOKUP(表格1[[#This Row],[Model]],表格3[Model-Input-Ref2],表格3[Product Line])</f>
        <v>輕觸式微波爐 (20公升)</v>
      </c>
      <c r="I5354" s="86" t="str">
        <f>_xlfn.XLOOKUP(表格1[[#This Row],[Model]],表格3[Model-Input-Ref2],表格3[大小電])</f>
        <v>細電</v>
      </c>
      <c r="J5354" s="86" t="str">
        <f>_xlfn.XLOOKUP(表格1[[#This Row],[Model]],表格3[Model-Input-Ref2],表格3[Code])</f>
        <v>MCA</v>
      </c>
      <c r="K5354" s="89" t="s">
        <v>1276</v>
      </c>
      <c r="L5354" s="86">
        <v>1</v>
      </c>
      <c r="M5354" s="87">
        <v>618</v>
      </c>
      <c r="N5354" s="87">
        <f>IFERROR(表格1[[#This Row],[QTY]]*表格1[[#This Row],[Unit Price]],"-")</f>
        <v>618</v>
      </c>
      <c r="O5354" s="86">
        <v>5674</v>
      </c>
      <c r="R5354" s="86" t="str">
        <f>_xlfn.CONCAT(表格1[[#This Row],[Model]]," ",表格1[[#This Row],[inv no]])</f>
        <v>MM2-EM20PC(WH) 5674</v>
      </c>
      <c r="S5354" s="86">
        <f>_xlfn.XLOOKUP(表格1[[#This Row],[Model]],表格3[Model-Input-Ref2],表格3[SRP PRICE])</f>
        <v>788</v>
      </c>
      <c r="T5354" s="43">
        <f>表格1[[#This Row],[Unit Price]]/表格1[[#This Row],[SRP]]</f>
        <v>0.78426395939086291</v>
      </c>
      <c r="U5354" s="86" t="str">
        <f>_xlfn.XLOOKUP(表格1[[#This Row],[Model]],表格3[Model-Input-Ref2],表格3[TOSHIBA/HIGHEST])</f>
        <v>Toshiba SRP</v>
      </c>
      <c r="W5354" s="86" t="str">
        <f>_xlfn.CONCAT(表格1[[#This Row],[欄4]],表格1[[#This Row],[inv no]])</f>
        <v>5674</v>
      </c>
    </row>
    <row r="5355" spans="1:23" hidden="1">
      <c r="A5355" s="81">
        <v>5353</v>
      </c>
      <c r="B5355" s="86" t="s">
        <v>1470</v>
      </c>
      <c r="C5355" s="86" t="s">
        <v>2028</v>
      </c>
      <c r="D5355" s="89" t="str">
        <f ca="1">OFFSET(Roster!$A$3,MATCH(表格1[[#This Row],[Location]]&amp;" "&amp;表格1[[#This Row],[Shop]]&amp;"*",Roster!$A$4:$A$72,0),DAY(表格1[[#This Row],[date]]),1,1)</f>
        <v>Hung off</v>
      </c>
      <c r="E5355" s="86">
        <f>MONTH(表格1[[#This Row],[date]])</f>
        <v>3</v>
      </c>
      <c r="F5355" s="90">
        <v>46108</v>
      </c>
      <c r="G5355" s="86" t="str">
        <f>VLOOKUP("*"&amp;表格1[[#This Row],[Input]]&amp;"*",'Ref-List'!$B:$D,2,)</f>
        <v>RC-18JRUH(N)</v>
      </c>
      <c r="H5355" s="86" t="str">
        <f>_xlfn.XLOOKUP(表格1[[#This Row],[Model]],表格3[Model-Input-Ref2],表格3[Product Line])</f>
        <v>1.8公升電飯煲</v>
      </c>
      <c r="I5355" s="86" t="str">
        <f>_xlfn.XLOOKUP(表格1[[#This Row],[Model]],表格3[Model-Input-Ref2],表格3[大小電])</f>
        <v>細電</v>
      </c>
      <c r="J5355" s="86" t="str">
        <f>_xlfn.XLOOKUP(表格1[[#This Row],[Model]],表格3[Model-Input-Ref2],表格3[Code])</f>
        <v>SDA</v>
      </c>
      <c r="K5355" s="89" t="s">
        <v>1275</v>
      </c>
      <c r="L5355" s="86">
        <v>1</v>
      </c>
      <c r="M5355" s="87">
        <v>388</v>
      </c>
      <c r="N5355" s="87">
        <f>IFERROR(表格1[[#This Row],[QTY]]*表格1[[#This Row],[Unit Price]],"-")</f>
        <v>388</v>
      </c>
      <c r="O5355" s="86">
        <v>5733</v>
      </c>
      <c r="R5355" s="86" t="str">
        <f>_xlfn.CONCAT(表格1[[#This Row],[Model]]," ",表格1[[#This Row],[inv no]])</f>
        <v>RC-18JRUH(N) 5733</v>
      </c>
      <c r="S5355" s="86">
        <f>_xlfn.XLOOKUP(表格1[[#This Row],[Model]],表格3[Model-Input-Ref2],表格3[SRP PRICE])</f>
        <v>458</v>
      </c>
      <c r="T5355" s="43">
        <f>表格1[[#This Row],[Unit Price]]/表格1[[#This Row],[SRP]]</f>
        <v>0.84716157205240172</v>
      </c>
      <c r="U5355" s="86" t="str">
        <f>_xlfn.XLOOKUP(表格1[[#This Row],[Model]],表格3[Model-Input-Ref2],表格3[TOSHIBA/HIGHEST])</f>
        <v>Shops Highest Price</v>
      </c>
      <c r="W5355" s="86" t="str">
        <f>_xlfn.CONCAT(表格1[[#This Row],[欄4]],表格1[[#This Row],[inv no]])</f>
        <v>5733</v>
      </c>
    </row>
    <row r="5356" spans="1:23" hidden="1">
      <c r="A5356" s="81">
        <v>5354</v>
      </c>
      <c r="B5356" s="86" t="s">
        <v>1470</v>
      </c>
      <c r="C5356" s="86" t="s">
        <v>2028</v>
      </c>
      <c r="D5356" s="89" t="str">
        <f ca="1">OFFSET(Roster!$A$3,MATCH(表格1[[#This Row],[Location]]&amp;" "&amp;表格1[[#This Row],[Shop]]&amp;"*",Roster!$A$4:$A$72,0),DAY(表格1[[#This Row],[date]]),1,1)</f>
        <v>Hung off</v>
      </c>
      <c r="E5356" s="86">
        <f>MONTH(表格1[[#This Row],[date]])</f>
        <v>3</v>
      </c>
      <c r="F5356" s="90">
        <v>46109</v>
      </c>
      <c r="G5356" s="86" t="str">
        <f>VLOOKUP("*"&amp;表格1[[#This Row],[Input]]&amp;"*",'Ref-List'!$B:$D,2,)</f>
        <v>MX2-STR25SC(WH)</v>
      </c>
      <c r="H5356" s="86" t="str">
        <f>_xlfn.XLOOKUP(表格1[[#This Row],[Model]],表格3[Model-Input-Ref2],表格3[Product Line])</f>
        <v>4合1氣炸微波蒸焗爐(25公升)</v>
      </c>
      <c r="I5356" s="86" t="str">
        <f>_xlfn.XLOOKUP(表格1[[#This Row],[Model]],表格3[Model-Input-Ref2],表格3[大小電])</f>
        <v>細電</v>
      </c>
      <c r="J5356" s="86" t="str">
        <f>_xlfn.XLOOKUP(表格1[[#This Row],[Model]],表格3[Model-Input-Ref2],表格3[Code])</f>
        <v>MCA</v>
      </c>
      <c r="K5356" s="89" t="s">
        <v>1410</v>
      </c>
      <c r="L5356" s="86">
        <v>1</v>
      </c>
      <c r="M5356" s="87">
        <v>3250</v>
      </c>
      <c r="N5356" s="87">
        <f>IFERROR(表格1[[#This Row],[QTY]]*表格1[[#This Row],[Unit Price]],"-")</f>
        <v>3250</v>
      </c>
      <c r="O5356" s="86">
        <v>5791</v>
      </c>
      <c r="R5356" s="86" t="str">
        <f>_xlfn.CONCAT(表格1[[#This Row],[Model]]," ",表格1[[#This Row],[inv no]])</f>
        <v>MX2-STR25SC(WH) 5791</v>
      </c>
      <c r="S5356" s="86">
        <f>_xlfn.XLOOKUP(表格1[[#This Row],[Model]],表格3[Model-Input-Ref2],表格3[SRP PRICE])</f>
        <v>4998</v>
      </c>
      <c r="T5356" s="43">
        <f>表格1[[#This Row],[Unit Price]]/表格1[[#This Row],[SRP]]</f>
        <v>0.6502601040416166</v>
      </c>
      <c r="U5356" s="86" t="str">
        <f>_xlfn.XLOOKUP(表格1[[#This Row],[Model]],表格3[Model-Input-Ref2],表格3[TOSHIBA/HIGHEST])</f>
        <v>Toshiba SRP</v>
      </c>
      <c r="W5356" s="86" t="str">
        <f>_xlfn.CONCAT(表格1[[#This Row],[欄4]],表格1[[#This Row],[inv no]])</f>
        <v>5791</v>
      </c>
    </row>
    <row r="5357" spans="1:23" hidden="1">
      <c r="A5357" s="81">
        <v>5355</v>
      </c>
      <c r="B5357" s="86" t="s">
        <v>1470</v>
      </c>
      <c r="C5357" s="86" t="s">
        <v>2028</v>
      </c>
      <c r="D5357" s="89" t="str">
        <f ca="1">OFFSET(Roster!$A$3,MATCH(表格1[[#This Row],[Location]]&amp;" "&amp;表格1[[#This Row],[Shop]]&amp;"*",Roster!$A$4:$A$72,0),DAY(表格1[[#This Row],[date]]),1,1)</f>
        <v>Hung off</v>
      </c>
      <c r="E5357" s="86">
        <f>MONTH(表格1[[#This Row],[date]])</f>
        <v>3</v>
      </c>
      <c r="F5357" s="90">
        <v>46109</v>
      </c>
      <c r="G5357" s="86" t="str">
        <f>VLOOKUP("*"&amp;表格1[[#This Row],[Input]]&amp;"*",'Ref-List'!$B:$D,2,)</f>
        <v>RAC-09G3CVG-HK</v>
      </c>
      <c r="H5357" s="86" t="str">
        <f>_xlfn.XLOOKUP(表格1[[#This Row],[Model]],表格3[Model-Input-Ref2],表格3[Product Line])</f>
        <v>1匹 R32變頻窗口式冷氣機 </v>
      </c>
      <c r="I5357" s="86" t="str">
        <f>_xlfn.XLOOKUP(表格1[[#This Row],[Model]],表格3[Model-Input-Ref2],表格3[大小電])</f>
        <v>大電</v>
      </c>
      <c r="J5357" s="86" t="str">
        <f>_xlfn.XLOOKUP(表格1[[#This Row],[Model]],表格3[Model-Input-Ref2],表格3[Code])</f>
        <v>AC</v>
      </c>
      <c r="K5357" s="89" t="s">
        <v>1638</v>
      </c>
      <c r="L5357" s="86">
        <v>1</v>
      </c>
      <c r="M5357" s="87">
        <v>4080</v>
      </c>
      <c r="N5357" s="87">
        <f>IFERROR(表格1[[#This Row],[QTY]]*表格1[[#This Row],[Unit Price]],"-")</f>
        <v>4080</v>
      </c>
      <c r="O5357" s="86">
        <v>5792</v>
      </c>
      <c r="R5357" s="86" t="str">
        <f>_xlfn.CONCAT(表格1[[#This Row],[Model]]," ",表格1[[#This Row],[inv no]])</f>
        <v>RAC-09G3CVG-HK 5792</v>
      </c>
      <c r="S5357" s="86">
        <f>_xlfn.XLOOKUP(表格1[[#This Row],[Model]],表格3[Model-Input-Ref2],表格3[SRP PRICE])</f>
        <v>6380</v>
      </c>
      <c r="T5357" s="43">
        <f>表格1[[#This Row],[Unit Price]]/表格1[[#This Row],[SRP]]</f>
        <v>0.63949843260188088</v>
      </c>
      <c r="U5357" s="86" t="str">
        <f>_xlfn.XLOOKUP(表格1[[#This Row],[Model]],表格3[Model-Input-Ref2],表格3[TOSHIBA/HIGHEST])</f>
        <v>Toshiba SRP</v>
      </c>
      <c r="W5357" s="86" t="str">
        <f>_xlfn.CONCAT(表格1[[#This Row],[欄4]],表格1[[#This Row],[inv no]])</f>
        <v>5792</v>
      </c>
    </row>
    <row r="5358" spans="1:23" hidden="1">
      <c r="A5358" s="81">
        <v>5356</v>
      </c>
      <c r="B5358" s="86" t="s">
        <v>1470</v>
      </c>
      <c r="C5358" s="86" t="s">
        <v>2028</v>
      </c>
      <c r="D5358" s="89" t="str">
        <f ca="1">OFFSET(Roster!$A$3,MATCH(表格1[[#This Row],[Location]]&amp;" "&amp;表格1[[#This Row],[Shop]]&amp;"*",Roster!$A$4:$A$72,0),DAY(表格1[[#This Row],[date]]),1,1)</f>
        <v>Hung off</v>
      </c>
      <c r="E5358" s="86">
        <f>MONTH(表格1[[#This Row],[date]])</f>
        <v>3</v>
      </c>
      <c r="F5358" s="90">
        <v>46109</v>
      </c>
      <c r="G5358" s="86" t="str">
        <f>VLOOKUP("*"&amp;表格1[[#This Row],[Input]]&amp;"*",'Ref-List'!$B:$D,2,)</f>
        <v>RAD-D300H</v>
      </c>
      <c r="H5358" s="86" t="str">
        <f>_xlfn.XLOOKUP(表格1[[#This Row],[Model]],表格3[Model-Input-Ref2],表格3[Product Line])</f>
        <v>壓縮式抽濕機 (30公升)</v>
      </c>
      <c r="I5358" s="86" t="str">
        <f>_xlfn.XLOOKUP(表格1[[#This Row],[Model]],表格3[Model-Input-Ref2],表格3[大小電])</f>
        <v>細電</v>
      </c>
      <c r="J5358" s="86" t="str">
        <f>_xlfn.XLOOKUP(表格1[[#This Row],[Model]],表格3[Model-Input-Ref2],表格3[Code])</f>
        <v>RAC</v>
      </c>
      <c r="K5358" s="89" t="s">
        <v>1252</v>
      </c>
      <c r="L5358" s="86">
        <v>1</v>
      </c>
      <c r="M5358" s="87">
        <v>2080</v>
      </c>
      <c r="N5358" s="87">
        <f>IFERROR(表格1[[#This Row],[QTY]]*表格1[[#This Row],[Unit Price]],"-")</f>
        <v>2080</v>
      </c>
      <c r="O5358" s="86">
        <v>5794</v>
      </c>
      <c r="R5358" s="86" t="str">
        <f>_xlfn.CONCAT(表格1[[#This Row],[Model]]," ",表格1[[#This Row],[inv no]])</f>
        <v>RAD-D300H 5794</v>
      </c>
      <c r="S5358" s="86">
        <f>_xlfn.XLOOKUP(表格1[[#This Row],[Model]],表格3[Model-Input-Ref2],表格3[SRP PRICE])</f>
        <v>3380</v>
      </c>
      <c r="T5358" s="43">
        <f>表格1[[#This Row],[Unit Price]]/表格1[[#This Row],[SRP]]</f>
        <v>0.61538461538461542</v>
      </c>
      <c r="U5358" s="86" t="str">
        <f>_xlfn.XLOOKUP(表格1[[#This Row],[Model]],表格3[Model-Input-Ref2],表格3[TOSHIBA/HIGHEST])</f>
        <v>Shops Highest Price</v>
      </c>
      <c r="W5358" s="86" t="str">
        <f>_xlfn.CONCAT(表格1[[#This Row],[欄4]],表格1[[#This Row],[inv no]])</f>
        <v>5794</v>
      </c>
    </row>
    <row r="5359" spans="1:23" hidden="1">
      <c r="A5359" s="81">
        <v>5357</v>
      </c>
      <c r="B5359" s="86" t="s">
        <v>1470</v>
      </c>
      <c r="C5359" s="86" t="s">
        <v>2028</v>
      </c>
      <c r="D5359" s="89" t="str">
        <f ca="1">OFFSET(Roster!$A$3,MATCH(表格1[[#This Row],[Location]]&amp;" "&amp;表格1[[#This Row],[Shop]]&amp;"*",Roster!$A$4:$A$72,0),DAY(表格1[[#This Row],[date]]),1,1)</f>
        <v>Hung off</v>
      </c>
      <c r="E5359" s="86">
        <f>MONTH(表格1[[#This Row],[date]])</f>
        <v>3</v>
      </c>
      <c r="F5359" s="90">
        <v>46109</v>
      </c>
      <c r="G5359" s="86" t="str">
        <f>VLOOKUP("*"&amp;表格1[[#This Row],[Input]]&amp;"*",'Ref-List'!$B:$D,2,)</f>
        <v>DW-05T2-HK</v>
      </c>
      <c r="H5359" s="86" t="str">
        <f>_xlfn.XLOOKUP(表格1[[#This Row],[Model]],表格3[Model-Input-Ref2],表格3[Product Line])</f>
        <v>座檯式洗碗碟機</v>
      </c>
      <c r="I5359" s="86" t="str">
        <f>_xlfn.XLOOKUP(表格1[[#This Row],[Model]],表格3[Model-Input-Ref2],表格3[大小電])</f>
        <v>細電</v>
      </c>
      <c r="J5359" s="86" t="str">
        <f>_xlfn.XLOOKUP(表格1[[#This Row],[Model]],表格3[Model-Input-Ref2],表格3[Code])</f>
        <v>DW</v>
      </c>
      <c r="K5359" s="89" t="s">
        <v>1475</v>
      </c>
      <c r="L5359" s="86">
        <v>1</v>
      </c>
      <c r="M5359" s="87">
        <v>3460</v>
      </c>
      <c r="N5359" s="87">
        <f>IFERROR(表格1[[#This Row],[QTY]]*表格1[[#This Row],[Unit Price]],"-")</f>
        <v>3460</v>
      </c>
      <c r="O5359" s="86">
        <v>5797</v>
      </c>
      <c r="R5359" s="86" t="str">
        <f>_xlfn.CONCAT(表格1[[#This Row],[Model]]," ",表格1[[#This Row],[inv no]])</f>
        <v>DW-05T2-HK 5797</v>
      </c>
      <c r="S5359" s="86">
        <f>_xlfn.XLOOKUP(表格1[[#This Row],[Model]],表格3[Model-Input-Ref2],表格3[SRP PRICE])</f>
        <v>4580</v>
      </c>
      <c r="T5359" s="43">
        <f>表格1[[#This Row],[Unit Price]]/表格1[[#This Row],[SRP]]</f>
        <v>0.75545851528384278</v>
      </c>
      <c r="U5359" s="86" t="str">
        <f>_xlfn.XLOOKUP(表格1[[#This Row],[Model]],表格3[Model-Input-Ref2],表格3[TOSHIBA/HIGHEST])</f>
        <v>Toshiba SRP</v>
      </c>
      <c r="W5359" s="86" t="str">
        <f>_xlfn.CONCAT(表格1[[#This Row],[欄4]],表格1[[#This Row],[inv no]])</f>
        <v>5797</v>
      </c>
    </row>
    <row r="5360" spans="1:23" hidden="1">
      <c r="A5360" s="81">
        <v>5358</v>
      </c>
      <c r="B5360" s="86" t="s">
        <v>1470</v>
      </c>
      <c r="C5360" s="86" t="s">
        <v>2028</v>
      </c>
      <c r="D5360" s="89" t="str">
        <f ca="1">OFFSET(Roster!$A$3,MATCH(表格1[[#This Row],[Location]]&amp;" "&amp;表格1[[#This Row],[Shop]]&amp;"*",Roster!$A$4:$A$72,0),DAY(表格1[[#This Row],[date]]),1,1)</f>
        <v>Hung off</v>
      </c>
      <c r="E5360" s="86">
        <f>MONTH(表格1[[#This Row],[date]])</f>
        <v>3</v>
      </c>
      <c r="F5360" s="90">
        <v>46109</v>
      </c>
      <c r="G5360" s="86" t="str">
        <f>VLOOKUP("*"&amp;表格1[[#This Row],[Input]]&amp;"*",'Ref-List'!$B:$D,2,)</f>
        <v>GR-RM598WE-PGA(B3)</v>
      </c>
      <c r="H5360" s="86" t="str">
        <f>_xlfn.XLOOKUP(表格1[[#This Row],[Model]],表格3[Model-Input-Ref2],表格3[Product Line])</f>
        <v>變頻六門雪櫃(451L)</v>
      </c>
      <c r="I5360" s="86" t="str">
        <f>_xlfn.XLOOKUP(表格1[[#This Row],[Model]],表格3[Model-Input-Ref2],表格3[大小電])</f>
        <v>大電</v>
      </c>
      <c r="J5360" s="86" t="str">
        <f>_xlfn.XLOOKUP(表格1[[#This Row],[Model]],表格3[Model-Input-Ref2],表格3[Code])</f>
        <v>REF</v>
      </c>
      <c r="K5360" s="89" t="s">
        <v>1491</v>
      </c>
      <c r="L5360" s="86">
        <v>1</v>
      </c>
      <c r="M5360" s="87">
        <v>9400</v>
      </c>
      <c r="N5360" s="87">
        <f>IFERROR(表格1[[#This Row],[QTY]]*表格1[[#This Row],[Unit Price]],"-")</f>
        <v>9400</v>
      </c>
      <c r="O5360" s="86">
        <v>5847</v>
      </c>
      <c r="R5360" s="86" t="str">
        <f>_xlfn.CONCAT(表格1[[#This Row],[Model]]," ",表格1[[#This Row],[inv no]])</f>
        <v>GR-RM598WE-PGA(B3) 5847</v>
      </c>
      <c r="S5360" s="86">
        <f>_xlfn.XLOOKUP(表格1[[#This Row],[Model]],表格3[Model-Input-Ref2],表格3[SRP PRICE])</f>
        <v>14980</v>
      </c>
      <c r="T5360" s="43">
        <f>表格1[[#This Row],[Unit Price]]/表格1[[#This Row],[SRP]]</f>
        <v>0.62750333778371159</v>
      </c>
      <c r="U5360" s="86" t="str">
        <f>_xlfn.XLOOKUP(表格1[[#This Row],[Model]],表格3[Model-Input-Ref2],表格3[TOSHIBA/HIGHEST])</f>
        <v>Toshiba SRP</v>
      </c>
      <c r="W5360" s="86" t="str">
        <f>_xlfn.CONCAT(表格1[[#This Row],[欄4]],表格1[[#This Row],[inv no]])</f>
        <v>5847</v>
      </c>
    </row>
    <row r="5361" spans="1:23" hidden="1">
      <c r="A5361" s="81">
        <v>5359</v>
      </c>
      <c r="B5361" s="86" t="s">
        <v>1470</v>
      </c>
      <c r="C5361" s="86" t="s">
        <v>2028</v>
      </c>
      <c r="D5361" s="89" t="str">
        <f ca="1">OFFSET(Roster!$A$3,MATCH(表格1[[#This Row],[Location]]&amp;" "&amp;表格1[[#This Row],[Shop]]&amp;"*",Roster!$A$4:$A$72,0),DAY(表格1[[#This Row],[date]]),1,1)</f>
        <v>Hung off</v>
      </c>
      <c r="E5361" s="86">
        <f>MONTH(表格1[[#This Row],[date]])</f>
        <v>3</v>
      </c>
      <c r="F5361" s="90">
        <v>46109</v>
      </c>
      <c r="G5361" s="86" t="str">
        <f>VLOOKUP("*"&amp;表格1[[#This Row],[Input]]&amp;"*",'Ref-List'!$B:$D,2,)</f>
        <v>MW3-SAC24SE(BK)</v>
      </c>
      <c r="H5361" s="86" t="str">
        <f>_xlfn.XLOOKUP(表格1[[#This Row],[Model]],表格3[Model-Input-Ref2],表格3[Product Line])</f>
        <v>智能氣炸烤焗爐(24公升)</v>
      </c>
      <c r="I5361" s="86" t="str">
        <f>_xlfn.XLOOKUP(表格1[[#This Row],[Model]],表格3[Model-Input-Ref2],表格3[大小電])</f>
        <v>細電</v>
      </c>
      <c r="J5361" s="86" t="str">
        <f>_xlfn.XLOOKUP(表格1[[#This Row],[Model]],表格3[Model-Input-Ref2],表格3[Code])</f>
        <v>MCA</v>
      </c>
      <c r="K5361" s="89" t="s">
        <v>1274</v>
      </c>
      <c r="L5361" s="86">
        <v>1</v>
      </c>
      <c r="M5361" s="87">
        <v>1298</v>
      </c>
      <c r="N5361" s="87">
        <f>IFERROR(表格1[[#This Row],[QTY]]*表格1[[#This Row],[Unit Price]],"-")</f>
        <v>1298</v>
      </c>
      <c r="O5361" s="86">
        <v>5865</v>
      </c>
      <c r="R5361" s="86" t="str">
        <f>_xlfn.CONCAT(表格1[[#This Row],[Model]]," ",表格1[[#This Row],[inv no]])</f>
        <v>MW3-SAC24SE(BK) 5865</v>
      </c>
      <c r="S5361" s="86">
        <f>_xlfn.XLOOKUP(表格1[[#This Row],[Model]],表格3[Model-Input-Ref2],表格3[SRP PRICE])</f>
        <v>1680</v>
      </c>
      <c r="T5361" s="43">
        <f>表格1[[#This Row],[Unit Price]]/表格1[[#This Row],[SRP]]</f>
        <v>0.77261904761904765</v>
      </c>
      <c r="U5361" s="86" t="str">
        <f>_xlfn.XLOOKUP(表格1[[#This Row],[Model]],表格3[Model-Input-Ref2],表格3[TOSHIBA/HIGHEST])</f>
        <v>Toshiba SRP</v>
      </c>
      <c r="W5361" s="86" t="str">
        <f>_xlfn.CONCAT(表格1[[#This Row],[欄4]],表格1[[#This Row],[inv no]])</f>
        <v>5865</v>
      </c>
    </row>
    <row r="5362" spans="1:23" hidden="1">
      <c r="A5362" s="81">
        <v>5360</v>
      </c>
      <c r="B5362" s="86" t="s">
        <v>1470</v>
      </c>
      <c r="C5362" s="86" t="s">
        <v>2028</v>
      </c>
      <c r="D5362" s="89" t="str">
        <f ca="1">OFFSET(Roster!$A$3,MATCH(表格1[[#This Row],[Location]]&amp;" "&amp;表格1[[#This Row],[Shop]]&amp;"*",Roster!$A$4:$A$72,0),DAY(表格1[[#This Row],[date]]),1,1)</f>
        <v>Hung off</v>
      </c>
      <c r="E5362" s="86">
        <f>MONTH(表格1[[#This Row],[date]])</f>
        <v>3</v>
      </c>
      <c r="F5362" s="90">
        <v>46109</v>
      </c>
      <c r="G5362" s="86" t="str">
        <f>VLOOKUP("*"&amp;表格1[[#This Row],[Input]]&amp;"*",'Ref-List'!$B:$D,2,)</f>
        <v>DW-05T2-HK</v>
      </c>
      <c r="H5362" s="86" t="str">
        <f>_xlfn.XLOOKUP(表格1[[#This Row],[Model]],表格3[Model-Input-Ref2],表格3[Product Line])</f>
        <v>座檯式洗碗碟機</v>
      </c>
      <c r="I5362" s="86" t="str">
        <f>_xlfn.XLOOKUP(表格1[[#This Row],[Model]],表格3[Model-Input-Ref2],表格3[大小電])</f>
        <v>細電</v>
      </c>
      <c r="J5362" s="86" t="str">
        <f>_xlfn.XLOOKUP(表格1[[#This Row],[Model]],表格3[Model-Input-Ref2],表格3[Code])</f>
        <v>DW</v>
      </c>
      <c r="K5362" s="89" t="s">
        <v>1475</v>
      </c>
      <c r="L5362" s="86">
        <v>1</v>
      </c>
      <c r="M5362" s="87">
        <v>3468</v>
      </c>
      <c r="N5362" s="87">
        <f>IFERROR(表格1[[#This Row],[QTY]]*表格1[[#This Row],[Unit Price]],"-")</f>
        <v>3468</v>
      </c>
      <c r="O5362" s="86">
        <v>5883</v>
      </c>
      <c r="R5362" s="86" t="str">
        <f>_xlfn.CONCAT(表格1[[#This Row],[Model]]," ",表格1[[#This Row],[inv no]])</f>
        <v>DW-05T2-HK 5883</v>
      </c>
      <c r="S5362" s="86">
        <f>_xlfn.XLOOKUP(表格1[[#This Row],[Model]],表格3[Model-Input-Ref2],表格3[SRP PRICE])</f>
        <v>4580</v>
      </c>
      <c r="T5362" s="43">
        <f>表格1[[#This Row],[Unit Price]]/表格1[[#This Row],[SRP]]</f>
        <v>0.7572052401746725</v>
      </c>
      <c r="U5362" s="86" t="str">
        <f>_xlfn.XLOOKUP(表格1[[#This Row],[Model]],表格3[Model-Input-Ref2],表格3[TOSHIBA/HIGHEST])</f>
        <v>Toshiba SRP</v>
      </c>
      <c r="W5362" s="86" t="str">
        <f>_xlfn.CONCAT(表格1[[#This Row],[欄4]],表格1[[#This Row],[inv no]])</f>
        <v>5883</v>
      </c>
    </row>
    <row r="5363" spans="1:23" hidden="1">
      <c r="A5363" s="81">
        <v>5361</v>
      </c>
      <c r="B5363" s="86" t="s">
        <v>1470</v>
      </c>
      <c r="C5363" s="86" t="s">
        <v>2028</v>
      </c>
      <c r="D5363" s="89" t="str">
        <f ca="1">OFFSET(Roster!$A$3,MATCH(表格1[[#This Row],[Location]]&amp;" "&amp;表格1[[#This Row],[Shop]]&amp;"*",Roster!$A$4:$A$72,0),DAY(表格1[[#This Row],[date]]),1,1)</f>
        <v>Hung off</v>
      </c>
      <c r="E5363" s="86">
        <f>MONTH(表格1[[#This Row],[date]])</f>
        <v>3</v>
      </c>
      <c r="F5363" s="90">
        <v>46110</v>
      </c>
      <c r="G5363" s="86" t="str">
        <f>VLOOKUP("*"&amp;表格1[[#This Row],[Input]]&amp;"*",'Ref-List'!$B:$D,2,)</f>
        <v>MWP-MM20P(WH)</v>
      </c>
      <c r="H5363" s="86" t="str">
        <f>_xlfn.XLOOKUP(表格1[[#This Row],[Model]],表格3[Model-Input-Ref2],表格3[Product Line])</f>
        <v>旋鈕式燒烤微波爐20L</v>
      </c>
      <c r="I5363" s="86" t="str">
        <f>_xlfn.XLOOKUP(表格1[[#This Row],[Model]],表格3[Model-Input-Ref2],表格3[大小電])</f>
        <v>細電</v>
      </c>
      <c r="J5363" s="86" t="str">
        <f>_xlfn.XLOOKUP(表格1[[#This Row],[Model]],表格3[Model-Input-Ref2],表格3[Code])</f>
        <v>SDA</v>
      </c>
      <c r="K5363" s="89" t="s">
        <v>1270</v>
      </c>
      <c r="L5363" s="86">
        <v>1</v>
      </c>
      <c r="M5363" s="87">
        <v>599</v>
      </c>
      <c r="N5363" s="87">
        <f>IFERROR(表格1[[#This Row],[QTY]]*表格1[[#This Row],[Unit Price]],"-")</f>
        <v>599</v>
      </c>
      <c r="O5363" s="86">
        <v>5902</v>
      </c>
      <c r="R5363" s="86" t="str">
        <f>_xlfn.CONCAT(表格1[[#This Row],[Model]]," ",表格1[[#This Row],[inv no]])</f>
        <v>MWP-MM20P(WH) 5902</v>
      </c>
      <c r="S5363" s="86">
        <f>_xlfn.XLOOKUP(表格1[[#This Row],[Model]],表格3[Model-Input-Ref2],表格3[SRP PRICE])</f>
        <v>648</v>
      </c>
      <c r="T5363" s="43">
        <f>表格1[[#This Row],[Unit Price]]/表格1[[#This Row],[SRP]]</f>
        <v>0.92438271604938271</v>
      </c>
      <c r="U5363" s="86" t="str">
        <f>_xlfn.XLOOKUP(表格1[[#This Row],[Model]],表格3[Model-Input-Ref2],表格3[TOSHIBA/HIGHEST])</f>
        <v>Toshiba SRP</v>
      </c>
      <c r="W5363" s="86" t="str">
        <f>_xlfn.CONCAT(表格1[[#This Row],[欄4]],表格1[[#This Row],[inv no]])</f>
        <v>5902</v>
      </c>
    </row>
    <row r="5364" spans="1:23" hidden="1">
      <c r="A5364" s="81">
        <v>5362</v>
      </c>
      <c r="B5364" s="86" t="s">
        <v>1470</v>
      </c>
      <c r="C5364" s="86" t="s">
        <v>2028</v>
      </c>
      <c r="D5364" s="89" t="str">
        <f ca="1">OFFSET(Roster!$A$3,MATCH(表格1[[#This Row],[Location]]&amp;" "&amp;表格1[[#This Row],[Shop]]&amp;"*",Roster!$A$4:$A$72,0),DAY(表格1[[#This Row],[date]]),1,1)</f>
        <v>Hung off</v>
      </c>
      <c r="E5364" s="86">
        <f>MONTH(表格1[[#This Row],[date]])</f>
        <v>3</v>
      </c>
      <c r="F5364" s="90">
        <v>46110</v>
      </c>
      <c r="G5364" s="86" t="str">
        <f>VLOOKUP("*"&amp;表格1[[#This Row],[Input]]&amp;"*",'Ref-List'!$B:$D,2,)</f>
        <v>KT-17DRTHK(H)</v>
      </c>
      <c r="H5364" s="86" t="str">
        <f>_xlfn.XLOOKUP(表格1[[#This Row],[Model]],表格3[Model-Input-Ref2],表格3[Product Line])</f>
        <v>無線雙層電熱水壺(1.7公升)</v>
      </c>
      <c r="I5364" s="86" t="str">
        <f>_xlfn.XLOOKUP(表格1[[#This Row],[Model]],表格3[Model-Input-Ref2],表格3[大小電])</f>
        <v>細電</v>
      </c>
      <c r="J5364" s="86" t="str">
        <f>_xlfn.XLOOKUP(表格1[[#This Row],[Model]],表格3[Model-Input-Ref2],表格3[Code])</f>
        <v>SDA</v>
      </c>
      <c r="K5364" s="89" t="s">
        <v>1271</v>
      </c>
      <c r="L5364" s="86">
        <v>1</v>
      </c>
      <c r="M5364" s="87">
        <v>388</v>
      </c>
      <c r="N5364" s="87">
        <f>IFERROR(表格1[[#This Row],[QTY]]*表格1[[#This Row],[Unit Price]],"-")</f>
        <v>388</v>
      </c>
      <c r="O5364" s="86">
        <v>5920</v>
      </c>
      <c r="R5364" s="86" t="str">
        <f>_xlfn.CONCAT(表格1[[#This Row],[Model]]," ",表格1[[#This Row],[inv no]])</f>
        <v>KT-17DRTHK(H) 5920</v>
      </c>
      <c r="S5364" s="86">
        <f>_xlfn.XLOOKUP(表格1[[#This Row],[Model]],表格3[Model-Input-Ref2],表格3[SRP PRICE])</f>
        <v>498</v>
      </c>
      <c r="T5364" s="43">
        <f>表格1[[#This Row],[Unit Price]]/表格1[[#This Row],[SRP]]</f>
        <v>0.77911646586345384</v>
      </c>
      <c r="U5364" s="86" t="str">
        <f>_xlfn.XLOOKUP(表格1[[#This Row],[Model]],表格3[Model-Input-Ref2],表格3[TOSHIBA/HIGHEST])</f>
        <v>Toshiba SRP</v>
      </c>
      <c r="W5364" s="86" t="str">
        <f>_xlfn.CONCAT(表格1[[#This Row],[欄4]],表格1[[#This Row],[inv no]])</f>
        <v>5920</v>
      </c>
    </row>
    <row r="5365" spans="1:23" hidden="1">
      <c r="A5365" s="81">
        <v>5363</v>
      </c>
      <c r="B5365" s="86" t="s">
        <v>1470</v>
      </c>
      <c r="C5365" s="86" t="s">
        <v>2028</v>
      </c>
      <c r="D5365" s="89" t="str">
        <f ca="1">OFFSET(Roster!$A$3,MATCH(表格1[[#This Row],[Location]]&amp;" "&amp;表格1[[#This Row],[Shop]]&amp;"*",Roster!$A$4:$A$72,0),DAY(表格1[[#This Row],[date]]),1,1)</f>
        <v>Hung off</v>
      </c>
      <c r="E5365" s="86">
        <f>MONTH(表格1[[#This Row],[date]])</f>
        <v>3</v>
      </c>
      <c r="F5365" s="90">
        <v>46110</v>
      </c>
      <c r="G5365" s="86" t="str">
        <f>VLOOKUP("*"&amp;表格1[[#This Row],[Input]]&amp;"*",'Ref-List'!$B:$D,2,)</f>
        <v>TP-25DR2UHK(W)</v>
      </c>
      <c r="H5365" s="86" t="str">
        <f>_xlfn.XLOOKUP(表格1[[#This Row],[Model]],表格3[Model-Input-Ref2],表格3[Product Line])</f>
        <v>電熱水瓶 (2.5公升)</v>
      </c>
      <c r="I5365" s="86" t="str">
        <f>_xlfn.XLOOKUP(表格1[[#This Row],[Model]],表格3[Model-Input-Ref2],表格3[大小電])</f>
        <v>細電</v>
      </c>
      <c r="J5365" s="86" t="str">
        <f>_xlfn.XLOOKUP(表格1[[#This Row],[Model]],表格3[Model-Input-Ref2],表格3[Code])</f>
        <v>SDA</v>
      </c>
      <c r="K5365" s="89" t="s">
        <v>1285</v>
      </c>
      <c r="L5365" s="86">
        <v>1</v>
      </c>
      <c r="M5365" s="87">
        <v>398</v>
      </c>
      <c r="N5365" s="87">
        <f>IFERROR(表格1[[#This Row],[QTY]]*表格1[[#This Row],[Unit Price]],"-")</f>
        <v>398</v>
      </c>
      <c r="O5365" s="86">
        <v>5947</v>
      </c>
      <c r="R5365" s="86" t="str">
        <f>_xlfn.CONCAT(表格1[[#This Row],[Model]]," ",表格1[[#This Row],[inv no]])</f>
        <v>TP-25DR2UHK(W) 5947</v>
      </c>
      <c r="S5365" s="86">
        <f>_xlfn.XLOOKUP(表格1[[#This Row],[Model]],表格3[Model-Input-Ref2],表格3[SRP PRICE])</f>
        <v>538</v>
      </c>
      <c r="T5365" s="43">
        <f>表格1[[#This Row],[Unit Price]]/表格1[[#This Row],[SRP]]</f>
        <v>0.7397769516728625</v>
      </c>
      <c r="U5365" s="86" t="str">
        <f>_xlfn.XLOOKUP(表格1[[#This Row],[Model]],表格3[Model-Input-Ref2],表格3[TOSHIBA/HIGHEST])</f>
        <v>Toshiba SRP</v>
      </c>
      <c r="W5365" s="86" t="str">
        <f>_xlfn.CONCAT(表格1[[#This Row],[欄4]],表格1[[#This Row],[inv no]])</f>
        <v>5947</v>
      </c>
    </row>
    <row r="5366" spans="1:23" hidden="1">
      <c r="A5366" s="81">
        <v>5364</v>
      </c>
      <c r="B5366" s="86" t="s">
        <v>1470</v>
      </c>
      <c r="C5366" s="86" t="s">
        <v>2028</v>
      </c>
      <c r="D5366" s="89" t="str">
        <f ca="1">OFFSET(Roster!$A$3,MATCH(表格1[[#This Row],[Location]]&amp;" "&amp;表格1[[#This Row],[Shop]]&amp;"*",Roster!$A$4:$A$72,0),DAY(表格1[[#This Row],[date]]),1,1)</f>
        <v>Hung off</v>
      </c>
      <c r="E5366" s="86">
        <f>MONTH(表格1[[#This Row],[date]])</f>
        <v>3</v>
      </c>
      <c r="F5366" s="90">
        <v>46110</v>
      </c>
      <c r="G5366" s="86" t="str">
        <f>VLOOKUP("*"&amp;表格1[[#This Row],[Input]]&amp;"*",'Ref-List'!$B:$D,2,)</f>
        <v>KT-17DRTHK(H)</v>
      </c>
      <c r="H5366" s="86" t="str">
        <f>_xlfn.XLOOKUP(表格1[[#This Row],[Model]],表格3[Model-Input-Ref2],表格3[Product Line])</f>
        <v>無線雙層電熱水壺(1.7公升)</v>
      </c>
      <c r="I5366" s="86" t="str">
        <f>_xlfn.XLOOKUP(表格1[[#This Row],[Model]],表格3[Model-Input-Ref2],表格3[大小電])</f>
        <v>細電</v>
      </c>
      <c r="J5366" s="86" t="str">
        <f>_xlfn.XLOOKUP(表格1[[#This Row],[Model]],表格3[Model-Input-Ref2],表格3[Code])</f>
        <v>SDA</v>
      </c>
      <c r="K5366" s="89" t="s">
        <v>1271</v>
      </c>
      <c r="L5366" s="86">
        <v>1</v>
      </c>
      <c r="M5366" s="87">
        <v>388</v>
      </c>
      <c r="N5366" s="87">
        <f>IFERROR(表格1[[#This Row],[QTY]]*表格1[[#This Row],[Unit Price]],"-")</f>
        <v>388</v>
      </c>
      <c r="O5366" s="86">
        <v>5961</v>
      </c>
      <c r="R5366" s="86" t="str">
        <f>_xlfn.CONCAT(表格1[[#This Row],[Model]]," ",表格1[[#This Row],[inv no]])</f>
        <v>KT-17DRTHK(H) 5961</v>
      </c>
      <c r="S5366" s="86">
        <f>_xlfn.XLOOKUP(表格1[[#This Row],[Model]],表格3[Model-Input-Ref2],表格3[SRP PRICE])</f>
        <v>498</v>
      </c>
      <c r="T5366" s="43">
        <f>表格1[[#This Row],[Unit Price]]/表格1[[#This Row],[SRP]]</f>
        <v>0.77911646586345384</v>
      </c>
      <c r="U5366" s="86" t="str">
        <f>_xlfn.XLOOKUP(表格1[[#This Row],[Model]],表格3[Model-Input-Ref2],表格3[TOSHIBA/HIGHEST])</f>
        <v>Toshiba SRP</v>
      </c>
      <c r="W5366" s="86" t="str">
        <f>_xlfn.CONCAT(表格1[[#This Row],[欄4]],表格1[[#This Row],[inv no]])</f>
        <v>5961</v>
      </c>
    </row>
    <row r="5367" spans="1:23" hidden="1">
      <c r="A5367" s="81">
        <v>5365</v>
      </c>
      <c r="B5367" s="86" t="s">
        <v>1470</v>
      </c>
      <c r="C5367" s="86" t="s">
        <v>2028</v>
      </c>
      <c r="D5367" s="89" t="str">
        <f ca="1">OFFSET(Roster!$A$3,MATCH(表格1[[#This Row],[Location]]&amp;" "&amp;表格1[[#This Row],[Shop]]&amp;"*",Roster!$A$4:$A$72,0),DAY(表格1[[#This Row],[date]]),1,1)</f>
        <v>Hung off</v>
      </c>
      <c r="E5367" s="86">
        <f>MONTH(表格1[[#This Row],[date]])</f>
        <v>3</v>
      </c>
      <c r="F5367" s="90">
        <v>46110</v>
      </c>
      <c r="G5367" s="86" t="str">
        <f>VLOOKUP("*"&amp;表格1[[#This Row],[Input]]&amp;"*",'Ref-List'!$B:$D,2,)</f>
        <v>KT-17DRTHK(H)</v>
      </c>
      <c r="H5367" s="86" t="str">
        <f>_xlfn.XLOOKUP(表格1[[#This Row],[Model]],表格3[Model-Input-Ref2],表格3[Product Line])</f>
        <v>無線雙層電熱水壺(1.7公升)</v>
      </c>
      <c r="I5367" s="86" t="str">
        <f>_xlfn.XLOOKUP(表格1[[#This Row],[Model]],表格3[Model-Input-Ref2],表格3[大小電])</f>
        <v>細電</v>
      </c>
      <c r="J5367" s="86" t="str">
        <f>_xlfn.XLOOKUP(表格1[[#This Row],[Model]],表格3[Model-Input-Ref2],表格3[Code])</f>
        <v>SDA</v>
      </c>
      <c r="K5367" s="89" t="s">
        <v>1271</v>
      </c>
      <c r="L5367" s="86">
        <v>1</v>
      </c>
      <c r="M5367" s="87">
        <v>388</v>
      </c>
      <c r="N5367" s="87">
        <f>IFERROR(表格1[[#This Row],[QTY]]*表格1[[#This Row],[Unit Price]],"-")</f>
        <v>388</v>
      </c>
      <c r="O5367" s="86">
        <v>5962</v>
      </c>
      <c r="R5367" s="86" t="str">
        <f>_xlfn.CONCAT(表格1[[#This Row],[Model]]," ",表格1[[#This Row],[inv no]])</f>
        <v>KT-17DRTHK(H) 5962</v>
      </c>
      <c r="S5367" s="86">
        <f>_xlfn.XLOOKUP(表格1[[#This Row],[Model]],表格3[Model-Input-Ref2],表格3[SRP PRICE])</f>
        <v>498</v>
      </c>
      <c r="T5367" s="43">
        <f>表格1[[#This Row],[Unit Price]]/表格1[[#This Row],[SRP]]</f>
        <v>0.77911646586345384</v>
      </c>
      <c r="U5367" s="86" t="str">
        <f>_xlfn.XLOOKUP(表格1[[#This Row],[Model]],表格3[Model-Input-Ref2],表格3[TOSHIBA/HIGHEST])</f>
        <v>Toshiba SRP</v>
      </c>
      <c r="W5367" s="86" t="str">
        <f>_xlfn.CONCAT(表格1[[#This Row],[欄4]],表格1[[#This Row],[inv no]])</f>
        <v>5962</v>
      </c>
    </row>
    <row r="5368" spans="1:23" hidden="1">
      <c r="A5368" s="81">
        <v>5366</v>
      </c>
      <c r="B5368" s="86" t="s">
        <v>1470</v>
      </c>
      <c r="C5368" s="86" t="s">
        <v>2028</v>
      </c>
      <c r="D5368" s="89" t="str">
        <f ca="1">OFFSET(Roster!$A$3,MATCH(表格1[[#This Row],[Location]]&amp;" "&amp;表格1[[#This Row],[Shop]]&amp;"*",Roster!$A$4:$A$72,0),DAY(表格1[[#This Row],[date]]),1,1)</f>
        <v>Hung off</v>
      </c>
      <c r="E5368" s="86">
        <f>MONTH(表格1[[#This Row],[date]])</f>
        <v>3</v>
      </c>
      <c r="F5368" s="90">
        <v>46111</v>
      </c>
      <c r="G5368" s="86" t="str">
        <f>VLOOKUP("*"&amp;表格1[[#This Row],[Input]]&amp;"*",'Ref-List'!$B:$D,2,)</f>
        <v>TP-50DRUHK(W)</v>
      </c>
      <c r="H5368" s="86" t="str">
        <f>_xlfn.XLOOKUP(表格1[[#This Row],[Model]],表格3[Model-Input-Ref2],表格3[Product Line])</f>
        <v>電熱水瓶 (5公升)</v>
      </c>
      <c r="I5368" s="86" t="str">
        <f>_xlfn.XLOOKUP(表格1[[#This Row],[Model]],表格3[Model-Input-Ref2],表格3[大小電])</f>
        <v>細電</v>
      </c>
      <c r="J5368" s="86" t="str">
        <f>_xlfn.XLOOKUP(表格1[[#This Row],[Model]],表格3[Model-Input-Ref2],表格3[Code])</f>
        <v>SDA</v>
      </c>
      <c r="K5368" s="89" t="s">
        <v>1277</v>
      </c>
      <c r="L5368" s="86">
        <v>1</v>
      </c>
      <c r="M5368" s="87">
        <v>600</v>
      </c>
      <c r="N5368" s="87">
        <f>IFERROR(表格1[[#This Row],[QTY]]*表格1[[#This Row],[Unit Price]],"-")</f>
        <v>600</v>
      </c>
      <c r="O5368" s="86">
        <v>5967</v>
      </c>
      <c r="R5368" s="86" t="str">
        <f>_xlfn.CONCAT(表格1[[#This Row],[Model]]," ",表格1[[#This Row],[inv no]])</f>
        <v>TP-50DRUHK(W) 5967</v>
      </c>
      <c r="S5368" s="86">
        <f>_xlfn.XLOOKUP(表格1[[#This Row],[Model]],表格3[Model-Input-Ref2],表格3[SRP PRICE])</f>
        <v>718</v>
      </c>
      <c r="T5368" s="43">
        <f>表格1[[#This Row],[Unit Price]]/表格1[[#This Row],[SRP]]</f>
        <v>0.83565459610027859</v>
      </c>
      <c r="U5368" s="86" t="str">
        <f>_xlfn.XLOOKUP(表格1[[#This Row],[Model]],表格3[Model-Input-Ref2],表格3[TOSHIBA/HIGHEST])</f>
        <v>Toshiba SRP</v>
      </c>
      <c r="W5368" s="86" t="str">
        <f>_xlfn.CONCAT(表格1[[#This Row],[欄4]],表格1[[#This Row],[inv no]])</f>
        <v>5967</v>
      </c>
    </row>
    <row r="5369" spans="1:23" hidden="1">
      <c r="A5369" s="81">
        <v>5367</v>
      </c>
      <c r="B5369" s="86" t="s">
        <v>1470</v>
      </c>
      <c r="C5369" s="86" t="s">
        <v>2028</v>
      </c>
      <c r="D5369" s="89" t="str">
        <f ca="1">OFFSET(Roster!$A$3,MATCH(表格1[[#This Row],[Location]]&amp;" "&amp;表格1[[#This Row],[Shop]]&amp;"*",Roster!$A$4:$A$72,0),DAY(表格1[[#This Row],[date]]),1,1)</f>
        <v>Hung off</v>
      </c>
      <c r="E5369" s="86">
        <f>MONTH(表格1[[#This Row],[date]])</f>
        <v>3</v>
      </c>
      <c r="F5369" s="90">
        <v>46111</v>
      </c>
      <c r="G5369" s="86" t="str">
        <f>VLOOKUP("*"&amp;表格1[[#This Row],[Input]]&amp;"*",'Ref-List'!$B:$D,2,)</f>
        <v>RC-18NMFIH(WT)</v>
      </c>
      <c r="H5369" s="86" t="str">
        <f>_xlfn.XLOOKUP(表格1[[#This Row],[Model]],表格3[Model-Input-Ref2],表格3[Product Line])</f>
        <v>4毫米厚釜電飯煲1.8L</v>
      </c>
      <c r="I5369" s="86" t="str">
        <f>_xlfn.XLOOKUP(表格1[[#This Row],[Model]],表格3[Model-Input-Ref2],表格3[大小電])</f>
        <v>細電</v>
      </c>
      <c r="J5369" s="86" t="str">
        <f>_xlfn.XLOOKUP(表格1[[#This Row],[Model]],表格3[Model-Input-Ref2],表格3[Code])</f>
        <v>SDA</v>
      </c>
      <c r="K5369" s="89" t="s">
        <v>1267</v>
      </c>
      <c r="L5369" s="86">
        <v>1</v>
      </c>
      <c r="M5369" s="87">
        <v>828</v>
      </c>
      <c r="N5369" s="87">
        <f>IFERROR(表格1[[#This Row],[QTY]]*表格1[[#This Row],[Unit Price]],"-")</f>
        <v>828</v>
      </c>
      <c r="O5369" s="86">
        <v>6008</v>
      </c>
      <c r="R5369" s="86" t="str">
        <f>_xlfn.CONCAT(表格1[[#This Row],[Model]]," ",表格1[[#This Row],[inv no]])</f>
        <v>RC-18NMFIH(WT) 6008</v>
      </c>
      <c r="S5369" s="86">
        <f>_xlfn.XLOOKUP(表格1[[#This Row],[Model]],表格3[Model-Input-Ref2],表格3[SRP PRICE])</f>
        <v>998</v>
      </c>
      <c r="T5369" s="43">
        <f>表格1[[#This Row],[Unit Price]]/表格1[[#This Row],[SRP]]</f>
        <v>0.8296593186372746</v>
      </c>
      <c r="U5369" s="86" t="str">
        <f>_xlfn.XLOOKUP(表格1[[#This Row],[Model]],表格3[Model-Input-Ref2],表格3[TOSHIBA/HIGHEST])</f>
        <v>Toshiba SRP</v>
      </c>
      <c r="W5369" s="86" t="str">
        <f>_xlfn.CONCAT(表格1[[#This Row],[欄4]],表格1[[#This Row],[inv no]])</f>
        <v>6008</v>
      </c>
    </row>
    <row r="5370" spans="1:23" hidden="1">
      <c r="A5370" s="81">
        <v>5368</v>
      </c>
      <c r="B5370" s="86" t="s">
        <v>1470</v>
      </c>
      <c r="C5370" s="86" t="s">
        <v>2028</v>
      </c>
      <c r="D5370" s="89" t="str">
        <f ca="1">OFFSET(Roster!$A$3,MATCH(表格1[[#This Row],[Location]]&amp;" "&amp;表格1[[#This Row],[Shop]]&amp;"*",Roster!$A$4:$A$72,0),DAY(表格1[[#This Row],[date]]),1,1)</f>
        <v>Hung off</v>
      </c>
      <c r="E5370" s="86">
        <f>MONTH(表格1[[#This Row],[date]])</f>
        <v>3</v>
      </c>
      <c r="F5370" s="90">
        <v>46111</v>
      </c>
      <c r="G5370" s="86" t="str">
        <f>VLOOKUP("*"&amp;表格1[[#This Row],[Input]]&amp;"*",'Ref-List'!$B:$D,2,)</f>
        <v>MM2-EG20PC(WH)</v>
      </c>
      <c r="H5370" s="86" t="str">
        <f>_xlfn.XLOOKUP(表格1[[#This Row],[Model]],表格3[Model-Input-Ref2],表格3[Product Line])</f>
        <v>輕觸式燒烤微波爐</v>
      </c>
      <c r="I5370" s="86" t="str">
        <f>_xlfn.XLOOKUP(表格1[[#This Row],[Model]],表格3[Model-Input-Ref2],表格3[大小電])</f>
        <v>細電</v>
      </c>
      <c r="J5370" s="86" t="str">
        <f>_xlfn.XLOOKUP(表格1[[#This Row],[Model]],表格3[Model-Input-Ref2],表格3[Code])</f>
        <v>MCA</v>
      </c>
      <c r="K5370" s="89" t="s">
        <v>1273</v>
      </c>
      <c r="L5370" s="86">
        <v>1</v>
      </c>
      <c r="M5370" s="87">
        <v>638</v>
      </c>
      <c r="N5370" s="87">
        <f>IFERROR(表格1[[#This Row],[QTY]]*表格1[[#This Row],[Unit Price]],"-")</f>
        <v>638</v>
      </c>
      <c r="O5370" s="86">
        <v>6028</v>
      </c>
      <c r="R5370" s="86" t="str">
        <f>_xlfn.CONCAT(表格1[[#This Row],[Model]]," ",表格1[[#This Row],[inv no]])</f>
        <v>MM2-EG20PC(WH) 6028</v>
      </c>
      <c r="S5370" s="86">
        <f>_xlfn.XLOOKUP(表格1[[#This Row],[Model]],表格3[Model-Input-Ref2],表格3[SRP PRICE])</f>
        <v>918</v>
      </c>
      <c r="T5370" s="43">
        <f>表格1[[#This Row],[Unit Price]]/表格1[[#This Row],[SRP]]</f>
        <v>0.69498910675381265</v>
      </c>
      <c r="U5370" s="86" t="str">
        <f>_xlfn.XLOOKUP(表格1[[#This Row],[Model]],表格3[Model-Input-Ref2],表格3[TOSHIBA/HIGHEST])</f>
        <v>Shops Highest Price</v>
      </c>
      <c r="W5370" s="86" t="str">
        <f>_xlfn.CONCAT(表格1[[#This Row],[欄4]],表格1[[#This Row],[inv no]])</f>
        <v>6028</v>
      </c>
    </row>
    <row r="5371" spans="1:23" hidden="1">
      <c r="A5371" s="81">
        <v>5369</v>
      </c>
      <c r="B5371" s="86" t="s">
        <v>1470</v>
      </c>
      <c r="C5371" s="86" t="s">
        <v>2028</v>
      </c>
      <c r="D5371" s="89" t="str">
        <f ca="1">OFFSET(Roster!$A$3,MATCH(表格1[[#This Row],[Location]]&amp;" "&amp;表格1[[#This Row],[Shop]]&amp;"*",Roster!$A$4:$A$72,0),DAY(表格1[[#This Row],[date]]),1,1)</f>
        <v>Hung off</v>
      </c>
      <c r="E5371" s="86">
        <f>MONTH(表格1[[#This Row],[date]])</f>
        <v>3</v>
      </c>
      <c r="F5371" s="90">
        <v>46111</v>
      </c>
      <c r="G5371" s="86" t="str">
        <f>VLOOKUP("*"&amp;表格1[[#This Row],[Input]]&amp;"*",'Ref-List'!$B:$D,2,)</f>
        <v>ER-SD99HKW</v>
      </c>
      <c r="H5371" s="86" t="str">
        <f>_xlfn.XLOOKUP(表格1[[#This Row],[Model]],表格3[Model-Input-Ref2],表格3[Product Line])</f>
        <v>智能水波爐 (26公升)</v>
      </c>
      <c r="I5371" s="86" t="str">
        <f>_xlfn.XLOOKUP(表格1[[#This Row],[Model]],表格3[Model-Input-Ref2],表格3[大小電])</f>
        <v>細電</v>
      </c>
      <c r="J5371" s="86" t="str">
        <f>_xlfn.XLOOKUP(表格1[[#This Row],[Model]],表格3[Model-Input-Ref2],表格3[Code])</f>
        <v>MCA</v>
      </c>
      <c r="K5371" s="89" t="s">
        <v>1382</v>
      </c>
      <c r="L5371" s="86">
        <v>1</v>
      </c>
      <c r="M5371" s="87">
        <v>3500</v>
      </c>
      <c r="N5371" s="87">
        <f>IFERROR(表格1[[#This Row],[QTY]]*表格1[[#This Row],[Unit Price]],"-")</f>
        <v>3500</v>
      </c>
      <c r="O5371" s="86">
        <v>6038</v>
      </c>
      <c r="R5371" s="86" t="str">
        <f>_xlfn.CONCAT(表格1[[#This Row],[Model]]," ",表格1[[#This Row],[inv no]])</f>
        <v>ER-SD99HKW 6038</v>
      </c>
      <c r="S5371" s="86">
        <f>_xlfn.XLOOKUP(表格1[[#This Row],[Model]],表格3[Model-Input-Ref2],表格3[SRP PRICE])</f>
        <v>5888</v>
      </c>
      <c r="T5371" s="43">
        <f>表格1[[#This Row],[Unit Price]]/表格1[[#This Row],[SRP]]</f>
        <v>0.59442934782608692</v>
      </c>
      <c r="U5371" s="86" t="str">
        <f>_xlfn.XLOOKUP(表格1[[#This Row],[Model]],表格3[Model-Input-Ref2],表格3[TOSHIBA/HIGHEST])</f>
        <v>Toshiba SRP</v>
      </c>
      <c r="W5371" s="86" t="str">
        <f>_xlfn.CONCAT(表格1[[#This Row],[欄4]],表格1[[#This Row],[inv no]])</f>
        <v>6038</v>
      </c>
    </row>
    <row r="5372" spans="1:23" hidden="1">
      <c r="A5372" s="81">
        <v>5370</v>
      </c>
      <c r="B5372" s="86" t="s">
        <v>1470</v>
      </c>
      <c r="C5372" s="86" t="s">
        <v>2028</v>
      </c>
      <c r="D5372" s="89" t="str">
        <f ca="1">OFFSET(Roster!$A$3,MATCH(表格1[[#This Row],[Location]]&amp;" "&amp;表格1[[#This Row],[Shop]]&amp;"*",Roster!$A$4:$A$72,0),DAY(表格1[[#This Row],[date]]),1,1)</f>
        <v>Hung off</v>
      </c>
      <c r="E5372" s="86">
        <f>MONTH(表格1[[#This Row],[date]])</f>
        <v>3</v>
      </c>
      <c r="F5372" s="90">
        <v>46111</v>
      </c>
      <c r="G5372" s="86" t="str">
        <f>VLOOKUP("*"&amp;表格1[[#This Row],[Input]]&amp;"*",'Ref-List'!$B:$D,2,)</f>
        <v>ER-SD99HKW</v>
      </c>
      <c r="H5372" s="86" t="str">
        <f>_xlfn.XLOOKUP(表格1[[#This Row],[Model]],表格3[Model-Input-Ref2],表格3[Product Line])</f>
        <v>智能水波爐 (26公升)</v>
      </c>
      <c r="I5372" s="86" t="str">
        <f>_xlfn.XLOOKUP(表格1[[#This Row],[Model]],表格3[Model-Input-Ref2],表格3[大小電])</f>
        <v>細電</v>
      </c>
      <c r="J5372" s="86" t="str">
        <f>_xlfn.XLOOKUP(表格1[[#This Row],[Model]],表格3[Model-Input-Ref2],表格3[Code])</f>
        <v>MCA</v>
      </c>
      <c r="K5372" s="89" t="s">
        <v>1382</v>
      </c>
      <c r="L5372" s="86">
        <v>1</v>
      </c>
      <c r="M5372" s="87">
        <v>3580</v>
      </c>
      <c r="N5372" s="87">
        <f>IFERROR(表格1[[#This Row],[QTY]]*表格1[[#This Row],[Unit Price]],"-")</f>
        <v>3580</v>
      </c>
      <c r="O5372" s="86">
        <v>6077</v>
      </c>
      <c r="R5372" s="86" t="str">
        <f>_xlfn.CONCAT(表格1[[#This Row],[Model]]," ",表格1[[#This Row],[inv no]])</f>
        <v>ER-SD99HKW 6077</v>
      </c>
      <c r="S5372" s="86">
        <f>_xlfn.XLOOKUP(表格1[[#This Row],[Model]],表格3[Model-Input-Ref2],表格3[SRP PRICE])</f>
        <v>5888</v>
      </c>
      <c r="T5372" s="43">
        <f>表格1[[#This Row],[Unit Price]]/表格1[[#This Row],[SRP]]</f>
        <v>0.60801630434782605</v>
      </c>
      <c r="U5372" s="86" t="str">
        <f>_xlfn.XLOOKUP(表格1[[#This Row],[Model]],表格3[Model-Input-Ref2],表格3[TOSHIBA/HIGHEST])</f>
        <v>Toshiba SRP</v>
      </c>
      <c r="W5372" s="86" t="str">
        <f>_xlfn.CONCAT(表格1[[#This Row],[欄4]],表格1[[#This Row],[inv no]])</f>
        <v>6077</v>
      </c>
    </row>
    <row r="5373" spans="1:23" hidden="1">
      <c r="A5373" s="81">
        <v>5371</v>
      </c>
      <c r="B5373" s="86" t="s">
        <v>1470</v>
      </c>
      <c r="C5373" s="86" t="s">
        <v>2028</v>
      </c>
      <c r="D5373" s="89" t="str">
        <f ca="1">OFFSET(Roster!$A$3,MATCH(表格1[[#This Row],[Location]]&amp;" "&amp;表格1[[#This Row],[Shop]]&amp;"*",Roster!$A$4:$A$72,0),DAY(表格1[[#This Row],[date]]),1,1)</f>
        <v>Hung off</v>
      </c>
      <c r="E5373" s="86">
        <f>MONTH(表格1[[#This Row],[date]])</f>
        <v>3</v>
      </c>
      <c r="F5373" s="90">
        <v>46111</v>
      </c>
      <c r="G5373" s="86" t="str">
        <f>VLOOKUP("*"&amp;表格1[[#This Row],[Input]]&amp;"*",'Ref-List'!$B:$D,2,)</f>
        <v>TP-25DR2UHK(W)</v>
      </c>
      <c r="H5373" s="86" t="str">
        <f>_xlfn.XLOOKUP(表格1[[#This Row],[Model]],表格3[Model-Input-Ref2],表格3[Product Line])</f>
        <v>電熱水瓶 (2.5公升)</v>
      </c>
      <c r="I5373" s="86" t="str">
        <f>_xlfn.XLOOKUP(表格1[[#This Row],[Model]],表格3[Model-Input-Ref2],表格3[大小電])</f>
        <v>細電</v>
      </c>
      <c r="J5373" s="86" t="str">
        <f>_xlfn.XLOOKUP(表格1[[#This Row],[Model]],表格3[Model-Input-Ref2],表格3[Code])</f>
        <v>SDA</v>
      </c>
      <c r="K5373" s="89" t="s">
        <v>1285</v>
      </c>
      <c r="L5373" s="86">
        <v>1</v>
      </c>
      <c r="M5373" s="87">
        <v>398</v>
      </c>
      <c r="N5373" s="87">
        <f>IFERROR(表格1[[#This Row],[QTY]]*表格1[[#This Row],[Unit Price]],"-")</f>
        <v>398</v>
      </c>
      <c r="O5373" s="86">
        <v>6126</v>
      </c>
      <c r="R5373" s="86" t="str">
        <f>_xlfn.CONCAT(表格1[[#This Row],[Model]]," ",表格1[[#This Row],[inv no]])</f>
        <v>TP-25DR2UHK(W) 6126</v>
      </c>
      <c r="S5373" s="86">
        <f>_xlfn.XLOOKUP(表格1[[#This Row],[Model]],表格3[Model-Input-Ref2],表格3[SRP PRICE])</f>
        <v>538</v>
      </c>
      <c r="T5373" s="43">
        <f>表格1[[#This Row],[Unit Price]]/表格1[[#This Row],[SRP]]</f>
        <v>0.7397769516728625</v>
      </c>
      <c r="U5373" s="86" t="str">
        <f>_xlfn.XLOOKUP(表格1[[#This Row],[Model]],表格3[Model-Input-Ref2],表格3[TOSHIBA/HIGHEST])</f>
        <v>Toshiba SRP</v>
      </c>
      <c r="W5373" s="86" t="str">
        <f>_xlfn.CONCAT(表格1[[#This Row],[欄4]],表格1[[#This Row],[inv no]])</f>
        <v>6126</v>
      </c>
    </row>
    <row r="5374" spans="1:23" hidden="1">
      <c r="A5374" s="81">
        <v>5372</v>
      </c>
      <c r="B5374" s="86" t="s">
        <v>1470</v>
      </c>
      <c r="C5374" s="86" t="s">
        <v>2028</v>
      </c>
      <c r="D5374" s="89" t="str">
        <f ca="1">OFFSET(Roster!$A$3,MATCH(表格1[[#This Row],[Location]]&amp;" "&amp;表格1[[#This Row],[Shop]]&amp;"*",Roster!$A$4:$A$72,0),DAY(表格1[[#This Row],[date]]),1,1)</f>
        <v>Hung off</v>
      </c>
      <c r="E5374" s="86">
        <f>MONTH(表格1[[#This Row],[date]])</f>
        <v>3</v>
      </c>
      <c r="F5374" s="90">
        <v>46111</v>
      </c>
      <c r="G5374" s="86" t="str">
        <f>VLOOKUP("*"&amp;表格1[[#This Row],[Input]]&amp;"*",'Ref-List'!$B:$D,2,)</f>
        <v>RC-10ISSHK(W)</v>
      </c>
      <c r="H5374" s="86" t="str">
        <f>_xlfn.XLOOKUP(表格1[[#This Row],[Model]],表格3[Model-Input-Ref2],表格3[Product Line])</f>
        <v>磁應電飯煲(1公升)</v>
      </c>
      <c r="I5374" s="86" t="str">
        <f>_xlfn.XLOOKUP(表格1[[#This Row],[Model]],表格3[Model-Input-Ref2],表格3[大小電])</f>
        <v>細電</v>
      </c>
      <c r="J5374" s="86" t="str">
        <f>_xlfn.XLOOKUP(表格1[[#This Row],[Model]],表格3[Model-Input-Ref2],表格3[Code])</f>
        <v>SDA</v>
      </c>
      <c r="K5374" s="89" t="s">
        <v>1286</v>
      </c>
      <c r="L5374" s="86">
        <v>1</v>
      </c>
      <c r="M5374" s="87">
        <v>980</v>
      </c>
      <c r="N5374" s="87">
        <f>IFERROR(表格1[[#This Row],[QTY]]*表格1[[#This Row],[Unit Price]],"-")</f>
        <v>980</v>
      </c>
      <c r="O5374" s="86">
        <v>6127</v>
      </c>
      <c r="R5374" s="86" t="str">
        <f>_xlfn.CONCAT(表格1[[#This Row],[Model]]," ",表格1[[#This Row],[inv no]])</f>
        <v>RC-10ISSHK(W) 6127</v>
      </c>
      <c r="S5374" s="86">
        <f>_xlfn.XLOOKUP(表格1[[#This Row],[Model]],表格3[Model-Input-Ref2],表格3[SRP PRICE])</f>
        <v>1188</v>
      </c>
      <c r="T5374" s="43">
        <f>表格1[[#This Row],[Unit Price]]/表格1[[#This Row],[SRP]]</f>
        <v>0.82491582491582494</v>
      </c>
      <c r="U5374" s="86" t="str">
        <f>_xlfn.XLOOKUP(表格1[[#This Row],[Model]],表格3[Model-Input-Ref2],表格3[TOSHIBA/HIGHEST])</f>
        <v>Shops Highest Price</v>
      </c>
      <c r="W5374" s="86" t="str">
        <f>_xlfn.CONCAT(表格1[[#This Row],[欄4]],表格1[[#This Row],[inv no]])</f>
        <v>6127</v>
      </c>
    </row>
    <row r="5375" spans="1:23" hidden="1">
      <c r="A5375" s="81">
        <v>5373</v>
      </c>
      <c r="B5375" s="86" t="s">
        <v>1470</v>
      </c>
      <c r="C5375" s="86" t="s">
        <v>2028</v>
      </c>
      <c r="D5375" s="89" t="str">
        <f ca="1">OFFSET(Roster!$A$3,MATCH(表格1[[#This Row],[Location]]&amp;" "&amp;表格1[[#This Row],[Shop]]&amp;"*",Roster!$A$4:$A$72,0),DAY(表格1[[#This Row],[date]]),1,1)</f>
        <v>Hung off</v>
      </c>
      <c r="E5375" s="86">
        <f>MONTH(表格1[[#This Row],[date]])</f>
        <v>3</v>
      </c>
      <c r="F5375" s="90">
        <v>46111</v>
      </c>
      <c r="G5375" s="86" t="str">
        <f>VLOOKUP("*"&amp;表格1[[#This Row],[Input]]&amp;"*",'Ref-List'!$B:$D,2,)</f>
        <v>GR-RB221WE-PMA(57)</v>
      </c>
      <c r="H5375" s="86" t="str">
        <f>_xlfn.XLOOKUP(表格1[[#This Row],[Model]],表格3[Model-Input-Ref2],表格3[Product Line])</f>
        <v>變頻下置式雙門雪櫃（163L）</v>
      </c>
      <c r="I5375" s="86" t="str">
        <f>_xlfn.XLOOKUP(表格1[[#This Row],[Model]],表格3[Model-Input-Ref2],表格3[大小電])</f>
        <v>大電</v>
      </c>
      <c r="J5375" s="86" t="str">
        <f>_xlfn.XLOOKUP(表格1[[#This Row],[Model]],表格3[Model-Input-Ref2],表格3[Code])</f>
        <v>REF</v>
      </c>
      <c r="K5375" s="89" t="s">
        <v>1386</v>
      </c>
      <c r="L5375" s="86">
        <v>1</v>
      </c>
      <c r="M5375" s="87">
        <v>1880</v>
      </c>
      <c r="N5375" s="87">
        <f>IFERROR(表格1[[#This Row],[QTY]]*表格1[[#This Row],[Unit Price]],"-")</f>
        <v>1880</v>
      </c>
      <c r="O5375" s="86">
        <v>6197</v>
      </c>
      <c r="R5375" s="86" t="str">
        <f>_xlfn.CONCAT(表格1[[#This Row],[Model]]," ",表格1[[#This Row],[inv no]])</f>
        <v>GR-RB221WE-PMA(57) 6197</v>
      </c>
      <c r="S5375" s="86">
        <f>_xlfn.XLOOKUP(表格1[[#This Row],[Model]],表格3[Model-Input-Ref2],表格3[SRP PRICE])</f>
        <v>3480</v>
      </c>
      <c r="T5375" s="43">
        <f>表格1[[#This Row],[Unit Price]]/表格1[[#This Row],[SRP]]</f>
        <v>0.54022988505747127</v>
      </c>
      <c r="U5375" s="86" t="str">
        <f>_xlfn.XLOOKUP(表格1[[#This Row],[Model]],表格3[Model-Input-Ref2],表格3[TOSHIBA/HIGHEST])</f>
        <v>Toshiba SRP</v>
      </c>
      <c r="W5375" s="86" t="str">
        <f>_xlfn.CONCAT(表格1[[#This Row],[欄4]],表格1[[#This Row],[inv no]])</f>
        <v>6197</v>
      </c>
    </row>
    <row r="5376" spans="1:23" hidden="1">
      <c r="A5376" s="81">
        <v>5374</v>
      </c>
      <c r="B5376" s="86" t="s">
        <v>1470</v>
      </c>
      <c r="C5376" s="86" t="s">
        <v>2028</v>
      </c>
      <c r="D5376" s="89" t="str">
        <f ca="1">OFFSET(Roster!$A$3,MATCH(表格1[[#This Row],[Location]]&amp;" "&amp;表格1[[#This Row],[Shop]]&amp;"*",Roster!$A$4:$A$72,0),DAY(表格1[[#This Row],[date]]),1,1)</f>
        <v>Hung off</v>
      </c>
      <c r="E5376" s="86">
        <f>MONTH(表格1[[#This Row],[date]])</f>
        <v>3</v>
      </c>
      <c r="F5376" s="90">
        <v>46111</v>
      </c>
      <c r="G5376" s="86" t="str">
        <f>VLOOKUP("*"&amp;表格1[[#This Row],[Input]]&amp;"*",'Ref-List'!$B:$D,2,)</f>
        <v>RC-DS10K(R)</v>
      </c>
      <c r="H5376" s="86" t="str">
        <f>_xlfn.XLOOKUP(表格1[[#This Row],[Model]],表格3[Model-Input-Ref2],表格3[Product Line])</f>
        <v>IH磁應電飯煲</v>
      </c>
      <c r="I5376" s="86" t="str">
        <f>_xlfn.XLOOKUP(表格1[[#This Row],[Model]],表格3[Model-Input-Ref2],表格3[大小電])</f>
        <v>細電</v>
      </c>
      <c r="J5376" s="86" t="str">
        <f>_xlfn.XLOOKUP(表格1[[#This Row],[Model]],表格3[Model-Input-Ref2],表格3[Code])</f>
        <v>SDA</v>
      </c>
      <c r="K5376" s="89" t="s">
        <v>1424</v>
      </c>
      <c r="L5376" s="86">
        <v>1</v>
      </c>
      <c r="M5376" s="87">
        <v>2988</v>
      </c>
      <c r="N5376" s="87">
        <f>IFERROR(表格1[[#This Row],[QTY]]*表格1[[#This Row],[Unit Price]],"-")</f>
        <v>2988</v>
      </c>
      <c r="O5376" s="86">
        <v>6198</v>
      </c>
      <c r="R5376" s="86" t="str">
        <f>_xlfn.CONCAT(表格1[[#This Row],[Model]]," ",表格1[[#This Row],[inv no]])</f>
        <v>RC-DS10K(R) 6198</v>
      </c>
      <c r="S5376" s="86">
        <f>_xlfn.XLOOKUP(表格1[[#This Row],[Model]],表格3[Model-Input-Ref2],表格3[SRP PRICE])</f>
        <v>4588</v>
      </c>
      <c r="T5376" s="43">
        <f>表格1[[#This Row],[Unit Price]]/表格1[[#This Row],[SRP]]</f>
        <v>0.6512641673931997</v>
      </c>
      <c r="U5376" s="86" t="str">
        <f>_xlfn.XLOOKUP(表格1[[#This Row],[Model]],表格3[Model-Input-Ref2],表格3[TOSHIBA/HIGHEST])</f>
        <v>Toshiba SRP</v>
      </c>
      <c r="W5376" s="86" t="str">
        <f>_xlfn.CONCAT(表格1[[#This Row],[欄4]],表格1[[#This Row],[inv no]])</f>
        <v>6198</v>
      </c>
    </row>
    <row r="5377" spans="1:23" hidden="1">
      <c r="A5377" s="81">
        <v>5375</v>
      </c>
      <c r="B5377" s="86" t="s">
        <v>1470</v>
      </c>
      <c r="C5377" s="86" t="s">
        <v>2028</v>
      </c>
      <c r="D5377" s="89" t="str">
        <f ca="1">OFFSET(Roster!$A$3,MATCH(表格1[[#This Row],[Location]]&amp;" "&amp;表格1[[#This Row],[Shop]]&amp;"*",Roster!$A$4:$A$72,0),DAY(表格1[[#This Row],[date]]),1,1)</f>
        <v>Hung off</v>
      </c>
      <c r="E5377" s="86">
        <f>MONTH(表格1[[#This Row],[date]])</f>
        <v>3</v>
      </c>
      <c r="F5377" s="90">
        <v>46111</v>
      </c>
      <c r="G5377" s="86" t="str">
        <f>VLOOKUP("*"&amp;表格1[[#This Row],[Input]]&amp;"*",'Ref-List'!$B:$D,2,)</f>
        <v>MX2-STR25SC(WH)</v>
      </c>
      <c r="H5377" s="86" t="str">
        <f>_xlfn.XLOOKUP(表格1[[#This Row],[Model]],表格3[Model-Input-Ref2],表格3[Product Line])</f>
        <v>4合1氣炸微波蒸焗爐(25公升)</v>
      </c>
      <c r="I5377" s="86" t="str">
        <f>_xlfn.XLOOKUP(表格1[[#This Row],[Model]],表格3[Model-Input-Ref2],表格3[大小電])</f>
        <v>細電</v>
      </c>
      <c r="J5377" s="86" t="str">
        <f>_xlfn.XLOOKUP(表格1[[#This Row],[Model]],表格3[Model-Input-Ref2],表格3[Code])</f>
        <v>MCA</v>
      </c>
      <c r="K5377" s="89" t="s">
        <v>1410</v>
      </c>
      <c r="L5377" s="86">
        <v>1</v>
      </c>
      <c r="M5377" s="87">
        <v>3180</v>
      </c>
      <c r="N5377" s="87">
        <f>IFERROR(表格1[[#This Row],[QTY]]*表格1[[#This Row],[Unit Price]],"-")</f>
        <v>3180</v>
      </c>
      <c r="O5377" s="86">
        <v>6208</v>
      </c>
      <c r="R5377" s="86" t="str">
        <f>_xlfn.CONCAT(表格1[[#This Row],[Model]]," ",表格1[[#This Row],[inv no]])</f>
        <v>MX2-STR25SC(WH) 6208</v>
      </c>
      <c r="S5377" s="86">
        <f>_xlfn.XLOOKUP(表格1[[#This Row],[Model]],表格3[Model-Input-Ref2],表格3[SRP PRICE])</f>
        <v>4998</v>
      </c>
      <c r="T5377" s="43">
        <f>表格1[[#This Row],[Unit Price]]/表格1[[#This Row],[SRP]]</f>
        <v>0.6362545018007203</v>
      </c>
      <c r="U5377" s="86" t="str">
        <f>_xlfn.XLOOKUP(表格1[[#This Row],[Model]],表格3[Model-Input-Ref2],表格3[TOSHIBA/HIGHEST])</f>
        <v>Toshiba SRP</v>
      </c>
      <c r="W5377" s="86" t="str">
        <f>_xlfn.CONCAT(表格1[[#This Row],[欄4]],表格1[[#This Row],[inv no]])</f>
        <v>6208</v>
      </c>
    </row>
    <row r="5378" spans="1:23" hidden="1">
      <c r="A5378" s="81">
        <v>5376</v>
      </c>
      <c r="B5378" s="86" t="s">
        <v>1867</v>
      </c>
      <c r="C5378" s="86" t="s">
        <v>2480</v>
      </c>
      <c r="D5378" s="89" t="str">
        <f ca="1">OFFSET(Roster!$A$3,MATCH(表格1[[#This Row],[Location]]&amp;" "&amp;表格1[[#This Row],[Shop]]&amp;"*",Roster!$A$4:$A$72,0),DAY(表格1[[#This Row],[date]]),1,1)</f>
        <v>Connie</v>
      </c>
      <c r="E5378" s="86">
        <f>MONTH(表格1[[#This Row],[date]])</f>
        <v>3</v>
      </c>
      <c r="F5378" s="90">
        <v>46107</v>
      </c>
      <c r="G5378" s="86" t="str">
        <f>VLOOKUP("*"&amp;表格1[[#This Row],[Input]]&amp;"*",'Ref-List'!$B:$D,2,)</f>
        <v>GR-RM612WE-PGA(B5)</v>
      </c>
      <c r="H5378" s="86" t="str">
        <f>_xlfn.XLOOKUP(表格1[[#This Row],[Model]],表格3[Model-Input-Ref2],表格3[Product Line])</f>
        <v>變頻五門雪櫃(375L)</v>
      </c>
      <c r="I5378" s="86" t="str">
        <f>_xlfn.XLOOKUP(表格1[[#This Row],[Model]],表格3[Model-Input-Ref2],表格3[大小電])</f>
        <v>大電</v>
      </c>
      <c r="J5378" s="86" t="str">
        <f>_xlfn.XLOOKUP(表格1[[#This Row],[Model]],表格3[Model-Input-Ref2],表格3[Code])</f>
        <v>REF</v>
      </c>
      <c r="K5378" s="89" t="s">
        <v>1257</v>
      </c>
      <c r="L5378" s="86">
        <v>1</v>
      </c>
      <c r="M5378" s="87">
        <v>9389</v>
      </c>
      <c r="N5378" s="87">
        <f>IFERROR(表格1[[#This Row],[QTY]]*表格1[[#This Row],[Unit Price]],"-")</f>
        <v>9389</v>
      </c>
      <c r="O5378" s="86">
        <v>2631104</v>
      </c>
      <c r="R5378" s="86" t="str">
        <f>_xlfn.CONCAT(表格1[[#This Row],[Model]]," ",表格1[[#This Row],[inv no]])</f>
        <v>GR-RM612WE-PGA(B5) 2631104</v>
      </c>
      <c r="S5378" s="86">
        <f>_xlfn.XLOOKUP(表格1[[#This Row],[Model]],表格3[Model-Input-Ref2],表格3[SRP PRICE])</f>
        <v>11000</v>
      </c>
      <c r="T5378" s="43">
        <f>表格1[[#This Row],[Unit Price]]/表格1[[#This Row],[SRP]]</f>
        <v>0.8535454545454545</v>
      </c>
      <c r="U5378" s="86" t="str">
        <f>_xlfn.XLOOKUP(表格1[[#This Row],[Model]],表格3[Model-Input-Ref2],表格3[TOSHIBA/HIGHEST])</f>
        <v>Shops Highest Price</v>
      </c>
      <c r="W5378" s="86" t="str">
        <f>_xlfn.CONCAT(表格1[[#This Row],[欄4]],表格1[[#This Row],[inv no]])</f>
        <v>2631104</v>
      </c>
    </row>
    <row r="5379" spans="1:23" hidden="1">
      <c r="A5379" s="81">
        <v>5377</v>
      </c>
      <c r="B5379" s="86" t="s">
        <v>1867</v>
      </c>
      <c r="C5379" s="86" t="s">
        <v>2480</v>
      </c>
      <c r="D5379" s="89" t="str">
        <f ca="1">OFFSET(Roster!$A$3,MATCH(表格1[[#This Row],[Location]]&amp;" "&amp;表格1[[#This Row],[Shop]]&amp;"*",Roster!$A$4:$A$72,0),DAY(表格1[[#This Row],[date]]),1,1)</f>
        <v>Connie</v>
      </c>
      <c r="E5379" s="86">
        <f>MONTH(表格1[[#This Row],[date]])</f>
        <v>3</v>
      </c>
      <c r="F5379" s="90">
        <v>46107</v>
      </c>
      <c r="G5379" s="86" t="str">
        <f>VLOOKUP("*"&amp;表格1[[#This Row],[Input]]&amp;"*",'Ref-List'!$B:$D,2,)</f>
        <v>GR-RT234WE-PMA(57)</v>
      </c>
      <c r="H5379" s="86" t="str">
        <f>_xlfn.XLOOKUP(表格1[[#This Row],[Model]],表格3[Model-Input-Ref2],表格3[Product Line])</f>
        <v>變頻式環保雙門雪櫃（179L）</v>
      </c>
      <c r="I5379" s="86" t="str">
        <f>_xlfn.XLOOKUP(表格1[[#This Row],[Model]],表格3[Model-Input-Ref2],表格3[大小電])</f>
        <v>大電</v>
      </c>
      <c r="J5379" s="86" t="str">
        <f>_xlfn.XLOOKUP(表格1[[#This Row],[Model]],表格3[Model-Input-Ref2],表格3[Code])</f>
        <v>REF</v>
      </c>
      <c r="K5379" s="89" t="s">
        <v>1423</v>
      </c>
      <c r="L5379" s="86">
        <v>1</v>
      </c>
      <c r="M5379" s="87">
        <v>1830</v>
      </c>
      <c r="N5379" s="87">
        <f>IFERROR(表格1[[#This Row],[QTY]]*表格1[[#This Row],[Unit Price]],"-")</f>
        <v>1830</v>
      </c>
      <c r="O5379" s="86">
        <v>2631147</v>
      </c>
      <c r="R5379" s="86" t="str">
        <f>_xlfn.CONCAT(表格1[[#This Row],[Model]]," ",表格1[[#This Row],[inv no]])</f>
        <v>GR-RT234WE-PMA(57) 2631147</v>
      </c>
      <c r="S5379" s="86">
        <f>_xlfn.XLOOKUP(表格1[[#This Row],[Model]],表格3[Model-Input-Ref2],表格3[SRP PRICE])</f>
        <v>3680</v>
      </c>
      <c r="T5379" s="43">
        <f>表格1[[#This Row],[Unit Price]]/表格1[[#This Row],[SRP]]</f>
        <v>0.49728260869565216</v>
      </c>
      <c r="U5379" s="86" t="str">
        <f>_xlfn.XLOOKUP(表格1[[#This Row],[Model]],表格3[Model-Input-Ref2],表格3[TOSHIBA/HIGHEST])</f>
        <v>Toshiba SRP</v>
      </c>
      <c r="W5379" s="86" t="str">
        <f>_xlfn.CONCAT(表格1[[#This Row],[欄4]],表格1[[#This Row],[inv no]])</f>
        <v>2631147</v>
      </c>
    </row>
    <row r="5380" spans="1:23" hidden="1">
      <c r="A5380" s="81">
        <v>5378</v>
      </c>
      <c r="B5380" s="86" t="s">
        <v>1867</v>
      </c>
      <c r="C5380" s="86" t="s">
        <v>2480</v>
      </c>
      <c r="D5380" s="89" t="str">
        <f ca="1">OFFSET(Roster!$A$3,MATCH(表格1[[#This Row],[Location]]&amp;" "&amp;表格1[[#This Row],[Shop]]&amp;"*",Roster!$A$4:$A$72,0),DAY(表格1[[#This Row],[date]]),1,1)</f>
        <v>Connie</v>
      </c>
      <c r="E5380" s="86">
        <f>MONTH(表格1[[#This Row],[date]])</f>
        <v>3</v>
      </c>
      <c r="F5380" s="90">
        <v>46107</v>
      </c>
      <c r="G5380" s="86" t="str">
        <f>VLOOKUP("*"&amp;表格1[[#This Row],[Input]]&amp;"*",'Ref-List'!$B:$D,2,)</f>
        <v>TW-BL80A2H(WW)</v>
      </c>
      <c r="H5380" s="86" t="str">
        <f>_xlfn.XLOOKUP(表格1[[#This Row],[Model]],表格3[Model-Input-Ref2],表格3[Product Line])</f>
        <v>7KG前置式變頻洗衣機</v>
      </c>
      <c r="I5380" s="86" t="str">
        <f>_xlfn.XLOOKUP(表格1[[#This Row],[Model]],表格3[Model-Input-Ref2],表格3[大小電])</f>
        <v>大電</v>
      </c>
      <c r="J5380" s="86" t="str">
        <f>_xlfn.XLOOKUP(表格1[[#This Row],[Model]],表格3[Model-Input-Ref2],表格3[Code])</f>
        <v>WM</v>
      </c>
      <c r="K5380" s="89" t="s">
        <v>1943</v>
      </c>
      <c r="L5380" s="86">
        <v>1</v>
      </c>
      <c r="M5380" s="87">
        <v>2889</v>
      </c>
      <c r="N5380" s="87">
        <f>IFERROR(表格1[[#This Row],[QTY]]*表格1[[#This Row],[Unit Price]],"-")</f>
        <v>2889</v>
      </c>
      <c r="O5380" s="86">
        <v>2631178</v>
      </c>
      <c r="R5380" s="86" t="str">
        <f>_xlfn.CONCAT(表格1[[#This Row],[Model]]," ",表格1[[#This Row],[inv no]])</f>
        <v>TW-BL80A2H(WW) 2631178</v>
      </c>
      <c r="S5380" s="86">
        <f>_xlfn.XLOOKUP(表格1[[#This Row],[Model]],表格3[Model-Input-Ref2],表格3[SRP PRICE])</f>
        <v>3890</v>
      </c>
      <c r="T5380" s="43">
        <f>表格1[[#This Row],[Unit Price]]/表格1[[#This Row],[SRP]]</f>
        <v>0.74267352185089974</v>
      </c>
      <c r="U5380" s="86" t="str">
        <f>_xlfn.XLOOKUP(表格1[[#This Row],[Model]],表格3[Model-Input-Ref2],表格3[TOSHIBA/HIGHEST])</f>
        <v>Shops Highest Price</v>
      </c>
      <c r="W5380" s="86" t="str">
        <f>_xlfn.CONCAT(表格1[[#This Row],[欄4]],表格1[[#This Row],[inv no]])</f>
        <v>2631178</v>
      </c>
    </row>
    <row r="5381" spans="1:23" hidden="1">
      <c r="A5381" s="81">
        <v>5379</v>
      </c>
      <c r="B5381" s="86" t="s">
        <v>1867</v>
      </c>
      <c r="C5381" s="86" t="s">
        <v>2480</v>
      </c>
      <c r="D5381" s="89" t="str">
        <f ca="1">OFFSET(Roster!$A$3,MATCH(表格1[[#This Row],[Location]]&amp;" "&amp;表格1[[#This Row],[Shop]]&amp;"*",Roster!$A$4:$A$72,0),DAY(表格1[[#This Row],[date]]),1,1)</f>
        <v>Connie</v>
      </c>
      <c r="E5381" s="86">
        <f>MONTH(表格1[[#This Row],[date]])</f>
        <v>3</v>
      </c>
      <c r="F5381" s="90">
        <v>46108</v>
      </c>
      <c r="G5381" s="86" t="str">
        <f>VLOOKUP("*"&amp;表格1[[#This Row],[Input]]&amp;"*",'Ref-List'!$B:$D,2,)</f>
        <v>GR-RM598WE-PGA(B3)</v>
      </c>
      <c r="H5381" s="86" t="str">
        <f>_xlfn.XLOOKUP(表格1[[#This Row],[Model]],表格3[Model-Input-Ref2],表格3[Product Line])</f>
        <v>變頻六門雪櫃(451L)</v>
      </c>
      <c r="I5381" s="86" t="str">
        <f>_xlfn.XLOOKUP(表格1[[#This Row],[Model]],表格3[Model-Input-Ref2],表格3[大小電])</f>
        <v>大電</v>
      </c>
      <c r="J5381" s="86" t="str">
        <f>_xlfn.XLOOKUP(表格1[[#This Row],[Model]],表格3[Model-Input-Ref2],表格3[Code])</f>
        <v>REF</v>
      </c>
      <c r="K5381" s="89" t="s">
        <v>1491</v>
      </c>
      <c r="L5381" s="86">
        <v>1</v>
      </c>
      <c r="M5381" s="87">
        <v>10499</v>
      </c>
      <c r="N5381" s="87">
        <f>IFERROR(表格1[[#This Row],[QTY]]*表格1[[#This Row],[Unit Price]],"-")</f>
        <v>10499</v>
      </c>
      <c r="O5381" s="86">
        <v>2631158</v>
      </c>
      <c r="R5381" s="86" t="str">
        <f>_xlfn.CONCAT(表格1[[#This Row],[Model]]," ",表格1[[#This Row],[inv no]])</f>
        <v>GR-RM598WE-PGA(B3) 2631158</v>
      </c>
      <c r="S5381" s="86">
        <f>_xlfn.XLOOKUP(表格1[[#This Row],[Model]],表格3[Model-Input-Ref2],表格3[SRP PRICE])</f>
        <v>14980</v>
      </c>
      <c r="T5381" s="43">
        <f>表格1[[#This Row],[Unit Price]]/表格1[[#This Row],[SRP]]</f>
        <v>0.70086782376501999</v>
      </c>
      <c r="U5381" s="86" t="str">
        <f>_xlfn.XLOOKUP(表格1[[#This Row],[Model]],表格3[Model-Input-Ref2],表格3[TOSHIBA/HIGHEST])</f>
        <v>Toshiba SRP</v>
      </c>
      <c r="W5381" s="86" t="str">
        <f>_xlfn.CONCAT(表格1[[#This Row],[欄4]],表格1[[#This Row],[inv no]])</f>
        <v>2631158</v>
      </c>
    </row>
    <row r="5382" spans="1:23" hidden="1">
      <c r="A5382" s="81">
        <v>5380</v>
      </c>
      <c r="B5382" s="86" t="s">
        <v>1867</v>
      </c>
      <c r="C5382" s="86" t="s">
        <v>2480</v>
      </c>
      <c r="D5382" s="89" t="str">
        <f ca="1">OFFSET(Roster!$A$3,MATCH(表格1[[#This Row],[Location]]&amp;" "&amp;表格1[[#This Row],[Shop]]&amp;"*",Roster!$A$4:$A$72,0),DAY(表格1[[#This Row],[date]]),1,1)</f>
        <v>Connie</v>
      </c>
      <c r="E5382" s="86">
        <f>MONTH(表格1[[#This Row],[date]])</f>
        <v>3</v>
      </c>
      <c r="F5382" s="90">
        <v>46108</v>
      </c>
      <c r="G5382" s="86" t="str">
        <f>VLOOKUP("*"&amp;表格1[[#This Row],[Input]]&amp;"*",'Ref-List'!$B:$D,2,)</f>
        <v>GR-RM352WI-PMA(53)</v>
      </c>
      <c r="H5382" s="86" t="str">
        <f>_xlfn.XLOOKUP(表格1[[#This Row],[Model]],表格3[Model-Input-Ref2],表格3[Product Line])</f>
        <v>變頻三門雪櫃 (233L)</v>
      </c>
      <c r="I5382" s="86" t="str">
        <f>_xlfn.XLOOKUP(表格1[[#This Row],[Model]],表格3[Model-Input-Ref2],表格3[大小電])</f>
        <v>大電</v>
      </c>
      <c r="J5382" s="86" t="str">
        <f>_xlfn.XLOOKUP(表格1[[#This Row],[Model]],表格3[Model-Input-Ref2],表格3[Code])</f>
        <v>REF</v>
      </c>
      <c r="K5382" s="89" t="s">
        <v>1495</v>
      </c>
      <c r="L5382" s="86">
        <v>1</v>
      </c>
      <c r="M5382" s="87">
        <v>3689</v>
      </c>
      <c r="N5382" s="87">
        <f>IFERROR(表格1[[#This Row],[QTY]]*表格1[[#This Row],[Unit Price]],"-")</f>
        <v>3689</v>
      </c>
      <c r="O5382" s="86">
        <v>2631168</v>
      </c>
      <c r="R5382" s="86" t="str">
        <f>_xlfn.CONCAT(表格1[[#This Row],[Model]]," ",表格1[[#This Row],[inv no]])</f>
        <v>GR-RM352WI-PMA(53) 2631168</v>
      </c>
      <c r="S5382" s="86">
        <f>_xlfn.XLOOKUP(表格1[[#This Row],[Model]],表格3[Model-Input-Ref2],表格3[SRP PRICE])</f>
        <v>5580</v>
      </c>
      <c r="T5382" s="43">
        <f>表格1[[#This Row],[Unit Price]]/表格1[[#This Row],[SRP]]</f>
        <v>0.66111111111111109</v>
      </c>
      <c r="U5382" s="86" t="str">
        <f>_xlfn.XLOOKUP(表格1[[#This Row],[Model]],表格3[Model-Input-Ref2],表格3[TOSHIBA/HIGHEST])</f>
        <v>Toshiba SRP</v>
      </c>
      <c r="W5382" s="86" t="str">
        <f>_xlfn.CONCAT(表格1[[#This Row],[欄4]],表格1[[#This Row],[inv no]])</f>
        <v>2631168</v>
      </c>
    </row>
    <row r="5383" spans="1:23" hidden="1">
      <c r="A5383" s="81">
        <v>5381</v>
      </c>
      <c r="B5383" s="86" t="s">
        <v>1867</v>
      </c>
      <c r="C5383" s="86" t="s">
        <v>2480</v>
      </c>
      <c r="D5383" s="89" t="str">
        <f ca="1">OFFSET(Roster!$A$3,MATCH(表格1[[#This Row],[Location]]&amp;" "&amp;表格1[[#This Row],[Shop]]&amp;"*",Roster!$A$4:$A$72,0),DAY(表格1[[#This Row],[date]]),1,1)</f>
        <v>Connie</v>
      </c>
      <c r="E5383" s="86">
        <f>MONTH(表格1[[#This Row],[date]])</f>
        <v>3</v>
      </c>
      <c r="F5383" s="90">
        <v>46108</v>
      </c>
      <c r="G5383" s="86" t="str">
        <f>VLOOKUP("*"&amp;表格1[[#This Row],[Input]]&amp;"*",'Ref-List'!$B:$D,2,)</f>
        <v>TW-T21BU80UWH(MG)</v>
      </c>
      <c r="H5383" s="86" t="str">
        <f>_xlfn.XLOOKUP(表格1[[#This Row],[Model]],表格3[Model-Input-Ref2],表格3[Product Line])</f>
        <v>400MM超薄身前置式變頻洗衣機(7公斤)</v>
      </c>
      <c r="I5383" s="86" t="str">
        <f>_xlfn.XLOOKUP(表格1[[#This Row],[Model]],表格3[Model-Input-Ref2],表格3[大小電])</f>
        <v>大電</v>
      </c>
      <c r="J5383" s="86" t="str">
        <f>_xlfn.XLOOKUP(表格1[[#This Row],[Model]],表格3[Model-Input-Ref2],表格3[Code])</f>
        <v>LAD</v>
      </c>
      <c r="K5383" s="89" t="s">
        <v>1280</v>
      </c>
      <c r="L5383" s="86">
        <v>1</v>
      </c>
      <c r="M5383" s="87">
        <v>3089</v>
      </c>
      <c r="N5383" s="87">
        <f>IFERROR(表格1[[#This Row],[QTY]]*表格1[[#This Row],[Unit Price]],"-")</f>
        <v>3089</v>
      </c>
      <c r="O5383" s="86">
        <v>2631218</v>
      </c>
      <c r="R5383" s="86" t="str">
        <f>_xlfn.CONCAT(表格1[[#This Row],[Model]]," ",表格1[[#This Row],[inv no]])</f>
        <v>TW-T21BU80UWH(MG) 2631218</v>
      </c>
      <c r="S5383" s="86">
        <f>_xlfn.XLOOKUP(表格1[[#This Row],[Model]],表格3[Model-Input-Ref2],表格3[SRP PRICE])</f>
        <v>5180</v>
      </c>
      <c r="T5383" s="43">
        <f>表格1[[#This Row],[Unit Price]]/表格1[[#This Row],[SRP]]</f>
        <v>0.59633204633204628</v>
      </c>
      <c r="U5383" s="86" t="str">
        <f>_xlfn.XLOOKUP(表格1[[#This Row],[Model]],表格3[Model-Input-Ref2],表格3[TOSHIBA/HIGHEST])</f>
        <v>Toshiba SRP</v>
      </c>
      <c r="W5383" s="86" t="str">
        <f>_xlfn.CONCAT(表格1[[#This Row],[欄4]],表格1[[#This Row],[inv no]])</f>
        <v>2631218</v>
      </c>
    </row>
    <row r="5384" spans="1:23" hidden="1">
      <c r="A5384" s="81">
        <v>5382</v>
      </c>
      <c r="B5384" s="86" t="s">
        <v>1867</v>
      </c>
      <c r="C5384" s="86" t="s">
        <v>2480</v>
      </c>
      <c r="D5384" s="89" t="str">
        <f ca="1">OFFSET(Roster!$A$3,MATCH(表格1[[#This Row],[Location]]&amp;" "&amp;表格1[[#This Row],[Shop]]&amp;"*",Roster!$A$4:$A$72,0),DAY(表格1[[#This Row],[date]]),1,1)</f>
        <v>Connie</v>
      </c>
      <c r="E5384" s="86">
        <f>MONTH(表格1[[#This Row],[date]])</f>
        <v>3</v>
      </c>
      <c r="F5384" s="90">
        <v>46108</v>
      </c>
      <c r="G5384" s="86" t="str">
        <f>VLOOKUP("*"&amp;表格1[[#This Row],[Input]]&amp;"*",'Ref-List'!$B:$D,2,)</f>
        <v>EB-T500APW</v>
      </c>
      <c r="H5384" s="86" t="str">
        <f>_xlfn.XLOOKUP(表格1[[#This Row],[Model]],表格3[Model-Input-Ref2],表格3[Product Line])</f>
        <v>JAPANDi 嵌入式微波氣炸蒸焗爐 (45厘米)</v>
      </c>
      <c r="I5384" s="86" t="str">
        <f>_xlfn.XLOOKUP(表格1[[#This Row],[Model]],表格3[Model-Input-Ref2],表格3[大小電])</f>
        <v>大電</v>
      </c>
      <c r="J5384" s="86" t="str">
        <f>_xlfn.XLOOKUP(表格1[[#This Row],[Model]],表格3[Model-Input-Ref2],表格3[Code])</f>
        <v>MCA</v>
      </c>
      <c r="K5384" s="89" t="s">
        <v>1528</v>
      </c>
      <c r="L5384" s="86">
        <v>1</v>
      </c>
      <c r="M5384" s="87">
        <v>13800</v>
      </c>
      <c r="N5384" s="87">
        <f>IFERROR(表格1[[#This Row],[QTY]]*表格1[[#This Row],[Unit Price]],"-")</f>
        <v>13800</v>
      </c>
      <c r="O5384" s="86">
        <v>2631235</v>
      </c>
      <c r="R5384" s="86" t="str">
        <f>_xlfn.CONCAT(表格1[[#This Row],[Model]]," ",表格1[[#This Row],[inv no]])</f>
        <v>EB-T500APW 2631235</v>
      </c>
      <c r="S5384" s="86">
        <f>_xlfn.XLOOKUP(表格1[[#This Row],[Model]],表格3[Model-Input-Ref2],表格3[SRP PRICE])</f>
        <v>28800</v>
      </c>
      <c r="T5384" s="43">
        <f>表格1[[#This Row],[Unit Price]]/表格1[[#This Row],[SRP]]</f>
        <v>0.47916666666666669</v>
      </c>
      <c r="U5384" s="86" t="str">
        <f>_xlfn.XLOOKUP(表格1[[#This Row],[Model]],表格3[Model-Input-Ref2],表格3[TOSHIBA/HIGHEST])</f>
        <v>Toshiba SRP</v>
      </c>
      <c r="W5384" s="86" t="str">
        <f>_xlfn.CONCAT(表格1[[#This Row],[欄4]],表格1[[#This Row],[inv no]])</f>
        <v>2631235</v>
      </c>
    </row>
    <row r="5385" spans="1:23" hidden="1">
      <c r="A5385" s="81">
        <v>5383</v>
      </c>
      <c r="B5385" s="86" t="s">
        <v>1867</v>
      </c>
      <c r="C5385" s="86" t="s">
        <v>2480</v>
      </c>
      <c r="D5385" s="89" t="str">
        <f ca="1">OFFSET(Roster!$A$3,MATCH(表格1[[#This Row],[Location]]&amp;" "&amp;表格1[[#This Row],[Shop]]&amp;"*",Roster!$A$4:$A$72,0),DAY(表格1[[#This Row],[date]]),1,1)</f>
        <v>Connie</v>
      </c>
      <c r="E5385" s="86">
        <f>MONTH(表格1[[#This Row],[date]])</f>
        <v>3</v>
      </c>
      <c r="F5385" s="90">
        <v>46109</v>
      </c>
      <c r="G5385" s="86" t="str">
        <f>VLOOKUP("*"&amp;表格1[[#This Row],[Input]]&amp;"*",'Ref-List'!$B:$D,2,)</f>
        <v>MW3-SAC24SE(BK)</v>
      </c>
      <c r="H5385" s="86" t="str">
        <f>_xlfn.XLOOKUP(表格1[[#This Row],[Model]],表格3[Model-Input-Ref2],表格3[Product Line])</f>
        <v>智能氣炸烤焗爐(24公升)</v>
      </c>
      <c r="I5385" s="86" t="str">
        <f>_xlfn.XLOOKUP(表格1[[#This Row],[Model]],表格3[Model-Input-Ref2],表格3[大小電])</f>
        <v>細電</v>
      </c>
      <c r="J5385" s="86" t="str">
        <f>_xlfn.XLOOKUP(表格1[[#This Row],[Model]],表格3[Model-Input-Ref2],表格3[Code])</f>
        <v>MCA</v>
      </c>
      <c r="K5385" s="89" t="s">
        <v>1274</v>
      </c>
      <c r="L5385" s="86">
        <v>1</v>
      </c>
      <c r="M5385" s="87">
        <v>1249</v>
      </c>
      <c r="N5385" s="87">
        <f>IFERROR(表格1[[#This Row],[QTY]]*表格1[[#This Row],[Unit Price]],"-")</f>
        <v>1249</v>
      </c>
      <c r="O5385" s="86">
        <v>2631252</v>
      </c>
      <c r="R5385" s="86" t="str">
        <f>_xlfn.CONCAT(表格1[[#This Row],[Model]]," ",表格1[[#This Row],[inv no]])</f>
        <v>MW3-SAC24SE(BK) 2631252</v>
      </c>
      <c r="S5385" s="86">
        <f>_xlfn.XLOOKUP(表格1[[#This Row],[Model]],表格3[Model-Input-Ref2],表格3[SRP PRICE])</f>
        <v>1680</v>
      </c>
      <c r="T5385" s="43">
        <f>表格1[[#This Row],[Unit Price]]/表格1[[#This Row],[SRP]]</f>
        <v>0.74345238095238098</v>
      </c>
      <c r="U5385" s="86" t="str">
        <f>_xlfn.XLOOKUP(表格1[[#This Row],[Model]],表格3[Model-Input-Ref2],表格3[TOSHIBA/HIGHEST])</f>
        <v>Toshiba SRP</v>
      </c>
      <c r="W5385" s="86" t="str">
        <f>_xlfn.CONCAT(表格1[[#This Row],[欄4]],表格1[[#This Row],[inv no]])</f>
        <v>2631252</v>
      </c>
    </row>
    <row r="5386" spans="1:23" hidden="1">
      <c r="A5386" s="81">
        <v>5384</v>
      </c>
      <c r="B5386" s="86" t="s">
        <v>1867</v>
      </c>
      <c r="C5386" s="86" t="s">
        <v>2480</v>
      </c>
      <c r="D5386" s="89" t="str">
        <f ca="1">OFFSET(Roster!$A$3,MATCH(表格1[[#This Row],[Location]]&amp;" "&amp;表格1[[#This Row],[Shop]]&amp;"*",Roster!$A$4:$A$72,0),DAY(表格1[[#This Row],[date]]),1,1)</f>
        <v>Connie</v>
      </c>
      <c r="E5386" s="86">
        <f>MONTH(表格1[[#This Row],[date]])</f>
        <v>3</v>
      </c>
      <c r="F5386" s="90">
        <v>46109</v>
      </c>
      <c r="G5386" s="86" t="str">
        <f>VLOOKUP("*"&amp;表格1[[#This Row],[Input]]&amp;"*",'Ref-List'!$B:$D,2,)</f>
        <v>EB-T500APW</v>
      </c>
      <c r="H5386" s="86" t="str">
        <f>_xlfn.XLOOKUP(表格1[[#This Row],[Model]],表格3[Model-Input-Ref2],表格3[Product Line])</f>
        <v>JAPANDi 嵌入式微波氣炸蒸焗爐 (45厘米)</v>
      </c>
      <c r="I5386" s="86" t="str">
        <f>_xlfn.XLOOKUP(表格1[[#This Row],[Model]],表格3[Model-Input-Ref2],表格3[大小電])</f>
        <v>大電</v>
      </c>
      <c r="J5386" s="86" t="str">
        <f>_xlfn.XLOOKUP(表格1[[#This Row],[Model]],表格3[Model-Input-Ref2],表格3[Code])</f>
        <v>MCA</v>
      </c>
      <c r="K5386" s="89" t="s">
        <v>1528</v>
      </c>
      <c r="L5386" s="86">
        <v>1</v>
      </c>
      <c r="M5386" s="87">
        <v>13800</v>
      </c>
      <c r="N5386" s="87">
        <f>IFERROR(表格1[[#This Row],[QTY]]*表格1[[#This Row],[Unit Price]],"-")</f>
        <v>13800</v>
      </c>
      <c r="O5386" s="86">
        <v>2631257</v>
      </c>
      <c r="R5386" s="86" t="str">
        <f>_xlfn.CONCAT(表格1[[#This Row],[Model]]," ",表格1[[#This Row],[inv no]])</f>
        <v>EB-T500APW 2631257</v>
      </c>
      <c r="S5386" s="86">
        <f>_xlfn.XLOOKUP(表格1[[#This Row],[Model]],表格3[Model-Input-Ref2],表格3[SRP PRICE])</f>
        <v>28800</v>
      </c>
      <c r="T5386" s="43">
        <f>表格1[[#This Row],[Unit Price]]/表格1[[#This Row],[SRP]]</f>
        <v>0.47916666666666669</v>
      </c>
      <c r="U5386" s="86" t="str">
        <f>_xlfn.XLOOKUP(表格1[[#This Row],[Model]],表格3[Model-Input-Ref2],表格3[TOSHIBA/HIGHEST])</f>
        <v>Toshiba SRP</v>
      </c>
      <c r="W5386" s="86" t="str">
        <f>_xlfn.CONCAT(表格1[[#This Row],[欄4]],表格1[[#This Row],[inv no]])</f>
        <v>2631257</v>
      </c>
    </row>
    <row r="5387" spans="1:23" hidden="1">
      <c r="A5387" s="81">
        <v>5385</v>
      </c>
      <c r="B5387" s="86" t="s">
        <v>1867</v>
      </c>
      <c r="C5387" s="86" t="s">
        <v>2480</v>
      </c>
      <c r="D5387" s="89" t="str">
        <f ca="1">OFFSET(Roster!$A$3,MATCH(表格1[[#This Row],[Location]]&amp;" "&amp;表格1[[#This Row],[Shop]]&amp;"*",Roster!$A$4:$A$72,0),DAY(表格1[[#This Row],[date]]),1,1)</f>
        <v>Connie</v>
      </c>
      <c r="E5387" s="86">
        <f>MONTH(表格1[[#This Row],[date]])</f>
        <v>3</v>
      </c>
      <c r="F5387" s="90">
        <v>46109</v>
      </c>
      <c r="G5387" s="86" t="str">
        <f>VLOOKUP("*"&amp;表格1[[#This Row],[Input]]&amp;"*",'Ref-List'!$B:$D,2,)</f>
        <v>GR-RM598WE-PGA(B3)</v>
      </c>
      <c r="H5387" s="86" t="str">
        <f>_xlfn.XLOOKUP(表格1[[#This Row],[Model]],表格3[Model-Input-Ref2],表格3[Product Line])</f>
        <v>變頻六門雪櫃(451L)</v>
      </c>
      <c r="I5387" s="86" t="str">
        <f>_xlfn.XLOOKUP(表格1[[#This Row],[Model]],表格3[Model-Input-Ref2],表格3[大小電])</f>
        <v>大電</v>
      </c>
      <c r="J5387" s="86" t="str">
        <f>_xlfn.XLOOKUP(表格1[[#This Row],[Model]],表格3[Model-Input-Ref2],表格3[Code])</f>
        <v>REF</v>
      </c>
      <c r="K5387" s="89" t="s">
        <v>1491</v>
      </c>
      <c r="L5387" s="86">
        <v>1</v>
      </c>
      <c r="M5387" s="87">
        <v>10499</v>
      </c>
      <c r="N5387" s="87">
        <f>IFERROR(表格1[[#This Row],[QTY]]*表格1[[#This Row],[Unit Price]],"-")</f>
        <v>10499</v>
      </c>
      <c r="O5387" s="86">
        <v>2631257</v>
      </c>
      <c r="R5387" s="86" t="str">
        <f>_xlfn.CONCAT(表格1[[#This Row],[Model]]," ",表格1[[#This Row],[inv no]])</f>
        <v>GR-RM598WE-PGA(B3) 2631257</v>
      </c>
      <c r="S5387" s="86">
        <f>_xlfn.XLOOKUP(表格1[[#This Row],[Model]],表格3[Model-Input-Ref2],表格3[SRP PRICE])</f>
        <v>14980</v>
      </c>
      <c r="T5387" s="43">
        <f>表格1[[#This Row],[Unit Price]]/表格1[[#This Row],[SRP]]</f>
        <v>0.70086782376501999</v>
      </c>
      <c r="U5387" s="86" t="str">
        <f>_xlfn.XLOOKUP(表格1[[#This Row],[Model]],表格3[Model-Input-Ref2],表格3[TOSHIBA/HIGHEST])</f>
        <v>Toshiba SRP</v>
      </c>
      <c r="W5387" s="86" t="str">
        <f>_xlfn.CONCAT(表格1[[#This Row],[欄4]],表格1[[#This Row],[inv no]])</f>
        <v>2631257</v>
      </c>
    </row>
    <row r="5388" spans="1:23" hidden="1">
      <c r="A5388" s="81">
        <v>5386</v>
      </c>
      <c r="B5388" s="86" t="s">
        <v>1867</v>
      </c>
      <c r="C5388" s="86" t="s">
        <v>2480</v>
      </c>
      <c r="D5388" s="89" t="str">
        <f ca="1">OFFSET(Roster!$A$3,MATCH(表格1[[#This Row],[Location]]&amp;" "&amp;表格1[[#This Row],[Shop]]&amp;"*",Roster!$A$4:$A$72,0),DAY(表格1[[#This Row],[date]]),1,1)</f>
        <v>Connie</v>
      </c>
      <c r="E5388" s="86">
        <f>MONTH(表格1[[#This Row],[date]])</f>
        <v>3</v>
      </c>
      <c r="F5388" s="90">
        <v>46109</v>
      </c>
      <c r="G5388" s="86" t="str">
        <f>VLOOKUP("*"&amp;表格1[[#This Row],[Input]]&amp;"*",'Ref-List'!$B:$D,2,)</f>
        <v>TWD-BN90GF4H(WK)</v>
      </c>
      <c r="H5388" s="86" t="str">
        <f>_xlfn.XLOOKUP(表格1[[#This Row],[Model]],表格3[Model-Input-Ref2],表格3[Product Line])</f>
        <v>超薄身前置式洗衣乾衣機 (洗8公斤 乾5公斤)</v>
      </c>
      <c r="I5388" s="86" t="str">
        <f>_xlfn.XLOOKUP(表格1[[#This Row],[Model]],表格3[Model-Input-Ref2],表格3[大小電])</f>
        <v>大電</v>
      </c>
      <c r="J5388" s="86" t="str">
        <f>_xlfn.XLOOKUP(表格1[[#This Row],[Model]],表格3[Model-Input-Ref2],表格3[Code])</f>
        <v>WM</v>
      </c>
      <c r="K5388" s="89" t="s">
        <v>1199</v>
      </c>
      <c r="L5388" s="86">
        <v>1</v>
      </c>
      <c r="M5388" s="87">
        <v>3789</v>
      </c>
      <c r="N5388" s="87">
        <f>IFERROR(表格1[[#This Row],[QTY]]*表格1[[#This Row],[Unit Price]],"-")</f>
        <v>3789</v>
      </c>
      <c r="O5388" s="86">
        <v>2631276</v>
      </c>
      <c r="R5388" s="86" t="str">
        <f>_xlfn.CONCAT(表格1[[#This Row],[Model]]," ",表格1[[#This Row],[inv no]])</f>
        <v>TWD-BN90GF4H(WK) 2631276</v>
      </c>
      <c r="S5388" s="86">
        <f>_xlfn.XLOOKUP(表格1[[#This Row],[Model]],表格3[Model-Input-Ref2],表格3[SRP PRICE])</f>
        <v>5980</v>
      </c>
      <c r="T5388" s="43">
        <f>表格1[[#This Row],[Unit Price]]/表格1[[#This Row],[SRP]]</f>
        <v>0.63361204013377925</v>
      </c>
      <c r="U5388" s="86" t="str">
        <f>_xlfn.XLOOKUP(表格1[[#This Row],[Model]],表格3[Model-Input-Ref2],表格3[TOSHIBA/HIGHEST])</f>
        <v>Toshiba SRP</v>
      </c>
      <c r="W5388" s="86" t="str">
        <f>_xlfn.CONCAT(表格1[[#This Row],[欄4]],表格1[[#This Row],[inv no]])</f>
        <v>2631276</v>
      </c>
    </row>
    <row r="5389" spans="1:23" hidden="1">
      <c r="A5389" s="81">
        <v>5387</v>
      </c>
      <c r="B5389" s="86" t="s">
        <v>1867</v>
      </c>
      <c r="C5389" s="86" t="s">
        <v>2480</v>
      </c>
      <c r="D5389" s="89" t="str">
        <f ca="1">OFFSET(Roster!$A$3,MATCH(表格1[[#This Row],[Location]]&amp;" "&amp;表格1[[#This Row],[Shop]]&amp;"*",Roster!$A$4:$A$72,0),DAY(表格1[[#This Row],[date]]),1,1)</f>
        <v>Connie</v>
      </c>
      <c r="E5389" s="86">
        <f>MONTH(表格1[[#This Row],[date]])</f>
        <v>3</v>
      </c>
      <c r="F5389" s="90">
        <v>46109</v>
      </c>
      <c r="G5389" s="86" t="str">
        <f>VLOOKUP("*"&amp;表格1[[#This Row],[Input]]&amp;"*",'Ref-List'!$B:$D,2,)</f>
        <v>EB-T500APW</v>
      </c>
      <c r="H5389" s="86" t="str">
        <f>_xlfn.XLOOKUP(表格1[[#This Row],[Model]],表格3[Model-Input-Ref2],表格3[Product Line])</f>
        <v>JAPANDi 嵌入式微波氣炸蒸焗爐 (45厘米)</v>
      </c>
      <c r="I5389" s="86" t="str">
        <f>_xlfn.XLOOKUP(表格1[[#This Row],[Model]],表格3[Model-Input-Ref2],表格3[大小電])</f>
        <v>大電</v>
      </c>
      <c r="J5389" s="86" t="str">
        <f>_xlfn.XLOOKUP(表格1[[#This Row],[Model]],表格3[Model-Input-Ref2],表格3[Code])</f>
        <v>MCA</v>
      </c>
      <c r="K5389" s="89" t="s">
        <v>1528</v>
      </c>
      <c r="L5389" s="86">
        <v>1</v>
      </c>
      <c r="M5389" s="87">
        <v>13800</v>
      </c>
      <c r="N5389" s="87">
        <f>IFERROR(表格1[[#This Row],[QTY]]*表格1[[#This Row],[Unit Price]],"-")</f>
        <v>13800</v>
      </c>
      <c r="O5389" s="86">
        <v>2631288</v>
      </c>
      <c r="R5389" s="86" t="str">
        <f>_xlfn.CONCAT(表格1[[#This Row],[Model]]," ",表格1[[#This Row],[inv no]])</f>
        <v>EB-T500APW 2631288</v>
      </c>
      <c r="S5389" s="86">
        <f>_xlfn.XLOOKUP(表格1[[#This Row],[Model]],表格3[Model-Input-Ref2],表格3[SRP PRICE])</f>
        <v>28800</v>
      </c>
      <c r="T5389" s="43">
        <f>表格1[[#This Row],[Unit Price]]/表格1[[#This Row],[SRP]]</f>
        <v>0.47916666666666669</v>
      </c>
      <c r="U5389" s="86" t="str">
        <f>_xlfn.XLOOKUP(表格1[[#This Row],[Model]],表格3[Model-Input-Ref2],表格3[TOSHIBA/HIGHEST])</f>
        <v>Toshiba SRP</v>
      </c>
      <c r="W5389" s="86" t="str">
        <f>_xlfn.CONCAT(表格1[[#This Row],[欄4]],表格1[[#This Row],[inv no]])</f>
        <v>2631288</v>
      </c>
    </row>
    <row r="5390" spans="1:23" hidden="1">
      <c r="A5390" s="81">
        <v>5388</v>
      </c>
      <c r="B5390" s="86" t="s">
        <v>1867</v>
      </c>
      <c r="C5390" s="86" t="s">
        <v>2480</v>
      </c>
      <c r="D5390" s="89" t="str">
        <f ca="1">OFFSET(Roster!$A$3,MATCH(表格1[[#This Row],[Location]]&amp;" "&amp;表格1[[#This Row],[Shop]]&amp;"*",Roster!$A$4:$A$72,0),DAY(表格1[[#This Row],[date]]),1,1)</f>
        <v>Connie</v>
      </c>
      <c r="E5390" s="86">
        <f>MONTH(表格1[[#This Row],[date]])</f>
        <v>3</v>
      </c>
      <c r="F5390" s="90">
        <v>46110</v>
      </c>
      <c r="G5390" s="86" t="str">
        <f>VLOOKUP("*"&amp;表格1[[#This Row],[Input]]&amp;"*",'Ref-List'!$B:$D,2,)</f>
        <v>EB-T500APW</v>
      </c>
      <c r="H5390" s="86" t="str">
        <f>_xlfn.XLOOKUP(表格1[[#This Row],[Model]],表格3[Model-Input-Ref2],表格3[Product Line])</f>
        <v>JAPANDi 嵌入式微波氣炸蒸焗爐 (45厘米)</v>
      </c>
      <c r="I5390" s="86" t="str">
        <f>_xlfn.XLOOKUP(表格1[[#This Row],[Model]],表格3[Model-Input-Ref2],表格3[大小電])</f>
        <v>大電</v>
      </c>
      <c r="J5390" s="86" t="str">
        <f>_xlfn.XLOOKUP(表格1[[#This Row],[Model]],表格3[Model-Input-Ref2],表格3[Code])</f>
        <v>MCA</v>
      </c>
      <c r="K5390" s="89" t="s">
        <v>1528</v>
      </c>
      <c r="L5390" s="86">
        <v>1</v>
      </c>
      <c r="M5390" s="87">
        <v>13800</v>
      </c>
      <c r="N5390" s="87">
        <f>IFERROR(表格1[[#This Row],[QTY]]*表格1[[#This Row],[Unit Price]],"-")</f>
        <v>13800</v>
      </c>
      <c r="O5390" s="86">
        <v>2631345</v>
      </c>
      <c r="R5390" s="86" t="str">
        <f>_xlfn.CONCAT(表格1[[#This Row],[Model]]," ",表格1[[#This Row],[inv no]])</f>
        <v>EB-T500APW 2631345</v>
      </c>
      <c r="S5390" s="86">
        <f>_xlfn.XLOOKUP(表格1[[#This Row],[Model]],表格3[Model-Input-Ref2],表格3[SRP PRICE])</f>
        <v>28800</v>
      </c>
      <c r="T5390" s="43">
        <f>表格1[[#This Row],[Unit Price]]/表格1[[#This Row],[SRP]]</f>
        <v>0.47916666666666669</v>
      </c>
      <c r="U5390" s="86" t="str">
        <f>_xlfn.XLOOKUP(表格1[[#This Row],[Model]],表格3[Model-Input-Ref2],表格3[TOSHIBA/HIGHEST])</f>
        <v>Toshiba SRP</v>
      </c>
      <c r="W5390" s="86" t="str">
        <f>_xlfn.CONCAT(表格1[[#This Row],[欄4]],表格1[[#This Row],[inv no]])</f>
        <v>2631345</v>
      </c>
    </row>
    <row r="5391" spans="1:23" hidden="1">
      <c r="A5391" s="81">
        <v>5389</v>
      </c>
      <c r="B5391" s="86" t="s">
        <v>1867</v>
      </c>
      <c r="C5391" s="86" t="s">
        <v>2480</v>
      </c>
      <c r="D5391" s="89" t="str">
        <f ca="1">OFFSET(Roster!$A$3,MATCH(表格1[[#This Row],[Location]]&amp;" "&amp;表格1[[#This Row],[Shop]]&amp;"*",Roster!$A$4:$A$72,0),DAY(表格1[[#This Row],[date]]),1,1)</f>
        <v>Connie</v>
      </c>
      <c r="E5391" s="86">
        <f>MONTH(表格1[[#This Row],[date]])</f>
        <v>3</v>
      </c>
      <c r="F5391" s="90">
        <v>46110</v>
      </c>
      <c r="G5391" s="86" t="str">
        <f>VLOOKUP("*"&amp;表格1[[#This Row],[Input]]&amp;"*",'Ref-List'!$B:$D,2,)</f>
        <v>RC-10DRNH</v>
      </c>
      <c r="H5391" s="86" t="str">
        <f>_xlfn.XLOOKUP(表格1[[#This Row],[Model]],表格3[Model-Input-Ref2],表格3[Product Line])</f>
        <v>多功能備長炭本厚釜電飯煲1L</v>
      </c>
      <c r="I5391" s="86" t="str">
        <f>_xlfn.XLOOKUP(表格1[[#This Row],[Model]],表格3[Model-Input-Ref2],表格3[大小電])</f>
        <v>細電</v>
      </c>
      <c r="J5391" s="86" t="str">
        <f>_xlfn.XLOOKUP(表格1[[#This Row],[Model]],表格3[Model-Input-Ref2],表格3[Code])</f>
        <v>SDA</v>
      </c>
      <c r="K5391" s="89" t="s">
        <v>1376</v>
      </c>
      <c r="L5391" s="86">
        <v>1</v>
      </c>
      <c r="M5391" s="87">
        <v>549</v>
      </c>
      <c r="N5391" s="87">
        <f>IFERROR(表格1[[#This Row],[QTY]]*表格1[[#This Row],[Unit Price]],"-")</f>
        <v>549</v>
      </c>
      <c r="O5391" s="86">
        <v>2631356</v>
      </c>
      <c r="R5391" s="86" t="str">
        <f>_xlfn.CONCAT(表格1[[#This Row],[Model]]," ",表格1[[#This Row],[inv no]])</f>
        <v>RC-10DRNH 2631356</v>
      </c>
      <c r="S5391" s="86">
        <f>_xlfn.XLOOKUP(表格1[[#This Row],[Model]],表格3[Model-Input-Ref2],表格3[SRP PRICE])</f>
        <v>798</v>
      </c>
      <c r="T5391" s="43">
        <f>表格1[[#This Row],[Unit Price]]/表格1[[#This Row],[SRP]]</f>
        <v>0.68796992481203012</v>
      </c>
      <c r="U5391" s="86" t="str">
        <f>_xlfn.XLOOKUP(表格1[[#This Row],[Model]],表格3[Model-Input-Ref2],表格3[TOSHIBA/HIGHEST])</f>
        <v>Toshiba SRP</v>
      </c>
      <c r="W5391" s="86" t="str">
        <f>_xlfn.CONCAT(表格1[[#This Row],[欄4]],表格1[[#This Row],[inv no]])</f>
        <v>2631356</v>
      </c>
    </row>
    <row r="5392" spans="1:23" hidden="1">
      <c r="A5392" s="81">
        <v>5390</v>
      </c>
      <c r="D5392" s="89" t="e">
        <f ca="1">OFFSET(Roster!$A$3,MATCH(表格1[[#This Row],[Location]]&amp;" "&amp;表格1[[#This Row],[Shop]]&amp;"*",Roster!$A$4:$A$72,0),DAY(表格1[[#This Row],[date]]),1,1)</f>
        <v>#N/A</v>
      </c>
      <c r="E5392" s="86">
        <f>MONTH(表格1[[#This Row],[date]])</f>
        <v>1</v>
      </c>
      <c r="G5392" s="86" t="str">
        <f>VLOOKUP("*"&amp;表格1[[#This Row],[Input]]&amp;"*",'Ref-List'!$B:$D,2,)</f>
        <v>Model-Input-Ref2</v>
      </c>
      <c r="H5392" s="86" t="e">
        <f>_xlfn.XLOOKUP(表格1[[#This Row],[Model]],表格3[Model-Input-Ref2],表格3[Product Line])</f>
        <v>#N/A</v>
      </c>
      <c r="I5392" s="86" t="e">
        <f>_xlfn.XLOOKUP(表格1[[#This Row],[Model]],表格3[Model-Input-Ref2],表格3[大小電])</f>
        <v>#N/A</v>
      </c>
      <c r="J5392" s="86" t="e">
        <f>_xlfn.XLOOKUP(表格1[[#This Row],[Model]],表格3[Model-Input-Ref2],表格3[Code])</f>
        <v>#N/A</v>
      </c>
      <c r="N5392" s="87">
        <f>IFERROR(表格1[[#This Row],[QTY]]*表格1[[#This Row],[Unit Price]],"-")</f>
        <v>0</v>
      </c>
      <c r="R5392" s="86" t="str">
        <f>_xlfn.CONCAT(表格1[[#This Row],[Model]]," ",表格1[[#This Row],[inv no]])</f>
        <v xml:space="preserve">Model-Input-Ref2 </v>
      </c>
      <c r="S5392" s="86" t="e">
        <f>_xlfn.XLOOKUP(表格1[[#This Row],[Model]],表格3[Model-Input-Ref2],表格3[SRP PRICE])</f>
        <v>#N/A</v>
      </c>
      <c r="T5392" s="43" t="e">
        <f>表格1[[#This Row],[Unit Price]]/表格1[[#This Row],[SRP]]</f>
        <v>#N/A</v>
      </c>
      <c r="U5392" s="86" t="e">
        <f>_xlfn.XLOOKUP(表格1[[#This Row],[Model]],表格3[Model-Input-Ref2],表格3[TOSHIBA/HIGHEST])</f>
        <v>#N/A</v>
      </c>
      <c r="W5392" s="86" t="str">
        <f>_xlfn.CONCAT(表格1[[#This Row],[欄4]],表格1[[#This Row],[inv no]])</f>
        <v/>
      </c>
    </row>
    <row r="5393" spans="1:23" hidden="1">
      <c r="A5393" s="81">
        <v>5391</v>
      </c>
      <c r="D5393" s="89" t="e">
        <f ca="1">OFFSET(Roster!$A$3,MATCH(表格1[[#This Row],[Location]]&amp;" "&amp;表格1[[#This Row],[Shop]]&amp;"*",Roster!$A$4:$A$72,0),DAY(表格1[[#This Row],[date]]),1,1)</f>
        <v>#N/A</v>
      </c>
      <c r="E5393" s="86">
        <f>MONTH(表格1[[#This Row],[date]])</f>
        <v>1</v>
      </c>
      <c r="G5393" s="86" t="str">
        <f>VLOOKUP("*"&amp;表格1[[#This Row],[Input]]&amp;"*",'Ref-List'!$B:$D,2,)</f>
        <v>Model-Input-Ref2</v>
      </c>
      <c r="H5393" s="86" t="e">
        <f>_xlfn.XLOOKUP(表格1[[#This Row],[Model]],表格3[Model-Input-Ref2],表格3[Product Line])</f>
        <v>#N/A</v>
      </c>
      <c r="I5393" s="86" t="e">
        <f>_xlfn.XLOOKUP(表格1[[#This Row],[Model]],表格3[Model-Input-Ref2],表格3[大小電])</f>
        <v>#N/A</v>
      </c>
      <c r="J5393" s="86" t="e">
        <f>_xlfn.XLOOKUP(表格1[[#This Row],[Model]],表格3[Model-Input-Ref2],表格3[Code])</f>
        <v>#N/A</v>
      </c>
      <c r="N5393" s="87">
        <f>IFERROR(表格1[[#This Row],[QTY]]*表格1[[#This Row],[Unit Price]],"-")</f>
        <v>0</v>
      </c>
      <c r="R5393" s="86" t="str">
        <f>_xlfn.CONCAT(表格1[[#This Row],[Model]]," ",表格1[[#This Row],[inv no]])</f>
        <v xml:space="preserve">Model-Input-Ref2 </v>
      </c>
      <c r="S5393" s="86" t="e">
        <f>_xlfn.XLOOKUP(表格1[[#This Row],[Model]],表格3[Model-Input-Ref2],表格3[SRP PRICE])</f>
        <v>#N/A</v>
      </c>
      <c r="T5393" s="43" t="e">
        <f>表格1[[#This Row],[Unit Price]]/表格1[[#This Row],[SRP]]</f>
        <v>#N/A</v>
      </c>
      <c r="U5393" s="86" t="e">
        <f>_xlfn.XLOOKUP(表格1[[#This Row],[Model]],表格3[Model-Input-Ref2],表格3[TOSHIBA/HIGHEST])</f>
        <v>#N/A</v>
      </c>
      <c r="W5393" s="86" t="str">
        <f>_xlfn.CONCAT(表格1[[#This Row],[欄4]],表格1[[#This Row],[inv no]])</f>
        <v/>
      </c>
    </row>
    <row r="5394" spans="1:23" hidden="1">
      <c r="A5394" s="81">
        <v>5392</v>
      </c>
      <c r="D5394" s="89" t="e">
        <f ca="1">OFFSET(Roster!$A$3,MATCH(表格1[[#This Row],[Location]]&amp;" "&amp;表格1[[#This Row],[Shop]]&amp;"*",Roster!$A$4:$A$72,0),DAY(表格1[[#This Row],[date]]),1,1)</f>
        <v>#N/A</v>
      </c>
      <c r="E5394" s="86">
        <f>MONTH(表格1[[#This Row],[date]])</f>
        <v>1</v>
      </c>
      <c r="G5394" s="86" t="str">
        <f>VLOOKUP("*"&amp;表格1[[#This Row],[Input]]&amp;"*",'Ref-List'!$B:$D,2,)</f>
        <v>Model-Input-Ref2</v>
      </c>
      <c r="H5394" s="86" t="e">
        <f>_xlfn.XLOOKUP(表格1[[#This Row],[Model]],表格3[Model-Input-Ref2],表格3[Product Line])</f>
        <v>#N/A</v>
      </c>
      <c r="I5394" s="86" t="e">
        <f>_xlfn.XLOOKUP(表格1[[#This Row],[Model]],表格3[Model-Input-Ref2],表格3[大小電])</f>
        <v>#N/A</v>
      </c>
      <c r="J5394" s="86" t="e">
        <f>_xlfn.XLOOKUP(表格1[[#This Row],[Model]],表格3[Model-Input-Ref2],表格3[Code])</f>
        <v>#N/A</v>
      </c>
      <c r="N5394" s="87">
        <f>IFERROR(表格1[[#This Row],[QTY]]*表格1[[#This Row],[Unit Price]],"-")</f>
        <v>0</v>
      </c>
      <c r="R5394" s="86" t="str">
        <f>_xlfn.CONCAT(表格1[[#This Row],[Model]]," ",表格1[[#This Row],[inv no]])</f>
        <v xml:space="preserve">Model-Input-Ref2 </v>
      </c>
      <c r="S5394" s="86" t="e">
        <f>_xlfn.XLOOKUP(表格1[[#This Row],[Model]],表格3[Model-Input-Ref2],表格3[SRP PRICE])</f>
        <v>#N/A</v>
      </c>
      <c r="T5394" s="43" t="e">
        <f>表格1[[#This Row],[Unit Price]]/表格1[[#This Row],[SRP]]</f>
        <v>#N/A</v>
      </c>
      <c r="U5394" s="86" t="e">
        <f>_xlfn.XLOOKUP(表格1[[#This Row],[Model]],表格3[Model-Input-Ref2],表格3[TOSHIBA/HIGHEST])</f>
        <v>#N/A</v>
      </c>
      <c r="W5394" s="86" t="str">
        <f>_xlfn.CONCAT(表格1[[#This Row],[欄4]],表格1[[#This Row],[inv no]])</f>
        <v/>
      </c>
    </row>
    <row r="5395" spans="1:23" hidden="1">
      <c r="A5395" s="81">
        <v>5393</v>
      </c>
      <c r="D5395" s="89" t="e">
        <f ca="1">OFFSET(Roster!$A$3,MATCH(表格1[[#This Row],[Location]]&amp;" "&amp;表格1[[#This Row],[Shop]]&amp;"*",Roster!$A$4:$A$72,0),DAY(表格1[[#This Row],[date]]),1,1)</f>
        <v>#N/A</v>
      </c>
      <c r="E5395" s="86">
        <f>MONTH(表格1[[#This Row],[date]])</f>
        <v>1</v>
      </c>
      <c r="G5395" s="86" t="str">
        <f>VLOOKUP("*"&amp;表格1[[#This Row],[Input]]&amp;"*",'Ref-List'!$B:$D,2,)</f>
        <v>Model-Input-Ref2</v>
      </c>
      <c r="H5395" s="86" t="e">
        <f>_xlfn.XLOOKUP(表格1[[#This Row],[Model]],表格3[Model-Input-Ref2],表格3[Product Line])</f>
        <v>#N/A</v>
      </c>
      <c r="I5395" s="86" t="e">
        <f>_xlfn.XLOOKUP(表格1[[#This Row],[Model]],表格3[Model-Input-Ref2],表格3[大小電])</f>
        <v>#N/A</v>
      </c>
      <c r="J5395" s="86" t="e">
        <f>_xlfn.XLOOKUP(表格1[[#This Row],[Model]],表格3[Model-Input-Ref2],表格3[Code])</f>
        <v>#N/A</v>
      </c>
      <c r="N5395" s="87">
        <f>IFERROR(表格1[[#This Row],[QTY]]*表格1[[#This Row],[Unit Price]],"-")</f>
        <v>0</v>
      </c>
      <c r="R5395" s="86" t="str">
        <f>_xlfn.CONCAT(表格1[[#This Row],[Model]]," ",表格1[[#This Row],[inv no]])</f>
        <v xml:space="preserve">Model-Input-Ref2 </v>
      </c>
      <c r="S5395" s="86" t="e">
        <f>_xlfn.XLOOKUP(表格1[[#This Row],[Model]],表格3[Model-Input-Ref2],表格3[SRP PRICE])</f>
        <v>#N/A</v>
      </c>
      <c r="T5395" s="43" t="e">
        <f>表格1[[#This Row],[Unit Price]]/表格1[[#This Row],[SRP]]</f>
        <v>#N/A</v>
      </c>
      <c r="U5395" s="86" t="e">
        <f>_xlfn.XLOOKUP(表格1[[#This Row],[Model]],表格3[Model-Input-Ref2],表格3[TOSHIBA/HIGHEST])</f>
        <v>#N/A</v>
      </c>
      <c r="W5395" s="86" t="str">
        <f>_xlfn.CONCAT(表格1[[#This Row],[欄4]],表格1[[#This Row],[inv no]])</f>
        <v/>
      </c>
    </row>
    <row r="5396" spans="1:23" hidden="1">
      <c r="A5396" s="81">
        <v>5394</v>
      </c>
      <c r="D5396" s="89" t="e">
        <f ca="1">OFFSET(Roster!$A$3,MATCH(表格1[[#This Row],[Location]]&amp;" "&amp;表格1[[#This Row],[Shop]]&amp;"*",Roster!$A$4:$A$72,0),DAY(表格1[[#This Row],[date]]),1,1)</f>
        <v>#N/A</v>
      </c>
      <c r="E5396" s="86">
        <f>MONTH(表格1[[#This Row],[date]])</f>
        <v>1</v>
      </c>
      <c r="G5396" s="86" t="str">
        <f>VLOOKUP("*"&amp;表格1[[#This Row],[Input]]&amp;"*",'Ref-List'!$B:$D,2,)</f>
        <v>Model-Input-Ref2</v>
      </c>
      <c r="H5396" s="86" t="e">
        <f>_xlfn.XLOOKUP(表格1[[#This Row],[Model]],表格3[Model-Input-Ref2],表格3[Product Line])</f>
        <v>#N/A</v>
      </c>
      <c r="I5396" s="86" t="e">
        <f>_xlfn.XLOOKUP(表格1[[#This Row],[Model]],表格3[Model-Input-Ref2],表格3[大小電])</f>
        <v>#N/A</v>
      </c>
      <c r="J5396" s="86" t="e">
        <f>_xlfn.XLOOKUP(表格1[[#This Row],[Model]],表格3[Model-Input-Ref2],表格3[Code])</f>
        <v>#N/A</v>
      </c>
      <c r="N5396" s="87">
        <f>IFERROR(表格1[[#This Row],[QTY]]*表格1[[#This Row],[Unit Price]],"-")</f>
        <v>0</v>
      </c>
      <c r="R5396" s="86" t="str">
        <f>_xlfn.CONCAT(表格1[[#This Row],[Model]]," ",表格1[[#This Row],[inv no]])</f>
        <v xml:space="preserve">Model-Input-Ref2 </v>
      </c>
      <c r="S5396" s="86" t="e">
        <f>_xlfn.XLOOKUP(表格1[[#This Row],[Model]],表格3[Model-Input-Ref2],表格3[SRP PRICE])</f>
        <v>#N/A</v>
      </c>
      <c r="T5396" s="43" t="e">
        <f>表格1[[#This Row],[Unit Price]]/表格1[[#This Row],[SRP]]</f>
        <v>#N/A</v>
      </c>
      <c r="U5396" s="86" t="e">
        <f>_xlfn.XLOOKUP(表格1[[#This Row],[Model]],表格3[Model-Input-Ref2],表格3[TOSHIBA/HIGHEST])</f>
        <v>#N/A</v>
      </c>
      <c r="W5396" s="86" t="str">
        <f>_xlfn.CONCAT(表格1[[#This Row],[欄4]],表格1[[#This Row],[inv no]])</f>
        <v/>
      </c>
    </row>
    <row r="5397" spans="1:23" hidden="1">
      <c r="A5397" s="81">
        <v>5395</v>
      </c>
      <c r="D5397" s="89" t="e">
        <f ca="1">OFFSET(Roster!$A$3,MATCH(表格1[[#This Row],[Location]]&amp;" "&amp;表格1[[#This Row],[Shop]]&amp;"*",Roster!$A$4:$A$72,0),DAY(表格1[[#This Row],[date]]),1,1)</f>
        <v>#N/A</v>
      </c>
      <c r="E5397" s="86">
        <f>MONTH(表格1[[#This Row],[date]])</f>
        <v>1</v>
      </c>
      <c r="G5397" s="86" t="str">
        <f>VLOOKUP("*"&amp;表格1[[#This Row],[Input]]&amp;"*",'Ref-List'!$B:$D,2,)</f>
        <v>Model-Input-Ref2</v>
      </c>
      <c r="H5397" s="86" t="e">
        <f>_xlfn.XLOOKUP(表格1[[#This Row],[Model]],表格3[Model-Input-Ref2],表格3[Product Line])</f>
        <v>#N/A</v>
      </c>
      <c r="I5397" s="86" t="e">
        <f>_xlfn.XLOOKUP(表格1[[#This Row],[Model]],表格3[Model-Input-Ref2],表格3[大小電])</f>
        <v>#N/A</v>
      </c>
      <c r="J5397" s="86" t="e">
        <f>_xlfn.XLOOKUP(表格1[[#This Row],[Model]],表格3[Model-Input-Ref2],表格3[Code])</f>
        <v>#N/A</v>
      </c>
      <c r="N5397" s="87">
        <f>IFERROR(表格1[[#This Row],[QTY]]*表格1[[#This Row],[Unit Price]],"-")</f>
        <v>0</v>
      </c>
      <c r="R5397" s="86" t="str">
        <f>_xlfn.CONCAT(表格1[[#This Row],[Model]]," ",表格1[[#This Row],[inv no]])</f>
        <v xml:space="preserve">Model-Input-Ref2 </v>
      </c>
      <c r="S5397" s="86" t="e">
        <f>_xlfn.XLOOKUP(表格1[[#This Row],[Model]],表格3[Model-Input-Ref2],表格3[SRP PRICE])</f>
        <v>#N/A</v>
      </c>
      <c r="T5397" s="43" t="e">
        <f>表格1[[#This Row],[Unit Price]]/表格1[[#This Row],[SRP]]</f>
        <v>#N/A</v>
      </c>
      <c r="U5397" s="86" t="e">
        <f>_xlfn.XLOOKUP(表格1[[#This Row],[Model]],表格3[Model-Input-Ref2],表格3[TOSHIBA/HIGHEST])</f>
        <v>#N/A</v>
      </c>
      <c r="W5397" s="86" t="str">
        <f>_xlfn.CONCAT(表格1[[#This Row],[欄4]],表格1[[#This Row],[inv no]])</f>
        <v/>
      </c>
    </row>
    <row r="5398" spans="1:23" hidden="1">
      <c r="A5398" s="81">
        <v>5396</v>
      </c>
      <c r="D5398" s="89" t="e">
        <f ca="1">OFFSET(Roster!$A$3,MATCH(表格1[[#This Row],[Location]]&amp;" "&amp;表格1[[#This Row],[Shop]]&amp;"*",Roster!$A$4:$A$72,0),DAY(表格1[[#This Row],[date]]),1,1)</f>
        <v>#N/A</v>
      </c>
      <c r="E5398" s="86">
        <f>MONTH(表格1[[#This Row],[date]])</f>
        <v>1</v>
      </c>
      <c r="G5398" s="86" t="str">
        <f>VLOOKUP("*"&amp;表格1[[#This Row],[Input]]&amp;"*",'Ref-List'!$B:$D,2,)</f>
        <v>Model-Input-Ref2</v>
      </c>
      <c r="H5398" s="86" t="e">
        <f>_xlfn.XLOOKUP(表格1[[#This Row],[Model]],表格3[Model-Input-Ref2],表格3[Product Line])</f>
        <v>#N/A</v>
      </c>
      <c r="I5398" s="86" t="e">
        <f>_xlfn.XLOOKUP(表格1[[#This Row],[Model]],表格3[Model-Input-Ref2],表格3[大小電])</f>
        <v>#N/A</v>
      </c>
      <c r="J5398" s="86" t="e">
        <f>_xlfn.XLOOKUP(表格1[[#This Row],[Model]],表格3[Model-Input-Ref2],表格3[Code])</f>
        <v>#N/A</v>
      </c>
      <c r="N5398" s="87">
        <f>IFERROR(表格1[[#This Row],[QTY]]*表格1[[#This Row],[Unit Price]],"-")</f>
        <v>0</v>
      </c>
      <c r="R5398" s="86" t="str">
        <f>_xlfn.CONCAT(表格1[[#This Row],[Model]]," ",表格1[[#This Row],[inv no]])</f>
        <v xml:space="preserve">Model-Input-Ref2 </v>
      </c>
      <c r="S5398" s="86" t="e">
        <f>_xlfn.XLOOKUP(表格1[[#This Row],[Model]],表格3[Model-Input-Ref2],表格3[SRP PRICE])</f>
        <v>#N/A</v>
      </c>
      <c r="T5398" s="43" t="e">
        <f>表格1[[#This Row],[Unit Price]]/表格1[[#This Row],[SRP]]</f>
        <v>#N/A</v>
      </c>
      <c r="U5398" s="86" t="e">
        <f>_xlfn.XLOOKUP(表格1[[#This Row],[Model]],表格3[Model-Input-Ref2],表格3[TOSHIBA/HIGHEST])</f>
        <v>#N/A</v>
      </c>
      <c r="W5398" s="86" t="str">
        <f>_xlfn.CONCAT(表格1[[#This Row],[欄4]],表格1[[#This Row],[inv no]])</f>
        <v/>
      </c>
    </row>
    <row r="5399" spans="1:23" hidden="1">
      <c r="A5399" s="81">
        <v>5397</v>
      </c>
      <c r="D5399" s="89" t="e">
        <f ca="1">OFFSET(Roster!$A$3,MATCH(表格1[[#This Row],[Location]]&amp;" "&amp;表格1[[#This Row],[Shop]]&amp;"*",Roster!$A$4:$A$72,0),DAY(表格1[[#This Row],[date]]),1,1)</f>
        <v>#N/A</v>
      </c>
      <c r="E5399" s="86">
        <f>MONTH(表格1[[#This Row],[date]])</f>
        <v>1</v>
      </c>
      <c r="G5399" s="86" t="str">
        <f>VLOOKUP("*"&amp;表格1[[#This Row],[Input]]&amp;"*",'Ref-List'!$B:$D,2,)</f>
        <v>Model-Input-Ref2</v>
      </c>
      <c r="H5399" s="86" t="e">
        <f>_xlfn.XLOOKUP(表格1[[#This Row],[Model]],表格3[Model-Input-Ref2],表格3[Product Line])</f>
        <v>#N/A</v>
      </c>
      <c r="I5399" s="86" t="e">
        <f>_xlfn.XLOOKUP(表格1[[#This Row],[Model]],表格3[Model-Input-Ref2],表格3[大小電])</f>
        <v>#N/A</v>
      </c>
      <c r="J5399" s="86" t="e">
        <f>_xlfn.XLOOKUP(表格1[[#This Row],[Model]],表格3[Model-Input-Ref2],表格3[Code])</f>
        <v>#N/A</v>
      </c>
      <c r="N5399" s="87">
        <f>IFERROR(表格1[[#This Row],[QTY]]*表格1[[#This Row],[Unit Price]],"-")</f>
        <v>0</v>
      </c>
      <c r="R5399" s="86" t="str">
        <f>_xlfn.CONCAT(表格1[[#This Row],[Model]]," ",表格1[[#This Row],[inv no]])</f>
        <v xml:space="preserve">Model-Input-Ref2 </v>
      </c>
      <c r="S5399" s="86" t="e">
        <f>_xlfn.XLOOKUP(表格1[[#This Row],[Model]],表格3[Model-Input-Ref2],表格3[SRP PRICE])</f>
        <v>#N/A</v>
      </c>
      <c r="T5399" s="43" t="e">
        <f>表格1[[#This Row],[Unit Price]]/表格1[[#This Row],[SRP]]</f>
        <v>#N/A</v>
      </c>
      <c r="U5399" s="86" t="e">
        <f>_xlfn.XLOOKUP(表格1[[#This Row],[Model]],表格3[Model-Input-Ref2],表格3[TOSHIBA/HIGHEST])</f>
        <v>#N/A</v>
      </c>
      <c r="W5399" s="86" t="str">
        <f>_xlfn.CONCAT(表格1[[#This Row],[欄4]],表格1[[#This Row],[inv no]])</f>
        <v/>
      </c>
    </row>
    <row r="5400" spans="1:23" hidden="1">
      <c r="A5400" s="81">
        <v>5398</v>
      </c>
      <c r="D5400" s="89" t="e">
        <f ca="1">OFFSET(Roster!$A$3,MATCH(表格1[[#This Row],[Location]]&amp;" "&amp;表格1[[#This Row],[Shop]]&amp;"*",Roster!$A$4:$A$72,0),DAY(表格1[[#This Row],[date]]),1,1)</f>
        <v>#N/A</v>
      </c>
      <c r="E5400" s="86">
        <f>MONTH(表格1[[#This Row],[date]])</f>
        <v>1</v>
      </c>
      <c r="G5400" s="86" t="str">
        <f>VLOOKUP("*"&amp;表格1[[#This Row],[Input]]&amp;"*",'Ref-List'!$B:$D,2,)</f>
        <v>Model-Input-Ref2</v>
      </c>
      <c r="H5400" s="86" t="e">
        <f>_xlfn.XLOOKUP(表格1[[#This Row],[Model]],表格3[Model-Input-Ref2],表格3[Product Line])</f>
        <v>#N/A</v>
      </c>
      <c r="I5400" s="86" t="e">
        <f>_xlfn.XLOOKUP(表格1[[#This Row],[Model]],表格3[Model-Input-Ref2],表格3[大小電])</f>
        <v>#N/A</v>
      </c>
      <c r="J5400" s="86" t="e">
        <f>_xlfn.XLOOKUP(表格1[[#This Row],[Model]],表格3[Model-Input-Ref2],表格3[Code])</f>
        <v>#N/A</v>
      </c>
      <c r="N5400" s="87">
        <f>IFERROR(表格1[[#This Row],[QTY]]*表格1[[#This Row],[Unit Price]],"-")</f>
        <v>0</v>
      </c>
      <c r="R5400" s="86" t="str">
        <f>_xlfn.CONCAT(表格1[[#This Row],[Model]]," ",表格1[[#This Row],[inv no]])</f>
        <v xml:space="preserve">Model-Input-Ref2 </v>
      </c>
      <c r="S5400" s="86" t="e">
        <f>_xlfn.XLOOKUP(表格1[[#This Row],[Model]],表格3[Model-Input-Ref2],表格3[SRP PRICE])</f>
        <v>#N/A</v>
      </c>
      <c r="T5400" s="43" t="e">
        <f>表格1[[#This Row],[Unit Price]]/表格1[[#This Row],[SRP]]</f>
        <v>#N/A</v>
      </c>
      <c r="U5400" s="86" t="e">
        <f>_xlfn.XLOOKUP(表格1[[#This Row],[Model]],表格3[Model-Input-Ref2],表格3[TOSHIBA/HIGHEST])</f>
        <v>#N/A</v>
      </c>
      <c r="W5400" s="86" t="str">
        <f>_xlfn.CONCAT(表格1[[#This Row],[欄4]],表格1[[#This Row],[inv no]])</f>
        <v/>
      </c>
    </row>
    <row r="5401" spans="1:23" hidden="1">
      <c r="A5401" s="81">
        <v>5399</v>
      </c>
      <c r="D5401" s="89" t="e">
        <f ca="1">OFFSET(Roster!$A$3,MATCH(表格1[[#This Row],[Location]]&amp;" "&amp;表格1[[#This Row],[Shop]]&amp;"*",Roster!$A$4:$A$72,0),DAY(表格1[[#This Row],[date]]),1,1)</f>
        <v>#N/A</v>
      </c>
      <c r="E5401" s="86">
        <f>MONTH(表格1[[#This Row],[date]])</f>
        <v>1</v>
      </c>
      <c r="G5401" s="86" t="str">
        <f>VLOOKUP("*"&amp;表格1[[#This Row],[Input]]&amp;"*",'Ref-List'!$B:$D,2,)</f>
        <v>Model-Input-Ref2</v>
      </c>
      <c r="H5401" s="86" t="e">
        <f>_xlfn.XLOOKUP(表格1[[#This Row],[Model]],表格3[Model-Input-Ref2],表格3[Product Line])</f>
        <v>#N/A</v>
      </c>
      <c r="I5401" s="86" t="e">
        <f>_xlfn.XLOOKUP(表格1[[#This Row],[Model]],表格3[Model-Input-Ref2],表格3[大小電])</f>
        <v>#N/A</v>
      </c>
      <c r="J5401" s="86" t="e">
        <f>_xlfn.XLOOKUP(表格1[[#This Row],[Model]],表格3[Model-Input-Ref2],表格3[Code])</f>
        <v>#N/A</v>
      </c>
      <c r="N5401" s="87">
        <f>IFERROR(表格1[[#This Row],[QTY]]*表格1[[#This Row],[Unit Price]],"-")</f>
        <v>0</v>
      </c>
      <c r="R5401" s="86" t="str">
        <f>_xlfn.CONCAT(表格1[[#This Row],[Model]]," ",表格1[[#This Row],[inv no]])</f>
        <v xml:space="preserve">Model-Input-Ref2 </v>
      </c>
      <c r="S5401" s="86" t="e">
        <f>_xlfn.XLOOKUP(表格1[[#This Row],[Model]],表格3[Model-Input-Ref2],表格3[SRP PRICE])</f>
        <v>#N/A</v>
      </c>
      <c r="T5401" s="43" t="e">
        <f>表格1[[#This Row],[Unit Price]]/表格1[[#This Row],[SRP]]</f>
        <v>#N/A</v>
      </c>
      <c r="U5401" s="86" t="e">
        <f>_xlfn.XLOOKUP(表格1[[#This Row],[Model]],表格3[Model-Input-Ref2],表格3[TOSHIBA/HIGHEST])</f>
        <v>#N/A</v>
      </c>
      <c r="W5401" s="86" t="str">
        <f>_xlfn.CONCAT(表格1[[#This Row],[欄4]],表格1[[#This Row],[inv no]])</f>
        <v/>
      </c>
    </row>
    <row r="5402" spans="1:23" hidden="1">
      <c r="A5402" s="81">
        <v>5400</v>
      </c>
      <c r="D5402" s="89" t="e">
        <f ca="1">OFFSET(Roster!$A$3,MATCH(表格1[[#This Row],[Location]]&amp;" "&amp;表格1[[#This Row],[Shop]]&amp;"*",Roster!$A$4:$A$72,0),DAY(表格1[[#This Row],[date]]),1,1)</f>
        <v>#N/A</v>
      </c>
      <c r="E5402" s="86">
        <f>MONTH(表格1[[#This Row],[date]])</f>
        <v>1</v>
      </c>
      <c r="G5402" s="86" t="str">
        <f>VLOOKUP("*"&amp;表格1[[#This Row],[Input]]&amp;"*",'Ref-List'!$B:$D,2,)</f>
        <v>Model-Input-Ref2</v>
      </c>
      <c r="H5402" s="86" t="e">
        <f>_xlfn.XLOOKUP(表格1[[#This Row],[Model]],表格3[Model-Input-Ref2],表格3[Product Line])</f>
        <v>#N/A</v>
      </c>
      <c r="I5402" s="86" t="e">
        <f>_xlfn.XLOOKUP(表格1[[#This Row],[Model]],表格3[Model-Input-Ref2],表格3[大小電])</f>
        <v>#N/A</v>
      </c>
      <c r="J5402" s="86" t="e">
        <f>_xlfn.XLOOKUP(表格1[[#This Row],[Model]],表格3[Model-Input-Ref2],表格3[Code])</f>
        <v>#N/A</v>
      </c>
      <c r="N5402" s="87">
        <f>IFERROR(表格1[[#This Row],[QTY]]*表格1[[#This Row],[Unit Price]],"-")</f>
        <v>0</v>
      </c>
      <c r="R5402" s="86" t="str">
        <f>_xlfn.CONCAT(表格1[[#This Row],[Model]]," ",表格1[[#This Row],[inv no]])</f>
        <v xml:space="preserve">Model-Input-Ref2 </v>
      </c>
      <c r="S5402" s="86" t="e">
        <f>_xlfn.XLOOKUP(表格1[[#This Row],[Model]],表格3[Model-Input-Ref2],表格3[SRP PRICE])</f>
        <v>#N/A</v>
      </c>
      <c r="T5402" s="43" t="e">
        <f>表格1[[#This Row],[Unit Price]]/表格1[[#This Row],[SRP]]</f>
        <v>#N/A</v>
      </c>
      <c r="U5402" s="86" t="e">
        <f>_xlfn.XLOOKUP(表格1[[#This Row],[Model]],表格3[Model-Input-Ref2],表格3[TOSHIBA/HIGHEST])</f>
        <v>#N/A</v>
      </c>
      <c r="W5402" s="86" t="str">
        <f>_xlfn.CONCAT(表格1[[#This Row],[欄4]],表格1[[#This Row],[inv no]])</f>
        <v/>
      </c>
    </row>
    <row r="5403" spans="1:23" hidden="1">
      <c r="A5403" s="81">
        <v>5401</v>
      </c>
      <c r="D5403" s="89" t="e">
        <f ca="1">OFFSET(Roster!$A$3,MATCH(表格1[[#This Row],[Location]]&amp;" "&amp;表格1[[#This Row],[Shop]]&amp;"*",Roster!$A$4:$A$72,0),DAY(表格1[[#This Row],[date]]),1,1)</f>
        <v>#N/A</v>
      </c>
      <c r="E5403" s="86">
        <f>MONTH(表格1[[#This Row],[date]])</f>
        <v>1</v>
      </c>
      <c r="G5403" s="86" t="str">
        <f>VLOOKUP("*"&amp;表格1[[#This Row],[Input]]&amp;"*",'Ref-List'!$B:$D,2,)</f>
        <v>Model-Input-Ref2</v>
      </c>
      <c r="H5403" s="86" t="e">
        <f>_xlfn.XLOOKUP(表格1[[#This Row],[Model]],表格3[Model-Input-Ref2],表格3[Product Line])</f>
        <v>#N/A</v>
      </c>
      <c r="I5403" s="86" t="e">
        <f>_xlfn.XLOOKUP(表格1[[#This Row],[Model]],表格3[Model-Input-Ref2],表格3[大小電])</f>
        <v>#N/A</v>
      </c>
      <c r="J5403" s="86" t="e">
        <f>_xlfn.XLOOKUP(表格1[[#This Row],[Model]],表格3[Model-Input-Ref2],表格3[Code])</f>
        <v>#N/A</v>
      </c>
      <c r="N5403" s="87">
        <f>IFERROR(表格1[[#This Row],[QTY]]*表格1[[#This Row],[Unit Price]],"-")</f>
        <v>0</v>
      </c>
      <c r="R5403" s="86" t="str">
        <f>_xlfn.CONCAT(表格1[[#This Row],[Model]]," ",表格1[[#This Row],[inv no]])</f>
        <v xml:space="preserve">Model-Input-Ref2 </v>
      </c>
      <c r="S5403" s="86" t="e">
        <f>_xlfn.XLOOKUP(表格1[[#This Row],[Model]],表格3[Model-Input-Ref2],表格3[SRP PRICE])</f>
        <v>#N/A</v>
      </c>
      <c r="T5403" s="43" t="e">
        <f>表格1[[#This Row],[Unit Price]]/表格1[[#This Row],[SRP]]</f>
        <v>#N/A</v>
      </c>
      <c r="U5403" s="86" t="e">
        <f>_xlfn.XLOOKUP(表格1[[#This Row],[Model]],表格3[Model-Input-Ref2],表格3[TOSHIBA/HIGHEST])</f>
        <v>#N/A</v>
      </c>
      <c r="W5403" s="86" t="str">
        <f>_xlfn.CONCAT(表格1[[#This Row],[欄4]],表格1[[#This Row],[inv no]])</f>
        <v/>
      </c>
    </row>
    <row r="5404" spans="1:23" hidden="1">
      <c r="A5404" s="81">
        <v>5402</v>
      </c>
      <c r="D5404" s="89" t="e">
        <f ca="1">OFFSET(Roster!$A$3,MATCH(表格1[[#This Row],[Location]]&amp;" "&amp;表格1[[#This Row],[Shop]]&amp;"*",Roster!$A$4:$A$72,0),DAY(表格1[[#This Row],[date]]),1,1)</f>
        <v>#N/A</v>
      </c>
      <c r="E5404" s="86">
        <f>MONTH(表格1[[#This Row],[date]])</f>
        <v>1</v>
      </c>
      <c r="G5404" s="86" t="str">
        <f>VLOOKUP("*"&amp;表格1[[#This Row],[Input]]&amp;"*",'Ref-List'!$B:$D,2,)</f>
        <v>Model-Input-Ref2</v>
      </c>
      <c r="H5404" s="86" t="e">
        <f>_xlfn.XLOOKUP(表格1[[#This Row],[Model]],表格3[Model-Input-Ref2],表格3[Product Line])</f>
        <v>#N/A</v>
      </c>
      <c r="I5404" s="86" t="e">
        <f>_xlfn.XLOOKUP(表格1[[#This Row],[Model]],表格3[Model-Input-Ref2],表格3[大小電])</f>
        <v>#N/A</v>
      </c>
      <c r="J5404" s="86" t="e">
        <f>_xlfn.XLOOKUP(表格1[[#This Row],[Model]],表格3[Model-Input-Ref2],表格3[Code])</f>
        <v>#N/A</v>
      </c>
      <c r="N5404" s="87">
        <f>IFERROR(表格1[[#This Row],[QTY]]*表格1[[#This Row],[Unit Price]],"-")</f>
        <v>0</v>
      </c>
      <c r="R5404" s="86" t="str">
        <f>_xlfn.CONCAT(表格1[[#This Row],[Model]]," ",表格1[[#This Row],[inv no]])</f>
        <v xml:space="preserve">Model-Input-Ref2 </v>
      </c>
      <c r="S5404" s="86" t="e">
        <f>_xlfn.XLOOKUP(表格1[[#This Row],[Model]],表格3[Model-Input-Ref2],表格3[SRP PRICE])</f>
        <v>#N/A</v>
      </c>
      <c r="T5404" s="43" t="e">
        <f>表格1[[#This Row],[Unit Price]]/表格1[[#This Row],[SRP]]</f>
        <v>#N/A</v>
      </c>
      <c r="U5404" s="86" t="e">
        <f>_xlfn.XLOOKUP(表格1[[#This Row],[Model]],表格3[Model-Input-Ref2],表格3[TOSHIBA/HIGHEST])</f>
        <v>#N/A</v>
      </c>
      <c r="W5404" s="86" t="str">
        <f>_xlfn.CONCAT(表格1[[#This Row],[欄4]],表格1[[#This Row],[inv no]])</f>
        <v/>
      </c>
    </row>
    <row r="5405" spans="1:23" hidden="1">
      <c r="A5405" s="81">
        <v>5403</v>
      </c>
      <c r="D5405" s="89" t="e">
        <f ca="1">OFFSET(Roster!$A$3,MATCH(表格1[[#This Row],[Location]]&amp;" "&amp;表格1[[#This Row],[Shop]]&amp;"*",Roster!$A$4:$A$72,0),DAY(表格1[[#This Row],[date]]),1,1)</f>
        <v>#N/A</v>
      </c>
      <c r="E5405" s="86">
        <f>MONTH(表格1[[#This Row],[date]])</f>
        <v>1</v>
      </c>
      <c r="G5405" s="86" t="str">
        <f>VLOOKUP("*"&amp;表格1[[#This Row],[Input]]&amp;"*",'Ref-List'!$B:$D,2,)</f>
        <v>Model-Input-Ref2</v>
      </c>
      <c r="H5405" s="86" t="e">
        <f>_xlfn.XLOOKUP(表格1[[#This Row],[Model]],表格3[Model-Input-Ref2],表格3[Product Line])</f>
        <v>#N/A</v>
      </c>
      <c r="I5405" s="86" t="e">
        <f>_xlfn.XLOOKUP(表格1[[#This Row],[Model]],表格3[Model-Input-Ref2],表格3[大小電])</f>
        <v>#N/A</v>
      </c>
      <c r="J5405" s="86" t="e">
        <f>_xlfn.XLOOKUP(表格1[[#This Row],[Model]],表格3[Model-Input-Ref2],表格3[Code])</f>
        <v>#N/A</v>
      </c>
      <c r="N5405" s="87">
        <f>IFERROR(表格1[[#This Row],[QTY]]*表格1[[#This Row],[Unit Price]],"-")</f>
        <v>0</v>
      </c>
      <c r="R5405" s="86" t="str">
        <f>_xlfn.CONCAT(表格1[[#This Row],[Model]]," ",表格1[[#This Row],[inv no]])</f>
        <v xml:space="preserve">Model-Input-Ref2 </v>
      </c>
      <c r="S5405" s="86" t="e">
        <f>_xlfn.XLOOKUP(表格1[[#This Row],[Model]],表格3[Model-Input-Ref2],表格3[SRP PRICE])</f>
        <v>#N/A</v>
      </c>
      <c r="T5405" s="43" t="e">
        <f>表格1[[#This Row],[Unit Price]]/表格1[[#This Row],[SRP]]</f>
        <v>#N/A</v>
      </c>
      <c r="U5405" s="86" t="e">
        <f>_xlfn.XLOOKUP(表格1[[#This Row],[Model]],表格3[Model-Input-Ref2],表格3[TOSHIBA/HIGHEST])</f>
        <v>#N/A</v>
      </c>
      <c r="W5405" s="86" t="str">
        <f>_xlfn.CONCAT(表格1[[#This Row],[欄4]],表格1[[#This Row],[inv no]])</f>
        <v/>
      </c>
    </row>
    <row r="5406" spans="1:23" hidden="1">
      <c r="A5406" s="81">
        <v>5404</v>
      </c>
      <c r="D5406" s="89" t="e">
        <f ca="1">OFFSET(Roster!$A$3,MATCH(表格1[[#This Row],[Location]]&amp;" "&amp;表格1[[#This Row],[Shop]]&amp;"*",Roster!$A$4:$A$72,0),DAY(表格1[[#This Row],[date]]),1,1)</f>
        <v>#N/A</v>
      </c>
      <c r="E5406" s="86">
        <f>MONTH(表格1[[#This Row],[date]])</f>
        <v>1</v>
      </c>
      <c r="G5406" s="86" t="str">
        <f>VLOOKUP("*"&amp;表格1[[#This Row],[Input]]&amp;"*",'Ref-List'!$B:$D,2,)</f>
        <v>Model-Input-Ref2</v>
      </c>
      <c r="H5406" s="86" t="e">
        <f>_xlfn.XLOOKUP(表格1[[#This Row],[Model]],表格3[Model-Input-Ref2],表格3[Product Line])</f>
        <v>#N/A</v>
      </c>
      <c r="I5406" s="86" t="e">
        <f>_xlfn.XLOOKUP(表格1[[#This Row],[Model]],表格3[Model-Input-Ref2],表格3[大小電])</f>
        <v>#N/A</v>
      </c>
      <c r="J5406" s="86" t="e">
        <f>_xlfn.XLOOKUP(表格1[[#This Row],[Model]],表格3[Model-Input-Ref2],表格3[Code])</f>
        <v>#N/A</v>
      </c>
      <c r="N5406" s="87">
        <f>IFERROR(表格1[[#This Row],[QTY]]*表格1[[#This Row],[Unit Price]],"-")</f>
        <v>0</v>
      </c>
      <c r="R5406" s="86" t="str">
        <f>_xlfn.CONCAT(表格1[[#This Row],[Model]]," ",表格1[[#This Row],[inv no]])</f>
        <v xml:space="preserve">Model-Input-Ref2 </v>
      </c>
      <c r="S5406" s="86" t="e">
        <f>_xlfn.XLOOKUP(表格1[[#This Row],[Model]],表格3[Model-Input-Ref2],表格3[SRP PRICE])</f>
        <v>#N/A</v>
      </c>
      <c r="T5406" s="43" t="e">
        <f>表格1[[#This Row],[Unit Price]]/表格1[[#This Row],[SRP]]</f>
        <v>#N/A</v>
      </c>
      <c r="U5406" s="86" t="e">
        <f>_xlfn.XLOOKUP(表格1[[#This Row],[Model]],表格3[Model-Input-Ref2],表格3[TOSHIBA/HIGHEST])</f>
        <v>#N/A</v>
      </c>
      <c r="W5406" s="86" t="str">
        <f>_xlfn.CONCAT(表格1[[#This Row],[欄4]],表格1[[#This Row],[inv no]])</f>
        <v/>
      </c>
    </row>
    <row r="5407" spans="1:23" hidden="1">
      <c r="A5407" s="81">
        <v>5405</v>
      </c>
      <c r="D5407" s="89" t="e">
        <f ca="1">OFFSET(Roster!$A$3,MATCH(表格1[[#This Row],[Location]]&amp;" "&amp;表格1[[#This Row],[Shop]]&amp;"*",Roster!$A$4:$A$72,0),DAY(表格1[[#This Row],[date]]),1,1)</f>
        <v>#N/A</v>
      </c>
      <c r="E5407" s="86">
        <f>MONTH(表格1[[#This Row],[date]])</f>
        <v>1</v>
      </c>
      <c r="G5407" s="86" t="str">
        <f>VLOOKUP("*"&amp;表格1[[#This Row],[Input]]&amp;"*",'Ref-List'!$B:$D,2,)</f>
        <v>Model-Input-Ref2</v>
      </c>
      <c r="H5407" s="86" t="e">
        <f>_xlfn.XLOOKUP(表格1[[#This Row],[Model]],表格3[Model-Input-Ref2],表格3[Product Line])</f>
        <v>#N/A</v>
      </c>
      <c r="I5407" s="86" t="e">
        <f>_xlfn.XLOOKUP(表格1[[#This Row],[Model]],表格3[Model-Input-Ref2],表格3[大小電])</f>
        <v>#N/A</v>
      </c>
      <c r="J5407" s="86" t="e">
        <f>_xlfn.XLOOKUP(表格1[[#This Row],[Model]],表格3[Model-Input-Ref2],表格3[Code])</f>
        <v>#N/A</v>
      </c>
      <c r="N5407" s="87">
        <f>IFERROR(表格1[[#This Row],[QTY]]*表格1[[#This Row],[Unit Price]],"-")</f>
        <v>0</v>
      </c>
      <c r="R5407" s="86" t="str">
        <f>_xlfn.CONCAT(表格1[[#This Row],[Model]]," ",表格1[[#This Row],[inv no]])</f>
        <v xml:space="preserve">Model-Input-Ref2 </v>
      </c>
      <c r="S5407" s="86" t="e">
        <f>_xlfn.XLOOKUP(表格1[[#This Row],[Model]],表格3[Model-Input-Ref2],表格3[SRP PRICE])</f>
        <v>#N/A</v>
      </c>
      <c r="T5407" s="43" t="e">
        <f>表格1[[#This Row],[Unit Price]]/表格1[[#This Row],[SRP]]</f>
        <v>#N/A</v>
      </c>
      <c r="U5407" s="86" t="e">
        <f>_xlfn.XLOOKUP(表格1[[#This Row],[Model]],表格3[Model-Input-Ref2],表格3[TOSHIBA/HIGHEST])</f>
        <v>#N/A</v>
      </c>
      <c r="W5407" s="86" t="str">
        <f>_xlfn.CONCAT(表格1[[#This Row],[欄4]],表格1[[#This Row],[inv no]])</f>
        <v/>
      </c>
    </row>
    <row r="5408" spans="1:23" hidden="1">
      <c r="A5408" s="81">
        <v>5406</v>
      </c>
      <c r="D5408" s="89" t="e">
        <f ca="1">OFFSET(Roster!$A$3,MATCH(表格1[[#This Row],[Location]]&amp;" "&amp;表格1[[#This Row],[Shop]]&amp;"*",Roster!$A$4:$A$72,0),DAY(表格1[[#This Row],[date]]),1,1)</f>
        <v>#N/A</v>
      </c>
      <c r="E5408" s="86">
        <f>MONTH(表格1[[#This Row],[date]])</f>
        <v>1</v>
      </c>
      <c r="G5408" s="86" t="str">
        <f>VLOOKUP("*"&amp;表格1[[#This Row],[Input]]&amp;"*",'Ref-List'!$B:$D,2,)</f>
        <v>Model-Input-Ref2</v>
      </c>
      <c r="H5408" s="86" t="e">
        <f>_xlfn.XLOOKUP(表格1[[#This Row],[Model]],表格3[Model-Input-Ref2],表格3[Product Line])</f>
        <v>#N/A</v>
      </c>
      <c r="I5408" s="86" t="e">
        <f>_xlfn.XLOOKUP(表格1[[#This Row],[Model]],表格3[Model-Input-Ref2],表格3[大小電])</f>
        <v>#N/A</v>
      </c>
      <c r="J5408" s="86" t="e">
        <f>_xlfn.XLOOKUP(表格1[[#This Row],[Model]],表格3[Model-Input-Ref2],表格3[Code])</f>
        <v>#N/A</v>
      </c>
      <c r="N5408" s="87">
        <f>IFERROR(表格1[[#This Row],[QTY]]*表格1[[#This Row],[Unit Price]],"-")</f>
        <v>0</v>
      </c>
      <c r="R5408" s="86" t="str">
        <f>_xlfn.CONCAT(表格1[[#This Row],[Model]]," ",表格1[[#This Row],[inv no]])</f>
        <v xml:space="preserve">Model-Input-Ref2 </v>
      </c>
      <c r="S5408" s="86" t="e">
        <f>_xlfn.XLOOKUP(表格1[[#This Row],[Model]],表格3[Model-Input-Ref2],表格3[SRP PRICE])</f>
        <v>#N/A</v>
      </c>
      <c r="T5408" s="43" t="e">
        <f>表格1[[#This Row],[Unit Price]]/表格1[[#This Row],[SRP]]</f>
        <v>#N/A</v>
      </c>
      <c r="U5408" s="86" t="e">
        <f>_xlfn.XLOOKUP(表格1[[#This Row],[Model]],表格3[Model-Input-Ref2],表格3[TOSHIBA/HIGHEST])</f>
        <v>#N/A</v>
      </c>
      <c r="W5408" s="86" t="str">
        <f>_xlfn.CONCAT(表格1[[#This Row],[欄4]],表格1[[#This Row],[inv no]])</f>
        <v/>
      </c>
    </row>
    <row r="5409" spans="1:23" hidden="1">
      <c r="A5409" s="81">
        <v>5407</v>
      </c>
      <c r="D5409" s="89" t="e">
        <f ca="1">OFFSET(Roster!$A$3,MATCH(表格1[[#This Row],[Location]]&amp;" "&amp;表格1[[#This Row],[Shop]]&amp;"*",Roster!$A$4:$A$72,0),DAY(表格1[[#This Row],[date]]),1,1)</f>
        <v>#N/A</v>
      </c>
      <c r="E5409" s="86">
        <f>MONTH(表格1[[#This Row],[date]])</f>
        <v>1</v>
      </c>
      <c r="G5409" s="86" t="str">
        <f>VLOOKUP("*"&amp;表格1[[#This Row],[Input]]&amp;"*",'Ref-List'!$B:$D,2,)</f>
        <v>Model-Input-Ref2</v>
      </c>
      <c r="H5409" s="86" t="e">
        <f>_xlfn.XLOOKUP(表格1[[#This Row],[Model]],表格3[Model-Input-Ref2],表格3[Product Line])</f>
        <v>#N/A</v>
      </c>
      <c r="I5409" s="86" t="e">
        <f>_xlfn.XLOOKUP(表格1[[#This Row],[Model]],表格3[Model-Input-Ref2],表格3[大小電])</f>
        <v>#N/A</v>
      </c>
      <c r="J5409" s="86" t="e">
        <f>_xlfn.XLOOKUP(表格1[[#This Row],[Model]],表格3[Model-Input-Ref2],表格3[Code])</f>
        <v>#N/A</v>
      </c>
      <c r="N5409" s="87">
        <f>IFERROR(表格1[[#This Row],[QTY]]*表格1[[#This Row],[Unit Price]],"-")</f>
        <v>0</v>
      </c>
      <c r="R5409" s="86" t="str">
        <f>_xlfn.CONCAT(表格1[[#This Row],[Model]]," ",表格1[[#This Row],[inv no]])</f>
        <v xml:space="preserve">Model-Input-Ref2 </v>
      </c>
      <c r="S5409" s="86" t="e">
        <f>_xlfn.XLOOKUP(表格1[[#This Row],[Model]],表格3[Model-Input-Ref2],表格3[SRP PRICE])</f>
        <v>#N/A</v>
      </c>
      <c r="T5409" s="43" t="e">
        <f>表格1[[#This Row],[Unit Price]]/表格1[[#This Row],[SRP]]</f>
        <v>#N/A</v>
      </c>
      <c r="U5409" s="86" t="e">
        <f>_xlfn.XLOOKUP(表格1[[#This Row],[Model]],表格3[Model-Input-Ref2],表格3[TOSHIBA/HIGHEST])</f>
        <v>#N/A</v>
      </c>
      <c r="W5409" s="86" t="str">
        <f>_xlfn.CONCAT(表格1[[#This Row],[欄4]],表格1[[#This Row],[inv no]])</f>
        <v/>
      </c>
    </row>
    <row r="5410" spans="1:23" hidden="1">
      <c r="A5410" s="81">
        <v>5408</v>
      </c>
      <c r="D5410" s="89" t="e">
        <f ca="1">OFFSET(Roster!$A$3,MATCH(表格1[[#This Row],[Location]]&amp;" "&amp;表格1[[#This Row],[Shop]]&amp;"*",Roster!$A$4:$A$72,0),DAY(表格1[[#This Row],[date]]),1,1)</f>
        <v>#N/A</v>
      </c>
      <c r="E5410" s="86">
        <f>MONTH(表格1[[#This Row],[date]])</f>
        <v>1</v>
      </c>
      <c r="G5410" s="86" t="str">
        <f>VLOOKUP("*"&amp;表格1[[#This Row],[Input]]&amp;"*",'Ref-List'!$B:$D,2,)</f>
        <v>Model-Input-Ref2</v>
      </c>
      <c r="H5410" s="86" t="e">
        <f>_xlfn.XLOOKUP(表格1[[#This Row],[Model]],表格3[Model-Input-Ref2],表格3[Product Line])</f>
        <v>#N/A</v>
      </c>
      <c r="I5410" s="86" t="e">
        <f>_xlfn.XLOOKUP(表格1[[#This Row],[Model]],表格3[Model-Input-Ref2],表格3[大小電])</f>
        <v>#N/A</v>
      </c>
      <c r="J5410" s="86" t="e">
        <f>_xlfn.XLOOKUP(表格1[[#This Row],[Model]],表格3[Model-Input-Ref2],表格3[Code])</f>
        <v>#N/A</v>
      </c>
      <c r="N5410" s="87">
        <f>IFERROR(表格1[[#This Row],[QTY]]*表格1[[#This Row],[Unit Price]],"-")</f>
        <v>0</v>
      </c>
      <c r="R5410" s="86" t="str">
        <f>_xlfn.CONCAT(表格1[[#This Row],[Model]]," ",表格1[[#This Row],[inv no]])</f>
        <v xml:space="preserve">Model-Input-Ref2 </v>
      </c>
      <c r="S5410" s="86" t="e">
        <f>_xlfn.XLOOKUP(表格1[[#This Row],[Model]],表格3[Model-Input-Ref2],表格3[SRP PRICE])</f>
        <v>#N/A</v>
      </c>
      <c r="T5410" s="43" t="e">
        <f>表格1[[#This Row],[Unit Price]]/表格1[[#This Row],[SRP]]</f>
        <v>#N/A</v>
      </c>
      <c r="U5410" s="86" t="e">
        <f>_xlfn.XLOOKUP(表格1[[#This Row],[Model]],表格3[Model-Input-Ref2],表格3[TOSHIBA/HIGHEST])</f>
        <v>#N/A</v>
      </c>
      <c r="W5410" s="86" t="str">
        <f>_xlfn.CONCAT(表格1[[#This Row],[欄4]],表格1[[#This Row],[inv no]])</f>
        <v/>
      </c>
    </row>
    <row r="5411" spans="1:23" hidden="1">
      <c r="A5411" s="81">
        <v>5409</v>
      </c>
      <c r="D5411" s="89" t="e">
        <f ca="1">OFFSET(Roster!$A$3,MATCH(表格1[[#This Row],[Location]]&amp;" "&amp;表格1[[#This Row],[Shop]]&amp;"*",Roster!$A$4:$A$72,0),DAY(表格1[[#This Row],[date]]),1,1)</f>
        <v>#N/A</v>
      </c>
      <c r="E5411" s="86">
        <f>MONTH(表格1[[#This Row],[date]])</f>
        <v>1</v>
      </c>
      <c r="G5411" s="86" t="str">
        <f>VLOOKUP("*"&amp;表格1[[#This Row],[Input]]&amp;"*",'Ref-List'!$B:$D,2,)</f>
        <v>Model-Input-Ref2</v>
      </c>
      <c r="H5411" s="86" t="e">
        <f>_xlfn.XLOOKUP(表格1[[#This Row],[Model]],表格3[Model-Input-Ref2],表格3[Product Line])</f>
        <v>#N/A</v>
      </c>
      <c r="I5411" s="86" t="e">
        <f>_xlfn.XLOOKUP(表格1[[#This Row],[Model]],表格3[Model-Input-Ref2],表格3[大小電])</f>
        <v>#N/A</v>
      </c>
      <c r="J5411" s="86" t="e">
        <f>_xlfn.XLOOKUP(表格1[[#This Row],[Model]],表格3[Model-Input-Ref2],表格3[Code])</f>
        <v>#N/A</v>
      </c>
      <c r="N5411" s="87">
        <f>IFERROR(表格1[[#This Row],[QTY]]*表格1[[#This Row],[Unit Price]],"-")</f>
        <v>0</v>
      </c>
      <c r="R5411" s="86" t="str">
        <f>_xlfn.CONCAT(表格1[[#This Row],[Model]]," ",表格1[[#This Row],[inv no]])</f>
        <v xml:space="preserve">Model-Input-Ref2 </v>
      </c>
      <c r="S5411" s="86" t="e">
        <f>_xlfn.XLOOKUP(表格1[[#This Row],[Model]],表格3[Model-Input-Ref2],表格3[SRP PRICE])</f>
        <v>#N/A</v>
      </c>
      <c r="T5411" s="43" t="e">
        <f>表格1[[#This Row],[Unit Price]]/表格1[[#This Row],[SRP]]</f>
        <v>#N/A</v>
      </c>
      <c r="U5411" s="86" t="e">
        <f>_xlfn.XLOOKUP(表格1[[#This Row],[Model]],表格3[Model-Input-Ref2],表格3[TOSHIBA/HIGHEST])</f>
        <v>#N/A</v>
      </c>
      <c r="W5411" s="86" t="str">
        <f>_xlfn.CONCAT(表格1[[#This Row],[欄4]],表格1[[#This Row],[inv no]])</f>
        <v/>
      </c>
    </row>
    <row r="5412" spans="1:23" hidden="1">
      <c r="A5412" s="81">
        <v>5410</v>
      </c>
      <c r="D5412" s="89" t="e">
        <f ca="1">OFFSET(Roster!$A$3,MATCH(表格1[[#This Row],[Location]]&amp;" "&amp;表格1[[#This Row],[Shop]]&amp;"*",Roster!$A$4:$A$72,0),DAY(表格1[[#This Row],[date]]),1,1)</f>
        <v>#N/A</v>
      </c>
      <c r="E5412" s="86">
        <f>MONTH(表格1[[#This Row],[date]])</f>
        <v>1</v>
      </c>
      <c r="G5412" s="86" t="str">
        <f>VLOOKUP("*"&amp;表格1[[#This Row],[Input]]&amp;"*",'Ref-List'!$B:$D,2,)</f>
        <v>Model-Input-Ref2</v>
      </c>
      <c r="H5412" s="86" t="e">
        <f>_xlfn.XLOOKUP(表格1[[#This Row],[Model]],表格3[Model-Input-Ref2],表格3[Product Line])</f>
        <v>#N/A</v>
      </c>
      <c r="I5412" s="86" t="e">
        <f>_xlfn.XLOOKUP(表格1[[#This Row],[Model]],表格3[Model-Input-Ref2],表格3[大小電])</f>
        <v>#N/A</v>
      </c>
      <c r="J5412" s="86" t="e">
        <f>_xlfn.XLOOKUP(表格1[[#This Row],[Model]],表格3[Model-Input-Ref2],表格3[Code])</f>
        <v>#N/A</v>
      </c>
      <c r="N5412" s="87">
        <f>IFERROR(表格1[[#This Row],[QTY]]*表格1[[#This Row],[Unit Price]],"-")</f>
        <v>0</v>
      </c>
      <c r="R5412" s="86" t="str">
        <f>_xlfn.CONCAT(表格1[[#This Row],[Model]]," ",表格1[[#This Row],[inv no]])</f>
        <v xml:space="preserve">Model-Input-Ref2 </v>
      </c>
      <c r="S5412" s="86" t="e">
        <f>_xlfn.XLOOKUP(表格1[[#This Row],[Model]],表格3[Model-Input-Ref2],表格3[SRP PRICE])</f>
        <v>#N/A</v>
      </c>
      <c r="T5412" s="43" t="e">
        <f>表格1[[#This Row],[Unit Price]]/表格1[[#This Row],[SRP]]</f>
        <v>#N/A</v>
      </c>
      <c r="U5412" s="86" t="e">
        <f>_xlfn.XLOOKUP(表格1[[#This Row],[Model]],表格3[Model-Input-Ref2],表格3[TOSHIBA/HIGHEST])</f>
        <v>#N/A</v>
      </c>
      <c r="W5412" s="86" t="str">
        <f>_xlfn.CONCAT(表格1[[#This Row],[欄4]],表格1[[#This Row],[inv no]])</f>
        <v/>
      </c>
    </row>
    <row r="5413" spans="1:23" hidden="1">
      <c r="A5413" s="81">
        <v>5411</v>
      </c>
      <c r="D5413" s="89" t="e">
        <f ca="1">OFFSET(Roster!$A$3,MATCH(表格1[[#This Row],[Location]]&amp;" "&amp;表格1[[#This Row],[Shop]]&amp;"*",Roster!$A$4:$A$72,0),DAY(表格1[[#This Row],[date]]),1,1)</f>
        <v>#N/A</v>
      </c>
      <c r="E5413" s="86">
        <f>MONTH(表格1[[#This Row],[date]])</f>
        <v>1</v>
      </c>
      <c r="G5413" s="86" t="str">
        <f>VLOOKUP("*"&amp;表格1[[#This Row],[Input]]&amp;"*",'Ref-List'!$B:$D,2,)</f>
        <v>Model-Input-Ref2</v>
      </c>
      <c r="H5413" s="86" t="e">
        <f>_xlfn.XLOOKUP(表格1[[#This Row],[Model]],表格3[Model-Input-Ref2],表格3[Product Line])</f>
        <v>#N/A</v>
      </c>
      <c r="I5413" s="86" t="e">
        <f>_xlfn.XLOOKUP(表格1[[#This Row],[Model]],表格3[Model-Input-Ref2],表格3[大小電])</f>
        <v>#N/A</v>
      </c>
      <c r="J5413" s="86" t="e">
        <f>_xlfn.XLOOKUP(表格1[[#This Row],[Model]],表格3[Model-Input-Ref2],表格3[Code])</f>
        <v>#N/A</v>
      </c>
      <c r="N5413" s="87">
        <f>IFERROR(表格1[[#This Row],[QTY]]*表格1[[#This Row],[Unit Price]],"-")</f>
        <v>0</v>
      </c>
      <c r="R5413" s="86" t="str">
        <f>_xlfn.CONCAT(表格1[[#This Row],[Model]]," ",表格1[[#This Row],[inv no]])</f>
        <v xml:space="preserve">Model-Input-Ref2 </v>
      </c>
      <c r="S5413" s="86" t="e">
        <f>_xlfn.XLOOKUP(表格1[[#This Row],[Model]],表格3[Model-Input-Ref2],表格3[SRP PRICE])</f>
        <v>#N/A</v>
      </c>
      <c r="T5413" s="43" t="e">
        <f>表格1[[#This Row],[Unit Price]]/表格1[[#This Row],[SRP]]</f>
        <v>#N/A</v>
      </c>
      <c r="U5413" s="86" t="e">
        <f>_xlfn.XLOOKUP(表格1[[#This Row],[Model]],表格3[Model-Input-Ref2],表格3[TOSHIBA/HIGHEST])</f>
        <v>#N/A</v>
      </c>
      <c r="W5413" s="86" t="str">
        <f>_xlfn.CONCAT(表格1[[#This Row],[欄4]],表格1[[#This Row],[inv no]])</f>
        <v/>
      </c>
    </row>
    <row r="5414" spans="1:23" hidden="1">
      <c r="A5414" s="81">
        <v>5412</v>
      </c>
      <c r="D5414" s="89" t="e">
        <f ca="1">OFFSET(Roster!$A$3,MATCH(表格1[[#This Row],[Location]]&amp;" "&amp;表格1[[#This Row],[Shop]]&amp;"*",Roster!$A$4:$A$72,0),DAY(表格1[[#This Row],[date]]),1,1)</f>
        <v>#N/A</v>
      </c>
      <c r="E5414" s="86">
        <f>MONTH(表格1[[#This Row],[date]])</f>
        <v>1</v>
      </c>
      <c r="G5414" s="86" t="str">
        <f>VLOOKUP("*"&amp;表格1[[#This Row],[Input]]&amp;"*",'Ref-List'!$B:$D,2,)</f>
        <v>Model-Input-Ref2</v>
      </c>
      <c r="H5414" s="86" t="e">
        <f>_xlfn.XLOOKUP(表格1[[#This Row],[Model]],表格3[Model-Input-Ref2],表格3[Product Line])</f>
        <v>#N/A</v>
      </c>
      <c r="I5414" s="86" t="e">
        <f>_xlfn.XLOOKUP(表格1[[#This Row],[Model]],表格3[Model-Input-Ref2],表格3[大小電])</f>
        <v>#N/A</v>
      </c>
      <c r="J5414" s="86" t="e">
        <f>_xlfn.XLOOKUP(表格1[[#This Row],[Model]],表格3[Model-Input-Ref2],表格3[Code])</f>
        <v>#N/A</v>
      </c>
      <c r="N5414" s="87">
        <f>IFERROR(表格1[[#This Row],[QTY]]*表格1[[#This Row],[Unit Price]],"-")</f>
        <v>0</v>
      </c>
      <c r="R5414" s="86" t="str">
        <f>_xlfn.CONCAT(表格1[[#This Row],[Model]]," ",表格1[[#This Row],[inv no]])</f>
        <v xml:space="preserve">Model-Input-Ref2 </v>
      </c>
      <c r="S5414" s="86" t="e">
        <f>_xlfn.XLOOKUP(表格1[[#This Row],[Model]],表格3[Model-Input-Ref2],表格3[SRP PRICE])</f>
        <v>#N/A</v>
      </c>
      <c r="T5414" s="43" t="e">
        <f>表格1[[#This Row],[Unit Price]]/表格1[[#This Row],[SRP]]</f>
        <v>#N/A</v>
      </c>
      <c r="U5414" s="86" t="e">
        <f>_xlfn.XLOOKUP(表格1[[#This Row],[Model]],表格3[Model-Input-Ref2],表格3[TOSHIBA/HIGHEST])</f>
        <v>#N/A</v>
      </c>
      <c r="W5414" s="86" t="str">
        <f>_xlfn.CONCAT(表格1[[#This Row],[欄4]],表格1[[#This Row],[inv no]])</f>
        <v/>
      </c>
    </row>
    <row r="5415" spans="1:23" hidden="1">
      <c r="A5415" s="81">
        <v>5413</v>
      </c>
      <c r="D5415" s="89" t="e">
        <f ca="1">OFFSET(Roster!$A$3,MATCH(表格1[[#This Row],[Location]]&amp;" "&amp;表格1[[#This Row],[Shop]]&amp;"*",Roster!$A$4:$A$72,0),DAY(表格1[[#This Row],[date]]),1,1)</f>
        <v>#N/A</v>
      </c>
      <c r="E5415" s="86">
        <f>MONTH(表格1[[#This Row],[date]])</f>
        <v>1</v>
      </c>
      <c r="G5415" s="86" t="str">
        <f>VLOOKUP("*"&amp;表格1[[#This Row],[Input]]&amp;"*",'Ref-List'!$B:$D,2,)</f>
        <v>Model-Input-Ref2</v>
      </c>
      <c r="H5415" s="86" t="e">
        <f>_xlfn.XLOOKUP(表格1[[#This Row],[Model]],表格3[Model-Input-Ref2],表格3[Product Line])</f>
        <v>#N/A</v>
      </c>
      <c r="I5415" s="86" t="e">
        <f>_xlfn.XLOOKUP(表格1[[#This Row],[Model]],表格3[Model-Input-Ref2],表格3[大小電])</f>
        <v>#N/A</v>
      </c>
      <c r="J5415" s="86" t="e">
        <f>_xlfn.XLOOKUP(表格1[[#This Row],[Model]],表格3[Model-Input-Ref2],表格3[Code])</f>
        <v>#N/A</v>
      </c>
      <c r="N5415" s="87">
        <f>IFERROR(表格1[[#This Row],[QTY]]*表格1[[#This Row],[Unit Price]],"-")</f>
        <v>0</v>
      </c>
      <c r="R5415" s="86" t="str">
        <f>_xlfn.CONCAT(表格1[[#This Row],[Model]]," ",表格1[[#This Row],[inv no]])</f>
        <v xml:space="preserve">Model-Input-Ref2 </v>
      </c>
      <c r="S5415" s="86" t="e">
        <f>_xlfn.XLOOKUP(表格1[[#This Row],[Model]],表格3[Model-Input-Ref2],表格3[SRP PRICE])</f>
        <v>#N/A</v>
      </c>
      <c r="T5415" s="43" t="e">
        <f>表格1[[#This Row],[Unit Price]]/表格1[[#This Row],[SRP]]</f>
        <v>#N/A</v>
      </c>
      <c r="U5415" s="86" t="e">
        <f>_xlfn.XLOOKUP(表格1[[#This Row],[Model]],表格3[Model-Input-Ref2],表格3[TOSHIBA/HIGHEST])</f>
        <v>#N/A</v>
      </c>
      <c r="W5415" s="86" t="str">
        <f>_xlfn.CONCAT(表格1[[#This Row],[欄4]],表格1[[#This Row],[inv no]])</f>
        <v/>
      </c>
    </row>
    <row r="5416" spans="1:23" hidden="1">
      <c r="A5416" s="81">
        <v>5414</v>
      </c>
      <c r="D5416" s="89" t="e">
        <f ca="1">OFFSET(Roster!$A$3,MATCH(表格1[[#This Row],[Location]]&amp;" "&amp;表格1[[#This Row],[Shop]]&amp;"*",Roster!$A$4:$A$72,0),DAY(表格1[[#This Row],[date]]),1,1)</f>
        <v>#N/A</v>
      </c>
      <c r="E5416" s="86">
        <f>MONTH(表格1[[#This Row],[date]])</f>
        <v>1</v>
      </c>
      <c r="G5416" s="86" t="str">
        <f>VLOOKUP("*"&amp;表格1[[#This Row],[Input]]&amp;"*",'Ref-List'!$B:$D,2,)</f>
        <v>Model-Input-Ref2</v>
      </c>
      <c r="H5416" s="86" t="e">
        <f>_xlfn.XLOOKUP(表格1[[#This Row],[Model]],表格3[Model-Input-Ref2],表格3[Product Line])</f>
        <v>#N/A</v>
      </c>
      <c r="I5416" s="86" t="e">
        <f>_xlfn.XLOOKUP(表格1[[#This Row],[Model]],表格3[Model-Input-Ref2],表格3[大小電])</f>
        <v>#N/A</v>
      </c>
      <c r="J5416" s="86" t="e">
        <f>_xlfn.XLOOKUP(表格1[[#This Row],[Model]],表格3[Model-Input-Ref2],表格3[Code])</f>
        <v>#N/A</v>
      </c>
      <c r="N5416" s="87">
        <f>IFERROR(表格1[[#This Row],[QTY]]*表格1[[#This Row],[Unit Price]],"-")</f>
        <v>0</v>
      </c>
      <c r="R5416" s="86" t="str">
        <f>_xlfn.CONCAT(表格1[[#This Row],[Model]]," ",表格1[[#This Row],[inv no]])</f>
        <v xml:space="preserve">Model-Input-Ref2 </v>
      </c>
      <c r="S5416" s="86" t="e">
        <f>_xlfn.XLOOKUP(表格1[[#This Row],[Model]],表格3[Model-Input-Ref2],表格3[SRP PRICE])</f>
        <v>#N/A</v>
      </c>
      <c r="T5416" s="43" t="e">
        <f>表格1[[#This Row],[Unit Price]]/表格1[[#This Row],[SRP]]</f>
        <v>#N/A</v>
      </c>
      <c r="U5416" s="86" t="e">
        <f>_xlfn.XLOOKUP(表格1[[#This Row],[Model]],表格3[Model-Input-Ref2],表格3[TOSHIBA/HIGHEST])</f>
        <v>#N/A</v>
      </c>
      <c r="W5416" s="86" t="str">
        <f>_xlfn.CONCAT(表格1[[#This Row],[欄4]],表格1[[#This Row],[inv no]])</f>
        <v/>
      </c>
    </row>
    <row r="5417" spans="1:23" hidden="1">
      <c r="A5417" s="81">
        <v>5415</v>
      </c>
      <c r="D5417" s="89" t="e">
        <f ca="1">OFFSET(Roster!$A$3,MATCH(表格1[[#This Row],[Location]]&amp;" "&amp;表格1[[#This Row],[Shop]]&amp;"*",Roster!$A$4:$A$72,0),DAY(表格1[[#This Row],[date]]),1,1)</f>
        <v>#N/A</v>
      </c>
      <c r="E5417" s="86">
        <f>MONTH(表格1[[#This Row],[date]])</f>
        <v>1</v>
      </c>
      <c r="G5417" s="86" t="str">
        <f>VLOOKUP("*"&amp;表格1[[#This Row],[Input]]&amp;"*",'Ref-List'!$B:$D,2,)</f>
        <v>Model-Input-Ref2</v>
      </c>
      <c r="H5417" s="86" t="e">
        <f>_xlfn.XLOOKUP(表格1[[#This Row],[Model]],表格3[Model-Input-Ref2],表格3[Product Line])</f>
        <v>#N/A</v>
      </c>
      <c r="I5417" s="86" t="e">
        <f>_xlfn.XLOOKUP(表格1[[#This Row],[Model]],表格3[Model-Input-Ref2],表格3[大小電])</f>
        <v>#N/A</v>
      </c>
      <c r="J5417" s="86" t="e">
        <f>_xlfn.XLOOKUP(表格1[[#This Row],[Model]],表格3[Model-Input-Ref2],表格3[Code])</f>
        <v>#N/A</v>
      </c>
      <c r="N5417" s="87">
        <f>IFERROR(表格1[[#This Row],[QTY]]*表格1[[#This Row],[Unit Price]],"-")</f>
        <v>0</v>
      </c>
      <c r="R5417" s="86" t="str">
        <f>_xlfn.CONCAT(表格1[[#This Row],[Model]]," ",表格1[[#This Row],[inv no]])</f>
        <v xml:space="preserve">Model-Input-Ref2 </v>
      </c>
      <c r="S5417" s="86" t="e">
        <f>_xlfn.XLOOKUP(表格1[[#This Row],[Model]],表格3[Model-Input-Ref2],表格3[SRP PRICE])</f>
        <v>#N/A</v>
      </c>
      <c r="T5417" s="43" t="e">
        <f>表格1[[#This Row],[Unit Price]]/表格1[[#This Row],[SRP]]</f>
        <v>#N/A</v>
      </c>
      <c r="U5417" s="86" t="e">
        <f>_xlfn.XLOOKUP(表格1[[#This Row],[Model]],表格3[Model-Input-Ref2],表格3[TOSHIBA/HIGHEST])</f>
        <v>#N/A</v>
      </c>
      <c r="W5417" s="86" t="str">
        <f>_xlfn.CONCAT(表格1[[#This Row],[欄4]],表格1[[#This Row],[inv no]])</f>
        <v/>
      </c>
    </row>
    <row r="5418" spans="1:23" hidden="1">
      <c r="A5418" s="81">
        <v>5416</v>
      </c>
      <c r="D5418" s="89" t="e">
        <f ca="1">OFFSET(Roster!$A$3,MATCH(表格1[[#This Row],[Location]]&amp;" "&amp;表格1[[#This Row],[Shop]]&amp;"*",Roster!$A$4:$A$72,0),DAY(表格1[[#This Row],[date]]),1,1)</f>
        <v>#N/A</v>
      </c>
      <c r="E5418" s="86">
        <f>MONTH(表格1[[#This Row],[date]])</f>
        <v>1</v>
      </c>
      <c r="G5418" s="86" t="str">
        <f>VLOOKUP("*"&amp;表格1[[#This Row],[Input]]&amp;"*",'Ref-List'!$B:$D,2,)</f>
        <v>Model-Input-Ref2</v>
      </c>
      <c r="H5418" s="86" t="e">
        <f>_xlfn.XLOOKUP(表格1[[#This Row],[Model]],表格3[Model-Input-Ref2],表格3[Product Line])</f>
        <v>#N/A</v>
      </c>
      <c r="I5418" s="86" t="e">
        <f>_xlfn.XLOOKUP(表格1[[#This Row],[Model]],表格3[Model-Input-Ref2],表格3[大小電])</f>
        <v>#N/A</v>
      </c>
      <c r="J5418" s="86" t="e">
        <f>_xlfn.XLOOKUP(表格1[[#This Row],[Model]],表格3[Model-Input-Ref2],表格3[Code])</f>
        <v>#N/A</v>
      </c>
      <c r="N5418" s="87">
        <f>IFERROR(表格1[[#This Row],[QTY]]*表格1[[#This Row],[Unit Price]],"-")</f>
        <v>0</v>
      </c>
      <c r="R5418" s="86" t="str">
        <f>_xlfn.CONCAT(表格1[[#This Row],[Model]]," ",表格1[[#This Row],[inv no]])</f>
        <v xml:space="preserve">Model-Input-Ref2 </v>
      </c>
      <c r="S5418" s="86" t="e">
        <f>_xlfn.XLOOKUP(表格1[[#This Row],[Model]],表格3[Model-Input-Ref2],表格3[SRP PRICE])</f>
        <v>#N/A</v>
      </c>
      <c r="T5418" s="43" t="e">
        <f>表格1[[#This Row],[Unit Price]]/表格1[[#This Row],[SRP]]</f>
        <v>#N/A</v>
      </c>
      <c r="U5418" s="86" t="e">
        <f>_xlfn.XLOOKUP(表格1[[#This Row],[Model]],表格3[Model-Input-Ref2],表格3[TOSHIBA/HIGHEST])</f>
        <v>#N/A</v>
      </c>
      <c r="W5418" s="86" t="str">
        <f>_xlfn.CONCAT(表格1[[#This Row],[欄4]],表格1[[#This Row],[inv no]])</f>
        <v/>
      </c>
    </row>
    <row r="5419" spans="1:23" hidden="1">
      <c r="A5419" s="81">
        <v>5417</v>
      </c>
      <c r="D5419" s="89" t="e">
        <f ca="1">OFFSET(Roster!$A$3,MATCH(表格1[[#This Row],[Location]]&amp;" "&amp;表格1[[#This Row],[Shop]]&amp;"*",Roster!$A$4:$A$72,0),DAY(表格1[[#This Row],[date]]),1,1)</f>
        <v>#N/A</v>
      </c>
      <c r="E5419" s="86">
        <f>MONTH(表格1[[#This Row],[date]])</f>
        <v>1</v>
      </c>
      <c r="G5419" s="86" t="str">
        <f>VLOOKUP("*"&amp;表格1[[#This Row],[Input]]&amp;"*",'Ref-List'!$B:$D,2,)</f>
        <v>Model-Input-Ref2</v>
      </c>
      <c r="H5419" s="86" t="e">
        <f>_xlfn.XLOOKUP(表格1[[#This Row],[Model]],表格3[Model-Input-Ref2],表格3[Product Line])</f>
        <v>#N/A</v>
      </c>
      <c r="I5419" s="86" t="e">
        <f>_xlfn.XLOOKUP(表格1[[#This Row],[Model]],表格3[Model-Input-Ref2],表格3[大小電])</f>
        <v>#N/A</v>
      </c>
      <c r="J5419" s="86" t="e">
        <f>_xlfn.XLOOKUP(表格1[[#This Row],[Model]],表格3[Model-Input-Ref2],表格3[Code])</f>
        <v>#N/A</v>
      </c>
      <c r="N5419" s="87">
        <f>IFERROR(表格1[[#This Row],[QTY]]*表格1[[#This Row],[Unit Price]],"-")</f>
        <v>0</v>
      </c>
      <c r="R5419" s="86" t="str">
        <f>_xlfn.CONCAT(表格1[[#This Row],[Model]]," ",表格1[[#This Row],[inv no]])</f>
        <v xml:space="preserve">Model-Input-Ref2 </v>
      </c>
      <c r="S5419" s="86" t="e">
        <f>_xlfn.XLOOKUP(表格1[[#This Row],[Model]],表格3[Model-Input-Ref2],表格3[SRP PRICE])</f>
        <v>#N/A</v>
      </c>
      <c r="T5419" s="43" t="e">
        <f>表格1[[#This Row],[Unit Price]]/表格1[[#This Row],[SRP]]</f>
        <v>#N/A</v>
      </c>
      <c r="U5419" s="86" t="e">
        <f>_xlfn.XLOOKUP(表格1[[#This Row],[Model]],表格3[Model-Input-Ref2],表格3[TOSHIBA/HIGHEST])</f>
        <v>#N/A</v>
      </c>
      <c r="W5419" s="86" t="str">
        <f>_xlfn.CONCAT(表格1[[#This Row],[欄4]],表格1[[#This Row],[inv no]])</f>
        <v/>
      </c>
    </row>
    <row r="5420" spans="1:23" hidden="1">
      <c r="A5420" s="81">
        <v>5418</v>
      </c>
      <c r="D5420" s="89" t="e">
        <f ca="1">OFFSET(Roster!$A$3,MATCH(表格1[[#This Row],[Location]]&amp;" "&amp;表格1[[#This Row],[Shop]]&amp;"*",Roster!$A$4:$A$72,0),DAY(表格1[[#This Row],[date]]),1,1)</f>
        <v>#N/A</v>
      </c>
      <c r="E5420" s="86">
        <f>MONTH(表格1[[#This Row],[date]])</f>
        <v>1</v>
      </c>
      <c r="G5420" s="86" t="str">
        <f>VLOOKUP("*"&amp;表格1[[#This Row],[Input]]&amp;"*",'Ref-List'!$B:$D,2,)</f>
        <v>Model-Input-Ref2</v>
      </c>
      <c r="H5420" s="86" t="e">
        <f>_xlfn.XLOOKUP(表格1[[#This Row],[Model]],表格3[Model-Input-Ref2],表格3[Product Line])</f>
        <v>#N/A</v>
      </c>
      <c r="I5420" s="86" t="e">
        <f>_xlfn.XLOOKUP(表格1[[#This Row],[Model]],表格3[Model-Input-Ref2],表格3[大小電])</f>
        <v>#N/A</v>
      </c>
      <c r="J5420" s="86" t="e">
        <f>_xlfn.XLOOKUP(表格1[[#This Row],[Model]],表格3[Model-Input-Ref2],表格3[Code])</f>
        <v>#N/A</v>
      </c>
      <c r="N5420" s="87">
        <f>IFERROR(表格1[[#This Row],[QTY]]*表格1[[#This Row],[Unit Price]],"-")</f>
        <v>0</v>
      </c>
      <c r="R5420" s="86" t="str">
        <f>_xlfn.CONCAT(表格1[[#This Row],[Model]]," ",表格1[[#This Row],[inv no]])</f>
        <v xml:space="preserve">Model-Input-Ref2 </v>
      </c>
      <c r="S5420" s="86" t="e">
        <f>_xlfn.XLOOKUP(表格1[[#This Row],[Model]],表格3[Model-Input-Ref2],表格3[SRP PRICE])</f>
        <v>#N/A</v>
      </c>
      <c r="T5420" s="43" t="e">
        <f>表格1[[#This Row],[Unit Price]]/表格1[[#This Row],[SRP]]</f>
        <v>#N/A</v>
      </c>
      <c r="U5420" s="86" t="e">
        <f>_xlfn.XLOOKUP(表格1[[#This Row],[Model]],表格3[Model-Input-Ref2],表格3[TOSHIBA/HIGHEST])</f>
        <v>#N/A</v>
      </c>
      <c r="W5420" s="86" t="str">
        <f>_xlfn.CONCAT(表格1[[#This Row],[欄4]],表格1[[#This Row],[inv no]])</f>
        <v/>
      </c>
    </row>
    <row r="5421" spans="1:23" hidden="1">
      <c r="A5421" s="81">
        <v>5419</v>
      </c>
      <c r="D5421" s="89" t="e">
        <f ca="1">OFFSET(Roster!$A$3,MATCH(表格1[[#This Row],[Location]]&amp;" "&amp;表格1[[#This Row],[Shop]]&amp;"*",Roster!$A$4:$A$72,0),DAY(表格1[[#This Row],[date]]),1,1)</f>
        <v>#N/A</v>
      </c>
      <c r="E5421" s="86">
        <f>MONTH(表格1[[#This Row],[date]])</f>
        <v>1</v>
      </c>
      <c r="G5421" s="86" t="str">
        <f>VLOOKUP("*"&amp;表格1[[#This Row],[Input]]&amp;"*",'Ref-List'!$B:$D,2,)</f>
        <v>Model-Input-Ref2</v>
      </c>
      <c r="H5421" s="86" t="e">
        <f>_xlfn.XLOOKUP(表格1[[#This Row],[Model]],表格3[Model-Input-Ref2],表格3[Product Line])</f>
        <v>#N/A</v>
      </c>
      <c r="I5421" s="86" t="e">
        <f>_xlfn.XLOOKUP(表格1[[#This Row],[Model]],表格3[Model-Input-Ref2],表格3[大小電])</f>
        <v>#N/A</v>
      </c>
      <c r="J5421" s="86" t="e">
        <f>_xlfn.XLOOKUP(表格1[[#This Row],[Model]],表格3[Model-Input-Ref2],表格3[Code])</f>
        <v>#N/A</v>
      </c>
      <c r="N5421" s="87">
        <f>IFERROR(表格1[[#This Row],[QTY]]*表格1[[#This Row],[Unit Price]],"-")</f>
        <v>0</v>
      </c>
      <c r="R5421" s="86" t="str">
        <f>_xlfn.CONCAT(表格1[[#This Row],[Model]]," ",表格1[[#This Row],[inv no]])</f>
        <v xml:space="preserve">Model-Input-Ref2 </v>
      </c>
      <c r="S5421" s="86" t="e">
        <f>_xlfn.XLOOKUP(表格1[[#This Row],[Model]],表格3[Model-Input-Ref2],表格3[SRP PRICE])</f>
        <v>#N/A</v>
      </c>
      <c r="T5421" s="43" t="e">
        <f>表格1[[#This Row],[Unit Price]]/表格1[[#This Row],[SRP]]</f>
        <v>#N/A</v>
      </c>
      <c r="U5421" s="86" t="e">
        <f>_xlfn.XLOOKUP(表格1[[#This Row],[Model]],表格3[Model-Input-Ref2],表格3[TOSHIBA/HIGHEST])</f>
        <v>#N/A</v>
      </c>
      <c r="W5421" s="86" t="str">
        <f>_xlfn.CONCAT(表格1[[#This Row],[欄4]],表格1[[#This Row],[inv no]])</f>
        <v/>
      </c>
    </row>
    <row r="5422" spans="1:23" hidden="1">
      <c r="A5422" s="81">
        <v>5420</v>
      </c>
      <c r="D5422" s="89" t="e">
        <f ca="1">OFFSET(Roster!$A$3,MATCH(表格1[[#This Row],[Location]]&amp;" "&amp;表格1[[#This Row],[Shop]]&amp;"*",Roster!$A$4:$A$72,0),DAY(表格1[[#This Row],[date]]),1,1)</f>
        <v>#N/A</v>
      </c>
      <c r="E5422" s="86">
        <f>MONTH(表格1[[#This Row],[date]])</f>
        <v>1</v>
      </c>
      <c r="G5422" s="86" t="str">
        <f>VLOOKUP("*"&amp;表格1[[#This Row],[Input]]&amp;"*",'Ref-List'!$B:$D,2,)</f>
        <v>Model-Input-Ref2</v>
      </c>
      <c r="H5422" s="86" t="e">
        <f>_xlfn.XLOOKUP(表格1[[#This Row],[Model]],表格3[Model-Input-Ref2],表格3[Product Line])</f>
        <v>#N/A</v>
      </c>
      <c r="I5422" s="86" t="e">
        <f>_xlfn.XLOOKUP(表格1[[#This Row],[Model]],表格3[Model-Input-Ref2],表格3[大小電])</f>
        <v>#N/A</v>
      </c>
      <c r="J5422" s="86" t="e">
        <f>_xlfn.XLOOKUP(表格1[[#This Row],[Model]],表格3[Model-Input-Ref2],表格3[Code])</f>
        <v>#N/A</v>
      </c>
      <c r="N5422" s="87">
        <f>IFERROR(表格1[[#This Row],[QTY]]*表格1[[#This Row],[Unit Price]],"-")</f>
        <v>0</v>
      </c>
      <c r="R5422" s="86" t="str">
        <f>_xlfn.CONCAT(表格1[[#This Row],[Model]]," ",表格1[[#This Row],[inv no]])</f>
        <v xml:space="preserve">Model-Input-Ref2 </v>
      </c>
      <c r="S5422" s="86" t="e">
        <f>_xlfn.XLOOKUP(表格1[[#This Row],[Model]],表格3[Model-Input-Ref2],表格3[SRP PRICE])</f>
        <v>#N/A</v>
      </c>
      <c r="T5422" s="43" t="e">
        <f>表格1[[#This Row],[Unit Price]]/表格1[[#This Row],[SRP]]</f>
        <v>#N/A</v>
      </c>
      <c r="U5422" s="86" t="e">
        <f>_xlfn.XLOOKUP(表格1[[#This Row],[Model]],表格3[Model-Input-Ref2],表格3[TOSHIBA/HIGHEST])</f>
        <v>#N/A</v>
      </c>
      <c r="W5422" s="86" t="str">
        <f>_xlfn.CONCAT(表格1[[#This Row],[欄4]],表格1[[#This Row],[inv no]])</f>
        <v/>
      </c>
    </row>
    <row r="5423" spans="1:23" hidden="1">
      <c r="A5423" s="81">
        <v>5421</v>
      </c>
      <c r="D5423" s="89" t="e">
        <f ca="1">OFFSET(Roster!$A$3,MATCH(表格1[[#This Row],[Location]]&amp;" "&amp;表格1[[#This Row],[Shop]]&amp;"*",Roster!$A$4:$A$72,0),DAY(表格1[[#This Row],[date]]),1,1)</f>
        <v>#N/A</v>
      </c>
      <c r="E5423" s="86">
        <f>MONTH(表格1[[#This Row],[date]])</f>
        <v>1</v>
      </c>
      <c r="G5423" s="86" t="str">
        <f>VLOOKUP("*"&amp;表格1[[#This Row],[Input]]&amp;"*",'Ref-List'!$B:$D,2,)</f>
        <v>Model-Input-Ref2</v>
      </c>
      <c r="H5423" s="86" t="e">
        <f>_xlfn.XLOOKUP(表格1[[#This Row],[Model]],表格3[Model-Input-Ref2],表格3[Product Line])</f>
        <v>#N/A</v>
      </c>
      <c r="I5423" s="86" t="e">
        <f>_xlfn.XLOOKUP(表格1[[#This Row],[Model]],表格3[Model-Input-Ref2],表格3[大小電])</f>
        <v>#N/A</v>
      </c>
      <c r="J5423" s="86" t="e">
        <f>_xlfn.XLOOKUP(表格1[[#This Row],[Model]],表格3[Model-Input-Ref2],表格3[Code])</f>
        <v>#N/A</v>
      </c>
      <c r="N5423" s="87">
        <f>IFERROR(表格1[[#This Row],[QTY]]*表格1[[#This Row],[Unit Price]],"-")</f>
        <v>0</v>
      </c>
      <c r="R5423" s="86" t="str">
        <f>_xlfn.CONCAT(表格1[[#This Row],[Model]]," ",表格1[[#This Row],[inv no]])</f>
        <v xml:space="preserve">Model-Input-Ref2 </v>
      </c>
      <c r="S5423" s="86" t="e">
        <f>_xlfn.XLOOKUP(表格1[[#This Row],[Model]],表格3[Model-Input-Ref2],表格3[SRP PRICE])</f>
        <v>#N/A</v>
      </c>
      <c r="T5423" s="43" t="e">
        <f>表格1[[#This Row],[Unit Price]]/表格1[[#This Row],[SRP]]</f>
        <v>#N/A</v>
      </c>
      <c r="U5423" s="86" t="e">
        <f>_xlfn.XLOOKUP(表格1[[#This Row],[Model]],表格3[Model-Input-Ref2],表格3[TOSHIBA/HIGHEST])</f>
        <v>#N/A</v>
      </c>
      <c r="W5423" s="86" t="str">
        <f>_xlfn.CONCAT(表格1[[#This Row],[欄4]],表格1[[#This Row],[inv no]])</f>
        <v/>
      </c>
    </row>
    <row r="5424" spans="1:23" hidden="1">
      <c r="A5424" s="81">
        <v>5422</v>
      </c>
      <c r="D5424" s="89" t="e">
        <f ca="1">OFFSET(Roster!$A$3,MATCH(表格1[[#This Row],[Location]]&amp;" "&amp;表格1[[#This Row],[Shop]]&amp;"*",Roster!$A$4:$A$72,0),DAY(表格1[[#This Row],[date]]),1,1)</f>
        <v>#N/A</v>
      </c>
      <c r="E5424" s="86">
        <f>MONTH(表格1[[#This Row],[date]])</f>
        <v>1</v>
      </c>
      <c r="G5424" s="86" t="str">
        <f>VLOOKUP("*"&amp;表格1[[#This Row],[Input]]&amp;"*",'Ref-List'!$B:$D,2,)</f>
        <v>Model-Input-Ref2</v>
      </c>
      <c r="H5424" s="86" t="e">
        <f>_xlfn.XLOOKUP(表格1[[#This Row],[Model]],表格3[Model-Input-Ref2],表格3[Product Line])</f>
        <v>#N/A</v>
      </c>
      <c r="I5424" s="86" t="e">
        <f>_xlfn.XLOOKUP(表格1[[#This Row],[Model]],表格3[Model-Input-Ref2],表格3[大小電])</f>
        <v>#N/A</v>
      </c>
      <c r="J5424" s="86" t="e">
        <f>_xlfn.XLOOKUP(表格1[[#This Row],[Model]],表格3[Model-Input-Ref2],表格3[Code])</f>
        <v>#N/A</v>
      </c>
      <c r="N5424" s="87">
        <f>IFERROR(表格1[[#This Row],[QTY]]*表格1[[#This Row],[Unit Price]],"-")</f>
        <v>0</v>
      </c>
      <c r="R5424" s="86" t="str">
        <f>_xlfn.CONCAT(表格1[[#This Row],[Model]]," ",表格1[[#This Row],[inv no]])</f>
        <v xml:space="preserve">Model-Input-Ref2 </v>
      </c>
      <c r="S5424" s="86" t="e">
        <f>_xlfn.XLOOKUP(表格1[[#This Row],[Model]],表格3[Model-Input-Ref2],表格3[SRP PRICE])</f>
        <v>#N/A</v>
      </c>
      <c r="T5424" s="43" t="e">
        <f>表格1[[#This Row],[Unit Price]]/表格1[[#This Row],[SRP]]</f>
        <v>#N/A</v>
      </c>
      <c r="U5424" s="86" t="e">
        <f>_xlfn.XLOOKUP(表格1[[#This Row],[Model]],表格3[Model-Input-Ref2],表格3[TOSHIBA/HIGHEST])</f>
        <v>#N/A</v>
      </c>
      <c r="W5424" s="86" t="str">
        <f>_xlfn.CONCAT(表格1[[#This Row],[欄4]],表格1[[#This Row],[inv no]])</f>
        <v/>
      </c>
    </row>
    <row r="5425" spans="1:23" hidden="1">
      <c r="A5425" s="81">
        <v>5423</v>
      </c>
      <c r="D5425" s="89" t="e">
        <f ca="1">OFFSET(Roster!$A$3,MATCH(表格1[[#This Row],[Location]]&amp;" "&amp;表格1[[#This Row],[Shop]]&amp;"*",Roster!$A$4:$A$72,0),DAY(表格1[[#This Row],[date]]),1,1)</f>
        <v>#N/A</v>
      </c>
      <c r="E5425" s="86">
        <f>MONTH(表格1[[#This Row],[date]])</f>
        <v>1</v>
      </c>
      <c r="G5425" s="86" t="str">
        <f>VLOOKUP("*"&amp;表格1[[#This Row],[Input]]&amp;"*",'Ref-List'!$B:$D,2,)</f>
        <v>Model-Input-Ref2</v>
      </c>
      <c r="H5425" s="86" t="e">
        <f>_xlfn.XLOOKUP(表格1[[#This Row],[Model]],表格3[Model-Input-Ref2],表格3[Product Line])</f>
        <v>#N/A</v>
      </c>
      <c r="I5425" s="86" t="e">
        <f>_xlfn.XLOOKUP(表格1[[#This Row],[Model]],表格3[Model-Input-Ref2],表格3[大小電])</f>
        <v>#N/A</v>
      </c>
      <c r="J5425" s="86" t="e">
        <f>_xlfn.XLOOKUP(表格1[[#This Row],[Model]],表格3[Model-Input-Ref2],表格3[Code])</f>
        <v>#N/A</v>
      </c>
      <c r="N5425" s="87">
        <f>IFERROR(表格1[[#This Row],[QTY]]*表格1[[#This Row],[Unit Price]],"-")</f>
        <v>0</v>
      </c>
      <c r="R5425" s="86" t="str">
        <f>_xlfn.CONCAT(表格1[[#This Row],[Model]]," ",表格1[[#This Row],[inv no]])</f>
        <v xml:space="preserve">Model-Input-Ref2 </v>
      </c>
      <c r="S5425" s="86" t="e">
        <f>_xlfn.XLOOKUP(表格1[[#This Row],[Model]],表格3[Model-Input-Ref2],表格3[SRP PRICE])</f>
        <v>#N/A</v>
      </c>
      <c r="T5425" s="43" t="e">
        <f>表格1[[#This Row],[Unit Price]]/表格1[[#This Row],[SRP]]</f>
        <v>#N/A</v>
      </c>
      <c r="U5425" s="86" t="e">
        <f>_xlfn.XLOOKUP(表格1[[#This Row],[Model]],表格3[Model-Input-Ref2],表格3[TOSHIBA/HIGHEST])</f>
        <v>#N/A</v>
      </c>
      <c r="W5425" s="86" t="str">
        <f>_xlfn.CONCAT(表格1[[#This Row],[欄4]],表格1[[#This Row],[inv no]])</f>
        <v/>
      </c>
    </row>
    <row r="5426" spans="1:23" hidden="1">
      <c r="A5426" s="81">
        <v>5424</v>
      </c>
      <c r="D5426" s="89" t="e">
        <f ca="1">OFFSET(Roster!$A$3,MATCH(表格1[[#This Row],[Location]]&amp;" "&amp;表格1[[#This Row],[Shop]]&amp;"*",Roster!$A$4:$A$72,0),DAY(表格1[[#This Row],[date]]),1,1)</f>
        <v>#N/A</v>
      </c>
      <c r="E5426" s="86">
        <f>MONTH(表格1[[#This Row],[date]])</f>
        <v>1</v>
      </c>
      <c r="G5426" s="86" t="str">
        <f>VLOOKUP("*"&amp;表格1[[#This Row],[Input]]&amp;"*",'Ref-List'!$B:$D,2,)</f>
        <v>Model-Input-Ref2</v>
      </c>
      <c r="H5426" s="86" t="e">
        <f>_xlfn.XLOOKUP(表格1[[#This Row],[Model]],表格3[Model-Input-Ref2],表格3[Product Line])</f>
        <v>#N/A</v>
      </c>
      <c r="I5426" s="86" t="e">
        <f>_xlfn.XLOOKUP(表格1[[#This Row],[Model]],表格3[Model-Input-Ref2],表格3[大小電])</f>
        <v>#N/A</v>
      </c>
      <c r="J5426" s="86" t="e">
        <f>_xlfn.XLOOKUP(表格1[[#This Row],[Model]],表格3[Model-Input-Ref2],表格3[Code])</f>
        <v>#N/A</v>
      </c>
      <c r="N5426" s="87">
        <f>IFERROR(表格1[[#This Row],[QTY]]*表格1[[#This Row],[Unit Price]],"-")</f>
        <v>0</v>
      </c>
      <c r="R5426" s="86" t="str">
        <f>_xlfn.CONCAT(表格1[[#This Row],[Model]]," ",表格1[[#This Row],[inv no]])</f>
        <v xml:space="preserve">Model-Input-Ref2 </v>
      </c>
      <c r="S5426" s="86" t="e">
        <f>_xlfn.XLOOKUP(表格1[[#This Row],[Model]],表格3[Model-Input-Ref2],表格3[SRP PRICE])</f>
        <v>#N/A</v>
      </c>
      <c r="T5426" s="43" t="e">
        <f>表格1[[#This Row],[Unit Price]]/表格1[[#This Row],[SRP]]</f>
        <v>#N/A</v>
      </c>
      <c r="U5426" s="86" t="e">
        <f>_xlfn.XLOOKUP(表格1[[#This Row],[Model]],表格3[Model-Input-Ref2],表格3[TOSHIBA/HIGHEST])</f>
        <v>#N/A</v>
      </c>
      <c r="W5426" s="86" t="str">
        <f>_xlfn.CONCAT(表格1[[#This Row],[欄4]],表格1[[#This Row],[inv no]])</f>
        <v/>
      </c>
    </row>
    <row r="5427" spans="1:23" hidden="1">
      <c r="A5427" s="81">
        <v>5425</v>
      </c>
      <c r="D5427" s="89" t="e">
        <f ca="1">OFFSET(Roster!$A$3,MATCH(表格1[[#This Row],[Location]]&amp;" "&amp;表格1[[#This Row],[Shop]]&amp;"*",Roster!$A$4:$A$72,0),DAY(表格1[[#This Row],[date]]),1,1)</f>
        <v>#N/A</v>
      </c>
      <c r="E5427" s="86">
        <f>MONTH(表格1[[#This Row],[date]])</f>
        <v>1</v>
      </c>
      <c r="G5427" s="86" t="str">
        <f>VLOOKUP("*"&amp;表格1[[#This Row],[Input]]&amp;"*",'Ref-List'!$B:$D,2,)</f>
        <v>Model-Input-Ref2</v>
      </c>
      <c r="H5427" s="86" t="e">
        <f>_xlfn.XLOOKUP(表格1[[#This Row],[Model]],表格3[Model-Input-Ref2],表格3[Product Line])</f>
        <v>#N/A</v>
      </c>
      <c r="I5427" s="86" t="e">
        <f>_xlfn.XLOOKUP(表格1[[#This Row],[Model]],表格3[Model-Input-Ref2],表格3[大小電])</f>
        <v>#N/A</v>
      </c>
      <c r="J5427" s="86" t="e">
        <f>_xlfn.XLOOKUP(表格1[[#This Row],[Model]],表格3[Model-Input-Ref2],表格3[Code])</f>
        <v>#N/A</v>
      </c>
      <c r="N5427" s="87">
        <f>IFERROR(表格1[[#This Row],[QTY]]*表格1[[#This Row],[Unit Price]],"-")</f>
        <v>0</v>
      </c>
      <c r="R5427" s="86" t="str">
        <f>_xlfn.CONCAT(表格1[[#This Row],[Model]]," ",表格1[[#This Row],[inv no]])</f>
        <v xml:space="preserve">Model-Input-Ref2 </v>
      </c>
      <c r="S5427" s="86" t="e">
        <f>_xlfn.XLOOKUP(表格1[[#This Row],[Model]],表格3[Model-Input-Ref2],表格3[SRP PRICE])</f>
        <v>#N/A</v>
      </c>
      <c r="T5427" s="43" t="e">
        <f>表格1[[#This Row],[Unit Price]]/表格1[[#This Row],[SRP]]</f>
        <v>#N/A</v>
      </c>
      <c r="U5427" s="86" t="e">
        <f>_xlfn.XLOOKUP(表格1[[#This Row],[Model]],表格3[Model-Input-Ref2],表格3[TOSHIBA/HIGHEST])</f>
        <v>#N/A</v>
      </c>
      <c r="W5427" s="86" t="str">
        <f>_xlfn.CONCAT(表格1[[#This Row],[欄4]],表格1[[#This Row],[inv no]])</f>
        <v/>
      </c>
    </row>
    <row r="5428" spans="1:23" hidden="1">
      <c r="A5428" s="81">
        <v>5426</v>
      </c>
      <c r="D5428" s="89" t="e">
        <f ca="1">OFFSET(Roster!$A$3,MATCH(表格1[[#This Row],[Location]]&amp;" "&amp;表格1[[#This Row],[Shop]]&amp;"*",Roster!$A$4:$A$72,0),DAY(表格1[[#This Row],[date]]),1,1)</f>
        <v>#N/A</v>
      </c>
      <c r="E5428" s="86">
        <f>MONTH(表格1[[#This Row],[date]])</f>
        <v>1</v>
      </c>
      <c r="G5428" s="86" t="str">
        <f>VLOOKUP("*"&amp;表格1[[#This Row],[Input]]&amp;"*",'Ref-List'!$B:$D,2,)</f>
        <v>Model-Input-Ref2</v>
      </c>
      <c r="H5428" s="86" t="e">
        <f>_xlfn.XLOOKUP(表格1[[#This Row],[Model]],表格3[Model-Input-Ref2],表格3[Product Line])</f>
        <v>#N/A</v>
      </c>
      <c r="I5428" s="86" t="e">
        <f>_xlfn.XLOOKUP(表格1[[#This Row],[Model]],表格3[Model-Input-Ref2],表格3[大小電])</f>
        <v>#N/A</v>
      </c>
      <c r="J5428" s="86" t="e">
        <f>_xlfn.XLOOKUP(表格1[[#This Row],[Model]],表格3[Model-Input-Ref2],表格3[Code])</f>
        <v>#N/A</v>
      </c>
      <c r="N5428" s="87">
        <f>IFERROR(表格1[[#This Row],[QTY]]*表格1[[#This Row],[Unit Price]],"-")</f>
        <v>0</v>
      </c>
      <c r="R5428" s="86" t="str">
        <f>_xlfn.CONCAT(表格1[[#This Row],[Model]]," ",表格1[[#This Row],[inv no]])</f>
        <v xml:space="preserve">Model-Input-Ref2 </v>
      </c>
      <c r="S5428" s="86" t="e">
        <f>_xlfn.XLOOKUP(表格1[[#This Row],[Model]],表格3[Model-Input-Ref2],表格3[SRP PRICE])</f>
        <v>#N/A</v>
      </c>
      <c r="T5428" s="43" t="e">
        <f>表格1[[#This Row],[Unit Price]]/表格1[[#This Row],[SRP]]</f>
        <v>#N/A</v>
      </c>
      <c r="U5428" s="86" t="e">
        <f>_xlfn.XLOOKUP(表格1[[#This Row],[Model]],表格3[Model-Input-Ref2],表格3[TOSHIBA/HIGHEST])</f>
        <v>#N/A</v>
      </c>
      <c r="W5428" s="86" t="str">
        <f>_xlfn.CONCAT(表格1[[#This Row],[欄4]],表格1[[#This Row],[inv no]])</f>
        <v/>
      </c>
    </row>
    <row r="5429" spans="1:23" hidden="1">
      <c r="A5429" s="81">
        <v>5427</v>
      </c>
      <c r="D5429" s="89" t="e">
        <f ca="1">OFFSET(Roster!$A$3,MATCH(表格1[[#This Row],[Location]]&amp;" "&amp;表格1[[#This Row],[Shop]]&amp;"*",Roster!$A$4:$A$72,0),DAY(表格1[[#This Row],[date]]),1,1)</f>
        <v>#N/A</v>
      </c>
      <c r="E5429" s="86">
        <f>MONTH(表格1[[#This Row],[date]])</f>
        <v>1</v>
      </c>
      <c r="G5429" s="86" t="str">
        <f>VLOOKUP("*"&amp;表格1[[#This Row],[Input]]&amp;"*",'Ref-List'!$B:$D,2,)</f>
        <v>Model-Input-Ref2</v>
      </c>
      <c r="H5429" s="86" t="e">
        <f>_xlfn.XLOOKUP(表格1[[#This Row],[Model]],表格3[Model-Input-Ref2],表格3[Product Line])</f>
        <v>#N/A</v>
      </c>
      <c r="I5429" s="86" t="e">
        <f>_xlfn.XLOOKUP(表格1[[#This Row],[Model]],表格3[Model-Input-Ref2],表格3[大小電])</f>
        <v>#N/A</v>
      </c>
      <c r="J5429" s="86" t="e">
        <f>_xlfn.XLOOKUP(表格1[[#This Row],[Model]],表格3[Model-Input-Ref2],表格3[Code])</f>
        <v>#N/A</v>
      </c>
      <c r="N5429" s="87">
        <f>IFERROR(表格1[[#This Row],[QTY]]*表格1[[#This Row],[Unit Price]],"-")</f>
        <v>0</v>
      </c>
      <c r="R5429" s="86" t="str">
        <f>_xlfn.CONCAT(表格1[[#This Row],[Model]]," ",表格1[[#This Row],[inv no]])</f>
        <v xml:space="preserve">Model-Input-Ref2 </v>
      </c>
      <c r="S5429" s="86" t="e">
        <f>_xlfn.XLOOKUP(表格1[[#This Row],[Model]],表格3[Model-Input-Ref2],表格3[SRP PRICE])</f>
        <v>#N/A</v>
      </c>
      <c r="T5429" s="43" t="e">
        <f>表格1[[#This Row],[Unit Price]]/表格1[[#This Row],[SRP]]</f>
        <v>#N/A</v>
      </c>
      <c r="U5429" s="86" t="e">
        <f>_xlfn.XLOOKUP(表格1[[#This Row],[Model]],表格3[Model-Input-Ref2],表格3[TOSHIBA/HIGHEST])</f>
        <v>#N/A</v>
      </c>
      <c r="W5429" s="86" t="str">
        <f>_xlfn.CONCAT(表格1[[#This Row],[欄4]],表格1[[#This Row],[inv no]])</f>
        <v/>
      </c>
    </row>
    <row r="5430" spans="1:23" hidden="1">
      <c r="A5430" s="81">
        <v>5428</v>
      </c>
      <c r="D5430" s="89" t="e">
        <f ca="1">OFFSET(Roster!$A$3,MATCH(表格1[[#This Row],[Location]]&amp;" "&amp;表格1[[#This Row],[Shop]]&amp;"*",Roster!$A$4:$A$72,0),DAY(表格1[[#This Row],[date]]),1,1)</f>
        <v>#N/A</v>
      </c>
      <c r="E5430" s="86">
        <f>MONTH(表格1[[#This Row],[date]])</f>
        <v>1</v>
      </c>
      <c r="G5430" s="86" t="str">
        <f>VLOOKUP("*"&amp;表格1[[#This Row],[Input]]&amp;"*",'Ref-List'!$B:$D,2,)</f>
        <v>Model-Input-Ref2</v>
      </c>
      <c r="H5430" s="86" t="e">
        <f>_xlfn.XLOOKUP(表格1[[#This Row],[Model]],表格3[Model-Input-Ref2],表格3[Product Line])</f>
        <v>#N/A</v>
      </c>
      <c r="I5430" s="86" t="e">
        <f>_xlfn.XLOOKUP(表格1[[#This Row],[Model]],表格3[Model-Input-Ref2],表格3[大小電])</f>
        <v>#N/A</v>
      </c>
      <c r="J5430" s="86" t="e">
        <f>_xlfn.XLOOKUP(表格1[[#This Row],[Model]],表格3[Model-Input-Ref2],表格3[Code])</f>
        <v>#N/A</v>
      </c>
      <c r="N5430" s="87">
        <f>IFERROR(表格1[[#This Row],[QTY]]*表格1[[#This Row],[Unit Price]],"-")</f>
        <v>0</v>
      </c>
      <c r="R5430" s="86" t="str">
        <f>_xlfn.CONCAT(表格1[[#This Row],[Model]]," ",表格1[[#This Row],[inv no]])</f>
        <v xml:space="preserve">Model-Input-Ref2 </v>
      </c>
      <c r="S5430" s="86" t="e">
        <f>_xlfn.XLOOKUP(表格1[[#This Row],[Model]],表格3[Model-Input-Ref2],表格3[SRP PRICE])</f>
        <v>#N/A</v>
      </c>
      <c r="T5430" s="43" t="e">
        <f>表格1[[#This Row],[Unit Price]]/表格1[[#This Row],[SRP]]</f>
        <v>#N/A</v>
      </c>
      <c r="U5430" s="86" t="e">
        <f>_xlfn.XLOOKUP(表格1[[#This Row],[Model]],表格3[Model-Input-Ref2],表格3[TOSHIBA/HIGHEST])</f>
        <v>#N/A</v>
      </c>
      <c r="W5430" s="86" t="str">
        <f>_xlfn.CONCAT(表格1[[#This Row],[欄4]],表格1[[#This Row],[inv no]])</f>
        <v/>
      </c>
    </row>
    <row r="5431" spans="1:23" hidden="1">
      <c r="A5431" s="81">
        <v>5429</v>
      </c>
      <c r="D5431" s="89" t="e">
        <f ca="1">OFFSET(Roster!$A$3,MATCH(表格1[[#This Row],[Location]]&amp;" "&amp;表格1[[#This Row],[Shop]]&amp;"*",Roster!$A$4:$A$72,0),DAY(表格1[[#This Row],[date]]),1,1)</f>
        <v>#N/A</v>
      </c>
      <c r="E5431" s="86">
        <f>MONTH(表格1[[#This Row],[date]])</f>
        <v>1</v>
      </c>
      <c r="G5431" s="86" t="str">
        <f>VLOOKUP("*"&amp;表格1[[#This Row],[Input]]&amp;"*",'Ref-List'!$B:$D,2,)</f>
        <v>Model-Input-Ref2</v>
      </c>
      <c r="H5431" s="86" t="e">
        <f>_xlfn.XLOOKUP(表格1[[#This Row],[Model]],表格3[Model-Input-Ref2],表格3[Product Line])</f>
        <v>#N/A</v>
      </c>
      <c r="I5431" s="86" t="e">
        <f>_xlfn.XLOOKUP(表格1[[#This Row],[Model]],表格3[Model-Input-Ref2],表格3[大小電])</f>
        <v>#N/A</v>
      </c>
      <c r="J5431" s="86" t="e">
        <f>_xlfn.XLOOKUP(表格1[[#This Row],[Model]],表格3[Model-Input-Ref2],表格3[Code])</f>
        <v>#N/A</v>
      </c>
      <c r="N5431" s="87">
        <f>IFERROR(表格1[[#This Row],[QTY]]*表格1[[#This Row],[Unit Price]],"-")</f>
        <v>0</v>
      </c>
      <c r="R5431" s="86" t="str">
        <f>_xlfn.CONCAT(表格1[[#This Row],[Model]]," ",表格1[[#This Row],[inv no]])</f>
        <v xml:space="preserve">Model-Input-Ref2 </v>
      </c>
      <c r="S5431" s="86" t="e">
        <f>_xlfn.XLOOKUP(表格1[[#This Row],[Model]],表格3[Model-Input-Ref2],表格3[SRP PRICE])</f>
        <v>#N/A</v>
      </c>
      <c r="T5431" s="43" t="e">
        <f>表格1[[#This Row],[Unit Price]]/表格1[[#This Row],[SRP]]</f>
        <v>#N/A</v>
      </c>
      <c r="U5431" s="86" t="e">
        <f>_xlfn.XLOOKUP(表格1[[#This Row],[Model]],表格3[Model-Input-Ref2],表格3[TOSHIBA/HIGHEST])</f>
        <v>#N/A</v>
      </c>
      <c r="W5431" s="86" t="str">
        <f>_xlfn.CONCAT(表格1[[#This Row],[欄4]],表格1[[#This Row],[inv no]])</f>
        <v/>
      </c>
    </row>
    <row r="5432" spans="1:23" hidden="1">
      <c r="A5432" s="81">
        <v>5430</v>
      </c>
      <c r="D5432" s="89" t="e">
        <f ca="1">OFFSET(Roster!$A$3,MATCH(表格1[[#This Row],[Location]]&amp;" "&amp;表格1[[#This Row],[Shop]]&amp;"*",Roster!$A$4:$A$72,0),DAY(表格1[[#This Row],[date]]),1,1)</f>
        <v>#N/A</v>
      </c>
      <c r="E5432" s="86">
        <f>MONTH(表格1[[#This Row],[date]])</f>
        <v>1</v>
      </c>
      <c r="G5432" s="86" t="str">
        <f>VLOOKUP("*"&amp;表格1[[#This Row],[Input]]&amp;"*",'Ref-List'!$B:$D,2,)</f>
        <v>Model-Input-Ref2</v>
      </c>
      <c r="H5432" s="86" t="e">
        <f>_xlfn.XLOOKUP(表格1[[#This Row],[Model]],表格3[Model-Input-Ref2],表格3[Product Line])</f>
        <v>#N/A</v>
      </c>
      <c r="I5432" s="86" t="e">
        <f>_xlfn.XLOOKUP(表格1[[#This Row],[Model]],表格3[Model-Input-Ref2],表格3[大小電])</f>
        <v>#N/A</v>
      </c>
      <c r="J5432" s="86" t="e">
        <f>_xlfn.XLOOKUP(表格1[[#This Row],[Model]],表格3[Model-Input-Ref2],表格3[Code])</f>
        <v>#N/A</v>
      </c>
      <c r="N5432" s="87">
        <f>IFERROR(表格1[[#This Row],[QTY]]*表格1[[#This Row],[Unit Price]],"-")</f>
        <v>0</v>
      </c>
      <c r="R5432" s="86" t="str">
        <f>_xlfn.CONCAT(表格1[[#This Row],[Model]]," ",表格1[[#This Row],[inv no]])</f>
        <v xml:space="preserve">Model-Input-Ref2 </v>
      </c>
      <c r="S5432" s="86" t="e">
        <f>_xlfn.XLOOKUP(表格1[[#This Row],[Model]],表格3[Model-Input-Ref2],表格3[SRP PRICE])</f>
        <v>#N/A</v>
      </c>
      <c r="T5432" s="43" t="e">
        <f>表格1[[#This Row],[Unit Price]]/表格1[[#This Row],[SRP]]</f>
        <v>#N/A</v>
      </c>
      <c r="U5432" s="86" t="e">
        <f>_xlfn.XLOOKUP(表格1[[#This Row],[Model]],表格3[Model-Input-Ref2],表格3[TOSHIBA/HIGHEST])</f>
        <v>#N/A</v>
      </c>
      <c r="W5432" s="86" t="str">
        <f>_xlfn.CONCAT(表格1[[#This Row],[欄4]],表格1[[#This Row],[inv no]])</f>
        <v/>
      </c>
    </row>
    <row r="5433" spans="1:23" hidden="1">
      <c r="A5433" s="81">
        <v>5431</v>
      </c>
      <c r="D5433" s="89" t="e">
        <f ca="1">OFFSET(Roster!$A$3,MATCH(表格1[[#This Row],[Location]]&amp;" "&amp;表格1[[#This Row],[Shop]]&amp;"*",Roster!$A$4:$A$72,0),DAY(表格1[[#This Row],[date]]),1,1)</f>
        <v>#N/A</v>
      </c>
      <c r="E5433" s="86">
        <f>MONTH(表格1[[#This Row],[date]])</f>
        <v>1</v>
      </c>
      <c r="G5433" s="86" t="str">
        <f>VLOOKUP("*"&amp;表格1[[#This Row],[Input]]&amp;"*",'Ref-List'!$B:$D,2,)</f>
        <v>Model-Input-Ref2</v>
      </c>
      <c r="H5433" s="86" t="e">
        <f>_xlfn.XLOOKUP(表格1[[#This Row],[Model]],表格3[Model-Input-Ref2],表格3[Product Line])</f>
        <v>#N/A</v>
      </c>
      <c r="I5433" s="86" t="e">
        <f>_xlfn.XLOOKUP(表格1[[#This Row],[Model]],表格3[Model-Input-Ref2],表格3[大小電])</f>
        <v>#N/A</v>
      </c>
      <c r="J5433" s="86" t="e">
        <f>_xlfn.XLOOKUP(表格1[[#This Row],[Model]],表格3[Model-Input-Ref2],表格3[Code])</f>
        <v>#N/A</v>
      </c>
      <c r="N5433" s="87">
        <f>IFERROR(表格1[[#This Row],[QTY]]*表格1[[#This Row],[Unit Price]],"-")</f>
        <v>0</v>
      </c>
      <c r="R5433" s="86" t="str">
        <f>_xlfn.CONCAT(表格1[[#This Row],[Model]]," ",表格1[[#This Row],[inv no]])</f>
        <v xml:space="preserve">Model-Input-Ref2 </v>
      </c>
      <c r="S5433" s="86" t="e">
        <f>_xlfn.XLOOKUP(表格1[[#This Row],[Model]],表格3[Model-Input-Ref2],表格3[SRP PRICE])</f>
        <v>#N/A</v>
      </c>
      <c r="T5433" s="43" t="e">
        <f>表格1[[#This Row],[Unit Price]]/表格1[[#This Row],[SRP]]</f>
        <v>#N/A</v>
      </c>
      <c r="U5433" s="86" t="e">
        <f>_xlfn.XLOOKUP(表格1[[#This Row],[Model]],表格3[Model-Input-Ref2],表格3[TOSHIBA/HIGHEST])</f>
        <v>#N/A</v>
      </c>
      <c r="W5433" s="86" t="str">
        <f>_xlfn.CONCAT(表格1[[#This Row],[欄4]],表格1[[#This Row],[inv no]])</f>
        <v/>
      </c>
    </row>
    <row r="5434" spans="1:23" hidden="1">
      <c r="A5434" s="81">
        <v>5432</v>
      </c>
      <c r="D5434" s="89" t="e">
        <f ca="1">OFFSET(Roster!$A$3,MATCH(表格1[[#This Row],[Location]]&amp;" "&amp;表格1[[#This Row],[Shop]]&amp;"*",Roster!$A$4:$A$72,0),DAY(表格1[[#This Row],[date]]),1,1)</f>
        <v>#N/A</v>
      </c>
      <c r="E5434" s="86">
        <f>MONTH(表格1[[#This Row],[date]])</f>
        <v>1</v>
      </c>
      <c r="G5434" s="86" t="str">
        <f>VLOOKUP("*"&amp;表格1[[#This Row],[Input]]&amp;"*",'Ref-List'!$B:$D,2,)</f>
        <v>Model-Input-Ref2</v>
      </c>
      <c r="H5434" s="86" t="e">
        <f>_xlfn.XLOOKUP(表格1[[#This Row],[Model]],表格3[Model-Input-Ref2],表格3[Product Line])</f>
        <v>#N/A</v>
      </c>
      <c r="I5434" s="86" t="e">
        <f>_xlfn.XLOOKUP(表格1[[#This Row],[Model]],表格3[Model-Input-Ref2],表格3[大小電])</f>
        <v>#N/A</v>
      </c>
      <c r="J5434" s="86" t="e">
        <f>_xlfn.XLOOKUP(表格1[[#This Row],[Model]],表格3[Model-Input-Ref2],表格3[Code])</f>
        <v>#N/A</v>
      </c>
      <c r="N5434" s="87">
        <f>IFERROR(表格1[[#This Row],[QTY]]*表格1[[#This Row],[Unit Price]],"-")</f>
        <v>0</v>
      </c>
      <c r="R5434" s="86" t="str">
        <f>_xlfn.CONCAT(表格1[[#This Row],[Model]]," ",表格1[[#This Row],[inv no]])</f>
        <v xml:space="preserve">Model-Input-Ref2 </v>
      </c>
      <c r="S5434" s="86" t="e">
        <f>_xlfn.XLOOKUP(表格1[[#This Row],[Model]],表格3[Model-Input-Ref2],表格3[SRP PRICE])</f>
        <v>#N/A</v>
      </c>
      <c r="T5434" s="43" t="e">
        <f>表格1[[#This Row],[Unit Price]]/表格1[[#This Row],[SRP]]</f>
        <v>#N/A</v>
      </c>
      <c r="U5434" s="86" t="e">
        <f>_xlfn.XLOOKUP(表格1[[#This Row],[Model]],表格3[Model-Input-Ref2],表格3[TOSHIBA/HIGHEST])</f>
        <v>#N/A</v>
      </c>
      <c r="W5434" s="86" t="str">
        <f>_xlfn.CONCAT(表格1[[#This Row],[欄4]],表格1[[#This Row],[inv no]])</f>
        <v/>
      </c>
    </row>
    <row r="5435" spans="1:23" hidden="1">
      <c r="A5435" s="81">
        <v>5433</v>
      </c>
      <c r="D5435" s="89" t="e">
        <f ca="1">OFFSET(Roster!$A$3,MATCH(表格1[[#This Row],[Location]]&amp;" "&amp;表格1[[#This Row],[Shop]]&amp;"*",Roster!$A$4:$A$72,0),DAY(表格1[[#This Row],[date]]),1,1)</f>
        <v>#N/A</v>
      </c>
      <c r="E5435" s="86">
        <f>MONTH(表格1[[#This Row],[date]])</f>
        <v>1</v>
      </c>
      <c r="G5435" s="86" t="str">
        <f>VLOOKUP("*"&amp;表格1[[#This Row],[Input]]&amp;"*",'Ref-List'!$B:$D,2,)</f>
        <v>Model-Input-Ref2</v>
      </c>
      <c r="H5435" s="86" t="e">
        <f>_xlfn.XLOOKUP(表格1[[#This Row],[Model]],表格3[Model-Input-Ref2],表格3[Product Line])</f>
        <v>#N/A</v>
      </c>
      <c r="I5435" s="86" t="e">
        <f>_xlfn.XLOOKUP(表格1[[#This Row],[Model]],表格3[Model-Input-Ref2],表格3[大小電])</f>
        <v>#N/A</v>
      </c>
      <c r="J5435" s="86" t="e">
        <f>_xlfn.XLOOKUP(表格1[[#This Row],[Model]],表格3[Model-Input-Ref2],表格3[Code])</f>
        <v>#N/A</v>
      </c>
      <c r="N5435" s="87">
        <f>IFERROR(表格1[[#This Row],[QTY]]*表格1[[#This Row],[Unit Price]],"-")</f>
        <v>0</v>
      </c>
      <c r="R5435" s="86" t="str">
        <f>_xlfn.CONCAT(表格1[[#This Row],[Model]]," ",表格1[[#This Row],[inv no]])</f>
        <v xml:space="preserve">Model-Input-Ref2 </v>
      </c>
      <c r="S5435" s="86" t="e">
        <f>_xlfn.XLOOKUP(表格1[[#This Row],[Model]],表格3[Model-Input-Ref2],表格3[SRP PRICE])</f>
        <v>#N/A</v>
      </c>
      <c r="T5435" s="43" t="e">
        <f>表格1[[#This Row],[Unit Price]]/表格1[[#This Row],[SRP]]</f>
        <v>#N/A</v>
      </c>
      <c r="U5435" s="86" t="e">
        <f>_xlfn.XLOOKUP(表格1[[#This Row],[Model]],表格3[Model-Input-Ref2],表格3[TOSHIBA/HIGHEST])</f>
        <v>#N/A</v>
      </c>
      <c r="W5435" s="86" t="str">
        <f>_xlfn.CONCAT(表格1[[#This Row],[欄4]],表格1[[#This Row],[inv no]])</f>
        <v/>
      </c>
    </row>
    <row r="5436" spans="1:23" hidden="1">
      <c r="A5436" s="81">
        <v>5434</v>
      </c>
      <c r="D5436" s="89" t="e">
        <f ca="1">OFFSET(Roster!$A$3,MATCH(表格1[[#This Row],[Location]]&amp;" "&amp;表格1[[#This Row],[Shop]]&amp;"*",Roster!$A$4:$A$72,0),DAY(表格1[[#This Row],[date]]),1,1)</f>
        <v>#N/A</v>
      </c>
      <c r="E5436" s="86">
        <f>MONTH(表格1[[#This Row],[date]])</f>
        <v>1</v>
      </c>
      <c r="G5436" s="86" t="str">
        <f>VLOOKUP("*"&amp;表格1[[#This Row],[Input]]&amp;"*",'Ref-List'!$B:$D,2,)</f>
        <v>Model-Input-Ref2</v>
      </c>
      <c r="H5436" s="86" t="e">
        <f>_xlfn.XLOOKUP(表格1[[#This Row],[Model]],表格3[Model-Input-Ref2],表格3[Product Line])</f>
        <v>#N/A</v>
      </c>
      <c r="I5436" s="86" t="e">
        <f>_xlfn.XLOOKUP(表格1[[#This Row],[Model]],表格3[Model-Input-Ref2],表格3[大小電])</f>
        <v>#N/A</v>
      </c>
      <c r="J5436" s="86" t="e">
        <f>_xlfn.XLOOKUP(表格1[[#This Row],[Model]],表格3[Model-Input-Ref2],表格3[Code])</f>
        <v>#N/A</v>
      </c>
      <c r="N5436" s="87">
        <f>IFERROR(表格1[[#This Row],[QTY]]*表格1[[#This Row],[Unit Price]],"-")</f>
        <v>0</v>
      </c>
      <c r="R5436" s="86" t="str">
        <f>_xlfn.CONCAT(表格1[[#This Row],[Model]]," ",表格1[[#This Row],[inv no]])</f>
        <v xml:space="preserve">Model-Input-Ref2 </v>
      </c>
      <c r="S5436" s="86" t="e">
        <f>_xlfn.XLOOKUP(表格1[[#This Row],[Model]],表格3[Model-Input-Ref2],表格3[SRP PRICE])</f>
        <v>#N/A</v>
      </c>
      <c r="T5436" s="43" t="e">
        <f>表格1[[#This Row],[Unit Price]]/表格1[[#This Row],[SRP]]</f>
        <v>#N/A</v>
      </c>
      <c r="U5436" s="86" t="e">
        <f>_xlfn.XLOOKUP(表格1[[#This Row],[Model]],表格3[Model-Input-Ref2],表格3[TOSHIBA/HIGHEST])</f>
        <v>#N/A</v>
      </c>
      <c r="W5436" s="86" t="str">
        <f>_xlfn.CONCAT(表格1[[#This Row],[欄4]],表格1[[#This Row],[inv no]])</f>
        <v/>
      </c>
    </row>
    <row r="5437" spans="1:23" hidden="1">
      <c r="A5437" s="81">
        <v>5435</v>
      </c>
      <c r="D5437" s="89" t="e">
        <f ca="1">OFFSET(Roster!$A$3,MATCH(表格1[[#This Row],[Location]]&amp;" "&amp;表格1[[#This Row],[Shop]]&amp;"*",Roster!$A$4:$A$72,0),DAY(表格1[[#This Row],[date]]),1,1)</f>
        <v>#N/A</v>
      </c>
      <c r="E5437" s="86">
        <f>MONTH(表格1[[#This Row],[date]])</f>
        <v>1</v>
      </c>
      <c r="G5437" s="86" t="str">
        <f>VLOOKUP("*"&amp;表格1[[#This Row],[Input]]&amp;"*",'Ref-List'!$B:$D,2,)</f>
        <v>Model-Input-Ref2</v>
      </c>
      <c r="H5437" s="86" t="e">
        <f>_xlfn.XLOOKUP(表格1[[#This Row],[Model]],表格3[Model-Input-Ref2],表格3[Product Line])</f>
        <v>#N/A</v>
      </c>
      <c r="I5437" s="86" t="e">
        <f>_xlfn.XLOOKUP(表格1[[#This Row],[Model]],表格3[Model-Input-Ref2],表格3[大小電])</f>
        <v>#N/A</v>
      </c>
      <c r="J5437" s="86" t="e">
        <f>_xlfn.XLOOKUP(表格1[[#This Row],[Model]],表格3[Model-Input-Ref2],表格3[Code])</f>
        <v>#N/A</v>
      </c>
      <c r="N5437" s="87">
        <f>IFERROR(表格1[[#This Row],[QTY]]*表格1[[#This Row],[Unit Price]],"-")</f>
        <v>0</v>
      </c>
      <c r="R5437" s="86" t="str">
        <f>_xlfn.CONCAT(表格1[[#This Row],[Model]]," ",表格1[[#This Row],[inv no]])</f>
        <v xml:space="preserve">Model-Input-Ref2 </v>
      </c>
      <c r="S5437" s="86" t="e">
        <f>_xlfn.XLOOKUP(表格1[[#This Row],[Model]],表格3[Model-Input-Ref2],表格3[SRP PRICE])</f>
        <v>#N/A</v>
      </c>
      <c r="T5437" s="43" t="e">
        <f>表格1[[#This Row],[Unit Price]]/表格1[[#This Row],[SRP]]</f>
        <v>#N/A</v>
      </c>
      <c r="U5437" s="86" t="e">
        <f>_xlfn.XLOOKUP(表格1[[#This Row],[Model]],表格3[Model-Input-Ref2],表格3[TOSHIBA/HIGHEST])</f>
        <v>#N/A</v>
      </c>
      <c r="W5437" s="86" t="str">
        <f>_xlfn.CONCAT(表格1[[#This Row],[欄4]],表格1[[#This Row],[inv no]])</f>
        <v/>
      </c>
    </row>
    <row r="5438" spans="1:23" hidden="1">
      <c r="A5438" s="81">
        <v>5436</v>
      </c>
      <c r="D5438" s="89" t="e">
        <f ca="1">OFFSET(Roster!$A$3,MATCH(表格1[[#This Row],[Location]]&amp;" "&amp;表格1[[#This Row],[Shop]]&amp;"*",Roster!$A$4:$A$72,0),DAY(表格1[[#This Row],[date]]),1,1)</f>
        <v>#N/A</v>
      </c>
      <c r="E5438" s="86">
        <f>MONTH(表格1[[#This Row],[date]])</f>
        <v>1</v>
      </c>
      <c r="G5438" s="86" t="str">
        <f>VLOOKUP("*"&amp;表格1[[#This Row],[Input]]&amp;"*",'Ref-List'!$B:$D,2,)</f>
        <v>Model-Input-Ref2</v>
      </c>
      <c r="H5438" s="86" t="e">
        <f>_xlfn.XLOOKUP(表格1[[#This Row],[Model]],表格3[Model-Input-Ref2],表格3[Product Line])</f>
        <v>#N/A</v>
      </c>
      <c r="I5438" s="86" t="e">
        <f>_xlfn.XLOOKUP(表格1[[#This Row],[Model]],表格3[Model-Input-Ref2],表格3[大小電])</f>
        <v>#N/A</v>
      </c>
      <c r="J5438" s="86" t="e">
        <f>_xlfn.XLOOKUP(表格1[[#This Row],[Model]],表格3[Model-Input-Ref2],表格3[Code])</f>
        <v>#N/A</v>
      </c>
      <c r="N5438" s="87">
        <f>IFERROR(表格1[[#This Row],[QTY]]*表格1[[#This Row],[Unit Price]],"-")</f>
        <v>0</v>
      </c>
      <c r="R5438" s="86" t="str">
        <f>_xlfn.CONCAT(表格1[[#This Row],[Model]]," ",表格1[[#This Row],[inv no]])</f>
        <v xml:space="preserve">Model-Input-Ref2 </v>
      </c>
      <c r="S5438" s="86" t="e">
        <f>_xlfn.XLOOKUP(表格1[[#This Row],[Model]],表格3[Model-Input-Ref2],表格3[SRP PRICE])</f>
        <v>#N/A</v>
      </c>
      <c r="T5438" s="43" t="e">
        <f>表格1[[#This Row],[Unit Price]]/表格1[[#This Row],[SRP]]</f>
        <v>#N/A</v>
      </c>
      <c r="U5438" s="86" t="e">
        <f>_xlfn.XLOOKUP(表格1[[#This Row],[Model]],表格3[Model-Input-Ref2],表格3[TOSHIBA/HIGHEST])</f>
        <v>#N/A</v>
      </c>
      <c r="W5438" s="86" t="str">
        <f>_xlfn.CONCAT(表格1[[#This Row],[欄4]],表格1[[#This Row],[inv no]])</f>
        <v/>
      </c>
    </row>
    <row r="5439" spans="1:23" hidden="1">
      <c r="A5439" s="81">
        <v>5437</v>
      </c>
      <c r="D5439" s="89" t="e">
        <f ca="1">OFFSET(Roster!$A$3,MATCH(表格1[[#This Row],[Location]]&amp;" "&amp;表格1[[#This Row],[Shop]]&amp;"*",Roster!$A$4:$A$72,0),DAY(表格1[[#This Row],[date]]),1,1)</f>
        <v>#N/A</v>
      </c>
      <c r="E5439" s="86">
        <f>MONTH(表格1[[#This Row],[date]])</f>
        <v>1</v>
      </c>
      <c r="G5439" s="86" t="str">
        <f>VLOOKUP("*"&amp;表格1[[#This Row],[Input]]&amp;"*",'Ref-List'!$B:$D,2,)</f>
        <v>Model-Input-Ref2</v>
      </c>
      <c r="H5439" s="86" t="e">
        <f>_xlfn.XLOOKUP(表格1[[#This Row],[Model]],表格3[Model-Input-Ref2],表格3[Product Line])</f>
        <v>#N/A</v>
      </c>
      <c r="I5439" s="86" t="e">
        <f>_xlfn.XLOOKUP(表格1[[#This Row],[Model]],表格3[Model-Input-Ref2],表格3[大小電])</f>
        <v>#N/A</v>
      </c>
      <c r="J5439" s="86" t="e">
        <f>_xlfn.XLOOKUP(表格1[[#This Row],[Model]],表格3[Model-Input-Ref2],表格3[Code])</f>
        <v>#N/A</v>
      </c>
      <c r="N5439" s="87">
        <f>IFERROR(表格1[[#This Row],[QTY]]*表格1[[#This Row],[Unit Price]],"-")</f>
        <v>0</v>
      </c>
      <c r="R5439" s="86" t="str">
        <f>_xlfn.CONCAT(表格1[[#This Row],[Model]]," ",表格1[[#This Row],[inv no]])</f>
        <v xml:space="preserve">Model-Input-Ref2 </v>
      </c>
      <c r="S5439" s="86" t="e">
        <f>_xlfn.XLOOKUP(表格1[[#This Row],[Model]],表格3[Model-Input-Ref2],表格3[SRP PRICE])</f>
        <v>#N/A</v>
      </c>
      <c r="T5439" s="43" t="e">
        <f>表格1[[#This Row],[Unit Price]]/表格1[[#This Row],[SRP]]</f>
        <v>#N/A</v>
      </c>
      <c r="U5439" s="86" t="e">
        <f>_xlfn.XLOOKUP(表格1[[#This Row],[Model]],表格3[Model-Input-Ref2],表格3[TOSHIBA/HIGHEST])</f>
        <v>#N/A</v>
      </c>
      <c r="W5439" s="86" t="str">
        <f>_xlfn.CONCAT(表格1[[#This Row],[欄4]],表格1[[#This Row],[inv no]])</f>
        <v/>
      </c>
    </row>
    <row r="5440" spans="1:23" hidden="1">
      <c r="A5440" s="81">
        <v>5438</v>
      </c>
      <c r="D5440" s="89" t="e">
        <f ca="1">OFFSET(Roster!$A$3,MATCH(表格1[[#This Row],[Location]]&amp;" "&amp;表格1[[#This Row],[Shop]]&amp;"*",Roster!$A$4:$A$72,0),DAY(表格1[[#This Row],[date]]),1,1)</f>
        <v>#N/A</v>
      </c>
      <c r="E5440" s="86">
        <f>MONTH(表格1[[#This Row],[date]])</f>
        <v>1</v>
      </c>
      <c r="G5440" s="86" t="str">
        <f>VLOOKUP("*"&amp;表格1[[#This Row],[Input]]&amp;"*",'Ref-List'!$B:$D,2,)</f>
        <v>Model-Input-Ref2</v>
      </c>
      <c r="H5440" s="86" t="e">
        <f>_xlfn.XLOOKUP(表格1[[#This Row],[Model]],表格3[Model-Input-Ref2],表格3[Product Line])</f>
        <v>#N/A</v>
      </c>
      <c r="I5440" s="86" t="e">
        <f>_xlfn.XLOOKUP(表格1[[#This Row],[Model]],表格3[Model-Input-Ref2],表格3[大小電])</f>
        <v>#N/A</v>
      </c>
      <c r="J5440" s="86" t="e">
        <f>_xlfn.XLOOKUP(表格1[[#This Row],[Model]],表格3[Model-Input-Ref2],表格3[Code])</f>
        <v>#N/A</v>
      </c>
      <c r="N5440" s="87">
        <f>IFERROR(表格1[[#This Row],[QTY]]*表格1[[#This Row],[Unit Price]],"-")</f>
        <v>0</v>
      </c>
      <c r="R5440" s="86" t="str">
        <f>_xlfn.CONCAT(表格1[[#This Row],[Model]]," ",表格1[[#This Row],[inv no]])</f>
        <v xml:space="preserve">Model-Input-Ref2 </v>
      </c>
      <c r="S5440" s="86" t="e">
        <f>_xlfn.XLOOKUP(表格1[[#This Row],[Model]],表格3[Model-Input-Ref2],表格3[SRP PRICE])</f>
        <v>#N/A</v>
      </c>
      <c r="T5440" s="43" t="e">
        <f>表格1[[#This Row],[Unit Price]]/表格1[[#This Row],[SRP]]</f>
        <v>#N/A</v>
      </c>
      <c r="U5440" s="86" t="e">
        <f>_xlfn.XLOOKUP(表格1[[#This Row],[Model]],表格3[Model-Input-Ref2],表格3[TOSHIBA/HIGHEST])</f>
        <v>#N/A</v>
      </c>
      <c r="W5440" s="86" t="str">
        <f>_xlfn.CONCAT(表格1[[#This Row],[欄4]],表格1[[#This Row],[inv no]])</f>
        <v/>
      </c>
    </row>
    <row r="5441" spans="1:23" hidden="1">
      <c r="A5441" s="81">
        <v>5439</v>
      </c>
      <c r="D5441" s="89" t="e">
        <f ca="1">OFFSET(Roster!$A$3,MATCH(表格1[[#This Row],[Location]]&amp;" "&amp;表格1[[#This Row],[Shop]]&amp;"*",Roster!$A$4:$A$72,0),DAY(表格1[[#This Row],[date]]),1,1)</f>
        <v>#N/A</v>
      </c>
      <c r="E5441" s="86">
        <f>MONTH(表格1[[#This Row],[date]])</f>
        <v>1</v>
      </c>
      <c r="G5441" s="86" t="str">
        <f>VLOOKUP("*"&amp;表格1[[#This Row],[Input]]&amp;"*",'Ref-List'!$B:$D,2,)</f>
        <v>Model-Input-Ref2</v>
      </c>
      <c r="H5441" s="86" t="e">
        <f>_xlfn.XLOOKUP(表格1[[#This Row],[Model]],表格3[Model-Input-Ref2],表格3[Product Line])</f>
        <v>#N/A</v>
      </c>
      <c r="I5441" s="86" t="e">
        <f>_xlfn.XLOOKUP(表格1[[#This Row],[Model]],表格3[Model-Input-Ref2],表格3[大小電])</f>
        <v>#N/A</v>
      </c>
      <c r="J5441" s="86" t="e">
        <f>_xlfn.XLOOKUP(表格1[[#This Row],[Model]],表格3[Model-Input-Ref2],表格3[Code])</f>
        <v>#N/A</v>
      </c>
      <c r="N5441" s="87">
        <f>IFERROR(表格1[[#This Row],[QTY]]*表格1[[#This Row],[Unit Price]],"-")</f>
        <v>0</v>
      </c>
      <c r="R5441" s="86" t="str">
        <f>_xlfn.CONCAT(表格1[[#This Row],[Model]]," ",表格1[[#This Row],[inv no]])</f>
        <v xml:space="preserve">Model-Input-Ref2 </v>
      </c>
      <c r="S5441" s="86" t="e">
        <f>_xlfn.XLOOKUP(表格1[[#This Row],[Model]],表格3[Model-Input-Ref2],表格3[SRP PRICE])</f>
        <v>#N/A</v>
      </c>
      <c r="T5441" s="43" t="e">
        <f>表格1[[#This Row],[Unit Price]]/表格1[[#This Row],[SRP]]</f>
        <v>#N/A</v>
      </c>
      <c r="U5441" s="86" t="e">
        <f>_xlfn.XLOOKUP(表格1[[#This Row],[Model]],表格3[Model-Input-Ref2],表格3[TOSHIBA/HIGHEST])</f>
        <v>#N/A</v>
      </c>
      <c r="W5441" s="86" t="str">
        <f>_xlfn.CONCAT(表格1[[#This Row],[欄4]],表格1[[#This Row],[inv no]])</f>
        <v/>
      </c>
    </row>
    <row r="5442" spans="1:23" hidden="1">
      <c r="A5442" s="81">
        <v>5440</v>
      </c>
      <c r="D5442" s="89" t="e">
        <f ca="1">OFFSET(Roster!$A$3,MATCH(表格1[[#This Row],[Location]]&amp;" "&amp;表格1[[#This Row],[Shop]]&amp;"*",Roster!$A$4:$A$72,0),DAY(表格1[[#This Row],[date]]),1,1)</f>
        <v>#N/A</v>
      </c>
      <c r="E5442" s="86">
        <f>MONTH(表格1[[#This Row],[date]])</f>
        <v>1</v>
      </c>
      <c r="G5442" s="86" t="str">
        <f>VLOOKUP("*"&amp;表格1[[#This Row],[Input]]&amp;"*",'Ref-List'!$B:$D,2,)</f>
        <v>Model-Input-Ref2</v>
      </c>
      <c r="H5442" s="86" t="e">
        <f>_xlfn.XLOOKUP(表格1[[#This Row],[Model]],表格3[Model-Input-Ref2],表格3[Product Line])</f>
        <v>#N/A</v>
      </c>
      <c r="I5442" s="86" t="e">
        <f>_xlfn.XLOOKUP(表格1[[#This Row],[Model]],表格3[Model-Input-Ref2],表格3[大小電])</f>
        <v>#N/A</v>
      </c>
      <c r="J5442" s="86" t="e">
        <f>_xlfn.XLOOKUP(表格1[[#This Row],[Model]],表格3[Model-Input-Ref2],表格3[Code])</f>
        <v>#N/A</v>
      </c>
      <c r="N5442" s="87">
        <f>IFERROR(表格1[[#This Row],[QTY]]*表格1[[#This Row],[Unit Price]],"-")</f>
        <v>0</v>
      </c>
      <c r="R5442" s="86" t="str">
        <f>_xlfn.CONCAT(表格1[[#This Row],[Model]]," ",表格1[[#This Row],[inv no]])</f>
        <v xml:space="preserve">Model-Input-Ref2 </v>
      </c>
      <c r="S5442" s="86" t="e">
        <f>_xlfn.XLOOKUP(表格1[[#This Row],[Model]],表格3[Model-Input-Ref2],表格3[SRP PRICE])</f>
        <v>#N/A</v>
      </c>
      <c r="T5442" s="43" t="e">
        <f>表格1[[#This Row],[Unit Price]]/表格1[[#This Row],[SRP]]</f>
        <v>#N/A</v>
      </c>
      <c r="U5442" s="86" t="e">
        <f>_xlfn.XLOOKUP(表格1[[#This Row],[Model]],表格3[Model-Input-Ref2],表格3[TOSHIBA/HIGHEST])</f>
        <v>#N/A</v>
      </c>
      <c r="W5442" s="86" t="str">
        <f>_xlfn.CONCAT(表格1[[#This Row],[欄4]],表格1[[#This Row],[inv no]])</f>
        <v/>
      </c>
    </row>
    <row r="5443" spans="1:23" hidden="1">
      <c r="A5443" s="81">
        <v>5441</v>
      </c>
      <c r="D5443" s="89" t="e">
        <f ca="1">OFFSET(Roster!$A$3,MATCH(表格1[[#This Row],[Location]]&amp;" "&amp;表格1[[#This Row],[Shop]]&amp;"*",Roster!$A$4:$A$72,0),DAY(表格1[[#This Row],[date]]),1,1)</f>
        <v>#N/A</v>
      </c>
      <c r="E5443" s="86">
        <f>MONTH(表格1[[#This Row],[date]])</f>
        <v>1</v>
      </c>
      <c r="G5443" s="86" t="str">
        <f>VLOOKUP("*"&amp;表格1[[#This Row],[Input]]&amp;"*",'Ref-List'!$B:$D,2,)</f>
        <v>Model-Input-Ref2</v>
      </c>
      <c r="H5443" s="86" t="e">
        <f>_xlfn.XLOOKUP(表格1[[#This Row],[Model]],表格3[Model-Input-Ref2],表格3[Product Line])</f>
        <v>#N/A</v>
      </c>
      <c r="I5443" s="86" t="e">
        <f>_xlfn.XLOOKUP(表格1[[#This Row],[Model]],表格3[Model-Input-Ref2],表格3[大小電])</f>
        <v>#N/A</v>
      </c>
      <c r="J5443" s="86" t="e">
        <f>_xlfn.XLOOKUP(表格1[[#This Row],[Model]],表格3[Model-Input-Ref2],表格3[Code])</f>
        <v>#N/A</v>
      </c>
      <c r="N5443" s="87">
        <f>IFERROR(表格1[[#This Row],[QTY]]*表格1[[#This Row],[Unit Price]],"-")</f>
        <v>0</v>
      </c>
      <c r="R5443" s="86" t="str">
        <f>_xlfn.CONCAT(表格1[[#This Row],[Model]]," ",表格1[[#This Row],[inv no]])</f>
        <v xml:space="preserve">Model-Input-Ref2 </v>
      </c>
      <c r="S5443" s="86" t="e">
        <f>_xlfn.XLOOKUP(表格1[[#This Row],[Model]],表格3[Model-Input-Ref2],表格3[SRP PRICE])</f>
        <v>#N/A</v>
      </c>
      <c r="T5443" s="43" t="e">
        <f>表格1[[#This Row],[Unit Price]]/表格1[[#This Row],[SRP]]</f>
        <v>#N/A</v>
      </c>
      <c r="U5443" s="86" t="e">
        <f>_xlfn.XLOOKUP(表格1[[#This Row],[Model]],表格3[Model-Input-Ref2],表格3[TOSHIBA/HIGHEST])</f>
        <v>#N/A</v>
      </c>
      <c r="W5443" s="86" t="str">
        <f>_xlfn.CONCAT(表格1[[#This Row],[欄4]],表格1[[#This Row],[inv no]])</f>
        <v/>
      </c>
    </row>
    <row r="5444" spans="1:23" hidden="1">
      <c r="A5444" s="81">
        <v>5442</v>
      </c>
      <c r="D5444" s="89" t="e">
        <f ca="1">OFFSET(Roster!$A$3,MATCH(表格1[[#This Row],[Location]]&amp;" "&amp;表格1[[#This Row],[Shop]]&amp;"*",Roster!$A$4:$A$72,0),DAY(表格1[[#This Row],[date]]),1,1)</f>
        <v>#N/A</v>
      </c>
      <c r="E5444" s="86">
        <f>MONTH(表格1[[#This Row],[date]])</f>
        <v>1</v>
      </c>
      <c r="G5444" s="86" t="str">
        <f>VLOOKUP("*"&amp;表格1[[#This Row],[Input]]&amp;"*",'Ref-List'!$B:$D,2,)</f>
        <v>Model-Input-Ref2</v>
      </c>
      <c r="H5444" s="86" t="e">
        <f>_xlfn.XLOOKUP(表格1[[#This Row],[Model]],表格3[Model-Input-Ref2],表格3[Product Line])</f>
        <v>#N/A</v>
      </c>
      <c r="I5444" s="86" t="e">
        <f>_xlfn.XLOOKUP(表格1[[#This Row],[Model]],表格3[Model-Input-Ref2],表格3[大小電])</f>
        <v>#N/A</v>
      </c>
      <c r="J5444" s="86" t="e">
        <f>_xlfn.XLOOKUP(表格1[[#This Row],[Model]],表格3[Model-Input-Ref2],表格3[Code])</f>
        <v>#N/A</v>
      </c>
      <c r="N5444" s="87">
        <f>IFERROR(表格1[[#This Row],[QTY]]*表格1[[#This Row],[Unit Price]],"-")</f>
        <v>0</v>
      </c>
      <c r="R5444" s="86" t="str">
        <f>_xlfn.CONCAT(表格1[[#This Row],[Model]]," ",表格1[[#This Row],[inv no]])</f>
        <v xml:space="preserve">Model-Input-Ref2 </v>
      </c>
      <c r="S5444" s="86" t="e">
        <f>_xlfn.XLOOKUP(表格1[[#This Row],[Model]],表格3[Model-Input-Ref2],表格3[SRP PRICE])</f>
        <v>#N/A</v>
      </c>
      <c r="T5444" s="43" t="e">
        <f>表格1[[#This Row],[Unit Price]]/表格1[[#This Row],[SRP]]</f>
        <v>#N/A</v>
      </c>
      <c r="U5444" s="86" t="e">
        <f>_xlfn.XLOOKUP(表格1[[#This Row],[Model]],表格3[Model-Input-Ref2],表格3[TOSHIBA/HIGHEST])</f>
        <v>#N/A</v>
      </c>
      <c r="W5444" s="86" t="str">
        <f>_xlfn.CONCAT(表格1[[#This Row],[欄4]],表格1[[#This Row],[inv no]])</f>
        <v/>
      </c>
    </row>
    <row r="5445" spans="1:23" hidden="1">
      <c r="A5445" s="81">
        <v>5443</v>
      </c>
      <c r="D5445" s="89" t="e">
        <f ca="1">OFFSET(Roster!$A$3,MATCH(表格1[[#This Row],[Location]]&amp;" "&amp;表格1[[#This Row],[Shop]]&amp;"*",Roster!$A$4:$A$72,0),DAY(表格1[[#This Row],[date]]),1,1)</f>
        <v>#N/A</v>
      </c>
      <c r="E5445" s="86">
        <f>MONTH(表格1[[#This Row],[date]])</f>
        <v>1</v>
      </c>
      <c r="G5445" s="86" t="str">
        <f>VLOOKUP("*"&amp;表格1[[#This Row],[Input]]&amp;"*",'Ref-List'!$B:$D,2,)</f>
        <v>Model-Input-Ref2</v>
      </c>
      <c r="H5445" s="86" t="e">
        <f>_xlfn.XLOOKUP(表格1[[#This Row],[Model]],表格3[Model-Input-Ref2],表格3[Product Line])</f>
        <v>#N/A</v>
      </c>
      <c r="I5445" s="86" t="e">
        <f>_xlfn.XLOOKUP(表格1[[#This Row],[Model]],表格3[Model-Input-Ref2],表格3[大小電])</f>
        <v>#N/A</v>
      </c>
      <c r="J5445" s="86" t="e">
        <f>_xlfn.XLOOKUP(表格1[[#This Row],[Model]],表格3[Model-Input-Ref2],表格3[Code])</f>
        <v>#N/A</v>
      </c>
      <c r="N5445" s="87">
        <f>IFERROR(表格1[[#This Row],[QTY]]*表格1[[#This Row],[Unit Price]],"-")</f>
        <v>0</v>
      </c>
      <c r="R5445" s="86" t="str">
        <f>_xlfn.CONCAT(表格1[[#This Row],[Model]]," ",表格1[[#This Row],[inv no]])</f>
        <v xml:space="preserve">Model-Input-Ref2 </v>
      </c>
      <c r="S5445" s="86" t="e">
        <f>_xlfn.XLOOKUP(表格1[[#This Row],[Model]],表格3[Model-Input-Ref2],表格3[SRP PRICE])</f>
        <v>#N/A</v>
      </c>
      <c r="T5445" s="43" t="e">
        <f>表格1[[#This Row],[Unit Price]]/表格1[[#This Row],[SRP]]</f>
        <v>#N/A</v>
      </c>
      <c r="U5445" s="86" t="e">
        <f>_xlfn.XLOOKUP(表格1[[#This Row],[Model]],表格3[Model-Input-Ref2],表格3[TOSHIBA/HIGHEST])</f>
        <v>#N/A</v>
      </c>
      <c r="W5445" s="86" t="str">
        <f>_xlfn.CONCAT(表格1[[#This Row],[欄4]],表格1[[#This Row],[inv no]])</f>
        <v/>
      </c>
    </row>
    <row r="5446" spans="1:23" hidden="1">
      <c r="A5446" s="81">
        <v>5444</v>
      </c>
      <c r="D5446" s="89" t="e">
        <f ca="1">OFFSET(Roster!$A$3,MATCH(表格1[[#This Row],[Location]]&amp;" "&amp;表格1[[#This Row],[Shop]]&amp;"*",Roster!$A$4:$A$72,0),DAY(表格1[[#This Row],[date]]),1,1)</f>
        <v>#N/A</v>
      </c>
      <c r="E5446" s="86">
        <f>MONTH(表格1[[#This Row],[date]])</f>
        <v>1</v>
      </c>
      <c r="G5446" s="86" t="str">
        <f>VLOOKUP("*"&amp;表格1[[#This Row],[Input]]&amp;"*",'Ref-List'!$B:$D,2,)</f>
        <v>Model-Input-Ref2</v>
      </c>
      <c r="H5446" s="86" t="e">
        <f>_xlfn.XLOOKUP(表格1[[#This Row],[Model]],表格3[Model-Input-Ref2],表格3[Product Line])</f>
        <v>#N/A</v>
      </c>
      <c r="I5446" s="86" t="e">
        <f>_xlfn.XLOOKUP(表格1[[#This Row],[Model]],表格3[Model-Input-Ref2],表格3[大小電])</f>
        <v>#N/A</v>
      </c>
      <c r="J5446" s="86" t="e">
        <f>_xlfn.XLOOKUP(表格1[[#This Row],[Model]],表格3[Model-Input-Ref2],表格3[Code])</f>
        <v>#N/A</v>
      </c>
      <c r="N5446" s="87">
        <f>IFERROR(表格1[[#This Row],[QTY]]*表格1[[#This Row],[Unit Price]],"-")</f>
        <v>0</v>
      </c>
      <c r="R5446" s="86" t="str">
        <f>_xlfn.CONCAT(表格1[[#This Row],[Model]]," ",表格1[[#This Row],[inv no]])</f>
        <v xml:space="preserve">Model-Input-Ref2 </v>
      </c>
      <c r="S5446" s="86" t="e">
        <f>_xlfn.XLOOKUP(表格1[[#This Row],[Model]],表格3[Model-Input-Ref2],表格3[SRP PRICE])</f>
        <v>#N/A</v>
      </c>
      <c r="T5446" s="43" t="e">
        <f>表格1[[#This Row],[Unit Price]]/表格1[[#This Row],[SRP]]</f>
        <v>#N/A</v>
      </c>
      <c r="U5446" s="86" t="e">
        <f>_xlfn.XLOOKUP(表格1[[#This Row],[Model]],表格3[Model-Input-Ref2],表格3[TOSHIBA/HIGHEST])</f>
        <v>#N/A</v>
      </c>
      <c r="W5446" s="86" t="str">
        <f>_xlfn.CONCAT(表格1[[#This Row],[欄4]],表格1[[#This Row],[inv no]])</f>
        <v/>
      </c>
    </row>
    <row r="5447" spans="1:23" hidden="1">
      <c r="A5447" s="81">
        <v>5445</v>
      </c>
      <c r="D5447" s="89" t="e">
        <f ca="1">OFFSET(Roster!$A$3,MATCH(表格1[[#This Row],[Location]]&amp;" "&amp;表格1[[#This Row],[Shop]]&amp;"*",Roster!$A$4:$A$72,0),DAY(表格1[[#This Row],[date]]),1,1)</f>
        <v>#N/A</v>
      </c>
      <c r="E5447" s="86">
        <f>MONTH(表格1[[#This Row],[date]])</f>
        <v>1</v>
      </c>
      <c r="G5447" s="86" t="str">
        <f>VLOOKUP("*"&amp;表格1[[#This Row],[Input]]&amp;"*",'Ref-List'!$B:$D,2,)</f>
        <v>Model-Input-Ref2</v>
      </c>
      <c r="H5447" s="86" t="e">
        <f>_xlfn.XLOOKUP(表格1[[#This Row],[Model]],表格3[Model-Input-Ref2],表格3[Product Line])</f>
        <v>#N/A</v>
      </c>
      <c r="I5447" s="86" t="e">
        <f>_xlfn.XLOOKUP(表格1[[#This Row],[Model]],表格3[Model-Input-Ref2],表格3[大小電])</f>
        <v>#N/A</v>
      </c>
      <c r="J5447" s="86" t="e">
        <f>_xlfn.XLOOKUP(表格1[[#This Row],[Model]],表格3[Model-Input-Ref2],表格3[Code])</f>
        <v>#N/A</v>
      </c>
      <c r="N5447" s="87">
        <f>IFERROR(表格1[[#This Row],[QTY]]*表格1[[#This Row],[Unit Price]],"-")</f>
        <v>0</v>
      </c>
      <c r="R5447" s="86" t="str">
        <f>_xlfn.CONCAT(表格1[[#This Row],[Model]]," ",表格1[[#This Row],[inv no]])</f>
        <v xml:space="preserve">Model-Input-Ref2 </v>
      </c>
      <c r="S5447" s="86" t="e">
        <f>_xlfn.XLOOKUP(表格1[[#This Row],[Model]],表格3[Model-Input-Ref2],表格3[SRP PRICE])</f>
        <v>#N/A</v>
      </c>
      <c r="T5447" s="43" t="e">
        <f>表格1[[#This Row],[Unit Price]]/表格1[[#This Row],[SRP]]</f>
        <v>#N/A</v>
      </c>
      <c r="U5447" s="86" t="e">
        <f>_xlfn.XLOOKUP(表格1[[#This Row],[Model]],表格3[Model-Input-Ref2],表格3[TOSHIBA/HIGHEST])</f>
        <v>#N/A</v>
      </c>
      <c r="W5447" s="86" t="str">
        <f>_xlfn.CONCAT(表格1[[#This Row],[欄4]],表格1[[#This Row],[inv no]])</f>
        <v/>
      </c>
    </row>
    <row r="5448" spans="1:23" hidden="1">
      <c r="A5448" s="81">
        <v>5446</v>
      </c>
      <c r="D5448" s="89" t="e">
        <f ca="1">OFFSET(Roster!$A$3,MATCH(表格1[[#This Row],[Location]]&amp;" "&amp;表格1[[#This Row],[Shop]]&amp;"*",Roster!$A$4:$A$72,0),DAY(表格1[[#This Row],[date]]),1,1)</f>
        <v>#N/A</v>
      </c>
      <c r="E5448" s="86">
        <f>MONTH(表格1[[#This Row],[date]])</f>
        <v>1</v>
      </c>
      <c r="G5448" s="86" t="str">
        <f>VLOOKUP("*"&amp;表格1[[#This Row],[Input]]&amp;"*",'Ref-List'!$B:$D,2,)</f>
        <v>Model-Input-Ref2</v>
      </c>
      <c r="H5448" s="86" t="e">
        <f>_xlfn.XLOOKUP(表格1[[#This Row],[Model]],表格3[Model-Input-Ref2],表格3[Product Line])</f>
        <v>#N/A</v>
      </c>
      <c r="I5448" s="86" t="e">
        <f>_xlfn.XLOOKUP(表格1[[#This Row],[Model]],表格3[Model-Input-Ref2],表格3[大小電])</f>
        <v>#N/A</v>
      </c>
      <c r="J5448" s="86" t="e">
        <f>_xlfn.XLOOKUP(表格1[[#This Row],[Model]],表格3[Model-Input-Ref2],表格3[Code])</f>
        <v>#N/A</v>
      </c>
      <c r="N5448" s="87">
        <f>IFERROR(表格1[[#This Row],[QTY]]*表格1[[#This Row],[Unit Price]],"-")</f>
        <v>0</v>
      </c>
      <c r="R5448" s="86" t="str">
        <f>_xlfn.CONCAT(表格1[[#This Row],[Model]]," ",表格1[[#This Row],[inv no]])</f>
        <v xml:space="preserve">Model-Input-Ref2 </v>
      </c>
      <c r="S5448" s="86" t="e">
        <f>_xlfn.XLOOKUP(表格1[[#This Row],[Model]],表格3[Model-Input-Ref2],表格3[SRP PRICE])</f>
        <v>#N/A</v>
      </c>
      <c r="T5448" s="43" t="e">
        <f>表格1[[#This Row],[Unit Price]]/表格1[[#This Row],[SRP]]</f>
        <v>#N/A</v>
      </c>
      <c r="U5448" s="86" t="e">
        <f>_xlfn.XLOOKUP(表格1[[#This Row],[Model]],表格3[Model-Input-Ref2],表格3[TOSHIBA/HIGHEST])</f>
        <v>#N/A</v>
      </c>
      <c r="W5448" s="86" t="str">
        <f>_xlfn.CONCAT(表格1[[#This Row],[欄4]],表格1[[#This Row],[inv no]])</f>
        <v/>
      </c>
    </row>
    <row r="5449" spans="1:23" hidden="1">
      <c r="A5449" s="81">
        <v>5447</v>
      </c>
      <c r="D5449" s="89" t="e">
        <f ca="1">OFFSET(Roster!$A$3,MATCH(表格1[[#This Row],[Location]]&amp;" "&amp;表格1[[#This Row],[Shop]]&amp;"*",Roster!$A$4:$A$72,0),DAY(表格1[[#This Row],[date]]),1,1)</f>
        <v>#N/A</v>
      </c>
      <c r="E5449" s="86">
        <f>MONTH(表格1[[#This Row],[date]])</f>
        <v>1</v>
      </c>
      <c r="G5449" s="86" t="str">
        <f>VLOOKUP("*"&amp;表格1[[#This Row],[Input]]&amp;"*",'Ref-List'!$B:$D,2,)</f>
        <v>Model-Input-Ref2</v>
      </c>
      <c r="H5449" s="86" t="e">
        <f>_xlfn.XLOOKUP(表格1[[#This Row],[Model]],表格3[Model-Input-Ref2],表格3[Product Line])</f>
        <v>#N/A</v>
      </c>
      <c r="I5449" s="86" t="e">
        <f>_xlfn.XLOOKUP(表格1[[#This Row],[Model]],表格3[Model-Input-Ref2],表格3[大小電])</f>
        <v>#N/A</v>
      </c>
      <c r="J5449" s="86" t="e">
        <f>_xlfn.XLOOKUP(表格1[[#This Row],[Model]],表格3[Model-Input-Ref2],表格3[Code])</f>
        <v>#N/A</v>
      </c>
      <c r="N5449" s="87">
        <f>IFERROR(表格1[[#This Row],[QTY]]*表格1[[#This Row],[Unit Price]],"-")</f>
        <v>0</v>
      </c>
      <c r="R5449" s="86" t="str">
        <f>_xlfn.CONCAT(表格1[[#This Row],[Model]]," ",表格1[[#This Row],[inv no]])</f>
        <v xml:space="preserve">Model-Input-Ref2 </v>
      </c>
      <c r="S5449" s="86" t="e">
        <f>_xlfn.XLOOKUP(表格1[[#This Row],[Model]],表格3[Model-Input-Ref2],表格3[SRP PRICE])</f>
        <v>#N/A</v>
      </c>
      <c r="T5449" s="43" t="e">
        <f>表格1[[#This Row],[Unit Price]]/表格1[[#This Row],[SRP]]</f>
        <v>#N/A</v>
      </c>
      <c r="U5449" s="86" t="e">
        <f>_xlfn.XLOOKUP(表格1[[#This Row],[Model]],表格3[Model-Input-Ref2],表格3[TOSHIBA/HIGHEST])</f>
        <v>#N/A</v>
      </c>
      <c r="W5449" s="86" t="str">
        <f>_xlfn.CONCAT(表格1[[#This Row],[欄4]],表格1[[#This Row],[inv no]])</f>
        <v/>
      </c>
    </row>
    <row r="5450" spans="1:23" hidden="1">
      <c r="A5450" s="81">
        <v>5448</v>
      </c>
      <c r="D5450" s="89" t="e">
        <f ca="1">OFFSET(Roster!$A$3,MATCH(表格1[[#This Row],[Location]]&amp;" "&amp;表格1[[#This Row],[Shop]]&amp;"*",Roster!$A$4:$A$72,0),DAY(表格1[[#This Row],[date]]),1,1)</f>
        <v>#N/A</v>
      </c>
      <c r="E5450" s="86">
        <f>MONTH(表格1[[#This Row],[date]])</f>
        <v>1</v>
      </c>
      <c r="G5450" s="86" t="str">
        <f>VLOOKUP("*"&amp;表格1[[#This Row],[Input]]&amp;"*",'Ref-List'!$B:$D,2,)</f>
        <v>Model-Input-Ref2</v>
      </c>
      <c r="H5450" s="86" t="e">
        <f>_xlfn.XLOOKUP(表格1[[#This Row],[Model]],表格3[Model-Input-Ref2],表格3[Product Line])</f>
        <v>#N/A</v>
      </c>
      <c r="I5450" s="86" t="e">
        <f>_xlfn.XLOOKUP(表格1[[#This Row],[Model]],表格3[Model-Input-Ref2],表格3[大小電])</f>
        <v>#N/A</v>
      </c>
      <c r="J5450" s="86" t="e">
        <f>_xlfn.XLOOKUP(表格1[[#This Row],[Model]],表格3[Model-Input-Ref2],表格3[Code])</f>
        <v>#N/A</v>
      </c>
      <c r="N5450" s="87">
        <f>IFERROR(表格1[[#This Row],[QTY]]*表格1[[#This Row],[Unit Price]],"-")</f>
        <v>0</v>
      </c>
      <c r="R5450" s="86" t="str">
        <f>_xlfn.CONCAT(表格1[[#This Row],[Model]]," ",表格1[[#This Row],[inv no]])</f>
        <v xml:space="preserve">Model-Input-Ref2 </v>
      </c>
      <c r="S5450" s="86" t="e">
        <f>_xlfn.XLOOKUP(表格1[[#This Row],[Model]],表格3[Model-Input-Ref2],表格3[SRP PRICE])</f>
        <v>#N/A</v>
      </c>
      <c r="T5450" s="43" t="e">
        <f>表格1[[#This Row],[Unit Price]]/表格1[[#This Row],[SRP]]</f>
        <v>#N/A</v>
      </c>
      <c r="U5450" s="86" t="e">
        <f>_xlfn.XLOOKUP(表格1[[#This Row],[Model]],表格3[Model-Input-Ref2],表格3[TOSHIBA/HIGHEST])</f>
        <v>#N/A</v>
      </c>
      <c r="W5450" s="86" t="str">
        <f>_xlfn.CONCAT(表格1[[#This Row],[欄4]],表格1[[#This Row],[inv no]])</f>
        <v/>
      </c>
    </row>
    <row r="5451" spans="1:23" hidden="1">
      <c r="A5451" s="81">
        <v>5449</v>
      </c>
      <c r="D5451" s="89" t="e">
        <f ca="1">OFFSET(Roster!$A$3,MATCH(表格1[[#This Row],[Location]]&amp;" "&amp;表格1[[#This Row],[Shop]]&amp;"*",Roster!$A$4:$A$72,0),DAY(表格1[[#This Row],[date]]),1,1)</f>
        <v>#N/A</v>
      </c>
      <c r="E5451" s="86">
        <f>MONTH(表格1[[#This Row],[date]])</f>
        <v>1</v>
      </c>
      <c r="G5451" s="86" t="str">
        <f>VLOOKUP("*"&amp;表格1[[#This Row],[Input]]&amp;"*",'Ref-List'!$B:$D,2,)</f>
        <v>Model-Input-Ref2</v>
      </c>
      <c r="H5451" s="86" t="e">
        <f>_xlfn.XLOOKUP(表格1[[#This Row],[Model]],表格3[Model-Input-Ref2],表格3[Product Line])</f>
        <v>#N/A</v>
      </c>
      <c r="I5451" s="86" t="e">
        <f>_xlfn.XLOOKUP(表格1[[#This Row],[Model]],表格3[Model-Input-Ref2],表格3[大小電])</f>
        <v>#N/A</v>
      </c>
      <c r="J5451" s="86" t="e">
        <f>_xlfn.XLOOKUP(表格1[[#This Row],[Model]],表格3[Model-Input-Ref2],表格3[Code])</f>
        <v>#N/A</v>
      </c>
      <c r="N5451" s="87">
        <f>IFERROR(表格1[[#This Row],[QTY]]*表格1[[#This Row],[Unit Price]],"-")</f>
        <v>0</v>
      </c>
      <c r="R5451" s="86" t="str">
        <f>_xlfn.CONCAT(表格1[[#This Row],[Model]]," ",表格1[[#This Row],[inv no]])</f>
        <v xml:space="preserve">Model-Input-Ref2 </v>
      </c>
      <c r="S5451" s="86" t="e">
        <f>_xlfn.XLOOKUP(表格1[[#This Row],[Model]],表格3[Model-Input-Ref2],表格3[SRP PRICE])</f>
        <v>#N/A</v>
      </c>
      <c r="T5451" s="43" t="e">
        <f>表格1[[#This Row],[Unit Price]]/表格1[[#This Row],[SRP]]</f>
        <v>#N/A</v>
      </c>
      <c r="U5451" s="86" t="e">
        <f>_xlfn.XLOOKUP(表格1[[#This Row],[Model]],表格3[Model-Input-Ref2],表格3[TOSHIBA/HIGHEST])</f>
        <v>#N/A</v>
      </c>
      <c r="W5451" s="86" t="str">
        <f>_xlfn.CONCAT(表格1[[#This Row],[欄4]],表格1[[#This Row],[inv no]])</f>
        <v/>
      </c>
    </row>
    <row r="5452" spans="1:23" hidden="1">
      <c r="A5452" s="81">
        <v>5450</v>
      </c>
      <c r="D5452" s="89" t="e">
        <f ca="1">OFFSET(Roster!$A$3,MATCH(表格1[[#This Row],[Location]]&amp;" "&amp;表格1[[#This Row],[Shop]]&amp;"*",Roster!$A$4:$A$72,0),DAY(表格1[[#This Row],[date]]),1,1)</f>
        <v>#N/A</v>
      </c>
      <c r="E5452" s="86">
        <f>MONTH(表格1[[#This Row],[date]])</f>
        <v>1</v>
      </c>
      <c r="G5452" s="86" t="str">
        <f>VLOOKUP("*"&amp;表格1[[#This Row],[Input]]&amp;"*",'Ref-List'!$B:$D,2,)</f>
        <v>Model-Input-Ref2</v>
      </c>
      <c r="H5452" s="86" t="e">
        <f>_xlfn.XLOOKUP(表格1[[#This Row],[Model]],表格3[Model-Input-Ref2],表格3[Product Line])</f>
        <v>#N/A</v>
      </c>
      <c r="I5452" s="86" t="e">
        <f>_xlfn.XLOOKUP(表格1[[#This Row],[Model]],表格3[Model-Input-Ref2],表格3[大小電])</f>
        <v>#N/A</v>
      </c>
      <c r="J5452" s="86" t="e">
        <f>_xlfn.XLOOKUP(表格1[[#This Row],[Model]],表格3[Model-Input-Ref2],表格3[Code])</f>
        <v>#N/A</v>
      </c>
      <c r="N5452" s="87">
        <f>IFERROR(表格1[[#This Row],[QTY]]*表格1[[#This Row],[Unit Price]],"-")</f>
        <v>0</v>
      </c>
      <c r="R5452" s="86" t="str">
        <f>_xlfn.CONCAT(表格1[[#This Row],[Model]]," ",表格1[[#This Row],[inv no]])</f>
        <v xml:space="preserve">Model-Input-Ref2 </v>
      </c>
      <c r="S5452" s="86" t="e">
        <f>_xlfn.XLOOKUP(表格1[[#This Row],[Model]],表格3[Model-Input-Ref2],表格3[SRP PRICE])</f>
        <v>#N/A</v>
      </c>
      <c r="T5452" s="43" t="e">
        <f>表格1[[#This Row],[Unit Price]]/表格1[[#This Row],[SRP]]</f>
        <v>#N/A</v>
      </c>
      <c r="U5452" s="86" t="e">
        <f>_xlfn.XLOOKUP(表格1[[#This Row],[Model]],表格3[Model-Input-Ref2],表格3[TOSHIBA/HIGHEST])</f>
        <v>#N/A</v>
      </c>
      <c r="W5452" s="86" t="str">
        <f>_xlfn.CONCAT(表格1[[#This Row],[欄4]],表格1[[#This Row],[inv no]])</f>
        <v/>
      </c>
    </row>
    <row r="5453" spans="1:23" hidden="1">
      <c r="A5453" s="81">
        <v>5451</v>
      </c>
      <c r="D5453" s="89" t="e">
        <f ca="1">OFFSET(Roster!$A$3,MATCH(表格1[[#This Row],[Location]]&amp;" "&amp;表格1[[#This Row],[Shop]]&amp;"*",Roster!$A$4:$A$72,0),DAY(表格1[[#This Row],[date]]),1,1)</f>
        <v>#N/A</v>
      </c>
      <c r="E5453" s="86">
        <f>MONTH(表格1[[#This Row],[date]])</f>
        <v>1</v>
      </c>
      <c r="G5453" s="86" t="str">
        <f>VLOOKUP("*"&amp;表格1[[#This Row],[Input]]&amp;"*",'Ref-List'!$B:$D,2,)</f>
        <v>Model-Input-Ref2</v>
      </c>
      <c r="H5453" s="86" t="e">
        <f>_xlfn.XLOOKUP(表格1[[#This Row],[Model]],表格3[Model-Input-Ref2],表格3[Product Line])</f>
        <v>#N/A</v>
      </c>
      <c r="I5453" s="86" t="e">
        <f>_xlfn.XLOOKUP(表格1[[#This Row],[Model]],表格3[Model-Input-Ref2],表格3[大小電])</f>
        <v>#N/A</v>
      </c>
      <c r="J5453" s="86" t="e">
        <f>_xlfn.XLOOKUP(表格1[[#This Row],[Model]],表格3[Model-Input-Ref2],表格3[Code])</f>
        <v>#N/A</v>
      </c>
      <c r="N5453" s="87">
        <f>IFERROR(表格1[[#This Row],[QTY]]*表格1[[#This Row],[Unit Price]],"-")</f>
        <v>0</v>
      </c>
      <c r="R5453" s="86" t="str">
        <f>_xlfn.CONCAT(表格1[[#This Row],[Model]]," ",表格1[[#This Row],[inv no]])</f>
        <v xml:space="preserve">Model-Input-Ref2 </v>
      </c>
      <c r="S5453" s="86" t="e">
        <f>_xlfn.XLOOKUP(表格1[[#This Row],[Model]],表格3[Model-Input-Ref2],表格3[SRP PRICE])</f>
        <v>#N/A</v>
      </c>
      <c r="T5453" s="43" t="e">
        <f>表格1[[#This Row],[Unit Price]]/表格1[[#This Row],[SRP]]</f>
        <v>#N/A</v>
      </c>
      <c r="U5453" s="86" t="e">
        <f>_xlfn.XLOOKUP(表格1[[#This Row],[Model]],表格3[Model-Input-Ref2],表格3[TOSHIBA/HIGHEST])</f>
        <v>#N/A</v>
      </c>
      <c r="W5453" s="86" t="str">
        <f>_xlfn.CONCAT(表格1[[#This Row],[欄4]],表格1[[#This Row],[inv no]])</f>
        <v/>
      </c>
    </row>
    <row r="5454" spans="1:23" hidden="1">
      <c r="A5454" s="81">
        <v>5452</v>
      </c>
      <c r="D5454" s="89" t="e">
        <f ca="1">OFFSET(Roster!$A$3,MATCH(表格1[[#This Row],[Location]]&amp;" "&amp;表格1[[#This Row],[Shop]]&amp;"*",Roster!$A$4:$A$72,0),DAY(表格1[[#This Row],[date]]),1,1)</f>
        <v>#N/A</v>
      </c>
      <c r="E5454" s="86">
        <f>MONTH(表格1[[#This Row],[date]])</f>
        <v>1</v>
      </c>
      <c r="G5454" s="86" t="str">
        <f>VLOOKUP("*"&amp;表格1[[#This Row],[Input]]&amp;"*",'Ref-List'!$B:$D,2,)</f>
        <v>Model-Input-Ref2</v>
      </c>
      <c r="H5454" s="86" t="e">
        <f>_xlfn.XLOOKUP(表格1[[#This Row],[Model]],表格3[Model-Input-Ref2],表格3[Product Line])</f>
        <v>#N/A</v>
      </c>
      <c r="I5454" s="86" t="e">
        <f>_xlfn.XLOOKUP(表格1[[#This Row],[Model]],表格3[Model-Input-Ref2],表格3[大小電])</f>
        <v>#N/A</v>
      </c>
      <c r="J5454" s="86" t="e">
        <f>_xlfn.XLOOKUP(表格1[[#This Row],[Model]],表格3[Model-Input-Ref2],表格3[Code])</f>
        <v>#N/A</v>
      </c>
      <c r="N5454" s="87">
        <f>IFERROR(表格1[[#This Row],[QTY]]*表格1[[#This Row],[Unit Price]],"-")</f>
        <v>0</v>
      </c>
      <c r="R5454" s="86" t="str">
        <f>_xlfn.CONCAT(表格1[[#This Row],[Model]]," ",表格1[[#This Row],[inv no]])</f>
        <v xml:space="preserve">Model-Input-Ref2 </v>
      </c>
      <c r="S5454" s="86" t="e">
        <f>_xlfn.XLOOKUP(表格1[[#This Row],[Model]],表格3[Model-Input-Ref2],表格3[SRP PRICE])</f>
        <v>#N/A</v>
      </c>
      <c r="T5454" s="43" t="e">
        <f>表格1[[#This Row],[Unit Price]]/表格1[[#This Row],[SRP]]</f>
        <v>#N/A</v>
      </c>
      <c r="U5454" s="86" t="e">
        <f>_xlfn.XLOOKUP(表格1[[#This Row],[Model]],表格3[Model-Input-Ref2],表格3[TOSHIBA/HIGHEST])</f>
        <v>#N/A</v>
      </c>
      <c r="W5454" s="86" t="str">
        <f>_xlfn.CONCAT(表格1[[#This Row],[欄4]],表格1[[#This Row],[inv no]])</f>
        <v/>
      </c>
    </row>
    <row r="5455" spans="1:23" hidden="1">
      <c r="A5455" s="81">
        <v>5453</v>
      </c>
      <c r="D5455" s="89" t="e">
        <f ca="1">OFFSET(Roster!$A$3,MATCH(表格1[[#This Row],[Location]]&amp;" "&amp;表格1[[#This Row],[Shop]]&amp;"*",Roster!$A$4:$A$72,0),DAY(表格1[[#This Row],[date]]),1,1)</f>
        <v>#N/A</v>
      </c>
      <c r="E5455" s="86">
        <f>MONTH(表格1[[#This Row],[date]])</f>
        <v>1</v>
      </c>
      <c r="G5455" s="86" t="str">
        <f>VLOOKUP("*"&amp;表格1[[#This Row],[Input]]&amp;"*",'Ref-List'!$B:$D,2,)</f>
        <v>Model-Input-Ref2</v>
      </c>
      <c r="H5455" s="86" t="e">
        <f>_xlfn.XLOOKUP(表格1[[#This Row],[Model]],表格3[Model-Input-Ref2],表格3[Product Line])</f>
        <v>#N/A</v>
      </c>
      <c r="I5455" s="86" t="e">
        <f>_xlfn.XLOOKUP(表格1[[#This Row],[Model]],表格3[Model-Input-Ref2],表格3[大小電])</f>
        <v>#N/A</v>
      </c>
      <c r="J5455" s="86" t="e">
        <f>_xlfn.XLOOKUP(表格1[[#This Row],[Model]],表格3[Model-Input-Ref2],表格3[Code])</f>
        <v>#N/A</v>
      </c>
      <c r="N5455" s="87">
        <f>IFERROR(表格1[[#This Row],[QTY]]*表格1[[#This Row],[Unit Price]],"-")</f>
        <v>0</v>
      </c>
      <c r="R5455" s="86" t="str">
        <f>_xlfn.CONCAT(表格1[[#This Row],[Model]]," ",表格1[[#This Row],[inv no]])</f>
        <v xml:space="preserve">Model-Input-Ref2 </v>
      </c>
      <c r="S5455" s="86" t="e">
        <f>_xlfn.XLOOKUP(表格1[[#This Row],[Model]],表格3[Model-Input-Ref2],表格3[SRP PRICE])</f>
        <v>#N/A</v>
      </c>
      <c r="T5455" s="43" t="e">
        <f>表格1[[#This Row],[Unit Price]]/表格1[[#This Row],[SRP]]</f>
        <v>#N/A</v>
      </c>
      <c r="U5455" s="86" t="e">
        <f>_xlfn.XLOOKUP(表格1[[#This Row],[Model]],表格3[Model-Input-Ref2],表格3[TOSHIBA/HIGHEST])</f>
        <v>#N/A</v>
      </c>
      <c r="W5455" s="86" t="str">
        <f>_xlfn.CONCAT(表格1[[#This Row],[欄4]],表格1[[#This Row],[inv no]])</f>
        <v/>
      </c>
    </row>
    <row r="5456" spans="1:23" hidden="1">
      <c r="A5456" s="81">
        <v>5454</v>
      </c>
      <c r="D5456" s="89" t="e">
        <f ca="1">OFFSET(Roster!$A$3,MATCH(表格1[[#This Row],[Location]]&amp;" "&amp;表格1[[#This Row],[Shop]]&amp;"*",Roster!$A$4:$A$72,0),DAY(表格1[[#This Row],[date]]),1,1)</f>
        <v>#N/A</v>
      </c>
      <c r="E5456" s="86">
        <f>MONTH(表格1[[#This Row],[date]])</f>
        <v>1</v>
      </c>
      <c r="G5456" s="86" t="str">
        <f>VLOOKUP("*"&amp;表格1[[#This Row],[Input]]&amp;"*",'Ref-List'!$B:$D,2,)</f>
        <v>Model-Input-Ref2</v>
      </c>
      <c r="H5456" s="86" t="e">
        <f>_xlfn.XLOOKUP(表格1[[#This Row],[Model]],表格3[Model-Input-Ref2],表格3[Product Line])</f>
        <v>#N/A</v>
      </c>
      <c r="I5456" s="86" t="e">
        <f>_xlfn.XLOOKUP(表格1[[#This Row],[Model]],表格3[Model-Input-Ref2],表格3[大小電])</f>
        <v>#N/A</v>
      </c>
      <c r="J5456" s="86" t="e">
        <f>_xlfn.XLOOKUP(表格1[[#This Row],[Model]],表格3[Model-Input-Ref2],表格3[Code])</f>
        <v>#N/A</v>
      </c>
      <c r="N5456" s="87">
        <f>IFERROR(表格1[[#This Row],[QTY]]*表格1[[#This Row],[Unit Price]],"-")</f>
        <v>0</v>
      </c>
      <c r="R5456" s="86" t="str">
        <f>_xlfn.CONCAT(表格1[[#This Row],[Model]]," ",表格1[[#This Row],[inv no]])</f>
        <v xml:space="preserve">Model-Input-Ref2 </v>
      </c>
      <c r="S5456" s="86" t="e">
        <f>_xlfn.XLOOKUP(表格1[[#This Row],[Model]],表格3[Model-Input-Ref2],表格3[SRP PRICE])</f>
        <v>#N/A</v>
      </c>
      <c r="T5456" s="43" t="e">
        <f>表格1[[#This Row],[Unit Price]]/表格1[[#This Row],[SRP]]</f>
        <v>#N/A</v>
      </c>
      <c r="U5456" s="86" t="e">
        <f>_xlfn.XLOOKUP(表格1[[#This Row],[Model]],表格3[Model-Input-Ref2],表格3[TOSHIBA/HIGHEST])</f>
        <v>#N/A</v>
      </c>
      <c r="W5456" s="86" t="str">
        <f>_xlfn.CONCAT(表格1[[#This Row],[欄4]],表格1[[#This Row],[inv no]])</f>
        <v/>
      </c>
    </row>
    <row r="5457" spans="1:23" hidden="1">
      <c r="A5457" s="81">
        <v>5455</v>
      </c>
      <c r="D5457" s="89" t="e">
        <f ca="1">OFFSET(Roster!$A$3,MATCH(表格1[[#This Row],[Location]]&amp;" "&amp;表格1[[#This Row],[Shop]]&amp;"*",Roster!$A$4:$A$72,0),DAY(表格1[[#This Row],[date]]),1,1)</f>
        <v>#N/A</v>
      </c>
      <c r="E5457" s="86">
        <f>MONTH(表格1[[#This Row],[date]])</f>
        <v>1</v>
      </c>
      <c r="G5457" s="86" t="str">
        <f>VLOOKUP("*"&amp;表格1[[#This Row],[Input]]&amp;"*",'Ref-List'!$B:$D,2,)</f>
        <v>Model-Input-Ref2</v>
      </c>
      <c r="H5457" s="86" t="e">
        <f>_xlfn.XLOOKUP(表格1[[#This Row],[Model]],表格3[Model-Input-Ref2],表格3[Product Line])</f>
        <v>#N/A</v>
      </c>
      <c r="I5457" s="86" t="e">
        <f>_xlfn.XLOOKUP(表格1[[#This Row],[Model]],表格3[Model-Input-Ref2],表格3[大小電])</f>
        <v>#N/A</v>
      </c>
      <c r="J5457" s="86" t="e">
        <f>_xlfn.XLOOKUP(表格1[[#This Row],[Model]],表格3[Model-Input-Ref2],表格3[Code])</f>
        <v>#N/A</v>
      </c>
      <c r="N5457" s="87">
        <f>IFERROR(表格1[[#This Row],[QTY]]*表格1[[#This Row],[Unit Price]],"-")</f>
        <v>0</v>
      </c>
      <c r="R5457" s="86" t="str">
        <f>_xlfn.CONCAT(表格1[[#This Row],[Model]]," ",表格1[[#This Row],[inv no]])</f>
        <v xml:space="preserve">Model-Input-Ref2 </v>
      </c>
      <c r="S5457" s="86" t="e">
        <f>_xlfn.XLOOKUP(表格1[[#This Row],[Model]],表格3[Model-Input-Ref2],表格3[SRP PRICE])</f>
        <v>#N/A</v>
      </c>
      <c r="T5457" s="43" t="e">
        <f>表格1[[#This Row],[Unit Price]]/表格1[[#This Row],[SRP]]</f>
        <v>#N/A</v>
      </c>
      <c r="U5457" s="86" t="e">
        <f>_xlfn.XLOOKUP(表格1[[#This Row],[Model]],表格3[Model-Input-Ref2],表格3[TOSHIBA/HIGHEST])</f>
        <v>#N/A</v>
      </c>
      <c r="W5457" s="86" t="str">
        <f>_xlfn.CONCAT(表格1[[#This Row],[欄4]],表格1[[#This Row],[inv no]])</f>
        <v/>
      </c>
    </row>
    <row r="5458" spans="1:23" hidden="1">
      <c r="A5458" s="81">
        <v>5456</v>
      </c>
      <c r="D5458" s="89" t="e">
        <f ca="1">OFFSET(Roster!$A$3,MATCH(表格1[[#This Row],[Location]]&amp;" "&amp;表格1[[#This Row],[Shop]]&amp;"*",Roster!$A$4:$A$72,0),DAY(表格1[[#This Row],[date]]),1,1)</f>
        <v>#N/A</v>
      </c>
      <c r="E5458" s="86">
        <f>MONTH(表格1[[#This Row],[date]])</f>
        <v>1</v>
      </c>
      <c r="G5458" s="86" t="str">
        <f>VLOOKUP("*"&amp;表格1[[#This Row],[Input]]&amp;"*",'Ref-List'!$B:$D,2,)</f>
        <v>Model-Input-Ref2</v>
      </c>
      <c r="H5458" s="86" t="e">
        <f>_xlfn.XLOOKUP(表格1[[#This Row],[Model]],表格3[Model-Input-Ref2],表格3[Product Line])</f>
        <v>#N/A</v>
      </c>
      <c r="I5458" s="86" t="e">
        <f>_xlfn.XLOOKUP(表格1[[#This Row],[Model]],表格3[Model-Input-Ref2],表格3[大小電])</f>
        <v>#N/A</v>
      </c>
      <c r="J5458" s="86" t="e">
        <f>_xlfn.XLOOKUP(表格1[[#This Row],[Model]],表格3[Model-Input-Ref2],表格3[Code])</f>
        <v>#N/A</v>
      </c>
      <c r="N5458" s="87">
        <f>IFERROR(表格1[[#This Row],[QTY]]*表格1[[#This Row],[Unit Price]],"-")</f>
        <v>0</v>
      </c>
      <c r="R5458" s="86" t="str">
        <f>_xlfn.CONCAT(表格1[[#This Row],[Model]]," ",表格1[[#This Row],[inv no]])</f>
        <v xml:space="preserve">Model-Input-Ref2 </v>
      </c>
      <c r="S5458" s="86" t="e">
        <f>_xlfn.XLOOKUP(表格1[[#This Row],[Model]],表格3[Model-Input-Ref2],表格3[SRP PRICE])</f>
        <v>#N/A</v>
      </c>
      <c r="T5458" s="43" t="e">
        <f>表格1[[#This Row],[Unit Price]]/表格1[[#This Row],[SRP]]</f>
        <v>#N/A</v>
      </c>
      <c r="U5458" s="86" t="e">
        <f>_xlfn.XLOOKUP(表格1[[#This Row],[Model]],表格3[Model-Input-Ref2],表格3[TOSHIBA/HIGHEST])</f>
        <v>#N/A</v>
      </c>
      <c r="W5458" s="86" t="str">
        <f>_xlfn.CONCAT(表格1[[#This Row],[欄4]],表格1[[#This Row],[inv no]])</f>
        <v/>
      </c>
    </row>
    <row r="5459" spans="1:23" hidden="1">
      <c r="A5459" s="81">
        <v>5457</v>
      </c>
      <c r="D5459" s="89" t="e">
        <f ca="1">OFFSET(Roster!$A$3,MATCH(表格1[[#This Row],[Location]]&amp;" "&amp;表格1[[#This Row],[Shop]]&amp;"*",Roster!$A$4:$A$72,0),DAY(表格1[[#This Row],[date]]),1,1)</f>
        <v>#N/A</v>
      </c>
      <c r="E5459" s="86">
        <f>MONTH(表格1[[#This Row],[date]])</f>
        <v>1</v>
      </c>
      <c r="G5459" s="86" t="str">
        <f>VLOOKUP("*"&amp;表格1[[#This Row],[Input]]&amp;"*",'Ref-List'!$B:$D,2,)</f>
        <v>Model-Input-Ref2</v>
      </c>
      <c r="H5459" s="86" t="e">
        <f>_xlfn.XLOOKUP(表格1[[#This Row],[Model]],表格3[Model-Input-Ref2],表格3[Product Line])</f>
        <v>#N/A</v>
      </c>
      <c r="I5459" s="86" t="e">
        <f>_xlfn.XLOOKUP(表格1[[#This Row],[Model]],表格3[Model-Input-Ref2],表格3[大小電])</f>
        <v>#N/A</v>
      </c>
      <c r="J5459" s="86" t="e">
        <f>_xlfn.XLOOKUP(表格1[[#This Row],[Model]],表格3[Model-Input-Ref2],表格3[Code])</f>
        <v>#N/A</v>
      </c>
      <c r="N5459" s="87">
        <f>IFERROR(表格1[[#This Row],[QTY]]*表格1[[#This Row],[Unit Price]],"-")</f>
        <v>0</v>
      </c>
      <c r="R5459" s="86" t="str">
        <f>_xlfn.CONCAT(表格1[[#This Row],[Model]]," ",表格1[[#This Row],[inv no]])</f>
        <v xml:space="preserve">Model-Input-Ref2 </v>
      </c>
      <c r="S5459" s="86" t="e">
        <f>_xlfn.XLOOKUP(表格1[[#This Row],[Model]],表格3[Model-Input-Ref2],表格3[SRP PRICE])</f>
        <v>#N/A</v>
      </c>
      <c r="T5459" s="43" t="e">
        <f>表格1[[#This Row],[Unit Price]]/表格1[[#This Row],[SRP]]</f>
        <v>#N/A</v>
      </c>
      <c r="U5459" s="86" t="e">
        <f>_xlfn.XLOOKUP(表格1[[#This Row],[Model]],表格3[Model-Input-Ref2],表格3[TOSHIBA/HIGHEST])</f>
        <v>#N/A</v>
      </c>
      <c r="W5459" s="86" t="str">
        <f>_xlfn.CONCAT(表格1[[#This Row],[欄4]],表格1[[#This Row],[inv no]])</f>
        <v/>
      </c>
    </row>
    <row r="5460" spans="1:23" hidden="1">
      <c r="A5460" s="81">
        <v>5458</v>
      </c>
      <c r="D5460" s="89" t="e">
        <f ca="1">OFFSET(Roster!$A$3,MATCH(表格1[[#This Row],[Location]]&amp;" "&amp;表格1[[#This Row],[Shop]]&amp;"*",Roster!$A$4:$A$72,0),DAY(表格1[[#This Row],[date]]),1,1)</f>
        <v>#N/A</v>
      </c>
      <c r="E5460" s="86">
        <f>MONTH(表格1[[#This Row],[date]])</f>
        <v>1</v>
      </c>
      <c r="G5460" s="86" t="str">
        <f>VLOOKUP("*"&amp;表格1[[#This Row],[Input]]&amp;"*",'Ref-List'!$B:$D,2,)</f>
        <v>Model-Input-Ref2</v>
      </c>
      <c r="H5460" s="86" t="e">
        <f>_xlfn.XLOOKUP(表格1[[#This Row],[Model]],表格3[Model-Input-Ref2],表格3[Product Line])</f>
        <v>#N/A</v>
      </c>
      <c r="I5460" s="86" t="e">
        <f>_xlfn.XLOOKUP(表格1[[#This Row],[Model]],表格3[Model-Input-Ref2],表格3[大小電])</f>
        <v>#N/A</v>
      </c>
      <c r="J5460" s="86" t="e">
        <f>_xlfn.XLOOKUP(表格1[[#This Row],[Model]],表格3[Model-Input-Ref2],表格3[Code])</f>
        <v>#N/A</v>
      </c>
      <c r="N5460" s="87">
        <f>IFERROR(表格1[[#This Row],[QTY]]*表格1[[#This Row],[Unit Price]],"-")</f>
        <v>0</v>
      </c>
      <c r="R5460" s="86" t="str">
        <f>_xlfn.CONCAT(表格1[[#This Row],[Model]]," ",表格1[[#This Row],[inv no]])</f>
        <v xml:space="preserve">Model-Input-Ref2 </v>
      </c>
      <c r="S5460" s="86" t="e">
        <f>_xlfn.XLOOKUP(表格1[[#This Row],[Model]],表格3[Model-Input-Ref2],表格3[SRP PRICE])</f>
        <v>#N/A</v>
      </c>
      <c r="T5460" s="43" t="e">
        <f>表格1[[#This Row],[Unit Price]]/表格1[[#This Row],[SRP]]</f>
        <v>#N/A</v>
      </c>
      <c r="U5460" s="86" t="e">
        <f>_xlfn.XLOOKUP(表格1[[#This Row],[Model]],表格3[Model-Input-Ref2],表格3[TOSHIBA/HIGHEST])</f>
        <v>#N/A</v>
      </c>
      <c r="W5460" s="86" t="str">
        <f>_xlfn.CONCAT(表格1[[#This Row],[欄4]],表格1[[#This Row],[inv no]])</f>
        <v/>
      </c>
    </row>
    <row r="5461" spans="1:23" hidden="1">
      <c r="A5461" s="81">
        <v>5459</v>
      </c>
      <c r="D5461" s="89" t="e">
        <f ca="1">OFFSET(Roster!$A$3,MATCH(表格1[[#This Row],[Location]]&amp;" "&amp;表格1[[#This Row],[Shop]]&amp;"*",Roster!$A$4:$A$72,0),DAY(表格1[[#This Row],[date]]),1,1)</f>
        <v>#N/A</v>
      </c>
      <c r="E5461" s="86">
        <f>MONTH(表格1[[#This Row],[date]])</f>
        <v>1</v>
      </c>
      <c r="G5461" s="86" t="str">
        <f>VLOOKUP("*"&amp;表格1[[#This Row],[Input]]&amp;"*",'Ref-List'!$B:$D,2,)</f>
        <v>Model-Input-Ref2</v>
      </c>
      <c r="H5461" s="86" t="e">
        <f>_xlfn.XLOOKUP(表格1[[#This Row],[Model]],表格3[Model-Input-Ref2],表格3[Product Line])</f>
        <v>#N/A</v>
      </c>
      <c r="I5461" s="86" t="e">
        <f>_xlfn.XLOOKUP(表格1[[#This Row],[Model]],表格3[Model-Input-Ref2],表格3[大小電])</f>
        <v>#N/A</v>
      </c>
      <c r="J5461" s="86" t="e">
        <f>_xlfn.XLOOKUP(表格1[[#This Row],[Model]],表格3[Model-Input-Ref2],表格3[Code])</f>
        <v>#N/A</v>
      </c>
      <c r="N5461" s="87">
        <f>IFERROR(表格1[[#This Row],[QTY]]*表格1[[#This Row],[Unit Price]],"-")</f>
        <v>0</v>
      </c>
      <c r="R5461" s="86" t="str">
        <f>_xlfn.CONCAT(表格1[[#This Row],[Model]]," ",表格1[[#This Row],[inv no]])</f>
        <v xml:space="preserve">Model-Input-Ref2 </v>
      </c>
      <c r="S5461" s="86" t="e">
        <f>_xlfn.XLOOKUP(表格1[[#This Row],[Model]],表格3[Model-Input-Ref2],表格3[SRP PRICE])</f>
        <v>#N/A</v>
      </c>
      <c r="T5461" s="43" t="e">
        <f>表格1[[#This Row],[Unit Price]]/表格1[[#This Row],[SRP]]</f>
        <v>#N/A</v>
      </c>
      <c r="U5461" s="86" t="e">
        <f>_xlfn.XLOOKUP(表格1[[#This Row],[Model]],表格3[Model-Input-Ref2],表格3[TOSHIBA/HIGHEST])</f>
        <v>#N/A</v>
      </c>
      <c r="W5461" s="86" t="str">
        <f>_xlfn.CONCAT(表格1[[#This Row],[欄4]],表格1[[#This Row],[inv no]])</f>
        <v/>
      </c>
    </row>
    <row r="5462" spans="1:23" hidden="1">
      <c r="A5462" s="81">
        <v>5460</v>
      </c>
      <c r="D5462" s="89" t="e">
        <f ca="1">OFFSET(Roster!$A$3,MATCH(表格1[[#This Row],[Location]]&amp;" "&amp;表格1[[#This Row],[Shop]]&amp;"*",Roster!$A$4:$A$72,0),DAY(表格1[[#This Row],[date]]),1,1)</f>
        <v>#N/A</v>
      </c>
      <c r="E5462" s="86">
        <f>MONTH(表格1[[#This Row],[date]])</f>
        <v>1</v>
      </c>
      <c r="G5462" s="86" t="str">
        <f>VLOOKUP("*"&amp;表格1[[#This Row],[Input]]&amp;"*",'Ref-List'!$B:$D,2,)</f>
        <v>Model-Input-Ref2</v>
      </c>
      <c r="H5462" s="86" t="e">
        <f>_xlfn.XLOOKUP(表格1[[#This Row],[Model]],表格3[Model-Input-Ref2],表格3[Product Line])</f>
        <v>#N/A</v>
      </c>
      <c r="I5462" s="86" t="e">
        <f>_xlfn.XLOOKUP(表格1[[#This Row],[Model]],表格3[Model-Input-Ref2],表格3[大小電])</f>
        <v>#N/A</v>
      </c>
      <c r="J5462" s="86" t="e">
        <f>_xlfn.XLOOKUP(表格1[[#This Row],[Model]],表格3[Model-Input-Ref2],表格3[Code])</f>
        <v>#N/A</v>
      </c>
      <c r="N5462" s="87">
        <f>IFERROR(表格1[[#This Row],[QTY]]*表格1[[#This Row],[Unit Price]],"-")</f>
        <v>0</v>
      </c>
      <c r="R5462" s="86" t="str">
        <f>_xlfn.CONCAT(表格1[[#This Row],[Model]]," ",表格1[[#This Row],[inv no]])</f>
        <v xml:space="preserve">Model-Input-Ref2 </v>
      </c>
      <c r="S5462" s="86" t="e">
        <f>_xlfn.XLOOKUP(表格1[[#This Row],[Model]],表格3[Model-Input-Ref2],表格3[SRP PRICE])</f>
        <v>#N/A</v>
      </c>
      <c r="T5462" s="43" t="e">
        <f>表格1[[#This Row],[Unit Price]]/表格1[[#This Row],[SRP]]</f>
        <v>#N/A</v>
      </c>
      <c r="U5462" s="86" t="e">
        <f>_xlfn.XLOOKUP(表格1[[#This Row],[Model]],表格3[Model-Input-Ref2],表格3[TOSHIBA/HIGHEST])</f>
        <v>#N/A</v>
      </c>
      <c r="W5462" s="86" t="str">
        <f>_xlfn.CONCAT(表格1[[#This Row],[欄4]],表格1[[#This Row],[inv no]])</f>
        <v/>
      </c>
    </row>
    <row r="5463" spans="1:23" hidden="1">
      <c r="A5463" s="81">
        <v>5461</v>
      </c>
      <c r="D5463" s="89" t="e">
        <f ca="1">OFFSET(Roster!$A$3,MATCH(表格1[[#This Row],[Location]]&amp;" "&amp;表格1[[#This Row],[Shop]]&amp;"*",Roster!$A$4:$A$72,0),DAY(表格1[[#This Row],[date]]),1,1)</f>
        <v>#N/A</v>
      </c>
      <c r="E5463" s="86">
        <f>MONTH(表格1[[#This Row],[date]])</f>
        <v>1</v>
      </c>
      <c r="G5463" s="86" t="str">
        <f>VLOOKUP("*"&amp;表格1[[#This Row],[Input]]&amp;"*",'Ref-List'!$B:$D,2,)</f>
        <v>Model-Input-Ref2</v>
      </c>
      <c r="H5463" s="86" t="e">
        <f>_xlfn.XLOOKUP(表格1[[#This Row],[Model]],表格3[Model-Input-Ref2],表格3[Product Line])</f>
        <v>#N/A</v>
      </c>
      <c r="I5463" s="86" t="e">
        <f>_xlfn.XLOOKUP(表格1[[#This Row],[Model]],表格3[Model-Input-Ref2],表格3[大小電])</f>
        <v>#N/A</v>
      </c>
      <c r="J5463" s="86" t="e">
        <f>_xlfn.XLOOKUP(表格1[[#This Row],[Model]],表格3[Model-Input-Ref2],表格3[Code])</f>
        <v>#N/A</v>
      </c>
      <c r="N5463" s="87">
        <f>IFERROR(表格1[[#This Row],[QTY]]*表格1[[#This Row],[Unit Price]],"-")</f>
        <v>0</v>
      </c>
      <c r="R5463" s="86" t="str">
        <f>_xlfn.CONCAT(表格1[[#This Row],[Model]]," ",表格1[[#This Row],[inv no]])</f>
        <v xml:space="preserve">Model-Input-Ref2 </v>
      </c>
      <c r="S5463" s="86" t="e">
        <f>_xlfn.XLOOKUP(表格1[[#This Row],[Model]],表格3[Model-Input-Ref2],表格3[SRP PRICE])</f>
        <v>#N/A</v>
      </c>
      <c r="T5463" s="43" t="e">
        <f>表格1[[#This Row],[Unit Price]]/表格1[[#This Row],[SRP]]</f>
        <v>#N/A</v>
      </c>
      <c r="U5463" s="86" t="e">
        <f>_xlfn.XLOOKUP(表格1[[#This Row],[Model]],表格3[Model-Input-Ref2],表格3[TOSHIBA/HIGHEST])</f>
        <v>#N/A</v>
      </c>
      <c r="W5463" s="86" t="str">
        <f>_xlfn.CONCAT(表格1[[#This Row],[欄4]],表格1[[#This Row],[inv no]])</f>
        <v/>
      </c>
    </row>
    <row r="5464" spans="1:23" hidden="1">
      <c r="A5464" s="81">
        <v>5462</v>
      </c>
      <c r="D5464" s="89" t="e">
        <f ca="1">OFFSET(Roster!$A$3,MATCH(表格1[[#This Row],[Location]]&amp;" "&amp;表格1[[#This Row],[Shop]]&amp;"*",Roster!$A$4:$A$72,0),DAY(表格1[[#This Row],[date]]),1,1)</f>
        <v>#N/A</v>
      </c>
      <c r="E5464" s="86">
        <f>MONTH(表格1[[#This Row],[date]])</f>
        <v>1</v>
      </c>
      <c r="G5464" s="86" t="str">
        <f>VLOOKUP("*"&amp;表格1[[#This Row],[Input]]&amp;"*",'Ref-List'!$B:$D,2,)</f>
        <v>Model-Input-Ref2</v>
      </c>
      <c r="H5464" s="86" t="e">
        <f>_xlfn.XLOOKUP(表格1[[#This Row],[Model]],表格3[Model-Input-Ref2],表格3[Product Line])</f>
        <v>#N/A</v>
      </c>
      <c r="I5464" s="86" t="e">
        <f>_xlfn.XLOOKUP(表格1[[#This Row],[Model]],表格3[Model-Input-Ref2],表格3[大小電])</f>
        <v>#N/A</v>
      </c>
      <c r="J5464" s="86" t="e">
        <f>_xlfn.XLOOKUP(表格1[[#This Row],[Model]],表格3[Model-Input-Ref2],表格3[Code])</f>
        <v>#N/A</v>
      </c>
      <c r="N5464" s="87">
        <f>IFERROR(表格1[[#This Row],[QTY]]*表格1[[#This Row],[Unit Price]],"-")</f>
        <v>0</v>
      </c>
      <c r="R5464" s="86" t="str">
        <f>_xlfn.CONCAT(表格1[[#This Row],[Model]]," ",表格1[[#This Row],[inv no]])</f>
        <v xml:space="preserve">Model-Input-Ref2 </v>
      </c>
      <c r="S5464" s="86" t="e">
        <f>_xlfn.XLOOKUP(表格1[[#This Row],[Model]],表格3[Model-Input-Ref2],表格3[SRP PRICE])</f>
        <v>#N/A</v>
      </c>
      <c r="T5464" s="43" t="e">
        <f>表格1[[#This Row],[Unit Price]]/表格1[[#This Row],[SRP]]</f>
        <v>#N/A</v>
      </c>
      <c r="U5464" s="86" t="e">
        <f>_xlfn.XLOOKUP(表格1[[#This Row],[Model]],表格3[Model-Input-Ref2],表格3[TOSHIBA/HIGHEST])</f>
        <v>#N/A</v>
      </c>
      <c r="W5464" s="86" t="str">
        <f>_xlfn.CONCAT(表格1[[#This Row],[欄4]],表格1[[#This Row],[inv no]])</f>
        <v/>
      </c>
    </row>
    <row r="5465" spans="1:23" hidden="1">
      <c r="A5465" s="81">
        <v>5463</v>
      </c>
      <c r="D5465" s="89" t="e">
        <f ca="1">OFFSET(Roster!$A$3,MATCH(表格1[[#This Row],[Location]]&amp;" "&amp;表格1[[#This Row],[Shop]]&amp;"*",Roster!$A$4:$A$72,0),DAY(表格1[[#This Row],[date]]),1,1)</f>
        <v>#N/A</v>
      </c>
      <c r="E5465" s="86">
        <f>MONTH(表格1[[#This Row],[date]])</f>
        <v>1</v>
      </c>
      <c r="G5465" s="86" t="str">
        <f>VLOOKUP("*"&amp;表格1[[#This Row],[Input]]&amp;"*",'Ref-List'!$B:$D,2,)</f>
        <v>Model-Input-Ref2</v>
      </c>
      <c r="H5465" s="86" t="e">
        <f>_xlfn.XLOOKUP(表格1[[#This Row],[Model]],表格3[Model-Input-Ref2],表格3[Product Line])</f>
        <v>#N/A</v>
      </c>
      <c r="I5465" s="86" t="e">
        <f>_xlfn.XLOOKUP(表格1[[#This Row],[Model]],表格3[Model-Input-Ref2],表格3[大小電])</f>
        <v>#N/A</v>
      </c>
      <c r="J5465" s="86" t="e">
        <f>_xlfn.XLOOKUP(表格1[[#This Row],[Model]],表格3[Model-Input-Ref2],表格3[Code])</f>
        <v>#N/A</v>
      </c>
      <c r="N5465" s="87">
        <f>IFERROR(表格1[[#This Row],[QTY]]*表格1[[#This Row],[Unit Price]],"-")</f>
        <v>0</v>
      </c>
      <c r="R5465" s="86" t="str">
        <f>_xlfn.CONCAT(表格1[[#This Row],[Model]]," ",表格1[[#This Row],[inv no]])</f>
        <v xml:space="preserve">Model-Input-Ref2 </v>
      </c>
      <c r="S5465" s="86" t="e">
        <f>_xlfn.XLOOKUP(表格1[[#This Row],[Model]],表格3[Model-Input-Ref2],表格3[SRP PRICE])</f>
        <v>#N/A</v>
      </c>
      <c r="T5465" s="43" t="e">
        <f>表格1[[#This Row],[Unit Price]]/表格1[[#This Row],[SRP]]</f>
        <v>#N/A</v>
      </c>
      <c r="U5465" s="86" t="e">
        <f>_xlfn.XLOOKUP(表格1[[#This Row],[Model]],表格3[Model-Input-Ref2],表格3[TOSHIBA/HIGHEST])</f>
        <v>#N/A</v>
      </c>
      <c r="W5465" s="86" t="str">
        <f>_xlfn.CONCAT(表格1[[#This Row],[欄4]],表格1[[#This Row],[inv no]])</f>
        <v/>
      </c>
    </row>
    <row r="5466" spans="1:23" hidden="1">
      <c r="A5466" s="81">
        <v>5464</v>
      </c>
      <c r="D5466" s="89" t="e">
        <f ca="1">OFFSET(Roster!$A$3,MATCH(表格1[[#This Row],[Location]]&amp;" "&amp;表格1[[#This Row],[Shop]]&amp;"*",Roster!$A$4:$A$72,0),DAY(表格1[[#This Row],[date]]),1,1)</f>
        <v>#N/A</v>
      </c>
      <c r="E5466" s="86">
        <f>MONTH(表格1[[#This Row],[date]])</f>
        <v>1</v>
      </c>
      <c r="G5466" s="86" t="str">
        <f>VLOOKUP("*"&amp;表格1[[#This Row],[Input]]&amp;"*",'Ref-List'!$B:$D,2,)</f>
        <v>Model-Input-Ref2</v>
      </c>
      <c r="H5466" s="86" t="e">
        <f>_xlfn.XLOOKUP(表格1[[#This Row],[Model]],表格3[Model-Input-Ref2],表格3[Product Line])</f>
        <v>#N/A</v>
      </c>
      <c r="I5466" s="86" t="e">
        <f>_xlfn.XLOOKUP(表格1[[#This Row],[Model]],表格3[Model-Input-Ref2],表格3[大小電])</f>
        <v>#N/A</v>
      </c>
      <c r="J5466" s="86" t="e">
        <f>_xlfn.XLOOKUP(表格1[[#This Row],[Model]],表格3[Model-Input-Ref2],表格3[Code])</f>
        <v>#N/A</v>
      </c>
      <c r="N5466" s="87">
        <f>IFERROR(表格1[[#This Row],[QTY]]*表格1[[#This Row],[Unit Price]],"-")</f>
        <v>0</v>
      </c>
      <c r="R5466" s="86" t="str">
        <f>_xlfn.CONCAT(表格1[[#This Row],[Model]]," ",表格1[[#This Row],[inv no]])</f>
        <v xml:space="preserve">Model-Input-Ref2 </v>
      </c>
      <c r="S5466" s="86" t="e">
        <f>_xlfn.XLOOKUP(表格1[[#This Row],[Model]],表格3[Model-Input-Ref2],表格3[SRP PRICE])</f>
        <v>#N/A</v>
      </c>
      <c r="T5466" s="43" t="e">
        <f>表格1[[#This Row],[Unit Price]]/表格1[[#This Row],[SRP]]</f>
        <v>#N/A</v>
      </c>
      <c r="U5466" s="86" t="e">
        <f>_xlfn.XLOOKUP(表格1[[#This Row],[Model]],表格3[Model-Input-Ref2],表格3[TOSHIBA/HIGHEST])</f>
        <v>#N/A</v>
      </c>
      <c r="W5466" s="86" t="str">
        <f>_xlfn.CONCAT(表格1[[#This Row],[欄4]],表格1[[#This Row],[inv no]])</f>
        <v/>
      </c>
    </row>
    <row r="5467" spans="1:23" hidden="1">
      <c r="A5467" s="81">
        <v>5465</v>
      </c>
      <c r="D5467" s="89" t="e">
        <f ca="1">OFFSET(Roster!$A$3,MATCH(表格1[[#This Row],[Location]]&amp;" "&amp;表格1[[#This Row],[Shop]]&amp;"*",Roster!$A$4:$A$72,0),DAY(表格1[[#This Row],[date]]),1,1)</f>
        <v>#N/A</v>
      </c>
      <c r="E5467" s="86">
        <f>MONTH(表格1[[#This Row],[date]])</f>
        <v>1</v>
      </c>
      <c r="G5467" s="86" t="str">
        <f>VLOOKUP("*"&amp;表格1[[#This Row],[Input]]&amp;"*",'Ref-List'!$B:$D,2,)</f>
        <v>Model-Input-Ref2</v>
      </c>
      <c r="H5467" s="86" t="e">
        <f>_xlfn.XLOOKUP(表格1[[#This Row],[Model]],表格3[Model-Input-Ref2],表格3[Product Line])</f>
        <v>#N/A</v>
      </c>
      <c r="I5467" s="86" t="e">
        <f>_xlfn.XLOOKUP(表格1[[#This Row],[Model]],表格3[Model-Input-Ref2],表格3[大小電])</f>
        <v>#N/A</v>
      </c>
      <c r="J5467" s="86" t="e">
        <f>_xlfn.XLOOKUP(表格1[[#This Row],[Model]],表格3[Model-Input-Ref2],表格3[Code])</f>
        <v>#N/A</v>
      </c>
      <c r="N5467" s="87">
        <f>IFERROR(表格1[[#This Row],[QTY]]*表格1[[#This Row],[Unit Price]],"-")</f>
        <v>0</v>
      </c>
      <c r="R5467" s="86" t="str">
        <f>_xlfn.CONCAT(表格1[[#This Row],[Model]]," ",表格1[[#This Row],[inv no]])</f>
        <v xml:space="preserve">Model-Input-Ref2 </v>
      </c>
      <c r="S5467" s="86" t="e">
        <f>_xlfn.XLOOKUP(表格1[[#This Row],[Model]],表格3[Model-Input-Ref2],表格3[SRP PRICE])</f>
        <v>#N/A</v>
      </c>
      <c r="T5467" s="43" t="e">
        <f>表格1[[#This Row],[Unit Price]]/表格1[[#This Row],[SRP]]</f>
        <v>#N/A</v>
      </c>
      <c r="U5467" s="86" t="e">
        <f>_xlfn.XLOOKUP(表格1[[#This Row],[Model]],表格3[Model-Input-Ref2],表格3[TOSHIBA/HIGHEST])</f>
        <v>#N/A</v>
      </c>
      <c r="W5467" s="86" t="str">
        <f>_xlfn.CONCAT(表格1[[#This Row],[欄4]],表格1[[#This Row],[inv no]])</f>
        <v/>
      </c>
    </row>
    <row r="5468" spans="1:23" hidden="1">
      <c r="A5468" s="81">
        <v>5466</v>
      </c>
      <c r="D5468" s="89" t="e">
        <f ca="1">OFFSET(Roster!$A$3,MATCH(表格1[[#This Row],[Location]]&amp;" "&amp;表格1[[#This Row],[Shop]]&amp;"*",Roster!$A$4:$A$72,0),DAY(表格1[[#This Row],[date]]),1,1)</f>
        <v>#N/A</v>
      </c>
      <c r="E5468" s="86">
        <f>MONTH(表格1[[#This Row],[date]])</f>
        <v>1</v>
      </c>
      <c r="G5468" s="86" t="str">
        <f>VLOOKUP("*"&amp;表格1[[#This Row],[Input]]&amp;"*",'Ref-List'!$B:$D,2,)</f>
        <v>Model-Input-Ref2</v>
      </c>
      <c r="H5468" s="86" t="e">
        <f>_xlfn.XLOOKUP(表格1[[#This Row],[Model]],表格3[Model-Input-Ref2],表格3[Product Line])</f>
        <v>#N/A</v>
      </c>
      <c r="I5468" s="86" t="e">
        <f>_xlfn.XLOOKUP(表格1[[#This Row],[Model]],表格3[Model-Input-Ref2],表格3[大小電])</f>
        <v>#N/A</v>
      </c>
      <c r="J5468" s="86" t="e">
        <f>_xlfn.XLOOKUP(表格1[[#This Row],[Model]],表格3[Model-Input-Ref2],表格3[Code])</f>
        <v>#N/A</v>
      </c>
      <c r="N5468" s="87">
        <f>IFERROR(表格1[[#This Row],[QTY]]*表格1[[#This Row],[Unit Price]],"-")</f>
        <v>0</v>
      </c>
      <c r="R5468" s="86" t="str">
        <f>_xlfn.CONCAT(表格1[[#This Row],[Model]]," ",表格1[[#This Row],[inv no]])</f>
        <v xml:space="preserve">Model-Input-Ref2 </v>
      </c>
      <c r="S5468" s="86" t="e">
        <f>_xlfn.XLOOKUP(表格1[[#This Row],[Model]],表格3[Model-Input-Ref2],表格3[SRP PRICE])</f>
        <v>#N/A</v>
      </c>
      <c r="T5468" s="43" t="e">
        <f>表格1[[#This Row],[Unit Price]]/表格1[[#This Row],[SRP]]</f>
        <v>#N/A</v>
      </c>
      <c r="U5468" s="86" t="e">
        <f>_xlfn.XLOOKUP(表格1[[#This Row],[Model]],表格3[Model-Input-Ref2],表格3[TOSHIBA/HIGHEST])</f>
        <v>#N/A</v>
      </c>
      <c r="W5468" s="86" t="str">
        <f>_xlfn.CONCAT(表格1[[#This Row],[欄4]],表格1[[#This Row],[inv no]])</f>
        <v/>
      </c>
    </row>
    <row r="5469" spans="1:23" hidden="1">
      <c r="A5469" s="81">
        <v>5467</v>
      </c>
      <c r="D5469" s="89" t="e">
        <f ca="1">OFFSET(Roster!$A$3,MATCH(表格1[[#This Row],[Location]]&amp;" "&amp;表格1[[#This Row],[Shop]]&amp;"*",Roster!$A$4:$A$72,0),DAY(表格1[[#This Row],[date]]),1,1)</f>
        <v>#N/A</v>
      </c>
      <c r="E5469" s="86">
        <f>MONTH(表格1[[#This Row],[date]])</f>
        <v>1</v>
      </c>
      <c r="G5469" s="86" t="str">
        <f>VLOOKUP("*"&amp;表格1[[#This Row],[Input]]&amp;"*",'Ref-List'!$B:$D,2,)</f>
        <v>Model-Input-Ref2</v>
      </c>
      <c r="H5469" s="86" t="e">
        <f>_xlfn.XLOOKUP(表格1[[#This Row],[Model]],表格3[Model-Input-Ref2],表格3[Product Line])</f>
        <v>#N/A</v>
      </c>
      <c r="I5469" s="86" t="e">
        <f>_xlfn.XLOOKUP(表格1[[#This Row],[Model]],表格3[Model-Input-Ref2],表格3[大小電])</f>
        <v>#N/A</v>
      </c>
      <c r="J5469" s="86" t="e">
        <f>_xlfn.XLOOKUP(表格1[[#This Row],[Model]],表格3[Model-Input-Ref2],表格3[Code])</f>
        <v>#N/A</v>
      </c>
      <c r="N5469" s="87">
        <f>IFERROR(表格1[[#This Row],[QTY]]*表格1[[#This Row],[Unit Price]],"-")</f>
        <v>0</v>
      </c>
      <c r="R5469" s="86" t="str">
        <f>_xlfn.CONCAT(表格1[[#This Row],[Model]]," ",表格1[[#This Row],[inv no]])</f>
        <v xml:space="preserve">Model-Input-Ref2 </v>
      </c>
      <c r="S5469" s="86" t="e">
        <f>_xlfn.XLOOKUP(表格1[[#This Row],[Model]],表格3[Model-Input-Ref2],表格3[SRP PRICE])</f>
        <v>#N/A</v>
      </c>
      <c r="T5469" s="43" t="e">
        <f>表格1[[#This Row],[Unit Price]]/表格1[[#This Row],[SRP]]</f>
        <v>#N/A</v>
      </c>
      <c r="U5469" s="86" t="e">
        <f>_xlfn.XLOOKUP(表格1[[#This Row],[Model]],表格3[Model-Input-Ref2],表格3[TOSHIBA/HIGHEST])</f>
        <v>#N/A</v>
      </c>
      <c r="W5469" s="86" t="str">
        <f>_xlfn.CONCAT(表格1[[#This Row],[欄4]],表格1[[#This Row],[inv no]])</f>
        <v/>
      </c>
    </row>
    <row r="5470" spans="1:23" hidden="1">
      <c r="A5470" s="81">
        <v>5468</v>
      </c>
      <c r="D5470" s="89" t="e">
        <f ca="1">OFFSET(Roster!$A$3,MATCH(表格1[[#This Row],[Location]]&amp;" "&amp;表格1[[#This Row],[Shop]]&amp;"*",Roster!$A$4:$A$72,0),DAY(表格1[[#This Row],[date]]),1,1)</f>
        <v>#N/A</v>
      </c>
      <c r="E5470" s="86">
        <f>MONTH(表格1[[#This Row],[date]])</f>
        <v>1</v>
      </c>
      <c r="G5470" s="86" t="str">
        <f>VLOOKUP("*"&amp;表格1[[#This Row],[Input]]&amp;"*",'Ref-List'!$B:$D,2,)</f>
        <v>Model-Input-Ref2</v>
      </c>
      <c r="H5470" s="86" t="e">
        <f>_xlfn.XLOOKUP(表格1[[#This Row],[Model]],表格3[Model-Input-Ref2],表格3[Product Line])</f>
        <v>#N/A</v>
      </c>
      <c r="I5470" s="86" t="e">
        <f>_xlfn.XLOOKUP(表格1[[#This Row],[Model]],表格3[Model-Input-Ref2],表格3[大小電])</f>
        <v>#N/A</v>
      </c>
      <c r="J5470" s="86" t="e">
        <f>_xlfn.XLOOKUP(表格1[[#This Row],[Model]],表格3[Model-Input-Ref2],表格3[Code])</f>
        <v>#N/A</v>
      </c>
      <c r="N5470" s="87">
        <f>IFERROR(表格1[[#This Row],[QTY]]*表格1[[#This Row],[Unit Price]],"-")</f>
        <v>0</v>
      </c>
      <c r="R5470" s="86" t="str">
        <f>_xlfn.CONCAT(表格1[[#This Row],[Model]]," ",表格1[[#This Row],[inv no]])</f>
        <v xml:space="preserve">Model-Input-Ref2 </v>
      </c>
      <c r="S5470" s="86" t="e">
        <f>_xlfn.XLOOKUP(表格1[[#This Row],[Model]],表格3[Model-Input-Ref2],表格3[SRP PRICE])</f>
        <v>#N/A</v>
      </c>
      <c r="T5470" s="43" t="e">
        <f>表格1[[#This Row],[Unit Price]]/表格1[[#This Row],[SRP]]</f>
        <v>#N/A</v>
      </c>
      <c r="U5470" s="86" t="e">
        <f>_xlfn.XLOOKUP(表格1[[#This Row],[Model]],表格3[Model-Input-Ref2],表格3[TOSHIBA/HIGHEST])</f>
        <v>#N/A</v>
      </c>
      <c r="W5470" s="86" t="str">
        <f>_xlfn.CONCAT(表格1[[#This Row],[欄4]],表格1[[#This Row],[inv no]])</f>
        <v/>
      </c>
    </row>
    <row r="5471" spans="1:23" hidden="1">
      <c r="A5471" s="81">
        <v>5469</v>
      </c>
      <c r="D5471" s="89" t="e">
        <f ca="1">OFFSET(Roster!$A$3,MATCH(表格1[[#This Row],[Location]]&amp;" "&amp;表格1[[#This Row],[Shop]]&amp;"*",Roster!$A$4:$A$72,0),DAY(表格1[[#This Row],[date]]),1,1)</f>
        <v>#N/A</v>
      </c>
      <c r="E5471" s="86">
        <f>MONTH(表格1[[#This Row],[date]])</f>
        <v>1</v>
      </c>
      <c r="G5471" s="86" t="str">
        <f>VLOOKUP("*"&amp;表格1[[#This Row],[Input]]&amp;"*",'Ref-List'!$B:$D,2,)</f>
        <v>Model-Input-Ref2</v>
      </c>
      <c r="H5471" s="86" t="e">
        <f>_xlfn.XLOOKUP(表格1[[#This Row],[Model]],表格3[Model-Input-Ref2],表格3[Product Line])</f>
        <v>#N/A</v>
      </c>
      <c r="I5471" s="86" t="e">
        <f>_xlfn.XLOOKUP(表格1[[#This Row],[Model]],表格3[Model-Input-Ref2],表格3[大小電])</f>
        <v>#N/A</v>
      </c>
      <c r="J5471" s="86" t="e">
        <f>_xlfn.XLOOKUP(表格1[[#This Row],[Model]],表格3[Model-Input-Ref2],表格3[Code])</f>
        <v>#N/A</v>
      </c>
      <c r="N5471" s="87">
        <f>IFERROR(表格1[[#This Row],[QTY]]*表格1[[#This Row],[Unit Price]],"-")</f>
        <v>0</v>
      </c>
      <c r="R5471" s="86" t="str">
        <f>_xlfn.CONCAT(表格1[[#This Row],[Model]]," ",表格1[[#This Row],[inv no]])</f>
        <v xml:space="preserve">Model-Input-Ref2 </v>
      </c>
      <c r="S5471" s="86" t="e">
        <f>_xlfn.XLOOKUP(表格1[[#This Row],[Model]],表格3[Model-Input-Ref2],表格3[SRP PRICE])</f>
        <v>#N/A</v>
      </c>
      <c r="T5471" s="43" t="e">
        <f>表格1[[#This Row],[Unit Price]]/表格1[[#This Row],[SRP]]</f>
        <v>#N/A</v>
      </c>
      <c r="U5471" s="86" t="e">
        <f>_xlfn.XLOOKUP(表格1[[#This Row],[Model]],表格3[Model-Input-Ref2],表格3[TOSHIBA/HIGHEST])</f>
        <v>#N/A</v>
      </c>
      <c r="W5471" s="86" t="str">
        <f>_xlfn.CONCAT(表格1[[#This Row],[欄4]],表格1[[#This Row],[inv no]])</f>
        <v/>
      </c>
    </row>
    <row r="5472" spans="1:23" hidden="1">
      <c r="A5472" s="81">
        <v>5470</v>
      </c>
      <c r="D5472" s="89" t="e">
        <f ca="1">OFFSET(Roster!$A$3,MATCH(表格1[[#This Row],[Location]]&amp;" "&amp;表格1[[#This Row],[Shop]]&amp;"*",Roster!$A$4:$A$72,0),DAY(表格1[[#This Row],[date]]),1,1)</f>
        <v>#N/A</v>
      </c>
      <c r="E5472" s="86">
        <f>MONTH(表格1[[#This Row],[date]])</f>
        <v>1</v>
      </c>
      <c r="G5472" s="86" t="str">
        <f>VLOOKUP("*"&amp;表格1[[#This Row],[Input]]&amp;"*",'Ref-List'!$B:$D,2,)</f>
        <v>Model-Input-Ref2</v>
      </c>
      <c r="H5472" s="86" t="e">
        <f>_xlfn.XLOOKUP(表格1[[#This Row],[Model]],表格3[Model-Input-Ref2],表格3[Product Line])</f>
        <v>#N/A</v>
      </c>
      <c r="I5472" s="86" t="e">
        <f>_xlfn.XLOOKUP(表格1[[#This Row],[Model]],表格3[Model-Input-Ref2],表格3[大小電])</f>
        <v>#N/A</v>
      </c>
      <c r="J5472" s="86" t="e">
        <f>_xlfn.XLOOKUP(表格1[[#This Row],[Model]],表格3[Model-Input-Ref2],表格3[Code])</f>
        <v>#N/A</v>
      </c>
      <c r="N5472" s="87">
        <f>IFERROR(表格1[[#This Row],[QTY]]*表格1[[#This Row],[Unit Price]],"-")</f>
        <v>0</v>
      </c>
      <c r="R5472" s="86" t="str">
        <f>_xlfn.CONCAT(表格1[[#This Row],[Model]]," ",表格1[[#This Row],[inv no]])</f>
        <v xml:space="preserve">Model-Input-Ref2 </v>
      </c>
      <c r="S5472" s="86" t="e">
        <f>_xlfn.XLOOKUP(表格1[[#This Row],[Model]],表格3[Model-Input-Ref2],表格3[SRP PRICE])</f>
        <v>#N/A</v>
      </c>
      <c r="T5472" s="43" t="e">
        <f>表格1[[#This Row],[Unit Price]]/表格1[[#This Row],[SRP]]</f>
        <v>#N/A</v>
      </c>
      <c r="U5472" s="86" t="e">
        <f>_xlfn.XLOOKUP(表格1[[#This Row],[Model]],表格3[Model-Input-Ref2],表格3[TOSHIBA/HIGHEST])</f>
        <v>#N/A</v>
      </c>
      <c r="W5472" s="86" t="str">
        <f>_xlfn.CONCAT(表格1[[#This Row],[欄4]],表格1[[#This Row],[inv no]])</f>
        <v/>
      </c>
    </row>
    <row r="5473" spans="1:23" hidden="1">
      <c r="A5473" s="81">
        <v>5471</v>
      </c>
      <c r="D5473" s="89" t="e">
        <f ca="1">OFFSET(Roster!$A$3,MATCH(表格1[[#This Row],[Location]]&amp;" "&amp;表格1[[#This Row],[Shop]]&amp;"*",Roster!$A$4:$A$72,0),DAY(表格1[[#This Row],[date]]),1,1)</f>
        <v>#N/A</v>
      </c>
      <c r="E5473" s="86">
        <f>MONTH(表格1[[#This Row],[date]])</f>
        <v>1</v>
      </c>
      <c r="G5473" s="86" t="str">
        <f>VLOOKUP("*"&amp;表格1[[#This Row],[Input]]&amp;"*",'Ref-List'!$B:$D,2,)</f>
        <v>Model-Input-Ref2</v>
      </c>
      <c r="H5473" s="86" t="e">
        <f>_xlfn.XLOOKUP(表格1[[#This Row],[Model]],表格3[Model-Input-Ref2],表格3[Product Line])</f>
        <v>#N/A</v>
      </c>
      <c r="I5473" s="86" t="e">
        <f>_xlfn.XLOOKUP(表格1[[#This Row],[Model]],表格3[Model-Input-Ref2],表格3[大小電])</f>
        <v>#N/A</v>
      </c>
      <c r="J5473" s="86" t="e">
        <f>_xlfn.XLOOKUP(表格1[[#This Row],[Model]],表格3[Model-Input-Ref2],表格3[Code])</f>
        <v>#N/A</v>
      </c>
      <c r="N5473" s="87">
        <f>IFERROR(表格1[[#This Row],[QTY]]*表格1[[#This Row],[Unit Price]],"-")</f>
        <v>0</v>
      </c>
      <c r="R5473" s="86" t="str">
        <f>_xlfn.CONCAT(表格1[[#This Row],[Model]]," ",表格1[[#This Row],[inv no]])</f>
        <v xml:space="preserve">Model-Input-Ref2 </v>
      </c>
      <c r="S5473" s="86" t="e">
        <f>_xlfn.XLOOKUP(表格1[[#This Row],[Model]],表格3[Model-Input-Ref2],表格3[SRP PRICE])</f>
        <v>#N/A</v>
      </c>
      <c r="T5473" s="43" t="e">
        <f>表格1[[#This Row],[Unit Price]]/表格1[[#This Row],[SRP]]</f>
        <v>#N/A</v>
      </c>
      <c r="U5473" s="86" t="e">
        <f>_xlfn.XLOOKUP(表格1[[#This Row],[Model]],表格3[Model-Input-Ref2],表格3[TOSHIBA/HIGHEST])</f>
        <v>#N/A</v>
      </c>
      <c r="W5473" s="86" t="str">
        <f>_xlfn.CONCAT(表格1[[#This Row],[欄4]],表格1[[#This Row],[inv no]])</f>
        <v/>
      </c>
    </row>
    <row r="5474" spans="1:23" hidden="1">
      <c r="A5474" s="81">
        <v>5472</v>
      </c>
      <c r="D5474" s="89" t="e">
        <f ca="1">OFFSET(Roster!$A$3,MATCH(表格1[[#This Row],[Location]]&amp;" "&amp;表格1[[#This Row],[Shop]]&amp;"*",Roster!$A$4:$A$72,0),DAY(表格1[[#This Row],[date]]),1,1)</f>
        <v>#N/A</v>
      </c>
      <c r="E5474" s="86">
        <f>MONTH(表格1[[#This Row],[date]])</f>
        <v>1</v>
      </c>
      <c r="G5474" s="86" t="str">
        <f>VLOOKUP("*"&amp;表格1[[#This Row],[Input]]&amp;"*",'Ref-List'!$B:$D,2,)</f>
        <v>Model-Input-Ref2</v>
      </c>
      <c r="H5474" s="86" t="e">
        <f>_xlfn.XLOOKUP(表格1[[#This Row],[Model]],表格3[Model-Input-Ref2],表格3[Product Line])</f>
        <v>#N/A</v>
      </c>
      <c r="I5474" s="86" t="e">
        <f>_xlfn.XLOOKUP(表格1[[#This Row],[Model]],表格3[Model-Input-Ref2],表格3[大小電])</f>
        <v>#N/A</v>
      </c>
      <c r="J5474" s="86" t="e">
        <f>_xlfn.XLOOKUP(表格1[[#This Row],[Model]],表格3[Model-Input-Ref2],表格3[Code])</f>
        <v>#N/A</v>
      </c>
      <c r="N5474" s="87">
        <f>IFERROR(表格1[[#This Row],[QTY]]*表格1[[#This Row],[Unit Price]],"-")</f>
        <v>0</v>
      </c>
      <c r="R5474" s="86" t="str">
        <f>_xlfn.CONCAT(表格1[[#This Row],[Model]]," ",表格1[[#This Row],[inv no]])</f>
        <v xml:space="preserve">Model-Input-Ref2 </v>
      </c>
      <c r="S5474" s="86" t="e">
        <f>_xlfn.XLOOKUP(表格1[[#This Row],[Model]],表格3[Model-Input-Ref2],表格3[SRP PRICE])</f>
        <v>#N/A</v>
      </c>
      <c r="T5474" s="43" t="e">
        <f>表格1[[#This Row],[Unit Price]]/表格1[[#This Row],[SRP]]</f>
        <v>#N/A</v>
      </c>
      <c r="U5474" s="86" t="e">
        <f>_xlfn.XLOOKUP(表格1[[#This Row],[Model]],表格3[Model-Input-Ref2],表格3[TOSHIBA/HIGHEST])</f>
        <v>#N/A</v>
      </c>
      <c r="W5474" s="86" t="str">
        <f>_xlfn.CONCAT(表格1[[#This Row],[欄4]],表格1[[#This Row],[inv no]])</f>
        <v/>
      </c>
    </row>
    <row r="5475" spans="1:23" hidden="1">
      <c r="A5475" s="81">
        <v>5473</v>
      </c>
      <c r="D5475" s="89" t="e">
        <f ca="1">OFFSET(Roster!$A$3,MATCH(表格1[[#This Row],[Location]]&amp;" "&amp;表格1[[#This Row],[Shop]]&amp;"*",Roster!$A$4:$A$72,0),DAY(表格1[[#This Row],[date]]),1,1)</f>
        <v>#N/A</v>
      </c>
      <c r="E5475" s="86">
        <f>MONTH(表格1[[#This Row],[date]])</f>
        <v>1</v>
      </c>
      <c r="G5475" s="86" t="str">
        <f>VLOOKUP("*"&amp;表格1[[#This Row],[Input]]&amp;"*",'Ref-List'!$B:$D,2,)</f>
        <v>Model-Input-Ref2</v>
      </c>
      <c r="H5475" s="86" t="e">
        <f>_xlfn.XLOOKUP(表格1[[#This Row],[Model]],表格3[Model-Input-Ref2],表格3[Product Line])</f>
        <v>#N/A</v>
      </c>
      <c r="I5475" s="86" t="e">
        <f>_xlfn.XLOOKUP(表格1[[#This Row],[Model]],表格3[Model-Input-Ref2],表格3[大小電])</f>
        <v>#N/A</v>
      </c>
      <c r="J5475" s="86" t="e">
        <f>_xlfn.XLOOKUP(表格1[[#This Row],[Model]],表格3[Model-Input-Ref2],表格3[Code])</f>
        <v>#N/A</v>
      </c>
      <c r="N5475" s="87">
        <f>IFERROR(表格1[[#This Row],[QTY]]*表格1[[#This Row],[Unit Price]],"-")</f>
        <v>0</v>
      </c>
      <c r="R5475" s="86" t="str">
        <f>_xlfn.CONCAT(表格1[[#This Row],[Model]]," ",表格1[[#This Row],[inv no]])</f>
        <v xml:space="preserve">Model-Input-Ref2 </v>
      </c>
      <c r="S5475" s="86" t="e">
        <f>_xlfn.XLOOKUP(表格1[[#This Row],[Model]],表格3[Model-Input-Ref2],表格3[SRP PRICE])</f>
        <v>#N/A</v>
      </c>
      <c r="T5475" s="43" t="e">
        <f>表格1[[#This Row],[Unit Price]]/表格1[[#This Row],[SRP]]</f>
        <v>#N/A</v>
      </c>
      <c r="U5475" s="86" t="e">
        <f>_xlfn.XLOOKUP(表格1[[#This Row],[Model]],表格3[Model-Input-Ref2],表格3[TOSHIBA/HIGHEST])</f>
        <v>#N/A</v>
      </c>
      <c r="W5475" s="86" t="str">
        <f>_xlfn.CONCAT(表格1[[#This Row],[欄4]],表格1[[#This Row],[inv no]])</f>
        <v/>
      </c>
    </row>
    <row r="5476" spans="1:23" hidden="1">
      <c r="A5476" s="81">
        <v>5474</v>
      </c>
      <c r="D5476" s="89" t="e">
        <f ca="1">OFFSET(Roster!$A$3,MATCH(表格1[[#This Row],[Location]]&amp;" "&amp;表格1[[#This Row],[Shop]]&amp;"*",Roster!$A$4:$A$72,0),DAY(表格1[[#This Row],[date]]),1,1)</f>
        <v>#N/A</v>
      </c>
      <c r="E5476" s="86">
        <f>MONTH(表格1[[#This Row],[date]])</f>
        <v>1</v>
      </c>
      <c r="G5476" s="86" t="str">
        <f>VLOOKUP("*"&amp;表格1[[#This Row],[Input]]&amp;"*",'Ref-List'!$B:$D,2,)</f>
        <v>Model-Input-Ref2</v>
      </c>
      <c r="H5476" s="86" t="e">
        <f>_xlfn.XLOOKUP(表格1[[#This Row],[Model]],表格3[Model-Input-Ref2],表格3[Product Line])</f>
        <v>#N/A</v>
      </c>
      <c r="I5476" s="86" t="e">
        <f>_xlfn.XLOOKUP(表格1[[#This Row],[Model]],表格3[Model-Input-Ref2],表格3[大小電])</f>
        <v>#N/A</v>
      </c>
      <c r="J5476" s="86" t="e">
        <f>_xlfn.XLOOKUP(表格1[[#This Row],[Model]],表格3[Model-Input-Ref2],表格3[Code])</f>
        <v>#N/A</v>
      </c>
      <c r="N5476" s="87">
        <f>IFERROR(表格1[[#This Row],[QTY]]*表格1[[#This Row],[Unit Price]],"-")</f>
        <v>0</v>
      </c>
      <c r="R5476" s="86" t="str">
        <f>_xlfn.CONCAT(表格1[[#This Row],[Model]]," ",表格1[[#This Row],[inv no]])</f>
        <v xml:space="preserve">Model-Input-Ref2 </v>
      </c>
      <c r="S5476" s="86" t="e">
        <f>_xlfn.XLOOKUP(表格1[[#This Row],[Model]],表格3[Model-Input-Ref2],表格3[SRP PRICE])</f>
        <v>#N/A</v>
      </c>
      <c r="T5476" s="43" t="e">
        <f>表格1[[#This Row],[Unit Price]]/表格1[[#This Row],[SRP]]</f>
        <v>#N/A</v>
      </c>
      <c r="U5476" s="86" t="e">
        <f>_xlfn.XLOOKUP(表格1[[#This Row],[Model]],表格3[Model-Input-Ref2],表格3[TOSHIBA/HIGHEST])</f>
        <v>#N/A</v>
      </c>
      <c r="W5476" s="86" t="str">
        <f>_xlfn.CONCAT(表格1[[#This Row],[欄4]],表格1[[#This Row],[inv no]])</f>
        <v/>
      </c>
    </row>
    <row r="5477" spans="1:23" hidden="1">
      <c r="A5477" s="81">
        <v>5475</v>
      </c>
      <c r="D5477" s="89" t="e">
        <f ca="1">OFFSET(Roster!$A$3,MATCH(表格1[[#This Row],[Location]]&amp;" "&amp;表格1[[#This Row],[Shop]]&amp;"*",Roster!$A$4:$A$72,0),DAY(表格1[[#This Row],[date]]),1,1)</f>
        <v>#N/A</v>
      </c>
      <c r="E5477" s="86">
        <f>MONTH(表格1[[#This Row],[date]])</f>
        <v>1</v>
      </c>
      <c r="G5477" s="86" t="str">
        <f>VLOOKUP("*"&amp;表格1[[#This Row],[Input]]&amp;"*",'Ref-List'!$B:$D,2,)</f>
        <v>Model-Input-Ref2</v>
      </c>
      <c r="H5477" s="86" t="e">
        <f>_xlfn.XLOOKUP(表格1[[#This Row],[Model]],表格3[Model-Input-Ref2],表格3[Product Line])</f>
        <v>#N/A</v>
      </c>
      <c r="I5477" s="86" t="e">
        <f>_xlfn.XLOOKUP(表格1[[#This Row],[Model]],表格3[Model-Input-Ref2],表格3[大小電])</f>
        <v>#N/A</v>
      </c>
      <c r="J5477" s="86" t="e">
        <f>_xlfn.XLOOKUP(表格1[[#This Row],[Model]],表格3[Model-Input-Ref2],表格3[Code])</f>
        <v>#N/A</v>
      </c>
      <c r="N5477" s="87">
        <f>IFERROR(表格1[[#This Row],[QTY]]*表格1[[#This Row],[Unit Price]],"-")</f>
        <v>0</v>
      </c>
      <c r="R5477" s="86" t="str">
        <f>_xlfn.CONCAT(表格1[[#This Row],[Model]]," ",表格1[[#This Row],[inv no]])</f>
        <v xml:space="preserve">Model-Input-Ref2 </v>
      </c>
      <c r="S5477" s="86" t="e">
        <f>_xlfn.XLOOKUP(表格1[[#This Row],[Model]],表格3[Model-Input-Ref2],表格3[SRP PRICE])</f>
        <v>#N/A</v>
      </c>
      <c r="T5477" s="43" t="e">
        <f>表格1[[#This Row],[Unit Price]]/表格1[[#This Row],[SRP]]</f>
        <v>#N/A</v>
      </c>
      <c r="U5477" s="86" t="e">
        <f>_xlfn.XLOOKUP(表格1[[#This Row],[Model]],表格3[Model-Input-Ref2],表格3[TOSHIBA/HIGHEST])</f>
        <v>#N/A</v>
      </c>
      <c r="W5477" s="86" t="str">
        <f>_xlfn.CONCAT(表格1[[#This Row],[欄4]],表格1[[#This Row],[inv no]])</f>
        <v/>
      </c>
    </row>
    <row r="5478" spans="1:23" hidden="1">
      <c r="A5478" s="81">
        <v>5476</v>
      </c>
      <c r="D5478" s="89" t="e">
        <f ca="1">OFFSET(Roster!$A$3,MATCH(表格1[[#This Row],[Location]]&amp;" "&amp;表格1[[#This Row],[Shop]]&amp;"*",Roster!$A$4:$A$72,0),DAY(表格1[[#This Row],[date]]),1,1)</f>
        <v>#N/A</v>
      </c>
      <c r="E5478" s="86">
        <f>MONTH(表格1[[#This Row],[date]])</f>
        <v>1</v>
      </c>
      <c r="G5478" s="86" t="str">
        <f>VLOOKUP("*"&amp;表格1[[#This Row],[Input]]&amp;"*",'Ref-List'!$B:$D,2,)</f>
        <v>Model-Input-Ref2</v>
      </c>
      <c r="H5478" s="86" t="e">
        <f>_xlfn.XLOOKUP(表格1[[#This Row],[Model]],表格3[Model-Input-Ref2],表格3[Product Line])</f>
        <v>#N/A</v>
      </c>
      <c r="I5478" s="86" t="e">
        <f>_xlfn.XLOOKUP(表格1[[#This Row],[Model]],表格3[Model-Input-Ref2],表格3[大小電])</f>
        <v>#N/A</v>
      </c>
      <c r="J5478" s="86" t="e">
        <f>_xlfn.XLOOKUP(表格1[[#This Row],[Model]],表格3[Model-Input-Ref2],表格3[Code])</f>
        <v>#N/A</v>
      </c>
      <c r="N5478" s="87">
        <f>IFERROR(表格1[[#This Row],[QTY]]*表格1[[#This Row],[Unit Price]],"-")</f>
        <v>0</v>
      </c>
      <c r="R5478" s="86" t="str">
        <f>_xlfn.CONCAT(表格1[[#This Row],[Model]]," ",表格1[[#This Row],[inv no]])</f>
        <v xml:space="preserve">Model-Input-Ref2 </v>
      </c>
      <c r="S5478" s="86" t="e">
        <f>_xlfn.XLOOKUP(表格1[[#This Row],[Model]],表格3[Model-Input-Ref2],表格3[SRP PRICE])</f>
        <v>#N/A</v>
      </c>
      <c r="T5478" s="43" t="e">
        <f>表格1[[#This Row],[Unit Price]]/表格1[[#This Row],[SRP]]</f>
        <v>#N/A</v>
      </c>
      <c r="U5478" s="86" t="e">
        <f>_xlfn.XLOOKUP(表格1[[#This Row],[Model]],表格3[Model-Input-Ref2],表格3[TOSHIBA/HIGHEST])</f>
        <v>#N/A</v>
      </c>
      <c r="W5478" s="86" t="str">
        <f>_xlfn.CONCAT(表格1[[#This Row],[欄4]],表格1[[#This Row],[inv no]])</f>
        <v/>
      </c>
    </row>
    <row r="5479" spans="1:23" hidden="1">
      <c r="A5479" s="81">
        <v>5477</v>
      </c>
      <c r="D5479" s="89" t="e">
        <f ca="1">OFFSET(Roster!$A$3,MATCH(表格1[[#This Row],[Location]]&amp;" "&amp;表格1[[#This Row],[Shop]]&amp;"*",Roster!$A$4:$A$72,0),DAY(表格1[[#This Row],[date]]),1,1)</f>
        <v>#N/A</v>
      </c>
      <c r="E5479" s="86">
        <f>MONTH(表格1[[#This Row],[date]])</f>
        <v>1</v>
      </c>
      <c r="G5479" s="86" t="str">
        <f>VLOOKUP("*"&amp;表格1[[#This Row],[Input]]&amp;"*",'Ref-List'!$B:$D,2,)</f>
        <v>Model-Input-Ref2</v>
      </c>
      <c r="H5479" s="86" t="e">
        <f>_xlfn.XLOOKUP(表格1[[#This Row],[Model]],表格3[Model-Input-Ref2],表格3[Product Line])</f>
        <v>#N/A</v>
      </c>
      <c r="I5479" s="86" t="e">
        <f>_xlfn.XLOOKUP(表格1[[#This Row],[Model]],表格3[Model-Input-Ref2],表格3[大小電])</f>
        <v>#N/A</v>
      </c>
      <c r="J5479" s="86" t="e">
        <f>_xlfn.XLOOKUP(表格1[[#This Row],[Model]],表格3[Model-Input-Ref2],表格3[Code])</f>
        <v>#N/A</v>
      </c>
      <c r="N5479" s="87">
        <f>IFERROR(表格1[[#This Row],[QTY]]*表格1[[#This Row],[Unit Price]],"-")</f>
        <v>0</v>
      </c>
      <c r="R5479" s="86" t="str">
        <f>_xlfn.CONCAT(表格1[[#This Row],[Model]]," ",表格1[[#This Row],[inv no]])</f>
        <v xml:space="preserve">Model-Input-Ref2 </v>
      </c>
      <c r="S5479" s="86" t="e">
        <f>_xlfn.XLOOKUP(表格1[[#This Row],[Model]],表格3[Model-Input-Ref2],表格3[SRP PRICE])</f>
        <v>#N/A</v>
      </c>
      <c r="T5479" s="43" t="e">
        <f>表格1[[#This Row],[Unit Price]]/表格1[[#This Row],[SRP]]</f>
        <v>#N/A</v>
      </c>
      <c r="U5479" s="86" t="e">
        <f>_xlfn.XLOOKUP(表格1[[#This Row],[Model]],表格3[Model-Input-Ref2],表格3[TOSHIBA/HIGHEST])</f>
        <v>#N/A</v>
      </c>
      <c r="W5479" s="86" t="str">
        <f>_xlfn.CONCAT(表格1[[#This Row],[欄4]],表格1[[#This Row],[inv no]])</f>
        <v/>
      </c>
    </row>
    <row r="5480" spans="1:23" hidden="1">
      <c r="A5480" s="81">
        <v>5478</v>
      </c>
      <c r="D5480" s="89" t="e">
        <f ca="1">OFFSET(Roster!$A$3,MATCH(表格1[[#This Row],[Location]]&amp;" "&amp;表格1[[#This Row],[Shop]]&amp;"*",Roster!$A$4:$A$72,0),DAY(表格1[[#This Row],[date]]),1,1)</f>
        <v>#N/A</v>
      </c>
      <c r="E5480" s="86">
        <f>MONTH(表格1[[#This Row],[date]])</f>
        <v>1</v>
      </c>
      <c r="G5480" s="86" t="str">
        <f>VLOOKUP("*"&amp;表格1[[#This Row],[Input]]&amp;"*",'Ref-List'!$B:$D,2,)</f>
        <v>Model-Input-Ref2</v>
      </c>
      <c r="H5480" s="86" t="e">
        <f>_xlfn.XLOOKUP(表格1[[#This Row],[Model]],表格3[Model-Input-Ref2],表格3[Product Line])</f>
        <v>#N/A</v>
      </c>
      <c r="I5480" s="86" t="e">
        <f>_xlfn.XLOOKUP(表格1[[#This Row],[Model]],表格3[Model-Input-Ref2],表格3[大小電])</f>
        <v>#N/A</v>
      </c>
      <c r="J5480" s="86" t="e">
        <f>_xlfn.XLOOKUP(表格1[[#This Row],[Model]],表格3[Model-Input-Ref2],表格3[Code])</f>
        <v>#N/A</v>
      </c>
      <c r="N5480" s="87">
        <f>IFERROR(表格1[[#This Row],[QTY]]*表格1[[#This Row],[Unit Price]],"-")</f>
        <v>0</v>
      </c>
      <c r="R5480" s="86" t="str">
        <f>_xlfn.CONCAT(表格1[[#This Row],[Model]]," ",表格1[[#This Row],[inv no]])</f>
        <v xml:space="preserve">Model-Input-Ref2 </v>
      </c>
      <c r="S5480" s="86" t="e">
        <f>_xlfn.XLOOKUP(表格1[[#This Row],[Model]],表格3[Model-Input-Ref2],表格3[SRP PRICE])</f>
        <v>#N/A</v>
      </c>
      <c r="T5480" s="43" t="e">
        <f>表格1[[#This Row],[Unit Price]]/表格1[[#This Row],[SRP]]</f>
        <v>#N/A</v>
      </c>
      <c r="U5480" s="86" t="e">
        <f>_xlfn.XLOOKUP(表格1[[#This Row],[Model]],表格3[Model-Input-Ref2],表格3[TOSHIBA/HIGHEST])</f>
        <v>#N/A</v>
      </c>
      <c r="W5480" s="86" t="str">
        <f>_xlfn.CONCAT(表格1[[#This Row],[欄4]],表格1[[#This Row],[inv no]])</f>
        <v/>
      </c>
    </row>
    <row r="5481" spans="1:23" hidden="1">
      <c r="A5481" s="81">
        <v>5479</v>
      </c>
      <c r="D5481" s="89" t="e">
        <f ca="1">OFFSET(Roster!$A$3,MATCH(表格1[[#This Row],[Location]]&amp;" "&amp;表格1[[#This Row],[Shop]]&amp;"*",Roster!$A$4:$A$72,0),DAY(表格1[[#This Row],[date]]),1,1)</f>
        <v>#N/A</v>
      </c>
      <c r="E5481" s="86">
        <f>MONTH(表格1[[#This Row],[date]])</f>
        <v>1</v>
      </c>
      <c r="G5481" s="86" t="str">
        <f>VLOOKUP("*"&amp;表格1[[#This Row],[Input]]&amp;"*",'Ref-List'!$B:$D,2,)</f>
        <v>Model-Input-Ref2</v>
      </c>
      <c r="H5481" s="86" t="e">
        <f>_xlfn.XLOOKUP(表格1[[#This Row],[Model]],表格3[Model-Input-Ref2],表格3[Product Line])</f>
        <v>#N/A</v>
      </c>
      <c r="I5481" s="86" t="e">
        <f>_xlfn.XLOOKUP(表格1[[#This Row],[Model]],表格3[Model-Input-Ref2],表格3[大小電])</f>
        <v>#N/A</v>
      </c>
      <c r="J5481" s="86" t="e">
        <f>_xlfn.XLOOKUP(表格1[[#This Row],[Model]],表格3[Model-Input-Ref2],表格3[Code])</f>
        <v>#N/A</v>
      </c>
      <c r="N5481" s="87">
        <f>IFERROR(表格1[[#This Row],[QTY]]*表格1[[#This Row],[Unit Price]],"-")</f>
        <v>0</v>
      </c>
      <c r="R5481" s="86" t="str">
        <f>_xlfn.CONCAT(表格1[[#This Row],[Model]]," ",表格1[[#This Row],[inv no]])</f>
        <v xml:space="preserve">Model-Input-Ref2 </v>
      </c>
      <c r="S5481" s="86" t="e">
        <f>_xlfn.XLOOKUP(表格1[[#This Row],[Model]],表格3[Model-Input-Ref2],表格3[SRP PRICE])</f>
        <v>#N/A</v>
      </c>
      <c r="T5481" s="43" t="e">
        <f>表格1[[#This Row],[Unit Price]]/表格1[[#This Row],[SRP]]</f>
        <v>#N/A</v>
      </c>
      <c r="U5481" s="86" t="e">
        <f>_xlfn.XLOOKUP(表格1[[#This Row],[Model]],表格3[Model-Input-Ref2],表格3[TOSHIBA/HIGHEST])</f>
        <v>#N/A</v>
      </c>
      <c r="W5481" s="86" t="str">
        <f>_xlfn.CONCAT(表格1[[#This Row],[欄4]],表格1[[#This Row],[inv no]])</f>
        <v/>
      </c>
    </row>
    <row r="5482" spans="1:23" hidden="1">
      <c r="A5482" s="81">
        <v>5480</v>
      </c>
      <c r="D5482" s="89" t="e">
        <f ca="1">OFFSET(Roster!$A$3,MATCH(表格1[[#This Row],[Location]]&amp;" "&amp;表格1[[#This Row],[Shop]]&amp;"*",Roster!$A$4:$A$72,0),DAY(表格1[[#This Row],[date]]),1,1)</f>
        <v>#N/A</v>
      </c>
      <c r="E5482" s="86">
        <f>MONTH(表格1[[#This Row],[date]])</f>
        <v>1</v>
      </c>
      <c r="G5482" s="86" t="str">
        <f>VLOOKUP("*"&amp;表格1[[#This Row],[Input]]&amp;"*",'Ref-List'!$B:$D,2,)</f>
        <v>Model-Input-Ref2</v>
      </c>
      <c r="H5482" s="86" t="e">
        <f>_xlfn.XLOOKUP(表格1[[#This Row],[Model]],表格3[Model-Input-Ref2],表格3[Product Line])</f>
        <v>#N/A</v>
      </c>
      <c r="I5482" s="86" t="e">
        <f>_xlfn.XLOOKUP(表格1[[#This Row],[Model]],表格3[Model-Input-Ref2],表格3[大小電])</f>
        <v>#N/A</v>
      </c>
      <c r="J5482" s="86" t="e">
        <f>_xlfn.XLOOKUP(表格1[[#This Row],[Model]],表格3[Model-Input-Ref2],表格3[Code])</f>
        <v>#N/A</v>
      </c>
      <c r="N5482" s="87">
        <f>IFERROR(表格1[[#This Row],[QTY]]*表格1[[#This Row],[Unit Price]],"-")</f>
        <v>0</v>
      </c>
      <c r="R5482" s="86" t="str">
        <f>_xlfn.CONCAT(表格1[[#This Row],[Model]]," ",表格1[[#This Row],[inv no]])</f>
        <v xml:space="preserve">Model-Input-Ref2 </v>
      </c>
      <c r="S5482" s="86" t="e">
        <f>_xlfn.XLOOKUP(表格1[[#This Row],[Model]],表格3[Model-Input-Ref2],表格3[SRP PRICE])</f>
        <v>#N/A</v>
      </c>
      <c r="T5482" s="43" t="e">
        <f>表格1[[#This Row],[Unit Price]]/表格1[[#This Row],[SRP]]</f>
        <v>#N/A</v>
      </c>
      <c r="U5482" s="86" t="e">
        <f>_xlfn.XLOOKUP(表格1[[#This Row],[Model]],表格3[Model-Input-Ref2],表格3[TOSHIBA/HIGHEST])</f>
        <v>#N/A</v>
      </c>
      <c r="W5482" s="86" t="str">
        <f>_xlfn.CONCAT(表格1[[#This Row],[欄4]],表格1[[#This Row],[inv no]])</f>
        <v/>
      </c>
    </row>
    <row r="5483" spans="1:23" hidden="1">
      <c r="A5483" s="81">
        <v>5481</v>
      </c>
      <c r="D5483" s="89" t="e">
        <f ca="1">OFFSET(Roster!$A$3,MATCH(表格1[[#This Row],[Location]]&amp;" "&amp;表格1[[#This Row],[Shop]]&amp;"*",Roster!$A$4:$A$72,0),DAY(表格1[[#This Row],[date]]),1,1)</f>
        <v>#N/A</v>
      </c>
      <c r="E5483" s="86">
        <f>MONTH(表格1[[#This Row],[date]])</f>
        <v>1</v>
      </c>
      <c r="G5483" s="86" t="str">
        <f>VLOOKUP("*"&amp;表格1[[#This Row],[Input]]&amp;"*",'Ref-List'!$B:$D,2,)</f>
        <v>Model-Input-Ref2</v>
      </c>
      <c r="H5483" s="86" t="e">
        <f>_xlfn.XLOOKUP(表格1[[#This Row],[Model]],表格3[Model-Input-Ref2],表格3[Product Line])</f>
        <v>#N/A</v>
      </c>
      <c r="I5483" s="86" t="e">
        <f>_xlfn.XLOOKUP(表格1[[#This Row],[Model]],表格3[Model-Input-Ref2],表格3[大小電])</f>
        <v>#N/A</v>
      </c>
      <c r="J5483" s="86" t="e">
        <f>_xlfn.XLOOKUP(表格1[[#This Row],[Model]],表格3[Model-Input-Ref2],表格3[Code])</f>
        <v>#N/A</v>
      </c>
      <c r="N5483" s="87">
        <f>IFERROR(表格1[[#This Row],[QTY]]*表格1[[#This Row],[Unit Price]],"-")</f>
        <v>0</v>
      </c>
      <c r="R5483" s="86" t="str">
        <f>_xlfn.CONCAT(表格1[[#This Row],[Model]]," ",表格1[[#This Row],[inv no]])</f>
        <v xml:space="preserve">Model-Input-Ref2 </v>
      </c>
      <c r="S5483" s="86" t="e">
        <f>_xlfn.XLOOKUP(表格1[[#This Row],[Model]],表格3[Model-Input-Ref2],表格3[SRP PRICE])</f>
        <v>#N/A</v>
      </c>
      <c r="T5483" s="43" t="e">
        <f>表格1[[#This Row],[Unit Price]]/表格1[[#This Row],[SRP]]</f>
        <v>#N/A</v>
      </c>
      <c r="U5483" s="86" t="e">
        <f>_xlfn.XLOOKUP(表格1[[#This Row],[Model]],表格3[Model-Input-Ref2],表格3[TOSHIBA/HIGHEST])</f>
        <v>#N/A</v>
      </c>
      <c r="W5483" s="86" t="str">
        <f>_xlfn.CONCAT(表格1[[#This Row],[欄4]],表格1[[#This Row],[inv no]])</f>
        <v/>
      </c>
    </row>
    <row r="5484" spans="1:23" hidden="1">
      <c r="A5484" s="81">
        <v>5482</v>
      </c>
      <c r="D5484" s="89" t="e">
        <f ca="1">OFFSET(Roster!$A$3,MATCH(表格1[[#This Row],[Location]]&amp;" "&amp;表格1[[#This Row],[Shop]]&amp;"*",Roster!$A$4:$A$72,0),DAY(表格1[[#This Row],[date]]),1,1)</f>
        <v>#N/A</v>
      </c>
      <c r="E5484" s="86">
        <f>MONTH(表格1[[#This Row],[date]])</f>
        <v>1</v>
      </c>
      <c r="G5484" s="86" t="str">
        <f>VLOOKUP("*"&amp;表格1[[#This Row],[Input]]&amp;"*",'Ref-List'!$B:$D,2,)</f>
        <v>Model-Input-Ref2</v>
      </c>
      <c r="H5484" s="86" t="e">
        <f>_xlfn.XLOOKUP(表格1[[#This Row],[Model]],表格3[Model-Input-Ref2],表格3[Product Line])</f>
        <v>#N/A</v>
      </c>
      <c r="I5484" s="86" t="e">
        <f>_xlfn.XLOOKUP(表格1[[#This Row],[Model]],表格3[Model-Input-Ref2],表格3[大小電])</f>
        <v>#N/A</v>
      </c>
      <c r="J5484" s="86" t="e">
        <f>_xlfn.XLOOKUP(表格1[[#This Row],[Model]],表格3[Model-Input-Ref2],表格3[Code])</f>
        <v>#N/A</v>
      </c>
      <c r="N5484" s="87">
        <f>IFERROR(表格1[[#This Row],[QTY]]*表格1[[#This Row],[Unit Price]],"-")</f>
        <v>0</v>
      </c>
      <c r="R5484" s="86" t="str">
        <f>_xlfn.CONCAT(表格1[[#This Row],[Model]]," ",表格1[[#This Row],[inv no]])</f>
        <v xml:space="preserve">Model-Input-Ref2 </v>
      </c>
      <c r="S5484" s="86" t="e">
        <f>_xlfn.XLOOKUP(表格1[[#This Row],[Model]],表格3[Model-Input-Ref2],表格3[SRP PRICE])</f>
        <v>#N/A</v>
      </c>
      <c r="T5484" s="43" t="e">
        <f>表格1[[#This Row],[Unit Price]]/表格1[[#This Row],[SRP]]</f>
        <v>#N/A</v>
      </c>
      <c r="U5484" s="86" t="e">
        <f>_xlfn.XLOOKUP(表格1[[#This Row],[Model]],表格3[Model-Input-Ref2],表格3[TOSHIBA/HIGHEST])</f>
        <v>#N/A</v>
      </c>
      <c r="W5484" s="86" t="str">
        <f>_xlfn.CONCAT(表格1[[#This Row],[欄4]],表格1[[#This Row],[inv no]])</f>
        <v/>
      </c>
    </row>
    <row r="5485" spans="1:23" hidden="1">
      <c r="A5485" s="81">
        <v>5483</v>
      </c>
      <c r="D5485" s="89" t="e">
        <f ca="1">OFFSET(Roster!$A$3,MATCH(表格1[[#This Row],[Location]]&amp;" "&amp;表格1[[#This Row],[Shop]]&amp;"*",Roster!$A$4:$A$72,0),DAY(表格1[[#This Row],[date]]),1,1)</f>
        <v>#N/A</v>
      </c>
      <c r="E5485" s="86">
        <f>MONTH(表格1[[#This Row],[date]])</f>
        <v>1</v>
      </c>
      <c r="G5485" s="86" t="str">
        <f>VLOOKUP("*"&amp;表格1[[#This Row],[Input]]&amp;"*",'Ref-List'!$B:$D,2,)</f>
        <v>Model-Input-Ref2</v>
      </c>
      <c r="H5485" s="86" t="e">
        <f>_xlfn.XLOOKUP(表格1[[#This Row],[Model]],表格3[Model-Input-Ref2],表格3[Product Line])</f>
        <v>#N/A</v>
      </c>
      <c r="I5485" s="86" t="e">
        <f>_xlfn.XLOOKUP(表格1[[#This Row],[Model]],表格3[Model-Input-Ref2],表格3[大小電])</f>
        <v>#N/A</v>
      </c>
      <c r="J5485" s="86" t="e">
        <f>_xlfn.XLOOKUP(表格1[[#This Row],[Model]],表格3[Model-Input-Ref2],表格3[Code])</f>
        <v>#N/A</v>
      </c>
      <c r="N5485" s="87">
        <f>IFERROR(表格1[[#This Row],[QTY]]*表格1[[#This Row],[Unit Price]],"-")</f>
        <v>0</v>
      </c>
      <c r="R5485" s="86" t="str">
        <f>_xlfn.CONCAT(表格1[[#This Row],[Model]]," ",表格1[[#This Row],[inv no]])</f>
        <v xml:space="preserve">Model-Input-Ref2 </v>
      </c>
      <c r="S5485" s="86" t="e">
        <f>_xlfn.XLOOKUP(表格1[[#This Row],[Model]],表格3[Model-Input-Ref2],表格3[SRP PRICE])</f>
        <v>#N/A</v>
      </c>
      <c r="T5485" s="43" t="e">
        <f>表格1[[#This Row],[Unit Price]]/表格1[[#This Row],[SRP]]</f>
        <v>#N/A</v>
      </c>
      <c r="U5485" s="86" t="e">
        <f>_xlfn.XLOOKUP(表格1[[#This Row],[Model]],表格3[Model-Input-Ref2],表格3[TOSHIBA/HIGHEST])</f>
        <v>#N/A</v>
      </c>
      <c r="W5485" s="86" t="str">
        <f>_xlfn.CONCAT(表格1[[#This Row],[欄4]],表格1[[#This Row],[inv no]])</f>
        <v/>
      </c>
    </row>
    <row r="5486" spans="1:23" hidden="1">
      <c r="A5486" s="81">
        <v>5484</v>
      </c>
      <c r="D5486" s="89" t="e">
        <f ca="1">OFFSET(Roster!$A$3,MATCH(表格1[[#This Row],[Location]]&amp;" "&amp;表格1[[#This Row],[Shop]]&amp;"*",Roster!$A$4:$A$72,0),DAY(表格1[[#This Row],[date]]),1,1)</f>
        <v>#N/A</v>
      </c>
      <c r="E5486" s="86">
        <f>MONTH(表格1[[#This Row],[date]])</f>
        <v>1</v>
      </c>
      <c r="G5486" s="86" t="str">
        <f>VLOOKUP("*"&amp;表格1[[#This Row],[Input]]&amp;"*",'Ref-List'!$B:$D,2,)</f>
        <v>Model-Input-Ref2</v>
      </c>
      <c r="H5486" s="86" t="e">
        <f>_xlfn.XLOOKUP(表格1[[#This Row],[Model]],表格3[Model-Input-Ref2],表格3[Product Line])</f>
        <v>#N/A</v>
      </c>
      <c r="I5486" s="86" t="e">
        <f>_xlfn.XLOOKUP(表格1[[#This Row],[Model]],表格3[Model-Input-Ref2],表格3[大小電])</f>
        <v>#N/A</v>
      </c>
      <c r="J5486" s="86" t="e">
        <f>_xlfn.XLOOKUP(表格1[[#This Row],[Model]],表格3[Model-Input-Ref2],表格3[Code])</f>
        <v>#N/A</v>
      </c>
      <c r="N5486" s="87">
        <f>IFERROR(表格1[[#This Row],[QTY]]*表格1[[#This Row],[Unit Price]],"-")</f>
        <v>0</v>
      </c>
      <c r="R5486" s="86" t="str">
        <f>_xlfn.CONCAT(表格1[[#This Row],[Model]]," ",表格1[[#This Row],[inv no]])</f>
        <v xml:space="preserve">Model-Input-Ref2 </v>
      </c>
      <c r="S5486" s="86" t="e">
        <f>_xlfn.XLOOKUP(表格1[[#This Row],[Model]],表格3[Model-Input-Ref2],表格3[SRP PRICE])</f>
        <v>#N/A</v>
      </c>
      <c r="T5486" s="43" t="e">
        <f>表格1[[#This Row],[Unit Price]]/表格1[[#This Row],[SRP]]</f>
        <v>#N/A</v>
      </c>
      <c r="U5486" s="86" t="e">
        <f>_xlfn.XLOOKUP(表格1[[#This Row],[Model]],表格3[Model-Input-Ref2],表格3[TOSHIBA/HIGHEST])</f>
        <v>#N/A</v>
      </c>
      <c r="W5486" s="86" t="str">
        <f>_xlfn.CONCAT(表格1[[#This Row],[欄4]],表格1[[#This Row],[inv no]])</f>
        <v/>
      </c>
    </row>
    <row r="5487" spans="1:23" hidden="1">
      <c r="A5487" s="81">
        <v>5485</v>
      </c>
      <c r="D5487" s="89" t="e">
        <f ca="1">OFFSET(Roster!$A$3,MATCH(表格1[[#This Row],[Location]]&amp;" "&amp;表格1[[#This Row],[Shop]]&amp;"*",Roster!$A$4:$A$72,0),DAY(表格1[[#This Row],[date]]),1,1)</f>
        <v>#N/A</v>
      </c>
      <c r="E5487" s="86">
        <f>MONTH(表格1[[#This Row],[date]])</f>
        <v>1</v>
      </c>
      <c r="G5487" s="86" t="str">
        <f>VLOOKUP("*"&amp;表格1[[#This Row],[Input]]&amp;"*",'Ref-List'!$B:$D,2,)</f>
        <v>Model-Input-Ref2</v>
      </c>
      <c r="H5487" s="86" t="e">
        <f>_xlfn.XLOOKUP(表格1[[#This Row],[Model]],表格3[Model-Input-Ref2],表格3[Product Line])</f>
        <v>#N/A</v>
      </c>
      <c r="I5487" s="86" t="e">
        <f>_xlfn.XLOOKUP(表格1[[#This Row],[Model]],表格3[Model-Input-Ref2],表格3[大小電])</f>
        <v>#N/A</v>
      </c>
      <c r="J5487" s="86" t="e">
        <f>_xlfn.XLOOKUP(表格1[[#This Row],[Model]],表格3[Model-Input-Ref2],表格3[Code])</f>
        <v>#N/A</v>
      </c>
      <c r="N5487" s="87">
        <f>IFERROR(表格1[[#This Row],[QTY]]*表格1[[#This Row],[Unit Price]],"-")</f>
        <v>0</v>
      </c>
      <c r="R5487" s="86" t="str">
        <f>_xlfn.CONCAT(表格1[[#This Row],[Model]]," ",表格1[[#This Row],[inv no]])</f>
        <v xml:space="preserve">Model-Input-Ref2 </v>
      </c>
      <c r="S5487" s="86" t="e">
        <f>_xlfn.XLOOKUP(表格1[[#This Row],[Model]],表格3[Model-Input-Ref2],表格3[SRP PRICE])</f>
        <v>#N/A</v>
      </c>
      <c r="T5487" s="43" t="e">
        <f>表格1[[#This Row],[Unit Price]]/表格1[[#This Row],[SRP]]</f>
        <v>#N/A</v>
      </c>
      <c r="U5487" s="86" t="e">
        <f>_xlfn.XLOOKUP(表格1[[#This Row],[Model]],表格3[Model-Input-Ref2],表格3[TOSHIBA/HIGHEST])</f>
        <v>#N/A</v>
      </c>
      <c r="W5487" s="86" t="str">
        <f>_xlfn.CONCAT(表格1[[#This Row],[欄4]],表格1[[#This Row],[inv no]])</f>
        <v/>
      </c>
    </row>
    <row r="5488" spans="1:23" hidden="1">
      <c r="A5488" s="81">
        <v>5486</v>
      </c>
      <c r="D5488" s="89" t="e">
        <f ca="1">OFFSET(Roster!$A$3,MATCH(表格1[[#This Row],[Location]]&amp;" "&amp;表格1[[#This Row],[Shop]]&amp;"*",Roster!$A$4:$A$72,0),DAY(表格1[[#This Row],[date]]),1,1)</f>
        <v>#N/A</v>
      </c>
      <c r="E5488" s="86">
        <f>MONTH(表格1[[#This Row],[date]])</f>
        <v>1</v>
      </c>
      <c r="G5488" s="86" t="str">
        <f>VLOOKUP("*"&amp;表格1[[#This Row],[Input]]&amp;"*",'Ref-List'!$B:$D,2,)</f>
        <v>Model-Input-Ref2</v>
      </c>
      <c r="H5488" s="86" t="e">
        <f>_xlfn.XLOOKUP(表格1[[#This Row],[Model]],表格3[Model-Input-Ref2],表格3[Product Line])</f>
        <v>#N/A</v>
      </c>
      <c r="I5488" s="86" t="e">
        <f>_xlfn.XLOOKUP(表格1[[#This Row],[Model]],表格3[Model-Input-Ref2],表格3[大小電])</f>
        <v>#N/A</v>
      </c>
      <c r="J5488" s="86" t="e">
        <f>_xlfn.XLOOKUP(表格1[[#This Row],[Model]],表格3[Model-Input-Ref2],表格3[Code])</f>
        <v>#N/A</v>
      </c>
      <c r="N5488" s="87">
        <f>IFERROR(表格1[[#This Row],[QTY]]*表格1[[#This Row],[Unit Price]],"-")</f>
        <v>0</v>
      </c>
      <c r="R5488" s="86" t="str">
        <f>_xlfn.CONCAT(表格1[[#This Row],[Model]]," ",表格1[[#This Row],[inv no]])</f>
        <v xml:space="preserve">Model-Input-Ref2 </v>
      </c>
      <c r="S5488" s="86" t="e">
        <f>_xlfn.XLOOKUP(表格1[[#This Row],[Model]],表格3[Model-Input-Ref2],表格3[SRP PRICE])</f>
        <v>#N/A</v>
      </c>
      <c r="T5488" s="43" t="e">
        <f>表格1[[#This Row],[Unit Price]]/表格1[[#This Row],[SRP]]</f>
        <v>#N/A</v>
      </c>
      <c r="U5488" s="86" t="e">
        <f>_xlfn.XLOOKUP(表格1[[#This Row],[Model]],表格3[Model-Input-Ref2],表格3[TOSHIBA/HIGHEST])</f>
        <v>#N/A</v>
      </c>
      <c r="W5488" s="86" t="str">
        <f>_xlfn.CONCAT(表格1[[#This Row],[欄4]],表格1[[#This Row],[inv no]])</f>
        <v/>
      </c>
    </row>
    <row r="5489" spans="1:23" hidden="1">
      <c r="A5489" s="81">
        <v>5487</v>
      </c>
      <c r="D5489" s="89" t="e">
        <f ca="1">OFFSET(Roster!$A$3,MATCH(表格1[[#This Row],[Location]]&amp;" "&amp;表格1[[#This Row],[Shop]]&amp;"*",Roster!$A$4:$A$72,0),DAY(表格1[[#This Row],[date]]),1,1)</f>
        <v>#N/A</v>
      </c>
      <c r="E5489" s="86">
        <f>MONTH(表格1[[#This Row],[date]])</f>
        <v>1</v>
      </c>
      <c r="G5489" s="86" t="str">
        <f>VLOOKUP("*"&amp;表格1[[#This Row],[Input]]&amp;"*",'Ref-List'!$B:$D,2,)</f>
        <v>Model-Input-Ref2</v>
      </c>
      <c r="H5489" s="86" t="e">
        <f>_xlfn.XLOOKUP(表格1[[#This Row],[Model]],表格3[Model-Input-Ref2],表格3[Product Line])</f>
        <v>#N/A</v>
      </c>
      <c r="I5489" s="86" t="e">
        <f>_xlfn.XLOOKUP(表格1[[#This Row],[Model]],表格3[Model-Input-Ref2],表格3[大小電])</f>
        <v>#N/A</v>
      </c>
      <c r="J5489" s="86" t="e">
        <f>_xlfn.XLOOKUP(表格1[[#This Row],[Model]],表格3[Model-Input-Ref2],表格3[Code])</f>
        <v>#N/A</v>
      </c>
      <c r="N5489" s="87">
        <f>IFERROR(表格1[[#This Row],[QTY]]*表格1[[#This Row],[Unit Price]],"-")</f>
        <v>0</v>
      </c>
      <c r="R5489" s="86" t="str">
        <f>_xlfn.CONCAT(表格1[[#This Row],[Model]]," ",表格1[[#This Row],[inv no]])</f>
        <v xml:space="preserve">Model-Input-Ref2 </v>
      </c>
      <c r="S5489" s="86" t="e">
        <f>_xlfn.XLOOKUP(表格1[[#This Row],[Model]],表格3[Model-Input-Ref2],表格3[SRP PRICE])</f>
        <v>#N/A</v>
      </c>
      <c r="T5489" s="43" t="e">
        <f>表格1[[#This Row],[Unit Price]]/表格1[[#This Row],[SRP]]</f>
        <v>#N/A</v>
      </c>
      <c r="U5489" s="86" t="e">
        <f>_xlfn.XLOOKUP(表格1[[#This Row],[Model]],表格3[Model-Input-Ref2],表格3[TOSHIBA/HIGHEST])</f>
        <v>#N/A</v>
      </c>
      <c r="W5489" s="86" t="str">
        <f>_xlfn.CONCAT(表格1[[#This Row],[欄4]],表格1[[#This Row],[inv no]])</f>
        <v/>
      </c>
    </row>
    <row r="5490" spans="1:23" hidden="1">
      <c r="A5490" s="81">
        <v>5488</v>
      </c>
      <c r="D5490" s="89" t="e">
        <f ca="1">OFFSET(Roster!$A$3,MATCH(表格1[[#This Row],[Location]]&amp;" "&amp;表格1[[#This Row],[Shop]]&amp;"*",Roster!$A$4:$A$72,0),DAY(表格1[[#This Row],[date]]),1,1)</f>
        <v>#N/A</v>
      </c>
      <c r="E5490" s="86">
        <f>MONTH(表格1[[#This Row],[date]])</f>
        <v>1</v>
      </c>
      <c r="G5490" s="86" t="str">
        <f>VLOOKUP("*"&amp;表格1[[#This Row],[Input]]&amp;"*",'Ref-List'!$B:$D,2,)</f>
        <v>Model-Input-Ref2</v>
      </c>
      <c r="H5490" s="86" t="e">
        <f>_xlfn.XLOOKUP(表格1[[#This Row],[Model]],表格3[Model-Input-Ref2],表格3[Product Line])</f>
        <v>#N/A</v>
      </c>
      <c r="I5490" s="86" t="e">
        <f>_xlfn.XLOOKUP(表格1[[#This Row],[Model]],表格3[Model-Input-Ref2],表格3[大小電])</f>
        <v>#N/A</v>
      </c>
      <c r="J5490" s="86" t="e">
        <f>_xlfn.XLOOKUP(表格1[[#This Row],[Model]],表格3[Model-Input-Ref2],表格3[Code])</f>
        <v>#N/A</v>
      </c>
      <c r="N5490" s="87">
        <f>IFERROR(表格1[[#This Row],[QTY]]*表格1[[#This Row],[Unit Price]],"-")</f>
        <v>0</v>
      </c>
      <c r="R5490" s="86" t="str">
        <f>_xlfn.CONCAT(表格1[[#This Row],[Model]]," ",表格1[[#This Row],[inv no]])</f>
        <v xml:space="preserve">Model-Input-Ref2 </v>
      </c>
      <c r="S5490" s="86" t="e">
        <f>_xlfn.XLOOKUP(表格1[[#This Row],[Model]],表格3[Model-Input-Ref2],表格3[SRP PRICE])</f>
        <v>#N/A</v>
      </c>
      <c r="T5490" s="43" t="e">
        <f>表格1[[#This Row],[Unit Price]]/表格1[[#This Row],[SRP]]</f>
        <v>#N/A</v>
      </c>
      <c r="U5490" s="86" t="e">
        <f>_xlfn.XLOOKUP(表格1[[#This Row],[Model]],表格3[Model-Input-Ref2],表格3[TOSHIBA/HIGHEST])</f>
        <v>#N/A</v>
      </c>
      <c r="W5490" s="86" t="str">
        <f>_xlfn.CONCAT(表格1[[#This Row],[欄4]],表格1[[#This Row],[inv no]])</f>
        <v/>
      </c>
    </row>
    <row r="5491" spans="1:23" hidden="1">
      <c r="A5491" s="81">
        <v>5489</v>
      </c>
      <c r="D5491" s="89" t="e">
        <f ca="1">OFFSET(Roster!$A$3,MATCH(表格1[[#This Row],[Location]]&amp;" "&amp;表格1[[#This Row],[Shop]]&amp;"*",Roster!$A$4:$A$72,0),DAY(表格1[[#This Row],[date]]),1,1)</f>
        <v>#N/A</v>
      </c>
      <c r="E5491" s="86">
        <f>MONTH(表格1[[#This Row],[date]])</f>
        <v>1</v>
      </c>
      <c r="G5491" s="86" t="str">
        <f>VLOOKUP("*"&amp;表格1[[#This Row],[Input]]&amp;"*",'Ref-List'!$B:$D,2,)</f>
        <v>Model-Input-Ref2</v>
      </c>
      <c r="H5491" s="86" t="e">
        <f>_xlfn.XLOOKUP(表格1[[#This Row],[Model]],表格3[Model-Input-Ref2],表格3[Product Line])</f>
        <v>#N/A</v>
      </c>
      <c r="I5491" s="86" t="e">
        <f>_xlfn.XLOOKUP(表格1[[#This Row],[Model]],表格3[Model-Input-Ref2],表格3[大小電])</f>
        <v>#N/A</v>
      </c>
      <c r="J5491" s="86" t="e">
        <f>_xlfn.XLOOKUP(表格1[[#This Row],[Model]],表格3[Model-Input-Ref2],表格3[Code])</f>
        <v>#N/A</v>
      </c>
      <c r="N5491" s="87">
        <f>IFERROR(表格1[[#This Row],[QTY]]*表格1[[#This Row],[Unit Price]],"-")</f>
        <v>0</v>
      </c>
      <c r="R5491" s="86" t="str">
        <f>_xlfn.CONCAT(表格1[[#This Row],[Model]]," ",表格1[[#This Row],[inv no]])</f>
        <v xml:space="preserve">Model-Input-Ref2 </v>
      </c>
      <c r="S5491" s="86" t="e">
        <f>_xlfn.XLOOKUP(表格1[[#This Row],[Model]],表格3[Model-Input-Ref2],表格3[SRP PRICE])</f>
        <v>#N/A</v>
      </c>
      <c r="T5491" s="43" t="e">
        <f>表格1[[#This Row],[Unit Price]]/表格1[[#This Row],[SRP]]</f>
        <v>#N/A</v>
      </c>
      <c r="U5491" s="86" t="e">
        <f>_xlfn.XLOOKUP(表格1[[#This Row],[Model]],表格3[Model-Input-Ref2],表格3[TOSHIBA/HIGHEST])</f>
        <v>#N/A</v>
      </c>
      <c r="W5491" s="86" t="str">
        <f>_xlfn.CONCAT(表格1[[#This Row],[欄4]],表格1[[#This Row],[inv no]])</f>
        <v/>
      </c>
    </row>
    <row r="5492" spans="1:23" hidden="1">
      <c r="A5492" s="81">
        <v>5490</v>
      </c>
      <c r="D5492" s="89" t="e">
        <f ca="1">OFFSET(Roster!$A$3,MATCH(表格1[[#This Row],[Location]]&amp;" "&amp;表格1[[#This Row],[Shop]]&amp;"*",Roster!$A$4:$A$72,0),DAY(表格1[[#This Row],[date]]),1,1)</f>
        <v>#N/A</v>
      </c>
      <c r="E5492" s="86">
        <f>MONTH(表格1[[#This Row],[date]])</f>
        <v>1</v>
      </c>
      <c r="G5492" s="86" t="str">
        <f>VLOOKUP("*"&amp;表格1[[#This Row],[Input]]&amp;"*",'Ref-List'!$B:$D,2,)</f>
        <v>Model-Input-Ref2</v>
      </c>
      <c r="H5492" s="86" t="e">
        <f>_xlfn.XLOOKUP(表格1[[#This Row],[Model]],表格3[Model-Input-Ref2],表格3[Product Line])</f>
        <v>#N/A</v>
      </c>
      <c r="I5492" s="86" t="e">
        <f>_xlfn.XLOOKUP(表格1[[#This Row],[Model]],表格3[Model-Input-Ref2],表格3[大小電])</f>
        <v>#N/A</v>
      </c>
      <c r="J5492" s="86" t="e">
        <f>_xlfn.XLOOKUP(表格1[[#This Row],[Model]],表格3[Model-Input-Ref2],表格3[Code])</f>
        <v>#N/A</v>
      </c>
      <c r="N5492" s="87">
        <f>IFERROR(表格1[[#This Row],[QTY]]*表格1[[#This Row],[Unit Price]],"-")</f>
        <v>0</v>
      </c>
      <c r="R5492" s="86" t="str">
        <f>_xlfn.CONCAT(表格1[[#This Row],[Model]]," ",表格1[[#This Row],[inv no]])</f>
        <v xml:space="preserve">Model-Input-Ref2 </v>
      </c>
      <c r="S5492" s="86" t="e">
        <f>_xlfn.XLOOKUP(表格1[[#This Row],[Model]],表格3[Model-Input-Ref2],表格3[SRP PRICE])</f>
        <v>#N/A</v>
      </c>
      <c r="T5492" s="43" t="e">
        <f>表格1[[#This Row],[Unit Price]]/表格1[[#This Row],[SRP]]</f>
        <v>#N/A</v>
      </c>
      <c r="U5492" s="86" t="e">
        <f>_xlfn.XLOOKUP(表格1[[#This Row],[Model]],表格3[Model-Input-Ref2],表格3[TOSHIBA/HIGHEST])</f>
        <v>#N/A</v>
      </c>
      <c r="W5492" s="86" t="str">
        <f>_xlfn.CONCAT(表格1[[#This Row],[欄4]],表格1[[#This Row],[inv no]])</f>
        <v/>
      </c>
    </row>
    <row r="5493" spans="1:23" hidden="1">
      <c r="A5493" s="81">
        <v>5491</v>
      </c>
      <c r="D5493" s="89" t="e">
        <f ca="1">OFFSET(Roster!$A$3,MATCH(表格1[[#This Row],[Location]]&amp;" "&amp;表格1[[#This Row],[Shop]]&amp;"*",Roster!$A$4:$A$72,0),DAY(表格1[[#This Row],[date]]),1,1)</f>
        <v>#N/A</v>
      </c>
      <c r="E5493" s="86">
        <f>MONTH(表格1[[#This Row],[date]])</f>
        <v>1</v>
      </c>
      <c r="G5493" s="86" t="str">
        <f>VLOOKUP("*"&amp;表格1[[#This Row],[Input]]&amp;"*",'Ref-List'!$B:$D,2,)</f>
        <v>Model-Input-Ref2</v>
      </c>
      <c r="H5493" s="86" t="e">
        <f>_xlfn.XLOOKUP(表格1[[#This Row],[Model]],表格3[Model-Input-Ref2],表格3[Product Line])</f>
        <v>#N/A</v>
      </c>
      <c r="I5493" s="86" t="e">
        <f>_xlfn.XLOOKUP(表格1[[#This Row],[Model]],表格3[Model-Input-Ref2],表格3[大小電])</f>
        <v>#N/A</v>
      </c>
      <c r="J5493" s="86" t="e">
        <f>_xlfn.XLOOKUP(表格1[[#This Row],[Model]],表格3[Model-Input-Ref2],表格3[Code])</f>
        <v>#N/A</v>
      </c>
      <c r="N5493" s="87">
        <f>IFERROR(表格1[[#This Row],[QTY]]*表格1[[#This Row],[Unit Price]],"-")</f>
        <v>0</v>
      </c>
      <c r="R5493" s="86" t="str">
        <f>_xlfn.CONCAT(表格1[[#This Row],[Model]]," ",表格1[[#This Row],[inv no]])</f>
        <v xml:space="preserve">Model-Input-Ref2 </v>
      </c>
      <c r="S5493" s="86" t="e">
        <f>_xlfn.XLOOKUP(表格1[[#This Row],[Model]],表格3[Model-Input-Ref2],表格3[SRP PRICE])</f>
        <v>#N/A</v>
      </c>
      <c r="T5493" s="43" t="e">
        <f>表格1[[#This Row],[Unit Price]]/表格1[[#This Row],[SRP]]</f>
        <v>#N/A</v>
      </c>
      <c r="U5493" s="86" t="e">
        <f>_xlfn.XLOOKUP(表格1[[#This Row],[Model]],表格3[Model-Input-Ref2],表格3[TOSHIBA/HIGHEST])</f>
        <v>#N/A</v>
      </c>
      <c r="W5493" s="86" t="str">
        <f>_xlfn.CONCAT(表格1[[#This Row],[欄4]],表格1[[#This Row],[inv no]])</f>
        <v/>
      </c>
    </row>
    <row r="5494" spans="1:23" hidden="1">
      <c r="A5494" s="81">
        <v>5492</v>
      </c>
      <c r="D5494" s="89" t="e">
        <f ca="1">OFFSET(Roster!$A$3,MATCH(表格1[[#This Row],[Location]]&amp;" "&amp;表格1[[#This Row],[Shop]]&amp;"*",Roster!$A$4:$A$72,0),DAY(表格1[[#This Row],[date]]),1,1)</f>
        <v>#N/A</v>
      </c>
      <c r="E5494" s="86">
        <f>MONTH(表格1[[#This Row],[date]])</f>
        <v>1</v>
      </c>
      <c r="G5494" s="86" t="str">
        <f>VLOOKUP("*"&amp;表格1[[#This Row],[Input]]&amp;"*",'Ref-List'!$B:$D,2,)</f>
        <v>Model-Input-Ref2</v>
      </c>
      <c r="H5494" s="86" t="e">
        <f>_xlfn.XLOOKUP(表格1[[#This Row],[Model]],表格3[Model-Input-Ref2],表格3[Product Line])</f>
        <v>#N/A</v>
      </c>
      <c r="I5494" s="86" t="e">
        <f>_xlfn.XLOOKUP(表格1[[#This Row],[Model]],表格3[Model-Input-Ref2],表格3[大小電])</f>
        <v>#N/A</v>
      </c>
      <c r="J5494" s="86" t="e">
        <f>_xlfn.XLOOKUP(表格1[[#This Row],[Model]],表格3[Model-Input-Ref2],表格3[Code])</f>
        <v>#N/A</v>
      </c>
      <c r="N5494" s="87">
        <f>IFERROR(表格1[[#This Row],[QTY]]*表格1[[#This Row],[Unit Price]],"-")</f>
        <v>0</v>
      </c>
      <c r="R5494" s="86" t="str">
        <f>_xlfn.CONCAT(表格1[[#This Row],[Model]]," ",表格1[[#This Row],[inv no]])</f>
        <v xml:space="preserve">Model-Input-Ref2 </v>
      </c>
      <c r="S5494" s="86" t="e">
        <f>_xlfn.XLOOKUP(表格1[[#This Row],[Model]],表格3[Model-Input-Ref2],表格3[SRP PRICE])</f>
        <v>#N/A</v>
      </c>
      <c r="T5494" s="43" t="e">
        <f>表格1[[#This Row],[Unit Price]]/表格1[[#This Row],[SRP]]</f>
        <v>#N/A</v>
      </c>
      <c r="U5494" s="86" t="e">
        <f>_xlfn.XLOOKUP(表格1[[#This Row],[Model]],表格3[Model-Input-Ref2],表格3[TOSHIBA/HIGHEST])</f>
        <v>#N/A</v>
      </c>
      <c r="W5494" s="86" t="str">
        <f>_xlfn.CONCAT(表格1[[#This Row],[欄4]],表格1[[#This Row],[inv no]])</f>
        <v/>
      </c>
    </row>
    <row r="5495" spans="1:23" hidden="1">
      <c r="A5495" s="81">
        <v>5493</v>
      </c>
      <c r="D5495" s="89" t="e">
        <f ca="1">OFFSET(Roster!$A$3,MATCH(表格1[[#This Row],[Location]]&amp;" "&amp;表格1[[#This Row],[Shop]]&amp;"*",Roster!$A$4:$A$72,0),DAY(表格1[[#This Row],[date]]),1,1)</f>
        <v>#N/A</v>
      </c>
      <c r="E5495" s="86">
        <f>MONTH(表格1[[#This Row],[date]])</f>
        <v>1</v>
      </c>
      <c r="G5495" s="86" t="str">
        <f>VLOOKUP("*"&amp;表格1[[#This Row],[Input]]&amp;"*",'Ref-List'!$B:$D,2,)</f>
        <v>Model-Input-Ref2</v>
      </c>
      <c r="H5495" s="86" t="e">
        <f>_xlfn.XLOOKUP(表格1[[#This Row],[Model]],表格3[Model-Input-Ref2],表格3[Product Line])</f>
        <v>#N/A</v>
      </c>
      <c r="I5495" s="86" t="e">
        <f>_xlfn.XLOOKUP(表格1[[#This Row],[Model]],表格3[Model-Input-Ref2],表格3[大小電])</f>
        <v>#N/A</v>
      </c>
      <c r="J5495" s="86" t="e">
        <f>_xlfn.XLOOKUP(表格1[[#This Row],[Model]],表格3[Model-Input-Ref2],表格3[Code])</f>
        <v>#N/A</v>
      </c>
      <c r="N5495" s="87">
        <f>IFERROR(表格1[[#This Row],[QTY]]*表格1[[#This Row],[Unit Price]],"-")</f>
        <v>0</v>
      </c>
      <c r="R5495" s="86" t="str">
        <f>_xlfn.CONCAT(表格1[[#This Row],[Model]]," ",表格1[[#This Row],[inv no]])</f>
        <v xml:space="preserve">Model-Input-Ref2 </v>
      </c>
      <c r="S5495" s="86" t="e">
        <f>_xlfn.XLOOKUP(表格1[[#This Row],[Model]],表格3[Model-Input-Ref2],表格3[SRP PRICE])</f>
        <v>#N/A</v>
      </c>
      <c r="T5495" s="43" t="e">
        <f>表格1[[#This Row],[Unit Price]]/表格1[[#This Row],[SRP]]</f>
        <v>#N/A</v>
      </c>
      <c r="U5495" s="86" t="e">
        <f>_xlfn.XLOOKUP(表格1[[#This Row],[Model]],表格3[Model-Input-Ref2],表格3[TOSHIBA/HIGHEST])</f>
        <v>#N/A</v>
      </c>
      <c r="W5495" s="86" t="str">
        <f>_xlfn.CONCAT(表格1[[#This Row],[欄4]],表格1[[#This Row],[inv no]])</f>
        <v/>
      </c>
    </row>
    <row r="5496" spans="1:23" hidden="1">
      <c r="A5496" s="81">
        <v>5494</v>
      </c>
      <c r="D5496" s="89" t="e">
        <f ca="1">OFFSET(Roster!$A$3,MATCH(表格1[[#This Row],[Location]]&amp;" "&amp;表格1[[#This Row],[Shop]]&amp;"*",Roster!$A$4:$A$72,0),DAY(表格1[[#This Row],[date]]),1,1)</f>
        <v>#N/A</v>
      </c>
      <c r="E5496" s="86">
        <f>MONTH(表格1[[#This Row],[date]])</f>
        <v>1</v>
      </c>
      <c r="G5496" s="86" t="str">
        <f>VLOOKUP("*"&amp;表格1[[#This Row],[Input]]&amp;"*",'Ref-List'!$B:$D,2,)</f>
        <v>Model-Input-Ref2</v>
      </c>
      <c r="H5496" s="86" t="e">
        <f>_xlfn.XLOOKUP(表格1[[#This Row],[Model]],表格3[Model-Input-Ref2],表格3[Product Line])</f>
        <v>#N/A</v>
      </c>
      <c r="I5496" s="86" t="e">
        <f>_xlfn.XLOOKUP(表格1[[#This Row],[Model]],表格3[Model-Input-Ref2],表格3[大小電])</f>
        <v>#N/A</v>
      </c>
      <c r="J5496" s="86" t="e">
        <f>_xlfn.XLOOKUP(表格1[[#This Row],[Model]],表格3[Model-Input-Ref2],表格3[Code])</f>
        <v>#N/A</v>
      </c>
      <c r="N5496" s="87">
        <f>IFERROR(表格1[[#This Row],[QTY]]*表格1[[#This Row],[Unit Price]],"-")</f>
        <v>0</v>
      </c>
      <c r="R5496" s="86" t="str">
        <f>_xlfn.CONCAT(表格1[[#This Row],[Model]]," ",表格1[[#This Row],[inv no]])</f>
        <v xml:space="preserve">Model-Input-Ref2 </v>
      </c>
      <c r="S5496" s="86" t="e">
        <f>_xlfn.XLOOKUP(表格1[[#This Row],[Model]],表格3[Model-Input-Ref2],表格3[SRP PRICE])</f>
        <v>#N/A</v>
      </c>
      <c r="T5496" s="43" t="e">
        <f>表格1[[#This Row],[Unit Price]]/表格1[[#This Row],[SRP]]</f>
        <v>#N/A</v>
      </c>
      <c r="U5496" s="86" t="e">
        <f>_xlfn.XLOOKUP(表格1[[#This Row],[Model]],表格3[Model-Input-Ref2],表格3[TOSHIBA/HIGHEST])</f>
        <v>#N/A</v>
      </c>
      <c r="W5496" s="86" t="str">
        <f>_xlfn.CONCAT(表格1[[#This Row],[欄4]],表格1[[#This Row],[inv no]])</f>
        <v/>
      </c>
    </row>
    <row r="5497" spans="1:23" hidden="1">
      <c r="A5497" s="81">
        <v>5495</v>
      </c>
      <c r="D5497" s="89" t="e">
        <f ca="1">OFFSET(Roster!$A$3,MATCH(表格1[[#This Row],[Location]]&amp;" "&amp;表格1[[#This Row],[Shop]]&amp;"*",Roster!$A$4:$A$72,0),DAY(表格1[[#This Row],[date]]),1,1)</f>
        <v>#N/A</v>
      </c>
      <c r="E5497" s="86">
        <f>MONTH(表格1[[#This Row],[date]])</f>
        <v>1</v>
      </c>
      <c r="G5497" s="86" t="str">
        <f>VLOOKUP("*"&amp;表格1[[#This Row],[Input]]&amp;"*",'Ref-List'!$B:$D,2,)</f>
        <v>Model-Input-Ref2</v>
      </c>
      <c r="H5497" s="86" t="e">
        <f>_xlfn.XLOOKUP(表格1[[#This Row],[Model]],表格3[Model-Input-Ref2],表格3[Product Line])</f>
        <v>#N/A</v>
      </c>
      <c r="I5497" s="86" t="e">
        <f>_xlfn.XLOOKUP(表格1[[#This Row],[Model]],表格3[Model-Input-Ref2],表格3[大小電])</f>
        <v>#N/A</v>
      </c>
      <c r="J5497" s="86" t="e">
        <f>_xlfn.XLOOKUP(表格1[[#This Row],[Model]],表格3[Model-Input-Ref2],表格3[Code])</f>
        <v>#N/A</v>
      </c>
      <c r="N5497" s="87">
        <f>IFERROR(表格1[[#This Row],[QTY]]*表格1[[#This Row],[Unit Price]],"-")</f>
        <v>0</v>
      </c>
      <c r="R5497" s="86" t="str">
        <f>_xlfn.CONCAT(表格1[[#This Row],[Model]]," ",表格1[[#This Row],[inv no]])</f>
        <v xml:space="preserve">Model-Input-Ref2 </v>
      </c>
      <c r="S5497" s="86" t="e">
        <f>_xlfn.XLOOKUP(表格1[[#This Row],[Model]],表格3[Model-Input-Ref2],表格3[SRP PRICE])</f>
        <v>#N/A</v>
      </c>
      <c r="T5497" s="43" t="e">
        <f>表格1[[#This Row],[Unit Price]]/表格1[[#This Row],[SRP]]</f>
        <v>#N/A</v>
      </c>
      <c r="U5497" s="86" t="e">
        <f>_xlfn.XLOOKUP(表格1[[#This Row],[Model]],表格3[Model-Input-Ref2],表格3[TOSHIBA/HIGHEST])</f>
        <v>#N/A</v>
      </c>
      <c r="W5497" s="86" t="str">
        <f>_xlfn.CONCAT(表格1[[#This Row],[欄4]],表格1[[#This Row],[inv no]])</f>
        <v/>
      </c>
    </row>
    <row r="5498" spans="1:23" hidden="1">
      <c r="A5498" s="81">
        <v>5496</v>
      </c>
      <c r="D5498" s="89" t="e">
        <f ca="1">OFFSET(Roster!$A$3,MATCH(表格1[[#This Row],[Location]]&amp;" "&amp;表格1[[#This Row],[Shop]]&amp;"*",Roster!$A$4:$A$72,0),DAY(表格1[[#This Row],[date]]),1,1)</f>
        <v>#N/A</v>
      </c>
      <c r="E5498" s="86">
        <f>MONTH(表格1[[#This Row],[date]])</f>
        <v>1</v>
      </c>
      <c r="G5498" s="86" t="str">
        <f>VLOOKUP("*"&amp;表格1[[#This Row],[Input]]&amp;"*",'Ref-List'!$B:$D,2,)</f>
        <v>Model-Input-Ref2</v>
      </c>
      <c r="H5498" s="86" t="e">
        <f>_xlfn.XLOOKUP(表格1[[#This Row],[Model]],表格3[Model-Input-Ref2],表格3[Product Line])</f>
        <v>#N/A</v>
      </c>
      <c r="I5498" s="86" t="e">
        <f>_xlfn.XLOOKUP(表格1[[#This Row],[Model]],表格3[Model-Input-Ref2],表格3[大小電])</f>
        <v>#N/A</v>
      </c>
      <c r="J5498" s="86" t="e">
        <f>_xlfn.XLOOKUP(表格1[[#This Row],[Model]],表格3[Model-Input-Ref2],表格3[Code])</f>
        <v>#N/A</v>
      </c>
      <c r="N5498" s="87">
        <f>IFERROR(表格1[[#This Row],[QTY]]*表格1[[#This Row],[Unit Price]],"-")</f>
        <v>0</v>
      </c>
      <c r="R5498" s="86" t="str">
        <f>_xlfn.CONCAT(表格1[[#This Row],[Model]]," ",表格1[[#This Row],[inv no]])</f>
        <v xml:space="preserve">Model-Input-Ref2 </v>
      </c>
      <c r="S5498" s="86" t="e">
        <f>_xlfn.XLOOKUP(表格1[[#This Row],[Model]],表格3[Model-Input-Ref2],表格3[SRP PRICE])</f>
        <v>#N/A</v>
      </c>
      <c r="T5498" s="43" t="e">
        <f>表格1[[#This Row],[Unit Price]]/表格1[[#This Row],[SRP]]</f>
        <v>#N/A</v>
      </c>
      <c r="U5498" s="86" t="e">
        <f>_xlfn.XLOOKUP(表格1[[#This Row],[Model]],表格3[Model-Input-Ref2],表格3[TOSHIBA/HIGHEST])</f>
        <v>#N/A</v>
      </c>
      <c r="W5498" s="86" t="str">
        <f>_xlfn.CONCAT(表格1[[#This Row],[欄4]],表格1[[#This Row],[inv no]])</f>
        <v/>
      </c>
    </row>
    <row r="5499" spans="1:23" hidden="1">
      <c r="A5499" s="81">
        <v>5497</v>
      </c>
      <c r="D5499" s="89" t="e">
        <f ca="1">OFFSET(Roster!$A$3,MATCH(表格1[[#This Row],[Location]]&amp;" "&amp;表格1[[#This Row],[Shop]]&amp;"*",Roster!$A$4:$A$72,0),DAY(表格1[[#This Row],[date]]),1,1)</f>
        <v>#N/A</v>
      </c>
      <c r="E5499" s="86">
        <f>MONTH(表格1[[#This Row],[date]])</f>
        <v>1</v>
      </c>
      <c r="G5499" s="86" t="str">
        <f>VLOOKUP("*"&amp;表格1[[#This Row],[Input]]&amp;"*",'Ref-List'!$B:$D,2,)</f>
        <v>Model-Input-Ref2</v>
      </c>
      <c r="H5499" s="86" t="e">
        <f>_xlfn.XLOOKUP(表格1[[#This Row],[Model]],表格3[Model-Input-Ref2],表格3[Product Line])</f>
        <v>#N/A</v>
      </c>
      <c r="I5499" s="86" t="e">
        <f>_xlfn.XLOOKUP(表格1[[#This Row],[Model]],表格3[Model-Input-Ref2],表格3[大小電])</f>
        <v>#N/A</v>
      </c>
      <c r="J5499" s="86" t="e">
        <f>_xlfn.XLOOKUP(表格1[[#This Row],[Model]],表格3[Model-Input-Ref2],表格3[Code])</f>
        <v>#N/A</v>
      </c>
      <c r="N5499" s="87">
        <f>IFERROR(表格1[[#This Row],[QTY]]*表格1[[#This Row],[Unit Price]],"-")</f>
        <v>0</v>
      </c>
      <c r="R5499" s="86" t="str">
        <f>_xlfn.CONCAT(表格1[[#This Row],[Model]]," ",表格1[[#This Row],[inv no]])</f>
        <v xml:space="preserve">Model-Input-Ref2 </v>
      </c>
      <c r="S5499" s="86" t="e">
        <f>_xlfn.XLOOKUP(表格1[[#This Row],[Model]],表格3[Model-Input-Ref2],表格3[SRP PRICE])</f>
        <v>#N/A</v>
      </c>
      <c r="T5499" s="43" t="e">
        <f>表格1[[#This Row],[Unit Price]]/表格1[[#This Row],[SRP]]</f>
        <v>#N/A</v>
      </c>
      <c r="U5499" s="86" t="e">
        <f>_xlfn.XLOOKUP(表格1[[#This Row],[Model]],表格3[Model-Input-Ref2],表格3[TOSHIBA/HIGHEST])</f>
        <v>#N/A</v>
      </c>
      <c r="W5499" s="86" t="str">
        <f>_xlfn.CONCAT(表格1[[#This Row],[欄4]],表格1[[#This Row],[inv no]])</f>
        <v/>
      </c>
    </row>
    <row r="5500" spans="1:23" hidden="1">
      <c r="A5500" s="81">
        <v>5498</v>
      </c>
      <c r="D5500" s="89" t="e">
        <f ca="1">OFFSET(Roster!$A$3,MATCH(表格1[[#This Row],[Location]]&amp;" "&amp;表格1[[#This Row],[Shop]]&amp;"*",Roster!$A$4:$A$72,0),DAY(表格1[[#This Row],[date]]),1,1)</f>
        <v>#N/A</v>
      </c>
      <c r="E5500" s="86">
        <f>MONTH(表格1[[#This Row],[date]])</f>
        <v>1</v>
      </c>
      <c r="G5500" s="86" t="str">
        <f>VLOOKUP("*"&amp;表格1[[#This Row],[Input]]&amp;"*",'Ref-List'!$B:$D,2,)</f>
        <v>Model-Input-Ref2</v>
      </c>
      <c r="H5500" s="86" t="e">
        <f>_xlfn.XLOOKUP(表格1[[#This Row],[Model]],表格3[Model-Input-Ref2],表格3[Product Line])</f>
        <v>#N/A</v>
      </c>
      <c r="I5500" s="86" t="e">
        <f>_xlfn.XLOOKUP(表格1[[#This Row],[Model]],表格3[Model-Input-Ref2],表格3[大小電])</f>
        <v>#N/A</v>
      </c>
      <c r="J5500" s="86" t="e">
        <f>_xlfn.XLOOKUP(表格1[[#This Row],[Model]],表格3[Model-Input-Ref2],表格3[Code])</f>
        <v>#N/A</v>
      </c>
      <c r="N5500" s="87">
        <f>IFERROR(表格1[[#This Row],[QTY]]*表格1[[#This Row],[Unit Price]],"-")</f>
        <v>0</v>
      </c>
      <c r="R5500" s="86" t="str">
        <f>_xlfn.CONCAT(表格1[[#This Row],[Model]]," ",表格1[[#This Row],[inv no]])</f>
        <v xml:space="preserve">Model-Input-Ref2 </v>
      </c>
      <c r="S5500" s="86" t="e">
        <f>_xlfn.XLOOKUP(表格1[[#This Row],[Model]],表格3[Model-Input-Ref2],表格3[SRP PRICE])</f>
        <v>#N/A</v>
      </c>
      <c r="T5500" s="43" t="e">
        <f>表格1[[#This Row],[Unit Price]]/表格1[[#This Row],[SRP]]</f>
        <v>#N/A</v>
      </c>
      <c r="U5500" s="86" t="e">
        <f>_xlfn.XLOOKUP(表格1[[#This Row],[Model]],表格3[Model-Input-Ref2],表格3[TOSHIBA/HIGHEST])</f>
        <v>#N/A</v>
      </c>
      <c r="W5500" s="86" t="str">
        <f>_xlfn.CONCAT(表格1[[#This Row],[欄4]],表格1[[#This Row],[inv no]])</f>
        <v/>
      </c>
    </row>
    <row r="5501" spans="1:23" hidden="1">
      <c r="A5501" s="81">
        <v>5499</v>
      </c>
      <c r="D5501" s="89" t="e">
        <f ca="1">OFFSET(Roster!$A$3,MATCH(表格1[[#This Row],[Location]]&amp;" "&amp;表格1[[#This Row],[Shop]]&amp;"*",Roster!$A$4:$A$72,0),DAY(表格1[[#This Row],[date]]),1,1)</f>
        <v>#N/A</v>
      </c>
      <c r="E5501" s="86">
        <f>MONTH(表格1[[#This Row],[date]])</f>
        <v>1</v>
      </c>
      <c r="G5501" s="86" t="str">
        <f>VLOOKUP("*"&amp;表格1[[#This Row],[Input]]&amp;"*",'Ref-List'!$B:$D,2,)</f>
        <v>Model-Input-Ref2</v>
      </c>
      <c r="H5501" s="86" t="e">
        <f>_xlfn.XLOOKUP(表格1[[#This Row],[Model]],表格3[Model-Input-Ref2],表格3[Product Line])</f>
        <v>#N/A</v>
      </c>
      <c r="I5501" s="86" t="e">
        <f>_xlfn.XLOOKUP(表格1[[#This Row],[Model]],表格3[Model-Input-Ref2],表格3[大小電])</f>
        <v>#N/A</v>
      </c>
      <c r="J5501" s="86" t="e">
        <f>_xlfn.XLOOKUP(表格1[[#This Row],[Model]],表格3[Model-Input-Ref2],表格3[Code])</f>
        <v>#N/A</v>
      </c>
      <c r="N5501" s="87">
        <f>IFERROR(表格1[[#This Row],[QTY]]*表格1[[#This Row],[Unit Price]],"-")</f>
        <v>0</v>
      </c>
      <c r="R5501" s="86" t="str">
        <f>_xlfn.CONCAT(表格1[[#This Row],[Model]]," ",表格1[[#This Row],[inv no]])</f>
        <v xml:space="preserve">Model-Input-Ref2 </v>
      </c>
      <c r="S5501" s="86" t="e">
        <f>_xlfn.XLOOKUP(表格1[[#This Row],[Model]],表格3[Model-Input-Ref2],表格3[SRP PRICE])</f>
        <v>#N/A</v>
      </c>
      <c r="T5501" s="43" t="e">
        <f>表格1[[#This Row],[Unit Price]]/表格1[[#This Row],[SRP]]</f>
        <v>#N/A</v>
      </c>
      <c r="U5501" s="86" t="e">
        <f>_xlfn.XLOOKUP(表格1[[#This Row],[Model]],表格3[Model-Input-Ref2],表格3[TOSHIBA/HIGHEST])</f>
        <v>#N/A</v>
      </c>
      <c r="W5501" s="86" t="str">
        <f>_xlfn.CONCAT(表格1[[#This Row],[欄4]],表格1[[#This Row],[inv no]])</f>
        <v/>
      </c>
    </row>
    <row r="5502" spans="1:23" hidden="1">
      <c r="A5502" s="81">
        <v>5500</v>
      </c>
      <c r="D5502" s="89" t="e">
        <f ca="1">OFFSET(Roster!$A$3,MATCH(表格1[[#This Row],[Location]]&amp;" "&amp;表格1[[#This Row],[Shop]]&amp;"*",Roster!$A$4:$A$72,0),DAY(表格1[[#This Row],[date]]),1,1)</f>
        <v>#N/A</v>
      </c>
      <c r="E5502" s="86">
        <f>MONTH(表格1[[#This Row],[date]])</f>
        <v>1</v>
      </c>
      <c r="G5502" s="86" t="str">
        <f>VLOOKUP("*"&amp;表格1[[#This Row],[Input]]&amp;"*",'Ref-List'!$B:$D,2,)</f>
        <v>Model-Input-Ref2</v>
      </c>
      <c r="H5502" s="86" t="e">
        <f>_xlfn.XLOOKUP(表格1[[#This Row],[Model]],表格3[Model-Input-Ref2],表格3[Product Line])</f>
        <v>#N/A</v>
      </c>
      <c r="I5502" s="86" t="e">
        <f>_xlfn.XLOOKUP(表格1[[#This Row],[Model]],表格3[Model-Input-Ref2],表格3[大小電])</f>
        <v>#N/A</v>
      </c>
      <c r="J5502" s="86" t="e">
        <f>_xlfn.XLOOKUP(表格1[[#This Row],[Model]],表格3[Model-Input-Ref2],表格3[Code])</f>
        <v>#N/A</v>
      </c>
      <c r="N5502" s="87">
        <f>IFERROR(表格1[[#This Row],[QTY]]*表格1[[#This Row],[Unit Price]],"-")</f>
        <v>0</v>
      </c>
      <c r="R5502" s="86" t="str">
        <f>_xlfn.CONCAT(表格1[[#This Row],[Model]]," ",表格1[[#This Row],[inv no]])</f>
        <v xml:space="preserve">Model-Input-Ref2 </v>
      </c>
      <c r="S5502" s="86" t="e">
        <f>_xlfn.XLOOKUP(表格1[[#This Row],[Model]],表格3[Model-Input-Ref2],表格3[SRP PRICE])</f>
        <v>#N/A</v>
      </c>
      <c r="T5502" s="43" t="e">
        <f>表格1[[#This Row],[Unit Price]]/表格1[[#This Row],[SRP]]</f>
        <v>#N/A</v>
      </c>
      <c r="U5502" s="86" t="e">
        <f>_xlfn.XLOOKUP(表格1[[#This Row],[Model]],表格3[Model-Input-Ref2],表格3[TOSHIBA/HIGHEST])</f>
        <v>#N/A</v>
      </c>
      <c r="W5502" s="86" t="str">
        <f>_xlfn.CONCAT(表格1[[#This Row],[欄4]],表格1[[#This Row],[inv no]])</f>
        <v/>
      </c>
    </row>
  </sheetData>
  <phoneticPr fontId="24" type="noConversion"/>
  <conditionalFormatting sqref="A3:N4 B5:N5500 A5:A5502">
    <cfRule type="expression" dxfId="17" priority="15">
      <formula>$T3&gt;100%</formula>
    </cfRule>
    <cfRule type="expression" dxfId="16" priority="16">
      <formula>$T3&lt;56%</formula>
    </cfRule>
  </conditionalFormatting>
  <conditionalFormatting sqref="R3:R5500">
    <cfRule type="duplicateValues" dxfId="15" priority="7169"/>
  </conditionalFormatting>
  <pageMargins left="0.7" right="0.7" top="0.75" bottom="0.75" header="0.3" footer="0.3"/>
  <pageSetup paperSize="9" scale="19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72"/>
  <sheetViews>
    <sheetView zoomScale="85" zoomScaleNormal="85" workbookViewId="0">
      <selection activeCell="O19" sqref="O19"/>
    </sheetView>
  </sheetViews>
  <sheetFormatPr defaultColWidth="9" defaultRowHeight="15.75"/>
  <cols>
    <col min="1" max="1" width="8" customWidth="1"/>
    <col min="2" max="2" width="12.140625" customWidth="1"/>
    <col min="3" max="3" width="15.5703125" customWidth="1"/>
    <col min="4" max="4" width="14.140625" customWidth="1"/>
    <col min="5" max="5" width="7.7109375" customWidth="1"/>
    <col min="6" max="6" width="13.28515625" customWidth="1"/>
    <col min="7" max="7" width="23.7109375" customWidth="1"/>
    <col min="8" max="8" width="20.140625" customWidth="1"/>
    <col min="9" max="9" width="12.140625" bestFit="1" customWidth="1"/>
    <col min="10" max="10" width="18.7109375" customWidth="1"/>
    <col min="11" max="11" width="36.42578125" customWidth="1"/>
  </cols>
  <sheetData>
    <row r="1" spans="1:16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  <c r="K1" t="s">
        <v>599</v>
      </c>
      <c r="N1" s="49" t="s">
        <v>1113</v>
      </c>
    </row>
    <row r="2" spans="1:16">
      <c r="A2">
        <v>474</v>
      </c>
      <c r="B2" t="str">
        <f>_xlfn.XLOOKUP($A2,表格1[No.],表格1[Shop],"---",0)</f>
        <v>Citistore</v>
      </c>
      <c r="C2" t="str">
        <f>_xlfn.XLOOKUP($A2,表格1[No.],表格1[Location],"---",0)</f>
        <v>TW_3</v>
      </c>
      <c r="D2" t="str">
        <f ca="1">_xlfn.XLOOKUP($A2,表格1[No.],表格1[Name],"---",0)</f>
        <v>Mandy</v>
      </c>
      <c r="E2">
        <f>_xlfn.XLOOKUP($A2,表格1[No.],表格1[month],"---",0)</f>
        <v>3</v>
      </c>
      <c r="F2" s="12">
        <f>_xlfn.XLOOKUP($A2,表格1[No.],表格1[date],"---",0)</f>
        <v>46093</v>
      </c>
      <c r="G2" t="str">
        <f>_xlfn.XLOOKUP($A2,表格1[No.],表格1[Model],"---",0)</f>
        <v>RC-DR10T(W)</v>
      </c>
      <c r="H2">
        <f>_xlfn.XLOOKUP($A2,表格1[No.],表格1[QTY],"---",0)</f>
        <v>1</v>
      </c>
      <c r="I2">
        <f>_xlfn.XLOOKUP($A2,表格1[No.],表格1[Unit Price],"---",0)</f>
        <v>2290</v>
      </c>
      <c r="J2">
        <f>_xlfn.XLOOKUP($A2,表格1[No.],表格1[inv no],"---",0)</f>
        <v>155927</v>
      </c>
      <c r="K2">
        <f>_xlfn.XLOOKUP($A2,表格1[No.],表格1[apps report no.],"---",0)</f>
        <v>0</v>
      </c>
      <c r="N2" s="130" t="s">
        <v>1102</v>
      </c>
    </row>
    <row r="3" spans="1:16">
      <c r="A3">
        <v>475</v>
      </c>
      <c r="B3" t="str">
        <f>_xlfn.XLOOKUP($A3,表格1[No.],表格1[Shop],"---",0)</f>
        <v>Citistore</v>
      </c>
      <c r="C3" t="str">
        <f>_xlfn.XLOOKUP($A3,表格1[No.],表格1[Location],"---",0)</f>
        <v>TW_3</v>
      </c>
      <c r="D3" t="str">
        <f ca="1">_xlfn.XLOOKUP($A3,表格1[No.],表格1[Name],"---",0)</f>
        <v>Mandy</v>
      </c>
      <c r="E3">
        <f>_xlfn.XLOOKUP($A3,表格1[No.],表格1[month],"---",0)</f>
        <v>3</v>
      </c>
      <c r="F3" s="12">
        <f>_xlfn.XLOOKUP($A3,表格1[No.],表格1[date],"---",0)</f>
        <v>46093</v>
      </c>
      <c r="G3" t="str">
        <f>_xlfn.XLOOKUP($A3,表格1[No.],表格1[Model],"---",0)</f>
        <v>RC-18NMFIH(WT)</v>
      </c>
      <c r="H3">
        <f>_xlfn.XLOOKUP($A3,表格1[No.],表格1[QTY],"---",0)</f>
        <v>2</v>
      </c>
      <c r="I3">
        <f>_xlfn.XLOOKUP($A3,表格1[No.],表格1[Unit Price],"---",0)</f>
        <v>799</v>
      </c>
      <c r="J3">
        <f>_xlfn.XLOOKUP($A3,表格1[No.],表格1[inv no],"---",0)</f>
        <v>442438</v>
      </c>
      <c r="K3">
        <f>_xlfn.XLOOKUP($A3,表格1[No.],表格1[apps report no.],"---",0)</f>
        <v>0</v>
      </c>
      <c r="N3" t="s">
        <v>1103</v>
      </c>
    </row>
    <row r="4" spans="1:16">
      <c r="A4">
        <v>476</v>
      </c>
      <c r="B4" t="str">
        <f>_xlfn.XLOOKUP($A4,表格1[No.],表格1[Shop],"---",0)</f>
        <v>Citistore</v>
      </c>
      <c r="C4" t="str">
        <f>_xlfn.XLOOKUP($A4,表格1[No.],表格1[Location],"---",0)</f>
        <v>TW_3</v>
      </c>
      <c r="D4" t="str">
        <f ca="1">_xlfn.XLOOKUP($A4,表格1[No.],表格1[Name],"---",0)</f>
        <v>Mandy</v>
      </c>
      <c r="E4">
        <f>_xlfn.XLOOKUP($A4,表格1[No.],表格1[month],"---",0)</f>
        <v>3</v>
      </c>
      <c r="F4" s="12">
        <f>_xlfn.XLOOKUP($A4,表格1[No.],表格1[date],"---",0)</f>
        <v>46093</v>
      </c>
      <c r="G4" t="str">
        <f>_xlfn.XLOOKUP($A4,表格1[No.],表格1[Model],"---",0)</f>
        <v>RC-10JRUH(N)</v>
      </c>
      <c r="H4">
        <f>_xlfn.XLOOKUP($A4,表格1[No.],表格1[QTY],"---",0)</f>
        <v>1</v>
      </c>
      <c r="I4">
        <f>_xlfn.XLOOKUP($A4,表格1[No.],表格1[Unit Price],"---",0)</f>
        <v>250</v>
      </c>
      <c r="J4">
        <f>_xlfn.XLOOKUP($A4,表格1[No.],表格1[inv no],"---",0)</f>
        <v>442448</v>
      </c>
      <c r="K4">
        <f>_xlfn.XLOOKUP($A4,表格1[No.],表格1[apps report no.],"---",0)</f>
        <v>0</v>
      </c>
    </row>
    <row r="5" spans="1:16">
      <c r="A5">
        <v>477</v>
      </c>
      <c r="B5" t="str">
        <f>_xlfn.XLOOKUP($A5,表格1[No.],表格1[Shop],"---",0)</f>
        <v>Citistore</v>
      </c>
      <c r="C5" t="str">
        <f>_xlfn.XLOOKUP($A5,表格1[No.],表格1[Location],"---",0)</f>
        <v>TW_3</v>
      </c>
      <c r="D5" t="str">
        <f ca="1">_xlfn.XLOOKUP($A5,表格1[No.],表格1[Name],"---",0)</f>
        <v>Mandy</v>
      </c>
      <c r="E5">
        <f>_xlfn.XLOOKUP($A5,表格1[No.],表格1[month],"---",0)</f>
        <v>3</v>
      </c>
      <c r="F5" s="12">
        <f>_xlfn.XLOOKUP($A5,表格1[No.],表格1[date],"---",0)</f>
        <v>46093</v>
      </c>
      <c r="G5" t="str">
        <f>_xlfn.XLOOKUP($A5,表格1[No.],表格1[Model],"---",0)</f>
        <v>KT-17SHNH</v>
      </c>
      <c r="H5">
        <f>_xlfn.XLOOKUP($A5,表格1[No.],表格1[QTY],"---",0)</f>
        <v>1</v>
      </c>
      <c r="I5">
        <f>_xlfn.XLOOKUP($A5,表格1[No.],表格1[Unit Price],"---",0)</f>
        <v>228</v>
      </c>
      <c r="J5">
        <f>_xlfn.XLOOKUP($A5,表格1[No.],表格1[inv no],"---",0)</f>
        <v>442441</v>
      </c>
      <c r="K5">
        <f>_xlfn.XLOOKUP($A5,表格1[No.],表格1[apps report no.],"---",0)</f>
        <v>0</v>
      </c>
    </row>
    <row r="6" spans="1:16">
      <c r="A6">
        <v>478</v>
      </c>
      <c r="B6" t="str">
        <f>_xlfn.XLOOKUP($A6,表格1[No.],表格1[Shop],"---",0)</f>
        <v>Citistore</v>
      </c>
      <c r="C6" t="str">
        <f>_xlfn.XLOOKUP($A6,表格1[No.],表格1[Location],"---",0)</f>
        <v>TW_3</v>
      </c>
      <c r="D6" t="str">
        <f ca="1">_xlfn.XLOOKUP($A6,表格1[No.],表格1[Name],"---",0)</f>
        <v>Mandy</v>
      </c>
      <c r="E6">
        <f>_xlfn.XLOOKUP($A6,表格1[No.],表格1[month],"---",0)</f>
        <v>3</v>
      </c>
      <c r="F6" s="12">
        <f>_xlfn.XLOOKUP($A6,表格1[No.],表格1[date],"---",0)</f>
        <v>46093</v>
      </c>
      <c r="G6" t="str">
        <f>_xlfn.XLOOKUP($A6,表格1[No.],表格1[Model],"---",0)</f>
        <v>IC-20R1THK</v>
      </c>
      <c r="H6">
        <f>_xlfn.XLOOKUP($A6,表格1[No.],表格1[QTY],"---",0)</f>
        <v>1</v>
      </c>
      <c r="I6">
        <f>_xlfn.XLOOKUP($A6,表格1[No.],表格1[Unit Price],"---",0)</f>
        <v>298</v>
      </c>
      <c r="J6">
        <f>_xlfn.XLOOKUP($A6,表格1[No.],表格1[inv no],"---",0)</f>
        <v>442453</v>
      </c>
      <c r="K6">
        <f>_xlfn.XLOOKUP($A6,表格1[No.],表格1[apps report no.],"---",0)</f>
        <v>0</v>
      </c>
      <c r="P6" s="49"/>
    </row>
    <row r="7" spans="1:16">
      <c r="A7">
        <v>915</v>
      </c>
      <c r="B7" t="str">
        <f>_xlfn.XLOOKUP($A7,表格1[No.],表格1[Shop],"---",0)</f>
        <v>Broadway</v>
      </c>
      <c r="C7" t="str">
        <f>_xlfn.XLOOKUP($A7,表格1[No.],表格1[Location],"---",0)</f>
        <v>Diamond Hill_2</v>
      </c>
      <c r="D7" t="str">
        <f ca="1">_xlfn.XLOOKUP($A7,表格1[No.],表格1[Name],"---",0)</f>
        <v>Mui Chan_2</v>
      </c>
      <c r="E7">
        <f>_xlfn.XLOOKUP($A7,表格1[No.],表格1[month],"---",0)</f>
        <v>3</v>
      </c>
      <c r="F7" s="12">
        <f>_xlfn.XLOOKUP($A7,表格1[No.],表格1[date],"---",0)</f>
        <v>46102</v>
      </c>
      <c r="G7" t="str">
        <f>_xlfn.XLOOKUP($A7,表格1[No.],表格1[Model],"---",0)</f>
        <v>MX2-STR25SC(WH)</v>
      </c>
      <c r="H7">
        <f>_xlfn.XLOOKUP($A7,表格1[No.],表格1[QTY],"---",0)</f>
        <v>1</v>
      </c>
      <c r="I7">
        <f>_xlfn.XLOOKUP($A7,表格1[No.],表格1[Unit Price],"---",0)</f>
        <v>3180</v>
      </c>
      <c r="J7">
        <f>_xlfn.XLOOKUP($A7,表格1[No.],表格1[inv no],"---",0)</f>
        <v>249839</v>
      </c>
      <c r="K7">
        <f>_xlfn.XLOOKUP($A7,表格1[No.],表格1[apps report no.],"---",0)</f>
        <v>0</v>
      </c>
      <c r="P7" s="49"/>
    </row>
    <row r="8" spans="1:16">
      <c r="A8">
        <v>916</v>
      </c>
      <c r="B8" t="str">
        <f>_xlfn.XLOOKUP($A8,表格1[No.],表格1[Shop],"---",0)</f>
        <v>Broadway</v>
      </c>
      <c r="C8" t="str">
        <f>_xlfn.XLOOKUP($A8,表格1[No.],表格1[Location],"---",0)</f>
        <v>Diamond Hill_2</v>
      </c>
      <c r="D8" t="str">
        <f ca="1">_xlfn.XLOOKUP($A8,表格1[No.],表格1[Name],"---",0)</f>
        <v>Mui Chan_2</v>
      </c>
      <c r="E8">
        <f>_xlfn.XLOOKUP($A8,表格1[No.],表格1[month],"---",0)</f>
        <v>3</v>
      </c>
      <c r="F8" s="12">
        <f>_xlfn.XLOOKUP($A8,表格1[No.],表格1[date],"---",0)</f>
        <v>46102</v>
      </c>
      <c r="G8" t="str">
        <f>_xlfn.XLOOKUP($A8,表格1[No.],表格1[Model],"---",0)</f>
        <v>MX2-TT20SC(WH)</v>
      </c>
      <c r="H8">
        <f>_xlfn.XLOOKUP($A8,表格1[No.],表格1[QTY],"---",0)</f>
        <v>1</v>
      </c>
      <c r="I8">
        <f>_xlfn.XLOOKUP($A8,表格1[No.],表格1[Unit Price],"---",0)</f>
        <v>2480</v>
      </c>
      <c r="J8">
        <f>_xlfn.XLOOKUP($A8,表格1[No.],表格1[inv no],"---",0)</f>
        <v>249845</v>
      </c>
      <c r="K8">
        <f>_xlfn.XLOOKUP($A8,表格1[No.],表格1[apps report no.],"---",0)</f>
        <v>0</v>
      </c>
      <c r="P8" s="49"/>
    </row>
    <row r="9" spans="1:16">
      <c r="A9">
        <v>917</v>
      </c>
      <c r="B9" t="str">
        <f>_xlfn.XLOOKUP($A9,表格1[No.],表格1[Shop],"---",0)</f>
        <v>Broadway</v>
      </c>
      <c r="C9" t="str">
        <f>_xlfn.XLOOKUP($A9,表格1[No.],表格1[Location],"---",0)</f>
        <v>Diamond Hill_2</v>
      </c>
      <c r="D9" t="str">
        <f ca="1">_xlfn.XLOOKUP($A9,表格1[No.],表格1[Name],"---",0)</f>
        <v>Mui Chan_2</v>
      </c>
      <c r="E9">
        <f>_xlfn.XLOOKUP($A9,表格1[No.],表格1[month],"---",0)</f>
        <v>3</v>
      </c>
      <c r="F9" s="12">
        <f>_xlfn.XLOOKUP($A9,表格1[No.],表格1[date],"---",0)</f>
        <v>46102</v>
      </c>
      <c r="G9" t="str">
        <f>_xlfn.XLOOKUP($A9,表格1[No.],表格1[Model],"---",0)</f>
        <v>MM2-EM20PC(WH)</v>
      </c>
      <c r="H9">
        <f>_xlfn.XLOOKUP($A9,表格1[No.],表格1[QTY],"---",0)</f>
        <v>1</v>
      </c>
      <c r="I9">
        <f>_xlfn.XLOOKUP($A9,表格1[No.],表格1[Unit Price],"---",0)</f>
        <v>598</v>
      </c>
      <c r="J9">
        <f>_xlfn.XLOOKUP($A9,表格1[No.],表格1[inv no],"---",0)</f>
        <v>1639</v>
      </c>
      <c r="K9">
        <f>_xlfn.XLOOKUP($A9,表格1[No.],表格1[apps report no.],"---",0)</f>
        <v>0</v>
      </c>
      <c r="P9" s="49"/>
    </row>
    <row r="10" spans="1:16">
      <c r="A10">
        <v>918</v>
      </c>
      <c r="B10" t="str">
        <f>_xlfn.XLOOKUP($A10,表格1[No.],表格1[Shop],"---",0)</f>
        <v>Broadway</v>
      </c>
      <c r="C10" t="str">
        <f>_xlfn.XLOOKUP($A10,表格1[No.],表格1[Location],"---",0)</f>
        <v>Diamond Hill_2</v>
      </c>
      <c r="D10" t="str">
        <f ca="1">_xlfn.XLOOKUP($A10,表格1[No.],表格1[Name],"---",0)</f>
        <v>Mui Chan_2</v>
      </c>
      <c r="E10">
        <f>_xlfn.XLOOKUP($A10,表格1[No.],表格1[month],"---",0)</f>
        <v>3</v>
      </c>
      <c r="F10" s="12">
        <f>_xlfn.XLOOKUP($A10,表格1[No.],表格1[date],"---",0)</f>
        <v>46103</v>
      </c>
      <c r="G10" t="str">
        <f>_xlfn.XLOOKUP($A10,表格1[No.],表格1[Model],"---",0)</f>
        <v>RC-10NMFIH(WT)</v>
      </c>
      <c r="H10">
        <f>_xlfn.XLOOKUP($A10,表格1[No.],表格1[QTY],"---",0)</f>
        <v>1</v>
      </c>
      <c r="I10">
        <f>_xlfn.XLOOKUP($A10,表格1[No.],表格1[Unit Price],"---",0)</f>
        <v>718</v>
      </c>
      <c r="J10">
        <f>_xlfn.XLOOKUP($A10,表格1[No.],表格1[inv no],"---",0)</f>
        <v>1642</v>
      </c>
      <c r="K10">
        <f>_xlfn.XLOOKUP($A10,表格1[No.],表格1[apps report no.],"---",0)</f>
        <v>0</v>
      </c>
    </row>
    <row r="11" spans="1:16">
      <c r="A11">
        <v>919</v>
      </c>
      <c r="B11" t="str">
        <f>_xlfn.XLOOKUP($A11,表格1[No.],表格1[Shop],"---",0)</f>
        <v>Broadway</v>
      </c>
      <c r="C11" t="str">
        <f>_xlfn.XLOOKUP($A11,表格1[No.],表格1[Location],"---",0)</f>
        <v>Diamond Hill_2</v>
      </c>
      <c r="D11" t="str">
        <f ca="1">_xlfn.XLOOKUP($A11,表格1[No.],表格1[Name],"---",0)</f>
        <v>Mui Chan_2</v>
      </c>
      <c r="E11">
        <f>_xlfn.XLOOKUP($A11,表格1[No.],表格1[month],"---",0)</f>
        <v>3</v>
      </c>
      <c r="F11" s="12">
        <f>_xlfn.XLOOKUP($A11,表格1[No.],表格1[date],"---",0)</f>
        <v>46103</v>
      </c>
      <c r="G11" t="str">
        <f>_xlfn.XLOOKUP($A11,表格1[No.],表格1[Model],"---",0)</f>
        <v>MM-2MM20PC(WH)</v>
      </c>
      <c r="H11">
        <f>_xlfn.XLOOKUP($A11,表格1[No.],表格1[QTY],"---",0)</f>
        <v>1</v>
      </c>
      <c r="I11">
        <f>_xlfn.XLOOKUP($A11,表格1[No.],表格1[Unit Price],"---",0)</f>
        <v>598</v>
      </c>
      <c r="J11">
        <f>_xlfn.XLOOKUP($A11,表格1[No.],表格1[inv no],"---",0)</f>
        <v>1647</v>
      </c>
      <c r="K11">
        <f>_xlfn.XLOOKUP($A11,表格1[No.],表格1[apps report no.],"---",0)</f>
        <v>0</v>
      </c>
    </row>
    <row r="12" spans="1:16">
      <c r="A12">
        <v>920</v>
      </c>
      <c r="B12" t="str">
        <f>_xlfn.XLOOKUP($A12,表格1[No.],表格1[Shop],"---",0)</f>
        <v>Broadway</v>
      </c>
      <c r="C12" t="str">
        <f>_xlfn.XLOOKUP($A12,表格1[No.],表格1[Location],"---",0)</f>
        <v>Diamond Hill_2</v>
      </c>
      <c r="D12" t="str">
        <f ca="1">_xlfn.XLOOKUP($A12,表格1[No.],表格1[Name],"---",0)</f>
        <v>Mui Chan_2</v>
      </c>
      <c r="E12">
        <f>_xlfn.XLOOKUP($A12,表格1[No.],表格1[month],"---",0)</f>
        <v>3</v>
      </c>
      <c r="F12" s="12">
        <f>_xlfn.XLOOKUP($A12,表格1[No.],表格1[date],"---",0)</f>
        <v>46103</v>
      </c>
      <c r="G12" t="str">
        <f>_xlfn.XLOOKUP($A12,表格1[No.],表格1[Model],"---",0)</f>
        <v>MX2-STR25SC(WH)</v>
      </c>
      <c r="H12">
        <f>_xlfn.XLOOKUP($A12,表格1[No.],表格1[QTY],"---",0)</f>
        <v>1</v>
      </c>
      <c r="I12">
        <f>_xlfn.XLOOKUP($A12,表格1[No.],表格1[Unit Price],"---",0)</f>
        <v>3180</v>
      </c>
      <c r="J12">
        <f>_xlfn.XLOOKUP($A12,表格1[No.],表格1[inv no],"---",0)</f>
        <v>249805</v>
      </c>
      <c r="K12">
        <f>_xlfn.XLOOKUP($A12,表格1[No.],表格1[apps report no.],"---",0)</f>
        <v>0</v>
      </c>
    </row>
    <row r="13" spans="1:16">
      <c r="A13">
        <v>921</v>
      </c>
      <c r="B13" t="str">
        <f>_xlfn.XLOOKUP($A13,表格1[No.],表格1[Shop],"---",0)</f>
        <v>Broadway</v>
      </c>
      <c r="C13" t="str">
        <f>_xlfn.XLOOKUP($A13,表格1[No.],表格1[Location],"---",0)</f>
        <v>Diamond Hill_2</v>
      </c>
      <c r="D13" t="str">
        <f ca="1">_xlfn.XLOOKUP($A13,表格1[No.],表格1[Name],"---",0)</f>
        <v>Mui Chan_2</v>
      </c>
      <c r="E13">
        <f>_xlfn.XLOOKUP($A13,表格1[No.],表格1[month],"---",0)</f>
        <v>3</v>
      </c>
      <c r="F13" s="12">
        <f>_xlfn.XLOOKUP($A13,表格1[No.],表格1[date],"---",0)</f>
        <v>46103</v>
      </c>
      <c r="G13" t="str">
        <f>_xlfn.XLOOKUP($A13,表格1[No.],表格1[Model],"---",0)</f>
        <v>ER-VD7000HK(XK)</v>
      </c>
      <c r="H13">
        <f>_xlfn.XLOOKUP($A13,表格1[No.],表格1[QTY],"---",0)</f>
        <v>1</v>
      </c>
      <c r="I13">
        <f>_xlfn.XLOOKUP($A13,表格1[No.],表格1[Unit Price],"---",0)</f>
        <v>6550</v>
      </c>
      <c r="J13">
        <f>_xlfn.XLOOKUP($A13,表格1[No.],表格1[inv no],"---",0)</f>
        <v>249811</v>
      </c>
      <c r="K13">
        <f>_xlfn.XLOOKUP($A13,表格1[No.],表格1[apps report no.],"---",0)</f>
        <v>0</v>
      </c>
    </row>
    <row r="14" spans="1:16">
      <c r="B14" t="str">
        <f>_xlfn.XLOOKUP($A14,表格1[No.],表格1[Shop],"---",0)</f>
        <v>---</v>
      </c>
      <c r="C14" t="str">
        <f>_xlfn.XLOOKUP($A14,表格1[No.],表格1[Location],"---",0)</f>
        <v>---</v>
      </c>
      <c r="D14" t="str">
        <f>_xlfn.XLOOKUP($A14,表格1[No.],表格1[Name],"---",0)</f>
        <v>---</v>
      </c>
      <c r="E14" t="str">
        <f>_xlfn.XLOOKUP($A14,表格1[No.],表格1[month],"---",0)</f>
        <v>---</v>
      </c>
      <c r="F14" s="12" t="str">
        <f>_xlfn.XLOOKUP($A14,表格1[No.],表格1[date],"---",0)</f>
        <v>---</v>
      </c>
      <c r="G14" t="str">
        <f>_xlfn.XLOOKUP($A14,表格1[No.],表格1[Model],"---",0)</f>
        <v>---</v>
      </c>
      <c r="H14" t="str">
        <f>_xlfn.XLOOKUP($A14,表格1[No.],表格1[QTY],"---",0)</f>
        <v>---</v>
      </c>
      <c r="I14" t="str">
        <f>_xlfn.XLOOKUP($A14,表格1[No.],表格1[Unit Price],"---",0)</f>
        <v>---</v>
      </c>
      <c r="J14" t="str">
        <f>_xlfn.XLOOKUP($A14,表格1[No.],表格1[inv no],"---",0)</f>
        <v>---</v>
      </c>
      <c r="K14" t="str">
        <f>_xlfn.XLOOKUP($A14,表格1[No.],表格1[apps report no.],"---",0)</f>
        <v>---</v>
      </c>
    </row>
    <row r="15" spans="1:16">
      <c r="B15" t="str">
        <f>_xlfn.XLOOKUP($A15,表格1[No.],表格1[Shop],"---",0)</f>
        <v>---</v>
      </c>
      <c r="C15" t="str">
        <f>_xlfn.XLOOKUP($A15,表格1[No.],表格1[Location],"---",0)</f>
        <v>---</v>
      </c>
      <c r="D15" t="str">
        <f>_xlfn.XLOOKUP($A15,表格1[No.],表格1[Name],"---",0)</f>
        <v>---</v>
      </c>
      <c r="E15" t="str">
        <f>_xlfn.XLOOKUP($A15,表格1[No.],表格1[month],"---",0)</f>
        <v>---</v>
      </c>
      <c r="F15" s="12" t="str">
        <f>_xlfn.XLOOKUP($A15,表格1[No.],表格1[date],"---",0)</f>
        <v>---</v>
      </c>
      <c r="G15" t="str">
        <f>_xlfn.XLOOKUP($A15,表格1[No.],表格1[Model],"---",0)</f>
        <v>---</v>
      </c>
      <c r="H15" t="str">
        <f>_xlfn.XLOOKUP($A15,表格1[No.],表格1[QTY],"---",0)</f>
        <v>---</v>
      </c>
      <c r="I15" t="str">
        <f>_xlfn.XLOOKUP($A15,表格1[No.],表格1[Unit Price],"---",0)</f>
        <v>---</v>
      </c>
      <c r="J15" t="str">
        <f>_xlfn.XLOOKUP($A15,表格1[No.],表格1[inv no],"---",0)</f>
        <v>---</v>
      </c>
      <c r="K15" t="str">
        <f>_xlfn.XLOOKUP($A15,表格1[No.],表格1[apps report no.],"---",0)</f>
        <v>---</v>
      </c>
    </row>
    <row r="16" spans="1:16">
      <c r="B16" t="str">
        <f>_xlfn.XLOOKUP($A16,表格1[No.],表格1[Shop],"---",0)</f>
        <v>---</v>
      </c>
      <c r="C16" t="str">
        <f>_xlfn.XLOOKUP($A16,表格1[No.],表格1[Location],"---",0)</f>
        <v>---</v>
      </c>
      <c r="D16" t="str">
        <f>_xlfn.XLOOKUP($A16,表格1[No.],表格1[Name],"---",0)</f>
        <v>---</v>
      </c>
      <c r="E16" t="str">
        <f>_xlfn.XLOOKUP($A16,表格1[No.],表格1[month],"---",0)</f>
        <v>---</v>
      </c>
      <c r="F16" s="12" t="str">
        <f>_xlfn.XLOOKUP($A16,表格1[No.],表格1[date],"---",0)</f>
        <v>---</v>
      </c>
      <c r="G16" t="str">
        <f>_xlfn.XLOOKUP($A16,表格1[No.],表格1[Model],"---",0)</f>
        <v>---</v>
      </c>
      <c r="H16" t="str">
        <f>_xlfn.XLOOKUP($A16,表格1[No.],表格1[QTY],"---",0)</f>
        <v>---</v>
      </c>
      <c r="I16" t="str">
        <f>_xlfn.XLOOKUP($A16,表格1[No.],表格1[Unit Price],"---",0)</f>
        <v>---</v>
      </c>
      <c r="J16" t="str">
        <f>_xlfn.XLOOKUP($A16,表格1[No.],表格1[inv no],"---",0)</f>
        <v>---</v>
      </c>
      <c r="K16" t="str">
        <f>_xlfn.XLOOKUP($A16,表格1[No.],表格1[apps report no.],"---",0)</f>
        <v>---</v>
      </c>
    </row>
    <row r="17" spans="2:11">
      <c r="B17" t="str">
        <f>_xlfn.XLOOKUP($A17,表格1[No.],表格1[Shop],"---",0)</f>
        <v>---</v>
      </c>
      <c r="C17" t="str">
        <f>_xlfn.XLOOKUP($A17,表格1[No.],表格1[Location],"---",0)</f>
        <v>---</v>
      </c>
      <c r="D17" t="str">
        <f>_xlfn.XLOOKUP($A17,表格1[No.],表格1[Name],"---",0)</f>
        <v>---</v>
      </c>
      <c r="E17" t="str">
        <f>_xlfn.XLOOKUP($A17,表格1[No.],表格1[month],"---",0)</f>
        <v>---</v>
      </c>
      <c r="F17" s="12" t="str">
        <f>_xlfn.XLOOKUP($A17,表格1[No.],表格1[date],"---",0)</f>
        <v>---</v>
      </c>
      <c r="G17" t="str">
        <f>_xlfn.XLOOKUP($A17,表格1[No.],表格1[Model],"---",0)</f>
        <v>---</v>
      </c>
      <c r="H17" t="str">
        <f>_xlfn.XLOOKUP($A17,表格1[No.],表格1[QTY],"---",0)</f>
        <v>---</v>
      </c>
      <c r="I17" t="str">
        <f>_xlfn.XLOOKUP($A17,表格1[No.],表格1[Unit Price],"---",0)</f>
        <v>---</v>
      </c>
      <c r="J17" t="str">
        <f>_xlfn.XLOOKUP($A17,表格1[No.],表格1[inv no],"---",0)</f>
        <v>---</v>
      </c>
      <c r="K17" t="str">
        <f>_xlfn.XLOOKUP($A17,表格1[No.],表格1[apps report no.],"---",0)</f>
        <v>---</v>
      </c>
    </row>
    <row r="18" spans="2:11">
      <c r="B18" t="str">
        <f>_xlfn.XLOOKUP($A18,表格1[No.],表格1[Shop],"---",0)</f>
        <v>---</v>
      </c>
      <c r="C18" t="str">
        <f>_xlfn.XLOOKUP($A18,表格1[No.],表格1[Location],"---",0)</f>
        <v>---</v>
      </c>
      <c r="D18" t="str">
        <f>_xlfn.XLOOKUP($A18,表格1[No.],表格1[Name],"---",0)</f>
        <v>---</v>
      </c>
      <c r="E18" t="str">
        <f>_xlfn.XLOOKUP($A18,表格1[No.],表格1[month],"---",0)</f>
        <v>---</v>
      </c>
      <c r="F18" s="12" t="str">
        <f>_xlfn.XLOOKUP($A18,表格1[No.],表格1[date],"---",0)</f>
        <v>---</v>
      </c>
      <c r="G18" t="str">
        <f>_xlfn.XLOOKUP($A18,表格1[No.],表格1[Model],"---",0)</f>
        <v>---</v>
      </c>
      <c r="H18" t="str">
        <f>_xlfn.XLOOKUP($A18,表格1[No.],表格1[QTY],"---",0)</f>
        <v>---</v>
      </c>
      <c r="I18" t="str">
        <f>_xlfn.XLOOKUP($A18,表格1[No.],表格1[Unit Price],"---",0)</f>
        <v>---</v>
      </c>
      <c r="J18" t="str">
        <f>_xlfn.XLOOKUP($A18,表格1[No.],表格1[inv no],"---",0)</f>
        <v>---</v>
      </c>
      <c r="K18" t="str">
        <f>_xlfn.XLOOKUP($A18,表格1[No.],表格1[apps report no.],"---",0)</f>
        <v>---</v>
      </c>
    </row>
    <row r="19" spans="2:11">
      <c r="B19" t="str">
        <f>_xlfn.XLOOKUP($A19,表格1[No.],表格1[Shop],"---",0)</f>
        <v>---</v>
      </c>
      <c r="C19" t="str">
        <f>_xlfn.XLOOKUP($A19,表格1[No.],表格1[Location],"---",0)</f>
        <v>---</v>
      </c>
      <c r="D19" t="str">
        <f>_xlfn.XLOOKUP($A19,表格1[No.],表格1[Name],"---",0)</f>
        <v>---</v>
      </c>
      <c r="E19" t="str">
        <f>_xlfn.XLOOKUP($A19,表格1[No.],表格1[month],"---",0)</f>
        <v>---</v>
      </c>
      <c r="F19" s="12" t="str">
        <f>_xlfn.XLOOKUP($A19,表格1[No.],表格1[date],"---",0)</f>
        <v>---</v>
      </c>
      <c r="G19" t="str">
        <f>_xlfn.XLOOKUP($A19,表格1[No.],表格1[Model],"---",0)</f>
        <v>---</v>
      </c>
      <c r="H19" t="str">
        <f>_xlfn.XLOOKUP($A19,表格1[No.],表格1[QTY],"---",0)</f>
        <v>---</v>
      </c>
      <c r="I19" t="str">
        <f>_xlfn.XLOOKUP($A19,表格1[No.],表格1[Unit Price],"---",0)</f>
        <v>---</v>
      </c>
      <c r="J19" t="str">
        <f>_xlfn.XLOOKUP($A19,表格1[No.],表格1[inv no],"---",0)</f>
        <v>---</v>
      </c>
      <c r="K19" t="str">
        <f>_xlfn.XLOOKUP($A19,表格1[No.],表格1[apps report no.],"---",0)</f>
        <v>---</v>
      </c>
    </row>
    <row r="20" spans="2:11">
      <c r="B20" t="str">
        <f>_xlfn.XLOOKUP($A20,表格1[No.],表格1[Shop],"---",0)</f>
        <v>---</v>
      </c>
      <c r="C20" t="str">
        <f>_xlfn.XLOOKUP($A20,表格1[No.],表格1[Location],"---",0)</f>
        <v>---</v>
      </c>
      <c r="D20" t="str">
        <f>_xlfn.XLOOKUP($A20,表格1[No.],表格1[Name],"---",0)</f>
        <v>---</v>
      </c>
      <c r="E20" t="str">
        <f>_xlfn.XLOOKUP($A20,表格1[No.],表格1[month],"---",0)</f>
        <v>---</v>
      </c>
      <c r="F20" s="12" t="str">
        <f>_xlfn.XLOOKUP($A20,表格1[No.],表格1[date],"---",0)</f>
        <v>---</v>
      </c>
      <c r="G20" t="str">
        <f>_xlfn.XLOOKUP($A20,表格1[No.],表格1[Model],"---",0)</f>
        <v>---</v>
      </c>
      <c r="H20" t="str">
        <f>_xlfn.XLOOKUP($A20,表格1[No.],表格1[QTY],"---",0)</f>
        <v>---</v>
      </c>
      <c r="I20" t="str">
        <f>_xlfn.XLOOKUP($A20,表格1[No.],表格1[Unit Price],"---",0)</f>
        <v>---</v>
      </c>
      <c r="J20" t="str">
        <f>_xlfn.XLOOKUP($A20,表格1[No.],表格1[inv no],"---",0)</f>
        <v>---</v>
      </c>
      <c r="K20" t="str">
        <f>_xlfn.XLOOKUP($A20,表格1[No.],表格1[apps report no.],"---",0)</f>
        <v>---</v>
      </c>
    </row>
    <row r="21" spans="2:11">
      <c r="B21" t="str">
        <f>_xlfn.XLOOKUP($A21,表格1[No.],表格1[Shop],"---",0)</f>
        <v>---</v>
      </c>
      <c r="C21" t="str">
        <f>_xlfn.XLOOKUP($A21,表格1[No.],表格1[Location],"---",0)</f>
        <v>---</v>
      </c>
      <c r="D21" t="str">
        <f>_xlfn.XLOOKUP($A21,表格1[No.],表格1[Name],"---",0)</f>
        <v>---</v>
      </c>
      <c r="E21" t="str">
        <f>_xlfn.XLOOKUP($A21,表格1[No.],表格1[month],"---",0)</f>
        <v>---</v>
      </c>
      <c r="F21" s="12" t="str">
        <f>_xlfn.XLOOKUP($A21,表格1[No.],表格1[date],"---",0)</f>
        <v>---</v>
      </c>
      <c r="G21" t="str">
        <f>_xlfn.XLOOKUP($A21,表格1[No.],表格1[Model],"---",0)</f>
        <v>---</v>
      </c>
      <c r="H21" t="str">
        <f>_xlfn.XLOOKUP($A21,表格1[No.],表格1[QTY],"---",0)</f>
        <v>---</v>
      </c>
      <c r="I21" t="str">
        <f>_xlfn.XLOOKUP($A21,表格1[No.],表格1[Unit Price],"---",0)</f>
        <v>---</v>
      </c>
      <c r="J21" t="str">
        <f>_xlfn.XLOOKUP($A21,表格1[No.],表格1[inv no],"---",0)</f>
        <v>---</v>
      </c>
      <c r="K21" t="str">
        <f>_xlfn.XLOOKUP($A21,表格1[No.],表格1[apps report no.],"---",0)</f>
        <v>---</v>
      </c>
    </row>
    <row r="22" spans="2:11">
      <c r="B22" t="str">
        <f>_xlfn.XLOOKUP($A22,表格1[No.],表格1[Shop],"---",0)</f>
        <v>---</v>
      </c>
      <c r="C22" t="str">
        <f>_xlfn.XLOOKUP($A22,表格1[No.],表格1[Location],"---",0)</f>
        <v>---</v>
      </c>
      <c r="D22" t="str">
        <f>_xlfn.XLOOKUP($A22,表格1[No.],表格1[Name],"---",0)</f>
        <v>---</v>
      </c>
      <c r="E22" t="str">
        <f>_xlfn.XLOOKUP($A22,表格1[No.],表格1[month],"---",0)</f>
        <v>---</v>
      </c>
      <c r="F22" s="12" t="str">
        <f>_xlfn.XLOOKUP($A22,表格1[No.],表格1[date],"---",0)</f>
        <v>---</v>
      </c>
      <c r="G22" t="str">
        <f>_xlfn.XLOOKUP($A22,表格1[No.],表格1[Model],"---",0)</f>
        <v>---</v>
      </c>
      <c r="H22" t="str">
        <f>_xlfn.XLOOKUP($A22,表格1[No.],表格1[QTY],"---",0)</f>
        <v>---</v>
      </c>
      <c r="I22" t="str">
        <f>_xlfn.XLOOKUP($A22,表格1[No.],表格1[Unit Price],"---",0)</f>
        <v>---</v>
      </c>
      <c r="J22" t="str">
        <f>_xlfn.XLOOKUP($A22,表格1[No.],表格1[inv no],"---",0)</f>
        <v>---</v>
      </c>
      <c r="K22" t="str">
        <f>_xlfn.XLOOKUP($A22,表格1[No.],表格1[apps report no.],"---",0)</f>
        <v>---</v>
      </c>
    </row>
    <row r="23" spans="2:11">
      <c r="B23" t="str">
        <f>_xlfn.XLOOKUP($A23,表格1[No.],表格1[Shop],"---",0)</f>
        <v>---</v>
      </c>
      <c r="C23" t="str">
        <f>_xlfn.XLOOKUP($A23,表格1[No.],表格1[Location],"---",0)</f>
        <v>---</v>
      </c>
      <c r="D23" t="str">
        <f>_xlfn.XLOOKUP($A23,表格1[No.],表格1[Name],"---",0)</f>
        <v>---</v>
      </c>
      <c r="E23" t="str">
        <f>_xlfn.XLOOKUP($A23,表格1[No.],表格1[month],"---",0)</f>
        <v>---</v>
      </c>
      <c r="F23" s="12" t="str">
        <f>_xlfn.XLOOKUP($A23,表格1[No.],表格1[date],"---",0)</f>
        <v>---</v>
      </c>
      <c r="G23" t="str">
        <f>_xlfn.XLOOKUP($A23,表格1[No.],表格1[Model],"---",0)</f>
        <v>---</v>
      </c>
      <c r="H23" t="str">
        <f>_xlfn.XLOOKUP($A23,表格1[No.],表格1[QTY],"---",0)</f>
        <v>---</v>
      </c>
      <c r="I23" t="str">
        <f>_xlfn.XLOOKUP($A23,表格1[No.],表格1[Unit Price],"---",0)</f>
        <v>---</v>
      </c>
      <c r="J23" t="str">
        <f>_xlfn.XLOOKUP($A23,表格1[No.],表格1[inv no],"---",0)</f>
        <v>---</v>
      </c>
      <c r="K23" t="str">
        <f>_xlfn.XLOOKUP($A23,表格1[No.],表格1[apps report no.],"---",0)</f>
        <v>---</v>
      </c>
    </row>
    <row r="24" spans="2:11">
      <c r="B24" t="str">
        <f>_xlfn.XLOOKUP($A24,表格1[No.],表格1[Shop],"---",0)</f>
        <v>---</v>
      </c>
      <c r="C24" t="str">
        <f>_xlfn.XLOOKUP($A24,表格1[No.],表格1[Location],"---",0)</f>
        <v>---</v>
      </c>
      <c r="D24" t="str">
        <f>_xlfn.XLOOKUP($A24,表格1[No.],表格1[Name],"---",0)</f>
        <v>---</v>
      </c>
      <c r="E24" t="str">
        <f>_xlfn.XLOOKUP($A24,表格1[No.],表格1[month],"---",0)</f>
        <v>---</v>
      </c>
      <c r="F24" s="12" t="str">
        <f>_xlfn.XLOOKUP($A24,表格1[No.],表格1[date],"---",0)</f>
        <v>---</v>
      </c>
      <c r="G24" t="str">
        <f>_xlfn.XLOOKUP($A24,表格1[No.],表格1[Model],"---",0)</f>
        <v>---</v>
      </c>
      <c r="H24" t="str">
        <f>_xlfn.XLOOKUP($A24,表格1[No.],表格1[QTY],"---",0)</f>
        <v>---</v>
      </c>
      <c r="I24" t="str">
        <f>_xlfn.XLOOKUP($A24,表格1[No.],表格1[Unit Price],"---",0)</f>
        <v>---</v>
      </c>
      <c r="J24" t="str">
        <f>_xlfn.XLOOKUP($A24,表格1[No.],表格1[inv no],"---",0)</f>
        <v>---</v>
      </c>
      <c r="K24" t="str">
        <f>_xlfn.XLOOKUP($A24,表格1[No.],表格1[apps report no.],"---",0)</f>
        <v>---</v>
      </c>
    </row>
    <row r="25" spans="2:11">
      <c r="B25" t="str">
        <f>_xlfn.XLOOKUP($A25,表格1[No.],表格1[Shop],"---",0)</f>
        <v>---</v>
      </c>
      <c r="C25" t="str">
        <f>_xlfn.XLOOKUP($A25,表格1[No.],表格1[Location],"---",0)</f>
        <v>---</v>
      </c>
      <c r="D25" t="str">
        <f>_xlfn.XLOOKUP($A25,表格1[No.],表格1[Name],"---",0)</f>
        <v>---</v>
      </c>
      <c r="E25" t="str">
        <f>_xlfn.XLOOKUP($A25,表格1[No.],表格1[month],"---",0)</f>
        <v>---</v>
      </c>
      <c r="F25" s="12" t="str">
        <f>_xlfn.XLOOKUP($A25,表格1[No.],表格1[date],"---",0)</f>
        <v>---</v>
      </c>
      <c r="G25" t="str">
        <f>_xlfn.XLOOKUP($A25,表格1[No.],表格1[Model],"---",0)</f>
        <v>---</v>
      </c>
      <c r="H25" t="str">
        <f>_xlfn.XLOOKUP($A25,表格1[No.],表格1[QTY],"---",0)</f>
        <v>---</v>
      </c>
      <c r="I25" t="str">
        <f>_xlfn.XLOOKUP($A25,表格1[No.],表格1[Unit Price],"---",0)</f>
        <v>---</v>
      </c>
      <c r="J25" t="str">
        <f>_xlfn.XLOOKUP($A25,表格1[No.],表格1[inv no],"---",0)</f>
        <v>---</v>
      </c>
      <c r="K25" t="str">
        <f>_xlfn.XLOOKUP($A25,表格1[No.],表格1[apps report no.],"---",0)</f>
        <v>---</v>
      </c>
    </row>
    <row r="26" spans="2:11">
      <c r="B26" t="str">
        <f>_xlfn.XLOOKUP($A26,表格1[No.],表格1[Shop],"---",0)</f>
        <v>---</v>
      </c>
      <c r="C26" t="str">
        <f>_xlfn.XLOOKUP($A26,表格1[No.],表格1[Location],"---",0)</f>
        <v>---</v>
      </c>
      <c r="D26" t="str">
        <f>_xlfn.XLOOKUP($A26,表格1[No.],表格1[Name],"---",0)</f>
        <v>---</v>
      </c>
      <c r="E26" t="str">
        <f>_xlfn.XLOOKUP($A26,表格1[No.],表格1[month],"---",0)</f>
        <v>---</v>
      </c>
      <c r="F26" s="12" t="str">
        <f>_xlfn.XLOOKUP($A26,表格1[No.],表格1[date],"---",0)</f>
        <v>---</v>
      </c>
      <c r="G26" t="str">
        <f>_xlfn.XLOOKUP($A26,表格1[No.],表格1[Model],"---",0)</f>
        <v>---</v>
      </c>
      <c r="H26" t="str">
        <f>_xlfn.XLOOKUP($A26,表格1[No.],表格1[QTY],"---",0)</f>
        <v>---</v>
      </c>
      <c r="I26" t="str">
        <f>_xlfn.XLOOKUP($A26,表格1[No.],表格1[Unit Price],"---",0)</f>
        <v>---</v>
      </c>
      <c r="J26" t="str">
        <f>_xlfn.XLOOKUP($A26,表格1[No.],表格1[inv no],"---",0)</f>
        <v>---</v>
      </c>
      <c r="K26" t="str">
        <f>_xlfn.XLOOKUP($A26,表格1[No.],表格1[apps report no.],"---",0)</f>
        <v>---</v>
      </c>
    </row>
    <row r="27" spans="2:11">
      <c r="B27" t="str">
        <f>_xlfn.XLOOKUP($A27,表格1[No.],表格1[Shop],"---",0)</f>
        <v>---</v>
      </c>
      <c r="C27" t="str">
        <f>_xlfn.XLOOKUP($A27,表格1[No.],表格1[Location],"---",0)</f>
        <v>---</v>
      </c>
      <c r="D27" t="str">
        <f>_xlfn.XLOOKUP($A27,表格1[No.],表格1[Name],"---",0)</f>
        <v>---</v>
      </c>
      <c r="E27" t="str">
        <f>_xlfn.XLOOKUP($A27,表格1[No.],表格1[month],"---",0)</f>
        <v>---</v>
      </c>
      <c r="F27" s="12" t="str">
        <f>_xlfn.XLOOKUP($A27,表格1[No.],表格1[date],"---",0)</f>
        <v>---</v>
      </c>
      <c r="G27" t="str">
        <f>_xlfn.XLOOKUP($A27,表格1[No.],表格1[Model],"---",0)</f>
        <v>---</v>
      </c>
      <c r="H27" t="str">
        <f>_xlfn.XLOOKUP($A27,表格1[No.],表格1[QTY],"---",0)</f>
        <v>---</v>
      </c>
      <c r="I27" t="str">
        <f>_xlfn.XLOOKUP($A27,表格1[No.],表格1[Unit Price],"---",0)</f>
        <v>---</v>
      </c>
      <c r="J27" t="str">
        <f>_xlfn.XLOOKUP($A27,表格1[No.],表格1[inv no],"---",0)</f>
        <v>---</v>
      </c>
      <c r="K27" t="str">
        <f>_xlfn.XLOOKUP($A27,表格1[No.],表格1[apps report no.],"---",0)</f>
        <v>---</v>
      </c>
    </row>
    <row r="28" spans="2:11">
      <c r="B28" t="str">
        <f>_xlfn.XLOOKUP($A28,表格1[No.],表格1[Shop],"---",0)</f>
        <v>---</v>
      </c>
      <c r="C28" t="str">
        <f>_xlfn.XLOOKUP($A28,表格1[No.],表格1[Location],"---",0)</f>
        <v>---</v>
      </c>
      <c r="D28" t="str">
        <f>_xlfn.XLOOKUP($A28,表格1[No.],表格1[Name],"---",0)</f>
        <v>---</v>
      </c>
      <c r="E28" t="str">
        <f>_xlfn.XLOOKUP($A28,表格1[No.],表格1[month],"---",0)</f>
        <v>---</v>
      </c>
      <c r="F28" s="12" t="str">
        <f>_xlfn.XLOOKUP($A28,表格1[No.],表格1[date],"---",0)</f>
        <v>---</v>
      </c>
      <c r="G28" t="str">
        <f>_xlfn.XLOOKUP($A28,表格1[No.],表格1[Model],"---",0)</f>
        <v>---</v>
      </c>
      <c r="H28" t="str">
        <f>_xlfn.XLOOKUP($A28,表格1[No.],表格1[QTY],"---",0)</f>
        <v>---</v>
      </c>
      <c r="I28" t="str">
        <f>_xlfn.XLOOKUP($A28,表格1[No.],表格1[Unit Price],"---",0)</f>
        <v>---</v>
      </c>
      <c r="J28" t="str">
        <f>_xlfn.XLOOKUP($A28,表格1[No.],表格1[inv no],"---",0)</f>
        <v>---</v>
      </c>
      <c r="K28" t="str">
        <f>_xlfn.XLOOKUP($A28,表格1[No.],表格1[apps report no.],"---",0)</f>
        <v>---</v>
      </c>
    </row>
    <row r="29" spans="2:11">
      <c r="B29" t="str">
        <f>_xlfn.XLOOKUP($A29,表格1[No.],表格1[Shop],"---",0)</f>
        <v>---</v>
      </c>
      <c r="C29" t="str">
        <f>_xlfn.XLOOKUP($A29,表格1[No.],表格1[Location],"---",0)</f>
        <v>---</v>
      </c>
      <c r="D29" t="str">
        <f>_xlfn.XLOOKUP($A29,表格1[No.],表格1[Name],"---",0)</f>
        <v>---</v>
      </c>
      <c r="E29" t="str">
        <f>_xlfn.XLOOKUP($A29,表格1[No.],表格1[month],"---",0)</f>
        <v>---</v>
      </c>
      <c r="F29" s="12" t="str">
        <f>_xlfn.XLOOKUP($A29,表格1[No.],表格1[date],"---",0)</f>
        <v>---</v>
      </c>
      <c r="G29" t="str">
        <f>_xlfn.XLOOKUP($A29,表格1[No.],表格1[Model],"---",0)</f>
        <v>---</v>
      </c>
      <c r="H29" t="str">
        <f>_xlfn.XLOOKUP($A29,表格1[No.],表格1[QTY],"---",0)</f>
        <v>---</v>
      </c>
      <c r="I29" t="str">
        <f>_xlfn.XLOOKUP($A29,表格1[No.],表格1[Unit Price],"---",0)</f>
        <v>---</v>
      </c>
      <c r="J29" t="str">
        <f>_xlfn.XLOOKUP($A29,表格1[No.],表格1[inv no],"---",0)</f>
        <v>---</v>
      </c>
      <c r="K29" t="str">
        <f>_xlfn.XLOOKUP($A29,表格1[No.],表格1[apps report no.],"---",0)</f>
        <v>---</v>
      </c>
    </row>
    <row r="30" spans="2:11">
      <c r="B30" t="str">
        <f>_xlfn.XLOOKUP($A30,表格1[No.],表格1[Shop],"---",0)</f>
        <v>---</v>
      </c>
      <c r="C30" t="str">
        <f>_xlfn.XLOOKUP($A30,表格1[No.],表格1[Location],"---",0)</f>
        <v>---</v>
      </c>
      <c r="D30" t="str">
        <f>_xlfn.XLOOKUP($A30,表格1[No.],表格1[Name],"---",0)</f>
        <v>---</v>
      </c>
      <c r="E30" t="str">
        <f>_xlfn.XLOOKUP($A30,表格1[No.],表格1[month],"---",0)</f>
        <v>---</v>
      </c>
      <c r="F30" s="12" t="str">
        <f>_xlfn.XLOOKUP($A30,表格1[No.],表格1[date],"---",0)</f>
        <v>---</v>
      </c>
      <c r="G30" t="str">
        <f>_xlfn.XLOOKUP($A30,表格1[No.],表格1[Model],"---",0)</f>
        <v>---</v>
      </c>
      <c r="H30" t="str">
        <f>_xlfn.XLOOKUP($A30,表格1[No.],表格1[QTY],"---",0)</f>
        <v>---</v>
      </c>
      <c r="I30" t="str">
        <f>_xlfn.XLOOKUP($A30,表格1[No.],表格1[Unit Price],"---",0)</f>
        <v>---</v>
      </c>
      <c r="J30" t="str">
        <f>_xlfn.XLOOKUP($A30,表格1[No.],表格1[inv no],"---",0)</f>
        <v>---</v>
      </c>
      <c r="K30" t="str">
        <f>_xlfn.XLOOKUP($A30,表格1[No.],表格1[apps report no.],"---",0)</f>
        <v>---</v>
      </c>
    </row>
    <row r="31" spans="2:11">
      <c r="B31" t="str">
        <f>_xlfn.XLOOKUP($A31,表格1[No.],表格1[Shop],"---",0)</f>
        <v>---</v>
      </c>
      <c r="C31" t="str">
        <f>_xlfn.XLOOKUP($A31,表格1[No.],表格1[Location],"---",0)</f>
        <v>---</v>
      </c>
      <c r="D31" t="str">
        <f>_xlfn.XLOOKUP($A31,表格1[No.],表格1[Name],"---",0)</f>
        <v>---</v>
      </c>
      <c r="E31" t="str">
        <f>_xlfn.XLOOKUP($A31,表格1[No.],表格1[month],"---",0)</f>
        <v>---</v>
      </c>
      <c r="F31" s="12" t="str">
        <f>_xlfn.XLOOKUP($A31,表格1[No.],表格1[date],"---",0)</f>
        <v>---</v>
      </c>
      <c r="G31" t="str">
        <f>_xlfn.XLOOKUP($A31,表格1[No.],表格1[Model],"---",0)</f>
        <v>---</v>
      </c>
      <c r="H31" t="str">
        <f>_xlfn.XLOOKUP($A31,表格1[No.],表格1[QTY],"---",0)</f>
        <v>---</v>
      </c>
      <c r="I31" t="str">
        <f>_xlfn.XLOOKUP($A31,表格1[No.],表格1[Unit Price],"---",0)</f>
        <v>---</v>
      </c>
      <c r="J31" t="str">
        <f>_xlfn.XLOOKUP($A31,表格1[No.],表格1[inv no],"---",0)</f>
        <v>---</v>
      </c>
      <c r="K31" t="str">
        <f>_xlfn.XLOOKUP($A31,表格1[No.],表格1[apps report no.],"---",0)</f>
        <v>---</v>
      </c>
    </row>
    <row r="32" spans="2:11">
      <c r="B32" t="str">
        <f>_xlfn.XLOOKUP($A32,表格1[No.],表格1[Shop],"---",0)</f>
        <v>---</v>
      </c>
      <c r="C32" t="str">
        <f>_xlfn.XLOOKUP($A32,表格1[No.],表格1[Location],"---",0)</f>
        <v>---</v>
      </c>
      <c r="D32" t="str">
        <f>_xlfn.XLOOKUP($A32,表格1[No.],表格1[Name],"---",0)</f>
        <v>---</v>
      </c>
      <c r="E32" t="str">
        <f>_xlfn.XLOOKUP($A32,表格1[No.],表格1[month],"---",0)</f>
        <v>---</v>
      </c>
      <c r="F32" s="12" t="str">
        <f>_xlfn.XLOOKUP($A32,表格1[No.],表格1[date],"---",0)</f>
        <v>---</v>
      </c>
      <c r="G32" t="str">
        <f>_xlfn.XLOOKUP($A32,表格1[No.],表格1[Model],"---",0)</f>
        <v>---</v>
      </c>
      <c r="H32" t="str">
        <f>_xlfn.XLOOKUP($A32,表格1[No.],表格1[QTY],"---",0)</f>
        <v>---</v>
      </c>
      <c r="I32" t="str">
        <f>_xlfn.XLOOKUP($A32,表格1[No.],表格1[Unit Price],"---",0)</f>
        <v>---</v>
      </c>
      <c r="J32" t="str">
        <f>_xlfn.XLOOKUP($A32,表格1[No.],表格1[inv no],"---",0)</f>
        <v>---</v>
      </c>
      <c r="K32" t="str">
        <f>_xlfn.XLOOKUP($A32,表格1[No.],表格1[apps report no.],"---",0)</f>
        <v>---</v>
      </c>
    </row>
    <row r="33" spans="2:11">
      <c r="B33" t="str">
        <f>_xlfn.XLOOKUP($A33,表格1[No.],表格1[Shop],"---",0)</f>
        <v>---</v>
      </c>
      <c r="C33" t="str">
        <f>_xlfn.XLOOKUP($A33,表格1[No.],表格1[Location],"---",0)</f>
        <v>---</v>
      </c>
      <c r="D33" t="str">
        <f>_xlfn.XLOOKUP($A33,表格1[No.],表格1[Name],"---",0)</f>
        <v>---</v>
      </c>
      <c r="E33" t="str">
        <f>_xlfn.XLOOKUP($A33,表格1[No.],表格1[month],"---",0)</f>
        <v>---</v>
      </c>
      <c r="F33" s="12" t="str">
        <f>_xlfn.XLOOKUP($A33,表格1[No.],表格1[date],"---",0)</f>
        <v>---</v>
      </c>
      <c r="G33" t="str">
        <f>_xlfn.XLOOKUP($A33,表格1[No.],表格1[Model],"---",0)</f>
        <v>---</v>
      </c>
      <c r="H33" t="str">
        <f>_xlfn.XLOOKUP($A33,表格1[No.],表格1[QTY],"---",0)</f>
        <v>---</v>
      </c>
      <c r="I33" t="str">
        <f>_xlfn.XLOOKUP($A33,表格1[No.],表格1[Unit Price],"---",0)</f>
        <v>---</v>
      </c>
      <c r="J33" t="str">
        <f>_xlfn.XLOOKUP($A33,表格1[No.],表格1[inv no],"---",0)</f>
        <v>---</v>
      </c>
      <c r="K33" t="str">
        <f>_xlfn.XLOOKUP($A33,表格1[No.],表格1[apps report no.],"---",0)</f>
        <v>---</v>
      </c>
    </row>
    <row r="34" spans="2:11">
      <c r="B34" t="str">
        <f>_xlfn.XLOOKUP($A34,表格1[No.],表格1[Shop],"---",0)</f>
        <v>---</v>
      </c>
      <c r="C34" t="str">
        <f>_xlfn.XLOOKUP($A34,表格1[No.],表格1[Location],"---",0)</f>
        <v>---</v>
      </c>
      <c r="D34" t="str">
        <f>_xlfn.XLOOKUP($A34,表格1[No.],表格1[Name],"---",0)</f>
        <v>---</v>
      </c>
      <c r="E34" t="str">
        <f>_xlfn.XLOOKUP($A34,表格1[No.],表格1[month],"---",0)</f>
        <v>---</v>
      </c>
      <c r="F34" s="12" t="str">
        <f>_xlfn.XLOOKUP($A34,表格1[No.],表格1[date],"---",0)</f>
        <v>---</v>
      </c>
      <c r="G34" t="str">
        <f>_xlfn.XLOOKUP($A34,表格1[No.],表格1[Model],"---",0)</f>
        <v>---</v>
      </c>
      <c r="H34" t="str">
        <f>_xlfn.XLOOKUP($A34,表格1[No.],表格1[QTY],"---",0)</f>
        <v>---</v>
      </c>
      <c r="I34" t="str">
        <f>_xlfn.XLOOKUP($A34,表格1[No.],表格1[Unit Price],"---",0)</f>
        <v>---</v>
      </c>
      <c r="J34" t="str">
        <f>_xlfn.XLOOKUP($A34,表格1[No.],表格1[inv no],"---",0)</f>
        <v>---</v>
      </c>
      <c r="K34" t="str">
        <f>_xlfn.XLOOKUP($A34,表格1[No.],表格1[apps report no.],"---",0)</f>
        <v>---</v>
      </c>
    </row>
    <row r="35" spans="2:11">
      <c r="B35" t="str">
        <f>_xlfn.XLOOKUP($A35,表格1[No.],表格1[Shop],"---",0)</f>
        <v>---</v>
      </c>
      <c r="C35" t="str">
        <f>_xlfn.XLOOKUP($A35,表格1[No.],表格1[Location],"---",0)</f>
        <v>---</v>
      </c>
      <c r="D35" t="str">
        <f>_xlfn.XLOOKUP($A35,表格1[No.],表格1[Name],"---",0)</f>
        <v>---</v>
      </c>
      <c r="E35" t="str">
        <f>_xlfn.XLOOKUP($A35,表格1[No.],表格1[month],"---",0)</f>
        <v>---</v>
      </c>
      <c r="F35" s="12" t="str">
        <f>_xlfn.XLOOKUP($A35,表格1[No.],表格1[date],"---",0)</f>
        <v>---</v>
      </c>
      <c r="G35" t="str">
        <f>_xlfn.XLOOKUP($A35,表格1[No.],表格1[Model],"---",0)</f>
        <v>---</v>
      </c>
      <c r="H35" t="str">
        <f>_xlfn.XLOOKUP($A35,表格1[No.],表格1[QTY],"---",0)</f>
        <v>---</v>
      </c>
      <c r="I35" t="str">
        <f>_xlfn.XLOOKUP($A35,表格1[No.],表格1[Unit Price],"---",0)</f>
        <v>---</v>
      </c>
      <c r="J35" t="str">
        <f>_xlfn.XLOOKUP($A35,表格1[No.],表格1[inv no],"---",0)</f>
        <v>---</v>
      </c>
      <c r="K35" t="str">
        <f>_xlfn.XLOOKUP($A35,表格1[No.],表格1[apps report no.],"---",0)</f>
        <v>---</v>
      </c>
    </row>
    <row r="36" spans="2:11">
      <c r="B36" t="str">
        <f>_xlfn.XLOOKUP($A36,表格1[No.],表格1[Shop],"---",0)</f>
        <v>---</v>
      </c>
      <c r="C36" t="str">
        <f>_xlfn.XLOOKUP($A36,表格1[No.],表格1[Location],"---",0)</f>
        <v>---</v>
      </c>
      <c r="D36" t="str">
        <f>_xlfn.XLOOKUP($A36,表格1[No.],表格1[Name],"---",0)</f>
        <v>---</v>
      </c>
      <c r="E36" t="str">
        <f>_xlfn.XLOOKUP($A36,表格1[No.],表格1[month],"---",0)</f>
        <v>---</v>
      </c>
      <c r="F36" s="12" t="str">
        <f>_xlfn.XLOOKUP($A36,表格1[No.],表格1[date],"---",0)</f>
        <v>---</v>
      </c>
      <c r="G36" t="str">
        <f>_xlfn.XLOOKUP($A36,表格1[No.],表格1[Model],"---",0)</f>
        <v>---</v>
      </c>
      <c r="H36" t="str">
        <f>_xlfn.XLOOKUP($A36,表格1[No.],表格1[QTY],"---",0)</f>
        <v>---</v>
      </c>
      <c r="I36" t="str">
        <f>_xlfn.XLOOKUP($A36,表格1[No.],表格1[Unit Price],"---",0)</f>
        <v>---</v>
      </c>
      <c r="J36" t="str">
        <f>_xlfn.XLOOKUP($A36,表格1[No.],表格1[inv no],"---",0)</f>
        <v>---</v>
      </c>
      <c r="K36" t="str">
        <f>_xlfn.XLOOKUP($A36,表格1[No.],表格1[apps report no.],"---",0)</f>
        <v>---</v>
      </c>
    </row>
    <row r="37" spans="2:11">
      <c r="B37" t="str">
        <f>_xlfn.XLOOKUP($A37,表格1[No.],表格1[Shop],"---",0)</f>
        <v>---</v>
      </c>
      <c r="C37" t="str">
        <f>_xlfn.XLOOKUP($A37,表格1[No.],表格1[Location],"---",0)</f>
        <v>---</v>
      </c>
      <c r="D37" t="str">
        <f>_xlfn.XLOOKUP($A37,表格1[No.],表格1[Name],"---",0)</f>
        <v>---</v>
      </c>
      <c r="E37" t="str">
        <f>_xlfn.XLOOKUP($A37,表格1[No.],表格1[month],"---",0)</f>
        <v>---</v>
      </c>
      <c r="F37" s="12" t="str">
        <f>_xlfn.XLOOKUP($A37,表格1[No.],表格1[date],"---",0)</f>
        <v>---</v>
      </c>
      <c r="G37" t="str">
        <f>_xlfn.XLOOKUP($A37,表格1[No.],表格1[Model],"---",0)</f>
        <v>---</v>
      </c>
      <c r="H37" t="str">
        <f>_xlfn.XLOOKUP($A37,表格1[No.],表格1[QTY],"---",0)</f>
        <v>---</v>
      </c>
      <c r="I37" t="str">
        <f>_xlfn.XLOOKUP($A37,表格1[No.],表格1[Unit Price],"---",0)</f>
        <v>---</v>
      </c>
      <c r="J37" t="str">
        <f>_xlfn.XLOOKUP($A37,表格1[No.],表格1[inv no],"---",0)</f>
        <v>---</v>
      </c>
      <c r="K37" t="str">
        <f>_xlfn.XLOOKUP($A37,表格1[No.],表格1[apps report no.],"---",0)</f>
        <v>---</v>
      </c>
    </row>
    <row r="38" spans="2:11">
      <c r="B38" t="str">
        <f>_xlfn.XLOOKUP($A38,表格1[No.],表格1[Shop],"---",0)</f>
        <v>---</v>
      </c>
      <c r="C38" t="str">
        <f>_xlfn.XLOOKUP($A38,表格1[No.],表格1[Location],"---",0)</f>
        <v>---</v>
      </c>
      <c r="D38" t="str">
        <f>_xlfn.XLOOKUP($A38,表格1[No.],表格1[Name],"---",0)</f>
        <v>---</v>
      </c>
      <c r="E38" t="str">
        <f>_xlfn.XLOOKUP($A38,表格1[No.],表格1[month],"---",0)</f>
        <v>---</v>
      </c>
      <c r="F38" s="12" t="str">
        <f>_xlfn.XLOOKUP($A38,表格1[No.],表格1[date],"---",0)</f>
        <v>---</v>
      </c>
      <c r="G38" t="str">
        <f>_xlfn.XLOOKUP($A38,表格1[No.],表格1[Model],"---",0)</f>
        <v>---</v>
      </c>
      <c r="H38" t="str">
        <f>_xlfn.XLOOKUP($A38,表格1[No.],表格1[QTY],"---",0)</f>
        <v>---</v>
      </c>
      <c r="I38" t="str">
        <f>_xlfn.XLOOKUP($A38,表格1[No.],表格1[Unit Price],"---",0)</f>
        <v>---</v>
      </c>
      <c r="J38" t="str">
        <f>_xlfn.XLOOKUP($A38,表格1[No.],表格1[inv no],"---",0)</f>
        <v>---</v>
      </c>
      <c r="K38" t="str">
        <f>_xlfn.XLOOKUP($A38,表格1[No.],表格1[apps report no.],"---",0)</f>
        <v>---</v>
      </c>
    </row>
    <row r="39" spans="2:11">
      <c r="B39" t="str">
        <f>_xlfn.XLOOKUP($A39,表格1[No.],表格1[Shop],"---",0)</f>
        <v>---</v>
      </c>
      <c r="C39" t="str">
        <f>_xlfn.XLOOKUP($A39,表格1[No.],表格1[Location],"---",0)</f>
        <v>---</v>
      </c>
      <c r="D39" t="str">
        <f>_xlfn.XLOOKUP($A39,表格1[No.],表格1[Name],"---",0)</f>
        <v>---</v>
      </c>
      <c r="E39" t="str">
        <f>_xlfn.XLOOKUP($A39,表格1[No.],表格1[month],"---",0)</f>
        <v>---</v>
      </c>
      <c r="F39" s="12" t="str">
        <f>_xlfn.XLOOKUP($A39,表格1[No.],表格1[date],"---",0)</f>
        <v>---</v>
      </c>
      <c r="G39" t="str">
        <f>_xlfn.XLOOKUP($A39,表格1[No.],表格1[Model],"---",0)</f>
        <v>---</v>
      </c>
      <c r="H39" t="str">
        <f>_xlfn.XLOOKUP($A39,表格1[No.],表格1[QTY],"---",0)</f>
        <v>---</v>
      </c>
      <c r="I39" t="str">
        <f>_xlfn.XLOOKUP($A39,表格1[No.],表格1[Unit Price],"---",0)</f>
        <v>---</v>
      </c>
      <c r="J39" t="str">
        <f>_xlfn.XLOOKUP($A39,表格1[No.],表格1[inv no],"---",0)</f>
        <v>---</v>
      </c>
      <c r="K39" t="str">
        <f>_xlfn.XLOOKUP($A39,表格1[No.],表格1[apps report no.],"---",0)</f>
        <v>---</v>
      </c>
    </row>
    <row r="40" spans="2:11">
      <c r="B40" t="str">
        <f>_xlfn.XLOOKUP($A40,表格1[No.],表格1[Shop],"---",0)</f>
        <v>---</v>
      </c>
      <c r="C40" t="str">
        <f>_xlfn.XLOOKUP($A40,表格1[No.],表格1[Location],"---",0)</f>
        <v>---</v>
      </c>
      <c r="D40" t="str">
        <f>_xlfn.XLOOKUP($A40,表格1[No.],表格1[Name],"---",0)</f>
        <v>---</v>
      </c>
      <c r="E40" t="str">
        <f>_xlfn.XLOOKUP($A40,表格1[No.],表格1[month],"---",0)</f>
        <v>---</v>
      </c>
      <c r="F40" s="12" t="str">
        <f>_xlfn.XLOOKUP($A40,表格1[No.],表格1[date],"---",0)</f>
        <v>---</v>
      </c>
      <c r="G40" t="str">
        <f>_xlfn.XLOOKUP($A40,表格1[No.],表格1[Model],"---",0)</f>
        <v>---</v>
      </c>
      <c r="H40" t="str">
        <f>_xlfn.XLOOKUP($A40,表格1[No.],表格1[QTY],"---",0)</f>
        <v>---</v>
      </c>
      <c r="I40" t="str">
        <f>_xlfn.XLOOKUP($A40,表格1[No.],表格1[Unit Price],"---",0)</f>
        <v>---</v>
      </c>
      <c r="J40" t="str">
        <f>_xlfn.XLOOKUP($A40,表格1[No.],表格1[inv no],"---",0)</f>
        <v>---</v>
      </c>
      <c r="K40" t="str">
        <f>_xlfn.XLOOKUP($A40,表格1[No.],表格1[apps report no.],"---",0)</f>
        <v>---</v>
      </c>
    </row>
    <row r="41" spans="2:11">
      <c r="B41" t="str">
        <f>_xlfn.XLOOKUP($A41,表格1[No.],表格1[Shop],"---",0)</f>
        <v>---</v>
      </c>
      <c r="C41" t="str">
        <f>_xlfn.XLOOKUP($A41,表格1[No.],表格1[Location],"---",0)</f>
        <v>---</v>
      </c>
      <c r="D41" t="str">
        <f>_xlfn.XLOOKUP($A41,表格1[No.],表格1[Name],"---",0)</f>
        <v>---</v>
      </c>
      <c r="E41" t="str">
        <f>_xlfn.XLOOKUP($A41,表格1[No.],表格1[month],"---",0)</f>
        <v>---</v>
      </c>
      <c r="F41" s="12" t="str">
        <f>_xlfn.XLOOKUP($A41,表格1[No.],表格1[date],"---",0)</f>
        <v>---</v>
      </c>
      <c r="G41" t="str">
        <f>_xlfn.XLOOKUP($A41,表格1[No.],表格1[Model],"---",0)</f>
        <v>---</v>
      </c>
      <c r="H41" t="str">
        <f>_xlfn.XLOOKUP($A41,表格1[No.],表格1[QTY],"---",0)</f>
        <v>---</v>
      </c>
      <c r="I41" t="str">
        <f>_xlfn.XLOOKUP($A41,表格1[No.],表格1[Unit Price],"---",0)</f>
        <v>---</v>
      </c>
      <c r="J41" t="str">
        <f>_xlfn.XLOOKUP($A41,表格1[No.],表格1[inv no],"---",0)</f>
        <v>---</v>
      </c>
      <c r="K41" t="str">
        <f>_xlfn.XLOOKUP($A41,表格1[No.],表格1[apps report no.],"---",0)</f>
        <v>---</v>
      </c>
    </row>
    <row r="42" spans="2:11">
      <c r="B42" t="str">
        <f>_xlfn.XLOOKUP($A42,表格1[No.],表格1[Shop],"---",0)</f>
        <v>---</v>
      </c>
      <c r="C42" t="str">
        <f>_xlfn.XLOOKUP($A42,表格1[No.],表格1[Location],"---",0)</f>
        <v>---</v>
      </c>
      <c r="D42" t="str">
        <f>_xlfn.XLOOKUP($A42,表格1[No.],表格1[Name],"---",0)</f>
        <v>---</v>
      </c>
      <c r="E42" t="str">
        <f>_xlfn.XLOOKUP($A42,表格1[No.],表格1[month],"---",0)</f>
        <v>---</v>
      </c>
      <c r="F42" s="12" t="str">
        <f>_xlfn.XLOOKUP($A42,表格1[No.],表格1[date],"---",0)</f>
        <v>---</v>
      </c>
      <c r="G42" t="str">
        <f>_xlfn.XLOOKUP($A42,表格1[No.],表格1[Model],"---",0)</f>
        <v>---</v>
      </c>
      <c r="H42" t="str">
        <f>_xlfn.XLOOKUP($A42,表格1[No.],表格1[QTY],"---",0)</f>
        <v>---</v>
      </c>
      <c r="I42" t="str">
        <f>_xlfn.XLOOKUP($A42,表格1[No.],表格1[Unit Price],"---",0)</f>
        <v>---</v>
      </c>
      <c r="J42" t="str">
        <f>_xlfn.XLOOKUP($A42,表格1[No.],表格1[inv no],"---",0)</f>
        <v>---</v>
      </c>
      <c r="K42" t="str">
        <f>_xlfn.XLOOKUP($A42,表格1[No.],表格1[apps report no.],"---",0)</f>
        <v>---</v>
      </c>
    </row>
    <row r="43" spans="2:11">
      <c r="B43" t="str">
        <f>_xlfn.XLOOKUP($A43,表格1[No.],表格1[Shop],"---",0)</f>
        <v>---</v>
      </c>
      <c r="C43" t="str">
        <f>_xlfn.XLOOKUP($A43,表格1[No.],表格1[Location],"---",0)</f>
        <v>---</v>
      </c>
      <c r="D43" t="str">
        <f>_xlfn.XLOOKUP($A43,表格1[No.],表格1[Name],"---",0)</f>
        <v>---</v>
      </c>
      <c r="E43" t="str">
        <f>_xlfn.XLOOKUP($A43,表格1[No.],表格1[month],"---",0)</f>
        <v>---</v>
      </c>
      <c r="F43" s="12" t="str">
        <f>_xlfn.XLOOKUP($A43,表格1[No.],表格1[date],"---",0)</f>
        <v>---</v>
      </c>
      <c r="G43" t="str">
        <f>_xlfn.XLOOKUP($A43,表格1[No.],表格1[Model],"---",0)</f>
        <v>---</v>
      </c>
      <c r="H43" t="str">
        <f>_xlfn.XLOOKUP($A43,表格1[No.],表格1[QTY],"---",0)</f>
        <v>---</v>
      </c>
      <c r="I43" t="str">
        <f>_xlfn.XLOOKUP($A43,表格1[No.],表格1[Unit Price],"---",0)</f>
        <v>---</v>
      </c>
      <c r="J43" t="str">
        <f>_xlfn.XLOOKUP($A43,表格1[No.],表格1[inv no],"---",0)</f>
        <v>---</v>
      </c>
      <c r="K43" t="str">
        <f>_xlfn.XLOOKUP($A43,表格1[No.],表格1[apps report no.],"---",0)</f>
        <v>---</v>
      </c>
    </row>
    <row r="44" spans="2:11">
      <c r="B44" t="str">
        <f>_xlfn.XLOOKUP($A44,表格1[No.],表格1[Shop],"---",0)</f>
        <v>---</v>
      </c>
      <c r="C44" t="str">
        <f>_xlfn.XLOOKUP($A44,表格1[No.],表格1[Location],"---",0)</f>
        <v>---</v>
      </c>
      <c r="D44" t="str">
        <f>_xlfn.XLOOKUP($A44,表格1[No.],表格1[Name],"---",0)</f>
        <v>---</v>
      </c>
      <c r="E44" t="str">
        <f>_xlfn.XLOOKUP($A44,表格1[No.],表格1[month],"---",0)</f>
        <v>---</v>
      </c>
      <c r="F44" s="12" t="str">
        <f>_xlfn.XLOOKUP($A44,表格1[No.],表格1[date],"---",0)</f>
        <v>---</v>
      </c>
      <c r="G44" t="str">
        <f>_xlfn.XLOOKUP($A44,表格1[No.],表格1[Model],"---",0)</f>
        <v>---</v>
      </c>
      <c r="H44" t="str">
        <f>_xlfn.XLOOKUP($A44,表格1[No.],表格1[QTY],"---",0)</f>
        <v>---</v>
      </c>
      <c r="I44" t="str">
        <f>_xlfn.XLOOKUP($A44,表格1[No.],表格1[Unit Price],"---",0)</f>
        <v>---</v>
      </c>
      <c r="J44" t="str">
        <f>_xlfn.XLOOKUP($A44,表格1[No.],表格1[inv no],"---",0)</f>
        <v>---</v>
      </c>
      <c r="K44" t="str">
        <f>_xlfn.XLOOKUP($A44,表格1[No.],表格1[apps report no.],"---",0)</f>
        <v>---</v>
      </c>
    </row>
    <row r="45" spans="2:11">
      <c r="B45" t="str">
        <f>_xlfn.XLOOKUP($A45,表格1[No.],表格1[Shop],"---",0)</f>
        <v>---</v>
      </c>
      <c r="C45" t="str">
        <f>_xlfn.XLOOKUP($A45,表格1[No.],表格1[Location],"---",0)</f>
        <v>---</v>
      </c>
      <c r="D45" t="str">
        <f>_xlfn.XLOOKUP($A45,表格1[No.],表格1[Name],"---",0)</f>
        <v>---</v>
      </c>
      <c r="E45" t="str">
        <f>_xlfn.XLOOKUP($A45,表格1[No.],表格1[month],"---",0)</f>
        <v>---</v>
      </c>
      <c r="F45" s="12" t="str">
        <f>_xlfn.XLOOKUP($A45,表格1[No.],表格1[date],"---",0)</f>
        <v>---</v>
      </c>
      <c r="G45" t="str">
        <f>_xlfn.XLOOKUP($A45,表格1[No.],表格1[Model],"---",0)</f>
        <v>---</v>
      </c>
      <c r="H45" t="str">
        <f>_xlfn.XLOOKUP($A45,表格1[No.],表格1[QTY],"---",0)</f>
        <v>---</v>
      </c>
      <c r="I45" t="str">
        <f>_xlfn.XLOOKUP($A45,表格1[No.],表格1[Unit Price],"---",0)</f>
        <v>---</v>
      </c>
      <c r="J45" t="str">
        <f>_xlfn.XLOOKUP($A45,表格1[No.],表格1[inv no],"---",0)</f>
        <v>---</v>
      </c>
      <c r="K45" t="str">
        <f>_xlfn.XLOOKUP($A45,表格1[No.],表格1[apps report no.],"---",0)</f>
        <v>---</v>
      </c>
    </row>
    <row r="46" spans="2:11">
      <c r="B46" t="str">
        <f>_xlfn.XLOOKUP($A46,表格1[No.],表格1[Shop],"---",0)</f>
        <v>---</v>
      </c>
      <c r="C46" t="str">
        <f>_xlfn.XLOOKUP($A46,表格1[No.],表格1[Location],"---",0)</f>
        <v>---</v>
      </c>
      <c r="D46" t="str">
        <f>_xlfn.XLOOKUP($A46,表格1[No.],表格1[Name],"---",0)</f>
        <v>---</v>
      </c>
      <c r="E46" t="str">
        <f>_xlfn.XLOOKUP($A46,表格1[No.],表格1[month],"---",0)</f>
        <v>---</v>
      </c>
      <c r="F46" s="12" t="str">
        <f>_xlfn.XLOOKUP($A46,表格1[No.],表格1[date],"---",0)</f>
        <v>---</v>
      </c>
      <c r="G46" t="str">
        <f>_xlfn.XLOOKUP($A46,表格1[No.],表格1[Model],"---",0)</f>
        <v>---</v>
      </c>
      <c r="H46" t="str">
        <f>_xlfn.XLOOKUP($A46,表格1[No.],表格1[QTY],"---",0)</f>
        <v>---</v>
      </c>
      <c r="I46" t="str">
        <f>_xlfn.XLOOKUP($A46,表格1[No.],表格1[Unit Price],"---",0)</f>
        <v>---</v>
      </c>
      <c r="J46" t="str">
        <f>_xlfn.XLOOKUP($A46,表格1[No.],表格1[inv no],"---",0)</f>
        <v>---</v>
      </c>
      <c r="K46" t="str">
        <f>_xlfn.XLOOKUP($A46,表格1[No.],表格1[apps report no.],"---",0)</f>
        <v>---</v>
      </c>
    </row>
    <row r="47" spans="2:11">
      <c r="B47" t="str">
        <f>_xlfn.XLOOKUP($A47,表格1[No.],表格1[Shop],"---",0)</f>
        <v>---</v>
      </c>
      <c r="C47" t="str">
        <f>_xlfn.XLOOKUP($A47,表格1[No.],表格1[Location],"---",0)</f>
        <v>---</v>
      </c>
      <c r="D47" t="str">
        <f>_xlfn.XLOOKUP($A47,表格1[No.],表格1[Name],"---",0)</f>
        <v>---</v>
      </c>
      <c r="E47" t="str">
        <f>_xlfn.XLOOKUP($A47,表格1[No.],表格1[month],"---",0)</f>
        <v>---</v>
      </c>
      <c r="F47" s="12" t="str">
        <f>_xlfn.XLOOKUP($A47,表格1[No.],表格1[date],"---",0)</f>
        <v>---</v>
      </c>
      <c r="G47" t="str">
        <f>_xlfn.XLOOKUP($A47,表格1[No.],表格1[Model],"---",0)</f>
        <v>---</v>
      </c>
      <c r="H47" t="str">
        <f>_xlfn.XLOOKUP($A47,表格1[No.],表格1[QTY],"---",0)</f>
        <v>---</v>
      </c>
      <c r="I47" t="str">
        <f>_xlfn.XLOOKUP($A47,表格1[No.],表格1[Unit Price],"---",0)</f>
        <v>---</v>
      </c>
      <c r="J47" t="str">
        <f>_xlfn.XLOOKUP($A47,表格1[No.],表格1[inv no],"---",0)</f>
        <v>---</v>
      </c>
      <c r="K47" t="str">
        <f>_xlfn.XLOOKUP($A47,表格1[No.],表格1[apps report no.],"---",0)</f>
        <v>---</v>
      </c>
    </row>
    <row r="48" spans="2:11">
      <c r="B48" t="str">
        <f>_xlfn.XLOOKUP($A48,表格1[No.],表格1[Shop],"---",0)</f>
        <v>---</v>
      </c>
      <c r="C48" t="str">
        <f>_xlfn.XLOOKUP($A48,表格1[No.],表格1[Location],"---",0)</f>
        <v>---</v>
      </c>
      <c r="D48" t="str">
        <f>_xlfn.XLOOKUP($A48,表格1[No.],表格1[Name],"---",0)</f>
        <v>---</v>
      </c>
      <c r="E48" t="str">
        <f>_xlfn.XLOOKUP($A48,表格1[No.],表格1[month],"---",0)</f>
        <v>---</v>
      </c>
      <c r="F48" s="12" t="str">
        <f>_xlfn.XLOOKUP($A48,表格1[No.],表格1[date],"---",0)</f>
        <v>---</v>
      </c>
      <c r="G48" t="str">
        <f>_xlfn.XLOOKUP($A48,表格1[No.],表格1[Model],"---",0)</f>
        <v>---</v>
      </c>
      <c r="H48" t="str">
        <f>_xlfn.XLOOKUP($A48,表格1[No.],表格1[QTY],"---",0)</f>
        <v>---</v>
      </c>
      <c r="I48" t="str">
        <f>_xlfn.XLOOKUP($A48,表格1[No.],表格1[Unit Price],"---",0)</f>
        <v>---</v>
      </c>
      <c r="J48" t="str">
        <f>_xlfn.XLOOKUP($A48,表格1[No.],表格1[inv no],"---",0)</f>
        <v>---</v>
      </c>
      <c r="K48" t="str">
        <f>_xlfn.XLOOKUP($A48,表格1[No.],表格1[apps report no.],"---",0)</f>
        <v>---</v>
      </c>
    </row>
    <row r="49" spans="2:11">
      <c r="B49" t="str">
        <f>_xlfn.XLOOKUP($A49,表格1[No.],表格1[Shop],"---",0)</f>
        <v>---</v>
      </c>
      <c r="C49" t="str">
        <f>_xlfn.XLOOKUP($A49,表格1[No.],表格1[Location],"---",0)</f>
        <v>---</v>
      </c>
      <c r="D49" t="str">
        <f>_xlfn.XLOOKUP($A49,表格1[No.],表格1[Name],"---",0)</f>
        <v>---</v>
      </c>
      <c r="E49" t="str">
        <f>_xlfn.XLOOKUP($A49,表格1[No.],表格1[month],"---",0)</f>
        <v>---</v>
      </c>
      <c r="F49" s="12" t="str">
        <f>_xlfn.XLOOKUP($A49,表格1[No.],表格1[date],"---",0)</f>
        <v>---</v>
      </c>
      <c r="G49" t="str">
        <f>_xlfn.XLOOKUP($A49,表格1[No.],表格1[Model],"---",0)</f>
        <v>---</v>
      </c>
      <c r="H49" t="str">
        <f>_xlfn.XLOOKUP($A49,表格1[No.],表格1[QTY],"---",0)</f>
        <v>---</v>
      </c>
      <c r="I49" t="str">
        <f>_xlfn.XLOOKUP($A49,表格1[No.],表格1[Unit Price],"---",0)</f>
        <v>---</v>
      </c>
      <c r="J49" t="str">
        <f>_xlfn.XLOOKUP($A49,表格1[No.],表格1[inv no],"---",0)</f>
        <v>---</v>
      </c>
      <c r="K49" t="str">
        <f>_xlfn.XLOOKUP($A49,表格1[No.],表格1[apps report no.],"---",0)</f>
        <v>---</v>
      </c>
    </row>
    <row r="50" spans="2:11">
      <c r="B50" t="str">
        <f>_xlfn.XLOOKUP($A50,表格1[No.],表格1[Shop],"---",0)</f>
        <v>---</v>
      </c>
      <c r="C50" t="str">
        <f>_xlfn.XLOOKUP($A50,表格1[No.],表格1[Location],"---",0)</f>
        <v>---</v>
      </c>
      <c r="D50" t="str">
        <f>_xlfn.XLOOKUP($A50,表格1[No.],表格1[Name],"---",0)</f>
        <v>---</v>
      </c>
      <c r="E50" t="str">
        <f>_xlfn.XLOOKUP($A50,表格1[No.],表格1[month],"---",0)</f>
        <v>---</v>
      </c>
      <c r="F50" s="12" t="str">
        <f>_xlfn.XLOOKUP($A50,表格1[No.],表格1[date],"---",0)</f>
        <v>---</v>
      </c>
      <c r="G50" t="str">
        <f>_xlfn.XLOOKUP($A50,表格1[No.],表格1[Model],"---",0)</f>
        <v>---</v>
      </c>
      <c r="H50" t="str">
        <f>_xlfn.XLOOKUP($A50,表格1[No.],表格1[QTY],"---",0)</f>
        <v>---</v>
      </c>
      <c r="I50" t="str">
        <f>_xlfn.XLOOKUP($A50,表格1[No.],表格1[Unit Price],"---",0)</f>
        <v>---</v>
      </c>
      <c r="J50" t="str">
        <f>_xlfn.XLOOKUP($A50,表格1[No.],表格1[inv no],"---",0)</f>
        <v>---</v>
      </c>
      <c r="K50" t="str">
        <f>_xlfn.XLOOKUP($A50,表格1[No.],表格1[apps report no.],"---",0)</f>
        <v>---</v>
      </c>
    </row>
    <row r="51" spans="2:11">
      <c r="B51" t="str">
        <f>_xlfn.XLOOKUP($A51,表格1[No.],表格1[Shop],"---",0)</f>
        <v>---</v>
      </c>
      <c r="C51" t="str">
        <f>_xlfn.XLOOKUP($A51,表格1[No.],表格1[Location],"---",0)</f>
        <v>---</v>
      </c>
      <c r="D51" t="str">
        <f>_xlfn.XLOOKUP($A51,表格1[No.],表格1[Name],"---",0)</f>
        <v>---</v>
      </c>
      <c r="E51" t="str">
        <f>_xlfn.XLOOKUP($A51,表格1[No.],表格1[month],"---",0)</f>
        <v>---</v>
      </c>
      <c r="F51" s="12" t="str">
        <f>_xlfn.XLOOKUP($A51,表格1[No.],表格1[date],"---",0)</f>
        <v>---</v>
      </c>
      <c r="G51" t="str">
        <f>_xlfn.XLOOKUP($A51,表格1[No.],表格1[Model],"---",0)</f>
        <v>---</v>
      </c>
      <c r="H51" t="str">
        <f>_xlfn.XLOOKUP($A51,表格1[No.],表格1[QTY],"---",0)</f>
        <v>---</v>
      </c>
      <c r="I51" t="str">
        <f>_xlfn.XLOOKUP($A51,表格1[No.],表格1[Unit Price],"---",0)</f>
        <v>---</v>
      </c>
      <c r="J51" t="str">
        <f>_xlfn.XLOOKUP($A51,表格1[No.],表格1[inv no],"---",0)</f>
        <v>---</v>
      </c>
      <c r="K51" t="str">
        <f>_xlfn.XLOOKUP($A51,表格1[No.],表格1[apps report no.],"---",0)</f>
        <v>---</v>
      </c>
    </row>
    <row r="52" spans="2:11">
      <c r="B52" t="str">
        <f>_xlfn.XLOOKUP($A52,表格1[No.],表格1[Shop],"---",0)</f>
        <v>---</v>
      </c>
      <c r="C52" t="str">
        <f>_xlfn.XLOOKUP($A52,表格1[No.],表格1[Location],"---",0)</f>
        <v>---</v>
      </c>
      <c r="D52" t="str">
        <f>_xlfn.XLOOKUP($A52,表格1[No.],表格1[Name],"---",0)</f>
        <v>---</v>
      </c>
      <c r="E52" t="str">
        <f>_xlfn.XLOOKUP($A52,表格1[No.],表格1[month],"---",0)</f>
        <v>---</v>
      </c>
      <c r="F52" s="12" t="str">
        <f>_xlfn.XLOOKUP($A52,表格1[No.],表格1[date],"---",0)</f>
        <v>---</v>
      </c>
      <c r="G52" t="str">
        <f>_xlfn.XLOOKUP($A52,表格1[No.],表格1[Model],"---",0)</f>
        <v>---</v>
      </c>
      <c r="H52" t="str">
        <f>_xlfn.XLOOKUP($A52,表格1[No.],表格1[QTY],"---",0)</f>
        <v>---</v>
      </c>
      <c r="I52" t="str">
        <f>_xlfn.XLOOKUP($A52,表格1[No.],表格1[Unit Price],"---",0)</f>
        <v>---</v>
      </c>
      <c r="J52" t="str">
        <f>_xlfn.XLOOKUP($A52,表格1[No.],表格1[inv no],"---",0)</f>
        <v>---</v>
      </c>
      <c r="K52" t="str">
        <f>_xlfn.XLOOKUP($A52,表格1[No.],表格1[apps report no.],"---",0)</f>
        <v>---</v>
      </c>
    </row>
    <row r="53" spans="2:11">
      <c r="B53" t="str">
        <f>_xlfn.XLOOKUP($A53,表格1[No.],表格1[Shop],"---",0)</f>
        <v>---</v>
      </c>
      <c r="C53" t="str">
        <f>_xlfn.XLOOKUP($A53,表格1[No.],表格1[Location],"---",0)</f>
        <v>---</v>
      </c>
      <c r="D53" t="str">
        <f>_xlfn.XLOOKUP($A53,表格1[No.],表格1[Name],"---",0)</f>
        <v>---</v>
      </c>
      <c r="E53" t="str">
        <f>_xlfn.XLOOKUP($A53,表格1[No.],表格1[month],"---",0)</f>
        <v>---</v>
      </c>
      <c r="F53" s="12" t="str">
        <f>_xlfn.XLOOKUP($A53,表格1[No.],表格1[date],"---",0)</f>
        <v>---</v>
      </c>
      <c r="G53" t="str">
        <f>_xlfn.XLOOKUP($A53,表格1[No.],表格1[Model],"---",0)</f>
        <v>---</v>
      </c>
      <c r="H53" t="str">
        <f>_xlfn.XLOOKUP($A53,表格1[No.],表格1[QTY],"---",0)</f>
        <v>---</v>
      </c>
      <c r="I53" t="str">
        <f>_xlfn.XLOOKUP($A53,表格1[No.],表格1[Unit Price],"---",0)</f>
        <v>---</v>
      </c>
      <c r="J53" t="str">
        <f>_xlfn.XLOOKUP($A53,表格1[No.],表格1[inv no],"---",0)</f>
        <v>---</v>
      </c>
      <c r="K53" t="str">
        <f>_xlfn.XLOOKUP($A53,表格1[No.],表格1[apps report no.],"---",0)</f>
        <v>---</v>
      </c>
    </row>
    <row r="54" spans="2:11">
      <c r="B54" t="str">
        <f>_xlfn.XLOOKUP($A54,表格1[No.],表格1[Shop],"---",0)</f>
        <v>---</v>
      </c>
      <c r="C54" t="str">
        <f>_xlfn.XLOOKUP($A54,表格1[No.],表格1[Location],"---",0)</f>
        <v>---</v>
      </c>
      <c r="D54" t="str">
        <f>_xlfn.XLOOKUP($A54,表格1[No.],表格1[Name],"---",0)</f>
        <v>---</v>
      </c>
      <c r="E54" t="str">
        <f>_xlfn.XLOOKUP($A54,表格1[No.],表格1[month],"---",0)</f>
        <v>---</v>
      </c>
      <c r="F54" s="12" t="str">
        <f>_xlfn.XLOOKUP($A54,表格1[No.],表格1[date],"---",0)</f>
        <v>---</v>
      </c>
      <c r="G54" t="str">
        <f>_xlfn.XLOOKUP($A54,表格1[No.],表格1[Model],"---",0)</f>
        <v>---</v>
      </c>
      <c r="H54" t="str">
        <f>_xlfn.XLOOKUP($A54,表格1[No.],表格1[QTY],"---",0)</f>
        <v>---</v>
      </c>
      <c r="I54" t="str">
        <f>_xlfn.XLOOKUP($A54,表格1[No.],表格1[Unit Price],"---",0)</f>
        <v>---</v>
      </c>
      <c r="J54" t="str">
        <f>_xlfn.XLOOKUP($A54,表格1[No.],表格1[inv no],"---",0)</f>
        <v>---</v>
      </c>
      <c r="K54" t="str">
        <f>_xlfn.XLOOKUP($A54,表格1[No.],表格1[apps report no.],"---",0)</f>
        <v>---</v>
      </c>
    </row>
    <row r="55" spans="2:11">
      <c r="B55" t="str">
        <f>_xlfn.XLOOKUP($A55,表格1[No.],表格1[Shop],"---",0)</f>
        <v>---</v>
      </c>
      <c r="C55" t="str">
        <f>_xlfn.XLOOKUP($A55,表格1[No.],表格1[Location],"---",0)</f>
        <v>---</v>
      </c>
      <c r="D55" t="str">
        <f>_xlfn.XLOOKUP($A55,表格1[No.],表格1[Name],"---",0)</f>
        <v>---</v>
      </c>
      <c r="E55" t="str">
        <f>_xlfn.XLOOKUP($A55,表格1[No.],表格1[month],"---",0)</f>
        <v>---</v>
      </c>
      <c r="F55" s="12" t="str">
        <f>_xlfn.XLOOKUP($A55,表格1[No.],表格1[date],"---",0)</f>
        <v>---</v>
      </c>
      <c r="G55" t="str">
        <f>_xlfn.XLOOKUP($A55,表格1[No.],表格1[Model],"---",0)</f>
        <v>---</v>
      </c>
      <c r="H55" t="str">
        <f>_xlfn.XLOOKUP($A55,表格1[No.],表格1[QTY],"---",0)</f>
        <v>---</v>
      </c>
      <c r="I55" t="str">
        <f>_xlfn.XLOOKUP($A55,表格1[No.],表格1[Unit Price],"---",0)</f>
        <v>---</v>
      </c>
      <c r="J55" t="str">
        <f>_xlfn.XLOOKUP($A55,表格1[No.],表格1[inv no],"---",0)</f>
        <v>---</v>
      </c>
      <c r="K55" t="str">
        <f>_xlfn.XLOOKUP($A55,表格1[No.],表格1[apps report no.],"---",0)</f>
        <v>---</v>
      </c>
    </row>
    <row r="56" spans="2:11">
      <c r="B56" t="str">
        <f>_xlfn.XLOOKUP($A56,表格1[No.],表格1[Shop],"---",0)</f>
        <v>---</v>
      </c>
      <c r="C56" t="str">
        <f>_xlfn.XLOOKUP($A56,表格1[No.],表格1[Location],"---",0)</f>
        <v>---</v>
      </c>
      <c r="D56" t="str">
        <f>_xlfn.XLOOKUP($A56,表格1[No.],表格1[Name],"---",0)</f>
        <v>---</v>
      </c>
      <c r="E56" t="str">
        <f>_xlfn.XLOOKUP($A56,表格1[No.],表格1[month],"---",0)</f>
        <v>---</v>
      </c>
      <c r="F56" s="12" t="str">
        <f>_xlfn.XLOOKUP($A56,表格1[No.],表格1[date],"---",0)</f>
        <v>---</v>
      </c>
      <c r="G56" t="str">
        <f>_xlfn.XLOOKUP($A56,表格1[No.],表格1[Model],"---",0)</f>
        <v>---</v>
      </c>
      <c r="H56" t="str">
        <f>_xlfn.XLOOKUP($A56,表格1[No.],表格1[QTY],"---",0)</f>
        <v>---</v>
      </c>
      <c r="I56" t="str">
        <f>_xlfn.XLOOKUP($A56,表格1[No.],表格1[Unit Price],"---",0)</f>
        <v>---</v>
      </c>
      <c r="J56" t="str">
        <f>_xlfn.XLOOKUP($A56,表格1[No.],表格1[inv no],"---",0)</f>
        <v>---</v>
      </c>
      <c r="K56" t="str">
        <f>_xlfn.XLOOKUP($A56,表格1[No.],表格1[apps report no.],"---",0)</f>
        <v>---</v>
      </c>
    </row>
    <row r="57" spans="2:11">
      <c r="B57" t="str">
        <f>_xlfn.XLOOKUP($A57,表格1[No.],表格1[Shop],"---",0)</f>
        <v>---</v>
      </c>
      <c r="C57" t="str">
        <f>_xlfn.XLOOKUP($A57,表格1[No.],表格1[Location],"---",0)</f>
        <v>---</v>
      </c>
      <c r="D57" t="str">
        <f>_xlfn.XLOOKUP($A57,表格1[No.],表格1[Name],"---",0)</f>
        <v>---</v>
      </c>
      <c r="E57" t="str">
        <f>_xlfn.XLOOKUP($A57,表格1[No.],表格1[month],"---",0)</f>
        <v>---</v>
      </c>
      <c r="F57" s="12" t="str">
        <f>_xlfn.XLOOKUP($A57,表格1[No.],表格1[date],"---",0)</f>
        <v>---</v>
      </c>
      <c r="G57" t="str">
        <f>_xlfn.XLOOKUP($A57,表格1[No.],表格1[Model],"---",0)</f>
        <v>---</v>
      </c>
      <c r="H57" t="str">
        <f>_xlfn.XLOOKUP($A57,表格1[No.],表格1[QTY],"---",0)</f>
        <v>---</v>
      </c>
      <c r="I57" t="str">
        <f>_xlfn.XLOOKUP($A57,表格1[No.],表格1[Unit Price],"---",0)</f>
        <v>---</v>
      </c>
      <c r="J57" t="str">
        <f>_xlfn.XLOOKUP($A57,表格1[No.],表格1[inv no],"---",0)</f>
        <v>---</v>
      </c>
      <c r="K57" t="str">
        <f>_xlfn.XLOOKUP($A57,表格1[No.],表格1[apps report no.],"---",0)</f>
        <v>---</v>
      </c>
    </row>
    <row r="58" spans="2:11">
      <c r="B58" t="str">
        <f>_xlfn.XLOOKUP($A58,表格1[No.],表格1[Shop],"---",0)</f>
        <v>---</v>
      </c>
      <c r="C58" t="str">
        <f>_xlfn.XLOOKUP($A58,表格1[No.],表格1[Location],"---",0)</f>
        <v>---</v>
      </c>
      <c r="D58" t="str">
        <f>_xlfn.XLOOKUP($A58,表格1[No.],表格1[Name],"---",0)</f>
        <v>---</v>
      </c>
      <c r="E58" t="str">
        <f>_xlfn.XLOOKUP($A58,表格1[No.],表格1[month],"---",0)</f>
        <v>---</v>
      </c>
      <c r="F58" s="12" t="str">
        <f>_xlfn.XLOOKUP($A58,表格1[No.],表格1[date],"---",0)</f>
        <v>---</v>
      </c>
      <c r="G58" t="str">
        <f>_xlfn.XLOOKUP($A58,表格1[No.],表格1[Model],"---",0)</f>
        <v>---</v>
      </c>
      <c r="H58" t="str">
        <f>_xlfn.XLOOKUP($A58,表格1[No.],表格1[QTY],"---",0)</f>
        <v>---</v>
      </c>
      <c r="I58" t="str">
        <f>_xlfn.XLOOKUP($A58,表格1[No.],表格1[Unit Price],"---",0)</f>
        <v>---</v>
      </c>
      <c r="J58" t="str">
        <f>_xlfn.XLOOKUP($A58,表格1[No.],表格1[inv no],"---",0)</f>
        <v>---</v>
      </c>
      <c r="K58" t="str">
        <f>_xlfn.XLOOKUP($A58,表格1[No.],表格1[apps report no.],"---",0)</f>
        <v>---</v>
      </c>
    </row>
    <row r="59" spans="2:11">
      <c r="B59" t="str">
        <f>_xlfn.XLOOKUP($A59,表格1[No.],表格1[Shop],"---",0)</f>
        <v>---</v>
      </c>
      <c r="C59" t="str">
        <f>_xlfn.XLOOKUP($A59,表格1[No.],表格1[Location],"---",0)</f>
        <v>---</v>
      </c>
      <c r="D59" t="str">
        <f>_xlfn.XLOOKUP($A59,表格1[No.],表格1[Name],"---",0)</f>
        <v>---</v>
      </c>
      <c r="E59" t="str">
        <f>_xlfn.XLOOKUP($A59,表格1[No.],表格1[month],"---",0)</f>
        <v>---</v>
      </c>
      <c r="F59" s="12" t="str">
        <f>_xlfn.XLOOKUP($A59,表格1[No.],表格1[date],"---",0)</f>
        <v>---</v>
      </c>
      <c r="G59" t="str">
        <f>_xlfn.XLOOKUP($A59,表格1[No.],表格1[Model],"---",0)</f>
        <v>---</v>
      </c>
      <c r="H59" t="str">
        <f>_xlfn.XLOOKUP($A59,表格1[No.],表格1[QTY],"---",0)</f>
        <v>---</v>
      </c>
      <c r="I59" t="str">
        <f>_xlfn.XLOOKUP($A59,表格1[No.],表格1[Unit Price],"---",0)</f>
        <v>---</v>
      </c>
      <c r="J59" t="str">
        <f>_xlfn.XLOOKUP($A59,表格1[No.],表格1[inv no],"---",0)</f>
        <v>---</v>
      </c>
      <c r="K59" t="str">
        <f>_xlfn.XLOOKUP($A59,表格1[No.],表格1[apps report no.],"---",0)</f>
        <v>---</v>
      </c>
    </row>
    <row r="60" spans="2:11">
      <c r="B60" t="str">
        <f>_xlfn.XLOOKUP($A60,表格1[No.],表格1[Shop],"---",0)</f>
        <v>---</v>
      </c>
      <c r="C60" t="str">
        <f>_xlfn.XLOOKUP($A60,表格1[No.],表格1[Location],"---",0)</f>
        <v>---</v>
      </c>
      <c r="D60" t="str">
        <f>_xlfn.XLOOKUP($A60,表格1[No.],表格1[Name],"---",0)</f>
        <v>---</v>
      </c>
      <c r="E60" t="str">
        <f>_xlfn.XLOOKUP($A60,表格1[No.],表格1[month],"---",0)</f>
        <v>---</v>
      </c>
      <c r="F60" s="12" t="str">
        <f>_xlfn.XLOOKUP($A60,表格1[No.],表格1[date],"---",0)</f>
        <v>---</v>
      </c>
      <c r="G60" t="str">
        <f>_xlfn.XLOOKUP($A60,表格1[No.],表格1[Model],"---",0)</f>
        <v>---</v>
      </c>
      <c r="H60" t="str">
        <f>_xlfn.XLOOKUP($A60,表格1[No.],表格1[QTY],"---",0)</f>
        <v>---</v>
      </c>
      <c r="I60" t="str">
        <f>_xlfn.XLOOKUP($A60,表格1[No.],表格1[Unit Price],"---",0)</f>
        <v>---</v>
      </c>
      <c r="J60" t="str">
        <f>_xlfn.XLOOKUP($A60,表格1[No.],表格1[inv no],"---",0)</f>
        <v>---</v>
      </c>
      <c r="K60" t="str">
        <f>_xlfn.XLOOKUP($A60,表格1[No.],表格1[apps report no.],"---",0)</f>
        <v>---</v>
      </c>
    </row>
    <row r="61" spans="2:11">
      <c r="B61" t="str">
        <f>_xlfn.XLOOKUP($A61,表格1[No.],表格1[Shop],"---",0)</f>
        <v>---</v>
      </c>
      <c r="C61" t="str">
        <f>_xlfn.XLOOKUP($A61,表格1[No.],表格1[Location],"---",0)</f>
        <v>---</v>
      </c>
      <c r="D61" t="str">
        <f>_xlfn.XLOOKUP($A61,表格1[No.],表格1[Name],"---",0)</f>
        <v>---</v>
      </c>
      <c r="E61" t="str">
        <f>_xlfn.XLOOKUP($A61,表格1[No.],表格1[month],"---",0)</f>
        <v>---</v>
      </c>
      <c r="F61" s="12" t="str">
        <f>_xlfn.XLOOKUP($A61,表格1[No.],表格1[date],"---",0)</f>
        <v>---</v>
      </c>
      <c r="G61" t="str">
        <f>_xlfn.XLOOKUP($A61,表格1[No.],表格1[Model],"---",0)</f>
        <v>---</v>
      </c>
      <c r="H61" t="str">
        <f>_xlfn.XLOOKUP($A61,表格1[No.],表格1[QTY],"---",0)</f>
        <v>---</v>
      </c>
      <c r="I61" t="str">
        <f>_xlfn.XLOOKUP($A61,表格1[No.],表格1[Unit Price],"---",0)</f>
        <v>---</v>
      </c>
      <c r="J61" t="str">
        <f>_xlfn.XLOOKUP($A61,表格1[No.],表格1[inv no],"---",0)</f>
        <v>---</v>
      </c>
      <c r="K61" t="str">
        <f>_xlfn.XLOOKUP($A61,表格1[No.],表格1[apps report no.],"---",0)</f>
        <v>---</v>
      </c>
    </row>
    <row r="62" spans="2:11">
      <c r="B62" t="str">
        <f>_xlfn.XLOOKUP($A62,表格1[No.],表格1[Shop],"---",0)</f>
        <v>---</v>
      </c>
      <c r="C62" t="str">
        <f>_xlfn.XLOOKUP($A62,表格1[No.],表格1[Location],"---",0)</f>
        <v>---</v>
      </c>
      <c r="D62" t="str">
        <f>_xlfn.XLOOKUP($A62,表格1[No.],表格1[Name],"---",0)</f>
        <v>---</v>
      </c>
      <c r="E62" t="str">
        <f>_xlfn.XLOOKUP($A62,表格1[No.],表格1[month],"---",0)</f>
        <v>---</v>
      </c>
      <c r="F62" s="12" t="str">
        <f>_xlfn.XLOOKUP($A62,表格1[No.],表格1[date],"---",0)</f>
        <v>---</v>
      </c>
      <c r="G62" t="str">
        <f>_xlfn.XLOOKUP($A62,表格1[No.],表格1[Model],"---",0)</f>
        <v>---</v>
      </c>
      <c r="H62" t="str">
        <f>_xlfn.XLOOKUP($A62,表格1[No.],表格1[QTY],"---",0)</f>
        <v>---</v>
      </c>
      <c r="I62" t="str">
        <f>_xlfn.XLOOKUP($A62,表格1[No.],表格1[Unit Price],"---",0)</f>
        <v>---</v>
      </c>
      <c r="J62" t="str">
        <f>_xlfn.XLOOKUP($A62,表格1[No.],表格1[inv no],"---",0)</f>
        <v>---</v>
      </c>
      <c r="K62" t="str">
        <f>_xlfn.XLOOKUP($A62,表格1[No.],表格1[apps report no.],"---",0)</f>
        <v>---</v>
      </c>
    </row>
    <row r="63" spans="2:11">
      <c r="B63" t="str">
        <f>_xlfn.XLOOKUP($A63,表格1[No.],表格1[Shop],"---",0)</f>
        <v>---</v>
      </c>
      <c r="C63" t="str">
        <f>_xlfn.XLOOKUP($A63,表格1[No.],表格1[Location],"---",0)</f>
        <v>---</v>
      </c>
      <c r="D63" t="str">
        <f>_xlfn.XLOOKUP($A63,表格1[No.],表格1[Name],"---",0)</f>
        <v>---</v>
      </c>
      <c r="E63" t="str">
        <f>_xlfn.XLOOKUP($A63,表格1[No.],表格1[month],"---",0)</f>
        <v>---</v>
      </c>
      <c r="F63" s="12" t="str">
        <f>_xlfn.XLOOKUP($A63,表格1[No.],表格1[date],"---",0)</f>
        <v>---</v>
      </c>
      <c r="G63" t="str">
        <f>_xlfn.XLOOKUP($A63,表格1[No.],表格1[Model],"---",0)</f>
        <v>---</v>
      </c>
      <c r="H63" t="str">
        <f>_xlfn.XLOOKUP($A63,表格1[No.],表格1[QTY],"---",0)</f>
        <v>---</v>
      </c>
      <c r="I63" t="str">
        <f>_xlfn.XLOOKUP($A63,表格1[No.],表格1[Unit Price],"---",0)</f>
        <v>---</v>
      </c>
      <c r="J63" t="str">
        <f>_xlfn.XLOOKUP($A63,表格1[No.],表格1[inv no],"---",0)</f>
        <v>---</v>
      </c>
      <c r="K63" t="str">
        <f>_xlfn.XLOOKUP($A63,表格1[No.],表格1[apps report no.],"---",0)</f>
        <v>---</v>
      </c>
    </row>
    <row r="64" spans="2:11">
      <c r="B64" t="str">
        <f>_xlfn.XLOOKUP($A64,表格1[No.],表格1[Shop],"---",0)</f>
        <v>---</v>
      </c>
      <c r="C64" t="str">
        <f>_xlfn.XLOOKUP($A64,表格1[No.],表格1[Location],"---",0)</f>
        <v>---</v>
      </c>
      <c r="D64" t="str">
        <f>_xlfn.XLOOKUP($A64,表格1[No.],表格1[Name],"---",0)</f>
        <v>---</v>
      </c>
      <c r="E64" t="str">
        <f>_xlfn.XLOOKUP($A64,表格1[No.],表格1[month],"---",0)</f>
        <v>---</v>
      </c>
      <c r="F64" s="12" t="str">
        <f>_xlfn.XLOOKUP($A64,表格1[No.],表格1[date],"---",0)</f>
        <v>---</v>
      </c>
      <c r="G64" t="str">
        <f>_xlfn.XLOOKUP($A64,表格1[No.],表格1[Model],"---",0)</f>
        <v>---</v>
      </c>
      <c r="H64" t="str">
        <f>_xlfn.XLOOKUP($A64,表格1[No.],表格1[QTY],"---",0)</f>
        <v>---</v>
      </c>
      <c r="I64" t="str">
        <f>_xlfn.XLOOKUP($A64,表格1[No.],表格1[Unit Price],"---",0)</f>
        <v>---</v>
      </c>
      <c r="J64" t="str">
        <f>_xlfn.XLOOKUP($A64,表格1[No.],表格1[inv no],"---",0)</f>
        <v>---</v>
      </c>
      <c r="K64" t="str">
        <f>_xlfn.XLOOKUP($A64,表格1[No.],表格1[apps report no.],"---",0)</f>
        <v>---</v>
      </c>
    </row>
    <row r="65" spans="2:11">
      <c r="B65" t="str">
        <f>_xlfn.XLOOKUP($A65,表格1[No.],表格1[Shop],"---",0)</f>
        <v>---</v>
      </c>
      <c r="C65" t="str">
        <f>_xlfn.XLOOKUP($A65,表格1[No.],表格1[Location],"---",0)</f>
        <v>---</v>
      </c>
      <c r="D65" t="str">
        <f>_xlfn.XLOOKUP($A65,表格1[No.],表格1[Name],"---",0)</f>
        <v>---</v>
      </c>
      <c r="E65" t="str">
        <f>_xlfn.XLOOKUP($A65,表格1[No.],表格1[month],"---",0)</f>
        <v>---</v>
      </c>
      <c r="F65" s="12" t="str">
        <f>_xlfn.XLOOKUP($A65,表格1[No.],表格1[date],"---",0)</f>
        <v>---</v>
      </c>
      <c r="G65" t="str">
        <f>_xlfn.XLOOKUP($A65,表格1[No.],表格1[Model],"---",0)</f>
        <v>---</v>
      </c>
      <c r="H65" t="str">
        <f>_xlfn.XLOOKUP($A65,表格1[No.],表格1[QTY],"---",0)</f>
        <v>---</v>
      </c>
      <c r="I65" t="str">
        <f>_xlfn.XLOOKUP($A65,表格1[No.],表格1[Unit Price],"---",0)</f>
        <v>---</v>
      </c>
      <c r="J65" t="str">
        <f>_xlfn.XLOOKUP($A65,表格1[No.],表格1[inv no],"---",0)</f>
        <v>---</v>
      </c>
      <c r="K65" t="str">
        <f>_xlfn.XLOOKUP($A65,表格1[No.],表格1[apps report no.],"---",0)</f>
        <v>---</v>
      </c>
    </row>
    <row r="66" spans="2:11">
      <c r="B66" t="str">
        <f>_xlfn.XLOOKUP($A66,表格1[No.],表格1[Shop],"---",0)</f>
        <v>---</v>
      </c>
      <c r="C66" t="str">
        <f>_xlfn.XLOOKUP($A66,表格1[No.],表格1[Location],"---",0)</f>
        <v>---</v>
      </c>
      <c r="D66" t="str">
        <f>_xlfn.XLOOKUP($A66,表格1[No.],表格1[Name],"---",0)</f>
        <v>---</v>
      </c>
      <c r="E66" t="str">
        <f>_xlfn.XLOOKUP($A66,表格1[No.],表格1[month],"---",0)</f>
        <v>---</v>
      </c>
      <c r="F66" s="12" t="str">
        <f>_xlfn.XLOOKUP($A66,表格1[No.],表格1[date],"---",0)</f>
        <v>---</v>
      </c>
      <c r="G66" t="str">
        <f>_xlfn.XLOOKUP($A66,表格1[No.],表格1[Model],"---",0)</f>
        <v>---</v>
      </c>
      <c r="H66" t="str">
        <f>_xlfn.XLOOKUP($A66,表格1[No.],表格1[QTY],"---",0)</f>
        <v>---</v>
      </c>
      <c r="I66" t="str">
        <f>_xlfn.XLOOKUP($A66,表格1[No.],表格1[Unit Price],"---",0)</f>
        <v>---</v>
      </c>
      <c r="J66" t="str">
        <f>_xlfn.XLOOKUP($A66,表格1[No.],表格1[inv no],"---",0)</f>
        <v>---</v>
      </c>
      <c r="K66" t="str">
        <f>_xlfn.XLOOKUP($A66,表格1[No.],表格1[apps report no.],"---",0)</f>
        <v>---</v>
      </c>
    </row>
    <row r="67" spans="2:11">
      <c r="B67" t="str">
        <f>_xlfn.XLOOKUP($A67,表格1[No.],表格1[Shop],"---",0)</f>
        <v>---</v>
      </c>
      <c r="C67" t="str">
        <f>_xlfn.XLOOKUP($A67,表格1[No.],表格1[Location],"---",0)</f>
        <v>---</v>
      </c>
      <c r="D67" t="str">
        <f>_xlfn.XLOOKUP($A67,表格1[No.],表格1[Name],"---",0)</f>
        <v>---</v>
      </c>
      <c r="E67" t="str">
        <f>_xlfn.XLOOKUP($A67,表格1[No.],表格1[month],"---",0)</f>
        <v>---</v>
      </c>
      <c r="F67" s="12" t="str">
        <f>_xlfn.XLOOKUP($A67,表格1[No.],表格1[date],"---",0)</f>
        <v>---</v>
      </c>
      <c r="G67" t="str">
        <f>_xlfn.XLOOKUP($A67,表格1[No.],表格1[Model],"---",0)</f>
        <v>---</v>
      </c>
      <c r="H67" t="str">
        <f>_xlfn.XLOOKUP($A67,表格1[No.],表格1[QTY],"---",0)</f>
        <v>---</v>
      </c>
      <c r="I67" t="str">
        <f>_xlfn.XLOOKUP($A67,表格1[No.],表格1[Unit Price],"---",0)</f>
        <v>---</v>
      </c>
      <c r="J67" t="str">
        <f>_xlfn.XLOOKUP($A67,表格1[No.],表格1[inv no],"---",0)</f>
        <v>---</v>
      </c>
      <c r="K67" t="str">
        <f>_xlfn.XLOOKUP($A67,表格1[No.],表格1[apps report no.],"---",0)</f>
        <v>---</v>
      </c>
    </row>
    <row r="68" spans="2:11">
      <c r="B68" t="str">
        <f>_xlfn.XLOOKUP($A68,表格1[No.],表格1[Shop],"---",0)</f>
        <v>---</v>
      </c>
      <c r="C68" t="str">
        <f>_xlfn.XLOOKUP($A68,表格1[No.],表格1[Location],"---",0)</f>
        <v>---</v>
      </c>
      <c r="D68" t="str">
        <f>_xlfn.XLOOKUP($A68,表格1[No.],表格1[Name],"---",0)</f>
        <v>---</v>
      </c>
      <c r="E68" t="str">
        <f>_xlfn.XLOOKUP($A68,表格1[No.],表格1[month],"---",0)</f>
        <v>---</v>
      </c>
      <c r="F68" s="12" t="str">
        <f>_xlfn.XLOOKUP($A68,表格1[No.],表格1[date],"---",0)</f>
        <v>---</v>
      </c>
      <c r="G68" t="str">
        <f>_xlfn.XLOOKUP($A68,表格1[No.],表格1[Model],"---",0)</f>
        <v>---</v>
      </c>
      <c r="H68" t="str">
        <f>_xlfn.XLOOKUP($A68,表格1[No.],表格1[QTY],"---",0)</f>
        <v>---</v>
      </c>
      <c r="I68" t="str">
        <f>_xlfn.XLOOKUP($A68,表格1[No.],表格1[Unit Price],"---",0)</f>
        <v>---</v>
      </c>
      <c r="J68" t="str">
        <f>_xlfn.XLOOKUP($A68,表格1[No.],表格1[inv no],"---",0)</f>
        <v>---</v>
      </c>
      <c r="K68" t="str">
        <f>_xlfn.XLOOKUP($A68,表格1[No.],表格1[apps report no.],"---",0)</f>
        <v>---</v>
      </c>
    </row>
    <row r="69" spans="2:11">
      <c r="B69" t="str">
        <f>_xlfn.XLOOKUP($A69,表格1[No.],表格1[Shop],"---",0)</f>
        <v>---</v>
      </c>
      <c r="C69" t="str">
        <f>_xlfn.XLOOKUP($A69,表格1[No.],表格1[Location],"---",0)</f>
        <v>---</v>
      </c>
      <c r="D69" t="str">
        <f>_xlfn.XLOOKUP($A69,表格1[No.],表格1[Name],"---",0)</f>
        <v>---</v>
      </c>
      <c r="E69" t="str">
        <f>_xlfn.XLOOKUP($A69,表格1[No.],表格1[month],"---",0)</f>
        <v>---</v>
      </c>
      <c r="F69" s="12" t="str">
        <f>_xlfn.XLOOKUP($A69,表格1[No.],表格1[date],"---",0)</f>
        <v>---</v>
      </c>
      <c r="G69" t="str">
        <f>_xlfn.XLOOKUP($A69,表格1[No.],表格1[Model],"---",0)</f>
        <v>---</v>
      </c>
      <c r="H69" t="str">
        <f>_xlfn.XLOOKUP($A69,表格1[No.],表格1[QTY],"---",0)</f>
        <v>---</v>
      </c>
      <c r="I69" t="str">
        <f>_xlfn.XLOOKUP($A69,表格1[No.],表格1[Unit Price],"---",0)</f>
        <v>---</v>
      </c>
      <c r="J69" t="str">
        <f>_xlfn.XLOOKUP($A69,表格1[No.],表格1[inv no],"---",0)</f>
        <v>---</v>
      </c>
      <c r="K69" t="str">
        <f>_xlfn.XLOOKUP($A69,表格1[No.],表格1[apps report no.],"---",0)</f>
        <v>---</v>
      </c>
    </row>
    <row r="70" spans="2:11">
      <c r="B70" t="str">
        <f>_xlfn.XLOOKUP($A70,表格1[No.],表格1[Shop],"---",0)</f>
        <v>---</v>
      </c>
      <c r="C70" t="str">
        <f>_xlfn.XLOOKUP($A70,表格1[No.],表格1[Location],"---",0)</f>
        <v>---</v>
      </c>
      <c r="D70" t="str">
        <f>_xlfn.XLOOKUP($A70,表格1[No.],表格1[Name],"---",0)</f>
        <v>---</v>
      </c>
      <c r="E70" t="str">
        <f>_xlfn.XLOOKUP($A70,表格1[No.],表格1[month],"---",0)</f>
        <v>---</v>
      </c>
      <c r="F70" s="12" t="str">
        <f>_xlfn.XLOOKUP($A70,表格1[No.],表格1[date],"---",0)</f>
        <v>---</v>
      </c>
      <c r="G70" t="str">
        <f>_xlfn.XLOOKUP($A70,表格1[No.],表格1[Model],"---",0)</f>
        <v>---</v>
      </c>
      <c r="H70" t="str">
        <f>_xlfn.XLOOKUP($A70,表格1[No.],表格1[QTY],"---",0)</f>
        <v>---</v>
      </c>
      <c r="I70" t="str">
        <f>_xlfn.XLOOKUP($A70,表格1[No.],表格1[Unit Price],"---",0)</f>
        <v>---</v>
      </c>
      <c r="J70" t="str">
        <f>_xlfn.XLOOKUP($A70,表格1[No.],表格1[inv no],"---",0)</f>
        <v>---</v>
      </c>
      <c r="K70" t="str">
        <f>_xlfn.XLOOKUP($A70,表格1[No.],表格1[apps report no.],"---",0)</f>
        <v>---</v>
      </c>
    </row>
    <row r="71" spans="2:11">
      <c r="B71" t="str">
        <f>_xlfn.XLOOKUP($A71,表格1[No.],表格1[Shop],"---",0)</f>
        <v>---</v>
      </c>
      <c r="C71" t="str">
        <f>_xlfn.XLOOKUP($A71,表格1[No.],表格1[Location],"---",0)</f>
        <v>---</v>
      </c>
      <c r="D71" t="str">
        <f>_xlfn.XLOOKUP($A71,表格1[No.],表格1[Name],"---",0)</f>
        <v>---</v>
      </c>
      <c r="E71" t="str">
        <f>_xlfn.XLOOKUP($A71,表格1[No.],表格1[month],"---",0)</f>
        <v>---</v>
      </c>
      <c r="F71" s="12" t="str">
        <f>_xlfn.XLOOKUP($A71,表格1[No.],表格1[date],"---",0)</f>
        <v>---</v>
      </c>
      <c r="G71" t="str">
        <f>_xlfn.XLOOKUP($A71,表格1[No.],表格1[Model],"---",0)</f>
        <v>---</v>
      </c>
      <c r="H71" t="str">
        <f>_xlfn.XLOOKUP($A71,表格1[No.],表格1[QTY],"---",0)</f>
        <v>---</v>
      </c>
      <c r="I71" t="str">
        <f>_xlfn.XLOOKUP($A71,表格1[No.],表格1[Unit Price],"---",0)</f>
        <v>---</v>
      </c>
      <c r="J71" t="str">
        <f>_xlfn.XLOOKUP($A71,表格1[No.],表格1[inv no],"---",0)</f>
        <v>---</v>
      </c>
      <c r="K71" t="str">
        <f>_xlfn.XLOOKUP($A71,表格1[No.],表格1[apps report no.],"---",0)</f>
        <v>---</v>
      </c>
    </row>
    <row r="72" spans="2:11">
      <c r="B72" t="str">
        <f>_xlfn.XLOOKUP($A72,表格1[No.],表格1[Shop],"---",0)</f>
        <v>---</v>
      </c>
      <c r="C72" t="str">
        <f>_xlfn.XLOOKUP($A72,表格1[No.],表格1[Location],"---",0)</f>
        <v>---</v>
      </c>
      <c r="D72" t="str">
        <f>_xlfn.XLOOKUP($A72,表格1[No.],表格1[Name],"---",0)</f>
        <v>---</v>
      </c>
      <c r="E72" t="str">
        <f>_xlfn.XLOOKUP($A72,表格1[No.],表格1[month],"---",0)</f>
        <v>---</v>
      </c>
      <c r="F72" s="12" t="str">
        <f>_xlfn.XLOOKUP($A72,表格1[No.],表格1[date],"---",0)</f>
        <v>---</v>
      </c>
      <c r="G72" t="str">
        <f>_xlfn.XLOOKUP($A72,表格1[No.],表格1[Model],"---",0)</f>
        <v>---</v>
      </c>
      <c r="H72" t="str">
        <f>_xlfn.XLOOKUP($A72,表格1[No.],表格1[QTY],"---",0)</f>
        <v>---</v>
      </c>
      <c r="I72" t="str">
        <f>_xlfn.XLOOKUP($A72,表格1[No.],表格1[Unit Price],"---",0)</f>
        <v>---</v>
      </c>
      <c r="J72" t="str">
        <f>_xlfn.XLOOKUP($A72,表格1[No.],表格1[inv no],"---",0)</f>
        <v>---</v>
      </c>
      <c r="K72" t="str">
        <f>_xlfn.XLOOKUP($A72,表格1[No.],表格1[apps report no.],"---",0)</f>
        <v>---</v>
      </c>
    </row>
    <row r="73" spans="2:11">
      <c r="B73" t="str">
        <f>_xlfn.XLOOKUP($A73,表格1[No.],表格1[Shop],"---",0)</f>
        <v>---</v>
      </c>
      <c r="C73" t="str">
        <f>_xlfn.XLOOKUP($A73,表格1[No.],表格1[Location],"---",0)</f>
        <v>---</v>
      </c>
      <c r="D73" t="str">
        <f>_xlfn.XLOOKUP($A73,表格1[No.],表格1[Name],"---",0)</f>
        <v>---</v>
      </c>
      <c r="E73" t="str">
        <f>_xlfn.XLOOKUP($A73,表格1[No.],表格1[month],"---",0)</f>
        <v>---</v>
      </c>
      <c r="F73" s="12" t="str">
        <f>_xlfn.XLOOKUP($A73,表格1[No.],表格1[date],"---",0)</f>
        <v>---</v>
      </c>
      <c r="G73" t="str">
        <f>_xlfn.XLOOKUP($A73,表格1[No.],表格1[Model],"---",0)</f>
        <v>---</v>
      </c>
      <c r="H73" t="str">
        <f>_xlfn.XLOOKUP($A73,表格1[No.],表格1[QTY],"---",0)</f>
        <v>---</v>
      </c>
      <c r="I73" t="str">
        <f>_xlfn.XLOOKUP($A73,表格1[No.],表格1[Unit Price],"---",0)</f>
        <v>---</v>
      </c>
      <c r="J73" t="str">
        <f>_xlfn.XLOOKUP($A73,表格1[No.],表格1[inv no],"---",0)</f>
        <v>---</v>
      </c>
      <c r="K73" t="str">
        <f>_xlfn.XLOOKUP($A73,表格1[No.],表格1[apps report no.],"---",0)</f>
        <v>---</v>
      </c>
    </row>
    <row r="74" spans="2:11">
      <c r="B74" t="str">
        <f>_xlfn.XLOOKUP($A74,表格1[No.],表格1[Shop],"---",0)</f>
        <v>---</v>
      </c>
      <c r="C74" t="str">
        <f>_xlfn.XLOOKUP($A74,表格1[No.],表格1[Location],"---",0)</f>
        <v>---</v>
      </c>
      <c r="D74" t="str">
        <f>_xlfn.XLOOKUP($A74,表格1[No.],表格1[Name],"---",0)</f>
        <v>---</v>
      </c>
      <c r="E74" t="str">
        <f>_xlfn.XLOOKUP($A74,表格1[No.],表格1[month],"---",0)</f>
        <v>---</v>
      </c>
      <c r="F74" s="12" t="str">
        <f>_xlfn.XLOOKUP($A74,表格1[No.],表格1[date],"---",0)</f>
        <v>---</v>
      </c>
      <c r="G74" t="str">
        <f>_xlfn.XLOOKUP($A74,表格1[No.],表格1[Model],"---",0)</f>
        <v>---</v>
      </c>
      <c r="H74" t="str">
        <f>_xlfn.XLOOKUP($A74,表格1[No.],表格1[QTY],"---",0)</f>
        <v>---</v>
      </c>
      <c r="I74" t="str">
        <f>_xlfn.XLOOKUP($A74,表格1[No.],表格1[Unit Price],"---",0)</f>
        <v>---</v>
      </c>
      <c r="J74" t="str">
        <f>_xlfn.XLOOKUP($A74,表格1[No.],表格1[inv no],"---",0)</f>
        <v>---</v>
      </c>
      <c r="K74" t="str">
        <f>_xlfn.XLOOKUP($A74,表格1[No.],表格1[apps report no.],"---",0)</f>
        <v>---</v>
      </c>
    </row>
    <row r="75" spans="2:11">
      <c r="B75" t="str">
        <f>_xlfn.XLOOKUP($A75,表格1[No.],表格1[Shop],"---",0)</f>
        <v>---</v>
      </c>
      <c r="C75" t="str">
        <f>_xlfn.XLOOKUP($A75,表格1[No.],表格1[Location],"---",0)</f>
        <v>---</v>
      </c>
      <c r="D75" t="str">
        <f>_xlfn.XLOOKUP($A75,表格1[No.],表格1[Name],"---",0)</f>
        <v>---</v>
      </c>
      <c r="E75" t="str">
        <f>_xlfn.XLOOKUP($A75,表格1[No.],表格1[month],"---",0)</f>
        <v>---</v>
      </c>
      <c r="F75" s="12" t="str">
        <f>_xlfn.XLOOKUP($A75,表格1[No.],表格1[date],"---",0)</f>
        <v>---</v>
      </c>
      <c r="G75" t="str">
        <f>_xlfn.XLOOKUP($A75,表格1[No.],表格1[Model],"---",0)</f>
        <v>---</v>
      </c>
      <c r="H75" t="str">
        <f>_xlfn.XLOOKUP($A75,表格1[No.],表格1[QTY],"---",0)</f>
        <v>---</v>
      </c>
      <c r="I75" t="str">
        <f>_xlfn.XLOOKUP($A75,表格1[No.],表格1[Unit Price],"---",0)</f>
        <v>---</v>
      </c>
      <c r="J75" t="str">
        <f>_xlfn.XLOOKUP($A75,表格1[No.],表格1[inv no],"---",0)</f>
        <v>---</v>
      </c>
      <c r="K75" t="str">
        <f>_xlfn.XLOOKUP($A75,表格1[No.],表格1[apps report no.],"---",0)</f>
        <v>---</v>
      </c>
    </row>
    <row r="76" spans="2:11">
      <c r="B76" t="str">
        <f>_xlfn.XLOOKUP($A76,表格1[No.],表格1[Shop],"---",0)</f>
        <v>---</v>
      </c>
      <c r="C76" t="str">
        <f>_xlfn.XLOOKUP($A76,表格1[No.],表格1[Location],"---",0)</f>
        <v>---</v>
      </c>
      <c r="D76" t="str">
        <f>_xlfn.XLOOKUP($A76,表格1[No.],表格1[Name],"---",0)</f>
        <v>---</v>
      </c>
      <c r="E76" t="str">
        <f>_xlfn.XLOOKUP($A76,表格1[No.],表格1[month],"---",0)</f>
        <v>---</v>
      </c>
      <c r="F76" s="12" t="str">
        <f>_xlfn.XLOOKUP($A76,表格1[No.],表格1[date],"---",0)</f>
        <v>---</v>
      </c>
      <c r="G76" t="str">
        <f>_xlfn.XLOOKUP($A76,表格1[No.],表格1[Model],"---",0)</f>
        <v>---</v>
      </c>
      <c r="H76" t="str">
        <f>_xlfn.XLOOKUP($A76,表格1[No.],表格1[QTY],"---",0)</f>
        <v>---</v>
      </c>
      <c r="I76" t="str">
        <f>_xlfn.XLOOKUP($A76,表格1[No.],表格1[Unit Price],"---",0)</f>
        <v>---</v>
      </c>
      <c r="J76" t="str">
        <f>_xlfn.XLOOKUP($A76,表格1[No.],表格1[inv no],"---",0)</f>
        <v>---</v>
      </c>
      <c r="K76" t="str">
        <f>_xlfn.XLOOKUP($A76,表格1[No.],表格1[apps report no.],"---",0)</f>
        <v>---</v>
      </c>
    </row>
    <row r="77" spans="2:11">
      <c r="B77" t="str">
        <f>_xlfn.XLOOKUP($A77,表格1[No.],表格1[Shop],"---",0)</f>
        <v>---</v>
      </c>
      <c r="C77" t="str">
        <f>_xlfn.XLOOKUP($A77,表格1[No.],表格1[Location],"---",0)</f>
        <v>---</v>
      </c>
      <c r="D77" t="str">
        <f>_xlfn.XLOOKUP($A77,表格1[No.],表格1[Name],"---",0)</f>
        <v>---</v>
      </c>
      <c r="E77" t="str">
        <f>_xlfn.XLOOKUP($A77,表格1[No.],表格1[month],"---",0)</f>
        <v>---</v>
      </c>
      <c r="F77" s="12" t="str">
        <f>_xlfn.XLOOKUP($A77,表格1[No.],表格1[date],"---",0)</f>
        <v>---</v>
      </c>
      <c r="G77" t="str">
        <f>_xlfn.XLOOKUP($A77,表格1[No.],表格1[Model],"---",0)</f>
        <v>---</v>
      </c>
      <c r="H77" t="str">
        <f>_xlfn.XLOOKUP($A77,表格1[No.],表格1[QTY],"---",0)</f>
        <v>---</v>
      </c>
      <c r="I77" t="str">
        <f>_xlfn.XLOOKUP($A77,表格1[No.],表格1[Unit Price],"---",0)</f>
        <v>---</v>
      </c>
      <c r="J77" t="str">
        <f>_xlfn.XLOOKUP($A77,表格1[No.],表格1[inv no],"---",0)</f>
        <v>---</v>
      </c>
      <c r="K77" t="str">
        <f>_xlfn.XLOOKUP($A77,表格1[No.],表格1[apps report no.],"---",0)</f>
        <v>---</v>
      </c>
    </row>
    <row r="78" spans="2:11">
      <c r="B78" t="str">
        <f>_xlfn.XLOOKUP($A78,表格1[No.],表格1[Shop],"---",0)</f>
        <v>---</v>
      </c>
      <c r="C78" t="str">
        <f>_xlfn.XLOOKUP($A78,表格1[No.],表格1[Location],"---",0)</f>
        <v>---</v>
      </c>
      <c r="D78" t="str">
        <f>_xlfn.XLOOKUP($A78,表格1[No.],表格1[Name],"---",0)</f>
        <v>---</v>
      </c>
      <c r="E78" t="str">
        <f>_xlfn.XLOOKUP($A78,表格1[No.],表格1[month],"---",0)</f>
        <v>---</v>
      </c>
      <c r="F78" s="12" t="str">
        <f>_xlfn.XLOOKUP($A78,表格1[No.],表格1[date],"---",0)</f>
        <v>---</v>
      </c>
      <c r="G78" t="str">
        <f>_xlfn.XLOOKUP($A78,表格1[No.],表格1[Model],"---",0)</f>
        <v>---</v>
      </c>
      <c r="H78" t="str">
        <f>_xlfn.XLOOKUP($A78,表格1[No.],表格1[QTY],"---",0)</f>
        <v>---</v>
      </c>
      <c r="I78" t="str">
        <f>_xlfn.XLOOKUP($A78,表格1[No.],表格1[Unit Price],"---",0)</f>
        <v>---</v>
      </c>
      <c r="J78" t="str">
        <f>_xlfn.XLOOKUP($A78,表格1[No.],表格1[inv no],"---",0)</f>
        <v>---</v>
      </c>
      <c r="K78" t="str">
        <f>_xlfn.XLOOKUP($A78,表格1[No.],表格1[apps report no.],"---",0)</f>
        <v>---</v>
      </c>
    </row>
    <row r="79" spans="2:11">
      <c r="B79" t="str">
        <f>_xlfn.XLOOKUP($A79,表格1[No.],表格1[Shop],"---",0)</f>
        <v>---</v>
      </c>
      <c r="C79" t="str">
        <f>_xlfn.XLOOKUP($A79,表格1[No.],表格1[Location],"---",0)</f>
        <v>---</v>
      </c>
      <c r="D79" t="str">
        <f>_xlfn.XLOOKUP($A79,表格1[No.],表格1[Name],"---",0)</f>
        <v>---</v>
      </c>
      <c r="E79" t="str">
        <f>_xlfn.XLOOKUP($A79,表格1[No.],表格1[month],"---",0)</f>
        <v>---</v>
      </c>
      <c r="F79" s="12" t="str">
        <f>_xlfn.XLOOKUP($A79,表格1[No.],表格1[date],"---",0)</f>
        <v>---</v>
      </c>
      <c r="G79" t="str">
        <f>_xlfn.XLOOKUP($A79,表格1[No.],表格1[Model],"---",0)</f>
        <v>---</v>
      </c>
      <c r="H79" t="str">
        <f>_xlfn.XLOOKUP($A79,表格1[No.],表格1[QTY],"---",0)</f>
        <v>---</v>
      </c>
      <c r="I79" t="str">
        <f>_xlfn.XLOOKUP($A79,表格1[No.],表格1[Unit Price],"---",0)</f>
        <v>---</v>
      </c>
      <c r="J79" t="str">
        <f>_xlfn.XLOOKUP($A79,表格1[No.],表格1[inv no],"---",0)</f>
        <v>---</v>
      </c>
      <c r="K79" t="str">
        <f>_xlfn.XLOOKUP($A79,表格1[No.],表格1[apps report no.],"---",0)</f>
        <v>---</v>
      </c>
    </row>
    <row r="80" spans="2:11">
      <c r="B80" t="str">
        <f>_xlfn.XLOOKUP($A80,表格1[No.],表格1[Shop],"---",0)</f>
        <v>---</v>
      </c>
      <c r="C80" t="str">
        <f>_xlfn.XLOOKUP($A80,表格1[No.],表格1[Location],"---",0)</f>
        <v>---</v>
      </c>
      <c r="D80" t="str">
        <f>_xlfn.XLOOKUP($A80,表格1[No.],表格1[Name],"---",0)</f>
        <v>---</v>
      </c>
      <c r="E80" t="str">
        <f>_xlfn.XLOOKUP($A80,表格1[No.],表格1[month],"---",0)</f>
        <v>---</v>
      </c>
      <c r="F80" s="12" t="str">
        <f>_xlfn.XLOOKUP($A80,表格1[No.],表格1[date],"---",0)</f>
        <v>---</v>
      </c>
      <c r="G80" t="str">
        <f>_xlfn.XLOOKUP($A80,表格1[No.],表格1[Model],"---",0)</f>
        <v>---</v>
      </c>
      <c r="H80" t="str">
        <f>_xlfn.XLOOKUP($A80,表格1[No.],表格1[QTY],"---",0)</f>
        <v>---</v>
      </c>
      <c r="I80" t="str">
        <f>_xlfn.XLOOKUP($A80,表格1[No.],表格1[Unit Price],"---",0)</f>
        <v>---</v>
      </c>
      <c r="J80" t="str">
        <f>_xlfn.XLOOKUP($A80,表格1[No.],表格1[inv no],"---",0)</f>
        <v>---</v>
      </c>
      <c r="K80" t="str">
        <f>_xlfn.XLOOKUP($A80,表格1[No.],表格1[apps report no.],"---",0)</f>
        <v>---</v>
      </c>
    </row>
    <row r="81" spans="2:11">
      <c r="B81" t="str">
        <f>_xlfn.XLOOKUP($A81,表格1[No.],表格1[Shop],"---",0)</f>
        <v>---</v>
      </c>
      <c r="C81" t="str">
        <f>_xlfn.XLOOKUP($A81,表格1[No.],表格1[Location],"---",0)</f>
        <v>---</v>
      </c>
      <c r="D81" t="str">
        <f>_xlfn.XLOOKUP($A81,表格1[No.],表格1[Name],"---",0)</f>
        <v>---</v>
      </c>
      <c r="E81" t="str">
        <f>_xlfn.XLOOKUP($A81,表格1[No.],表格1[month],"---",0)</f>
        <v>---</v>
      </c>
      <c r="F81" s="12" t="str">
        <f>_xlfn.XLOOKUP($A81,表格1[No.],表格1[date],"---",0)</f>
        <v>---</v>
      </c>
      <c r="G81" t="str">
        <f>_xlfn.XLOOKUP($A81,表格1[No.],表格1[Model],"---",0)</f>
        <v>---</v>
      </c>
      <c r="H81" t="str">
        <f>_xlfn.XLOOKUP($A81,表格1[No.],表格1[QTY],"---",0)</f>
        <v>---</v>
      </c>
      <c r="I81" t="str">
        <f>_xlfn.XLOOKUP($A81,表格1[No.],表格1[Unit Price],"---",0)</f>
        <v>---</v>
      </c>
      <c r="J81" t="str">
        <f>_xlfn.XLOOKUP($A81,表格1[No.],表格1[inv no],"---",0)</f>
        <v>---</v>
      </c>
      <c r="K81" t="str">
        <f>_xlfn.XLOOKUP($A81,表格1[No.],表格1[apps report no.],"---",0)</f>
        <v>---</v>
      </c>
    </row>
    <row r="82" spans="2:11">
      <c r="B82" t="str">
        <f>_xlfn.XLOOKUP($A82,表格1[No.],表格1[Shop],"---",0)</f>
        <v>---</v>
      </c>
      <c r="C82" t="str">
        <f>_xlfn.XLOOKUP($A82,表格1[No.],表格1[Location],"---",0)</f>
        <v>---</v>
      </c>
      <c r="D82" t="str">
        <f>_xlfn.XLOOKUP($A82,表格1[No.],表格1[Name],"---",0)</f>
        <v>---</v>
      </c>
      <c r="E82" t="str">
        <f>_xlfn.XLOOKUP($A82,表格1[No.],表格1[month],"---",0)</f>
        <v>---</v>
      </c>
      <c r="F82" s="12" t="str">
        <f>_xlfn.XLOOKUP($A82,表格1[No.],表格1[date],"---",0)</f>
        <v>---</v>
      </c>
      <c r="G82" t="str">
        <f>_xlfn.XLOOKUP($A82,表格1[No.],表格1[Model],"---",0)</f>
        <v>---</v>
      </c>
      <c r="H82" t="str">
        <f>_xlfn.XLOOKUP($A82,表格1[No.],表格1[QTY],"---",0)</f>
        <v>---</v>
      </c>
      <c r="I82" t="str">
        <f>_xlfn.XLOOKUP($A82,表格1[No.],表格1[Unit Price],"---",0)</f>
        <v>---</v>
      </c>
      <c r="J82" t="str">
        <f>_xlfn.XLOOKUP($A82,表格1[No.],表格1[inv no],"---",0)</f>
        <v>---</v>
      </c>
      <c r="K82" t="str">
        <f>_xlfn.XLOOKUP($A82,表格1[No.],表格1[apps report no.],"---",0)</f>
        <v>---</v>
      </c>
    </row>
    <row r="83" spans="2:11">
      <c r="B83" t="str">
        <f>_xlfn.XLOOKUP($A83,表格1[No.],表格1[Shop],"---",0)</f>
        <v>---</v>
      </c>
      <c r="C83" t="str">
        <f>_xlfn.XLOOKUP($A83,表格1[No.],表格1[Location],"---",0)</f>
        <v>---</v>
      </c>
      <c r="D83" t="str">
        <f>_xlfn.XLOOKUP($A83,表格1[No.],表格1[Name],"---",0)</f>
        <v>---</v>
      </c>
      <c r="E83" t="str">
        <f>_xlfn.XLOOKUP($A83,表格1[No.],表格1[month],"---",0)</f>
        <v>---</v>
      </c>
      <c r="F83" s="12" t="str">
        <f>_xlfn.XLOOKUP($A83,表格1[No.],表格1[date],"---",0)</f>
        <v>---</v>
      </c>
      <c r="G83" t="str">
        <f>_xlfn.XLOOKUP($A83,表格1[No.],表格1[Model],"---",0)</f>
        <v>---</v>
      </c>
      <c r="H83" t="str">
        <f>_xlfn.XLOOKUP($A83,表格1[No.],表格1[QTY],"---",0)</f>
        <v>---</v>
      </c>
      <c r="I83" t="str">
        <f>_xlfn.XLOOKUP($A83,表格1[No.],表格1[Unit Price],"---",0)</f>
        <v>---</v>
      </c>
      <c r="J83" t="str">
        <f>_xlfn.XLOOKUP($A83,表格1[No.],表格1[inv no],"---",0)</f>
        <v>---</v>
      </c>
      <c r="K83" t="str">
        <f>_xlfn.XLOOKUP($A83,表格1[No.],表格1[apps report no.],"---",0)</f>
        <v>---</v>
      </c>
    </row>
    <row r="84" spans="2:11">
      <c r="B84" t="str">
        <f>_xlfn.XLOOKUP($A84,表格1[No.],表格1[Shop],"---",0)</f>
        <v>---</v>
      </c>
      <c r="C84" t="str">
        <f>_xlfn.XLOOKUP($A84,表格1[No.],表格1[Location],"---",0)</f>
        <v>---</v>
      </c>
      <c r="D84" t="str">
        <f>_xlfn.XLOOKUP($A84,表格1[No.],表格1[Name],"---",0)</f>
        <v>---</v>
      </c>
      <c r="E84" t="str">
        <f>_xlfn.XLOOKUP($A84,表格1[No.],表格1[month],"---",0)</f>
        <v>---</v>
      </c>
      <c r="F84" s="12" t="str">
        <f>_xlfn.XLOOKUP($A84,表格1[No.],表格1[date],"---",0)</f>
        <v>---</v>
      </c>
      <c r="G84" t="str">
        <f>_xlfn.XLOOKUP($A84,表格1[No.],表格1[Model],"---",0)</f>
        <v>---</v>
      </c>
      <c r="H84" t="str">
        <f>_xlfn.XLOOKUP($A84,表格1[No.],表格1[QTY],"---",0)</f>
        <v>---</v>
      </c>
      <c r="I84" t="str">
        <f>_xlfn.XLOOKUP($A84,表格1[No.],表格1[Unit Price],"---",0)</f>
        <v>---</v>
      </c>
      <c r="J84" t="str">
        <f>_xlfn.XLOOKUP($A84,表格1[No.],表格1[inv no],"---",0)</f>
        <v>---</v>
      </c>
      <c r="K84" t="str">
        <f>_xlfn.XLOOKUP($A84,表格1[No.],表格1[apps report no.],"---",0)</f>
        <v>---</v>
      </c>
    </row>
    <row r="85" spans="2:11">
      <c r="B85" t="str">
        <f>_xlfn.XLOOKUP($A85,表格1[No.],表格1[Shop],"---",0)</f>
        <v>---</v>
      </c>
      <c r="C85" t="str">
        <f>_xlfn.XLOOKUP($A85,表格1[No.],表格1[Location],"---",0)</f>
        <v>---</v>
      </c>
      <c r="D85" t="str">
        <f>_xlfn.XLOOKUP($A85,表格1[No.],表格1[Name],"---",0)</f>
        <v>---</v>
      </c>
      <c r="E85" t="str">
        <f>_xlfn.XLOOKUP($A85,表格1[No.],表格1[month],"---",0)</f>
        <v>---</v>
      </c>
      <c r="F85" s="12" t="str">
        <f>_xlfn.XLOOKUP($A85,表格1[No.],表格1[date],"---",0)</f>
        <v>---</v>
      </c>
      <c r="G85" t="str">
        <f>_xlfn.XLOOKUP($A85,表格1[No.],表格1[Model],"---",0)</f>
        <v>---</v>
      </c>
      <c r="H85" t="str">
        <f>_xlfn.XLOOKUP($A85,表格1[No.],表格1[QTY],"---",0)</f>
        <v>---</v>
      </c>
      <c r="I85" t="str">
        <f>_xlfn.XLOOKUP($A85,表格1[No.],表格1[Unit Price],"---",0)</f>
        <v>---</v>
      </c>
      <c r="J85" t="str">
        <f>_xlfn.XLOOKUP($A85,表格1[No.],表格1[inv no],"---",0)</f>
        <v>---</v>
      </c>
      <c r="K85" t="str">
        <f>_xlfn.XLOOKUP($A85,表格1[No.],表格1[apps report no.],"---",0)</f>
        <v>---</v>
      </c>
    </row>
    <row r="86" spans="2:11">
      <c r="B86" t="str">
        <f>_xlfn.XLOOKUP($A86,表格1[No.],表格1[Shop],"---",0)</f>
        <v>---</v>
      </c>
      <c r="C86" t="str">
        <f>_xlfn.XLOOKUP($A86,表格1[No.],表格1[Location],"---",0)</f>
        <v>---</v>
      </c>
      <c r="D86" t="str">
        <f>_xlfn.XLOOKUP($A86,表格1[No.],表格1[Name],"---",0)</f>
        <v>---</v>
      </c>
      <c r="E86" t="str">
        <f>_xlfn.XLOOKUP($A86,表格1[No.],表格1[month],"---",0)</f>
        <v>---</v>
      </c>
      <c r="F86" s="12" t="str">
        <f>_xlfn.XLOOKUP($A86,表格1[No.],表格1[date],"---",0)</f>
        <v>---</v>
      </c>
      <c r="G86" t="str">
        <f>_xlfn.XLOOKUP($A86,表格1[No.],表格1[Model],"---",0)</f>
        <v>---</v>
      </c>
      <c r="H86" t="str">
        <f>_xlfn.XLOOKUP($A86,表格1[No.],表格1[QTY],"---",0)</f>
        <v>---</v>
      </c>
      <c r="I86" t="str">
        <f>_xlfn.XLOOKUP($A86,表格1[No.],表格1[Unit Price],"---",0)</f>
        <v>---</v>
      </c>
      <c r="J86" t="str">
        <f>_xlfn.XLOOKUP($A86,表格1[No.],表格1[inv no],"---",0)</f>
        <v>---</v>
      </c>
      <c r="K86" t="str">
        <f>_xlfn.XLOOKUP($A86,表格1[No.],表格1[apps report no.],"---",0)</f>
        <v>---</v>
      </c>
    </row>
    <row r="87" spans="2:11">
      <c r="B87" t="str">
        <f>_xlfn.XLOOKUP($A87,表格1[No.],表格1[Shop],"---",0)</f>
        <v>---</v>
      </c>
      <c r="C87" t="str">
        <f>_xlfn.XLOOKUP($A87,表格1[No.],表格1[Location],"---",0)</f>
        <v>---</v>
      </c>
      <c r="D87" t="str">
        <f>_xlfn.XLOOKUP($A87,表格1[No.],表格1[Name],"---",0)</f>
        <v>---</v>
      </c>
      <c r="E87" t="str">
        <f>_xlfn.XLOOKUP($A87,表格1[No.],表格1[month],"---",0)</f>
        <v>---</v>
      </c>
      <c r="F87" s="12" t="str">
        <f>_xlfn.XLOOKUP($A87,表格1[No.],表格1[date],"---",0)</f>
        <v>---</v>
      </c>
      <c r="G87" t="str">
        <f>_xlfn.XLOOKUP($A87,表格1[No.],表格1[Model],"---",0)</f>
        <v>---</v>
      </c>
      <c r="H87" t="str">
        <f>_xlfn.XLOOKUP($A87,表格1[No.],表格1[QTY],"---",0)</f>
        <v>---</v>
      </c>
      <c r="I87" t="str">
        <f>_xlfn.XLOOKUP($A87,表格1[No.],表格1[Unit Price],"---",0)</f>
        <v>---</v>
      </c>
      <c r="J87" t="str">
        <f>_xlfn.XLOOKUP($A87,表格1[No.],表格1[inv no],"---",0)</f>
        <v>---</v>
      </c>
      <c r="K87" t="str">
        <f>_xlfn.XLOOKUP($A87,表格1[No.],表格1[apps report no.],"---",0)</f>
        <v>---</v>
      </c>
    </row>
    <row r="88" spans="2:11">
      <c r="B88" t="str">
        <f>_xlfn.XLOOKUP($A88,表格1[No.],表格1[Shop],"---",0)</f>
        <v>---</v>
      </c>
      <c r="C88" t="str">
        <f>_xlfn.XLOOKUP($A88,表格1[No.],表格1[Location],"---",0)</f>
        <v>---</v>
      </c>
      <c r="D88" t="str">
        <f>_xlfn.XLOOKUP($A88,表格1[No.],表格1[Name],"---",0)</f>
        <v>---</v>
      </c>
      <c r="E88" t="str">
        <f>_xlfn.XLOOKUP($A88,表格1[No.],表格1[month],"---",0)</f>
        <v>---</v>
      </c>
      <c r="F88" s="12" t="str">
        <f>_xlfn.XLOOKUP($A88,表格1[No.],表格1[date],"---",0)</f>
        <v>---</v>
      </c>
      <c r="G88" t="str">
        <f>_xlfn.XLOOKUP($A88,表格1[No.],表格1[Model],"---",0)</f>
        <v>---</v>
      </c>
      <c r="H88" t="str">
        <f>_xlfn.XLOOKUP($A88,表格1[No.],表格1[QTY],"---",0)</f>
        <v>---</v>
      </c>
      <c r="I88" t="str">
        <f>_xlfn.XLOOKUP($A88,表格1[No.],表格1[Unit Price],"---",0)</f>
        <v>---</v>
      </c>
      <c r="J88" t="str">
        <f>_xlfn.XLOOKUP($A88,表格1[No.],表格1[inv no],"---",0)</f>
        <v>---</v>
      </c>
      <c r="K88" t="str">
        <f>_xlfn.XLOOKUP($A88,表格1[No.],表格1[apps report no.],"---",0)</f>
        <v>---</v>
      </c>
    </row>
    <row r="89" spans="2:11">
      <c r="B89" t="str">
        <f>_xlfn.XLOOKUP($A89,表格1[No.],表格1[Shop],"---",0)</f>
        <v>---</v>
      </c>
      <c r="C89" t="str">
        <f>_xlfn.XLOOKUP($A89,表格1[No.],表格1[Location],"---",0)</f>
        <v>---</v>
      </c>
      <c r="D89" t="str">
        <f>_xlfn.XLOOKUP($A89,表格1[No.],表格1[Name],"---",0)</f>
        <v>---</v>
      </c>
      <c r="E89" t="str">
        <f>_xlfn.XLOOKUP($A89,表格1[No.],表格1[month],"---",0)</f>
        <v>---</v>
      </c>
      <c r="F89" s="12" t="str">
        <f>_xlfn.XLOOKUP($A89,表格1[No.],表格1[date],"---",0)</f>
        <v>---</v>
      </c>
      <c r="G89" t="str">
        <f>_xlfn.XLOOKUP($A89,表格1[No.],表格1[Model],"---",0)</f>
        <v>---</v>
      </c>
      <c r="H89" t="str">
        <f>_xlfn.XLOOKUP($A89,表格1[No.],表格1[QTY],"---",0)</f>
        <v>---</v>
      </c>
      <c r="I89" t="str">
        <f>_xlfn.XLOOKUP($A89,表格1[No.],表格1[Unit Price],"---",0)</f>
        <v>---</v>
      </c>
      <c r="J89" t="str">
        <f>_xlfn.XLOOKUP($A89,表格1[No.],表格1[inv no],"---",0)</f>
        <v>---</v>
      </c>
      <c r="K89" t="str">
        <f>_xlfn.XLOOKUP($A89,表格1[No.],表格1[apps report no.],"---",0)</f>
        <v>---</v>
      </c>
    </row>
    <row r="90" spans="2:11">
      <c r="B90" t="str">
        <f>_xlfn.XLOOKUP($A90,表格1[No.],表格1[Shop],"---",0)</f>
        <v>---</v>
      </c>
      <c r="C90" t="str">
        <f>_xlfn.XLOOKUP($A90,表格1[No.],表格1[Location],"---",0)</f>
        <v>---</v>
      </c>
      <c r="D90" t="str">
        <f>_xlfn.XLOOKUP($A90,表格1[No.],表格1[Name],"---",0)</f>
        <v>---</v>
      </c>
      <c r="E90" t="str">
        <f>_xlfn.XLOOKUP($A90,表格1[No.],表格1[month],"---",0)</f>
        <v>---</v>
      </c>
      <c r="F90" s="12" t="str">
        <f>_xlfn.XLOOKUP($A90,表格1[No.],表格1[date],"---",0)</f>
        <v>---</v>
      </c>
      <c r="G90" t="str">
        <f>_xlfn.XLOOKUP($A90,表格1[No.],表格1[Model],"---",0)</f>
        <v>---</v>
      </c>
      <c r="H90" t="str">
        <f>_xlfn.XLOOKUP($A90,表格1[No.],表格1[QTY],"---",0)</f>
        <v>---</v>
      </c>
      <c r="I90" t="str">
        <f>_xlfn.XLOOKUP($A90,表格1[No.],表格1[Unit Price],"---",0)</f>
        <v>---</v>
      </c>
      <c r="J90" t="str">
        <f>_xlfn.XLOOKUP($A90,表格1[No.],表格1[inv no],"---",0)</f>
        <v>---</v>
      </c>
      <c r="K90" t="str">
        <f>_xlfn.XLOOKUP($A90,表格1[No.],表格1[apps report no.],"---",0)</f>
        <v>---</v>
      </c>
    </row>
    <row r="91" spans="2:11">
      <c r="B91" t="str">
        <f>_xlfn.XLOOKUP($A91,表格1[No.],表格1[Shop],"---",0)</f>
        <v>---</v>
      </c>
      <c r="C91" t="str">
        <f>_xlfn.XLOOKUP($A91,表格1[No.],表格1[Location],"---",0)</f>
        <v>---</v>
      </c>
      <c r="D91" t="str">
        <f>_xlfn.XLOOKUP($A91,表格1[No.],表格1[Name],"---",0)</f>
        <v>---</v>
      </c>
      <c r="E91" t="str">
        <f>_xlfn.XLOOKUP($A91,表格1[No.],表格1[month],"---",0)</f>
        <v>---</v>
      </c>
      <c r="F91" s="12" t="str">
        <f>_xlfn.XLOOKUP($A91,表格1[No.],表格1[date],"---",0)</f>
        <v>---</v>
      </c>
      <c r="G91" t="str">
        <f>_xlfn.XLOOKUP($A91,表格1[No.],表格1[Model],"---",0)</f>
        <v>---</v>
      </c>
      <c r="H91" t="str">
        <f>_xlfn.XLOOKUP($A91,表格1[No.],表格1[QTY],"---",0)</f>
        <v>---</v>
      </c>
      <c r="I91" t="str">
        <f>_xlfn.XLOOKUP($A91,表格1[No.],表格1[Unit Price],"---",0)</f>
        <v>---</v>
      </c>
      <c r="J91" t="str">
        <f>_xlfn.XLOOKUP($A91,表格1[No.],表格1[inv no],"---",0)</f>
        <v>---</v>
      </c>
      <c r="K91" t="str">
        <f>_xlfn.XLOOKUP($A91,表格1[No.],表格1[apps report no.],"---",0)</f>
        <v>---</v>
      </c>
    </row>
    <row r="92" spans="2:11">
      <c r="B92" t="str">
        <f>_xlfn.XLOOKUP($A92,表格1[No.],表格1[Shop],"---",0)</f>
        <v>---</v>
      </c>
      <c r="C92" t="str">
        <f>_xlfn.XLOOKUP($A92,表格1[No.],表格1[Location],"---",0)</f>
        <v>---</v>
      </c>
      <c r="D92" t="str">
        <f>_xlfn.XLOOKUP($A92,表格1[No.],表格1[Name],"---",0)</f>
        <v>---</v>
      </c>
      <c r="E92" t="str">
        <f>_xlfn.XLOOKUP($A92,表格1[No.],表格1[month],"---",0)</f>
        <v>---</v>
      </c>
      <c r="F92" s="12" t="str">
        <f>_xlfn.XLOOKUP($A92,表格1[No.],表格1[date],"---",0)</f>
        <v>---</v>
      </c>
      <c r="G92" t="str">
        <f>_xlfn.XLOOKUP($A92,表格1[No.],表格1[Model],"---",0)</f>
        <v>---</v>
      </c>
      <c r="H92" t="str">
        <f>_xlfn.XLOOKUP($A92,表格1[No.],表格1[QTY],"---",0)</f>
        <v>---</v>
      </c>
      <c r="I92" t="str">
        <f>_xlfn.XLOOKUP($A92,表格1[No.],表格1[Unit Price],"---",0)</f>
        <v>---</v>
      </c>
      <c r="J92" t="str">
        <f>_xlfn.XLOOKUP($A92,表格1[No.],表格1[inv no],"---",0)</f>
        <v>---</v>
      </c>
      <c r="K92" t="str">
        <f>_xlfn.XLOOKUP($A92,表格1[No.],表格1[apps report no.],"---",0)</f>
        <v>---</v>
      </c>
    </row>
    <row r="93" spans="2:11">
      <c r="B93" t="str">
        <f>_xlfn.XLOOKUP($A93,表格1[No.],表格1[Shop],"---",0)</f>
        <v>---</v>
      </c>
      <c r="C93" t="str">
        <f>_xlfn.XLOOKUP($A93,表格1[No.],表格1[Location],"---",0)</f>
        <v>---</v>
      </c>
      <c r="D93" t="str">
        <f>_xlfn.XLOOKUP($A93,表格1[No.],表格1[Name],"---",0)</f>
        <v>---</v>
      </c>
      <c r="E93" t="str">
        <f>_xlfn.XLOOKUP($A93,表格1[No.],表格1[month],"---",0)</f>
        <v>---</v>
      </c>
      <c r="F93" s="12" t="str">
        <f>_xlfn.XLOOKUP($A93,表格1[No.],表格1[date],"---",0)</f>
        <v>---</v>
      </c>
      <c r="G93" t="str">
        <f>_xlfn.XLOOKUP($A93,表格1[No.],表格1[Model],"---",0)</f>
        <v>---</v>
      </c>
      <c r="H93" t="str">
        <f>_xlfn.XLOOKUP($A93,表格1[No.],表格1[QTY],"---",0)</f>
        <v>---</v>
      </c>
      <c r="I93" t="str">
        <f>_xlfn.XLOOKUP($A93,表格1[No.],表格1[Unit Price],"---",0)</f>
        <v>---</v>
      </c>
      <c r="J93" t="str">
        <f>_xlfn.XLOOKUP($A93,表格1[No.],表格1[inv no],"---",0)</f>
        <v>---</v>
      </c>
      <c r="K93" t="str">
        <f>_xlfn.XLOOKUP($A93,表格1[No.],表格1[apps report no.],"---",0)</f>
        <v>---</v>
      </c>
    </row>
    <row r="94" spans="2:11">
      <c r="B94" t="str">
        <f>_xlfn.XLOOKUP($A94,表格1[No.],表格1[Shop],"---",0)</f>
        <v>---</v>
      </c>
      <c r="C94" t="str">
        <f>_xlfn.XLOOKUP($A94,表格1[No.],表格1[Location],"---",0)</f>
        <v>---</v>
      </c>
      <c r="D94" t="str">
        <f>_xlfn.XLOOKUP($A94,表格1[No.],表格1[Name],"---",0)</f>
        <v>---</v>
      </c>
      <c r="E94" t="str">
        <f>_xlfn.XLOOKUP($A94,表格1[No.],表格1[month],"---",0)</f>
        <v>---</v>
      </c>
      <c r="F94" s="12" t="str">
        <f>_xlfn.XLOOKUP($A94,表格1[No.],表格1[date],"---",0)</f>
        <v>---</v>
      </c>
      <c r="G94" t="str">
        <f>_xlfn.XLOOKUP($A94,表格1[No.],表格1[Model],"---",0)</f>
        <v>---</v>
      </c>
      <c r="H94" t="str">
        <f>_xlfn.XLOOKUP($A94,表格1[No.],表格1[QTY],"---",0)</f>
        <v>---</v>
      </c>
      <c r="I94" t="str">
        <f>_xlfn.XLOOKUP($A94,表格1[No.],表格1[Unit Price],"---",0)</f>
        <v>---</v>
      </c>
      <c r="J94" t="str">
        <f>_xlfn.XLOOKUP($A94,表格1[No.],表格1[inv no],"---",0)</f>
        <v>---</v>
      </c>
      <c r="K94" t="str">
        <f>_xlfn.XLOOKUP($A94,表格1[No.],表格1[apps report no.],"---",0)</f>
        <v>---</v>
      </c>
    </row>
    <row r="95" spans="2:11">
      <c r="B95" t="str">
        <f>_xlfn.XLOOKUP($A95,表格1[No.],表格1[Shop],"---",0)</f>
        <v>---</v>
      </c>
      <c r="C95" t="str">
        <f>_xlfn.XLOOKUP($A95,表格1[No.],表格1[Location],"---",0)</f>
        <v>---</v>
      </c>
      <c r="D95" t="str">
        <f>_xlfn.XLOOKUP($A95,表格1[No.],表格1[Name],"---",0)</f>
        <v>---</v>
      </c>
      <c r="E95" t="str">
        <f>_xlfn.XLOOKUP($A95,表格1[No.],表格1[month],"---",0)</f>
        <v>---</v>
      </c>
      <c r="F95" s="12" t="str">
        <f>_xlfn.XLOOKUP($A95,表格1[No.],表格1[date],"---",0)</f>
        <v>---</v>
      </c>
      <c r="G95" t="str">
        <f>_xlfn.XLOOKUP($A95,表格1[No.],表格1[Model],"---",0)</f>
        <v>---</v>
      </c>
      <c r="H95" t="str">
        <f>_xlfn.XLOOKUP($A95,表格1[No.],表格1[QTY],"---",0)</f>
        <v>---</v>
      </c>
      <c r="I95" t="str">
        <f>_xlfn.XLOOKUP($A95,表格1[No.],表格1[Unit Price],"---",0)</f>
        <v>---</v>
      </c>
      <c r="J95" t="str">
        <f>_xlfn.XLOOKUP($A95,表格1[No.],表格1[inv no],"---",0)</f>
        <v>---</v>
      </c>
      <c r="K95" t="str">
        <f>_xlfn.XLOOKUP($A95,表格1[No.],表格1[apps report no.],"---",0)</f>
        <v>---</v>
      </c>
    </row>
    <row r="96" spans="2:11">
      <c r="B96" t="str">
        <f>_xlfn.XLOOKUP($A96,表格1[No.],表格1[Shop],"---",0)</f>
        <v>---</v>
      </c>
      <c r="C96" t="str">
        <f>_xlfn.XLOOKUP($A96,表格1[No.],表格1[Location],"---",0)</f>
        <v>---</v>
      </c>
      <c r="D96" t="str">
        <f>_xlfn.XLOOKUP($A96,表格1[No.],表格1[Name],"---",0)</f>
        <v>---</v>
      </c>
      <c r="E96" t="str">
        <f>_xlfn.XLOOKUP($A96,表格1[No.],表格1[month],"---",0)</f>
        <v>---</v>
      </c>
      <c r="F96" s="12" t="str">
        <f>_xlfn.XLOOKUP($A96,表格1[No.],表格1[date],"---",0)</f>
        <v>---</v>
      </c>
      <c r="G96" t="str">
        <f>_xlfn.XLOOKUP($A96,表格1[No.],表格1[Model],"---",0)</f>
        <v>---</v>
      </c>
      <c r="H96" t="str">
        <f>_xlfn.XLOOKUP($A96,表格1[No.],表格1[QTY],"---",0)</f>
        <v>---</v>
      </c>
      <c r="I96" t="str">
        <f>_xlfn.XLOOKUP($A96,表格1[No.],表格1[Unit Price],"---",0)</f>
        <v>---</v>
      </c>
      <c r="J96" t="str">
        <f>_xlfn.XLOOKUP($A96,表格1[No.],表格1[inv no],"---",0)</f>
        <v>---</v>
      </c>
      <c r="K96" t="str">
        <f>_xlfn.XLOOKUP($A96,表格1[No.],表格1[apps report no.],"---",0)</f>
        <v>---</v>
      </c>
    </row>
    <row r="97" spans="2:11">
      <c r="B97" t="str">
        <f>_xlfn.XLOOKUP($A97,表格1[No.],表格1[Shop],"---",0)</f>
        <v>---</v>
      </c>
      <c r="C97" t="str">
        <f>_xlfn.XLOOKUP($A97,表格1[No.],表格1[Location],"---",0)</f>
        <v>---</v>
      </c>
      <c r="D97" t="str">
        <f>_xlfn.XLOOKUP($A97,表格1[No.],表格1[Name],"---",0)</f>
        <v>---</v>
      </c>
      <c r="E97" t="str">
        <f>_xlfn.XLOOKUP($A97,表格1[No.],表格1[month],"---",0)</f>
        <v>---</v>
      </c>
      <c r="F97" s="12" t="str">
        <f>_xlfn.XLOOKUP($A97,表格1[No.],表格1[date],"---",0)</f>
        <v>---</v>
      </c>
      <c r="G97" t="str">
        <f>_xlfn.XLOOKUP($A97,表格1[No.],表格1[Model],"---",0)</f>
        <v>---</v>
      </c>
      <c r="H97" t="str">
        <f>_xlfn.XLOOKUP($A97,表格1[No.],表格1[QTY],"---",0)</f>
        <v>---</v>
      </c>
      <c r="I97" t="str">
        <f>_xlfn.XLOOKUP($A97,表格1[No.],表格1[Unit Price],"---",0)</f>
        <v>---</v>
      </c>
      <c r="J97" t="str">
        <f>_xlfn.XLOOKUP($A97,表格1[No.],表格1[inv no],"---",0)</f>
        <v>---</v>
      </c>
      <c r="K97" t="str">
        <f>_xlfn.XLOOKUP($A97,表格1[No.],表格1[apps report no.],"---",0)</f>
        <v>---</v>
      </c>
    </row>
    <row r="98" spans="2:11">
      <c r="B98" t="str">
        <f>_xlfn.XLOOKUP($A98,表格1[No.],表格1[Shop],"---",0)</f>
        <v>---</v>
      </c>
      <c r="C98" t="str">
        <f>_xlfn.XLOOKUP($A98,表格1[No.],表格1[Location],"---",0)</f>
        <v>---</v>
      </c>
      <c r="D98" t="str">
        <f>_xlfn.XLOOKUP($A98,表格1[No.],表格1[Name],"---",0)</f>
        <v>---</v>
      </c>
      <c r="E98" t="str">
        <f>_xlfn.XLOOKUP($A98,表格1[No.],表格1[month],"---",0)</f>
        <v>---</v>
      </c>
      <c r="F98" s="12" t="str">
        <f>_xlfn.XLOOKUP($A98,表格1[No.],表格1[date],"---",0)</f>
        <v>---</v>
      </c>
      <c r="G98" t="str">
        <f>_xlfn.XLOOKUP($A98,表格1[No.],表格1[Model],"---",0)</f>
        <v>---</v>
      </c>
      <c r="H98" t="str">
        <f>_xlfn.XLOOKUP($A98,表格1[No.],表格1[QTY],"---",0)</f>
        <v>---</v>
      </c>
      <c r="I98" t="str">
        <f>_xlfn.XLOOKUP($A98,表格1[No.],表格1[Unit Price],"---",0)</f>
        <v>---</v>
      </c>
      <c r="J98" t="str">
        <f>_xlfn.XLOOKUP($A98,表格1[No.],表格1[inv no],"---",0)</f>
        <v>---</v>
      </c>
      <c r="K98" t="str">
        <f>_xlfn.XLOOKUP($A98,表格1[No.],表格1[apps report no.],"---",0)</f>
        <v>---</v>
      </c>
    </row>
    <row r="99" spans="2:11">
      <c r="B99" t="str">
        <f>_xlfn.XLOOKUP($A99,表格1[No.],表格1[Shop],"---",0)</f>
        <v>---</v>
      </c>
      <c r="C99" t="str">
        <f>_xlfn.XLOOKUP($A99,表格1[No.],表格1[Location],"---",0)</f>
        <v>---</v>
      </c>
      <c r="D99" t="str">
        <f>_xlfn.XLOOKUP($A99,表格1[No.],表格1[Name],"---",0)</f>
        <v>---</v>
      </c>
      <c r="E99" t="str">
        <f>_xlfn.XLOOKUP($A99,表格1[No.],表格1[month],"---",0)</f>
        <v>---</v>
      </c>
      <c r="F99" s="12" t="str">
        <f>_xlfn.XLOOKUP($A99,表格1[No.],表格1[date],"---",0)</f>
        <v>---</v>
      </c>
      <c r="G99" t="str">
        <f>_xlfn.XLOOKUP($A99,表格1[No.],表格1[Model],"---",0)</f>
        <v>---</v>
      </c>
      <c r="H99" t="str">
        <f>_xlfn.XLOOKUP($A99,表格1[No.],表格1[QTY],"---",0)</f>
        <v>---</v>
      </c>
      <c r="I99" t="str">
        <f>_xlfn.XLOOKUP($A99,表格1[No.],表格1[Unit Price],"---",0)</f>
        <v>---</v>
      </c>
      <c r="J99" t="str">
        <f>_xlfn.XLOOKUP($A99,表格1[No.],表格1[inv no],"---",0)</f>
        <v>---</v>
      </c>
      <c r="K99" t="str">
        <f>_xlfn.XLOOKUP($A99,表格1[No.],表格1[apps report no.],"---",0)</f>
        <v>---</v>
      </c>
    </row>
    <row r="100" spans="2:11">
      <c r="B100" t="str">
        <f>_xlfn.XLOOKUP($A100,表格1[No.],表格1[Shop],"---",0)</f>
        <v>---</v>
      </c>
      <c r="C100" t="str">
        <f>_xlfn.XLOOKUP($A100,表格1[No.],表格1[Location],"---",0)</f>
        <v>---</v>
      </c>
      <c r="D100" t="str">
        <f>_xlfn.XLOOKUP($A100,表格1[No.],表格1[Name],"---",0)</f>
        <v>---</v>
      </c>
      <c r="E100" t="str">
        <f>_xlfn.XLOOKUP($A100,表格1[No.],表格1[month],"---",0)</f>
        <v>---</v>
      </c>
      <c r="F100" s="12" t="str">
        <f>_xlfn.XLOOKUP($A100,表格1[No.],表格1[date],"---",0)</f>
        <v>---</v>
      </c>
      <c r="G100" t="str">
        <f>_xlfn.XLOOKUP($A100,表格1[No.],表格1[Model],"---",0)</f>
        <v>---</v>
      </c>
      <c r="H100" t="str">
        <f>_xlfn.XLOOKUP($A100,表格1[No.],表格1[QTY],"---",0)</f>
        <v>---</v>
      </c>
      <c r="I100" t="str">
        <f>_xlfn.XLOOKUP($A100,表格1[No.],表格1[Unit Price],"---",0)</f>
        <v>---</v>
      </c>
      <c r="J100" t="str">
        <f>_xlfn.XLOOKUP($A100,表格1[No.],表格1[inv no],"---",0)</f>
        <v>---</v>
      </c>
      <c r="K100" t="str">
        <f>_xlfn.XLOOKUP($A100,表格1[No.],表格1[apps report no.],"---",0)</f>
        <v>---</v>
      </c>
    </row>
    <row r="101" spans="2:11">
      <c r="B101" t="str">
        <f>_xlfn.XLOOKUP($A101,表格1[No.],表格1[Shop],"---",0)</f>
        <v>---</v>
      </c>
      <c r="C101" t="str">
        <f>_xlfn.XLOOKUP($A101,表格1[No.],表格1[Location],"---",0)</f>
        <v>---</v>
      </c>
      <c r="D101" t="str">
        <f>_xlfn.XLOOKUP($A101,表格1[No.],表格1[Name],"---",0)</f>
        <v>---</v>
      </c>
      <c r="E101" t="str">
        <f>_xlfn.XLOOKUP($A101,表格1[No.],表格1[month],"---",0)</f>
        <v>---</v>
      </c>
      <c r="F101" s="12" t="str">
        <f>_xlfn.XLOOKUP($A101,表格1[No.],表格1[date],"---",0)</f>
        <v>---</v>
      </c>
      <c r="G101" t="str">
        <f>_xlfn.XLOOKUP($A101,表格1[No.],表格1[Model],"---",0)</f>
        <v>---</v>
      </c>
      <c r="H101" t="str">
        <f>_xlfn.XLOOKUP($A101,表格1[No.],表格1[QTY],"---",0)</f>
        <v>---</v>
      </c>
      <c r="I101" t="str">
        <f>_xlfn.XLOOKUP($A101,表格1[No.],表格1[Unit Price],"---",0)</f>
        <v>---</v>
      </c>
      <c r="J101" t="str">
        <f>_xlfn.XLOOKUP($A101,表格1[No.],表格1[inv no],"---",0)</f>
        <v>---</v>
      </c>
      <c r="K101" t="str">
        <f>_xlfn.XLOOKUP($A101,表格1[No.],表格1[apps report no.],"---",0)</f>
        <v>---</v>
      </c>
    </row>
    <row r="102" spans="2:11">
      <c r="B102" t="str">
        <f>_xlfn.XLOOKUP($A102,表格1[No.],表格1[Shop],"---",0)</f>
        <v>---</v>
      </c>
      <c r="C102" t="str">
        <f>_xlfn.XLOOKUP($A102,表格1[No.],表格1[Location],"---",0)</f>
        <v>---</v>
      </c>
      <c r="D102" t="str">
        <f>_xlfn.XLOOKUP($A102,表格1[No.],表格1[Name],"---",0)</f>
        <v>---</v>
      </c>
      <c r="E102" t="str">
        <f>_xlfn.XLOOKUP($A102,表格1[No.],表格1[month],"---",0)</f>
        <v>---</v>
      </c>
      <c r="F102" s="12" t="str">
        <f>_xlfn.XLOOKUP($A102,表格1[No.],表格1[date],"---",0)</f>
        <v>---</v>
      </c>
      <c r="G102" t="str">
        <f>_xlfn.XLOOKUP($A102,表格1[No.],表格1[Model],"---",0)</f>
        <v>---</v>
      </c>
      <c r="H102" t="str">
        <f>_xlfn.XLOOKUP($A102,表格1[No.],表格1[QTY],"---",0)</f>
        <v>---</v>
      </c>
      <c r="I102" t="str">
        <f>_xlfn.XLOOKUP($A102,表格1[No.],表格1[Unit Price],"---",0)</f>
        <v>---</v>
      </c>
      <c r="J102" t="str">
        <f>_xlfn.XLOOKUP($A102,表格1[No.],表格1[inv no],"---",0)</f>
        <v>---</v>
      </c>
      <c r="K102" t="str">
        <f>_xlfn.XLOOKUP($A102,表格1[No.],表格1[apps report no.],"---",0)</f>
        <v>---</v>
      </c>
    </row>
    <row r="103" spans="2:11">
      <c r="B103" t="str">
        <f>_xlfn.XLOOKUP($A103,表格1[No.],表格1[Shop],"---",0)</f>
        <v>---</v>
      </c>
      <c r="C103" t="str">
        <f>_xlfn.XLOOKUP($A103,表格1[No.],表格1[Location],"---",0)</f>
        <v>---</v>
      </c>
      <c r="D103" t="str">
        <f>_xlfn.XLOOKUP($A103,表格1[No.],表格1[Name],"---",0)</f>
        <v>---</v>
      </c>
      <c r="E103" t="str">
        <f>_xlfn.XLOOKUP($A103,表格1[No.],表格1[month],"---",0)</f>
        <v>---</v>
      </c>
      <c r="F103" s="12" t="str">
        <f>_xlfn.XLOOKUP($A103,表格1[No.],表格1[date],"---",0)</f>
        <v>---</v>
      </c>
      <c r="G103" t="str">
        <f>_xlfn.XLOOKUP($A103,表格1[No.],表格1[Model],"---",0)</f>
        <v>---</v>
      </c>
      <c r="H103" t="str">
        <f>_xlfn.XLOOKUP($A103,表格1[No.],表格1[QTY],"---",0)</f>
        <v>---</v>
      </c>
      <c r="I103" t="str">
        <f>_xlfn.XLOOKUP($A103,表格1[No.],表格1[Unit Price],"---",0)</f>
        <v>---</v>
      </c>
      <c r="J103" t="str">
        <f>_xlfn.XLOOKUP($A103,表格1[No.],表格1[inv no],"---",0)</f>
        <v>---</v>
      </c>
      <c r="K103" t="str">
        <f>_xlfn.XLOOKUP($A103,表格1[No.],表格1[apps report no.],"---",0)</f>
        <v>---</v>
      </c>
    </row>
    <row r="104" spans="2:11">
      <c r="B104" t="str">
        <f>_xlfn.XLOOKUP($A104,表格1[No.],表格1[Shop],"---",0)</f>
        <v>---</v>
      </c>
      <c r="C104" t="str">
        <f>_xlfn.XLOOKUP($A104,表格1[No.],表格1[Location],"---",0)</f>
        <v>---</v>
      </c>
      <c r="D104" t="str">
        <f>_xlfn.XLOOKUP($A104,表格1[No.],表格1[Name],"---",0)</f>
        <v>---</v>
      </c>
      <c r="E104" t="str">
        <f>_xlfn.XLOOKUP($A104,表格1[No.],表格1[month],"---",0)</f>
        <v>---</v>
      </c>
      <c r="F104" s="12" t="str">
        <f>_xlfn.XLOOKUP($A104,表格1[No.],表格1[date],"---",0)</f>
        <v>---</v>
      </c>
      <c r="G104" t="str">
        <f>_xlfn.XLOOKUP($A104,表格1[No.],表格1[Model],"---",0)</f>
        <v>---</v>
      </c>
      <c r="H104" t="str">
        <f>_xlfn.XLOOKUP($A104,表格1[No.],表格1[QTY],"---",0)</f>
        <v>---</v>
      </c>
      <c r="I104" t="str">
        <f>_xlfn.XLOOKUP($A104,表格1[No.],表格1[Unit Price],"---",0)</f>
        <v>---</v>
      </c>
      <c r="J104" t="str">
        <f>_xlfn.XLOOKUP($A104,表格1[No.],表格1[inv no],"---",0)</f>
        <v>---</v>
      </c>
      <c r="K104" t="str">
        <f>_xlfn.XLOOKUP($A104,表格1[No.],表格1[apps report no.],"---",0)</f>
        <v>---</v>
      </c>
    </row>
    <row r="105" spans="2:11">
      <c r="B105" t="str">
        <f>_xlfn.XLOOKUP($A105,表格1[No.],表格1[Shop],"---",0)</f>
        <v>---</v>
      </c>
      <c r="C105" t="str">
        <f>_xlfn.XLOOKUP($A105,表格1[No.],表格1[Location],"---",0)</f>
        <v>---</v>
      </c>
      <c r="D105" t="str">
        <f>_xlfn.XLOOKUP($A105,表格1[No.],表格1[Name],"---",0)</f>
        <v>---</v>
      </c>
      <c r="E105" t="str">
        <f>_xlfn.XLOOKUP($A105,表格1[No.],表格1[month],"---",0)</f>
        <v>---</v>
      </c>
      <c r="F105" s="12" t="str">
        <f>_xlfn.XLOOKUP($A105,表格1[No.],表格1[date],"---",0)</f>
        <v>---</v>
      </c>
      <c r="G105" t="str">
        <f>_xlfn.XLOOKUP($A105,表格1[No.],表格1[Model],"---",0)</f>
        <v>---</v>
      </c>
      <c r="H105" t="str">
        <f>_xlfn.XLOOKUP($A105,表格1[No.],表格1[QTY],"---",0)</f>
        <v>---</v>
      </c>
      <c r="I105" t="str">
        <f>_xlfn.XLOOKUP($A105,表格1[No.],表格1[Unit Price],"---",0)</f>
        <v>---</v>
      </c>
      <c r="J105" t="str">
        <f>_xlfn.XLOOKUP($A105,表格1[No.],表格1[inv no],"---",0)</f>
        <v>---</v>
      </c>
      <c r="K105" t="str">
        <f>_xlfn.XLOOKUP($A105,表格1[No.],表格1[apps report no.],"---",0)</f>
        <v>---</v>
      </c>
    </row>
    <row r="106" spans="2:11">
      <c r="B106" t="str">
        <f>_xlfn.XLOOKUP($A106,表格1[No.],表格1[Shop],"---",0)</f>
        <v>---</v>
      </c>
      <c r="C106" t="str">
        <f>_xlfn.XLOOKUP($A106,表格1[No.],表格1[Location],"---",0)</f>
        <v>---</v>
      </c>
      <c r="D106" t="str">
        <f>_xlfn.XLOOKUP($A106,表格1[No.],表格1[Name],"---",0)</f>
        <v>---</v>
      </c>
      <c r="E106" t="str">
        <f>_xlfn.XLOOKUP($A106,表格1[No.],表格1[month],"---",0)</f>
        <v>---</v>
      </c>
      <c r="F106" s="12" t="str">
        <f>_xlfn.XLOOKUP($A106,表格1[No.],表格1[date],"---",0)</f>
        <v>---</v>
      </c>
      <c r="G106" t="str">
        <f>_xlfn.XLOOKUP($A106,表格1[No.],表格1[Model],"---",0)</f>
        <v>---</v>
      </c>
      <c r="H106" t="str">
        <f>_xlfn.XLOOKUP($A106,表格1[No.],表格1[QTY],"---",0)</f>
        <v>---</v>
      </c>
      <c r="I106" t="str">
        <f>_xlfn.XLOOKUP($A106,表格1[No.],表格1[Unit Price],"---",0)</f>
        <v>---</v>
      </c>
      <c r="J106" t="str">
        <f>_xlfn.XLOOKUP($A106,表格1[No.],表格1[inv no],"---",0)</f>
        <v>---</v>
      </c>
      <c r="K106" t="str">
        <f>_xlfn.XLOOKUP($A106,表格1[No.],表格1[apps report no.],"---",0)</f>
        <v>---</v>
      </c>
    </row>
    <row r="107" spans="2:11">
      <c r="B107" t="str">
        <f>_xlfn.XLOOKUP($A107,表格1[No.],表格1[Shop],"---",0)</f>
        <v>---</v>
      </c>
      <c r="C107" t="str">
        <f>_xlfn.XLOOKUP($A107,表格1[No.],表格1[Location],"---",0)</f>
        <v>---</v>
      </c>
      <c r="D107" t="str">
        <f>_xlfn.XLOOKUP($A107,表格1[No.],表格1[Name],"---",0)</f>
        <v>---</v>
      </c>
      <c r="E107" t="str">
        <f>_xlfn.XLOOKUP($A107,表格1[No.],表格1[month],"---",0)</f>
        <v>---</v>
      </c>
      <c r="F107" s="12" t="str">
        <f>_xlfn.XLOOKUP($A107,表格1[No.],表格1[date],"---",0)</f>
        <v>---</v>
      </c>
      <c r="G107" t="str">
        <f>_xlfn.XLOOKUP($A107,表格1[No.],表格1[Model],"---",0)</f>
        <v>---</v>
      </c>
      <c r="H107" t="str">
        <f>_xlfn.XLOOKUP($A107,表格1[No.],表格1[QTY],"---",0)</f>
        <v>---</v>
      </c>
      <c r="I107" t="str">
        <f>_xlfn.XLOOKUP($A107,表格1[No.],表格1[Unit Price],"---",0)</f>
        <v>---</v>
      </c>
      <c r="J107" t="str">
        <f>_xlfn.XLOOKUP($A107,表格1[No.],表格1[inv no],"---",0)</f>
        <v>---</v>
      </c>
      <c r="K107" t="str">
        <f>_xlfn.XLOOKUP($A107,表格1[No.],表格1[apps report no.],"---",0)</f>
        <v>---</v>
      </c>
    </row>
    <row r="108" spans="2:11">
      <c r="B108" t="str">
        <f>_xlfn.XLOOKUP($A108,表格1[No.],表格1[Shop],"---",0)</f>
        <v>---</v>
      </c>
      <c r="C108" t="str">
        <f>_xlfn.XLOOKUP($A108,表格1[No.],表格1[Location],"---",0)</f>
        <v>---</v>
      </c>
      <c r="D108" t="str">
        <f>_xlfn.XLOOKUP($A108,表格1[No.],表格1[Name],"---",0)</f>
        <v>---</v>
      </c>
      <c r="E108" t="str">
        <f>_xlfn.XLOOKUP($A108,表格1[No.],表格1[month],"---",0)</f>
        <v>---</v>
      </c>
      <c r="F108" s="12" t="str">
        <f>_xlfn.XLOOKUP($A108,表格1[No.],表格1[date],"---",0)</f>
        <v>---</v>
      </c>
      <c r="G108" t="str">
        <f>_xlfn.XLOOKUP($A108,表格1[No.],表格1[Model],"---",0)</f>
        <v>---</v>
      </c>
      <c r="H108" t="str">
        <f>_xlfn.XLOOKUP($A108,表格1[No.],表格1[QTY],"---",0)</f>
        <v>---</v>
      </c>
      <c r="I108" t="str">
        <f>_xlfn.XLOOKUP($A108,表格1[No.],表格1[Unit Price],"---",0)</f>
        <v>---</v>
      </c>
      <c r="J108" t="str">
        <f>_xlfn.XLOOKUP($A108,表格1[No.],表格1[inv no],"---",0)</f>
        <v>---</v>
      </c>
      <c r="K108" t="str">
        <f>_xlfn.XLOOKUP($A108,表格1[No.],表格1[apps report no.],"---",0)</f>
        <v>---</v>
      </c>
    </row>
    <row r="109" spans="2:11">
      <c r="B109" t="str">
        <f>_xlfn.XLOOKUP($A109,表格1[No.],表格1[Shop],"---",0)</f>
        <v>---</v>
      </c>
      <c r="C109" t="str">
        <f>_xlfn.XLOOKUP($A109,表格1[No.],表格1[Location],"---",0)</f>
        <v>---</v>
      </c>
      <c r="D109" t="str">
        <f>_xlfn.XLOOKUP($A109,表格1[No.],表格1[Name],"---",0)</f>
        <v>---</v>
      </c>
      <c r="E109" t="str">
        <f>_xlfn.XLOOKUP($A109,表格1[No.],表格1[month],"---",0)</f>
        <v>---</v>
      </c>
      <c r="F109" s="12" t="str">
        <f>_xlfn.XLOOKUP($A109,表格1[No.],表格1[date],"---",0)</f>
        <v>---</v>
      </c>
      <c r="G109" t="str">
        <f>_xlfn.XLOOKUP($A109,表格1[No.],表格1[Model],"---",0)</f>
        <v>---</v>
      </c>
      <c r="H109" t="str">
        <f>_xlfn.XLOOKUP($A109,表格1[No.],表格1[QTY],"---",0)</f>
        <v>---</v>
      </c>
      <c r="I109" t="str">
        <f>_xlfn.XLOOKUP($A109,表格1[No.],表格1[Unit Price],"---",0)</f>
        <v>---</v>
      </c>
      <c r="J109" t="str">
        <f>_xlfn.XLOOKUP($A109,表格1[No.],表格1[inv no],"---",0)</f>
        <v>---</v>
      </c>
      <c r="K109" t="str">
        <f>_xlfn.XLOOKUP($A109,表格1[No.],表格1[apps report no.],"---",0)</f>
        <v>---</v>
      </c>
    </row>
    <row r="110" spans="2:11">
      <c r="B110" t="str">
        <f>_xlfn.XLOOKUP($A110,表格1[No.],表格1[Shop],"---",0)</f>
        <v>---</v>
      </c>
      <c r="C110" t="str">
        <f>_xlfn.XLOOKUP($A110,表格1[No.],表格1[Location],"---",0)</f>
        <v>---</v>
      </c>
      <c r="D110" t="str">
        <f>_xlfn.XLOOKUP($A110,表格1[No.],表格1[Name],"---",0)</f>
        <v>---</v>
      </c>
      <c r="E110" t="str">
        <f>_xlfn.XLOOKUP($A110,表格1[No.],表格1[month],"---",0)</f>
        <v>---</v>
      </c>
      <c r="F110" s="12" t="str">
        <f>_xlfn.XLOOKUP($A110,表格1[No.],表格1[date],"---",0)</f>
        <v>---</v>
      </c>
      <c r="G110" t="str">
        <f>_xlfn.XLOOKUP($A110,表格1[No.],表格1[Model],"---",0)</f>
        <v>---</v>
      </c>
      <c r="H110" t="str">
        <f>_xlfn.XLOOKUP($A110,表格1[No.],表格1[QTY],"---",0)</f>
        <v>---</v>
      </c>
      <c r="I110" t="str">
        <f>_xlfn.XLOOKUP($A110,表格1[No.],表格1[Unit Price],"---",0)</f>
        <v>---</v>
      </c>
      <c r="J110" t="str">
        <f>_xlfn.XLOOKUP($A110,表格1[No.],表格1[inv no],"---",0)</f>
        <v>---</v>
      </c>
      <c r="K110" t="str">
        <f>_xlfn.XLOOKUP($A110,表格1[No.],表格1[apps report no.],"---",0)</f>
        <v>---</v>
      </c>
    </row>
    <row r="111" spans="2:11">
      <c r="B111" t="str">
        <f>_xlfn.XLOOKUP($A111,表格1[No.],表格1[Shop],"---",0)</f>
        <v>---</v>
      </c>
      <c r="C111" t="str">
        <f>_xlfn.XLOOKUP($A111,表格1[No.],表格1[Location],"---",0)</f>
        <v>---</v>
      </c>
      <c r="D111" t="str">
        <f>_xlfn.XLOOKUP($A111,表格1[No.],表格1[Name],"---",0)</f>
        <v>---</v>
      </c>
      <c r="E111" t="str">
        <f>_xlfn.XLOOKUP($A111,表格1[No.],表格1[month],"---",0)</f>
        <v>---</v>
      </c>
      <c r="F111" s="12" t="str">
        <f>_xlfn.XLOOKUP($A111,表格1[No.],表格1[date],"---",0)</f>
        <v>---</v>
      </c>
      <c r="G111" t="str">
        <f>_xlfn.XLOOKUP($A111,表格1[No.],表格1[Model],"---",0)</f>
        <v>---</v>
      </c>
      <c r="H111" t="str">
        <f>_xlfn.XLOOKUP($A111,表格1[No.],表格1[QTY],"---",0)</f>
        <v>---</v>
      </c>
      <c r="I111" t="str">
        <f>_xlfn.XLOOKUP($A111,表格1[No.],表格1[Unit Price],"---",0)</f>
        <v>---</v>
      </c>
      <c r="J111" t="str">
        <f>_xlfn.XLOOKUP($A111,表格1[No.],表格1[inv no],"---",0)</f>
        <v>---</v>
      </c>
      <c r="K111" t="str">
        <f>_xlfn.XLOOKUP($A111,表格1[No.],表格1[apps report no.],"---",0)</f>
        <v>---</v>
      </c>
    </row>
    <row r="112" spans="2:11">
      <c r="B112" t="str">
        <f>_xlfn.XLOOKUP($A112,表格1[No.],表格1[Shop],"---",0)</f>
        <v>---</v>
      </c>
      <c r="C112" t="str">
        <f>_xlfn.XLOOKUP($A112,表格1[No.],表格1[Location],"---",0)</f>
        <v>---</v>
      </c>
      <c r="D112" t="str">
        <f>_xlfn.XLOOKUP($A112,表格1[No.],表格1[Name],"---",0)</f>
        <v>---</v>
      </c>
      <c r="E112" t="str">
        <f>_xlfn.XLOOKUP($A112,表格1[No.],表格1[month],"---",0)</f>
        <v>---</v>
      </c>
      <c r="F112" s="12" t="str">
        <f>_xlfn.XLOOKUP($A112,表格1[No.],表格1[date],"---",0)</f>
        <v>---</v>
      </c>
      <c r="G112" t="str">
        <f>_xlfn.XLOOKUP($A112,表格1[No.],表格1[Model],"---",0)</f>
        <v>---</v>
      </c>
      <c r="H112" t="str">
        <f>_xlfn.XLOOKUP($A112,表格1[No.],表格1[QTY],"---",0)</f>
        <v>---</v>
      </c>
      <c r="I112" t="str">
        <f>_xlfn.XLOOKUP($A112,表格1[No.],表格1[Unit Price],"---",0)</f>
        <v>---</v>
      </c>
      <c r="J112" t="str">
        <f>_xlfn.XLOOKUP($A112,表格1[No.],表格1[inv no],"---",0)</f>
        <v>---</v>
      </c>
      <c r="K112" t="str">
        <f>_xlfn.XLOOKUP($A112,表格1[No.],表格1[apps report no.],"---",0)</f>
        <v>---</v>
      </c>
    </row>
    <row r="113" spans="2:11">
      <c r="B113" t="str">
        <f>_xlfn.XLOOKUP($A113,表格1[No.],表格1[Shop],"---",0)</f>
        <v>---</v>
      </c>
      <c r="C113" t="str">
        <f>_xlfn.XLOOKUP($A113,表格1[No.],表格1[Location],"---",0)</f>
        <v>---</v>
      </c>
      <c r="D113" t="str">
        <f>_xlfn.XLOOKUP($A113,表格1[No.],表格1[Name],"---",0)</f>
        <v>---</v>
      </c>
      <c r="E113" t="str">
        <f>_xlfn.XLOOKUP($A113,表格1[No.],表格1[month],"---",0)</f>
        <v>---</v>
      </c>
      <c r="F113" s="12" t="str">
        <f>_xlfn.XLOOKUP($A113,表格1[No.],表格1[date],"---",0)</f>
        <v>---</v>
      </c>
      <c r="G113" t="str">
        <f>_xlfn.XLOOKUP($A113,表格1[No.],表格1[Model],"---",0)</f>
        <v>---</v>
      </c>
      <c r="H113" t="str">
        <f>_xlfn.XLOOKUP($A113,表格1[No.],表格1[QTY],"---",0)</f>
        <v>---</v>
      </c>
      <c r="I113" t="str">
        <f>_xlfn.XLOOKUP($A113,表格1[No.],表格1[Unit Price],"---",0)</f>
        <v>---</v>
      </c>
      <c r="J113" t="str">
        <f>_xlfn.XLOOKUP($A113,表格1[No.],表格1[inv no],"---",0)</f>
        <v>---</v>
      </c>
      <c r="K113" t="str">
        <f>_xlfn.XLOOKUP($A113,表格1[No.],表格1[apps report no.],"---",0)</f>
        <v>---</v>
      </c>
    </row>
    <row r="114" spans="2:11">
      <c r="B114" t="str">
        <f>_xlfn.XLOOKUP($A114,表格1[No.],表格1[Shop],"---",0)</f>
        <v>---</v>
      </c>
      <c r="C114" t="str">
        <f>_xlfn.XLOOKUP($A114,表格1[No.],表格1[Location],"---",0)</f>
        <v>---</v>
      </c>
      <c r="D114" t="str">
        <f>_xlfn.XLOOKUP($A114,表格1[No.],表格1[Name],"---",0)</f>
        <v>---</v>
      </c>
      <c r="E114" t="str">
        <f>_xlfn.XLOOKUP($A114,表格1[No.],表格1[month],"---",0)</f>
        <v>---</v>
      </c>
      <c r="F114" s="12" t="str">
        <f>_xlfn.XLOOKUP($A114,表格1[No.],表格1[date],"---",0)</f>
        <v>---</v>
      </c>
      <c r="G114" t="str">
        <f>_xlfn.XLOOKUP($A114,表格1[No.],表格1[Model],"---",0)</f>
        <v>---</v>
      </c>
      <c r="H114" t="str">
        <f>_xlfn.XLOOKUP($A114,表格1[No.],表格1[QTY],"---",0)</f>
        <v>---</v>
      </c>
      <c r="I114" t="str">
        <f>_xlfn.XLOOKUP($A114,表格1[No.],表格1[Unit Price],"---",0)</f>
        <v>---</v>
      </c>
      <c r="J114" t="str">
        <f>_xlfn.XLOOKUP($A114,表格1[No.],表格1[inv no],"---",0)</f>
        <v>---</v>
      </c>
      <c r="K114" t="str">
        <f>_xlfn.XLOOKUP($A114,表格1[No.],表格1[apps report no.],"---",0)</f>
        <v>---</v>
      </c>
    </row>
    <row r="115" spans="2:11">
      <c r="B115" t="str">
        <f>_xlfn.XLOOKUP($A115,表格1[No.],表格1[Shop],"---",0)</f>
        <v>---</v>
      </c>
      <c r="C115" t="str">
        <f>_xlfn.XLOOKUP($A115,表格1[No.],表格1[Location],"---",0)</f>
        <v>---</v>
      </c>
      <c r="D115" t="str">
        <f>_xlfn.XLOOKUP($A115,表格1[No.],表格1[Name],"---",0)</f>
        <v>---</v>
      </c>
      <c r="E115" t="str">
        <f>_xlfn.XLOOKUP($A115,表格1[No.],表格1[month],"---",0)</f>
        <v>---</v>
      </c>
      <c r="F115" s="12" t="str">
        <f>_xlfn.XLOOKUP($A115,表格1[No.],表格1[date],"---",0)</f>
        <v>---</v>
      </c>
      <c r="G115" t="str">
        <f>_xlfn.XLOOKUP($A115,表格1[No.],表格1[Model],"---",0)</f>
        <v>---</v>
      </c>
      <c r="H115" t="str">
        <f>_xlfn.XLOOKUP($A115,表格1[No.],表格1[QTY],"---",0)</f>
        <v>---</v>
      </c>
      <c r="I115" t="str">
        <f>_xlfn.XLOOKUP($A115,表格1[No.],表格1[Unit Price],"---",0)</f>
        <v>---</v>
      </c>
      <c r="J115" t="str">
        <f>_xlfn.XLOOKUP($A115,表格1[No.],表格1[inv no],"---",0)</f>
        <v>---</v>
      </c>
      <c r="K115" t="str">
        <f>_xlfn.XLOOKUP($A115,表格1[No.],表格1[apps report no.],"---",0)</f>
        <v>---</v>
      </c>
    </row>
    <row r="116" spans="2:11">
      <c r="B116" t="str">
        <f>_xlfn.XLOOKUP($A116,表格1[No.],表格1[Shop],"---",0)</f>
        <v>---</v>
      </c>
      <c r="C116" t="str">
        <f>_xlfn.XLOOKUP($A116,表格1[No.],表格1[Location],"---",0)</f>
        <v>---</v>
      </c>
      <c r="D116" t="str">
        <f>_xlfn.XLOOKUP($A116,表格1[No.],表格1[Name],"---",0)</f>
        <v>---</v>
      </c>
      <c r="E116" t="str">
        <f>_xlfn.XLOOKUP($A116,表格1[No.],表格1[month],"---",0)</f>
        <v>---</v>
      </c>
      <c r="F116" s="12" t="str">
        <f>_xlfn.XLOOKUP($A116,表格1[No.],表格1[date],"---",0)</f>
        <v>---</v>
      </c>
      <c r="G116" t="str">
        <f>_xlfn.XLOOKUP($A116,表格1[No.],表格1[Model],"---",0)</f>
        <v>---</v>
      </c>
      <c r="H116" t="str">
        <f>_xlfn.XLOOKUP($A116,表格1[No.],表格1[QTY],"---",0)</f>
        <v>---</v>
      </c>
      <c r="I116" t="str">
        <f>_xlfn.XLOOKUP($A116,表格1[No.],表格1[Unit Price],"---",0)</f>
        <v>---</v>
      </c>
      <c r="J116" t="str">
        <f>_xlfn.XLOOKUP($A116,表格1[No.],表格1[inv no],"---",0)</f>
        <v>---</v>
      </c>
      <c r="K116" t="str">
        <f>_xlfn.XLOOKUP($A116,表格1[No.],表格1[apps report no.],"---",0)</f>
        <v>---</v>
      </c>
    </row>
    <row r="117" spans="2:11">
      <c r="B117" t="str">
        <f>_xlfn.XLOOKUP($A117,表格1[No.],表格1[Shop],"---",0)</f>
        <v>---</v>
      </c>
      <c r="C117" t="str">
        <f>_xlfn.XLOOKUP($A117,表格1[No.],表格1[Location],"---",0)</f>
        <v>---</v>
      </c>
      <c r="D117" t="str">
        <f>_xlfn.XLOOKUP($A117,表格1[No.],表格1[Name],"---",0)</f>
        <v>---</v>
      </c>
      <c r="E117" t="str">
        <f>_xlfn.XLOOKUP($A117,表格1[No.],表格1[month],"---",0)</f>
        <v>---</v>
      </c>
      <c r="F117" s="12" t="str">
        <f>_xlfn.XLOOKUP($A117,表格1[No.],表格1[date],"---",0)</f>
        <v>---</v>
      </c>
      <c r="G117" t="str">
        <f>_xlfn.XLOOKUP($A117,表格1[No.],表格1[Model],"---",0)</f>
        <v>---</v>
      </c>
      <c r="H117" t="str">
        <f>_xlfn.XLOOKUP($A117,表格1[No.],表格1[QTY],"---",0)</f>
        <v>---</v>
      </c>
      <c r="I117" t="str">
        <f>_xlfn.XLOOKUP($A117,表格1[No.],表格1[Unit Price],"---",0)</f>
        <v>---</v>
      </c>
      <c r="J117" t="str">
        <f>_xlfn.XLOOKUP($A117,表格1[No.],表格1[inv no],"---",0)</f>
        <v>---</v>
      </c>
      <c r="K117" t="str">
        <f>_xlfn.XLOOKUP($A117,表格1[No.],表格1[apps report no.],"---",0)</f>
        <v>---</v>
      </c>
    </row>
    <row r="118" spans="2:11">
      <c r="B118" t="str">
        <f>_xlfn.XLOOKUP($A118,表格1[No.],表格1[Shop],"---",0)</f>
        <v>---</v>
      </c>
      <c r="C118" t="str">
        <f>_xlfn.XLOOKUP($A118,表格1[No.],表格1[Location],"---",0)</f>
        <v>---</v>
      </c>
      <c r="D118" t="str">
        <f>_xlfn.XLOOKUP($A118,表格1[No.],表格1[Name],"---",0)</f>
        <v>---</v>
      </c>
      <c r="E118" t="str">
        <f>_xlfn.XLOOKUP($A118,表格1[No.],表格1[month],"---",0)</f>
        <v>---</v>
      </c>
      <c r="F118" s="12" t="str">
        <f>_xlfn.XLOOKUP($A118,表格1[No.],表格1[date],"---",0)</f>
        <v>---</v>
      </c>
      <c r="G118" t="str">
        <f>_xlfn.XLOOKUP($A118,表格1[No.],表格1[Model],"---",0)</f>
        <v>---</v>
      </c>
      <c r="H118" t="str">
        <f>_xlfn.XLOOKUP($A118,表格1[No.],表格1[QTY],"---",0)</f>
        <v>---</v>
      </c>
      <c r="I118" t="str">
        <f>_xlfn.XLOOKUP($A118,表格1[No.],表格1[Unit Price],"---",0)</f>
        <v>---</v>
      </c>
      <c r="J118" t="str">
        <f>_xlfn.XLOOKUP($A118,表格1[No.],表格1[inv no],"---",0)</f>
        <v>---</v>
      </c>
      <c r="K118" t="str">
        <f>_xlfn.XLOOKUP($A118,表格1[No.],表格1[apps report no.],"---",0)</f>
        <v>---</v>
      </c>
    </row>
    <row r="119" spans="2:11">
      <c r="B119" t="str">
        <f>_xlfn.XLOOKUP($A119,表格1[No.],表格1[Shop],"---",0)</f>
        <v>---</v>
      </c>
      <c r="C119" t="str">
        <f>_xlfn.XLOOKUP($A119,表格1[No.],表格1[Location],"---",0)</f>
        <v>---</v>
      </c>
      <c r="D119" t="str">
        <f>_xlfn.XLOOKUP($A119,表格1[No.],表格1[Name],"---",0)</f>
        <v>---</v>
      </c>
      <c r="E119" t="str">
        <f>_xlfn.XLOOKUP($A119,表格1[No.],表格1[month],"---",0)</f>
        <v>---</v>
      </c>
      <c r="F119" s="12" t="str">
        <f>_xlfn.XLOOKUP($A119,表格1[No.],表格1[date],"---",0)</f>
        <v>---</v>
      </c>
      <c r="G119" t="str">
        <f>_xlfn.XLOOKUP($A119,表格1[No.],表格1[Model],"---",0)</f>
        <v>---</v>
      </c>
      <c r="H119" t="str">
        <f>_xlfn.XLOOKUP($A119,表格1[No.],表格1[QTY],"---",0)</f>
        <v>---</v>
      </c>
      <c r="I119" t="str">
        <f>_xlfn.XLOOKUP($A119,表格1[No.],表格1[Unit Price],"---",0)</f>
        <v>---</v>
      </c>
      <c r="J119" t="str">
        <f>_xlfn.XLOOKUP($A119,表格1[No.],表格1[inv no],"---",0)</f>
        <v>---</v>
      </c>
      <c r="K119" t="str">
        <f>_xlfn.XLOOKUP($A119,表格1[No.],表格1[apps report no.],"---",0)</f>
        <v>---</v>
      </c>
    </row>
    <row r="120" spans="2:11">
      <c r="B120" t="str">
        <f>_xlfn.XLOOKUP($A120,表格1[No.],表格1[Shop],"---",0)</f>
        <v>---</v>
      </c>
      <c r="C120" t="str">
        <f>_xlfn.XLOOKUP($A120,表格1[No.],表格1[Location],"---",0)</f>
        <v>---</v>
      </c>
      <c r="D120" t="str">
        <f>_xlfn.XLOOKUP($A120,表格1[No.],表格1[Name],"---",0)</f>
        <v>---</v>
      </c>
      <c r="E120" t="str">
        <f>_xlfn.XLOOKUP($A120,表格1[No.],表格1[month],"---",0)</f>
        <v>---</v>
      </c>
      <c r="F120" s="12" t="str">
        <f>_xlfn.XLOOKUP($A120,表格1[No.],表格1[date],"---",0)</f>
        <v>---</v>
      </c>
      <c r="G120" t="str">
        <f>_xlfn.XLOOKUP($A120,表格1[No.],表格1[Model],"---",0)</f>
        <v>---</v>
      </c>
      <c r="H120" t="str">
        <f>_xlfn.XLOOKUP($A120,表格1[No.],表格1[QTY],"---",0)</f>
        <v>---</v>
      </c>
      <c r="I120" t="str">
        <f>_xlfn.XLOOKUP($A120,表格1[No.],表格1[Unit Price],"---",0)</f>
        <v>---</v>
      </c>
      <c r="J120" t="str">
        <f>_xlfn.XLOOKUP($A120,表格1[No.],表格1[inv no],"---",0)</f>
        <v>---</v>
      </c>
      <c r="K120" t="str">
        <f>_xlfn.XLOOKUP($A120,表格1[No.],表格1[apps report no.],"---",0)</f>
        <v>---</v>
      </c>
    </row>
    <row r="121" spans="2:11">
      <c r="B121" t="str">
        <f>_xlfn.XLOOKUP($A121,表格1[No.],表格1[Shop],"---",0)</f>
        <v>---</v>
      </c>
      <c r="C121" t="str">
        <f>_xlfn.XLOOKUP($A121,表格1[No.],表格1[Location],"---",0)</f>
        <v>---</v>
      </c>
      <c r="D121" t="str">
        <f>_xlfn.XLOOKUP($A121,表格1[No.],表格1[Name],"---",0)</f>
        <v>---</v>
      </c>
      <c r="E121" t="str">
        <f>_xlfn.XLOOKUP($A121,表格1[No.],表格1[month],"---",0)</f>
        <v>---</v>
      </c>
      <c r="F121" s="12" t="str">
        <f>_xlfn.XLOOKUP($A121,表格1[No.],表格1[date],"---",0)</f>
        <v>---</v>
      </c>
      <c r="G121" t="str">
        <f>_xlfn.XLOOKUP($A121,表格1[No.],表格1[Model],"---",0)</f>
        <v>---</v>
      </c>
      <c r="H121" t="str">
        <f>_xlfn.XLOOKUP($A121,表格1[No.],表格1[QTY],"---",0)</f>
        <v>---</v>
      </c>
      <c r="I121" t="str">
        <f>_xlfn.XLOOKUP($A121,表格1[No.],表格1[Unit Price],"---",0)</f>
        <v>---</v>
      </c>
      <c r="J121" t="str">
        <f>_xlfn.XLOOKUP($A121,表格1[No.],表格1[inv no],"---",0)</f>
        <v>---</v>
      </c>
      <c r="K121" t="str">
        <f>_xlfn.XLOOKUP($A121,表格1[No.],表格1[apps report no.],"---",0)</f>
        <v>---</v>
      </c>
    </row>
    <row r="122" spans="2:11">
      <c r="B122" t="str">
        <f>_xlfn.XLOOKUP($A122,表格1[No.],表格1[Shop],"---",0)</f>
        <v>---</v>
      </c>
      <c r="C122" t="str">
        <f>_xlfn.XLOOKUP($A122,表格1[No.],表格1[Location],"---",0)</f>
        <v>---</v>
      </c>
      <c r="D122" t="str">
        <f>_xlfn.XLOOKUP($A122,表格1[No.],表格1[Name],"---",0)</f>
        <v>---</v>
      </c>
      <c r="E122" t="str">
        <f>_xlfn.XLOOKUP($A122,表格1[No.],表格1[month],"---",0)</f>
        <v>---</v>
      </c>
      <c r="F122" s="12" t="str">
        <f>_xlfn.XLOOKUP($A122,表格1[No.],表格1[date],"---",0)</f>
        <v>---</v>
      </c>
      <c r="G122" t="str">
        <f>_xlfn.XLOOKUP($A122,表格1[No.],表格1[Model],"---",0)</f>
        <v>---</v>
      </c>
      <c r="H122" t="str">
        <f>_xlfn.XLOOKUP($A122,表格1[No.],表格1[QTY],"---",0)</f>
        <v>---</v>
      </c>
      <c r="I122" t="str">
        <f>_xlfn.XLOOKUP($A122,表格1[No.],表格1[Unit Price],"---",0)</f>
        <v>---</v>
      </c>
      <c r="J122" t="str">
        <f>_xlfn.XLOOKUP($A122,表格1[No.],表格1[inv no],"---",0)</f>
        <v>---</v>
      </c>
      <c r="K122" t="str">
        <f>_xlfn.XLOOKUP($A122,表格1[No.],表格1[apps report no.],"---",0)</f>
        <v>---</v>
      </c>
    </row>
    <row r="123" spans="2:11">
      <c r="B123" t="str">
        <f>_xlfn.XLOOKUP($A123,表格1[No.],表格1[Shop],"---",0)</f>
        <v>---</v>
      </c>
      <c r="C123" t="str">
        <f>_xlfn.XLOOKUP($A123,表格1[No.],表格1[Location],"---",0)</f>
        <v>---</v>
      </c>
      <c r="D123" t="str">
        <f>_xlfn.XLOOKUP($A123,表格1[No.],表格1[Name],"---",0)</f>
        <v>---</v>
      </c>
      <c r="E123" t="str">
        <f>_xlfn.XLOOKUP($A123,表格1[No.],表格1[month],"---",0)</f>
        <v>---</v>
      </c>
      <c r="F123" s="12" t="str">
        <f>_xlfn.XLOOKUP($A123,表格1[No.],表格1[date],"---",0)</f>
        <v>---</v>
      </c>
      <c r="G123" t="str">
        <f>_xlfn.XLOOKUP($A123,表格1[No.],表格1[Model],"---",0)</f>
        <v>---</v>
      </c>
      <c r="H123" t="str">
        <f>_xlfn.XLOOKUP($A123,表格1[No.],表格1[QTY],"---",0)</f>
        <v>---</v>
      </c>
      <c r="I123" t="str">
        <f>_xlfn.XLOOKUP($A123,表格1[No.],表格1[Unit Price],"---",0)</f>
        <v>---</v>
      </c>
      <c r="J123" t="str">
        <f>_xlfn.XLOOKUP($A123,表格1[No.],表格1[inv no],"---",0)</f>
        <v>---</v>
      </c>
      <c r="K123" t="str">
        <f>_xlfn.XLOOKUP($A123,表格1[No.],表格1[apps report no.],"---",0)</f>
        <v>---</v>
      </c>
    </row>
    <row r="124" spans="2:11">
      <c r="B124" t="str">
        <f>_xlfn.XLOOKUP($A124,表格1[No.],表格1[Shop],"---",0)</f>
        <v>---</v>
      </c>
      <c r="C124" t="str">
        <f>_xlfn.XLOOKUP($A124,表格1[No.],表格1[Location],"---",0)</f>
        <v>---</v>
      </c>
      <c r="D124" t="str">
        <f>_xlfn.XLOOKUP($A124,表格1[No.],表格1[Name],"---",0)</f>
        <v>---</v>
      </c>
      <c r="E124" t="str">
        <f>_xlfn.XLOOKUP($A124,表格1[No.],表格1[month],"---",0)</f>
        <v>---</v>
      </c>
      <c r="F124" s="12" t="str">
        <f>_xlfn.XLOOKUP($A124,表格1[No.],表格1[date],"---",0)</f>
        <v>---</v>
      </c>
      <c r="G124" t="str">
        <f>_xlfn.XLOOKUP($A124,表格1[No.],表格1[Model],"---",0)</f>
        <v>---</v>
      </c>
      <c r="H124" t="str">
        <f>_xlfn.XLOOKUP($A124,表格1[No.],表格1[QTY],"---",0)</f>
        <v>---</v>
      </c>
      <c r="I124" t="str">
        <f>_xlfn.XLOOKUP($A124,表格1[No.],表格1[Unit Price],"---",0)</f>
        <v>---</v>
      </c>
      <c r="J124" t="str">
        <f>_xlfn.XLOOKUP($A124,表格1[No.],表格1[inv no],"---",0)</f>
        <v>---</v>
      </c>
      <c r="K124" t="str">
        <f>_xlfn.XLOOKUP($A124,表格1[No.],表格1[apps report no.],"---",0)</f>
        <v>---</v>
      </c>
    </row>
    <row r="125" spans="2:11">
      <c r="B125" t="str">
        <f>_xlfn.XLOOKUP($A125,表格1[No.],表格1[Shop],"---",0)</f>
        <v>---</v>
      </c>
      <c r="C125" t="str">
        <f>_xlfn.XLOOKUP($A125,表格1[No.],表格1[Location],"---",0)</f>
        <v>---</v>
      </c>
      <c r="D125" t="str">
        <f>_xlfn.XLOOKUP($A125,表格1[No.],表格1[Name],"---",0)</f>
        <v>---</v>
      </c>
      <c r="E125" t="str">
        <f>_xlfn.XLOOKUP($A125,表格1[No.],表格1[month],"---",0)</f>
        <v>---</v>
      </c>
      <c r="F125" s="12" t="str">
        <f>_xlfn.XLOOKUP($A125,表格1[No.],表格1[date],"---",0)</f>
        <v>---</v>
      </c>
      <c r="G125" t="str">
        <f>_xlfn.XLOOKUP($A125,表格1[No.],表格1[Model],"---",0)</f>
        <v>---</v>
      </c>
      <c r="H125" t="str">
        <f>_xlfn.XLOOKUP($A125,表格1[No.],表格1[QTY],"---",0)</f>
        <v>---</v>
      </c>
      <c r="I125" t="str">
        <f>_xlfn.XLOOKUP($A125,表格1[No.],表格1[Unit Price],"---",0)</f>
        <v>---</v>
      </c>
      <c r="J125" t="str">
        <f>_xlfn.XLOOKUP($A125,表格1[No.],表格1[inv no],"---",0)</f>
        <v>---</v>
      </c>
      <c r="K125" t="str">
        <f>_xlfn.XLOOKUP($A125,表格1[No.],表格1[apps report no.],"---",0)</f>
        <v>---</v>
      </c>
    </row>
    <row r="126" spans="2:11">
      <c r="B126" t="str">
        <f>_xlfn.XLOOKUP($A126,表格1[No.],表格1[Shop],"---",0)</f>
        <v>---</v>
      </c>
      <c r="C126" t="str">
        <f>_xlfn.XLOOKUP($A126,表格1[No.],表格1[Location],"---",0)</f>
        <v>---</v>
      </c>
      <c r="D126" t="str">
        <f>_xlfn.XLOOKUP($A126,表格1[No.],表格1[Name],"---",0)</f>
        <v>---</v>
      </c>
      <c r="E126" t="str">
        <f>_xlfn.XLOOKUP($A126,表格1[No.],表格1[month],"---",0)</f>
        <v>---</v>
      </c>
      <c r="F126" s="12" t="str">
        <f>_xlfn.XLOOKUP($A126,表格1[No.],表格1[date],"---",0)</f>
        <v>---</v>
      </c>
      <c r="G126" t="str">
        <f>_xlfn.XLOOKUP($A126,表格1[No.],表格1[Model],"---",0)</f>
        <v>---</v>
      </c>
      <c r="H126" t="str">
        <f>_xlfn.XLOOKUP($A126,表格1[No.],表格1[QTY],"---",0)</f>
        <v>---</v>
      </c>
      <c r="I126" t="str">
        <f>_xlfn.XLOOKUP($A126,表格1[No.],表格1[Unit Price],"---",0)</f>
        <v>---</v>
      </c>
      <c r="J126" t="str">
        <f>_xlfn.XLOOKUP($A126,表格1[No.],表格1[inv no],"---",0)</f>
        <v>---</v>
      </c>
      <c r="K126" t="str">
        <f>_xlfn.XLOOKUP($A126,表格1[No.],表格1[apps report no.],"---",0)</f>
        <v>---</v>
      </c>
    </row>
    <row r="127" spans="2:11">
      <c r="B127" t="str">
        <f>_xlfn.XLOOKUP($A127,表格1[No.],表格1[Shop],"---",0)</f>
        <v>---</v>
      </c>
      <c r="C127" t="str">
        <f>_xlfn.XLOOKUP($A127,表格1[No.],表格1[Location],"---",0)</f>
        <v>---</v>
      </c>
      <c r="D127" t="str">
        <f>_xlfn.XLOOKUP($A127,表格1[No.],表格1[Name],"---",0)</f>
        <v>---</v>
      </c>
      <c r="E127" t="str">
        <f>_xlfn.XLOOKUP($A127,表格1[No.],表格1[month],"---",0)</f>
        <v>---</v>
      </c>
      <c r="F127" s="12" t="str">
        <f>_xlfn.XLOOKUP($A127,表格1[No.],表格1[date],"---",0)</f>
        <v>---</v>
      </c>
      <c r="G127" t="str">
        <f>_xlfn.XLOOKUP($A127,表格1[No.],表格1[Model],"---",0)</f>
        <v>---</v>
      </c>
      <c r="H127" t="str">
        <f>_xlfn.XLOOKUP($A127,表格1[No.],表格1[QTY],"---",0)</f>
        <v>---</v>
      </c>
      <c r="I127" t="str">
        <f>_xlfn.XLOOKUP($A127,表格1[No.],表格1[Unit Price],"---",0)</f>
        <v>---</v>
      </c>
      <c r="J127" t="str">
        <f>_xlfn.XLOOKUP($A127,表格1[No.],表格1[inv no],"---",0)</f>
        <v>---</v>
      </c>
      <c r="K127" t="str">
        <f>_xlfn.XLOOKUP($A127,表格1[No.],表格1[apps report no.],"---",0)</f>
        <v>---</v>
      </c>
    </row>
    <row r="128" spans="2:11">
      <c r="B128" t="str">
        <f>_xlfn.XLOOKUP($A128,表格1[No.],表格1[Shop],"---",0)</f>
        <v>---</v>
      </c>
      <c r="C128" t="str">
        <f>_xlfn.XLOOKUP($A128,表格1[No.],表格1[Location],"---",0)</f>
        <v>---</v>
      </c>
      <c r="D128" t="str">
        <f>_xlfn.XLOOKUP($A128,表格1[No.],表格1[Name],"---",0)</f>
        <v>---</v>
      </c>
      <c r="E128" t="str">
        <f>_xlfn.XLOOKUP($A128,表格1[No.],表格1[month],"---",0)</f>
        <v>---</v>
      </c>
      <c r="F128" s="12" t="str">
        <f>_xlfn.XLOOKUP($A128,表格1[No.],表格1[date],"---",0)</f>
        <v>---</v>
      </c>
      <c r="G128" t="str">
        <f>_xlfn.XLOOKUP($A128,表格1[No.],表格1[Model],"---",0)</f>
        <v>---</v>
      </c>
      <c r="H128" t="str">
        <f>_xlfn.XLOOKUP($A128,表格1[No.],表格1[QTY],"---",0)</f>
        <v>---</v>
      </c>
      <c r="I128" t="str">
        <f>_xlfn.XLOOKUP($A128,表格1[No.],表格1[Unit Price],"---",0)</f>
        <v>---</v>
      </c>
      <c r="J128" t="str">
        <f>_xlfn.XLOOKUP($A128,表格1[No.],表格1[inv no],"---",0)</f>
        <v>---</v>
      </c>
      <c r="K128" t="str">
        <f>_xlfn.XLOOKUP($A128,表格1[No.],表格1[apps report no.],"---",0)</f>
        <v>---</v>
      </c>
    </row>
    <row r="129" spans="2:11">
      <c r="B129" t="str">
        <f>_xlfn.XLOOKUP($A129,表格1[No.],表格1[Shop],"---",0)</f>
        <v>---</v>
      </c>
      <c r="C129" t="str">
        <f>_xlfn.XLOOKUP($A129,表格1[No.],表格1[Location],"---",0)</f>
        <v>---</v>
      </c>
      <c r="D129" t="str">
        <f>_xlfn.XLOOKUP($A129,表格1[No.],表格1[Name],"---",0)</f>
        <v>---</v>
      </c>
      <c r="E129" t="str">
        <f>_xlfn.XLOOKUP($A129,表格1[No.],表格1[month],"---",0)</f>
        <v>---</v>
      </c>
      <c r="F129" s="12" t="str">
        <f>_xlfn.XLOOKUP($A129,表格1[No.],表格1[date],"---",0)</f>
        <v>---</v>
      </c>
      <c r="G129" t="str">
        <f>_xlfn.XLOOKUP($A129,表格1[No.],表格1[Model],"---",0)</f>
        <v>---</v>
      </c>
      <c r="H129" t="str">
        <f>_xlfn.XLOOKUP($A129,表格1[No.],表格1[QTY],"---",0)</f>
        <v>---</v>
      </c>
      <c r="I129" t="str">
        <f>_xlfn.XLOOKUP($A129,表格1[No.],表格1[Unit Price],"---",0)</f>
        <v>---</v>
      </c>
      <c r="J129" t="str">
        <f>_xlfn.XLOOKUP($A129,表格1[No.],表格1[inv no],"---",0)</f>
        <v>---</v>
      </c>
      <c r="K129" t="str">
        <f>_xlfn.XLOOKUP($A129,表格1[No.],表格1[apps report no.],"---",0)</f>
        <v>---</v>
      </c>
    </row>
    <row r="130" spans="2:11">
      <c r="B130" t="str">
        <f>_xlfn.XLOOKUP($A130,表格1[No.],表格1[Shop],"---",0)</f>
        <v>---</v>
      </c>
      <c r="C130" t="str">
        <f>_xlfn.XLOOKUP($A130,表格1[No.],表格1[Location],"---",0)</f>
        <v>---</v>
      </c>
      <c r="D130" t="str">
        <f>_xlfn.XLOOKUP($A130,表格1[No.],表格1[Name],"---",0)</f>
        <v>---</v>
      </c>
      <c r="E130" t="str">
        <f>_xlfn.XLOOKUP($A130,表格1[No.],表格1[month],"---",0)</f>
        <v>---</v>
      </c>
      <c r="F130" s="12" t="str">
        <f>_xlfn.XLOOKUP($A130,表格1[No.],表格1[date],"---",0)</f>
        <v>---</v>
      </c>
      <c r="G130" t="str">
        <f>_xlfn.XLOOKUP($A130,表格1[No.],表格1[Model],"---",0)</f>
        <v>---</v>
      </c>
      <c r="H130" t="str">
        <f>_xlfn.XLOOKUP($A130,表格1[No.],表格1[QTY],"---",0)</f>
        <v>---</v>
      </c>
      <c r="I130" t="str">
        <f>_xlfn.XLOOKUP($A130,表格1[No.],表格1[Unit Price],"---",0)</f>
        <v>---</v>
      </c>
      <c r="J130" t="str">
        <f>_xlfn.XLOOKUP($A130,表格1[No.],表格1[inv no],"---",0)</f>
        <v>---</v>
      </c>
      <c r="K130" t="str">
        <f>_xlfn.XLOOKUP($A130,表格1[No.],表格1[apps report no.],"---",0)</f>
        <v>---</v>
      </c>
    </row>
    <row r="131" spans="2:11">
      <c r="B131" t="str">
        <f>_xlfn.XLOOKUP($A131,表格1[No.],表格1[Shop],"---",0)</f>
        <v>---</v>
      </c>
      <c r="C131" t="str">
        <f>_xlfn.XLOOKUP($A131,表格1[No.],表格1[Location],"---",0)</f>
        <v>---</v>
      </c>
      <c r="D131" t="str">
        <f>_xlfn.XLOOKUP($A131,表格1[No.],表格1[Name],"---",0)</f>
        <v>---</v>
      </c>
      <c r="E131" t="str">
        <f>_xlfn.XLOOKUP($A131,表格1[No.],表格1[month],"---",0)</f>
        <v>---</v>
      </c>
      <c r="F131" s="12" t="str">
        <f>_xlfn.XLOOKUP($A131,表格1[No.],表格1[date],"---",0)</f>
        <v>---</v>
      </c>
      <c r="G131" t="str">
        <f>_xlfn.XLOOKUP($A131,表格1[No.],表格1[Model],"---",0)</f>
        <v>---</v>
      </c>
      <c r="H131" t="str">
        <f>_xlfn.XLOOKUP($A131,表格1[No.],表格1[QTY],"---",0)</f>
        <v>---</v>
      </c>
      <c r="I131" t="str">
        <f>_xlfn.XLOOKUP($A131,表格1[No.],表格1[Unit Price],"---",0)</f>
        <v>---</v>
      </c>
      <c r="J131" t="str">
        <f>_xlfn.XLOOKUP($A131,表格1[No.],表格1[inv no],"---",0)</f>
        <v>---</v>
      </c>
      <c r="K131" t="str">
        <f>_xlfn.XLOOKUP($A131,表格1[No.],表格1[apps report no.],"---",0)</f>
        <v>---</v>
      </c>
    </row>
    <row r="132" spans="2:11">
      <c r="B132" t="str">
        <f>_xlfn.XLOOKUP($A132,表格1[No.],表格1[Shop],"---",0)</f>
        <v>---</v>
      </c>
      <c r="C132" t="str">
        <f>_xlfn.XLOOKUP($A132,表格1[No.],表格1[Location],"---",0)</f>
        <v>---</v>
      </c>
      <c r="D132" t="str">
        <f>_xlfn.XLOOKUP($A132,表格1[No.],表格1[Name],"---",0)</f>
        <v>---</v>
      </c>
      <c r="E132" t="str">
        <f>_xlfn.XLOOKUP($A132,表格1[No.],表格1[month],"---",0)</f>
        <v>---</v>
      </c>
      <c r="F132" s="12" t="str">
        <f>_xlfn.XLOOKUP($A132,表格1[No.],表格1[date],"---",0)</f>
        <v>---</v>
      </c>
      <c r="G132" t="str">
        <f>_xlfn.XLOOKUP($A132,表格1[No.],表格1[Model],"---",0)</f>
        <v>---</v>
      </c>
      <c r="H132" t="str">
        <f>_xlfn.XLOOKUP($A132,表格1[No.],表格1[QTY],"---",0)</f>
        <v>---</v>
      </c>
      <c r="I132" t="str">
        <f>_xlfn.XLOOKUP($A132,表格1[No.],表格1[Unit Price],"---",0)</f>
        <v>---</v>
      </c>
      <c r="J132" t="str">
        <f>_xlfn.XLOOKUP($A132,表格1[No.],表格1[inv no],"---",0)</f>
        <v>---</v>
      </c>
      <c r="K132" t="str">
        <f>_xlfn.XLOOKUP($A132,表格1[No.],表格1[apps report no.],"---",0)</f>
        <v>---</v>
      </c>
    </row>
    <row r="133" spans="2:11">
      <c r="B133" t="str">
        <f>_xlfn.XLOOKUP($A133,表格1[No.],表格1[Shop],"---",0)</f>
        <v>---</v>
      </c>
      <c r="C133" t="str">
        <f>_xlfn.XLOOKUP($A133,表格1[No.],表格1[Location],"---",0)</f>
        <v>---</v>
      </c>
      <c r="D133" t="str">
        <f>_xlfn.XLOOKUP($A133,表格1[No.],表格1[Name],"---",0)</f>
        <v>---</v>
      </c>
      <c r="E133" t="str">
        <f>_xlfn.XLOOKUP($A133,表格1[No.],表格1[month],"---",0)</f>
        <v>---</v>
      </c>
      <c r="F133" s="12" t="str">
        <f>_xlfn.XLOOKUP($A133,表格1[No.],表格1[date],"---",0)</f>
        <v>---</v>
      </c>
      <c r="G133" t="str">
        <f>_xlfn.XLOOKUP($A133,表格1[No.],表格1[Model],"---",0)</f>
        <v>---</v>
      </c>
      <c r="H133" t="str">
        <f>_xlfn.XLOOKUP($A133,表格1[No.],表格1[QTY],"---",0)</f>
        <v>---</v>
      </c>
      <c r="I133" t="str">
        <f>_xlfn.XLOOKUP($A133,表格1[No.],表格1[Unit Price],"---",0)</f>
        <v>---</v>
      </c>
      <c r="J133" t="str">
        <f>_xlfn.XLOOKUP($A133,表格1[No.],表格1[inv no],"---",0)</f>
        <v>---</v>
      </c>
      <c r="K133" t="str">
        <f>_xlfn.XLOOKUP($A133,表格1[No.],表格1[apps report no.],"---",0)</f>
        <v>---</v>
      </c>
    </row>
    <row r="134" spans="2:11">
      <c r="B134" t="str">
        <f>_xlfn.XLOOKUP($A134,表格1[No.],表格1[Shop],"---",0)</f>
        <v>---</v>
      </c>
      <c r="C134" t="str">
        <f>_xlfn.XLOOKUP($A134,表格1[No.],表格1[Location],"---",0)</f>
        <v>---</v>
      </c>
      <c r="D134" t="str">
        <f>_xlfn.XLOOKUP($A134,表格1[No.],表格1[Name],"---",0)</f>
        <v>---</v>
      </c>
      <c r="E134" t="str">
        <f>_xlfn.XLOOKUP($A134,表格1[No.],表格1[month],"---",0)</f>
        <v>---</v>
      </c>
      <c r="F134" s="12" t="str">
        <f>_xlfn.XLOOKUP($A134,表格1[No.],表格1[date],"---",0)</f>
        <v>---</v>
      </c>
      <c r="G134" t="str">
        <f>_xlfn.XLOOKUP($A134,表格1[No.],表格1[Model],"---",0)</f>
        <v>---</v>
      </c>
      <c r="H134" t="str">
        <f>_xlfn.XLOOKUP($A134,表格1[No.],表格1[QTY],"---",0)</f>
        <v>---</v>
      </c>
      <c r="I134" t="str">
        <f>_xlfn.XLOOKUP($A134,表格1[No.],表格1[Unit Price],"---",0)</f>
        <v>---</v>
      </c>
      <c r="J134" t="str">
        <f>_xlfn.XLOOKUP($A134,表格1[No.],表格1[inv no],"---",0)</f>
        <v>---</v>
      </c>
      <c r="K134" t="str">
        <f>_xlfn.XLOOKUP($A134,表格1[No.],表格1[apps report no.],"---",0)</f>
        <v>---</v>
      </c>
    </row>
    <row r="135" spans="2:11">
      <c r="B135" t="str">
        <f>_xlfn.XLOOKUP($A135,表格1[No.],表格1[Shop],"---",0)</f>
        <v>---</v>
      </c>
      <c r="C135" t="str">
        <f>_xlfn.XLOOKUP($A135,表格1[No.],表格1[Location],"---",0)</f>
        <v>---</v>
      </c>
      <c r="D135" t="str">
        <f>_xlfn.XLOOKUP($A135,表格1[No.],表格1[Name],"---",0)</f>
        <v>---</v>
      </c>
      <c r="E135" t="str">
        <f>_xlfn.XLOOKUP($A135,表格1[No.],表格1[month],"---",0)</f>
        <v>---</v>
      </c>
      <c r="F135" s="12" t="str">
        <f>_xlfn.XLOOKUP($A135,表格1[No.],表格1[date],"---",0)</f>
        <v>---</v>
      </c>
      <c r="G135" t="str">
        <f>_xlfn.XLOOKUP($A135,表格1[No.],表格1[Model],"---",0)</f>
        <v>---</v>
      </c>
      <c r="H135" t="str">
        <f>_xlfn.XLOOKUP($A135,表格1[No.],表格1[QTY],"---",0)</f>
        <v>---</v>
      </c>
      <c r="I135" t="str">
        <f>_xlfn.XLOOKUP($A135,表格1[No.],表格1[Unit Price],"---",0)</f>
        <v>---</v>
      </c>
      <c r="J135" t="str">
        <f>_xlfn.XLOOKUP($A135,表格1[No.],表格1[inv no],"---",0)</f>
        <v>---</v>
      </c>
      <c r="K135" t="str">
        <f>_xlfn.XLOOKUP($A135,表格1[No.],表格1[apps report no.],"---",0)</f>
        <v>---</v>
      </c>
    </row>
    <row r="136" spans="2:11">
      <c r="B136" t="str">
        <f>_xlfn.XLOOKUP($A136,表格1[No.],表格1[Shop],"---",0)</f>
        <v>---</v>
      </c>
      <c r="C136" t="str">
        <f>_xlfn.XLOOKUP($A136,表格1[No.],表格1[Location],"---",0)</f>
        <v>---</v>
      </c>
      <c r="D136" t="str">
        <f>_xlfn.XLOOKUP($A136,表格1[No.],表格1[Name],"---",0)</f>
        <v>---</v>
      </c>
      <c r="E136" t="str">
        <f>_xlfn.XLOOKUP($A136,表格1[No.],表格1[month],"---",0)</f>
        <v>---</v>
      </c>
      <c r="F136" s="12" t="str">
        <f>_xlfn.XLOOKUP($A136,表格1[No.],表格1[date],"---",0)</f>
        <v>---</v>
      </c>
      <c r="G136" t="str">
        <f>_xlfn.XLOOKUP($A136,表格1[No.],表格1[Model],"---",0)</f>
        <v>---</v>
      </c>
      <c r="H136" t="str">
        <f>_xlfn.XLOOKUP($A136,表格1[No.],表格1[QTY],"---",0)</f>
        <v>---</v>
      </c>
      <c r="I136" t="str">
        <f>_xlfn.XLOOKUP($A136,表格1[No.],表格1[Unit Price],"---",0)</f>
        <v>---</v>
      </c>
      <c r="J136" t="str">
        <f>_xlfn.XLOOKUP($A136,表格1[No.],表格1[inv no],"---",0)</f>
        <v>---</v>
      </c>
      <c r="K136" t="str">
        <f>_xlfn.XLOOKUP($A136,表格1[No.],表格1[apps report no.],"---",0)</f>
        <v>---</v>
      </c>
    </row>
    <row r="137" spans="2:11">
      <c r="B137" t="str">
        <f>_xlfn.XLOOKUP($A137,表格1[No.],表格1[Shop],"---",0)</f>
        <v>---</v>
      </c>
      <c r="C137" t="str">
        <f>_xlfn.XLOOKUP($A137,表格1[No.],表格1[Location],"---",0)</f>
        <v>---</v>
      </c>
      <c r="D137" t="str">
        <f>_xlfn.XLOOKUP($A137,表格1[No.],表格1[Name],"---",0)</f>
        <v>---</v>
      </c>
      <c r="E137" t="str">
        <f>_xlfn.XLOOKUP($A137,表格1[No.],表格1[month],"---",0)</f>
        <v>---</v>
      </c>
      <c r="F137" s="12" t="str">
        <f>_xlfn.XLOOKUP($A137,表格1[No.],表格1[date],"---",0)</f>
        <v>---</v>
      </c>
      <c r="G137" t="str">
        <f>_xlfn.XLOOKUP($A137,表格1[No.],表格1[Model],"---",0)</f>
        <v>---</v>
      </c>
      <c r="H137" t="str">
        <f>_xlfn.XLOOKUP($A137,表格1[No.],表格1[QTY],"---",0)</f>
        <v>---</v>
      </c>
      <c r="I137" t="str">
        <f>_xlfn.XLOOKUP($A137,表格1[No.],表格1[Unit Price],"---",0)</f>
        <v>---</v>
      </c>
      <c r="J137" t="str">
        <f>_xlfn.XLOOKUP($A137,表格1[No.],表格1[inv no],"---",0)</f>
        <v>---</v>
      </c>
      <c r="K137" t="str">
        <f>_xlfn.XLOOKUP($A137,表格1[No.],表格1[apps report no.],"---",0)</f>
        <v>---</v>
      </c>
    </row>
    <row r="138" spans="2:11">
      <c r="B138" t="str">
        <f>_xlfn.XLOOKUP($A138,表格1[No.],表格1[Shop],"---",0)</f>
        <v>---</v>
      </c>
      <c r="C138" t="str">
        <f>_xlfn.XLOOKUP($A138,表格1[No.],表格1[Location],"---",0)</f>
        <v>---</v>
      </c>
      <c r="D138" t="str">
        <f>_xlfn.XLOOKUP($A138,表格1[No.],表格1[Name],"---",0)</f>
        <v>---</v>
      </c>
      <c r="E138" t="str">
        <f>_xlfn.XLOOKUP($A138,表格1[No.],表格1[month],"---",0)</f>
        <v>---</v>
      </c>
      <c r="F138" s="12" t="str">
        <f>_xlfn.XLOOKUP($A138,表格1[No.],表格1[date],"---",0)</f>
        <v>---</v>
      </c>
      <c r="G138" t="str">
        <f>_xlfn.XLOOKUP($A138,表格1[No.],表格1[Model],"---",0)</f>
        <v>---</v>
      </c>
      <c r="H138" t="str">
        <f>_xlfn.XLOOKUP($A138,表格1[No.],表格1[QTY],"---",0)</f>
        <v>---</v>
      </c>
      <c r="I138" t="str">
        <f>_xlfn.XLOOKUP($A138,表格1[No.],表格1[Unit Price],"---",0)</f>
        <v>---</v>
      </c>
      <c r="J138" t="str">
        <f>_xlfn.XLOOKUP($A138,表格1[No.],表格1[inv no],"---",0)</f>
        <v>---</v>
      </c>
      <c r="K138" t="str">
        <f>_xlfn.XLOOKUP($A138,表格1[No.],表格1[apps report no.],"---",0)</f>
        <v>---</v>
      </c>
    </row>
    <row r="139" spans="2:11">
      <c r="B139" t="str">
        <f>_xlfn.XLOOKUP($A139,表格1[No.],表格1[Shop],"---",0)</f>
        <v>---</v>
      </c>
      <c r="C139" t="str">
        <f>_xlfn.XLOOKUP($A139,表格1[No.],表格1[Location],"---",0)</f>
        <v>---</v>
      </c>
      <c r="D139" t="str">
        <f>_xlfn.XLOOKUP($A139,表格1[No.],表格1[Name],"---",0)</f>
        <v>---</v>
      </c>
      <c r="E139" t="str">
        <f>_xlfn.XLOOKUP($A139,表格1[No.],表格1[month],"---",0)</f>
        <v>---</v>
      </c>
      <c r="F139" s="12" t="str">
        <f>_xlfn.XLOOKUP($A139,表格1[No.],表格1[date],"---",0)</f>
        <v>---</v>
      </c>
      <c r="G139" t="str">
        <f>_xlfn.XLOOKUP($A139,表格1[No.],表格1[Model],"---",0)</f>
        <v>---</v>
      </c>
      <c r="H139" t="str">
        <f>_xlfn.XLOOKUP($A139,表格1[No.],表格1[QTY],"---",0)</f>
        <v>---</v>
      </c>
      <c r="I139" t="str">
        <f>_xlfn.XLOOKUP($A139,表格1[No.],表格1[Unit Price],"---",0)</f>
        <v>---</v>
      </c>
      <c r="J139" t="str">
        <f>_xlfn.XLOOKUP($A139,表格1[No.],表格1[inv no],"---",0)</f>
        <v>---</v>
      </c>
      <c r="K139" t="str">
        <f>_xlfn.XLOOKUP($A139,表格1[No.],表格1[apps report no.],"---",0)</f>
        <v>---</v>
      </c>
    </row>
    <row r="140" spans="2:11">
      <c r="B140" t="str">
        <f>_xlfn.XLOOKUP($A140,表格1[No.],表格1[Shop],"---",0)</f>
        <v>---</v>
      </c>
      <c r="C140" t="str">
        <f>_xlfn.XLOOKUP($A140,表格1[No.],表格1[Location],"---",0)</f>
        <v>---</v>
      </c>
      <c r="D140" t="str">
        <f>_xlfn.XLOOKUP($A140,表格1[No.],表格1[Name],"---",0)</f>
        <v>---</v>
      </c>
      <c r="E140" t="str">
        <f>_xlfn.XLOOKUP($A140,表格1[No.],表格1[month],"---",0)</f>
        <v>---</v>
      </c>
      <c r="F140" s="12" t="str">
        <f>_xlfn.XLOOKUP($A140,表格1[No.],表格1[date],"---",0)</f>
        <v>---</v>
      </c>
      <c r="G140" t="str">
        <f>_xlfn.XLOOKUP($A140,表格1[No.],表格1[Model],"---",0)</f>
        <v>---</v>
      </c>
      <c r="H140" t="str">
        <f>_xlfn.XLOOKUP($A140,表格1[No.],表格1[QTY],"---",0)</f>
        <v>---</v>
      </c>
      <c r="I140" t="str">
        <f>_xlfn.XLOOKUP($A140,表格1[No.],表格1[Unit Price],"---",0)</f>
        <v>---</v>
      </c>
      <c r="J140" t="str">
        <f>_xlfn.XLOOKUP($A140,表格1[No.],表格1[inv no],"---",0)</f>
        <v>---</v>
      </c>
      <c r="K140" t="str">
        <f>_xlfn.XLOOKUP($A140,表格1[No.],表格1[apps report no.],"---",0)</f>
        <v>---</v>
      </c>
    </row>
    <row r="141" spans="2:11">
      <c r="B141" t="str">
        <f>_xlfn.XLOOKUP($A141,表格1[No.],表格1[Shop],"---",0)</f>
        <v>---</v>
      </c>
      <c r="C141" t="str">
        <f>_xlfn.XLOOKUP($A141,表格1[No.],表格1[Location],"---",0)</f>
        <v>---</v>
      </c>
      <c r="D141" t="str">
        <f>_xlfn.XLOOKUP($A141,表格1[No.],表格1[Name],"---",0)</f>
        <v>---</v>
      </c>
      <c r="E141" t="str">
        <f>_xlfn.XLOOKUP($A141,表格1[No.],表格1[month],"---",0)</f>
        <v>---</v>
      </c>
      <c r="F141" s="12" t="str">
        <f>_xlfn.XLOOKUP($A141,表格1[No.],表格1[date],"---",0)</f>
        <v>---</v>
      </c>
      <c r="G141" t="str">
        <f>_xlfn.XLOOKUP($A141,表格1[No.],表格1[Model],"---",0)</f>
        <v>---</v>
      </c>
      <c r="H141" t="str">
        <f>_xlfn.XLOOKUP($A141,表格1[No.],表格1[QTY],"---",0)</f>
        <v>---</v>
      </c>
      <c r="I141" t="str">
        <f>_xlfn.XLOOKUP($A141,表格1[No.],表格1[Unit Price],"---",0)</f>
        <v>---</v>
      </c>
      <c r="J141" t="str">
        <f>_xlfn.XLOOKUP($A141,表格1[No.],表格1[inv no],"---",0)</f>
        <v>---</v>
      </c>
      <c r="K141" t="str">
        <f>_xlfn.XLOOKUP($A141,表格1[No.],表格1[apps report no.],"---",0)</f>
        <v>---</v>
      </c>
    </row>
    <row r="142" spans="2:11">
      <c r="B142" t="str">
        <f>_xlfn.XLOOKUP($A142,表格1[No.],表格1[Shop],"---",0)</f>
        <v>---</v>
      </c>
      <c r="C142" t="str">
        <f>_xlfn.XLOOKUP($A142,表格1[No.],表格1[Location],"---",0)</f>
        <v>---</v>
      </c>
      <c r="D142" t="str">
        <f>_xlfn.XLOOKUP($A142,表格1[No.],表格1[Name],"---",0)</f>
        <v>---</v>
      </c>
      <c r="E142" t="str">
        <f>_xlfn.XLOOKUP($A142,表格1[No.],表格1[month],"---",0)</f>
        <v>---</v>
      </c>
      <c r="F142" s="12" t="str">
        <f>_xlfn.XLOOKUP($A142,表格1[No.],表格1[date],"---",0)</f>
        <v>---</v>
      </c>
      <c r="G142" t="str">
        <f>_xlfn.XLOOKUP($A142,表格1[No.],表格1[Model],"---",0)</f>
        <v>---</v>
      </c>
      <c r="H142" t="str">
        <f>_xlfn.XLOOKUP($A142,表格1[No.],表格1[QTY],"---",0)</f>
        <v>---</v>
      </c>
      <c r="I142" t="str">
        <f>_xlfn.XLOOKUP($A142,表格1[No.],表格1[Unit Price],"---",0)</f>
        <v>---</v>
      </c>
      <c r="J142" t="str">
        <f>_xlfn.XLOOKUP($A142,表格1[No.],表格1[inv no],"---",0)</f>
        <v>---</v>
      </c>
      <c r="K142" t="str">
        <f>_xlfn.XLOOKUP($A142,表格1[No.],表格1[apps report no.],"---",0)</f>
        <v>---</v>
      </c>
    </row>
    <row r="143" spans="2:11">
      <c r="B143" t="str">
        <f>_xlfn.XLOOKUP($A143,表格1[No.],表格1[Shop],"---",0)</f>
        <v>---</v>
      </c>
      <c r="C143" t="str">
        <f>_xlfn.XLOOKUP($A143,表格1[No.],表格1[Location],"---",0)</f>
        <v>---</v>
      </c>
      <c r="D143" t="str">
        <f>_xlfn.XLOOKUP($A143,表格1[No.],表格1[Name],"---",0)</f>
        <v>---</v>
      </c>
      <c r="E143" t="str">
        <f>_xlfn.XLOOKUP($A143,表格1[No.],表格1[month],"---",0)</f>
        <v>---</v>
      </c>
      <c r="F143" s="12" t="str">
        <f>_xlfn.XLOOKUP($A143,表格1[No.],表格1[date],"---",0)</f>
        <v>---</v>
      </c>
      <c r="G143" t="str">
        <f>_xlfn.XLOOKUP($A143,表格1[No.],表格1[Model],"---",0)</f>
        <v>---</v>
      </c>
      <c r="H143" t="str">
        <f>_xlfn.XLOOKUP($A143,表格1[No.],表格1[QTY],"---",0)</f>
        <v>---</v>
      </c>
      <c r="I143" t="str">
        <f>_xlfn.XLOOKUP($A143,表格1[No.],表格1[Unit Price],"---",0)</f>
        <v>---</v>
      </c>
      <c r="J143" t="str">
        <f>_xlfn.XLOOKUP($A143,表格1[No.],表格1[inv no],"---",0)</f>
        <v>---</v>
      </c>
      <c r="K143" t="str">
        <f>_xlfn.XLOOKUP($A143,表格1[No.],表格1[apps report no.],"---",0)</f>
        <v>---</v>
      </c>
    </row>
    <row r="144" spans="2:11">
      <c r="B144" t="str">
        <f>_xlfn.XLOOKUP($A144,表格1[No.],表格1[Shop],"---",0)</f>
        <v>---</v>
      </c>
      <c r="C144" t="str">
        <f>_xlfn.XLOOKUP($A144,表格1[No.],表格1[Location],"---",0)</f>
        <v>---</v>
      </c>
      <c r="D144" t="str">
        <f>_xlfn.XLOOKUP($A144,表格1[No.],表格1[Name],"---",0)</f>
        <v>---</v>
      </c>
      <c r="E144" t="str">
        <f>_xlfn.XLOOKUP($A144,表格1[No.],表格1[month],"---",0)</f>
        <v>---</v>
      </c>
      <c r="F144" s="12" t="str">
        <f>_xlfn.XLOOKUP($A144,表格1[No.],表格1[date],"---",0)</f>
        <v>---</v>
      </c>
      <c r="G144" t="str">
        <f>_xlfn.XLOOKUP($A144,表格1[No.],表格1[Model],"---",0)</f>
        <v>---</v>
      </c>
      <c r="H144" t="str">
        <f>_xlfn.XLOOKUP($A144,表格1[No.],表格1[QTY],"---",0)</f>
        <v>---</v>
      </c>
      <c r="I144" t="str">
        <f>_xlfn.XLOOKUP($A144,表格1[No.],表格1[Unit Price],"---",0)</f>
        <v>---</v>
      </c>
      <c r="J144" t="str">
        <f>_xlfn.XLOOKUP($A144,表格1[No.],表格1[inv no],"---",0)</f>
        <v>---</v>
      </c>
      <c r="K144" t="str">
        <f>_xlfn.XLOOKUP($A144,表格1[No.],表格1[apps report no.],"---",0)</f>
        <v>---</v>
      </c>
    </row>
    <row r="145" spans="2:11">
      <c r="B145" t="str">
        <f>_xlfn.XLOOKUP($A145,表格1[No.],表格1[Shop],"---",0)</f>
        <v>---</v>
      </c>
      <c r="C145" t="str">
        <f>_xlfn.XLOOKUP($A145,表格1[No.],表格1[Location],"---",0)</f>
        <v>---</v>
      </c>
      <c r="D145" t="str">
        <f>_xlfn.XLOOKUP($A145,表格1[No.],表格1[Name],"---",0)</f>
        <v>---</v>
      </c>
      <c r="E145" t="str">
        <f>_xlfn.XLOOKUP($A145,表格1[No.],表格1[month],"---",0)</f>
        <v>---</v>
      </c>
      <c r="F145" s="12" t="str">
        <f>_xlfn.XLOOKUP($A145,表格1[No.],表格1[date],"---",0)</f>
        <v>---</v>
      </c>
      <c r="G145" t="str">
        <f>_xlfn.XLOOKUP($A145,表格1[No.],表格1[Model],"---",0)</f>
        <v>---</v>
      </c>
      <c r="H145" t="str">
        <f>_xlfn.XLOOKUP($A145,表格1[No.],表格1[QTY],"---",0)</f>
        <v>---</v>
      </c>
      <c r="I145" t="str">
        <f>_xlfn.XLOOKUP($A145,表格1[No.],表格1[Unit Price],"---",0)</f>
        <v>---</v>
      </c>
      <c r="J145" t="str">
        <f>_xlfn.XLOOKUP($A145,表格1[No.],表格1[inv no],"---",0)</f>
        <v>---</v>
      </c>
      <c r="K145" t="str">
        <f>_xlfn.XLOOKUP($A145,表格1[No.],表格1[apps report no.],"---",0)</f>
        <v>---</v>
      </c>
    </row>
    <row r="146" spans="2:11">
      <c r="B146" t="str">
        <f>_xlfn.XLOOKUP($A146,表格1[No.],表格1[Shop],"---",0)</f>
        <v>---</v>
      </c>
      <c r="C146" t="str">
        <f>_xlfn.XLOOKUP($A146,表格1[No.],表格1[Location],"---",0)</f>
        <v>---</v>
      </c>
      <c r="D146" t="str">
        <f>_xlfn.XLOOKUP($A146,表格1[No.],表格1[Name],"---",0)</f>
        <v>---</v>
      </c>
      <c r="E146" t="str">
        <f>_xlfn.XLOOKUP($A146,表格1[No.],表格1[month],"---",0)</f>
        <v>---</v>
      </c>
      <c r="F146" s="12" t="str">
        <f>_xlfn.XLOOKUP($A146,表格1[No.],表格1[date],"---",0)</f>
        <v>---</v>
      </c>
      <c r="G146" t="str">
        <f>_xlfn.XLOOKUP($A146,表格1[No.],表格1[Model],"---",0)</f>
        <v>---</v>
      </c>
      <c r="H146" t="str">
        <f>_xlfn.XLOOKUP($A146,表格1[No.],表格1[QTY],"---",0)</f>
        <v>---</v>
      </c>
      <c r="I146" t="str">
        <f>_xlfn.XLOOKUP($A146,表格1[No.],表格1[Unit Price],"---",0)</f>
        <v>---</v>
      </c>
      <c r="J146" t="str">
        <f>_xlfn.XLOOKUP($A146,表格1[No.],表格1[inv no],"---",0)</f>
        <v>---</v>
      </c>
      <c r="K146" t="str">
        <f>_xlfn.XLOOKUP($A146,表格1[No.],表格1[apps report no.],"---",0)</f>
        <v>---</v>
      </c>
    </row>
    <row r="147" spans="2:11">
      <c r="B147" t="str">
        <f>_xlfn.XLOOKUP($A147,表格1[No.],表格1[Shop],"---",0)</f>
        <v>---</v>
      </c>
      <c r="C147" t="str">
        <f>_xlfn.XLOOKUP($A147,表格1[No.],表格1[Location],"---",0)</f>
        <v>---</v>
      </c>
      <c r="D147" t="str">
        <f>_xlfn.XLOOKUP($A147,表格1[No.],表格1[Name],"---",0)</f>
        <v>---</v>
      </c>
      <c r="E147" t="str">
        <f>_xlfn.XLOOKUP($A147,表格1[No.],表格1[month],"---",0)</f>
        <v>---</v>
      </c>
      <c r="F147" s="12" t="str">
        <f>_xlfn.XLOOKUP($A147,表格1[No.],表格1[date],"---",0)</f>
        <v>---</v>
      </c>
      <c r="G147" t="str">
        <f>_xlfn.XLOOKUP($A147,表格1[No.],表格1[Model],"---",0)</f>
        <v>---</v>
      </c>
      <c r="H147" t="str">
        <f>_xlfn.XLOOKUP($A147,表格1[No.],表格1[QTY],"---",0)</f>
        <v>---</v>
      </c>
      <c r="I147" t="str">
        <f>_xlfn.XLOOKUP($A147,表格1[No.],表格1[Unit Price],"---",0)</f>
        <v>---</v>
      </c>
      <c r="J147" t="str">
        <f>_xlfn.XLOOKUP($A147,表格1[No.],表格1[inv no],"---",0)</f>
        <v>---</v>
      </c>
      <c r="K147" t="str">
        <f>_xlfn.XLOOKUP($A147,表格1[No.],表格1[apps report no.],"---",0)</f>
        <v>---</v>
      </c>
    </row>
    <row r="148" spans="2:11">
      <c r="B148" t="str">
        <f>_xlfn.XLOOKUP($A148,表格1[No.],表格1[Shop],"---",0)</f>
        <v>---</v>
      </c>
      <c r="C148" t="str">
        <f>_xlfn.XLOOKUP($A148,表格1[No.],表格1[Location],"---",0)</f>
        <v>---</v>
      </c>
      <c r="D148" t="str">
        <f>_xlfn.XLOOKUP($A148,表格1[No.],表格1[Name],"---",0)</f>
        <v>---</v>
      </c>
      <c r="E148" t="str">
        <f>_xlfn.XLOOKUP($A148,表格1[No.],表格1[month],"---",0)</f>
        <v>---</v>
      </c>
      <c r="F148" s="12" t="str">
        <f>_xlfn.XLOOKUP($A148,表格1[No.],表格1[date],"---",0)</f>
        <v>---</v>
      </c>
      <c r="G148" t="str">
        <f>_xlfn.XLOOKUP($A148,表格1[No.],表格1[Model],"---",0)</f>
        <v>---</v>
      </c>
      <c r="H148" t="str">
        <f>_xlfn.XLOOKUP($A148,表格1[No.],表格1[QTY],"---",0)</f>
        <v>---</v>
      </c>
      <c r="I148" t="str">
        <f>_xlfn.XLOOKUP($A148,表格1[No.],表格1[Unit Price],"---",0)</f>
        <v>---</v>
      </c>
      <c r="J148" t="str">
        <f>_xlfn.XLOOKUP($A148,表格1[No.],表格1[inv no],"---",0)</f>
        <v>---</v>
      </c>
      <c r="K148" t="str">
        <f>_xlfn.XLOOKUP($A148,表格1[No.],表格1[apps report no.],"---",0)</f>
        <v>---</v>
      </c>
    </row>
    <row r="149" spans="2:11">
      <c r="B149" t="str">
        <f>_xlfn.XLOOKUP($A149,表格1[No.],表格1[Shop],"---",0)</f>
        <v>---</v>
      </c>
      <c r="C149" t="str">
        <f>_xlfn.XLOOKUP($A149,表格1[No.],表格1[Location],"---",0)</f>
        <v>---</v>
      </c>
      <c r="D149" t="str">
        <f>_xlfn.XLOOKUP($A149,表格1[No.],表格1[Name],"---",0)</f>
        <v>---</v>
      </c>
      <c r="E149" t="str">
        <f>_xlfn.XLOOKUP($A149,表格1[No.],表格1[month],"---",0)</f>
        <v>---</v>
      </c>
      <c r="F149" s="12" t="str">
        <f>_xlfn.XLOOKUP($A149,表格1[No.],表格1[date],"---",0)</f>
        <v>---</v>
      </c>
      <c r="G149" t="str">
        <f>_xlfn.XLOOKUP($A149,表格1[No.],表格1[Model],"---",0)</f>
        <v>---</v>
      </c>
      <c r="H149" t="str">
        <f>_xlfn.XLOOKUP($A149,表格1[No.],表格1[QTY],"---",0)</f>
        <v>---</v>
      </c>
      <c r="I149" t="str">
        <f>_xlfn.XLOOKUP($A149,表格1[No.],表格1[Unit Price],"---",0)</f>
        <v>---</v>
      </c>
      <c r="J149" t="str">
        <f>_xlfn.XLOOKUP($A149,表格1[No.],表格1[inv no],"---",0)</f>
        <v>---</v>
      </c>
      <c r="K149" t="str">
        <f>_xlfn.XLOOKUP($A149,表格1[No.],表格1[apps report no.],"---",0)</f>
        <v>---</v>
      </c>
    </row>
    <row r="150" spans="2:11">
      <c r="B150" t="str">
        <f>_xlfn.XLOOKUP($A150,表格1[No.],表格1[Shop],"---",0)</f>
        <v>---</v>
      </c>
      <c r="C150" t="str">
        <f>_xlfn.XLOOKUP($A150,表格1[No.],表格1[Location],"---",0)</f>
        <v>---</v>
      </c>
      <c r="D150" t="str">
        <f>_xlfn.XLOOKUP($A150,表格1[No.],表格1[Name],"---",0)</f>
        <v>---</v>
      </c>
      <c r="E150" t="str">
        <f>_xlfn.XLOOKUP($A150,表格1[No.],表格1[month],"---",0)</f>
        <v>---</v>
      </c>
      <c r="F150" s="12" t="str">
        <f>_xlfn.XLOOKUP($A150,表格1[No.],表格1[date],"---",0)</f>
        <v>---</v>
      </c>
      <c r="G150" t="str">
        <f>_xlfn.XLOOKUP($A150,表格1[No.],表格1[Model],"---",0)</f>
        <v>---</v>
      </c>
      <c r="H150" t="str">
        <f>_xlfn.XLOOKUP($A150,表格1[No.],表格1[QTY],"---",0)</f>
        <v>---</v>
      </c>
      <c r="I150" t="str">
        <f>_xlfn.XLOOKUP($A150,表格1[No.],表格1[Unit Price],"---",0)</f>
        <v>---</v>
      </c>
      <c r="J150" t="str">
        <f>_xlfn.XLOOKUP($A150,表格1[No.],表格1[inv no],"---",0)</f>
        <v>---</v>
      </c>
      <c r="K150" t="str">
        <f>_xlfn.XLOOKUP($A150,表格1[No.],表格1[apps report no.],"---",0)</f>
        <v>---</v>
      </c>
    </row>
    <row r="151" spans="2:11">
      <c r="B151" t="str">
        <f>_xlfn.XLOOKUP($A151,表格1[No.],表格1[Shop],"---",0)</f>
        <v>---</v>
      </c>
      <c r="C151" t="str">
        <f>_xlfn.XLOOKUP($A151,表格1[No.],表格1[Location],"---",0)</f>
        <v>---</v>
      </c>
      <c r="D151" t="str">
        <f>_xlfn.XLOOKUP($A151,表格1[No.],表格1[Name],"---",0)</f>
        <v>---</v>
      </c>
      <c r="E151" t="str">
        <f>_xlfn.XLOOKUP($A151,表格1[No.],表格1[month],"---",0)</f>
        <v>---</v>
      </c>
      <c r="F151" s="12" t="str">
        <f>_xlfn.XLOOKUP($A151,表格1[No.],表格1[date],"---",0)</f>
        <v>---</v>
      </c>
      <c r="G151" t="str">
        <f>_xlfn.XLOOKUP($A151,表格1[No.],表格1[Model],"---",0)</f>
        <v>---</v>
      </c>
      <c r="H151" t="str">
        <f>_xlfn.XLOOKUP($A151,表格1[No.],表格1[QTY],"---",0)</f>
        <v>---</v>
      </c>
      <c r="I151" t="str">
        <f>_xlfn.XLOOKUP($A151,表格1[No.],表格1[Unit Price],"---",0)</f>
        <v>---</v>
      </c>
      <c r="J151" t="str">
        <f>_xlfn.XLOOKUP($A151,表格1[No.],表格1[inv no],"---",0)</f>
        <v>---</v>
      </c>
      <c r="K151" t="str">
        <f>_xlfn.XLOOKUP($A151,表格1[No.],表格1[apps report no.],"---",0)</f>
        <v>---</v>
      </c>
    </row>
    <row r="152" spans="2:11">
      <c r="B152" t="str">
        <f>_xlfn.XLOOKUP($A152,表格1[No.],表格1[Shop],"---",0)</f>
        <v>---</v>
      </c>
      <c r="C152" t="str">
        <f>_xlfn.XLOOKUP($A152,表格1[No.],表格1[Location],"---",0)</f>
        <v>---</v>
      </c>
      <c r="D152" t="str">
        <f>_xlfn.XLOOKUP($A152,表格1[No.],表格1[Name],"---",0)</f>
        <v>---</v>
      </c>
      <c r="E152" t="str">
        <f>_xlfn.XLOOKUP($A152,表格1[No.],表格1[month],"---",0)</f>
        <v>---</v>
      </c>
      <c r="F152" s="12" t="str">
        <f>_xlfn.XLOOKUP($A152,表格1[No.],表格1[date],"---",0)</f>
        <v>---</v>
      </c>
      <c r="G152" t="str">
        <f>_xlfn.XLOOKUP($A152,表格1[No.],表格1[Model],"---",0)</f>
        <v>---</v>
      </c>
      <c r="H152" t="str">
        <f>_xlfn.XLOOKUP($A152,表格1[No.],表格1[QTY],"---",0)</f>
        <v>---</v>
      </c>
      <c r="I152" t="str">
        <f>_xlfn.XLOOKUP($A152,表格1[No.],表格1[Unit Price],"---",0)</f>
        <v>---</v>
      </c>
      <c r="J152" t="str">
        <f>_xlfn.XLOOKUP($A152,表格1[No.],表格1[inv no],"---",0)</f>
        <v>---</v>
      </c>
      <c r="K152" t="str">
        <f>_xlfn.XLOOKUP($A152,表格1[No.],表格1[apps report no.],"---",0)</f>
        <v>---</v>
      </c>
    </row>
    <row r="153" spans="2:11">
      <c r="B153" t="str">
        <f>_xlfn.XLOOKUP($A153,表格1[No.],表格1[Shop],"---",0)</f>
        <v>---</v>
      </c>
      <c r="C153" t="str">
        <f>_xlfn.XLOOKUP($A153,表格1[No.],表格1[Location],"---",0)</f>
        <v>---</v>
      </c>
      <c r="D153" t="str">
        <f>_xlfn.XLOOKUP($A153,表格1[No.],表格1[Name],"---",0)</f>
        <v>---</v>
      </c>
      <c r="E153" t="str">
        <f>_xlfn.XLOOKUP($A153,表格1[No.],表格1[month],"---",0)</f>
        <v>---</v>
      </c>
      <c r="F153" s="12" t="str">
        <f>_xlfn.XLOOKUP($A153,表格1[No.],表格1[date],"---",0)</f>
        <v>---</v>
      </c>
      <c r="G153" t="str">
        <f>_xlfn.XLOOKUP($A153,表格1[No.],表格1[Model],"---",0)</f>
        <v>---</v>
      </c>
      <c r="H153" t="str">
        <f>_xlfn.XLOOKUP($A153,表格1[No.],表格1[QTY],"---",0)</f>
        <v>---</v>
      </c>
      <c r="I153" t="str">
        <f>_xlfn.XLOOKUP($A153,表格1[No.],表格1[Unit Price],"---",0)</f>
        <v>---</v>
      </c>
      <c r="J153" t="str">
        <f>_xlfn.XLOOKUP($A153,表格1[No.],表格1[inv no],"---",0)</f>
        <v>---</v>
      </c>
      <c r="K153" t="str">
        <f>_xlfn.XLOOKUP($A153,表格1[No.],表格1[apps report no.],"---",0)</f>
        <v>---</v>
      </c>
    </row>
    <row r="154" spans="2:11">
      <c r="B154" t="str">
        <f>_xlfn.XLOOKUP($A154,表格1[No.],表格1[Shop],"---",0)</f>
        <v>---</v>
      </c>
      <c r="C154" t="str">
        <f>_xlfn.XLOOKUP($A154,表格1[No.],表格1[Location],"---",0)</f>
        <v>---</v>
      </c>
      <c r="D154" t="str">
        <f>_xlfn.XLOOKUP($A154,表格1[No.],表格1[Name],"---",0)</f>
        <v>---</v>
      </c>
      <c r="E154" t="str">
        <f>_xlfn.XLOOKUP($A154,表格1[No.],表格1[month],"---",0)</f>
        <v>---</v>
      </c>
      <c r="F154" s="12" t="str">
        <f>_xlfn.XLOOKUP($A154,表格1[No.],表格1[date],"---",0)</f>
        <v>---</v>
      </c>
      <c r="G154" t="str">
        <f>_xlfn.XLOOKUP($A154,表格1[No.],表格1[Model],"---",0)</f>
        <v>---</v>
      </c>
      <c r="H154" t="str">
        <f>_xlfn.XLOOKUP($A154,表格1[No.],表格1[QTY],"---",0)</f>
        <v>---</v>
      </c>
      <c r="I154" t="str">
        <f>_xlfn.XLOOKUP($A154,表格1[No.],表格1[Unit Price],"---",0)</f>
        <v>---</v>
      </c>
      <c r="J154" t="str">
        <f>_xlfn.XLOOKUP($A154,表格1[No.],表格1[inv no],"---",0)</f>
        <v>---</v>
      </c>
      <c r="K154" t="str">
        <f>_xlfn.XLOOKUP($A154,表格1[No.],表格1[apps report no.],"---",0)</f>
        <v>---</v>
      </c>
    </row>
    <row r="155" spans="2:11">
      <c r="B155" t="str">
        <f>_xlfn.XLOOKUP($A155,表格1[No.],表格1[Shop],"---",0)</f>
        <v>---</v>
      </c>
      <c r="C155" t="str">
        <f>_xlfn.XLOOKUP($A155,表格1[No.],表格1[Location],"---",0)</f>
        <v>---</v>
      </c>
      <c r="D155" t="str">
        <f>_xlfn.XLOOKUP($A155,表格1[No.],表格1[Name],"---",0)</f>
        <v>---</v>
      </c>
      <c r="E155" t="str">
        <f>_xlfn.XLOOKUP($A155,表格1[No.],表格1[month],"---",0)</f>
        <v>---</v>
      </c>
      <c r="F155" s="12" t="str">
        <f>_xlfn.XLOOKUP($A155,表格1[No.],表格1[date],"---",0)</f>
        <v>---</v>
      </c>
      <c r="G155" t="str">
        <f>_xlfn.XLOOKUP($A155,表格1[No.],表格1[Model],"---",0)</f>
        <v>---</v>
      </c>
      <c r="H155" t="str">
        <f>_xlfn.XLOOKUP($A155,表格1[No.],表格1[QTY],"---",0)</f>
        <v>---</v>
      </c>
      <c r="I155" t="str">
        <f>_xlfn.XLOOKUP($A155,表格1[No.],表格1[Unit Price],"---",0)</f>
        <v>---</v>
      </c>
      <c r="J155" t="str">
        <f>_xlfn.XLOOKUP($A155,表格1[No.],表格1[inv no],"---",0)</f>
        <v>---</v>
      </c>
      <c r="K155" t="str">
        <f>_xlfn.XLOOKUP($A155,表格1[No.],表格1[apps report no.],"---",0)</f>
        <v>---</v>
      </c>
    </row>
    <row r="156" spans="2:11">
      <c r="B156" t="str">
        <f>_xlfn.XLOOKUP($A156,表格1[No.],表格1[Shop],"---",0)</f>
        <v>---</v>
      </c>
      <c r="C156" t="str">
        <f>_xlfn.XLOOKUP($A156,表格1[No.],表格1[Location],"---",0)</f>
        <v>---</v>
      </c>
      <c r="D156" t="str">
        <f>_xlfn.XLOOKUP($A156,表格1[No.],表格1[Name],"---",0)</f>
        <v>---</v>
      </c>
      <c r="E156" t="str">
        <f>_xlfn.XLOOKUP($A156,表格1[No.],表格1[month],"---",0)</f>
        <v>---</v>
      </c>
      <c r="F156" s="12" t="str">
        <f>_xlfn.XLOOKUP($A156,表格1[No.],表格1[date],"---",0)</f>
        <v>---</v>
      </c>
      <c r="G156" t="str">
        <f>_xlfn.XLOOKUP($A156,表格1[No.],表格1[Model],"---",0)</f>
        <v>---</v>
      </c>
      <c r="H156" t="str">
        <f>_xlfn.XLOOKUP($A156,表格1[No.],表格1[QTY],"---",0)</f>
        <v>---</v>
      </c>
      <c r="I156" t="str">
        <f>_xlfn.XLOOKUP($A156,表格1[No.],表格1[Unit Price],"---",0)</f>
        <v>---</v>
      </c>
      <c r="J156" t="str">
        <f>_xlfn.XLOOKUP($A156,表格1[No.],表格1[inv no],"---",0)</f>
        <v>---</v>
      </c>
      <c r="K156" t="str">
        <f>_xlfn.XLOOKUP($A156,表格1[No.],表格1[apps report no.],"---",0)</f>
        <v>---</v>
      </c>
    </row>
    <row r="157" spans="2:11">
      <c r="B157" t="str">
        <f>_xlfn.XLOOKUP($A157,表格1[No.],表格1[Shop],"---",0)</f>
        <v>---</v>
      </c>
      <c r="C157" t="str">
        <f>_xlfn.XLOOKUP($A157,表格1[No.],表格1[Location],"---",0)</f>
        <v>---</v>
      </c>
      <c r="D157" t="str">
        <f>_xlfn.XLOOKUP($A157,表格1[No.],表格1[Name],"---",0)</f>
        <v>---</v>
      </c>
      <c r="E157" t="str">
        <f>_xlfn.XLOOKUP($A157,表格1[No.],表格1[month],"---",0)</f>
        <v>---</v>
      </c>
      <c r="F157" s="12" t="str">
        <f>_xlfn.XLOOKUP($A157,表格1[No.],表格1[date],"---",0)</f>
        <v>---</v>
      </c>
      <c r="G157" t="str">
        <f>_xlfn.XLOOKUP($A157,表格1[No.],表格1[Model],"---",0)</f>
        <v>---</v>
      </c>
      <c r="H157" t="str">
        <f>_xlfn.XLOOKUP($A157,表格1[No.],表格1[QTY],"---",0)</f>
        <v>---</v>
      </c>
      <c r="I157" t="str">
        <f>_xlfn.XLOOKUP($A157,表格1[No.],表格1[Unit Price],"---",0)</f>
        <v>---</v>
      </c>
      <c r="J157" t="str">
        <f>_xlfn.XLOOKUP($A157,表格1[No.],表格1[inv no],"---",0)</f>
        <v>---</v>
      </c>
      <c r="K157" t="str">
        <f>_xlfn.XLOOKUP($A157,表格1[No.],表格1[apps report no.],"---",0)</f>
        <v>---</v>
      </c>
    </row>
    <row r="158" spans="2:11">
      <c r="B158" t="str">
        <f>_xlfn.XLOOKUP($A158,表格1[No.],表格1[Shop],"---",0)</f>
        <v>---</v>
      </c>
      <c r="C158" t="str">
        <f>_xlfn.XLOOKUP($A158,表格1[No.],表格1[Location],"---",0)</f>
        <v>---</v>
      </c>
      <c r="D158" t="str">
        <f>_xlfn.XLOOKUP($A158,表格1[No.],表格1[Name],"---",0)</f>
        <v>---</v>
      </c>
      <c r="E158" t="str">
        <f>_xlfn.XLOOKUP($A158,表格1[No.],表格1[month],"---",0)</f>
        <v>---</v>
      </c>
      <c r="F158" s="12" t="str">
        <f>_xlfn.XLOOKUP($A158,表格1[No.],表格1[date],"---",0)</f>
        <v>---</v>
      </c>
      <c r="G158" t="str">
        <f>_xlfn.XLOOKUP($A158,表格1[No.],表格1[Model],"---",0)</f>
        <v>---</v>
      </c>
      <c r="H158" t="str">
        <f>_xlfn.XLOOKUP($A158,表格1[No.],表格1[QTY],"---",0)</f>
        <v>---</v>
      </c>
      <c r="I158" t="str">
        <f>_xlfn.XLOOKUP($A158,表格1[No.],表格1[Unit Price],"---",0)</f>
        <v>---</v>
      </c>
      <c r="J158" t="str">
        <f>_xlfn.XLOOKUP($A158,表格1[No.],表格1[inv no],"---",0)</f>
        <v>---</v>
      </c>
      <c r="K158" t="str">
        <f>_xlfn.XLOOKUP($A158,表格1[No.],表格1[apps report no.],"---",0)</f>
        <v>---</v>
      </c>
    </row>
    <row r="159" spans="2:11">
      <c r="B159" t="str">
        <f>_xlfn.XLOOKUP($A159,表格1[No.],表格1[Shop],"---",0)</f>
        <v>---</v>
      </c>
      <c r="C159" t="str">
        <f>_xlfn.XLOOKUP($A159,表格1[No.],表格1[Location],"---",0)</f>
        <v>---</v>
      </c>
      <c r="D159" t="str">
        <f>_xlfn.XLOOKUP($A159,表格1[No.],表格1[Name],"---",0)</f>
        <v>---</v>
      </c>
      <c r="E159" t="str">
        <f>_xlfn.XLOOKUP($A159,表格1[No.],表格1[month],"---",0)</f>
        <v>---</v>
      </c>
      <c r="F159" s="12" t="str">
        <f>_xlfn.XLOOKUP($A159,表格1[No.],表格1[date],"---",0)</f>
        <v>---</v>
      </c>
      <c r="G159" t="str">
        <f>_xlfn.XLOOKUP($A159,表格1[No.],表格1[Model],"---",0)</f>
        <v>---</v>
      </c>
      <c r="H159" t="str">
        <f>_xlfn.XLOOKUP($A159,表格1[No.],表格1[QTY],"---",0)</f>
        <v>---</v>
      </c>
      <c r="I159" t="str">
        <f>_xlfn.XLOOKUP($A159,表格1[No.],表格1[Unit Price],"---",0)</f>
        <v>---</v>
      </c>
      <c r="J159" t="str">
        <f>_xlfn.XLOOKUP($A159,表格1[No.],表格1[inv no],"---",0)</f>
        <v>---</v>
      </c>
      <c r="K159" t="str">
        <f>_xlfn.XLOOKUP($A159,表格1[No.],表格1[apps report no.],"---",0)</f>
        <v>---</v>
      </c>
    </row>
    <row r="160" spans="2:11">
      <c r="B160" t="str">
        <f>_xlfn.XLOOKUP($A160,表格1[No.],表格1[Shop],"---",0)</f>
        <v>---</v>
      </c>
      <c r="C160" t="str">
        <f>_xlfn.XLOOKUP($A160,表格1[No.],表格1[Location],"---",0)</f>
        <v>---</v>
      </c>
      <c r="D160" t="str">
        <f>_xlfn.XLOOKUP($A160,表格1[No.],表格1[Name],"---",0)</f>
        <v>---</v>
      </c>
      <c r="E160" t="str">
        <f>_xlfn.XLOOKUP($A160,表格1[No.],表格1[month],"---",0)</f>
        <v>---</v>
      </c>
      <c r="F160" s="12" t="str">
        <f>_xlfn.XLOOKUP($A160,表格1[No.],表格1[date],"---",0)</f>
        <v>---</v>
      </c>
      <c r="G160" t="str">
        <f>_xlfn.XLOOKUP($A160,表格1[No.],表格1[Model],"---",0)</f>
        <v>---</v>
      </c>
      <c r="H160" t="str">
        <f>_xlfn.XLOOKUP($A160,表格1[No.],表格1[QTY],"---",0)</f>
        <v>---</v>
      </c>
      <c r="I160" t="str">
        <f>_xlfn.XLOOKUP($A160,表格1[No.],表格1[Unit Price],"---",0)</f>
        <v>---</v>
      </c>
      <c r="J160" t="str">
        <f>_xlfn.XLOOKUP($A160,表格1[No.],表格1[inv no],"---",0)</f>
        <v>---</v>
      </c>
      <c r="K160" t="str">
        <f>_xlfn.XLOOKUP($A160,表格1[No.],表格1[apps report no.],"---",0)</f>
        <v>---</v>
      </c>
    </row>
    <row r="161" spans="2:11">
      <c r="B161" t="str">
        <f>_xlfn.XLOOKUP($A161,表格1[No.],表格1[Shop],"---",0)</f>
        <v>---</v>
      </c>
      <c r="C161" t="str">
        <f>_xlfn.XLOOKUP($A161,表格1[No.],表格1[Location],"---",0)</f>
        <v>---</v>
      </c>
      <c r="D161" t="str">
        <f>_xlfn.XLOOKUP($A161,表格1[No.],表格1[Name],"---",0)</f>
        <v>---</v>
      </c>
      <c r="E161" t="str">
        <f>_xlfn.XLOOKUP($A161,表格1[No.],表格1[month],"---",0)</f>
        <v>---</v>
      </c>
      <c r="F161" s="12" t="str">
        <f>_xlfn.XLOOKUP($A161,表格1[No.],表格1[date],"---",0)</f>
        <v>---</v>
      </c>
      <c r="G161" t="str">
        <f>_xlfn.XLOOKUP($A161,表格1[No.],表格1[Model],"---",0)</f>
        <v>---</v>
      </c>
      <c r="H161" t="str">
        <f>_xlfn.XLOOKUP($A161,表格1[No.],表格1[QTY],"---",0)</f>
        <v>---</v>
      </c>
      <c r="I161" t="str">
        <f>_xlfn.XLOOKUP($A161,表格1[No.],表格1[Unit Price],"---",0)</f>
        <v>---</v>
      </c>
      <c r="J161" t="str">
        <f>_xlfn.XLOOKUP($A161,表格1[No.],表格1[inv no],"---",0)</f>
        <v>---</v>
      </c>
      <c r="K161" t="str">
        <f>_xlfn.XLOOKUP($A161,表格1[No.],表格1[apps report no.],"---",0)</f>
        <v>---</v>
      </c>
    </row>
    <row r="162" spans="2:11">
      <c r="B162" t="str">
        <f>_xlfn.XLOOKUP($A162,表格1[No.],表格1[Shop],"---",0)</f>
        <v>---</v>
      </c>
      <c r="C162" t="str">
        <f>_xlfn.XLOOKUP($A162,表格1[No.],表格1[Location],"---",0)</f>
        <v>---</v>
      </c>
      <c r="D162" t="str">
        <f>_xlfn.XLOOKUP($A162,表格1[No.],表格1[Name],"---",0)</f>
        <v>---</v>
      </c>
      <c r="E162" t="str">
        <f>_xlfn.XLOOKUP($A162,表格1[No.],表格1[month],"---",0)</f>
        <v>---</v>
      </c>
      <c r="F162" s="12" t="str">
        <f>_xlfn.XLOOKUP($A162,表格1[No.],表格1[date],"---",0)</f>
        <v>---</v>
      </c>
      <c r="G162" t="str">
        <f>_xlfn.XLOOKUP($A162,表格1[No.],表格1[Model],"---",0)</f>
        <v>---</v>
      </c>
      <c r="H162" t="str">
        <f>_xlfn.XLOOKUP($A162,表格1[No.],表格1[QTY],"---",0)</f>
        <v>---</v>
      </c>
      <c r="I162" t="str">
        <f>_xlfn.XLOOKUP($A162,表格1[No.],表格1[Unit Price],"---",0)</f>
        <v>---</v>
      </c>
      <c r="J162" t="str">
        <f>_xlfn.XLOOKUP($A162,表格1[No.],表格1[inv no],"---",0)</f>
        <v>---</v>
      </c>
      <c r="K162" t="str">
        <f>_xlfn.XLOOKUP($A162,表格1[No.],表格1[apps report no.],"---",0)</f>
        <v>---</v>
      </c>
    </row>
    <row r="163" spans="2:11">
      <c r="B163" t="str">
        <f>_xlfn.XLOOKUP($A163,表格1[No.],表格1[Shop],"---",0)</f>
        <v>---</v>
      </c>
      <c r="C163" t="str">
        <f>_xlfn.XLOOKUP($A163,表格1[No.],表格1[Location],"---",0)</f>
        <v>---</v>
      </c>
      <c r="D163" t="str">
        <f>_xlfn.XLOOKUP($A163,表格1[No.],表格1[Name],"---",0)</f>
        <v>---</v>
      </c>
      <c r="E163" t="str">
        <f>_xlfn.XLOOKUP($A163,表格1[No.],表格1[month],"---",0)</f>
        <v>---</v>
      </c>
      <c r="F163" s="12" t="str">
        <f>_xlfn.XLOOKUP($A163,表格1[No.],表格1[date],"---",0)</f>
        <v>---</v>
      </c>
      <c r="G163" t="str">
        <f>_xlfn.XLOOKUP($A163,表格1[No.],表格1[Model],"---",0)</f>
        <v>---</v>
      </c>
      <c r="H163" t="str">
        <f>_xlfn.XLOOKUP($A163,表格1[No.],表格1[QTY],"---",0)</f>
        <v>---</v>
      </c>
      <c r="I163" t="str">
        <f>_xlfn.XLOOKUP($A163,表格1[No.],表格1[Unit Price],"---",0)</f>
        <v>---</v>
      </c>
      <c r="J163" t="str">
        <f>_xlfn.XLOOKUP($A163,表格1[No.],表格1[inv no],"---",0)</f>
        <v>---</v>
      </c>
      <c r="K163" t="str">
        <f>_xlfn.XLOOKUP($A163,表格1[No.],表格1[apps report no.],"---",0)</f>
        <v>---</v>
      </c>
    </row>
    <row r="164" spans="2:11">
      <c r="B164" t="str">
        <f>_xlfn.XLOOKUP($A164,表格1[No.],表格1[Shop],"---",0)</f>
        <v>---</v>
      </c>
      <c r="C164" t="str">
        <f>_xlfn.XLOOKUP($A164,表格1[No.],表格1[Location],"---",0)</f>
        <v>---</v>
      </c>
      <c r="D164" t="str">
        <f>_xlfn.XLOOKUP($A164,表格1[No.],表格1[Name],"---",0)</f>
        <v>---</v>
      </c>
      <c r="E164" t="str">
        <f>_xlfn.XLOOKUP($A164,表格1[No.],表格1[month],"---",0)</f>
        <v>---</v>
      </c>
      <c r="F164" s="12" t="str">
        <f>_xlfn.XLOOKUP($A164,表格1[No.],表格1[date],"---",0)</f>
        <v>---</v>
      </c>
      <c r="G164" t="str">
        <f>_xlfn.XLOOKUP($A164,表格1[No.],表格1[Model],"---",0)</f>
        <v>---</v>
      </c>
      <c r="H164" t="str">
        <f>_xlfn.XLOOKUP($A164,表格1[No.],表格1[QTY],"---",0)</f>
        <v>---</v>
      </c>
      <c r="I164" t="str">
        <f>_xlfn.XLOOKUP($A164,表格1[No.],表格1[Unit Price],"---",0)</f>
        <v>---</v>
      </c>
      <c r="J164" t="str">
        <f>_xlfn.XLOOKUP($A164,表格1[No.],表格1[inv no],"---",0)</f>
        <v>---</v>
      </c>
      <c r="K164" t="str">
        <f>_xlfn.XLOOKUP($A164,表格1[No.],表格1[apps report no.],"---",0)</f>
        <v>---</v>
      </c>
    </row>
    <row r="165" spans="2:11">
      <c r="B165" t="str">
        <f>_xlfn.XLOOKUP($A165,表格1[No.],表格1[Shop],"---",0)</f>
        <v>---</v>
      </c>
      <c r="C165" t="str">
        <f>_xlfn.XLOOKUP($A165,表格1[No.],表格1[Location],"---",0)</f>
        <v>---</v>
      </c>
      <c r="D165" t="str">
        <f>_xlfn.XLOOKUP($A165,表格1[No.],表格1[Name],"---",0)</f>
        <v>---</v>
      </c>
      <c r="E165" t="str">
        <f>_xlfn.XLOOKUP($A165,表格1[No.],表格1[month],"---",0)</f>
        <v>---</v>
      </c>
      <c r="F165" s="12" t="str">
        <f>_xlfn.XLOOKUP($A165,表格1[No.],表格1[date],"---",0)</f>
        <v>---</v>
      </c>
      <c r="G165" t="str">
        <f>_xlfn.XLOOKUP($A165,表格1[No.],表格1[Model],"---",0)</f>
        <v>---</v>
      </c>
      <c r="H165" t="str">
        <f>_xlfn.XLOOKUP($A165,表格1[No.],表格1[QTY],"---",0)</f>
        <v>---</v>
      </c>
      <c r="I165" t="str">
        <f>_xlfn.XLOOKUP($A165,表格1[No.],表格1[Unit Price],"---",0)</f>
        <v>---</v>
      </c>
      <c r="J165" t="str">
        <f>_xlfn.XLOOKUP($A165,表格1[No.],表格1[inv no],"---",0)</f>
        <v>---</v>
      </c>
      <c r="K165" t="str">
        <f>_xlfn.XLOOKUP($A165,表格1[No.],表格1[apps report no.],"---",0)</f>
        <v>---</v>
      </c>
    </row>
    <row r="166" spans="2:11">
      <c r="B166" t="str">
        <f>_xlfn.XLOOKUP($A166,表格1[No.],表格1[Shop],"---",0)</f>
        <v>---</v>
      </c>
      <c r="C166" t="str">
        <f>_xlfn.XLOOKUP($A166,表格1[No.],表格1[Location],"---",0)</f>
        <v>---</v>
      </c>
      <c r="D166" t="str">
        <f>_xlfn.XLOOKUP($A166,表格1[No.],表格1[Name],"---",0)</f>
        <v>---</v>
      </c>
      <c r="E166" t="str">
        <f>_xlfn.XLOOKUP($A166,表格1[No.],表格1[month],"---",0)</f>
        <v>---</v>
      </c>
      <c r="F166" s="12" t="str">
        <f>_xlfn.XLOOKUP($A166,表格1[No.],表格1[date],"---",0)</f>
        <v>---</v>
      </c>
      <c r="G166" t="str">
        <f>_xlfn.XLOOKUP($A166,表格1[No.],表格1[Model],"---",0)</f>
        <v>---</v>
      </c>
      <c r="H166" t="str">
        <f>_xlfn.XLOOKUP($A166,表格1[No.],表格1[QTY],"---",0)</f>
        <v>---</v>
      </c>
      <c r="I166" t="str">
        <f>_xlfn.XLOOKUP($A166,表格1[No.],表格1[Unit Price],"---",0)</f>
        <v>---</v>
      </c>
      <c r="J166" t="str">
        <f>_xlfn.XLOOKUP($A166,表格1[No.],表格1[inv no],"---",0)</f>
        <v>---</v>
      </c>
      <c r="K166" t="str">
        <f>_xlfn.XLOOKUP($A166,表格1[No.],表格1[apps report no.],"---",0)</f>
        <v>---</v>
      </c>
    </row>
    <row r="167" spans="2:11">
      <c r="B167" t="str">
        <f>_xlfn.XLOOKUP($A167,表格1[No.],表格1[Shop],"---",0)</f>
        <v>---</v>
      </c>
      <c r="C167" t="str">
        <f>_xlfn.XLOOKUP($A167,表格1[No.],表格1[Location],"---",0)</f>
        <v>---</v>
      </c>
      <c r="D167" t="str">
        <f>_xlfn.XLOOKUP($A167,表格1[No.],表格1[Name],"---",0)</f>
        <v>---</v>
      </c>
      <c r="E167" t="str">
        <f>_xlfn.XLOOKUP($A167,表格1[No.],表格1[month],"---",0)</f>
        <v>---</v>
      </c>
      <c r="F167" s="12" t="str">
        <f>_xlfn.XLOOKUP($A167,表格1[No.],表格1[date],"---",0)</f>
        <v>---</v>
      </c>
      <c r="G167" t="str">
        <f>_xlfn.XLOOKUP($A167,表格1[No.],表格1[Model],"---",0)</f>
        <v>---</v>
      </c>
      <c r="H167" t="str">
        <f>_xlfn.XLOOKUP($A167,表格1[No.],表格1[QTY],"---",0)</f>
        <v>---</v>
      </c>
      <c r="I167" t="str">
        <f>_xlfn.XLOOKUP($A167,表格1[No.],表格1[Unit Price],"---",0)</f>
        <v>---</v>
      </c>
      <c r="J167" t="str">
        <f>_xlfn.XLOOKUP($A167,表格1[No.],表格1[inv no],"---",0)</f>
        <v>---</v>
      </c>
      <c r="K167" t="str">
        <f>_xlfn.XLOOKUP($A167,表格1[No.],表格1[apps report no.],"---",0)</f>
        <v>---</v>
      </c>
    </row>
    <row r="168" spans="2:11">
      <c r="B168" t="str">
        <f>_xlfn.XLOOKUP($A168,表格1[No.],表格1[Shop],"---",0)</f>
        <v>---</v>
      </c>
      <c r="C168" t="str">
        <f>_xlfn.XLOOKUP($A168,表格1[No.],表格1[Location],"---",0)</f>
        <v>---</v>
      </c>
      <c r="D168" t="str">
        <f>_xlfn.XLOOKUP($A168,表格1[No.],表格1[Name],"---",0)</f>
        <v>---</v>
      </c>
      <c r="E168" t="str">
        <f>_xlfn.XLOOKUP($A168,表格1[No.],表格1[month],"---",0)</f>
        <v>---</v>
      </c>
      <c r="F168" s="12" t="str">
        <f>_xlfn.XLOOKUP($A168,表格1[No.],表格1[date],"---",0)</f>
        <v>---</v>
      </c>
      <c r="G168" t="str">
        <f>_xlfn.XLOOKUP($A168,表格1[No.],表格1[Model],"---",0)</f>
        <v>---</v>
      </c>
      <c r="H168" t="str">
        <f>_xlfn.XLOOKUP($A168,表格1[No.],表格1[QTY],"---",0)</f>
        <v>---</v>
      </c>
      <c r="I168" t="str">
        <f>_xlfn.XLOOKUP($A168,表格1[No.],表格1[Unit Price],"---",0)</f>
        <v>---</v>
      </c>
      <c r="J168" t="str">
        <f>_xlfn.XLOOKUP($A168,表格1[No.],表格1[inv no],"---",0)</f>
        <v>---</v>
      </c>
      <c r="K168" t="str">
        <f>_xlfn.XLOOKUP($A168,表格1[No.],表格1[apps report no.],"---",0)</f>
        <v>---</v>
      </c>
    </row>
    <row r="169" spans="2:11">
      <c r="B169" t="str">
        <f>_xlfn.XLOOKUP($A169,表格1[No.],表格1[Shop],"---",0)</f>
        <v>---</v>
      </c>
      <c r="C169" t="str">
        <f>_xlfn.XLOOKUP($A169,表格1[No.],表格1[Location],"---",0)</f>
        <v>---</v>
      </c>
      <c r="D169" t="str">
        <f>_xlfn.XLOOKUP($A169,表格1[No.],表格1[Name],"---",0)</f>
        <v>---</v>
      </c>
      <c r="E169" t="str">
        <f>_xlfn.XLOOKUP($A169,表格1[No.],表格1[month],"---",0)</f>
        <v>---</v>
      </c>
      <c r="F169" s="12" t="str">
        <f>_xlfn.XLOOKUP($A169,表格1[No.],表格1[date],"---",0)</f>
        <v>---</v>
      </c>
      <c r="G169" t="str">
        <f>_xlfn.XLOOKUP($A169,表格1[No.],表格1[Model],"---",0)</f>
        <v>---</v>
      </c>
      <c r="H169" t="str">
        <f>_xlfn.XLOOKUP($A169,表格1[No.],表格1[QTY],"---",0)</f>
        <v>---</v>
      </c>
      <c r="I169" t="str">
        <f>_xlfn.XLOOKUP($A169,表格1[No.],表格1[Unit Price],"---",0)</f>
        <v>---</v>
      </c>
      <c r="J169" t="str">
        <f>_xlfn.XLOOKUP($A169,表格1[No.],表格1[inv no],"---",0)</f>
        <v>---</v>
      </c>
      <c r="K169" t="str">
        <f>_xlfn.XLOOKUP($A169,表格1[No.],表格1[apps report no.],"---",0)</f>
        <v>---</v>
      </c>
    </row>
    <row r="170" spans="2:11">
      <c r="B170" t="str">
        <f>_xlfn.XLOOKUP($A170,表格1[No.],表格1[Shop],"---",0)</f>
        <v>---</v>
      </c>
      <c r="C170" t="str">
        <f>_xlfn.XLOOKUP($A170,表格1[No.],表格1[Location],"---",0)</f>
        <v>---</v>
      </c>
      <c r="D170" t="str">
        <f>_xlfn.XLOOKUP($A170,表格1[No.],表格1[Name],"---",0)</f>
        <v>---</v>
      </c>
      <c r="E170" t="str">
        <f>_xlfn.XLOOKUP($A170,表格1[No.],表格1[month],"---",0)</f>
        <v>---</v>
      </c>
      <c r="F170" s="12" t="str">
        <f>_xlfn.XLOOKUP($A170,表格1[No.],表格1[date],"---",0)</f>
        <v>---</v>
      </c>
      <c r="G170" t="str">
        <f>_xlfn.XLOOKUP($A170,表格1[No.],表格1[Model],"---",0)</f>
        <v>---</v>
      </c>
      <c r="H170" t="str">
        <f>_xlfn.XLOOKUP($A170,表格1[No.],表格1[QTY],"---",0)</f>
        <v>---</v>
      </c>
      <c r="I170" t="str">
        <f>_xlfn.XLOOKUP($A170,表格1[No.],表格1[Unit Price],"---",0)</f>
        <v>---</v>
      </c>
      <c r="J170" t="str">
        <f>_xlfn.XLOOKUP($A170,表格1[No.],表格1[inv no],"---",0)</f>
        <v>---</v>
      </c>
      <c r="K170" t="str">
        <f>_xlfn.XLOOKUP($A170,表格1[No.],表格1[apps report no.],"---",0)</f>
        <v>---</v>
      </c>
    </row>
    <row r="171" spans="2:11">
      <c r="B171" t="str">
        <f>_xlfn.XLOOKUP($A171,表格1[No.],表格1[Shop],"---",0)</f>
        <v>---</v>
      </c>
      <c r="C171" t="str">
        <f>_xlfn.XLOOKUP($A171,表格1[No.],表格1[Location],"---",0)</f>
        <v>---</v>
      </c>
      <c r="D171" t="str">
        <f>_xlfn.XLOOKUP($A171,表格1[No.],表格1[Name],"---",0)</f>
        <v>---</v>
      </c>
      <c r="E171" t="str">
        <f>_xlfn.XLOOKUP($A171,表格1[No.],表格1[month],"---",0)</f>
        <v>---</v>
      </c>
      <c r="F171" s="12" t="str">
        <f>_xlfn.XLOOKUP($A171,表格1[No.],表格1[date],"---",0)</f>
        <v>---</v>
      </c>
      <c r="G171" t="str">
        <f>_xlfn.XLOOKUP($A171,表格1[No.],表格1[Model],"---",0)</f>
        <v>---</v>
      </c>
      <c r="H171" t="str">
        <f>_xlfn.XLOOKUP($A171,表格1[No.],表格1[QTY],"---",0)</f>
        <v>---</v>
      </c>
      <c r="I171" t="str">
        <f>_xlfn.XLOOKUP($A171,表格1[No.],表格1[Unit Price],"---",0)</f>
        <v>---</v>
      </c>
      <c r="J171" t="str">
        <f>_xlfn.XLOOKUP($A171,表格1[No.],表格1[inv no],"---",0)</f>
        <v>---</v>
      </c>
      <c r="K171" t="str">
        <f>_xlfn.XLOOKUP($A171,表格1[No.],表格1[apps report no.],"---",0)</f>
        <v>---</v>
      </c>
    </row>
    <row r="172" spans="2:11">
      <c r="B172" t="str">
        <f>_xlfn.XLOOKUP($A172,表格1[No.],表格1[Shop],"---",0)</f>
        <v>---</v>
      </c>
      <c r="C172" t="str">
        <f>_xlfn.XLOOKUP($A172,表格1[No.],表格1[Location],"---",0)</f>
        <v>---</v>
      </c>
      <c r="D172" t="str">
        <f>_xlfn.XLOOKUP($A172,表格1[No.],表格1[Name],"---",0)</f>
        <v>---</v>
      </c>
      <c r="E172" t="str">
        <f>_xlfn.XLOOKUP($A172,表格1[No.],表格1[month],"---",0)</f>
        <v>---</v>
      </c>
      <c r="F172" s="12" t="str">
        <f>_xlfn.XLOOKUP($A172,表格1[No.],表格1[date],"---",0)</f>
        <v>---</v>
      </c>
      <c r="G172" t="str">
        <f>_xlfn.XLOOKUP($A172,表格1[No.],表格1[Model],"---",0)</f>
        <v>---</v>
      </c>
      <c r="H172" t="str">
        <f>_xlfn.XLOOKUP($A172,表格1[No.],表格1[QTY],"---",0)</f>
        <v>---</v>
      </c>
      <c r="I172" t="str">
        <f>_xlfn.XLOOKUP($A172,表格1[No.],表格1[Unit Price],"---",0)</f>
        <v>---</v>
      </c>
      <c r="J172" t="str">
        <f>_xlfn.XLOOKUP($A172,表格1[No.],表格1[inv no],"---",0)</f>
        <v>---</v>
      </c>
      <c r="K172" t="str">
        <f>_xlfn.XLOOKUP($A172,表格1[No.],表格1[apps report no.],"---",0)</f>
        <v>---</v>
      </c>
    </row>
    <row r="173" spans="2:11">
      <c r="B173" t="str">
        <f>_xlfn.XLOOKUP($A173,表格1[No.],表格1[Shop],"---",0)</f>
        <v>---</v>
      </c>
      <c r="C173" t="str">
        <f>_xlfn.XLOOKUP($A173,表格1[No.],表格1[Location],"---",0)</f>
        <v>---</v>
      </c>
      <c r="D173" t="str">
        <f>_xlfn.XLOOKUP($A173,表格1[No.],表格1[Name],"---",0)</f>
        <v>---</v>
      </c>
      <c r="E173" t="str">
        <f>_xlfn.XLOOKUP($A173,表格1[No.],表格1[month],"---",0)</f>
        <v>---</v>
      </c>
      <c r="F173" s="12" t="str">
        <f>_xlfn.XLOOKUP($A173,表格1[No.],表格1[date],"---",0)</f>
        <v>---</v>
      </c>
      <c r="G173" t="str">
        <f>_xlfn.XLOOKUP($A173,表格1[No.],表格1[Model],"---",0)</f>
        <v>---</v>
      </c>
      <c r="H173" t="str">
        <f>_xlfn.XLOOKUP($A173,表格1[No.],表格1[QTY],"---",0)</f>
        <v>---</v>
      </c>
      <c r="I173" t="str">
        <f>_xlfn.XLOOKUP($A173,表格1[No.],表格1[Unit Price],"---",0)</f>
        <v>---</v>
      </c>
      <c r="J173" t="str">
        <f>_xlfn.XLOOKUP($A173,表格1[No.],表格1[inv no],"---",0)</f>
        <v>---</v>
      </c>
      <c r="K173" t="str">
        <f>_xlfn.XLOOKUP($A173,表格1[No.],表格1[apps report no.],"---",0)</f>
        <v>---</v>
      </c>
    </row>
    <row r="174" spans="2:11">
      <c r="B174" t="str">
        <f>_xlfn.XLOOKUP($A174,表格1[No.],表格1[Shop],"---",0)</f>
        <v>---</v>
      </c>
      <c r="C174" t="str">
        <f>_xlfn.XLOOKUP($A174,表格1[No.],表格1[Location],"---",0)</f>
        <v>---</v>
      </c>
      <c r="D174" t="str">
        <f>_xlfn.XLOOKUP($A174,表格1[No.],表格1[Name],"---",0)</f>
        <v>---</v>
      </c>
      <c r="E174" t="str">
        <f>_xlfn.XLOOKUP($A174,表格1[No.],表格1[month],"---",0)</f>
        <v>---</v>
      </c>
      <c r="F174" s="12" t="str">
        <f>_xlfn.XLOOKUP($A174,表格1[No.],表格1[date],"---",0)</f>
        <v>---</v>
      </c>
      <c r="G174" t="str">
        <f>_xlfn.XLOOKUP($A174,表格1[No.],表格1[Model],"---",0)</f>
        <v>---</v>
      </c>
      <c r="H174" t="str">
        <f>_xlfn.XLOOKUP($A174,表格1[No.],表格1[QTY],"---",0)</f>
        <v>---</v>
      </c>
      <c r="I174" t="str">
        <f>_xlfn.XLOOKUP($A174,表格1[No.],表格1[Unit Price],"---",0)</f>
        <v>---</v>
      </c>
      <c r="J174" t="str">
        <f>_xlfn.XLOOKUP($A174,表格1[No.],表格1[inv no],"---",0)</f>
        <v>---</v>
      </c>
      <c r="K174" t="str">
        <f>_xlfn.XLOOKUP($A174,表格1[No.],表格1[apps report no.],"---",0)</f>
        <v>---</v>
      </c>
    </row>
    <row r="175" spans="2:11">
      <c r="B175" t="str">
        <f>_xlfn.XLOOKUP($A175,表格1[No.],表格1[Shop],"---",0)</f>
        <v>---</v>
      </c>
      <c r="C175" t="str">
        <f>_xlfn.XLOOKUP($A175,表格1[No.],表格1[Location],"---",0)</f>
        <v>---</v>
      </c>
      <c r="D175" t="str">
        <f>_xlfn.XLOOKUP($A175,表格1[No.],表格1[Name],"---",0)</f>
        <v>---</v>
      </c>
      <c r="E175" t="str">
        <f>_xlfn.XLOOKUP($A175,表格1[No.],表格1[month],"---",0)</f>
        <v>---</v>
      </c>
      <c r="F175" s="12" t="str">
        <f>_xlfn.XLOOKUP($A175,表格1[No.],表格1[date],"---",0)</f>
        <v>---</v>
      </c>
      <c r="G175" t="str">
        <f>_xlfn.XLOOKUP($A175,表格1[No.],表格1[Model],"---",0)</f>
        <v>---</v>
      </c>
      <c r="H175" t="str">
        <f>_xlfn.XLOOKUP($A175,表格1[No.],表格1[QTY],"---",0)</f>
        <v>---</v>
      </c>
      <c r="I175" t="str">
        <f>_xlfn.XLOOKUP($A175,表格1[No.],表格1[Unit Price],"---",0)</f>
        <v>---</v>
      </c>
      <c r="J175" t="str">
        <f>_xlfn.XLOOKUP($A175,表格1[No.],表格1[inv no],"---",0)</f>
        <v>---</v>
      </c>
      <c r="K175" t="str">
        <f>_xlfn.XLOOKUP($A175,表格1[No.],表格1[apps report no.],"---",0)</f>
        <v>---</v>
      </c>
    </row>
    <row r="176" spans="2:11">
      <c r="B176" t="str">
        <f>_xlfn.XLOOKUP($A176,表格1[No.],表格1[Shop],"---",0)</f>
        <v>---</v>
      </c>
      <c r="C176" t="str">
        <f>_xlfn.XLOOKUP($A176,表格1[No.],表格1[Location],"---",0)</f>
        <v>---</v>
      </c>
      <c r="D176" t="str">
        <f>_xlfn.XLOOKUP($A176,表格1[No.],表格1[Name],"---",0)</f>
        <v>---</v>
      </c>
      <c r="E176" t="str">
        <f>_xlfn.XLOOKUP($A176,表格1[No.],表格1[month],"---",0)</f>
        <v>---</v>
      </c>
      <c r="F176" s="12" t="str">
        <f>_xlfn.XLOOKUP($A176,表格1[No.],表格1[date],"---",0)</f>
        <v>---</v>
      </c>
      <c r="G176" t="str">
        <f>_xlfn.XLOOKUP($A176,表格1[No.],表格1[Model],"---",0)</f>
        <v>---</v>
      </c>
      <c r="H176" t="str">
        <f>_xlfn.XLOOKUP($A176,表格1[No.],表格1[QTY],"---",0)</f>
        <v>---</v>
      </c>
      <c r="I176" t="str">
        <f>_xlfn.XLOOKUP($A176,表格1[No.],表格1[Unit Price],"---",0)</f>
        <v>---</v>
      </c>
      <c r="J176" t="str">
        <f>_xlfn.XLOOKUP($A176,表格1[No.],表格1[inv no],"---",0)</f>
        <v>---</v>
      </c>
      <c r="K176" t="str">
        <f>_xlfn.XLOOKUP($A176,表格1[No.],表格1[apps report no.],"---",0)</f>
        <v>---</v>
      </c>
    </row>
    <row r="177" spans="2:11">
      <c r="B177" t="str">
        <f>_xlfn.XLOOKUP($A177,表格1[No.],表格1[Shop],"---",0)</f>
        <v>---</v>
      </c>
      <c r="C177" t="str">
        <f>_xlfn.XLOOKUP($A177,表格1[No.],表格1[Location],"---",0)</f>
        <v>---</v>
      </c>
      <c r="D177" t="str">
        <f>_xlfn.XLOOKUP($A177,表格1[No.],表格1[Name],"---",0)</f>
        <v>---</v>
      </c>
      <c r="E177" t="str">
        <f>_xlfn.XLOOKUP($A177,表格1[No.],表格1[month],"---",0)</f>
        <v>---</v>
      </c>
      <c r="F177" s="12" t="str">
        <f>_xlfn.XLOOKUP($A177,表格1[No.],表格1[date],"---",0)</f>
        <v>---</v>
      </c>
      <c r="G177" t="str">
        <f>_xlfn.XLOOKUP($A177,表格1[No.],表格1[Model],"---",0)</f>
        <v>---</v>
      </c>
      <c r="H177" t="str">
        <f>_xlfn.XLOOKUP($A177,表格1[No.],表格1[QTY],"---",0)</f>
        <v>---</v>
      </c>
      <c r="I177" t="str">
        <f>_xlfn.XLOOKUP($A177,表格1[No.],表格1[Unit Price],"---",0)</f>
        <v>---</v>
      </c>
      <c r="J177" t="str">
        <f>_xlfn.XLOOKUP($A177,表格1[No.],表格1[inv no],"---",0)</f>
        <v>---</v>
      </c>
      <c r="K177" t="str">
        <f>_xlfn.XLOOKUP($A177,表格1[No.],表格1[apps report no.],"---",0)</f>
        <v>---</v>
      </c>
    </row>
    <row r="178" spans="2:11">
      <c r="B178" t="str">
        <f>_xlfn.XLOOKUP($A178,表格1[No.],表格1[Shop],"---",0)</f>
        <v>---</v>
      </c>
      <c r="C178" t="str">
        <f>_xlfn.XLOOKUP($A178,表格1[No.],表格1[Location],"---",0)</f>
        <v>---</v>
      </c>
      <c r="D178" t="str">
        <f>_xlfn.XLOOKUP($A178,表格1[No.],表格1[Name],"---",0)</f>
        <v>---</v>
      </c>
      <c r="E178" t="str">
        <f>_xlfn.XLOOKUP($A178,表格1[No.],表格1[month],"---",0)</f>
        <v>---</v>
      </c>
      <c r="F178" s="12" t="str">
        <f>_xlfn.XLOOKUP($A178,表格1[No.],表格1[date],"---",0)</f>
        <v>---</v>
      </c>
      <c r="G178" t="str">
        <f>_xlfn.XLOOKUP($A178,表格1[No.],表格1[Model],"---",0)</f>
        <v>---</v>
      </c>
      <c r="H178" t="str">
        <f>_xlfn.XLOOKUP($A178,表格1[No.],表格1[QTY],"---",0)</f>
        <v>---</v>
      </c>
      <c r="I178" t="str">
        <f>_xlfn.XLOOKUP($A178,表格1[No.],表格1[Unit Price],"---",0)</f>
        <v>---</v>
      </c>
      <c r="J178" t="str">
        <f>_xlfn.XLOOKUP($A178,表格1[No.],表格1[inv no],"---",0)</f>
        <v>---</v>
      </c>
      <c r="K178" t="str">
        <f>_xlfn.XLOOKUP($A178,表格1[No.],表格1[apps report no.],"---",0)</f>
        <v>---</v>
      </c>
    </row>
    <row r="179" spans="2:11">
      <c r="B179" t="str">
        <f>_xlfn.XLOOKUP($A179,表格1[No.],表格1[Shop],"---",0)</f>
        <v>---</v>
      </c>
      <c r="C179" t="str">
        <f>_xlfn.XLOOKUP($A179,表格1[No.],表格1[Location],"---",0)</f>
        <v>---</v>
      </c>
      <c r="D179" t="str">
        <f>_xlfn.XLOOKUP($A179,表格1[No.],表格1[Name],"---",0)</f>
        <v>---</v>
      </c>
      <c r="E179" t="str">
        <f>_xlfn.XLOOKUP($A179,表格1[No.],表格1[month],"---",0)</f>
        <v>---</v>
      </c>
      <c r="F179" s="12" t="str">
        <f>_xlfn.XLOOKUP($A179,表格1[No.],表格1[date],"---",0)</f>
        <v>---</v>
      </c>
      <c r="G179" t="str">
        <f>_xlfn.XLOOKUP($A179,表格1[No.],表格1[Model],"---",0)</f>
        <v>---</v>
      </c>
      <c r="H179" t="str">
        <f>_xlfn.XLOOKUP($A179,表格1[No.],表格1[QTY],"---",0)</f>
        <v>---</v>
      </c>
      <c r="I179" t="str">
        <f>_xlfn.XLOOKUP($A179,表格1[No.],表格1[Unit Price],"---",0)</f>
        <v>---</v>
      </c>
      <c r="J179" t="str">
        <f>_xlfn.XLOOKUP($A179,表格1[No.],表格1[inv no],"---",0)</f>
        <v>---</v>
      </c>
      <c r="K179" t="str">
        <f>_xlfn.XLOOKUP($A179,表格1[No.],表格1[apps report no.],"---",0)</f>
        <v>---</v>
      </c>
    </row>
    <row r="180" spans="2:11">
      <c r="B180" t="str">
        <f>_xlfn.XLOOKUP($A180,表格1[No.],表格1[Shop],"---",0)</f>
        <v>---</v>
      </c>
      <c r="C180" t="str">
        <f>_xlfn.XLOOKUP($A180,表格1[No.],表格1[Location],"---",0)</f>
        <v>---</v>
      </c>
      <c r="D180" t="str">
        <f>_xlfn.XLOOKUP($A180,表格1[No.],表格1[Name],"---",0)</f>
        <v>---</v>
      </c>
      <c r="E180" t="str">
        <f>_xlfn.XLOOKUP($A180,表格1[No.],表格1[month],"---",0)</f>
        <v>---</v>
      </c>
      <c r="F180" s="12" t="str">
        <f>_xlfn.XLOOKUP($A180,表格1[No.],表格1[date],"---",0)</f>
        <v>---</v>
      </c>
      <c r="G180" t="str">
        <f>_xlfn.XLOOKUP($A180,表格1[No.],表格1[Model],"---",0)</f>
        <v>---</v>
      </c>
      <c r="H180" t="str">
        <f>_xlfn.XLOOKUP($A180,表格1[No.],表格1[QTY],"---",0)</f>
        <v>---</v>
      </c>
      <c r="I180" t="str">
        <f>_xlfn.XLOOKUP($A180,表格1[No.],表格1[Unit Price],"---",0)</f>
        <v>---</v>
      </c>
      <c r="J180" t="str">
        <f>_xlfn.XLOOKUP($A180,表格1[No.],表格1[inv no],"---",0)</f>
        <v>---</v>
      </c>
      <c r="K180" t="str">
        <f>_xlfn.XLOOKUP($A180,表格1[No.],表格1[apps report no.],"---",0)</f>
        <v>---</v>
      </c>
    </row>
    <row r="181" spans="2:11">
      <c r="B181" t="str">
        <f>_xlfn.XLOOKUP($A181,表格1[No.],表格1[Shop],"---",0)</f>
        <v>---</v>
      </c>
      <c r="C181" t="str">
        <f>_xlfn.XLOOKUP($A181,表格1[No.],表格1[Location],"---",0)</f>
        <v>---</v>
      </c>
      <c r="D181" t="str">
        <f>_xlfn.XLOOKUP($A181,表格1[No.],表格1[Name],"---",0)</f>
        <v>---</v>
      </c>
      <c r="E181" t="str">
        <f>_xlfn.XLOOKUP($A181,表格1[No.],表格1[month],"---",0)</f>
        <v>---</v>
      </c>
      <c r="F181" s="12" t="str">
        <f>_xlfn.XLOOKUP($A181,表格1[No.],表格1[date],"---",0)</f>
        <v>---</v>
      </c>
      <c r="G181" t="str">
        <f>_xlfn.XLOOKUP($A181,表格1[No.],表格1[Model],"---",0)</f>
        <v>---</v>
      </c>
      <c r="H181" t="str">
        <f>_xlfn.XLOOKUP($A181,表格1[No.],表格1[QTY],"---",0)</f>
        <v>---</v>
      </c>
      <c r="I181" t="str">
        <f>_xlfn.XLOOKUP($A181,表格1[No.],表格1[Unit Price],"---",0)</f>
        <v>---</v>
      </c>
      <c r="J181" t="str">
        <f>_xlfn.XLOOKUP($A181,表格1[No.],表格1[inv no],"---",0)</f>
        <v>---</v>
      </c>
      <c r="K181" t="str">
        <f>_xlfn.XLOOKUP($A181,表格1[No.],表格1[apps report no.],"---",0)</f>
        <v>---</v>
      </c>
    </row>
    <row r="182" spans="2:11">
      <c r="B182" t="str">
        <f>_xlfn.XLOOKUP($A182,表格1[No.],表格1[Shop],"---",0)</f>
        <v>---</v>
      </c>
      <c r="C182" t="str">
        <f>_xlfn.XLOOKUP($A182,表格1[No.],表格1[Location],"---",0)</f>
        <v>---</v>
      </c>
      <c r="D182" t="str">
        <f>_xlfn.XLOOKUP($A182,表格1[No.],表格1[Name],"---",0)</f>
        <v>---</v>
      </c>
      <c r="E182" t="str">
        <f>_xlfn.XLOOKUP($A182,表格1[No.],表格1[month],"---",0)</f>
        <v>---</v>
      </c>
      <c r="F182" s="12" t="str">
        <f>_xlfn.XLOOKUP($A182,表格1[No.],表格1[date],"---",0)</f>
        <v>---</v>
      </c>
      <c r="G182" t="str">
        <f>_xlfn.XLOOKUP($A182,表格1[No.],表格1[Model],"---",0)</f>
        <v>---</v>
      </c>
      <c r="H182" t="str">
        <f>_xlfn.XLOOKUP($A182,表格1[No.],表格1[QTY],"---",0)</f>
        <v>---</v>
      </c>
      <c r="I182" t="str">
        <f>_xlfn.XLOOKUP($A182,表格1[No.],表格1[Unit Price],"---",0)</f>
        <v>---</v>
      </c>
      <c r="J182" t="str">
        <f>_xlfn.XLOOKUP($A182,表格1[No.],表格1[inv no],"---",0)</f>
        <v>---</v>
      </c>
      <c r="K182" t="str">
        <f>_xlfn.XLOOKUP($A182,表格1[No.],表格1[apps report no.],"---",0)</f>
        <v>---</v>
      </c>
    </row>
    <row r="183" spans="2:11">
      <c r="B183" t="str">
        <f>_xlfn.XLOOKUP($A183,表格1[No.],表格1[Shop],"---",0)</f>
        <v>---</v>
      </c>
      <c r="C183" t="str">
        <f>_xlfn.XLOOKUP($A183,表格1[No.],表格1[Location],"---",0)</f>
        <v>---</v>
      </c>
      <c r="D183" t="str">
        <f>_xlfn.XLOOKUP($A183,表格1[No.],表格1[Name],"---",0)</f>
        <v>---</v>
      </c>
      <c r="E183" t="str">
        <f>_xlfn.XLOOKUP($A183,表格1[No.],表格1[month],"---",0)</f>
        <v>---</v>
      </c>
      <c r="F183" s="12" t="str">
        <f>_xlfn.XLOOKUP($A183,表格1[No.],表格1[date],"---",0)</f>
        <v>---</v>
      </c>
      <c r="G183" t="str">
        <f>_xlfn.XLOOKUP($A183,表格1[No.],表格1[Model],"---",0)</f>
        <v>---</v>
      </c>
      <c r="H183" t="str">
        <f>_xlfn.XLOOKUP($A183,表格1[No.],表格1[QTY],"---",0)</f>
        <v>---</v>
      </c>
      <c r="I183" t="str">
        <f>_xlfn.XLOOKUP($A183,表格1[No.],表格1[Unit Price],"---",0)</f>
        <v>---</v>
      </c>
      <c r="J183" t="str">
        <f>_xlfn.XLOOKUP($A183,表格1[No.],表格1[inv no],"---",0)</f>
        <v>---</v>
      </c>
      <c r="K183" t="str">
        <f>_xlfn.XLOOKUP($A183,表格1[No.],表格1[apps report no.],"---",0)</f>
        <v>---</v>
      </c>
    </row>
    <row r="184" spans="2:11">
      <c r="B184" t="str">
        <f>_xlfn.XLOOKUP($A184,表格1[No.],表格1[Shop],"---",0)</f>
        <v>---</v>
      </c>
      <c r="C184" t="str">
        <f>_xlfn.XLOOKUP($A184,表格1[No.],表格1[Location],"---",0)</f>
        <v>---</v>
      </c>
      <c r="D184" t="str">
        <f>_xlfn.XLOOKUP($A184,表格1[No.],表格1[Name],"---",0)</f>
        <v>---</v>
      </c>
      <c r="E184" t="str">
        <f>_xlfn.XLOOKUP($A184,表格1[No.],表格1[month],"---",0)</f>
        <v>---</v>
      </c>
      <c r="F184" s="12" t="str">
        <f>_xlfn.XLOOKUP($A184,表格1[No.],表格1[date],"---",0)</f>
        <v>---</v>
      </c>
      <c r="G184" t="str">
        <f>_xlfn.XLOOKUP($A184,表格1[No.],表格1[Model],"---",0)</f>
        <v>---</v>
      </c>
      <c r="H184" t="str">
        <f>_xlfn.XLOOKUP($A184,表格1[No.],表格1[QTY],"---",0)</f>
        <v>---</v>
      </c>
      <c r="I184" t="str">
        <f>_xlfn.XLOOKUP($A184,表格1[No.],表格1[Unit Price],"---",0)</f>
        <v>---</v>
      </c>
      <c r="J184" t="str">
        <f>_xlfn.XLOOKUP($A184,表格1[No.],表格1[inv no],"---",0)</f>
        <v>---</v>
      </c>
      <c r="K184" t="str">
        <f>_xlfn.XLOOKUP($A184,表格1[No.],表格1[apps report no.],"---",0)</f>
        <v>---</v>
      </c>
    </row>
    <row r="185" spans="2:11">
      <c r="B185" t="str">
        <f>_xlfn.XLOOKUP($A185,表格1[No.],表格1[Shop],"---",0)</f>
        <v>---</v>
      </c>
      <c r="C185" t="str">
        <f>_xlfn.XLOOKUP($A185,表格1[No.],表格1[Location],"---",0)</f>
        <v>---</v>
      </c>
      <c r="D185" t="str">
        <f>_xlfn.XLOOKUP($A185,表格1[No.],表格1[Name],"---",0)</f>
        <v>---</v>
      </c>
      <c r="E185" t="str">
        <f>_xlfn.XLOOKUP($A185,表格1[No.],表格1[month],"---",0)</f>
        <v>---</v>
      </c>
      <c r="F185" s="12" t="str">
        <f>_xlfn.XLOOKUP($A185,表格1[No.],表格1[date],"---",0)</f>
        <v>---</v>
      </c>
      <c r="G185" t="str">
        <f>_xlfn.XLOOKUP($A185,表格1[No.],表格1[Model],"---",0)</f>
        <v>---</v>
      </c>
      <c r="H185" t="str">
        <f>_xlfn.XLOOKUP($A185,表格1[No.],表格1[QTY],"---",0)</f>
        <v>---</v>
      </c>
      <c r="I185" t="str">
        <f>_xlfn.XLOOKUP($A185,表格1[No.],表格1[Unit Price],"---",0)</f>
        <v>---</v>
      </c>
      <c r="J185" t="str">
        <f>_xlfn.XLOOKUP($A185,表格1[No.],表格1[inv no],"---",0)</f>
        <v>---</v>
      </c>
      <c r="K185" t="str">
        <f>_xlfn.XLOOKUP($A185,表格1[No.],表格1[apps report no.],"---",0)</f>
        <v>---</v>
      </c>
    </row>
    <row r="186" spans="2:11">
      <c r="B186" t="str">
        <f>_xlfn.XLOOKUP($A186,表格1[No.],表格1[Shop],"---",0)</f>
        <v>---</v>
      </c>
      <c r="C186" t="str">
        <f>_xlfn.XLOOKUP($A186,表格1[No.],表格1[Location],"---",0)</f>
        <v>---</v>
      </c>
      <c r="D186" t="str">
        <f>_xlfn.XLOOKUP($A186,表格1[No.],表格1[Name],"---",0)</f>
        <v>---</v>
      </c>
      <c r="E186" t="str">
        <f>_xlfn.XLOOKUP($A186,表格1[No.],表格1[month],"---",0)</f>
        <v>---</v>
      </c>
      <c r="F186" s="12" t="str">
        <f>_xlfn.XLOOKUP($A186,表格1[No.],表格1[date],"---",0)</f>
        <v>---</v>
      </c>
      <c r="G186" t="str">
        <f>_xlfn.XLOOKUP($A186,表格1[No.],表格1[Model],"---",0)</f>
        <v>---</v>
      </c>
      <c r="H186" t="str">
        <f>_xlfn.XLOOKUP($A186,表格1[No.],表格1[QTY],"---",0)</f>
        <v>---</v>
      </c>
      <c r="I186" t="str">
        <f>_xlfn.XLOOKUP($A186,表格1[No.],表格1[Unit Price],"---",0)</f>
        <v>---</v>
      </c>
      <c r="J186" t="str">
        <f>_xlfn.XLOOKUP($A186,表格1[No.],表格1[inv no],"---",0)</f>
        <v>---</v>
      </c>
      <c r="K186" t="str">
        <f>_xlfn.XLOOKUP($A186,表格1[No.],表格1[apps report no.],"---",0)</f>
        <v>---</v>
      </c>
    </row>
    <row r="187" spans="2:11">
      <c r="B187" t="str">
        <f>_xlfn.XLOOKUP($A187,表格1[No.],表格1[Shop],"---",0)</f>
        <v>---</v>
      </c>
      <c r="C187" t="str">
        <f>_xlfn.XLOOKUP($A187,表格1[No.],表格1[Location],"---",0)</f>
        <v>---</v>
      </c>
      <c r="D187" t="str">
        <f>_xlfn.XLOOKUP($A187,表格1[No.],表格1[Name],"---",0)</f>
        <v>---</v>
      </c>
      <c r="E187" t="str">
        <f>_xlfn.XLOOKUP($A187,表格1[No.],表格1[month],"---",0)</f>
        <v>---</v>
      </c>
      <c r="F187" s="12" t="str">
        <f>_xlfn.XLOOKUP($A187,表格1[No.],表格1[date],"---",0)</f>
        <v>---</v>
      </c>
      <c r="G187" t="str">
        <f>_xlfn.XLOOKUP($A187,表格1[No.],表格1[Model],"---",0)</f>
        <v>---</v>
      </c>
      <c r="H187" t="str">
        <f>_xlfn.XLOOKUP($A187,表格1[No.],表格1[QTY],"---",0)</f>
        <v>---</v>
      </c>
      <c r="I187" t="str">
        <f>_xlfn.XLOOKUP($A187,表格1[No.],表格1[Unit Price],"---",0)</f>
        <v>---</v>
      </c>
      <c r="J187" t="str">
        <f>_xlfn.XLOOKUP($A187,表格1[No.],表格1[inv no],"---",0)</f>
        <v>---</v>
      </c>
      <c r="K187" t="str">
        <f>_xlfn.XLOOKUP($A187,表格1[No.],表格1[apps report no.],"---",0)</f>
        <v>---</v>
      </c>
    </row>
    <row r="188" spans="2:11">
      <c r="B188" t="str">
        <f>_xlfn.XLOOKUP($A188,表格1[No.],表格1[Shop],"---",0)</f>
        <v>---</v>
      </c>
      <c r="C188" t="str">
        <f>_xlfn.XLOOKUP($A188,表格1[No.],表格1[Location],"---",0)</f>
        <v>---</v>
      </c>
      <c r="D188" t="str">
        <f>_xlfn.XLOOKUP($A188,表格1[No.],表格1[Name],"---",0)</f>
        <v>---</v>
      </c>
      <c r="E188" t="str">
        <f>_xlfn.XLOOKUP($A188,表格1[No.],表格1[month],"---",0)</f>
        <v>---</v>
      </c>
      <c r="F188" s="12" t="str">
        <f>_xlfn.XLOOKUP($A188,表格1[No.],表格1[date],"---",0)</f>
        <v>---</v>
      </c>
      <c r="G188" t="str">
        <f>_xlfn.XLOOKUP($A188,表格1[No.],表格1[Model],"---",0)</f>
        <v>---</v>
      </c>
      <c r="H188" t="str">
        <f>_xlfn.XLOOKUP($A188,表格1[No.],表格1[QTY],"---",0)</f>
        <v>---</v>
      </c>
      <c r="I188" t="str">
        <f>_xlfn.XLOOKUP($A188,表格1[No.],表格1[Unit Price],"---",0)</f>
        <v>---</v>
      </c>
      <c r="J188" t="str">
        <f>_xlfn.XLOOKUP($A188,表格1[No.],表格1[inv no],"---",0)</f>
        <v>---</v>
      </c>
      <c r="K188" t="str">
        <f>_xlfn.XLOOKUP($A188,表格1[No.],表格1[apps report no.],"---",0)</f>
        <v>---</v>
      </c>
    </row>
    <row r="189" spans="2:11">
      <c r="B189" t="str">
        <f>_xlfn.XLOOKUP($A189,表格1[No.],表格1[Shop],"---",0)</f>
        <v>---</v>
      </c>
      <c r="C189" t="str">
        <f>_xlfn.XLOOKUP($A189,表格1[No.],表格1[Location],"---",0)</f>
        <v>---</v>
      </c>
      <c r="D189" t="str">
        <f>_xlfn.XLOOKUP($A189,表格1[No.],表格1[Name],"---",0)</f>
        <v>---</v>
      </c>
      <c r="E189" t="str">
        <f>_xlfn.XLOOKUP($A189,表格1[No.],表格1[month],"---",0)</f>
        <v>---</v>
      </c>
      <c r="F189" s="12" t="str">
        <f>_xlfn.XLOOKUP($A189,表格1[No.],表格1[date],"---",0)</f>
        <v>---</v>
      </c>
      <c r="G189" t="str">
        <f>_xlfn.XLOOKUP($A189,表格1[No.],表格1[Model],"---",0)</f>
        <v>---</v>
      </c>
      <c r="H189" t="str">
        <f>_xlfn.XLOOKUP($A189,表格1[No.],表格1[QTY],"---",0)</f>
        <v>---</v>
      </c>
      <c r="I189" t="str">
        <f>_xlfn.XLOOKUP($A189,表格1[No.],表格1[Unit Price],"---",0)</f>
        <v>---</v>
      </c>
      <c r="J189" t="str">
        <f>_xlfn.XLOOKUP($A189,表格1[No.],表格1[inv no],"---",0)</f>
        <v>---</v>
      </c>
      <c r="K189" t="str">
        <f>_xlfn.XLOOKUP($A189,表格1[No.],表格1[apps report no.],"---",0)</f>
        <v>---</v>
      </c>
    </row>
    <row r="190" spans="2:11">
      <c r="B190" t="str">
        <f>_xlfn.XLOOKUP($A190,表格1[No.],表格1[Shop],"---",0)</f>
        <v>---</v>
      </c>
      <c r="C190" t="str">
        <f>_xlfn.XLOOKUP($A190,表格1[No.],表格1[Location],"---",0)</f>
        <v>---</v>
      </c>
      <c r="D190" t="str">
        <f>_xlfn.XLOOKUP($A190,表格1[No.],表格1[Name],"---",0)</f>
        <v>---</v>
      </c>
      <c r="E190" t="str">
        <f>_xlfn.XLOOKUP($A190,表格1[No.],表格1[month],"---",0)</f>
        <v>---</v>
      </c>
      <c r="F190" s="12" t="str">
        <f>_xlfn.XLOOKUP($A190,表格1[No.],表格1[date],"---",0)</f>
        <v>---</v>
      </c>
      <c r="G190" t="str">
        <f>_xlfn.XLOOKUP($A190,表格1[No.],表格1[Model],"---",0)</f>
        <v>---</v>
      </c>
      <c r="H190" t="str">
        <f>_xlfn.XLOOKUP($A190,表格1[No.],表格1[QTY],"---",0)</f>
        <v>---</v>
      </c>
      <c r="I190" t="str">
        <f>_xlfn.XLOOKUP($A190,表格1[No.],表格1[Unit Price],"---",0)</f>
        <v>---</v>
      </c>
      <c r="J190" t="str">
        <f>_xlfn.XLOOKUP($A190,表格1[No.],表格1[inv no],"---",0)</f>
        <v>---</v>
      </c>
      <c r="K190" t="str">
        <f>_xlfn.XLOOKUP($A190,表格1[No.],表格1[apps report no.],"---",0)</f>
        <v>---</v>
      </c>
    </row>
    <row r="191" spans="2:11">
      <c r="B191" t="str">
        <f>_xlfn.XLOOKUP($A191,表格1[No.],表格1[Shop],"---",0)</f>
        <v>---</v>
      </c>
      <c r="C191" t="str">
        <f>_xlfn.XLOOKUP($A191,表格1[No.],表格1[Location],"---",0)</f>
        <v>---</v>
      </c>
      <c r="D191" t="str">
        <f>_xlfn.XLOOKUP($A191,表格1[No.],表格1[Name],"---",0)</f>
        <v>---</v>
      </c>
      <c r="E191" t="str">
        <f>_xlfn.XLOOKUP($A191,表格1[No.],表格1[month],"---",0)</f>
        <v>---</v>
      </c>
      <c r="F191" s="12" t="str">
        <f>_xlfn.XLOOKUP($A191,表格1[No.],表格1[date],"---",0)</f>
        <v>---</v>
      </c>
      <c r="G191" t="str">
        <f>_xlfn.XLOOKUP($A191,表格1[No.],表格1[Model],"---",0)</f>
        <v>---</v>
      </c>
      <c r="H191" t="str">
        <f>_xlfn.XLOOKUP($A191,表格1[No.],表格1[QTY],"---",0)</f>
        <v>---</v>
      </c>
      <c r="I191" t="str">
        <f>_xlfn.XLOOKUP($A191,表格1[No.],表格1[Unit Price],"---",0)</f>
        <v>---</v>
      </c>
      <c r="J191" t="str">
        <f>_xlfn.XLOOKUP($A191,表格1[No.],表格1[inv no],"---",0)</f>
        <v>---</v>
      </c>
      <c r="K191" t="str">
        <f>_xlfn.XLOOKUP($A191,表格1[No.],表格1[apps report no.],"---",0)</f>
        <v>---</v>
      </c>
    </row>
    <row r="192" spans="2:11">
      <c r="B192" t="str">
        <f>_xlfn.XLOOKUP($A192,表格1[No.],表格1[Shop],"---",0)</f>
        <v>---</v>
      </c>
      <c r="C192" t="str">
        <f>_xlfn.XLOOKUP($A192,表格1[No.],表格1[Location],"---",0)</f>
        <v>---</v>
      </c>
      <c r="D192" t="str">
        <f>_xlfn.XLOOKUP($A192,表格1[No.],表格1[Name],"---",0)</f>
        <v>---</v>
      </c>
      <c r="E192" t="str">
        <f>_xlfn.XLOOKUP($A192,表格1[No.],表格1[month],"---",0)</f>
        <v>---</v>
      </c>
      <c r="F192" s="12" t="str">
        <f>_xlfn.XLOOKUP($A192,表格1[No.],表格1[date],"---",0)</f>
        <v>---</v>
      </c>
      <c r="G192" t="str">
        <f>_xlfn.XLOOKUP($A192,表格1[No.],表格1[Model],"---",0)</f>
        <v>---</v>
      </c>
      <c r="H192" t="str">
        <f>_xlfn.XLOOKUP($A192,表格1[No.],表格1[QTY],"---",0)</f>
        <v>---</v>
      </c>
      <c r="I192" t="str">
        <f>_xlfn.XLOOKUP($A192,表格1[No.],表格1[Unit Price],"---",0)</f>
        <v>---</v>
      </c>
      <c r="J192" t="str">
        <f>_xlfn.XLOOKUP($A192,表格1[No.],表格1[inv no],"---",0)</f>
        <v>---</v>
      </c>
      <c r="K192" t="str">
        <f>_xlfn.XLOOKUP($A192,表格1[No.],表格1[apps report no.],"---",0)</f>
        <v>---</v>
      </c>
    </row>
    <row r="193" spans="2:11">
      <c r="B193" t="str">
        <f>_xlfn.XLOOKUP($A193,表格1[No.],表格1[Shop],"---",0)</f>
        <v>---</v>
      </c>
      <c r="C193" t="str">
        <f>_xlfn.XLOOKUP($A193,表格1[No.],表格1[Location],"---",0)</f>
        <v>---</v>
      </c>
      <c r="D193" t="str">
        <f>_xlfn.XLOOKUP($A193,表格1[No.],表格1[Name],"---",0)</f>
        <v>---</v>
      </c>
      <c r="E193" t="str">
        <f>_xlfn.XLOOKUP($A193,表格1[No.],表格1[month],"---",0)</f>
        <v>---</v>
      </c>
      <c r="F193" s="12" t="str">
        <f>_xlfn.XLOOKUP($A193,表格1[No.],表格1[date],"---",0)</f>
        <v>---</v>
      </c>
      <c r="G193" t="str">
        <f>_xlfn.XLOOKUP($A193,表格1[No.],表格1[Model],"---",0)</f>
        <v>---</v>
      </c>
      <c r="H193" t="str">
        <f>_xlfn.XLOOKUP($A193,表格1[No.],表格1[QTY],"---",0)</f>
        <v>---</v>
      </c>
      <c r="I193" t="str">
        <f>_xlfn.XLOOKUP($A193,表格1[No.],表格1[Unit Price],"---",0)</f>
        <v>---</v>
      </c>
      <c r="J193" t="str">
        <f>_xlfn.XLOOKUP($A193,表格1[No.],表格1[inv no],"---",0)</f>
        <v>---</v>
      </c>
      <c r="K193" t="str">
        <f>_xlfn.XLOOKUP($A193,表格1[No.],表格1[apps report no.],"---",0)</f>
        <v>---</v>
      </c>
    </row>
    <row r="194" spans="2:11">
      <c r="B194" t="str">
        <f>_xlfn.XLOOKUP($A194,表格1[No.],表格1[Shop],"---",0)</f>
        <v>---</v>
      </c>
      <c r="C194" t="str">
        <f>_xlfn.XLOOKUP($A194,表格1[No.],表格1[Location],"---",0)</f>
        <v>---</v>
      </c>
      <c r="D194" t="str">
        <f>_xlfn.XLOOKUP($A194,表格1[No.],表格1[Name],"---",0)</f>
        <v>---</v>
      </c>
      <c r="E194" t="str">
        <f>_xlfn.XLOOKUP($A194,表格1[No.],表格1[month],"---",0)</f>
        <v>---</v>
      </c>
      <c r="F194" s="12" t="str">
        <f>_xlfn.XLOOKUP($A194,表格1[No.],表格1[date],"---",0)</f>
        <v>---</v>
      </c>
      <c r="G194" t="str">
        <f>_xlfn.XLOOKUP($A194,表格1[No.],表格1[Model],"---",0)</f>
        <v>---</v>
      </c>
      <c r="H194" t="str">
        <f>_xlfn.XLOOKUP($A194,表格1[No.],表格1[QTY],"---",0)</f>
        <v>---</v>
      </c>
      <c r="I194" t="str">
        <f>_xlfn.XLOOKUP($A194,表格1[No.],表格1[Unit Price],"---",0)</f>
        <v>---</v>
      </c>
      <c r="J194" t="str">
        <f>_xlfn.XLOOKUP($A194,表格1[No.],表格1[inv no],"---",0)</f>
        <v>---</v>
      </c>
      <c r="K194" t="str">
        <f>_xlfn.XLOOKUP($A194,表格1[No.],表格1[apps report no.],"---",0)</f>
        <v>---</v>
      </c>
    </row>
    <row r="195" spans="2:11">
      <c r="B195" t="str">
        <f>_xlfn.XLOOKUP($A195,表格1[No.],表格1[Shop],"---",0)</f>
        <v>---</v>
      </c>
      <c r="C195" t="str">
        <f>_xlfn.XLOOKUP($A195,表格1[No.],表格1[Location],"---",0)</f>
        <v>---</v>
      </c>
      <c r="D195" t="str">
        <f>_xlfn.XLOOKUP($A195,表格1[No.],表格1[Name],"---",0)</f>
        <v>---</v>
      </c>
      <c r="E195" t="str">
        <f>_xlfn.XLOOKUP($A195,表格1[No.],表格1[month],"---",0)</f>
        <v>---</v>
      </c>
      <c r="F195" s="12" t="str">
        <f>_xlfn.XLOOKUP($A195,表格1[No.],表格1[date],"---",0)</f>
        <v>---</v>
      </c>
      <c r="G195" t="str">
        <f>_xlfn.XLOOKUP($A195,表格1[No.],表格1[Model],"---",0)</f>
        <v>---</v>
      </c>
      <c r="H195" t="str">
        <f>_xlfn.XLOOKUP($A195,表格1[No.],表格1[QTY],"---",0)</f>
        <v>---</v>
      </c>
      <c r="I195" t="str">
        <f>_xlfn.XLOOKUP($A195,表格1[No.],表格1[Unit Price],"---",0)</f>
        <v>---</v>
      </c>
      <c r="J195" t="str">
        <f>_xlfn.XLOOKUP($A195,表格1[No.],表格1[inv no],"---",0)</f>
        <v>---</v>
      </c>
      <c r="K195" t="str">
        <f>_xlfn.XLOOKUP($A195,表格1[No.],表格1[apps report no.],"---",0)</f>
        <v>---</v>
      </c>
    </row>
    <row r="196" spans="2:11">
      <c r="B196" t="str">
        <f>_xlfn.XLOOKUP($A196,表格1[No.],表格1[Shop],"---",0)</f>
        <v>---</v>
      </c>
      <c r="C196" t="str">
        <f>_xlfn.XLOOKUP($A196,表格1[No.],表格1[Location],"---",0)</f>
        <v>---</v>
      </c>
      <c r="D196" t="str">
        <f>_xlfn.XLOOKUP($A196,表格1[No.],表格1[Name],"---",0)</f>
        <v>---</v>
      </c>
      <c r="E196" t="str">
        <f>_xlfn.XLOOKUP($A196,表格1[No.],表格1[month],"---",0)</f>
        <v>---</v>
      </c>
      <c r="F196" s="12" t="str">
        <f>_xlfn.XLOOKUP($A196,表格1[No.],表格1[date],"---",0)</f>
        <v>---</v>
      </c>
      <c r="G196" t="str">
        <f>_xlfn.XLOOKUP($A196,表格1[No.],表格1[Model],"---",0)</f>
        <v>---</v>
      </c>
      <c r="H196" t="str">
        <f>_xlfn.XLOOKUP($A196,表格1[No.],表格1[QTY],"---",0)</f>
        <v>---</v>
      </c>
      <c r="I196" t="str">
        <f>_xlfn.XLOOKUP($A196,表格1[No.],表格1[Unit Price],"---",0)</f>
        <v>---</v>
      </c>
      <c r="J196" t="str">
        <f>_xlfn.XLOOKUP($A196,表格1[No.],表格1[inv no],"---",0)</f>
        <v>---</v>
      </c>
      <c r="K196" t="str">
        <f>_xlfn.XLOOKUP($A196,表格1[No.],表格1[apps report no.],"---",0)</f>
        <v>---</v>
      </c>
    </row>
    <row r="197" spans="2:11">
      <c r="B197" t="str">
        <f>_xlfn.XLOOKUP($A197,表格1[No.],表格1[Shop],"---",0)</f>
        <v>---</v>
      </c>
      <c r="C197" t="str">
        <f>_xlfn.XLOOKUP($A197,表格1[No.],表格1[Location],"---",0)</f>
        <v>---</v>
      </c>
      <c r="D197" t="str">
        <f>_xlfn.XLOOKUP($A197,表格1[No.],表格1[Name],"---",0)</f>
        <v>---</v>
      </c>
      <c r="E197" t="str">
        <f>_xlfn.XLOOKUP($A197,表格1[No.],表格1[month],"---",0)</f>
        <v>---</v>
      </c>
      <c r="F197" s="12" t="str">
        <f>_xlfn.XLOOKUP($A197,表格1[No.],表格1[date],"---",0)</f>
        <v>---</v>
      </c>
      <c r="G197" t="str">
        <f>_xlfn.XLOOKUP($A197,表格1[No.],表格1[Model],"---",0)</f>
        <v>---</v>
      </c>
      <c r="H197" t="str">
        <f>_xlfn.XLOOKUP($A197,表格1[No.],表格1[QTY],"---",0)</f>
        <v>---</v>
      </c>
      <c r="I197" t="str">
        <f>_xlfn.XLOOKUP($A197,表格1[No.],表格1[Unit Price],"---",0)</f>
        <v>---</v>
      </c>
      <c r="J197" t="str">
        <f>_xlfn.XLOOKUP($A197,表格1[No.],表格1[inv no],"---",0)</f>
        <v>---</v>
      </c>
      <c r="K197" t="str">
        <f>_xlfn.XLOOKUP($A197,表格1[No.],表格1[apps report no.],"---",0)</f>
        <v>---</v>
      </c>
    </row>
    <row r="198" spans="2:11">
      <c r="B198" t="str">
        <f>_xlfn.XLOOKUP($A198,表格1[No.],表格1[Shop],"---",0)</f>
        <v>---</v>
      </c>
      <c r="C198" t="str">
        <f>_xlfn.XLOOKUP($A198,表格1[No.],表格1[Location],"---",0)</f>
        <v>---</v>
      </c>
      <c r="D198" t="str">
        <f>_xlfn.XLOOKUP($A198,表格1[No.],表格1[Name],"---",0)</f>
        <v>---</v>
      </c>
      <c r="E198" t="str">
        <f>_xlfn.XLOOKUP($A198,表格1[No.],表格1[month],"---",0)</f>
        <v>---</v>
      </c>
      <c r="F198" s="12" t="str">
        <f>_xlfn.XLOOKUP($A198,表格1[No.],表格1[date],"---",0)</f>
        <v>---</v>
      </c>
      <c r="G198" t="str">
        <f>_xlfn.XLOOKUP($A198,表格1[No.],表格1[Model],"---",0)</f>
        <v>---</v>
      </c>
      <c r="H198" t="str">
        <f>_xlfn.XLOOKUP($A198,表格1[No.],表格1[QTY],"---",0)</f>
        <v>---</v>
      </c>
      <c r="I198" t="str">
        <f>_xlfn.XLOOKUP($A198,表格1[No.],表格1[Unit Price],"---",0)</f>
        <v>---</v>
      </c>
      <c r="J198" t="str">
        <f>_xlfn.XLOOKUP($A198,表格1[No.],表格1[inv no],"---",0)</f>
        <v>---</v>
      </c>
      <c r="K198" t="str">
        <f>_xlfn.XLOOKUP($A198,表格1[No.],表格1[apps report no.],"---",0)</f>
        <v>---</v>
      </c>
    </row>
    <row r="199" spans="2:11">
      <c r="B199" t="str">
        <f>_xlfn.XLOOKUP($A199,表格1[No.],表格1[Shop],"---",0)</f>
        <v>---</v>
      </c>
      <c r="C199" t="str">
        <f>_xlfn.XLOOKUP($A199,表格1[No.],表格1[Location],"---",0)</f>
        <v>---</v>
      </c>
      <c r="D199" t="str">
        <f>_xlfn.XLOOKUP($A199,表格1[No.],表格1[Name],"---",0)</f>
        <v>---</v>
      </c>
      <c r="E199" t="str">
        <f>_xlfn.XLOOKUP($A199,表格1[No.],表格1[month],"---",0)</f>
        <v>---</v>
      </c>
      <c r="F199" s="12" t="str">
        <f>_xlfn.XLOOKUP($A199,表格1[No.],表格1[date],"---",0)</f>
        <v>---</v>
      </c>
      <c r="G199" t="str">
        <f>_xlfn.XLOOKUP($A199,表格1[No.],表格1[Model],"---",0)</f>
        <v>---</v>
      </c>
      <c r="H199" t="str">
        <f>_xlfn.XLOOKUP($A199,表格1[No.],表格1[QTY],"---",0)</f>
        <v>---</v>
      </c>
      <c r="I199" t="str">
        <f>_xlfn.XLOOKUP($A199,表格1[No.],表格1[Unit Price],"---",0)</f>
        <v>---</v>
      </c>
      <c r="J199" t="str">
        <f>_xlfn.XLOOKUP($A199,表格1[No.],表格1[inv no],"---",0)</f>
        <v>---</v>
      </c>
      <c r="K199" t="str">
        <f>_xlfn.XLOOKUP($A199,表格1[No.],表格1[apps report no.],"---",0)</f>
        <v>---</v>
      </c>
    </row>
    <row r="200" spans="2:11">
      <c r="B200" t="str">
        <f>_xlfn.XLOOKUP($A200,表格1[No.],表格1[Shop],"---",0)</f>
        <v>---</v>
      </c>
      <c r="C200" t="str">
        <f>_xlfn.XLOOKUP($A200,表格1[No.],表格1[Location],"---",0)</f>
        <v>---</v>
      </c>
      <c r="D200" t="str">
        <f>_xlfn.XLOOKUP($A200,表格1[No.],表格1[Name],"---",0)</f>
        <v>---</v>
      </c>
      <c r="E200" t="str">
        <f>_xlfn.XLOOKUP($A200,表格1[No.],表格1[month],"---",0)</f>
        <v>---</v>
      </c>
      <c r="F200" s="12" t="str">
        <f>_xlfn.XLOOKUP($A200,表格1[No.],表格1[date],"---",0)</f>
        <v>---</v>
      </c>
      <c r="G200" t="str">
        <f>_xlfn.XLOOKUP($A200,表格1[No.],表格1[Model],"---",0)</f>
        <v>---</v>
      </c>
      <c r="H200" t="str">
        <f>_xlfn.XLOOKUP($A200,表格1[No.],表格1[QTY],"---",0)</f>
        <v>---</v>
      </c>
      <c r="I200" t="str">
        <f>_xlfn.XLOOKUP($A200,表格1[No.],表格1[Unit Price],"---",0)</f>
        <v>---</v>
      </c>
      <c r="J200" t="str">
        <f>_xlfn.XLOOKUP($A200,表格1[No.],表格1[inv no],"---",0)</f>
        <v>---</v>
      </c>
      <c r="K200" t="str">
        <f>_xlfn.XLOOKUP($A200,表格1[No.],表格1[apps report no.],"---",0)</f>
        <v>---</v>
      </c>
    </row>
    <row r="201" spans="2:11">
      <c r="B201" t="str">
        <f>_xlfn.XLOOKUP($A201,表格1[No.],表格1[Shop],"---",0)</f>
        <v>---</v>
      </c>
      <c r="C201" t="str">
        <f>_xlfn.XLOOKUP($A201,表格1[No.],表格1[Location],"---",0)</f>
        <v>---</v>
      </c>
      <c r="D201" t="str">
        <f>_xlfn.XLOOKUP($A201,表格1[No.],表格1[Name],"---",0)</f>
        <v>---</v>
      </c>
      <c r="E201" t="str">
        <f>_xlfn.XLOOKUP($A201,表格1[No.],表格1[month],"---",0)</f>
        <v>---</v>
      </c>
      <c r="F201" s="12" t="str">
        <f>_xlfn.XLOOKUP($A201,表格1[No.],表格1[date],"---",0)</f>
        <v>---</v>
      </c>
      <c r="G201" t="str">
        <f>_xlfn.XLOOKUP($A201,表格1[No.],表格1[Model],"---",0)</f>
        <v>---</v>
      </c>
      <c r="H201" t="str">
        <f>_xlfn.XLOOKUP($A201,表格1[No.],表格1[QTY],"---",0)</f>
        <v>---</v>
      </c>
      <c r="I201" t="str">
        <f>_xlfn.XLOOKUP($A201,表格1[No.],表格1[Unit Price],"---",0)</f>
        <v>---</v>
      </c>
      <c r="J201" t="str">
        <f>_xlfn.XLOOKUP($A201,表格1[No.],表格1[inv no],"---",0)</f>
        <v>---</v>
      </c>
      <c r="K201" t="str">
        <f>_xlfn.XLOOKUP($A201,表格1[No.],表格1[apps report no.],"---",0)</f>
        <v>---</v>
      </c>
    </row>
    <row r="202" spans="2:11">
      <c r="B202" t="str">
        <f>_xlfn.XLOOKUP($A202,表格1[No.],表格1[Shop],"---",0)</f>
        <v>---</v>
      </c>
      <c r="C202" t="str">
        <f>_xlfn.XLOOKUP($A202,表格1[No.],表格1[Location],"---",0)</f>
        <v>---</v>
      </c>
      <c r="D202" t="str">
        <f>_xlfn.XLOOKUP($A202,表格1[No.],表格1[Name],"---",0)</f>
        <v>---</v>
      </c>
      <c r="E202" t="str">
        <f>_xlfn.XLOOKUP($A202,表格1[No.],表格1[month],"---",0)</f>
        <v>---</v>
      </c>
      <c r="F202" s="12" t="str">
        <f>_xlfn.XLOOKUP($A202,表格1[No.],表格1[date],"---",0)</f>
        <v>---</v>
      </c>
      <c r="G202" t="str">
        <f>_xlfn.XLOOKUP($A202,表格1[No.],表格1[Model],"---",0)</f>
        <v>---</v>
      </c>
      <c r="H202" t="str">
        <f>_xlfn.XLOOKUP($A202,表格1[No.],表格1[QTY],"---",0)</f>
        <v>---</v>
      </c>
      <c r="I202" t="str">
        <f>_xlfn.XLOOKUP($A202,表格1[No.],表格1[Unit Price],"---",0)</f>
        <v>---</v>
      </c>
      <c r="J202" t="str">
        <f>_xlfn.XLOOKUP($A202,表格1[No.],表格1[inv no],"---",0)</f>
        <v>---</v>
      </c>
      <c r="K202" t="str">
        <f>_xlfn.XLOOKUP($A202,表格1[No.],表格1[apps report no.],"---",0)</f>
        <v>---</v>
      </c>
    </row>
    <row r="203" spans="2:11">
      <c r="B203" t="str">
        <f>_xlfn.XLOOKUP($A203,表格1[No.],表格1[Shop],"---",0)</f>
        <v>---</v>
      </c>
      <c r="C203" t="str">
        <f>_xlfn.XLOOKUP($A203,表格1[No.],表格1[Location],"---",0)</f>
        <v>---</v>
      </c>
      <c r="D203" t="str">
        <f>_xlfn.XLOOKUP($A203,表格1[No.],表格1[Name],"---",0)</f>
        <v>---</v>
      </c>
      <c r="E203" t="str">
        <f>_xlfn.XLOOKUP($A203,表格1[No.],表格1[month],"---",0)</f>
        <v>---</v>
      </c>
      <c r="F203" s="12" t="str">
        <f>_xlfn.XLOOKUP($A203,表格1[No.],表格1[date],"---",0)</f>
        <v>---</v>
      </c>
      <c r="G203" t="str">
        <f>_xlfn.XLOOKUP($A203,表格1[No.],表格1[Model],"---",0)</f>
        <v>---</v>
      </c>
      <c r="H203" t="str">
        <f>_xlfn.XLOOKUP($A203,表格1[No.],表格1[QTY],"---",0)</f>
        <v>---</v>
      </c>
      <c r="I203" t="str">
        <f>_xlfn.XLOOKUP($A203,表格1[No.],表格1[Unit Price],"---",0)</f>
        <v>---</v>
      </c>
      <c r="J203" t="str">
        <f>_xlfn.XLOOKUP($A203,表格1[No.],表格1[inv no],"---",0)</f>
        <v>---</v>
      </c>
      <c r="K203" t="str">
        <f>_xlfn.XLOOKUP($A203,表格1[No.],表格1[apps report no.],"---",0)</f>
        <v>---</v>
      </c>
    </row>
    <row r="204" spans="2:11">
      <c r="B204" t="str">
        <f>_xlfn.XLOOKUP($A204,表格1[No.],表格1[Shop],"---",0)</f>
        <v>---</v>
      </c>
      <c r="C204" t="str">
        <f>_xlfn.XLOOKUP($A204,表格1[No.],表格1[Location],"---",0)</f>
        <v>---</v>
      </c>
      <c r="D204" t="str">
        <f>_xlfn.XLOOKUP($A204,表格1[No.],表格1[Name],"---",0)</f>
        <v>---</v>
      </c>
      <c r="E204" t="str">
        <f>_xlfn.XLOOKUP($A204,表格1[No.],表格1[month],"---",0)</f>
        <v>---</v>
      </c>
      <c r="F204" s="12" t="str">
        <f>_xlfn.XLOOKUP($A204,表格1[No.],表格1[date],"---",0)</f>
        <v>---</v>
      </c>
      <c r="G204" t="str">
        <f>_xlfn.XLOOKUP($A204,表格1[No.],表格1[Model],"---",0)</f>
        <v>---</v>
      </c>
      <c r="H204" t="str">
        <f>_xlfn.XLOOKUP($A204,表格1[No.],表格1[QTY],"---",0)</f>
        <v>---</v>
      </c>
      <c r="I204" t="str">
        <f>_xlfn.XLOOKUP($A204,表格1[No.],表格1[Unit Price],"---",0)</f>
        <v>---</v>
      </c>
      <c r="J204" t="str">
        <f>_xlfn.XLOOKUP($A204,表格1[No.],表格1[inv no],"---",0)</f>
        <v>---</v>
      </c>
      <c r="K204" t="str">
        <f>_xlfn.XLOOKUP($A204,表格1[No.],表格1[apps report no.],"---",0)</f>
        <v>---</v>
      </c>
    </row>
    <row r="205" spans="2:11">
      <c r="B205" t="str">
        <f>_xlfn.XLOOKUP($A205,表格1[No.],表格1[Shop],"---",0)</f>
        <v>---</v>
      </c>
      <c r="C205" t="str">
        <f>_xlfn.XLOOKUP($A205,表格1[No.],表格1[Location],"---",0)</f>
        <v>---</v>
      </c>
      <c r="D205" t="str">
        <f>_xlfn.XLOOKUP($A205,表格1[No.],表格1[Name],"---",0)</f>
        <v>---</v>
      </c>
      <c r="E205" t="str">
        <f>_xlfn.XLOOKUP($A205,表格1[No.],表格1[month],"---",0)</f>
        <v>---</v>
      </c>
      <c r="F205" s="12" t="str">
        <f>_xlfn.XLOOKUP($A205,表格1[No.],表格1[date],"---",0)</f>
        <v>---</v>
      </c>
      <c r="G205" t="str">
        <f>_xlfn.XLOOKUP($A205,表格1[No.],表格1[Model],"---",0)</f>
        <v>---</v>
      </c>
      <c r="H205" t="str">
        <f>_xlfn.XLOOKUP($A205,表格1[No.],表格1[QTY],"---",0)</f>
        <v>---</v>
      </c>
      <c r="I205" t="str">
        <f>_xlfn.XLOOKUP($A205,表格1[No.],表格1[Unit Price],"---",0)</f>
        <v>---</v>
      </c>
      <c r="J205" t="str">
        <f>_xlfn.XLOOKUP($A205,表格1[No.],表格1[inv no],"---",0)</f>
        <v>---</v>
      </c>
      <c r="K205" t="str">
        <f>_xlfn.XLOOKUP($A205,表格1[No.],表格1[apps report no.],"---",0)</f>
        <v>---</v>
      </c>
    </row>
    <row r="206" spans="2:11">
      <c r="B206" t="str">
        <f>_xlfn.XLOOKUP($A206,表格1[No.],表格1[Shop],"---",0)</f>
        <v>---</v>
      </c>
      <c r="C206" t="str">
        <f>_xlfn.XLOOKUP($A206,表格1[No.],表格1[Location],"---",0)</f>
        <v>---</v>
      </c>
      <c r="D206" t="str">
        <f>_xlfn.XLOOKUP($A206,表格1[No.],表格1[Name],"---",0)</f>
        <v>---</v>
      </c>
      <c r="E206" t="str">
        <f>_xlfn.XLOOKUP($A206,表格1[No.],表格1[month],"---",0)</f>
        <v>---</v>
      </c>
      <c r="F206" s="12" t="str">
        <f>_xlfn.XLOOKUP($A206,表格1[No.],表格1[date],"---",0)</f>
        <v>---</v>
      </c>
      <c r="G206" t="str">
        <f>_xlfn.XLOOKUP($A206,表格1[No.],表格1[Model],"---",0)</f>
        <v>---</v>
      </c>
      <c r="H206" t="str">
        <f>_xlfn.XLOOKUP($A206,表格1[No.],表格1[QTY],"---",0)</f>
        <v>---</v>
      </c>
      <c r="I206" t="str">
        <f>_xlfn.XLOOKUP($A206,表格1[No.],表格1[Unit Price],"---",0)</f>
        <v>---</v>
      </c>
      <c r="J206" t="str">
        <f>_xlfn.XLOOKUP($A206,表格1[No.],表格1[inv no],"---",0)</f>
        <v>---</v>
      </c>
      <c r="K206" t="str">
        <f>_xlfn.XLOOKUP($A206,表格1[No.],表格1[apps report no.],"---",0)</f>
        <v>---</v>
      </c>
    </row>
    <row r="207" spans="2:11">
      <c r="B207" t="str">
        <f>_xlfn.XLOOKUP($A207,表格1[No.],表格1[Shop],"---",0)</f>
        <v>---</v>
      </c>
      <c r="C207" t="str">
        <f>_xlfn.XLOOKUP($A207,表格1[No.],表格1[Location],"---",0)</f>
        <v>---</v>
      </c>
      <c r="D207" t="str">
        <f>_xlfn.XLOOKUP($A207,表格1[No.],表格1[Name],"---",0)</f>
        <v>---</v>
      </c>
      <c r="E207" t="str">
        <f>_xlfn.XLOOKUP($A207,表格1[No.],表格1[month],"---",0)</f>
        <v>---</v>
      </c>
      <c r="F207" s="12" t="str">
        <f>_xlfn.XLOOKUP($A207,表格1[No.],表格1[date],"---",0)</f>
        <v>---</v>
      </c>
      <c r="G207" t="str">
        <f>_xlfn.XLOOKUP($A207,表格1[No.],表格1[Model],"---",0)</f>
        <v>---</v>
      </c>
      <c r="H207" t="str">
        <f>_xlfn.XLOOKUP($A207,表格1[No.],表格1[QTY],"---",0)</f>
        <v>---</v>
      </c>
      <c r="I207" t="str">
        <f>_xlfn.XLOOKUP($A207,表格1[No.],表格1[Unit Price],"---",0)</f>
        <v>---</v>
      </c>
      <c r="J207" t="str">
        <f>_xlfn.XLOOKUP($A207,表格1[No.],表格1[inv no],"---",0)</f>
        <v>---</v>
      </c>
      <c r="K207" t="str">
        <f>_xlfn.XLOOKUP($A207,表格1[No.],表格1[apps report no.],"---",0)</f>
        <v>---</v>
      </c>
    </row>
    <row r="208" spans="2:11">
      <c r="B208" t="str">
        <f>_xlfn.XLOOKUP($A208,表格1[No.],表格1[Shop],"---",0)</f>
        <v>---</v>
      </c>
      <c r="C208" t="str">
        <f>_xlfn.XLOOKUP($A208,表格1[No.],表格1[Location],"---",0)</f>
        <v>---</v>
      </c>
      <c r="D208" t="str">
        <f>_xlfn.XLOOKUP($A208,表格1[No.],表格1[Name],"---",0)</f>
        <v>---</v>
      </c>
      <c r="E208" t="str">
        <f>_xlfn.XLOOKUP($A208,表格1[No.],表格1[month],"---",0)</f>
        <v>---</v>
      </c>
      <c r="F208" s="12" t="str">
        <f>_xlfn.XLOOKUP($A208,表格1[No.],表格1[date],"---",0)</f>
        <v>---</v>
      </c>
      <c r="G208" t="str">
        <f>_xlfn.XLOOKUP($A208,表格1[No.],表格1[Model],"---",0)</f>
        <v>---</v>
      </c>
      <c r="H208" t="str">
        <f>_xlfn.XLOOKUP($A208,表格1[No.],表格1[QTY],"---",0)</f>
        <v>---</v>
      </c>
      <c r="I208" t="str">
        <f>_xlfn.XLOOKUP($A208,表格1[No.],表格1[Unit Price],"---",0)</f>
        <v>---</v>
      </c>
      <c r="J208" t="str">
        <f>_xlfn.XLOOKUP($A208,表格1[No.],表格1[inv no],"---",0)</f>
        <v>---</v>
      </c>
      <c r="K208" t="str">
        <f>_xlfn.XLOOKUP($A208,表格1[No.],表格1[apps report no.],"---",0)</f>
        <v>---</v>
      </c>
    </row>
    <row r="209" spans="2:11">
      <c r="B209" t="str">
        <f>_xlfn.XLOOKUP($A209,表格1[No.],表格1[Shop],"---",0)</f>
        <v>---</v>
      </c>
      <c r="C209" t="str">
        <f>_xlfn.XLOOKUP($A209,表格1[No.],表格1[Location],"---",0)</f>
        <v>---</v>
      </c>
      <c r="D209" t="str">
        <f>_xlfn.XLOOKUP($A209,表格1[No.],表格1[Name],"---",0)</f>
        <v>---</v>
      </c>
      <c r="E209" t="str">
        <f>_xlfn.XLOOKUP($A209,表格1[No.],表格1[month],"---",0)</f>
        <v>---</v>
      </c>
      <c r="F209" s="12" t="str">
        <f>_xlfn.XLOOKUP($A209,表格1[No.],表格1[date],"---",0)</f>
        <v>---</v>
      </c>
      <c r="G209" t="str">
        <f>_xlfn.XLOOKUP($A209,表格1[No.],表格1[Model],"---",0)</f>
        <v>---</v>
      </c>
      <c r="H209" t="str">
        <f>_xlfn.XLOOKUP($A209,表格1[No.],表格1[QTY],"---",0)</f>
        <v>---</v>
      </c>
      <c r="I209" t="str">
        <f>_xlfn.XLOOKUP($A209,表格1[No.],表格1[Unit Price],"---",0)</f>
        <v>---</v>
      </c>
      <c r="J209" t="str">
        <f>_xlfn.XLOOKUP($A209,表格1[No.],表格1[inv no],"---",0)</f>
        <v>---</v>
      </c>
      <c r="K209" t="str">
        <f>_xlfn.XLOOKUP($A209,表格1[No.],表格1[apps report no.],"---",0)</f>
        <v>---</v>
      </c>
    </row>
    <row r="210" spans="2:11">
      <c r="B210" t="str">
        <f>_xlfn.XLOOKUP($A210,表格1[No.],表格1[Shop],"---",0)</f>
        <v>---</v>
      </c>
      <c r="C210" t="str">
        <f>_xlfn.XLOOKUP($A210,表格1[No.],表格1[Location],"---",0)</f>
        <v>---</v>
      </c>
      <c r="D210" t="str">
        <f>_xlfn.XLOOKUP($A210,表格1[No.],表格1[Name],"---",0)</f>
        <v>---</v>
      </c>
      <c r="E210" t="str">
        <f>_xlfn.XLOOKUP($A210,表格1[No.],表格1[month],"---",0)</f>
        <v>---</v>
      </c>
      <c r="F210" s="12" t="str">
        <f>_xlfn.XLOOKUP($A210,表格1[No.],表格1[date],"---",0)</f>
        <v>---</v>
      </c>
      <c r="G210" t="str">
        <f>_xlfn.XLOOKUP($A210,表格1[No.],表格1[Model],"---",0)</f>
        <v>---</v>
      </c>
      <c r="H210" t="str">
        <f>_xlfn.XLOOKUP($A210,表格1[No.],表格1[QTY],"---",0)</f>
        <v>---</v>
      </c>
      <c r="I210" t="str">
        <f>_xlfn.XLOOKUP($A210,表格1[No.],表格1[Unit Price],"---",0)</f>
        <v>---</v>
      </c>
      <c r="J210" t="str">
        <f>_xlfn.XLOOKUP($A210,表格1[No.],表格1[inv no],"---",0)</f>
        <v>---</v>
      </c>
      <c r="K210" t="str">
        <f>_xlfn.XLOOKUP($A210,表格1[No.],表格1[apps report no.],"---",0)</f>
        <v>---</v>
      </c>
    </row>
    <row r="211" spans="2:11">
      <c r="B211" t="str">
        <f>_xlfn.XLOOKUP($A211,表格1[No.],表格1[Shop],"---",0)</f>
        <v>---</v>
      </c>
      <c r="C211" t="str">
        <f>_xlfn.XLOOKUP($A211,表格1[No.],表格1[Location],"---",0)</f>
        <v>---</v>
      </c>
      <c r="D211" t="str">
        <f>_xlfn.XLOOKUP($A211,表格1[No.],表格1[Name],"---",0)</f>
        <v>---</v>
      </c>
      <c r="E211" t="str">
        <f>_xlfn.XLOOKUP($A211,表格1[No.],表格1[month],"---",0)</f>
        <v>---</v>
      </c>
      <c r="F211" s="12" t="str">
        <f>_xlfn.XLOOKUP($A211,表格1[No.],表格1[date],"---",0)</f>
        <v>---</v>
      </c>
      <c r="G211" t="str">
        <f>_xlfn.XLOOKUP($A211,表格1[No.],表格1[Model],"---",0)</f>
        <v>---</v>
      </c>
      <c r="H211" t="str">
        <f>_xlfn.XLOOKUP($A211,表格1[No.],表格1[QTY],"---",0)</f>
        <v>---</v>
      </c>
      <c r="I211" t="str">
        <f>_xlfn.XLOOKUP($A211,表格1[No.],表格1[Unit Price],"---",0)</f>
        <v>---</v>
      </c>
      <c r="J211" t="str">
        <f>_xlfn.XLOOKUP($A211,表格1[No.],表格1[inv no],"---",0)</f>
        <v>---</v>
      </c>
      <c r="K211" t="str">
        <f>_xlfn.XLOOKUP($A211,表格1[No.],表格1[apps report no.],"---",0)</f>
        <v>---</v>
      </c>
    </row>
    <row r="212" spans="2:11">
      <c r="B212" t="str">
        <f>_xlfn.XLOOKUP($A212,表格1[No.],表格1[Shop],"---",0)</f>
        <v>---</v>
      </c>
      <c r="C212" t="str">
        <f>_xlfn.XLOOKUP($A212,表格1[No.],表格1[Location],"---",0)</f>
        <v>---</v>
      </c>
      <c r="D212" t="str">
        <f>_xlfn.XLOOKUP($A212,表格1[No.],表格1[Name],"---",0)</f>
        <v>---</v>
      </c>
      <c r="E212" t="str">
        <f>_xlfn.XLOOKUP($A212,表格1[No.],表格1[month],"---",0)</f>
        <v>---</v>
      </c>
      <c r="F212" s="12" t="str">
        <f>_xlfn.XLOOKUP($A212,表格1[No.],表格1[date],"---",0)</f>
        <v>---</v>
      </c>
      <c r="G212" t="str">
        <f>_xlfn.XLOOKUP($A212,表格1[No.],表格1[Model],"---",0)</f>
        <v>---</v>
      </c>
      <c r="H212" t="str">
        <f>_xlfn.XLOOKUP($A212,表格1[No.],表格1[QTY],"---",0)</f>
        <v>---</v>
      </c>
      <c r="I212" t="str">
        <f>_xlfn.XLOOKUP($A212,表格1[No.],表格1[Unit Price],"---",0)</f>
        <v>---</v>
      </c>
      <c r="J212" t="str">
        <f>_xlfn.XLOOKUP($A212,表格1[No.],表格1[inv no],"---",0)</f>
        <v>---</v>
      </c>
      <c r="K212" t="str">
        <f>_xlfn.XLOOKUP($A212,表格1[No.],表格1[apps report no.],"---",0)</f>
        <v>---</v>
      </c>
    </row>
    <row r="213" spans="2:11">
      <c r="B213" t="str">
        <f>_xlfn.XLOOKUP($A213,表格1[No.],表格1[Shop],"---",0)</f>
        <v>---</v>
      </c>
      <c r="C213" t="str">
        <f>_xlfn.XLOOKUP($A213,表格1[No.],表格1[Location],"---",0)</f>
        <v>---</v>
      </c>
      <c r="D213" t="str">
        <f>_xlfn.XLOOKUP($A213,表格1[No.],表格1[Name],"---",0)</f>
        <v>---</v>
      </c>
      <c r="E213" t="str">
        <f>_xlfn.XLOOKUP($A213,表格1[No.],表格1[month],"---",0)</f>
        <v>---</v>
      </c>
      <c r="F213" s="12" t="str">
        <f>_xlfn.XLOOKUP($A213,表格1[No.],表格1[date],"---",0)</f>
        <v>---</v>
      </c>
      <c r="G213" t="str">
        <f>_xlfn.XLOOKUP($A213,表格1[No.],表格1[Model],"---",0)</f>
        <v>---</v>
      </c>
      <c r="H213" t="str">
        <f>_xlfn.XLOOKUP($A213,表格1[No.],表格1[QTY],"---",0)</f>
        <v>---</v>
      </c>
      <c r="I213" t="str">
        <f>_xlfn.XLOOKUP($A213,表格1[No.],表格1[Unit Price],"---",0)</f>
        <v>---</v>
      </c>
      <c r="J213" t="str">
        <f>_xlfn.XLOOKUP($A213,表格1[No.],表格1[inv no],"---",0)</f>
        <v>---</v>
      </c>
      <c r="K213" t="str">
        <f>_xlfn.XLOOKUP($A213,表格1[No.],表格1[apps report no.],"---",0)</f>
        <v>---</v>
      </c>
    </row>
    <row r="214" spans="2:11">
      <c r="B214" t="str">
        <f>_xlfn.XLOOKUP($A214,表格1[No.],表格1[Shop],"---",0)</f>
        <v>---</v>
      </c>
      <c r="C214" t="str">
        <f>_xlfn.XLOOKUP($A214,表格1[No.],表格1[Location],"---",0)</f>
        <v>---</v>
      </c>
      <c r="D214" t="str">
        <f>_xlfn.XLOOKUP($A214,表格1[No.],表格1[Name],"---",0)</f>
        <v>---</v>
      </c>
      <c r="E214" t="str">
        <f>_xlfn.XLOOKUP($A214,表格1[No.],表格1[month],"---",0)</f>
        <v>---</v>
      </c>
      <c r="F214" s="12" t="str">
        <f>_xlfn.XLOOKUP($A214,表格1[No.],表格1[date],"---",0)</f>
        <v>---</v>
      </c>
      <c r="G214" t="str">
        <f>_xlfn.XLOOKUP($A214,表格1[No.],表格1[Model],"---",0)</f>
        <v>---</v>
      </c>
      <c r="H214" t="str">
        <f>_xlfn.XLOOKUP($A214,表格1[No.],表格1[QTY],"---",0)</f>
        <v>---</v>
      </c>
      <c r="I214" t="str">
        <f>_xlfn.XLOOKUP($A214,表格1[No.],表格1[Unit Price],"---",0)</f>
        <v>---</v>
      </c>
      <c r="J214" t="str">
        <f>_xlfn.XLOOKUP($A214,表格1[No.],表格1[inv no],"---",0)</f>
        <v>---</v>
      </c>
      <c r="K214" t="str">
        <f>_xlfn.XLOOKUP($A214,表格1[No.],表格1[apps report no.],"---",0)</f>
        <v>---</v>
      </c>
    </row>
    <row r="215" spans="2:11">
      <c r="B215" t="str">
        <f>_xlfn.XLOOKUP($A215,表格1[No.],表格1[Shop],"---",0)</f>
        <v>---</v>
      </c>
      <c r="C215" t="str">
        <f>_xlfn.XLOOKUP($A215,表格1[No.],表格1[Location],"---",0)</f>
        <v>---</v>
      </c>
      <c r="D215" t="str">
        <f>_xlfn.XLOOKUP($A215,表格1[No.],表格1[Name],"---",0)</f>
        <v>---</v>
      </c>
      <c r="E215" t="str">
        <f>_xlfn.XLOOKUP($A215,表格1[No.],表格1[month],"---",0)</f>
        <v>---</v>
      </c>
      <c r="F215" s="12" t="str">
        <f>_xlfn.XLOOKUP($A215,表格1[No.],表格1[date],"---",0)</f>
        <v>---</v>
      </c>
      <c r="G215" t="str">
        <f>_xlfn.XLOOKUP($A215,表格1[No.],表格1[Model],"---",0)</f>
        <v>---</v>
      </c>
      <c r="H215" t="str">
        <f>_xlfn.XLOOKUP($A215,表格1[No.],表格1[QTY],"---",0)</f>
        <v>---</v>
      </c>
      <c r="I215" t="str">
        <f>_xlfn.XLOOKUP($A215,表格1[No.],表格1[Unit Price],"---",0)</f>
        <v>---</v>
      </c>
      <c r="J215" t="str">
        <f>_xlfn.XLOOKUP($A215,表格1[No.],表格1[inv no],"---",0)</f>
        <v>---</v>
      </c>
      <c r="K215" t="str">
        <f>_xlfn.XLOOKUP($A215,表格1[No.],表格1[apps report no.],"---",0)</f>
        <v>---</v>
      </c>
    </row>
    <row r="216" spans="2:11">
      <c r="B216" t="str">
        <f>_xlfn.XLOOKUP($A216,表格1[No.],表格1[Shop],"---",0)</f>
        <v>---</v>
      </c>
      <c r="C216" t="str">
        <f>_xlfn.XLOOKUP($A216,表格1[No.],表格1[Location],"---",0)</f>
        <v>---</v>
      </c>
      <c r="D216" t="str">
        <f>_xlfn.XLOOKUP($A216,表格1[No.],表格1[Name],"---",0)</f>
        <v>---</v>
      </c>
      <c r="E216" t="str">
        <f>_xlfn.XLOOKUP($A216,表格1[No.],表格1[month],"---",0)</f>
        <v>---</v>
      </c>
      <c r="F216" s="12" t="str">
        <f>_xlfn.XLOOKUP($A216,表格1[No.],表格1[date],"---",0)</f>
        <v>---</v>
      </c>
      <c r="G216" t="str">
        <f>_xlfn.XLOOKUP($A216,表格1[No.],表格1[Model],"---",0)</f>
        <v>---</v>
      </c>
      <c r="H216" t="str">
        <f>_xlfn.XLOOKUP($A216,表格1[No.],表格1[QTY],"---",0)</f>
        <v>---</v>
      </c>
      <c r="I216" t="str">
        <f>_xlfn.XLOOKUP($A216,表格1[No.],表格1[Unit Price],"---",0)</f>
        <v>---</v>
      </c>
      <c r="J216" t="str">
        <f>_xlfn.XLOOKUP($A216,表格1[No.],表格1[inv no],"---",0)</f>
        <v>---</v>
      </c>
      <c r="K216" t="str">
        <f>_xlfn.XLOOKUP($A216,表格1[No.],表格1[apps report no.],"---",0)</f>
        <v>---</v>
      </c>
    </row>
    <row r="217" spans="2:11">
      <c r="B217" t="str">
        <f>_xlfn.XLOOKUP($A217,表格1[No.],表格1[Shop],"---",0)</f>
        <v>---</v>
      </c>
      <c r="C217" t="str">
        <f>_xlfn.XLOOKUP($A217,表格1[No.],表格1[Location],"---",0)</f>
        <v>---</v>
      </c>
      <c r="D217" t="str">
        <f>_xlfn.XLOOKUP($A217,表格1[No.],表格1[Name],"---",0)</f>
        <v>---</v>
      </c>
      <c r="E217" t="str">
        <f>_xlfn.XLOOKUP($A217,表格1[No.],表格1[month],"---",0)</f>
        <v>---</v>
      </c>
      <c r="F217" s="12" t="str">
        <f>_xlfn.XLOOKUP($A217,表格1[No.],表格1[date],"---",0)</f>
        <v>---</v>
      </c>
      <c r="G217" t="str">
        <f>_xlfn.XLOOKUP($A217,表格1[No.],表格1[Model],"---",0)</f>
        <v>---</v>
      </c>
      <c r="H217" t="str">
        <f>_xlfn.XLOOKUP($A217,表格1[No.],表格1[QTY],"---",0)</f>
        <v>---</v>
      </c>
      <c r="I217" t="str">
        <f>_xlfn.XLOOKUP($A217,表格1[No.],表格1[Unit Price],"---",0)</f>
        <v>---</v>
      </c>
      <c r="J217" t="str">
        <f>_xlfn.XLOOKUP($A217,表格1[No.],表格1[inv no],"---",0)</f>
        <v>---</v>
      </c>
      <c r="K217" t="str">
        <f>_xlfn.XLOOKUP($A217,表格1[No.],表格1[apps report no.],"---",0)</f>
        <v>---</v>
      </c>
    </row>
    <row r="218" spans="2:11">
      <c r="B218" t="str">
        <f>_xlfn.XLOOKUP($A218,表格1[No.],表格1[Shop],"---",0)</f>
        <v>---</v>
      </c>
      <c r="C218" t="str">
        <f>_xlfn.XLOOKUP($A218,表格1[No.],表格1[Location],"---",0)</f>
        <v>---</v>
      </c>
      <c r="D218" t="str">
        <f>_xlfn.XLOOKUP($A218,表格1[No.],表格1[Name],"---",0)</f>
        <v>---</v>
      </c>
      <c r="E218" t="str">
        <f>_xlfn.XLOOKUP($A218,表格1[No.],表格1[month],"---",0)</f>
        <v>---</v>
      </c>
      <c r="F218" s="12" t="str">
        <f>_xlfn.XLOOKUP($A218,表格1[No.],表格1[date],"---",0)</f>
        <v>---</v>
      </c>
      <c r="G218" t="str">
        <f>_xlfn.XLOOKUP($A218,表格1[No.],表格1[Model],"---",0)</f>
        <v>---</v>
      </c>
      <c r="H218" t="str">
        <f>_xlfn.XLOOKUP($A218,表格1[No.],表格1[QTY],"---",0)</f>
        <v>---</v>
      </c>
      <c r="I218" t="str">
        <f>_xlfn.XLOOKUP($A218,表格1[No.],表格1[Unit Price],"---",0)</f>
        <v>---</v>
      </c>
      <c r="J218" t="str">
        <f>_xlfn.XLOOKUP($A218,表格1[No.],表格1[inv no],"---",0)</f>
        <v>---</v>
      </c>
      <c r="K218" t="str">
        <f>_xlfn.XLOOKUP($A218,表格1[No.],表格1[apps report no.],"---",0)</f>
        <v>---</v>
      </c>
    </row>
    <row r="219" spans="2:11">
      <c r="B219" t="str">
        <f>_xlfn.XLOOKUP($A219,表格1[No.],表格1[Shop],"---",0)</f>
        <v>---</v>
      </c>
      <c r="C219" t="str">
        <f>_xlfn.XLOOKUP($A219,表格1[No.],表格1[Location],"---",0)</f>
        <v>---</v>
      </c>
      <c r="D219" t="str">
        <f>_xlfn.XLOOKUP($A219,表格1[No.],表格1[Name],"---",0)</f>
        <v>---</v>
      </c>
      <c r="E219" t="str">
        <f>_xlfn.XLOOKUP($A219,表格1[No.],表格1[month],"---",0)</f>
        <v>---</v>
      </c>
      <c r="F219" s="12" t="str">
        <f>_xlfn.XLOOKUP($A219,表格1[No.],表格1[date],"---",0)</f>
        <v>---</v>
      </c>
      <c r="G219" t="str">
        <f>_xlfn.XLOOKUP($A219,表格1[No.],表格1[Model],"---",0)</f>
        <v>---</v>
      </c>
      <c r="H219" t="str">
        <f>_xlfn.XLOOKUP($A219,表格1[No.],表格1[QTY],"---",0)</f>
        <v>---</v>
      </c>
      <c r="I219" t="str">
        <f>_xlfn.XLOOKUP($A219,表格1[No.],表格1[Unit Price],"---",0)</f>
        <v>---</v>
      </c>
      <c r="J219" t="str">
        <f>_xlfn.XLOOKUP($A219,表格1[No.],表格1[inv no],"---",0)</f>
        <v>---</v>
      </c>
      <c r="K219" t="str">
        <f>_xlfn.XLOOKUP($A219,表格1[No.],表格1[apps report no.],"---",0)</f>
        <v>---</v>
      </c>
    </row>
    <row r="220" spans="2:11">
      <c r="B220" t="str">
        <f>_xlfn.XLOOKUP($A220,表格1[No.],表格1[Shop],"---",0)</f>
        <v>---</v>
      </c>
      <c r="C220" t="str">
        <f>_xlfn.XLOOKUP($A220,表格1[No.],表格1[Location],"---",0)</f>
        <v>---</v>
      </c>
      <c r="D220" t="str">
        <f>_xlfn.XLOOKUP($A220,表格1[No.],表格1[Name],"---",0)</f>
        <v>---</v>
      </c>
      <c r="E220" t="str">
        <f>_xlfn.XLOOKUP($A220,表格1[No.],表格1[month],"---",0)</f>
        <v>---</v>
      </c>
      <c r="F220" s="12" t="str">
        <f>_xlfn.XLOOKUP($A220,表格1[No.],表格1[date],"---",0)</f>
        <v>---</v>
      </c>
      <c r="G220" t="str">
        <f>_xlfn.XLOOKUP($A220,表格1[No.],表格1[Model],"---",0)</f>
        <v>---</v>
      </c>
      <c r="H220" t="str">
        <f>_xlfn.XLOOKUP($A220,表格1[No.],表格1[QTY],"---",0)</f>
        <v>---</v>
      </c>
      <c r="I220" t="str">
        <f>_xlfn.XLOOKUP($A220,表格1[No.],表格1[Unit Price],"---",0)</f>
        <v>---</v>
      </c>
      <c r="J220" t="str">
        <f>_xlfn.XLOOKUP($A220,表格1[No.],表格1[inv no],"---",0)</f>
        <v>---</v>
      </c>
      <c r="K220" t="str">
        <f>_xlfn.XLOOKUP($A220,表格1[No.],表格1[apps report no.],"---",0)</f>
        <v>---</v>
      </c>
    </row>
    <row r="221" spans="2:11">
      <c r="B221" t="str">
        <f>_xlfn.XLOOKUP($A221,表格1[No.],表格1[Shop],"---",0)</f>
        <v>---</v>
      </c>
      <c r="C221" t="str">
        <f>_xlfn.XLOOKUP($A221,表格1[No.],表格1[Location],"---",0)</f>
        <v>---</v>
      </c>
      <c r="D221" t="str">
        <f>_xlfn.XLOOKUP($A221,表格1[No.],表格1[Name],"---",0)</f>
        <v>---</v>
      </c>
      <c r="E221" t="str">
        <f>_xlfn.XLOOKUP($A221,表格1[No.],表格1[month],"---",0)</f>
        <v>---</v>
      </c>
      <c r="F221" s="12" t="str">
        <f>_xlfn.XLOOKUP($A221,表格1[No.],表格1[date],"---",0)</f>
        <v>---</v>
      </c>
      <c r="G221" t="str">
        <f>_xlfn.XLOOKUP($A221,表格1[No.],表格1[Model],"---",0)</f>
        <v>---</v>
      </c>
      <c r="H221" t="str">
        <f>_xlfn.XLOOKUP($A221,表格1[No.],表格1[QTY],"---",0)</f>
        <v>---</v>
      </c>
      <c r="I221" t="str">
        <f>_xlfn.XLOOKUP($A221,表格1[No.],表格1[Unit Price],"---",0)</f>
        <v>---</v>
      </c>
      <c r="J221" t="str">
        <f>_xlfn.XLOOKUP($A221,表格1[No.],表格1[inv no],"---",0)</f>
        <v>---</v>
      </c>
      <c r="K221" t="str">
        <f>_xlfn.XLOOKUP($A221,表格1[No.],表格1[apps report no.],"---",0)</f>
        <v>---</v>
      </c>
    </row>
    <row r="222" spans="2:11">
      <c r="B222" t="str">
        <f>_xlfn.XLOOKUP($A222,表格1[No.],表格1[Shop],"---",0)</f>
        <v>---</v>
      </c>
      <c r="C222" t="str">
        <f>_xlfn.XLOOKUP($A222,表格1[No.],表格1[Location],"---",0)</f>
        <v>---</v>
      </c>
      <c r="D222" t="str">
        <f>_xlfn.XLOOKUP($A222,表格1[No.],表格1[Name],"---",0)</f>
        <v>---</v>
      </c>
      <c r="E222" t="str">
        <f>_xlfn.XLOOKUP($A222,表格1[No.],表格1[month],"---",0)</f>
        <v>---</v>
      </c>
      <c r="F222" s="12" t="str">
        <f>_xlfn.XLOOKUP($A222,表格1[No.],表格1[date],"---",0)</f>
        <v>---</v>
      </c>
      <c r="G222" t="str">
        <f>_xlfn.XLOOKUP($A222,表格1[No.],表格1[Model],"---",0)</f>
        <v>---</v>
      </c>
      <c r="H222" t="str">
        <f>_xlfn.XLOOKUP($A222,表格1[No.],表格1[QTY],"---",0)</f>
        <v>---</v>
      </c>
      <c r="I222" t="str">
        <f>_xlfn.XLOOKUP($A222,表格1[No.],表格1[Unit Price],"---",0)</f>
        <v>---</v>
      </c>
      <c r="J222" t="str">
        <f>_xlfn.XLOOKUP($A222,表格1[No.],表格1[inv no],"---",0)</f>
        <v>---</v>
      </c>
      <c r="K222" t="str">
        <f>_xlfn.XLOOKUP($A222,表格1[No.],表格1[apps report no.],"---",0)</f>
        <v>---</v>
      </c>
    </row>
    <row r="223" spans="2:11">
      <c r="B223" t="str">
        <f>_xlfn.XLOOKUP($A223,表格1[No.],表格1[Shop],"---",0)</f>
        <v>---</v>
      </c>
      <c r="C223" t="str">
        <f>_xlfn.XLOOKUP($A223,表格1[No.],表格1[Location],"---",0)</f>
        <v>---</v>
      </c>
      <c r="D223" t="str">
        <f>_xlfn.XLOOKUP($A223,表格1[No.],表格1[Name],"---",0)</f>
        <v>---</v>
      </c>
      <c r="E223" t="str">
        <f>_xlfn.XLOOKUP($A223,表格1[No.],表格1[month],"---",0)</f>
        <v>---</v>
      </c>
      <c r="F223" s="12" t="str">
        <f>_xlfn.XLOOKUP($A223,表格1[No.],表格1[date],"---",0)</f>
        <v>---</v>
      </c>
      <c r="G223" t="str">
        <f>_xlfn.XLOOKUP($A223,表格1[No.],表格1[Model],"---",0)</f>
        <v>---</v>
      </c>
      <c r="H223" t="str">
        <f>_xlfn.XLOOKUP($A223,表格1[No.],表格1[QTY],"---",0)</f>
        <v>---</v>
      </c>
      <c r="I223" t="str">
        <f>_xlfn.XLOOKUP($A223,表格1[No.],表格1[Unit Price],"---",0)</f>
        <v>---</v>
      </c>
      <c r="J223" t="str">
        <f>_xlfn.XLOOKUP($A223,表格1[No.],表格1[inv no],"---",0)</f>
        <v>---</v>
      </c>
      <c r="K223" t="str">
        <f>_xlfn.XLOOKUP($A223,表格1[No.],表格1[apps report no.],"---",0)</f>
        <v>---</v>
      </c>
    </row>
    <row r="224" spans="2:11">
      <c r="B224" t="str">
        <f>_xlfn.XLOOKUP($A224,表格1[No.],表格1[Shop],"---",0)</f>
        <v>---</v>
      </c>
      <c r="C224" t="str">
        <f>_xlfn.XLOOKUP($A224,表格1[No.],表格1[Location],"---",0)</f>
        <v>---</v>
      </c>
      <c r="D224" t="str">
        <f>_xlfn.XLOOKUP($A224,表格1[No.],表格1[Name],"---",0)</f>
        <v>---</v>
      </c>
      <c r="E224" t="str">
        <f>_xlfn.XLOOKUP($A224,表格1[No.],表格1[month],"---",0)</f>
        <v>---</v>
      </c>
      <c r="F224" s="12" t="str">
        <f>_xlfn.XLOOKUP($A224,表格1[No.],表格1[date],"---",0)</f>
        <v>---</v>
      </c>
      <c r="G224" t="str">
        <f>_xlfn.XLOOKUP($A224,表格1[No.],表格1[Model],"---",0)</f>
        <v>---</v>
      </c>
      <c r="H224" t="str">
        <f>_xlfn.XLOOKUP($A224,表格1[No.],表格1[QTY],"---",0)</f>
        <v>---</v>
      </c>
      <c r="I224" t="str">
        <f>_xlfn.XLOOKUP($A224,表格1[No.],表格1[Unit Price],"---",0)</f>
        <v>---</v>
      </c>
      <c r="J224" t="str">
        <f>_xlfn.XLOOKUP($A224,表格1[No.],表格1[inv no],"---",0)</f>
        <v>---</v>
      </c>
      <c r="K224" t="str">
        <f>_xlfn.XLOOKUP($A224,表格1[No.],表格1[apps report no.],"---",0)</f>
        <v>---</v>
      </c>
    </row>
    <row r="225" spans="2:11">
      <c r="B225" t="str">
        <f>_xlfn.XLOOKUP($A225,表格1[No.],表格1[Shop],"---",0)</f>
        <v>---</v>
      </c>
      <c r="C225" t="str">
        <f>_xlfn.XLOOKUP($A225,表格1[No.],表格1[Location],"---",0)</f>
        <v>---</v>
      </c>
      <c r="D225" t="str">
        <f>_xlfn.XLOOKUP($A225,表格1[No.],表格1[Name],"---",0)</f>
        <v>---</v>
      </c>
      <c r="E225" t="str">
        <f>_xlfn.XLOOKUP($A225,表格1[No.],表格1[month],"---",0)</f>
        <v>---</v>
      </c>
      <c r="F225" s="12" t="str">
        <f>_xlfn.XLOOKUP($A225,表格1[No.],表格1[date],"---",0)</f>
        <v>---</v>
      </c>
      <c r="G225" t="str">
        <f>_xlfn.XLOOKUP($A225,表格1[No.],表格1[Model],"---",0)</f>
        <v>---</v>
      </c>
      <c r="H225" t="str">
        <f>_xlfn.XLOOKUP($A225,表格1[No.],表格1[QTY],"---",0)</f>
        <v>---</v>
      </c>
      <c r="I225" t="str">
        <f>_xlfn.XLOOKUP($A225,表格1[No.],表格1[Unit Price],"---",0)</f>
        <v>---</v>
      </c>
      <c r="J225" t="str">
        <f>_xlfn.XLOOKUP($A225,表格1[No.],表格1[inv no],"---",0)</f>
        <v>---</v>
      </c>
      <c r="K225" t="str">
        <f>_xlfn.XLOOKUP($A225,表格1[No.],表格1[apps report no.],"---",0)</f>
        <v>---</v>
      </c>
    </row>
    <row r="226" spans="2:11">
      <c r="B226" t="str">
        <f>_xlfn.XLOOKUP($A226,表格1[No.],表格1[Shop],"---",0)</f>
        <v>---</v>
      </c>
      <c r="C226" t="str">
        <f>_xlfn.XLOOKUP($A226,表格1[No.],表格1[Location],"---",0)</f>
        <v>---</v>
      </c>
      <c r="D226" t="str">
        <f>_xlfn.XLOOKUP($A226,表格1[No.],表格1[Name],"---",0)</f>
        <v>---</v>
      </c>
      <c r="E226" t="str">
        <f>_xlfn.XLOOKUP($A226,表格1[No.],表格1[month],"---",0)</f>
        <v>---</v>
      </c>
      <c r="F226" s="12" t="str">
        <f>_xlfn.XLOOKUP($A226,表格1[No.],表格1[date],"---",0)</f>
        <v>---</v>
      </c>
      <c r="G226" t="str">
        <f>_xlfn.XLOOKUP($A226,表格1[No.],表格1[Model],"---",0)</f>
        <v>---</v>
      </c>
      <c r="H226" t="str">
        <f>_xlfn.XLOOKUP($A226,表格1[No.],表格1[QTY],"---",0)</f>
        <v>---</v>
      </c>
      <c r="I226" t="str">
        <f>_xlfn.XLOOKUP($A226,表格1[No.],表格1[Unit Price],"---",0)</f>
        <v>---</v>
      </c>
      <c r="J226" t="str">
        <f>_xlfn.XLOOKUP($A226,表格1[No.],表格1[inv no],"---",0)</f>
        <v>---</v>
      </c>
      <c r="K226" t="str">
        <f>_xlfn.XLOOKUP($A226,表格1[No.],表格1[apps report no.],"---",0)</f>
        <v>---</v>
      </c>
    </row>
    <row r="227" spans="2:11">
      <c r="B227" t="str">
        <f>_xlfn.XLOOKUP($A227,表格1[No.],表格1[Shop],"---",0)</f>
        <v>---</v>
      </c>
      <c r="C227" t="str">
        <f>_xlfn.XLOOKUP($A227,表格1[No.],表格1[Location],"---",0)</f>
        <v>---</v>
      </c>
      <c r="D227" t="str">
        <f>_xlfn.XLOOKUP($A227,表格1[No.],表格1[Name],"---",0)</f>
        <v>---</v>
      </c>
      <c r="E227" t="str">
        <f>_xlfn.XLOOKUP($A227,表格1[No.],表格1[month],"---",0)</f>
        <v>---</v>
      </c>
      <c r="F227" s="12" t="str">
        <f>_xlfn.XLOOKUP($A227,表格1[No.],表格1[date],"---",0)</f>
        <v>---</v>
      </c>
      <c r="G227" t="str">
        <f>_xlfn.XLOOKUP($A227,表格1[No.],表格1[Model],"---",0)</f>
        <v>---</v>
      </c>
      <c r="H227" t="str">
        <f>_xlfn.XLOOKUP($A227,表格1[No.],表格1[QTY],"---",0)</f>
        <v>---</v>
      </c>
      <c r="I227" t="str">
        <f>_xlfn.XLOOKUP($A227,表格1[No.],表格1[Unit Price],"---",0)</f>
        <v>---</v>
      </c>
      <c r="J227" t="str">
        <f>_xlfn.XLOOKUP($A227,表格1[No.],表格1[inv no],"---",0)</f>
        <v>---</v>
      </c>
      <c r="K227" t="str">
        <f>_xlfn.XLOOKUP($A227,表格1[No.],表格1[apps report no.],"---",0)</f>
        <v>---</v>
      </c>
    </row>
    <row r="228" spans="2:11">
      <c r="B228" t="str">
        <f>_xlfn.XLOOKUP($A228,表格1[No.],表格1[Shop],"---",0)</f>
        <v>---</v>
      </c>
      <c r="C228" t="str">
        <f>_xlfn.XLOOKUP($A228,表格1[No.],表格1[Location],"---",0)</f>
        <v>---</v>
      </c>
      <c r="D228" t="str">
        <f>_xlfn.XLOOKUP($A228,表格1[No.],表格1[Name],"---",0)</f>
        <v>---</v>
      </c>
      <c r="E228" t="str">
        <f>_xlfn.XLOOKUP($A228,表格1[No.],表格1[month],"---",0)</f>
        <v>---</v>
      </c>
      <c r="F228" s="12" t="str">
        <f>_xlfn.XLOOKUP($A228,表格1[No.],表格1[date],"---",0)</f>
        <v>---</v>
      </c>
      <c r="G228" t="str">
        <f>_xlfn.XLOOKUP($A228,表格1[No.],表格1[Model],"---",0)</f>
        <v>---</v>
      </c>
      <c r="H228" t="str">
        <f>_xlfn.XLOOKUP($A228,表格1[No.],表格1[QTY],"---",0)</f>
        <v>---</v>
      </c>
      <c r="I228" t="str">
        <f>_xlfn.XLOOKUP($A228,表格1[No.],表格1[Unit Price],"---",0)</f>
        <v>---</v>
      </c>
      <c r="J228" t="str">
        <f>_xlfn.XLOOKUP($A228,表格1[No.],表格1[inv no],"---",0)</f>
        <v>---</v>
      </c>
      <c r="K228" t="str">
        <f>_xlfn.XLOOKUP($A228,表格1[No.],表格1[apps report no.],"---",0)</f>
        <v>---</v>
      </c>
    </row>
    <row r="229" spans="2:11">
      <c r="B229" t="str">
        <f>_xlfn.XLOOKUP($A229,表格1[No.],表格1[Shop],"---",0)</f>
        <v>---</v>
      </c>
      <c r="C229" t="str">
        <f>_xlfn.XLOOKUP($A229,表格1[No.],表格1[Location],"---",0)</f>
        <v>---</v>
      </c>
      <c r="D229" t="str">
        <f>_xlfn.XLOOKUP($A229,表格1[No.],表格1[Name],"---",0)</f>
        <v>---</v>
      </c>
      <c r="E229" t="str">
        <f>_xlfn.XLOOKUP($A229,表格1[No.],表格1[month],"---",0)</f>
        <v>---</v>
      </c>
      <c r="F229" s="12" t="str">
        <f>_xlfn.XLOOKUP($A229,表格1[No.],表格1[date],"---",0)</f>
        <v>---</v>
      </c>
      <c r="G229" t="str">
        <f>_xlfn.XLOOKUP($A229,表格1[No.],表格1[Model],"---",0)</f>
        <v>---</v>
      </c>
      <c r="H229" t="str">
        <f>_xlfn.XLOOKUP($A229,表格1[No.],表格1[QTY],"---",0)</f>
        <v>---</v>
      </c>
      <c r="I229" t="str">
        <f>_xlfn.XLOOKUP($A229,表格1[No.],表格1[Unit Price],"---",0)</f>
        <v>---</v>
      </c>
      <c r="J229" t="str">
        <f>_xlfn.XLOOKUP($A229,表格1[No.],表格1[inv no],"---",0)</f>
        <v>---</v>
      </c>
      <c r="K229" t="str">
        <f>_xlfn.XLOOKUP($A229,表格1[No.],表格1[apps report no.],"---",0)</f>
        <v>---</v>
      </c>
    </row>
    <row r="230" spans="2:11">
      <c r="B230" t="str">
        <f>_xlfn.XLOOKUP($A230,表格1[No.],表格1[Shop],"---",0)</f>
        <v>---</v>
      </c>
      <c r="C230" t="str">
        <f>_xlfn.XLOOKUP($A230,表格1[No.],表格1[Location],"---",0)</f>
        <v>---</v>
      </c>
      <c r="D230" t="str">
        <f>_xlfn.XLOOKUP($A230,表格1[No.],表格1[Name],"---",0)</f>
        <v>---</v>
      </c>
      <c r="E230" t="str">
        <f>_xlfn.XLOOKUP($A230,表格1[No.],表格1[month],"---",0)</f>
        <v>---</v>
      </c>
      <c r="F230" s="12" t="str">
        <f>_xlfn.XLOOKUP($A230,表格1[No.],表格1[date],"---",0)</f>
        <v>---</v>
      </c>
      <c r="G230" t="str">
        <f>_xlfn.XLOOKUP($A230,表格1[No.],表格1[Model],"---",0)</f>
        <v>---</v>
      </c>
      <c r="H230" t="str">
        <f>_xlfn.XLOOKUP($A230,表格1[No.],表格1[QTY],"---",0)</f>
        <v>---</v>
      </c>
      <c r="I230" t="str">
        <f>_xlfn.XLOOKUP($A230,表格1[No.],表格1[Unit Price],"---",0)</f>
        <v>---</v>
      </c>
      <c r="J230" t="str">
        <f>_xlfn.XLOOKUP($A230,表格1[No.],表格1[inv no],"---",0)</f>
        <v>---</v>
      </c>
      <c r="K230" t="str">
        <f>_xlfn.XLOOKUP($A230,表格1[No.],表格1[apps report no.],"---",0)</f>
        <v>---</v>
      </c>
    </row>
    <row r="231" spans="2:11">
      <c r="B231" t="str">
        <f>_xlfn.XLOOKUP($A231,表格1[No.],表格1[Shop],"---",0)</f>
        <v>---</v>
      </c>
      <c r="C231" t="str">
        <f>_xlfn.XLOOKUP($A231,表格1[No.],表格1[Location],"---",0)</f>
        <v>---</v>
      </c>
      <c r="D231" t="str">
        <f>_xlfn.XLOOKUP($A231,表格1[No.],表格1[Name],"---",0)</f>
        <v>---</v>
      </c>
      <c r="E231" t="str">
        <f>_xlfn.XLOOKUP($A231,表格1[No.],表格1[month],"---",0)</f>
        <v>---</v>
      </c>
      <c r="F231" s="12" t="str">
        <f>_xlfn.XLOOKUP($A231,表格1[No.],表格1[date],"---",0)</f>
        <v>---</v>
      </c>
      <c r="G231" t="str">
        <f>_xlfn.XLOOKUP($A231,表格1[No.],表格1[Model],"---",0)</f>
        <v>---</v>
      </c>
      <c r="H231" t="str">
        <f>_xlfn.XLOOKUP($A231,表格1[No.],表格1[QTY],"---",0)</f>
        <v>---</v>
      </c>
      <c r="I231" t="str">
        <f>_xlfn.XLOOKUP($A231,表格1[No.],表格1[Unit Price],"---",0)</f>
        <v>---</v>
      </c>
      <c r="J231" t="str">
        <f>_xlfn.XLOOKUP($A231,表格1[No.],表格1[inv no],"---",0)</f>
        <v>---</v>
      </c>
      <c r="K231" t="str">
        <f>_xlfn.XLOOKUP($A231,表格1[No.],表格1[apps report no.],"---",0)</f>
        <v>---</v>
      </c>
    </row>
    <row r="232" spans="2:11">
      <c r="B232" t="str">
        <f>_xlfn.XLOOKUP($A232,表格1[No.],表格1[Shop],"---",0)</f>
        <v>---</v>
      </c>
      <c r="C232" t="str">
        <f>_xlfn.XLOOKUP($A232,表格1[No.],表格1[Location],"---",0)</f>
        <v>---</v>
      </c>
      <c r="D232" t="str">
        <f>_xlfn.XLOOKUP($A232,表格1[No.],表格1[Name],"---",0)</f>
        <v>---</v>
      </c>
      <c r="E232" t="str">
        <f>_xlfn.XLOOKUP($A232,表格1[No.],表格1[month],"---",0)</f>
        <v>---</v>
      </c>
      <c r="F232" s="12" t="str">
        <f>_xlfn.XLOOKUP($A232,表格1[No.],表格1[date],"---",0)</f>
        <v>---</v>
      </c>
      <c r="G232" t="str">
        <f>_xlfn.XLOOKUP($A232,表格1[No.],表格1[Model],"---",0)</f>
        <v>---</v>
      </c>
      <c r="H232" t="str">
        <f>_xlfn.XLOOKUP($A232,表格1[No.],表格1[QTY],"---",0)</f>
        <v>---</v>
      </c>
      <c r="I232" t="str">
        <f>_xlfn.XLOOKUP($A232,表格1[No.],表格1[Unit Price],"---",0)</f>
        <v>---</v>
      </c>
      <c r="J232" t="str">
        <f>_xlfn.XLOOKUP($A232,表格1[No.],表格1[inv no],"---",0)</f>
        <v>---</v>
      </c>
      <c r="K232" t="str">
        <f>_xlfn.XLOOKUP($A232,表格1[No.],表格1[apps report no.],"---",0)</f>
        <v>---</v>
      </c>
    </row>
    <row r="233" spans="2:11">
      <c r="B233" t="str">
        <f>_xlfn.XLOOKUP($A233,表格1[No.],表格1[Shop],"---",0)</f>
        <v>---</v>
      </c>
      <c r="C233" t="str">
        <f>_xlfn.XLOOKUP($A233,表格1[No.],表格1[Location],"---",0)</f>
        <v>---</v>
      </c>
      <c r="D233" t="str">
        <f>_xlfn.XLOOKUP($A233,表格1[No.],表格1[Name],"---",0)</f>
        <v>---</v>
      </c>
      <c r="E233" t="str">
        <f>_xlfn.XLOOKUP($A233,表格1[No.],表格1[month],"---",0)</f>
        <v>---</v>
      </c>
      <c r="F233" s="12" t="str">
        <f>_xlfn.XLOOKUP($A233,表格1[No.],表格1[date],"---",0)</f>
        <v>---</v>
      </c>
      <c r="G233" t="str">
        <f>_xlfn.XLOOKUP($A233,表格1[No.],表格1[Model],"---",0)</f>
        <v>---</v>
      </c>
      <c r="H233" t="str">
        <f>_xlfn.XLOOKUP($A233,表格1[No.],表格1[QTY],"---",0)</f>
        <v>---</v>
      </c>
      <c r="I233" t="str">
        <f>_xlfn.XLOOKUP($A233,表格1[No.],表格1[Unit Price],"---",0)</f>
        <v>---</v>
      </c>
      <c r="J233" t="str">
        <f>_xlfn.XLOOKUP($A233,表格1[No.],表格1[inv no],"---",0)</f>
        <v>---</v>
      </c>
      <c r="K233" t="str">
        <f>_xlfn.XLOOKUP($A233,表格1[No.],表格1[apps report no.],"---",0)</f>
        <v>---</v>
      </c>
    </row>
    <row r="234" spans="2:11">
      <c r="B234" t="str">
        <f>_xlfn.XLOOKUP($A234,表格1[No.],表格1[Shop],"---",0)</f>
        <v>---</v>
      </c>
      <c r="C234" t="str">
        <f>_xlfn.XLOOKUP($A234,表格1[No.],表格1[Location],"---",0)</f>
        <v>---</v>
      </c>
      <c r="D234" t="str">
        <f>_xlfn.XLOOKUP($A234,表格1[No.],表格1[Name],"---",0)</f>
        <v>---</v>
      </c>
      <c r="E234" t="str">
        <f>_xlfn.XLOOKUP($A234,表格1[No.],表格1[month],"---",0)</f>
        <v>---</v>
      </c>
      <c r="F234" s="12" t="str">
        <f>_xlfn.XLOOKUP($A234,表格1[No.],表格1[date],"---",0)</f>
        <v>---</v>
      </c>
      <c r="G234" t="str">
        <f>_xlfn.XLOOKUP($A234,表格1[No.],表格1[Model],"---",0)</f>
        <v>---</v>
      </c>
      <c r="H234" t="str">
        <f>_xlfn.XLOOKUP($A234,表格1[No.],表格1[QTY],"---",0)</f>
        <v>---</v>
      </c>
      <c r="I234" t="str">
        <f>_xlfn.XLOOKUP($A234,表格1[No.],表格1[Unit Price],"---",0)</f>
        <v>---</v>
      </c>
      <c r="J234" t="str">
        <f>_xlfn.XLOOKUP($A234,表格1[No.],表格1[inv no],"---",0)</f>
        <v>---</v>
      </c>
      <c r="K234" t="str">
        <f>_xlfn.XLOOKUP($A234,表格1[No.],表格1[apps report no.],"---",0)</f>
        <v>---</v>
      </c>
    </row>
    <row r="235" spans="2:11">
      <c r="B235" t="str">
        <f>_xlfn.XLOOKUP($A235,表格1[No.],表格1[Shop],"---",0)</f>
        <v>---</v>
      </c>
      <c r="C235" t="str">
        <f>_xlfn.XLOOKUP($A235,表格1[No.],表格1[Location],"---",0)</f>
        <v>---</v>
      </c>
      <c r="D235" t="str">
        <f>_xlfn.XLOOKUP($A235,表格1[No.],表格1[Name],"---",0)</f>
        <v>---</v>
      </c>
      <c r="E235" t="str">
        <f>_xlfn.XLOOKUP($A235,表格1[No.],表格1[month],"---",0)</f>
        <v>---</v>
      </c>
      <c r="F235" s="12" t="str">
        <f>_xlfn.XLOOKUP($A235,表格1[No.],表格1[date],"---",0)</f>
        <v>---</v>
      </c>
      <c r="G235" t="str">
        <f>_xlfn.XLOOKUP($A235,表格1[No.],表格1[Model],"---",0)</f>
        <v>---</v>
      </c>
      <c r="H235" t="str">
        <f>_xlfn.XLOOKUP($A235,表格1[No.],表格1[QTY],"---",0)</f>
        <v>---</v>
      </c>
      <c r="I235" t="str">
        <f>_xlfn.XLOOKUP($A235,表格1[No.],表格1[Unit Price],"---",0)</f>
        <v>---</v>
      </c>
      <c r="J235" t="str">
        <f>_xlfn.XLOOKUP($A235,表格1[No.],表格1[inv no],"---",0)</f>
        <v>---</v>
      </c>
      <c r="K235" t="str">
        <f>_xlfn.XLOOKUP($A235,表格1[No.],表格1[apps report no.],"---",0)</f>
        <v>---</v>
      </c>
    </row>
    <row r="236" spans="2:11">
      <c r="B236" t="str">
        <f>_xlfn.XLOOKUP($A236,表格1[No.],表格1[Shop],"---",0)</f>
        <v>---</v>
      </c>
      <c r="C236" t="str">
        <f>_xlfn.XLOOKUP($A236,表格1[No.],表格1[Location],"---",0)</f>
        <v>---</v>
      </c>
      <c r="D236" t="str">
        <f>_xlfn.XLOOKUP($A236,表格1[No.],表格1[Name],"---",0)</f>
        <v>---</v>
      </c>
      <c r="E236" t="str">
        <f>_xlfn.XLOOKUP($A236,表格1[No.],表格1[month],"---",0)</f>
        <v>---</v>
      </c>
      <c r="F236" s="12" t="str">
        <f>_xlfn.XLOOKUP($A236,表格1[No.],表格1[date],"---",0)</f>
        <v>---</v>
      </c>
      <c r="G236" t="str">
        <f>_xlfn.XLOOKUP($A236,表格1[No.],表格1[Model],"---",0)</f>
        <v>---</v>
      </c>
      <c r="H236" t="str">
        <f>_xlfn.XLOOKUP($A236,表格1[No.],表格1[QTY],"---",0)</f>
        <v>---</v>
      </c>
      <c r="I236" t="str">
        <f>_xlfn.XLOOKUP($A236,表格1[No.],表格1[Unit Price],"---",0)</f>
        <v>---</v>
      </c>
      <c r="J236" t="str">
        <f>_xlfn.XLOOKUP($A236,表格1[No.],表格1[inv no],"---",0)</f>
        <v>---</v>
      </c>
      <c r="K236" t="str">
        <f>_xlfn.XLOOKUP($A236,表格1[No.],表格1[apps report no.],"---",0)</f>
        <v>---</v>
      </c>
    </row>
    <row r="237" spans="2:11">
      <c r="B237" t="str">
        <f>_xlfn.XLOOKUP($A237,表格1[No.],表格1[Shop],"---",0)</f>
        <v>---</v>
      </c>
      <c r="C237" t="str">
        <f>_xlfn.XLOOKUP($A237,表格1[No.],表格1[Location],"---",0)</f>
        <v>---</v>
      </c>
      <c r="D237" t="str">
        <f>_xlfn.XLOOKUP($A237,表格1[No.],表格1[Name],"---",0)</f>
        <v>---</v>
      </c>
      <c r="E237" t="str">
        <f>_xlfn.XLOOKUP($A237,表格1[No.],表格1[month],"---",0)</f>
        <v>---</v>
      </c>
      <c r="F237" s="12" t="str">
        <f>_xlfn.XLOOKUP($A237,表格1[No.],表格1[date],"---",0)</f>
        <v>---</v>
      </c>
      <c r="G237" t="str">
        <f>_xlfn.XLOOKUP($A237,表格1[No.],表格1[Model],"---",0)</f>
        <v>---</v>
      </c>
      <c r="H237" t="str">
        <f>_xlfn.XLOOKUP($A237,表格1[No.],表格1[QTY],"---",0)</f>
        <v>---</v>
      </c>
      <c r="I237" t="str">
        <f>_xlfn.XLOOKUP($A237,表格1[No.],表格1[Unit Price],"---",0)</f>
        <v>---</v>
      </c>
      <c r="J237" t="str">
        <f>_xlfn.XLOOKUP($A237,表格1[No.],表格1[inv no],"---",0)</f>
        <v>---</v>
      </c>
      <c r="K237" t="str">
        <f>_xlfn.XLOOKUP($A237,表格1[No.],表格1[apps report no.],"---",0)</f>
        <v>---</v>
      </c>
    </row>
    <row r="238" spans="2:11">
      <c r="B238" t="str">
        <f>_xlfn.XLOOKUP($A238,表格1[No.],表格1[Shop],"---",0)</f>
        <v>---</v>
      </c>
      <c r="C238" t="str">
        <f>_xlfn.XLOOKUP($A238,表格1[No.],表格1[Location],"---",0)</f>
        <v>---</v>
      </c>
      <c r="D238" t="str">
        <f>_xlfn.XLOOKUP($A238,表格1[No.],表格1[Name],"---",0)</f>
        <v>---</v>
      </c>
      <c r="E238" t="str">
        <f>_xlfn.XLOOKUP($A238,表格1[No.],表格1[month],"---",0)</f>
        <v>---</v>
      </c>
      <c r="F238" s="12" t="str">
        <f>_xlfn.XLOOKUP($A238,表格1[No.],表格1[date],"---",0)</f>
        <v>---</v>
      </c>
      <c r="G238" t="str">
        <f>_xlfn.XLOOKUP($A238,表格1[No.],表格1[Model],"---",0)</f>
        <v>---</v>
      </c>
      <c r="H238" t="str">
        <f>_xlfn.XLOOKUP($A238,表格1[No.],表格1[QTY],"---",0)</f>
        <v>---</v>
      </c>
      <c r="I238" t="str">
        <f>_xlfn.XLOOKUP($A238,表格1[No.],表格1[Unit Price],"---",0)</f>
        <v>---</v>
      </c>
      <c r="J238" t="str">
        <f>_xlfn.XLOOKUP($A238,表格1[No.],表格1[inv no],"---",0)</f>
        <v>---</v>
      </c>
      <c r="K238" t="str">
        <f>_xlfn.XLOOKUP($A238,表格1[No.],表格1[apps report no.],"---",0)</f>
        <v>---</v>
      </c>
    </row>
    <row r="239" spans="2:11">
      <c r="B239" t="str">
        <f>_xlfn.XLOOKUP($A239,表格1[No.],表格1[Shop],"---",0)</f>
        <v>---</v>
      </c>
      <c r="C239" t="str">
        <f>_xlfn.XLOOKUP($A239,表格1[No.],表格1[Location],"---",0)</f>
        <v>---</v>
      </c>
      <c r="D239" t="str">
        <f>_xlfn.XLOOKUP($A239,表格1[No.],表格1[Name],"---",0)</f>
        <v>---</v>
      </c>
      <c r="E239" t="str">
        <f>_xlfn.XLOOKUP($A239,表格1[No.],表格1[month],"---",0)</f>
        <v>---</v>
      </c>
      <c r="F239" s="12" t="str">
        <f>_xlfn.XLOOKUP($A239,表格1[No.],表格1[date],"---",0)</f>
        <v>---</v>
      </c>
      <c r="G239" t="str">
        <f>_xlfn.XLOOKUP($A239,表格1[No.],表格1[Model],"---",0)</f>
        <v>---</v>
      </c>
      <c r="H239" t="str">
        <f>_xlfn.XLOOKUP($A239,表格1[No.],表格1[QTY],"---",0)</f>
        <v>---</v>
      </c>
      <c r="I239" t="str">
        <f>_xlfn.XLOOKUP($A239,表格1[No.],表格1[Unit Price],"---",0)</f>
        <v>---</v>
      </c>
      <c r="J239" t="str">
        <f>_xlfn.XLOOKUP($A239,表格1[No.],表格1[inv no],"---",0)</f>
        <v>---</v>
      </c>
      <c r="K239" t="str">
        <f>_xlfn.XLOOKUP($A239,表格1[No.],表格1[apps report no.],"---",0)</f>
        <v>---</v>
      </c>
    </row>
    <row r="240" spans="2:11">
      <c r="B240" t="str">
        <f>_xlfn.XLOOKUP($A240,表格1[No.],表格1[Shop],"---",0)</f>
        <v>---</v>
      </c>
      <c r="C240" t="str">
        <f>_xlfn.XLOOKUP($A240,表格1[No.],表格1[Location],"---",0)</f>
        <v>---</v>
      </c>
      <c r="D240" t="str">
        <f>_xlfn.XLOOKUP($A240,表格1[No.],表格1[Name],"---",0)</f>
        <v>---</v>
      </c>
      <c r="E240" t="str">
        <f>_xlfn.XLOOKUP($A240,表格1[No.],表格1[month],"---",0)</f>
        <v>---</v>
      </c>
      <c r="F240" s="12" t="str">
        <f>_xlfn.XLOOKUP($A240,表格1[No.],表格1[date],"---",0)</f>
        <v>---</v>
      </c>
      <c r="G240" t="str">
        <f>_xlfn.XLOOKUP($A240,表格1[No.],表格1[Model],"---",0)</f>
        <v>---</v>
      </c>
      <c r="H240" t="str">
        <f>_xlfn.XLOOKUP($A240,表格1[No.],表格1[QTY],"---",0)</f>
        <v>---</v>
      </c>
      <c r="I240" t="str">
        <f>_xlfn.XLOOKUP($A240,表格1[No.],表格1[Unit Price],"---",0)</f>
        <v>---</v>
      </c>
      <c r="J240" t="str">
        <f>_xlfn.XLOOKUP($A240,表格1[No.],表格1[inv no],"---",0)</f>
        <v>---</v>
      </c>
      <c r="K240" t="str">
        <f>_xlfn.XLOOKUP($A240,表格1[No.],表格1[apps report no.],"---",0)</f>
        <v>---</v>
      </c>
    </row>
    <row r="241" spans="2:11">
      <c r="B241" t="str">
        <f>_xlfn.XLOOKUP($A241,表格1[No.],表格1[Shop],"---",0)</f>
        <v>---</v>
      </c>
      <c r="C241" t="str">
        <f>_xlfn.XLOOKUP($A241,表格1[No.],表格1[Location],"---",0)</f>
        <v>---</v>
      </c>
      <c r="D241" t="str">
        <f>_xlfn.XLOOKUP($A241,表格1[No.],表格1[Name],"---",0)</f>
        <v>---</v>
      </c>
      <c r="E241" t="str">
        <f>_xlfn.XLOOKUP($A241,表格1[No.],表格1[month],"---",0)</f>
        <v>---</v>
      </c>
      <c r="F241" s="12" t="str">
        <f>_xlfn.XLOOKUP($A241,表格1[No.],表格1[date],"---",0)</f>
        <v>---</v>
      </c>
      <c r="G241" t="str">
        <f>_xlfn.XLOOKUP($A241,表格1[No.],表格1[Model],"---",0)</f>
        <v>---</v>
      </c>
      <c r="H241" t="str">
        <f>_xlfn.XLOOKUP($A241,表格1[No.],表格1[QTY],"---",0)</f>
        <v>---</v>
      </c>
      <c r="I241" t="str">
        <f>_xlfn.XLOOKUP($A241,表格1[No.],表格1[Unit Price],"---",0)</f>
        <v>---</v>
      </c>
      <c r="J241" t="str">
        <f>_xlfn.XLOOKUP($A241,表格1[No.],表格1[inv no],"---",0)</f>
        <v>---</v>
      </c>
      <c r="K241" t="str">
        <f>_xlfn.XLOOKUP($A241,表格1[No.],表格1[apps report no.],"---",0)</f>
        <v>---</v>
      </c>
    </row>
    <row r="242" spans="2:11">
      <c r="B242" t="str">
        <f>_xlfn.XLOOKUP($A242,表格1[No.],表格1[Shop],"---",0)</f>
        <v>---</v>
      </c>
      <c r="C242" t="str">
        <f>_xlfn.XLOOKUP($A242,表格1[No.],表格1[Location],"---",0)</f>
        <v>---</v>
      </c>
      <c r="D242" t="str">
        <f>_xlfn.XLOOKUP($A242,表格1[No.],表格1[Name],"---",0)</f>
        <v>---</v>
      </c>
      <c r="E242" t="str">
        <f>_xlfn.XLOOKUP($A242,表格1[No.],表格1[month],"---",0)</f>
        <v>---</v>
      </c>
      <c r="F242" s="12" t="str">
        <f>_xlfn.XLOOKUP($A242,表格1[No.],表格1[date],"---",0)</f>
        <v>---</v>
      </c>
      <c r="G242" t="str">
        <f>_xlfn.XLOOKUP($A242,表格1[No.],表格1[Model],"---",0)</f>
        <v>---</v>
      </c>
      <c r="H242" t="str">
        <f>_xlfn.XLOOKUP($A242,表格1[No.],表格1[QTY],"---",0)</f>
        <v>---</v>
      </c>
      <c r="I242" t="str">
        <f>_xlfn.XLOOKUP($A242,表格1[No.],表格1[Unit Price],"---",0)</f>
        <v>---</v>
      </c>
      <c r="J242" t="str">
        <f>_xlfn.XLOOKUP($A242,表格1[No.],表格1[inv no],"---",0)</f>
        <v>---</v>
      </c>
      <c r="K242" t="str">
        <f>_xlfn.XLOOKUP($A242,表格1[No.],表格1[apps report no.],"---",0)</f>
        <v>---</v>
      </c>
    </row>
    <row r="243" spans="2:11">
      <c r="B243" t="str">
        <f>_xlfn.XLOOKUP($A243,表格1[No.],表格1[Shop],"---",0)</f>
        <v>---</v>
      </c>
      <c r="C243" t="str">
        <f>_xlfn.XLOOKUP($A243,表格1[No.],表格1[Location],"---",0)</f>
        <v>---</v>
      </c>
      <c r="D243" t="str">
        <f>_xlfn.XLOOKUP($A243,表格1[No.],表格1[Name],"---",0)</f>
        <v>---</v>
      </c>
      <c r="E243" t="str">
        <f>_xlfn.XLOOKUP($A243,表格1[No.],表格1[month],"---",0)</f>
        <v>---</v>
      </c>
      <c r="F243" s="12" t="str">
        <f>_xlfn.XLOOKUP($A243,表格1[No.],表格1[date],"---",0)</f>
        <v>---</v>
      </c>
      <c r="G243" t="str">
        <f>_xlfn.XLOOKUP($A243,表格1[No.],表格1[Model],"---",0)</f>
        <v>---</v>
      </c>
      <c r="H243" t="str">
        <f>_xlfn.XLOOKUP($A243,表格1[No.],表格1[QTY],"---",0)</f>
        <v>---</v>
      </c>
      <c r="I243" t="str">
        <f>_xlfn.XLOOKUP($A243,表格1[No.],表格1[Unit Price],"---",0)</f>
        <v>---</v>
      </c>
      <c r="J243" t="str">
        <f>_xlfn.XLOOKUP($A243,表格1[No.],表格1[inv no],"---",0)</f>
        <v>---</v>
      </c>
      <c r="K243" t="str">
        <f>_xlfn.XLOOKUP($A243,表格1[No.],表格1[apps report no.],"---",0)</f>
        <v>---</v>
      </c>
    </row>
    <row r="244" spans="2:11">
      <c r="B244" t="str">
        <f>_xlfn.XLOOKUP($A244,表格1[No.],表格1[Shop],"---",0)</f>
        <v>---</v>
      </c>
      <c r="C244" t="str">
        <f>_xlfn.XLOOKUP($A244,表格1[No.],表格1[Location],"---",0)</f>
        <v>---</v>
      </c>
      <c r="D244" t="str">
        <f>_xlfn.XLOOKUP($A244,表格1[No.],表格1[Name],"---",0)</f>
        <v>---</v>
      </c>
      <c r="E244" t="str">
        <f>_xlfn.XLOOKUP($A244,表格1[No.],表格1[month],"---",0)</f>
        <v>---</v>
      </c>
      <c r="F244" s="12" t="str">
        <f>_xlfn.XLOOKUP($A244,表格1[No.],表格1[date],"---",0)</f>
        <v>---</v>
      </c>
      <c r="G244" t="str">
        <f>_xlfn.XLOOKUP($A244,表格1[No.],表格1[Model],"---",0)</f>
        <v>---</v>
      </c>
      <c r="H244" t="str">
        <f>_xlfn.XLOOKUP($A244,表格1[No.],表格1[QTY],"---",0)</f>
        <v>---</v>
      </c>
      <c r="I244" t="str">
        <f>_xlfn.XLOOKUP($A244,表格1[No.],表格1[Unit Price],"---",0)</f>
        <v>---</v>
      </c>
      <c r="J244" t="str">
        <f>_xlfn.XLOOKUP($A244,表格1[No.],表格1[inv no],"---",0)</f>
        <v>---</v>
      </c>
      <c r="K244" t="str">
        <f>_xlfn.XLOOKUP($A244,表格1[No.],表格1[apps report no.],"---",0)</f>
        <v>---</v>
      </c>
    </row>
    <row r="245" spans="2:11">
      <c r="B245" t="str">
        <f>_xlfn.XLOOKUP($A245,表格1[No.],表格1[Shop],"---",0)</f>
        <v>---</v>
      </c>
      <c r="C245" t="str">
        <f>_xlfn.XLOOKUP($A245,表格1[No.],表格1[Location],"---",0)</f>
        <v>---</v>
      </c>
      <c r="D245" t="str">
        <f>_xlfn.XLOOKUP($A245,表格1[No.],表格1[Name],"---",0)</f>
        <v>---</v>
      </c>
      <c r="E245" t="str">
        <f>_xlfn.XLOOKUP($A245,表格1[No.],表格1[month],"---",0)</f>
        <v>---</v>
      </c>
      <c r="F245" s="12" t="str">
        <f>_xlfn.XLOOKUP($A245,表格1[No.],表格1[date],"---",0)</f>
        <v>---</v>
      </c>
      <c r="G245" t="str">
        <f>_xlfn.XLOOKUP($A245,表格1[No.],表格1[Model],"---",0)</f>
        <v>---</v>
      </c>
      <c r="H245" t="str">
        <f>_xlfn.XLOOKUP($A245,表格1[No.],表格1[QTY],"---",0)</f>
        <v>---</v>
      </c>
      <c r="I245" t="str">
        <f>_xlfn.XLOOKUP($A245,表格1[No.],表格1[Unit Price],"---",0)</f>
        <v>---</v>
      </c>
      <c r="J245" t="str">
        <f>_xlfn.XLOOKUP($A245,表格1[No.],表格1[inv no],"---",0)</f>
        <v>---</v>
      </c>
      <c r="K245" t="str">
        <f>_xlfn.XLOOKUP($A245,表格1[No.],表格1[apps report no.],"---",0)</f>
        <v>---</v>
      </c>
    </row>
    <row r="246" spans="2:11">
      <c r="B246" t="str">
        <f>_xlfn.XLOOKUP($A246,表格1[No.],表格1[Shop],"---",0)</f>
        <v>---</v>
      </c>
      <c r="C246" t="str">
        <f>_xlfn.XLOOKUP($A246,表格1[No.],表格1[Location],"---",0)</f>
        <v>---</v>
      </c>
      <c r="D246" t="str">
        <f>_xlfn.XLOOKUP($A246,表格1[No.],表格1[Name],"---",0)</f>
        <v>---</v>
      </c>
      <c r="E246" t="str">
        <f>_xlfn.XLOOKUP($A246,表格1[No.],表格1[month],"---",0)</f>
        <v>---</v>
      </c>
      <c r="F246" s="12" t="str">
        <f>_xlfn.XLOOKUP($A246,表格1[No.],表格1[date],"---",0)</f>
        <v>---</v>
      </c>
      <c r="G246" t="str">
        <f>_xlfn.XLOOKUP($A246,表格1[No.],表格1[Model],"---",0)</f>
        <v>---</v>
      </c>
      <c r="H246" t="str">
        <f>_xlfn.XLOOKUP($A246,表格1[No.],表格1[QTY],"---",0)</f>
        <v>---</v>
      </c>
      <c r="I246" t="str">
        <f>_xlfn.XLOOKUP($A246,表格1[No.],表格1[Unit Price],"---",0)</f>
        <v>---</v>
      </c>
      <c r="J246" t="str">
        <f>_xlfn.XLOOKUP($A246,表格1[No.],表格1[inv no],"---",0)</f>
        <v>---</v>
      </c>
      <c r="K246" t="str">
        <f>_xlfn.XLOOKUP($A246,表格1[No.],表格1[apps report no.],"---",0)</f>
        <v>---</v>
      </c>
    </row>
    <row r="247" spans="2:11">
      <c r="B247" t="str">
        <f>_xlfn.XLOOKUP($A247,表格1[No.],表格1[Shop],"---",0)</f>
        <v>---</v>
      </c>
      <c r="C247" t="str">
        <f>_xlfn.XLOOKUP($A247,表格1[No.],表格1[Location],"---",0)</f>
        <v>---</v>
      </c>
      <c r="D247" t="str">
        <f>_xlfn.XLOOKUP($A247,表格1[No.],表格1[Name],"---",0)</f>
        <v>---</v>
      </c>
      <c r="E247" t="str">
        <f>_xlfn.XLOOKUP($A247,表格1[No.],表格1[month],"---",0)</f>
        <v>---</v>
      </c>
      <c r="F247" s="12" t="str">
        <f>_xlfn.XLOOKUP($A247,表格1[No.],表格1[date],"---",0)</f>
        <v>---</v>
      </c>
      <c r="G247" t="str">
        <f>_xlfn.XLOOKUP($A247,表格1[No.],表格1[Model],"---",0)</f>
        <v>---</v>
      </c>
      <c r="H247" t="str">
        <f>_xlfn.XLOOKUP($A247,表格1[No.],表格1[QTY],"---",0)</f>
        <v>---</v>
      </c>
      <c r="I247" t="str">
        <f>_xlfn.XLOOKUP($A247,表格1[No.],表格1[Unit Price],"---",0)</f>
        <v>---</v>
      </c>
      <c r="J247" t="str">
        <f>_xlfn.XLOOKUP($A247,表格1[No.],表格1[inv no],"---",0)</f>
        <v>---</v>
      </c>
      <c r="K247" t="str">
        <f>_xlfn.XLOOKUP($A247,表格1[No.],表格1[apps report no.],"---",0)</f>
        <v>---</v>
      </c>
    </row>
    <row r="248" spans="2:11">
      <c r="B248" t="str">
        <f>_xlfn.XLOOKUP($A248,表格1[No.],表格1[Shop],"---",0)</f>
        <v>---</v>
      </c>
      <c r="C248" t="str">
        <f>_xlfn.XLOOKUP($A248,表格1[No.],表格1[Location],"---",0)</f>
        <v>---</v>
      </c>
      <c r="D248" t="str">
        <f>_xlfn.XLOOKUP($A248,表格1[No.],表格1[Name],"---",0)</f>
        <v>---</v>
      </c>
      <c r="E248" t="str">
        <f>_xlfn.XLOOKUP($A248,表格1[No.],表格1[month],"---",0)</f>
        <v>---</v>
      </c>
      <c r="F248" s="12" t="str">
        <f>_xlfn.XLOOKUP($A248,表格1[No.],表格1[date],"---",0)</f>
        <v>---</v>
      </c>
      <c r="G248" t="str">
        <f>_xlfn.XLOOKUP($A248,表格1[No.],表格1[Model],"---",0)</f>
        <v>---</v>
      </c>
      <c r="H248" t="str">
        <f>_xlfn.XLOOKUP($A248,表格1[No.],表格1[QTY],"---",0)</f>
        <v>---</v>
      </c>
      <c r="I248" t="str">
        <f>_xlfn.XLOOKUP($A248,表格1[No.],表格1[Unit Price],"---",0)</f>
        <v>---</v>
      </c>
      <c r="J248" t="str">
        <f>_xlfn.XLOOKUP($A248,表格1[No.],表格1[inv no],"---",0)</f>
        <v>---</v>
      </c>
      <c r="K248" t="str">
        <f>_xlfn.XLOOKUP($A248,表格1[No.],表格1[apps report no.],"---",0)</f>
        <v>---</v>
      </c>
    </row>
    <row r="249" spans="2:11">
      <c r="B249" t="str">
        <f>_xlfn.XLOOKUP($A249,表格1[No.],表格1[Shop],"---",0)</f>
        <v>---</v>
      </c>
      <c r="C249" t="str">
        <f>_xlfn.XLOOKUP($A249,表格1[No.],表格1[Location],"---",0)</f>
        <v>---</v>
      </c>
      <c r="D249" t="str">
        <f>_xlfn.XLOOKUP($A249,表格1[No.],表格1[Name],"---",0)</f>
        <v>---</v>
      </c>
      <c r="E249" t="str">
        <f>_xlfn.XLOOKUP($A249,表格1[No.],表格1[month],"---",0)</f>
        <v>---</v>
      </c>
      <c r="F249" s="12" t="str">
        <f>_xlfn.XLOOKUP($A249,表格1[No.],表格1[date],"---",0)</f>
        <v>---</v>
      </c>
      <c r="G249" t="str">
        <f>_xlfn.XLOOKUP($A249,表格1[No.],表格1[Model],"---",0)</f>
        <v>---</v>
      </c>
      <c r="H249" t="str">
        <f>_xlfn.XLOOKUP($A249,表格1[No.],表格1[QTY],"---",0)</f>
        <v>---</v>
      </c>
      <c r="I249" t="str">
        <f>_xlfn.XLOOKUP($A249,表格1[No.],表格1[Unit Price],"---",0)</f>
        <v>---</v>
      </c>
      <c r="J249" t="str">
        <f>_xlfn.XLOOKUP($A249,表格1[No.],表格1[inv no],"---",0)</f>
        <v>---</v>
      </c>
      <c r="K249" t="str">
        <f>_xlfn.XLOOKUP($A249,表格1[No.],表格1[apps report no.],"---",0)</f>
        <v>---</v>
      </c>
    </row>
    <row r="250" spans="2:11">
      <c r="B250" t="str">
        <f>_xlfn.XLOOKUP($A250,表格1[No.],表格1[Shop],"---",0)</f>
        <v>---</v>
      </c>
      <c r="C250" t="str">
        <f>_xlfn.XLOOKUP($A250,表格1[No.],表格1[Location],"---",0)</f>
        <v>---</v>
      </c>
      <c r="D250" t="str">
        <f>_xlfn.XLOOKUP($A250,表格1[No.],表格1[Name],"---",0)</f>
        <v>---</v>
      </c>
      <c r="E250" t="str">
        <f>_xlfn.XLOOKUP($A250,表格1[No.],表格1[month],"---",0)</f>
        <v>---</v>
      </c>
      <c r="F250" s="12" t="str">
        <f>_xlfn.XLOOKUP($A250,表格1[No.],表格1[date],"---",0)</f>
        <v>---</v>
      </c>
      <c r="G250" t="str">
        <f>_xlfn.XLOOKUP($A250,表格1[No.],表格1[Model],"---",0)</f>
        <v>---</v>
      </c>
      <c r="H250" t="str">
        <f>_xlfn.XLOOKUP($A250,表格1[No.],表格1[QTY],"---",0)</f>
        <v>---</v>
      </c>
      <c r="I250" t="str">
        <f>_xlfn.XLOOKUP($A250,表格1[No.],表格1[Unit Price],"---",0)</f>
        <v>---</v>
      </c>
      <c r="J250" t="str">
        <f>_xlfn.XLOOKUP($A250,表格1[No.],表格1[inv no],"---",0)</f>
        <v>---</v>
      </c>
      <c r="K250" t="str">
        <f>_xlfn.XLOOKUP($A250,表格1[No.],表格1[apps report no.],"---",0)</f>
        <v>---</v>
      </c>
    </row>
    <row r="251" spans="2:11">
      <c r="B251" t="str">
        <f>_xlfn.XLOOKUP($A251,表格1[No.],表格1[Shop],"---",0)</f>
        <v>---</v>
      </c>
      <c r="C251" t="str">
        <f>_xlfn.XLOOKUP($A251,表格1[No.],表格1[Location],"---",0)</f>
        <v>---</v>
      </c>
      <c r="D251" t="str">
        <f>_xlfn.XLOOKUP($A251,表格1[No.],表格1[Name],"---",0)</f>
        <v>---</v>
      </c>
      <c r="E251" t="str">
        <f>_xlfn.XLOOKUP($A251,表格1[No.],表格1[month],"---",0)</f>
        <v>---</v>
      </c>
      <c r="F251" s="12" t="str">
        <f>_xlfn.XLOOKUP($A251,表格1[No.],表格1[date],"---",0)</f>
        <v>---</v>
      </c>
      <c r="G251" t="str">
        <f>_xlfn.XLOOKUP($A251,表格1[No.],表格1[Model],"---",0)</f>
        <v>---</v>
      </c>
      <c r="H251" t="str">
        <f>_xlfn.XLOOKUP($A251,表格1[No.],表格1[QTY],"---",0)</f>
        <v>---</v>
      </c>
      <c r="I251" t="str">
        <f>_xlfn.XLOOKUP($A251,表格1[No.],表格1[Unit Price],"---",0)</f>
        <v>---</v>
      </c>
      <c r="J251" t="str">
        <f>_xlfn.XLOOKUP($A251,表格1[No.],表格1[inv no],"---",0)</f>
        <v>---</v>
      </c>
      <c r="K251" t="str">
        <f>_xlfn.XLOOKUP($A251,表格1[No.],表格1[apps report no.],"---",0)</f>
        <v>---</v>
      </c>
    </row>
    <row r="252" spans="2:11">
      <c r="B252" t="str">
        <f>_xlfn.XLOOKUP($A252,表格1[No.],表格1[Shop],"---",0)</f>
        <v>---</v>
      </c>
      <c r="C252" t="str">
        <f>_xlfn.XLOOKUP($A252,表格1[No.],表格1[Location],"---",0)</f>
        <v>---</v>
      </c>
      <c r="D252" t="str">
        <f>_xlfn.XLOOKUP($A252,表格1[No.],表格1[Name],"---",0)</f>
        <v>---</v>
      </c>
      <c r="E252" t="str">
        <f>_xlfn.XLOOKUP($A252,表格1[No.],表格1[month],"---",0)</f>
        <v>---</v>
      </c>
      <c r="F252" s="12" t="str">
        <f>_xlfn.XLOOKUP($A252,表格1[No.],表格1[date],"---",0)</f>
        <v>---</v>
      </c>
      <c r="G252" t="str">
        <f>_xlfn.XLOOKUP($A252,表格1[No.],表格1[Model],"---",0)</f>
        <v>---</v>
      </c>
      <c r="H252" t="str">
        <f>_xlfn.XLOOKUP($A252,表格1[No.],表格1[QTY],"---",0)</f>
        <v>---</v>
      </c>
      <c r="I252" t="str">
        <f>_xlfn.XLOOKUP($A252,表格1[No.],表格1[Unit Price],"---",0)</f>
        <v>---</v>
      </c>
      <c r="J252" t="str">
        <f>_xlfn.XLOOKUP($A252,表格1[No.],表格1[inv no],"---",0)</f>
        <v>---</v>
      </c>
      <c r="K252" t="str">
        <f>_xlfn.XLOOKUP($A252,表格1[No.],表格1[apps report no.],"---",0)</f>
        <v>---</v>
      </c>
    </row>
    <row r="253" spans="2:11">
      <c r="B253" t="str">
        <f>_xlfn.XLOOKUP($A253,表格1[No.],表格1[Shop],"---",0)</f>
        <v>---</v>
      </c>
      <c r="C253" t="str">
        <f>_xlfn.XLOOKUP($A253,表格1[No.],表格1[Location],"---",0)</f>
        <v>---</v>
      </c>
      <c r="D253" t="str">
        <f>_xlfn.XLOOKUP($A253,表格1[No.],表格1[Name],"---",0)</f>
        <v>---</v>
      </c>
      <c r="E253" t="str">
        <f>_xlfn.XLOOKUP($A253,表格1[No.],表格1[month],"---",0)</f>
        <v>---</v>
      </c>
      <c r="F253" s="12" t="str">
        <f>_xlfn.XLOOKUP($A253,表格1[No.],表格1[date],"---",0)</f>
        <v>---</v>
      </c>
      <c r="G253" t="str">
        <f>_xlfn.XLOOKUP($A253,表格1[No.],表格1[Model],"---",0)</f>
        <v>---</v>
      </c>
      <c r="H253" t="str">
        <f>_xlfn.XLOOKUP($A253,表格1[No.],表格1[QTY],"---",0)</f>
        <v>---</v>
      </c>
      <c r="I253" t="str">
        <f>_xlfn.XLOOKUP($A253,表格1[No.],表格1[Unit Price],"---",0)</f>
        <v>---</v>
      </c>
      <c r="J253" t="str">
        <f>_xlfn.XLOOKUP($A253,表格1[No.],表格1[inv no],"---",0)</f>
        <v>---</v>
      </c>
      <c r="K253" t="str">
        <f>_xlfn.XLOOKUP($A253,表格1[No.],表格1[apps report no.],"---",0)</f>
        <v>---</v>
      </c>
    </row>
    <row r="254" spans="2:11">
      <c r="B254" t="str">
        <f>_xlfn.XLOOKUP($A254,表格1[No.],表格1[Shop],"---",0)</f>
        <v>---</v>
      </c>
      <c r="C254" t="str">
        <f>_xlfn.XLOOKUP($A254,表格1[No.],表格1[Location],"---",0)</f>
        <v>---</v>
      </c>
      <c r="D254" t="str">
        <f>_xlfn.XLOOKUP($A254,表格1[No.],表格1[Name],"---",0)</f>
        <v>---</v>
      </c>
      <c r="E254" t="str">
        <f>_xlfn.XLOOKUP($A254,表格1[No.],表格1[month],"---",0)</f>
        <v>---</v>
      </c>
      <c r="F254" s="12" t="str">
        <f>_xlfn.XLOOKUP($A254,表格1[No.],表格1[date],"---",0)</f>
        <v>---</v>
      </c>
      <c r="G254" t="str">
        <f>_xlfn.XLOOKUP($A254,表格1[No.],表格1[Model],"---",0)</f>
        <v>---</v>
      </c>
      <c r="H254" t="str">
        <f>_xlfn.XLOOKUP($A254,表格1[No.],表格1[QTY],"---",0)</f>
        <v>---</v>
      </c>
      <c r="I254" t="str">
        <f>_xlfn.XLOOKUP($A254,表格1[No.],表格1[Unit Price],"---",0)</f>
        <v>---</v>
      </c>
      <c r="J254" t="str">
        <f>_xlfn.XLOOKUP($A254,表格1[No.],表格1[inv no],"---",0)</f>
        <v>---</v>
      </c>
      <c r="K254" t="str">
        <f>_xlfn.XLOOKUP($A254,表格1[No.],表格1[apps report no.],"---",0)</f>
        <v>---</v>
      </c>
    </row>
    <row r="255" spans="2:11">
      <c r="B255" t="str">
        <f>_xlfn.XLOOKUP($A255,表格1[No.],表格1[Shop],"---",0)</f>
        <v>---</v>
      </c>
      <c r="C255" t="str">
        <f>_xlfn.XLOOKUP($A255,表格1[No.],表格1[Location],"---",0)</f>
        <v>---</v>
      </c>
      <c r="D255" t="str">
        <f>_xlfn.XLOOKUP($A255,表格1[No.],表格1[Name],"---",0)</f>
        <v>---</v>
      </c>
      <c r="E255" t="str">
        <f>_xlfn.XLOOKUP($A255,表格1[No.],表格1[month],"---",0)</f>
        <v>---</v>
      </c>
      <c r="F255" s="12" t="str">
        <f>_xlfn.XLOOKUP($A255,表格1[No.],表格1[date],"---",0)</f>
        <v>---</v>
      </c>
      <c r="G255" t="str">
        <f>_xlfn.XLOOKUP($A255,表格1[No.],表格1[Model],"---",0)</f>
        <v>---</v>
      </c>
      <c r="H255" t="str">
        <f>_xlfn.XLOOKUP($A255,表格1[No.],表格1[QTY],"---",0)</f>
        <v>---</v>
      </c>
      <c r="I255" t="str">
        <f>_xlfn.XLOOKUP($A255,表格1[No.],表格1[Unit Price],"---",0)</f>
        <v>---</v>
      </c>
      <c r="J255" t="str">
        <f>_xlfn.XLOOKUP($A255,表格1[No.],表格1[inv no],"---",0)</f>
        <v>---</v>
      </c>
      <c r="K255" t="str">
        <f>_xlfn.XLOOKUP($A255,表格1[No.],表格1[apps report no.],"---",0)</f>
        <v>---</v>
      </c>
    </row>
    <row r="256" spans="2:11">
      <c r="B256" t="str">
        <f>_xlfn.XLOOKUP($A256,表格1[No.],表格1[Shop],"---",0)</f>
        <v>---</v>
      </c>
      <c r="C256" t="str">
        <f>_xlfn.XLOOKUP($A256,表格1[No.],表格1[Location],"---",0)</f>
        <v>---</v>
      </c>
      <c r="D256" t="str">
        <f>_xlfn.XLOOKUP($A256,表格1[No.],表格1[Name],"---",0)</f>
        <v>---</v>
      </c>
      <c r="E256" t="str">
        <f>_xlfn.XLOOKUP($A256,表格1[No.],表格1[month],"---",0)</f>
        <v>---</v>
      </c>
      <c r="F256" s="12" t="str">
        <f>_xlfn.XLOOKUP($A256,表格1[No.],表格1[date],"---",0)</f>
        <v>---</v>
      </c>
      <c r="G256" t="str">
        <f>_xlfn.XLOOKUP($A256,表格1[No.],表格1[Model],"---",0)</f>
        <v>---</v>
      </c>
      <c r="H256" t="str">
        <f>_xlfn.XLOOKUP($A256,表格1[No.],表格1[QTY],"---",0)</f>
        <v>---</v>
      </c>
      <c r="I256" t="str">
        <f>_xlfn.XLOOKUP($A256,表格1[No.],表格1[Unit Price],"---",0)</f>
        <v>---</v>
      </c>
      <c r="J256" t="str">
        <f>_xlfn.XLOOKUP($A256,表格1[No.],表格1[inv no],"---",0)</f>
        <v>---</v>
      </c>
      <c r="K256" t="str">
        <f>_xlfn.XLOOKUP($A256,表格1[No.],表格1[apps report no.],"---",0)</f>
        <v>---</v>
      </c>
    </row>
    <row r="257" spans="2:11">
      <c r="B257" t="str">
        <f>_xlfn.XLOOKUP($A257,表格1[No.],表格1[Shop],"---",0)</f>
        <v>---</v>
      </c>
      <c r="C257" t="str">
        <f>_xlfn.XLOOKUP($A257,表格1[No.],表格1[Location],"---",0)</f>
        <v>---</v>
      </c>
      <c r="D257" t="str">
        <f>_xlfn.XLOOKUP($A257,表格1[No.],表格1[Name],"---",0)</f>
        <v>---</v>
      </c>
      <c r="E257" t="str">
        <f>_xlfn.XLOOKUP($A257,表格1[No.],表格1[month],"---",0)</f>
        <v>---</v>
      </c>
      <c r="F257" s="12" t="str">
        <f>_xlfn.XLOOKUP($A257,表格1[No.],表格1[date],"---",0)</f>
        <v>---</v>
      </c>
      <c r="G257" t="str">
        <f>_xlfn.XLOOKUP($A257,表格1[No.],表格1[Model],"---",0)</f>
        <v>---</v>
      </c>
      <c r="H257" t="str">
        <f>_xlfn.XLOOKUP($A257,表格1[No.],表格1[QTY],"---",0)</f>
        <v>---</v>
      </c>
      <c r="I257" t="str">
        <f>_xlfn.XLOOKUP($A257,表格1[No.],表格1[Unit Price],"---",0)</f>
        <v>---</v>
      </c>
      <c r="J257" t="str">
        <f>_xlfn.XLOOKUP($A257,表格1[No.],表格1[inv no],"---",0)</f>
        <v>---</v>
      </c>
      <c r="K257" t="str">
        <f>_xlfn.XLOOKUP($A257,表格1[No.],表格1[apps report no.],"---",0)</f>
        <v>---</v>
      </c>
    </row>
    <row r="258" spans="2:11">
      <c r="B258" t="str">
        <f>_xlfn.XLOOKUP($A258,表格1[No.],表格1[Shop],"---",0)</f>
        <v>---</v>
      </c>
      <c r="C258" t="str">
        <f>_xlfn.XLOOKUP($A258,表格1[No.],表格1[Location],"---",0)</f>
        <v>---</v>
      </c>
      <c r="D258" t="str">
        <f>_xlfn.XLOOKUP($A258,表格1[No.],表格1[Name],"---",0)</f>
        <v>---</v>
      </c>
      <c r="E258" t="str">
        <f>_xlfn.XLOOKUP($A258,表格1[No.],表格1[month],"---",0)</f>
        <v>---</v>
      </c>
      <c r="F258" s="12" t="str">
        <f>_xlfn.XLOOKUP($A258,表格1[No.],表格1[date],"---",0)</f>
        <v>---</v>
      </c>
      <c r="G258" t="str">
        <f>_xlfn.XLOOKUP($A258,表格1[No.],表格1[Model],"---",0)</f>
        <v>---</v>
      </c>
      <c r="H258" t="str">
        <f>_xlfn.XLOOKUP($A258,表格1[No.],表格1[QTY],"---",0)</f>
        <v>---</v>
      </c>
      <c r="I258" t="str">
        <f>_xlfn.XLOOKUP($A258,表格1[No.],表格1[Unit Price],"---",0)</f>
        <v>---</v>
      </c>
      <c r="J258" t="str">
        <f>_xlfn.XLOOKUP($A258,表格1[No.],表格1[inv no],"---",0)</f>
        <v>---</v>
      </c>
      <c r="K258" t="str">
        <f>_xlfn.XLOOKUP($A258,表格1[No.],表格1[apps report no.],"---",0)</f>
        <v>---</v>
      </c>
    </row>
    <row r="259" spans="2:11">
      <c r="B259" t="str">
        <f>_xlfn.XLOOKUP($A259,表格1[No.],表格1[Shop],"---",0)</f>
        <v>---</v>
      </c>
      <c r="C259" t="str">
        <f>_xlfn.XLOOKUP($A259,表格1[No.],表格1[Location],"---",0)</f>
        <v>---</v>
      </c>
      <c r="D259" t="str">
        <f>_xlfn.XLOOKUP($A259,表格1[No.],表格1[Name],"---",0)</f>
        <v>---</v>
      </c>
      <c r="E259" t="str">
        <f>_xlfn.XLOOKUP($A259,表格1[No.],表格1[month],"---",0)</f>
        <v>---</v>
      </c>
      <c r="F259" s="12" t="str">
        <f>_xlfn.XLOOKUP($A259,表格1[No.],表格1[date],"---",0)</f>
        <v>---</v>
      </c>
      <c r="G259" t="str">
        <f>_xlfn.XLOOKUP($A259,表格1[No.],表格1[Model],"---",0)</f>
        <v>---</v>
      </c>
      <c r="H259" t="str">
        <f>_xlfn.XLOOKUP($A259,表格1[No.],表格1[QTY],"---",0)</f>
        <v>---</v>
      </c>
      <c r="I259" t="str">
        <f>_xlfn.XLOOKUP($A259,表格1[No.],表格1[Unit Price],"---",0)</f>
        <v>---</v>
      </c>
      <c r="J259" t="str">
        <f>_xlfn.XLOOKUP($A259,表格1[No.],表格1[inv no],"---",0)</f>
        <v>---</v>
      </c>
      <c r="K259" t="str">
        <f>_xlfn.XLOOKUP($A259,表格1[No.],表格1[apps report no.],"---",0)</f>
        <v>---</v>
      </c>
    </row>
    <row r="260" spans="2:11">
      <c r="B260" t="str">
        <f>_xlfn.XLOOKUP($A260,表格1[No.],表格1[Shop],"---",0)</f>
        <v>---</v>
      </c>
      <c r="C260" t="str">
        <f>_xlfn.XLOOKUP($A260,表格1[No.],表格1[Location],"---",0)</f>
        <v>---</v>
      </c>
      <c r="D260" t="str">
        <f>_xlfn.XLOOKUP($A260,表格1[No.],表格1[Name],"---",0)</f>
        <v>---</v>
      </c>
      <c r="E260" t="str">
        <f>_xlfn.XLOOKUP($A260,表格1[No.],表格1[month],"---",0)</f>
        <v>---</v>
      </c>
      <c r="F260" s="12" t="str">
        <f>_xlfn.XLOOKUP($A260,表格1[No.],表格1[date],"---",0)</f>
        <v>---</v>
      </c>
      <c r="G260" t="str">
        <f>_xlfn.XLOOKUP($A260,表格1[No.],表格1[Model],"---",0)</f>
        <v>---</v>
      </c>
      <c r="H260" t="str">
        <f>_xlfn.XLOOKUP($A260,表格1[No.],表格1[QTY],"---",0)</f>
        <v>---</v>
      </c>
      <c r="I260" t="str">
        <f>_xlfn.XLOOKUP($A260,表格1[No.],表格1[Unit Price],"---",0)</f>
        <v>---</v>
      </c>
      <c r="J260" t="str">
        <f>_xlfn.XLOOKUP($A260,表格1[No.],表格1[inv no],"---",0)</f>
        <v>---</v>
      </c>
      <c r="K260" t="str">
        <f>_xlfn.XLOOKUP($A260,表格1[No.],表格1[apps report no.],"---",0)</f>
        <v>---</v>
      </c>
    </row>
    <row r="261" spans="2:11">
      <c r="B261" t="str">
        <f>_xlfn.XLOOKUP($A261,表格1[No.],表格1[Shop],"---",0)</f>
        <v>---</v>
      </c>
      <c r="C261" t="str">
        <f>_xlfn.XLOOKUP($A261,表格1[No.],表格1[Location],"---",0)</f>
        <v>---</v>
      </c>
      <c r="D261" t="str">
        <f>_xlfn.XLOOKUP($A261,表格1[No.],表格1[Name],"---",0)</f>
        <v>---</v>
      </c>
      <c r="E261" t="str">
        <f>_xlfn.XLOOKUP($A261,表格1[No.],表格1[month],"---",0)</f>
        <v>---</v>
      </c>
      <c r="F261" s="12" t="str">
        <f>_xlfn.XLOOKUP($A261,表格1[No.],表格1[date],"---",0)</f>
        <v>---</v>
      </c>
      <c r="G261" t="str">
        <f>_xlfn.XLOOKUP($A261,表格1[No.],表格1[Model],"---",0)</f>
        <v>---</v>
      </c>
      <c r="H261" t="str">
        <f>_xlfn.XLOOKUP($A261,表格1[No.],表格1[QTY],"---",0)</f>
        <v>---</v>
      </c>
      <c r="I261" t="str">
        <f>_xlfn.XLOOKUP($A261,表格1[No.],表格1[Unit Price],"---",0)</f>
        <v>---</v>
      </c>
      <c r="J261" t="str">
        <f>_xlfn.XLOOKUP($A261,表格1[No.],表格1[inv no],"---",0)</f>
        <v>---</v>
      </c>
      <c r="K261" t="str">
        <f>_xlfn.XLOOKUP($A261,表格1[No.],表格1[apps report no.],"---",0)</f>
        <v>---</v>
      </c>
    </row>
    <row r="262" spans="2:11">
      <c r="B262" t="str">
        <f>_xlfn.XLOOKUP($A262,表格1[No.],表格1[Shop],"---",0)</f>
        <v>---</v>
      </c>
      <c r="C262" t="str">
        <f>_xlfn.XLOOKUP($A262,表格1[No.],表格1[Location],"---",0)</f>
        <v>---</v>
      </c>
      <c r="D262" t="str">
        <f>_xlfn.XLOOKUP($A262,表格1[No.],表格1[Name],"---",0)</f>
        <v>---</v>
      </c>
      <c r="E262" t="str">
        <f>_xlfn.XLOOKUP($A262,表格1[No.],表格1[month],"---",0)</f>
        <v>---</v>
      </c>
      <c r="F262" s="12" t="str">
        <f>_xlfn.XLOOKUP($A262,表格1[No.],表格1[date],"---",0)</f>
        <v>---</v>
      </c>
      <c r="G262" t="str">
        <f>_xlfn.XLOOKUP($A262,表格1[No.],表格1[Model],"---",0)</f>
        <v>---</v>
      </c>
      <c r="H262" t="str">
        <f>_xlfn.XLOOKUP($A262,表格1[No.],表格1[QTY],"---",0)</f>
        <v>---</v>
      </c>
      <c r="I262" t="str">
        <f>_xlfn.XLOOKUP($A262,表格1[No.],表格1[Unit Price],"---",0)</f>
        <v>---</v>
      </c>
      <c r="J262" t="str">
        <f>_xlfn.XLOOKUP($A262,表格1[No.],表格1[inv no],"---",0)</f>
        <v>---</v>
      </c>
      <c r="K262" t="str">
        <f>_xlfn.XLOOKUP($A262,表格1[No.],表格1[apps report no.],"---",0)</f>
        <v>---</v>
      </c>
    </row>
    <row r="263" spans="2:11">
      <c r="B263" t="str">
        <f>_xlfn.XLOOKUP($A263,表格1[No.],表格1[Shop],"---",0)</f>
        <v>---</v>
      </c>
      <c r="C263" t="str">
        <f>_xlfn.XLOOKUP($A263,表格1[No.],表格1[Location],"---",0)</f>
        <v>---</v>
      </c>
      <c r="D263" t="str">
        <f>_xlfn.XLOOKUP($A263,表格1[No.],表格1[Name],"---",0)</f>
        <v>---</v>
      </c>
      <c r="E263" t="str">
        <f>_xlfn.XLOOKUP($A263,表格1[No.],表格1[month],"---",0)</f>
        <v>---</v>
      </c>
      <c r="F263" s="12" t="str">
        <f>_xlfn.XLOOKUP($A263,表格1[No.],表格1[date],"---",0)</f>
        <v>---</v>
      </c>
      <c r="G263" t="str">
        <f>_xlfn.XLOOKUP($A263,表格1[No.],表格1[Model],"---",0)</f>
        <v>---</v>
      </c>
      <c r="H263" t="str">
        <f>_xlfn.XLOOKUP($A263,表格1[No.],表格1[QTY],"---",0)</f>
        <v>---</v>
      </c>
      <c r="I263" t="str">
        <f>_xlfn.XLOOKUP($A263,表格1[No.],表格1[Unit Price],"---",0)</f>
        <v>---</v>
      </c>
      <c r="J263" t="str">
        <f>_xlfn.XLOOKUP($A263,表格1[No.],表格1[inv no],"---",0)</f>
        <v>---</v>
      </c>
      <c r="K263" t="str">
        <f>_xlfn.XLOOKUP($A263,表格1[No.],表格1[apps report no.],"---",0)</f>
        <v>---</v>
      </c>
    </row>
    <row r="264" spans="2:11">
      <c r="B264" t="str">
        <f>_xlfn.XLOOKUP($A264,表格1[No.],表格1[Shop],"---",0)</f>
        <v>---</v>
      </c>
      <c r="C264" t="str">
        <f>_xlfn.XLOOKUP($A264,表格1[No.],表格1[Location],"---",0)</f>
        <v>---</v>
      </c>
      <c r="D264" t="str">
        <f>_xlfn.XLOOKUP($A264,表格1[No.],表格1[Name],"---",0)</f>
        <v>---</v>
      </c>
      <c r="E264" t="str">
        <f>_xlfn.XLOOKUP($A264,表格1[No.],表格1[month],"---",0)</f>
        <v>---</v>
      </c>
      <c r="F264" s="12" t="str">
        <f>_xlfn.XLOOKUP($A264,表格1[No.],表格1[date],"---",0)</f>
        <v>---</v>
      </c>
      <c r="G264" t="str">
        <f>_xlfn.XLOOKUP($A264,表格1[No.],表格1[Model],"---",0)</f>
        <v>---</v>
      </c>
      <c r="H264" t="str">
        <f>_xlfn.XLOOKUP($A264,表格1[No.],表格1[QTY],"---",0)</f>
        <v>---</v>
      </c>
      <c r="I264" t="str">
        <f>_xlfn.XLOOKUP($A264,表格1[No.],表格1[Unit Price],"---",0)</f>
        <v>---</v>
      </c>
      <c r="J264" t="str">
        <f>_xlfn.XLOOKUP($A264,表格1[No.],表格1[inv no],"---",0)</f>
        <v>---</v>
      </c>
      <c r="K264" t="str">
        <f>_xlfn.XLOOKUP($A264,表格1[No.],表格1[apps report no.],"---",0)</f>
        <v>---</v>
      </c>
    </row>
    <row r="265" spans="2:11">
      <c r="B265" t="str">
        <f>_xlfn.XLOOKUP($A265,表格1[No.],表格1[Shop],"---",0)</f>
        <v>---</v>
      </c>
      <c r="C265" t="str">
        <f>_xlfn.XLOOKUP($A265,表格1[No.],表格1[Location],"---",0)</f>
        <v>---</v>
      </c>
      <c r="D265" t="str">
        <f>_xlfn.XLOOKUP($A265,表格1[No.],表格1[Name],"---",0)</f>
        <v>---</v>
      </c>
      <c r="E265" t="str">
        <f>_xlfn.XLOOKUP($A265,表格1[No.],表格1[month],"---",0)</f>
        <v>---</v>
      </c>
      <c r="F265" s="12" t="str">
        <f>_xlfn.XLOOKUP($A265,表格1[No.],表格1[date],"---",0)</f>
        <v>---</v>
      </c>
      <c r="G265" t="str">
        <f>_xlfn.XLOOKUP($A265,表格1[No.],表格1[Model],"---",0)</f>
        <v>---</v>
      </c>
      <c r="H265" t="str">
        <f>_xlfn.XLOOKUP($A265,表格1[No.],表格1[QTY],"---",0)</f>
        <v>---</v>
      </c>
      <c r="I265" t="str">
        <f>_xlfn.XLOOKUP($A265,表格1[No.],表格1[Unit Price],"---",0)</f>
        <v>---</v>
      </c>
      <c r="J265" t="str">
        <f>_xlfn.XLOOKUP($A265,表格1[No.],表格1[inv no],"---",0)</f>
        <v>---</v>
      </c>
      <c r="K265" t="str">
        <f>_xlfn.XLOOKUP($A265,表格1[No.],表格1[apps report no.],"---",0)</f>
        <v>---</v>
      </c>
    </row>
    <row r="266" spans="2:11">
      <c r="B266" t="str">
        <f>_xlfn.XLOOKUP($A266,表格1[No.],表格1[Shop],"---",0)</f>
        <v>---</v>
      </c>
      <c r="C266" t="str">
        <f>_xlfn.XLOOKUP($A266,表格1[No.],表格1[Location],"---",0)</f>
        <v>---</v>
      </c>
      <c r="D266" t="str">
        <f>_xlfn.XLOOKUP($A266,表格1[No.],表格1[Name],"---",0)</f>
        <v>---</v>
      </c>
      <c r="E266" t="str">
        <f>_xlfn.XLOOKUP($A266,表格1[No.],表格1[month],"---",0)</f>
        <v>---</v>
      </c>
      <c r="F266" s="12" t="str">
        <f>_xlfn.XLOOKUP($A266,表格1[No.],表格1[date],"---",0)</f>
        <v>---</v>
      </c>
      <c r="G266" t="str">
        <f>_xlfn.XLOOKUP($A266,表格1[No.],表格1[Model],"---",0)</f>
        <v>---</v>
      </c>
      <c r="H266" t="str">
        <f>_xlfn.XLOOKUP($A266,表格1[No.],表格1[QTY],"---",0)</f>
        <v>---</v>
      </c>
      <c r="I266" t="str">
        <f>_xlfn.XLOOKUP($A266,表格1[No.],表格1[Unit Price],"---",0)</f>
        <v>---</v>
      </c>
      <c r="J266" t="str">
        <f>_xlfn.XLOOKUP($A266,表格1[No.],表格1[inv no],"---",0)</f>
        <v>---</v>
      </c>
      <c r="K266" t="str">
        <f>_xlfn.XLOOKUP($A266,表格1[No.],表格1[apps report no.],"---",0)</f>
        <v>---</v>
      </c>
    </row>
    <row r="267" spans="2:11">
      <c r="B267" t="str">
        <f>_xlfn.XLOOKUP($A267,表格1[No.],表格1[Shop],"---",0)</f>
        <v>---</v>
      </c>
      <c r="C267" t="str">
        <f>_xlfn.XLOOKUP($A267,表格1[No.],表格1[Location],"---",0)</f>
        <v>---</v>
      </c>
      <c r="D267" t="str">
        <f>_xlfn.XLOOKUP($A267,表格1[No.],表格1[Name],"---",0)</f>
        <v>---</v>
      </c>
      <c r="E267" t="str">
        <f>_xlfn.XLOOKUP($A267,表格1[No.],表格1[month],"---",0)</f>
        <v>---</v>
      </c>
      <c r="F267" s="12" t="str">
        <f>_xlfn.XLOOKUP($A267,表格1[No.],表格1[date],"---",0)</f>
        <v>---</v>
      </c>
      <c r="G267" t="str">
        <f>_xlfn.XLOOKUP($A267,表格1[No.],表格1[Model],"---",0)</f>
        <v>---</v>
      </c>
      <c r="H267" t="str">
        <f>_xlfn.XLOOKUP($A267,表格1[No.],表格1[QTY],"---",0)</f>
        <v>---</v>
      </c>
      <c r="I267" t="str">
        <f>_xlfn.XLOOKUP($A267,表格1[No.],表格1[Unit Price],"---",0)</f>
        <v>---</v>
      </c>
      <c r="J267" t="str">
        <f>_xlfn.XLOOKUP($A267,表格1[No.],表格1[inv no],"---",0)</f>
        <v>---</v>
      </c>
      <c r="K267" t="str">
        <f>_xlfn.XLOOKUP($A267,表格1[No.],表格1[apps report no.],"---",0)</f>
        <v>---</v>
      </c>
    </row>
    <row r="268" spans="2:11">
      <c r="B268" t="str">
        <f>_xlfn.XLOOKUP($A268,表格1[No.],表格1[Shop],"---",0)</f>
        <v>---</v>
      </c>
      <c r="C268" t="str">
        <f>_xlfn.XLOOKUP($A268,表格1[No.],表格1[Location],"---",0)</f>
        <v>---</v>
      </c>
      <c r="D268" t="str">
        <f>_xlfn.XLOOKUP($A268,表格1[No.],表格1[Name],"---",0)</f>
        <v>---</v>
      </c>
      <c r="E268" t="str">
        <f>_xlfn.XLOOKUP($A268,表格1[No.],表格1[month],"---",0)</f>
        <v>---</v>
      </c>
      <c r="F268" s="12" t="str">
        <f>_xlfn.XLOOKUP($A268,表格1[No.],表格1[date],"---",0)</f>
        <v>---</v>
      </c>
      <c r="G268" t="str">
        <f>_xlfn.XLOOKUP($A268,表格1[No.],表格1[Model],"---",0)</f>
        <v>---</v>
      </c>
      <c r="H268" t="str">
        <f>_xlfn.XLOOKUP($A268,表格1[No.],表格1[QTY],"---",0)</f>
        <v>---</v>
      </c>
      <c r="I268" t="str">
        <f>_xlfn.XLOOKUP($A268,表格1[No.],表格1[Unit Price],"---",0)</f>
        <v>---</v>
      </c>
      <c r="J268" t="str">
        <f>_xlfn.XLOOKUP($A268,表格1[No.],表格1[inv no],"---",0)</f>
        <v>---</v>
      </c>
      <c r="K268" t="str">
        <f>_xlfn.XLOOKUP($A268,表格1[No.],表格1[apps report no.],"---",0)</f>
        <v>---</v>
      </c>
    </row>
    <row r="269" spans="2:11">
      <c r="B269" t="str">
        <f>_xlfn.XLOOKUP($A269,表格1[No.],表格1[Shop],"---",0)</f>
        <v>---</v>
      </c>
      <c r="C269" t="str">
        <f>_xlfn.XLOOKUP($A269,表格1[No.],表格1[Location],"---",0)</f>
        <v>---</v>
      </c>
      <c r="D269" t="str">
        <f>_xlfn.XLOOKUP($A269,表格1[No.],表格1[Name],"---",0)</f>
        <v>---</v>
      </c>
      <c r="E269" t="str">
        <f>_xlfn.XLOOKUP($A269,表格1[No.],表格1[month],"---",0)</f>
        <v>---</v>
      </c>
      <c r="F269" s="12" t="str">
        <f>_xlfn.XLOOKUP($A269,表格1[No.],表格1[date],"---",0)</f>
        <v>---</v>
      </c>
      <c r="G269" t="str">
        <f>_xlfn.XLOOKUP($A269,表格1[No.],表格1[Model],"---",0)</f>
        <v>---</v>
      </c>
      <c r="H269" t="str">
        <f>_xlfn.XLOOKUP($A269,表格1[No.],表格1[QTY],"---",0)</f>
        <v>---</v>
      </c>
      <c r="I269" t="str">
        <f>_xlfn.XLOOKUP($A269,表格1[No.],表格1[Unit Price],"---",0)</f>
        <v>---</v>
      </c>
      <c r="J269" t="str">
        <f>_xlfn.XLOOKUP($A269,表格1[No.],表格1[inv no],"---",0)</f>
        <v>---</v>
      </c>
      <c r="K269" t="str">
        <f>_xlfn.XLOOKUP($A269,表格1[No.],表格1[apps report no.],"---",0)</f>
        <v>---</v>
      </c>
    </row>
    <row r="270" spans="2:11">
      <c r="B270" t="str">
        <f>_xlfn.XLOOKUP($A270,表格1[No.],表格1[Shop],"---",0)</f>
        <v>---</v>
      </c>
      <c r="C270" t="str">
        <f>_xlfn.XLOOKUP($A270,表格1[No.],表格1[Location],"---",0)</f>
        <v>---</v>
      </c>
      <c r="D270" t="str">
        <f>_xlfn.XLOOKUP($A270,表格1[No.],表格1[Name],"---",0)</f>
        <v>---</v>
      </c>
      <c r="E270" t="str">
        <f>_xlfn.XLOOKUP($A270,表格1[No.],表格1[month],"---",0)</f>
        <v>---</v>
      </c>
      <c r="F270" s="12" t="str">
        <f>_xlfn.XLOOKUP($A270,表格1[No.],表格1[date],"---",0)</f>
        <v>---</v>
      </c>
      <c r="G270" t="str">
        <f>_xlfn.XLOOKUP($A270,表格1[No.],表格1[Model],"---",0)</f>
        <v>---</v>
      </c>
      <c r="H270" t="str">
        <f>_xlfn.XLOOKUP($A270,表格1[No.],表格1[QTY],"---",0)</f>
        <v>---</v>
      </c>
      <c r="I270" t="str">
        <f>_xlfn.XLOOKUP($A270,表格1[No.],表格1[Unit Price],"---",0)</f>
        <v>---</v>
      </c>
      <c r="J270" t="str">
        <f>_xlfn.XLOOKUP($A270,表格1[No.],表格1[inv no],"---",0)</f>
        <v>---</v>
      </c>
      <c r="K270" t="str">
        <f>_xlfn.XLOOKUP($A270,表格1[No.],表格1[apps report no.],"---",0)</f>
        <v>---</v>
      </c>
    </row>
    <row r="271" spans="2:11">
      <c r="B271" t="str">
        <f>_xlfn.XLOOKUP($A271,表格1[No.],表格1[Shop],"---",0)</f>
        <v>---</v>
      </c>
      <c r="C271" t="str">
        <f>_xlfn.XLOOKUP($A271,表格1[No.],表格1[Location],"---",0)</f>
        <v>---</v>
      </c>
      <c r="D271" t="str">
        <f>_xlfn.XLOOKUP($A271,表格1[No.],表格1[Name],"---",0)</f>
        <v>---</v>
      </c>
      <c r="E271" t="str">
        <f>_xlfn.XLOOKUP($A271,表格1[No.],表格1[month],"---",0)</f>
        <v>---</v>
      </c>
      <c r="F271" s="12" t="str">
        <f>_xlfn.XLOOKUP($A271,表格1[No.],表格1[date],"---",0)</f>
        <v>---</v>
      </c>
      <c r="G271" t="str">
        <f>_xlfn.XLOOKUP($A271,表格1[No.],表格1[Model],"---",0)</f>
        <v>---</v>
      </c>
      <c r="H271" t="str">
        <f>_xlfn.XLOOKUP($A271,表格1[No.],表格1[QTY],"---",0)</f>
        <v>---</v>
      </c>
      <c r="I271" t="str">
        <f>_xlfn.XLOOKUP($A271,表格1[No.],表格1[Unit Price],"---",0)</f>
        <v>---</v>
      </c>
      <c r="J271" t="str">
        <f>_xlfn.XLOOKUP($A271,表格1[No.],表格1[inv no],"---",0)</f>
        <v>---</v>
      </c>
      <c r="K271" t="str">
        <f>_xlfn.XLOOKUP($A271,表格1[No.],表格1[apps report no.],"---",0)</f>
        <v>---</v>
      </c>
    </row>
    <row r="272" spans="2:11">
      <c r="B272" t="str">
        <f>_xlfn.XLOOKUP($A272,表格1[No.],表格1[Shop],"---",0)</f>
        <v>---</v>
      </c>
      <c r="C272" t="str">
        <f>_xlfn.XLOOKUP($A272,表格1[No.],表格1[Location],"---",0)</f>
        <v>---</v>
      </c>
      <c r="D272" t="str">
        <f>_xlfn.XLOOKUP($A272,表格1[No.],表格1[Name],"---",0)</f>
        <v>---</v>
      </c>
      <c r="E272" t="str">
        <f>_xlfn.XLOOKUP($A272,表格1[No.],表格1[month],"---",0)</f>
        <v>---</v>
      </c>
      <c r="F272" s="12" t="str">
        <f>_xlfn.XLOOKUP($A272,表格1[No.],表格1[date],"---",0)</f>
        <v>---</v>
      </c>
      <c r="G272" t="str">
        <f>_xlfn.XLOOKUP($A272,表格1[No.],表格1[Model],"---",0)</f>
        <v>---</v>
      </c>
      <c r="H272" t="str">
        <f>_xlfn.XLOOKUP($A272,表格1[No.],表格1[QTY],"---",0)</f>
        <v>---</v>
      </c>
      <c r="I272" t="str">
        <f>_xlfn.XLOOKUP($A272,表格1[No.],表格1[Unit Price],"---",0)</f>
        <v>---</v>
      </c>
      <c r="J272" t="str">
        <f>_xlfn.XLOOKUP($A272,表格1[No.],表格1[inv no],"---",0)</f>
        <v>---</v>
      </c>
      <c r="K272" t="str">
        <f>_xlfn.XLOOKUP($A272,表格1[No.],表格1[apps report no.],"---",0)</f>
        <v>---</v>
      </c>
    </row>
    <row r="273" spans="2:11">
      <c r="B273" t="str">
        <f>_xlfn.XLOOKUP($A273,表格1[No.],表格1[Shop],"---",0)</f>
        <v>---</v>
      </c>
      <c r="C273" t="str">
        <f>_xlfn.XLOOKUP($A273,表格1[No.],表格1[Location],"---",0)</f>
        <v>---</v>
      </c>
      <c r="D273" t="str">
        <f>_xlfn.XLOOKUP($A273,表格1[No.],表格1[Name],"---",0)</f>
        <v>---</v>
      </c>
      <c r="E273" t="str">
        <f>_xlfn.XLOOKUP($A273,表格1[No.],表格1[month],"---",0)</f>
        <v>---</v>
      </c>
      <c r="F273" s="12" t="str">
        <f>_xlfn.XLOOKUP($A273,表格1[No.],表格1[date],"---",0)</f>
        <v>---</v>
      </c>
      <c r="G273" t="str">
        <f>_xlfn.XLOOKUP($A273,表格1[No.],表格1[Model],"---",0)</f>
        <v>---</v>
      </c>
      <c r="H273" t="str">
        <f>_xlfn.XLOOKUP($A273,表格1[No.],表格1[QTY],"---",0)</f>
        <v>---</v>
      </c>
      <c r="I273" t="str">
        <f>_xlfn.XLOOKUP($A273,表格1[No.],表格1[Unit Price],"---",0)</f>
        <v>---</v>
      </c>
      <c r="J273" t="str">
        <f>_xlfn.XLOOKUP($A273,表格1[No.],表格1[inv no],"---",0)</f>
        <v>---</v>
      </c>
      <c r="K273" t="str">
        <f>_xlfn.XLOOKUP($A273,表格1[No.],表格1[apps report no.],"---",0)</f>
        <v>---</v>
      </c>
    </row>
    <row r="274" spans="2:11">
      <c r="B274" t="str">
        <f>_xlfn.XLOOKUP($A274,表格1[No.],表格1[Shop],"---",0)</f>
        <v>---</v>
      </c>
      <c r="C274" t="str">
        <f>_xlfn.XLOOKUP($A274,表格1[No.],表格1[Location],"---",0)</f>
        <v>---</v>
      </c>
      <c r="D274" t="str">
        <f>_xlfn.XLOOKUP($A274,表格1[No.],表格1[Name],"---",0)</f>
        <v>---</v>
      </c>
      <c r="E274" t="str">
        <f>_xlfn.XLOOKUP($A274,表格1[No.],表格1[month],"---",0)</f>
        <v>---</v>
      </c>
      <c r="F274" s="12" t="str">
        <f>_xlfn.XLOOKUP($A274,表格1[No.],表格1[date],"---",0)</f>
        <v>---</v>
      </c>
      <c r="G274" t="str">
        <f>_xlfn.XLOOKUP($A274,表格1[No.],表格1[Model],"---",0)</f>
        <v>---</v>
      </c>
      <c r="H274" t="str">
        <f>_xlfn.XLOOKUP($A274,表格1[No.],表格1[QTY],"---",0)</f>
        <v>---</v>
      </c>
      <c r="I274" t="str">
        <f>_xlfn.XLOOKUP($A274,表格1[No.],表格1[Unit Price],"---",0)</f>
        <v>---</v>
      </c>
      <c r="J274" t="str">
        <f>_xlfn.XLOOKUP($A274,表格1[No.],表格1[inv no],"---",0)</f>
        <v>---</v>
      </c>
      <c r="K274" t="str">
        <f>_xlfn.XLOOKUP($A274,表格1[No.],表格1[apps report no.],"---",0)</f>
        <v>---</v>
      </c>
    </row>
    <row r="275" spans="2:11">
      <c r="B275" t="str">
        <f>_xlfn.XLOOKUP($A275,表格1[No.],表格1[Shop],"---",0)</f>
        <v>---</v>
      </c>
      <c r="C275" t="str">
        <f>_xlfn.XLOOKUP($A275,表格1[No.],表格1[Location],"---",0)</f>
        <v>---</v>
      </c>
      <c r="D275" t="str">
        <f>_xlfn.XLOOKUP($A275,表格1[No.],表格1[Name],"---",0)</f>
        <v>---</v>
      </c>
      <c r="E275" t="str">
        <f>_xlfn.XLOOKUP($A275,表格1[No.],表格1[month],"---",0)</f>
        <v>---</v>
      </c>
      <c r="F275" s="12" t="str">
        <f>_xlfn.XLOOKUP($A275,表格1[No.],表格1[date],"---",0)</f>
        <v>---</v>
      </c>
      <c r="G275" t="str">
        <f>_xlfn.XLOOKUP($A275,表格1[No.],表格1[Model],"---",0)</f>
        <v>---</v>
      </c>
      <c r="H275" t="str">
        <f>_xlfn.XLOOKUP($A275,表格1[No.],表格1[QTY],"---",0)</f>
        <v>---</v>
      </c>
      <c r="I275" t="str">
        <f>_xlfn.XLOOKUP($A275,表格1[No.],表格1[Unit Price],"---",0)</f>
        <v>---</v>
      </c>
      <c r="J275" t="str">
        <f>_xlfn.XLOOKUP($A275,表格1[No.],表格1[inv no],"---",0)</f>
        <v>---</v>
      </c>
      <c r="K275" t="str">
        <f>_xlfn.XLOOKUP($A275,表格1[No.],表格1[apps report no.],"---",0)</f>
        <v>---</v>
      </c>
    </row>
    <row r="276" spans="2:11">
      <c r="B276" t="str">
        <f>_xlfn.XLOOKUP($A276,表格1[No.],表格1[Shop],"---",0)</f>
        <v>---</v>
      </c>
      <c r="C276" t="str">
        <f>_xlfn.XLOOKUP($A276,表格1[No.],表格1[Location],"---",0)</f>
        <v>---</v>
      </c>
      <c r="D276" t="str">
        <f>_xlfn.XLOOKUP($A276,表格1[No.],表格1[Name],"---",0)</f>
        <v>---</v>
      </c>
      <c r="E276" t="str">
        <f>_xlfn.XLOOKUP($A276,表格1[No.],表格1[month],"---",0)</f>
        <v>---</v>
      </c>
      <c r="F276" s="12" t="str">
        <f>_xlfn.XLOOKUP($A276,表格1[No.],表格1[date],"---",0)</f>
        <v>---</v>
      </c>
      <c r="G276" t="str">
        <f>_xlfn.XLOOKUP($A276,表格1[No.],表格1[Model],"---",0)</f>
        <v>---</v>
      </c>
      <c r="H276" t="str">
        <f>_xlfn.XLOOKUP($A276,表格1[No.],表格1[QTY],"---",0)</f>
        <v>---</v>
      </c>
      <c r="I276" t="str">
        <f>_xlfn.XLOOKUP($A276,表格1[No.],表格1[Unit Price],"---",0)</f>
        <v>---</v>
      </c>
      <c r="J276" t="str">
        <f>_xlfn.XLOOKUP($A276,表格1[No.],表格1[inv no],"---",0)</f>
        <v>---</v>
      </c>
      <c r="K276" t="str">
        <f>_xlfn.XLOOKUP($A276,表格1[No.],表格1[apps report no.],"---",0)</f>
        <v>---</v>
      </c>
    </row>
    <row r="277" spans="2:11">
      <c r="B277" t="str">
        <f>_xlfn.XLOOKUP($A277,表格1[No.],表格1[Shop],"---",0)</f>
        <v>---</v>
      </c>
      <c r="C277" t="str">
        <f>_xlfn.XLOOKUP($A277,表格1[No.],表格1[Location],"---",0)</f>
        <v>---</v>
      </c>
      <c r="D277" t="str">
        <f>_xlfn.XLOOKUP($A277,表格1[No.],表格1[Name],"---",0)</f>
        <v>---</v>
      </c>
      <c r="E277" t="str">
        <f>_xlfn.XLOOKUP($A277,表格1[No.],表格1[month],"---",0)</f>
        <v>---</v>
      </c>
      <c r="F277" s="12" t="str">
        <f>_xlfn.XLOOKUP($A277,表格1[No.],表格1[date],"---",0)</f>
        <v>---</v>
      </c>
      <c r="G277" t="str">
        <f>_xlfn.XLOOKUP($A277,表格1[No.],表格1[Model],"---",0)</f>
        <v>---</v>
      </c>
      <c r="H277" t="str">
        <f>_xlfn.XLOOKUP($A277,表格1[No.],表格1[QTY],"---",0)</f>
        <v>---</v>
      </c>
      <c r="I277" t="str">
        <f>_xlfn.XLOOKUP($A277,表格1[No.],表格1[Unit Price],"---",0)</f>
        <v>---</v>
      </c>
      <c r="J277" t="str">
        <f>_xlfn.XLOOKUP($A277,表格1[No.],表格1[inv no],"---",0)</f>
        <v>---</v>
      </c>
      <c r="K277" t="str">
        <f>_xlfn.XLOOKUP($A277,表格1[No.],表格1[apps report no.],"---",0)</f>
        <v>---</v>
      </c>
    </row>
    <row r="278" spans="2:11">
      <c r="B278" t="str">
        <f>_xlfn.XLOOKUP($A278,表格1[No.],表格1[Shop],"---",0)</f>
        <v>---</v>
      </c>
      <c r="C278" t="str">
        <f>_xlfn.XLOOKUP($A278,表格1[No.],表格1[Location],"---",0)</f>
        <v>---</v>
      </c>
      <c r="D278" t="str">
        <f>_xlfn.XLOOKUP($A278,表格1[No.],表格1[Name],"---",0)</f>
        <v>---</v>
      </c>
      <c r="E278" t="str">
        <f>_xlfn.XLOOKUP($A278,表格1[No.],表格1[month],"---",0)</f>
        <v>---</v>
      </c>
      <c r="F278" s="12" t="str">
        <f>_xlfn.XLOOKUP($A278,表格1[No.],表格1[date],"---",0)</f>
        <v>---</v>
      </c>
      <c r="G278" t="str">
        <f>_xlfn.XLOOKUP($A278,表格1[No.],表格1[Model],"---",0)</f>
        <v>---</v>
      </c>
      <c r="H278" t="str">
        <f>_xlfn.XLOOKUP($A278,表格1[No.],表格1[QTY],"---",0)</f>
        <v>---</v>
      </c>
      <c r="I278" t="str">
        <f>_xlfn.XLOOKUP($A278,表格1[No.],表格1[Unit Price],"---",0)</f>
        <v>---</v>
      </c>
      <c r="J278" t="str">
        <f>_xlfn.XLOOKUP($A278,表格1[No.],表格1[inv no],"---",0)</f>
        <v>---</v>
      </c>
      <c r="K278" t="str">
        <f>_xlfn.XLOOKUP($A278,表格1[No.],表格1[apps report no.],"---",0)</f>
        <v>---</v>
      </c>
    </row>
    <row r="279" spans="2:11">
      <c r="B279" t="str">
        <f>_xlfn.XLOOKUP($A279,表格1[No.],表格1[Shop],"---",0)</f>
        <v>---</v>
      </c>
      <c r="C279" t="str">
        <f>_xlfn.XLOOKUP($A279,表格1[No.],表格1[Location],"---",0)</f>
        <v>---</v>
      </c>
      <c r="D279" t="str">
        <f>_xlfn.XLOOKUP($A279,表格1[No.],表格1[Name],"---",0)</f>
        <v>---</v>
      </c>
      <c r="E279" t="str">
        <f>_xlfn.XLOOKUP($A279,表格1[No.],表格1[month],"---",0)</f>
        <v>---</v>
      </c>
      <c r="F279" s="12" t="str">
        <f>_xlfn.XLOOKUP($A279,表格1[No.],表格1[date],"---",0)</f>
        <v>---</v>
      </c>
      <c r="G279" t="str">
        <f>_xlfn.XLOOKUP($A279,表格1[No.],表格1[Model],"---",0)</f>
        <v>---</v>
      </c>
      <c r="H279" t="str">
        <f>_xlfn.XLOOKUP($A279,表格1[No.],表格1[QTY],"---",0)</f>
        <v>---</v>
      </c>
      <c r="I279" t="str">
        <f>_xlfn.XLOOKUP($A279,表格1[No.],表格1[Unit Price],"---",0)</f>
        <v>---</v>
      </c>
      <c r="J279" t="str">
        <f>_xlfn.XLOOKUP($A279,表格1[No.],表格1[inv no],"---",0)</f>
        <v>---</v>
      </c>
      <c r="K279" t="str">
        <f>_xlfn.XLOOKUP($A279,表格1[No.],表格1[apps report no.],"---",0)</f>
        <v>---</v>
      </c>
    </row>
    <row r="280" spans="2:11">
      <c r="B280" t="str">
        <f>_xlfn.XLOOKUP($A280,表格1[No.],表格1[Shop],"---",0)</f>
        <v>---</v>
      </c>
      <c r="C280" t="str">
        <f>_xlfn.XLOOKUP($A280,表格1[No.],表格1[Location],"---",0)</f>
        <v>---</v>
      </c>
      <c r="D280" t="str">
        <f>_xlfn.XLOOKUP($A280,表格1[No.],表格1[Name],"---",0)</f>
        <v>---</v>
      </c>
      <c r="E280" t="str">
        <f>_xlfn.XLOOKUP($A280,表格1[No.],表格1[month],"---",0)</f>
        <v>---</v>
      </c>
      <c r="F280" s="12" t="str">
        <f>_xlfn.XLOOKUP($A280,表格1[No.],表格1[date],"---",0)</f>
        <v>---</v>
      </c>
      <c r="G280" t="str">
        <f>_xlfn.XLOOKUP($A280,表格1[No.],表格1[Model],"---",0)</f>
        <v>---</v>
      </c>
      <c r="H280" t="str">
        <f>_xlfn.XLOOKUP($A280,表格1[No.],表格1[QTY],"---",0)</f>
        <v>---</v>
      </c>
      <c r="I280" t="str">
        <f>_xlfn.XLOOKUP($A280,表格1[No.],表格1[Unit Price],"---",0)</f>
        <v>---</v>
      </c>
      <c r="J280" t="str">
        <f>_xlfn.XLOOKUP($A280,表格1[No.],表格1[inv no],"---",0)</f>
        <v>---</v>
      </c>
      <c r="K280" t="str">
        <f>_xlfn.XLOOKUP($A280,表格1[No.],表格1[apps report no.],"---",0)</f>
        <v>---</v>
      </c>
    </row>
    <row r="281" spans="2:11">
      <c r="B281" t="str">
        <f>_xlfn.XLOOKUP($A281,表格1[No.],表格1[Shop],"---",0)</f>
        <v>---</v>
      </c>
      <c r="C281" t="str">
        <f>_xlfn.XLOOKUP($A281,表格1[No.],表格1[Location],"---",0)</f>
        <v>---</v>
      </c>
      <c r="D281" t="str">
        <f>_xlfn.XLOOKUP($A281,表格1[No.],表格1[Name],"---",0)</f>
        <v>---</v>
      </c>
      <c r="E281" t="str">
        <f>_xlfn.XLOOKUP($A281,表格1[No.],表格1[month],"---",0)</f>
        <v>---</v>
      </c>
      <c r="F281" s="12" t="str">
        <f>_xlfn.XLOOKUP($A281,表格1[No.],表格1[date],"---",0)</f>
        <v>---</v>
      </c>
      <c r="G281" t="str">
        <f>_xlfn.XLOOKUP($A281,表格1[No.],表格1[Model],"---",0)</f>
        <v>---</v>
      </c>
      <c r="H281" t="str">
        <f>_xlfn.XLOOKUP($A281,表格1[No.],表格1[QTY],"---",0)</f>
        <v>---</v>
      </c>
      <c r="I281" t="str">
        <f>_xlfn.XLOOKUP($A281,表格1[No.],表格1[Unit Price],"---",0)</f>
        <v>---</v>
      </c>
      <c r="J281" t="str">
        <f>_xlfn.XLOOKUP($A281,表格1[No.],表格1[inv no],"---",0)</f>
        <v>---</v>
      </c>
      <c r="K281" t="str">
        <f>_xlfn.XLOOKUP($A281,表格1[No.],表格1[apps report no.],"---",0)</f>
        <v>---</v>
      </c>
    </row>
    <row r="282" spans="2:11">
      <c r="B282" t="str">
        <f>_xlfn.XLOOKUP($A282,表格1[No.],表格1[Shop],"---",0)</f>
        <v>---</v>
      </c>
      <c r="C282" t="str">
        <f>_xlfn.XLOOKUP($A282,表格1[No.],表格1[Location],"---",0)</f>
        <v>---</v>
      </c>
      <c r="D282" t="str">
        <f>_xlfn.XLOOKUP($A282,表格1[No.],表格1[Name],"---",0)</f>
        <v>---</v>
      </c>
      <c r="E282" t="str">
        <f>_xlfn.XLOOKUP($A282,表格1[No.],表格1[month],"---",0)</f>
        <v>---</v>
      </c>
      <c r="F282" s="12" t="str">
        <f>_xlfn.XLOOKUP($A282,表格1[No.],表格1[date],"---",0)</f>
        <v>---</v>
      </c>
      <c r="G282" t="str">
        <f>_xlfn.XLOOKUP($A282,表格1[No.],表格1[Model],"---",0)</f>
        <v>---</v>
      </c>
      <c r="H282" t="str">
        <f>_xlfn.XLOOKUP($A282,表格1[No.],表格1[QTY],"---",0)</f>
        <v>---</v>
      </c>
      <c r="I282" t="str">
        <f>_xlfn.XLOOKUP($A282,表格1[No.],表格1[Unit Price],"---",0)</f>
        <v>---</v>
      </c>
      <c r="J282" t="str">
        <f>_xlfn.XLOOKUP($A282,表格1[No.],表格1[inv no],"---",0)</f>
        <v>---</v>
      </c>
      <c r="K282" t="str">
        <f>_xlfn.XLOOKUP($A282,表格1[No.],表格1[apps report no.],"---",0)</f>
        <v>---</v>
      </c>
    </row>
    <row r="283" spans="2:11">
      <c r="B283" t="str">
        <f>_xlfn.XLOOKUP($A283,表格1[No.],表格1[Shop],"---",0)</f>
        <v>---</v>
      </c>
      <c r="C283" t="str">
        <f>_xlfn.XLOOKUP($A283,表格1[No.],表格1[Location],"---",0)</f>
        <v>---</v>
      </c>
      <c r="D283" t="str">
        <f>_xlfn.XLOOKUP($A283,表格1[No.],表格1[Name],"---",0)</f>
        <v>---</v>
      </c>
      <c r="E283" t="str">
        <f>_xlfn.XLOOKUP($A283,表格1[No.],表格1[month],"---",0)</f>
        <v>---</v>
      </c>
      <c r="F283" s="12" t="str">
        <f>_xlfn.XLOOKUP($A283,表格1[No.],表格1[date],"---",0)</f>
        <v>---</v>
      </c>
      <c r="G283" t="str">
        <f>_xlfn.XLOOKUP($A283,表格1[No.],表格1[Model],"---",0)</f>
        <v>---</v>
      </c>
      <c r="H283" t="str">
        <f>_xlfn.XLOOKUP($A283,表格1[No.],表格1[QTY],"---",0)</f>
        <v>---</v>
      </c>
      <c r="I283" t="str">
        <f>_xlfn.XLOOKUP($A283,表格1[No.],表格1[Unit Price],"---",0)</f>
        <v>---</v>
      </c>
      <c r="J283" t="str">
        <f>_xlfn.XLOOKUP($A283,表格1[No.],表格1[inv no],"---",0)</f>
        <v>---</v>
      </c>
      <c r="K283" t="str">
        <f>_xlfn.XLOOKUP($A283,表格1[No.],表格1[apps report no.],"---",0)</f>
        <v>---</v>
      </c>
    </row>
    <row r="284" spans="2:11">
      <c r="B284" t="str">
        <f>_xlfn.XLOOKUP($A284,表格1[No.],表格1[Shop],"---",0)</f>
        <v>---</v>
      </c>
      <c r="C284" t="str">
        <f>_xlfn.XLOOKUP($A284,表格1[No.],表格1[Location],"---",0)</f>
        <v>---</v>
      </c>
      <c r="D284" t="str">
        <f>_xlfn.XLOOKUP($A284,表格1[No.],表格1[Name],"---",0)</f>
        <v>---</v>
      </c>
      <c r="E284" t="str">
        <f>_xlfn.XLOOKUP($A284,表格1[No.],表格1[month],"---",0)</f>
        <v>---</v>
      </c>
      <c r="F284" s="12" t="str">
        <f>_xlfn.XLOOKUP($A284,表格1[No.],表格1[date],"---",0)</f>
        <v>---</v>
      </c>
      <c r="G284" t="str">
        <f>_xlfn.XLOOKUP($A284,表格1[No.],表格1[Model],"---",0)</f>
        <v>---</v>
      </c>
      <c r="H284" t="str">
        <f>_xlfn.XLOOKUP($A284,表格1[No.],表格1[QTY],"---",0)</f>
        <v>---</v>
      </c>
      <c r="I284" t="str">
        <f>_xlfn.XLOOKUP($A284,表格1[No.],表格1[Unit Price],"---",0)</f>
        <v>---</v>
      </c>
      <c r="J284" t="str">
        <f>_xlfn.XLOOKUP($A284,表格1[No.],表格1[inv no],"---",0)</f>
        <v>---</v>
      </c>
      <c r="K284" t="str">
        <f>_xlfn.XLOOKUP($A284,表格1[No.],表格1[apps report no.],"---",0)</f>
        <v>---</v>
      </c>
    </row>
    <row r="285" spans="2:11">
      <c r="B285" t="str">
        <f>_xlfn.XLOOKUP($A285,表格1[No.],表格1[Shop],"---",0)</f>
        <v>---</v>
      </c>
      <c r="C285" t="str">
        <f>_xlfn.XLOOKUP($A285,表格1[No.],表格1[Location],"---",0)</f>
        <v>---</v>
      </c>
      <c r="D285" t="str">
        <f>_xlfn.XLOOKUP($A285,表格1[No.],表格1[Name],"---",0)</f>
        <v>---</v>
      </c>
      <c r="E285" t="str">
        <f>_xlfn.XLOOKUP($A285,表格1[No.],表格1[month],"---",0)</f>
        <v>---</v>
      </c>
      <c r="F285" s="12" t="str">
        <f>_xlfn.XLOOKUP($A285,表格1[No.],表格1[date],"---",0)</f>
        <v>---</v>
      </c>
      <c r="G285" t="str">
        <f>_xlfn.XLOOKUP($A285,表格1[No.],表格1[Model],"---",0)</f>
        <v>---</v>
      </c>
      <c r="H285" t="str">
        <f>_xlfn.XLOOKUP($A285,表格1[No.],表格1[QTY],"---",0)</f>
        <v>---</v>
      </c>
      <c r="I285" t="str">
        <f>_xlfn.XLOOKUP($A285,表格1[No.],表格1[Unit Price],"---",0)</f>
        <v>---</v>
      </c>
      <c r="J285" t="str">
        <f>_xlfn.XLOOKUP($A285,表格1[No.],表格1[inv no],"---",0)</f>
        <v>---</v>
      </c>
      <c r="K285" t="str">
        <f>_xlfn.XLOOKUP($A285,表格1[No.],表格1[apps report no.],"---",0)</f>
        <v>---</v>
      </c>
    </row>
    <row r="286" spans="2:11">
      <c r="B286" t="str">
        <f>_xlfn.XLOOKUP($A286,表格1[No.],表格1[Shop],"---",0)</f>
        <v>---</v>
      </c>
      <c r="C286" t="str">
        <f>_xlfn.XLOOKUP($A286,表格1[No.],表格1[Location],"---",0)</f>
        <v>---</v>
      </c>
      <c r="D286" t="str">
        <f>_xlfn.XLOOKUP($A286,表格1[No.],表格1[Name],"---",0)</f>
        <v>---</v>
      </c>
      <c r="E286" t="str">
        <f>_xlfn.XLOOKUP($A286,表格1[No.],表格1[month],"---",0)</f>
        <v>---</v>
      </c>
      <c r="F286" s="12" t="str">
        <f>_xlfn.XLOOKUP($A286,表格1[No.],表格1[date],"---",0)</f>
        <v>---</v>
      </c>
      <c r="G286" t="str">
        <f>_xlfn.XLOOKUP($A286,表格1[No.],表格1[Model],"---",0)</f>
        <v>---</v>
      </c>
      <c r="H286" t="str">
        <f>_xlfn.XLOOKUP($A286,表格1[No.],表格1[QTY],"---",0)</f>
        <v>---</v>
      </c>
      <c r="I286" t="str">
        <f>_xlfn.XLOOKUP($A286,表格1[No.],表格1[Unit Price],"---",0)</f>
        <v>---</v>
      </c>
      <c r="J286" t="str">
        <f>_xlfn.XLOOKUP($A286,表格1[No.],表格1[inv no],"---",0)</f>
        <v>---</v>
      </c>
      <c r="K286" t="str">
        <f>_xlfn.XLOOKUP($A286,表格1[No.],表格1[apps report no.],"---",0)</f>
        <v>---</v>
      </c>
    </row>
    <row r="287" spans="2:11">
      <c r="B287" t="str">
        <f>_xlfn.XLOOKUP($A287,表格1[No.],表格1[Shop],"---",0)</f>
        <v>---</v>
      </c>
      <c r="C287" t="str">
        <f>_xlfn.XLOOKUP($A287,表格1[No.],表格1[Location],"---",0)</f>
        <v>---</v>
      </c>
      <c r="D287" t="str">
        <f>_xlfn.XLOOKUP($A287,表格1[No.],表格1[Name],"---",0)</f>
        <v>---</v>
      </c>
      <c r="E287" t="str">
        <f>_xlfn.XLOOKUP($A287,表格1[No.],表格1[month],"---",0)</f>
        <v>---</v>
      </c>
      <c r="F287" s="12" t="str">
        <f>_xlfn.XLOOKUP($A287,表格1[No.],表格1[date],"---",0)</f>
        <v>---</v>
      </c>
      <c r="G287" t="str">
        <f>_xlfn.XLOOKUP($A287,表格1[No.],表格1[Model],"---",0)</f>
        <v>---</v>
      </c>
      <c r="H287" t="str">
        <f>_xlfn.XLOOKUP($A287,表格1[No.],表格1[QTY],"---",0)</f>
        <v>---</v>
      </c>
      <c r="I287" t="str">
        <f>_xlfn.XLOOKUP($A287,表格1[No.],表格1[Unit Price],"---",0)</f>
        <v>---</v>
      </c>
      <c r="J287" t="str">
        <f>_xlfn.XLOOKUP($A287,表格1[No.],表格1[inv no],"---",0)</f>
        <v>---</v>
      </c>
      <c r="K287" t="str">
        <f>_xlfn.XLOOKUP($A287,表格1[No.],表格1[apps report no.],"---",0)</f>
        <v>---</v>
      </c>
    </row>
    <row r="288" spans="2:11">
      <c r="B288" t="str">
        <f>_xlfn.XLOOKUP($A288,表格1[No.],表格1[Shop],"---",0)</f>
        <v>---</v>
      </c>
      <c r="C288" t="str">
        <f>_xlfn.XLOOKUP($A288,表格1[No.],表格1[Location],"---",0)</f>
        <v>---</v>
      </c>
      <c r="D288" t="str">
        <f>_xlfn.XLOOKUP($A288,表格1[No.],表格1[Name],"---",0)</f>
        <v>---</v>
      </c>
      <c r="E288" t="str">
        <f>_xlfn.XLOOKUP($A288,表格1[No.],表格1[month],"---",0)</f>
        <v>---</v>
      </c>
      <c r="F288" s="12" t="str">
        <f>_xlfn.XLOOKUP($A288,表格1[No.],表格1[date],"---",0)</f>
        <v>---</v>
      </c>
      <c r="G288" t="str">
        <f>_xlfn.XLOOKUP($A288,表格1[No.],表格1[Model],"---",0)</f>
        <v>---</v>
      </c>
      <c r="H288" t="str">
        <f>_xlfn.XLOOKUP($A288,表格1[No.],表格1[QTY],"---",0)</f>
        <v>---</v>
      </c>
      <c r="I288" t="str">
        <f>_xlfn.XLOOKUP($A288,表格1[No.],表格1[Unit Price],"---",0)</f>
        <v>---</v>
      </c>
      <c r="J288" t="str">
        <f>_xlfn.XLOOKUP($A288,表格1[No.],表格1[inv no],"---",0)</f>
        <v>---</v>
      </c>
      <c r="K288" t="str">
        <f>_xlfn.XLOOKUP($A288,表格1[No.],表格1[apps report no.],"---",0)</f>
        <v>---</v>
      </c>
    </row>
    <row r="289" spans="2:11">
      <c r="B289" t="str">
        <f>_xlfn.XLOOKUP($A289,表格1[No.],表格1[Shop],"---",0)</f>
        <v>---</v>
      </c>
      <c r="C289" t="str">
        <f>_xlfn.XLOOKUP($A289,表格1[No.],表格1[Location],"---",0)</f>
        <v>---</v>
      </c>
      <c r="D289" t="str">
        <f>_xlfn.XLOOKUP($A289,表格1[No.],表格1[Name],"---",0)</f>
        <v>---</v>
      </c>
      <c r="E289" t="str">
        <f>_xlfn.XLOOKUP($A289,表格1[No.],表格1[month],"---",0)</f>
        <v>---</v>
      </c>
      <c r="F289" s="12" t="str">
        <f>_xlfn.XLOOKUP($A289,表格1[No.],表格1[date],"---",0)</f>
        <v>---</v>
      </c>
      <c r="G289" t="str">
        <f>_xlfn.XLOOKUP($A289,表格1[No.],表格1[Model],"---",0)</f>
        <v>---</v>
      </c>
      <c r="H289" t="str">
        <f>_xlfn.XLOOKUP($A289,表格1[No.],表格1[QTY],"---",0)</f>
        <v>---</v>
      </c>
      <c r="I289" t="str">
        <f>_xlfn.XLOOKUP($A289,表格1[No.],表格1[Unit Price],"---",0)</f>
        <v>---</v>
      </c>
      <c r="J289" t="str">
        <f>_xlfn.XLOOKUP($A289,表格1[No.],表格1[inv no],"---",0)</f>
        <v>---</v>
      </c>
      <c r="K289" t="str">
        <f>_xlfn.XLOOKUP($A289,表格1[No.],表格1[apps report no.],"---",0)</f>
        <v>---</v>
      </c>
    </row>
    <row r="290" spans="2:11">
      <c r="B290" t="str">
        <f>_xlfn.XLOOKUP($A290,表格1[No.],表格1[Shop],"---",0)</f>
        <v>---</v>
      </c>
      <c r="C290" t="str">
        <f>_xlfn.XLOOKUP($A290,表格1[No.],表格1[Location],"---",0)</f>
        <v>---</v>
      </c>
      <c r="D290" t="str">
        <f>_xlfn.XLOOKUP($A290,表格1[No.],表格1[Name],"---",0)</f>
        <v>---</v>
      </c>
      <c r="E290" t="str">
        <f>_xlfn.XLOOKUP($A290,表格1[No.],表格1[month],"---",0)</f>
        <v>---</v>
      </c>
      <c r="F290" s="12" t="str">
        <f>_xlfn.XLOOKUP($A290,表格1[No.],表格1[date],"---",0)</f>
        <v>---</v>
      </c>
      <c r="G290" t="str">
        <f>_xlfn.XLOOKUP($A290,表格1[No.],表格1[Model],"---",0)</f>
        <v>---</v>
      </c>
      <c r="H290" t="str">
        <f>_xlfn.XLOOKUP($A290,表格1[No.],表格1[QTY],"---",0)</f>
        <v>---</v>
      </c>
      <c r="I290" t="str">
        <f>_xlfn.XLOOKUP($A290,表格1[No.],表格1[Unit Price],"---",0)</f>
        <v>---</v>
      </c>
      <c r="J290" t="str">
        <f>_xlfn.XLOOKUP($A290,表格1[No.],表格1[inv no],"---",0)</f>
        <v>---</v>
      </c>
      <c r="K290" t="str">
        <f>_xlfn.XLOOKUP($A290,表格1[No.],表格1[apps report no.],"---",0)</f>
        <v>---</v>
      </c>
    </row>
    <row r="291" spans="2:11">
      <c r="B291" t="str">
        <f>_xlfn.XLOOKUP($A291,表格1[No.],表格1[Shop],"---",0)</f>
        <v>---</v>
      </c>
      <c r="C291" t="str">
        <f>_xlfn.XLOOKUP($A291,表格1[No.],表格1[Location],"---",0)</f>
        <v>---</v>
      </c>
      <c r="D291" t="str">
        <f>_xlfn.XLOOKUP($A291,表格1[No.],表格1[Name],"---",0)</f>
        <v>---</v>
      </c>
      <c r="E291" t="str">
        <f>_xlfn.XLOOKUP($A291,表格1[No.],表格1[month],"---",0)</f>
        <v>---</v>
      </c>
      <c r="F291" s="12" t="str">
        <f>_xlfn.XLOOKUP($A291,表格1[No.],表格1[date],"---",0)</f>
        <v>---</v>
      </c>
      <c r="G291" t="str">
        <f>_xlfn.XLOOKUP($A291,表格1[No.],表格1[Model],"---",0)</f>
        <v>---</v>
      </c>
      <c r="H291" t="str">
        <f>_xlfn.XLOOKUP($A291,表格1[No.],表格1[QTY],"---",0)</f>
        <v>---</v>
      </c>
      <c r="I291" t="str">
        <f>_xlfn.XLOOKUP($A291,表格1[No.],表格1[Unit Price],"---",0)</f>
        <v>---</v>
      </c>
      <c r="J291" t="str">
        <f>_xlfn.XLOOKUP($A291,表格1[No.],表格1[inv no],"---",0)</f>
        <v>---</v>
      </c>
      <c r="K291" t="str">
        <f>_xlfn.XLOOKUP($A291,表格1[No.],表格1[apps report no.],"---",0)</f>
        <v>---</v>
      </c>
    </row>
    <row r="292" spans="2:11">
      <c r="B292" t="str">
        <f>_xlfn.XLOOKUP($A292,表格1[No.],表格1[Shop],"---",0)</f>
        <v>---</v>
      </c>
      <c r="C292" t="str">
        <f>_xlfn.XLOOKUP($A292,表格1[No.],表格1[Location],"---",0)</f>
        <v>---</v>
      </c>
      <c r="D292" t="str">
        <f>_xlfn.XLOOKUP($A292,表格1[No.],表格1[Name],"---",0)</f>
        <v>---</v>
      </c>
      <c r="E292" t="str">
        <f>_xlfn.XLOOKUP($A292,表格1[No.],表格1[month],"---",0)</f>
        <v>---</v>
      </c>
      <c r="F292" s="12" t="str">
        <f>_xlfn.XLOOKUP($A292,表格1[No.],表格1[date],"---",0)</f>
        <v>---</v>
      </c>
      <c r="G292" t="str">
        <f>_xlfn.XLOOKUP($A292,表格1[No.],表格1[Model],"---",0)</f>
        <v>---</v>
      </c>
      <c r="H292" t="str">
        <f>_xlfn.XLOOKUP($A292,表格1[No.],表格1[QTY],"---",0)</f>
        <v>---</v>
      </c>
      <c r="I292" t="str">
        <f>_xlfn.XLOOKUP($A292,表格1[No.],表格1[Unit Price],"---",0)</f>
        <v>---</v>
      </c>
      <c r="J292" t="str">
        <f>_xlfn.XLOOKUP($A292,表格1[No.],表格1[inv no],"---",0)</f>
        <v>---</v>
      </c>
      <c r="K292" t="str">
        <f>_xlfn.XLOOKUP($A292,表格1[No.],表格1[apps report no.],"---",0)</f>
        <v>---</v>
      </c>
    </row>
    <row r="293" spans="2:11">
      <c r="B293" t="str">
        <f>_xlfn.XLOOKUP($A293,表格1[No.],表格1[Shop],"---",0)</f>
        <v>---</v>
      </c>
      <c r="C293" t="str">
        <f>_xlfn.XLOOKUP($A293,表格1[No.],表格1[Location],"---",0)</f>
        <v>---</v>
      </c>
      <c r="D293" t="str">
        <f>_xlfn.XLOOKUP($A293,表格1[No.],表格1[Name],"---",0)</f>
        <v>---</v>
      </c>
      <c r="E293" t="str">
        <f>_xlfn.XLOOKUP($A293,表格1[No.],表格1[month],"---",0)</f>
        <v>---</v>
      </c>
      <c r="F293" s="12" t="str">
        <f>_xlfn.XLOOKUP($A293,表格1[No.],表格1[date],"---",0)</f>
        <v>---</v>
      </c>
      <c r="G293" t="str">
        <f>_xlfn.XLOOKUP($A293,表格1[No.],表格1[Model],"---",0)</f>
        <v>---</v>
      </c>
      <c r="H293" t="str">
        <f>_xlfn.XLOOKUP($A293,表格1[No.],表格1[QTY],"---",0)</f>
        <v>---</v>
      </c>
      <c r="I293" t="str">
        <f>_xlfn.XLOOKUP($A293,表格1[No.],表格1[Unit Price],"---",0)</f>
        <v>---</v>
      </c>
      <c r="J293" t="str">
        <f>_xlfn.XLOOKUP($A293,表格1[No.],表格1[inv no],"---",0)</f>
        <v>---</v>
      </c>
      <c r="K293" t="str">
        <f>_xlfn.XLOOKUP($A293,表格1[No.],表格1[apps report no.],"---",0)</f>
        <v>---</v>
      </c>
    </row>
    <row r="294" spans="2:11">
      <c r="B294" t="str">
        <f>_xlfn.XLOOKUP($A294,表格1[No.],表格1[Shop],"---",0)</f>
        <v>---</v>
      </c>
      <c r="C294" t="str">
        <f>_xlfn.XLOOKUP($A294,表格1[No.],表格1[Location],"---",0)</f>
        <v>---</v>
      </c>
      <c r="D294" t="str">
        <f>_xlfn.XLOOKUP($A294,表格1[No.],表格1[Name],"---",0)</f>
        <v>---</v>
      </c>
      <c r="E294" t="str">
        <f>_xlfn.XLOOKUP($A294,表格1[No.],表格1[month],"---",0)</f>
        <v>---</v>
      </c>
      <c r="F294" s="12" t="str">
        <f>_xlfn.XLOOKUP($A294,表格1[No.],表格1[date],"---",0)</f>
        <v>---</v>
      </c>
      <c r="G294" t="str">
        <f>_xlfn.XLOOKUP($A294,表格1[No.],表格1[Model],"---",0)</f>
        <v>---</v>
      </c>
      <c r="H294" t="str">
        <f>_xlfn.XLOOKUP($A294,表格1[No.],表格1[QTY],"---",0)</f>
        <v>---</v>
      </c>
      <c r="I294" t="str">
        <f>_xlfn.XLOOKUP($A294,表格1[No.],表格1[Unit Price],"---",0)</f>
        <v>---</v>
      </c>
      <c r="J294" t="str">
        <f>_xlfn.XLOOKUP($A294,表格1[No.],表格1[inv no],"---",0)</f>
        <v>---</v>
      </c>
      <c r="K294" t="str">
        <f>_xlfn.XLOOKUP($A294,表格1[No.],表格1[apps report no.],"---",0)</f>
        <v>---</v>
      </c>
    </row>
    <row r="295" spans="2:11">
      <c r="B295" t="str">
        <f>_xlfn.XLOOKUP($A295,表格1[No.],表格1[Shop],"---",0)</f>
        <v>---</v>
      </c>
      <c r="C295" t="str">
        <f>_xlfn.XLOOKUP($A295,表格1[No.],表格1[Location],"---",0)</f>
        <v>---</v>
      </c>
      <c r="D295" t="str">
        <f>_xlfn.XLOOKUP($A295,表格1[No.],表格1[Name],"---",0)</f>
        <v>---</v>
      </c>
      <c r="E295" t="str">
        <f>_xlfn.XLOOKUP($A295,表格1[No.],表格1[month],"---",0)</f>
        <v>---</v>
      </c>
      <c r="F295" s="12" t="str">
        <f>_xlfn.XLOOKUP($A295,表格1[No.],表格1[date],"---",0)</f>
        <v>---</v>
      </c>
      <c r="G295" t="str">
        <f>_xlfn.XLOOKUP($A295,表格1[No.],表格1[Model],"---",0)</f>
        <v>---</v>
      </c>
      <c r="H295" t="str">
        <f>_xlfn.XLOOKUP($A295,表格1[No.],表格1[QTY],"---",0)</f>
        <v>---</v>
      </c>
      <c r="I295" t="str">
        <f>_xlfn.XLOOKUP($A295,表格1[No.],表格1[Unit Price],"---",0)</f>
        <v>---</v>
      </c>
      <c r="J295" t="str">
        <f>_xlfn.XLOOKUP($A295,表格1[No.],表格1[inv no],"---",0)</f>
        <v>---</v>
      </c>
      <c r="K295" t="str">
        <f>_xlfn.XLOOKUP($A295,表格1[No.],表格1[apps report no.],"---",0)</f>
        <v>---</v>
      </c>
    </row>
    <row r="296" spans="2:11">
      <c r="B296" t="str">
        <f>_xlfn.XLOOKUP($A296,表格1[No.],表格1[Shop],"---",0)</f>
        <v>---</v>
      </c>
      <c r="C296" t="str">
        <f>_xlfn.XLOOKUP($A296,表格1[No.],表格1[Location],"---",0)</f>
        <v>---</v>
      </c>
      <c r="D296" t="str">
        <f>_xlfn.XLOOKUP($A296,表格1[No.],表格1[Name],"---",0)</f>
        <v>---</v>
      </c>
      <c r="E296" t="str">
        <f>_xlfn.XLOOKUP($A296,表格1[No.],表格1[month],"---",0)</f>
        <v>---</v>
      </c>
      <c r="F296" s="12" t="str">
        <f>_xlfn.XLOOKUP($A296,表格1[No.],表格1[date],"---",0)</f>
        <v>---</v>
      </c>
      <c r="G296" t="str">
        <f>_xlfn.XLOOKUP($A296,表格1[No.],表格1[Model],"---",0)</f>
        <v>---</v>
      </c>
      <c r="H296" t="str">
        <f>_xlfn.XLOOKUP($A296,表格1[No.],表格1[QTY],"---",0)</f>
        <v>---</v>
      </c>
      <c r="I296" t="str">
        <f>_xlfn.XLOOKUP($A296,表格1[No.],表格1[Unit Price],"---",0)</f>
        <v>---</v>
      </c>
      <c r="J296" t="str">
        <f>_xlfn.XLOOKUP($A296,表格1[No.],表格1[inv no],"---",0)</f>
        <v>---</v>
      </c>
      <c r="K296" t="str">
        <f>_xlfn.XLOOKUP($A296,表格1[No.],表格1[apps report no.],"---",0)</f>
        <v>---</v>
      </c>
    </row>
    <row r="297" spans="2:11">
      <c r="B297" t="str">
        <f>_xlfn.XLOOKUP($A297,表格1[No.],表格1[Shop],"---",0)</f>
        <v>---</v>
      </c>
      <c r="C297" t="str">
        <f>_xlfn.XLOOKUP($A297,表格1[No.],表格1[Location],"---",0)</f>
        <v>---</v>
      </c>
      <c r="D297" t="str">
        <f>_xlfn.XLOOKUP($A297,表格1[No.],表格1[Name],"---",0)</f>
        <v>---</v>
      </c>
      <c r="E297" t="str">
        <f>_xlfn.XLOOKUP($A297,表格1[No.],表格1[month],"---",0)</f>
        <v>---</v>
      </c>
      <c r="F297" s="12" t="str">
        <f>_xlfn.XLOOKUP($A297,表格1[No.],表格1[date],"---",0)</f>
        <v>---</v>
      </c>
      <c r="G297" t="str">
        <f>_xlfn.XLOOKUP($A297,表格1[No.],表格1[Model],"---",0)</f>
        <v>---</v>
      </c>
      <c r="H297" t="str">
        <f>_xlfn.XLOOKUP($A297,表格1[No.],表格1[QTY],"---",0)</f>
        <v>---</v>
      </c>
      <c r="I297" t="str">
        <f>_xlfn.XLOOKUP($A297,表格1[No.],表格1[Unit Price],"---",0)</f>
        <v>---</v>
      </c>
      <c r="J297" t="str">
        <f>_xlfn.XLOOKUP($A297,表格1[No.],表格1[inv no],"---",0)</f>
        <v>---</v>
      </c>
      <c r="K297" t="str">
        <f>_xlfn.XLOOKUP($A297,表格1[No.],表格1[apps report no.],"---",0)</f>
        <v>---</v>
      </c>
    </row>
    <row r="298" spans="2:11">
      <c r="B298" t="str">
        <f>_xlfn.XLOOKUP($A298,表格1[No.],表格1[Shop],"---",0)</f>
        <v>---</v>
      </c>
      <c r="C298" t="str">
        <f>_xlfn.XLOOKUP($A298,表格1[No.],表格1[Location],"---",0)</f>
        <v>---</v>
      </c>
      <c r="D298" t="str">
        <f>_xlfn.XLOOKUP($A298,表格1[No.],表格1[Name],"---",0)</f>
        <v>---</v>
      </c>
      <c r="E298" t="str">
        <f>_xlfn.XLOOKUP($A298,表格1[No.],表格1[month],"---",0)</f>
        <v>---</v>
      </c>
      <c r="F298" s="12" t="str">
        <f>_xlfn.XLOOKUP($A298,表格1[No.],表格1[date],"---",0)</f>
        <v>---</v>
      </c>
      <c r="G298" t="str">
        <f>_xlfn.XLOOKUP($A298,表格1[No.],表格1[Model],"---",0)</f>
        <v>---</v>
      </c>
      <c r="H298" t="str">
        <f>_xlfn.XLOOKUP($A298,表格1[No.],表格1[QTY],"---",0)</f>
        <v>---</v>
      </c>
      <c r="I298" t="str">
        <f>_xlfn.XLOOKUP($A298,表格1[No.],表格1[Unit Price],"---",0)</f>
        <v>---</v>
      </c>
      <c r="J298" t="str">
        <f>_xlfn.XLOOKUP($A298,表格1[No.],表格1[inv no],"---",0)</f>
        <v>---</v>
      </c>
      <c r="K298" t="str">
        <f>_xlfn.XLOOKUP($A298,表格1[No.],表格1[apps report no.],"---",0)</f>
        <v>---</v>
      </c>
    </row>
    <row r="299" spans="2:11">
      <c r="B299" t="str">
        <f>_xlfn.XLOOKUP($A299,表格1[No.],表格1[Shop],"---",0)</f>
        <v>---</v>
      </c>
      <c r="C299" t="str">
        <f>_xlfn.XLOOKUP($A299,表格1[No.],表格1[Location],"---",0)</f>
        <v>---</v>
      </c>
      <c r="D299" t="str">
        <f>_xlfn.XLOOKUP($A299,表格1[No.],表格1[Name],"---",0)</f>
        <v>---</v>
      </c>
      <c r="E299" t="str">
        <f>_xlfn.XLOOKUP($A299,表格1[No.],表格1[month],"---",0)</f>
        <v>---</v>
      </c>
      <c r="F299" s="12" t="str">
        <f>_xlfn.XLOOKUP($A299,表格1[No.],表格1[date],"---",0)</f>
        <v>---</v>
      </c>
      <c r="G299" t="str">
        <f>_xlfn.XLOOKUP($A299,表格1[No.],表格1[Model],"---",0)</f>
        <v>---</v>
      </c>
      <c r="H299" t="str">
        <f>_xlfn.XLOOKUP($A299,表格1[No.],表格1[QTY],"---",0)</f>
        <v>---</v>
      </c>
      <c r="I299" t="str">
        <f>_xlfn.XLOOKUP($A299,表格1[No.],表格1[Unit Price],"---",0)</f>
        <v>---</v>
      </c>
      <c r="J299" t="str">
        <f>_xlfn.XLOOKUP($A299,表格1[No.],表格1[inv no],"---",0)</f>
        <v>---</v>
      </c>
      <c r="K299" t="str">
        <f>_xlfn.XLOOKUP($A299,表格1[No.],表格1[apps report no.],"---",0)</f>
        <v>---</v>
      </c>
    </row>
    <row r="300" spans="2:11">
      <c r="B300" t="str">
        <f>_xlfn.XLOOKUP($A300,表格1[No.],表格1[Shop],"---",0)</f>
        <v>---</v>
      </c>
      <c r="C300" t="str">
        <f>_xlfn.XLOOKUP($A300,表格1[No.],表格1[Location],"---",0)</f>
        <v>---</v>
      </c>
      <c r="D300" t="str">
        <f>_xlfn.XLOOKUP($A300,表格1[No.],表格1[Name],"---",0)</f>
        <v>---</v>
      </c>
      <c r="E300" t="str">
        <f>_xlfn.XLOOKUP($A300,表格1[No.],表格1[month],"---",0)</f>
        <v>---</v>
      </c>
      <c r="F300" s="12" t="str">
        <f>_xlfn.XLOOKUP($A300,表格1[No.],表格1[date],"---",0)</f>
        <v>---</v>
      </c>
      <c r="G300" t="str">
        <f>_xlfn.XLOOKUP($A300,表格1[No.],表格1[Model],"---",0)</f>
        <v>---</v>
      </c>
      <c r="H300" t="str">
        <f>_xlfn.XLOOKUP($A300,表格1[No.],表格1[QTY],"---",0)</f>
        <v>---</v>
      </c>
      <c r="I300" t="str">
        <f>_xlfn.XLOOKUP($A300,表格1[No.],表格1[Unit Price],"---",0)</f>
        <v>---</v>
      </c>
      <c r="J300" t="str">
        <f>_xlfn.XLOOKUP($A300,表格1[No.],表格1[inv no],"---",0)</f>
        <v>---</v>
      </c>
      <c r="K300" t="str">
        <f>_xlfn.XLOOKUP($A300,表格1[No.],表格1[apps report no.],"---",0)</f>
        <v>---</v>
      </c>
    </row>
    <row r="301" spans="2:11">
      <c r="B301" t="str">
        <f>_xlfn.XLOOKUP($A301,表格1[No.],表格1[Shop],"---",0)</f>
        <v>---</v>
      </c>
      <c r="C301" t="str">
        <f>_xlfn.XLOOKUP($A301,表格1[No.],表格1[Location],"---",0)</f>
        <v>---</v>
      </c>
      <c r="D301" t="str">
        <f>_xlfn.XLOOKUP($A301,表格1[No.],表格1[Name],"---",0)</f>
        <v>---</v>
      </c>
      <c r="E301" t="str">
        <f>_xlfn.XLOOKUP($A301,表格1[No.],表格1[month],"---",0)</f>
        <v>---</v>
      </c>
      <c r="F301" s="12" t="str">
        <f>_xlfn.XLOOKUP($A301,表格1[No.],表格1[date],"---",0)</f>
        <v>---</v>
      </c>
      <c r="G301" t="str">
        <f>_xlfn.XLOOKUP($A301,表格1[No.],表格1[Model],"---",0)</f>
        <v>---</v>
      </c>
      <c r="H301" t="str">
        <f>_xlfn.XLOOKUP($A301,表格1[No.],表格1[QTY],"---",0)</f>
        <v>---</v>
      </c>
      <c r="I301" t="str">
        <f>_xlfn.XLOOKUP($A301,表格1[No.],表格1[Unit Price],"---",0)</f>
        <v>---</v>
      </c>
      <c r="J301" t="str">
        <f>_xlfn.XLOOKUP($A301,表格1[No.],表格1[inv no],"---",0)</f>
        <v>---</v>
      </c>
      <c r="K301" t="str">
        <f>_xlfn.XLOOKUP($A301,表格1[No.],表格1[apps report no.],"---",0)</f>
        <v>---</v>
      </c>
    </row>
    <row r="302" spans="2:11">
      <c r="B302" t="str">
        <f>_xlfn.XLOOKUP($A302,表格1[No.],表格1[Shop],"---",0)</f>
        <v>---</v>
      </c>
      <c r="C302" t="str">
        <f>_xlfn.XLOOKUP($A302,表格1[No.],表格1[Location],"---",0)</f>
        <v>---</v>
      </c>
      <c r="D302" t="str">
        <f>_xlfn.XLOOKUP($A302,表格1[No.],表格1[Name],"---",0)</f>
        <v>---</v>
      </c>
      <c r="E302" t="str">
        <f>_xlfn.XLOOKUP($A302,表格1[No.],表格1[month],"---",0)</f>
        <v>---</v>
      </c>
      <c r="F302" s="12" t="str">
        <f>_xlfn.XLOOKUP($A302,表格1[No.],表格1[date],"---",0)</f>
        <v>---</v>
      </c>
      <c r="G302" t="str">
        <f>_xlfn.XLOOKUP($A302,表格1[No.],表格1[Model],"---",0)</f>
        <v>---</v>
      </c>
      <c r="H302" t="str">
        <f>_xlfn.XLOOKUP($A302,表格1[No.],表格1[QTY],"---",0)</f>
        <v>---</v>
      </c>
      <c r="I302" t="str">
        <f>_xlfn.XLOOKUP($A302,表格1[No.],表格1[Unit Price],"---",0)</f>
        <v>---</v>
      </c>
      <c r="J302" t="str">
        <f>_xlfn.XLOOKUP($A302,表格1[No.],表格1[inv no],"---",0)</f>
        <v>---</v>
      </c>
      <c r="K302" t="str">
        <f>_xlfn.XLOOKUP($A302,表格1[No.],表格1[apps report no.],"---",0)</f>
        <v>---</v>
      </c>
    </row>
    <row r="303" spans="2:11">
      <c r="B303" t="str">
        <f>_xlfn.XLOOKUP($A303,表格1[No.],表格1[Shop],"---",0)</f>
        <v>---</v>
      </c>
      <c r="C303" t="str">
        <f>_xlfn.XLOOKUP($A303,表格1[No.],表格1[Location],"---",0)</f>
        <v>---</v>
      </c>
      <c r="D303" t="str">
        <f>_xlfn.XLOOKUP($A303,表格1[No.],表格1[Name],"---",0)</f>
        <v>---</v>
      </c>
      <c r="E303" t="str">
        <f>_xlfn.XLOOKUP($A303,表格1[No.],表格1[month],"---",0)</f>
        <v>---</v>
      </c>
      <c r="F303" s="12" t="str">
        <f>_xlfn.XLOOKUP($A303,表格1[No.],表格1[date],"---",0)</f>
        <v>---</v>
      </c>
      <c r="G303" t="str">
        <f>_xlfn.XLOOKUP($A303,表格1[No.],表格1[Model],"---",0)</f>
        <v>---</v>
      </c>
      <c r="H303" t="str">
        <f>_xlfn.XLOOKUP($A303,表格1[No.],表格1[QTY],"---",0)</f>
        <v>---</v>
      </c>
      <c r="I303" t="str">
        <f>_xlfn.XLOOKUP($A303,表格1[No.],表格1[Unit Price],"---",0)</f>
        <v>---</v>
      </c>
      <c r="J303" t="str">
        <f>_xlfn.XLOOKUP($A303,表格1[No.],表格1[inv no],"---",0)</f>
        <v>---</v>
      </c>
      <c r="K303" t="str">
        <f>_xlfn.XLOOKUP($A303,表格1[No.],表格1[apps report no.],"---",0)</f>
        <v>---</v>
      </c>
    </row>
    <row r="304" spans="2:11">
      <c r="B304" t="str">
        <f>_xlfn.XLOOKUP($A304,表格1[No.],表格1[Shop],"---",0)</f>
        <v>---</v>
      </c>
      <c r="C304" t="str">
        <f>_xlfn.XLOOKUP($A304,表格1[No.],表格1[Location],"---",0)</f>
        <v>---</v>
      </c>
      <c r="D304" t="str">
        <f>_xlfn.XLOOKUP($A304,表格1[No.],表格1[Name],"---",0)</f>
        <v>---</v>
      </c>
      <c r="E304" t="str">
        <f>_xlfn.XLOOKUP($A304,表格1[No.],表格1[month],"---",0)</f>
        <v>---</v>
      </c>
      <c r="F304" s="12" t="str">
        <f>_xlfn.XLOOKUP($A304,表格1[No.],表格1[date],"---",0)</f>
        <v>---</v>
      </c>
      <c r="G304" t="str">
        <f>_xlfn.XLOOKUP($A304,表格1[No.],表格1[Model],"---",0)</f>
        <v>---</v>
      </c>
      <c r="H304" t="str">
        <f>_xlfn.XLOOKUP($A304,表格1[No.],表格1[QTY],"---",0)</f>
        <v>---</v>
      </c>
      <c r="I304" t="str">
        <f>_xlfn.XLOOKUP($A304,表格1[No.],表格1[Unit Price],"---",0)</f>
        <v>---</v>
      </c>
      <c r="J304" t="str">
        <f>_xlfn.XLOOKUP($A304,表格1[No.],表格1[inv no],"---",0)</f>
        <v>---</v>
      </c>
      <c r="K304" t="str">
        <f>_xlfn.XLOOKUP($A304,表格1[No.],表格1[apps report no.],"---",0)</f>
        <v>---</v>
      </c>
    </row>
    <row r="305" spans="2:11">
      <c r="B305" t="str">
        <f>_xlfn.XLOOKUP($A305,表格1[No.],表格1[Shop],"---",0)</f>
        <v>---</v>
      </c>
      <c r="C305" t="str">
        <f>_xlfn.XLOOKUP($A305,表格1[No.],表格1[Location],"---",0)</f>
        <v>---</v>
      </c>
      <c r="D305" t="str">
        <f>_xlfn.XLOOKUP($A305,表格1[No.],表格1[Name],"---",0)</f>
        <v>---</v>
      </c>
      <c r="E305" t="str">
        <f>_xlfn.XLOOKUP($A305,表格1[No.],表格1[month],"---",0)</f>
        <v>---</v>
      </c>
      <c r="F305" s="12" t="str">
        <f>_xlfn.XLOOKUP($A305,表格1[No.],表格1[date],"---",0)</f>
        <v>---</v>
      </c>
      <c r="G305" t="str">
        <f>_xlfn.XLOOKUP($A305,表格1[No.],表格1[Model],"---",0)</f>
        <v>---</v>
      </c>
      <c r="H305" t="str">
        <f>_xlfn.XLOOKUP($A305,表格1[No.],表格1[QTY],"---",0)</f>
        <v>---</v>
      </c>
      <c r="I305" t="str">
        <f>_xlfn.XLOOKUP($A305,表格1[No.],表格1[Unit Price],"---",0)</f>
        <v>---</v>
      </c>
      <c r="J305" t="str">
        <f>_xlfn.XLOOKUP($A305,表格1[No.],表格1[inv no],"---",0)</f>
        <v>---</v>
      </c>
      <c r="K305" t="str">
        <f>_xlfn.XLOOKUP($A305,表格1[No.],表格1[apps report no.],"---",0)</f>
        <v>---</v>
      </c>
    </row>
    <row r="306" spans="2:11">
      <c r="B306" t="str">
        <f>_xlfn.XLOOKUP($A306,表格1[No.],表格1[Shop],"---",0)</f>
        <v>---</v>
      </c>
      <c r="C306" t="str">
        <f>_xlfn.XLOOKUP($A306,表格1[No.],表格1[Location],"---",0)</f>
        <v>---</v>
      </c>
      <c r="D306" t="str">
        <f>_xlfn.XLOOKUP($A306,表格1[No.],表格1[Name],"---",0)</f>
        <v>---</v>
      </c>
      <c r="E306" t="str">
        <f>_xlfn.XLOOKUP($A306,表格1[No.],表格1[month],"---",0)</f>
        <v>---</v>
      </c>
      <c r="F306" s="12" t="str">
        <f>_xlfn.XLOOKUP($A306,表格1[No.],表格1[date],"---",0)</f>
        <v>---</v>
      </c>
      <c r="G306" t="str">
        <f>_xlfn.XLOOKUP($A306,表格1[No.],表格1[Model],"---",0)</f>
        <v>---</v>
      </c>
      <c r="H306" t="str">
        <f>_xlfn.XLOOKUP($A306,表格1[No.],表格1[QTY],"---",0)</f>
        <v>---</v>
      </c>
      <c r="I306" t="str">
        <f>_xlfn.XLOOKUP($A306,表格1[No.],表格1[Unit Price],"---",0)</f>
        <v>---</v>
      </c>
      <c r="J306" t="str">
        <f>_xlfn.XLOOKUP($A306,表格1[No.],表格1[inv no],"---",0)</f>
        <v>---</v>
      </c>
      <c r="K306" t="str">
        <f>_xlfn.XLOOKUP($A306,表格1[No.],表格1[apps report no.],"---",0)</f>
        <v>---</v>
      </c>
    </row>
    <row r="307" spans="2:11">
      <c r="B307" t="str">
        <f>_xlfn.XLOOKUP($A307,表格1[No.],表格1[Shop],"---",0)</f>
        <v>---</v>
      </c>
      <c r="C307" t="str">
        <f>_xlfn.XLOOKUP($A307,表格1[No.],表格1[Location],"---",0)</f>
        <v>---</v>
      </c>
      <c r="D307" t="str">
        <f>_xlfn.XLOOKUP($A307,表格1[No.],表格1[Name],"---",0)</f>
        <v>---</v>
      </c>
      <c r="E307" t="str">
        <f>_xlfn.XLOOKUP($A307,表格1[No.],表格1[month],"---",0)</f>
        <v>---</v>
      </c>
      <c r="F307" s="12" t="str">
        <f>_xlfn.XLOOKUP($A307,表格1[No.],表格1[date],"---",0)</f>
        <v>---</v>
      </c>
      <c r="G307" t="str">
        <f>_xlfn.XLOOKUP($A307,表格1[No.],表格1[Model],"---",0)</f>
        <v>---</v>
      </c>
      <c r="H307" t="str">
        <f>_xlfn.XLOOKUP($A307,表格1[No.],表格1[QTY],"---",0)</f>
        <v>---</v>
      </c>
      <c r="I307" t="str">
        <f>_xlfn.XLOOKUP($A307,表格1[No.],表格1[Unit Price],"---",0)</f>
        <v>---</v>
      </c>
      <c r="J307" t="str">
        <f>_xlfn.XLOOKUP($A307,表格1[No.],表格1[inv no],"---",0)</f>
        <v>---</v>
      </c>
      <c r="K307" t="str">
        <f>_xlfn.XLOOKUP($A307,表格1[No.],表格1[apps report no.],"---",0)</f>
        <v>---</v>
      </c>
    </row>
    <row r="308" spans="2:11">
      <c r="B308" t="str">
        <f>_xlfn.XLOOKUP($A308,表格1[No.],表格1[Shop],"---",0)</f>
        <v>---</v>
      </c>
      <c r="C308" t="str">
        <f>_xlfn.XLOOKUP($A308,表格1[No.],表格1[Location],"---",0)</f>
        <v>---</v>
      </c>
      <c r="D308" t="str">
        <f>_xlfn.XLOOKUP($A308,表格1[No.],表格1[Name],"---",0)</f>
        <v>---</v>
      </c>
      <c r="E308" t="str">
        <f>_xlfn.XLOOKUP($A308,表格1[No.],表格1[month],"---",0)</f>
        <v>---</v>
      </c>
      <c r="F308" s="12" t="str">
        <f>_xlfn.XLOOKUP($A308,表格1[No.],表格1[date],"---",0)</f>
        <v>---</v>
      </c>
      <c r="G308" t="str">
        <f>_xlfn.XLOOKUP($A308,表格1[No.],表格1[Model],"---",0)</f>
        <v>---</v>
      </c>
      <c r="H308" t="str">
        <f>_xlfn.XLOOKUP($A308,表格1[No.],表格1[QTY],"---",0)</f>
        <v>---</v>
      </c>
      <c r="I308" t="str">
        <f>_xlfn.XLOOKUP($A308,表格1[No.],表格1[Unit Price],"---",0)</f>
        <v>---</v>
      </c>
      <c r="J308" t="str">
        <f>_xlfn.XLOOKUP($A308,表格1[No.],表格1[inv no],"---",0)</f>
        <v>---</v>
      </c>
      <c r="K308" t="str">
        <f>_xlfn.XLOOKUP($A308,表格1[No.],表格1[apps report no.],"---",0)</f>
        <v>---</v>
      </c>
    </row>
    <row r="309" spans="2:11">
      <c r="B309" t="str">
        <f>_xlfn.XLOOKUP($A309,表格1[No.],表格1[Shop],"---",0)</f>
        <v>---</v>
      </c>
      <c r="C309" t="str">
        <f>_xlfn.XLOOKUP($A309,表格1[No.],表格1[Location],"---",0)</f>
        <v>---</v>
      </c>
      <c r="D309" t="str">
        <f>_xlfn.XLOOKUP($A309,表格1[No.],表格1[Name],"---",0)</f>
        <v>---</v>
      </c>
      <c r="E309" t="str">
        <f>_xlfn.XLOOKUP($A309,表格1[No.],表格1[month],"---",0)</f>
        <v>---</v>
      </c>
      <c r="F309" s="12" t="str">
        <f>_xlfn.XLOOKUP($A309,表格1[No.],表格1[date],"---",0)</f>
        <v>---</v>
      </c>
      <c r="G309" t="str">
        <f>_xlfn.XLOOKUP($A309,表格1[No.],表格1[Model],"---",0)</f>
        <v>---</v>
      </c>
      <c r="H309" t="str">
        <f>_xlfn.XLOOKUP($A309,表格1[No.],表格1[QTY],"---",0)</f>
        <v>---</v>
      </c>
      <c r="I309" t="str">
        <f>_xlfn.XLOOKUP($A309,表格1[No.],表格1[Unit Price],"---",0)</f>
        <v>---</v>
      </c>
      <c r="J309" t="str">
        <f>_xlfn.XLOOKUP($A309,表格1[No.],表格1[inv no],"---",0)</f>
        <v>---</v>
      </c>
      <c r="K309" t="str">
        <f>_xlfn.XLOOKUP($A309,表格1[No.],表格1[apps report no.],"---",0)</f>
        <v>---</v>
      </c>
    </row>
    <row r="310" spans="2:11">
      <c r="B310" t="str">
        <f>_xlfn.XLOOKUP($A310,表格1[No.],表格1[Shop],"---",0)</f>
        <v>---</v>
      </c>
      <c r="C310" t="str">
        <f>_xlfn.XLOOKUP($A310,表格1[No.],表格1[Location],"---",0)</f>
        <v>---</v>
      </c>
      <c r="D310" t="str">
        <f>_xlfn.XLOOKUP($A310,表格1[No.],表格1[Name],"---",0)</f>
        <v>---</v>
      </c>
      <c r="E310" t="str">
        <f>_xlfn.XLOOKUP($A310,表格1[No.],表格1[month],"---",0)</f>
        <v>---</v>
      </c>
      <c r="F310" s="12" t="str">
        <f>_xlfn.XLOOKUP($A310,表格1[No.],表格1[date],"---",0)</f>
        <v>---</v>
      </c>
      <c r="G310" t="str">
        <f>_xlfn.XLOOKUP($A310,表格1[No.],表格1[Model],"---",0)</f>
        <v>---</v>
      </c>
      <c r="H310" t="str">
        <f>_xlfn.XLOOKUP($A310,表格1[No.],表格1[QTY],"---",0)</f>
        <v>---</v>
      </c>
      <c r="I310" t="str">
        <f>_xlfn.XLOOKUP($A310,表格1[No.],表格1[Unit Price],"---",0)</f>
        <v>---</v>
      </c>
      <c r="J310" t="str">
        <f>_xlfn.XLOOKUP($A310,表格1[No.],表格1[inv no],"---",0)</f>
        <v>---</v>
      </c>
      <c r="K310" t="str">
        <f>_xlfn.XLOOKUP($A310,表格1[No.],表格1[apps report no.],"---",0)</f>
        <v>---</v>
      </c>
    </row>
    <row r="311" spans="2:11">
      <c r="B311" t="str">
        <f>_xlfn.XLOOKUP($A311,表格1[No.],表格1[Shop],"---",0)</f>
        <v>---</v>
      </c>
      <c r="C311" t="str">
        <f>_xlfn.XLOOKUP($A311,表格1[No.],表格1[Location],"---",0)</f>
        <v>---</v>
      </c>
      <c r="D311" t="str">
        <f>_xlfn.XLOOKUP($A311,表格1[No.],表格1[Name],"---",0)</f>
        <v>---</v>
      </c>
      <c r="E311" t="str">
        <f>_xlfn.XLOOKUP($A311,表格1[No.],表格1[month],"---",0)</f>
        <v>---</v>
      </c>
      <c r="F311" s="12" t="str">
        <f>_xlfn.XLOOKUP($A311,表格1[No.],表格1[date],"---",0)</f>
        <v>---</v>
      </c>
      <c r="G311" t="str">
        <f>_xlfn.XLOOKUP($A311,表格1[No.],表格1[Model],"---",0)</f>
        <v>---</v>
      </c>
      <c r="H311" t="str">
        <f>_xlfn.XLOOKUP($A311,表格1[No.],表格1[QTY],"---",0)</f>
        <v>---</v>
      </c>
      <c r="I311" t="str">
        <f>_xlfn.XLOOKUP($A311,表格1[No.],表格1[Unit Price],"---",0)</f>
        <v>---</v>
      </c>
      <c r="J311" t="str">
        <f>_xlfn.XLOOKUP($A311,表格1[No.],表格1[inv no],"---",0)</f>
        <v>---</v>
      </c>
      <c r="K311" t="str">
        <f>_xlfn.XLOOKUP($A311,表格1[No.],表格1[apps report no.],"---",0)</f>
        <v>---</v>
      </c>
    </row>
    <row r="312" spans="2:11">
      <c r="B312" t="str">
        <f>_xlfn.XLOOKUP($A312,表格1[No.],表格1[Shop],"---",0)</f>
        <v>---</v>
      </c>
      <c r="C312" t="str">
        <f>_xlfn.XLOOKUP($A312,表格1[No.],表格1[Location],"---",0)</f>
        <v>---</v>
      </c>
      <c r="D312" t="str">
        <f>_xlfn.XLOOKUP($A312,表格1[No.],表格1[Name],"---",0)</f>
        <v>---</v>
      </c>
      <c r="E312" t="str">
        <f>_xlfn.XLOOKUP($A312,表格1[No.],表格1[month],"---",0)</f>
        <v>---</v>
      </c>
      <c r="F312" s="12" t="str">
        <f>_xlfn.XLOOKUP($A312,表格1[No.],表格1[date],"---",0)</f>
        <v>---</v>
      </c>
      <c r="G312" t="str">
        <f>_xlfn.XLOOKUP($A312,表格1[No.],表格1[Model],"---",0)</f>
        <v>---</v>
      </c>
      <c r="H312" t="str">
        <f>_xlfn.XLOOKUP($A312,表格1[No.],表格1[QTY],"---",0)</f>
        <v>---</v>
      </c>
      <c r="I312" t="str">
        <f>_xlfn.XLOOKUP($A312,表格1[No.],表格1[Unit Price],"---",0)</f>
        <v>---</v>
      </c>
      <c r="J312" t="str">
        <f>_xlfn.XLOOKUP($A312,表格1[No.],表格1[inv no],"---",0)</f>
        <v>---</v>
      </c>
      <c r="K312" t="str">
        <f>_xlfn.XLOOKUP($A312,表格1[No.],表格1[apps report no.],"---",0)</f>
        <v>---</v>
      </c>
    </row>
    <row r="313" spans="2:11">
      <c r="B313" t="str">
        <f>_xlfn.XLOOKUP($A313,表格1[No.],表格1[Shop],"---",0)</f>
        <v>---</v>
      </c>
      <c r="C313" t="str">
        <f>_xlfn.XLOOKUP($A313,表格1[No.],表格1[Location],"---",0)</f>
        <v>---</v>
      </c>
      <c r="D313" t="str">
        <f>_xlfn.XLOOKUP($A313,表格1[No.],表格1[Name],"---",0)</f>
        <v>---</v>
      </c>
      <c r="E313" t="str">
        <f>_xlfn.XLOOKUP($A313,表格1[No.],表格1[month],"---",0)</f>
        <v>---</v>
      </c>
      <c r="F313" s="12" t="str">
        <f>_xlfn.XLOOKUP($A313,表格1[No.],表格1[date],"---",0)</f>
        <v>---</v>
      </c>
      <c r="G313" t="str">
        <f>_xlfn.XLOOKUP($A313,表格1[No.],表格1[Model],"---",0)</f>
        <v>---</v>
      </c>
      <c r="H313" t="str">
        <f>_xlfn.XLOOKUP($A313,表格1[No.],表格1[QTY],"---",0)</f>
        <v>---</v>
      </c>
      <c r="I313" t="str">
        <f>_xlfn.XLOOKUP($A313,表格1[No.],表格1[Unit Price],"---",0)</f>
        <v>---</v>
      </c>
      <c r="J313" t="str">
        <f>_xlfn.XLOOKUP($A313,表格1[No.],表格1[inv no],"---",0)</f>
        <v>---</v>
      </c>
      <c r="K313" t="str">
        <f>_xlfn.XLOOKUP($A313,表格1[No.],表格1[apps report no.],"---",0)</f>
        <v>---</v>
      </c>
    </row>
    <row r="314" spans="2:11">
      <c r="B314" t="str">
        <f>_xlfn.XLOOKUP($A314,表格1[No.],表格1[Shop],"---",0)</f>
        <v>---</v>
      </c>
      <c r="C314" t="str">
        <f>_xlfn.XLOOKUP($A314,表格1[No.],表格1[Location],"---",0)</f>
        <v>---</v>
      </c>
      <c r="D314" t="str">
        <f>_xlfn.XLOOKUP($A314,表格1[No.],表格1[Name],"---",0)</f>
        <v>---</v>
      </c>
      <c r="E314" t="str">
        <f>_xlfn.XLOOKUP($A314,表格1[No.],表格1[month],"---",0)</f>
        <v>---</v>
      </c>
      <c r="F314" s="12" t="str">
        <f>_xlfn.XLOOKUP($A314,表格1[No.],表格1[date],"---",0)</f>
        <v>---</v>
      </c>
      <c r="G314" t="str">
        <f>_xlfn.XLOOKUP($A314,表格1[No.],表格1[Model],"---",0)</f>
        <v>---</v>
      </c>
      <c r="H314" t="str">
        <f>_xlfn.XLOOKUP($A314,表格1[No.],表格1[QTY],"---",0)</f>
        <v>---</v>
      </c>
      <c r="I314" t="str">
        <f>_xlfn.XLOOKUP($A314,表格1[No.],表格1[Unit Price],"---",0)</f>
        <v>---</v>
      </c>
      <c r="J314" t="str">
        <f>_xlfn.XLOOKUP($A314,表格1[No.],表格1[inv no],"---",0)</f>
        <v>---</v>
      </c>
      <c r="K314" t="str">
        <f>_xlfn.XLOOKUP($A314,表格1[No.],表格1[apps report no.],"---",0)</f>
        <v>---</v>
      </c>
    </row>
    <row r="315" spans="2:11">
      <c r="B315" t="str">
        <f>_xlfn.XLOOKUP($A315,表格1[No.],表格1[Shop],"---",0)</f>
        <v>---</v>
      </c>
      <c r="C315" t="str">
        <f>_xlfn.XLOOKUP($A315,表格1[No.],表格1[Location],"---",0)</f>
        <v>---</v>
      </c>
      <c r="D315" t="str">
        <f>_xlfn.XLOOKUP($A315,表格1[No.],表格1[Name],"---",0)</f>
        <v>---</v>
      </c>
      <c r="E315" t="str">
        <f>_xlfn.XLOOKUP($A315,表格1[No.],表格1[month],"---",0)</f>
        <v>---</v>
      </c>
      <c r="F315" s="12" t="str">
        <f>_xlfn.XLOOKUP($A315,表格1[No.],表格1[date],"---",0)</f>
        <v>---</v>
      </c>
      <c r="G315" t="str">
        <f>_xlfn.XLOOKUP($A315,表格1[No.],表格1[Model],"---",0)</f>
        <v>---</v>
      </c>
      <c r="H315" t="str">
        <f>_xlfn.XLOOKUP($A315,表格1[No.],表格1[QTY],"---",0)</f>
        <v>---</v>
      </c>
      <c r="I315" t="str">
        <f>_xlfn.XLOOKUP($A315,表格1[No.],表格1[Unit Price],"---",0)</f>
        <v>---</v>
      </c>
      <c r="J315" t="str">
        <f>_xlfn.XLOOKUP($A315,表格1[No.],表格1[inv no],"---",0)</f>
        <v>---</v>
      </c>
      <c r="K315" t="str">
        <f>_xlfn.XLOOKUP($A315,表格1[No.],表格1[apps report no.],"---",0)</f>
        <v>---</v>
      </c>
    </row>
    <row r="316" spans="2:11">
      <c r="B316" t="str">
        <f>_xlfn.XLOOKUP($A316,表格1[No.],表格1[Shop],"---",0)</f>
        <v>---</v>
      </c>
      <c r="C316" t="str">
        <f>_xlfn.XLOOKUP($A316,表格1[No.],表格1[Location],"---",0)</f>
        <v>---</v>
      </c>
      <c r="D316" t="str">
        <f>_xlfn.XLOOKUP($A316,表格1[No.],表格1[Name],"---",0)</f>
        <v>---</v>
      </c>
      <c r="E316" t="str">
        <f>_xlfn.XLOOKUP($A316,表格1[No.],表格1[month],"---",0)</f>
        <v>---</v>
      </c>
      <c r="F316" s="12" t="str">
        <f>_xlfn.XLOOKUP($A316,表格1[No.],表格1[date],"---",0)</f>
        <v>---</v>
      </c>
      <c r="G316" t="str">
        <f>_xlfn.XLOOKUP($A316,表格1[No.],表格1[Model],"---",0)</f>
        <v>---</v>
      </c>
      <c r="H316" t="str">
        <f>_xlfn.XLOOKUP($A316,表格1[No.],表格1[QTY],"---",0)</f>
        <v>---</v>
      </c>
      <c r="I316" t="str">
        <f>_xlfn.XLOOKUP($A316,表格1[No.],表格1[Unit Price],"---",0)</f>
        <v>---</v>
      </c>
      <c r="J316" t="str">
        <f>_xlfn.XLOOKUP($A316,表格1[No.],表格1[inv no],"---",0)</f>
        <v>---</v>
      </c>
      <c r="K316" t="str">
        <f>_xlfn.XLOOKUP($A316,表格1[No.],表格1[apps report no.],"---",0)</f>
        <v>---</v>
      </c>
    </row>
    <row r="317" spans="2:11">
      <c r="B317" t="str">
        <f>_xlfn.XLOOKUP($A317,表格1[No.],表格1[Shop],"---",0)</f>
        <v>---</v>
      </c>
      <c r="C317" t="str">
        <f>_xlfn.XLOOKUP($A317,表格1[No.],表格1[Location],"---",0)</f>
        <v>---</v>
      </c>
      <c r="D317" t="str">
        <f>_xlfn.XLOOKUP($A317,表格1[No.],表格1[Name],"---",0)</f>
        <v>---</v>
      </c>
      <c r="E317" t="str">
        <f>_xlfn.XLOOKUP($A317,表格1[No.],表格1[month],"---",0)</f>
        <v>---</v>
      </c>
      <c r="F317" s="12" t="str">
        <f>_xlfn.XLOOKUP($A317,表格1[No.],表格1[date],"---",0)</f>
        <v>---</v>
      </c>
      <c r="G317" t="str">
        <f>_xlfn.XLOOKUP($A317,表格1[No.],表格1[Model],"---",0)</f>
        <v>---</v>
      </c>
      <c r="H317" t="str">
        <f>_xlfn.XLOOKUP($A317,表格1[No.],表格1[QTY],"---",0)</f>
        <v>---</v>
      </c>
      <c r="I317" t="str">
        <f>_xlfn.XLOOKUP($A317,表格1[No.],表格1[Unit Price],"---",0)</f>
        <v>---</v>
      </c>
      <c r="J317" t="str">
        <f>_xlfn.XLOOKUP($A317,表格1[No.],表格1[inv no],"---",0)</f>
        <v>---</v>
      </c>
      <c r="K317" t="str">
        <f>_xlfn.XLOOKUP($A317,表格1[No.],表格1[apps report no.],"---",0)</f>
        <v>---</v>
      </c>
    </row>
    <row r="318" spans="2:11">
      <c r="B318" t="str">
        <f>_xlfn.XLOOKUP($A318,表格1[No.],表格1[Shop],"---",0)</f>
        <v>---</v>
      </c>
      <c r="C318" t="str">
        <f>_xlfn.XLOOKUP($A318,表格1[No.],表格1[Location],"---",0)</f>
        <v>---</v>
      </c>
      <c r="D318" t="str">
        <f>_xlfn.XLOOKUP($A318,表格1[No.],表格1[Name],"---",0)</f>
        <v>---</v>
      </c>
      <c r="E318" t="str">
        <f>_xlfn.XLOOKUP($A318,表格1[No.],表格1[month],"---",0)</f>
        <v>---</v>
      </c>
      <c r="F318" s="12" t="str">
        <f>_xlfn.XLOOKUP($A318,表格1[No.],表格1[date],"---",0)</f>
        <v>---</v>
      </c>
      <c r="G318" t="str">
        <f>_xlfn.XLOOKUP($A318,表格1[No.],表格1[Model],"---",0)</f>
        <v>---</v>
      </c>
      <c r="H318" t="str">
        <f>_xlfn.XLOOKUP($A318,表格1[No.],表格1[QTY],"---",0)</f>
        <v>---</v>
      </c>
      <c r="I318" t="str">
        <f>_xlfn.XLOOKUP($A318,表格1[No.],表格1[Unit Price],"---",0)</f>
        <v>---</v>
      </c>
      <c r="J318" t="str">
        <f>_xlfn.XLOOKUP($A318,表格1[No.],表格1[inv no],"---",0)</f>
        <v>---</v>
      </c>
      <c r="K318" t="str">
        <f>_xlfn.XLOOKUP($A318,表格1[No.],表格1[apps report no.],"---",0)</f>
        <v>---</v>
      </c>
    </row>
    <row r="319" spans="2:11">
      <c r="B319" t="str">
        <f>_xlfn.XLOOKUP($A319,表格1[No.],表格1[Shop],"---",0)</f>
        <v>---</v>
      </c>
      <c r="C319" t="str">
        <f>_xlfn.XLOOKUP($A319,表格1[No.],表格1[Location],"---",0)</f>
        <v>---</v>
      </c>
      <c r="D319" t="str">
        <f>_xlfn.XLOOKUP($A319,表格1[No.],表格1[Name],"---",0)</f>
        <v>---</v>
      </c>
      <c r="E319" t="str">
        <f>_xlfn.XLOOKUP($A319,表格1[No.],表格1[month],"---",0)</f>
        <v>---</v>
      </c>
      <c r="F319" s="12" t="str">
        <f>_xlfn.XLOOKUP($A319,表格1[No.],表格1[date],"---",0)</f>
        <v>---</v>
      </c>
      <c r="G319" t="str">
        <f>_xlfn.XLOOKUP($A319,表格1[No.],表格1[Model],"---",0)</f>
        <v>---</v>
      </c>
      <c r="H319" t="str">
        <f>_xlfn.XLOOKUP($A319,表格1[No.],表格1[QTY],"---",0)</f>
        <v>---</v>
      </c>
      <c r="I319" t="str">
        <f>_xlfn.XLOOKUP($A319,表格1[No.],表格1[Unit Price],"---",0)</f>
        <v>---</v>
      </c>
      <c r="J319" t="str">
        <f>_xlfn.XLOOKUP($A319,表格1[No.],表格1[inv no],"---",0)</f>
        <v>---</v>
      </c>
      <c r="K319" t="str">
        <f>_xlfn.XLOOKUP($A319,表格1[No.],表格1[apps report no.],"---",0)</f>
        <v>---</v>
      </c>
    </row>
    <row r="320" spans="2:11">
      <c r="B320" t="str">
        <f>_xlfn.XLOOKUP($A320,表格1[No.],表格1[Shop],"---",0)</f>
        <v>---</v>
      </c>
      <c r="C320" t="str">
        <f>_xlfn.XLOOKUP($A320,表格1[No.],表格1[Location],"---",0)</f>
        <v>---</v>
      </c>
      <c r="D320" t="str">
        <f>_xlfn.XLOOKUP($A320,表格1[No.],表格1[Name],"---",0)</f>
        <v>---</v>
      </c>
      <c r="E320" t="str">
        <f>_xlfn.XLOOKUP($A320,表格1[No.],表格1[month],"---",0)</f>
        <v>---</v>
      </c>
      <c r="F320" s="12" t="str">
        <f>_xlfn.XLOOKUP($A320,表格1[No.],表格1[date],"---",0)</f>
        <v>---</v>
      </c>
      <c r="G320" t="str">
        <f>_xlfn.XLOOKUP($A320,表格1[No.],表格1[Model],"---",0)</f>
        <v>---</v>
      </c>
      <c r="H320" t="str">
        <f>_xlfn.XLOOKUP($A320,表格1[No.],表格1[QTY],"---",0)</f>
        <v>---</v>
      </c>
      <c r="I320" t="str">
        <f>_xlfn.XLOOKUP($A320,表格1[No.],表格1[Unit Price],"---",0)</f>
        <v>---</v>
      </c>
      <c r="J320" t="str">
        <f>_xlfn.XLOOKUP($A320,表格1[No.],表格1[inv no],"---",0)</f>
        <v>---</v>
      </c>
      <c r="K320" t="str">
        <f>_xlfn.XLOOKUP($A320,表格1[No.],表格1[apps report no.],"---",0)</f>
        <v>---</v>
      </c>
    </row>
    <row r="321" spans="2:11">
      <c r="B321" t="str">
        <f>_xlfn.XLOOKUP($A321,表格1[No.],表格1[Shop],"---",0)</f>
        <v>---</v>
      </c>
      <c r="C321" t="str">
        <f>_xlfn.XLOOKUP($A321,表格1[No.],表格1[Location],"---",0)</f>
        <v>---</v>
      </c>
      <c r="D321" t="str">
        <f>_xlfn.XLOOKUP($A321,表格1[No.],表格1[Name],"---",0)</f>
        <v>---</v>
      </c>
      <c r="E321" t="str">
        <f>_xlfn.XLOOKUP($A321,表格1[No.],表格1[month],"---",0)</f>
        <v>---</v>
      </c>
      <c r="F321" s="12" t="str">
        <f>_xlfn.XLOOKUP($A321,表格1[No.],表格1[date],"---",0)</f>
        <v>---</v>
      </c>
      <c r="G321" t="str">
        <f>_xlfn.XLOOKUP($A321,表格1[No.],表格1[Model],"---",0)</f>
        <v>---</v>
      </c>
      <c r="H321" t="str">
        <f>_xlfn.XLOOKUP($A321,表格1[No.],表格1[QTY],"---",0)</f>
        <v>---</v>
      </c>
      <c r="I321" t="str">
        <f>_xlfn.XLOOKUP($A321,表格1[No.],表格1[Unit Price],"---",0)</f>
        <v>---</v>
      </c>
      <c r="J321" t="str">
        <f>_xlfn.XLOOKUP($A321,表格1[No.],表格1[inv no],"---",0)</f>
        <v>---</v>
      </c>
      <c r="K321" t="str">
        <f>_xlfn.XLOOKUP($A321,表格1[No.],表格1[apps report no.],"---",0)</f>
        <v>---</v>
      </c>
    </row>
    <row r="322" spans="2:11">
      <c r="B322" t="str">
        <f>_xlfn.XLOOKUP($A322,表格1[No.],表格1[Shop],"---",0)</f>
        <v>---</v>
      </c>
      <c r="C322" t="str">
        <f>_xlfn.XLOOKUP($A322,表格1[No.],表格1[Location],"---",0)</f>
        <v>---</v>
      </c>
      <c r="D322" t="str">
        <f>_xlfn.XLOOKUP($A322,表格1[No.],表格1[Name],"---",0)</f>
        <v>---</v>
      </c>
      <c r="E322" t="str">
        <f>_xlfn.XLOOKUP($A322,表格1[No.],表格1[month],"---",0)</f>
        <v>---</v>
      </c>
      <c r="F322" s="12" t="str">
        <f>_xlfn.XLOOKUP($A322,表格1[No.],表格1[date],"---",0)</f>
        <v>---</v>
      </c>
      <c r="G322" t="str">
        <f>_xlfn.XLOOKUP($A322,表格1[No.],表格1[Model],"---",0)</f>
        <v>---</v>
      </c>
      <c r="H322" t="str">
        <f>_xlfn.XLOOKUP($A322,表格1[No.],表格1[QTY],"---",0)</f>
        <v>---</v>
      </c>
      <c r="I322" t="str">
        <f>_xlfn.XLOOKUP($A322,表格1[No.],表格1[Unit Price],"---",0)</f>
        <v>---</v>
      </c>
      <c r="J322" t="str">
        <f>_xlfn.XLOOKUP($A322,表格1[No.],表格1[inv no],"---",0)</f>
        <v>---</v>
      </c>
      <c r="K322" t="str">
        <f>_xlfn.XLOOKUP($A322,表格1[No.],表格1[apps report no.],"---",0)</f>
        <v>---</v>
      </c>
    </row>
    <row r="323" spans="2:11">
      <c r="B323" t="str">
        <f>_xlfn.XLOOKUP($A323,表格1[No.],表格1[Shop],"---",0)</f>
        <v>---</v>
      </c>
      <c r="C323" t="str">
        <f>_xlfn.XLOOKUP($A323,表格1[No.],表格1[Location],"---",0)</f>
        <v>---</v>
      </c>
      <c r="D323" t="str">
        <f>_xlfn.XLOOKUP($A323,表格1[No.],表格1[Name],"---",0)</f>
        <v>---</v>
      </c>
      <c r="E323" t="str">
        <f>_xlfn.XLOOKUP($A323,表格1[No.],表格1[month],"---",0)</f>
        <v>---</v>
      </c>
      <c r="F323" s="12" t="str">
        <f>_xlfn.XLOOKUP($A323,表格1[No.],表格1[date],"---",0)</f>
        <v>---</v>
      </c>
      <c r="G323" t="str">
        <f>_xlfn.XLOOKUP($A323,表格1[No.],表格1[Model],"---",0)</f>
        <v>---</v>
      </c>
      <c r="H323" t="str">
        <f>_xlfn.XLOOKUP($A323,表格1[No.],表格1[QTY],"---",0)</f>
        <v>---</v>
      </c>
      <c r="I323" t="str">
        <f>_xlfn.XLOOKUP($A323,表格1[No.],表格1[Unit Price],"---",0)</f>
        <v>---</v>
      </c>
      <c r="J323" t="str">
        <f>_xlfn.XLOOKUP($A323,表格1[No.],表格1[inv no],"---",0)</f>
        <v>---</v>
      </c>
      <c r="K323" t="str">
        <f>_xlfn.XLOOKUP($A323,表格1[No.],表格1[apps report no.],"---",0)</f>
        <v>---</v>
      </c>
    </row>
    <row r="324" spans="2:11">
      <c r="B324" t="str">
        <f>_xlfn.XLOOKUP($A324,表格1[No.],表格1[Shop],"---",0)</f>
        <v>---</v>
      </c>
      <c r="C324" t="str">
        <f>_xlfn.XLOOKUP($A324,表格1[No.],表格1[Location],"---",0)</f>
        <v>---</v>
      </c>
      <c r="D324" t="str">
        <f>_xlfn.XLOOKUP($A324,表格1[No.],表格1[Name],"---",0)</f>
        <v>---</v>
      </c>
      <c r="E324" t="str">
        <f>_xlfn.XLOOKUP($A324,表格1[No.],表格1[month],"---",0)</f>
        <v>---</v>
      </c>
      <c r="F324" s="12" t="str">
        <f>_xlfn.XLOOKUP($A324,表格1[No.],表格1[date],"---",0)</f>
        <v>---</v>
      </c>
      <c r="G324" t="str">
        <f>_xlfn.XLOOKUP($A324,表格1[No.],表格1[Model],"---",0)</f>
        <v>---</v>
      </c>
      <c r="H324" t="str">
        <f>_xlfn.XLOOKUP($A324,表格1[No.],表格1[QTY],"---",0)</f>
        <v>---</v>
      </c>
      <c r="I324" t="str">
        <f>_xlfn.XLOOKUP($A324,表格1[No.],表格1[Unit Price],"---",0)</f>
        <v>---</v>
      </c>
      <c r="J324" t="str">
        <f>_xlfn.XLOOKUP($A324,表格1[No.],表格1[inv no],"---",0)</f>
        <v>---</v>
      </c>
      <c r="K324" t="str">
        <f>_xlfn.XLOOKUP($A324,表格1[No.],表格1[apps report no.],"---",0)</f>
        <v>---</v>
      </c>
    </row>
    <row r="325" spans="2:11">
      <c r="B325" t="str">
        <f>_xlfn.XLOOKUP($A325,表格1[No.],表格1[Shop],"---",0)</f>
        <v>---</v>
      </c>
      <c r="C325" t="str">
        <f>_xlfn.XLOOKUP($A325,表格1[No.],表格1[Location],"---",0)</f>
        <v>---</v>
      </c>
      <c r="D325" t="str">
        <f>_xlfn.XLOOKUP($A325,表格1[No.],表格1[Name],"---",0)</f>
        <v>---</v>
      </c>
      <c r="E325" t="str">
        <f>_xlfn.XLOOKUP($A325,表格1[No.],表格1[month],"---",0)</f>
        <v>---</v>
      </c>
      <c r="F325" s="12" t="str">
        <f>_xlfn.XLOOKUP($A325,表格1[No.],表格1[date],"---",0)</f>
        <v>---</v>
      </c>
      <c r="G325" t="str">
        <f>_xlfn.XLOOKUP($A325,表格1[No.],表格1[Model],"---",0)</f>
        <v>---</v>
      </c>
      <c r="H325" t="str">
        <f>_xlfn.XLOOKUP($A325,表格1[No.],表格1[QTY],"---",0)</f>
        <v>---</v>
      </c>
      <c r="I325" t="str">
        <f>_xlfn.XLOOKUP($A325,表格1[No.],表格1[Unit Price],"---",0)</f>
        <v>---</v>
      </c>
      <c r="J325" t="str">
        <f>_xlfn.XLOOKUP($A325,表格1[No.],表格1[inv no],"---",0)</f>
        <v>---</v>
      </c>
      <c r="K325" t="str">
        <f>_xlfn.XLOOKUP($A325,表格1[No.],表格1[apps report no.],"---",0)</f>
        <v>---</v>
      </c>
    </row>
    <row r="326" spans="2:11">
      <c r="B326" t="str">
        <f>_xlfn.XLOOKUP($A326,表格1[No.],表格1[Shop],"---",0)</f>
        <v>---</v>
      </c>
      <c r="C326" t="str">
        <f>_xlfn.XLOOKUP($A326,表格1[No.],表格1[Location],"---",0)</f>
        <v>---</v>
      </c>
      <c r="D326" t="str">
        <f>_xlfn.XLOOKUP($A326,表格1[No.],表格1[Name],"---",0)</f>
        <v>---</v>
      </c>
      <c r="E326" t="str">
        <f>_xlfn.XLOOKUP($A326,表格1[No.],表格1[month],"---",0)</f>
        <v>---</v>
      </c>
      <c r="F326" s="12" t="str">
        <f>_xlfn.XLOOKUP($A326,表格1[No.],表格1[date],"---",0)</f>
        <v>---</v>
      </c>
      <c r="G326" t="str">
        <f>_xlfn.XLOOKUP($A326,表格1[No.],表格1[Model],"---",0)</f>
        <v>---</v>
      </c>
      <c r="H326" t="str">
        <f>_xlfn.XLOOKUP($A326,表格1[No.],表格1[QTY],"---",0)</f>
        <v>---</v>
      </c>
      <c r="I326" t="str">
        <f>_xlfn.XLOOKUP($A326,表格1[No.],表格1[Unit Price],"---",0)</f>
        <v>---</v>
      </c>
      <c r="J326" t="str">
        <f>_xlfn.XLOOKUP($A326,表格1[No.],表格1[inv no],"---",0)</f>
        <v>---</v>
      </c>
      <c r="K326" t="str">
        <f>_xlfn.XLOOKUP($A326,表格1[No.],表格1[apps report no.],"---",0)</f>
        <v>---</v>
      </c>
    </row>
    <row r="327" spans="2:11">
      <c r="B327" t="str">
        <f>_xlfn.XLOOKUP($A327,表格1[No.],表格1[Shop],"---",0)</f>
        <v>---</v>
      </c>
      <c r="C327" t="str">
        <f>_xlfn.XLOOKUP($A327,表格1[No.],表格1[Location],"---",0)</f>
        <v>---</v>
      </c>
      <c r="D327" t="str">
        <f>_xlfn.XLOOKUP($A327,表格1[No.],表格1[Name],"---",0)</f>
        <v>---</v>
      </c>
      <c r="E327" t="str">
        <f>_xlfn.XLOOKUP($A327,表格1[No.],表格1[month],"---",0)</f>
        <v>---</v>
      </c>
      <c r="F327" s="12" t="str">
        <f>_xlfn.XLOOKUP($A327,表格1[No.],表格1[date],"---",0)</f>
        <v>---</v>
      </c>
      <c r="G327" t="str">
        <f>_xlfn.XLOOKUP($A327,表格1[No.],表格1[Model],"---",0)</f>
        <v>---</v>
      </c>
      <c r="H327" t="str">
        <f>_xlfn.XLOOKUP($A327,表格1[No.],表格1[QTY],"---",0)</f>
        <v>---</v>
      </c>
      <c r="I327" t="str">
        <f>_xlfn.XLOOKUP($A327,表格1[No.],表格1[Unit Price],"---",0)</f>
        <v>---</v>
      </c>
      <c r="J327" t="str">
        <f>_xlfn.XLOOKUP($A327,表格1[No.],表格1[inv no],"---",0)</f>
        <v>---</v>
      </c>
      <c r="K327" t="str">
        <f>_xlfn.XLOOKUP($A327,表格1[No.],表格1[apps report no.],"---",0)</f>
        <v>---</v>
      </c>
    </row>
    <row r="328" spans="2:11">
      <c r="B328" t="str">
        <f>_xlfn.XLOOKUP($A328,表格1[No.],表格1[Shop],"---",0)</f>
        <v>---</v>
      </c>
      <c r="C328" t="str">
        <f>_xlfn.XLOOKUP($A328,表格1[No.],表格1[Location],"---",0)</f>
        <v>---</v>
      </c>
      <c r="D328" t="str">
        <f>_xlfn.XLOOKUP($A328,表格1[No.],表格1[Name],"---",0)</f>
        <v>---</v>
      </c>
      <c r="E328" t="str">
        <f>_xlfn.XLOOKUP($A328,表格1[No.],表格1[month],"---",0)</f>
        <v>---</v>
      </c>
      <c r="F328" s="12" t="str">
        <f>_xlfn.XLOOKUP($A328,表格1[No.],表格1[date],"---",0)</f>
        <v>---</v>
      </c>
      <c r="G328" t="str">
        <f>_xlfn.XLOOKUP($A328,表格1[No.],表格1[Model],"---",0)</f>
        <v>---</v>
      </c>
      <c r="H328" t="str">
        <f>_xlfn.XLOOKUP($A328,表格1[No.],表格1[QTY],"---",0)</f>
        <v>---</v>
      </c>
      <c r="I328" t="str">
        <f>_xlfn.XLOOKUP($A328,表格1[No.],表格1[Unit Price],"---",0)</f>
        <v>---</v>
      </c>
      <c r="J328" t="str">
        <f>_xlfn.XLOOKUP($A328,表格1[No.],表格1[inv no],"---",0)</f>
        <v>---</v>
      </c>
      <c r="K328" t="str">
        <f>_xlfn.XLOOKUP($A328,表格1[No.],表格1[apps report no.],"---",0)</f>
        <v>---</v>
      </c>
    </row>
    <row r="329" spans="2:11">
      <c r="B329" t="str">
        <f>_xlfn.XLOOKUP($A329,表格1[No.],表格1[Shop],"---",0)</f>
        <v>---</v>
      </c>
      <c r="C329" t="str">
        <f>_xlfn.XLOOKUP($A329,表格1[No.],表格1[Location],"---",0)</f>
        <v>---</v>
      </c>
      <c r="D329" t="str">
        <f>_xlfn.XLOOKUP($A329,表格1[No.],表格1[Name],"---",0)</f>
        <v>---</v>
      </c>
      <c r="E329" t="str">
        <f>_xlfn.XLOOKUP($A329,表格1[No.],表格1[month],"---",0)</f>
        <v>---</v>
      </c>
      <c r="F329" s="12" t="str">
        <f>_xlfn.XLOOKUP($A329,表格1[No.],表格1[date],"---",0)</f>
        <v>---</v>
      </c>
      <c r="G329" t="str">
        <f>_xlfn.XLOOKUP($A329,表格1[No.],表格1[Model],"---",0)</f>
        <v>---</v>
      </c>
      <c r="H329" t="str">
        <f>_xlfn.XLOOKUP($A329,表格1[No.],表格1[QTY],"---",0)</f>
        <v>---</v>
      </c>
      <c r="I329" t="str">
        <f>_xlfn.XLOOKUP($A329,表格1[No.],表格1[Unit Price],"---",0)</f>
        <v>---</v>
      </c>
      <c r="J329" t="str">
        <f>_xlfn.XLOOKUP($A329,表格1[No.],表格1[inv no],"---",0)</f>
        <v>---</v>
      </c>
      <c r="K329" t="str">
        <f>_xlfn.XLOOKUP($A329,表格1[No.],表格1[apps report no.],"---",0)</f>
        <v>---</v>
      </c>
    </row>
    <row r="330" spans="2:11">
      <c r="B330" t="str">
        <f>_xlfn.XLOOKUP($A330,表格1[No.],表格1[Shop],"---",0)</f>
        <v>---</v>
      </c>
      <c r="C330" t="str">
        <f>_xlfn.XLOOKUP($A330,表格1[No.],表格1[Location],"---",0)</f>
        <v>---</v>
      </c>
      <c r="D330" t="str">
        <f>_xlfn.XLOOKUP($A330,表格1[No.],表格1[Name],"---",0)</f>
        <v>---</v>
      </c>
      <c r="E330" t="str">
        <f>_xlfn.XLOOKUP($A330,表格1[No.],表格1[month],"---",0)</f>
        <v>---</v>
      </c>
      <c r="F330" s="12" t="str">
        <f>_xlfn.XLOOKUP($A330,表格1[No.],表格1[date],"---",0)</f>
        <v>---</v>
      </c>
      <c r="G330" t="str">
        <f>_xlfn.XLOOKUP($A330,表格1[No.],表格1[Model],"---",0)</f>
        <v>---</v>
      </c>
      <c r="H330" t="str">
        <f>_xlfn.XLOOKUP($A330,表格1[No.],表格1[QTY],"---",0)</f>
        <v>---</v>
      </c>
      <c r="I330" t="str">
        <f>_xlfn.XLOOKUP($A330,表格1[No.],表格1[Unit Price],"---",0)</f>
        <v>---</v>
      </c>
      <c r="J330" t="str">
        <f>_xlfn.XLOOKUP($A330,表格1[No.],表格1[inv no],"---",0)</f>
        <v>---</v>
      </c>
      <c r="K330" t="str">
        <f>_xlfn.XLOOKUP($A330,表格1[No.],表格1[apps report no.],"---",0)</f>
        <v>---</v>
      </c>
    </row>
    <row r="331" spans="2:11">
      <c r="B331" t="str">
        <f>_xlfn.XLOOKUP($A331,表格1[No.],表格1[Shop],"---",0)</f>
        <v>---</v>
      </c>
      <c r="C331" t="str">
        <f>_xlfn.XLOOKUP($A331,表格1[No.],表格1[Location],"---",0)</f>
        <v>---</v>
      </c>
      <c r="D331" t="str">
        <f>_xlfn.XLOOKUP($A331,表格1[No.],表格1[Name],"---",0)</f>
        <v>---</v>
      </c>
      <c r="E331" t="str">
        <f>_xlfn.XLOOKUP($A331,表格1[No.],表格1[month],"---",0)</f>
        <v>---</v>
      </c>
      <c r="F331" s="12" t="str">
        <f>_xlfn.XLOOKUP($A331,表格1[No.],表格1[date],"---",0)</f>
        <v>---</v>
      </c>
      <c r="G331" t="str">
        <f>_xlfn.XLOOKUP($A331,表格1[No.],表格1[Model],"---",0)</f>
        <v>---</v>
      </c>
      <c r="H331" t="str">
        <f>_xlfn.XLOOKUP($A331,表格1[No.],表格1[QTY],"---",0)</f>
        <v>---</v>
      </c>
      <c r="I331" t="str">
        <f>_xlfn.XLOOKUP($A331,表格1[No.],表格1[Unit Price],"---",0)</f>
        <v>---</v>
      </c>
      <c r="J331" t="str">
        <f>_xlfn.XLOOKUP($A331,表格1[No.],表格1[inv no],"---",0)</f>
        <v>---</v>
      </c>
      <c r="K331" t="str">
        <f>_xlfn.XLOOKUP($A331,表格1[No.],表格1[apps report no.],"---",0)</f>
        <v>---</v>
      </c>
    </row>
    <row r="332" spans="2:11">
      <c r="B332" t="str">
        <f>_xlfn.XLOOKUP($A332,表格1[No.],表格1[Shop],"---",0)</f>
        <v>---</v>
      </c>
      <c r="C332" t="str">
        <f>_xlfn.XLOOKUP($A332,表格1[No.],表格1[Location],"---",0)</f>
        <v>---</v>
      </c>
      <c r="D332" t="str">
        <f>_xlfn.XLOOKUP($A332,表格1[No.],表格1[Name],"---",0)</f>
        <v>---</v>
      </c>
      <c r="E332" t="str">
        <f>_xlfn.XLOOKUP($A332,表格1[No.],表格1[month],"---",0)</f>
        <v>---</v>
      </c>
      <c r="F332" s="12" t="str">
        <f>_xlfn.XLOOKUP($A332,表格1[No.],表格1[date],"---",0)</f>
        <v>---</v>
      </c>
      <c r="G332" t="str">
        <f>_xlfn.XLOOKUP($A332,表格1[No.],表格1[Model],"---",0)</f>
        <v>---</v>
      </c>
      <c r="H332" t="str">
        <f>_xlfn.XLOOKUP($A332,表格1[No.],表格1[QTY],"---",0)</f>
        <v>---</v>
      </c>
      <c r="I332" t="str">
        <f>_xlfn.XLOOKUP($A332,表格1[No.],表格1[Unit Price],"---",0)</f>
        <v>---</v>
      </c>
      <c r="J332" t="str">
        <f>_xlfn.XLOOKUP($A332,表格1[No.],表格1[inv no],"---",0)</f>
        <v>---</v>
      </c>
      <c r="K332" t="str">
        <f>_xlfn.XLOOKUP($A332,表格1[No.],表格1[apps report no.],"---",0)</f>
        <v>---</v>
      </c>
    </row>
    <row r="333" spans="2:11">
      <c r="B333" t="str">
        <f>_xlfn.XLOOKUP($A333,表格1[No.],表格1[Shop],"---",0)</f>
        <v>---</v>
      </c>
      <c r="C333" t="str">
        <f>_xlfn.XLOOKUP($A333,表格1[No.],表格1[Location],"---",0)</f>
        <v>---</v>
      </c>
      <c r="D333" t="str">
        <f>_xlfn.XLOOKUP($A333,表格1[No.],表格1[Name],"---",0)</f>
        <v>---</v>
      </c>
      <c r="E333" t="str">
        <f>_xlfn.XLOOKUP($A333,表格1[No.],表格1[month],"---",0)</f>
        <v>---</v>
      </c>
      <c r="F333" s="12" t="str">
        <f>_xlfn.XLOOKUP($A333,表格1[No.],表格1[date],"---",0)</f>
        <v>---</v>
      </c>
      <c r="G333" t="str">
        <f>_xlfn.XLOOKUP($A333,表格1[No.],表格1[Model],"---",0)</f>
        <v>---</v>
      </c>
      <c r="H333" t="str">
        <f>_xlfn.XLOOKUP($A333,表格1[No.],表格1[QTY],"---",0)</f>
        <v>---</v>
      </c>
      <c r="I333" t="str">
        <f>_xlfn.XLOOKUP($A333,表格1[No.],表格1[Unit Price],"---",0)</f>
        <v>---</v>
      </c>
      <c r="J333" t="str">
        <f>_xlfn.XLOOKUP($A333,表格1[No.],表格1[inv no],"---",0)</f>
        <v>---</v>
      </c>
      <c r="K333" t="str">
        <f>_xlfn.XLOOKUP($A333,表格1[No.],表格1[apps report no.],"---",0)</f>
        <v>---</v>
      </c>
    </row>
    <row r="334" spans="2:11">
      <c r="B334" t="str">
        <f>_xlfn.XLOOKUP($A334,表格1[No.],表格1[Shop],"---",0)</f>
        <v>---</v>
      </c>
      <c r="C334" t="str">
        <f>_xlfn.XLOOKUP($A334,表格1[No.],表格1[Location],"---",0)</f>
        <v>---</v>
      </c>
      <c r="D334" t="str">
        <f>_xlfn.XLOOKUP($A334,表格1[No.],表格1[Name],"---",0)</f>
        <v>---</v>
      </c>
      <c r="E334" t="str">
        <f>_xlfn.XLOOKUP($A334,表格1[No.],表格1[month],"---",0)</f>
        <v>---</v>
      </c>
      <c r="F334" s="12" t="str">
        <f>_xlfn.XLOOKUP($A334,表格1[No.],表格1[date],"---",0)</f>
        <v>---</v>
      </c>
      <c r="G334" t="str">
        <f>_xlfn.XLOOKUP($A334,表格1[No.],表格1[Model],"---",0)</f>
        <v>---</v>
      </c>
      <c r="H334" t="str">
        <f>_xlfn.XLOOKUP($A334,表格1[No.],表格1[QTY],"---",0)</f>
        <v>---</v>
      </c>
      <c r="I334" t="str">
        <f>_xlfn.XLOOKUP($A334,表格1[No.],表格1[Unit Price],"---",0)</f>
        <v>---</v>
      </c>
      <c r="J334" t="str">
        <f>_xlfn.XLOOKUP($A334,表格1[No.],表格1[inv no],"---",0)</f>
        <v>---</v>
      </c>
      <c r="K334" t="str">
        <f>_xlfn.XLOOKUP($A334,表格1[No.],表格1[apps report no.],"---",0)</f>
        <v>---</v>
      </c>
    </row>
    <row r="335" spans="2:11">
      <c r="B335" t="str">
        <f>_xlfn.XLOOKUP($A335,表格1[No.],表格1[Shop],"---",0)</f>
        <v>---</v>
      </c>
      <c r="C335" t="str">
        <f>_xlfn.XLOOKUP($A335,表格1[No.],表格1[Location],"---",0)</f>
        <v>---</v>
      </c>
      <c r="D335" t="str">
        <f>_xlfn.XLOOKUP($A335,表格1[No.],表格1[Name],"---",0)</f>
        <v>---</v>
      </c>
      <c r="E335" t="str">
        <f>_xlfn.XLOOKUP($A335,表格1[No.],表格1[month],"---",0)</f>
        <v>---</v>
      </c>
      <c r="F335" s="12" t="str">
        <f>_xlfn.XLOOKUP($A335,表格1[No.],表格1[date],"---",0)</f>
        <v>---</v>
      </c>
      <c r="G335" t="str">
        <f>_xlfn.XLOOKUP($A335,表格1[No.],表格1[Model],"---",0)</f>
        <v>---</v>
      </c>
      <c r="H335" t="str">
        <f>_xlfn.XLOOKUP($A335,表格1[No.],表格1[QTY],"---",0)</f>
        <v>---</v>
      </c>
      <c r="I335" t="str">
        <f>_xlfn.XLOOKUP($A335,表格1[No.],表格1[Unit Price],"---",0)</f>
        <v>---</v>
      </c>
      <c r="J335" t="str">
        <f>_xlfn.XLOOKUP($A335,表格1[No.],表格1[inv no],"---",0)</f>
        <v>---</v>
      </c>
      <c r="K335" t="str">
        <f>_xlfn.XLOOKUP($A335,表格1[No.],表格1[apps report no.],"---",0)</f>
        <v>---</v>
      </c>
    </row>
    <row r="336" spans="2:11">
      <c r="B336" t="str">
        <f>_xlfn.XLOOKUP($A336,表格1[No.],表格1[Shop],"---",0)</f>
        <v>---</v>
      </c>
      <c r="C336" t="str">
        <f>_xlfn.XLOOKUP($A336,表格1[No.],表格1[Location],"---",0)</f>
        <v>---</v>
      </c>
      <c r="D336" t="str">
        <f>_xlfn.XLOOKUP($A336,表格1[No.],表格1[Name],"---",0)</f>
        <v>---</v>
      </c>
      <c r="E336" t="str">
        <f>_xlfn.XLOOKUP($A336,表格1[No.],表格1[month],"---",0)</f>
        <v>---</v>
      </c>
      <c r="F336" s="12" t="str">
        <f>_xlfn.XLOOKUP($A336,表格1[No.],表格1[date],"---",0)</f>
        <v>---</v>
      </c>
      <c r="G336" t="str">
        <f>_xlfn.XLOOKUP($A336,表格1[No.],表格1[Model],"---",0)</f>
        <v>---</v>
      </c>
      <c r="H336" t="str">
        <f>_xlfn.XLOOKUP($A336,表格1[No.],表格1[QTY],"---",0)</f>
        <v>---</v>
      </c>
      <c r="I336" t="str">
        <f>_xlfn.XLOOKUP($A336,表格1[No.],表格1[Unit Price],"---",0)</f>
        <v>---</v>
      </c>
      <c r="J336" t="str">
        <f>_xlfn.XLOOKUP($A336,表格1[No.],表格1[inv no],"---",0)</f>
        <v>---</v>
      </c>
      <c r="K336" t="str">
        <f>_xlfn.XLOOKUP($A336,表格1[No.],表格1[apps report no.],"---",0)</f>
        <v>---</v>
      </c>
    </row>
    <row r="337" spans="2:11">
      <c r="B337" t="str">
        <f>_xlfn.XLOOKUP($A337,表格1[No.],表格1[Shop],"---",0)</f>
        <v>---</v>
      </c>
      <c r="C337" t="str">
        <f>_xlfn.XLOOKUP($A337,表格1[No.],表格1[Location],"---",0)</f>
        <v>---</v>
      </c>
      <c r="D337" t="str">
        <f>_xlfn.XLOOKUP($A337,表格1[No.],表格1[Name],"---",0)</f>
        <v>---</v>
      </c>
      <c r="E337" t="str">
        <f>_xlfn.XLOOKUP($A337,表格1[No.],表格1[month],"---",0)</f>
        <v>---</v>
      </c>
      <c r="F337" s="12" t="str">
        <f>_xlfn.XLOOKUP($A337,表格1[No.],表格1[date],"---",0)</f>
        <v>---</v>
      </c>
      <c r="G337" t="str">
        <f>_xlfn.XLOOKUP($A337,表格1[No.],表格1[Model],"---",0)</f>
        <v>---</v>
      </c>
      <c r="H337" t="str">
        <f>_xlfn.XLOOKUP($A337,表格1[No.],表格1[QTY],"---",0)</f>
        <v>---</v>
      </c>
      <c r="I337" t="str">
        <f>_xlfn.XLOOKUP($A337,表格1[No.],表格1[Unit Price],"---",0)</f>
        <v>---</v>
      </c>
      <c r="J337" t="str">
        <f>_xlfn.XLOOKUP($A337,表格1[No.],表格1[inv no],"---",0)</f>
        <v>---</v>
      </c>
      <c r="K337" t="str">
        <f>_xlfn.XLOOKUP($A337,表格1[No.],表格1[apps report no.],"---",0)</f>
        <v>---</v>
      </c>
    </row>
    <row r="338" spans="2:11">
      <c r="B338" t="str">
        <f>_xlfn.XLOOKUP($A338,表格1[No.],表格1[Shop],"---",0)</f>
        <v>---</v>
      </c>
      <c r="C338" t="str">
        <f>_xlfn.XLOOKUP($A338,表格1[No.],表格1[Location],"---",0)</f>
        <v>---</v>
      </c>
      <c r="D338" t="str">
        <f>_xlfn.XLOOKUP($A338,表格1[No.],表格1[Name],"---",0)</f>
        <v>---</v>
      </c>
      <c r="E338" t="str">
        <f>_xlfn.XLOOKUP($A338,表格1[No.],表格1[month],"---",0)</f>
        <v>---</v>
      </c>
      <c r="F338" s="12" t="str">
        <f>_xlfn.XLOOKUP($A338,表格1[No.],表格1[date],"---",0)</f>
        <v>---</v>
      </c>
      <c r="G338" t="str">
        <f>_xlfn.XLOOKUP($A338,表格1[No.],表格1[Model],"---",0)</f>
        <v>---</v>
      </c>
      <c r="H338" t="str">
        <f>_xlfn.XLOOKUP($A338,表格1[No.],表格1[QTY],"---",0)</f>
        <v>---</v>
      </c>
      <c r="I338" t="str">
        <f>_xlfn.XLOOKUP($A338,表格1[No.],表格1[Unit Price],"---",0)</f>
        <v>---</v>
      </c>
      <c r="J338" t="str">
        <f>_xlfn.XLOOKUP($A338,表格1[No.],表格1[inv no],"---",0)</f>
        <v>---</v>
      </c>
      <c r="K338" t="str">
        <f>_xlfn.XLOOKUP($A338,表格1[No.],表格1[apps report no.],"---",0)</f>
        <v>---</v>
      </c>
    </row>
    <row r="339" spans="2:11">
      <c r="B339" t="str">
        <f>_xlfn.XLOOKUP($A339,表格1[No.],表格1[Shop],"---",0)</f>
        <v>---</v>
      </c>
      <c r="C339" t="str">
        <f>_xlfn.XLOOKUP($A339,表格1[No.],表格1[Location],"---",0)</f>
        <v>---</v>
      </c>
      <c r="D339" t="str">
        <f>_xlfn.XLOOKUP($A339,表格1[No.],表格1[Name],"---",0)</f>
        <v>---</v>
      </c>
      <c r="E339" t="str">
        <f>_xlfn.XLOOKUP($A339,表格1[No.],表格1[month],"---",0)</f>
        <v>---</v>
      </c>
      <c r="F339" s="12" t="str">
        <f>_xlfn.XLOOKUP($A339,表格1[No.],表格1[date],"---",0)</f>
        <v>---</v>
      </c>
      <c r="G339" t="str">
        <f>_xlfn.XLOOKUP($A339,表格1[No.],表格1[Model],"---",0)</f>
        <v>---</v>
      </c>
      <c r="H339" t="str">
        <f>_xlfn.XLOOKUP($A339,表格1[No.],表格1[QTY],"---",0)</f>
        <v>---</v>
      </c>
      <c r="I339" t="str">
        <f>_xlfn.XLOOKUP($A339,表格1[No.],表格1[Unit Price],"---",0)</f>
        <v>---</v>
      </c>
      <c r="J339" t="str">
        <f>_xlfn.XLOOKUP($A339,表格1[No.],表格1[inv no],"---",0)</f>
        <v>---</v>
      </c>
      <c r="K339" t="str">
        <f>_xlfn.XLOOKUP($A339,表格1[No.],表格1[apps report no.],"---",0)</f>
        <v>---</v>
      </c>
    </row>
    <row r="340" spans="2:11">
      <c r="B340" t="str">
        <f>_xlfn.XLOOKUP($A340,表格1[No.],表格1[Shop],"---",0)</f>
        <v>---</v>
      </c>
      <c r="C340" t="str">
        <f>_xlfn.XLOOKUP($A340,表格1[No.],表格1[Location],"---",0)</f>
        <v>---</v>
      </c>
      <c r="D340" t="str">
        <f>_xlfn.XLOOKUP($A340,表格1[No.],表格1[Name],"---",0)</f>
        <v>---</v>
      </c>
      <c r="E340" t="str">
        <f>_xlfn.XLOOKUP($A340,表格1[No.],表格1[month],"---",0)</f>
        <v>---</v>
      </c>
      <c r="F340" s="12" t="str">
        <f>_xlfn.XLOOKUP($A340,表格1[No.],表格1[date],"---",0)</f>
        <v>---</v>
      </c>
      <c r="G340" t="str">
        <f>_xlfn.XLOOKUP($A340,表格1[No.],表格1[Model],"---",0)</f>
        <v>---</v>
      </c>
      <c r="H340" t="str">
        <f>_xlfn.XLOOKUP($A340,表格1[No.],表格1[QTY],"---",0)</f>
        <v>---</v>
      </c>
      <c r="I340" t="str">
        <f>_xlfn.XLOOKUP($A340,表格1[No.],表格1[Unit Price],"---",0)</f>
        <v>---</v>
      </c>
      <c r="J340" t="str">
        <f>_xlfn.XLOOKUP($A340,表格1[No.],表格1[inv no],"---",0)</f>
        <v>---</v>
      </c>
      <c r="K340" t="str">
        <f>_xlfn.XLOOKUP($A340,表格1[No.],表格1[apps report no.],"---",0)</f>
        <v>---</v>
      </c>
    </row>
    <row r="341" spans="2:11">
      <c r="B341" t="str">
        <f>_xlfn.XLOOKUP($A341,表格1[No.],表格1[Shop],"---",0)</f>
        <v>---</v>
      </c>
      <c r="C341" t="str">
        <f>_xlfn.XLOOKUP($A341,表格1[No.],表格1[Location],"---",0)</f>
        <v>---</v>
      </c>
      <c r="D341" t="str">
        <f>_xlfn.XLOOKUP($A341,表格1[No.],表格1[Name],"---",0)</f>
        <v>---</v>
      </c>
      <c r="E341" t="str">
        <f>_xlfn.XLOOKUP($A341,表格1[No.],表格1[month],"---",0)</f>
        <v>---</v>
      </c>
      <c r="F341" s="12" t="str">
        <f>_xlfn.XLOOKUP($A341,表格1[No.],表格1[date],"---",0)</f>
        <v>---</v>
      </c>
      <c r="G341" t="str">
        <f>_xlfn.XLOOKUP($A341,表格1[No.],表格1[Model],"---",0)</f>
        <v>---</v>
      </c>
      <c r="H341" t="str">
        <f>_xlfn.XLOOKUP($A341,表格1[No.],表格1[QTY],"---",0)</f>
        <v>---</v>
      </c>
      <c r="I341" t="str">
        <f>_xlfn.XLOOKUP($A341,表格1[No.],表格1[Unit Price],"---",0)</f>
        <v>---</v>
      </c>
      <c r="J341" t="str">
        <f>_xlfn.XLOOKUP($A341,表格1[No.],表格1[inv no],"---",0)</f>
        <v>---</v>
      </c>
      <c r="K341" t="str">
        <f>_xlfn.XLOOKUP($A341,表格1[No.],表格1[apps report no.],"---",0)</f>
        <v>---</v>
      </c>
    </row>
    <row r="342" spans="2:11">
      <c r="B342" t="str">
        <f>_xlfn.XLOOKUP($A342,表格1[No.],表格1[Shop],"---",0)</f>
        <v>---</v>
      </c>
      <c r="C342" t="str">
        <f>_xlfn.XLOOKUP($A342,表格1[No.],表格1[Location],"---",0)</f>
        <v>---</v>
      </c>
      <c r="D342" t="str">
        <f>_xlfn.XLOOKUP($A342,表格1[No.],表格1[Name],"---",0)</f>
        <v>---</v>
      </c>
      <c r="E342" t="str">
        <f>_xlfn.XLOOKUP($A342,表格1[No.],表格1[month],"---",0)</f>
        <v>---</v>
      </c>
      <c r="F342" s="12" t="str">
        <f>_xlfn.XLOOKUP($A342,表格1[No.],表格1[date],"---",0)</f>
        <v>---</v>
      </c>
      <c r="G342" t="str">
        <f>_xlfn.XLOOKUP($A342,表格1[No.],表格1[Model],"---",0)</f>
        <v>---</v>
      </c>
      <c r="H342" t="str">
        <f>_xlfn.XLOOKUP($A342,表格1[No.],表格1[QTY],"---",0)</f>
        <v>---</v>
      </c>
      <c r="I342" t="str">
        <f>_xlfn.XLOOKUP($A342,表格1[No.],表格1[Unit Price],"---",0)</f>
        <v>---</v>
      </c>
      <c r="J342" t="str">
        <f>_xlfn.XLOOKUP($A342,表格1[No.],表格1[inv no],"---",0)</f>
        <v>---</v>
      </c>
      <c r="K342" t="str">
        <f>_xlfn.XLOOKUP($A342,表格1[No.],表格1[apps report no.],"---",0)</f>
        <v>---</v>
      </c>
    </row>
    <row r="343" spans="2:11">
      <c r="B343" t="str">
        <f>_xlfn.XLOOKUP($A343,表格1[No.],表格1[Shop],"---",0)</f>
        <v>---</v>
      </c>
      <c r="C343" t="str">
        <f>_xlfn.XLOOKUP($A343,表格1[No.],表格1[Location],"---",0)</f>
        <v>---</v>
      </c>
      <c r="D343" t="str">
        <f>_xlfn.XLOOKUP($A343,表格1[No.],表格1[Name],"---",0)</f>
        <v>---</v>
      </c>
      <c r="E343" t="str">
        <f>_xlfn.XLOOKUP($A343,表格1[No.],表格1[month],"---",0)</f>
        <v>---</v>
      </c>
      <c r="F343" s="12" t="str">
        <f>_xlfn.XLOOKUP($A343,表格1[No.],表格1[date],"---",0)</f>
        <v>---</v>
      </c>
      <c r="G343" t="str">
        <f>_xlfn.XLOOKUP($A343,表格1[No.],表格1[Model],"---",0)</f>
        <v>---</v>
      </c>
      <c r="H343" t="str">
        <f>_xlfn.XLOOKUP($A343,表格1[No.],表格1[QTY],"---",0)</f>
        <v>---</v>
      </c>
      <c r="I343" t="str">
        <f>_xlfn.XLOOKUP($A343,表格1[No.],表格1[Unit Price],"---",0)</f>
        <v>---</v>
      </c>
      <c r="J343" t="str">
        <f>_xlfn.XLOOKUP($A343,表格1[No.],表格1[inv no],"---",0)</f>
        <v>---</v>
      </c>
      <c r="K343" t="str">
        <f>_xlfn.XLOOKUP($A343,表格1[No.],表格1[apps report no.],"---",0)</f>
        <v>---</v>
      </c>
    </row>
    <row r="344" spans="2:11">
      <c r="B344" t="str">
        <f>_xlfn.XLOOKUP($A344,表格1[No.],表格1[Shop],"---",0)</f>
        <v>---</v>
      </c>
      <c r="C344" t="str">
        <f>_xlfn.XLOOKUP($A344,表格1[No.],表格1[Location],"---",0)</f>
        <v>---</v>
      </c>
      <c r="D344" t="str">
        <f>_xlfn.XLOOKUP($A344,表格1[No.],表格1[Name],"---",0)</f>
        <v>---</v>
      </c>
      <c r="E344" t="str">
        <f>_xlfn.XLOOKUP($A344,表格1[No.],表格1[month],"---",0)</f>
        <v>---</v>
      </c>
      <c r="F344" s="12" t="str">
        <f>_xlfn.XLOOKUP($A344,表格1[No.],表格1[date],"---",0)</f>
        <v>---</v>
      </c>
      <c r="G344" t="str">
        <f>_xlfn.XLOOKUP($A344,表格1[No.],表格1[Model],"---",0)</f>
        <v>---</v>
      </c>
      <c r="H344" t="str">
        <f>_xlfn.XLOOKUP($A344,表格1[No.],表格1[QTY],"---",0)</f>
        <v>---</v>
      </c>
      <c r="I344" t="str">
        <f>_xlfn.XLOOKUP($A344,表格1[No.],表格1[Unit Price],"---",0)</f>
        <v>---</v>
      </c>
      <c r="J344" t="str">
        <f>_xlfn.XLOOKUP($A344,表格1[No.],表格1[inv no],"---",0)</f>
        <v>---</v>
      </c>
      <c r="K344" t="str">
        <f>_xlfn.XLOOKUP($A344,表格1[No.],表格1[apps report no.],"---",0)</f>
        <v>---</v>
      </c>
    </row>
    <row r="345" spans="2:11">
      <c r="B345" t="str">
        <f>_xlfn.XLOOKUP($A345,表格1[No.],表格1[Shop],"---",0)</f>
        <v>---</v>
      </c>
      <c r="C345" t="str">
        <f>_xlfn.XLOOKUP($A345,表格1[No.],表格1[Location],"---",0)</f>
        <v>---</v>
      </c>
      <c r="D345" t="str">
        <f>_xlfn.XLOOKUP($A345,表格1[No.],表格1[Name],"---",0)</f>
        <v>---</v>
      </c>
      <c r="E345" t="str">
        <f>_xlfn.XLOOKUP($A345,表格1[No.],表格1[month],"---",0)</f>
        <v>---</v>
      </c>
      <c r="F345" s="12" t="str">
        <f>_xlfn.XLOOKUP($A345,表格1[No.],表格1[date],"---",0)</f>
        <v>---</v>
      </c>
      <c r="G345" t="str">
        <f>_xlfn.XLOOKUP($A345,表格1[No.],表格1[Model],"---",0)</f>
        <v>---</v>
      </c>
      <c r="H345" t="str">
        <f>_xlfn.XLOOKUP($A345,表格1[No.],表格1[QTY],"---",0)</f>
        <v>---</v>
      </c>
      <c r="I345" t="str">
        <f>_xlfn.XLOOKUP($A345,表格1[No.],表格1[Unit Price],"---",0)</f>
        <v>---</v>
      </c>
      <c r="J345" t="str">
        <f>_xlfn.XLOOKUP($A345,表格1[No.],表格1[inv no],"---",0)</f>
        <v>---</v>
      </c>
      <c r="K345" t="str">
        <f>_xlfn.XLOOKUP($A345,表格1[No.],表格1[apps report no.],"---",0)</f>
        <v>---</v>
      </c>
    </row>
    <row r="346" spans="2:11">
      <c r="B346" t="str">
        <f>_xlfn.XLOOKUP($A346,表格1[No.],表格1[Shop],"---",0)</f>
        <v>---</v>
      </c>
      <c r="C346" t="str">
        <f>_xlfn.XLOOKUP($A346,表格1[No.],表格1[Location],"---",0)</f>
        <v>---</v>
      </c>
      <c r="D346" t="str">
        <f>_xlfn.XLOOKUP($A346,表格1[No.],表格1[Name],"---",0)</f>
        <v>---</v>
      </c>
      <c r="E346" t="str">
        <f>_xlfn.XLOOKUP($A346,表格1[No.],表格1[month],"---",0)</f>
        <v>---</v>
      </c>
      <c r="F346" s="12" t="str">
        <f>_xlfn.XLOOKUP($A346,表格1[No.],表格1[date],"---",0)</f>
        <v>---</v>
      </c>
      <c r="G346" t="str">
        <f>_xlfn.XLOOKUP($A346,表格1[No.],表格1[Model],"---",0)</f>
        <v>---</v>
      </c>
      <c r="H346" t="str">
        <f>_xlfn.XLOOKUP($A346,表格1[No.],表格1[QTY],"---",0)</f>
        <v>---</v>
      </c>
      <c r="I346" t="str">
        <f>_xlfn.XLOOKUP($A346,表格1[No.],表格1[Unit Price],"---",0)</f>
        <v>---</v>
      </c>
      <c r="J346" t="str">
        <f>_xlfn.XLOOKUP($A346,表格1[No.],表格1[inv no],"---",0)</f>
        <v>---</v>
      </c>
      <c r="K346" t="str">
        <f>_xlfn.XLOOKUP($A346,表格1[No.],表格1[apps report no.],"---",0)</f>
        <v>---</v>
      </c>
    </row>
    <row r="347" spans="2:11">
      <c r="B347" t="str">
        <f>_xlfn.XLOOKUP($A347,表格1[No.],表格1[Shop],"---",0)</f>
        <v>---</v>
      </c>
      <c r="C347" t="str">
        <f>_xlfn.XLOOKUP($A347,表格1[No.],表格1[Location],"---",0)</f>
        <v>---</v>
      </c>
      <c r="D347" t="str">
        <f>_xlfn.XLOOKUP($A347,表格1[No.],表格1[Name],"---",0)</f>
        <v>---</v>
      </c>
      <c r="E347" t="str">
        <f>_xlfn.XLOOKUP($A347,表格1[No.],表格1[month],"---",0)</f>
        <v>---</v>
      </c>
      <c r="F347" s="12" t="str">
        <f>_xlfn.XLOOKUP($A347,表格1[No.],表格1[date],"---",0)</f>
        <v>---</v>
      </c>
      <c r="G347" t="str">
        <f>_xlfn.XLOOKUP($A347,表格1[No.],表格1[Model],"---",0)</f>
        <v>---</v>
      </c>
      <c r="H347" t="str">
        <f>_xlfn.XLOOKUP($A347,表格1[No.],表格1[QTY],"---",0)</f>
        <v>---</v>
      </c>
      <c r="I347" t="str">
        <f>_xlfn.XLOOKUP($A347,表格1[No.],表格1[Unit Price],"---",0)</f>
        <v>---</v>
      </c>
      <c r="J347" t="str">
        <f>_xlfn.XLOOKUP($A347,表格1[No.],表格1[inv no],"---",0)</f>
        <v>---</v>
      </c>
      <c r="K347" t="str">
        <f>_xlfn.XLOOKUP($A347,表格1[No.],表格1[apps report no.],"---",0)</f>
        <v>---</v>
      </c>
    </row>
    <row r="348" spans="2:11">
      <c r="B348" t="str">
        <f>_xlfn.XLOOKUP($A348,表格1[No.],表格1[Shop],"---",0)</f>
        <v>---</v>
      </c>
      <c r="C348" t="str">
        <f>_xlfn.XLOOKUP($A348,表格1[No.],表格1[Location],"---",0)</f>
        <v>---</v>
      </c>
      <c r="D348" t="str">
        <f>_xlfn.XLOOKUP($A348,表格1[No.],表格1[Name],"---",0)</f>
        <v>---</v>
      </c>
      <c r="E348" t="str">
        <f>_xlfn.XLOOKUP($A348,表格1[No.],表格1[month],"---",0)</f>
        <v>---</v>
      </c>
      <c r="F348" s="12" t="str">
        <f>_xlfn.XLOOKUP($A348,表格1[No.],表格1[date],"---",0)</f>
        <v>---</v>
      </c>
      <c r="G348" t="str">
        <f>_xlfn.XLOOKUP($A348,表格1[No.],表格1[Model],"---",0)</f>
        <v>---</v>
      </c>
      <c r="H348" t="str">
        <f>_xlfn.XLOOKUP($A348,表格1[No.],表格1[QTY],"---",0)</f>
        <v>---</v>
      </c>
      <c r="I348" t="str">
        <f>_xlfn.XLOOKUP($A348,表格1[No.],表格1[Unit Price],"---",0)</f>
        <v>---</v>
      </c>
      <c r="J348" t="str">
        <f>_xlfn.XLOOKUP($A348,表格1[No.],表格1[inv no],"---",0)</f>
        <v>---</v>
      </c>
      <c r="K348" t="str">
        <f>_xlfn.XLOOKUP($A348,表格1[No.],表格1[apps report no.],"---",0)</f>
        <v>---</v>
      </c>
    </row>
    <row r="349" spans="2:11">
      <c r="B349" t="str">
        <f>_xlfn.XLOOKUP($A349,表格1[No.],表格1[Shop],"---",0)</f>
        <v>---</v>
      </c>
      <c r="C349" t="str">
        <f>_xlfn.XLOOKUP($A349,表格1[No.],表格1[Location],"---",0)</f>
        <v>---</v>
      </c>
      <c r="D349" t="str">
        <f>_xlfn.XLOOKUP($A349,表格1[No.],表格1[Name],"---",0)</f>
        <v>---</v>
      </c>
      <c r="E349" t="str">
        <f>_xlfn.XLOOKUP($A349,表格1[No.],表格1[month],"---",0)</f>
        <v>---</v>
      </c>
      <c r="F349" s="12" t="str">
        <f>_xlfn.XLOOKUP($A349,表格1[No.],表格1[date],"---",0)</f>
        <v>---</v>
      </c>
      <c r="G349" t="str">
        <f>_xlfn.XLOOKUP($A349,表格1[No.],表格1[Model],"---",0)</f>
        <v>---</v>
      </c>
      <c r="H349" t="str">
        <f>_xlfn.XLOOKUP($A349,表格1[No.],表格1[QTY],"---",0)</f>
        <v>---</v>
      </c>
      <c r="I349" t="str">
        <f>_xlfn.XLOOKUP($A349,表格1[No.],表格1[Unit Price],"---",0)</f>
        <v>---</v>
      </c>
      <c r="J349" t="str">
        <f>_xlfn.XLOOKUP($A349,表格1[No.],表格1[inv no],"---",0)</f>
        <v>---</v>
      </c>
      <c r="K349" t="str">
        <f>_xlfn.XLOOKUP($A349,表格1[No.],表格1[apps report no.],"---",0)</f>
        <v>---</v>
      </c>
    </row>
    <row r="350" spans="2:11">
      <c r="B350" t="str">
        <f>_xlfn.XLOOKUP($A350,表格1[No.],表格1[Shop],"---",0)</f>
        <v>---</v>
      </c>
      <c r="C350" t="str">
        <f>_xlfn.XLOOKUP($A350,表格1[No.],表格1[Location],"---",0)</f>
        <v>---</v>
      </c>
      <c r="D350" t="str">
        <f>_xlfn.XLOOKUP($A350,表格1[No.],表格1[Name],"---",0)</f>
        <v>---</v>
      </c>
      <c r="E350" t="str">
        <f>_xlfn.XLOOKUP($A350,表格1[No.],表格1[month],"---",0)</f>
        <v>---</v>
      </c>
      <c r="F350" s="12" t="str">
        <f>_xlfn.XLOOKUP($A350,表格1[No.],表格1[date],"---",0)</f>
        <v>---</v>
      </c>
      <c r="G350" t="str">
        <f>_xlfn.XLOOKUP($A350,表格1[No.],表格1[Model],"---",0)</f>
        <v>---</v>
      </c>
      <c r="H350" t="str">
        <f>_xlfn.XLOOKUP($A350,表格1[No.],表格1[QTY],"---",0)</f>
        <v>---</v>
      </c>
      <c r="I350" t="str">
        <f>_xlfn.XLOOKUP($A350,表格1[No.],表格1[Unit Price],"---",0)</f>
        <v>---</v>
      </c>
      <c r="J350" t="str">
        <f>_xlfn.XLOOKUP($A350,表格1[No.],表格1[inv no],"---",0)</f>
        <v>---</v>
      </c>
      <c r="K350" t="str">
        <f>_xlfn.XLOOKUP($A350,表格1[No.],表格1[apps report no.],"---",0)</f>
        <v>---</v>
      </c>
    </row>
    <row r="351" spans="2:11">
      <c r="B351" t="str">
        <f>_xlfn.XLOOKUP($A351,表格1[No.],表格1[Shop],"---",0)</f>
        <v>---</v>
      </c>
      <c r="C351" t="str">
        <f>_xlfn.XLOOKUP($A351,表格1[No.],表格1[Location],"---",0)</f>
        <v>---</v>
      </c>
      <c r="D351" t="str">
        <f>_xlfn.XLOOKUP($A351,表格1[No.],表格1[Name],"---",0)</f>
        <v>---</v>
      </c>
      <c r="E351" t="str">
        <f>_xlfn.XLOOKUP($A351,表格1[No.],表格1[month],"---",0)</f>
        <v>---</v>
      </c>
      <c r="F351" s="12" t="str">
        <f>_xlfn.XLOOKUP($A351,表格1[No.],表格1[date],"---",0)</f>
        <v>---</v>
      </c>
      <c r="G351" t="str">
        <f>_xlfn.XLOOKUP($A351,表格1[No.],表格1[Model],"---",0)</f>
        <v>---</v>
      </c>
      <c r="H351" t="str">
        <f>_xlfn.XLOOKUP($A351,表格1[No.],表格1[QTY],"---",0)</f>
        <v>---</v>
      </c>
      <c r="I351" t="str">
        <f>_xlfn.XLOOKUP($A351,表格1[No.],表格1[Unit Price],"---",0)</f>
        <v>---</v>
      </c>
      <c r="J351" t="str">
        <f>_xlfn.XLOOKUP($A351,表格1[No.],表格1[inv no],"---",0)</f>
        <v>---</v>
      </c>
      <c r="K351" t="str">
        <f>_xlfn.XLOOKUP($A351,表格1[No.],表格1[apps report no.],"---",0)</f>
        <v>---</v>
      </c>
    </row>
    <row r="352" spans="2:11">
      <c r="B352" t="str">
        <f>_xlfn.XLOOKUP($A352,表格1[No.],表格1[Shop],"---",0)</f>
        <v>---</v>
      </c>
      <c r="C352" t="str">
        <f>_xlfn.XLOOKUP($A352,表格1[No.],表格1[Location],"---",0)</f>
        <v>---</v>
      </c>
      <c r="D352" t="str">
        <f>_xlfn.XLOOKUP($A352,表格1[No.],表格1[Name],"---",0)</f>
        <v>---</v>
      </c>
      <c r="E352" t="str">
        <f>_xlfn.XLOOKUP($A352,表格1[No.],表格1[month],"---",0)</f>
        <v>---</v>
      </c>
      <c r="F352" s="12" t="str">
        <f>_xlfn.XLOOKUP($A352,表格1[No.],表格1[date],"---",0)</f>
        <v>---</v>
      </c>
      <c r="G352" t="str">
        <f>_xlfn.XLOOKUP($A352,表格1[No.],表格1[Model],"---",0)</f>
        <v>---</v>
      </c>
      <c r="H352" t="str">
        <f>_xlfn.XLOOKUP($A352,表格1[No.],表格1[QTY],"---",0)</f>
        <v>---</v>
      </c>
      <c r="I352" t="str">
        <f>_xlfn.XLOOKUP($A352,表格1[No.],表格1[Unit Price],"---",0)</f>
        <v>---</v>
      </c>
      <c r="J352" t="str">
        <f>_xlfn.XLOOKUP($A352,表格1[No.],表格1[inv no],"---",0)</f>
        <v>---</v>
      </c>
      <c r="K352" t="str">
        <f>_xlfn.XLOOKUP($A352,表格1[No.],表格1[apps report no.],"---",0)</f>
        <v>---</v>
      </c>
    </row>
    <row r="353" spans="2:11">
      <c r="B353" t="str">
        <f>_xlfn.XLOOKUP($A353,表格1[No.],表格1[Shop],"---",0)</f>
        <v>---</v>
      </c>
      <c r="C353" t="str">
        <f>_xlfn.XLOOKUP($A353,表格1[No.],表格1[Location],"---",0)</f>
        <v>---</v>
      </c>
      <c r="D353" t="str">
        <f>_xlfn.XLOOKUP($A353,表格1[No.],表格1[Name],"---",0)</f>
        <v>---</v>
      </c>
      <c r="E353" t="str">
        <f>_xlfn.XLOOKUP($A353,表格1[No.],表格1[month],"---",0)</f>
        <v>---</v>
      </c>
      <c r="F353" s="12" t="str">
        <f>_xlfn.XLOOKUP($A353,表格1[No.],表格1[date],"---",0)</f>
        <v>---</v>
      </c>
      <c r="G353" t="str">
        <f>_xlfn.XLOOKUP($A353,表格1[No.],表格1[Model],"---",0)</f>
        <v>---</v>
      </c>
      <c r="H353" t="str">
        <f>_xlfn.XLOOKUP($A353,表格1[No.],表格1[QTY],"---",0)</f>
        <v>---</v>
      </c>
      <c r="I353" t="str">
        <f>_xlfn.XLOOKUP($A353,表格1[No.],表格1[Unit Price],"---",0)</f>
        <v>---</v>
      </c>
      <c r="J353" t="str">
        <f>_xlfn.XLOOKUP($A353,表格1[No.],表格1[inv no],"---",0)</f>
        <v>---</v>
      </c>
      <c r="K353" t="str">
        <f>_xlfn.XLOOKUP($A353,表格1[No.],表格1[apps report no.],"---",0)</f>
        <v>---</v>
      </c>
    </row>
    <row r="354" spans="2:11">
      <c r="B354" t="str">
        <f>_xlfn.XLOOKUP($A354,表格1[No.],表格1[Shop],"---",0)</f>
        <v>---</v>
      </c>
      <c r="C354" t="str">
        <f>_xlfn.XLOOKUP($A354,表格1[No.],表格1[Location],"---",0)</f>
        <v>---</v>
      </c>
      <c r="D354" t="str">
        <f>_xlfn.XLOOKUP($A354,表格1[No.],表格1[Name],"---",0)</f>
        <v>---</v>
      </c>
      <c r="E354" t="str">
        <f>_xlfn.XLOOKUP($A354,表格1[No.],表格1[month],"---",0)</f>
        <v>---</v>
      </c>
      <c r="F354" s="12" t="str">
        <f>_xlfn.XLOOKUP($A354,表格1[No.],表格1[date],"---",0)</f>
        <v>---</v>
      </c>
      <c r="G354" t="str">
        <f>_xlfn.XLOOKUP($A354,表格1[No.],表格1[Model],"---",0)</f>
        <v>---</v>
      </c>
      <c r="H354" t="str">
        <f>_xlfn.XLOOKUP($A354,表格1[No.],表格1[QTY],"---",0)</f>
        <v>---</v>
      </c>
      <c r="I354" t="str">
        <f>_xlfn.XLOOKUP($A354,表格1[No.],表格1[Unit Price],"---",0)</f>
        <v>---</v>
      </c>
      <c r="J354" t="str">
        <f>_xlfn.XLOOKUP($A354,表格1[No.],表格1[inv no],"---",0)</f>
        <v>---</v>
      </c>
      <c r="K354" t="str">
        <f>_xlfn.XLOOKUP($A354,表格1[No.],表格1[apps report no.],"---",0)</f>
        <v>---</v>
      </c>
    </row>
    <row r="355" spans="2:11">
      <c r="B355" t="str">
        <f>_xlfn.XLOOKUP($A355,表格1[No.],表格1[Shop],"---",0)</f>
        <v>---</v>
      </c>
      <c r="C355" t="str">
        <f>_xlfn.XLOOKUP($A355,表格1[No.],表格1[Location],"---",0)</f>
        <v>---</v>
      </c>
      <c r="D355" t="str">
        <f>_xlfn.XLOOKUP($A355,表格1[No.],表格1[Name],"---",0)</f>
        <v>---</v>
      </c>
      <c r="E355" t="str">
        <f>_xlfn.XLOOKUP($A355,表格1[No.],表格1[month],"---",0)</f>
        <v>---</v>
      </c>
      <c r="F355" s="12" t="str">
        <f>_xlfn.XLOOKUP($A355,表格1[No.],表格1[date],"---",0)</f>
        <v>---</v>
      </c>
      <c r="G355" t="str">
        <f>_xlfn.XLOOKUP($A355,表格1[No.],表格1[Model],"---",0)</f>
        <v>---</v>
      </c>
      <c r="H355" t="str">
        <f>_xlfn.XLOOKUP($A355,表格1[No.],表格1[QTY],"---",0)</f>
        <v>---</v>
      </c>
      <c r="I355" t="str">
        <f>_xlfn.XLOOKUP($A355,表格1[No.],表格1[Unit Price],"---",0)</f>
        <v>---</v>
      </c>
      <c r="J355" t="str">
        <f>_xlfn.XLOOKUP($A355,表格1[No.],表格1[inv no],"---",0)</f>
        <v>---</v>
      </c>
      <c r="K355" t="str">
        <f>_xlfn.XLOOKUP($A355,表格1[No.],表格1[apps report no.],"---",0)</f>
        <v>---</v>
      </c>
    </row>
    <row r="356" spans="2:11">
      <c r="B356" t="str">
        <f>_xlfn.XLOOKUP($A356,表格1[No.],表格1[Shop],"---",0)</f>
        <v>---</v>
      </c>
      <c r="C356" t="str">
        <f>_xlfn.XLOOKUP($A356,表格1[No.],表格1[Location],"---",0)</f>
        <v>---</v>
      </c>
      <c r="D356" t="str">
        <f>_xlfn.XLOOKUP($A356,表格1[No.],表格1[Name],"---",0)</f>
        <v>---</v>
      </c>
      <c r="E356" t="str">
        <f>_xlfn.XLOOKUP($A356,表格1[No.],表格1[month],"---",0)</f>
        <v>---</v>
      </c>
      <c r="F356" s="12" t="str">
        <f>_xlfn.XLOOKUP($A356,表格1[No.],表格1[date],"---",0)</f>
        <v>---</v>
      </c>
      <c r="G356" t="str">
        <f>_xlfn.XLOOKUP($A356,表格1[No.],表格1[Model],"---",0)</f>
        <v>---</v>
      </c>
      <c r="H356" t="str">
        <f>_xlfn.XLOOKUP($A356,表格1[No.],表格1[QTY],"---",0)</f>
        <v>---</v>
      </c>
      <c r="I356" t="str">
        <f>_xlfn.XLOOKUP($A356,表格1[No.],表格1[Unit Price],"---",0)</f>
        <v>---</v>
      </c>
      <c r="J356" t="str">
        <f>_xlfn.XLOOKUP($A356,表格1[No.],表格1[inv no],"---",0)</f>
        <v>---</v>
      </c>
      <c r="K356" t="str">
        <f>_xlfn.XLOOKUP($A356,表格1[No.],表格1[apps report no.],"---",0)</f>
        <v>---</v>
      </c>
    </row>
    <row r="357" spans="2:11">
      <c r="B357" t="str">
        <f>_xlfn.XLOOKUP($A357,表格1[No.],表格1[Shop],"---",0)</f>
        <v>---</v>
      </c>
      <c r="C357" t="str">
        <f>_xlfn.XLOOKUP($A357,表格1[No.],表格1[Location],"---",0)</f>
        <v>---</v>
      </c>
      <c r="D357" t="str">
        <f>_xlfn.XLOOKUP($A357,表格1[No.],表格1[Name],"---",0)</f>
        <v>---</v>
      </c>
      <c r="E357" t="str">
        <f>_xlfn.XLOOKUP($A357,表格1[No.],表格1[month],"---",0)</f>
        <v>---</v>
      </c>
      <c r="F357" s="12" t="str">
        <f>_xlfn.XLOOKUP($A357,表格1[No.],表格1[date],"---",0)</f>
        <v>---</v>
      </c>
      <c r="G357" t="str">
        <f>_xlfn.XLOOKUP($A357,表格1[No.],表格1[Model],"---",0)</f>
        <v>---</v>
      </c>
      <c r="H357" t="str">
        <f>_xlfn.XLOOKUP($A357,表格1[No.],表格1[QTY],"---",0)</f>
        <v>---</v>
      </c>
      <c r="I357" t="str">
        <f>_xlfn.XLOOKUP($A357,表格1[No.],表格1[Unit Price],"---",0)</f>
        <v>---</v>
      </c>
      <c r="J357" t="str">
        <f>_xlfn.XLOOKUP($A357,表格1[No.],表格1[inv no],"---",0)</f>
        <v>---</v>
      </c>
      <c r="K357" t="str">
        <f>_xlfn.XLOOKUP($A357,表格1[No.],表格1[apps report no.],"---",0)</f>
        <v>---</v>
      </c>
    </row>
    <row r="358" spans="2:11">
      <c r="B358" t="str">
        <f>_xlfn.XLOOKUP($A358,表格1[No.],表格1[Shop],"---",0)</f>
        <v>---</v>
      </c>
      <c r="C358" t="str">
        <f>_xlfn.XLOOKUP($A358,表格1[No.],表格1[Location],"---",0)</f>
        <v>---</v>
      </c>
      <c r="D358" t="str">
        <f>_xlfn.XLOOKUP($A358,表格1[No.],表格1[Name],"---",0)</f>
        <v>---</v>
      </c>
      <c r="E358" t="str">
        <f>_xlfn.XLOOKUP($A358,表格1[No.],表格1[month],"---",0)</f>
        <v>---</v>
      </c>
      <c r="F358" s="12" t="str">
        <f>_xlfn.XLOOKUP($A358,表格1[No.],表格1[date],"---",0)</f>
        <v>---</v>
      </c>
      <c r="G358" t="str">
        <f>_xlfn.XLOOKUP($A358,表格1[No.],表格1[Model],"---",0)</f>
        <v>---</v>
      </c>
      <c r="H358" t="str">
        <f>_xlfn.XLOOKUP($A358,表格1[No.],表格1[QTY],"---",0)</f>
        <v>---</v>
      </c>
      <c r="I358" t="str">
        <f>_xlfn.XLOOKUP($A358,表格1[No.],表格1[Unit Price],"---",0)</f>
        <v>---</v>
      </c>
      <c r="J358" t="str">
        <f>_xlfn.XLOOKUP($A358,表格1[No.],表格1[inv no],"---",0)</f>
        <v>---</v>
      </c>
      <c r="K358" t="str">
        <f>_xlfn.XLOOKUP($A358,表格1[No.],表格1[apps report no.],"---",0)</f>
        <v>---</v>
      </c>
    </row>
    <row r="359" spans="2:11">
      <c r="B359" t="str">
        <f>_xlfn.XLOOKUP($A359,表格1[No.],表格1[Shop],"---",0)</f>
        <v>---</v>
      </c>
      <c r="C359" t="str">
        <f>_xlfn.XLOOKUP($A359,表格1[No.],表格1[Location],"---",0)</f>
        <v>---</v>
      </c>
      <c r="D359" t="str">
        <f>_xlfn.XLOOKUP($A359,表格1[No.],表格1[Name],"---",0)</f>
        <v>---</v>
      </c>
      <c r="E359" t="str">
        <f>_xlfn.XLOOKUP($A359,表格1[No.],表格1[month],"---",0)</f>
        <v>---</v>
      </c>
      <c r="F359" s="12" t="str">
        <f>_xlfn.XLOOKUP($A359,表格1[No.],表格1[date],"---",0)</f>
        <v>---</v>
      </c>
      <c r="G359" t="str">
        <f>_xlfn.XLOOKUP($A359,表格1[No.],表格1[Model],"---",0)</f>
        <v>---</v>
      </c>
      <c r="H359" t="str">
        <f>_xlfn.XLOOKUP($A359,表格1[No.],表格1[QTY],"---",0)</f>
        <v>---</v>
      </c>
      <c r="I359" t="str">
        <f>_xlfn.XLOOKUP($A359,表格1[No.],表格1[Unit Price],"---",0)</f>
        <v>---</v>
      </c>
      <c r="J359" t="str">
        <f>_xlfn.XLOOKUP($A359,表格1[No.],表格1[inv no],"---",0)</f>
        <v>---</v>
      </c>
      <c r="K359" t="str">
        <f>_xlfn.XLOOKUP($A359,表格1[No.],表格1[apps report no.],"---",0)</f>
        <v>---</v>
      </c>
    </row>
    <row r="360" spans="2:11">
      <c r="B360" t="str">
        <f>_xlfn.XLOOKUP($A360,表格1[No.],表格1[Shop],"---",0)</f>
        <v>---</v>
      </c>
      <c r="C360" t="str">
        <f>_xlfn.XLOOKUP($A360,表格1[No.],表格1[Location],"---",0)</f>
        <v>---</v>
      </c>
      <c r="D360" t="str">
        <f>_xlfn.XLOOKUP($A360,表格1[No.],表格1[Name],"---",0)</f>
        <v>---</v>
      </c>
      <c r="E360" t="str">
        <f>_xlfn.XLOOKUP($A360,表格1[No.],表格1[month],"---",0)</f>
        <v>---</v>
      </c>
      <c r="F360" s="12" t="str">
        <f>_xlfn.XLOOKUP($A360,表格1[No.],表格1[date],"---",0)</f>
        <v>---</v>
      </c>
      <c r="G360" t="str">
        <f>_xlfn.XLOOKUP($A360,表格1[No.],表格1[Model],"---",0)</f>
        <v>---</v>
      </c>
      <c r="H360" t="str">
        <f>_xlfn.XLOOKUP($A360,表格1[No.],表格1[QTY],"---",0)</f>
        <v>---</v>
      </c>
      <c r="I360" t="str">
        <f>_xlfn.XLOOKUP($A360,表格1[No.],表格1[Unit Price],"---",0)</f>
        <v>---</v>
      </c>
      <c r="J360" t="str">
        <f>_xlfn.XLOOKUP($A360,表格1[No.],表格1[inv no],"---",0)</f>
        <v>---</v>
      </c>
      <c r="K360" t="str">
        <f>_xlfn.XLOOKUP($A360,表格1[No.],表格1[apps report no.],"---",0)</f>
        <v>---</v>
      </c>
    </row>
    <row r="361" spans="2:11">
      <c r="B361" t="str">
        <f>_xlfn.XLOOKUP($A361,表格1[No.],表格1[Shop],"---",0)</f>
        <v>---</v>
      </c>
      <c r="C361" t="str">
        <f>_xlfn.XLOOKUP($A361,表格1[No.],表格1[Location],"---",0)</f>
        <v>---</v>
      </c>
      <c r="D361" t="str">
        <f>_xlfn.XLOOKUP($A361,表格1[No.],表格1[Name],"---",0)</f>
        <v>---</v>
      </c>
      <c r="E361" t="str">
        <f>_xlfn.XLOOKUP($A361,表格1[No.],表格1[month],"---",0)</f>
        <v>---</v>
      </c>
      <c r="F361" s="12" t="str">
        <f>_xlfn.XLOOKUP($A361,表格1[No.],表格1[date],"---",0)</f>
        <v>---</v>
      </c>
      <c r="G361" t="str">
        <f>_xlfn.XLOOKUP($A361,表格1[No.],表格1[Model],"---",0)</f>
        <v>---</v>
      </c>
      <c r="H361" t="str">
        <f>_xlfn.XLOOKUP($A361,表格1[No.],表格1[QTY],"---",0)</f>
        <v>---</v>
      </c>
      <c r="I361" t="str">
        <f>_xlfn.XLOOKUP($A361,表格1[No.],表格1[Unit Price],"---",0)</f>
        <v>---</v>
      </c>
      <c r="J361" t="str">
        <f>_xlfn.XLOOKUP($A361,表格1[No.],表格1[inv no],"---",0)</f>
        <v>---</v>
      </c>
      <c r="K361" t="str">
        <f>_xlfn.XLOOKUP($A361,表格1[No.],表格1[apps report no.],"---",0)</f>
        <v>---</v>
      </c>
    </row>
    <row r="362" spans="2:11">
      <c r="B362" t="str">
        <f>_xlfn.XLOOKUP($A362,表格1[No.],表格1[Shop],"---",0)</f>
        <v>---</v>
      </c>
      <c r="C362" t="str">
        <f>_xlfn.XLOOKUP($A362,表格1[No.],表格1[Location],"---",0)</f>
        <v>---</v>
      </c>
      <c r="D362" t="str">
        <f>_xlfn.XLOOKUP($A362,表格1[No.],表格1[Name],"---",0)</f>
        <v>---</v>
      </c>
      <c r="E362" t="str">
        <f>_xlfn.XLOOKUP($A362,表格1[No.],表格1[month],"---",0)</f>
        <v>---</v>
      </c>
      <c r="F362" s="12" t="str">
        <f>_xlfn.XLOOKUP($A362,表格1[No.],表格1[date],"---",0)</f>
        <v>---</v>
      </c>
      <c r="G362" t="str">
        <f>_xlfn.XLOOKUP($A362,表格1[No.],表格1[Model],"---",0)</f>
        <v>---</v>
      </c>
      <c r="H362" t="str">
        <f>_xlfn.XLOOKUP($A362,表格1[No.],表格1[QTY],"---",0)</f>
        <v>---</v>
      </c>
      <c r="I362" t="str">
        <f>_xlfn.XLOOKUP($A362,表格1[No.],表格1[Unit Price],"---",0)</f>
        <v>---</v>
      </c>
      <c r="J362" t="str">
        <f>_xlfn.XLOOKUP($A362,表格1[No.],表格1[inv no],"---",0)</f>
        <v>---</v>
      </c>
      <c r="K362" t="str">
        <f>_xlfn.XLOOKUP($A362,表格1[No.],表格1[apps report no.],"---",0)</f>
        <v>---</v>
      </c>
    </row>
    <row r="363" spans="2:11">
      <c r="B363" t="str">
        <f>_xlfn.XLOOKUP($A363,表格1[No.],表格1[Shop],"---",0)</f>
        <v>---</v>
      </c>
      <c r="C363" t="str">
        <f>_xlfn.XLOOKUP($A363,表格1[No.],表格1[Location],"---",0)</f>
        <v>---</v>
      </c>
      <c r="D363" t="str">
        <f>_xlfn.XLOOKUP($A363,表格1[No.],表格1[Name],"---",0)</f>
        <v>---</v>
      </c>
      <c r="E363" t="str">
        <f>_xlfn.XLOOKUP($A363,表格1[No.],表格1[month],"---",0)</f>
        <v>---</v>
      </c>
      <c r="F363" s="12" t="str">
        <f>_xlfn.XLOOKUP($A363,表格1[No.],表格1[date],"---",0)</f>
        <v>---</v>
      </c>
      <c r="G363" t="str">
        <f>_xlfn.XLOOKUP($A363,表格1[No.],表格1[Model],"---",0)</f>
        <v>---</v>
      </c>
      <c r="H363" t="str">
        <f>_xlfn.XLOOKUP($A363,表格1[No.],表格1[QTY],"---",0)</f>
        <v>---</v>
      </c>
      <c r="I363" t="str">
        <f>_xlfn.XLOOKUP($A363,表格1[No.],表格1[Unit Price],"---",0)</f>
        <v>---</v>
      </c>
      <c r="J363" t="str">
        <f>_xlfn.XLOOKUP($A363,表格1[No.],表格1[inv no],"---",0)</f>
        <v>---</v>
      </c>
      <c r="K363" t="str">
        <f>_xlfn.XLOOKUP($A363,表格1[No.],表格1[apps report no.],"---",0)</f>
        <v>---</v>
      </c>
    </row>
    <row r="364" spans="2:11">
      <c r="B364" t="str">
        <f>_xlfn.XLOOKUP($A364,表格1[No.],表格1[Shop],"---",0)</f>
        <v>---</v>
      </c>
      <c r="C364" t="str">
        <f>_xlfn.XLOOKUP($A364,表格1[No.],表格1[Location],"---",0)</f>
        <v>---</v>
      </c>
      <c r="D364" t="str">
        <f>_xlfn.XLOOKUP($A364,表格1[No.],表格1[Name],"---",0)</f>
        <v>---</v>
      </c>
      <c r="E364" t="str">
        <f>_xlfn.XLOOKUP($A364,表格1[No.],表格1[month],"---",0)</f>
        <v>---</v>
      </c>
      <c r="F364" s="12" t="str">
        <f>_xlfn.XLOOKUP($A364,表格1[No.],表格1[date],"---",0)</f>
        <v>---</v>
      </c>
      <c r="G364" t="str">
        <f>_xlfn.XLOOKUP($A364,表格1[No.],表格1[Model],"---",0)</f>
        <v>---</v>
      </c>
      <c r="H364" t="str">
        <f>_xlfn.XLOOKUP($A364,表格1[No.],表格1[QTY],"---",0)</f>
        <v>---</v>
      </c>
      <c r="I364" t="str">
        <f>_xlfn.XLOOKUP($A364,表格1[No.],表格1[Unit Price],"---",0)</f>
        <v>---</v>
      </c>
      <c r="J364" t="str">
        <f>_xlfn.XLOOKUP($A364,表格1[No.],表格1[inv no],"---",0)</f>
        <v>---</v>
      </c>
      <c r="K364" t="str">
        <f>_xlfn.XLOOKUP($A364,表格1[No.],表格1[apps report no.],"---",0)</f>
        <v>---</v>
      </c>
    </row>
    <row r="365" spans="2:11">
      <c r="B365" t="str">
        <f>_xlfn.XLOOKUP($A365,表格1[No.],表格1[Shop],"---",0)</f>
        <v>---</v>
      </c>
      <c r="C365" t="str">
        <f>_xlfn.XLOOKUP($A365,表格1[No.],表格1[Location],"---",0)</f>
        <v>---</v>
      </c>
      <c r="D365" t="str">
        <f>_xlfn.XLOOKUP($A365,表格1[No.],表格1[Name],"---",0)</f>
        <v>---</v>
      </c>
      <c r="E365" t="str">
        <f>_xlfn.XLOOKUP($A365,表格1[No.],表格1[month],"---",0)</f>
        <v>---</v>
      </c>
      <c r="F365" s="12" t="str">
        <f>_xlfn.XLOOKUP($A365,表格1[No.],表格1[date],"---",0)</f>
        <v>---</v>
      </c>
      <c r="G365" t="str">
        <f>_xlfn.XLOOKUP($A365,表格1[No.],表格1[Model],"---",0)</f>
        <v>---</v>
      </c>
      <c r="H365" t="str">
        <f>_xlfn.XLOOKUP($A365,表格1[No.],表格1[QTY],"---",0)</f>
        <v>---</v>
      </c>
      <c r="I365" t="str">
        <f>_xlfn.XLOOKUP($A365,表格1[No.],表格1[Unit Price],"---",0)</f>
        <v>---</v>
      </c>
      <c r="J365" t="str">
        <f>_xlfn.XLOOKUP($A365,表格1[No.],表格1[inv no],"---",0)</f>
        <v>---</v>
      </c>
      <c r="K365" t="str">
        <f>_xlfn.XLOOKUP($A365,表格1[No.],表格1[apps report no.],"---",0)</f>
        <v>---</v>
      </c>
    </row>
    <row r="366" spans="2:11">
      <c r="B366" t="str">
        <f>_xlfn.XLOOKUP($A366,表格1[No.],表格1[Shop],"---",0)</f>
        <v>---</v>
      </c>
      <c r="C366" t="str">
        <f>_xlfn.XLOOKUP($A366,表格1[No.],表格1[Location],"---",0)</f>
        <v>---</v>
      </c>
      <c r="D366" t="str">
        <f>_xlfn.XLOOKUP($A366,表格1[No.],表格1[Name],"---",0)</f>
        <v>---</v>
      </c>
      <c r="E366" t="str">
        <f>_xlfn.XLOOKUP($A366,表格1[No.],表格1[month],"---",0)</f>
        <v>---</v>
      </c>
      <c r="F366" s="12" t="str">
        <f>_xlfn.XLOOKUP($A366,表格1[No.],表格1[date],"---",0)</f>
        <v>---</v>
      </c>
      <c r="G366" t="str">
        <f>_xlfn.XLOOKUP($A366,表格1[No.],表格1[Model],"---",0)</f>
        <v>---</v>
      </c>
      <c r="H366" t="str">
        <f>_xlfn.XLOOKUP($A366,表格1[No.],表格1[QTY],"---",0)</f>
        <v>---</v>
      </c>
      <c r="I366" t="str">
        <f>_xlfn.XLOOKUP($A366,表格1[No.],表格1[Unit Price],"---",0)</f>
        <v>---</v>
      </c>
      <c r="J366" t="str">
        <f>_xlfn.XLOOKUP($A366,表格1[No.],表格1[inv no],"---",0)</f>
        <v>---</v>
      </c>
      <c r="K366" t="str">
        <f>_xlfn.XLOOKUP($A366,表格1[No.],表格1[apps report no.],"---",0)</f>
        <v>---</v>
      </c>
    </row>
    <row r="367" spans="2:11">
      <c r="B367" t="str">
        <f>_xlfn.XLOOKUP($A367,表格1[No.],表格1[Shop],"---",0)</f>
        <v>---</v>
      </c>
      <c r="C367" t="str">
        <f>_xlfn.XLOOKUP($A367,表格1[No.],表格1[Location],"---",0)</f>
        <v>---</v>
      </c>
      <c r="D367" t="str">
        <f>_xlfn.XLOOKUP($A367,表格1[No.],表格1[Name],"---",0)</f>
        <v>---</v>
      </c>
      <c r="E367" t="str">
        <f>_xlfn.XLOOKUP($A367,表格1[No.],表格1[month],"---",0)</f>
        <v>---</v>
      </c>
      <c r="F367" s="12" t="str">
        <f>_xlfn.XLOOKUP($A367,表格1[No.],表格1[date],"---",0)</f>
        <v>---</v>
      </c>
      <c r="G367" t="str">
        <f>_xlfn.XLOOKUP($A367,表格1[No.],表格1[Model],"---",0)</f>
        <v>---</v>
      </c>
      <c r="H367" t="str">
        <f>_xlfn.XLOOKUP($A367,表格1[No.],表格1[QTY],"---",0)</f>
        <v>---</v>
      </c>
      <c r="I367" t="str">
        <f>_xlfn.XLOOKUP($A367,表格1[No.],表格1[Unit Price],"---",0)</f>
        <v>---</v>
      </c>
      <c r="J367" t="str">
        <f>_xlfn.XLOOKUP($A367,表格1[No.],表格1[inv no],"---",0)</f>
        <v>---</v>
      </c>
      <c r="K367" t="str">
        <f>_xlfn.XLOOKUP($A367,表格1[No.],表格1[apps report no.],"---",0)</f>
        <v>---</v>
      </c>
    </row>
    <row r="368" spans="2:11">
      <c r="B368" t="str">
        <f>_xlfn.XLOOKUP($A368,表格1[No.],表格1[Shop],"---",0)</f>
        <v>---</v>
      </c>
      <c r="C368" t="str">
        <f>_xlfn.XLOOKUP($A368,表格1[No.],表格1[Location],"---",0)</f>
        <v>---</v>
      </c>
      <c r="D368" t="str">
        <f>_xlfn.XLOOKUP($A368,表格1[No.],表格1[Name],"---",0)</f>
        <v>---</v>
      </c>
      <c r="E368" t="str">
        <f>_xlfn.XLOOKUP($A368,表格1[No.],表格1[month],"---",0)</f>
        <v>---</v>
      </c>
      <c r="F368" s="12" t="str">
        <f>_xlfn.XLOOKUP($A368,表格1[No.],表格1[date],"---",0)</f>
        <v>---</v>
      </c>
      <c r="G368" t="str">
        <f>_xlfn.XLOOKUP($A368,表格1[No.],表格1[Model],"---",0)</f>
        <v>---</v>
      </c>
      <c r="H368" t="str">
        <f>_xlfn.XLOOKUP($A368,表格1[No.],表格1[QTY],"---",0)</f>
        <v>---</v>
      </c>
      <c r="I368" t="str">
        <f>_xlfn.XLOOKUP($A368,表格1[No.],表格1[Unit Price],"---",0)</f>
        <v>---</v>
      </c>
      <c r="J368" t="str">
        <f>_xlfn.XLOOKUP($A368,表格1[No.],表格1[inv no],"---",0)</f>
        <v>---</v>
      </c>
      <c r="K368" t="str">
        <f>_xlfn.XLOOKUP($A368,表格1[No.],表格1[apps report no.],"---",0)</f>
        <v>---</v>
      </c>
    </row>
    <row r="369" spans="2:11">
      <c r="B369" t="str">
        <f>_xlfn.XLOOKUP($A369,表格1[No.],表格1[Shop],"---",0)</f>
        <v>---</v>
      </c>
      <c r="C369" t="str">
        <f>_xlfn.XLOOKUP($A369,表格1[No.],表格1[Location],"---",0)</f>
        <v>---</v>
      </c>
      <c r="D369" t="str">
        <f>_xlfn.XLOOKUP($A369,表格1[No.],表格1[Name],"---",0)</f>
        <v>---</v>
      </c>
      <c r="E369" t="str">
        <f>_xlfn.XLOOKUP($A369,表格1[No.],表格1[month],"---",0)</f>
        <v>---</v>
      </c>
      <c r="F369" s="12" t="str">
        <f>_xlfn.XLOOKUP($A369,表格1[No.],表格1[date],"---",0)</f>
        <v>---</v>
      </c>
      <c r="G369" t="str">
        <f>_xlfn.XLOOKUP($A369,表格1[No.],表格1[Model],"---",0)</f>
        <v>---</v>
      </c>
      <c r="H369" t="str">
        <f>_xlfn.XLOOKUP($A369,表格1[No.],表格1[QTY],"---",0)</f>
        <v>---</v>
      </c>
      <c r="I369" t="str">
        <f>_xlfn.XLOOKUP($A369,表格1[No.],表格1[Unit Price],"---",0)</f>
        <v>---</v>
      </c>
      <c r="J369" t="str">
        <f>_xlfn.XLOOKUP($A369,表格1[No.],表格1[inv no],"---",0)</f>
        <v>---</v>
      </c>
      <c r="K369" t="str">
        <f>_xlfn.XLOOKUP($A369,表格1[No.],表格1[apps report no.],"---",0)</f>
        <v>---</v>
      </c>
    </row>
    <row r="370" spans="2:11">
      <c r="B370" t="str">
        <f>_xlfn.XLOOKUP($A370,表格1[No.],表格1[Shop],"---",0)</f>
        <v>---</v>
      </c>
      <c r="C370" t="str">
        <f>_xlfn.XLOOKUP($A370,表格1[No.],表格1[Location],"---",0)</f>
        <v>---</v>
      </c>
      <c r="D370" t="str">
        <f>_xlfn.XLOOKUP($A370,表格1[No.],表格1[Name],"---",0)</f>
        <v>---</v>
      </c>
      <c r="E370" t="str">
        <f>_xlfn.XLOOKUP($A370,表格1[No.],表格1[month],"---",0)</f>
        <v>---</v>
      </c>
      <c r="F370" s="12" t="str">
        <f>_xlfn.XLOOKUP($A370,表格1[No.],表格1[date],"---",0)</f>
        <v>---</v>
      </c>
      <c r="G370" t="str">
        <f>_xlfn.XLOOKUP($A370,表格1[No.],表格1[Model],"---",0)</f>
        <v>---</v>
      </c>
      <c r="H370" t="str">
        <f>_xlfn.XLOOKUP($A370,表格1[No.],表格1[QTY],"---",0)</f>
        <v>---</v>
      </c>
      <c r="I370" t="str">
        <f>_xlfn.XLOOKUP($A370,表格1[No.],表格1[Unit Price],"---",0)</f>
        <v>---</v>
      </c>
      <c r="J370" t="str">
        <f>_xlfn.XLOOKUP($A370,表格1[No.],表格1[inv no],"---",0)</f>
        <v>---</v>
      </c>
      <c r="K370" t="str">
        <f>_xlfn.XLOOKUP($A370,表格1[No.],表格1[apps report no.],"---",0)</f>
        <v>---</v>
      </c>
    </row>
    <row r="371" spans="2:11">
      <c r="B371" t="str">
        <f>_xlfn.XLOOKUP($A371,表格1[No.],表格1[Shop],"---",0)</f>
        <v>---</v>
      </c>
      <c r="C371" t="str">
        <f>_xlfn.XLOOKUP($A371,表格1[No.],表格1[Location],"---",0)</f>
        <v>---</v>
      </c>
      <c r="D371" t="str">
        <f>_xlfn.XLOOKUP($A371,表格1[No.],表格1[Name],"---",0)</f>
        <v>---</v>
      </c>
      <c r="E371" t="str">
        <f>_xlfn.XLOOKUP($A371,表格1[No.],表格1[month],"---",0)</f>
        <v>---</v>
      </c>
      <c r="F371" s="12" t="str">
        <f>_xlfn.XLOOKUP($A371,表格1[No.],表格1[date],"---",0)</f>
        <v>---</v>
      </c>
      <c r="G371" t="str">
        <f>_xlfn.XLOOKUP($A371,表格1[No.],表格1[Model],"---",0)</f>
        <v>---</v>
      </c>
      <c r="H371" t="str">
        <f>_xlfn.XLOOKUP($A371,表格1[No.],表格1[QTY],"---",0)</f>
        <v>---</v>
      </c>
      <c r="I371" t="str">
        <f>_xlfn.XLOOKUP($A371,表格1[No.],表格1[Unit Price],"---",0)</f>
        <v>---</v>
      </c>
      <c r="J371" t="str">
        <f>_xlfn.XLOOKUP($A371,表格1[No.],表格1[inv no],"---",0)</f>
        <v>---</v>
      </c>
      <c r="K371" t="str">
        <f>_xlfn.XLOOKUP($A371,表格1[No.],表格1[apps report no.],"---",0)</f>
        <v>---</v>
      </c>
    </row>
    <row r="372" spans="2:11">
      <c r="B372" t="str">
        <f>_xlfn.XLOOKUP($A372,表格1[No.],表格1[Shop],"---",0)</f>
        <v>---</v>
      </c>
      <c r="C372" t="str">
        <f>_xlfn.XLOOKUP($A372,表格1[No.],表格1[Location],"---",0)</f>
        <v>---</v>
      </c>
      <c r="D372" t="str">
        <f>_xlfn.XLOOKUP($A372,表格1[No.],表格1[Name],"---",0)</f>
        <v>---</v>
      </c>
      <c r="E372" t="str">
        <f>_xlfn.XLOOKUP($A372,表格1[No.],表格1[month],"---",0)</f>
        <v>---</v>
      </c>
      <c r="F372" s="12" t="str">
        <f>_xlfn.XLOOKUP($A372,表格1[No.],表格1[date],"---",0)</f>
        <v>---</v>
      </c>
      <c r="G372" t="str">
        <f>_xlfn.XLOOKUP($A372,表格1[No.],表格1[Model],"---",0)</f>
        <v>---</v>
      </c>
      <c r="H372" t="str">
        <f>_xlfn.XLOOKUP($A372,表格1[No.],表格1[QTY],"---",0)</f>
        <v>---</v>
      </c>
      <c r="I372" t="str">
        <f>_xlfn.XLOOKUP($A372,表格1[No.],表格1[Unit Price],"---",0)</f>
        <v>---</v>
      </c>
      <c r="J372" t="str">
        <f>_xlfn.XLOOKUP($A372,表格1[No.],表格1[inv no],"---",0)</f>
        <v>---</v>
      </c>
      <c r="K372" t="str">
        <f>_xlfn.XLOOKUP($A372,表格1[No.],表格1[apps report no.],"---",0)</f>
        <v>---</v>
      </c>
    </row>
    <row r="373" spans="2:11">
      <c r="B373" t="str">
        <f>_xlfn.XLOOKUP($A373,表格1[No.],表格1[Shop],"---",0)</f>
        <v>---</v>
      </c>
      <c r="C373" t="str">
        <f>_xlfn.XLOOKUP($A373,表格1[No.],表格1[Location],"---",0)</f>
        <v>---</v>
      </c>
      <c r="D373" t="str">
        <f>_xlfn.XLOOKUP($A373,表格1[No.],表格1[Name],"---",0)</f>
        <v>---</v>
      </c>
      <c r="E373" t="str">
        <f>_xlfn.XLOOKUP($A373,表格1[No.],表格1[month],"---",0)</f>
        <v>---</v>
      </c>
      <c r="F373" s="12" t="str">
        <f>_xlfn.XLOOKUP($A373,表格1[No.],表格1[date],"---",0)</f>
        <v>---</v>
      </c>
      <c r="G373" t="str">
        <f>_xlfn.XLOOKUP($A373,表格1[No.],表格1[Model],"---",0)</f>
        <v>---</v>
      </c>
      <c r="H373" t="str">
        <f>_xlfn.XLOOKUP($A373,表格1[No.],表格1[QTY],"---",0)</f>
        <v>---</v>
      </c>
      <c r="I373" t="str">
        <f>_xlfn.XLOOKUP($A373,表格1[No.],表格1[Unit Price],"---",0)</f>
        <v>---</v>
      </c>
      <c r="J373" t="str">
        <f>_xlfn.XLOOKUP($A373,表格1[No.],表格1[inv no],"---",0)</f>
        <v>---</v>
      </c>
      <c r="K373" t="str">
        <f>_xlfn.XLOOKUP($A373,表格1[No.],表格1[apps report no.],"---",0)</f>
        <v>---</v>
      </c>
    </row>
    <row r="374" spans="2:11">
      <c r="B374" t="str">
        <f>_xlfn.XLOOKUP($A374,表格1[No.],表格1[Shop],"---",0)</f>
        <v>---</v>
      </c>
      <c r="C374" t="str">
        <f>_xlfn.XLOOKUP($A374,表格1[No.],表格1[Location],"---",0)</f>
        <v>---</v>
      </c>
      <c r="D374" t="str">
        <f>_xlfn.XLOOKUP($A374,表格1[No.],表格1[Name],"---",0)</f>
        <v>---</v>
      </c>
      <c r="E374" t="str">
        <f>_xlfn.XLOOKUP($A374,表格1[No.],表格1[month],"---",0)</f>
        <v>---</v>
      </c>
      <c r="F374" s="12" t="str">
        <f>_xlfn.XLOOKUP($A374,表格1[No.],表格1[date],"---",0)</f>
        <v>---</v>
      </c>
      <c r="G374" t="str">
        <f>_xlfn.XLOOKUP($A374,表格1[No.],表格1[Model],"---",0)</f>
        <v>---</v>
      </c>
      <c r="H374" t="str">
        <f>_xlfn.XLOOKUP($A374,表格1[No.],表格1[QTY],"---",0)</f>
        <v>---</v>
      </c>
      <c r="I374" t="str">
        <f>_xlfn.XLOOKUP($A374,表格1[No.],表格1[Unit Price],"---",0)</f>
        <v>---</v>
      </c>
      <c r="J374" t="str">
        <f>_xlfn.XLOOKUP($A374,表格1[No.],表格1[inv no],"---",0)</f>
        <v>---</v>
      </c>
      <c r="K374" t="str">
        <f>_xlfn.XLOOKUP($A374,表格1[No.],表格1[apps report no.],"---",0)</f>
        <v>---</v>
      </c>
    </row>
    <row r="375" spans="2:11">
      <c r="B375" t="str">
        <f>_xlfn.XLOOKUP($A375,表格1[No.],表格1[Shop],"---",0)</f>
        <v>---</v>
      </c>
      <c r="C375" t="str">
        <f>_xlfn.XLOOKUP($A375,表格1[No.],表格1[Location],"---",0)</f>
        <v>---</v>
      </c>
      <c r="D375" t="str">
        <f>_xlfn.XLOOKUP($A375,表格1[No.],表格1[Name],"---",0)</f>
        <v>---</v>
      </c>
      <c r="E375" t="str">
        <f>_xlfn.XLOOKUP($A375,表格1[No.],表格1[month],"---",0)</f>
        <v>---</v>
      </c>
      <c r="F375" s="12" t="str">
        <f>_xlfn.XLOOKUP($A375,表格1[No.],表格1[date],"---",0)</f>
        <v>---</v>
      </c>
      <c r="G375" t="str">
        <f>_xlfn.XLOOKUP($A375,表格1[No.],表格1[Model],"---",0)</f>
        <v>---</v>
      </c>
      <c r="H375" t="str">
        <f>_xlfn.XLOOKUP($A375,表格1[No.],表格1[QTY],"---",0)</f>
        <v>---</v>
      </c>
      <c r="I375" t="str">
        <f>_xlfn.XLOOKUP($A375,表格1[No.],表格1[Unit Price],"---",0)</f>
        <v>---</v>
      </c>
      <c r="J375" t="str">
        <f>_xlfn.XLOOKUP($A375,表格1[No.],表格1[inv no],"---",0)</f>
        <v>---</v>
      </c>
      <c r="K375" t="str">
        <f>_xlfn.XLOOKUP($A375,表格1[No.],表格1[apps report no.],"---",0)</f>
        <v>---</v>
      </c>
    </row>
    <row r="376" spans="2:11">
      <c r="B376" t="str">
        <f>_xlfn.XLOOKUP($A376,表格1[No.],表格1[Shop],"---",0)</f>
        <v>---</v>
      </c>
      <c r="C376" t="str">
        <f>_xlfn.XLOOKUP($A376,表格1[No.],表格1[Location],"---",0)</f>
        <v>---</v>
      </c>
      <c r="D376" t="str">
        <f>_xlfn.XLOOKUP($A376,表格1[No.],表格1[Name],"---",0)</f>
        <v>---</v>
      </c>
      <c r="E376" t="str">
        <f>_xlfn.XLOOKUP($A376,表格1[No.],表格1[month],"---",0)</f>
        <v>---</v>
      </c>
      <c r="F376" s="12" t="str">
        <f>_xlfn.XLOOKUP($A376,表格1[No.],表格1[date],"---",0)</f>
        <v>---</v>
      </c>
      <c r="G376" t="str">
        <f>_xlfn.XLOOKUP($A376,表格1[No.],表格1[Model],"---",0)</f>
        <v>---</v>
      </c>
      <c r="H376" t="str">
        <f>_xlfn.XLOOKUP($A376,表格1[No.],表格1[QTY],"---",0)</f>
        <v>---</v>
      </c>
      <c r="I376" t="str">
        <f>_xlfn.XLOOKUP($A376,表格1[No.],表格1[Unit Price],"---",0)</f>
        <v>---</v>
      </c>
      <c r="J376" t="str">
        <f>_xlfn.XLOOKUP($A376,表格1[No.],表格1[inv no],"---",0)</f>
        <v>---</v>
      </c>
      <c r="K376" t="str">
        <f>_xlfn.XLOOKUP($A376,表格1[No.],表格1[apps report no.],"---",0)</f>
        <v>---</v>
      </c>
    </row>
    <row r="377" spans="2:11">
      <c r="B377" t="str">
        <f>_xlfn.XLOOKUP($A377,表格1[No.],表格1[Shop],"---",0)</f>
        <v>---</v>
      </c>
      <c r="C377" t="str">
        <f>_xlfn.XLOOKUP($A377,表格1[No.],表格1[Location],"---",0)</f>
        <v>---</v>
      </c>
      <c r="D377" t="str">
        <f>_xlfn.XLOOKUP($A377,表格1[No.],表格1[Name],"---",0)</f>
        <v>---</v>
      </c>
      <c r="E377" t="str">
        <f>_xlfn.XLOOKUP($A377,表格1[No.],表格1[month],"---",0)</f>
        <v>---</v>
      </c>
      <c r="F377" s="12" t="str">
        <f>_xlfn.XLOOKUP($A377,表格1[No.],表格1[date],"---",0)</f>
        <v>---</v>
      </c>
      <c r="G377" t="str">
        <f>_xlfn.XLOOKUP($A377,表格1[No.],表格1[Model],"---",0)</f>
        <v>---</v>
      </c>
      <c r="H377" t="str">
        <f>_xlfn.XLOOKUP($A377,表格1[No.],表格1[QTY],"---",0)</f>
        <v>---</v>
      </c>
      <c r="I377" t="str">
        <f>_xlfn.XLOOKUP($A377,表格1[No.],表格1[Unit Price],"---",0)</f>
        <v>---</v>
      </c>
      <c r="J377" t="str">
        <f>_xlfn.XLOOKUP($A377,表格1[No.],表格1[inv no],"---",0)</f>
        <v>---</v>
      </c>
      <c r="K377" t="str">
        <f>_xlfn.XLOOKUP($A377,表格1[No.],表格1[apps report no.],"---",0)</f>
        <v>---</v>
      </c>
    </row>
    <row r="378" spans="2:11">
      <c r="B378" t="str">
        <f>_xlfn.XLOOKUP($A378,表格1[No.],表格1[Shop],"---",0)</f>
        <v>---</v>
      </c>
      <c r="C378" t="str">
        <f>_xlfn.XLOOKUP($A378,表格1[No.],表格1[Location],"---",0)</f>
        <v>---</v>
      </c>
      <c r="D378" t="str">
        <f>_xlfn.XLOOKUP($A378,表格1[No.],表格1[Name],"---",0)</f>
        <v>---</v>
      </c>
      <c r="E378" t="str">
        <f>_xlfn.XLOOKUP($A378,表格1[No.],表格1[month],"---",0)</f>
        <v>---</v>
      </c>
      <c r="F378" s="12" t="str">
        <f>_xlfn.XLOOKUP($A378,表格1[No.],表格1[date],"---",0)</f>
        <v>---</v>
      </c>
      <c r="G378" t="str">
        <f>_xlfn.XLOOKUP($A378,表格1[No.],表格1[Model],"---",0)</f>
        <v>---</v>
      </c>
      <c r="H378" t="str">
        <f>_xlfn.XLOOKUP($A378,表格1[No.],表格1[QTY],"---",0)</f>
        <v>---</v>
      </c>
      <c r="I378" t="str">
        <f>_xlfn.XLOOKUP($A378,表格1[No.],表格1[Unit Price],"---",0)</f>
        <v>---</v>
      </c>
      <c r="J378" t="str">
        <f>_xlfn.XLOOKUP($A378,表格1[No.],表格1[inv no],"---",0)</f>
        <v>---</v>
      </c>
      <c r="K378" t="str">
        <f>_xlfn.XLOOKUP($A378,表格1[No.],表格1[apps report no.],"---",0)</f>
        <v>---</v>
      </c>
    </row>
    <row r="379" spans="2:11">
      <c r="B379" t="str">
        <f>_xlfn.XLOOKUP($A379,表格1[No.],表格1[Shop],"---",0)</f>
        <v>---</v>
      </c>
      <c r="C379" t="str">
        <f>_xlfn.XLOOKUP($A379,表格1[No.],表格1[Location],"---",0)</f>
        <v>---</v>
      </c>
      <c r="D379" t="str">
        <f>_xlfn.XLOOKUP($A379,表格1[No.],表格1[Name],"---",0)</f>
        <v>---</v>
      </c>
      <c r="E379" t="str">
        <f>_xlfn.XLOOKUP($A379,表格1[No.],表格1[month],"---",0)</f>
        <v>---</v>
      </c>
      <c r="F379" s="12" t="str">
        <f>_xlfn.XLOOKUP($A379,表格1[No.],表格1[date],"---",0)</f>
        <v>---</v>
      </c>
      <c r="G379" t="str">
        <f>_xlfn.XLOOKUP($A379,表格1[No.],表格1[Model],"---",0)</f>
        <v>---</v>
      </c>
      <c r="H379" t="str">
        <f>_xlfn.XLOOKUP($A379,表格1[No.],表格1[QTY],"---",0)</f>
        <v>---</v>
      </c>
      <c r="I379" t="str">
        <f>_xlfn.XLOOKUP($A379,表格1[No.],表格1[Unit Price],"---",0)</f>
        <v>---</v>
      </c>
      <c r="J379" t="str">
        <f>_xlfn.XLOOKUP($A379,表格1[No.],表格1[inv no],"---",0)</f>
        <v>---</v>
      </c>
      <c r="K379" t="str">
        <f>_xlfn.XLOOKUP($A379,表格1[No.],表格1[apps report no.],"---",0)</f>
        <v>---</v>
      </c>
    </row>
    <row r="380" spans="2:11">
      <c r="B380" t="str">
        <f>_xlfn.XLOOKUP($A380,表格1[No.],表格1[Shop],"---",0)</f>
        <v>---</v>
      </c>
      <c r="C380" t="str">
        <f>_xlfn.XLOOKUP($A380,表格1[No.],表格1[Location],"---",0)</f>
        <v>---</v>
      </c>
      <c r="D380" t="str">
        <f>_xlfn.XLOOKUP($A380,表格1[No.],表格1[Name],"---",0)</f>
        <v>---</v>
      </c>
      <c r="E380" t="str">
        <f>_xlfn.XLOOKUP($A380,表格1[No.],表格1[month],"---",0)</f>
        <v>---</v>
      </c>
      <c r="F380" s="12" t="str">
        <f>_xlfn.XLOOKUP($A380,表格1[No.],表格1[date],"---",0)</f>
        <v>---</v>
      </c>
      <c r="G380" t="str">
        <f>_xlfn.XLOOKUP($A380,表格1[No.],表格1[Model],"---",0)</f>
        <v>---</v>
      </c>
      <c r="H380" t="str">
        <f>_xlfn.XLOOKUP($A380,表格1[No.],表格1[QTY],"---",0)</f>
        <v>---</v>
      </c>
      <c r="I380" t="str">
        <f>_xlfn.XLOOKUP($A380,表格1[No.],表格1[Unit Price],"---",0)</f>
        <v>---</v>
      </c>
      <c r="J380" t="str">
        <f>_xlfn.XLOOKUP($A380,表格1[No.],表格1[inv no],"---",0)</f>
        <v>---</v>
      </c>
      <c r="K380" t="str">
        <f>_xlfn.XLOOKUP($A380,表格1[No.],表格1[apps report no.],"---",0)</f>
        <v>---</v>
      </c>
    </row>
    <row r="381" spans="2:11">
      <c r="B381" t="str">
        <f>_xlfn.XLOOKUP($A381,表格1[No.],表格1[Shop],"---",0)</f>
        <v>---</v>
      </c>
      <c r="C381" t="str">
        <f>_xlfn.XLOOKUP($A381,表格1[No.],表格1[Location],"---",0)</f>
        <v>---</v>
      </c>
      <c r="D381" t="str">
        <f>_xlfn.XLOOKUP($A381,表格1[No.],表格1[Name],"---",0)</f>
        <v>---</v>
      </c>
      <c r="E381" t="str">
        <f>_xlfn.XLOOKUP($A381,表格1[No.],表格1[month],"---",0)</f>
        <v>---</v>
      </c>
      <c r="F381" s="12" t="str">
        <f>_xlfn.XLOOKUP($A381,表格1[No.],表格1[date],"---",0)</f>
        <v>---</v>
      </c>
      <c r="G381" t="str">
        <f>_xlfn.XLOOKUP($A381,表格1[No.],表格1[Model],"---",0)</f>
        <v>---</v>
      </c>
      <c r="H381" t="str">
        <f>_xlfn.XLOOKUP($A381,表格1[No.],表格1[QTY],"---",0)</f>
        <v>---</v>
      </c>
      <c r="I381" t="str">
        <f>_xlfn.XLOOKUP($A381,表格1[No.],表格1[Unit Price],"---",0)</f>
        <v>---</v>
      </c>
      <c r="J381" t="str">
        <f>_xlfn.XLOOKUP($A381,表格1[No.],表格1[inv no],"---",0)</f>
        <v>---</v>
      </c>
      <c r="K381" t="str">
        <f>_xlfn.XLOOKUP($A381,表格1[No.],表格1[apps report no.],"---",0)</f>
        <v>---</v>
      </c>
    </row>
    <row r="382" spans="2:11">
      <c r="B382" t="str">
        <f>_xlfn.XLOOKUP($A382,表格1[No.],表格1[Shop],"---",0)</f>
        <v>---</v>
      </c>
      <c r="C382" t="str">
        <f>_xlfn.XLOOKUP($A382,表格1[No.],表格1[Location],"---",0)</f>
        <v>---</v>
      </c>
      <c r="D382" t="str">
        <f>_xlfn.XLOOKUP($A382,表格1[No.],表格1[Name],"---",0)</f>
        <v>---</v>
      </c>
      <c r="E382" t="str">
        <f>_xlfn.XLOOKUP($A382,表格1[No.],表格1[month],"---",0)</f>
        <v>---</v>
      </c>
      <c r="F382" s="12" t="str">
        <f>_xlfn.XLOOKUP($A382,表格1[No.],表格1[date],"---",0)</f>
        <v>---</v>
      </c>
      <c r="G382" t="str">
        <f>_xlfn.XLOOKUP($A382,表格1[No.],表格1[Model],"---",0)</f>
        <v>---</v>
      </c>
      <c r="H382" t="str">
        <f>_xlfn.XLOOKUP($A382,表格1[No.],表格1[QTY],"---",0)</f>
        <v>---</v>
      </c>
      <c r="I382" t="str">
        <f>_xlfn.XLOOKUP($A382,表格1[No.],表格1[Unit Price],"---",0)</f>
        <v>---</v>
      </c>
      <c r="J382" t="str">
        <f>_xlfn.XLOOKUP($A382,表格1[No.],表格1[inv no],"---",0)</f>
        <v>---</v>
      </c>
      <c r="K382" t="str">
        <f>_xlfn.XLOOKUP($A382,表格1[No.],表格1[apps report no.],"---",0)</f>
        <v>---</v>
      </c>
    </row>
    <row r="383" spans="2:11">
      <c r="B383" t="str">
        <f>_xlfn.XLOOKUP($A383,表格1[No.],表格1[Shop],"---",0)</f>
        <v>---</v>
      </c>
      <c r="C383" t="str">
        <f>_xlfn.XLOOKUP($A383,表格1[No.],表格1[Location],"---",0)</f>
        <v>---</v>
      </c>
      <c r="D383" t="str">
        <f>_xlfn.XLOOKUP($A383,表格1[No.],表格1[Name],"---",0)</f>
        <v>---</v>
      </c>
      <c r="E383" t="str">
        <f>_xlfn.XLOOKUP($A383,表格1[No.],表格1[month],"---",0)</f>
        <v>---</v>
      </c>
      <c r="F383" s="12" t="str">
        <f>_xlfn.XLOOKUP($A383,表格1[No.],表格1[date],"---",0)</f>
        <v>---</v>
      </c>
      <c r="G383" t="str">
        <f>_xlfn.XLOOKUP($A383,表格1[No.],表格1[Model],"---",0)</f>
        <v>---</v>
      </c>
      <c r="H383" t="str">
        <f>_xlfn.XLOOKUP($A383,表格1[No.],表格1[QTY],"---",0)</f>
        <v>---</v>
      </c>
      <c r="I383" t="str">
        <f>_xlfn.XLOOKUP($A383,表格1[No.],表格1[Unit Price],"---",0)</f>
        <v>---</v>
      </c>
      <c r="J383" t="str">
        <f>_xlfn.XLOOKUP($A383,表格1[No.],表格1[inv no],"---",0)</f>
        <v>---</v>
      </c>
      <c r="K383" t="str">
        <f>_xlfn.XLOOKUP($A383,表格1[No.],表格1[apps report no.],"---",0)</f>
        <v>---</v>
      </c>
    </row>
    <row r="384" spans="2:11">
      <c r="B384" t="str">
        <f>_xlfn.XLOOKUP($A384,表格1[No.],表格1[Shop],"---",0)</f>
        <v>---</v>
      </c>
      <c r="C384" t="str">
        <f>_xlfn.XLOOKUP($A384,表格1[No.],表格1[Location],"---",0)</f>
        <v>---</v>
      </c>
      <c r="D384" t="str">
        <f>_xlfn.XLOOKUP($A384,表格1[No.],表格1[Name],"---",0)</f>
        <v>---</v>
      </c>
      <c r="E384" t="str">
        <f>_xlfn.XLOOKUP($A384,表格1[No.],表格1[month],"---",0)</f>
        <v>---</v>
      </c>
      <c r="F384" s="12" t="str">
        <f>_xlfn.XLOOKUP($A384,表格1[No.],表格1[date],"---",0)</f>
        <v>---</v>
      </c>
      <c r="G384" t="str">
        <f>_xlfn.XLOOKUP($A384,表格1[No.],表格1[Model],"---",0)</f>
        <v>---</v>
      </c>
      <c r="H384" t="str">
        <f>_xlfn.XLOOKUP($A384,表格1[No.],表格1[QTY],"---",0)</f>
        <v>---</v>
      </c>
      <c r="I384" t="str">
        <f>_xlfn.XLOOKUP($A384,表格1[No.],表格1[Unit Price],"---",0)</f>
        <v>---</v>
      </c>
      <c r="J384" t="str">
        <f>_xlfn.XLOOKUP($A384,表格1[No.],表格1[inv no],"---",0)</f>
        <v>---</v>
      </c>
      <c r="K384" t="str">
        <f>_xlfn.XLOOKUP($A384,表格1[No.],表格1[apps report no.],"---",0)</f>
        <v>---</v>
      </c>
    </row>
    <row r="385" spans="2:11">
      <c r="B385" t="str">
        <f>_xlfn.XLOOKUP($A385,表格1[No.],表格1[Shop],"---",0)</f>
        <v>---</v>
      </c>
      <c r="C385" t="str">
        <f>_xlfn.XLOOKUP($A385,表格1[No.],表格1[Location],"---",0)</f>
        <v>---</v>
      </c>
      <c r="D385" t="str">
        <f>_xlfn.XLOOKUP($A385,表格1[No.],表格1[Name],"---",0)</f>
        <v>---</v>
      </c>
      <c r="E385" t="str">
        <f>_xlfn.XLOOKUP($A385,表格1[No.],表格1[month],"---",0)</f>
        <v>---</v>
      </c>
      <c r="F385" s="12" t="str">
        <f>_xlfn.XLOOKUP($A385,表格1[No.],表格1[date],"---",0)</f>
        <v>---</v>
      </c>
      <c r="G385" t="str">
        <f>_xlfn.XLOOKUP($A385,表格1[No.],表格1[Model],"---",0)</f>
        <v>---</v>
      </c>
      <c r="H385" t="str">
        <f>_xlfn.XLOOKUP($A385,表格1[No.],表格1[QTY],"---",0)</f>
        <v>---</v>
      </c>
      <c r="I385" t="str">
        <f>_xlfn.XLOOKUP($A385,表格1[No.],表格1[Unit Price],"---",0)</f>
        <v>---</v>
      </c>
      <c r="J385" t="str">
        <f>_xlfn.XLOOKUP($A385,表格1[No.],表格1[inv no],"---",0)</f>
        <v>---</v>
      </c>
      <c r="K385" t="str">
        <f>_xlfn.XLOOKUP($A385,表格1[No.],表格1[apps report no.],"---",0)</f>
        <v>---</v>
      </c>
    </row>
    <row r="386" spans="2:11">
      <c r="B386" t="str">
        <f>_xlfn.XLOOKUP($A386,表格1[No.],表格1[Shop],"---",0)</f>
        <v>---</v>
      </c>
      <c r="C386" t="str">
        <f>_xlfn.XLOOKUP($A386,表格1[No.],表格1[Location],"---",0)</f>
        <v>---</v>
      </c>
      <c r="D386" t="str">
        <f>_xlfn.XLOOKUP($A386,表格1[No.],表格1[Name],"---",0)</f>
        <v>---</v>
      </c>
      <c r="E386" t="str">
        <f>_xlfn.XLOOKUP($A386,表格1[No.],表格1[month],"---",0)</f>
        <v>---</v>
      </c>
      <c r="F386" s="12" t="str">
        <f>_xlfn.XLOOKUP($A386,表格1[No.],表格1[date],"---",0)</f>
        <v>---</v>
      </c>
      <c r="G386" t="str">
        <f>_xlfn.XLOOKUP($A386,表格1[No.],表格1[Model],"---",0)</f>
        <v>---</v>
      </c>
      <c r="H386" t="str">
        <f>_xlfn.XLOOKUP($A386,表格1[No.],表格1[QTY],"---",0)</f>
        <v>---</v>
      </c>
      <c r="I386" t="str">
        <f>_xlfn.XLOOKUP($A386,表格1[No.],表格1[Unit Price],"---",0)</f>
        <v>---</v>
      </c>
      <c r="J386" t="str">
        <f>_xlfn.XLOOKUP($A386,表格1[No.],表格1[inv no],"---",0)</f>
        <v>---</v>
      </c>
      <c r="K386" t="str">
        <f>_xlfn.XLOOKUP($A386,表格1[No.],表格1[apps report no.],"---",0)</f>
        <v>---</v>
      </c>
    </row>
    <row r="387" spans="2:11">
      <c r="B387" t="str">
        <f>_xlfn.XLOOKUP($A387,表格1[No.],表格1[Shop],"---",0)</f>
        <v>---</v>
      </c>
      <c r="C387" t="str">
        <f>_xlfn.XLOOKUP($A387,表格1[No.],表格1[Location],"---",0)</f>
        <v>---</v>
      </c>
      <c r="D387" t="str">
        <f>_xlfn.XLOOKUP($A387,表格1[No.],表格1[Name],"---",0)</f>
        <v>---</v>
      </c>
      <c r="E387" t="str">
        <f>_xlfn.XLOOKUP($A387,表格1[No.],表格1[month],"---",0)</f>
        <v>---</v>
      </c>
      <c r="F387" s="12" t="str">
        <f>_xlfn.XLOOKUP($A387,表格1[No.],表格1[date],"---",0)</f>
        <v>---</v>
      </c>
      <c r="G387" t="str">
        <f>_xlfn.XLOOKUP($A387,表格1[No.],表格1[Model],"---",0)</f>
        <v>---</v>
      </c>
      <c r="H387" t="str">
        <f>_xlfn.XLOOKUP($A387,表格1[No.],表格1[QTY],"---",0)</f>
        <v>---</v>
      </c>
      <c r="I387" t="str">
        <f>_xlfn.XLOOKUP($A387,表格1[No.],表格1[Unit Price],"---",0)</f>
        <v>---</v>
      </c>
      <c r="J387" t="str">
        <f>_xlfn.XLOOKUP($A387,表格1[No.],表格1[inv no],"---",0)</f>
        <v>---</v>
      </c>
      <c r="K387" t="str">
        <f>_xlfn.XLOOKUP($A387,表格1[No.],表格1[apps report no.],"---",0)</f>
        <v>---</v>
      </c>
    </row>
    <row r="388" spans="2:11">
      <c r="B388" t="str">
        <f>_xlfn.XLOOKUP($A388,表格1[No.],表格1[Shop],"---",0)</f>
        <v>---</v>
      </c>
      <c r="C388" t="str">
        <f>_xlfn.XLOOKUP($A388,表格1[No.],表格1[Location],"---",0)</f>
        <v>---</v>
      </c>
      <c r="D388" t="str">
        <f>_xlfn.XLOOKUP($A388,表格1[No.],表格1[Name],"---",0)</f>
        <v>---</v>
      </c>
      <c r="E388" t="str">
        <f>_xlfn.XLOOKUP($A388,表格1[No.],表格1[month],"---",0)</f>
        <v>---</v>
      </c>
      <c r="F388" s="12" t="str">
        <f>_xlfn.XLOOKUP($A388,表格1[No.],表格1[date],"---",0)</f>
        <v>---</v>
      </c>
      <c r="G388" t="str">
        <f>_xlfn.XLOOKUP($A388,表格1[No.],表格1[Model],"---",0)</f>
        <v>---</v>
      </c>
      <c r="H388" t="str">
        <f>_xlfn.XLOOKUP($A388,表格1[No.],表格1[QTY],"---",0)</f>
        <v>---</v>
      </c>
      <c r="I388" t="str">
        <f>_xlfn.XLOOKUP($A388,表格1[No.],表格1[Unit Price],"---",0)</f>
        <v>---</v>
      </c>
      <c r="J388" t="str">
        <f>_xlfn.XLOOKUP($A388,表格1[No.],表格1[inv no],"---",0)</f>
        <v>---</v>
      </c>
      <c r="K388" t="str">
        <f>_xlfn.XLOOKUP($A388,表格1[No.],表格1[apps report no.],"---",0)</f>
        <v>---</v>
      </c>
    </row>
    <row r="389" spans="2:11">
      <c r="B389" t="str">
        <f>_xlfn.XLOOKUP($A389,表格1[No.],表格1[Shop],"---",0)</f>
        <v>---</v>
      </c>
      <c r="C389" t="str">
        <f>_xlfn.XLOOKUP($A389,表格1[No.],表格1[Location],"---",0)</f>
        <v>---</v>
      </c>
      <c r="D389" t="str">
        <f>_xlfn.XLOOKUP($A389,表格1[No.],表格1[Name],"---",0)</f>
        <v>---</v>
      </c>
      <c r="E389" t="str">
        <f>_xlfn.XLOOKUP($A389,表格1[No.],表格1[month],"---",0)</f>
        <v>---</v>
      </c>
      <c r="F389" s="12" t="str">
        <f>_xlfn.XLOOKUP($A389,表格1[No.],表格1[date],"---",0)</f>
        <v>---</v>
      </c>
      <c r="G389" t="str">
        <f>_xlfn.XLOOKUP($A389,表格1[No.],表格1[Model],"---",0)</f>
        <v>---</v>
      </c>
      <c r="H389" t="str">
        <f>_xlfn.XLOOKUP($A389,表格1[No.],表格1[QTY],"---",0)</f>
        <v>---</v>
      </c>
      <c r="I389" t="str">
        <f>_xlfn.XLOOKUP($A389,表格1[No.],表格1[Unit Price],"---",0)</f>
        <v>---</v>
      </c>
      <c r="J389" t="str">
        <f>_xlfn.XLOOKUP($A389,表格1[No.],表格1[inv no],"---",0)</f>
        <v>---</v>
      </c>
      <c r="K389" t="str">
        <f>_xlfn.XLOOKUP($A389,表格1[No.],表格1[apps report no.],"---",0)</f>
        <v>---</v>
      </c>
    </row>
    <row r="390" spans="2:11">
      <c r="B390" t="str">
        <f>_xlfn.XLOOKUP($A390,表格1[No.],表格1[Shop],"---",0)</f>
        <v>---</v>
      </c>
      <c r="C390" t="str">
        <f>_xlfn.XLOOKUP($A390,表格1[No.],表格1[Location],"---",0)</f>
        <v>---</v>
      </c>
      <c r="D390" t="str">
        <f>_xlfn.XLOOKUP($A390,表格1[No.],表格1[Name],"---",0)</f>
        <v>---</v>
      </c>
      <c r="E390" t="str">
        <f>_xlfn.XLOOKUP($A390,表格1[No.],表格1[month],"---",0)</f>
        <v>---</v>
      </c>
      <c r="F390" s="12" t="str">
        <f>_xlfn.XLOOKUP($A390,表格1[No.],表格1[date],"---",0)</f>
        <v>---</v>
      </c>
      <c r="G390" t="str">
        <f>_xlfn.XLOOKUP($A390,表格1[No.],表格1[Model],"---",0)</f>
        <v>---</v>
      </c>
      <c r="H390" t="str">
        <f>_xlfn.XLOOKUP($A390,表格1[No.],表格1[QTY],"---",0)</f>
        <v>---</v>
      </c>
      <c r="I390" t="str">
        <f>_xlfn.XLOOKUP($A390,表格1[No.],表格1[Unit Price],"---",0)</f>
        <v>---</v>
      </c>
      <c r="J390" t="str">
        <f>_xlfn.XLOOKUP($A390,表格1[No.],表格1[inv no],"---",0)</f>
        <v>---</v>
      </c>
      <c r="K390" t="str">
        <f>_xlfn.XLOOKUP($A390,表格1[No.],表格1[apps report no.],"---",0)</f>
        <v>---</v>
      </c>
    </row>
    <row r="391" spans="2:11">
      <c r="B391" t="str">
        <f>_xlfn.XLOOKUP($A391,表格1[No.],表格1[Shop],"---",0)</f>
        <v>---</v>
      </c>
      <c r="C391" t="str">
        <f>_xlfn.XLOOKUP($A391,表格1[No.],表格1[Location],"---",0)</f>
        <v>---</v>
      </c>
      <c r="D391" t="str">
        <f>_xlfn.XLOOKUP($A391,表格1[No.],表格1[Name],"---",0)</f>
        <v>---</v>
      </c>
      <c r="E391" t="str">
        <f>_xlfn.XLOOKUP($A391,表格1[No.],表格1[month],"---",0)</f>
        <v>---</v>
      </c>
      <c r="F391" s="12" t="str">
        <f>_xlfn.XLOOKUP($A391,表格1[No.],表格1[date],"---",0)</f>
        <v>---</v>
      </c>
      <c r="G391" t="str">
        <f>_xlfn.XLOOKUP($A391,表格1[No.],表格1[Model],"---",0)</f>
        <v>---</v>
      </c>
      <c r="H391" t="str">
        <f>_xlfn.XLOOKUP($A391,表格1[No.],表格1[QTY],"---",0)</f>
        <v>---</v>
      </c>
      <c r="I391" t="str">
        <f>_xlfn.XLOOKUP($A391,表格1[No.],表格1[Unit Price],"---",0)</f>
        <v>---</v>
      </c>
      <c r="J391" t="str">
        <f>_xlfn.XLOOKUP($A391,表格1[No.],表格1[inv no],"---",0)</f>
        <v>---</v>
      </c>
      <c r="K391" t="str">
        <f>_xlfn.XLOOKUP($A391,表格1[No.],表格1[apps report no.],"---",0)</f>
        <v>---</v>
      </c>
    </row>
    <row r="392" spans="2:11">
      <c r="B392" t="str">
        <f>_xlfn.XLOOKUP($A392,表格1[No.],表格1[Shop],"---",0)</f>
        <v>---</v>
      </c>
      <c r="C392" t="str">
        <f>_xlfn.XLOOKUP($A392,表格1[No.],表格1[Location],"---",0)</f>
        <v>---</v>
      </c>
      <c r="D392" t="str">
        <f>_xlfn.XLOOKUP($A392,表格1[No.],表格1[Name],"---",0)</f>
        <v>---</v>
      </c>
      <c r="E392" t="str">
        <f>_xlfn.XLOOKUP($A392,表格1[No.],表格1[month],"---",0)</f>
        <v>---</v>
      </c>
      <c r="F392" s="12" t="str">
        <f>_xlfn.XLOOKUP($A392,表格1[No.],表格1[date],"---",0)</f>
        <v>---</v>
      </c>
      <c r="G392" t="str">
        <f>_xlfn.XLOOKUP($A392,表格1[No.],表格1[Model],"---",0)</f>
        <v>---</v>
      </c>
      <c r="H392" t="str">
        <f>_xlfn.XLOOKUP($A392,表格1[No.],表格1[QTY],"---",0)</f>
        <v>---</v>
      </c>
      <c r="I392" t="str">
        <f>_xlfn.XLOOKUP($A392,表格1[No.],表格1[Unit Price],"---",0)</f>
        <v>---</v>
      </c>
      <c r="J392" t="str">
        <f>_xlfn.XLOOKUP($A392,表格1[No.],表格1[inv no],"---",0)</f>
        <v>---</v>
      </c>
      <c r="K392" t="str">
        <f>_xlfn.XLOOKUP($A392,表格1[No.],表格1[apps report no.],"---",0)</f>
        <v>---</v>
      </c>
    </row>
    <row r="393" spans="2:11">
      <c r="B393" t="str">
        <f>_xlfn.XLOOKUP($A393,表格1[No.],表格1[Shop],"---",0)</f>
        <v>---</v>
      </c>
      <c r="C393" t="str">
        <f>_xlfn.XLOOKUP($A393,表格1[No.],表格1[Location],"---",0)</f>
        <v>---</v>
      </c>
      <c r="D393" t="str">
        <f>_xlfn.XLOOKUP($A393,表格1[No.],表格1[Name],"---",0)</f>
        <v>---</v>
      </c>
      <c r="E393" t="str">
        <f>_xlfn.XLOOKUP($A393,表格1[No.],表格1[month],"---",0)</f>
        <v>---</v>
      </c>
      <c r="F393" s="12" t="str">
        <f>_xlfn.XLOOKUP($A393,表格1[No.],表格1[date],"---",0)</f>
        <v>---</v>
      </c>
      <c r="G393" t="str">
        <f>_xlfn.XLOOKUP($A393,表格1[No.],表格1[Model],"---",0)</f>
        <v>---</v>
      </c>
      <c r="H393" t="str">
        <f>_xlfn.XLOOKUP($A393,表格1[No.],表格1[QTY],"---",0)</f>
        <v>---</v>
      </c>
      <c r="I393" t="str">
        <f>_xlfn.XLOOKUP($A393,表格1[No.],表格1[Unit Price],"---",0)</f>
        <v>---</v>
      </c>
      <c r="J393" t="str">
        <f>_xlfn.XLOOKUP($A393,表格1[No.],表格1[inv no],"---",0)</f>
        <v>---</v>
      </c>
      <c r="K393" t="str">
        <f>_xlfn.XLOOKUP($A393,表格1[No.],表格1[apps report no.],"---",0)</f>
        <v>---</v>
      </c>
    </row>
    <row r="394" spans="2:11">
      <c r="B394" t="str">
        <f>_xlfn.XLOOKUP($A394,表格1[No.],表格1[Shop],"---",0)</f>
        <v>---</v>
      </c>
      <c r="C394" t="str">
        <f>_xlfn.XLOOKUP($A394,表格1[No.],表格1[Location],"---",0)</f>
        <v>---</v>
      </c>
      <c r="D394" t="str">
        <f>_xlfn.XLOOKUP($A394,表格1[No.],表格1[Name],"---",0)</f>
        <v>---</v>
      </c>
      <c r="E394" t="str">
        <f>_xlfn.XLOOKUP($A394,表格1[No.],表格1[month],"---",0)</f>
        <v>---</v>
      </c>
      <c r="F394" s="12" t="str">
        <f>_xlfn.XLOOKUP($A394,表格1[No.],表格1[date],"---",0)</f>
        <v>---</v>
      </c>
      <c r="G394" t="str">
        <f>_xlfn.XLOOKUP($A394,表格1[No.],表格1[Model],"---",0)</f>
        <v>---</v>
      </c>
      <c r="H394" t="str">
        <f>_xlfn.XLOOKUP($A394,表格1[No.],表格1[QTY],"---",0)</f>
        <v>---</v>
      </c>
      <c r="I394" t="str">
        <f>_xlfn.XLOOKUP($A394,表格1[No.],表格1[Unit Price],"---",0)</f>
        <v>---</v>
      </c>
      <c r="J394" t="str">
        <f>_xlfn.XLOOKUP($A394,表格1[No.],表格1[inv no],"---",0)</f>
        <v>---</v>
      </c>
      <c r="K394" t="str">
        <f>_xlfn.XLOOKUP($A394,表格1[No.],表格1[apps report no.],"---",0)</f>
        <v>---</v>
      </c>
    </row>
    <row r="395" spans="2:11">
      <c r="B395" t="str">
        <f>_xlfn.XLOOKUP($A395,表格1[No.],表格1[Shop],"---",0)</f>
        <v>---</v>
      </c>
      <c r="C395" t="str">
        <f>_xlfn.XLOOKUP($A395,表格1[No.],表格1[Location],"---",0)</f>
        <v>---</v>
      </c>
      <c r="D395" t="str">
        <f>_xlfn.XLOOKUP($A395,表格1[No.],表格1[Name],"---",0)</f>
        <v>---</v>
      </c>
      <c r="E395" t="str">
        <f>_xlfn.XLOOKUP($A395,表格1[No.],表格1[month],"---",0)</f>
        <v>---</v>
      </c>
      <c r="F395" s="12" t="str">
        <f>_xlfn.XLOOKUP($A395,表格1[No.],表格1[date],"---",0)</f>
        <v>---</v>
      </c>
      <c r="G395" t="str">
        <f>_xlfn.XLOOKUP($A395,表格1[No.],表格1[Model],"---",0)</f>
        <v>---</v>
      </c>
      <c r="H395" t="str">
        <f>_xlfn.XLOOKUP($A395,表格1[No.],表格1[QTY],"---",0)</f>
        <v>---</v>
      </c>
      <c r="I395" t="str">
        <f>_xlfn.XLOOKUP($A395,表格1[No.],表格1[Unit Price],"---",0)</f>
        <v>---</v>
      </c>
      <c r="J395" t="str">
        <f>_xlfn.XLOOKUP($A395,表格1[No.],表格1[inv no],"---",0)</f>
        <v>---</v>
      </c>
      <c r="K395" t="str">
        <f>_xlfn.XLOOKUP($A395,表格1[No.],表格1[apps report no.],"---",0)</f>
        <v>---</v>
      </c>
    </row>
    <row r="396" spans="2:11">
      <c r="B396" t="str">
        <f>_xlfn.XLOOKUP($A396,表格1[No.],表格1[Shop],"---",0)</f>
        <v>---</v>
      </c>
      <c r="C396" t="str">
        <f>_xlfn.XLOOKUP($A396,表格1[No.],表格1[Location],"---",0)</f>
        <v>---</v>
      </c>
      <c r="D396" t="str">
        <f>_xlfn.XLOOKUP($A396,表格1[No.],表格1[Name],"---",0)</f>
        <v>---</v>
      </c>
      <c r="E396" t="str">
        <f>_xlfn.XLOOKUP($A396,表格1[No.],表格1[month],"---",0)</f>
        <v>---</v>
      </c>
      <c r="F396" s="12" t="str">
        <f>_xlfn.XLOOKUP($A396,表格1[No.],表格1[date],"---",0)</f>
        <v>---</v>
      </c>
      <c r="G396" t="str">
        <f>_xlfn.XLOOKUP($A396,表格1[No.],表格1[Model],"---",0)</f>
        <v>---</v>
      </c>
      <c r="H396" t="str">
        <f>_xlfn.XLOOKUP($A396,表格1[No.],表格1[QTY],"---",0)</f>
        <v>---</v>
      </c>
      <c r="I396" t="str">
        <f>_xlfn.XLOOKUP($A396,表格1[No.],表格1[Unit Price],"---",0)</f>
        <v>---</v>
      </c>
      <c r="J396" t="str">
        <f>_xlfn.XLOOKUP($A396,表格1[No.],表格1[inv no],"---",0)</f>
        <v>---</v>
      </c>
      <c r="K396" t="str">
        <f>_xlfn.XLOOKUP($A396,表格1[No.],表格1[apps report no.],"---",0)</f>
        <v>---</v>
      </c>
    </row>
    <row r="397" spans="2:11">
      <c r="B397" t="str">
        <f>_xlfn.XLOOKUP($A397,表格1[No.],表格1[Shop],"---",0)</f>
        <v>---</v>
      </c>
      <c r="C397" t="str">
        <f>_xlfn.XLOOKUP($A397,表格1[No.],表格1[Location],"---",0)</f>
        <v>---</v>
      </c>
      <c r="D397" t="str">
        <f>_xlfn.XLOOKUP($A397,表格1[No.],表格1[Name],"---",0)</f>
        <v>---</v>
      </c>
      <c r="E397" t="str">
        <f>_xlfn.XLOOKUP($A397,表格1[No.],表格1[month],"---",0)</f>
        <v>---</v>
      </c>
      <c r="F397" s="12" t="str">
        <f>_xlfn.XLOOKUP($A397,表格1[No.],表格1[date],"---",0)</f>
        <v>---</v>
      </c>
      <c r="G397" t="str">
        <f>_xlfn.XLOOKUP($A397,表格1[No.],表格1[Model],"---",0)</f>
        <v>---</v>
      </c>
      <c r="H397" t="str">
        <f>_xlfn.XLOOKUP($A397,表格1[No.],表格1[QTY],"---",0)</f>
        <v>---</v>
      </c>
      <c r="I397" t="str">
        <f>_xlfn.XLOOKUP($A397,表格1[No.],表格1[Unit Price],"---",0)</f>
        <v>---</v>
      </c>
      <c r="J397" t="str">
        <f>_xlfn.XLOOKUP($A397,表格1[No.],表格1[inv no],"---",0)</f>
        <v>---</v>
      </c>
      <c r="K397" t="str">
        <f>_xlfn.XLOOKUP($A397,表格1[No.],表格1[apps report no.],"---",0)</f>
        <v>---</v>
      </c>
    </row>
    <row r="398" spans="2:11">
      <c r="B398" t="str">
        <f>_xlfn.XLOOKUP($A398,表格1[No.],表格1[Shop],"---",0)</f>
        <v>---</v>
      </c>
      <c r="C398" t="str">
        <f>_xlfn.XLOOKUP($A398,表格1[No.],表格1[Location],"---",0)</f>
        <v>---</v>
      </c>
      <c r="D398" t="str">
        <f>_xlfn.XLOOKUP($A398,表格1[No.],表格1[Name],"---",0)</f>
        <v>---</v>
      </c>
      <c r="E398" t="str">
        <f>_xlfn.XLOOKUP($A398,表格1[No.],表格1[month],"---",0)</f>
        <v>---</v>
      </c>
      <c r="F398" s="12" t="str">
        <f>_xlfn.XLOOKUP($A398,表格1[No.],表格1[date],"---",0)</f>
        <v>---</v>
      </c>
      <c r="G398" t="str">
        <f>_xlfn.XLOOKUP($A398,表格1[No.],表格1[Model],"---",0)</f>
        <v>---</v>
      </c>
      <c r="H398" t="str">
        <f>_xlfn.XLOOKUP($A398,表格1[No.],表格1[QTY],"---",0)</f>
        <v>---</v>
      </c>
      <c r="I398" t="str">
        <f>_xlfn.XLOOKUP($A398,表格1[No.],表格1[Unit Price],"---",0)</f>
        <v>---</v>
      </c>
      <c r="J398" t="str">
        <f>_xlfn.XLOOKUP($A398,表格1[No.],表格1[inv no],"---",0)</f>
        <v>---</v>
      </c>
      <c r="K398" t="str">
        <f>_xlfn.XLOOKUP($A398,表格1[No.],表格1[apps report no.],"---",0)</f>
        <v>---</v>
      </c>
    </row>
    <row r="399" spans="2:11">
      <c r="B399" t="str">
        <f>_xlfn.XLOOKUP($A399,表格1[No.],表格1[Shop],"---",0)</f>
        <v>---</v>
      </c>
      <c r="C399" t="str">
        <f>_xlfn.XLOOKUP($A399,表格1[No.],表格1[Location],"---",0)</f>
        <v>---</v>
      </c>
      <c r="D399" t="str">
        <f>_xlfn.XLOOKUP($A399,表格1[No.],表格1[Name],"---",0)</f>
        <v>---</v>
      </c>
      <c r="E399" t="str">
        <f>_xlfn.XLOOKUP($A399,表格1[No.],表格1[month],"---",0)</f>
        <v>---</v>
      </c>
      <c r="F399" s="12" t="str">
        <f>_xlfn.XLOOKUP($A399,表格1[No.],表格1[date],"---",0)</f>
        <v>---</v>
      </c>
      <c r="G399" t="str">
        <f>_xlfn.XLOOKUP($A399,表格1[No.],表格1[Model],"---",0)</f>
        <v>---</v>
      </c>
      <c r="H399" t="str">
        <f>_xlfn.XLOOKUP($A399,表格1[No.],表格1[QTY],"---",0)</f>
        <v>---</v>
      </c>
      <c r="I399" t="str">
        <f>_xlfn.XLOOKUP($A399,表格1[No.],表格1[Unit Price],"---",0)</f>
        <v>---</v>
      </c>
      <c r="J399" t="str">
        <f>_xlfn.XLOOKUP($A399,表格1[No.],表格1[inv no],"---",0)</f>
        <v>---</v>
      </c>
      <c r="K399" t="str">
        <f>_xlfn.XLOOKUP($A399,表格1[No.],表格1[apps report no.],"---",0)</f>
        <v>---</v>
      </c>
    </row>
    <row r="400" spans="2:11">
      <c r="B400" t="str">
        <f>_xlfn.XLOOKUP($A400,表格1[No.],表格1[Shop],"---",0)</f>
        <v>---</v>
      </c>
      <c r="C400" t="str">
        <f>_xlfn.XLOOKUP($A400,表格1[No.],表格1[Location],"---",0)</f>
        <v>---</v>
      </c>
      <c r="D400" t="str">
        <f>_xlfn.XLOOKUP($A400,表格1[No.],表格1[Name],"---",0)</f>
        <v>---</v>
      </c>
      <c r="E400" t="str">
        <f>_xlfn.XLOOKUP($A400,表格1[No.],表格1[month],"---",0)</f>
        <v>---</v>
      </c>
      <c r="F400" s="12" t="str">
        <f>_xlfn.XLOOKUP($A400,表格1[No.],表格1[date],"---",0)</f>
        <v>---</v>
      </c>
      <c r="G400" t="str">
        <f>_xlfn.XLOOKUP($A400,表格1[No.],表格1[Model],"---",0)</f>
        <v>---</v>
      </c>
      <c r="H400" t="str">
        <f>_xlfn.XLOOKUP($A400,表格1[No.],表格1[QTY],"---",0)</f>
        <v>---</v>
      </c>
      <c r="I400" t="str">
        <f>_xlfn.XLOOKUP($A400,表格1[No.],表格1[Unit Price],"---",0)</f>
        <v>---</v>
      </c>
      <c r="J400" t="str">
        <f>_xlfn.XLOOKUP($A400,表格1[No.],表格1[inv no],"---",0)</f>
        <v>---</v>
      </c>
      <c r="K400" t="str">
        <f>_xlfn.XLOOKUP($A400,表格1[No.],表格1[apps report no.],"---",0)</f>
        <v>---</v>
      </c>
    </row>
    <row r="401" spans="2:11">
      <c r="B401" t="str">
        <f>_xlfn.XLOOKUP($A401,表格1[No.],表格1[Shop],"---",0)</f>
        <v>---</v>
      </c>
      <c r="C401" t="str">
        <f>_xlfn.XLOOKUP($A401,表格1[No.],表格1[Location],"---",0)</f>
        <v>---</v>
      </c>
      <c r="D401" t="str">
        <f>_xlfn.XLOOKUP($A401,表格1[No.],表格1[Name],"---",0)</f>
        <v>---</v>
      </c>
      <c r="E401" t="str">
        <f>_xlfn.XLOOKUP($A401,表格1[No.],表格1[month],"---",0)</f>
        <v>---</v>
      </c>
      <c r="F401" s="12" t="str">
        <f>_xlfn.XLOOKUP($A401,表格1[No.],表格1[date],"---",0)</f>
        <v>---</v>
      </c>
      <c r="G401" t="str">
        <f>_xlfn.XLOOKUP($A401,表格1[No.],表格1[Model],"---",0)</f>
        <v>---</v>
      </c>
      <c r="H401" t="str">
        <f>_xlfn.XLOOKUP($A401,表格1[No.],表格1[QTY],"---",0)</f>
        <v>---</v>
      </c>
      <c r="I401" t="str">
        <f>_xlfn.XLOOKUP($A401,表格1[No.],表格1[Unit Price],"---",0)</f>
        <v>---</v>
      </c>
      <c r="J401" t="str">
        <f>_xlfn.XLOOKUP($A401,表格1[No.],表格1[inv no],"---",0)</f>
        <v>---</v>
      </c>
      <c r="K401" t="str">
        <f>_xlfn.XLOOKUP($A401,表格1[No.],表格1[apps report no.],"---",0)</f>
        <v>---</v>
      </c>
    </row>
    <row r="402" spans="2:11">
      <c r="B402" t="str">
        <f>_xlfn.XLOOKUP($A402,表格1[No.],表格1[Shop],"---",0)</f>
        <v>---</v>
      </c>
      <c r="C402" t="str">
        <f>_xlfn.XLOOKUP($A402,表格1[No.],表格1[Location],"---",0)</f>
        <v>---</v>
      </c>
      <c r="D402" t="str">
        <f>_xlfn.XLOOKUP($A402,表格1[No.],表格1[Name],"---",0)</f>
        <v>---</v>
      </c>
      <c r="E402" t="str">
        <f>_xlfn.XLOOKUP($A402,表格1[No.],表格1[month],"---",0)</f>
        <v>---</v>
      </c>
      <c r="F402" s="12" t="str">
        <f>_xlfn.XLOOKUP($A402,表格1[No.],表格1[date],"---",0)</f>
        <v>---</v>
      </c>
      <c r="G402" t="str">
        <f>_xlfn.XLOOKUP($A402,表格1[No.],表格1[Model],"---",0)</f>
        <v>---</v>
      </c>
      <c r="H402" t="str">
        <f>_xlfn.XLOOKUP($A402,表格1[No.],表格1[QTY],"---",0)</f>
        <v>---</v>
      </c>
      <c r="I402" t="str">
        <f>_xlfn.XLOOKUP($A402,表格1[No.],表格1[Unit Price],"---",0)</f>
        <v>---</v>
      </c>
      <c r="J402" t="str">
        <f>_xlfn.XLOOKUP($A402,表格1[No.],表格1[inv no],"---",0)</f>
        <v>---</v>
      </c>
      <c r="K402" t="str">
        <f>_xlfn.XLOOKUP($A402,表格1[No.],表格1[apps report no.],"---",0)</f>
        <v>---</v>
      </c>
    </row>
    <row r="403" spans="2:11">
      <c r="B403" t="str">
        <f>_xlfn.XLOOKUP($A403,表格1[No.],表格1[Shop],"---",0)</f>
        <v>---</v>
      </c>
      <c r="C403" t="str">
        <f>_xlfn.XLOOKUP($A403,表格1[No.],表格1[Location],"---",0)</f>
        <v>---</v>
      </c>
      <c r="D403" t="str">
        <f>_xlfn.XLOOKUP($A403,表格1[No.],表格1[Name],"---",0)</f>
        <v>---</v>
      </c>
      <c r="E403" t="str">
        <f>_xlfn.XLOOKUP($A403,表格1[No.],表格1[month],"---",0)</f>
        <v>---</v>
      </c>
      <c r="F403" s="12" t="str">
        <f>_xlfn.XLOOKUP($A403,表格1[No.],表格1[date],"---",0)</f>
        <v>---</v>
      </c>
      <c r="G403" t="str">
        <f>_xlfn.XLOOKUP($A403,表格1[No.],表格1[Model],"---",0)</f>
        <v>---</v>
      </c>
      <c r="H403" t="str">
        <f>_xlfn.XLOOKUP($A403,表格1[No.],表格1[QTY],"---",0)</f>
        <v>---</v>
      </c>
      <c r="I403" t="str">
        <f>_xlfn.XLOOKUP($A403,表格1[No.],表格1[Unit Price],"---",0)</f>
        <v>---</v>
      </c>
      <c r="J403" t="str">
        <f>_xlfn.XLOOKUP($A403,表格1[No.],表格1[inv no],"---",0)</f>
        <v>---</v>
      </c>
      <c r="K403" t="str">
        <f>_xlfn.XLOOKUP($A403,表格1[No.],表格1[apps report no.],"---",0)</f>
        <v>---</v>
      </c>
    </row>
    <row r="404" spans="2:11">
      <c r="B404" t="str">
        <f>_xlfn.XLOOKUP($A404,表格1[No.],表格1[Shop],"---",0)</f>
        <v>---</v>
      </c>
      <c r="C404" t="str">
        <f>_xlfn.XLOOKUP($A404,表格1[No.],表格1[Location],"---",0)</f>
        <v>---</v>
      </c>
      <c r="D404" t="str">
        <f>_xlfn.XLOOKUP($A404,表格1[No.],表格1[Name],"---",0)</f>
        <v>---</v>
      </c>
      <c r="E404" t="str">
        <f>_xlfn.XLOOKUP($A404,表格1[No.],表格1[month],"---",0)</f>
        <v>---</v>
      </c>
      <c r="F404" s="12" t="str">
        <f>_xlfn.XLOOKUP($A404,表格1[No.],表格1[date],"---",0)</f>
        <v>---</v>
      </c>
      <c r="G404" t="str">
        <f>_xlfn.XLOOKUP($A404,表格1[No.],表格1[Model],"---",0)</f>
        <v>---</v>
      </c>
      <c r="H404" t="str">
        <f>_xlfn.XLOOKUP($A404,表格1[No.],表格1[QTY],"---",0)</f>
        <v>---</v>
      </c>
      <c r="I404" t="str">
        <f>_xlfn.XLOOKUP($A404,表格1[No.],表格1[Unit Price],"---",0)</f>
        <v>---</v>
      </c>
      <c r="J404" t="str">
        <f>_xlfn.XLOOKUP($A404,表格1[No.],表格1[inv no],"---",0)</f>
        <v>---</v>
      </c>
      <c r="K404" t="str">
        <f>_xlfn.XLOOKUP($A404,表格1[No.],表格1[apps report no.],"---",0)</f>
        <v>---</v>
      </c>
    </row>
    <row r="405" spans="2:11">
      <c r="B405" t="str">
        <f>_xlfn.XLOOKUP($A405,表格1[No.],表格1[Shop],"---",0)</f>
        <v>---</v>
      </c>
      <c r="C405" t="str">
        <f>_xlfn.XLOOKUP($A405,表格1[No.],表格1[Location],"---",0)</f>
        <v>---</v>
      </c>
      <c r="D405" t="str">
        <f>_xlfn.XLOOKUP($A405,表格1[No.],表格1[Name],"---",0)</f>
        <v>---</v>
      </c>
      <c r="E405" t="str">
        <f>_xlfn.XLOOKUP($A405,表格1[No.],表格1[month],"---",0)</f>
        <v>---</v>
      </c>
      <c r="F405" s="12" t="str">
        <f>_xlfn.XLOOKUP($A405,表格1[No.],表格1[date],"---",0)</f>
        <v>---</v>
      </c>
      <c r="G405" t="str">
        <f>_xlfn.XLOOKUP($A405,表格1[No.],表格1[Model],"---",0)</f>
        <v>---</v>
      </c>
      <c r="H405" t="str">
        <f>_xlfn.XLOOKUP($A405,表格1[No.],表格1[QTY],"---",0)</f>
        <v>---</v>
      </c>
      <c r="I405" t="str">
        <f>_xlfn.XLOOKUP($A405,表格1[No.],表格1[Unit Price],"---",0)</f>
        <v>---</v>
      </c>
      <c r="J405" t="str">
        <f>_xlfn.XLOOKUP($A405,表格1[No.],表格1[inv no],"---",0)</f>
        <v>---</v>
      </c>
      <c r="K405" t="str">
        <f>_xlfn.XLOOKUP($A405,表格1[No.],表格1[apps report no.],"---",0)</f>
        <v>---</v>
      </c>
    </row>
    <row r="406" spans="2:11">
      <c r="B406" t="str">
        <f>_xlfn.XLOOKUP($A406,表格1[No.],表格1[Shop],"---",0)</f>
        <v>---</v>
      </c>
      <c r="C406" t="str">
        <f>_xlfn.XLOOKUP($A406,表格1[No.],表格1[Location],"---",0)</f>
        <v>---</v>
      </c>
      <c r="D406" t="str">
        <f>_xlfn.XLOOKUP($A406,表格1[No.],表格1[Name],"---",0)</f>
        <v>---</v>
      </c>
      <c r="E406" t="str">
        <f>_xlfn.XLOOKUP($A406,表格1[No.],表格1[month],"---",0)</f>
        <v>---</v>
      </c>
      <c r="F406" s="12" t="str">
        <f>_xlfn.XLOOKUP($A406,表格1[No.],表格1[date],"---",0)</f>
        <v>---</v>
      </c>
      <c r="G406" t="str">
        <f>_xlfn.XLOOKUP($A406,表格1[No.],表格1[Model],"---",0)</f>
        <v>---</v>
      </c>
      <c r="H406" t="str">
        <f>_xlfn.XLOOKUP($A406,表格1[No.],表格1[QTY],"---",0)</f>
        <v>---</v>
      </c>
      <c r="I406" t="str">
        <f>_xlfn.XLOOKUP($A406,表格1[No.],表格1[Unit Price],"---",0)</f>
        <v>---</v>
      </c>
      <c r="J406" t="str">
        <f>_xlfn.XLOOKUP($A406,表格1[No.],表格1[inv no],"---",0)</f>
        <v>---</v>
      </c>
      <c r="K406" t="str">
        <f>_xlfn.XLOOKUP($A406,表格1[No.],表格1[apps report no.],"---",0)</f>
        <v>---</v>
      </c>
    </row>
    <row r="407" spans="2:11">
      <c r="B407" t="str">
        <f>_xlfn.XLOOKUP($A407,表格1[No.],表格1[Shop],"---",0)</f>
        <v>---</v>
      </c>
      <c r="C407" t="str">
        <f>_xlfn.XLOOKUP($A407,表格1[No.],表格1[Location],"---",0)</f>
        <v>---</v>
      </c>
      <c r="D407" t="str">
        <f>_xlfn.XLOOKUP($A407,表格1[No.],表格1[Name],"---",0)</f>
        <v>---</v>
      </c>
      <c r="E407" t="str">
        <f>_xlfn.XLOOKUP($A407,表格1[No.],表格1[month],"---",0)</f>
        <v>---</v>
      </c>
      <c r="F407" s="12" t="str">
        <f>_xlfn.XLOOKUP($A407,表格1[No.],表格1[date],"---",0)</f>
        <v>---</v>
      </c>
      <c r="G407" t="str">
        <f>_xlfn.XLOOKUP($A407,表格1[No.],表格1[Model],"---",0)</f>
        <v>---</v>
      </c>
      <c r="H407" t="str">
        <f>_xlfn.XLOOKUP($A407,表格1[No.],表格1[QTY],"---",0)</f>
        <v>---</v>
      </c>
      <c r="I407" t="str">
        <f>_xlfn.XLOOKUP($A407,表格1[No.],表格1[Unit Price],"---",0)</f>
        <v>---</v>
      </c>
      <c r="J407" t="str">
        <f>_xlfn.XLOOKUP($A407,表格1[No.],表格1[inv no],"---",0)</f>
        <v>---</v>
      </c>
      <c r="K407" t="str">
        <f>_xlfn.XLOOKUP($A407,表格1[No.],表格1[apps report no.],"---",0)</f>
        <v>---</v>
      </c>
    </row>
    <row r="408" spans="2:11">
      <c r="B408" t="str">
        <f>_xlfn.XLOOKUP($A408,表格1[No.],表格1[Shop],"---",0)</f>
        <v>---</v>
      </c>
      <c r="C408" t="str">
        <f>_xlfn.XLOOKUP($A408,表格1[No.],表格1[Location],"---",0)</f>
        <v>---</v>
      </c>
      <c r="D408" t="str">
        <f>_xlfn.XLOOKUP($A408,表格1[No.],表格1[Name],"---",0)</f>
        <v>---</v>
      </c>
      <c r="E408" t="str">
        <f>_xlfn.XLOOKUP($A408,表格1[No.],表格1[month],"---",0)</f>
        <v>---</v>
      </c>
      <c r="F408" s="12" t="str">
        <f>_xlfn.XLOOKUP($A408,表格1[No.],表格1[date],"---",0)</f>
        <v>---</v>
      </c>
      <c r="G408" t="str">
        <f>_xlfn.XLOOKUP($A408,表格1[No.],表格1[Model],"---",0)</f>
        <v>---</v>
      </c>
      <c r="H408" t="str">
        <f>_xlfn.XLOOKUP($A408,表格1[No.],表格1[QTY],"---",0)</f>
        <v>---</v>
      </c>
      <c r="I408" t="str">
        <f>_xlfn.XLOOKUP($A408,表格1[No.],表格1[Unit Price],"---",0)</f>
        <v>---</v>
      </c>
      <c r="J408" t="str">
        <f>_xlfn.XLOOKUP($A408,表格1[No.],表格1[inv no],"---",0)</f>
        <v>---</v>
      </c>
      <c r="K408" t="str">
        <f>_xlfn.XLOOKUP($A408,表格1[No.],表格1[apps report no.],"---",0)</f>
        <v>---</v>
      </c>
    </row>
    <row r="409" spans="2:11">
      <c r="B409" t="str">
        <f>_xlfn.XLOOKUP($A409,表格1[No.],表格1[Shop],"---",0)</f>
        <v>---</v>
      </c>
      <c r="C409" t="str">
        <f>_xlfn.XLOOKUP($A409,表格1[No.],表格1[Location],"---",0)</f>
        <v>---</v>
      </c>
      <c r="D409" t="str">
        <f>_xlfn.XLOOKUP($A409,表格1[No.],表格1[Name],"---",0)</f>
        <v>---</v>
      </c>
      <c r="E409" t="str">
        <f>_xlfn.XLOOKUP($A409,表格1[No.],表格1[month],"---",0)</f>
        <v>---</v>
      </c>
      <c r="F409" s="12" t="str">
        <f>_xlfn.XLOOKUP($A409,表格1[No.],表格1[date],"---",0)</f>
        <v>---</v>
      </c>
      <c r="G409" t="str">
        <f>_xlfn.XLOOKUP($A409,表格1[No.],表格1[Model],"---",0)</f>
        <v>---</v>
      </c>
      <c r="H409" t="str">
        <f>_xlfn.XLOOKUP($A409,表格1[No.],表格1[QTY],"---",0)</f>
        <v>---</v>
      </c>
      <c r="I409" t="str">
        <f>_xlfn.XLOOKUP($A409,表格1[No.],表格1[Unit Price],"---",0)</f>
        <v>---</v>
      </c>
      <c r="J409" t="str">
        <f>_xlfn.XLOOKUP($A409,表格1[No.],表格1[inv no],"---",0)</f>
        <v>---</v>
      </c>
      <c r="K409" t="str">
        <f>_xlfn.XLOOKUP($A409,表格1[No.],表格1[apps report no.],"---",0)</f>
        <v>---</v>
      </c>
    </row>
    <row r="410" spans="2:11">
      <c r="B410" t="str">
        <f>_xlfn.XLOOKUP($A410,表格1[No.],表格1[Shop],"---",0)</f>
        <v>---</v>
      </c>
      <c r="C410" t="str">
        <f>_xlfn.XLOOKUP($A410,表格1[No.],表格1[Location],"---",0)</f>
        <v>---</v>
      </c>
      <c r="D410" t="str">
        <f>_xlfn.XLOOKUP($A410,表格1[No.],表格1[Name],"---",0)</f>
        <v>---</v>
      </c>
      <c r="E410" t="str">
        <f>_xlfn.XLOOKUP($A410,表格1[No.],表格1[month],"---",0)</f>
        <v>---</v>
      </c>
      <c r="F410" s="12" t="str">
        <f>_xlfn.XLOOKUP($A410,表格1[No.],表格1[date],"---",0)</f>
        <v>---</v>
      </c>
      <c r="G410" t="str">
        <f>_xlfn.XLOOKUP($A410,表格1[No.],表格1[Model],"---",0)</f>
        <v>---</v>
      </c>
      <c r="H410" t="str">
        <f>_xlfn.XLOOKUP($A410,表格1[No.],表格1[QTY],"---",0)</f>
        <v>---</v>
      </c>
      <c r="I410" t="str">
        <f>_xlfn.XLOOKUP($A410,表格1[No.],表格1[Unit Price],"---",0)</f>
        <v>---</v>
      </c>
      <c r="J410" t="str">
        <f>_xlfn.XLOOKUP($A410,表格1[No.],表格1[inv no],"---",0)</f>
        <v>---</v>
      </c>
      <c r="K410" t="str">
        <f>_xlfn.XLOOKUP($A410,表格1[No.],表格1[apps report no.],"---",0)</f>
        <v>---</v>
      </c>
    </row>
    <row r="411" spans="2:11">
      <c r="B411" t="str">
        <f>_xlfn.XLOOKUP($A411,表格1[No.],表格1[Shop],"---",0)</f>
        <v>---</v>
      </c>
      <c r="C411" t="str">
        <f>_xlfn.XLOOKUP($A411,表格1[No.],表格1[Location],"---",0)</f>
        <v>---</v>
      </c>
      <c r="D411" t="str">
        <f>_xlfn.XLOOKUP($A411,表格1[No.],表格1[Name],"---",0)</f>
        <v>---</v>
      </c>
      <c r="E411" t="str">
        <f>_xlfn.XLOOKUP($A411,表格1[No.],表格1[month],"---",0)</f>
        <v>---</v>
      </c>
      <c r="F411" s="12" t="str">
        <f>_xlfn.XLOOKUP($A411,表格1[No.],表格1[date],"---",0)</f>
        <v>---</v>
      </c>
      <c r="G411" t="str">
        <f>_xlfn.XLOOKUP($A411,表格1[No.],表格1[Model],"---",0)</f>
        <v>---</v>
      </c>
      <c r="H411" t="str">
        <f>_xlfn.XLOOKUP($A411,表格1[No.],表格1[QTY],"---",0)</f>
        <v>---</v>
      </c>
      <c r="I411" t="str">
        <f>_xlfn.XLOOKUP($A411,表格1[No.],表格1[Unit Price],"---",0)</f>
        <v>---</v>
      </c>
      <c r="J411" t="str">
        <f>_xlfn.XLOOKUP($A411,表格1[No.],表格1[inv no],"---",0)</f>
        <v>---</v>
      </c>
      <c r="K411" t="str">
        <f>_xlfn.XLOOKUP($A411,表格1[No.],表格1[apps report no.],"---",0)</f>
        <v>---</v>
      </c>
    </row>
    <row r="412" spans="2:11">
      <c r="B412" t="str">
        <f>_xlfn.XLOOKUP($A412,表格1[No.],表格1[Shop],"---",0)</f>
        <v>---</v>
      </c>
      <c r="C412" t="str">
        <f>_xlfn.XLOOKUP($A412,表格1[No.],表格1[Location],"---",0)</f>
        <v>---</v>
      </c>
      <c r="D412" t="str">
        <f>_xlfn.XLOOKUP($A412,表格1[No.],表格1[Name],"---",0)</f>
        <v>---</v>
      </c>
      <c r="E412" t="str">
        <f>_xlfn.XLOOKUP($A412,表格1[No.],表格1[month],"---",0)</f>
        <v>---</v>
      </c>
      <c r="F412" s="12" t="str">
        <f>_xlfn.XLOOKUP($A412,表格1[No.],表格1[date],"---",0)</f>
        <v>---</v>
      </c>
      <c r="G412" t="str">
        <f>_xlfn.XLOOKUP($A412,表格1[No.],表格1[Model],"---",0)</f>
        <v>---</v>
      </c>
      <c r="H412" t="str">
        <f>_xlfn.XLOOKUP($A412,表格1[No.],表格1[QTY],"---",0)</f>
        <v>---</v>
      </c>
      <c r="I412" t="str">
        <f>_xlfn.XLOOKUP($A412,表格1[No.],表格1[Unit Price],"---",0)</f>
        <v>---</v>
      </c>
      <c r="J412" t="str">
        <f>_xlfn.XLOOKUP($A412,表格1[No.],表格1[inv no],"---",0)</f>
        <v>---</v>
      </c>
      <c r="K412" t="str">
        <f>_xlfn.XLOOKUP($A412,表格1[No.],表格1[apps report no.],"---",0)</f>
        <v>---</v>
      </c>
    </row>
    <row r="413" spans="2:11">
      <c r="B413" t="str">
        <f>_xlfn.XLOOKUP($A413,表格1[No.],表格1[Shop],"---",0)</f>
        <v>---</v>
      </c>
      <c r="C413" t="str">
        <f>_xlfn.XLOOKUP($A413,表格1[No.],表格1[Location],"---",0)</f>
        <v>---</v>
      </c>
      <c r="D413" t="str">
        <f>_xlfn.XLOOKUP($A413,表格1[No.],表格1[Name],"---",0)</f>
        <v>---</v>
      </c>
      <c r="E413" t="str">
        <f>_xlfn.XLOOKUP($A413,表格1[No.],表格1[month],"---",0)</f>
        <v>---</v>
      </c>
      <c r="F413" s="12" t="str">
        <f>_xlfn.XLOOKUP($A413,表格1[No.],表格1[date],"---",0)</f>
        <v>---</v>
      </c>
      <c r="G413" t="str">
        <f>_xlfn.XLOOKUP($A413,表格1[No.],表格1[Model],"---",0)</f>
        <v>---</v>
      </c>
      <c r="H413" t="str">
        <f>_xlfn.XLOOKUP($A413,表格1[No.],表格1[QTY],"---",0)</f>
        <v>---</v>
      </c>
      <c r="I413" t="str">
        <f>_xlfn.XLOOKUP($A413,表格1[No.],表格1[Unit Price],"---",0)</f>
        <v>---</v>
      </c>
      <c r="J413" t="str">
        <f>_xlfn.XLOOKUP($A413,表格1[No.],表格1[inv no],"---",0)</f>
        <v>---</v>
      </c>
      <c r="K413" t="str">
        <f>_xlfn.XLOOKUP($A413,表格1[No.],表格1[apps report no.],"---",0)</f>
        <v>---</v>
      </c>
    </row>
    <row r="414" spans="2:11">
      <c r="B414" t="str">
        <f>_xlfn.XLOOKUP($A414,表格1[No.],表格1[Shop],"---",0)</f>
        <v>---</v>
      </c>
      <c r="C414" t="str">
        <f>_xlfn.XLOOKUP($A414,表格1[No.],表格1[Location],"---",0)</f>
        <v>---</v>
      </c>
      <c r="D414" t="str">
        <f>_xlfn.XLOOKUP($A414,表格1[No.],表格1[Name],"---",0)</f>
        <v>---</v>
      </c>
      <c r="E414" t="str">
        <f>_xlfn.XLOOKUP($A414,表格1[No.],表格1[month],"---",0)</f>
        <v>---</v>
      </c>
      <c r="F414" s="12" t="str">
        <f>_xlfn.XLOOKUP($A414,表格1[No.],表格1[date],"---",0)</f>
        <v>---</v>
      </c>
      <c r="G414" t="str">
        <f>_xlfn.XLOOKUP($A414,表格1[No.],表格1[Model],"---",0)</f>
        <v>---</v>
      </c>
      <c r="H414" t="str">
        <f>_xlfn.XLOOKUP($A414,表格1[No.],表格1[QTY],"---",0)</f>
        <v>---</v>
      </c>
      <c r="I414" t="str">
        <f>_xlfn.XLOOKUP($A414,表格1[No.],表格1[Unit Price],"---",0)</f>
        <v>---</v>
      </c>
      <c r="J414" t="str">
        <f>_xlfn.XLOOKUP($A414,表格1[No.],表格1[inv no],"---",0)</f>
        <v>---</v>
      </c>
      <c r="K414" t="str">
        <f>_xlfn.XLOOKUP($A414,表格1[No.],表格1[apps report no.],"---",0)</f>
        <v>---</v>
      </c>
    </row>
    <row r="415" spans="2:11">
      <c r="B415" t="str">
        <f>_xlfn.XLOOKUP($A415,表格1[No.],表格1[Shop],"---",0)</f>
        <v>---</v>
      </c>
      <c r="C415" t="str">
        <f>_xlfn.XLOOKUP($A415,表格1[No.],表格1[Location],"---",0)</f>
        <v>---</v>
      </c>
      <c r="D415" t="str">
        <f>_xlfn.XLOOKUP($A415,表格1[No.],表格1[Name],"---",0)</f>
        <v>---</v>
      </c>
      <c r="E415" t="str">
        <f>_xlfn.XLOOKUP($A415,表格1[No.],表格1[month],"---",0)</f>
        <v>---</v>
      </c>
      <c r="F415" s="12" t="str">
        <f>_xlfn.XLOOKUP($A415,表格1[No.],表格1[date],"---",0)</f>
        <v>---</v>
      </c>
      <c r="G415" t="str">
        <f>_xlfn.XLOOKUP($A415,表格1[No.],表格1[Model],"---",0)</f>
        <v>---</v>
      </c>
      <c r="H415" t="str">
        <f>_xlfn.XLOOKUP($A415,表格1[No.],表格1[QTY],"---",0)</f>
        <v>---</v>
      </c>
      <c r="I415" t="str">
        <f>_xlfn.XLOOKUP($A415,表格1[No.],表格1[Unit Price],"---",0)</f>
        <v>---</v>
      </c>
      <c r="J415" t="str">
        <f>_xlfn.XLOOKUP($A415,表格1[No.],表格1[inv no],"---",0)</f>
        <v>---</v>
      </c>
      <c r="K415" t="str">
        <f>_xlfn.XLOOKUP($A415,表格1[No.],表格1[apps report no.],"---",0)</f>
        <v>---</v>
      </c>
    </row>
    <row r="416" spans="2:11">
      <c r="B416" t="str">
        <f>_xlfn.XLOOKUP($A416,表格1[No.],表格1[Shop],"---",0)</f>
        <v>---</v>
      </c>
      <c r="C416" t="str">
        <f>_xlfn.XLOOKUP($A416,表格1[No.],表格1[Location],"---",0)</f>
        <v>---</v>
      </c>
      <c r="D416" t="str">
        <f>_xlfn.XLOOKUP($A416,表格1[No.],表格1[Name],"---",0)</f>
        <v>---</v>
      </c>
      <c r="E416" t="str">
        <f>_xlfn.XLOOKUP($A416,表格1[No.],表格1[month],"---",0)</f>
        <v>---</v>
      </c>
      <c r="F416" s="12" t="str">
        <f>_xlfn.XLOOKUP($A416,表格1[No.],表格1[date],"---",0)</f>
        <v>---</v>
      </c>
      <c r="G416" t="str">
        <f>_xlfn.XLOOKUP($A416,表格1[No.],表格1[Model],"---",0)</f>
        <v>---</v>
      </c>
      <c r="H416" t="str">
        <f>_xlfn.XLOOKUP($A416,表格1[No.],表格1[QTY],"---",0)</f>
        <v>---</v>
      </c>
      <c r="I416" t="str">
        <f>_xlfn.XLOOKUP($A416,表格1[No.],表格1[Unit Price],"---",0)</f>
        <v>---</v>
      </c>
      <c r="J416" t="str">
        <f>_xlfn.XLOOKUP($A416,表格1[No.],表格1[inv no],"---",0)</f>
        <v>---</v>
      </c>
      <c r="K416" t="str">
        <f>_xlfn.XLOOKUP($A416,表格1[No.],表格1[apps report no.],"---",0)</f>
        <v>---</v>
      </c>
    </row>
    <row r="417" spans="2:11">
      <c r="B417" t="str">
        <f>_xlfn.XLOOKUP($A417,表格1[No.],表格1[Shop],"---",0)</f>
        <v>---</v>
      </c>
      <c r="C417" t="str">
        <f>_xlfn.XLOOKUP($A417,表格1[No.],表格1[Location],"---",0)</f>
        <v>---</v>
      </c>
      <c r="D417" t="str">
        <f>_xlfn.XLOOKUP($A417,表格1[No.],表格1[Name],"---",0)</f>
        <v>---</v>
      </c>
      <c r="E417" t="str">
        <f>_xlfn.XLOOKUP($A417,表格1[No.],表格1[month],"---",0)</f>
        <v>---</v>
      </c>
      <c r="F417" s="12" t="str">
        <f>_xlfn.XLOOKUP($A417,表格1[No.],表格1[date],"---",0)</f>
        <v>---</v>
      </c>
      <c r="G417" t="str">
        <f>_xlfn.XLOOKUP($A417,表格1[No.],表格1[Model],"---",0)</f>
        <v>---</v>
      </c>
      <c r="H417" t="str">
        <f>_xlfn.XLOOKUP($A417,表格1[No.],表格1[QTY],"---",0)</f>
        <v>---</v>
      </c>
      <c r="I417" t="str">
        <f>_xlfn.XLOOKUP($A417,表格1[No.],表格1[Unit Price],"---",0)</f>
        <v>---</v>
      </c>
      <c r="J417" t="str">
        <f>_xlfn.XLOOKUP($A417,表格1[No.],表格1[inv no],"---",0)</f>
        <v>---</v>
      </c>
      <c r="K417" t="str">
        <f>_xlfn.XLOOKUP($A417,表格1[No.],表格1[apps report no.],"---",0)</f>
        <v>---</v>
      </c>
    </row>
    <row r="418" spans="2:11">
      <c r="B418" t="str">
        <f>_xlfn.XLOOKUP($A418,表格1[No.],表格1[Shop],"---",0)</f>
        <v>---</v>
      </c>
      <c r="C418" t="str">
        <f>_xlfn.XLOOKUP($A418,表格1[No.],表格1[Location],"---",0)</f>
        <v>---</v>
      </c>
      <c r="D418" t="str">
        <f>_xlfn.XLOOKUP($A418,表格1[No.],表格1[Name],"---",0)</f>
        <v>---</v>
      </c>
      <c r="E418" t="str">
        <f>_xlfn.XLOOKUP($A418,表格1[No.],表格1[month],"---",0)</f>
        <v>---</v>
      </c>
      <c r="F418" s="12" t="str">
        <f>_xlfn.XLOOKUP($A418,表格1[No.],表格1[date],"---",0)</f>
        <v>---</v>
      </c>
      <c r="G418" t="str">
        <f>_xlfn.XLOOKUP($A418,表格1[No.],表格1[Model],"---",0)</f>
        <v>---</v>
      </c>
      <c r="H418" t="str">
        <f>_xlfn.XLOOKUP($A418,表格1[No.],表格1[QTY],"---",0)</f>
        <v>---</v>
      </c>
      <c r="I418" t="str">
        <f>_xlfn.XLOOKUP($A418,表格1[No.],表格1[Unit Price],"---",0)</f>
        <v>---</v>
      </c>
      <c r="J418" t="str">
        <f>_xlfn.XLOOKUP($A418,表格1[No.],表格1[inv no],"---",0)</f>
        <v>---</v>
      </c>
      <c r="K418" t="str">
        <f>_xlfn.XLOOKUP($A418,表格1[No.],表格1[apps report no.],"---",0)</f>
        <v>---</v>
      </c>
    </row>
    <row r="419" spans="2:11">
      <c r="B419" t="str">
        <f>_xlfn.XLOOKUP($A419,表格1[No.],表格1[Shop],"---",0)</f>
        <v>---</v>
      </c>
      <c r="C419" t="str">
        <f>_xlfn.XLOOKUP($A419,表格1[No.],表格1[Location],"---",0)</f>
        <v>---</v>
      </c>
      <c r="D419" t="str">
        <f>_xlfn.XLOOKUP($A419,表格1[No.],表格1[Name],"---",0)</f>
        <v>---</v>
      </c>
      <c r="E419" t="str">
        <f>_xlfn.XLOOKUP($A419,表格1[No.],表格1[month],"---",0)</f>
        <v>---</v>
      </c>
      <c r="F419" s="12" t="str">
        <f>_xlfn.XLOOKUP($A419,表格1[No.],表格1[date],"---",0)</f>
        <v>---</v>
      </c>
      <c r="G419" t="str">
        <f>_xlfn.XLOOKUP($A419,表格1[No.],表格1[Model],"---",0)</f>
        <v>---</v>
      </c>
      <c r="H419" t="str">
        <f>_xlfn.XLOOKUP($A419,表格1[No.],表格1[QTY],"---",0)</f>
        <v>---</v>
      </c>
      <c r="I419" t="str">
        <f>_xlfn.XLOOKUP($A419,表格1[No.],表格1[Unit Price],"---",0)</f>
        <v>---</v>
      </c>
      <c r="J419" t="str">
        <f>_xlfn.XLOOKUP($A419,表格1[No.],表格1[inv no],"---",0)</f>
        <v>---</v>
      </c>
      <c r="K419" t="str">
        <f>_xlfn.XLOOKUP($A419,表格1[No.],表格1[apps report no.],"---",0)</f>
        <v>---</v>
      </c>
    </row>
    <row r="420" spans="2:11">
      <c r="B420" t="str">
        <f>_xlfn.XLOOKUP($A420,表格1[No.],表格1[Shop],"---",0)</f>
        <v>---</v>
      </c>
      <c r="C420" t="str">
        <f>_xlfn.XLOOKUP($A420,表格1[No.],表格1[Location],"---",0)</f>
        <v>---</v>
      </c>
      <c r="D420" t="str">
        <f>_xlfn.XLOOKUP($A420,表格1[No.],表格1[Name],"---",0)</f>
        <v>---</v>
      </c>
      <c r="E420" t="str">
        <f>_xlfn.XLOOKUP($A420,表格1[No.],表格1[month],"---",0)</f>
        <v>---</v>
      </c>
      <c r="F420" s="12" t="str">
        <f>_xlfn.XLOOKUP($A420,表格1[No.],表格1[date],"---",0)</f>
        <v>---</v>
      </c>
      <c r="G420" t="str">
        <f>_xlfn.XLOOKUP($A420,表格1[No.],表格1[Model],"---",0)</f>
        <v>---</v>
      </c>
      <c r="H420" t="str">
        <f>_xlfn.XLOOKUP($A420,表格1[No.],表格1[QTY],"---",0)</f>
        <v>---</v>
      </c>
      <c r="I420" t="str">
        <f>_xlfn.XLOOKUP($A420,表格1[No.],表格1[Unit Price],"---",0)</f>
        <v>---</v>
      </c>
      <c r="J420" t="str">
        <f>_xlfn.XLOOKUP($A420,表格1[No.],表格1[inv no],"---",0)</f>
        <v>---</v>
      </c>
      <c r="K420" t="str">
        <f>_xlfn.XLOOKUP($A420,表格1[No.],表格1[apps report no.],"---",0)</f>
        <v>---</v>
      </c>
    </row>
    <row r="421" spans="2:11">
      <c r="B421" t="str">
        <f>_xlfn.XLOOKUP($A421,表格1[No.],表格1[Shop],"---",0)</f>
        <v>---</v>
      </c>
      <c r="C421" t="str">
        <f>_xlfn.XLOOKUP($A421,表格1[No.],表格1[Location],"---",0)</f>
        <v>---</v>
      </c>
      <c r="D421" t="str">
        <f>_xlfn.XLOOKUP($A421,表格1[No.],表格1[Name],"---",0)</f>
        <v>---</v>
      </c>
      <c r="E421" t="str">
        <f>_xlfn.XLOOKUP($A421,表格1[No.],表格1[month],"---",0)</f>
        <v>---</v>
      </c>
      <c r="F421" s="12" t="str">
        <f>_xlfn.XLOOKUP($A421,表格1[No.],表格1[date],"---",0)</f>
        <v>---</v>
      </c>
      <c r="G421" t="str">
        <f>_xlfn.XLOOKUP($A421,表格1[No.],表格1[Model],"---",0)</f>
        <v>---</v>
      </c>
      <c r="H421" t="str">
        <f>_xlfn.XLOOKUP($A421,表格1[No.],表格1[QTY],"---",0)</f>
        <v>---</v>
      </c>
      <c r="I421" t="str">
        <f>_xlfn.XLOOKUP($A421,表格1[No.],表格1[Unit Price],"---",0)</f>
        <v>---</v>
      </c>
      <c r="J421" t="str">
        <f>_xlfn.XLOOKUP($A421,表格1[No.],表格1[inv no],"---",0)</f>
        <v>---</v>
      </c>
      <c r="K421" t="str">
        <f>_xlfn.XLOOKUP($A421,表格1[No.],表格1[apps report no.],"---",0)</f>
        <v>---</v>
      </c>
    </row>
    <row r="422" spans="2:11">
      <c r="B422" t="str">
        <f>_xlfn.XLOOKUP($A422,表格1[No.],表格1[Shop],"---",0)</f>
        <v>---</v>
      </c>
      <c r="C422" t="str">
        <f>_xlfn.XLOOKUP($A422,表格1[No.],表格1[Location],"---",0)</f>
        <v>---</v>
      </c>
      <c r="D422" t="str">
        <f>_xlfn.XLOOKUP($A422,表格1[No.],表格1[Name],"---",0)</f>
        <v>---</v>
      </c>
      <c r="E422" t="str">
        <f>_xlfn.XLOOKUP($A422,表格1[No.],表格1[month],"---",0)</f>
        <v>---</v>
      </c>
      <c r="F422" s="12" t="str">
        <f>_xlfn.XLOOKUP($A422,表格1[No.],表格1[date],"---",0)</f>
        <v>---</v>
      </c>
      <c r="G422" t="str">
        <f>_xlfn.XLOOKUP($A422,表格1[No.],表格1[Model],"---",0)</f>
        <v>---</v>
      </c>
      <c r="H422" t="str">
        <f>_xlfn.XLOOKUP($A422,表格1[No.],表格1[QTY],"---",0)</f>
        <v>---</v>
      </c>
      <c r="I422" t="str">
        <f>_xlfn.XLOOKUP($A422,表格1[No.],表格1[Unit Price],"---",0)</f>
        <v>---</v>
      </c>
      <c r="J422" t="str">
        <f>_xlfn.XLOOKUP($A422,表格1[No.],表格1[inv no],"---",0)</f>
        <v>---</v>
      </c>
      <c r="K422" t="str">
        <f>_xlfn.XLOOKUP($A422,表格1[No.],表格1[apps report no.],"---",0)</f>
        <v>---</v>
      </c>
    </row>
    <row r="423" spans="2:11">
      <c r="B423" t="str">
        <f>_xlfn.XLOOKUP($A423,表格1[No.],表格1[Shop],"---",0)</f>
        <v>---</v>
      </c>
      <c r="C423" t="str">
        <f>_xlfn.XLOOKUP($A423,表格1[No.],表格1[Location],"---",0)</f>
        <v>---</v>
      </c>
      <c r="D423" t="str">
        <f>_xlfn.XLOOKUP($A423,表格1[No.],表格1[Name],"---",0)</f>
        <v>---</v>
      </c>
      <c r="E423" t="str">
        <f>_xlfn.XLOOKUP($A423,表格1[No.],表格1[month],"---",0)</f>
        <v>---</v>
      </c>
      <c r="F423" s="12" t="str">
        <f>_xlfn.XLOOKUP($A423,表格1[No.],表格1[date],"---",0)</f>
        <v>---</v>
      </c>
      <c r="G423" t="str">
        <f>_xlfn.XLOOKUP($A423,表格1[No.],表格1[Model],"---",0)</f>
        <v>---</v>
      </c>
      <c r="H423" t="str">
        <f>_xlfn.XLOOKUP($A423,表格1[No.],表格1[QTY],"---",0)</f>
        <v>---</v>
      </c>
      <c r="I423" t="str">
        <f>_xlfn.XLOOKUP($A423,表格1[No.],表格1[Unit Price],"---",0)</f>
        <v>---</v>
      </c>
      <c r="J423" t="str">
        <f>_xlfn.XLOOKUP($A423,表格1[No.],表格1[inv no],"---",0)</f>
        <v>---</v>
      </c>
      <c r="K423" t="str">
        <f>_xlfn.XLOOKUP($A423,表格1[No.],表格1[apps report no.],"---",0)</f>
        <v>---</v>
      </c>
    </row>
    <row r="424" spans="2:11">
      <c r="B424" t="str">
        <f>_xlfn.XLOOKUP($A424,表格1[No.],表格1[Shop],"---",0)</f>
        <v>---</v>
      </c>
      <c r="C424" t="str">
        <f>_xlfn.XLOOKUP($A424,表格1[No.],表格1[Location],"---",0)</f>
        <v>---</v>
      </c>
      <c r="D424" t="str">
        <f>_xlfn.XLOOKUP($A424,表格1[No.],表格1[Name],"---",0)</f>
        <v>---</v>
      </c>
      <c r="E424" t="str">
        <f>_xlfn.XLOOKUP($A424,表格1[No.],表格1[month],"---",0)</f>
        <v>---</v>
      </c>
      <c r="F424" s="12" t="str">
        <f>_xlfn.XLOOKUP($A424,表格1[No.],表格1[date],"---",0)</f>
        <v>---</v>
      </c>
      <c r="G424" t="str">
        <f>_xlfn.XLOOKUP($A424,表格1[No.],表格1[Model],"---",0)</f>
        <v>---</v>
      </c>
      <c r="H424" t="str">
        <f>_xlfn.XLOOKUP($A424,表格1[No.],表格1[QTY],"---",0)</f>
        <v>---</v>
      </c>
      <c r="I424" t="str">
        <f>_xlfn.XLOOKUP($A424,表格1[No.],表格1[Unit Price],"---",0)</f>
        <v>---</v>
      </c>
      <c r="J424" t="str">
        <f>_xlfn.XLOOKUP($A424,表格1[No.],表格1[inv no],"---",0)</f>
        <v>---</v>
      </c>
      <c r="K424" t="str">
        <f>_xlfn.XLOOKUP($A424,表格1[No.],表格1[apps report no.],"---",0)</f>
        <v>---</v>
      </c>
    </row>
    <row r="425" spans="2:11">
      <c r="B425" t="str">
        <f>_xlfn.XLOOKUP($A425,表格1[No.],表格1[Shop],"---",0)</f>
        <v>---</v>
      </c>
      <c r="C425" t="str">
        <f>_xlfn.XLOOKUP($A425,表格1[No.],表格1[Location],"---",0)</f>
        <v>---</v>
      </c>
      <c r="D425" t="str">
        <f>_xlfn.XLOOKUP($A425,表格1[No.],表格1[Name],"---",0)</f>
        <v>---</v>
      </c>
      <c r="E425" t="str">
        <f>_xlfn.XLOOKUP($A425,表格1[No.],表格1[month],"---",0)</f>
        <v>---</v>
      </c>
      <c r="F425" s="12" t="str">
        <f>_xlfn.XLOOKUP($A425,表格1[No.],表格1[date],"---",0)</f>
        <v>---</v>
      </c>
      <c r="G425" t="str">
        <f>_xlfn.XLOOKUP($A425,表格1[No.],表格1[Model],"---",0)</f>
        <v>---</v>
      </c>
      <c r="H425" t="str">
        <f>_xlfn.XLOOKUP($A425,表格1[No.],表格1[QTY],"---",0)</f>
        <v>---</v>
      </c>
      <c r="I425" t="str">
        <f>_xlfn.XLOOKUP($A425,表格1[No.],表格1[Unit Price],"---",0)</f>
        <v>---</v>
      </c>
      <c r="J425" t="str">
        <f>_xlfn.XLOOKUP($A425,表格1[No.],表格1[inv no],"---",0)</f>
        <v>---</v>
      </c>
      <c r="K425" t="str">
        <f>_xlfn.XLOOKUP($A425,表格1[No.],表格1[apps report no.],"---",0)</f>
        <v>---</v>
      </c>
    </row>
    <row r="426" spans="2:11">
      <c r="B426" t="str">
        <f>_xlfn.XLOOKUP($A426,表格1[No.],表格1[Shop],"---",0)</f>
        <v>---</v>
      </c>
      <c r="C426" t="str">
        <f>_xlfn.XLOOKUP($A426,表格1[No.],表格1[Location],"---",0)</f>
        <v>---</v>
      </c>
      <c r="D426" t="str">
        <f>_xlfn.XLOOKUP($A426,表格1[No.],表格1[Name],"---",0)</f>
        <v>---</v>
      </c>
      <c r="E426" t="str">
        <f>_xlfn.XLOOKUP($A426,表格1[No.],表格1[month],"---",0)</f>
        <v>---</v>
      </c>
      <c r="F426" s="12" t="str">
        <f>_xlfn.XLOOKUP($A426,表格1[No.],表格1[date],"---",0)</f>
        <v>---</v>
      </c>
      <c r="G426" t="str">
        <f>_xlfn.XLOOKUP($A426,表格1[No.],表格1[Model],"---",0)</f>
        <v>---</v>
      </c>
      <c r="H426" t="str">
        <f>_xlfn.XLOOKUP($A426,表格1[No.],表格1[QTY],"---",0)</f>
        <v>---</v>
      </c>
      <c r="I426" t="str">
        <f>_xlfn.XLOOKUP($A426,表格1[No.],表格1[Unit Price],"---",0)</f>
        <v>---</v>
      </c>
      <c r="J426" t="str">
        <f>_xlfn.XLOOKUP($A426,表格1[No.],表格1[inv no],"---",0)</f>
        <v>---</v>
      </c>
      <c r="K426" t="str">
        <f>_xlfn.XLOOKUP($A426,表格1[No.],表格1[apps report no.],"---",0)</f>
        <v>---</v>
      </c>
    </row>
    <row r="427" spans="2:11">
      <c r="B427" t="str">
        <f>_xlfn.XLOOKUP($A427,表格1[No.],表格1[Shop],"---",0)</f>
        <v>---</v>
      </c>
      <c r="C427" t="str">
        <f>_xlfn.XLOOKUP($A427,表格1[No.],表格1[Location],"---",0)</f>
        <v>---</v>
      </c>
      <c r="D427" t="str">
        <f>_xlfn.XLOOKUP($A427,表格1[No.],表格1[Name],"---",0)</f>
        <v>---</v>
      </c>
      <c r="E427" t="str">
        <f>_xlfn.XLOOKUP($A427,表格1[No.],表格1[month],"---",0)</f>
        <v>---</v>
      </c>
      <c r="F427" s="12" t="str">
        <f>_xlfn.XLOOKUP($A427,表格1[No.],表格1[date],"---",0)</f>
        <v>---</v>
      </c>
      <c r="G427" t="str">
        <f>_xlfn.XLOOKUP($A427,表格1[No.],表格1[Model],"---",0)</f>
        <v>---</v>
      </c>
      <c r="H427" t="str">
        <f>_xlfn.XLOOKUP($A427,表格1[No.],表格1[QTY],"---",0)</f>
        <v>---</v>
      </c>
      <c r="I427" t="str">
        <f>_xlfn.XLOOKUP($A427,表格1[No.],表格1[Unit Price],"---",0)</f>
        <v>---</v>
      </c>
      <c r="J427" t="str">
        <f>_xlfn.XLOOKUP($A427,表格1[No.],表格1[inv no],"---",0)</f>
        <v>---</v>
      </c>
      <c r="K427" t="str">
        <f>_xlfn.XLOOKUP($A427,表格1[No.],表格1[apps report no.],"---",0)</f>
        <v>---</v>
      </c>
    </row>
    <row r="428" spans="2:11">
      <c r="B428" t="str">
        <f>_xlfn.XLOOKUP($A428,表格1[No.],表格1[Shop],"---",0)</f>
        <v>---</v>
      </c>
      <c r="C428" t="str">
        <f>_xlfn.XLOOKUP($A428,表格1[No.],表格1[Location],"---",0)</f>
        <v>---</v>
      </c>
      <c r="D428" t="str">
        <f>_xlfn.XLOOKUP($A428,表格1[No.],表格1[Name],"---",0)</f>
        <v>---</v>
      </c>
      <c r="E428" t="str">
        <f>_xlfn.XLOOKUP($A428,表格1[No.],表格1[month],"---",0)</f>
        <v>---</v>
      </c>
      <c r="F428" s="12" t="str">
        <f>_xlfn.XLOOKUP($A428,表格1[No.],表格1[date],"---",0)</f>
        <v>---</v>
      </c>
      <c r="G428" t="str">
        <f>_xlfn.XLOOKUP($A428,表格1[No.],表格1[Model],"---",0)</f>
        <v>---</v>
      </c>
      <c r="H428" t="str">
        <f>_xlfn.XLOOKUP($A428,表格1[No.],表格1[QTY],"---",0)</f>
        <v>---</v>
      </c>
      <c r="I428" t="str">
        <f>_xlfn.XLOOKUP($A428,表格1[No.],表格1[Unit Price],"---",0)</f>
        <v>---</v>
      </c>
      <c r="J428" t="str">
        <f>_xlfn.XLOOKUP($A428,表格1[No.],表格1[inv no],"---",0)</f>
        <v>---</v>
      </c>
      <c r="K428" t="str">
        <f>_xlfn.XLOOKUP($A428,表格1[No.],表格1[apps report no.],"---",0)</f>
        <v>---</v>
      </c>
    </row>
    <row r="429" spans="2:11">
      <c r="B429" t="str">
        <f>_xlfn.XLOOKUP($A429,表格1[No.],表格1[Shop],"---",0)</f>
        <v>---</v>
      </c>
      <c r="C429" t="str">
        <f>_xlfn.XLOOKUP($A429,表格1[No.],表格1[Location],"---",0)</f>
        <v>---</v>
      </c>
      <c r="D429" t="str">
        <f>_xlfn.XLOOKUP($A429,表格1[No.],表格1[Name],"---",0)</f>
        <v>---</v>
      </c>
      <c r="E429" t="str">
        <f>_xlfn.XLOOKUP($A429,表格1[No.],表格1[month],"---",0)</f>
        <v>---</v>
      </c>
      <c r="F429" s="12" t="str">
        <f>_xlfn.XLOOKUP($A429,表格1[No.],表格1[date],"---",0)</f>
        <v>---</v>
      </c>
      <c r="G429" t="str">
        <f>_xlfn.XLOOKUP($A429,表格1[No.],表格1[Model],"---",0)</f>
        <v>---</v>
      </c>
      <c r="H429" t="str">
        <f>_xlfn.XLOOKUP($A429,表格1[No.],表格1[QTY],"---",0)</f>
        <v>---</v>
      </c>
      <c r="I429" t="str">
        <f>_xlfn.XLOOKUP($A429,表格1[No.],表格1[Unit Price],"---",0)</f>
        <v>---</v>
      </c>
      <c r="J429" t="str">
        <f>_xlfn.XLOOKUP($A429,表格1[No.],表格1[inv no],"---",0)</f>
        <v>---</v>
      </c>
      <c r="K429" t="str">
        <f>_xlfn.XLOOKUP($A429,表格1[No.],表格1[apps report no.],"---",0)</f>
        <v>---</v>
      </c>
    </row>
    <row r="430" spans="2:11">
      <c r="B430" t="str">
        <f>_xlfn.XLOOKUP($A430,表格1[No.],表格1[Shop],"---",0)</f>
        <v>---</v>
      </c>
      <c r="C430" t="str">
        <f>_xlfn.XLOOKUP($A430,表格1[No.],表格1[Location],"---",0)</f>
        <v>---</v>
      </c>
      <c r="D430" t="str">
        <f>_xlfn.XLOOKUP($A430,表格1[No.],表格1[Name],"---",0)</f>
        <v>---</v>
      </c>
      <c r="E430" t="str">
        <f>_xlfn.XLOOKUP($A430,表格1[No.],表格1[month],"---",0)</f>
        <v>---</v>
      </c>
      <c r="F430" s="12" t="str">
        <f>_xlfn.XLOOKUP($A430,表格1[No.],表格1[date],"---",0)</f>
        <v>---</v>
      </c>
      <c r="G430" t="str">
        <f>_xlfn.XLOOKUP($A430,表格1[No.],表格1[Model],"---",0)</f>
        <v>---</v>
      </c>
      <c r="H430" t="str">
        <f>_xlfn.XLOOKUP($A430,表格1[No.],表格1[QTY],"---",0)</f>
        <v>---</v>
      </c>
      <c r="I430" t="str">
        <f>_xlfn.XLOOKUP($A430,表格1[No.],表格1[Unit Price],"---",0)</f>
        <v>---</v>
      </c>
      <c r="J430" t="str">
        <f>_xlfn.XLOOKUP($A430,表格1[No.],表格1[inv no],"---",0)</f>
        <v>---</v>
      </c>
      <c r="K430" t="str">
        <f>_xlfn.XLOOKUP($A430,表格1[No.],表格1[apps report no.],"---",0)</f>
        <v>---</v>
      </c>
    </row>
    <row r="431" spans="2:11">
      <c r="B431" t="str">
        <f>_xlfn.XLOOKUP($A431,表格1[No.],表格1[Shop],"---",0)</f>
        <v>---</v>
      </c>
      <c r="C431" t="str">
        <f>_xlfn.XLOOKUP($A431,表格1[No.],表格1[Location],"---",0)</f>
        <v>---</v>
      </c>
      <c r="D431" t="str">
        <f>_xlfn.XLOOKUP($A431,表格1[No.],表格1[Name],"---",0)</f>
        <v>---</v>
      </c>
      <c r="E431" t="str">
        <f>_xlfn.XLOOKUP($A431,表格1[No.],表格1[month],"---",0)</f>
        <v>---</v>
      </c>
      <c r="F431" s="12" t="str">
        <f>_xlfn.XLOOKUP($A431,表格1[No.],表格1[date],"---",0)</f>
        <v>---</v>
      </c>
      <c r="G431" t="str">
        <f>_xlfn.XLOOKUP($A431,表格1[No.],表格1[Model],"---",0)</f>
        <v>---</v>
      </c>
      <c r="H431" t="str">
        <f>_xlfn.XLOOKUP($A431,表格1[No.],表格1[QTY],"---",0)</f>
        <v>---</v>
      </c>
      <c r="I431" t="str">
        <f>_xlfn.XLOOKUP($A431,表格1[No.],表格1[Unit Price],"---",0)</f>
        <v>---</v>
      </c>
      <c r="J431" t="str">
        <f>_xlfn.XLOOKUP($A431,表格1[No.],表格1[inv no],"---",0)</f>
        <v>---</v>
      </c>
      <c r="K431" t="str">
        <f>_xlfn.XLOOKUP($A431,表格1[No.],表格1[apps report no.],"---",0)</f>
        <v>---</v>
      </c>
    </row>
    <row r="432" spans="2:11">
      <c r="B432" t="str">
        <f>_xlfn.XLOOKUP($A432,表格1[No.],表格1[Shop],"---",0)</f>
        <v>---</v>
      </c>
      <c r="C432" t="str">
        <f>_xlfn.XLOOKUP($A432,表格1[No.],表格1[Location],"---",0)</f>
        <v>---</v>
      </c>
      <c r="D432" t="str">
        <f>_xlfn.XLOOKUP($A432,表格1[No.],表格1[Name],"---",0)</f>
        <v>---</v>
      </c>
      <c r="E432" t="str">
        <f>_xlfn.XLOOKUP($A432,表格1[No.],表格1[month],"---",0)</f>
        <v>---</v>
      </c>
      <c r="F432" s="12" t="str">
        <f>_xlfn.XLOOKUP($A432,表格1[No.],表格1[date],"---",0)</f>
        <v>---</v>
      </c>
      <c r="G432" t="str">
        <f>_xlfn.XLOOKUP($A432,表格1[No.],表格1[Model],"---",0)</f>
        <v>---</v>
      </c>
      <c r="H432" t="str">
        <f>_xlfn.XLOOKUP($A432,表格1[No.],表格1[QTY],"---",0)</f>
        <v>---</v>
      </c>
      <c r="I432" t="str">
        <f>_xlfn.XLOOKUP($A432,表格1[No.],表格1[Unit Price],"---",0)</f>
        <v>---</v>
      </c>
      <c r="J432" t="str">
        <f>_xlfn.XLOOKUP($A432,表格1[No.],表格1[inv no],"---",0)</f>
        <v>---</v>
      </c>
      <c r="K432" t="str">
        <f>_xlfn.XLOOKUP($A432,表格1[No.],表格1[apps report no.],"---",0)</f>
        <v>---</v>
      </c>
    </row>
    <row r="433" spans="2:11">
      <c r="B433" t="str">
        <f>_xlfn.XLOOKUP($A433,表格1[No.],表格1[Shop],"---",0)</f>
        <v>---</v>
      </c>
      <c r="C433" t="str">
        <f>_xlfn.XLOOKUP($A433,表格1[No.],表格1[Location],"---",0)</f>
        <v>---</v>
      </c>
      <c r="D433" t="str">
        <f>_xlfn.XLOOKUP($A433,表格1[No.],表格1[Name],"---",0)</f>
        <v>---</v>
      </c>
      <c r="E433" t="str">
        <f>_xlfn.XLOOKUP($A433,表格1[No.],表格1[month],"---",0)</f>
        <v>---</v>
      </c>
      <c r="F433" s="12" t="str">
        <f>_xlfn.XLOOKUP($A433,表格1[No.],表格1[date],"---",0)</f>
        <v>---</v>
      </c>
      <c r="G433" t="str">
        <f>_xlfn.XLOOKUP($A433,表格1[No.],表格1[Model],"---",0)</f>
        <v>---</v>
      </c>
      <c r="H433" t="str">
        <f>_xlfn.XLOOKUP($A433,表格1[No.],表格1[QTY],"---",0)</f>
        <v>---</v>
      </c>
      <c r="I433" t="str">
        <f>_xlfn.XLOOKUP($A433,表格1[No.],表格1[Unit Price],"---",0)</f>
        <v>---</v>
      </c>
      <c r="J433" t="str">
        <f>_xlfn.XLOOKUP($A433,表格1[No.],表格1[inv no],"---",0)</f>
        <v>---</v>
      </c>
      <c r="K433" t="str">
        <f>_xlfn.XLOOKUP($A433,表格1[No.],表格1[apps report no.],"---",0)</f>
        <v>---</v>
      </c>
    </row>
    <row r="434" spans="2:11">
      <c r="B434" t="str">
        <f>_xlfn.XLOOKUP($A434,表格1[No.],表格1[Shop],"---",0)</f>
        <v>---</v>
      </c>
      <c r="C434" t="str">
        <f>_xlfn.XLOOKUP($A434,表格1[No.],表格1[Location],"---",0)</f>
        <v>---</v>
      </c>
      <c r="D434" t="str">
        <f>_xlfn.XLOOKUP($A434,表格1[No.],表格1[Name],"---",0)</f>
        <v>---</v>
      </c>
      <c r="E434" t="str">
        <f>_xlfn.XLOOKUP($A434,表格1[No.],表格1[month],"---",0)</f>
        <v>---</v>
      </c>
      <c r="F434" s="12" t="str">
        <f>_xlfn.XLOOKUP($A434,表格1[No.],表格1[date],"---",0)</f>
        <v>---</v>
      </c>
      <c r="G434" t="str">
        <f>_xlfn.XLOOKUP($A434,表格1[No.],表格1[Model],"---",0)</f>
        <v>---</v>
      </c>
      <c r="H434" t="str">
        <f>_xlfn.XLOOKUP($A434,表格1[No.],表格1[QTY],"---",0)</f>
        <v>---</v>
      </c>
      <c r="I434" t="str">
        <f>_xlfn.XLOOKUP($A434,表格1[No.],表格1[Unit Price],"---",0)</f>
        <v>---</v>
      </c>
      <c r="J434" t="str">
        <f>_xlfn.XLOOKUP($A434,表格1[No.],表格1[inv no],"---",0)</f>
        <v>---</v>
      </c>
      <c r="K434" t="str">
        <f>_xlfn.XLOOKUP($A434,表格1[No.],表格1[apps report no.],"---",0)</f>
        <v>---</v>
      </c>
    </row>
    <row r="435" spans="2:11">
      <c r="B435" t="str">
        <f>_xlfn.XLOOKUP($A435,表格1[No.],表格1[Shop],"---",0)</f>
        <v>---</v>
      </c>
      <c r="C435" t="str">
        <f>_xlfn.XLOOKUP($A435,表格1[No.],表格1[Location],"---",0)</f>
        <v>---</v>
      </c>
      <c r="D435" t="str">
        <f>_xlfn.XLOOKUP($A435,表格1[No.],表格1[Name],"---",0)</f>
        <v>---</v>
      </c>
      <c r="E435" t="str">
        <f>_xlfn.XLOOKUP($A435,表格1[No.],表格1[month],"---",0)</f>
        <v>---</v>
      </c>
      <c r="F435" s="12" t="str">
        <f>_xlfn.XLOOKUP($A435,表格1[No.],表格1[date],"---",0)</f>
        <v>---</v>
      </c>
      <c r="G435" t="str">
        <f>_xlfn.XLOOKUP($A435,表格1[No.],表格1[Model],"---",0)</f>
        <v>---</v>
      </c>
      <c r="H435" t="str">
        <f>_xlfn.XLOOKUP($A435,表格1[No.],表格1[QTY],"---",0)</f>
        <v>---</v>
      </c>
      <c r="I435" t="str">
        <f>_xlfn.XLOOKUP($A435,表格1[No.],表格1[Unit Price],"---",0)</f>
        <v>---</v>
      </c>
      <c r="J435" t="str">
        <f>_xlfn.XLOOKUP($A435,表格1[No.],表格1[inv no],"---",0)</f>
        <v>---</v>
      </c>
      <c r="K435" t="str">
        <f>_xlfn.XLOOKUP($A435,表格1[No.],表格1[apps report no.],"---",0)</f>
        <v>---</v>
      </c>
    </row>
    <row r="436" spans="2:11">
      <c r="B436" t="str">
        <f>_xlfn.XLOOKUP($A436,表格1[No.],表格1[Shop],"---",0)</f>
        <v>---</v>
      </c>
      <c r="C436" t="str">
        <f>_xlfn.XLOOKUP($A436,表格1[No.],表格1[Location],"---",0)</f>
        <v>---</v>
      </c>
      <c r="D436" t="str">
        <f>_xlfn.XLOOKUP($A436,表格1[No.],表格1[Name],"---",0)</f>
        <v>---</v>
      </c>
      <c r="E436" t="str">
        <f>_xlfn.XLOOKUP($A436,表格1[No.],表格1[month],"---",0)</f>
        <v>---</v>
      </c>
      <c r="F436" s="12" t="str">
        <f>_xlfn.XLOOKUP($A436,表格1[No.],表格1[date],"---",0)</f>
        <v>---</v>
      </c>
      <c r="G436" t="str">
        <f>_xlfn.XLOOKUP($A436,表格1[No.],表格1[Model],"---",0)</f>
        <v>---</v>
      </c>
      <c r="H436" t="str">
        <f>_xlfn.XLOOKUP($A436,表格1[No.],表格1[QTY],"---",0)</f>
        <v>---</v>
      </c>
      <c r="I436" t="str">
        <f>_xlfn.XLOOKUP($A436,表格1[No.],表格1[Unit Price],"---",0)</f>
        <v>---</v>
      </c>
      <c r="J436" t="str">
        <f>_xlfn.XLOOKUP($A436,表格1[No.],表格1[inv no],"---",0)</f>
        <v>---</v>
      </c>
      <c r="K436" t="str">
        <f>_xlfn.XLOOKUP($A436,表格1[No.],表格1[apps report no.],"---",0)</f>
        <v>---</v>
      </c>
    </row>
    <row r="437" spans="2:11">
      <c r="B437" t="str">
        <f>_xlfn.XLOOKUP($A437,表格1[No.],表格1[Shop],"---",0)</f>
        <v>---</v>
      </c>
      <c r="C437" t="str">
        <f>_xlfn.XLOOKUP($A437,表格1[No.],表格1[Location],"---",0)</f>
        <v>---</v>
      </c>
      <c r="D437" t="str">
        <f>_xlfn.XLOOKUP($A437,表格1[No.],表格1[Name],"---",0)</f>
        <v>---</v>
      </c>
      <c r="E437" t="str">
        <f>_xlfn.XLOOKUP($A437,表格1[No.],表格1[month],"---",0)</f>
        <v>---</v>
      </c>
      <c r="F437" s="12" t="str">
        <f>_xlfn.XLOOKUP($A437,表格1[No.],表格1[date],"---",0)</f>
        <v>---</v>
      </c>
      <c r="G437" t="str">
        <f>_xlfn.XLOOKUP($A437,表格1[No.],表格1[Model],"---",0)</f>
        <v>---</v>
      </c>
      <c r="H437" t="str">
        <f>_xlfn.XLOOKUP($A437,表格1[No.],表格1[QTY],"---",0)</f>
        <v>---</v>
      </c>
      <c r="I437" t="str">
        <f>_xlfn.XLOOKUP($A437,表格1[No.],表格1[Unit Price],"---",0)</f>
        <v>---</v>
      </c>
      <c r="J437" t="str">
        <f>_xlfn.XLOOKUP($A437,表格1[No.],表格1[inv no],"---",0)</f>
        <v>---</v>
      </c>
      <c r="K437" t="str">
        <f>_xlfn.XLOOKUP($A437,表格1[No.],表格1[apps report no.],"---",0)</f>
        <v>---</v>
      </c>
    </row>
    <row r="438" spans="2:11">
      <c r="B438" t="str">
        <f>_xlfn.XLOOKUP($A438,表格1[No.],表格1[Shop],"---",0)</f>
        <v>---</v>
      </c>
      <c r="C438" t="str">
        <f>_xlfn.XLOOKUP($A438,表格1[No.],表格1[Location],"---",0)</f>
        <v>---</v>
      </c>
      <c r="D438" t="str">
        <f>_xlfn.XLOOKUP($A438,表格1[No.],表格1[Name],"---",0)</f>
        <v>---</v>
      </c>
      <c r="E438" t="str">
        <f>_xlfn.XLOOKUP($A438,表格1[No.],表格1[month],"---",0)</f>
        <v>---</v>
      </c>
      <c r="F438" s="12" t="str">
        <f>_xlfn.XLOOKUP($A438,表格1[No.],表格1[date],"---",0)</f>
        <v>---</v>
      </c>
      <c r="G438" t="str">
        <f>_xlfn.XLOOKUP($A438,表格1[No.],表格1[Model],"---",0)</f>
        <v>---</v>
      </c>
      <c r="H438" t="str">
        <f>_xlfn.XLOOKUP($A438,表格1[No.],表格1[QTY],"---",0)</f>
        <v>---</v>
      </c>
      <c r="I438" t="str">
        <f>_xlfn.XLOOKUP($A438,表格1[No.],表格1[Unit Price],"---",0)</f>
        <v>---</v>
      </c>
      <c r="J438" t="str">
        <f>_xlfn.XLOOKUP($A438,表格1[No.],表格1[inv no],"---",0)</f>
        <v>---</v>
      </c>
      <c r="K438" t="str">
        <f>_xlfn.XLOOKUP($A438,表格1[No.],表格1[apps report no.],"---",0)</f>
        <v>---</v>
      </c>
    </row>
    <row r="439" spans="2:11">
      <c r="B439" t="str">
        <f>_xlfn.XLOOKUP($A439,表格1[No.],表格1[Shop],"---",0)</f>
        <v>---</v>
      </c>
      <c r="C439" t="str">
        <f>_xlfn.XLOOKUP($A439,表格1[No.],表格1[Location],"---",0)</f>
        <v>---</v>
      </c>
      <c r="D439" t="str">
        <f>_xlfn.XLOOKUP($A439,表格1[No.],表格1[Name],"---",0)</f>
        <v>---</v>
      </c>
      <c r="E439" t="str">
        <f>_xlfn.XLOOKUP($A439,表格1[No.],表格1[month],"---",0)</f>
        <v>---</v>
      </c>
      <c r="F439" s="12" t="str">
        <f>_xlfn.XLOOKUP($A439,表格1[No.],表格1[date],"---",0)</f>
        <v>---</v>
      </c>
      <c r="G439" t="str">
        <f>_xlfn.XLOOKUP($A439,表格1[No.],表格1[Model],"---",0)</f>
        <v>---</v>
      </c>
      <c r="H439" t="str">
        <f>_xlfn.XLOOKUP($A439,表格1[No.],表格1[QTY],"---",0)</f>
        <v>---</v>
      </c>
      <c r="I439" t="str">
        <f>_xlfn.XLOOKUP($A439,表格1[No.],表格1[Unit Price],"---",0)</f>
        <v>---</v>
      </c>
      <c r="J439" t="str">
        <f>_xlfn.XLOOKUP($A439,表格1[No.],表格1[inv no],"---",0)</f>
        <v>---</v>
      </c>
      <c r="K439" t="str">
        <f>_xlfn.XLOOKUP($A439,表格1[No.],表格1[apps report no.],"---",0)</f>
        <v>---</v>
      </c>
    </row>
    <row r="440" spans="2:11">
      <c r="B440" t="str">
        <f>_xlfn.XLOOKUP($A440,表格1[No.],表格1[Shop],"---",0)</f>
        <v>---</v>
      </c>
      <c r="C440" t="str">
        <f>_xlfn.XLOOKUP($A440,表格1[No.],表格1[Location],"---",0)</f>
        <v>---</v>
      </c>
      <c r="D440" t="str">
        <f>_xlfn.XLOOKUP($A440,表格1[No.],表格1[Name],"---",0)</f>
        <v>---</v>
      </c>
      <c r="E440" t="str">
        <f>_xlfn.XLOOKUP($A440,表格1[No.],表格1[month],"---",0)</f>
        <v>---</v>
      </c>
      <c r="F440" s="12" t="str">
        <f>_xlfn.XLOOKUP($A440,表格1[No.],表格1[date],"---",0)</f>
        <v>---</v>
      </c>
      <c r="G440" t="str">
        <f>_xlfn.XLOOKUP($A440,表格1[No.],表格1[Model],"---",0)</f>
        <v>---</v>
      </c>
      <c r="H440" t="str">
        <f>_xlfn.XLOOKUP($A440,表格1[No.],表格1[QTY],"---",0)</f>
        <v>---</v>
      </c>
      <c r="I440" t="str">
        <f>_xlfn.XLOOKUP($A440,表格1[No.],表格1[Unit Price],"---",0)</f>
        <v>---</v>
      </c>
      <c r="J440" t="str">
        <f>_xlfn.XLOOKUP($A440,表格1[No.],表格1[inv no],"---",0)</f>
        <v>---</v>
      </c>
      <c r="K440" t="str">
        <f>_xlfn.XLOOKUP($A440,表格1[No.],表格1[apps report no.],"---",0)</f>
        <v>---</v>
      </c>
    </row>
    <row r="441" spans="2:11">
      <c r="B441" t="str">
        <f>_xlfn.XLOOKUP($A441,表格1[No.],表格1[Shop],"---",0)</f>
        <v>---</v>
      </c>
      <c r="C441" t="str">
        <f>_xlfn.XLOOKUP($A441,表格1[No.],表格1[Location],"---",0)</f>
        <v>---</v>
      </c>
      <c r="D441" t="str">
        <f>_xlfn.XLOOKUP($A441,表格1[No.],表格1[Name],"---",0)</f>
        <v>---</v>
      </c>
      <c r="E441" t="str">
        <f>_xlfn.XLOOKUP($A441,表格1[No.],表格1[month],"---",0)</f>
        <v>---</v>
      </c>
      <c r="F441" s="12" t="str">
        <f>_xlfn.XLOOKUP($A441,表格1[No.],表格1[date],"---",0)</f>
        <v>---</v>
      </c>
      <c r="G441" t="str">
        <f>_xlfn.XLOOKUP($A441,表格1[No.],表格1[Model],"---",0)</f>
        <v>---</v>
      </c>
      <c r="H441" t="str">
        <f>_xlfn.XLOOKUP($A441,表格1[No.],表格1[QTY],"---",0)</f>
        <v>---</v>
      </c>
      <c r="I441" t="str">
        <f>_xlfn.XLOOKUP($A441,表格1[No.],表格1[Unit Price],"---",0)</f>
        <v>---</v>
      </c>
      <c r="J441" t="str">
        <f>_xlfn.XLOOKUP($A441,表格1[No.],表格1[inv no],"---",0)</f>
        <v>---</v>
      </c>
      <c r="K441" t="str">
        <f>_xlfn.XLOOKUP($A441,表格1[No.],表格1[apps report no.],"---",0)</f>
        <v>---</v>
      </c>
    </row>
    <row r="442" spans="2:11">
      <c r="B442" t="str">
        <f>_xlfn.XLOOKUP($A442,表格1[No.],表格1[Shop],"---",0)</f>
        <v>---</v>
      </c>
      <c r="C442" t="str">
        <f>_xlfn.XLOOKUP($A442,表格1[No.],表格1[Location],"---",0)</f>
        <v>---</v>
      </c>
      <c r="D442" t="str">
        <f>_xlfn.XLOOKUP($A442,表格1[No.],表格1[Name],"---",0)</f>
        <v>---</v>
      </c>
      <c r="E442" t="str">
        <f>_xlfn.XLOOKUP($A442,表格1[No.],表格1[month],"---",0)</f>
        <v>---</v>
      </c>
      <c r="F442" s="12" t="str">
        <f>_xlfn.XLOOKUP($A442,表格1[No.],表格1[date],"---",0)</f>
        <v>---</v>
      </c>
      <c r="G442" t="str">
        <f>_xlfn.XLOOKUP($A442,表格1[No.],表格1[Model],"---",0)</f>
        <v>---</v>
      </c>
      <c r="H442" t="str">
        <f>_xlfn.XLOOKUP($A442,表格1[No.],表格1[QTY],"---",0)</f>
        <v>---</v>
      </c>
      <c r="I442" t="str">
        <f>_xlfn.XLOOKUP($A442,表格1[No.],表格1[Unit Price],"---",0)</f>
        <v>---</v>
      </c>
      <c r="J442" t="str">
        <f>_xlfn.XLOOKUP($A442,表格1[No.],表格1[inv no],"---",0)</f>
        <v>---</v>
      </c>
      <c r="K442" t="str">
        <f>_xlfn.XLOOKUP($A442,表格1[No.],表格1[apps report no.],"---",0)</f>
        <v>---</v>
      </c>
    </row>
    <row r="443" spans="2:11">
      <c r="B443" t="str">
        <f>_xlfn.XLOOKUP($A443,表格1[No.],表格1[Shop],"---",0)</f>
        <v>---</v>
      </c>
      <c r="C443" t="str">
        <f>_xlfn.XLOOKUP($A443,表格1[No.],表格1[Location],"---",0)</f>
        <v>---</v>
      </c>
      <c r="D443" t="str">
        <f>_xlfn.XLOOKUP($A443,表格1[No.],表格1[Name],"---",0)</f>
        <v>---</v>
      </c>
      <c r="E443" t="str">
        <f>_xlfn.XLOOKUP($A443,表格1[No.],表格1[month],"---",0)</f>
        <v>---</v>
      </c>
      <c r="F443" s="12" t="str">
        <f>_xlfn.XLOOKUP($A443,表格1[No.],表格1[date],"---",0)</f>
        <v>---</v>
      </c>
      <c r="G443" t="str">
        <f>_xlfn.XLOOKUP($A443,表格1[No.],表格1[Model],"---",0)</f>
        <v>---</v>
      </c>
      <c r="H443" t="str">
        <f>_xlfn.XLOOKUP($A443,表格1[No.],表格1[QTY],"---",0)</f>
        <v>---</v>
      </c>
      <c r="I443" t="str">
        <f>_xlfn.XLOOKUP($A443,表格1[No.],表格1[Unit Price],"---",0)</f>
        <v>---</v>
      </c>
      <c r="J443" t="str">
        <f>_xlfn.XLOOKUP($A443,表格1[No.],表格1[inv no],"---",0)</f>
        <v>---</v>
      </c>
      <c r="K443" t="str">
        <f>_xlfn.XLOOKUP($A443,表格1[No.],表格1[apps report no.],"---",0)</f>
        <v>---</v>
      </c>
    </row>
    <row r="444" spans="2:11">
      <c r="B444" t="str">
        <f>_xlfn.XLOOKUP($A444,表格1[No.],表格1[Shop],"---",0)</f>
        <v>---</v>
      </c>
      <c r="C444" t="str">
        <f>_xlfn.XLOOKUP($A444,表格1[No.],表格1[Location],"---",0)</f>
        <v>---</v>
      </c>
      <c r="D444" t="str">
        <f>_xlfn.XLOOKUP($A444,表格1[No.],表格1[Name],"---",0)</f>
        <v>---</v>
      </c>
      <c r="E444" t="str">
        <f>_xlfn.XLOOKUP($A444,表格1[No.],表格1[month],"---",0)</f>
        <v>---</v>
      </c>
      <c r="F444" s="12" t="str">
        <f>_xlfn.XLOOKUP($A444,表格1[No.],表格1[date],"---",0)</f>
        <v>---</v>
      </c>
      <c r="G444" t="str">
        <f>_xlfn.XLOOKUP($A444,表格1[No.],表格1[Model],"---",0)</f>
        <v>---</v>
      </c>
      <c r="H444" t="str">
        <f>_xlfn.XLOOKUP($A444,表格1[No.],表格1[QTY],"---",0)</f>
        <v>---</v>
      </c>
      <c r="I444" t="str">
        <f>_xlfn.XLOOKUP($A444,表格1[No.],表格1[Unit Price],"---",0)</f>
        <v>---</v>
      </c>
      <c r="J444" t="str">
        <f>_xlfn.XLOOKUP($A444,表格1[No.],表格1[inv no],"---",0)</f>
        <v>---</v>
      </c>
      <c r="K444" t="str">
        <f>_xlfn.XLOOKUP($A444,表格1[No.],表格1[apps report no.],"---",0)</f>
        <v>---</v>
      </c>
    </row>
    <row r="445" spans="2:11">
      <c r="B445" t="str">
        <f>_xlfn.XLOOKUP($A445,表格1[No.],表格1[Shop],"---",0)</f>
        <v>---</v>
      </c>
      <c r="C445" t="str">
        <f>_xlfn.XLOOKUP($A445,表格1[No.],表格1[Location],"---",0)</f>
        <v>---</v>
      </c>
      <c r="D445" t="str">
        <f>_xlfn.XLOOKUP($A445,表格1[No.],表格1[Name],"---",0)</f>
        <v>---</v>
      </c>
      <c r="E445" t="str">
        <f>_xlfn.XLOOKUP($A445,表格1[No.],表格1[month],"---",0)</f>
        <v>---</v>
      </c>
      <c r="F445" s="12" t="str">
        <f>_xlfn.XLOOKUP($A445,表格1[No.],表格1[date],"---",0)</f>
        <v>---</v>
      </c>
      <c r="G445" t="str">
        <f>_xlfn.XLOOKUP($A445,表格1[No.],表格1[Model],"---",0)</f>
        <v>---</v>
      </c>
      <c r="H445" t="str">
        <f>_xlfn.XLOOKUP($A445,表格1[No.],表格1[QTY],"---",0)</f>
        <v>---</v>
      </c>
      <c r="I445" t="str">
        <f>_xlfn.XLOOKUP($A445,表格1[No.],表格1[Unit Price],"---",0)</f>
        <v>---</v>
      </c>
      <c r="J445" t="str">
        <f>_xlfn.XLOOKUP($A445,表格1[No.],表格1[inv no],"---",0)</f>
        <v>---</v>
      </c>
      <c r="K445" t="str">
        <f>_xlfn.XLOOKUP($A445,表格1[No.],表格1[apps report no.],"---",0)</f>
        <v>---</v>
      </c>
    </row>
    <row r="446" spans="2:11">
      <c r="B446" t="str">
        <f>_xlfn.XLOOKUP($A446,表格1[No.],表格1[Shop],"---",0)</f>
        <v>---</v>
      </c>
      <c r="C446" t="str">
        <f>_xlfn.XLOOKUP($A446,表格1[No.],表格1[Location],"---",0)</f>
        <v>---</v>
      </c>
      <c r="D446" t="str">
        <f>_xlfn.XLOOKUP($A446,表格1[No.],表格1[Name],"---",0)</f>
        <v>---</v>
      </c>
      <c r="E446" t="str">
        <f>_xlfn.XLOOKUP($A446,表格1[No.],表格1[month],"---",0)</f>
        <v>---</v>
      </c>
      <c r="F446" s="12" t="str">
        <f>_xlfn.XLOOKUP($A446,表格1[No.],表格1[date],"---",0)</f>
        <v>---</v>
      </c>
      <c r="G446" t="str">
        <f>_xlfn.XLOOKUP($A446,表格1[No.],表格1[Model],"---",0)</f>
        <v>---</v>
      </c>
      <c r="H446" t="str">
        <f>_xlfn.XLOOKUP($A446,表格1[No.],表格1[QTY],"---",0)</f>
        <v>---</v>
      </c>
      <c r="I446" t="str">
        <f>_xlfn.XLOOKUP($A446,表格1[No.],表格1[Unit Price],"---",0)</f>
        <v>---</v>
      </c>
      <c r="J446" t="str">
        <f>_xlfn.XLOOKUP($A446,表格1[No.],表格1[inv no],"---",0)</f>
        <v>---</v>
      </c>
      <c r="K446" t="str">
        <f>_xlfn.XLOOKUP($A446,表格1[No.],表格1[apps report no.],"---",0)</f>
        <v>---</v>
      </c>
    </row>
    <row r="447" spans="2:11">
      <c r="B447" t="str">
        <f>_xlfn.XLOOKUP($A447,表格1[No.],表格1[Shop],"---",0)</f>
        <v>---</v>
      </c>
      <c r="C447" t="str">
        <f>_xlfn.XLOOKUP($A447,表格1[No.],表格1[Location],"---",0)</f>
        <v>---</v>
      </c>
      <c r="D447" t="str">
        <f>_xlfn.XLOOKUP($A447,表格1[No.],表格1[Name],"---",0)</f>
        <v>---</v>
      </c>
      <c r="E447" t="str">
        <f>_xlfn.XLOOKUP($A447,表格1[No.],表格1[month],"---",0)</f>
        <v>---</v>
      </c>
      <c r="F447" s="12" t="str">
        <f>_xlfn.XLOOKUP($A447,表格1[No.],表格1[date],"---",0)</f>
        <v>---</v>
      </c>
      <c r="G447" t="str">
        <f>_xlfn.XLOOKUP($A447,表格1[No.],表格1[Model],"---",0)</f>
        <v>---</v>
      </c>
      <c r="H447" t="str">
        <f>_xlfn.XLOOKUP($A447,表格1[No.],表格1[QTY],"---",0)</f>
        <v>---</v>
      </c>
      <c r="I447" t="str">
        <f>_xlfn.XLOOKUP($A447,表格1[No.],表格1[Unit Price],"---",0)</f>
        <v>---</v>
      </c>
      <c r="J447" t="str">
        <f>_xlfn.XLOOKUP($A447,表格1[No.],表格1[inv no],"---",0)</f>
        <v>---</v>
      </c>
      <c r="K447" t="str">
        <f>_xlfn.XLOOKUP($A447,表格1[No.],表格1[apps report no.],"---",0)</f>
        <v>---</v>
      </c>
    </row>
    <row r="448" spans="2:11">
      <c r="B448" t="str">
        <f>_xlfn.XLOOKUP($A448,表格1[No.],表格1[Shop],"---",0)</f>
        <v>---</v>
      </c>
      <c r="C448" t="str">
        <f>_xlfn.XLOOKUP($A448,表格1[No.],表格1[Location],"---",0)</f>
        <v>---</v>
      </c>
      <c r="D448" t="str">
        <f>_xlfn.XLOOKUP($A448,表格1[No.],表格1[Name],"---",0)</f>
        <v>---</v>
      </c>
      <c r="E448" t="str">
        <f>_xlfn.XLOOKUP($A448,表格1[No.],表格1[month],"---",0)</f>
        <v>---</v>
      </c>
      <c r="F448" s="12" t="str">
        <f>_xlfn.XLOOKUP($A448,表格1[No.],表格1[date],"---",0)</f>
        <v>---</v>
      </c>
      <c r="G448" t="str">
        <f>_xlfn.XLOOKUP($A448,表格1[No.],表格1[Model],"---",0)</f>
        <v>---</v>
      </c>
      <c r="H448" t="str">
        <f>_xlfn.XLOOKUP($A448,表格1[No.],表格1[QTY],"---",0)</f>
        <v>---</v>
      </c>
      <c r="I448" t="str">
        <f>_xlfn.XLOOKUP($A448,表格1[No.],表格1[Unit Price],"---",0)</f>
        <v>---</v>
      </c>
      <c r="J448" t="str">
        <f>_xlfn.XLOOKUP($A448,表格1[No.],表格1[inv no],"---",0)</f>
        <v>---</v>
      </c>
      <c r="K448" t="str">
        <f>_xlfn.XLOOKUP($A448,表格1[No.],表格1[apps report no.],"---",0)</f>
        <v>---</v>
      </c>
    </row>
    <row r="449" spans="2:11">
      <c r="B449" t="str">
        <f>_xlfn.XLOOKUP($A449,表格1[No.],表格1[Shop],"---",0)</f>
        <v>---</v>
      </c>
      <c r="C449" t="str">
        <f>_xlfn.XLOOKUP($A449,表格1[No.],表格1[Location],"---",0)</f>
        <v>---</v>
      </c>
      <c r="D449" t="str">
        <f>_xlfn.XLOOKUP($A449,表格1[No.],表格1[Name],"---",0)</f>
        <v>---</v>
      </c>
      <c r="E449" t="str">
        <f>_xlfn.XLOOKUP($A449,表格1[No.],表格1[month],"---",0)</f>
        <v>---</v>
      </c>
      <c r="F449" s="12" t="str">
        <f>_xlfn.XLOOKUP($A449,表格1[No.],表格1[date],"---",0)</f>
        <v>---</v>
      </c>
      <c r="G449" t="str">
        <f>_xlfn.XLOOKUP($A449,表格1[No.],表格1[Model],"---",0)</f>
        <v>---</v>
      </c>
      <c r="H449" t="str">
        <f>_xlfn.XLOOKUP($A449,表格1[No.],表格1[QTY],"---",0)</f>
        <v>---</v>
      </c>
      <c r="I449" t="str">
        <f>_xlfn.XLOOKUP($A449,表格1[No.],表格1[Unit Price],"---",0)</f>
        <v>---</v>
      </c>
      <c r="J449" t="str">
        <f>_xlfn.XLOOKUP($A449,表格1[No.],表格1[inv no],"---",0)</f>
        <v>---</v>
      </c>
      <c r="K449" t="str">
        <f>_xlfn.XLOOKUP($A449,表格1[No.],表格1[apps report no.],"---",0)</f>
        <v>---</v>
      </c>
    </row>
    <row r="450" spans="2:11">
      <c r="B450" t="str">
        <f>_xlfn.XLOOKUP($A450,表格1[No.],表格1[Shop],"---",0)</f>
        <v>---</v>
      </c>
      <c r="C450" t="str">
        <f>_xlfn.XLOOKUP($A450,表格1[No.],表格1[Location],"---",0)</f>
        <v>---</v>
      </c>
      <c r="D450" t="str">
        <f>_xlfn.XLOOKUP($A450,表格1[No.],表格1[Name],"---",0)</f>
        <v>---</v>
      </c>
      <c r="E450" t="str">
        <f>_xlfn.XLOOKUP($A450,表格1[No.],表格1[month],"---",0)</f>
        <v>---</v>
      </c>
      <c r="F450" s="12" t="str">
        <f>_xlfn.XLOOKUP($A450,表格1[No.],表格1[date],"---",0)</f>
        <v>---</v>
      </c>
      <c r="G450" t="str">
        <f>_xlfn.XLOOKUP($A450,表格1[No.],表格1[Model],"---",0)</f>
        <v>---</v>
      </c>
      <c r="H450" t="str">
        <f>_xlfn.XLOOKUP($A450,表格1[No.],表格1[QTY],"---",0)</f>
        <v>---</v>
      </c>
      <c r="I450" t="str">
        <f>_xlfn.XLOOKUP($A450,表格1[No.],表格1[Unit Price],"---",0)</f>
        <v>---</v>
      </c>
      <c r="J450" t="str">
        <f>_xlfn.XLOOKUP($A450,表格1[No.],表格1[inv no],"---",0)</f>
        <v>---</v>
      </c>
      <c r="K450" t="str">
        <f>_xlfn.XLOOKUP($A450,表格1[No.],表格1[apps report no.],"---",0)</f>
        <v>---</v>
      </c>
    </row>
    <row r="451" spans="2:11">
      <c r="B451" t="str">
        <f>_xlfn.XLOOKUP($A451,表格1[No.],表格1[Shop],"---",0)</f>
        <v>---</v>
      </c>
      <c r="C451" t="str">
        <f>_xlfn.XLOOKUP($A451,表格1[No.],表格1[Location],"---",0)</f>
        <v>---</v>
      </c>
      <c r="D451" t="str">
        <f>_xlfn.XLOOKUP($A451,表格1[No.],表格1[Name],"---",0)</f>
        <v>---</v>
      </c>
      <c r="E451" t="str">
        <f>_xlfn.XLOOKUP($A451,表格1[No.],表格1[month],"---",0)</f>
        <v>---</v>
      </c>
      <c r="F451" s="12" t="str">
        <f>_xlfn.XLOOKUP($A451,表格1[No.],表格1[date],"---",0)</f>
        <v>---</v>
      </c>
      <c r="G451" t="str">
        <f>_xlfn.XLOOKUP($A451,表格1[No.],表格1[Model],"---",0)</f>
        <v>---</v>
      </c>
      <c r="H451" t="str">
        <f>_xlfn.XLOOKUP($A451,表格1[No.],表格1[QTY],"---",0)</f>
        <v>---</v>
      </c>
      <c r="I451" t="str">
        <f>_xlfn.XLOOKUP($A451,表格1[No.],表格1[Unit Price],"---",0)</f>
        <v>---</v>
      </c>
      <c r="J451" t="str">
        <f>_xlfn.XLOOKUP($A451,表格1[No.],表格1[inv no],"---",0)</f>
        <v>---</v>
      </c>
      <c r="K451" t="str">
        <f>_xlfn.XLOOKUP($A451,表格1[No.],表格1[apps report no.],"---",0)</f>
        <v>---</v>
      </c>
    </row>
    <row r="452" spans="2:11">
      <c r="B452" t="str">
        <f>_xlfn.XLOOKUP($A452,表格1[No.],表格1[Shop],"---",0)</f>
        <v>---</v>
      </c>
      <c r="C452" t="str">
        <f>_xlfn.XLOOKUP($A452,表格1[No.],表格1[Location],"---",0)</f>
        <v>---</v>
      </c>
      <c r="D452" t="str">
        <f>_xlfn.XLOOKUP($A452,表格1[No.],表格1[Name],"---",0)</f>
        <v>---</v>
      </c>
      <c r="E452" t="str">
        <f>_xlfn.XLOOKUP($A452,表格1[No.],表格1[month],"---",0)</f>
        <v>---</v>
      </c>
      <c r="F452" s="12" t="str">
        <f>_xlfn.XLOOKUP($A452,表格1[No.],表格1[date],"---",0)</f>
        <v>---</v>
      </c>
      <c r="G452" t="str">
        <f>_xlfn.XLOOKUP($A452,表格1[No.],表格1[Model],"---",0)</f>
        <v>---</v>
      </c>
      <c r="H452" t="str">
        <f>_xlfn.XLOOKUP($A452,表格1[No.],表格1[QTY],"---",0)</f>
        <v>---</v>
      </c>
      <c r="I452" t="str">
        <f>_xlfn.XLOOKUP($A452,表格1[No.],表格1[Unit Price],"---",0)</f>
        <v>---</v>
      </c>
      <c r="J452" t="str">
        <f>_xlfn.XLOOKUP($A452,表格1[No.],表格1[inv no],"---",0)</f>
        <v>---</v>
      </c>
      <c r="K452" t="str">
        <f>_xlfn.XLOOKUP($A452,表格1[No.],表格1[apps report no.],"---",0)</f>
        <v>---</v>
      </c>
    </row>
    <row r="453" spans="2:11">
      <c r="B453" t="str">
        <f>_xlfn.XLOOKUP($A453,表格1[No.],表格1[Shop],"---",0)</f>
        <v>---</v>
      </c>
      <c r="C453" t="str">
        <f>_xlfn.XLOOKUP($A453,表格1[No.],表格1[Location],"---",0)</f>
        <v>---</v>
      </c>
      <c r="D453" t="str">
        <f>_xlfn.XLOOKUP($A453,表格1[No.],表格1[Name],"---",0)</f>
        <v>---</v>
      </c>
      <c r="E453" t="str">
        <f>_xlfn.XLOOKUP($A453,表格1[No.],表格1[month],"---",0)</f>
        <v>---</v>
      </c>
      <c r="F453" s="12" t="str">
        <f>_xlfn.XLOOKUP($A453,表格1[No.],表格1[date],"---",0)</f>
        <v>---</v>
      </c>
      <c r="G453" t="str">
        <f>_xlfn.XLOOKUP($A453,表格1[No.],表格1[Model],"---",0)</f>
        <v>---</v>
      </c>
      <c r="H453" t="str">
        <f>_xlfn.XLOOKUP($A453,表格1[No.],表格1[QTY],"---",0)</f>
        <v>---</v>
      </c>
      <c r="I453" t="str">
        <f>_xlfn.XLOOKUP($A453,表格1[No.],表格1[Unit Price],"---",0)</f>
        <v>---</v>
      </c>
      <c r="J453" t="str">
        <f>_xlfn.XLOOKUP($A453,表格1[No.],表格1[inv no],"---",0)</f>
        <v>---</v>
      </c>
      <c r="K453" t="str">
        <f>_xlfn.XLOOKUP($A453,表格1[No.],表格1[apps report no.],"---",0)</f>
        <v>---</v>
      </c>
    </row>
    <row r="454" spans="2:11">
      <c r="B454" t="str">
        <f>_xlfn.XLOOKUP($A454,表格1[No.],表格1[Shop],"---",0)</f>
        <v>---</v>
      </c>
      <c r="C454" t="str">
        <f>_xlfn.XLOOKUP($A454,表格1[No.],表格1[Location],"---",0)</f>
        <v>---</v>
      </c>
      <c r="D454" t="str">
        <f>_xlfn.XLOOKUP($A454,表格1[No.],表格1[Name],"---",0)</f>
        <v>---</v>
      </c>
      <c r="E454" t="str">
        <f>_xlfn.XLOOKUP($A454,表格1[No.],表格1[month],"---",0)</f>
        <v>---</v>
      </c>
      <c r="F454" s="12" t="str">
        <f>_xlfn.XLOOKUP($A454,表格1[No.],表格1[date],"---",0)</f>
        <v>---</v>
      </c>
      <c r="G454" t="str">
        <f>_xlfn.XLOOKUP($A454,表格1[No.],表格1[Model],"---",0)</f>
        <v>---</v>
      </c>
      <c r="H454" t="str">
        <f>_xlfn.XLOOKUP($A454,表格1[No.],表格1[QTY],"---",0)</f>
        <v>---</v>
      </c>
      <c r="I454" t="str">
        <f>_xlfn.XLOOKUP($A454,表格1[No.],表格1[Unit Price],"---",0)</f>
        <v>---</v>
      </c>
      <c r="J454" t="str">
        <f>_xlfn.XLOOKUP($A454,表格1[No.],表格1[inv no],"---",0)</f>
        <v>---</v>
      </c>
      <c r="K454" t="str">
        <f>_xlfn.XLOOKUP($A454,表格1[No.],表格1[apps report no.],"---",0)</f>
        <v>---</v>
      </c>
    </row>
    <row r="455" spans="2:11">
      <c r="B455" t="str">
        <f>_xlfn.XLOOKUP($A455,表格1[No.],表格1[Shop],"---",0)</f>
        <v>---</v>
      </c>
      <c r="C455" t="str">
        <f>_xlfn.XLOOKUP($A455,表格1[No.],表格1[Location],"---",0)</f>
        <v>---</v>
      </c>
      <c r="D455" t="str">
        <f>_xlfn.XLOOKUP($A455,表格1[No.],表格1[Name],"---",0)</f>
        <v>---</v>
      </c>
      <c r="E455" t="str">
        <f>_xlfn.XLOOKUP($A455,表格1[No.],表格1[month],"---",0)</f>
        <v>---</v>
      </c>
      <c r="F455" s="12" t="str">
        <f>_xlfn.XLOOKUP($A455,表格1[No.],表格1[date],"---",0)</f>
        <v>---</v>
      </c>
      <c r="G455" t="str">
        <f>_xlfn.XLOOKUP($A455,表格1[No.],表格1[Model],"---",0)</f>
        <v>---</v>
      </c>
      <c r="H455" t="str">
        <f>_xlfn.XLOOKUP($A455,表格1[No.],表格1[QTY],"---",0)</f>
        <v>---</v>
      </c>
      <c r="I455" t="str">
        <f>_xlfn.XLOOKUP($A455,表格1[No.],表格1[Unit Price],"---",0)</f>
        <v>---</v>
      </c>
      <c r="J455" t="str">
        <f>_xlfn.XLOOKUP($A455,表格1[No.],表格1[inv no],"---",0)</f>
        <v>---</v>
      </c>
      <c r="K455" t="str">
        <f>_xlfn.XLOOKUP($A455,表格1[No.],表格1[apps report no.],"---",0)</f>
        <v>---</v>
      </c>
    </row>
    <row r="456" spans="2:11">
      <c r="B456" t="str">
        <f>_xlfn.XLOOKUP($A456,表格1[No.],表格1[Shop],"---",0)</f>
        <v>---</v>
      </c>
      <c r="C456" t="str">
        <f>_xlfn.XLOOKUP($A456,表格1[No.],表格1[Location],"---",0)</f>
        <v>---</v>
      </c>
      <c r="D456" t="str">
        <f>_xlfn.XLOOKUP($A456,表格1[No.],表格1[Name],"---",0)</f>
        <v>---</v>
      </c>
      <c r="E456" t="str">
        <f>_xlfn.XLOOKUP($A456,表格1[No.],表格1[month],"---",0)</f>
        <v>---</v>
      </c>
      <c r="F456" s="12" t="str">
        <f>_xlfn.XLOOKUP($A456,表格1[No.],表格1[date],"---",0)</f>
        <v>---</v>
      </c>
      <c r="G456" t="str">
        <f>_xlfn.XLOOKUP($A456,表格1[No.],表格1[Model],"---",0)</f>
        <v>---</v>
      </c>
      <c r="H456" t="str">
        <f>_xlfn.XLOOKUP($A456,表格1[No.],表格1[QTY],"---",0)</f>
        <v>---</v>
      </c>
      <c r="I456" t="str">
        <f>_xlfn.XLOOKUP($A456,表格1[No.],表格1[Unit Price],"---",0)</f>
        <v>---</v>
      </c>
      <c r="J456" t="str">
        <f>_xlfn.XLOOKUP($A456,表格1[No.],表格1[inv no],"---",0)</f>
        <v>---</v>
      </c>
      <c r="K456" t="str">
        <f>_xlfn.XLOOKUP($A456,表格1[No.],表格1[apps report no.],"---",0)</f>
        <v>---</v>
      </c>
    </row>
    <row r="457" spans="2:11">
      <c r="B457" t="str">
        <f>_xlfn.XLOOKUP($A457,表格1[No.],表格1[Shop],"---",0)</f>
        <v>---</v>
      </c>
      <c r="C457" t="str">
        <f>_xlfn.XLOOKUP($A457,表格1[No.],表格1[Location],"---",0)</f>
        <v>---</v>
      </c>
      <c r="D457" t="str">
        <f>_xlfn.XLOOKUP($A457,表格1[No.],表格1[Name],"---",0)</f>
        <v>---</v>
      </c>
      <c r="E457" t="str">
        <f>_xlfn.XLOOKUP($A457,表格1[No.],表格1[month],"---",0)</f>
        <v>---</v>
      </c>
      <c r="F457" s="12" t="str">
        <f>_xlfn.XLOOKUP($A457,表格1[No.],表格1[date],"---",0)</f>
        <v>---</v>
      </c>
      <c r="G457" t="str">
        <f>_xlfn.XLOOKUP($A457,表格1[No.],表格1[Model],"---",0)</f>
        <v>---</v>
      </c>
      <c r="H457" t="str">
        <f>_xlfn.XLOOKUP($A457,表格1[No.],表格1[QTY],"---",0)</f>
        <v>---</v>
      </c>
      <c r="I457" t="str">
        <f>_xlfn.XLOOKUP($A457,表格1[No.],表格1[Unit Price],"---",0)</f>
        <v>---</v>
      </c>
      <c r="J457" t="str">
        <f>_xlfn.XLOOKUP($A457,表格1[No.],表格1[inv no],"---",0)</f>
        <v>---</v>
      </c>
      <c r="K457" t="str">
        <f>_xlfn.XLOOKUP($A457,表格1[No.],表格1[apps report no.],"---",0)</f>
        <v>---</v>
      </c>
    </row>
    <row r="458" spans="2:11">
      <c r="B458" t="str">
        <f>_xlfn.XLOOKUP($A458,表格1[No.],表格1[Shop],"---",0)</f>
        <v>---</v>
      </c>
      <c r="C458" t="str">
        <f>_xlfn.XLOOKUP($A458,表格1[No.],表格1[Location],"---",0)</f>
        <v>---</v>
      </c>
      <c r="D458" t="str">
        <f>_xlfn.XLOOKUP($A458,表格1[No.],表格1[Name],"---",0)</f>
        <v>---</v>
      </c>
      <c r="E458" t="str">
        <f>_xlfn.XLOOKUP($A458,表格1[No.],表格1[month],"---",0)</f>
        <v>---</v>
      </c>
      <c r="F458" s="12" t="str">
        <f>_xlfn.XLOOKUP($A458,表格1[No.],表格1[date],"---",0)</f>
        <v>---</v>
      </c>
      <c r="G458" t="str">
        <f>_xlfn.XLOOKUP($A458,表格1[No.],表格1[Model],"---",0)</f>
        <v>---</v>
      </c>
      <c r="H458" t="str">
        <f>_xlfn.XLOOKUP($A458,表格1[No.],表格1[QTY],"---",0)</f>
        <v>---</v>
      </c>
      <c r="I458" t="str">
        <f>_xlfn.XLOOKUP($A458,表格1[No.],表格1[Unit Price],"---",0)</f>
        <v>---</v>
      </c>
      <c r="J458" t="str">
        <f>_xlfn.XLOOKUP($A458,表格1[No.],表格1[inv no],"---",0)</f>
        <v>---</v>
      </c>
      <c r="K458" t="str">
        <f>_xlfn.XLOOKUP($A458,表格1[No.],表格1[apps report no.],"---",0)</f>
        <v>---</v>
      </c>
    </row>
    <row r="459" spans="2:11">
      <c r="B459" t="str">
        <f>_xlfn.XLOOKUP($A459,表格1[No.],表格1[Shop],"---",0)</f>
        <v>---</v>
      </c>
      <c r="C459" t="str">
        <f>_xlfn.XLOOKUP($A459,表格1[No.],表格1[Location],"---",0)</f>
        <v>---</v>
      </c>
      <c r="D459" t="str">
        <f>_xlfn.XLOOKUP($A459,表格1[No.],表格1[Name],"---",0)</f>
        <v>---</v>
      </c>
      <c r="E459" t="str">
        <f>_xlfn.XLOOKUP($A459,表格1[No.],表格1[month],"---",0)</f>
        <v>---</v>
      </c>
      <c r="F459" s="12" t="str">
        <f>_xlfn.XLOOKUP($A459,表格1[No.],表格1[date],"---",0)</f>
        <v>---</v>
      </c>
      <c r="G459" t="str">
        <f>_xlfn.XLOOKUP($A459,表格1[No.],表格1[Model],"---",0)</f>
        <v>---</v>
      </c>
      <c r="H459" t="str">
        <f>_xlfn.XLOOKUP($A459,表格1[No.],表格1[QTY],"---",0)</f>
        <v>---</v>
      </c>
      <c r="I459" t="str">
        <f>_xlfn.XLOOKUP($A459,表格1[No.],表格1[Unit Price],"---",0)</f>
        <v>---</v>
      </c>
      <c r="J459" t="str">
        <f>_xlfn.XLOOKUP($A459,表格1[No.],表格1[inv no],"---",0)</f>
        <v>---</v>
      </c>
      <c r="K459" t="str">
        <f>_xlfn.XLOOKUP($A459,表格1[No.],表格1[apps report no.],"---",0)</f>
        <v>---</v>
      </c>
    </row>
    <row r="460" spans="2:11">
      <c r="B460" t="str">
        <f>_xlfn.XLOOKUP($A460,表格1[No.],表格1[Shop],"---",0)</f>
        <v>---</v>
      </c>
      <c r="C460" t="str">
        <f>_xlfn.XLOOKUP($A460,表格1[No.],表格1[Location],"---",0)</f>
        <v>---</v>
      </c>
      <c r="D460" t="str">
        <f>_xlfn.XLOOKUP($A460,表格1[No.],表格1[Name],"---",0)</f>
        <v>---</v>
      </c>
      <c r="E460" t="str">
        <f>_xlfn.XLOOKUP($A460,表格1[No.],表格1[month],"---",0)</f>
        <v>---</v>
      </c>
      <c r="F460" s="12" t="str">
        <f>_xlfn.XLOOKUP($A460,表格1[No.],表格1[date],"---",0)</f>
        <v>---</v>
      </c>
      <c r="G460" t="str">
        <f>_xlfn.XLOOKUP($A460,表格1[No.],表格1[Model],"---",0)</f>
        <v>---</v>
      </c>
      <c r="H460" t="str">
        <f>_xlfn.XLOOKUP($A460,表格1[No.],表格1[QTY],"---",0)</f>
        <v>---</v>
      </c>
      <c r="I460" t="str">
        <f>_xlfn.XLOOKUP($A460,表格1[No.],表格1[Unit Price],"---",0)</f>
        <v>---</v>
      </c>
      <c r="J460" t="str">
        <f>_xlfn.XLOOKUP($A460,表格1[No.],表格1[inv no],"---",0)</f>
        <v>---</v>
      </c>
      <c r="K460" t="str">
        <f>_xlfn.XLOOKUP($A460,表格1[No.],表格1[apps report no.],"---",0)</f>
        <v>---</v>
      </c>
    </row>
    <row r="461" spans="2:11">
      <c r="B461" t="str">
        <f>_xlfn.XLOOKUP($A461,表格1[No.],表格1[Shop],"---",0)</f>
        <v>---</v>
      </c>
      <c r="C461" t="str">
        <f>_xlfn.XLOOKUP($A461,表格1[No.],表格1[Location],"---",0)</f>
        <v>---</v>
      </c>
      <c r="D461" t="str">
        <f>_xlfn.XLOOKUP($A461,表格1[No.],表格1[Name],"---",0)</f>
        <v>---</v>
      </c>
      <c r="E461" t="str">
        <f>_xlfn.XLOOKUP($A461,表格1[No.],表格1[month],"---",0)</f>
        <v>---</v>
      </c>
      <c r="F461" s="12" t="str">
        <f>_xlfn.XLOOKUP($A461,表格1[No.],表格1[date],"---",0)</f>
        <v>---</v>
      </c>
      <c r="G461" t="str">
        <f>_xlfn.XLOOKUP($A461,表格1[No.],表格1[Model],"---",0)</f>
        <v>---</v>
      </c>
      <c r="H461" t="str">
        <f>_xlfn.XLOOKUP($A461,表格1[No.],表格1[QTY],"---",0)</f>
        <v>---</v>
      </c>
      <c r="I461" t="str">
        <f>_xlfn.XLOOKUP($A461,表格1[No.],表格1[Unit Price],"---",0)</f>
        <v>---</v>
      </c>
      <c r="J461" t="str">
        <f>_xlfn.XLOOKUP($A461,表格1[No.],表格1[inv no],"---",0)</f>
        <v>---</v>
      </c>
      <c r="K461" t="str">
        <f>_xlfn.XLOOKUP($A461,表格1[No.],表格1[apps report no.],"---",0)</f>
        <v>---</v>
      </c>
    </row>
    <row r="462" spans="2:11">
      <c r="B462" t="str">
        <f>_xlfn.XLOOKUP($A462,表格1[No.],表格1[Shop],"---",0)</f>
        <v>---</v>
      </c>
      <c r="C462" t="str">
        <f>_xlfn.XLOOKUP($A462,表格1[No.],表格1[Location],"---",0)</f>
        <v>---</v>
      </c>
      <c r="D462" t="str">
        <f>_xlfn.XLOOKUP($A462,表格1[No.],表格1[Name],"---",0)</f>
        <v>---</v>
      </c>
      <c r="E462" t="str">
        <f>_xlfn.XLOOKUP($A462,表格1[No.],表格1[month],"---",0)</f>
        <v>---</v>
      </c>
      <c r="F462" s="12" t="str">
        <f>_xlfn.XLOOKUP($A462,表格1[No.],表格1[date],"---",0)</f>
        <v>---</v>
      </c>
      <c r="G462" t="str">
        <f>_xlfn.XLOOKUP($A462,表格1[No.],表格1[Model],"---",0)</f>
        <v>---</v>
      </c>
      <c r="H462" t="str">
        <f>_xlfn.XLOOKUP($A462,表格1[No.],表格1[QTY],"---",0)</f>
        <v>---</v>
      </c>
      <c r="I462" t="str">
        <f>_xlfn.XLOOKUP($A462,表格1[No.],表格1[Unit Price],"---",0)</f>
        <v>---</v>
      </c>
      <c r="J462" t="str">
        <f>_xlfn.XLOOKUP($A462,表格1[No.],表格1[inv no],"---",0)</f>
        <v>---</v>
      </c>
      <c r="K462" t="str">
        <f>_xlfn.XLOOKUP($A462,表格1[No.],表格1[apps report no.],"---",0)</f>
        <v>---</v>
      </c>
    </row>
    <row r="463" spans="2:11">
      <c r="B463" t="str">
        <f>_xlfn.XLOOKUP($A463,表格1[No.],表格1[Shop],"---",0)</f>
        <v>---</v>
      </c>
      <c r="C463" t="str">
        <f>_xlfn.XLOOKUP($A463,表格1[No.],表格1[Location],"---",0)</f>
        <v>---</v>
      </c>
      <c r="D463" t="str">
        <f>_xlfn.XLOOKUP($A463,表格1[No.],表格1[Name],"---",0)</f>
        <v>---</v>
      </c>
      <c r="E463" t="str">
        <f>_xlfn.XLOOKUP($A463,表格1[No.],表格1[month],"---",0)</f>
        <v>---</v>
      </c>
      <c r="F463" s="12" t="str">
        <f>_xlfn.XLOOKUP($A463,表格1[No.],表格1[date],"---",0)</f>
        <v>---</v>
      </c>
      <c r="G463" t="str">
        <f>_xlfn.XLOOKUP($A463,表格1[No.],表格1[Model],"---",0)</f>
        <v>---</v>
      </c>
      <c r="H463" t="str">
        <f>_xlfn.XLOOKUP($A463,表格1[No.],表格1[QTY],"---",0)</f>
        <v>---</v>
      </c>
      <c r="I463" t="str">
        <f>_xlfn.XLOOKUP($A463,表格1[No.],表格1[Unit Price],"---",0)</f>
        <v>---</v>
      </c>
      <c r="J463" t="str">
        <f>_xlfn.XLOOKUP($A463,表格1[No.],表格1[inv no],"---",0)</f>
        <v>---</v>
      </c>
      <c r="K463" t="str">
        <f>_xlfn.XLOOKUP($A463,表格1[No.],表格1[apps report no.],"---",0)</f>
        <v>---</v>
      </c>
    </row>
    <row r="464" spans="2:11">
      <c r="B464" t="str">
        <f>_xlfn.XLOOKUP($A464,表格1[No.],表格1[Shop],"---",0)</f>
        <v>---</v>
      </c>
      <c r="C464" t="str">
        <f>_xlfn.XLOOKUP($A464,表格1[No.],表格1[Location],"---",0)</f>
        <v>---</v>
      </c>
      <c r="D464" t="str">
        <f>_xlfn.XLOOKUP($A464,表格1[No.],表格1[Name],"---",0)</f>
        <v>---</v>
      </c>
      <c r="E464" t="str">
        <f>_xlfn.XLOOKUP($A464,表格1[No.],表格1[month],"---",0)</f>
        <v>---</v>
      </c>
      <c r="F464" s="12" t="str">
        <f>_xlfn.XLOOKUP($A464,表格1[No.],表格1[date],"---",0)</f>
        <v>---</v>
      </c>
      <c r="G464" t="str">
        <f>_xlfn.XLOOKUP($A464,表格1[No.],表格1[Model],"---",0)</f>
        <v>---</v>
      </c>
      <c r="H464" t="str">
        <f>_xlfn.XLOOKUP($A464,表格1[No.],表格1[QTY],"---",0)</f>
        <v>---</v>
      </c>
      <c r="I464" t="str">
        <f>_xlfn.XLOOKUP($A464,表格1[No.],表格1[Unit Price],"---",0)</f>
        <v>---</v>
      </c>
      <c r="J464" t="str">
        <f>_xlfn.XLOOKUP($A464,表格1[No.],表格1[inv no],"---",0)</f>
        <v>---</v>
      </c>
      <c r="K464" t="str">
        <f>_xlfn.XLOOKUP($A464,表格1[No.],表格1[apps report no.],"---",0)</f>
        <v>---</v>
      </c>
    </row>
    <row r="465" spans="2:11">
      <c r="B465" t="str">
        <f>_xlfn.XLOOKUP($A465,表格1[No.],表格1[Shop],"---",0)</f>
        <v>---</v>
      </c>
      <c r="C465" t="str">
        <f>_xlfn.XLOOKUP($A465,表格1[No.],表格1[Location],"---",0)</f>
        <v>---</v>
      </c>
      <c r="D465" t="str">
        <f>_xlfn.XLOOKUP($A465,表格1[No.],表格1[Name],"---",0)</f>
        <v>---</v>
      </c>
      <c r="E465" t="str">
        <f>_xlfn.XLOOKUP($A465,表格1[No.],表格1[month],"---",0)</f>
        <v>---</v>
      </c>
      <c r="F465" s="12" t="str">
        <f>_xlfn.XLOOKUP($A465,表格1[No.],表格1[date],"---",0)</f>
        <v>---</v>
      </c>
      <c r="G465" t="str">
        <f>_xlfn.XLOOKUP($A465,表格1[No.],表格1[Model],"---",0)</f>
        <v>---</v>
      </c>
      <c r="H465" t="str">
        <f>_xlfn.XLOOKUP($A465,表格1[No.],表格1[QTY],"---",0)</f>
        <v>---</v>
      </c>
      <c r="I465" t="str">
        <f>_xlfn.XLOOKUP($A465,表格1[No.],表格1[Unit Price],"---",0)</f>
        <v>---</v>
      </c>
      <c r="J465" t="str">
        <f>_xlfn.XLOOKUP($A465,表格1[No.],表格1[inv no],"---",0)</f>
        <v>---</v>
      </c>
      <c r="K465" t="str">
        <f>_xlfn.XLOOKUP($A465,表格1[No.],表格1[apps report no.],"---",0)</f>
        <v>---</v>
      </c>
    </row>
    <row r="466" spans="2:11">
      <c r="B466" t="str">
        <f>_xlfn.XLOOKUP($A466,表格1[No.],表格1[Shop],"---",0)</f>
        <v>---</v>
      </c>
      <c r="C466" t="str">
        <f>_xlfn.XLOOKUP($A466,表格1[No.],表格1[Location],"---",0)</f>
        <v>---</v>
      </c>
      <c r="D466" t="str">
        <f>_xlfn.XLOOKUP($A466,表格1[No.],表格1[Name],"---",0)</f>
        <v>---</v>
      </c>
      <c r="E466" t="str">
        <f>_xlfn.XLOOKUP($A466,表格1[No.],表格1[month],"---",0)</f>
        <v>---</v>
      </c>
      <c r="F466" s="12" t="str">
        <f>_xlfn.XLOOKUP($A466,表格1[No.],表格1[date],"---",0)</f>
        <v>---</v>
      </c>
      <c r="G466" t="str">
        <f>_xlfn.XLOOKUP($A466,表格1[No.],表格1[Model],"---",0)</f>
        <v>---</v>
      </c>
      <c r="H466" t="str">
        <f>_xlfn.XLOOKUP($A466,表格1[No.],表格1[QTY],"---",0)</f>
        <v>---</v>
      </c>
      <c r="I466" t="str">
        <f>_xlfn.XLOOKUP($A466,表格1[No.],表格1[Unit Price],"---",0)</f>
        <v>---</v>
      </c>
      <c r="J466" t="str">
        <f>_xlfn.XLOOKUP($A466,表格1[No.],表格1[inv no],"---",0)</f>
        <v>---</v>
      </c>
      <c r="K466" t="str">
        <f>_xlfn.XLOOKUP($A466,表格1[No.],表格1[apps report no.],"---",0)</f>
        <v>---</v>
      </c>
    </row>
    <row r="467" spans="2:11">
      <c r="B467" t="str">
        <f>_xlfn.XLOOKUP($A467,表格1[No.],表格1[Shop],"---",0)</f>
        <v>---</v>
      </c>
      <c r="C467" t="str">
        <f>_xlfn.XLOOKUP($A467,表格1[No.],表格1[Location],"---",0)</f>
        <v>---</v>
      </c>
      <c r="D467" t="str">
        <f>_xlfn.XLOOKUP($A467,表格1[No.],表格1[Name],"---",0)</f>
        <v>---</v>
      </c>
      <c r="E467" t="str">
        <f>_xlfn.XLOOKUP($A467,表格1[No.],表格1[month],"---",0)</f>
        <v>---</v>
      </c>
      <c r="F467" s="12" t="str">
        <f>_xlfn.XLOOKUP($A467,表格1[No.],表格1[date],"---",0)</f>
        <v>---</v>
      </c>
      <c r="G467" t="str">
        <f>_xlfn.XLOOKUP($A467,表格1[No.],表格1[Model],"---",0)</f>
        <v>---</v>
      </c>
      <c r="H467" t="str">
        <f>_xlfn.XLOOKUP($A467,表格1[No.],表格1[QTY],"---",0)</f>
        <v>---</v>
      </c>
      <c r="I467" t="str">
        <f>_xlfn.XLOOKUP($A467,表格1[No.],表格1[Unit Price],"---",0)</f>
        <v>---</v>
      </c>
      <c r="J467" t="str">
        <f>_xlfn.XLOOKUP($A467,表格1[No.],表格1[inv no],"---",0)</f>
        <v>---</v>
      </c>
      <c r="K467" t="str">
        <f>_xlfn.XLOOKUP($A467,表格1[No.],表格1[apps report no.],"---",0)</f>
        <v>---</v>
      </c>
    </row>
    <row r="468" spans="2:11">
      <c r="B468" t="str">
        <f>_xlfn.XLOOKUP($A468,表格1[No.],表格1[Shop],"---",0)</f>
        <v>---</v>
      </c>
      <c r="C468" t="str">
        <f>_xlfn.XLOOKUP($A468,表格1[No.],表格1[Location],"---",0)</f>
        <v>---</v>
      </c>
      <c r="D468" t="str">
        <f>_xlfn.XLOOKUP($A468,表格1[No.],表格1[Name],"---",0)</f>
        <v>---</v>
      </c>
      <c r="E468" t="str">
        <f>_xlfn.XLOOKUP($A468,表格1[No.],表格1[month],"---",0)</f>
        <v>---</v>
      </c>
      <c r="F468" s="12" t="str">
        <f>_xlfn.XLOOKUP($A468,表格1[No.],表格1[date],"---",0)</f>
        <v>---</v>
      </c>
      <c r="G468" t="str">
        <f>_xlfn.XLOOKUP($A468,表格1[No.],表格1[Model],"---",0)</f>
        <v>---</v>
      </c>
      <c r="H468" t="str">
        <f>_xlfn.XLOOKUP($A468,表格1[No.],表格1[QTY],"---",0)</f>
        <v>---</v>
      </c>
      <c r="I468" t="str">
        <f>_xlfn.XLOOKUP($A468,表格1[No.],表格1[Unit Price],"---",0)</f>
        <v>---</v>
      </c>
      <c r="J468" t="str">
        <f>_xlfn.XLOOKUP($A468,表格1[No.],表格1[inv no],"---",0)</f>
        <v>---</v>
      </c>
      <c r="K468" t="str">
        <f>_xlfn.XLOOKUP($A468,表格1[No.],表格1[apps report no.],"---",0)</f>
        <v>---</v>
      </c>
    </row>
    <row r="469" spans="2:11">
      <c r="B469" t="str">
        <f>_xlfn.XLOOKUP($A469,表格1[No.],表格1[Shop],"---",0)</f>
        <v>---</v>
      </c>
      <c r="C469" t="str">
        <f>_xlfn.XLOOKUP($A469,表格1[No.],表格1[Location],"---",0)</f>
        <v>---</v>
      </c>
      <c r="D469" t="str">
        <f>_xlfn.XLOOKUP($A469,表格1[No.],表格1[Name],"---",0)</f>
        <v>---</v>
      </c>
      <c r="E469" t="str">
        <f>_xlfn.XLOOKUP($A469,表格1[No.],表格1[month],"---",0)</f>
        <v>---</v>
      </c>
      <c r="F469" s="12" t="str">
        <f>_xlfn.XLOOKUP($A469,表格1[No.],表格1[date],"---",0)</f>
        <v>---</v>
      </c>
      <c r="G469" t="str">
        <f>_xlfn.XLOOKUP($A469,表格1[No.],表格1[Model],"---",0)</f>
        <v>---</v>
      </c>
      <c r="H469" t="str">
        <f>_xlfn.XLOOKUP($A469,表格1[No.],表格1[QTY],"---",0)</f>
        <v>---</v>
      </c>
      <c r="I469" t="str">
        <f>_xlfn.XLOOKUP($A469,表格1[No.],表格1[Unit Price],"---",0)</f>
        <v>---</v>
      </c>
      <c r="J469" t="str">
        <f>_xlfn.XLOOKUP($A469,表格1[No.],表格1[inv no],"---",0)</f>
        <v>---</v>
      </c>
      <c r="K469" t="str">
        <f>_xlfn.XLOOKUP($A469,表格1[No.],表格1[apps report no.],"---",0)</f>
        <v>---</v>
      </c>
    </row>
    <row r="470" spans="2:11">
      <c r="B470" t="str">
        <f>_xlfn.XLOOKUP($A470,表格1[No.],表格1[Shop],"---",0)</f>
        <v>---</v>
      </c>
      <c r="C470" t="str">
        <f>_xlfn.XLOOKUP($A470,表格1[No.],表格1[Location],"---",0)</f>
        <v>---</v>
      </c>
      <c r="D470" t="str">
        <f>_xlfn.XLOOKUP($A470,表格1[No.],表格1[Name],"---",0)</f>
        <v>---</v>
      </c>
      <c r="E470" t="str">
        <f>_xlfn.XLOOKUP($A470,表格1[No.],表格1[month],"---",0)</f>
        <v>---</v>
      </c>
      <c r="F470" s="12" t="str">
        <f>_xlfn.XLOOKUP($A470,表格1[No.],表格1[date],"---",0)</f>
        <v>---</v>
      </c>
      <c r="G470" t="str">
        <f>_xlfn.XLOOKUP($A470,表格1[No.],表格1[Model],"---",0)</f>
        <v>---</v>
      </c>
      <c r="H470" t="str">
        <f>_xlfn.XLOOKUP($A470,表格1[No.],表格1[QTY],"---",0)</f>
        <v>---</v>
      </c>
      <c r="I470" t="str">
        <f>_xlfn.XLOOKUP($A470,表格1[No.],表格1[Unit Price],"---",0)</f>
        <v>---</v>
      </c>
      <c r="J470" t="str">
        <f>_xlfn.XLOOKUP($A470,表格1[No.],表格1[inv no],"---",0)</f>
        <v>---</v>
      </c>
      <c r="K470" t="str">
        <f>_xlfn.XLOOKUP($A470,表格1[No.],表格1[apps report no.],"---",0)</f>
        <v>---</v>
      </c>
    </row>
    <row r="471" spans="2:11">
      <c r="B471" t="str">
        <f>_xlfn.XLOOKUP($A471,表格1[No.],表格1[Shop],"---",0)</f>
        <v>---</v>
      </c>
      <c r="C471" t="str">
        <f>_xlfn.XLOOKUP($A471,表格1[No.],表格1[Location],"---",0)</f>
        <v>---</v>
      </c>
      <c r="D471" t="str">
        <f>_xlfn.XLOOKUP($A471,表格1[No.],表格1[Name],"---",0)</f>
        <v>---</v>
      </c>
      <c r="E471" t="str">
        <f>_xlfn.XLOOKUP($A471,表格1[No.],表格1[month],"---",0)</f>
        <v>---</v>
      </c>
      <c r="F471" s="12" t="str">
        <f>_xlfn.XLOOKUP($A471,表格1[No.],表格1[date],"---",0)</f>
        <v>---</v>
      </c>
      <c r="G471" t="str">
        <f>_xlfn.XLOOKUP($A471,表格1[No.],表格1[Model],"---",0)</f>
        <v>---</v>
      </c>
      <c r="H471" t="str">
        <f>_xlfn.XLOOKUP($A471,表格1[No.],表格1[QTY],"---",0)</f>
        <v>---</v>
      </c>
      <c r="I471" t="str">
        <f>_xlfn.XLOOKUP($A471,表格1[No.],表格1[Unit Price],"---",0)</f>
        <v>---</v>
      </c>
      <c r="J471" t="str">
        <f>_xlfn.XLOOKUP($A471,表格1[No.],表格1[inv no],"---",0)</f>
        <v>---</v>
      </c>
      <c r="K471" t="str">
        <f>_xlfn.XLOOKUP($A471,表格1[No.],表格1[apps report no.],"---",0)</f>
        <v>---</v>
      </c>
    </row>
    <row r="472" spans="2:11">
      <c r="B472" t="str">
        <f>_xlfn.XLOOKUP($A472,表格1[No.],表格1[Shop],"---",0)</f>
        <v>---</v>
      </c>
      <c r="C472" t="str">
        <f>_xlfn.XLOOKUP($A472,表格1[No.],表格1[Location],"---",0)</f>
        <v>---</v>
      </c>
      <c r="D472" t="str">
        <f>_xlfn.XLOOKUP($A472,表格1[No.],表格1[Name],"---",0)</f>
        <v>---</v>
      </c>
      <c r="E472" t="str">
        <f>_xlfn.XLOOKUP($A472,表格1[No.],表格1[month],"---",0)</f>
        <v>---</v>
      </c>
      <c r="F472" s="12" t="str">
        <f>_xlfn.XLOOKUP($A472,表格1[No.],表格1[date],"---",0)</f>
        <v>---</v>
      </c>
      <c r="G472" t="str">
        <f>_xlfn.XLOOKUP($A472,表格1[No.],表格1[Model],"---",0)</f>
        <v>---</v>
      </c>
      <c r="H472" t="str">
        <f>_xlfn.XLOOKUP($A472,表格1[No.],表格1[QTY],"---",0)</f>
        <v>---</v>
      </c>
      <c r="I472" t="str">
        <f>_xlfn.XLOOKUP($A472,表格1[No.],表格1[Unit Price],"---",0)</f>
        <v>---</v>
      </c>
      <c r="J472" t="str">
        <f>_xlfn.XLOOKUP($A472,表格1[No.],表格1[inv no],"---",0)</f>
        <v>---</v>
      </c>
      <c r="K472" t="str">
        <f>_xlfn.XLOOKUP($A472,表格1[No.],表格1[apps report no.],"---",0)</f>
        <v>---</v>
      </c>
    </row>
    <row r="473" spans="2:11">
      <c r="B473" t="str">
        <f>_xlfn.XLOOKUP($A473,表格1[No.],表格1[Shop],"---",0)</f>
        <v>---</v>
      </c>
      <c r="C473" t="str">
        <f>_xlfn.XLOOKUP($A473,表格1[No.],表格1[Location],"---",0)</f>
        <v>---</v>
      </c>
      <c r="D473" t="str">
        <f>_xlfn.XLOOKUP($A473,表格1[No.],表格1[Name],"---",0)</f>
        <v>---</v>
      </c>
      <c r="E473" t="str">
        <f>_xlfn.XLOOKUP($A473,表格1[No.],表格1[month],"---",0)</f>
        <v>---</v>
      </c>
      <c r="F473" s="12" t="str">
        <f>_xlfn.XLOOKUP($A473,表格1[No.],表格1[date],"---",0)</f>
        <v>---</v>
      </c>
      <c r="G473" t="str">
        <f>_xlfn.XLOOKUP($A473,表格1[No.],表格1[Model],"---",0)</f>
        <v>---</v>
      </c>
      <c r="H473" t="str">
        <f>_xlfn.XLOOKUP($A473,表格1[No.],表格1[QTY],"---",0)</f>
        <v>---</v>
      </c>
      <c r="I473" t="str">
        <f>_xlfn.XLOOKUP($A473,表格1[No.],表格1[Unit Price],"---",0)</f>
        <v>---</v>
      </c>
      <c r="J473" t="str">
        <f>_xlfn.XLOOKUP($A473,表格1[No.],表格1[inv no],"---",0)</f>
        <v>---</v>
      </c>
      <c r="K473" t="str">
        <f>_xlfn.XLOOKUP($A473,表格1[No.],表格1[apps report no.],"---",0)</f>
        <v>---</v>
      </c>
    </row>
    <row r="474" spans="2:11">
      <c r="B474" t="str">
        <f>_xlfn.XLOOKUP($A474,表格1[No.],表格1[Shop],"---",0)</f>
        <v>---</v>
      </c>
      <c r="C474" t="str">
        <f>_xlfn.XLOOKUP($A474,表格1[No.],表格1[Location],"---",0)</f>
        <v>---</v>
      </c>
      <c r="D474" t="str">
        <f>_xlfn.XLOOKUP($A474,表格1[No.],表格1[Name],"---",0)</f>
        <v>---</v>
      </c>
      <c r="E474" t="str">
        <f>_xlfn.XLOOKUP($A474,表格1[No.],表格1[month],"---",0)</f>
        <v>---</v>
      </c>
      <c r="F474" s="12" t="str">
        <f>_xlfn.XLOOKUP($A474,表格1[No.],表格1[date],"---",0)</f>
        <v>---</v>
      </c>
      <c r="G474" t="str">
        <f>_xlfn.XLOOKUP($A474,表格1[No.],表格1[Model],"---",0)</f>
        <v>---</v>
      </c>
      <c r="H474" t="str">
        <f>_xlfn.XLOOKUP($A474,表格1[No.],表格1[QTY],"---",0)</f>
        <v>---</v>
      </c>
      <c r="I474" t="str">
        <f>_xlfn.XLOOKUP($A474,表格1[No.],表格1[Unit Price],"---",0)</f>
        <v>---</v>
      </c>
      <c r="J474" t="str">
        <f>_xlfn.XLOOKUP($A474,表格1[No.],表格1[inv no],"---",0)</f>
        <v>---</v>
      </c>
      <c r="K474" t="str">
        <f>_xlfn.XLOOKUP($A474,表格1[No.],表格1[apps report no.],"---",0)</f>
        <v>---</v>
      </c>
    </row>
    <row r="475" spans="2:11">
      <c r="B475" t="str">
        <f>_xlfn.XLOOKUP($A475,表格1[No.],表格1[Shop],"---",0)</f>
        <v>---</v>
      </c>
      <c r="C475" t="str">
        <f>_xlfn.XLOOKUP($A475,表格1[No.],表格1[Location],"---",0)</f>
        <v>---</v>
      </c>
      <c r="D475" t="str">
        <f>_xlfn.XLOOKUP($A475,表格1[No.],表格1[Name],"---",0)</f>
        <v>---</v>
      </c>
      <c r="E475" t="str">
        <f>_xlfn.XLOOKUP($A475,表格1[No.],表格1[month],"---",0)</f>
        <v>---</v>
      </c>
      <c r="F475" s="12" t="str">
        <f>_xlfn.XLOOKUP($A475,表格1[No.],表格1[date],"---",0)</f>
        <v>---</v>
      </c>
      <c r="G475" t="str">
        <f>_xlfn.XLOOKUP($A475,表格1[No.],表格1[Model],"---",0)</f>
        <v>---</v>
      </c>
      <c r="H475" t="str">
        <f>_xlfn.XLOOKUP($A475,表格1[No.],表格1[QTY],"---",0)</f>
        <v>---</v>
      </c>
      <c r="I475" t="str">
        <f>_xlfn.XLOOKUP($A475,表格1[No.],表格1[Unit Price],"---",0)</f>
        <v>---</v>
      </c>
      <c r="J475" t="str">
        <f>_xlfn.XLOOKUP($A475,表格1[No.],表格1[inv no],"---",0)</f>
        <v>---</v>
      </c>
      <c r="K475" t="str">
        <f>_xlfn.XLOOKUP($A475,表格1[No.],表格1[apps report no.],"---",0)</f>
        <v>---</v>
      </c>
    </row>
    <row r="476" spans="2:11">
      <c r="B476" t="str">
        <f>_xlfn.XLOOKUP($A476,表格1[No.],表格1[Shop],"---",0)</f>
        <v>---</v>
      </c>
      <c r="C476" t="str">
        <f>_xlfn.XLOOKUP($A476,表格1[No.],表格1[Location],"---",0)</f>
        <v>---</v>
      </c>
      <c r="D476" t="str">
        <f>_xlfn.XLOOKUP($A476,表格1[No.],表格1[Name],"---",0)</f>
        <v>---</v>
      </c>
      <c r="E476" t="str">
        <f>_xlfn.XLOOKUP($A476,表格1[No.],表格1[month],"---",0)</f>
        <v>---</v>
      </c>
      <c r="F476" s="12" t="str">
        <f>_xlfn.XLOOKUP($A476,表格1[No.],表格1[date],"---",0)</f>
        <v>---</v>
      </c>
      <c r="G476" t="str">
        <f>_xlfn.XLOOKUP($A476,表格1[No.],表格1[Model],"---",0)</f>
        <v>---</v>
      </c>
      <c r="H476" t="str">
        <f>_xlfn.XLOOKUP($A476,表格1[No.],表格1[QTY],"---",0)</f>
        <v>---</v>
      </c>
      <c r="I476" t="str">
        <f>_xlfn.XLOOKUP($A476,表格1[No.],表格1[Unit Price],"---",0)</f>
        <v>---</v>
      </c>
      <c r="J476" t="str">
        <f>_xlfn.XLOOKUP($A476,表格1[No.],表格1[inv no],"---",0)</f>
        <v>---</v>
      </c>
      <c r="K476" t="str">
        <f>_xlfn.XLOOKUP($A476,表格1[No.],表格1[apps report no.],"---",0)</f>
        <v>---</v>
      </c>
    </row>
    <row r="477" spans="2:11">
      <c r="B477" t="str">
        <f>_xlfn.XLOOKUP($A477,表格1[No.],表格1[Shop],"---",0)</f>
        <v>---</v>
      </c>
      <c r="C477" t="str">
        <f>_xlfn.XLOOKUP($A477,表格1[No.],表格1[Location],"---",0)</f>
        <v>---</v>
      </c>
      <c r="D477" t="str">
        <f>_xlfn.XLOOKUP($A477,表格1[No.],表格1[Name],"---",0)</f>
        <v>---</v>
      </c>
      <c r="E477" t="str">
        <f>_xlfn.XLOOKUP($A477,表格1[No.],表格1[month],"---",0)</f>
        <v>---</v>
      </c>
      <c r="F477" s="12" t="str">
        <f>_xlfn.XLOOKUP($A477,表格1[No.],表格1[date],"---",0)</f>
        <v>---</v>
      </c>
      <c r="G477" t="str">
        <f>_xlfn.XLOOKUP($A477,表格1[No.],表格1[Model],"---",0)</f>
        <v>---</v>
      </c>
      <c r="H477" t="str">
        <f>_xlfn.XLOOKUP($A477,表格1[No.],表格1[QTY],"---",0)</f>
        <v>---</v>
      </c>
      <c r="I477" t="str">
        <f>_xlfn.XLOOKUP($A477,表格1[No.],表格1[Unit Price],"---",0)</f>
        <v>---</v>
      </c>
      <c r="J477" t="str">
        <f>_xlfn.XLOOKUP($A477,表格1[No.],表格1[inv no],"---",0)</f>
        <v>---</v>
      </c>
      <c r="K477" t="str">
        <f>_xlfn.XLOOKUP($A477,表格1[No.],表格1[apps report no.],"---",0)</f>
        <v>---</v>
      </c>
    </row>
    <row r="478" spans="2:11">
      <c r="B478" t="str">
        <f>_xlfn.XLOOKUP($A478,表格1[No.],表格1[Shop],"---",0)</f>
        <v>---</v>
      </c>
      <c r="C478" t="str">
        <f>_xlfn.XLOOKUP($A478,表格1[No.],表格1[Location],"---",0)</f>
        <v>---</v>
      </c>
      <c r="D478" t="str">
        <f>_xlfn.XLOOKUP($A478,表格1[No.],表格1[Name],"---",0)</f>
        <v>---</v>
      </c>
      <c r="E478" t="str">
        <f>_xlfn.XLOOKUP($A478,表格1[No.],表格1[month],"---",0)</f>
        <v>---</v>
      </c>
      <c r="F478" s="12" t="str">
        <f>_xlfn.XLOOKUP($A478,表格1[No.],表格1[date],"---",0)</f>
        <v>---</v>
      </c>
      <c r="G478" t="str">
        <f>_xlfn.XLOOKUP($A478,表格1[No.],表格1[Model],"---",0)</f>
        <v>---</v>
      </c>
      <c r="H478" t="str">
        <f>_xlfn.XLOOKUP($A478,表格1[No.],表格1[QTY],"---",0)</f>
        <v>---</v>
      </c>
      <c r="I478" t="str">
        <f>_xlfn.XLOOKUP($A478,表格1[No.],表格1[Unit Price],"---",0)</f>
        <v>---</v>
      </c>
      <c r="J478" t="str">
        <f>_xlfn.XLOOKUP($A478,表格1[No.],表格1[inv no],"---",0)</f>
        <v>---</v>
      </c>
      <c r="K478" t="str">
        <f>_xlfn.XLOOKUP($A478,表格1[No.],表格1[apps report no.],"---",0)</f>
        <v>---</v>
      </c>
    </row>
    <row r="479" spans="2:11">
      <c r="B479" t="str">
        <f>_xlfn.XLOOKUP($A479,表格1[No.],表格1[Shop],"---",0)</f>
        <v>---</v>
      </c>
      <c r="C479" t="str">
        <f>_xlfn.XLOOKUP($A479,表格1[No.],表格1[Location],"---",0)</f>
        <v>---</v>
      </c>
      <c r="D479" t="str">
        <f>_xlfn.XLOOKUP($A479,表格1[No.],表格1[Name],"---",0)</f>
        <v>---</v>
      </c>
      <c r="E479" t="str">
        <f>_xlfn.XLOOKUP($A479,表格1[No.],表格1[month],"---",0)</f>
        <v>---</v>
      </c>
      <c r="F479" s="12" t="str">
        <f>_xlfn.XLOOKUP($A479,表格1[No.],表格1[date],"---",0)</f>
        <v>---</v>
      </c>
      <c r="G479" t="str">
        <f>_xlfn.XLOOKUP($A479,表格1[No.],表格1[Model],"---",0)</f>
        <v>---</v>
      </c>
      <c r="H479" t="str">
        <f>_xlfn.XLOOKUP($A479,表格1[No.],表格1[QTY],"---",0)</f>
        <v>---</v>
      </c>
      <c r="I479" t="str">
        <f>_xlfn.XLOOKUP($A479,表格1[No.],表格1[Unit Price],"---",0)</f>
        <v>---</v>
      </c>
      <c r="J479" t="str">
        <f>_xlfn.XLOOKUP($A479,表格1[No.],表格1[inv no],"---",0)</f>
        <v>---</v>
      </c>
      <c r="K479" t="str">
        <f>_xlfn.XLOOKUP($A479,表格1[No.],表格1[apps report no.],"---",0)</f>
        <v>---</v>
      </c>
    </row>
    <row r="480" spans="2:11">
      <c r="B480" t="str">
        <f>_xlfn.XLOOKUP($A480,表格1[No.],表格1[Shop],"---",0)</f>
        <v>---</v>
      </c>
      <c r="C480" t="str">
        <f>_xlfn.XLOOKUP($A480,表格1[No.],表格1[Location],"---",0)</f>
        <v>---</v>
      </c>
      <c r="D480" t="str">
        <f>_xlfn.XLOOKUP($A480,表格1[No.],表格1[Name],"---",0)</f>
        <v>---</v>
      </c>
      <c r="E480" t="str">
        <f>_xlfn.XLOOKUP($A480,表格1[No.],表格1[month],"---",0)</f>
        <v>---</v>
      </c>
      <c r="F480" s="12" t="str">
        <f>_xlfn.XLOOKUP($A480,表格1[No.],表格1[date],"---",0)</f>
        <v>---</v>
      </c>
      <c r="G480" t="str">
        <f>_xlfn.XLOOKUP($A480,表格1[No.],表格1[Model],"---",0)</f>
        <v>---</v>
      </c>
      <c r="H480" t="str">
        <f>_xlfn.XLOOKUP($A480,表格1[No.],表格1[QTY],"---",0)</f>
        <v>---</v>
      </c>
      <c r="I480" t="str">
        <f>_xlfn.XLOOKUP($A480,表格1[No.],表格1[Unit Price],"---",0)</f>
        <v>---</v>
      </c>
      <c r="J480" t="str">
        <f>_xlfn.XLOOKUP($A480,表格1[No.],表格1[inv no],"---",0)</f>
        <v>---</v>
      </c>
      <c r="K480" t="str">
        <f>_xlfn.XLOOKUP($A480,表格1[No.],表格1[apps report no.],"---",0)</f>
        <v>---</v>
      </c>
    </row>
    <row r="481" spans="2:11">
      <c r="B481" t="str">
        <f>_xlfn.XLOOKUP($A481,表格1[No.],表格1[Shop],"---",0)</f>
        <v>---</v>
      </c>
      <c r="C481" t="str">
        <f>_xlfn.XLOOKUP($A481,表格1[No.],表格1[Location],"---",0)</f>
        <v>---</v>
      </c>
      <c r="D481" t="str">
        <f>_xlfn.XLOOKUP($A481,表格1[No.],表格1[Name],"---",0)</f>
        <v>---</v>
      </c>
      <c r="E481" t="str">
        <f>_xlfn.XLOOKUP($A481,表格1[No.],表格1[month],"---",0)</f>
        <v>---</v>
      </c>
      <c r="F481" s="12" t="str">
        <f>_xlfn.XLOOKUP($A481,表格1[No.],表格1[date],"---",0)</f>
        <v>---</v>
      </c>
      <c r="G481" t="str">
        <f>_xlfn.XLOOKUP($A481,表格1[No.],表格1[Model],"---",0)</f>
        <v>---</v>
      </c>
      <c r="H481" t="str">
        <f>_xlfn.XLOOKUP($A481,表格1[No.],表格1[QTY],"---",0)</f>
        <v>---</v>
      </c>
      <c r="I481" t="str">
        <f>_xlfn.XLOOKUP($A481,表格1[No.],表格1[Unit Price],"---",0)</f>
        <v>---</v>
      </c>
      <c r="J481" t="str">
        <f>_xlfn.XLOOKUP($A481,表格1[No.],表格1[inv no],"---",0)</f>
        <v>---</v>
      </c>
      <c r="K481" t="str">
        <f>_xlfn.XLOOKUP($A481,表格1[No.],表格1[apps report no.],"---",0)</f>
        <v>---</v>
      </c>
    </row>
    <row r="482" spans="2:11">
      <c r="B482" t="str">
        <f>_xlfn.XLOOKUP($A482,表格1[No.],表格1[Shop],"---",0)</f>
        <v>---</v>
      </c>
      <c r="C482" t="str">
        <f>_xlfn.XLOOKUP($A482,表格1[No.],表格1[Location],"---",0)</f>
        <v>---</v>
      </c>
      <c r="D482" t="str">
        <f>_xlfn.XLOOKUP($A482,表格1[No.],表格1[Name],"---",0)</f>
        <v>---</v>
      </c>
      <c r="E482" t="str">
        <f>_xlfn.XLOOKUP($A482,表格1[No.],表格1[month],"---",0)</f>
        <v>---</v>
      </c>
      <c r="F482" s="12" t="str">
        <f>_xlfn.XLOOKUP($A482,表格1[No.],表格1[date],"---",0)</f>
        <v>---</v>
      </c>
      <c r="G482" t="str">
        <f>_xlfn.XLOOKUP($A482,表格1[No.],表格1[Model],"---",0)</f>
        <v>---</v>
      </c>
      <c r="H482" t="str">
        <f>_xlfn.XLOOKUP($A482,表格1[No.],表格1[QTY],"---",0)</f>
        <v>---</v>
      </c>
      <c r="I482" t="str">
        <f>_xlfn.XLOOKUP($A482,表格1[No.],表格1[Unit Price],"---",0)</f>
        <v>---</v>
      </c>
      <c r="J482" t="str">
        <f>_xlfn.XLOOKUP($A482,表格1[No.],表格1[inv no],"---",0)</f>
        <v>---</v>
      </c>
      <c r="K482" t="str">
        <f>_xlfn.XLOOKUP($A482,表格1[No.],表格1[apps report no.],"---",0)</f>
        <v>---</v>
      </c>
    </row>
    <row r="483" spans="2:11">
      <c r="B483" t="str">
        <f>_xlfn.XLOOKUP($A483,表格1[No.],表格1[Shop],"---",0)</f>
        <v>---</v>
      </c>
      <c r="C483" t="str">
        <f>_xlfn.XLOOKUP($A483,表格1[No.],表格1[Location],"---",0)</f>
        <v>---</v>
      </c>
      <c r="D483" t="str">
        <f>_xlfn.XLOOKUP($A483,表格1[No.],表格1[Name],"---",0)</f>
        <v>---</v>
      </c>
      <c r="E483" t="str">
        <f>_xlfn.XLOOKUP($A483,表格1[No.],表格1[month],"---",0)</f>
        <v>---</v>
      </c>
      <c r="F483" s="12" t="str">
        <f>_xlfn.XLOOKUP($A483,表格1[No.],表格1[date],"---",0)</f>
        <v>---</v>
      </c>
      <c r="G483" t="str">
        <f>_xlfn.XLOOKUP($A483,表格1[No.],表格1[Model],"---",0)</f>
        <v>---</v>
      </c>
      <c r="H483" t="str">
        <f>_xlfn.XLOOKUP($A483,表格1[No.],表格1[QTY],"---",0)</f>
        <v>---</v>
      </c>
      <c r="I483" t="str">
        <f>_xlfn.XLOOKUP($A483,表格1[No.],表格1[Unit Price],"---",0)</f>
        <v>---</v>
      </c>
      <c r="J483" t="str">
        <f>_xlfn.XLOOKUP($A483,表格1[No.],表格1[inv no],"---",0)</f>
        <v>---</v>
      </c>
      <c r="K483" t="str">
        <f>_xlfn.XLOOKUP($A483,表格1[No.],表格1[apps report no.],"---",0)</f>
        <v>---</v>
      </c>
    </row>
    <row r="484" spans="2:11">
      <c r="B484" t="str">
        <f>_xlfn.XLOOKUP($A484,表格1[No.],表格1[Shop],"---",0)</f>
        <v>---</v>
      </c>
      <c r="C484" t="str">
        <f>_xlfn.XLOOKUP($A484,表格1[No.],表格1[Location],"---",0)</f>
        <v>---</v>
      </c>
      <c r="D484" t="str">
        <f>_xlfn.XLOOKUP($A484,表格1[No.],表格1[Name],"---",0)</f>
        <v>---</v>
      </c>
      <c r="E484" t="str">
        <f>_xlfn.XLOOKUP($A484,表格1[No.],表格1[month],"---",0)</f>
        <v>---</v>
      </c>
      <c r="F484" s="12" t="str">
        <f>_xlfn.XLOOKUP($A484,表格1[No.],表格1[date],"---",0)</f>
        <v>---</v>
      </c>
      <c r="G484" t="str">
        <f>_xlfn.XLOOKUP($A484,表格1[No.],表格1[Model],"---",0)</f>
        <v>---</v>
      </c>
      <c r="H484" t="str">
        <f>_xlfn.XLOOKUP($A484,表格1[No.],表格1[QTY],"---",0)</f>
        <v>---</v>
      </c>
      <c r="I484" t="str">
        <f>_xlfn.XLOOKUP($A484,表格1[No.],表格1[Unit Price],"---",0)</f>
        <v>---</v>
      </c>
      <c r="J484" t="str">
        <f>_xlfn.XLOOKUP($A484,表格1[No.],表格1[inv no],"---",0)</f>
        <v>---</v>
      </c>
      <c r="K484" t="str">
        <f>_xlfn.XLOOKUP($A484,表格1[No.],表格1[apps report no.],"---",0)</f>
        <v>---</v>
      </c>
    </row>
    <row r="485" spans="2:11">
      <c r="B485" t="str">
        <f>_xlfn.XLOOKUP($A485,表格1[No.],表格1[Shop],"---",0)</f>
        <v>---</v>
      </c>
      <c r="C485" t="str">
        <f>_xlfn.XLOOKUP($A485,表格1[No.],表格1[Location],"---",0)</f>
        <v>---</v>
      </c>
      <c r="D485" t="str">
        <f>_xlfn.XLOOKUP($A485,表格1[No.],表格1[Name],"---",0)</f>
        <v>---</v>
      </c>
      <c r="E485" t="str">
        <f>_xlfn.XLOOKUP($A485,表格1[No.],表格1[month],"---",0)</f>
        <v>---</v>
      </c>
      <c r="F485" s="12" t="str">
        <f>_xlfn.XLOOKUP($A485,表格1[No.],表格1[date],"---",0)</f>
        <v>---</v>
      </c>
      <c r="G485" t="str">
        <f>_xlfn.XLOOKUP($A485,表格1[No.],表格1[Model],"---",0)</f>
        <v>---</v>
      </c>
      <c r="H485" t="str">
        <f>_xlfn.XLOOKUP($A485,表格1[No.],表格1[QTY],"---",0)</f>
        <v>---</v>
      </c>
      <c r="I485" t="str">
        <f>_xlfn.XLOOKUP($A485,表格1[No.],表格1[Unit Price],"---",0)</f>
        <v>---</v>
      </c>
      <c r="J485" t="str">
        <f>_xlfn.XLOOKUP($A485,表格1[No.],表格1[inv no],"---",0)</f>
        <v>---</v>
      </c>
      <c r="K485" t="str">
        <f>_xlfn.XLOOKUP($A485,表格1[No.],表格1[apps report no.],"---",0)</f>
        <v>---</v>
      </c>
    </row>
    <row r="486" spans="2:11">
      <c r="B486" t="str">
        <f>_xlfn.XLOOKUP($A486,表格1[No.],表格1[Shop],"---",0)</f>
        <v>---</v>
      </c>
      <c r="C486" t="str">
        <f>_xlfn.XLOOKUP($A486,表格1[No.],表格1[Location],"---",0)</f>
        <v>---</v>
      </c>
      <c r="D486" t="str">
        <f>_xlfn.XLOOKUP($A486,表格1[No.],表格1[Name],"---",0)</f>
        <v>---</v>
      </c>
      <c r="E486" t="str">
        <f>_xlfn.XLOOKUP($A486,表格1[No.],表格1[month],"---",0)</f>
        <v>---</v>
      </c>
      <c r="F486" s="12" t="str">
        <f>_xlfn.XLOOKUP($A486,表格1[No.],表格1[date],"---",0)</f>
        <v>---</v>
      </c>
      <c r="G486" t="str">
        <f>_xlfn.XLOOKUP($A486,表格1[No.],表格1[Model],"---",0)</f>
        <v>---</v>
      </c>
      <c r="H486" t="str">
        <f>_xlfn.XLOOKUP($A486,表格1[No.],表格1[QTY],"---",0)</f>
        <v>---</v>
      </c>
      <c r="I486" t="str">
        <f>_xlfn.XLOOKUP($A486,表格1[No.],表格1[Unit Price],"---",0)</f>
        <v>---</v>
      </c>
      <c r="J486" t="str">
        <f>_xlfn.XLOOKUP($A486,表格1[No.],表格1[inv no],"---",0)</f>
        <v>---</v>
      </c>
      <c r="K486" t="str">
        <f>_xlfn.XLOOKUP($A486,表格1[No.],表格1[apps report no.],"---",0)</f>
        <v>---</v>
      </c>
    </row>
    <row r="487" spans="2:11">
      <c r="B487" t="str">
        <f>_xlfn.XLOOKUP($A487,表格1[No.],表格1[Shop],"---",0)</f>
        <v>---</v>
      </c>
      <c r="C487" t="str">
        <f>_xlfn.XLOOKUP($A487,表格1[No.],表格1[Location],"---",0)</f>
        <v>---</v>
      </c>
      <c r="D487" t="str">
        <f>_xlfn.XLOOKUP($A487,表格1[No.],表格1[Name],"---",0)</f>
        <v>---</v>
      </c>
      <c r="E487" t="str">
        <f>_xlfn.XLOOKUP($A487,表格1[No.],表格1[month],"---",0)</f>
        <v>---</v>
      </c>
      <c r="F487" s="12" t="str">
        <f>_xlfn.XLOOKUP($A487,表格1[No.],表格1[date],"---",0)</f>
        <v>---</v>
      </c>
      <c r="G487" t="str">
        <f>_xlfn.XLOOKUP($A487,表格1[No.],表格1[Model],"---",0)</f>
        <v>---</v>
      </c>
      <c r="H487" t="str">
        <f>_xlfn.XLOOKUP($A487,表格1[No.],表格1[QTY],"---",0)</f>
        <v>---</v>
      </c>
      <c r="I487" t="str">
        <f>_xlfn.XLOOKUP($A487,表格1[No.],表格1[Unit Price],"---",0)</f>
        <v>---</v>
      </c>
      <c r="J487" t="str">
        <f>_xlfn.XLOOKUP($A487,表格1[No.],表格1[inv no],"---",0)</f>
        <v>---</v>
      </c>
      <c r="K487" t="str">
        <f>_xlfn.XLOOKUP($A487,表格1[No.],表格1[apps report no.],"---",0)</f>
        <v>---</v>
      </c>
    </row>
    <row r="488" spans="2:11">
      <c r="B488" t="str">
        <f>_xlfn.XLOOKUP($A488,表格1[No.],表格1[Shop],"---",0)</f>
        <v>---</v>
      </c>
      <c r="C488" t="str">
        <f>_xlfn.XLOOKUP($A488,表格1[No.],表格1[Location],"---",0)</f>
        <v>---</v>
      </c>
      <c r="D488" t="str">
        <f>_xlfn.XLOOKUP($A488,表格1[No.],表格1[Name],"---",0)</f>
        <v>---</v>
      </c>
      <c r="E488" t="str">
        <f>_xlfn.XLOOKUP($A488,表格1[No.],表格1[month],"---",0)</f>
        <v>---</v>
      </c>
      <c r="F488" s="12" t="str">
        <f>_xlfn.XLOOKUP($A488,表格1[No.],表格1[date],"---",0)</f>
        <v>---</v>
      </c>
      <c r="G488" t="str">
        <f>_xlfn.XLOOKUP($A488,表格1[No.],表格1[Model],"---",0)</f>
        <v>---</v>
      </c>
      <c r="H488" t="str">
        <f>_xlfn.XLOOKUP($A488,表格1[No.],表格1[QTY],"---",0)</f>
        <v>---</v>
      </c>
      <c r="I488" t="str">
        <f>_xlfn.XLOOKUP($A488,表格1[No.],表格1[Unit Price],"---",0)</f>
        <v>---</v>
      </c>
      <c r="J488" t="str">
        <f>_xlfn.XLOOKUP($A488,表格1[No.],表格1[inv no],"---",0)</f>
        <v>---</v>
      </c>
      <c r="K488" t="str">
        <f>_xlfn.XLOOKUP($A488,表格1[No.],表格1[apps report no.],"---",0)</f>
        <v>---</v>
      </c>
    </row>
    <row r="489" spans="2:11">
      <c r="B489" t="str">
        <f>_xlfn.XLOOKUP($A489,表格1[No.],表格1[Shop],"---",0)</f>
        <v>---</v>
      </c>
      <c r="C489" t="str">
        <f>_xlfn.XLOOKUP($A489,表格1[No.],表格1[Location],"---",0)</f>
        <v>---</v>
      </c>
      <c r="D489" t="str">
        <f>_xlfn.XLOOKUP($A489,表格1[No.],表格1[Name],"---",0)</f>
        <v>---</v>
      </c>
      <c r="E489" t="str">
        <f>_xlfn.XLOOKUP($A489,表格1[No.],表格1[month],"---",0)</f>
        <v>---</v>
      </c>
      <c r="F489" s="12" t="str">
        <f>_xlfn.XLOOKUP($A489,表格1[No.],表格1[date],"---",0)</f>
        <v>---</v>
      </c>
      <c r="G489" t="str">
        <f>_xlfn.XLOOKUP($A489,表格1[No.],表格1[Model],"---",0)</f>
        <v>---</v>
      </c>
      <c r="H489" t="str">
        <f>_xlfn.XLOOKUP($A489,表格1[No.],表格1[QTY],"---",0)</f>
        <v>---</v>
      </c>
      <c r="I489" t="str">
        <f>_xlfn.XLOOKUP($A489,表格1[No.],表格1[Unit Price],"---",0)</f>
        <v>---</v>
      </c>
      <c r="J489" t="str">
        <f>_xlfn.XLOOKUP($A489,表格1[No.],表格1[inv no],"---",0)</f>
        <v>---</v>
      </c>
      <c r="K489" t="str">
        <f>_xlfn.XLOOKUP($A489,表格1[No.],表格1[apps report no.],"---",0)</f>
        <v>---</v>
      </c>
    </row>
    <row r="490" spans="2:11">
      <c r="B490" t="str">
        <f>_xlfn.XLOOKUP($A490,表格1[No.],表格1[Shop],"---",0)</f>
        <v>---</v>
      </c>
      <c r="C490" t="str">
        <f>_xlfn.XLOOKUP($A490,表格1[No.],表格1[Location],"---",0)</f>
        <v>---</v>
      </c>
      <c r="D490" t="str">
        <f>_xlfn.XLOOKUP($A490,表格1[No.],表格1[Name],"---",0)</f>
        <v>---</v>
      </c>
      <c r="E490" t="str">
        <f>_xlfn.XLOOKUP($A490,表格1[No.],表格1[month],"---",0)</f>
        <v>---</v>
      </c>
      <c r="F490" s="12" t="str">
        <f>_xlfn.XLOOKUP($A490,表格1[No.],表格1[date],"---",0)</f>
        <v>---</v>
      </c>
      <c r="G490" t="str">
        <f>_xlfn.XLOOKUP($A490,表格1[No.],表格1[Model],"---",0)</f>
        <v>---</v>
      </c>
      <c r="H490" t="str">
        <f>_xlfn.XLOOKUP($A490,表格1[No.],表格1[QTY],"---",0)</f>
        <v>---</v>
      </c>
      <c r="I490" t="str">
        <f>_xlfn.XLOOKUP($A490,表格1[No.],表格1[Unit Price],"---",0)</f>
        <v>---</v>
      </c>
      <c r="J490" t="str">
        <f>_xlfn.XLOOKUP($A490,表格1[No.],表格1[inv no],"---",0)</f>
        <v>---</v>
      </c>
      <c r="K490" t="str">
        <f>_xlfn.XLOOKUP($A490,表格1[No.],表格1[apps report no.],"---",0)</f>
        <v>---</v>
      </c>
    </row>
    <row r="491" spans="2:11">
      <c r="B491" t="str">
        <f>_xlfn.XLOOKUP($A491,表格1[No.],表格1[Shop],"---",0)</f>
        <v>---</v>
      </c>
      <c r="C491" t="str">
        <f>_xlfn.XLOOKUP($A491,表格1[No.],表格1[Location],"---",0)</f>
        <v>---</v>
      </c>
      <c r="D491" t="str">
        <f>_xlfn.XLOOKUP($A491,表格1[No.],表格1[Name],"---",0)</f>
        <v>---</v>
      </c>
      <c r="E491" t="str">
        <f>_xlfn.XLOOKUP($A491,表格1[No.],表格1[month],"---",0)</f>
        <v>---</v>
      </c>
      <c r="F491" s="12" t="str">
        <f>_xlfn.XLOOKUP($A491,表格1[No.],表格1[date],"---",0)</f>
        <v>---</v>
      </c>
      <c r="G491" t="str">
        <f>_xlfn.XLOOKUP($A491,表格1[No.],表格1[Model],"---",0)</f>
        <v>---</v>
      </c>
      <c r="H491" t="str">
        <f>_xlfn.XLOOKUP($A491,表格1[No.],表格1[QTY],"---",0)</f>
        <v>---</v>
      </c>
      <c r="I491" t="str">
        <f>_xlfn.XLOOKUP($A491,表格1[No.],表格1[Unit Price],"---",0)</f>
        <v>---</v>
      </c>
      <c r="J491" t="str">
        <f>_xlfn.XLOOKUP($A491,表格1[No.],表格1[inv no],"---",0)</f>
        <v>---</v>
      </c>
      <c r="K491" t="str">
        <f>_xlfn.XLOOKUP($A491,表格1[No.],表格1[apps report no.],"---",0)</f>
        <v>---</v>
      </c>
    </row>
    <row r="492" spans="2:11">
      <c r="B492" t="str">
        <f>_xlfn.XLOOKUP($A492,表格1[No.],表格1[Shop],"---",0)</f>
        <v>---</v>
      </c>
      <c r="C492" t="str">
        <f>_xlfn.XLOOKUP($A492,表格1[No.],表格1[Location],"---",0)</f>
        <v>---</v>
      </c>
      <c r="D492" t="str">
        <f>_xlfn.XLOOKUP($A492,表格1[No.],表格1[Name],"---",0)</f>
        <v>---</v>
      </c>
      <c r="E492" t="str">
        <f>_xlfn.XLOOKUP($A492,表格1[No.],表格1[month],"---",0)</f>
        <v>---</v>
      </c>
      <c r="F492" s="12" t="str">
        <f>_xlfn.XLOOKUP($A492,表格1[No.],表格1[date],"---",0)</f>
        <v>---</v>
      </c>
      <c r="G492" t="str">
        <f>_xlfn.XLOOKUP($A492,表格1[No.],表格1[Model],"---",0)</f>
        <v>---</v>
      </c>
      <c r="H492" t="str">
        <f>_xlfn.XLOOKUP($A492,表格1[No.],表格1[QTY],"---",0)</f>
        <v>---</v>
      </c>
      <c r="I492" t="str">
        <f>_xlfn.XLOOKUP($A492,表格1[No.],表格1[Unit Price],"---",0)</f>
        <v>---</v>
      </c>
      <c r="J492" t="str">
        <f>_xlfn.XLOOKUP($A492,表格1[No.],表格1[inv no],"---",0)</f>
        <v>---</v>
      </c>
      <c r="K492" t="str">
        <f>_xlfn.XLOOKUP($A492,表格1[No.],表格1[apps report no.],"---",0)</f>
        <v>---</v>
      </c>
    </row>
    <row r="493" spans="2:11">
      <c r="B493" t="str">
        <f>_xlfn.XLOOKUP($A493,表格1[No.],表格1[Shop],"---",0)</f>
        <v>---</v>
      </c>
      <c r="C493" t="str">
        <f>_xlfn.XLOOKUP($A493,表格1[No.],表格1[Location],"---",0)</f>
        <v>---</v>
      </c>
      <c r="D493" t="str">
        <f>_xlfn.XLOOKUP($A493,表格1[No.],表格1[Name],"---",0)</f>
        <v>---</v>
      </c>
      <c r="E493" t="str">
        <f>_xlfn.XLOOKUP($A493,表格1[No.],表格1[month],"---",0)</f>
        <v>---</v>
      </c>
      <c r="F493" s="12" t="str">
        <f>_xlfn.XLOOKUP($A493,表格1[No.],表格1[date],"---",0)</f>
        <v>---</v>
      </c>
      <c r="G493" t="str">
        <f>_xlfn.XLOOKUP($A493,表格1[No.],表格1[Model],"---",0)</f>
        <v>---</v>
      </c>
      <c r="H493" t="str">
        <f>_xlfn.XLOOKUP($A493,表格1[No.],表格1[QTY],"---",0)</f>
        <v>---</v>
      </c>
      <c r="I493" t="str">
        <f>_xlfn.XLOOKUP($A493,表格1[No.],表格1[Unit Price],"---",0)</f>
        <v>---</v>
      </c>
      <c r="J493" t="str">
        <f>_xlfn.XLOOKUP($A493,表格1[No.],表格1[inv no],"---",0)</f>
        <v>---</v>
      </c>
      <c r="K493" t="str">
        <f>_xlfn.XLOOKUP($A493,表格1[No.],表格1[apps report no.],"---",0)</f>
        <v>---</v>
      </c>
    </row>
    <row r="494" spans="2:11">
      <c r="B494" t="str">
        <f>_xlfn.XLOOKUP($A494,表格1[No.],表格1[Shop],"---",0)</f>
        <v>---</v>
      </c>
      <c r="C494" t="str">
        <f>_xlfn.XLOOKUP($A494,表格1[No.],表格1[Location],"---",0)</f>
        <v>---</v>
      </c>
      <c r="D494" t="str">
        <f>_xlfn.XLOOKUP($A494,表格1[No.],表格1[Name],"---",0)</f>
        <v>---</v>
      </c>
      <c r="E494" t="str">
        <f>_xlfn.XLOOKUP($A494,表格1[No.],表格1[month],"---",0)</f>
        <v>---</v>
      </c>
      <c r="F494" s="12" t="str">
        <f>_xlfn.XLOOKUP($A494,表格1[No.],表格1[date],"---",0)</f>
        <v>---</v>
      </c>
      <c r="G494" t="str">
        <f>_xlfn.XLOOKUP($A494,表格1[No.],表格1[Model],"---",0)</f>
        <v>---</v>
      </c>
      <c r="H494" t="str">
        <f>_xlfn.XLOOKUP($A494,表格1[No.],表格1[QTY],"---",0)</f>
        <v>---</v>
      </c>
      <c r="I494" t="str">
        <f>_xlfn.XLOOKUP($A494,表格1[No.],表格1[Unit Price],"---",0)</f>
        <v>---</v>
      </c>
      <c r="J494" t="str">
        <f>_xlfn.XLOOKUP($A494,表格1[No.],表格1[inv no],"---",0)</f>
        <v>---</v>
      </c>
      <c r="K494" t="str">
        <f>_xlfn.XLOOKUP($A494,表格1[No.],表格1[apps report no.],"---",0)</f>
        <v>---</v>
      </c>
    </row>
    <row r="495" spans="2:11">
      <c r="B495" t="str">
        <f>_xlfn.XLOOKUP($A495,表格1[No.],表格1[Shop],"---",0)</f>
        <v>---</v>
      </c>
      <c r="C495" t="str">
        <f>_xlfn.XLOOKUP($A495,表格1[No.],表格1[Location],"---",0)</f>
        <v>---</v>
      </c>
      <c r="D495" t="str">
        <f>_xlfn.XLOOKUP($A495,表格1[No.],表格1[Name],"---",0)</f>
        <v>---</v>
      </c>
      <c r="E495" t="str">
        <f>_xlfn.XLOOKUP($A495,表格1[No.],表格1[month],"---",0)</f>
        <v>---</v>
      </c>
      <c r="F495" s="12" t="str">
        <f>_xlfn.XLOOKUP($A495,表格1[No.],表格1[date],"---",0)</f>
        <v>---</v>
      </c>
      <c r="G495" t="str">
        <f>_xlfn.XLOOKUP($A495,表格1[No.],表格1[Model],"---",0)</f>
        <v>---</v>
      </c>
      <c r="H495" t="str">
        <f>_xlfn.XLOOKUP($A495,表格1[No.],表格1[QTY],"---",0)</f>
        <v>---</v>
      </c>
      <c r="I495" t="str">
        <f>_xlfn.XLOOKUP($A495,表格1[No.],表格1[Unit Price],"---",0)</f>
        <v>---</v>
      </c>
      <c r="J495" t="str">
        <f>_xlfn.XLOOKUP($A495,表格1[No.],表格1[inv no],"---",0)</f>
        <v>---</v>
      </c>
      <c r="K495" t="str">
        <f>_xlfn.XLOOKUP($A495,表格1[No.],表格1[apps report no.],"---",0)</f>
        <v>---</v>
      </c>
    </row>
    <row r="496" spans="2:11">
      <c r="B496" t="str">
        <f>_xlfn.XLOOKUP($A496,表格1[No.],表格1[Shop],"---",0)</f>
        <v>---</v>
      </c>
      <c r="C496" t="str">
        <f>_xlfn.XLOOKUP($A496,表格1[No.],表格1[Location],"---",0)</f>
        <v>---</v>
      </c>
      <c r="D496" t="str">
        <f>_xlfn.XLOOKUP($A496,表格1[No.],表格1[Name],"---",0)</f>
        <v>---</v>
      </c>
      <c r="E496" t="str">
        <f>_xlfn.XLOOKUP($A496,表格1[No.],表格1[month],"---",0)</f>
        <v>---</v>
      </c>
      <c r="F496" s="12" t="str">
        <f>_xlfn.XLOOKUP($A496,表格1[No.],表格1[date],"---",0)</f>
        <v>---</v>
      </c>
      <c r="G496" t="str">
        <f>_xlfn.XLOOKUP($A496,表格1[No.],表格1[Model],"---",0)</f>
        <v>---</v>
      </c>
      <c r="H496" t="str">
        <f>_xlfn.XLOOKUP($A496,表格1[No.],表格1[QTY],"---",0)</f>
        <v>---</v>
      </c>
      <c r="I496" t="str">
        <f>_xlfn.XLOOKUP($A496,表格1[No.],表格1[Unit Price],"---",0)</f>
        <v>---</v>
      </c>
      <c r="J496" t="str">
        <f>_xlfn.XLOOKUP($A496,表格1[No.],表格1[inv no],"---",0)</f>
        <v>---</v>
      </c>
      <c r="K496" t="str">
        <f>_xlfn.XLOOKUP($A496,表格1[No.],表格1[apps report no.],"---",0)</f>
        <v>---</v>
      </c>
    </row>
    <row r="497" spans="2:11">
      <c r="B497" t="str">
        <f>_xlfn.XLOOKUP($A497,表格1[No.],表格1[Shop],"---",0)</f>
        <v>---</v>
      </c>
      <c r="C497" t="str">
        <f>_xlfn.XLOOKUP($A497,表格1[No.],表格1[Location],"---",0)</f>
        <v>---</v>
      </c>
      <c r="D497" t="str">
        <f>_xlfn.XLOOKUP($A497,表格1[No.],表格1[Name],"---",0)</f>
        <v>---</v>
      </c>
      <c r="E497" t="str">
        <f>_xlfn.XLOOKUP($A497,表格1[No.],表格1[month],"---",0)</f>
        <v>---</v>
      </c>
      <c r="F497" s="12" t="str">
        <f>_xlfn.XLOOKUP($A497,表格1[No.],表格1[date],"---",0)</f>
        <v>---</v>
      </c>
      <c r="G497" t="str">
        <f>_xlfn.XLOOKUP($A497,表格1[No.],表格1[Model],"---",0)</f>
        <v>---</v>
      </c>
      <c r="H497" t="str">
        <f>_xlfn.XLOOKUP($A497,表格1[No.],表格1[QTY],"---",0)</f>
        <v>---</v>
      </c>
      <c r="I497" t="str">
        <f>_xlfn.XLOOKUP($A497,表格1[No.],表格1[Unit Price],"---",0)</f>
        <v>---</v>
      </c>
      <c r="J497" t="str">
        <f>_xlfn.XLOOKUP($A497,表格1[No.],表格1[inv no],"---",0)</f>
        <v>---</v>
      </c>
      <c r="K497" t="str">
        <f>_xlfn.XLOOKUP($A497,表格1[No.],表格1[apps report no.],"---",0)</f>
        <v>---</v>
      </c>
    </row>
    <row r="498" spans="2:11">
      <c r="B498" t="str">
        <f>_xlfn.XLOOKUP($A498,表格1[No.],表格1[Shop],"---",0)</f>
        <v>---</v>
      </c>
      <c r="C498" t="str">
        <f>_xlfn.XLOOKUP($A498,表格1[No.],表格1[Location],"---",0)</f>
        <v>---</v>
      </c>
      <c r="D498" t="str">
        <f>_xlfn.XLOOKUP($A498,表格1[No.],表格1[Name],"---",0)</f>
        <v>---</v>
      </c>
      <c r="E498" t="str">
        <f>_xlfn.XLOOKUP($A498,表格1[No.],表格1[month],"---",0)</f>
        <v>---</v>
      </c>
      <c r="F498" s="12" t="str">
        <f>_xlfn.XLOOKUP($A498,表格1[No.],表格1[date],"---",0)</f>
        <v>---</v>
      </c>
      <c r="G498" t="str">
        <f>_xlfn.XLOOKUP($A498,表格1[No.],表格1[Model],"---",0)</f>
        <v>---</v>
      </c>
      <c r="H498" t="str">
        <f>_xlfn.XLOOKUP($A498,表格1[No.],表格1[QTY],"---",0)</f>
        <v>---</v>
      </c>
      <c r="I498" t="str">
        <f>_xlfn.XLOOKUP($A498,表格1[No.],表格1[Unit Price],"---",0)</f>
        <v>---</v>
      </c>
      <c r="J498" t="str">
        <f>_xlfn.XLOOKUP($A498,表格1[No.],表格1[inv no],"---",0)</f>
        <v>---</v>
      </c>
      <c r="K498" t="str">
        <f>_xlfn.XLOOKUP($A498,表格1[No.],表格1[apps report no.],"---",0)</f>
        <v>---</v>
      </c>
    </row>
    <row r="499" spans="2:11">
      <c r="B499" t="str">
        <f>_xlfn.XLOOKUP($A499,表格1[No.],表格1[Shop],"---",0)</f>
        <v>---</v>
      </c>
      <c r="C499" t="str">
        <f>_xlfn.XLOOKUP($A499,表格1[No.],表格1[Location],"---",0)</f>
        <v>---</v>
      </c>
      <c r="D499" t="str">
        <f>_xlfn.XLOOKUP($A499,表格1[No.],表格1[Name],"---",0)</f>
        <v>---</v>
      </c>
      <c r="E499" t="str">
        <f>_xlfn.XLOOKUP($A499,表格1[No.],表格1[month],"---",0)</f>
        <v>---</v>
      </c>
      <c r="F499" s="12" t="str">
        <f>_xlfn.XLOOKUP($A499,表格1[No.],表格1[date],"---",0)</f>
        <v>---</v>
      </c>
      <c r="G499" t="str">
        <f>_xlfn.XLOOKUP($A499,表格1[No.],表格1[Model],"---",0)</f>
        <v>---</v>
      </c>
      <c r="H499" t="str">
        <f>_xlfn.XLOOKUP($A499,表格1[No.],表格1[QTY],"---",0)</f>
        <v>---</v>
      </c>
      <c r="I499" t="str">
        <f>_xlfn.XLOOKUP($A499,表格1[No.],表格1[Unit Price],"---",0)</f>
        <v>---</v>
      </c>
      <c r="J499" t="str">
        <f>_xlfn.XLOOKUP($A499,表格1[No.],表格1[inv no],"---",0)</f>
        <v>---</v>
      </c>
      <c r="K499" t="str">
        <f>_xlfn.XLOOKUP($A499,表格1[No.],表格1[apps report no.],"---",0)</f>
        <v>---</v>
      </c>
    </row>
    <row r="500" spans="2:11">
      <c r="B500" t="str">
        <f>_xlfn.XLOOKUP($A500,表格1[No.],表格1[Shop],"---",0)</f>
        <v>---</v>
      </c>
      <c r="C500" t="str">
        <f>_xlfn.XLOOKUP($A500,表格1[No.],表格1[Location],"---",0)</f>
        <v>---</v>
      </c>
      <c r="D500" t="str">
        <f>_xlfn.XLOOKUP($A500,表格1[No.],表格1[Name],"---",0)</f>
        <v>---</v>
      </c>
      <c r="E500" t="str">
        <f>_xlfn.XLOOKUP($A500,表格1[No.],表格1[month],"---",0)</f>
        <v>---</v>
      </c>
      <c r="F500" s="12" t="str">
        <f>_xlfn.XLOOKUP($A500,表格1[No.],表格1[date],"---",0)</f>
        <v>---</v>
      </c>
      <c r="G500" t="str">
        <f>_xlfn.XLOOKUP($A500,表格1[No.],表格1[Model],"---",0)</f>
        <v>---</v>
      </c>
      <c r="H500" t="str">
        <f>_xlfn.XLOOKUP($A500,表格1[No.],表格1[QTY],"---",0)</f>
        <v>---</v>
      </c>
      <c r="I500" t="str">
        <f>_xlfn.XLOOKUP($A500,表格1[No.],表格1[Unit Price],"---",0)</f>
        <v>---</v>
      </c>
      <c r="J500" t="str">
        <f>_xlfn.XLOOKUP($A500,表格1[No.],表格1[inv no],"---",0)</f>
        <v>---</v>
      </c>
      <c r="K500" t="str">
        <f>_xlfn.XLOOKUP($A500,表格1[No.],表格1[apps report no.],"---",0)</f>
        <v>---</v>
      </c>
    </row>
    <row r="501" spans="2:11">
      <c r="B501" t="str">
        <f>_xlfn.XLOOKUP($A501,表格1[No.],表格1[Shop],"---",0)</f>
        <v>---</v>
      </c>
      <c r="C501" t="str">
        <f>_xlfn.XLOOKUP($A501,表格1[No.],表格1[Location],"---",0)</f>
        <v>---</v>
      </c>
      <c r="D501" t="str">
        <f>_xlfn.XLOOKUP($A501,表格1[No.],表格1[Name],"---",0)</f>
        <v>---</v>
      </c>
      <c r="E501" t="str">
        <f>_xlfn.XLOOKUP($A501,表格1[No.],表格1[month],"---",0)</f>
        <v>---</v>
      </c>
      <c r="F501" s="12" t="str">
        <f>_xlfn.XLOOKUP($A501,表格1[No.],表格1[date],"---",0)</f>
        <v>---</v>
      </c>
      <c r="G501" t="str">
        <f>_xlfn.XLOOKUP($A501,表格1[No.],表格1[Model],"---",0)</f>
        <v>---</v>
      </c>
      <c r="H501" t="str">
        <f>_xlfn.XLOOKUP($A501,表格1[No.],表格1[QTY],"---",0)</f>
        <v>---</v>
      </c>
      <c r="I501" t="str">
        <f>_xlfn.XLOOKUP($A501,表格1[No.],表格1[Unit Price],"---",0)</f>
        <v>---</v>
      </c>
      <c r="J501" t="str">
        <f>_xlfn.XLOOKUP($A501,表格1[No.],表格1[inv no],"---",0)</f>
        <v>---</v>
      </c>
      <c r="K501" t="str">
        <f>_xlfn.XLOOKUP($A501,表格1[No.],表格1[apps report no.],"---",0)</f>
        <v>---</v>
      </c>
    </row>
    <row r="502" spans="2:11">
      <c r="B502" t="str">
        <f>_xlfn.XLOOKUP($A502,表格1[No.],表格1[Shop],"---",0)</f>
        <v>---</v>
      </c>
      <c r="C502" t="str">
        <f>_xlfn.XLOOKUP($A502,表格1[No.],表格1[Location],"---",0)</f>
        <v>---</v>
      </c>
      <c r="D502" t="str">
        <f>_xlfn.XLOOKUP($A502,表格1[No.],表格1[Name],"---",0)</f>
        <v>---</v>
      </c>
      <c r="E502" t="str">
        <f>_xlfn.XLOOKUP($A502,表格1[No.],表格1[month],"---",0)</f>
        <v>---</v>
      </c>
      <c r="F502" s="12" t="str">
        <f>_xlfn.XLOOKUP($A502,表格1[No.],表格1[date],"---",0)</f>
        <v>---</v>
      </c>
      <c r="G502" t="str">
        <f>_xlfn.XLOOKUP($A502,表格1[No.],表格1[Model],"---",0)</f>
        <v>---</v>
      </c>
      <c r="H502" t="str">
        <f>_xlfn.XLOOKUP($A502,表格1[No.],表格1[QTY],"---",0)</f>
        <v>---</v>
      </c>
      <c r="I502" t="str">
        <f>_xlfn.XLOOKUP($A502,表格1[No.],表格1[Unit Price],"---",0)</f>
        <v>---</v>
      </c>
      <c r="J502" t="str">
        <f>_xlfn.XLOOKUP($A502,表格1[No.],表格1[inv no],"---",0)</f>
        <v>---</v>
      </c>
      <c r="K502" t="str">
        <f>_xlfn.XLOOKUP($A502,表格1[No.],表格1[apps report no.],"---",0)</f>
        <v>---</v>
      </c>
    </row>
    <row r="503" spans="2:11">
      <c r="B503" t="str">
        <f>_xlfn.XLOOKUP($A503,表格1[No.],表格1[Shop],"---",0)</f>
        <v>---</v>
      </c>
      <c r="C503" t="str">
        <f>_xlfn.XLOOKUP($A503,表格1[No.],表格1[Location],"---",0)</f>
        <v>---</v>
      </c>
      <c r="D503" t="str">
        <f>_xlfn.XLOOKUP($A503,表格1[No.],表格1[Name],"---",0)</f>
        <v>---</v>
      </c>
      <c r="E503" t="str">
        <f>_xlfn.XLOOKUP($A503,表格1[No.],表格1[month],"---",0)</f>
        <v>---</v>
      </c>
      <c r="F503" s="12" t="str">
        <f>_xlfn.XLOOKUP($A503,表格1[No.],表格1[date],"---",0)</f>
        <v>---</v>
      </c>
      <c r="G503" t="str">
        <f>_xlfn.XLOOKUP($A503,表格1[No.],表格1[Model],"---",0)</f>
        <v>---</v>
      </c>
      <c r="H503" t="str">
        <f>_xlfn.XLOOKUP($A503,表格1[No.],表格1[QTY],"---",0)</f>
        <v>---</v>
      </c>
      <c r="I503" t="str">
        <f>_xlfn.XLOOKUP($A503,表格1[No.],表格1[Unit Price],"---",0)</f>
        <v>---</v>
      </c>
      <c r="J503" t="str">
        <f>_xlfn.XLOOKUP($A503,表格1[No.],表格1[inv no],"---",0)</f>
        <v>---</v>
      </c>
      <c r="K503" t="str">
        <f>_xlfn.XLOOKUP($A503,表格1[No.],表格1[apps report no.],"---",0)</f>
        <v>---</v>
      </c>
    </row>
    <row r="504" spans="2:11">
      <c r="B504" t="str">
        <f>_xlfn.XLOOKUP($A504,表格1[No.],表格1[Shop],"---",0)</f>
        <v>---</v>
      </c>
      <c r="C504" t="str">
        <f>_xlfn.XLOOKUP($A504,表格1[No.],表格1[Location],"---",0)</f>
        <v>---</v>
      </c>
      <c r="D504" t="str">
        <f>_xlfn.XLOOKUP($A504,表格1[No.],表格1[Name],"---",0)</f>
        <v>---</v>
      </c>
      <c r="E504" t="str">
        <f>_xlfn.XLOOKUP($A504,表格1[No.],表格1[month],"---",0)</f>
        <v>---</v>
      </c>
      <c r="F504" s="12" t="str">
        <f>_xlfn.XLOOKUP($A504,表格1[No.],表格1[date],"---",0)</f>
        <v>---</v>
      </c>
      <c r="G504" t="str">
        <f>_xlfn.XLOOKUP($A504,表格1[No.],表格1[Model],"---",0)</f>
        <v>---</v>
      </c>
      <c r="H504" t="str">
        <f>_xlfn.XLOOKUP($A504,表格1[No.],表格1[QTY],"---",0)</f>
        <v>---</v>
      </c>
      <c r="I504" t="str">
        <f>_xlfn.XLOOKUP($A504,表格1[No.],表格1[Unit Price],"---",0)</f>
        <v>---</v>
      </c>
      <c r="J504" t="str">
        <f>_xlfn.XLOOKUP($A504,表格1[No.],表格1[inv no],"---",0)</f>
        <v>---</v>
      </c>
      <c r="K504" t="str">
        <f>_xlfn.XLOOKUP($A504,表格1[No.],表格1[apps report no.],"---",0)</f>
        <v>---</v>
      </c>
    </row>
    <row r="505" spans="2:11">
      <c r="B505" t="str">
        <f>_xlfn.XLOOKUP($A505,表格1[No.],表格1[Shop],"---",0)</f>
        <v>---</v>
      </c>
      <c r="C505" t="str">
        <f>_xlfn.XLOOKUP($A505,表格1[No.],表格1[Location],"---",0)</f>
        <v>---</v>
      </c>
      <c r="D505" t="str">
        <f>_xlfn.XLOOKUP($A505,表格1[No.],表格1[Name],"---",0)</f>
        <v>---</v>
      </c>
      <c r="E505" t="str">
        <f>_xlfn.XLOOKUP($A505,表格1[No.],表格1[month],"---",0)</f>
        <v>---</v>
      </c>
      <c r="F505" s="12" t="str">
        <f>_xlfn.XLOOKUP($A505,表格1[No.],表格1[date],"---",0)</f>
        <v>---</v>
      </c>
      <c r="G505" t="str">
        <f>_xlfn.XLOOKUP($A505,表格1[No.],表格1[Model],"---",0)</f>
        <v>---</v>
      </c>
      <c r="H505" t="str">
        <f>_xlfn.XLOOKUP($A505,表格1[No.],表格1[QTY],"---",0)</f>
        <v>---</v>
      </c>
      <c r="I505" t="str">
        <f>_xlfn.XLOOKUP($A505,表格1[No.],表格1[Unit Price],"---",0)</f>
        <v>---</v>
      </c>
      <c r="J505" t="str">
        <f>_xlfn.XLOOKUP($A505,表格1[No.],表格1[inv no],"---",0)</f>
        <v>---</v>
      </c>
      <c r="K505" t="str">
        <f>_xlfn.XLOOKUP($A505,表格1[No.],表格1[apps report no.],"---",0)</f>
        <v>---</v>
      </c>
    </row>
    <row r="506" spans="2:11">
      <c r="B506" t="str">
        <f>_xlfn.XLOOKUP($A506,表格1[No.],表格1[Shop],"---",0)</f>
        <v>---</v>
      </c>
      <c r="C506" t="str">
        <f>_xlfn.XLOOKUP($A506,表格1[No.],表格1[Location],"---",0)</f>
        <v>---</v>
      </c>
      <c r="D506" t="str">
        <f>_xlfn.XLOOKUP($A506,表格1[No.],表格1[Name],"---",0)</f>
        <v>---</v>
      </c>
      <c r="E506" t="str">
        <f>_xlfn.XLOOKUP($A506,表格1[No.],表格1[month],"---",0)</f>
        <v>---</v>
      </c>
      <c r="F506" s="12" t="str">
        <f>_xlfn.XLOOKUP($A506,表格1[No.],表格1[date],"---",0)</f>
        <v>---</v>
      </c>
      <c r="G506" t="str">
        <f>_xlfn.XLOOKUP($A506,表格1[No.],表格1[Model],"---",0)</f>
        <v>---</v>
      </c>
      <c r="H506" t="str">
        <f>_xlfn.XLOOKUP($A506,表格1[No.],表格1[QTY],"---",0)</f>
        <v>---</v>
      </c>
      <c r="I506" t="str">
        <f>_xlfn.XLOOKUP($A506,表格1[No.],表格1[Unit Price],"---",0)</f>
        <v>---</v>
      </c>
      <c r="J506" t="str">
        <f>_xlfn.XLOOKUP($A506,表格1[No.],表格1[inv no],"---",0)</f>
        <v>---</v>
      </c>
      <c r="K506" t="str">
        <f>_xlfn.XLOOKUP($A506,表格1[No.],表格1[apps report no.],"---",0)</f>
        <v>---</v>
      </c>
    </row>
    <row r="507" spans="2:11">
      <c r="B507" t="str">
        <f>_xlfn.XLOOKUP($A507,表格1[No.],表格1[Shop],"---",0)</f>
        <v>---</v>
      </c>
      <c r="C507" t="str">
        <f>_xlfn.XLOOKUP($A507,表格1[No.],表格1[Location],"---",0)</f>
        <v>---</v>
      </c>
      <c r="D507" t="str">
        <f>_xlfn.XLOOKUP($A507,表格1[No.],表格1[Name],"---",0)</f>
        <v>---</v>
      </c>
      <c r="E507" t="str">
        <f>_xlfn.XLOOKUP($A507,表格1[No.],表格1[month],"---",0)</f>
        <v>---</v>
      </c>
      <c r="F507" s="12" t="str">
        <f>_xlfn.XLOOKUP($A507,表格1[No.],表格1[date],"---",0)</f>
        <v>---</v>
      </c>
      <c r="G507" t="str">
        <f>_xlfn.XLOOKUP($A507,表格1[No.],表格1[Model],"---",0)</f>
        <v>---</v>
      </c>
      <c r="H507" t="str">
        <f>_xlfn.XLOOKUP($A507,表格1[No.],表格1[QTY],"---",0)</f>
        <v>---</v>
      </c>
      <c r="I507" t="str">
        <f>_xlfn.XLOOKUP($A507,表格1[No.],表格1[Unit Price],"---",0)</f>
        <v>---</v>
      </c>
      <c r="J507" t="str">
        <f>_xlfn.XLOOKUP($A507,表格1[No.],表格1[inv no],"---",0)</f>
        <v>---</v>
      </c>
      <c r="K507" t="str">
        <f>_xlfn.XLOOKUP($A507,表格1[No.],表格1[apps report no.],"---",0)</f>
        <v>---</v>
      </c>
    </row>
    <row r="508" spans="2:11">
      <c r="B508" t="str">
        <f>_xlfn.XLOOKUP($A508,表格1[No.],表格1[Shop],"---",0)</f>
        <v>---</v>
      </c>
      <c r="C508" t="str">
        <f>_xlfn.XLOOKUP($A508,表格1[No.],表格1[Location],"---",0)</f>
        <v>---</v>
      </c>
      <c r="D508" t="str">
        <f>_xlfn.XLOOKUP($A508,表格1[No.],表格1[Name],"---",0)</f>
        <v>---</v>
      </c>
      <c r="E508" t="str">
        <f>_xlfn.XLOOKUP($A508,表格1[No.],表格1[month],"---",0)</f>
        <v>---</v>
      </c>
      <c r="F508" s="12" t="str">
        <f>_xlfn.XLOOKUP($A508,表格1[No.],表格1[date],"---",0)</f>
        <v>---</v>
      </c>
      <c r="G508" t="str">
        <f>_xlfn.XLOOKUP($A508,表格1[No.],表格1[Model],"---",0)</f>
        <v>---</v>
      </c>
      <c r="H508" t="str">
        <f>_xlfn.XLOOKUP($A508,表格1[No.],表格1[QTY],"---",0)</f>
        <v>---</v>
      </c>
      <c r="I508" t="str">
        <f>_xlfn.XLOOKUP($A508,表格1[No.],表格1[Unit Price],"---",0)</f>
        <v>---</v>
      </c>
      <c r="J508" t="str">
        <f>_xlfn.XLOOKUP($A508,表格1[No.],表格1[inv no],"---",0)</f>
        <v>---</v>
      </c>
      <c r="K508" t="str">
        <f>_xlfn.XLOOKUP($A508,表格1[No.],表格1[apps report no.],"---",0)</f>
        <v>---</v>
      </c>
    </row>
    <row r="509" spans="2:11">
      <c r="B509" t="str">
        <f>_xlfn.XLOOKUP($A509,表格1[No.],表格1[Shop],"---",0)</f>
        <v>---</v>
      </c>
      <c r="C509" t="str">
        <f>_xlfn.XLOOKUP($A509,表格1[No.],表格1[Location],"---",0)</f>
        <v>---</v>
      </c>
      <c r="D509" t="str">
        <f>_xlfn.XLOOKUP($A509,表格1[No.],表格1[Name],"---",0)</f>
        <v>---</v>
      </c>
      <c r="E509" t="str">
        <f>_xlfn.XLOOKUP($A509,表格1[No.],表格1[month],"---",0)</f>
        <v>---</v>
      </c>
      <c r="F509" s="12" t="str">
        <f>_xlfn.XLOOKUP($A509,表格1[No.],表格1[date],"---",0)</f>
        <v>---</v>
      </c>
      <c r="G509" t="str">
        <f>_xlfn.XLOOKUP($A509,表格1[No.],表格1[Model],"---",0)</f>
        <v>---</v>
      </c>
      <c r="H509" t="str">
        <f>_xlfn.XLOOKUP($A509,表格1[No.],表格1[QTY],"---",0)</f>
        <v>---</v>
      </c>
      <c r="I509" t="str">
        <f>_xlfn.XLOOKUP($A509,表格1[No.],表格1[Unit Price],"---",0)</f>
        <v>---</v>
      </c>
      <c r="J509" t="str">
        <f>_xlfn.XLOOKUP($A509,表格1[No.],表格1[inv no],"---",0)</f>
        <v>---</v>
      </c>
      <c r="K509" t="str">
        <f>_xlfn.XLOOKUP($A509,表格1[No.],表格1[apps report no.],"---",0)</f>
        <v>---</v>
      </c>
    </row>
    <row r="510" spans="2:11">
      <c r="B510" t="str">
        <f>_xlfn.XLOOKUP($A510,表格1[No.],表格1[Shop],"---",0)</f>
        <v>---</v>
      </c>
      <c r="C510" t="str">
        <f>_xlfn.XLOOKUP($A510,表格1[No.],表格1[Location],"---",0)</f>
        <v>---</v>
      </c>
      <c r="D510" t="str">
        <f>_xlfn.XLOOKUP($A510,表格1[No.],表格1[Name],"---",0)</f>
        <v>---</v>
      </c>
      <c r="E510" t="str">
        <f>_xlfn.XLOOKUP($A510,表格1[No.],表格1[month],"---",0)</f>
        <v>---</v>
      </c>
      <c r="F510" s="12" t="str">
        <f>_xlfn.XLOOKUP($A510,表格1[No.],表格1[date],"---",0)</f>
        <v>---</v>
      </c>
      <c r="G510" t="str">
        <f>_xlfn.XLOOKUP($A510,表格1[No.],表格1[Model],"---",0)</f>
        <v>---</v>
      </c>
      <c r="H510" t="str">
        <f>_xlfn.XLOOKUP($A510,表格1[No.],表格1[QTY],"---",0)</f>
        <v>---</v>
      </c>
      <c r="I510" t="str">
        <f>_xlfn.XLOOKUP($A510,表格1[No.],表格1[Unit Price],"---",0)</f>
        <v>---</v>
      </c>
      <c r="J510" t="str">
        <f>_xlfn.XLOOKUP($A510,表格1[No.],表格1[inv no],"---",0)</f>
        <v>---</v>
      </c>
      <c r="K510" t="str">
        <f>_xlfn.XLOOKUP($A510,表格1[No.],表格1[apps report no.],"---",0)</f>
        <v>---</v>
      </c>
    </row>
    <row r="511" spans="2:11">
      <c r="B511" t="str">
        <f>_xlfn.XLOOKUP($A511,表格1[No.],表格1[Shop],"---",0)</f>
        <v>---</v>
      </c>
      <c r="C511" t="str">
        <f>_xlfn.XLOOKUP($A511,表格1[No.],表格1[Location],"---",0)</f>
        <v>---</v>
      </c>
      <c r="D511" t="str">
        <f>_xlfn.XLOOKUP($A511,表格1[No.],表格1[Name],"---",0)</f>
        <v>---</v>
      </c>
      <c r="E511" t="str">
        <f>_xlfn.XLOOKUP($A511,表格1[No.],表格1[month],"---",0)</f>
        <v>---</v>
      </c>
      <c r="F511" s="12" t="str">
        <f>_xlfn.XLOOKUP($A511,表格1[No.],表格1[date],"---",0)</f>
        <v>---</v>
      </c>
      <c r="G511" t="str">
        <f>_xlfn.XLOOKUP($A511,表格1[No.],表格1[Model],"---",0)</f>
        <v>---</v>
      </c>
      <c r="H511" t="str">
        <f>_xlfn.XLOOKUP($A511,表格1[No.],表格1[QTY],"---",0)</f>
        <v>---</v>
      </c>
      <c r="I511" t="str">
        <f>_xlfn.XLOOKUP($A511,表格1[No.],表格1[Unit Price],"---",0)</f>
        <v>---</v>
      </c>
      <c r="J511" t="str">
        <f>_xlfn.XLOOKUP($A511,表格1[No.],表格1[inv no],"---",0)</f>
        <v>---</v>
      </c>
      <c r="K511" t="str">
        <f>_xlfn.XLOOKUP($A511,表格1[No.],表格1[apps report no.],"---",0)</f>
        <v>---</v>
      </c>
    </row>
    <row r="512" spans="2:11">
      <c r="B512" t="str">
        <f>_xlfn.XLOOKUP($A512,表格1[No.],表格1[Shop],"---",0)</f>
        <v>---</v>
      </c>
      <c r="C512" t="str">
        <f>_xlfn.XLOOKUP($A512,表格1[No.],表格1[Location],"---",0)</f>
        <v>---</v>
      </c>
      <c r="D512" t="str">
        <f>_xlfn.XLOOKUP($A512,表格1[No.],表格1[Name],"---",0)</f>
        <v>---</v>
      </c>
      <c r="E512" t="str">
        <f>_xlfn.XLOOKUP($A512,表格1[No.],表格1[month],"---",0)</f>
        <v>---</v>
      </c>
      <c r="F512" s="12" t="str">
        <f>_xlfn.XLOOKUP($A512,表格1[No.],表格1[date],"---",0)</f>
        <v>---</v>
      </c>
      <c r="G512" t="str">
        <f>_xlfn.XLOOKUP($A512,表格1[No.],表格1[Model],"---",0)</f>
        <v>---</v>
      </c>
      <c r="H512" t="str">
        <f>_xlfn.XLOOKUP($A512,表格1[No.],表格1[QTY],"---",0)</f>
        <v>---</v>
      </c>
      <c r="I512" t="str">
        <f>_xlfn.XLOOKUP($A512,表格1[No.],表格1[Unit Price],"---",0)</f>
        <v>---</v>
      </c>
      <c r="J512" t="str">
        <f>_xlfn.XLOOKUP($A512,表格1[No.],表格1[inv no],"---",0)</f>
        <v>---</v>
      </c>
      <c r="K512" t="str">
        <f>_xlfn.XLOOKUP($A512,表格1[No.],表格1[apps report no.],"---",0)</f>
        <v>---</v>
      </c>
    </row>
    <row r="513" spans="2:11">
      <c r="B513" t="str">
        <f>_xlfn.XLOOKUP($A513,表格1[No.],表格1[Shop],"---",0)</f>
        <v>---</v>
      </c>
      <c r="C513" t="str">
        <f>_xlfn.XLOOKUP($A513,表格1[No.],表格1[Location],"---",0)</f>
        <v>---</v>
      </c>
      <c r="D513" t="str">
        <f>_xlfn.XLOOKUP($A513,表格1[No.],表格1[Name],"---",0)</f>
        <v>---</v>
      </c>
      <c r="E513" t="str">
        <f>_xlfn.XLOOKUP($A513,表格1[No.],表格1[month],"---",0)</f>
        <v>---</v>
      </c>
      <c r="F513" s="12" t="str">
        <f>_xlfn.XLOOKUP($A513,表格1[No.],表格1[date],"---",0)</f>
        <v>---</v>
      </c>
      <c r="G513" t="str">
        <f>_xlfn.XLOOKUP($A513,表格1[No.],表格1[Model],"---",0)</f>
        <v>---</v>
      </c>
      <c r="H513" t="str">
        <f>_xlfn.XLOOKUP($A513,表格1[No.],表格1[QTY],"---",0)</f>
        <v>---</v>
      </c>
      <c r="I513" t="str">
        <f>_xlfn.XLOOKUP($A513,表格1[No.],表格1[Unit Price],"---",0)</f>
        <v>---</v>
      </c>
      <c r="J513" t="str">
        <f>_xlfn.XLOOKUP($A513,表格1[No.],表格1[inv no],"---",0)</f>
        <v>---</v>
      </c>
      <c r="K513" t="str">
        <f>_xlfn.XLOOKUP($A513,表格1[No.],表格1[apps report no.],"---",0)</f>
        <v>---</v>
      </c>
    </row>
    <row r="514" spans="2:11">
      <c r="B514" t="str">
        <f>_xlfn.XLOOKUP($A514,表格1[No.],表格1[Shop],"---",0)</f>
        <v>---</v>
      </c>
      <c r="C514" t="str">
        <f>_xlfn.XLOOKUP($A514,表格1[No.],表格1[Location],"---",0)</f>
        <v>---</v>
      </c>
      <c r="D514" t="str">
        <f>_xlfn.XLOOKUP($A514,表格1[No.],表格1[Name],"---",0)</f>
        <v>---</v>
      </c>
      <c r="E514" t="str">
        <f>_xlfn.XLOOKUP($A514,表格1[No.],表格1[month],"---",0)</f>
        <v>---</v>
      </c>
      <c r="F514" s="12" t="str">
        <f>_xlfn.XLOOKUP($A514,表格1[No.],表格1[date],"---",0)</f>
        <v>---</v>
      </c>
      <c r="G514" t="str">
        <f>_xlfn.XLOOKUP($A514,表格1[No.],表格1[Model],"---",0)</f>
        <v>---</v>
      </c>
      <c r="H514" t="str">
        <f>_xlfn.XLOOKUP($A514,表格1[No.],表格1[QTY],"---",0)</f>
        <v>---</v>
      </c>
      <c r="I514" t="str">
        <f>_xlfn.XLOOKUP($A514,表格1[No.],表格1[Unit Price],"---",0)</f>
        <v>---</v>
      </c>
      <c r="J514" t="str">
        <f>_xlfn.XLOOKUP($A514,表格1[No.],表格1[inv no],"---",0)</f>
        <v>---</v>
      </c>
      <c r="K514" t="str">
        <f>_xlfn.XLOOKUP($A514,表格1[No.],表格1[apps report no.],"---",0)</f>
        <v>---</v>
      </c>
    </row>
    <row r="515" spans="2:11">
      <c r="B515" t="str">
        <f>_xlfn.XLOOKUP($A515,表格1[No.],表格1[Shop],"---",0)</f>
        <v>---</v>
      </c>
      <c r="C515" t="str">
        <f>_xlfn.XLOOKUP($A515,表格1[No.],表格1[Location],"---",0)</f>
        <v>---</v>
      </c>
      <c r="D515" t="str">
        <f>_xlfn.XLOOKUP($A515,表格1[No.],表格1[Name],"---",0)</f>
        <v>---</v>
      </c>
      <c r="E515" t="str">
        <f>_xlfn.XLOOKUP($A515,表格1[No.],表格1[month],"---",0)</f>
        <v>---</v>
      </c>
      <c r="F515" s="12" t="str">
        <f>_xlfn.XLOOKUP($A515,表格1[No.],表格1[date],"---",0)</f>
        <v>---</v>
      </c>
      <c r="G515" t="str">
        <f>_xlfn.XLOOKUP($A515,表格1[No.],表格1[Model],"---",0)</f>
        <v>---</v>
      </c>
      <c r="H515" t="str">
        <f>_xlfn.XLOOKUP($A515,表格1[No.],表格1[QTY],"---",0)</f>
        <v>---</v>
      </c>
      <c r="I515" t="str">
        <f>_xlfn.XLOOKUP($A515,表格1[No.],表格1[Unit Price],"---",0)</f>
        <v>---</v>
      </c>
      <c r="J515" t="str">
        <f>_xlfn.XLOOKUP($A515,表格1[No.],表格1[inv no],"---",0)</f>
        <v>---</v>
      </c>
      <c r="K515" t="str">
        <f>_xlfn.XLOOKUP($A515,表格1[No.],表格1[apps report no.],"---",0)</f>
        <v>---</v>
      </c>
    </row>
    <row r="516" spans="2:11">
      <c r="B516" t="str">
        <f>_xlfn.XLOOKUP($A516,表格1[No.],表格1[Shop],"---",0)</f>
        <v>---</v>
      </c>
      <c r="C516" t="str">
        <f>_xlfn.XLOOKUP($A516,表格1[No.],表格1[Location],"---",0)</f>
        <v>---</v>
      </c>
      <c r="D516" t="str">
        <f>_xlfn.XLOOKUP($A516,表格1[No.],表格1[Name],"---",0)</f>
        <v>---</v>
      </c>
      <c r="E516" t="str">
        <f>_xlfn.XLOOKUP($A516,表格1[No.],表格1[month],"---",0)</f>
        <v>---</v>
      </c>
      <c r="F516" s="12" t="str">
        <f>_xlfn.XLOOKUP($A516,表格1[No.],表格1[date],"---",0)</f>
        <v>---</v>
      </c>
      <c r="G516" t="str">
        <f>_xlfn.XLOOKUP($A516,表格1[No.],表格1[Model],"---",0)</f>
        <v>---</v>
      </c>
      <c r="H516" t="str">
        <f>_xlfn.XLOOKUP($A516,表格1[No.],表格1[QTY],"---",0)</f>
        <v>---</v>
      </c>
      <c r="I516" t="str">
        <f>_xlfn.XLOOKUP($A516,表格1[No.],表格1[Unit Price],"---",0)</f>
        <v>---</v>
      </c>
      <c r="J516" t="str">
        <f>_xlfn.XLOOKUP($A516,表格1[No.],表格1[inv no],"---",0)</f>
        <v>---</v>
      </c>
      <c r="K516" t="str">
        <f>_xlfn.XLOOKUP($A516,表格1[No.],表格1[apps report no.],"---",0)</f>
        <v>---</v>
      </c>
    </row>
    <row r="517" spans="2:11">
      <c r="B517" t="str">
        <f>_xlfn.XLOOKUP($A517,表格1[No.],表格1[Shop],"---",0)</f>
        <v>---</v>
      </c>
      <c r="C517" t="str">
        <f>_xlfn.XLOOKUP($A517,表格1[No.],表格1[Location],"---",0)</f>
        <v>---</v>
      </c>
      <c r="D517" t="str">
        <f>_xlfn.XLOOKUP($A517,表格1[No.],表格1[Name],"---",0)</f>
        <v>---</v>
      </c>
      <c r="E517" t="str">
        <f>_xlfn.XLOOKUP($A517,表格1[No.],表格1[month],"---",0)</f>
        <v>---</v>
      </c>
      <c r="F517" s="12" t="str">
        <f>_xlfn.XLOOKUP($A517,表格1[No.],表格1[date],"---",0)</f>
        <v>---</v>
      </c>
      <c r="G517" t="str">
        <f>_xlfn.XLOOKUP($A517,表格1[No.],表格1[Model],"---",0)</f>
        <v>---</v>
      </c>
      <c r="H517" t="str">
        <f>_xlfn.XLOOKUP($A517,表格1[No.],表格1[QTY],"---",0)</f>
        <v>---</v>
      </c>
      <c r="I517" t="str">
        <f>_xlfn.XLOOKUP($A517,表格1[No.],表格1[Unit Price],"---",0)</f>
        <v>---</v>
      </c>
      <c r="J517" t="str">
        <f>_xlfn.XLOOKUP($A517,表格1[No.],表格1[inv no],"---",0)</f>
        <v>---</v>
      </c>
      <c r="K517" t="str">
        <f>_xlfn.XLOOKUP($A517,表格1[No.],表格1[apps report no.],"---",0)</f>
        <v>---</v>
      </c>
    </row>
    <row r="518" spans="2:11">
      <c r="B518" t="str">
        <f>_xlfn.XLOOKUP($A518,表格1[No.],表格1[Shop],"---",0)</f>
        <v>---</v>
      </c>
      <c r="C518" t="str">
        <f>_xlfn.XLOOKUP($A518,表格1[No.],表格1[Location],"---",0)</f>
        <v>---</v>
      </c>
      <c r="D518" t="str">
        <f>_xlfn.XLOOKUP($A518,表格1[No.],表格1[Name],"---",0)</f>
        <v>---</v>
      </c>
      <c r="E518" t="str">
        <f>_xlfn.XLOOKUP($A518,表格1[No.],表格1[month],"---",0)</f>
        <v>---</v>
      </c>
      <c r="F518" s="12" t="str">
        <f>_xlfn.XLOOKUP($A518,表格1[No.],表格1[date],"---",0)</f>
        <v>---</v>
      </c>
      <c r="G518" t="str">
        <f>_xlfn.XLOOKUP($A518,表格1[No.],表格1[Model],"---",0)</f>
        <v>---</v>
      </c>
      <c r="H518" t="str">
        <f>_xlfn.XLOOKUP($A518,表格1[No.],表格1[QTY],"---",0)</f>
        <v>---</v>
      </c>
      <c r="I518" t="str">
        <f>_xlfn.XLOOKUP($A518,表格1[No.],表格1[Unit Price],"---",0)</f>
        <v>---</v>
      </c>
      <c r="J518" t="str">
        <f>_xlfn.XLOOKUP($A518,表格1[No.],表格1[inv no],"---",0)</f>
        <v>---</v>
      </c>
      <c r="K518" t="str">
        <f>_xlfn.XLOOKUP($A518,表格1[No.],表格1[apps report no.],"---",0)</f>
        <v>---</v>
      </c>
    </row>
    <row r="519" spans="2:11">
      <c r="B519" t="str">
        <f>_xlfn.XLOOKUP($A519,表格1[No.],表格1[Shop],"---",0)</f>
        <v>---</v>
      </c>
      <c r="C519" t="str">
        <f>_xlfn.XLOOKUP($A519,表格1[No.],表格1[Location],"---",0)</f>
        <v>---</v>
      </c>
      <c r="D519" t="str">
        <f>_xlfn.XLOOKUP($A519,表格1[No.],表格1[Name],"---",0)</f>
        <v>---</v>
      </c>
      <c r="E519" t="str">
        <f>_xlfn.XLOOKUP($A519,表格1[No.],表格1[month],"---",0)</f>
        <v>---</v>
      </c>
      <c r="F519" s="12" t="str">
        <f>_xlfn.XLOOKUP($A519,表格1[No.],表格1[date],"---",0)</f>
        <v>---</v>
      </c>
      <c r="G519" t="str">
        <f>_xlfn.XLOOKUP($A519,表格1[No.],表格1[Model],"---",0)</f>
        <v>---</v>
      </c>
      <c r="H519" t="str">
        <f>_xlfn.XLOOKUP($A519,表格1[No.],表格1[QTY],"---",0)</f>
        <v>---</v>
      </c>
      <c r="I519" t="str">
        <f>_xlfn.XLOOKUP($A519,表格1[No.],表格1[Unit Price],"---",0)</f>
        <v>---</v>
      </c>
      <c r="J519" t="str">
        <f>_xlfn.XLOOKUP($A519,表格1[No.],表格1[inv no],"---",0)</f>
        <v>---</v>
      </c>
      <c r="K519" t="str">
        <f>_xlfn.XLOOKUP($A519,表格1[No.],表格1[apps report no.],"---",0)</f>
        <v>---</v>
      </c>
    </row>
    <row r="520" spans="2:11">
      <c r="B520" t="str">
        <f>_xlfn.XLOOKUP($A520,表格1[No.],表格1[Shop],"---",0)</f>
        <v>---</v>
      </c>
      <c r="C520" t="str">
        <f>_xlfn.XLOOKUP($A520,表格1[No.],表格1[Location],"---",0)</f>
        <v>---</v>
      </c>
      <c r="D520" t="str">
        <f>_xlfn.XLOOKUP($A520,表格1[No.],表格1[Name],"---",0)</f>
        <v>---</v>
      </c>
      <c r="E520" t="str">
        <f>_xlfn.XLOOKUP($A520,表格1[No.],表格1[month],"---",0)</f>
        <v>---</v>
      </c>
      <c r="F520" s="12" t="str">
        <f>_xlfn.XLOOKUP($A520,表格1[No.],表格1[date],"---",0)</f>
        <v>---</v>
      </c>
      <c r="G520" t="str">
        <f>_xlfn.XLOOKUP($A520,表格1[No.],表格1[Model],"---",0)</f>
        <v>---</v>
      </c>
      <c r="H520" t="str">
        <f>_xlfn.XLOOKUP($A520,表格1[No.],表格1[QTY],"---",0)</f>
        <v>---</v>
      </c>
      <c r="I520" t="str">
        <f>_xlfn.XLOOKUP($A520,表格1[No.],表格1[Unit Price],"---",0)</f>
        <v>---</v>
      </c>
      <c r="J520" t="str">
        <f>_xlfn.XLOOKUP($A520,表格1[No.],表格1[inv no],"---",0)</f>
        <v>---</v>
      </c>
      <c r="K520" t="str">
        <f>_xlfn.XLOOKUP($A520,表格1[No.],表格1[apps report no.],"---",0)</f>
        <v>---</v>
      </c>
    </row>
    <row r="521" spans="2:11">
      <c r="B521" t="str">
        <f>_xlfn.XLOOKUP($A521,表格1[No.],表格1[Shop],"---",0)</f>
        <v>---</v>
      </c>
      <c r="C521" t="str">
        <f>_xlfn.XLOOKUP($A521,表格1[No.],表格1[Location],"---",0)</f>
        <v>---</v>
      </c>
      <c r="D521" t="str">
        <f>_xlfn.XLOOKUP($A521,表格1[No.],表格1[Name],"---",0)</f>
        <v>---</v>
      </c>
      <c r="E521" t="str">
        <f>_xlfn.XLOOKUP($A521,表格1[No.],表格1[month],"---",0)</f>
        <v>---</v>
      </c>
      <c r="F521" s="12" t="str">
        <f>_xlfn.XLOOKUP($A521,表格1[No.],表格1[date],"---",0)</f>
        <v>---</v>
      </c>
      <c r="G521" t="str">
        <f>_xlfn.XLOOKUP($A521,表格1[No.],表格1[Model],"---",0)</f>
        <v>---</v>
      </c>
      <c r="H521" t="str">
        <f>_xlfn.XLOOKUP($A521,表格1[No.],表格1[QTY],"---",0)</f>
        <v>---</v>
      </c>
      <c r="I521" t="str">
        <f>_xlfn.XLOOKUP($A521,表格1[No.],表格1[Unit Price],"---",0)</f>
        <v>---</v>
      </c>
      <c r="J521" t="str">
        <f>_xlfn.XLOOKUP($A521,表格1[No.],表格1[inv no],"---",0)</f>
        <v>---</v>
      </c>
      <c r="K521" t="str">
        <f>_xlfn.XLOOKUP($A521,表格1[No.],表格1[apps report no.],"---",0)</f>
        <v>---</v>
      </c>
    </row>
    <row r="522" spans="2:11">
      <c r="B522" t="str">
        <f>_xlfn.XLOOKUP($A522,表格1[No.],表格1[Shop],"---",0)</f>
        <v>---</v>
      </c>
      <c r="C522" t="str">
        <f>_xlfn.XLOOKUP($A522,表格1[No.],表格1[Location],"---",0)</f>
        <v>---</v>
      </c>
      <c r="D522" t="str">
        <f>_xlfn.XLOOKUP($A522,表格1[No.],表格1[Name],"---",0)</f>
        <v>---</v>
      </c>
      <c r="E522" t="str">
        <f>_xlfn.XLOOKUP($A522,表格1[No.],表格1[month],"---",0)</f>
        <v>---</v>
      </c>
      <c r="F522" s="12" t="str">
        <f>_xlfn.XLOOKUP($A522,表格1[No.],表格1[date],"---",0)</f>
        <v>---</v>
      </c>
      <c r="G522" t="str">
        <f>_xlfn.XLOOKUP($A522,表格1[No.],表格1[Model],"---",0)</f>
        <v>---</v>
      </c>
      <c r="H522" t="str">
        <f>_xlfn.XLOOKUP($A522,表格1[No.],表格1[QTY],"---",0)</f>
        <v>---</v>
      </c>
      <c r="I522" t="str">
        <f>_xlfn.XLOOKUP($A522,表格1[No.],表格1[Unit Price],"---",0)</f>
        <v>---</v>
      </c>
      <c r="J522" t="str">
        <f>_xlfn.XLOOKUP($A522,表格1[No.],表格1[inv no],"---",0)</f>
        <v>---</v>
      </c>
      <c r="K522" t="str">
        <f>_xlfn.XLOOKUP($A522,表格1[No.],表格1[apps report no.],"---",0)</f>
        <v>---</v>
      </c>
    </row>
    <row r="523" spans="2:11">
      <c r="B523" t="str">
        <f>_xlfn.XLOOKUP($A523,表格1[No.],表格1[Shop],"---",0)</f>
        <v>---</v>
      </c>
      <c r="C523" t="str">
        <f>_xlfn.XLOOKUP($A523,表格1[No.],表格1[Location],"---",0)</f>
        <v>---</v>
      </c>
      <c r="D523" t="str">
        <f>_xlfn.XLOOKUP($A523,表格1[No.],表格1[Name],"---",0)</f>
        <v>---</v>
      </c>
      <c r="E523" t="str">
        <f>_xlfn.XLOOKUP($A523,表格1[No.],表格1[month],"---",0)</f>
        <v>---</v>
      </c>
      <c r="F523" s="12" t="str">
        <f>_xlfn.XLOOKUP($A523,表格1[No.],表格1[date],"---",0)</f>
        <v>---</v>
      </c>
      <c r="G523" t="str">
        <f>_xlfn.XLOOKUP($A523,表格1[No.],表格1[Model],"---",0)</f>
        <v>---</v>
      </c>
      <c r="H523" t="str">
        <f>_xlfn.XLOOKUP($A523,表格1[No.],表格1[QTY],"---",0)</f>
        <v>---</v>
      </c>
      <c r="I523" t="str">
        <f>_xlfn.XLOOKUP($A523,表格1[No.],表格1[Unit Price],"---",0)</f>
        <v>---</v>
      </c>
      <c r="J523" t="str">
        <f>_xlfn.XLOOKUP($A523,表格1[No.],表格1[inv no],"---",0)</f>
        <v>---</v>
      </c>
      <c r="K523" t="str">
        <f>_xlfn.XLOOKUP($A523,表格1[No.],表格1[apps report no.],"---",0)</f>
        <v>---</v>
      </c>
    </row>
    <row r="524" spans="2:11">
      <c r="B524" t="str">
        <f>_xlfn.XLOOKUP($A524,表格1[No.],表格1[Shop],"---",0)</f>
        <v>---</v>
      </c>
      <c r="C524" t="str">
        <f>_xlfn.XLOOKUP($A524,表格1[No.],表格1[Location],"---",0)</f>
        <v>---</v>
      </c>
      <c r="D524" t="str">
        <f>_xlfn.XLOOKUP($A524,表格1[No.],表格1[Name],"---",0)</f>
        <v>---</v>
      </c>
      <c r="E524" t="str">
        <f>_xlfn.XLOOKUP($A524,表格1[No.],表格1[month],"---",0)</f>
        <v>---</v>
      </c>
      <c r="F524" s="12" t="str">
        <f>_xlfn.XLOOKUP($A524,表格1[No.],表格1[date],"---",0)</f>
        <v>---</v>
      </c>
      <c r="G524" t="str">
        <f>_xlfn.XLOOKUP($A524,表格1[No.],表格1[Model],"---",0)</f>
        <v>---</v>
      </c>
      <c r="H524" t="str">
        <f>_xlfn.XLOOKUP($A524,表格1[No.],表格1[QTY],"---",0)</f>
        <v>---</v>
      </c>
      <c r="I524" t="str">
        <f>_xlfn.XLOOKUP($A524,表格1[No.],表格1[Unit Price],"---",0)</f>
        <v>---</v>
      </c>
      <c r="J524" t="str">
        <f>_xlfn.XLOOKUP($A524,表格1[No.],表格1[inv no],"---",0)</f>
        <v>---</v>
      </c>
      <c r="K524" t="str">
        <f>_xlfn.XLOOKUP($A524,表格1[No.],表格1[apps report no.],"---",0)</f>
        <v>---</v>
      </c>
    </row>
    <row r="525" spans="2:11">
      <c r="B525" t="str">
        <f>_xlfn.XLOOKUP($A525,表格1[No.],表格1[Shop],"---",0)</f>
        <v>---</v>
      </c>
      <c r="C525" t="str">
        <f>_xlfn.XLOOKUP($A525,表格1[No.],表格1[Location],"---",0)</f>
        <v>---</v>
      </c>
      <c r="D525" t="str">
        <f>_xlfn.XLOOKUP($A525,表格1[No.],表格1[Name],"---",0)</f>
        <v>---</v>
      </c>
      <c r="E525" t="str">
        <f>_xlfn.XLOOKUP($A525,表格1[No.],表格1[month],"---",0)</f>
        <v>---</v>
      </c>
      <c r="F525" s="12" t="str">
        <f>_xlfn.XLOOKUP($A525,表格1[No.],表格1[date],"---",0)</f>
        <v>---</v>
      </c>
      <c r="G525" t="str">
        <f>_xlfn.XLOOKUP($A525,表格1[No.],表格1[Model],"---",0)</f>
        <v>---</v>
      </c>
      <c r="H525" t="str">
        <f>_xlfn.XLOOKUP($A525,表格1[No.],表格1[QTY],"---",0)</f>
        <v>---</v>
      </c>
      <c r="I525" t="str">
        <f>_xlfn.XLOOKUP($A525,表格1[No.],表格1[Unit Price],"---",0)</f>
        <v>---</v>
      </c>
      <c r="J525" t="str">
        <f>_xlfn.XLOOKUP($A525,表格1[No.],表格1[inv no],"---",0)</f>
        <v>---</v>
      </c>
      <c r="K525" t="str">
        <f>_xlfn.XLOOKUP($A525,表格1[No.],表格1[apps report no.],"---",0)</f>
        <v>---</v>
      </c>
    </row>
    <row r="526" spans="2:11">
      <c r="B526" t="str">
        <f>_xlfn.XLOOKUP($A526,表格1[No.],表格1[Shop],"---",0)</f>
        <v>---</v>
      </c>
      <c r="C526" t="str">
        <f>_xlfn.XLOOKUP($A526,表格1[No.],表格1[Location],"---",0)</f>
        <v>---</v>
      </c>
      <c r="D526" t="str">
        <f>_xlfn.XLOOKUP($A526,表格1[No.],表格1[Name],"---",0)</f>
        <v>---</v>
      </c>
      <c r="E526" t="str">
        <f>_xlfn.XLOOKUP($A526,表格1[No.],表格1[month],"---",0)</f>
        <v>---</v>
      </c>
      <c r="F526" s="12" t="str">
        <f>_xlfn.XLOOKUP($A526,表格1[No.],表格1[date],"---",0)</f>
        <v>---</v>
      </c>
      <c r="G526" t="str">
        <f>_xlfn.XLOOKUP($A526,表格1[No.],表格1[Model],"---",0)</f>
        <v>---</v>
      </c>
      <c r="H526" t="str">
        <f>_xlfn.XLOOKUP($A526,表格1[No.],表格1[QTY],"---",0)</f>
        <v>---</v>
      </c>
      <c r="I526" t="str">
        <f>_xlfn.XLOOKUP($A526,表格1[No.],表格1[Unit Price],"---",0)</f>
        <v>---</v>
      </c>
      <c r="J526" t="str">
        <f>_xlfn.XLOOKUP($A526,表格1[No.],表格1[inv no],"---",0)</f>
        <v>---</v>
      </c>
      <c r="K526" t="str">
        <f>_xlfn.XLOOKUP($A526,表格1[No.],表格1[apps report no.],"---",0)</f>
        <v>---</v>
      </c>
    </row>
    <row r="527" spans="2:11">
      <c r="B527" t="str">
        <f>_xlfn.XLOOKUP($A527,表格1[No.],表格1[Shop],"---",0)</f>
        <v>---</v>
      </c>
      <c r="C527" t="str">
        <f>_xlfn.XLOOKUP($A527,表格1[No.],表格1[Location],"---",0)</f>
        <v>---</v>
      </c>
      <c r="D527" t="str">
        <f>_xlfn.XLOOKUP($A527,表格1[No.],表格1[Name],"---",0)</f>
        <v>---</v>
      </c>
      <c r="E527" t="str">
        <f>_xlfn.XLOOKUP($A527,表格1[No.],表格1[month],"---",0)</f>
        <v>---</v>
      </c>
      <c r="F527" s="12" t="str">
        <f>_xlfn.XLOOKUP($A527,表格1[No.],表格1[date],"---",0)</f>
        <v>---</v>
      </c>
      <c r="G527" t="str">
        <f>_xlfn.XLOOKUP($A527,表格1[No.],表格1[Model],"---",0)</f>
        <v>---</v>
      </c>
      <c r="H527" t="str">
        <f>_xlfn.XLOOKUP($A527,表格1[No.],表格1[QTY],"---",0)</f>
        <v>---</v>
      </c>
      <c r="I527" t="str">
        <f>_xlfn.XLOOKUP($A527,表格1[No.],表格1[Unit Price],"---",0)</f>
        <v>---</v>
      </c>
      <c r="J527" t="str">
        <f>_xlfn.XLOOKUP($A527,表格1[No.],表格1[inv no],"---",0)</f>
        <v>---</v>
      </c>
      <c r="K527" t="str">
        <f>_xlfn.XLOOKUP($A527,表格1[No.],表格1[apps report no.],"---",0)</f>
        <v>---</v>
      </c>
    </row>
    <row r="528" spans="2:11">
      <c r="B528" t="str">
        <f>_xlfn.XLOOKUP($A528,表格1[No.],表格1[Shop],"---",0)</f>
        <v>---</v>
      </c>
      <c r="C528" t="str">
        <f>_xlfn.XLOOKUP($A528,表格1[No.],表格1[Location],"---",0)</f>
        <v>---</v>
      </c>
      <c r="D528" t="str">
        <f>_xlfn.XLOOKUP($A528,表格1[No.],表格1[Name],"---",0)</f>
        <v>---</v>
      </c>
      <c r="E528" t="str">
        <f>_xlfn.XLOOKUP($A528,表格1[No.],表格1[month],"---",0)</f>
        <v>---</v>
      </c>
      <c r="F528" s="12" t="str">
        <f>_xlfn.XLOOKUP($A528,表格1[No.],表格1[date],"---",0)</f>
        <v>---</v>
      </c>
      <c r="G528" t="str">
        <f>_xlfn.XLOOKUP($A528,表格1[No.],表格1[Model],"---",0)</f>
        <v>---</v>
      </c>
      <c r="H528" t="str">
        <f>_xlfn.XLOOKUP($A528,表格1[No.],表格1[QTY],"---",0)</f>
        <v>---</v>
      </c>
      <c r="I528" t="str">
        <f>_xlfn.XLOOKUP($A528,表格1[No.],表格1[Unit Price],"---",0)</f>
        <v>---</v>
      </c>
      <c r="J528" t="str">
        <f>_xlfn.XLOOKUP($A528,表格1[No.],表格1[inv no],"---",0)</f>
        <v>---</v>
      </c>
      <c r="K528" t="str">
        <f>_xlfn.XLOOKUP($A528,表格1[No.],表格1[apps report no.],"---",0)</f>
        <v>---</v>
      </c>
    </row>
    <row r="529" spans="2:11">
      <c r="B529" t="str">
        <f>_xlfn.XLOOKUP($A529,表格1[No.],表格1[Shop],"---",0)</f>
        <v>---</v>
      </c>
      <c r="C529" t="str">
        <f>_xlfn.XLOOKUP($A529,表格1[No.],表格1[Location],"---",0)</f>
        <v>---</v>
      </c>
      <c r="D529" t="str">
        <f>_xlfn.XLOOKUP($A529,表格1[No.],表格1[Name],"---",0)</f>
        <v>---</v>
      </c>
      <c r="E529" t="str">
        <f>_xlfn.XLOOKUP($A529,表格1[No.],表格1[month],"---",0)</f>
        <v>---</v>
      </c>
      <c r="F529" s="12" t="str">
        <f>_xlfn.XLOOKUP($A529,表格1[No.],表格1[date],"---",0)</f>
        <v>---</v>
      </c>
      <c r="G529" t="str">
        <f>_xlfn.XLOOKUP($A529,表格1[No.],表格1[Model],"---",0)</f>
        <v>---</v>
      </c>
      <c r="H529" t="str">
        <f>_xlfn.XLOOKUP($A529,表格1[No.],表格1[QTY],"---",0)</f>
        <v>---</v>
      </c>
      <c r="I529" t="str">
        <f>_xlfn.XLOOKUP($A529,表格1[No.],表格1[Unit Price],"---",0)</f>
        <v>---</v>
      </c>
      <c r="J529" t="str">
        <f>_xlfn.XLOOKUP($A529,表格1[No.],表格1[inv no],"---",0)</f>
        <v>---</v>
      </c>
      <c r="K529" t="str">
        <f>_xlfn.XLOOKUP($A529,表格1[No.],表格1[apps report no.],"---",0)</f>
        <v>---</v>
      </c>
    </row>
    <row r="530" spans="2:11">
      <c r="B530" t="str">
        <f>_xlfn.XLOOKUP($A530,表格1[No.],表格1[Shop],"---",0)</f>
        <v>---</v>
      </c>
      <c r="C530" t="str">
        <f>_xlfn.XLOOKUP($A530,表格1[No.],表格1[Location],"---",0)</f>
        <v>---</v>
      </c>
      <c r="D530" t="str">
        <f>_xlfn.XLOOKUP($A530,表格1[No.],表格1[Name],"---",0)</f>
        <v>---</v>
      </c>
      <c r="E530" t="str">
        <f>_xlfn.XLOOKUP($A530,表格1[No.],表格1[month],"---",0)</f>
        <v>---</v>
      </c>
      <c r="F530" s="12" t="str">
        <f>_xlfn.XLOOKUP($A530,表格1[No.],表格1[date],"---",0)</f>
        <v>---</v>
      </c>
      <c r="G530" t="str">
        <f>_xlfn.XLOOKUP($A530,表格1[No.],表格1[Model],"---",0)</f>
        <v>---</v>
      </c>
      <c r="H530" t="str">
        <f>_xlfn.XLOOKUP($A530,表格1[No.],表格1[QTY],"---",0)</f>
        <v>---</v>
      </c>
      <c r="I530" t="str">
        <f>_xlfn.XLOOKUP($A530,表格1[No.],表格1[Unit Price],"---",0)</f>
        <v>---</v>
      </c>
      <c r="J530" t="str">
        <f>_xlfn.XLOOKUP($A530,表格1[No.],表格1[inv no],"---",0)</f>
        <v>---</v>
      </c>
      <c r="K530" t="str">
        <f>_xlfn.XLOOKUP($A530,表格1[No.],表格1[apps report no.],"---",0)</f>
        <v>---</v>
      </c>
    </row>
    <row r="531" spans="2:11">
      <c r="B531" t="str">
        <f>_xlfn.XLOOKUP($A531,表格1[No.],表格1[Shop],"---",0)</f>
        <v>---</v>
      </c>
      <c r="C531" t="str">
        <f>_xlfn.XLOOKUP($A531,表格1[No.],表格1[Location],"---",0)</f>
        <v>---</v>
      </c>
      <c r="D531" t="str">
        <f>_xlfn.XLOOKUP($A531,表格1[No.],表格1[Name],"---",0)</f>
        <v>---</v>
      </c>
      <c r="E531" t="str">
        <f>_xlfn.XLOOKUP($A531,表格1[No.],表格1[month],"---",0)</f>
        <v>---</v>
      </c>
      <c r="F531" s="12" t="str">
        <f>_xlfn.XLOOKUP($A531,表格1[No.],表格1[date],"---",0)</f>
        <v>---</v>
      </c>
      <c r="G531" t="str">
        <f>_xlfn.XLOOKUP($A531,表格1[No.],表格1[Model],"---",0)</f>
        <v>---</v>
      </c>
      <c r="H531" t="str">
        <f>_xlfn.XLOOKUP($A531,表格1[No.],表格1[QTY],"---",0)</f>
        <v>---</v>
      </c>
      <c r="I531" t="str">
        <f>_xlfn.XLOOKUP($A531,表格1[No.],表格1[Unit Price],"---",0)</f>
        <v>---</v>
      </c>
      <c r="J531" t="str">
        <f>_xlfn.XLOOKUP($A531,表格1[No.],表格1[inv no],"---",0)</f>
        <v>---</v>
      </c>
      <c r="K531" t="str">
        <f>_xlfn.XLOOKUP($A531,表格1[No.],表格1[apps report no.],"---",0)</f>
        <v>---</v>
      </c>
    </row>
    <row r="532" spans="2:11">
      <c r="B532" t="str">
        <f>_xlfn.XLOOKUP($A532,表格1[No.],表格1[Shop],"---",0)</f>
        <v>---</v>
      </c>
      <c r="C532" t="str">
        <f>_xlfn.XLOOKUP($A532,表格1[No.],表格1[Location],"---",0)</f>
        <v>---</v>
      </c>
      <c r="D532" t="str">
        <f>_xlfn.XLOOKUP($A532,表格1[No.],表格1[Name],"---",0)</f>
        <v>---</v>
      </c>
      <c r="E532" t="str">
        <f>_xlfn.XLOOKUP($A532,表格1[No.],表格1[month],"---",0)</f>
        <v>---</v>
      </c>
      <c r="F532" s="12" t="str">
        <f>_xlfn.XLOOKUP($A532,表格1[No.],表格1[date],"---",0)</f>
        <v>---</v>
      </c>
      <c r="G532" t="str">
        <f>_xlfn.XLOOKUP($A532,表格1[No.],表格1[Model],"---",0)</f>
        <v>---</v>
      </c>
      <c r="H532" t="str">
        <f>_xlfn.XLOOKUP($A532,表格1[No.],表格1[QTY],"---",0)</f>
        <v>---</v>
      </c>
      <c r="I532" t="str">
        <f>_xlfn.XLOOKUP($A532,表格1[No.],表格1[Unit Price],"---",0)</f>
        <v>---</v>
      </c>
      <c r="J532" t="str">
        <f>_xlfn.XLOOKUP($A532,表格1[No.],表格1[inv no],"---",0)</f>
        <v>---</v>
      </c>
      <c r="K532" t="str">
        <f>_xlfn.XLOOKUP($A532,表格1[No.],表格1[apps report no.],"---",0)</f>
        <v>---</v>
      </c>
    </row>
    <row r="533" spans="2:11">
      <c r="B533" t="str">
        <f>_xlfn.XLOOKUP($A533,表格1[No.],表格1[Shop],"---",0)</f>
        <v>---</v>
      </c>
      <c r="C533" t="str">
        <f>_xlfn.XLOOKUP($A533,表格1[No.],表格1[Location],"---",0)</f>
        <v>---</v>
      </c>
      <c r="D533" t="str">
        <f>_xlfn.XLOOKUP($A533,表格1[No.],表格1[Name],"---",0)</f>
        <v>---</v>
      </c>
      <c r="E533" t="str">
        <f>_xlfn.XLOOKUP($A533,表格1[No.],表格1[month],"---",0)</f>
        <v>---</v>
      </c>
      <c r="F533" s="12" t="str">
        <f>_xlfn.XLOOKUP($A533,表格1[No.],表格1[date],"---",0)</f>
        <v>---</v>
      </c>
      <c r="G533" t="str">
        <f>_xlfn.XLOOKUP($A533,表格1[No.],表格1[Model],"---",0)</f>
        <v>---</v>
      </c>
      <c r="H533" t="str">
        <f>_xlfn.XLOOKUP($A533,表格1[No.],表格1[QTY],"---",0)</f>
        <v>---</v>
      </c>
      <c r="I533" t="str">
        <f>_xlfn.XLOOKUP($A533,表格1[No.],表格1[Unit Price],"---",0)</f>
        <v>---</v>
      </c>
      <c r="J533" t="str">
        <f>_xlfn.XLOOKUP($A533,表格1[No.],表格1[inv no],"---",0)</f>
        <v>---</v>
      </c>
      <c r="K533" t="str">
        <f>_xlfn.XLOOKUP($A533,表格1[No.],表格1[apps report no.],"---",0)</f>
        <v>---</v>
      </c>
    </row>
    <row r="534" spans="2:11">
      <c r="B534" t="str">
        <f>_xlfn.XLOOKUP($A534,表格1[No.],表格1[Shop],"---",0)</f>
        <v>---</v>
      </c>
      <c r="C534" t="str">
        <f>_xlfn.XLOOKUP($A534,表格1[No.],表格1[Location],"---",0)</f>
        <v>---</v>
      </c>
      <c r="D534" t="str">
        <f>_xlfn.XLOOKUP($A534,表格1[No.],表格1[Name],"---",0)</f>
        <v>---</v>
      </c>
      <c r="E534" t="str">
        <f>_xlfn.XLOOKUP($A534,表格1[No.],表格1[month],"---",0)</f>
        <v>---</v>
      </c>
      <c r="F534" s="12" t="str">
        <f>_xlfn.XLOOKUP($A534,表格1[No.],表格1[date],"---",0)</f>
        <v>---</v>
      </c>
      <c r="G534" t="str">
        <f>_xlfn.XLOOKUP($A534,表格1[No.],表格1[Model],"---",0)</f>
        <v>---</v>
      </c>
      <c r="H534" t="str">
        <f>_xlfn.XLOOKUP($A534,表格1[No.],表格1[QTY],"---",0)</f>
        <v>---</v>
      </c>
      <c r="I534" t="str">
        <f>_xlfn.XLOOKUP($A534,表格1[No.],表格1[Unit Price],"---",0)</f>
        <v>---</v>
      </c>
      <c r="J534" t="str">
        <f>_xlfn.XLOOKUP($A534,表格1[No.],表格1[inv no],"---",0)</f>
        <v>---</v>
      </c>
      <c r="K534" t="str">
        <f>_xlfn.XLOOKUP($A534,表格1[No.],表格1[apps report no.],"---",0)</f>
        <v>---</v>
      </c>
    </row>
    <row r="535" spans="2:11">
      <c r="B535" t="str">
        <f>_xlfn.XLOOKUP($A535,表格1[No.],表格1[Shop],"---",0)</f>
        <v>---</v>
      </c>
      <c r="C535" t="str">
        <f>_xlfn.XLOOKUP($A535,表格1[No.],表格1[Location],"---",0)</f>
        <v>---</v>
      </c>
      <c r="D535" t="str">
        <f>_xlfn.XLOOKUP($A535,表格1[No.],表格1[Name],"---",0)</f>
        <v>---</v>
      </c>
      <c r="E535" t="str">
        <f>_xlfn.XLOOKUP($A535,表格1[No.],表格1[month],"---",0)</f>
        <v>---</v>
      </c>
      <c r="F535" s="12" t="str">
        <f>_xlfn.XLOOKUP($A535,表格1[No.],表格1[date],"---",0)</f>
        <v>---</v>
      </c>
      <c r="G535" t="str">
        <f>_xlfn.XLOOKUP($A535,表格1[No.],表格1[Model],"---",0)</f>
        <v>---</v>
      </c>
      <c r="H535" t="str">
        <f>_xlfn.XLOOKUP($A535,表格1[No.],表格1[QTY],"---",0)</f>
        <v>---</v>
      </c>
      <c r="I535" t="str">
        <f>_xlfn.XLOOKUP($A535,表格1[No.],表格1[Unit Price],"---",0)</f>
        <v>---</v>
      </c>
      <c r="J535" t="str">
        <f>_xlfn.XLOOKUP($A535,表格1[No.],表格1[inv no],"---",0)</f>
        <v>---</v>
      </c>
      <c r="K535" t="str">
        <f>_xlfn.XLOOKUP($A535,表格1[No.],表格1[apps report no.],"---",0)</f>
        <v>---</v>
      </c>
    </row>
    <row r="536" spans="2:11">
      <c r="B536" t="str">
        <f>_xlfn.XLOOKUP($A536,表格1[No.],表格1[Shop],"---",0)</f>
        <v>---</v>
      </c>
      <c r="C536" t="str">
        <f>_xlfn.XLOOKUP($A536,表格1[No.],表格1[Location],"---",0)</f>
        <v>---</v>
      </c>
      <c r="D536" t="str">
        <f>_xlfn.XLOOKUP($A536,表格1[No.],表格1[Name],"---",0)</f>
        <v>---</v>
      </c>
      <c r="E536" t="str">
        <f>_xlfn.XLOOKUP($A536,表格1[No.],表格1[month],"---",0)</f>
        <v>---</v>
      </c>
      <c r="F536" s="12" t="str">
        <f>_xlfn.XLOOKUP($A536,表格1[No.],表格1[date],"---",0)</f>
        <v>---</v>
      </c>
      <c r="G536" t="str">
        <f>_xlfn.XLOOKUP($A536,表格1[No.],表格1[Model],"---",0)</f>
        <v>---</v>
      </c>
      <c r="H536" t="str">
        <f>_xlfn.XLOOKUP($A536,表格1[No.],表格1[QTY],"---",0)</f>
        <v>---</v>
      </c>
      <c r="I536" t="str">
        <f>_xlfn.XLOOKUP($A536,表格1[No.],表格1[Unit Price],"---",0)</f>
        <v>---</v>
      </c>
      <c r="J536" t="str">
        <f>_xlfn.XLOOKUP($A536,表格1[No.],表格1[inv no],"---",0)</f>
        <v>---</v>
      </c>
      <c r="K536" t="str">
        <f>_xlfn.XLOOKUP($A536,表格1[No.],表格1[apps report no.],"---",0)</f>
        <v>---</v>
      </c>
    </row>
    <row r="537" spans="2:11">
      <c r="B537" t="str">
        <f>_xlfn.XLOOKUP($A537,表格1[No.],表格1[Shop],"---",0)</f>
        <v>---</v>
      </c>
      <c r="C537" t="str">
        <f>_xlfn.XLOOKUP($A537,表格1[No.],表格1[Location],"---",0)</f>
        <v>---</v>
      </c>
      <c r="D537" t="str">
        <f>_xlfn.XLOOKUP($A537,表格1[No.],表格1[Name],"---",0)</f>
        <v>---</v>
      </c>
      <c r="E537" t="str">
        <f>_xlfn.XLOOKUP($A537,表格1[No.],表格1[month],"---",0)</f>
        <v>---</v>
      </c>
      <c r="F537" s="12" t="str">
        <f>_xlfn.XLOOKUP($A537,表格1[No.],表格1[date],"---",0)</f>
        <v>---</v>
      </c>
      <c r="G537" t="str">
        <f>_xlfn.XLOOKUP($A537,表格1[No.],表格1[Model],"---",0)</f>
        <v>---</v>
      </c>
      <c r="H537" t="str">
        <f>_xlfn.XLOOKUP($A537,表格1[No.],表格1[QTY],"---",0)</f>
        <v>---</v>
      </c>
      <c r="I537" t="str">
        <f>_xlfn.XLOOKUP($A537,表格1[No.],表格1[Unit Price],"---",0)</f>
        <v>---</v>
      </c>
      <c r="J537" t="str">
        <f>_xlfn.XLOOKUP($A537,表格1[No.],表格1[inv no],"---",0)</f>
        <v>---</v>
      </c>
      <c r="K537" t="str">
        <f>_xlfn.XLOOKUP($A537,表格1[No.],表格1[apps report no.],"---",0)</f>
        <v>---</v>
      </c>
    </row>
    <row r="538" spans="2:11">
      <c r="B538" t="str">
        <f>_xlfn.XLOOKUP($A538,表格1[No.],表格1[Shop],"---",0)</f>
        <v>---</v>
      </c>
      <c r="C538" t="str">
        <f>_xlfn.XLOOKUP($A538,表格1[No.],表格1[Location],"---",0)</f>
        <v>---</v>
      </c>
      <c r="D538" t="str">
        <f>_xlfn.XLOOKUP($A538,表格1[No.],表格1[Name],"---",0)</f>
        <v>---</v>
      </c>
      <c r="E538" t="str">
        <f>_xlfn.XLOOKUP($A538,表格1[No.],表格1[month],"---",0)</f>
        <v>---</v>
      </c>
      <c r="F538" s="12" t="str">
        <f>_xlfn.XLOOKUP($A538,表格1[No.],表格1[date],"---",0)</f>
        <v>---</v>
      </c>
      <c r="G538" t="str">
        <f>_xlfn.XLOOKUP($A538,表格1[No.],表格1[Model],"---",0)</f>
        <v>---</v>
      </c>
      <c r="H538" t="str">
        <f>_xlfn.XLOOKUP($A538,表格1[No.],表格1[QTY],"---",0)</f>
        <v>---</v>
      </c>
      <c r="I538" t="str">
        <f>_xlfn.XLOOKUP($A538,表格1[No.],表格1[Unit Price],"---",0)</f>
        <v>---</v>
      </c>
      <c r="J538" t="str">
        <f>_xlfn.XLOOKUP($A538,表格1[No.],表格1[inv no],"---",0)</f>
        <v>---</v>
      </c>
      <c r="K538" t="str">
        <f>_xlfn.XLOOKUP($A538,表格1[No.],表格1[apps report no.],"---",0)</f>
        <v>---</v>
      </c>
    </row>
    <row r="539" spans="2:11">
      <c r="B539" t="str">
        <f>_xlfn.XLOOKUP($A539,表格1[No.],表格1[Shop],"---",0)</f>
        <v>---</v>
      </c>
      <c r="C539" t="str">
        <f>_xlfn.XLOOKUP($A539,表格1[No.],表格1[Location],"---",0)</f>
        <v>---</v>
      </c>
      <c r="D539" t="str">
        <f>_xlfn.XLOOKUP($A539,表格1[No.],表格1[Name],"---",0)</f>
        <v>---</v>
      </c>
      <c r="E539" t="str">
        <f>_xlfn.XLOOKUP($A539,表格1[No.],表格1[month],"---",0)</f>
        <v>---</v>
      </c>
      <c r="F539" s="12" t="str">
        <f>_xlfn.XLOOKUP($A539,表格1[No.],表格1[date],"---",0)</f>
        <v>---</v>
      </c>
      <c r="G539" t="str">
        <f>_xlfn.XLOOKUP($A539,表格1[No.],表格1[Model],"---",0)</f>
        <v>---</v>
      </c>
      <c r="H539" t="str">
        <f>_xlfn.XLOOKUP($A539,表格1[No.],表格1[QTY],"---",0)</f>
        <v>---</v>
      </c>
      <c r="I539" t="str">
        <f>_xlfn.XLOOKUP($A539,表格1[No.],表格1[Unit Price],"---",0)</f>
        <v>---</v>
      </c>
      <c r="J539" t="str">
        <f>_xlfn.XLOOKUP($A539,表格1[No.],表格1[inv no],"---",0)</f>
        <v>---</v>
      </c>
      <c r="K539" t="str">
        <f>_xlfn.XLOOKUP($A539,表格1[No.],表格1[apps report no.],"---",0)</f>
        <v>---</v>
      </c>
    </row>
    <row r="540" spans="2:11">
      <c r="B540" t="str">
        <f>_xlfn.XLOOKUP($A540,表格1[No.],表格1[Shop],"---",0)</f>
        <v>---</v>
      </c>
      <c r="C540" t="str">
        <f>_xlfn.XLOOKUP($A540,表格1[No.],表格1[Location],"---",0)</f>
        <v>---</v>
      </c>
      <c r="D540" t="str">
        <f>_xlfn.XLOOKUP($A540,表格1[No.],表格1[Name],"---",0)</f>
        <v>---</v>
      </c>
      <c r="E540" t="str">
        <f>_xlfn.XLOOKUP($A540,表格1[No.],表格1[month],"---",0)</f>
        <v>---</v>
      </c>
      <c r="F540" s="12" t="str">
        <f>_xlfn.XLOOKUP($A540,表格1[No.],表格1[date],"---",0)</f>
        <v>---</v>
      </c>
      <c r="G540" t="str">
        <f>_xlfn.XLOOKUP($A540,表格1[No.],表格1[Model],"---",0)</f>
        <v>---</v>
      </c>
      <c r="H540" t="str">
        <f>_xlfn.XLOOKUP($A540,表格1[No.],表格1[QTY],"---",0)</f>
        <v>---</v>
      </c>
      <c r="I540" t="str">
        <f>_xlfn.XLOOKUP($A540,表格1[No.],表格1[Unit Price],"---",0)</f>
        <v>---</v>
      </c>
      <c r="J540" t="str">
        <f>_xlfn.XLOOKUP($A540,表格1[No.],表格1[inv no],"---",0)</f>
        <v>---</v>
      </c>
      <c r="K540" t="str">
        <f>_xlfn.XLOOKUP($A540,表格1[No.],表格1[apps report no.],"---",0)</f>
        <v>---</v>
      </c>
    </row>
    <row r="541" spans="2:11">
      <c r="B541" t="str">
        <f>_xlfn.XLOOKUP($A541,表格1[No.],表格1[Shop],"---",0)</f>
        <v>---</v>
      </c>
      <c r="C541" t="str">
        <f>_xlfn.XLOOKUP($A541,表格1[No.],表格1[Location],"---",0)</f>
        <v>---</v>
      </c>
      <c r="D541" t="str">
        <f>_xlfn.XLOOKUP($A541,表格1[No.],表格1[Name],"---",0)</f>
        <v>---</v>
      </c>
      <c r="E541" t="str">
        <f>_xlfn.XLOOKUP($A541,表格1[No.],表格1[month],"---",0)</f>
        <v>---</v>
      </c>
      <c r="F541" s="12" t="str">
        <f>_xlfn.XLOOKUP($A541,表格1[No.],表格1[date],"---",0)</f>
        <v>---</v>
      </c>
      <c r="G541" t="str">
        <f>_xlfn.XLOOKUP($A541,表格1[No.],表格1[Model],"---",0)</f>
        <v>---</v>
      </c>
      <c r="H541" t="str">
        <f>_xlfn.XLOOKUP($A541,表格1[No.],表格1[QTY],"---",0)</f>
        <v>---</v>
      </c>
      <c r="I541" t="str">
        <f>_xlfn.XLOOKUP($A541,表格1[No.],表格1[Unit Price],"---",0)</f>
        <v>---</v>
      </c>
      <c r="J541" t="str">
        <f>_xlfn.XLOOKUP($A541,表格1[No.],表格1[inv no],"---",0)</f>
        <v>---</v>
      </c>
      <c r="K541" t="str">
        <f>_xlfn.XLOOKUP($A541,表格1[No.],表格1[apps report no.],"---",0)</f>
        <v>---</v>
      </c>
    </row>
    <row r="542" spans="2:11">
      <c r="B542" t="str">
        <f>_xlfn.XLOOKUP($A542,表格1[No.],表格1[Shop],"---",0)</f>
        <v>---</v>
      </c>
      <c r="C542" t="str">
        <f>_xlfn.XLOOKUP($A542,表格1[No.],表格1[Location],"---",0)</f>
        <v>---</v>
      </c>
      <c r="D542" t="str">
        <f>_xlfn.XLOOKUP($A542,表格1[No.],表格1[Name],"---",0)</f>
        <v>---</v>
      </c>
      <c r="E542" t="str">
        <f>_xlfn.XLOOKUP($A542,表格1[No.],表格1[month],"---",0)</f>
        <v>---</v>
      </c>
      <c r="F542" s="12" t="str">
        <f>_xlfn.XLOOKUP($A542,表格1[No.],表格1[date],"---",0)</f>
        <v>---</v>
      </c>
      <c r="G542" t="str">
        <f>_xlfn.XLOOKUP($A542,表格1[No.],表格1[Model],"---",0)</f>
        <v>---</v>
      </c>
      <c r="H542" t="str">
        <f>_xlfn.XLOOKUP($A542,表格1[No.],表格1[QTY],"---",0)</f>
        <v>---</v>
      </c>
      <c r="I542" t="str">
        <f>_xlfn.XLOOKUP($A542,表格1[No.],表格1[Unit Price],"---",0)</f>
        <v>---</v>
      </c>
      <c r="J542" t="str">
        <f>_xlfn.XLOOKUP($A542,表格1[No.],表格1[inv no],"---",0)</f>
        <v>---</v>
      </c>
      <c r="K542" t="str">
        <f>_xlfn.XLOOKUP($A542,表格1[No.],表格1[apps report no.],"---",0)</f>
        <v>---</v>
      </c>
    </row>
    <row r="543" spans="2:11">
      <c r="B543" t="str">
        <f>_xlfn.XLOOKUP($A543,表格1[No.],表格1[Shop],"---",0)</f>
        <v>---</v>
      </c>
      <c r="C543" t="str">
        <f>_xlfn.XLOOKUP($A543,表格1[No.],表格1[Location],"---",0)</f>
        <v>---</v>
      </c>
      <c r="D543" t="str">
        <f>_xlfn.XLOOKUP($A543,表格1[No.],表格1[Name],"---",0)</f>
        <v>---</v>
      </c>
      <c r="E543" t="str">
        <f>_xlfn.XLOOKUP($A543,表格1[No.],表格1[month],"---",0)</f>
        <v>---</v>
      </c>
      <c r="F543" s="12" t="str">
        <f>_xlfn.XLOOKUP($A543,表格1[No.],表格1[date],"---",0)</f>
        <v>---</v>
      </c>
      <c r="G543" t="str">
        <f>_xlfn.XLOOKUP($A543,表格1[No.],表格1[Model],"---",0)</f>
        <v>---</v>
      </c>
      <c r="H543" t="str">
        <f>_xlfn.XLOOKUP($A543,表格1[No.],表格1[QTY],"---",0)</f>
        <v>---</v>
      </c>
      <c r="I543" t="str">
        <f>_xlfn.XLOOKUP($A543,表格1[No.],表格1[Unit Price],"---",0)</f>
        <v>---</v>
      </c>
      <c r="J543" t="str">
        <f>_xlfn.XLOOKUP($A543,表格1[No.],表格1[inv no],"---",0)</f>
        <v>---</v>
      </c>
      <c r="K543" t="str">
        <f>_xlfn.XLOOKUP($A543,表格1[No.],表格1[apps report no.],"---",0)</f>
        <v>---</v>
      </c>
    </row>
    <row r="544" spans="2:11">
      <c r="B544" t="str">
        <f>_xlfn.XLOOKUP($A544,表格1[No.],表格1[Shop],"---",0)</f>
        <v>---</v>
      </c>
      <c r="C544" t="str">
        <f>_xlfn.XLOOKUP($A544,表格1[No.],表格1[Location],"---",0)</f>
        <v>---</v>
      </c>
      <c r="D544" t="str">
        <f>_xlfn.XLOOKUP($A544,表格1[No.],表格1[Name],"---",0)</f>
        <v>---</v>
      </c>
      <c r="E544" t="str">
        <f>_xlfn.XLOOKUP($A544,表格1[No.],表格1[month],"---",0)</f>
        <v>---</v>
      </c>
      <c r="F544" s="12" t="str">
        <f>_xlfn.XLOOKUP($A544,表格1[No.],表格1[date],"---",0)</f>
        <v>---</v>
      </c>
      <c r="G544" t="str">
        <f>_xlfn.XLOOKUP($A544,表格1[No.],表格1[Model],"---",0)</f>
        <v>---</v>
      </c>
      <c r="H544" t="str">
        <f>_xlfn.XLOOKUP($A544,表格1[No.],表格1[QTY],"---",0)</f>
        <v>---</v>
      </c>
      <c r="I544" t="str">
        <f>_xlfn.XLOOKUP($A544,表格1[No.],表格1[Unit Price],"---",0)</f>
        <v>---</v>
      </c>
      <c r="J544" t="str">
        <f>_xlfn.XLOOKUP($A544,表格1[No.],表格1[inv no],"---",0)</f>
        <v>---</v>
      </c>
      <c r="K544" t="str">
        <f>_xlfn.XLOOKUP($A544,表格1[No.],表格1[apps report no.],"---",0)</f>
        <v>---</v>
      </c>
    </row>
    <row r="545" spans="2:11">
      <c r="B545" t="str">
        <f>_xlfn.XLOOKUP($A545,表格1[No.],表格1[Shop],"---",0)</f>
        <v>---</v>
      </c>
      <c r="C545" t="str">
        <f>_xlfn.XLOOKUP($A545,表格1[No.],表格1[Location],"---",0)</f>
        <v>---</v>
      </c>
      <c r="D545" t="str">
        <f>_xlfn.XLOOKUP($A545,表格1[No.],表格1[Name],"---",0)</f>
        <v>---</v>
      </c>
      <c r="E545" t="str">
        <f>_xlfn.XLOOKUP($A545,表格1[No.],表格1[month],"---",0)</f>
        <v>---</v>
      </c>
      <c r="F545" s="12" t="str">
        <f>_xlfn.XLOOKUP($A545,表格1[No.],表格1[date],"---",0)</f>
        <v>---</v>
      </c>
      <c r="G545" t="str">
        <f>_xlfn.XLOOKUP($A545,表格1[No.],表格1[Model],"---",0)</f>
        <v>---</v>
      </c>
      <c r="H545" t="str">
        <f>_xlfn.XLOOKUP($A545,表格1[No.],表格1[QTY],"---",0)</f>
        <v>---</v>
      </c>
      <c r="I545" t="str">
        <f>_xlfn.XLOOKUP($A545,表格1[No.],表格1[Unit Price],"---",0)</f>
        <v>---</v>
      </c>
      <c r="J545" t="str">
        <f>_xlfn.XLOOKUP($A545,表格1[No.],表格1[inv no],"---",0)</f>
        <v>---</v>
      </c>
      <c r="K545" t="str">
        <f>_xlfn.XLOOKUP($A545,表格1[No.],表格1[apps report no.],"---",0)</f>
        <v>---</v>
      </c>
    </row>
    <row r="546" spans="2:11">
      <c r="B546" t="str">
        <f>_xlfn.XLOOKUP($A546,表格1[No.],表格1[Shop],"---",0)</f>
        <v>---</v>
      </c>
      <c r="C546" t="str">
        <f>_xlfn.XLOOKUP($A546,表格1[No.],表格1[Location],"---",0)</f>
        <v>---</v>
      </c>
      <c r="D546" t="str">
        <f>_xlfn.XLOOKUP($A546,表格1[No.],表格1[Name],"---",0)</f>
        <v>---</v>
      </c>
      <c r="E546" t="str">
        <f>_xlfn.XLOOKUP($A546,表格1[No.],表格1[month],"---",0)</f>
        <v>---</v>
      </c>
      <c r="F546" s="12" t="str">
        <f>_xlfn.XLOOKUP($A546,表格1[No.],表格1[date],"---",0)</f>
        <v>---</v>
      </c>
      <c r="G546" t="str">
        <f>_xlfn.XLOOKUP($A546,表格1[No.],表格1[Model],"---",0)</f>
        <v>---</v>
      </c>
      <c r="H546" t="str">
        <f>_xlfn.XLOOKUP($A546,表格1[No.],表格1[QTY],"---",0)</f>
        <v>---</v>
      </c>
      <c r="I546" t="str">
        <f>_xlfn.XLOOKUP($A546,表格1[No.],表格1[Unit Price],"---",0)</f>
        <v>---</v>
      </c>
      <c r="J546" t="str">
        <f>_xlfn.XLOOKUP($A546,表格1[No.],表格1[inv no],"---",0)</f>
        <v>---</v>
      </c>
      <c r="K546" t="str">
        <f>_xlfn.XLOOKUP($A546,表格1[No.],表格1[apps report no.],"---",0)</f>
        <v>---</v>
      </c>
    </row>
    <row r="547" spans="2:11">
      <c r="B547" t="str">
        <f>_xlfn.XLOOKUP($A547,表格1[No.],表格1[Shop],"---",0)</f>
        <v>---</v>
      </c>
      <c r="C547" t="str">
        <f>_xlfn.XLOOKUP($A547,表格1[No.],表格1[Location],"---",0)</f>
        <v>---</v>
      </c>
      <c r="D547" t="str">
        <f>_xlfn.XLOOKUP($A547,表格1[No.],表格1[Name],"---",0)</f>
        <v>---</v>
      </c>
      <c r="E547" t="str">
        <f>_xlfn.XLOOKUP($A547,表格1[No.],表格1[month],"---",0)</f>
        <v>---</v>
      </c>
      <c r="F547" s="12" t="str">
        <f>_xlfn.XLOOKUP($A547,表格1[No.],表格1[date],"---",0)</f>
        <v>---</v>
      </c>
      <c r="G547" t="str">
        <f>_xlfn.XLOOKUP($A547,表格1[No.],表格1[Model],"---",0)</f>
        <v>---</v>
      </c>
      <c r="H547" t="str">
        <f>_xlfn.XLOOKUP($A547,表格1[No.],表格1[QTY],"---",0)</f>
        <v>---</v>
      </c>
      <c r="I547" t="str">
        <f>_xlfn.XLOOKUP($A547,表格1[No.],表格1[Unit Price],"---",0)</f>
        <v>---</v>
      </c>
      <c r="J547" t="str">
        <f>_xlfn.XLOOKUP($A547,表格1[No.],表格1[inv no],"---",0)</f>
        <v>---</v>
      </c>
      <c r="K547" t="str">
        <f>_xlfn.XLOOKUP($A547,表格1[No.],表格1[apps report no.],"---",0)</f>
        <v>---</v>
      </c>
    </row>
    <row r="548" spans="2:11">
      <c r="B548" t="str">
        <f>_xlfn.XLOOKUP($A548,表格1[No.],表格1[Shop],"---",0)</f>
        <v>---</v>
      </c>
      <c r="C548" t="str">
        <f>_xlfn.XLOOKUP($A548,表格1[No.],表格1[Location],"---",0)</f>
        <v>---</v>
      </c>
      <c r="D548" t="str">
        <f>_xlfn.XLOOKUP($A548,表格1[No.],表格1[Name],"---",0)</f>
        <v>---</v>
      </c>
      <c r="E548" t="str">
        <f>_xlfn.XLOOKUP($A548,表格1[No.],表格1[month],"---",0)</f>
        <v>---</v>
      </c>
      <c r="F548" s="12" t="str">
        <f>_xlfn.XLOOKUP($A548,表格1[No.],表格1[date],"---",0)</f>
        <v>---</v>
      </c>
      <c r="G548" t="str">
        <f>_xlfn.XLOOKUP($A548,表格1[No.],表格1[Model],"---",0)</f>
        <v>---</v>
      </c>
      <c r="H548" t="str">
        <f>_xlfn.XLOOKUP($A548,表格1[No.],表格1[QTY],"---",0)</f>
        <v>---</v>
      </c>
      <c r="I548" t="str">
        <f>_xlfn.XLOOKUP($A548,表格1[No.],表格1[Unit Price],"---",0)</f>
        <v>---</v>
      </c>
      <c r="J548" t="str">
        <f>_xlfn.XLOOKUP($A548,表格1[No.],表格1[inv no],"---",0)</f>
        <v>---</v>
      </c>
      <c r="K548" t="str">
        <f>_xlfn.XLOOKUP($A548,表格1[No.],表格1[apps report no.],"---",0)</f>
        <v>---</v>
      </c>
    </row>
    <row r="549" spans="2:11">
      <c r="B549" t="str">
        <f>_xlfn.XLOOKUP($A549,表格1[No.],表格1[Shop],"---",0)</f>
        <v>---</v>
      </c>
      <c r="C549" t="str">
        <f>_xlfn.XLOOKUP($A549,表格1[No.],表格1[Location],"---",0)</f>
        <v>---</v>
      </c>
      <c r="D549" t="str">
        <f>_xlfn.XLOOKUP($A549,表格1[No.],表格1[Name],"---",0)</f>
        <v>---</v>
      </c>
      <c r="E549" t="str">
        <f>_xlfn.XLOOKUP($A549,表格1[No.],表格1[month],"---",0)</f>
        <v>---</v>
      </c>
      <c r="F549" s="12" t="str">
        <f>_xlfn.XLOOKUP($A549,表格1[No.],表格1[date],"---",0)</f>
        <v>---</v>
      </c>
      <c r="G549" t="str">
        <f>_xlfn.XLOOKUP($A549,表格1[No.],表格1[Model],"---",0)</f>
        <v>---</v>
      </c>
      <c r="H549" t="str">
        <f>_xlfn.XLOOKUP($A549,表格1[No.],表格1[QTY],"---",0)</f>
        <v>---</v>
      </c>
      <c r="I549" t="str">
        <f>_xlfn.XLOOKUP($A549,表格1[No.],表格1[Unit Price],"---",0)</f>
        <v>---</v>
      </c>
      <c r="J549" t="str">
        <f>_xlfn.XLOOKUP($A549,表格1[No.],表格1[inv no],"---",0)</f>
        <v>---</v>
      </c>
      <c r="K549" t="str">
        <f>_xlfn.XLOOKUP($A549,表格1[No.],表格1[apps report no.],"---",0)</f>
        <v>---</v>
      </c>
    </row>
    <row r="550" spans="2:11">
      <c r="B550" t="str">
        <f>_xlfn.XLOOKUP($A550,表格1[No.],表格1[Shop],"---",0)</f>
        <v>---</v>
      </c>
      <c r="C550" t="str">
        <f>_xlfn.XLOOKUP($A550,表格1[No.],表格1[Location],"---",0)</f>
        <v>---</v>
      </c>
      <c r="D550" t="str">
        <f>_xlfn.XLOOKUP($A550,表格1[No.],表格1[Name],"---",0)</f>
        <v>---</v>
      </c>
      <c r="E550" t="str">
        <f>_xlfn.XLOOKUP($A550,表格1[No.],表格1[month],"---",0)</f>
        <v>---</v>
      </c>
      <c r="F550" s="12" t="str">
        <f>_xlfn.XLOOKUP($A550,表格1[No.],表格1[date],"---",0)</f>
        <v>---</v>
      </c>
      <c r="G550" t="str">
        <f>_xlfn.XLOOKUP($A550,表格1[No.],表格1[Model],"---",0)</f>
        <v>---</v>
      </c>
      <c r="H550" t="str">
        <f>_xlfn.XLOOKUP($A550,表格1[No.],表格1[QTY],"---",0)</f>
        <v>---</v>
      </c>
      <c r="I550" t="str">
        <f>_xlfn.XLOOKUP($A550,表格1[No.],表格1[Unit Price],"---",0)</f>
        <v>---</v>
      </c>
      <c r="J550" t="str">
        <f>_xlfn.XLOOKUP($A550,表格1[No.],表格1[inv no],"---",0)</f>
        <v>---</v>
      </c>
      <c r="K550" t="str">
        <f>_xlfn.XLOOKUP($A550,表格1[No.],表格1[apps report no.],"---",0)</f>
        <v>---</v>
      </c>
    </row>
    <row r="551" spans="2:11">
      <c r="B551" t="str">
        <f>_xlfn.XLOOKUP($A551,表格1[No.],表格1[Shop],"---",0)</f>
        <v>---</v>
      </c>
      <c r="C551" t="str">
        <f>_xlfn.XLOOKUP($A551,表格1[No.],表格1[Location],"---",0)</f>
        <v>---</v>
      </c>
      <c r="D551" t="str">
        <f>_xlfn.XLOOKUP($A551,表格1[No.],表格1[Name],"---",0)</f>
        <v>---</v>
      </c>
      <c r="E551" t="str">
        <f>_xlfn.XLOOKUP($A551,表格1[No.],表格1[month],"---",0)</f>
        <v>---</v>
      </c>
      <c r="F551" s="12" t="str">
        <f>_xlfn.XLOOKUP($A551,表格1[No.],表格1[date],"---",0)</f>
        <v>---</v>
      </c>
      <c r="G551" t="str">
        <f>_xlfn.XLOOKUP($A551,表格1[No.],表格1[Model],"---",0)</f>
        <v>---</v>
      </c>
      <c r="H551" t="str">
        <f>_xlfn.XLOOKUP($A551,表格1[No.],表格1[QTY],"---",0)</f>
        <v>---</v>
      </c>
      <c r="I551" t="str">
        <f>_xlfn.XLOOKUP($A551,表格1[No.],表格1[Unit Price],"---",0)</f>
        <v>---</v>
      </c>
      <c r="J551" t="str">
        <f>_xlfn.XLOOKUP($A551,表格1[No.],表格1[inv no],"---",0)</f>
        <v>---</v>
      </c>
      <c r="K551" t="str">
        <f>_xlfn.XLOOKUP($A551,表格1[No.],表格1[apps report no.],"---",0)</f>
        <v>---</v>
      </c>
    </row>
    <row r="552" spans="2:11">
      <c r="B552" t="str">
        <f>_xlfn.XLOOKUP($A552,表格1[No.],表格1[Shop],"---",0)</f>
        <v>---</v>
      </c>
      <c r="C552" t="str">
        <f>_xlfn.XLOOKUP($A552,表格1[No.],表格1[Location],"---",0)</f>
        <v>---</v>
      </c>
      <c r="D552" t="str">
        <f>_xlfn.XLOOKUP($A552,表格1[No.],表格1[Name],"---",0)</f>
        <v>---</v>
      </c>
      <c r="E552" t="str">
        <f>_xlfn.XLOOKUP($A552,表格1[No.],表格1[month],"---",0)</f>
        <v>---</v>
      </c>
      <c r="F552" s="12" t="str">
        <f>_xlfn.XLOOKUP($A552,表格1[No.],表格1[date],"---",0)</f>
        <v>---</v>
      </c>
      <c r="G552" t="str">
        <f>_xlfn.XLOOKUP($A552,表格1[No.],表格1[Model],"---",0)</f>
        <v>---</v>
      </c>
      <c r="H552" t="str">
        <f>_xlfn.XLOOKUP($A552,表格1[No.],表格1[QTY],"---",0)</f>
        <v>---</v>
      </c>
      <c r="I552" t="str">
        <f>_xlfn.XLOOKUP($A552,表格1[No.],表格1[Unit Price],"---",0)</f>
        <v>---</v>
      </c>
      <c r="J552" t="str">
        <f>_xlfn.XLOOKUP($A552,表格1[No.],表格1[inv no],"---",0)</f>
        <v>---</v>
      </c>
      <c r="K552" t="str">
        <f>_xlfn.XLOOKUP($A552,表格1[No.],表格1[apps report no.],"---",0)</f>
        <v>---</v>
      </c>
    </row>
    <row r="553" spans="2:11">
      <c r="B553" t="str">
        <f>_xlfn.XLOOKUP($A553,表格1[No.],表格1[Shop],"---",0)</f>
        <v>---</v>
      </c>
      <c r="C553" t="str">
        <f>_xlfn.XLOOKUP($A553,表格1[No.],表格1[Location],"---",0)</f>
        <v>---</v>
      </c>
      <c r="D553" t="str">
        <f>_xlfn.XLOOKUP($A553,表格1[No.],表格1[Name],"---",0)</f>
        <v>---</v>
      </c>
      <c r="E553" t="str">
        <f>_xlfn.XLOOKUP($A553,表格1[No.],表格1[month],"---",0)</f>
        <v>---</v>
      </c>
      <c r="F553" s="12" t="str">
        <f>_xlfn.XLOOKUP($A553,表格1[No.],表格1[date],"---",0)</f>
        <v>---</v>
      </c>
      <c r="G553" t="str">
        <f>_xlfn.XLOOKUP($A553,表格1[No.],表格1[Model],"---",0)</f>
        <v>---</v>
      </c>
      <c r="H553" t="str">
        <f>_xlfn.XLOOKUP($A553,表格1[No.],表格1[QTY],"---",0)</f>
        <v>---</v>
      </c>
      <c r="I553" t="str">
        <f>_xlfn.XLOOKUP($A553,表格1[No.],表格1[Unit Price],"---",0)</f>
        <v>---</v>
      </c>
      <c r="J553" t="str">
        <f>_xlfn.XLOOKUP($A553,表格1[No.],表格1[inv no],"---",0)</f>
        <v>---</v>
      </c>
      <c r="K553" t="str">
        <f>_xlfn.XLOOKUP($A553,表格1[No.],表格1[apps report no.],"---",0)</f>
        <v>---</v>
      </c>
    </row>
    <row r="554" spans="2:11">
      <c r="B554" t="str">
        <f>_xlfn.XLOOKUP($A554,表格1[No.],表格1[Shop],"---",0)</f>
        <v>---</v>
      </c>
      <c r="C554" t="str">
        <f>_xlfn.XLOOKUP($A554,表格1[No.],表格1[Location],"---",0)</f>
        <v>---</v>
      </c>
      <c r="D554" t="str">
        <f>_xlfn.XLOOKUP($A554,表格1[No.],表格1[Name],"---",0)</f>
        <v>---</v>
      </c>
      <c r="E554" t="str">
        <f>_xlfn.XLOOKUP($A554,表格1[No.],表格1[month],"---",0)</f>
        <v>---</v>
      </c>
      <c r="F554" s="12" t="str">
        <f>_xlfn.XLOOKUP($A554,表格1[No.],表格1[date],"---",0)</f>
        <v>---</v>
      </c>
      <c r="G554" t="str">
        <f>_xlfn.XLOOKUP($A554,表格1[No.],表格1[Model],"---",0)</f>
        <v>---</v>
      </c>
      <c r="H554" t="str">
        <f>_xlfn.XLOOKUP($A554,表格1[No.],表格1[QTY],"---",0)</f>
        <v>---</v>
      </c>
      <c r="I554" t="str">
        <f>_xlfn.XLOOKUP($A554,表格1[No.],表格1[Unit Price],"---",0)</f>
        <v>---</v>
      </c>
      <c r="J554" t="str">
        <f>_xlfn.XLOOKUP($A554,表格1[No.],表格1[inv no],"---",0)</f>
        <v>---</v>
      </c>
      <c r="K554" t="str">
        <f>_xlfn.XLOOKUP($A554,表格1[No.],表格1[apps report no.],"---",0)</f>
        <v>---</v>
      </c>
    </row>
    <row r="555" spans="2:11">
      <c r="B555" t="str">
        <f>_xlfn.XLOOKUP($A555,表格1[No.],表格1[Shop],"---",0)</f>
        <v>---</v>
      </c>
      <c r="C555" t="str">
        <f>_xlfn.XLOOKUP($A555,表格1[No.],表格1[Location],"---",0)</f>
        <v>---</v>
      </c>
      <c r="D555" t="str">
        <f>_xlfn.XLOOKUP($A555,表格1[No.],表格1[Name],"---",0)</f>
        <v>---</v>
      </c>
      <c r="E555" t="str">
        <f>_xlfn.XLOOKUP($A555,表格1[No.],表格1[month],"---",0)</f>
        <v>---</v>
      </c>
      <c r="F555" s="12" t="str">
        <f>_xlfn.XLOOKUP($A555,表格1[No.],表格1[date],"---",0)</f>
        <v>---</v>
      </c>
      <c r="G555" t="str">
        <f>_xlfn.XLOOKUP($A555,表格1[No.],表格1[Model],"---",0)</f>
        <v>---</v>
      </c>
      <c r="H555" t="str">
        <f>_xlfn.XLOOKUP($A555,表格1[No.],表格1[QTY],"---",0)</f>
        <v>---</v>
      </c>
      <c r="I555" t="str">
        <f>_xlfn.XLOOKUP($A555,表格1[No.],表格1[Unit Price],"---",0)</f>
        <v>---</v>
      </c>
      <c r="J555" t="str">
        <f>_xlfn.XLOOKUP($A555,表格1[No.],表格1[inv no],"---",0)</f>
        <v>---</v>
      </c>
      <c r="K555" t="str">
        <f>_xlfn.XLOOKUP($A555,表格1[No.],表格1[apps report no.],"---",0)</f>
        <v>---</v>
      </c>
    </row>
    <row r="556" spans="2:11">
      <c r="B556" t="str">
        <f>_xlfn.XLOOKUP($A556,表格1[No.],表格1[Shop],"---",0)</f>
        <v>---</v>
      </c>
      <c r="C556" t="str">
        <f>_xlfn.XLOOKUP($A556,表格1[No.],表格1[Location],"---",0)</f>
        <v>---</v>
      </c>
      <c r="D556" t="str">
        <f>_xlfn.XLOOKUP($A556,表格1[No.],表格1[Name],"---",0)</f>
        <v>---</v>
      </c>
      <c r="E556" t="str">
        <f>_xlfn.XLOOKUP($A556,表格1[No.],表格1[month],"---",0)</f>
        <v>---</v>
      </c>
      <c r="F556" s="12" t="str">
        <f>_xlfn.XLOOKUP($A556,表格1[No.],表格1[date],"---",0)</f>
        <v>---</v>
      </c>
      <c r="G556" t="str">
        <f>_xlfn.XLOOKUP($A556,表格1[No.],表格1[Model],"---",0)</f>
        <v>---</v>
      </c>
      <c r="H556" t="str">
        <f>_xlfn.XLOOKUP($A556,表格1[No.],表格1[QTY],"---",0)</f>
        <v>---</v>
      </c>
      <c r="I556" t="str">
        <f>_xlfn.XLOOKUP($A556,表格1[No.],表格1[Unit Price],"---",0)</f>
        <v>---</v>
      </c>
      <c r="J556" t="str">
        <f>_xlfn.XLOOKUP($A556,表格1[No.],表格1[inv no],"---",0)</f>
        <v>---</v>
      </c>
      <c r="K556" t="str">
        <f>_xlfn.XLOOKUP($A556,表格1[No.],表格1[apps report no.],"---",0)</f>
        <v>---</v>
      </c>
    </row>
    <row r="557" spans="2:11">
      <c r="B557" t="str">
        <f>_xlfn.XLOOKUP($A557,表格1[No.],表格1[Shop],"---",0)</f>
        <v>---</v>
      </c>
      <c r="C557" t="str">
        <f>_xlfn.XLOOKUP($A557,表格1[No.],表格1[Location],"---",0)</f>
        <v>---</v>
      </c>
      <c r="D557" t="str">
        <f>_xlfn.XLOOKUP($A557,表格1[No.],表格1[Name],"---",0)</f>
        <v>---</v>
      </c>
      <c r="E557" t="str">
        <f>_xlfn.XLOOKUP($A557,表格1[No.],表格1[month],"---",0)</f>
        <v>---</v>
      </c>
      <c r="F557" s="12" t="str">
        <f>_xlfn.XLOOKUP($A557,表格1[No.],表格1[date],"---",0)</f>
        <v>---</v>
      </c>
      <c r="G557" t="str">
        <f>_xlfn.XLOOKUP($A557,表格1[No.],表格1[Model],"---",0)</f>
        <v>---</v>
      </c>
      <c r="H557" t="str">
        <f>_xlfn.XLOOKUP($A557,表格1[No.],表格1[QTY],"---",0)</f>
        <v>---</v>
      </c>
      <c r="I557" t="str">
        <f>_xlfn.XLOOKUP($A557,表格1[No.],表格1[Unit Price],"---",0)</f>
        <v>---</v>
      </c>
      <c r="J557" t="str">
        <f>_xlfn.XLOOKUP($A557,表格1[No.],表格1[inv no],"---",0)</f>
        <v>---</v>
      </c>
      <c r="K557" t="str">
        <f>_xlfn.XLOOKUP($A557,表格1[No.],表格1[apps report no.],"---",0)</f>
        <v>---</v>
      </c>
    </row>
    <row r="558" spans="2:11">
      <c r="B558" t="str">
        <f>_xlfn.XLOOKUP($A558,表格1[No.],表格1[Shop],"---",0)</f>
        <v>---</v>
      </c>
      <c r="C558" t="str">
        <f>_xlfn.XLOOKUP($A558,表格1[No.],表格1[Location],"---",0)</f>
        <v>---</v>
      </c>
      <c r="D558" t="str">
        <f>_xlfn.XLOOKUP($A558,表格1[No.],表格1[Name],"---",0)</f>
        <v>---</v>
      </c>
      <c r="E558" t="str">
        <f>_xlfn.XLOOKUP($A558,表格1[No.],表格1[month],"---",0)</f>
        <v>---</v>
      </c>
      <c r="F558" s="12" t="str">
        <f>_xlfn.XLOOKUP($A558,表格1[No.],表格1[date],"---",0)</f>
        <v>---</v>
      </c>
      <c r="G558" t="str">
        <f>_xlfn.XLOOKUP($A558,表格1[No.],表格1[Model],"---",0)</f>
        <v>---</v>
      </c>
      <c r="H558" t="str">
        <f>_xlfn.XLOOKUP($A558,表格1[No.],表格1[QTY],"---",0)</f>
        <v>---</v>
      </c>
      <c r="I558" t="str">
        <f>_xlfn.XLOOKUP($A558,表格1[No.],表格1[Unit Price],"---",0)</f>
        <v>---</v>
      </c>
      <c r="J558" t="str">
        <f>_xlfn.XLOOKUP($A558,表格1[No.],表格1[inv no],"---",0)</f>
        <v>---</v>
      </c>
      <c r="K558" t="str">
        <f>_xlfn.XLOOKUP($A558,表格1[No.],表格1[apps report no.],"---",0)</f>
        <v>---</v>
      </c>
    </row>
    <row r="559" spans="2:11">
      <c r="B559" t="str">
        <f>_xlfn.XLOOKUP($A559,表格1[No.],表格1[Shop],"---",0)</f>
        <v>---</v>
      </c>
      <c r="C559" t="str">
        <f>_xlfn.XLOOKUP($A559,表格1[No.],表格1[Location],"---",0)</f>
        <v>---</v>
      </c>
      <c r="D559" t="str">
        <f>_xlfn.XLOOKUP($A559,表格1[No.],表格1[Name],"---",0)</f>
        <v>---</v>
      </c>
      <c r="E559" t="str">
        <f>_xlfn.XLOOKUP($A559,表格1[No.],表格1[month],"---",0)</f>
        <v>---</v>
      </c>
      <c r="F559" s="12" t="str">
        <f>_xlfn.XLOOKUP($A559,表格1[No.],表格1[date],"---",0)</f>
        <v>---</v>
      </c>
      <c r="G559" t="str">
        <f>_xlfn.XLOOKUP($A559,表格1[No.],表格1[Model],"---",0)</f>
        <v>---</v>
      </c>
      <c r="H559" t="str">
        <f>_xlfn.XLOOKUP($A559,表格1[No.],表格1[QTY],"---",0)</f>
        <v>---</v>
      </c>
      <c r="I559" t="str">
        <f>_xlfn.XLOOKUP($A559,表格1[No.],表格1[Unit Price],"---",0)</f>
        <v>---</v>
      </c>
      <c r="J559" t="str">
        <f>_xlfn.XLOOKUP($A559,表格1[No.],表格1[inv no],"---",0)</f>
        <v>---</v>
      </c>
      <c r="K559" t="str">
        <f>_xlfn.XLOOKUP($A559,表格1[No.],表格1[apps report no.],"---",0)</f>
        <v>---</v>
      </c>
    </row>
    <row r="560" spans="2:11">
      <c r="B560" t="str">
        <f>_xlfn.XLOOKUP($A560,表格1[No.],表格1[Shop],"---",0)</f>
        <v>---</v>
      </c>
      <c r="C560" t="str">
        <f>_xlfn.XLOOKUP($A560,表格1[No.],表格1[Location],"---",0)</f>
        <v>---</v>
      </c>
      <c r="D560" t="str">
        <f>_xlfn.XLOOKUP($A560,表格1[No.],表格1[Name],"---",0)</f>
        <v>---</v>
      </c>
      <c r="E560" t="str">
        <f>_xlfn.XLOOKUP($A560,表格1[No.],表格1[month],"---",0)</f>
        <v>---</v>
      </c>
      <c r="F560" s="12" t="str">
        <f>_xlfn.XLOOKUP($A560,表格1[No.],表格1[date],"---",0)</f>
        <v>---</v>
      </c>
      <c r="G560" t="str">
        <f>_xlfn.XLOOKUP($A560,表格1[No.],表格1[Model],"---",0)</f>
        <v>---</v>
      </c>
      <c r="H560" t="str">
        <f>_xlfn.XLOOKUP($A560,表格1[No.],表格1[QTY],"---",0)</f>
        <v>---</v>
      </c>
      <c r="I560" t="str">
        <f>_xlfn.XLOOKUP($A560,表格1[No.],表格1[Unit Price],"---",0)</f>
        <v>---</v>
      </c>
      <c r="J560" t="str">
        <f>_xlfn.XLOOKUP($A560,表格1[No.],表格1[inv no],"---",0)</f>
        <v>---</v>
      </c>
      <c r="K560" t="str">
        <f>_xlfn.XLOOKUP($A560,表格1[No.],表格1[apps report no.],"---",0)</f>
        <v>---</v>
      </c>
    </row>
    <row r="561" spans="2:11">
      <c r="B561" t="str">
        <f>_xlfn.XLOOKUP($A561,表格1[No.],表格1[Shop],"---",0)</f>
        <v>---</v>
      </c>
      <c r="C561" t="str">
        <f>_xlfn.XLOOKUP($A561,表格1[No.],表格1[Location],"---",0)</f>
        <v>---</v>
      </c>
      <c r="D561" t="str">
        <f>_xlfn.XLOOKUP($A561,表格1[No.],表格1[Name],"---",0)</f>
        <v>---</v>
      </c>
      <c r="E561" t="str">
        <f>_xlfn.XLOOKUP($A561,表格1[No.],表格1[month],"---",0)</f>
        <v>---</v>
      </c>
      <c r="F561" s="12" t="str">
        <f>_xlfn.XLOOKUP($A561,表格1[No.],表格1[date],"---",0)</f>
        <v>---</v>
      </c>
      <c r="G561" t="str">
        <f>_xlfn.XLOOKUP($A561,表格1[No.],表格1[Model],"---",0)</f>
        <v>---</v>
      </c>
      <c r="H561" t="str">
        <f>_xlfn.XLOOKUP($A561,表格1[No.],表格1[QTY],"---",0)</f>
        <v>---</v>
      </c>
      <c r="I561" t="str">
        <f>_xlfn.XLOOKUP($A561,表格1[No.],表格1[Unit Price],"---",0)</f>
        <v>---</v>
      </c>
      <c r="J561" t="str">
        <f>_xlfn.XLOOKUP($A561,表格1[No.],表格1[inv no],"---",0)</f>
        <v>---</v>
      </c>
      <c r="K561" t="str">
        <f>_xlfn.XLOOKUP($A561,表格1[No.],表格1[apps report no.],"---",0)</f>
        <v>---</v>
      </c>
    </row>
    <row r="562" spans="2:11">
      <c r="B562" t="str">
        <f>_xlfn.XLOOKUP($A562,表格1[No.],表格1[Shop],"---",0)</f>
        <v>---</v>
      </c>
      <c r="C562" t="str">
        <f>_xlfn.XLOOKUP($A562,表格1[No.],表格1[Location],"---",0)</f>
        <v>---</v>
      </c>
      <c r="D562" t="str">
        <f>_xlfn.XLOOKUP($A562,表格1[No.],表格1[Name],"---",0)</f>
        <v>---</v>
      </c>
      <c r="E562" t="str">
        <f>_xlfn.XLOOKUP($A562,表格1[No.],表格1[month],"---",0)</f>
        <v>---</v>
      </c>
      <c r="F562" s="12" t="str">
        <f>_xlfn.XLOOKUP($A562,表格1[No.],表格1[date],"---",0)</f>
        <v>---</v>
      </c>
      <c r="G562" t="str">
        <f>_xlfn.XLOOKUP($A562,表格1[No.],表格1[Model],"---",0)</f>
        <v>---</v>
      </c>
      <c r="H562" t="str">
        <f>_xlfn.XLOOKUP($A562,表格1[No.],表格1[QTY],"---",0)</f>
        <v>---</v>
      </c>
      <c r="I562" t="str">
        <f>_xlfn.XLOOKUP($A562,表格1[No.],表格1[Unit Price],"---",0)</f>
        <v>---</v>
      </c>
      <c r="J562" t="str">
        <f>_xlfn.XLOOKUP($A562,表格1[No.],表格1[inv no],"---",0)</f>
        <v>---</v>
      </c>
      <c r="K562" t="str">
        <f>_xlfn.XLOOKUP($A562,表格1[No.],表格1[apps report no.],"---",0)</f>
        <v>---</v>
      </c>
    </row>
    <row r="563" spans="2:11">
      <c r="B563" t="str">
        <f>_xlfn.XLOOKUP($A563,表格1[No.],表格1[Shop],"---",0)</f>
        <v>---</v>
      </c>
      <c r="C563" t="str">
        <f>_xlfn.XLOOKUP($A563,表格1[No.],表格1[Location],"---",0)</f>
        <v>---</v>
      </c>
      <c r="D563" t="str">
        <f>_xlfn.XLOOKUP($A563,表格1[No.],表格1[Name],"---",0)</f>
        <v>---</v>
      </c>
      <c r="E563" t="str">
        <f>_xlfn.XLOOKUP($A563,表格1[No.],表格1[month],"---",0)</f>
        <v>---</v>
      </c>
      <c r="F563" s="12" t="str">
        <f>_xlfn.XLOOKUP($A563,表格1[No.],表格1[date],"---",0)</f>
        <v>---</v>
      </c>
      <c r="G563" t="str">
        <f>_xlfn.XLOOKUP($A563,表格1[No.],表格1[Model],"---",0)</f>
        <v>---</v>
      </c>
      <c r="H563" t="str">
        <f>_xlfn.XLOOKUP($A563,表格1[No.],表格1[QTY],"---",0)</f>
        <v>---</v>
      </c>
      <c r="I563" t="str">
        <f>_xlfn.XLOOKUP($A563,表格1[No.],表格1[Unit Price],"---",0)</f>
        <v>---</v>
      </c>
      <c r="J563" t="str">
        <f>_xlfn.XLOOKUP($A563,表格1[No.],表格1[inv no],"---",0)</f>
        <v>---</v>
      </c>
      <c r="K563" t="str">
        <f>_xlfn.XLOOKUP($A563,表格1[No.],表格1[apps report no.],"---",0)</f>
        <v>---</v>
      </c>
    </row>
    <row r="564" spans="2:11">
      <c r="B564" t="str">
        <f>_xlfn.XLOOKUP($A564,表格1[No.],表格1[Shop],"---",0)</f>
        <v>---</v>
      </c>
      <c r="C564" t="str">
        <f>_xlfn.XLOOKUP($A564,表格1[No.],表格1[Location],"---",0)</f>
        <v>---</v>
      </c>
      <c r="D564" t="str">
        <f>_xlfn.XLOOKUP($A564,表格1[No.],表格1[Name],"---",0)</f>
        <v>---</v>
      </c>
      <c r="E564" t="str">
        <f>_xlfn.XLOOKUP($A564,表格1[No.],表格1[month],"---",0)</f>
        <v>---</v>
      </c>
      <c r="F564" s="12" t="str">
        <f>_xlfn.XLOOKUP($A564,表格1[No.],表格1[date],"---",0)</f>
        <v>---</v>
      </c>
      <c r="G564" t="str">
        <f>_xlfn.XLOOKUP($A564,表格1[No.],表格1[Model],"---",0)</f>
        <v>---</v>
      </c>
      <c r="H564" t="str">
        <f>_xlfn.XLOOKUP($A564,表格1[No.],表格1[QTY],"---",0)</f>
        <v>---</v>
      </c>
      <c r="I564" t="str">
        <f>_xlfn.XLOOKUP($A564,表格1[No.],表格1[Unit Price],"---",0)</f>
        <v>---</v>
      </c>
      <c r="J564" t="str">
        <f>_xlfn.XLOOKUP($A564,表格1[No.],表格1[inv no],"---",0)</f>
        <v>---</v>
      </c>
      <c r="K564" t="str">
        <f>_xlfn.XLOOKUP($A564,表格1[No.],表格1[apps report no.],"---",0)</f>
        <v>---</v>
      </c>
    </row>
    <row r="565" spans="2:11">
      <c r="B565" t="str">
        <f>_xlfn.XLOOKUP($A565,表格1[No.],表格1[Shop],"---",0)</f>
        <v>---</v>
      </c>
      <c r="C565" t="str">
        <f>_xlfn.XLOOKUP($A565,表格1[No.],表格1[Location],"---",0)</f>
        <v>---</v>
      </c>
      <c r="D565" t="str">
        <f>_xlfn.XLOOKUP($A565,表格1[No.],表格1[Name],"---",0)</f>
        <v>---</v>
      </c>
      <c r="E565" t="str">
        <f>_xlfn.XLOOKUP($A565,表格1[No.],表格1[month],"---",0)</f>
        <v>---</v>
      </c>
      <c r="F565" s="12" t="str">
        <f>_xlfn.XLOOKUP($A565,表格1[No.],表格1[date],"---",0)</f>
        <v>---</v>
      </c>
      <c r="G565" t="str">
        <f>_xlfn.XLOOKUP($A565,表格1[No.],表格1[Model],"---",0)</f>
        <v>---</v>
      </c>
      <c r="H565" t="str">
        <f>_xlfn.XLOOKUP($A565,表格1[No.],表格1[QTY],"---",0)</f>
        <v>---</v>
      </c>
      <c r="I565" t="str">
        <f>_xlfn.XLOOKUP($A565,表格1[No.],表格1[Unit Price],"---",0)</f>
        <v>---</v>
      </c>
      <c r="J565" t="str">
        <f>_xlfn.XLOOKUP($A565,表格1[No.],表格1[inv no],"---",0)</f>
        <v>---</v>
      </c>
      <c r="K565" t="str">
        <f>_xlfn.XLOOKUP($A565,表格1[No.],表格1[apps report no.],"---",0)</f>
        <v>---</v>
      </c>
    </row>
    <row r="566" spans="2:11">
      <c r="B566" t="str">
        <f>_xlfn.XLOOKUP($A566,表格1[No.],表格1[Shop],"---",0)</f>
        <v>---</v>
      </c>
      <c r="C566" t="str">
        <f>_xlfn.XLOOKUP($A566,表格1[No.],表格1[Location],"---",0)</f>
        <v>---</v>
      </c>
      <c r="D566" t="str">
        <f>_xlfn.XLOOKUP($A566,表格1[No.],表格1[Name],"---",0)</f>
        <v>---</v>
      </c>
      <c r="E566" t="str">
        <f>_xlfn.XLOOKUP($A566,表格1[No.],表格1[month],"---",0)</f>
        <v>---</v>
      </c>
      <c r="F566" s="12" t="str">
        <f>_xlfn.XLOOKUP($A566,表格1[No.],表格1[date],"---",0)</f>
        <v>---</v>
      </c>
      <c r="G566" t="str">
        <f>_xlfn.XLOOKUP($A566,表格1[No.],表格1[Model],"---",0)</f>
        <v>---</v>
      </c>
      <c r="H566" t="str">
        <f>_xlfn.XLOOKUP($A566,表格1[No.],表格1[QTY],"---",0)</f>
        <v>---</v>
      </c>
      <c r="I566" t="str">
        <f>_xlfn.XLOOKUP($A566,表格1[No.],表格1[Unit Price],"---",0)</f>
        <v>---</v>
      </c>
      <c r="J566" t="str">
        <f>_xlfn.XLOOKUP($A566,表格1[No.],表格1[inv no],"---",0)</f>
        <v>---</v>
      </c>
      <c r="K566" t="str">
        <f>_xlfn.XLOOKUP($A566,表格1[No.],表格1[apps report no.],"---",0)</f>
        <v>---</v>
      </c>
    </row>
    <row r="567" spans="2:11">
      <c r="B567" t="str">
        <f>_xlfn.XLOOKUP($A567,表格1[No.],表格1[Shop],"---",0)</f>
        <v>---</v>
      </c>
      <c r="C567" t="str">
        <f>_xlfn.XLOOKUP($A567,表格1[No.],表格1[Location],"---",0)</f>
        <v>---</v>
      </c>
      <c r="D567" t="str">
        <f>_xlfn.XLOOKUP($A567,表格1[No.],表格1[Name],"---",0)</f>
        <v>---</v>
      </c>
      <c r="E567" t="str">
        <f>_xlfn.XLOOKUP($A567,表格1[No.],表格1[month],"---",0)</f>
        <v>---</v>
      </c>
      <c r="F567" s="12" t="str">
        <f>_xlfn.XLOOKUP($A567,表格1[No.],表格1[date],"---",0)</f>
        <v>---</v>
      </c>
      <c r="G567" t="str">
        <f>_xlfn.XLOOKUP($A567,表格1[No.],表格1[Model],"---",0)</f>
        <v>---</v>
      </c>
      <c r="H567" t="str">
        <f>_xlfn.XLOOKUP($A567,表格1[No.],表格1[QTY],"---",0)</f>
        <v>---</v>
      </c>
      <c r="I567" t="str">
        <f>_xlfn.XLOOKUP($A567,表格1[No.],表格1[Unit Price],"---",0)</f>
        <v>---</v>
      </c>
      <c r="J567" t="str">
        <f>_xlfn.XLOOKUP($A567,表格1[No.],表格1[inv no],"---",0)</f>
        <v>---</v>
      </c>
      <c r="K567" t="str">
        <f>_xlfn.XLOOKUP($A567,表格1[No.],表格1[apps report no.],"---",0)</f>
        <v>---</v>
      </c>
    </row>
    <row r="568" spans="2:11">
      <c r="B568" t="str">
        <f>_xlfn.XLOOKUP($A568,表格1[No.],表格1[Shop],"---",0)</f>
        <v>---</v>
      </c>
      <c r="C568" t="str">
        <f>_xlfn.XLOOKUP($A568,表格1[No.],表格1[Location],"---",0)</f>
        <v>---</v>
      </c>
      <c r="D568" t="str">
        <f>_xlfn.XLOOKUP($A568,表格1[No.],表格1[Name],"---",0)</f>
        <v>---</v>
      </c>
      <c r="E568" t="str">
        <f>_xlfn.XLOOKUP($A568,表格1[No.],表格1[month],"---",0)</f>
        <v>---</v>
      </c>
      <c r="F568" s="12" t="str">
        <f>_xlfn.XLOOKUP($A568,表格1[No.],表格1[date],"---",0)</f>
        <v>---</v>
      </c>
      <c r="G568" t="str">
        <f>_xlfn.XLOOKUP($A568,表格1[No.],表格1[Model],"---",0)</f>
        <v>---</v>
      </c>
      <c r="H568" t="str">
        <f>_xlfn.XLOOKUP($A568,表格1[No.],表格1[QTY],"---",0)</f>
        <v>---</v>
      </c>
      <c r="I568" t="str">
        <f>_xlfn.XLOOKUP($A568,表格1[No.],表格1[Unit Price],"---",0)</f>
        <v>---</v>
      </c>
      <c r="J568" t="str">
        <f>_xlfn.XLOOKUP($A568,表格1[No.],表格1[inv no],"---",0)</f>
        <v>---</v>
      </c>
      <c r="K568" t="str">
        <f>_xlfn.XLOOKUP($A568,表格1[No.],表格1[apps report no.],"---",0)</f>
        <v>---</v>
      </c>
    </row>
    <row r="569" spans="2:11">
      <c r="B569" t="str">
        <f>_xlfn.XLOOKUP($A569,表格1[No.],表格1[Shop],"---",0)</f>
        <v>---</v>
      </c>
      <c r="C569" t="str">
        <f>_xlfn.XLOOKUP($A569,表格1[No.],表格1[Location],"---",0)</f>
        <v>---</v>
      </c>
      <c r="D569" t="str">
        <f>_xlfn.XLOOKUP($A569,表格1[No.],表格1[Name],"---",0)</f>
        <v>---</v>
      </c>
      <c r="E569" t="str">
        <f>_xlfn.XLOOKUP($A569,表格1[No.],表格1[month],"---",0)</f>
        <v>---</v>
      </c>
      <c r="F569" s="12" t="str">
        <f>_xlfn.XLOOKUP($A569,表格1[No.],表格1[date],"---",0)</f>
        <v>---</v>
      </c>
      <c r="G569" t="str">
        <f>_xlfn.XLOOKUP($A569,表格1[No.],表格1[Model],"---",0)</f>
        <v>---</v>
      </c>
      <c r="H569" t="str">
        <f>_xlfn.XLOOKUP($A569,表格1[No.],表格1[QTY],"---",0)</f>
        <v>---</v>
      </c>
      <c r="I569" t="str">
        <f>_xlfn.XLOOKUP($A569,表格1[No.],表格1[Unit Price],"---",0)</f>
        <v>---</v>
      </c>
      <c r="J569" t="str">
        <f>_xlfn.XLOOKUP($A569,表格1[No.],表格1[inv no],"---",0)</f>
        <v>---</v>
      </c>
      <c r="K569" t="str">
        <f>_xlfn.XLOOKUP($A569,表格1[No.],表格1[apps report no.],"---",0)</f>
        <v>---</v>
      </c>
    </row>
    <row r="570" spans="2:11">
      <c r="B570" t="str">
        <f>_xlfn.XLOOKUP($A570,表格1[No.],表格1[Shop],"---",0)</f>
        <v>---</v>
      </c>
      <c r="C570" t="str">
        <f>_xlfn.XLOOKUP($A570,表格1[No.],表格1[Location],"---",0)</f>
        <v>---</v>
      </c>
      <c r="D570" t="str">
        <f>_xlfn.XLOOKUP($A570,表格1[No.],表格1[Name],"---",0)</f>
        <v>---</v>
      </c>
      <c r="E570" t="str">
        <f>_xlfn.XLOOKUP($A570,表格1[No.],表格1[month],"---",0)</f>
        <v>---</v>
      </c>
      <c r="F570" s="12" t="str">
        <f>_xlfn.XLOOKUP($A570,表格1[No.],表格1[date],"---",0)</f>
        <v>---</v>
      </c>
      <c r="G570" t="str">
        <f>_xlfn.XLOOKUP($A570,表格1[No.],表格1[Model],"---",0)</f>
        <v>---</v>
      </c>
      <c r="H570" t="str">
        <f>_xlfn.XLOOKUP($A570,表格1[No.],表格1[QTY],"---",0)</f>
        <v>---</v>
      </c>
      <c r="I570" t="str">
        <f>_xlfn.XLOOKUP($A570,表格1[No.],表格1[Unit Price],"---",0)</f>
        <v>---</v>
      </c>
      <c r="J570" t="str">
        <f>_xlfn.XLOOKUP($A570,表格1[No.],表格1[inv no],"---",0)</f>
        <v>---</v>
      </c>
      <c r="K570" t="str">
        <f>_xlfn.XLOOKUP($A570,表格1[No.],表格1[apps report no.],"---",0)</f>
        <v>---</v>
      </c>
    </row>
    <row r="571" spans="2:11">
      <c r="B571" t="str">
        <f>_xlfn.XLOOKUP($A571,表格1[No.],表格1[Shop],"---",0)</f>
        <v>---</v>
      </c>
      <c r="C571" t="str">
        <f>_xlfn.XLOOKUP($A571,表格1[No.],表格1[Location],"---",0)</f>
        <v>---</v>
      </c>
      <c r="D571" t="str">
        <f>_xlfn.XLOOKUP($A571,表格1[No.],表格1[Name],"---",0)</f>
        <v>---</v>
      </c>
      <c r="E571" t="str">
        <f>_xlfn.XLOOKUP($A571,表格1[No.],表格1[month],"---",0)</f>
        <v>---</v>
      </c>
      <c r="F571" s="12" t="str">
        <f>_xlfn.XLOOKUP($A571,表格1[No.],表格1[date],"---",0)</f>
        <v>---</v>
      </c>
      <c r="G571" t="str">
        <f>_xlfn.XLOOKUP($A571,表格1[No.],表格1[Model],"---",0)</f>
        <v>---</v>
      </c>
      <c r="H571" t="str">
        <f>_xlfn.XLOOKUP($A571,表格1[No.],表格1[QTY],"---",0)</f>
        <v>---</v>
      </c>
      <c r="I571" t="str">
        <f>_xlfn.XLOOKUP($A571,表格1[No.],表格1[Unit Price],"---",0)</f>
        <v>---</v>
      </c>
      <c r="J571" t="str">
        <f>_xlfn.XLOOKUP($A571,表格1[No.],表格1[inv no],"---",0)</f>
        <v>---</v>
      </c>
      <c r="K571" t="str">
        <f>_xlfn.XLOOKUP($A571,表格1[No.],表格1[apps report no.],"---",0)</f>
        <v>---</v>
      </c>
    </row>
    <row r="572" spans="2:11">
      <c r="B572" t="str">
        <f>_xlfn.XLOOKUP($A572,表格1[No.],表格1[Shop],"---",0)</f>
        <v>---</v>
      </c>
      <c r="C572" t="str">
        <f>_xlfn.XLOOKUP($A572,表格1[No.],表格1[Location],"---",0)</f>
        <v>---</v>
      </c>
      <c r="D572" t="str">
        <f>_xlfn.XLOOKUP($A572,表格1[No.],表格1[Name],"---",0)</f>
        <v>---</v>
      </c>
      <c r="E572" t="str">
        <f>_xlfn.XLOOKUP($A572,表格1[No.],表格1[month],"---",0)</f>
        <v>---</v>
      </c>
      <c r="F572" s="12" t="str">
        <f>_xlfn.XLOOKUP($A572,表格1[No.],表格1[date],"---",0)</f>
        <v>---</v>
      </c>
      <c r="G572" t="str">
        <f>_xlfn.XLOOKUP($A572,表格1[No.],表格1[Model],"---",0)</f>
        <v>---</v>
      </c>
      <c r="H572" t="str">
        <f>_xlfn.XLOOKUP($A572,表格1[No.],表格1[QTY],"---",0)</f>
        <v>---</v>
      </c>
      <c r="I572" t="str">
        <f>_xlfn.XLOOKUP($A572,表格1[No.],表格1[Unit Price],"---",0)</f>
        <v>---</v>
      </c>
      <c r="J572" t="str">
        <f>_xlfn.XLOOKUP($A572,表格1[No.],表格1[inv no],"---",0)</f>
        <v>---</v>
      </c>
      <c r="K572" t="str">
        <f>_xlfn.XLOOKUP($A572,表格1[No.],表格1[apps report no.],"---",0)</f>
        <v>---</v>
      </c>
    </row>
    <row r="573" spans="2:11">
      <c r="B573" t="str">
        <f>_xlfn.XLOOKUP($A573,表格1[No.],表格1[Shop],"---",0)</f>
        <v>---</v>
      </c>
      <c r="C573" t="str">
        <f>_xlfn.XLOOKUP($A573,表格1[No.],表格1[Location],"---",0)</f>
        <v>---</v>
      </c>
      <c r="D573" t="str">
        <f>_xlfn.XLOOKUP($A573,表格1[No.],表格1[Name],"---",0)</f>
        <v>---</v>
      </c>
      <c r="E573" t="str">
        <f>_xlfn.XLOOKUP($A573,表格1[No.],表格1[month],"---",0)</f>
        <v>---</v>
      </c>
      <c r="F573" s="12" t="str">
        <f>_xlfn.XLOOKUP($A573,表格1[No.],表格1[date],"---",0)</f>
        <v>---</v>
      </c>
      <c r="G573" t="str">
        <f>_xlfn.XLOOKUP($A573,表格1[No.],表格1[Model],"---",0)</f>
        <v>---</v>
      </c>
      <c r="H573" t="str">
        <f>_xlfn.XLOOKUP($A573,表格1[No.],表格1[QTY],"---",0)</f>
        <v>---</v>
      </c>
      <c r="I573" t="str">
        <f>_xlfn.XLOOKUP($A573,表格1[No.],表格1[Unit Price],"---",0)</f>
        <v>---</v>
      </c>
      <c r="J573" t="str">
        <f>_xlfn.XLOOKUP($A573,表格1[No.],表格1[inv no],"---",0)</f>
        <v>---</v>
      </c>
      <c r="K573" t="str">
        <f>_xlfn.XLOOKUP($A573,表格1[No.],表格1[apps report no.],"---",0)</f>
        <v>---</v>
      </c>
    </row>
    <row r="574" spans="2:11">
      <c r="B574" t="str">
        <f>_xlfn.XLOOKUP($A574,表格1[No.],表格1[Shop],"---",0)</f>
        <v>---</v>
      </c>
      <c r="C574" t="str">
        <f>_xlfn.XLOOKUP($A574,表格1[No.],表格1[Location],"---",0)</f>
        <v>---</v>
      </c>
      <c r="D574" t="str">
        <f>_xlfn.XLOOKUP($A574,表格1[No.],表格1[Name],"---",0)</f>
        <v>---</v>
      </c>
      <c r="E574" t="str">
        <f>_xlfn.XLOOKUP($A574,表格1[No.],表格1[month],"---",0)</f>
        <v>---</v>
      </c>
      <c r="F574" s="12" t="str">
        <f>_xlfn.XLOOKUP($A574,表格1[No.],表格1[date],"---",0)</f>
        <v>---</v>
      </c>
      <c r="G574" t="str">
        <f>_xlfn.XLOOKUP($A574,表格1[No.],表格1[Model],"---",0)</f>
        <v>---</v>
      </c>
      <c r="H574" t="str">
        <f>_xlfn.XLOOKUP($A574,表格1[No.],表格1[QTY],"---",0)</f>
        <v>---</v>
      </c>
      <c r="I574" t="str">
        <f>_xlfn.XLOOKUP($A574,表格1[No.],表格1[Unit Price],"---",0)</f>
        <v>---</v>
      </c>
      <c r="J574" t="str">
        <f>_xlfn.XLOOKUP($A574,表格1[No.],表格1[inv no],"---",0)</f>
        <v>---</v>
      </c>
      <c r="K574" t="str">
        <f>_xlfn.XLOOKUP($A574,表格1[No.],表格1[apps report no.],"---",0)</f>
        <v>---</v>
      </c>
    </row>
    <row r="575" spans="2:11">
      <c r="B575" t="str">
        <f>_xlfn.XLOOKUP($A575,表格1[No.],表格1[Shop],"---",0)</f>
        <v>---</v>
      </c>
      <c r="C575" t="str">
        <f>_xlfn.XLOOKUP($A575,表格1[No.],表格1[Location],"---",0)</f>
        <v>---</v>
      </c>
      <c r="D575" t="str">
        <f>_xlfn.XLOOKUP($A575,表格1[No.],表格1[Name],"---",0)</f>
        <v>---</v>
      </c>
      <c r="E575" t="str">
        <f>_xlfn.XLOOKUP($A575,表格1[No.],表格1[month],"---",0)</f>
        <v>---</v>
      </c>
      <c r="F575" s="12" t="str">
        <f>_xlfn.XLOOKUP($A575,表格1[No.],表格1[date],"---",0)</f>
        <v>---</v>
      </c>
      <c r="G575" t="str">
        <f>_xlfn.XLOOKUP($A575,表格1[No.],表格1[Model],"---",0)</f>
        <v>---</v>
      </c>
      <c r="H575" t="str">
        <f>_xlfn.XLOOKUP($A575,表格1[No.],表格1[QTY],"---",0)</f>
        <v>---</v>
      </c>
      <c r="I575" t="str">
        <f>_xlfn.XLOOKUP($A575,表格1[No.],表格1[Unit Price],"---",0)</f>
        <v>---</v>
      </c>
      <c r="J575" t="str">
        <f>_xlfn.XLOOKUP($A575,表格1[No.],表格1[inv no],"---",0)</f>
        <v>---</v>
      </c>
      <c r="K575" t="str">
        <f>_xlfn.XLOOKUP($A575,表格1[No.],表格1[apps report no.],"---",0)</f>
        <v>---</v>
      </c>
    </row>
    <row r="576" spans="2:11">
      <c r="B576" t="str">
        <f>_xlfn.XLOOKUP($A576,表格1[No.],表格1[Shop],"---",0)</f>
        <v>---</v>
      </c>
      <c r="C576" t="str">
        <f>_xlfn.XLOOKUP($A576,表格1[No.],表格1[Location],"---",0)</f>
        <v>---</v>
      </c>
      <c r="D576" t="str">
        <f>_xlfn.XLOOKUP($A576,表格1[No.],表格1[Name],"---",0)</f>
        <v>---</v>
      </c>
      <c r="E576" t="str">
        <f>_xlfn.XLOOKUP($A576,表格1[No.],表格1[month],"---",0)</f>
        <v>---</v>
      </c>
      <c r="F576" s="12" t="str">
        <f>_xlfn.XLOOKUP($A576,表格1[No.],表格1[date],"---",0)</f>
        <v>---</v>
      </c>
      <c r="G576" t="str">
        <f>_xlfn.XLOOKUP($A576,表格1[No.],表格1[Model],"---",0)</f>
        <v>---</v>
      </c>
      <c r="H576" t="str">
        <f>_xlfn.XLOOKUP($A576,表格1[No.],表格1[QTY],"---",0)</f>
        <v>---</v>
      </c>
      <c r="I576" t="str">
        <f>_xlfn.XLOOKUP($A576,表格1[No.],表格1[Unit Price],"---",0)</f>
        <v>---</v>
      </c>
      <c r="J576" t="str">
        <f>_xlfn.XLOOKUP($A576,表格1[No.],表格1[inv no],"---",0)</f>
        <v>---</v>
      </c>
      <c r="K576" t="str">
        <f>_xlfn.XLOOKUP($A576,表格1[No.],表格1[apps report no.],"---",0)</f>
        <v>---</v>
      </c>
    </row>
    <row r="577" spans="2:11">
      <c r="B577" t="str">
        <f>_xlfn.XLOOKUP($A577,表格1[No.],表格1[Shop],"---",0)</f>
        <v>---</v>
      </c>
      <c r="C577" t="str">
        <f>_xlfn.XLOOKUP($A577,表格1[No.],表格1[Location],"---",0)</f>
        <v>---</v>
      </c>
      <c r="D577" t="str">
        <f>_xlfn.XLOOKUP($A577,表格1[No.],表格1[Name],"---",0)</f>
        <v>---</v>
      </c>
      <c r="E577" t="str">
        <f>_xlfn.XLOOKUP($A577,表格1[No.],表格1[month],"---",0)</f>
        <v>---</v>
      </c>
      <c r="F577" s="12" t="str">
        <f>_xlfn.XLOOKUP($A577,表格1[No.],表格1[date],"---",0)</f>
        <v>---</v>
      </c>
      <c r="G577" t="str">
        <f>_xlfn.XLOOKUP($A577,表格1[No.],表格1[Model],"---",0)</f>
        <v>---</v>
      </c>
      <c r="H577" t="str">
        <f>_xlfn.XLOOKUP($A577,表格1[No.],表格1[QTY],"---",0)</f>
        <v>---</v>
      </c>
      <c r="I577" t="str">
        <f>_xlfn.XLOOKUP($A577,表格1[No.],表格1[Unit Price],"---",0)</f>
        <v>---</v>
      </c>
      <c r="J577" t="str">
        <f>_xlfn.XLOOKUP($A577,表格1[No.],表格1[inv no],"---",0)</f>
        <v>---</v>
      </c>
      <c r="K577" t="str">
        <f>_xlfn.XLOOKUP($A577,表格1[No.],表格1[apps report no.],"---",0)</f>
        <v>---</v>
      </c>
    </row>
    <row r="578" spans="2:11">
      <c r="B578" t="str">
        <f>_xlfn.XLOOKUP($A578,表格1[No.],表格1[Shop],"---",0)</f>
        <v>---</v>
      </c>
      <c r="C578" t="str">
        <f>_xlfn.XLOOKUP($A578,表格1[No.],表格1[Location],"---",0)</f>
        <v>---</v>
      </c>
      <c r="D578" t="str">
        <f>_xlfn.XLOOKUP($A578,表格1[No.],表格1[Name],"---",0)</f>
        <v>---</v>
      </c>
      <c r="E578" t="str">
        <f>_xlfn.XLOOKUP($A578,表格1[No.],表格1[month],"---",0)</f>
        <v>---</v>
      </c>
      <c r="F578" s="12" t="str">
        <f>_xlfn.XLOOKUP($A578,表格1[No.],表格1[date],"---",0)</f>
        <v>---</v>
      </c>
      <c r="G578" t="str">
        <f>_xlfn.XLOOKUP($A578,表格1[No.],表格1[Model],"---",0)</f>
        <v>---</v>
      </c>
      <c r="H578" t="str">
        <f>_xlfn.XLOOKUP($A578,表格1[No.],表格1[QTY],"---",0)</f>
        <v>---</v>
      </c>
      <c r="I578" t="str">
        <f>_xlfn.XLOOKUP($A578,表格1[No.],表格1[Unit Price],"---",0)</f>
        <v>---</v>
      </c>
      <c r="J578" t="str">
        <f>_xlfn.XLOOKUP($A578,表格1[No.],表格1[inv no],"---",0)</f>
        <v>---</v>
      </c>
      <c r="K578" t="str">
        <f>_xlfn.XLOOKUP($A578,表格1[No.],表格1[apps report no.],"---",0)</f>
        <v>---</v>
      </c>
    </row>
    <row r="579" spans="2:11">
      <c r="B579" t="str">
        <f>_xlfn.XLOOKUP($A579,表格1[No.],表格1[Shop],"---",0)</f>
        <v>---</v>
      </c>
      <c r="C579" t="str">
        <f>_xlfn.XLOOKUP($A579,表格1[No.],表格1[Location],"---",0)</f>
        <v>---</v>
      </c>
      <c r="D579" t="str">
        <f>_xlfn.XLOOKUP($A579,表格1[No.],表格1[Name],"---",0)</f>
        <v>---</v>
      </c>
      <c r="E579" t="str">
        <f>_xlfn.XLOOKUP($A579,表格1[No.],表格1[month],"---",0)</f>
        <v>---</v>
      </c>
      <c r="F579" s="12" t="str">
        <f>_xlfn.XLOOKUP($A579,表格1[No.],表格1[date],"---",0)</f>
        <v>---</v>
      </c>
      <c r="G579" t="str">
        <f>_xlfn.XLOOKUP($A579,表格1[No.],表格1[Model],"---",0)</f>
        <v>---</v>
      </c>
      <c r="H579" t="str">
        <f>_xlfn.XLOOKUP($A579,表格1[No.],表格1[QTY],"---",0)</f>
        <v>---</v>
      </c>
      <c r="I579" t="str">
        <f>_xlfn.XLOOKUP($A579,表格1[No.],表格1[Unit Price],"---",0)</f>
        <v>---</v>
      </c>
      <c r="J579" t="str">
        <f>_xlfn.XLOOKUP($A579,表格1[No.],表格1[inv no],"---",0)</f>
        <v>---</v>
      </c>
      <c r="K579" t="str">
        <f>_xlfn.XLOOKUP($A579,表格1[No.],表格1[apps report no.],"---",0)</f>
        <v>---</v>
      </c>
    </row>
    <row r="580" spans="2:11">
      <c r="B580" t="str">
        <f>_xlfn.XLOOKUP($A580,表格1[No.],表格1[Shop],"---",0)</f>
        <v>---</v>
      </c>
      <c r="C580" t="str">
        <f>_xlfn.XLOOKUP($A580,表格1[No.],表格1[Location],"---",0)</f>
        <v>---</v>
      </c>
      <c r="D580" t="str">
        <f>_xlfn.XLOOKUP($A580,表格1[No.],表格1[Name],"---",0)</f>
        <v>---</v>
      </c>
      <c r="E580" t="str">
        <f>_xlfn.XLOOKUP($A580,表格1[No.],表格1[month],"---",0)</f>
        <v>---</v>
      </c>
      <c r="F580" s="12" t="str">
        <f>_xlfn.XLOOKUP($A580,表格1[No.],表格1[date],"---",0)</f>
        <v>---</v>
      </c>
      <c r="G580" t="str">
        <f>_xlfn.XLOOKUP($A580,表格1[No.],表格1[Model],"---",0)</f>
        <v>---</v>
      </c>
      <c r="H580" t="str">
        <f>_xlfn.XLOOKUP($A580,表格1[No.],表格1[QTY],"---",0)</f>
        <v>---</v>
      </c>
      <c r="I580" t="str">
        <f>_xlfn.XLOOKUP($A580,表格1[No.],表格1[Unit Price],"---",0)</f>
        <v>---</v>
      </c>
      <c r="J580" t="str">
        <f>_xlfn.XLOOKUP($A580,表格1[No.],表格1[inv no],"---",0)</f>
        <v>---</v>
      </c>
      <c r="K580" t="str">
        <f>_xlfn.XLOOKUP($A580,表格1[No.],表格1[apps report no.],"---",0)</f>
        <v>---</v>
      </c>
    </row>
    <row r="581" spans="2:11">
      <c r="B581" t="str">
        <f>_xlfn.XLOOKUP($A581,表格1[No.],表格1[Shop],"---",0)</f>
        <v>---</v>
      </c>
      <c r="C581" t="str">
        <f>_xlfn.XLOOKUP($A581,表格1[No.],表格1[Location],"---",0)</f>
        <v>---</v>
      </c>
      <c r="D581" t="str">
        <f>_xlfn.XLOOKUP($A581,表格1[No.],表格1[Name],"---",0)</f>
        <v>---</v>
      </c>
      <c r="E581" t="str">
        <f>_xlfn.XLOOKUP($A581,表格1[No.],表格1[month],"---",0)</f>
        <v>---</v>
      </c>
      <c r="F581" s="12" t="str">
        <f>_xlfn.XLOOKUP($A581,表格1[No.],表格1[date],"---",0)</f>
        <v>---</v>
      </c>
      <c r="G581" t="str">
        <f>_xlfn.XLOOKUP($A581,表格1[No.],表格1[Model],"---",0)</f>
        <v>---</v>
      </c>
      <c r="H581" t="str">
        <f>_xlfn.XLOOKUP($A581,表格1[No.],表格1[QTY],"---",0)</f>
        <v>---</v>
      </c>
      <c r="I581" t="str">
        <f>_xlfn.XLOOKUP($A581,表格1[No.],表格1[Unit Price],"---",0)</f>
        <v>---</v>
      </c>
      <c r="J581" t="str">
        <f>_xlfn.XLOOKUP($A581,表格1[No.],表格1[inv no],"---",0)</f>
        <v>---</v>
      </c>
      <c r="K581" t="str">
        <f>_xlfn.XLOOKUP($A581,表格1[No.],表格1[apps report no.],"---",0)</f>
        <v>---</v>
      </c>
    </row>
    <row r="582" spans="2:11">
      <c r="B582" t="str">
        <f>_xlfn.XLOOKUP($A582,表格1[No.],表格1[Shop],"---",0)</f>
        <v>---</v>
      </c>
      <c r="C582" t="str">
        <f>_xlfn.XLOOKUP($A582,表格1[No.],表格1[Location],"---",0)</f>
        <v>---</v>
      </c>
      <c r="D582" t="str">
        <f>_xlfn.XLOOKUP($A582,表格1[No.],表格1[Name],"---",0)</f>
        <v>---</v>
      </c>
      <c r="E582" t="str">
        <f>_xlfn.XLOOKUP($A582,表格1[No.],表格1[month],"---",0)</f>
        <v>---</v>
      </c>
      <c r="F582" s="12" t="str">
        <f>_xlfn.XLOOKUP($A582,表格1[No.],表格1[date],"---",0)</f>
        <v>---</v>
      </c>
      <c r="G582" t="str">
        <f>_xlfn.XLOOKUP($A582,表格1[No.],表格1[Model],"---",0)</f>
        <v>---</v>
      </c>
      <c r="H582" t="str">
        <f>_xlfn.XLOOKUP($A582,表格1[No.],表格1[QTY],"---",0)</f>
        <v>---</v>
      </c>
      <c r="I582" t="str">
        <f>_xlfn.XLOOKUP($A582,表格1[No.],表格1[Unit Price],"---",0)</f>
        <v>---</v>
      </c>
      <c r="J582" t="str">
        <f>_xlfn.XLOOKUP($A582,表格1[No.],表格1[inv no],"---",0)</f>
        <v>---</v>
      </c>
      <c r="K582" t="str">
        <f>_xlfn.XLOOKUP($A582,表格1[No.],表格1[apps report no.],"---",0)</f>
        <v>---</v>
      </c>
    </row>
    <row r="583" spans="2:11">
      <c r="B583" t="str">
        <f>_xlfn.XLOOKUP($A583,表格1[No.],表格1[Shop],"---",0)</f>
        <v>---</v>
      </c>
      <c r="C583" t="str">
        <f>_xlfn.XLOOKUP($A583,表格1[No.],表格1[Location],"---",0)</f>
        <v>---</v>
      </c>
      <c r="D583" t="str">
        <f>_xlfn.XLOOKUP($A583,表格1[No.],表格1[Name],"---",0)</f>
        <v>---</v>
      </c>
      <c r="E583" t="str">
        <f>_xlfn.XLOOKUP($A583,表格1[No.],表格1[month],"---",0)</f>
        <v>---</v>
      </c>
      <c r="F583" s="12" t="str">
        <f>_xlfn.XLOOKUP($A583,表格1[No.],表格1[date],"---",0)</f>
        <v>---</v>
      </c>
      <c r="G583" t="str">
        <f>_xlfn.XLOOKUP($A583,表格1[No.],表格1[Model],"---",0)</f>
        <v>---</v>
      </c>
      <c r="H583" t="str">
        <f>_xlfn.XLOOKUP($A583,表格1[No.],表格1[QTY],"---",0)</f>
        <v>---</v>
      </c>
      <c r="I583" t="str">
        <f>_xlfn.XLOOKUP($A583,表格1[No.],表格1[Unit Price],"---",0)</f>
        <v>---</v>
      </c>
      <c r="J583" t="str">
        <f>_xlfn.XLOOKUP($A583,表格1[No.],表格1[inv no],"---",0)</f>
        <v>---</v>
      </c>
      <c r="K583" t="str">
        <f>_xlfn.XLOOKUP($A583,表格1[No.],表格1[apps report no.],"---",0)</f>
        <v>---</v>
      </c>
    </row>
    <row r="584" spans="2:11">
      <c r="B584" t="str">
        <f>_xlfn.XLOOKUP($A584,表格1[No.],表格1[Shop],"---",0)</f>
        <v>---</v>
      </c>
      <c r="C584" t="str">
        <f>_xlfn.XLOOKUP($A584,表格1[No.],表格1[Location],"---",0)</f>
        <v>---</v>
      </c>
      <c r="D584" t="str">
        <f>_xlfn.XLOOKUP($A584,表格1[No.],表格1[Name],"---",0)</f>
        <v>---</v>
      </c>
      <c r="E584" t="str">
        <f>_xlfn.XLOOKUP($A584,表格1[No.],表格1[month],"---",0)</f>
        <v>---</v>
      </c>
      <c r="F584" s="12" t="str">
        <f>_xlfn.XLOOKUP($A584,表格1[No.],表格1[date],"---",0)</f>
        <v>---</v>
      </c>
      <c r="G584" t="str">
        <f>_xlfn.XLOOKUP($A584,表格1[No.],表格1[Model],"---",0)</f>
        <v>---</v>
      </c>
      <c r="H584" t="str">
        <f>_xlfn.XLOOKUP($A584,表格1[No.],表格1[QTY],"---",0)</f>
        <v>---</v>
      </c>
      <c r="I584" t="str">
        <f>_xlfn.XLOOKUP($A584,表格1[No.],表格1[Unit Price],"---",0)</f>
        <v>---</v>
      </c>
      <c r="J584" t="str">
        <f>_xlfn.XLOOKUP($A584,表格1[No.],表格1[inv no],"---",0)</f>
        <v>---</v>
      </c>
      <c r="K584" t="str">
        <f>_xlfn.XLOOKUP($A584,表格1[No.],表格1[apps report no.],"---",0)</f>
        <v>---</v>
      </c>
    </row>
    <row r="585" spans="2:11">
      <c r="B585" t="str">
        <f>_xlfn.XLOOKUP($A585,表格1[No.],表格1[Shop],"---",0)</f>
        <v>---</v>
      </c>
      <c r="C585" t="str">
        <f>_xlfn.XLOOKUP($A585,表格1[No.],表格1[Location],"---",0)</f>
        <v>---</v>
      </c>
      <c r="D585" t="str">
        <f>_xlfn.XLOOKUP($A585,表格1[No.],表格1[Name],"---",0)</f>
        <v>---</v>
      </c>
      <c r="E585" t="str">
        <f>_xlfn.XLOOKUP($A585,表格1[No.],表格1[month],"---",0)</f>
        <v>---</v>
      </c>
      <c r="F585" s="12" t="str">
        <f>_xlfn.XLOOKUP($A585,表格1[No.],表格1[date],"---",0)</f>
        <v>---</v>
      </c>
      <c r="G585" t="str">
        <f>_xlfn.XLOOKUP($A585,表格1[No.],表格1[Model],"---",0)</f>
        <v>---</v>
      </c>
      <c r="H585" t="str">
        <f>_xlfn.XLOOKUP($A585,表格1[No.],表格1[QTY],"---",0)</f>
        <v>---</v>
      </c>
      <c r="I585" t="str">
        <f>_xlfn.XLOOKUP($A585,表格1[No.],表格1[Unit Price],"---",0)</f>
        <v>---</v>
      </c>
      <c r="J585" t="str">
        <f>_xlfn.XLOOKUP($A585,表格1[No.],表格1[inv no],"---",0)</f>
        <v>---</v>
      </c>
      <c r="K585" t="str">
        <f>_xlfn.XLOOKUP($A585,表格1[No.],表格1[apps report no.],"---",0)</f>
        <v>---</v>
      </c>
    </row>
    <row r="586" spans="2:11">
      <c r="B586" t="str">
        <f>_xlfn.XLOOKUP($A586,表格1[No.],表格1[Shop],"---",0)</f>
        <v>---</v>
      </c>
      <c r="C586" t="str">
        <f>_xlfn.XLOOKUP($A586,表格1[No.],表格1[Location],"---",0)</f>
        <v>---</v>
      </c>
      <c r="D586" t="str">
        <f>_xlfn.XLOOKUP($A586,表格1[No.],表格1[Name],"---",0)</f>
        <v>---</v>
      </c>
      <c r="E586" t="str">
        <f>_xlfn.XLOOKUP($A586,表格1[No.],表格1[month],"---",0)</f>
        <v>---</v>
      </c>
      <c r="F586" s="12" t="str">
        <f>_xlfn.XLOOKUP($A586,表格1[No.],表格1[date],"---",0)</f>
        <v>---</v>
      </c>
      <c r="G586" t="str">
        <f>_xlfn.XLOOKUP($A586,表格1[No.],表格1[Model],"---",0)</f>
        <v>---</v>
      </c>
      <c r="H586" t="str">
        <f>_xlfn.XLOOKUP($A586,表格1[No.],表格1[QTY],"---",0)</f>
        <v>---</v>
      </c>
      <c r="I586" t="str">
        <f>_xlfn.XLOOKUP($A586,表格1[No.],表格1[Unit Price],"---",0)</f>
        <v>---</v>
      </c>
      <c r="J586" t="str">
        <f>_xlfn.XLOOKUP($A586,表格1[No.],表格1[inv no],"---",0)</f>
        <v>---</v>
      </c>
      <c r="K586" t="str">
        <f>_xlfn.XLOOKUP($A586,表格1[No.],表格1[apps report no.],"---",0)</f>
        <v>---</v>
      </c>
    </row>
    <row r="587" spans="2:11">
      <c r="B587" t="str">
        <f>_xlfn.XLOOKUP($A587,表格1[No.],表格1[Shop],"---",0)</f>
        <v>---</v>
      </c>
      <c r="C587" t="str">
        <f>_xlfn.XLOOKUP($A587,表格1[No.],表格1[Location],"---",0)</f>
        <v>---</v>
      </c>
      <c r="D587" t="str">
        <f>_xlfn.XLOOKUP($A587,表格1[No.],表格1[Name],"---",0)</f>
        <v>---</v>
      </c>
      <c r="E587" t="str">
        <f>_xlfn.XLOOKUP($A587,表格1[No.],表格1[month],"---",0)</f>
        <v>---</v>
      </c>
      <c r="F587" s="12" t="str">
        <f>_xlfn.XLOOKUP($A587,表格1[No.],表格1[date],"---",0)</f>
        <v>---</v>
      </c>
      <c r="G587" t="str">
        <f>_xlfn.XLOOKUP($A587,表格1[No.],表格1[Model],"---",0)</f>
        <v>---</v>
      </c>
      <c r="H587" t="str">
        <f>_xlfn.XLOOKUP($A587,表格1[No.],表格1[QTY],"---",0)</f>
        <v>---</v>
      </c>
      <c r="I587" t="str">
        <f>_xlfn.XLOOKUP($A587,表格1[No.],表格1[Unit Price],"---",0)</f>
        <v>---</v>
      </c>
      <c r="J587" t="str">
        <f>_xlfn.XLOOKUP($A587,表格1[No.],表格1[inv no],"---",0)</f>
        <v>---</v>
      </c>
      <c r="K587" t="str">
        <f>_xlfn.XLOOKUP($A587,表格1[No.],表格1[apps report no.],"---",0)</f>
        <v>---</v>
      </c>
    </row>
    <row r="588" spans="2:11">
      <c r="B588" t="str">
        <f>_xlfn.XLOOKUP($A588,表格1[No.],表格1[Shop],"---",0)</f>
        <v>---</v>
      </c>
      <c r="C588" t="str">
        <f>_xlfn.XLOOKUP($A588,表格1[No.],表格1[Location],"---",0)</f>
        <v>---</v>
      </c>
      <c r="D588" t="str">
        <f>_xlfn.XLOOKUP($A588,表格1[No.],表格1[Name],"---",0)</f>
        <v>---</v>
      </c>
      <c r="E588" t="str">
        <f>_xlfn.XLOOKUP($A588,表格1[No.],表格1[month],"---",0)</f>
        <v>---</v>
      </c>
      <c r="F588" s="12" t="str">
        <f>_xlfn.XLOOKUP($A588,表格1[No.],表格1[date],"---",0)</f>
        <v>---</v>
      </c>
      <c r="G588" t="str">
        <f>_xlfn.XLOOKUP($A588,表格1[No.],表格1[Model],"---",0)</f>
        <v>---</v>
      </c>
      <c r="H588" t="str">
        <f>_xlfn.XLOOKUP($A588,表格1[No.],表格1[QTY],"---",0)</f>
        <v>---</v>
      </c>
      <c r="I588" t="str">
        <f>_xlfn.XLOOKUP($A588,表格1[No.],表格1[Unit Price],"---",0)</f>
        <v>---</v>
      </c>
      <c r="J588" t="str">
        <f>_xlfn.XLOOKUP($A588,表格1[No.],表格1[inv no],"---",0)</f>
        <v>---</v>
      </c>
      <c r="K588" t="str">
        <f>_xlfn.XLOOKUP($A588,表格1[No.],表格1[apps report no.],"---",0)</f>
        <v>---</v>
      </c>
    </row>
    <row r="589" spans="2:11">
      <c r="B589" t="str">
        <f>_xlfn.XLOOKUP($A589,表格1[No.],表格1[Shop],"---",0)</f>
        <v>---</v>
      </c>
      <c r="C589" t="str">
        <f>_xlfn.XLOOKUP($A589,表格1[No.],表格1[Location],"---",0)</f>
        <v>---</v>
      </c>
      <c r="D589" t="str">
        <f>_xlfn.XLOOKUP($A589,表格1[No.],表格1[Name],"---",0)</f>
        <v>---</v>
      </c>
      <c r="E589" t="str">
        <f>_xlfn.XLOOKUP($A589,表格1[No.],表格1[month],"---",0)</f>
        <v>---</v>
      </c>
      <c r="F589" s="12" t="str">
        <f>_xlfn.XLOOKUP($A589,表格1[No.],表格1[date],"---",0)</f>
        <v>---</v>
      </c>
      <c r="G589" t="str">
        <f>_xlfn.XLOOKUP($A589,表格1[No.],表格1[Model],"---",0)</f>
        <v>---</v>
      </c>
      <c r="H589" t="str">
        <f>_xlfn.XLOOKUP($A589,表格1[No.],表格1[QTY],"---",0)</f>
        <v>---</v>
      </c>
      <c r="I589" t="str">
        <f>_xlfn.XLOOKUP($A589,表格1[No.],表格1[Unit Price],"---",0)</f>
        <v>---</v>
      </c>
      <c r="J589" t="str">
        <f>_xlfn.XLOOKUP($A589,表格1[No.],表格1[inv no],"---",0)</f>
        <v>---</v>
      </c>
      <c r="K589" t="str">
        <f>_xlfn.XLOOKUP($A589,表格1[No.],表格1[apps report no.],"---",0)</f>
        <v>---</v>
      </c>
    </row>
    <row r="590" spans="2:11">
      <c r="B590" t="str">
        <f>_xlfn.XLOOKUP($A590,表格1[No.],表格1[Shop],"---",0)</f>
        <v>---</v>
      </c>
      <c r="C590" t="str">
        <f>_xlfn.XLOOKUP($A590,表格1[No.],表格1[Location],"---",0)</f>
        <v>---</v>
      </c>
      <c r="D590" t="str">
        <f>_xlfn.XLOOKUP($A590,表格1[No.],表格1[Name],"---",0)</f>
        <v>---</v>
      </c>
      <c r="E590" t="str">
        <f>_xlfn.XLOOKUP($A590,表格1[No.],表格1[month],"---",0)</f>
        <v>---</v>
      </c>
      <c r="F590" s="12" t="str">
        <f>_xlfn.XLOOKUP($A590,表格1[No.],表格1[date],"---",0)</f>
        <v>---</v>
      </c>
      <c r="G590" t="str">
        <f>_xlfn.XLOOKUP($A590,表格1[No.],表格1[Model],"---",0)</f>
        <v>---</v>
      </c>
      <c r="H590" t="str">
        <f>_xlfn.XLOOKUP($A590,表格1[No.],表格1[QTY],"---",0)</f>
        <v>---</v>
      </c>
      <c r="I590" t="str">
        <f>_xlfn.XLOOKUP($A590,表格1[No.],表格1[Unit Price],"---",0)</f>
        <v>---</v>
      </c>
      <c r="J590" t="str">
        <f>_xlfn.XLOOKUP($A590,表格1[No.],表格1[inv no],"---",0)</f>
        <v>---</v>
      </c>
      <c r="K590" t="str">
        <f>_xlfn.XLOOKUP($A590,表格1[No.],表格1[apps report no.],"---",0)</f>
        <v>---</v>
      </c>
    </row>
    <row r="591" spans="2:11">
      <c r="B591" t="str">
        <f>_xlfn.XLOOKUP($A591,表格1[No.],表格1[Shop],"---",0)</f>
        <v>---</v>
      </c>
      <c r="C591" t="str">
        <f>_xlfn.XLOOKUP($A591,表格1[No.],表格1[Location],"---",0)</f>
        <v>---</v>
      </c>
      <c r="D591" t="str">
        <f>_xlfn.XLOOKUP($A591,表格1[No.],表格1[Name],"---",0)</f>
        <v>---</v>
      </c>
      <c r="E591" t="str">
        <f>_xlfn.XLOOKUP($A591,表格1[No.],表格1[month],"---",0)</f>
        <v>---</v>
      </c>
      <c r="F591" s="12" t="str">
        <f>_xlfn.XLOOKUP($A591,表格1[No.],表格1[date],"---",0)</f>
        <v>---</v>
      </c>
      <c r="G591" t="str">
        <f>_xlfn.XLOOKUP($A591,表格1[No.],表格1[Model],"---",0)</f>
        <v>---</v>
      </c>
      <c r="H591" t="str">
        <f>_xlfn.XLOOKUP($A591,表格1[No.],表格1[QTY],"---",0)</f>
        <v>---</v>
      </c>
      <c r="I591" t="str">
        <f>_xlfn.XLOOKUP($A591,表格1[No.],表格1[Unit Price],"---",0)</f>
        <v>---</v>
      </c>
      <c r="J591" t="str">
        <f>_xlfn.XLOOKUP($A591,表格1[No.],表格1[inv no],"---",0)</f>
        <v>---</v>
      </c>
      <c r="K591" t="str">
        <f>_xlfn.XLOOKUP($A591,表格1[No.],表格1[apps report no.],"---",0)</f>
        <v>---</v>
      </c>
    </row>
    <row r="592" spans="2:11">
      <c r="B592" t="str">
        <f>_xlfn.XLOOKUP($A592,表格1[No.],表格1[Shop],"---",0)</f>
        <v>---</v>
      </c>
      <c r="C592" t="str">
        <f>_xlfn.XLOOKUP($A592,表格1[No.],表格1[Location],"---",0)</f>
        <v>---</v>
      </c>
      <c r="D592" t="str">
        <f>_xlfn.XLOOKUP($A592,表格1[No.],表格1[Name],"---",0)</f>
        <v>---</v>
      </c>
      <c r="E592" t="str">
        <f>_xlfn.XLOOKUP($A592,表格1[No.],表格1[month],"---",0)</f>
        <v>---</v>
      </c>
      <c r="F592" s="12" t="str">
        <f>_xlfn.XLOOKUP($A592,表格1[No.],表格1[date],"---",0)</f>
        <v>---</v>
      </c>
      <c r="G592" t="str">
        <f>_xlfn.XLOOKUP($A592,表格1[No.],表格1[Model],"---",0)</f>
        <v>---</v>
      </c>
      <c r="H592" t="str">
        <f>_xlfn.XLOOKUP($A592,表格1[No.],表格1[QTY],"---",0)</f>
        <v>---</v>
      </c>
      <c r="I592" t="str">
        <f>_xlfn.XLOOKUP($A592,表格1[No.],表格1[Unit Price],"---",0)</f>
        <v>---</v>
      </c>
      <c r="J592" t="str">
        <f>_xlfn.XLOOKUP($A592,表格1[No.],表格1[inv no],"---",0)</f>
        <v>---</v>
      </c>
      <c r="K592" t="str">
        <f>_xlfn.XLOOKUP($A592,表格1[No.],表格1[apps report no.],"---",0)</f>
        <v>---</v>
      </c>
    </row>
    <row r="593" spans="2:11">
      <c r="B593" t="str">
        <f>_xlfn.XLOOKUP($A593,表格1[No.],表格1[Shop],"---",0)</f>
        <v>---</v>
      </c>
      <c r="C593" t="str">
        <f>_xlfn.XLOOKUP($A593,表格1[No.],表格1[Location],"---",0)</f>
        <v>---</v>
      </c>
      <c r="D593" t="str">
        <f>_xlfn.XLOOKUP($A593,表格1[No.],表格1[Name],"---",0)</f>
        <v>---</v>
      </c>
      <c r="E593" t="str">
        <f>_xlfn.XLOOKUP($A593,表格1[No.],表格1[month],"---",0)</f>
        <v>---</v>
      </c>
      <c r="F593" s="12" t="str">
        <f>_xlfn.XLOOKUP($A593,表格1[No.],表格1[date],"---",0)</f>
        <v>---</v>
      </c>
      <c r="G593" t="str">
        <f>_xlfn.XLOOKUP($A593,表格1[No.],表格1[Model],"---",0)</f>
        <v>---</v>
      </c>
      <c r="H593" t="str">
        <f>_xlfn.XLOOKUP($A593,表格1[No.],表格1[QTY],"---",0)</f>
        <v>---</v>
      </c>
      <c r="I593" t="str">
        <f>_xlfn.XLOOKUP($A593,表格1[No.],表格1[Unit Price],"---",0)</f>
        <v>---</v>
      </c>
      <c r="J593" t="str">
        <f>_xlfn.XLOOKUP($A593,表格1[No.],表格1[inv no],"---",0)</f>
        <v>---</v>
      </c>
      <c r="K593" t="str">
        <f>_xlfn.XLOOKUP($A593,表格1[No.],表格1[apps report no.],"---",0)</f>
        <v>---</v>
      </c>
    </row>
    <row r="594" spans="2:11">
      <c r="B594" t="str">
        <f>_xlfn.XLOOKUP($A594,表格1[No.],表格1[Shop],"---",0)</f>
        <v>---</v>
      </c>
      <c r="C594" t="str">
        <f>_xlfn.XLOOKUP($A594,表格1[No.],表格1[Location],"---",0)</f>
        <v>---</v>
      </c>
      <c r="D594" t="str">
        <f>_xlfn.XLOOKUP($A594,表格1[No.],表格1[Name],"---",0)</f>
        <v>---</v>
      </c>
      <c r="E594" t="str">
        <f>_xlfn.XLOOKUP($A594,表格1[No.],表格1[month],"---",0)</f>
        <v>---</v>
      </c>
      <c r="F594" s="12" t="str">
        <f>_xlfn.XLOOKUP($A594,表格1[No.],表格1[date],"---",0)</f>
        <v>---</v>
      </c>
      <c r="G594" t="str">
        <f>_xlfn.XLOOKUP($A594,表格1[No.],表格1[Model],"---",0)</f>
        <v>---</v>
      </c>
      <c r="H594" t="str">
        <f>_xlfn.XLOOKUP($A594,表格1[No.],表格1[QTY],"---",0)</f>
        <v>---</v>
      </c>
      <c r="I594" t="str">
        <f>_xlfn.XLOOKUP($A594,表格1[No.],表格1[Unit Price],"---",0)</f>
        <v>---</v>
      </c>
      <c r="J594" t="str">
        <f>_xlfn.XLOOKUP($A594,表格1[No.],表格1[inv no],"---",0)</f>
        <v>---</v>
      </c>
      <c r="K594" t="str">
        <f>_xlfn.XLOOKUP($A594,表格1[No.],表格1[apps report no.],"---",0)</f>
        <v>---</v>
      </c>
    </row>
    <row r="595" spans="2:11">
      <c r="B595" t="str">
        <f>_xlfn.XLOOKUP($A595,表格1[No.],表格1[Shop],"---",0)</f>
        <v>---</v>
      </c>
      <c r="C595" t="str">
        <f>_xlfn.XLOOKUP($A595,表格1[No.],表格1[Location],"---",0)</f>
        <v>---</v>
      </c>
      <c r="D595" t="str">
        <f>_xlfn.XLOOKUP($A595,表格1[No.],表格1[Name],"---",0)</f>
        <v>---</v>
      </c>
      <c r="E595" t="str">
        <f>_xlfn.XLOOKUP($A595,表格1[No.],表格1[month],"---",0)</f>
        <v>---</v>
      </c>
      <c r="F595" s="12" t="str">
        <f>_xlfn.XLOOKUP($A595,表格1[No.],表格1[date],"---",0)</f>
        <v>---</v>
      </c>
      <c r="G595" t="str">
        <f>_xlfn.XLOOKUP($A595,表格1[No.],表格1[Model],"---",0)</f>
        <v>---</v>
      </c>
      <c r="H595" t="str">
        <f>_xlfn.XLOOKUP($A595,表格1[No.],表格1[QTY],"---",0)</f>
        <v>---</v>
      </c>
      <c r="I595" t="str">
        <f>_xlfn.XLOOKUP($A595,表格1[No.],表格1[Unit Price],"---",0)</f>
        <v>---</v>
      </c>
      <c r="J595" t="str">
        <f>_xlfn.XLOOKUP($A595,表格1[No.],表格1[inv no],"---",0)</f>
        <v>---</v>
      </c>
      <c r="K595" t="str">
        <f>_xlfn.XLOOKUP($A595,表格1[No.],表格1[apps report no.],"---",0)</f>
        <v>---</v>
      </c>
    </row>
    <row r="596" spans="2:11">
      <c r="B596" t="str">
        <f>_xlfn.XLOOKUP($A596,表格1[No.],表格1[Shop],"---",0)</f>
        <v>---</v>
      </c>
      <c r="C596" t="str">
        <f>_xlfn.XLOOKUP($A596,表格1[No.],表格1[Location],"---",0)</f>
        <v>---</v>
      </c>
      <c r="D596" t="str">
        <f>_xlfn.XLOOKUP($A596,表格1[No.],表格1[Name],"---",0)</f>
        <v>---</v>
      </c>
      <c r="E596" t="str">
        <f>_xlfn.XLOOKUP($A596,表格1[No.],表格1[month],"---",0)</f>
        <v>---</v>
      </c>
      <c r="F596" s="12" t="str">
        <f>_xlfn.XLOOKUP($A596,表格1[No.],表格1[date],"---",0)</f>
        <v>---</v>
      </c>
      <c r="G596" t="str">
        <f>_xlfn.XLOOKUP($A596,表格1[No.],表格1[Model],"---",0)</f>
        <v>---</v>
      </c>
      <c r="H596" t="str">
        <f>_xlfn.XLOOKUP($A596,表格1[No.],表格1[QTY],"---",0)</f>
        <v>---</v>
      </c>
      <c r="I596" t="str">
        <f>_xlfn.XLOOKUP($A596,表格1[No.],表格1[Unit Price],"---",0)</f>
        <v>---</v>
      </c>
      <c r="J596" t="str">
        <f>_xlfn.XLOOKUP($A596,表格1[No.],表格1[inv no],"---",0)</f>
        <v>---</v>
      </c>
      <c r="K596" t="str">
        <f>_xlfn.XLOOKUP($A596,表格1[No.],表格1[apps report no.],"---",0)</f>
        <v>---</v>
      </c>
    </row>
    <row r="597" spans="2:11">
      <c r="B597" t="str">
        <f>_xlfn.XLOOKUP($A597,表格1[No.],表格1[Shop],"---",0)</f>
        <v>---</v>
      </c>
      <c r="C597" t="str">
        <f>_xlfn.XLOOKUP($A597,表格1[No.],表格1[Location],"---",0)</f>
        <v>---</v>
      </c>
      <c r="D597" t="str">
        <f>_xlfn.XLOOKUP($A597,表格1[No.],表格1[Name],"---",0)</f>
        <v>---</v>
      </c>
      <c r="E597" t="str">
        <f>_xlfn.XLOOKUP($A597,表格1[No.],表格1[month],"---",0)</f>
        <v>---</v>
      </c>
      <c r="F597" s="12" t="str">
        <f>_xlfn.XLOOKUP($A597,表格1[No.],表格1[date],"---",0)</f>
        <v>---</v>
      </c>
      <c r="G597" t="str">
        <f>_xlfn.XLOOKUP($A597,表格1[No.],表格1[Model],"---",0)</f>
        <v>---</v>
      </c>
      <c r="H597" t="str">
        <f>_xlfn.XLOOKUP($A597,表格1[No.],表格1[QTY],"---",0)</f>
        <v>---</v>
      </c>
      <c r="I597" t="str">
        <f>_xlfn.XLOOKUP($A597,表格1[No.],表格1[Unit Price],"---",0)</f>
        <v>---</v>
      </c>
      <c r="J597" t="str">
        <f>_xlfn.XLOOKUP($A597,表格1[No.],表格1[inv no],"---",0)</f>
        <v>---</v>
      </c>
      <c r="K597" t="str">
        <f>_xlfn.XLOOKUP($A597,表格1[No.],表格1[apps report no.],"---",0)</f>
        <v>---</v>
      </c>
    </row>
    <row r="598" spans="2:11">
      <c r="B598" t="str">
        <f>_xlfn.XLOOKUP($A598,表格1[No.],表格1[Shop],"---",0)</f>
        <v>---</v>
      </c>
      <c r="C598" t="str">
        <f>_xlfn.XLOOKUP($A598,表格1[No.],表格1[Location],"---",0)</f>
        <v>---</v>
      </c>
      <c r="D598" t="str">
        <f>_xlfn.XLOOKUP($A598,表格1[No.],表格1[Name],"---",0)</f>
        <v>---</v>
      </c>
      <c r="E598" t="str">
        <f>_xlfn.XLOOKUP($A598,表格1[No.],表格1[month],"---",0)</f>
        <v>---</v>
      </c>
      <c r="F598" s="12" t="str">
        <f>_xlfn.XLOOKUP($A598,表格1[No.],表格1[date],"---",0)</f>
        <v>---</v>
      </c>
      <c r="G598" t="str">
        <f>_xlfn.XLOOKUP($A598,表格1[No.],表格1[Model],"---",0)</f>
        <v>---</v>
      </c>
      <c r="H598" t="str">
        <f>_xlfn.XLOOKUP($A598,表格1[No.],表格1[QTY],"---",0)</f>
        <v>---</v>
      </c>
      <c r="I598" t="str">
        <f>_xlfn.XLOOKUP($A598,表格1[No.],表格1[Unit Price],"---",0)</f>
        <v>---</v>
      </c>
      <c r="J598" t="str">
        <f>_xlfn.XLOOKUP($A598,表格1[No.],表格1[inv no],"---",0)</f>
        <v>---</v>
      </c>
      <c r="K598" t="str">
        <f>_xlfn.XLOOKUP($A598,表格1[No.],表格1[apps report no.],"---",0)</f>
        <v>---</v>
      </c>
    </row>
    <row r="599" spans="2:11">
      <c r="B599" t="str">
        <f>_xlfn.XLOOKUP($A599,表格1[No.],表格1[Shop],"---",0)</f>
        <v>---</v>
      </c>
      <c r="C599" t="str">
        <f>_xlfn.XLOOKUP($A599,表格1[No.],表格1[Location],"---",0)</f>
        <v>---</v>
      </c>
      <c r="D599" t="str">
        <f>_xlfn.XLOOKUP($A599,表格1[No.],表格1[Name],"---",0)</f>
        <v>---</v>
      </c>
      <c r="E599" t="str">
        <f>_xlfn.XLOOKUP($A599,表格1[No.],表格1[month],"---",0)</f>
        <v>---</v>
      </c>
      <c r="F599" s="12" t="str">
        <f>_xlfn.XLOOKUP($A599,表格1[No.],表格1[date],"---",0)</f>
        <v>---</v>
      </c>
      <c r="G599" t="str">
        <f>_xlfn.XLOOKUP($A599,表格1[No.],表格1[Model],"---",0)</f>
        <v>---</v>
      </c>
      <c r="H599" t="str">
        <f>_xlfn.XLOOKUP($A599,表格1[No.],表格1[QTY],"---",0)</f>
        <v>---</v>
      </c>
      <c r="I599" t="str">
        <f>_xlfn.XLOOKUP($A599,表格1[No.],表格1[Unit Price],"---",0)</f>
        <v>---</v>
      </c>
      <c r="J599" t="str">
        <f>_xlfn.XLOOKUP($A599,表格1[No.],表格1[inv no],"---",0)</f>
        <v>---</v>
      </c>
      <c r="K599" t="str">
        <f>_xlfn.XLOOKUP($A599,表格1[No.],表格1[apps report no.],"---",0)</f>
        <v>---</v>
      </c>
    </row>
    <row r="600" spans="2:11">
      <c r="B600" t="str">
        <f>_xlfn.XLOOKUP($A600,表格1[No.],表格1[Shop],"---",0)</f>
        <v>---</v>
      </c>
      <c r="C600" t="str">
        <f>_xlfn.XLOOKUP($A600,表格1[No.],表格1[Location],"---",0)</f>
        <v>---</v>
      </c>
      <c r="D600" t="str">
        <f>_xlfn.XLOOKUP($A600,表格1[No.],表格1[Name],"---",0)</f>
        <v>---</v>
      </c>
      <c r="E600" t="str">
        <f>_xlfn.XLOOKUP($A600,表格1[No.],表格1[month],"---",0)</f>
        <v>---</v>
      </c>
      <c r="F600" s="12" t="str">
        <f>_xlfn.XLOOKUP($A600,表格1[No.],表格1[date],"---",0)</f>
        <v>---</v>
      </c>
      <c r="G600" t="str">
        <f>_xlfn.XLOOKUP($A600,表格1[No.],表格1[Model],"---",0)</f>
        <v>---</v>
      </c>
      <c r="H600" t="str">
        <f>_xlfn.XLOOKUP($A600,表格1[No.],表格1[QTY],"---",0)</f>
        <v>---</v>
      </c>
      <c r="I600" t="str">
        <f>_xlfn.XLOOKUP($A600,表格1[No.],表格1[Unit Price],"---",0)</f>
        <v>---</v>
      </c>
      <c r="J600" t="str">
        <f>_xlfn.XLOOKUP($A600,表格1[No.],表格1[inv no],"---",0)</f>
        <v>---</v>
      </c>
      <c r="K600" t="str">
        <f>_xlfn.XLOOKUP($A600,表格1[No.],表格1[apps report no.],"---",0)</f>
        <v>---</v>
      </c>
    </row>
    <row r="601" spans="2:11">
      <c r="B601" t="str">
        <f>_xlfn.XLOOKUP($A601,表格1[No.],表格1[Shop],"---",0)</f>
        <v>---</v>
      </c>
      <c r="C601" t="str">
        <f>_xlfn.XLOOKUP($A601,表格1[No.],表格1[Location],"---",0)</f>
        <v>---</v>
      </c>
      <c r="D601" t="str">
        <f>_xlfn.XLOOKUP($A601,表格1[No.],表格1[Name],"---",0)</f>
        <v>---</v>
      </c>
      <c r="E601" t="str">
        <f>_xlfn.XLOOKUP($A601,表格1[No.],表格1[month],"---",0)</f>
        <v>---</v>
      </c>
      <c r="F601" s="12" t="str">
        <f>_xlfn.XLOOKUP($A601,表格1[No.],表格1[date],"---",0)</f>
        <v>---</v>
      </c>
      <c r="G601" t="str">
        <f>_xlfn.XLOOKUP($A601,表格1[No.],表格1[Model],"---",0)</f>
        <v>---</v>
      </c>
      <c r="H601" t="str">
        <f>_xlfn.XLOOKUP($A601,表格1[No.],表格1[QTY],"---",0)</f>
        <v>---</v>
      </c>
      <c r="I601" t="str">
        <f>_xlfn.XLOOKUP($A601,表格1[No.],表格1[Unit Price],"---",0)</f>
        <v>---</v>
      </c>
      <c r="J601" t="str">
        <f>_xlfn.XLOOKUP($A601,表格1[No.],表格1[inv no],"---",0)</f>
        <v>---</v>
      </c>
      <c r="K601" t="str">
        <f>_xlfn.XLOOKUP($A601,表格1[No.],表格1[apps report no.],"---",0)</f>
        <v>---</v>
      </c>
    </row>
    <row r="602" spans="2:11">
      <c r="B602" t="str">
        <f>_xlfn.XLOOKUP($A602,表格1[No.],表格1[Shop],"---",0)</f>
        <v>---</v>
      </c>
      <c r="C602" t="str">
        <f>_xlfn.XLOOKUP($A602,表格1[No.],表格1[Location],"---",0)</f>
        <v>---</v>
      </c>
      <c r="D602" t="str">
        <f>_xlfn.XLOOKUP($A602,表格1[No.],表格1[Name],"---",0)</f>
        <v>---</v>
      </c>
      <c r="E602" t="str">
        <f>_xlfn.XLOOKUP($A602,表格1[No.],表格1[month],"---",0)</f>
        <v>---</v>
      </c>
      <c r="F602" s="12" t="str">
        <f>_xlfn.XLOOKUP($A602,表格1[No.],表格1[date],"---",0)</f>
        <v>---</v>
      </c>
      <c r="G602" t="str">
        <f>_xlfn.XLOOKUP($A602,表格1[No.],表格1[Model],"---",0)</f>
        <v>---</v>
      </c>
      <c r="H602" t="str">
        <f>_xlfn.XLOOKUP($A602,表格1[No.],表格1[QTY],"---",0)</f>
        <v>---</v>
      </c>
      <c r="I602" t="str">
        <f>_xlfn.XLOOKUP($A602,表格1[No.],表格1[Unit Price],"---",0)</f>
        <v>---</v>
      </c>
      <c r="J602" t="str">
        <f>_xlfn.XLOOKUP($A602,表格1[No.],表格1[inv no],"---",0)</f>
        <v>---</v>
      </c>
      <c r="K602" t="str">
        <f>_xlfn.XLOOKUP($A602,表格1[No.],表格1[apps report no.],"---",0)</f>
        <v>---</v>
      </c>
    </row>
    <row r="603" spans="2:11">
      <c r="B603" t="str">
        <f>_xlfn.XLOOKUP($A603,表格1[No.],表格1[Shop],"---",0)</f>
        <v>---</v>
      </c>
      <c r="C603" t="str">
        <f>_xlfn.XLOOKUP($A603,表格1[No.],表格1[Location],"---",0)</f>
        <v>---</v>
      </c>
      <c r="D603" t="str">
        <f>_xlfn.XLOOKUP($A603,表格1[No.],表格1[Name],"---",0)</f>
        <v>---</v>
      </c>
      <c r="E603" t="str">
        <f>_xlfn.XLOOKUP($A603,表格1[No.],表格1[month],"---",0)</f>
        <v>---</v>
      </c>
      <c r="F603" s="12" t="str">
        <f>_xlfn.XLOOKUP($A603,表格1[No.],表格1[date],"---",0)</f>
        <v>---</v>
      </c>
      <c r="G603" t="str">
        <f>_xlfn.XLOOKUP($A603,表格1[No.],表格1[Model],"---",0)</f>
        <v>---</v>
      </c>
      <c r="H603" t="str">
        <f>_xlfn.XLOOKUP($A603,表格1[No.],表格1[QTY],"---",0)</f>
        <v>---</v>
      </c>
      <c r="I603" t="str">
        <f>_xlfn.XLOOKUP($A603,表格1[No.],表格1[Unit Price],"---",0)</f>
        <v>---</v>
      </c>
      <c r="J603" t="str">
        <f>_xlfn.XLOOKUP($A603,表格1[No.],表格1[inv no],"---",0)</f>
        <v>---</v>
      </c>
      <c r="K603" t="str">
        <f>_xlfn.XLOOKUP($A603,表格1[No.],表格1[apps report no.],"---",0)</f>
        <v>---</v>
      </c>
    </row>
    <row r="604" spans="2:11">
      <c r="B604" t="str">
        <f>_xlfn.XLOOKUP($A604,表格1[No.],表格1[Shop],"---",0)</f>
        <v>---</v>
      </c>
      <c r="C604" t="str">
        <f>_xlfn.XLOOKUP($A604,表格1[No.],表格1[Location],"---",0)</f>
        <v>---</v>
      </c>
      <c r="D604" t="str">
        <f>_xlfn.XLOOKUP($A604,表格1[No.],表格1[Name],"---",0)</f>
        <v>---</v>
      </c>
      <c r="E604" t="str">
        <f>_xlfn.XLOOKUP($A604,表格1[No.],表格1[month],"---",0)</f>
        <v>---</v>
      </c>
      <c r="F604" s="12" t="str">
        <f>_xlfn.XLOOKUP($A604,表格1[No.],表格1[date],"---",0)</f>
        <v>---</v>
      </c>
      <c r="G604" t="str">
        <f>_xlfn.XLOOKUP($A604,表格1[No.],表格1[Model],"---",0)</f>
        <v>---</v>
      </c>
      <c r="H604" t="str">
        <f>_xlfn.XLOOKUP($A604,表格1[No.],表格1[QTY],"---",0)</f>
        <v>---</v>
      </c>
      <c r="I604" t="str">
        <f>_xlfn.XLOOKUP($A604,表格1[No.],表格1[Unit Price],"---",0)</f>
        <v>---</v>
      </c>
      <c r="J604" t="str">
        <f>_xlfn.XLOOKUP($A604,表格1[No.],表格1[inv no],"---",0)</f>
        <v>---</v>
      </c>
      <c r="K604" t="str">
        <f>_xlfn.XLOOKUP($A604,表格1[No.],表格1[apps report no.],"---",0)</f>
        <v>---</v>
      </c>
    </row>
    <row r="605" spans="2:11">
      <c r="B605" t="str">
        <f>_xlfn.XLOOKUP($A605,表格1[No.],表格1[Shop],"---",0)</f>
        <v>---</v>
      </c>
      <c r="C605" t="str">
        <f>_xlfn.XLOOKUP($A605,表格1[No.],表格1[Location],"---",0)</f>
        <v>---</v>
      </c>
      <c r="D605" t="str">
        <f>_xlfn.XLOOKUP($A605,表格1[No.],表格1[Name],"---",0)</f>
        <v>---</v>
      </c>
      <c r="E605" t="str">
        <f>_xlfn.XLOOKUP($A605,表格1[No.],表格1[month],"---",0)</f>
        <v>---</v>
      </c>
      <c r="F605" s="12" t="str">
        <f>_xlfn.XLOOKUP($A605,表格1[No.],表格1[date],"---",0)</f>
        <v>---</v>
      </c>
      <c r="G605" t="str">
        <f>_xlfn.XLOOKUP($A605,表格1[No.],表格1[Model],"---",0)</f>
        <v>---</v>
      </c>
      <c r="H605" t="str">
        <f>_xlfn.XLOOKUP($A605,表格1[No.],表格1[QTY],"---",0)</f>
        <v>---</v>
      </c>
      <c r="I605" t="str">
        <f>_xlfn.XLOOKUP($A605,表格1[No.],表格1[Unit Price],"---",0)</f>
        <v>---</v>
      </c>
      <c r="J605" t="str">
        <f>_xlfn.XLOOKUP($A605,表格1[No.],表格1[inv no],"---",0)</f>
        <v>---</v>
      </c>
      <c r="K605" t="str">
        <f>_xlfn.XLOOKUP($A605,表格1[No.],表格1[apps report no.],"---",0)</f>
        <v>---</v>
      </c>
    </row>
    <row r="606" spans="2:11">
      <c r="B606" t="str">
        <f>_xlfn.XLOOKUP($A606,表格1[No.],表格1[Shop],"---",0)</f>
        <v>---</v>
      </c>
      <c r="C606" t="str">
        <f>_xlfn.XLOOKUP($A606,表格1[No.],表格1[Location],"---",0)</f>
        <v>---</v>
      </c>
      <c r="D606" t="str">
        <f>_xlfn.XLOOKUP($A606,表格1[No.],表格1[Name],"---",0)</f>
        <v>---</v>
      </c>
      <c r="E606" t="str">
        <f>_xlfn.XLOOKUP($A606,表格1[No.],表格1[month],"---",0)</f>
        <v>---</v>
      </c>
      <c r="F606" s="12" t="str">
        <f>_xlfn.XLOOKUP($A606,表格1[No.],表格1[date],"---",0)</f>
        <v>---</v>
      </c>
      <c r="G606" t="str">
        <f>_xlfn.XLOOKUP($A606,表格1[No.],表格1[Model],"---",0)</f>
        <v>---</v>
      </c>
      <c r="H606" t="str">
        <f>_xlfn.XLOOKUP($A606,表格1[No.],表格1[QTY],"---",0)</f>
        <v>---</v>
      </c>
      <c r="I606" t="str">
        <f>_xlfn.XLOOKUP($A606,表格1[No.],表格1[Unit Price],"---",0)</f>
        <v>---</v>
      </c>
      <c r="J606" t="str">
        <f>_xlfn.XLOOKUP($A606,表格1[No.],表格1[inv no],"---",0)</f>
        <v>---</v>
      </c>
      <c r="K606" t="str">
        <f>_xlfn.XLOOKUP($A606,表格1[No.],表格1[apps report no.],"---",0)</f>
        <v>---</v>
      </c>
    </row>
    <row r="607" spans="2:11">
      <c r="B607" t="str">
        <f>_xlfn.XLOOKUP($A607,表格1[No.],表格1[Shop],"---",0)</f>
        <v>---</v>
      </c>
      <c r="C607" t="str">
        <f>_xlfn.XLOOKUP($A607,表格1[No.],表格1[Location],"---",0)</f>
        <v>---</v>
      </c>
      <c r="D607" t="str">
        <f>_xlfn.XLOOKUP($A607,表格1[No.],表格1[Name],"---",0)</f>
        <v>---</v>
      </c>
      <c r="E607" t="str">
        <f>_xlfn.XLOOKUP($A607,表格1[No.],表格1[month],"---",0)</f>
        <v>---</v>
      </c>
      <c r="F607" s="12" t="str">
        <f>_xlfn.XLOOKUP($A607,表格1[No.],表格1[date],"---",0)</f>
        <v>---</v>
      </c>
      <c r="G607" t="str">
        <f>_xlfn.XLOOKUP($A607,表格1[No.],表格1[Model],"---",0)</f>
        <v>---</v>
      </c>
      <c r="H607" t="str">
        <f>_xlfn.XLOOKUP($A607,表格1[No.],表格1[QTY],"---",0)</f>
        <v>---</v>
      </c>
      <c r="I607" t="str">
        <f>_xlfn.XLOOKUP($A607,表格1[No.],表格1[Unit Price],"---",0)</f>
        <v>---</v>
      </c>
      <c r="J607" t="str">
        <f>_xlfn.XLOOKUP($A607,表格1[No.],表格1[inv no],"---",0)</f>
        <v>---</v>
      </c>
      <c r="K607" t="str">
        <f>_xlfn.XLOOKUP($A607,表格1[No.],表格1[apps report no.],"---",0)</f>
        <v>---</v>
      </c>
    </row>
    <row r="608" spans="2:11">
      <c r="B608" t="str">
        <f>_xlfn.XLOOKUP($A608,表格1[No.],表格1[Shop],"---",0)</f>
        <v>---</v>
      </c>
      <c r="C608" t="str">
        <f>_xlfn.XLOOKUP($A608,表格1[No.],表格1[Location],"---",0)</f>
        <v>---</v>
      </c>
      <c r="D608" t="str">
        <f>_xlfn.XLOOKUP($A608,表格1[No.],表格1[Name],"---",0)</f>
        <v>---</v>
      </c>
      <c r="E608" t="str">
        <f>_xlfn.XLOOKUP($A608,表格1[No.],表格1[month],"---",0)</f>
        <v>---</v>
      </c>
      <c r="F608" s="12" t="str">
        <f>_xlfn.XLOOKUP($A608,表格1[No.],表格1[date],"---",0)</f>
        <v>---</v>
      </c>
      <c r="G608" t="str">
        <f>_xlfn.XLOOKUP($A608,表格1[No.],表格1[Model],"---",0)</f>
        <v>---</v>
      </c>
      <c r="H608" t="str">
        <f>_xlfn.XLOOKUP($A608,表格1[No.],表格1[QTY],"---",0)</f>
        <v>---</v>
      </c>
      <c r="I608" t="str">
        <f>_xlfn.XLOOKUP($A608,表格1[No.],表格1[Unit Price],"---",0)</f>
        <v>---</v>
      </c>
      <c r="J608" t="str">
        <f>_xlfn.XLOOKUP($A608,表格1[No.],表格1[inv no],"---",0)</f>
        <v>---</v>
      </c>
      <c r="K608" t="str">
        <f>_xlfn.XLOOKUP($A608,表格1[No.],表格1[apps report no.],"---",0)</f>
        <v>---</v>
      </c>
    </row>
    <row r="609" spans="2:11">
      <c r="B609" t="str">
        <f>_xlfn.XLOOKUP($A609,表格1[No.],表格1[Shop],"---",0)</f>
        <v>---</v>
      </c>
      <c r="C609" t="str">
        <f>_xlfn.XLOOKUP($A609,表格1[No.],表格1[Location],"---",0)</f>
        <v>---</v>
      </c>
      <c r="D609" t="str">
        <f>_xlfn.XLOOKUP($A609,表格1[No.],表格1[Name],"---",0)</f>
        <v>---</v>
      </c>
      <c r="E609" t="str">
        <f>_xlfn.XLOOKUP($A609,表格1[No.],表格1[month],"---",0)</f>
        <v>---</v>
      </c>
      <c r="F609" s="12" t="str">
        <f>_xlfn.XLOOKUP($A609,表格1[No.],表格1[date],"---",0)</f>
        <v>---</v>
      </c>
      <c r="G609" t="str">
        <f>_xlfn.XLOOKUP($A609,表格1[No.],表格1[Model],"---",0)</f>
        <v>---</v>
      </c>
      <c r="H609" t="str">
        <f>_xlfn.XLOOKUP($A609,表格1[No.],表格1[QTY],"---",0)</f>
        <v>---</v>
      </c>
      <c r="I609" t="str">
        <f>_xlfn.XLOOKUP($A609,表格1[No.],表格1[Unit Price],"---",0)</f>
        <v>---</v>
      </c>
      <c r="J609" t="str">
        <f>_xlfn.XLOOKUP($A609,表格1[No.],表格1[inv no],"---",0)</f>
        <v>---</v>
      </c>
      <c r="K609" t="str">
        <f>_xlfn.XLOOKUP($A609,表格1[No.],表格1[apps report no.],"---",0)</f>
        <v>---</v>
      </c>
    </row>
    <row r="610" spans="2:11">
      <c r="B610" t="str">
        <f>_xlfn.XLOOKUP($A610,表格1[No.],表格1[Shop],"---",0)</f>
        <v>---</v>
      </c>
      <c r="C610" t="str">
        <f>_xlfn.XLOOKUP($A610,表格1[No.],表格1[Location],"---",0)</f>
        <v>---</v>
      </c>
      <c r="D610" t="str">
        <f>_xlfn.XLOOKUP($A610,表格1[No.],表格1[Name],"---",0)</f>
        <v>---</v>
      </c>
      <c r="E610" t="str">
        <f>_xlfn.XLOOKUP($A610,表格1[No.],表格1[month],"---",0)</f>
        <v>---</v>
      </c>
      <c r="F610" s="12" t="str">
        <f>_xlfn.XLOOKUP($A610,表格1[No.],表格1[date],"---",0)</f>
        <v>---</v>
      </c>
      <c r="G610" t="str">
        <f>_xlfn.XLOOKUP($A610,表格1[No.],表格1[Model],"---",0)</f>
        <v>---</v>
      </c>
      <c r="H610" t="str">
        <f>_xlfn.XLOOKUP($A610,表格1[No.],表格1[QTY],"---",0)</f>
        <v>---</v>
      </c>
      <c r="I610" t="str">
        <f>_xlfn.XLOOKUP($A610,表格1[No.],表格1[Unit Price],"---",0)</f>
        <v>---</v>
      </c>
      <c r="J610" t="str">
        <f>_xlfn.XLOOKUP($A610,表格1[No.],表格1[inv no],"---",0)</f>
        <v>---</v>
      </c>
      <c r="K610" t="str">
        <f>_xlfn.XLOOKUP($A610,表格1[No.],表格1[apps report no.],"---",0)</f>
        <v>---</v>
      </c>
    </row>
    <row r="611" spans="2:11">
      <c r="B611" t="str">
        <f>_xlfn.XLOOKUP($A611,表格1[No.],表格1[Shop],"---",0)</f>
        <v>---</v>
      </c>
      <c r="C611" t="str">
        <f>_xlfn.XLOOKUP($A611,表格1[No.],表格1[Location],"---",0)</f>
        <v>---</v>
      </c>
      <c r="D611" t="str">
        <f>_xlfn.XLOOKUP($A611,表格1[No.],表格1[Name],"---",0)</f>
        <v>---</v>
      </c>
      <c r="E611" t="str">
        <f>_xlfn.XLOOKUP($A611,表格1[No.],表格1[month],"---",0)</f>
        <v>---</v>
      </c>
      <c r="F611" s="12" t="str">
        <f>_xlfn.XLOOKUP($A611,表格1[No.],表格1[date],"---",0)</f>
        <v>---</v>
      </c>
      <c r="G611" t="str">
        <f>_xlfn.XLOOKUP($A611,表格1[No.],表格1[Model],"---",0)</f>
        <v>---</v>
      </c>
      <c r="H611" t="str">
        <f>_xlfn.XLOOKUP($A611,表格1[No.],表格1[QTY],"---",0)</f>
        <v>---</v>
      </c>
      <c r="I611" t="str">
        <f>_xlfn.XLOOKUP($A611,表格1[No.],表格1[Unit Price],"---",0)</f>
        <v>---</v>
      </c>
      <c r="J611" t="str">
        <f>_xlfn.XLOOKUP($A611,表格1[No.],表格1[inv no],"---",0)</f>
        <v>---</v>
      </c>
      <c r="K611" t="str">
        <f>_xlfn.XLOOKUP($A611,表格1[No.],表格1[apps report no.],"---",0)</f>
        <v>---</v>
      </c>
    </row>
    <row r="612" spans="2:11">
      <c r="B612" t="str">
        <f>_xlfn.XLOOKUP($A612,表格1[No.],表格1[Shop],"---",0)</f>
        <v>---</v>
      </c>
      <c r="C612" t="str">
        <f>_xlfn.XLOOKUP($A612,表格1[No.],表格1[Location],"---",0)</f>
        <v>---</v>
      </c>
      <c r="D612" t="str">
        <f>_xlfn.XLOOKUP($A612,表格1[No.],表格1[Name],"---",0)</f>
        <v>---</v>
      </c>
      <c r="E612" t="str">
        <f>_xlfn.XLOOKUP($A612,表格1[No.],表格1[month],"---",0)</f>
        <v>---</v>
      </c>
      <c r="F612" s="12" t="str">
        <f>_xlfn.XLOOKUP($A612,表格1[No.],表格1[date],"---",0)</f>
        <v>---</v>
      </c>
      <c r="G612" t="str">
        <f>_xlfn.XLOOKUP($A612,表格1[No.],表格1[Model],"---",0)</f>
        <v>---</v>
      </c>
      <c r="H612" t="str">
        <f>_xlfn.XLOOKUP($A612,表格1[No.],表格1[QTY],"---",0)</f>
        <v>---</v>
      </c>
      <c r="I612" t="str">
        <f>_xlfn.XLOOKUP($A612,表格1[No.],表格1[Unit Price],"---",0)</f>
        <v>---</v>
      </c>
      <c r="J612" t="str">
        <f>_xlfn.XLOOKUP($A612,表格1[No.],表格1[inv no],"---",0)</f>
        <v>---</v>
      </c>
      <c r="K612" t="str">
        <f>_xlfn.XLOOKUP($A612,表格1[No.],表格1[apps report no.],"---",0)</f>
        <v>---</v>
      </c>
    </row>
    <row r="613" spans="2:11">
      <c r="B613" t="str">
        <f>_xlfn.XLOOKUP($A613,表格1[No.],表格1[Shop],"---",0)</f>
        <v>---</v>
      </c>
      <c r="C613" t="str">
        <f>_xlfn.XLOOKUP($A613,表格1[No.],表格1[Location],"---",0)</f>
        <v>---</v>
      </c>
      <c r="D613" t="str">
        <f>_xlfn.XLOOKUP($A613,表格1[No.],表格1[Name],"---",0)</f>
        <v>---</v>
      </c>
      <c r="E613" t="str">
        <f>_xlfn.XLOOKUP($A613,表格1[No.],表格1[month],"---",0)</f>
        <v>---</v>
      </c>
      <c r="F613" s="12" t="str">
        <f>_xlfn.XLOOKUP($A613,表格1[No.],表格1[date],"---",0)</f>
        <v>---</v>
      </c>
      <c r="G613" t="str">
        <f>_xlfn.XLOOKUP($A613,表格1[No.],表格1[Model],"---",0)</f>
        <v>---</v>
      </c>
      <c r="H613" t="str">
        <f>_xlfn.XLOOKUP($A613,表格1[No.],表格1[QTY],"---",0)</f>
        <v>---</v>
      </c>
      <c r="I613" t="str">
        <f>_xlfn.XLOOKUP($A613,表格1[No.],表格1[Unit Price],"---",0)</f>
        <v>---</v>
      </c>
      <c r="J613" t="str">
        <f>_xlfn.XLOOKUP($A613,表格1[No.],表格1[inv no],"---",0)</f>
        <v>---</v>
      </c>
      <c r="K613" t="str">
        <f>_xlfn.XLOOKUP($A613,表格1[No.],表格1[apps report no.],"---",0)</f>
        <v>---</v>
      </c>
    </row>
    <row r="614" spans="2:11">
      <c r="B614" t="str">
        <f>_xlfn.XLOOKUP($A614,表格1[No.],表格1[Shop],"---",0)</f>
        <v>---</v>
      </c>
      <c r="C614" t="str">
        <f>_xlfn.XLOOKUP($A614,表格1[No.],表格1[Location],"---",0)</f>
        <v>---</v>
      </c>
      <c r="D614" t="str">
        <f>_xlfn.XLOOKUP($A614,表格1[No.],表格1[Name],"---",0)</f>
        <v>---</v>
      </c>
      <c r="E614" t="str">
        <f>_xlfn.XLOOKUP($A614,表格1[No.],表格1[month],"---",0)</f>
        <v>---</v>
      </c>
      <c r="F614" s="12" t="str">
        <f>_xlfn.XLOOKUP($A614,表格1[No.],表格1[date],"---",0)</f>
        <v>---</v>
      </c>
      <c r="G614" t="str">
        <f>_xlfn.XLOOKUP($A614,表格1[No.],表格1[Model],"---",0)</f>
        <v>---</v>
      </c>
      <c r="H614" t="str">
        <f>_xlfn.XLOOKUP($A614,表格1[No.],表格1[QTY],"---",0)</f>
        <v>---</v>
      </c>
      <c r="I614" t="str">
        <f>_xlfn.XLOOKUP($A614,表格1[No.],表格1[Unit Price],"---",0)</f>
        <v>---</v>
      </c>
      <c r="J614" t="str">
        <f>_xlfn.XLOOKUP($A614,表格1[No.],表格1[inv no],"---",0)</f>
        <v>---</v>
      </c>
      <c r="K614" t="str">
        <f>_xlfn.XLOOKUP($A614,表格1[No.],表格1[apps report no.],"---",0)</f>
        <v>---</v>
      </c>
    </row>
    <row r="615" spans="2:11">
      <c r="B615" t="str">
        <f>_xlfn.XLOOKUP($A615,表格1[No.],表格1[Shop],"---",0)</f>
        <v>---</v>
      </c>
      <c r="C615" t="str">
        <f>_xlfn.XLOOKUP($A615,表格1[No.],表格1[Location],"---",0)</f>
        <v>---</v>
      </c>
      <c r="D615" t="str">
        <f>_xlfn.XLOOKUP($A615,表格1[No.],表格1[Name],"---",0)</f>
        <v>---</v>
      </c>
      <c r="E615" t="str">
        <f>_xlfn.XLOOKUP($A615,表格1[No.],表格1[month],"---",0)</f>
        <v>---</v>
      </c>
      <c r="F615" s="12" t="str">
        <f>_xlfn.XLOOKUP($A615,表格1[No.],表格1[date],"---",0)</f>
        <v>---</v>
      </c>
      <c r="G615" t="str">
        <f>_xlfn.XLOOKUP($A615,表格1[No.],表格1[Model],"---",0)</f>
        <v>---</v>
      </c>
      <c r="H615" t="str">
        <f>_xlfn.XLOOKUP($A615,表格1[No.],表格1[QTY],"---",0)</f>
        <v>---</v>
      </c>
      <c r="I615" t="str">
        <f>_xlfn.XLOOKUP($A615,表格1[No.],表格1[Unit Price],"---",0)</f>
        <v>---</v>
      </c>
      <c r="J615" t="str">
        <f>_xlfn.XLOOKUP($A615,表格1[No.],表格1[inv no],"---",0)</f>
        <v>---</v>
      </c>
      <c r="K615" t="str">
        <f>_xlfn.XLOOKUP($A615,表格1[No.],表格1[apps report no.],"---",0)</f>
        <v>---</v>
      </c>
    </row>
    <row r="616" spans="2:11">
      <c r="B616" t="str">
        <f>_xlfn.XLOOKUP($A616,表格1[No.],表格1[Shop],"---",0)</f>
        <v>---</v>
      </c>
      <c r="C616" t="str">
        <f>_xlfn.XLOOKUP($A616,表格1[No.],表格1[Location],"---",0)</f>
        <v>---</v>
      </c>
      <c r="D616" t="str">
        <f>_xlfn.XLOOKUP($A616,表格1[No.],表格1[Name],"---",0)</f>
        <v>---</v>
      </c>
      <c r="E616" t="str">
        <f>_xlfn.XLOOKUP($A616,表格1[No.],表格1[month],"---",0)</f>
        <v>---</v>
      </c>
      <c r="F616" s="12" t="str">
        <f>_xlfn.XLOOKUP($A616,表格1[No.],表格1[date],"---",0)</f>
        <v>---</v>
      </c>
      <c r="G616" t="str">
        <f>_xlfn.XLOOKUP($A616,表格1[No.],表格1[Model],"---",0)</f>
        <v>---</v>
      </c>
      <c r="H616" t="str">
        <f>_xlfn.XLOOKUP($A616,表格1[No.],表格1[QTY],"---",0)</f>
        <v>---</v>
      </c>
      <c r="I616" t="str">
        <f>_xlfn.XLOOKUP($A616,表格1[No.],表格1[Unit Price],"---",0)</f>
        <v>---</v>
      </c>
      <c r="J616" t="str">
        <f>_xlfn.XLOOKUP($A616,表格1[No.],表格1[inv no],"---",0)</f>
        <v>---</v>
      </c>
      <c r="K616" t="str">
        <f>_xlfn.XLOOKUP($A616,表格1[No.],表格1[apps report no.],"---",0)</f>
        <v>---</v>
      </c>
    </row>
    <row r="617" spans="2:11">
      <c r="B617" t="str">
        <f>_xlfn.XLOOKUP($A617,表格1[No.],表格1[Shop],"---",0)</f>
        <v>---</v>
      </c>
      <c r="C617" t="str">
        <f>_xlfn.XLOOKUP($A617,表格1[No.],表格1[Location],"---",0)</f>
        <v>---</v>
      </c>
      <c r="D617" t="str">
        <f>_xlfn.XLOOKUP($A617,表格1[No.],表格1[Name],"---",0)</f>
        <v>---</v>
      </c>
      <c r="E617" t="str">
        <f>_xlfn.XLOOKUP($A617,表格1[No.],表格1[month],"---",0)</f>
        <v>---</v>
      </c>
      <c r="F617" s="12" t="str">
        <f>_xlfn.XLOOKUP($A617,表格1[No.],表格1[date],"---",0)</f>
        <v>---</v>
      </c>
      <c r="G617" t="str">
        <f>_xlfn.XLOOKUP($A617,表格1[No.],表格1[Model],"---",0)</f>
        <v>---</v>
      </c>
      <c r="H617" t="str">
        <f>_xlfn.XLOOKUP($A617,表格1[No.],表格1[QTY],"---",0)</f>
        <v>---</v>
      </c>
      <c r="I617" t="str">
        <f>_xlfn.XLOOKUP($A617,表格1[No.],表格1[Unit Price],"---",0)</f>
        <v>---</v>
      </c>
      <c r="J617" t="str">
        <f>_xlfn.XLOOKUP($A617,表格1[No.],表格1[inv no],"---",0)</f>
        <v>---</v>
      </c>
      <c r="K617" t="str">
        <f>_xlfn.XLOOKUP($A617,表格1[No.],表格1[apps report no.],"---",0)</f>
        <v>---</v>
      </c>
    </row>
    <row r="618" spans="2:11">
      <c r="B618" t="str">
        <f>_xlfn.XLOOKUP($A618,表格1[No.],表格1[Shop],"---",0)</f>
        <v>---</v>
      </c>
      <c r="C618" t="str">
        <f>_xlfn.XLOOKUP($A618,表格1[No.],表格1[Location],"---",0)</f>
        <v>---</v>
      </c>
      <c r="D618" t="str">
        <f>_xlfn.XLOOKUP($A618,表格1[No.],表格1[Name],"---",0)</f>
        <v>---</v>
      </c>
      <c r="E618" t="str">
        <f>_xlfn.XLOOKUP($A618,表格1[No.],表格1[month],"---",0)</f>
        <v>---</v>
      </c>
      <c r="F618" s="12" t="str">
        <f>_xlfn.XLOOKUP($A618,表格1[No.],表格1[date],"---",0)</f>
        <v>---</v>
      </c>
      <c r="G618" t="str">
        <f>_xlfn.XLOOKUP($A618,表格1[No.],表格1[Model],"---",0)</f>
        <v>---</v>
      </c>
      <c r="H618" t="str">
        <f>_xlfn.XLOOKUP($A618,表格1[No.],表格1[QTY],"---",0)</f>
        <v>---</v>
      </c>
      <c r="I618" t="str">
        <f>_xlfn.XLOOKUP($A618,表格1[No.],表格1[Unit Price],"---",0)</f>
        <v>---</v>
      </c>
      <c r="J618" t="str">
        <f>_xlfn.XLOOKUP($A618,表格1[No.],表格1[inv no],"---",0)</f>
        <v>---</v>
      </c>
      <c r="K618" t="str">
        <f>_xlfn.XLOOKUP($A618,表格1[No.],表格1[apps report no.],"---",0)</f>
        <v>---</v>
      </c>
    </row>
    <row r="619" spans="2:11">
      <c r="B619" t="str">
        <f>_xlfn.XLOOKUP($A619,表格1[No.],表格1[Shop],"---",0)</f>
        <v>---</v>
      </c>
      <c r="C619" t="str">
        <f>_xlfn.XLOOKUP($A619,表格1[No.],表格1[Location],"---",0)</f>
        <v>---</v>
      </c>
      <c r="D619" t="str">
        <f>_xlfn.XLOOKUP($A619,表格1[No.],表格1[Name],"---",0)</f>
        <v>---</v>
      </c>
      <c r="E619" t="str">
        <f>_xlfn.XLOOKUP($A619,表格1[No.],表格1[month],"---",0)</f>
        <v>---</v>
      </c>
      <c r="F619" s="12" t="str">
        <f>_xlfn.XLOOKUP($A619,表格1[No.],表格1[date],"---",0)</f>
        <v>---</v>
      </c>
      <c r="G619" t="str">
        <f>_xlfn.XLOOKUP($A619,表格1[No.],表格1[Model],"---",0)</f>
        <v>---</v>
      </c>
      <c r="H619" t="str">
        <f>_xlfn.XLOOKUP($A619,表格1[No.],表格1[QTY],"---",0)</f>
        <v>---</v>
      </c>
      <c r="I619" t="str">
        <f>_xlfn.XLOOKUP($A619,表格1[No.],表格1[Unit Price],"---",0)</f>
        <v>---</v>
      </c>
      <c r="J619" t="str">
        <f>_xlfn.XLOOKUP($A619,表格1[No.],表格1[inv no],"---",0)</f>
        <v>---</v>
      </c>
      <c r="K619" t="str">
        <f>_xlfn.XLOOKUP($A619,表格1[No.],表格1[apps report no.],"---",0)</f>
        <v>---</v>
      </c>
    </row>
    <row r="620" spans="2:11">
      <c r="B620" t="str">
        <f>_xlfn.XLOOKUP($A620,表格1[No.],表格1[Shop],"---",0)</f>
        <v>---</v>
      </c>
      <c r="C620" t="str">
        <f>_xlfn.XLOOKUP($A620,表格1[No.],表格1[Location],"---",0)</f>
        <v>---</v>
      </c>
      <c r="D620" t="str">
        <f>_xlfn.XLOOKUP($A620,表格1[No.],表格1[Name],"---",0)</f>
        <v>---</v>
      </c>
      <c r="E620" t="str">
        <f>_xlfn.XLOOKUP($A620,表格1[No.],表格1[month],"---",0)</f>
        <v>---</v>
      </c>
      <c r="F620" s="12" t="str">
        <f>_xlfn.XLOOKUP($A620,表格1[No.],表格1[date],"---",0)</f>
        <v>---</v>
      </c>
      <c r="G620" t="str">
        <f>_xlfn.XLOOKUP($A620,表格1[No.],表格1[Model],"---",0)</f>
        <v>---</v>
      </c>
      <c r="H620" t="str">
        <f>_xlfn.XLOOKUP($A620,表格1[No.],表格1[QTY],"---",0)</f>
        <v>---</v>
      </c>
      <c r="I620" t="str">
        <f>_xlfn.XLOOKUP($A620,表格1[No.],表格1[Unit Price],"---",0)</f>
        <v>---</v>
      </c>
      <c r="J620" t="str">
        <f>_xlfn.XLOOKUP($A620,表格1[No.],表格1[inv no],"---",0)</f>
        <v>---</v>
      </c>
      <c r="K620" t="str">
        <f>_xlfn.XLOOKUP($A620,表格1[No.],表格1[apps report no.],"---",0)</f>
        <v>---</v>
      </c>
    </row>
    <row r="621" spans="2:11">
      <c r="B621" t="str">
        <f>_xlfn.XLOOKUP($A621,表格1[No.],表格1[Shop],"---",0)</f>
        <v>---</v>
      </c>
      <c r="C621" t="str">
        <f>_xlfn.XLOOKUP($A621,表格1[No.],表格1[Location],"---",0)</f>
        <v>---</v>
      </c>
      <c r="D621" t="str">
        <f>_xlfn.XLOOKUP($A621,表格1[No.],表格1[Name],"---",0)</f>
        <v>---</v>
      </c>
      <c r="E621" t="str">
        <f>_xlfn.XLOOKUP($A621,表格1[No.],表格1[month],"---",0)</f>
        <v>---</v>
      </c>
      <c r="F621" s="12" t="str">
        <f>_xlfn.XLOOKUP($A621,表格1[No.],表格1[date],"---",0)</f>
        <v>---</v>
      </c>
      <c r="G621" t="str">
        <f>_xlfn.XLOOKUP($A621,表格1[No.],表格1[Model],"---",0)</f>
        <v>---</v>
      </c>
      <c r="H621" t="str">
        <f>_xlfn.XLOOKUP($A621,表格1[No.],表格1[QTY],"---",0)</f>
        <v>---</v>
      </c>
      <c r="I621" t="str">
        <f>_xlfn.XLOOKUP($A621,表格1[No.],表格1[Unit Price],"---",0)</f>
        <v>---</v>
      </c>
      <c r="J621" t="str">
        <f>_xlfn.XLOOKUP($A621,表格1[No.],表格1[inv no],"---",0)</f>
        <v>---</v>
      </c>
      <c r="K621" t="str">
        <f>_xlfn.XLOOKUP($A621,表格1[No.],表格1[apps report no.],"---",0)</f>
        <v>---</v>
      </c>
    </row>
    <row r="622" spans="2:11">
      <c r="B622" t="str">
        <f>_xlfn.XLOOKUP($A622,表格1[No.],表格1[Shop],"---",0)</f>
        <v>---</v>
      </c>
      <c r="C622" t="str">
        <f>_xlfn.XLOOKUP($A622,表格1[No.],表格1[Location],"---",0)</f>
        <v>---</v>
      </c>
      <c r="D622" t="str">
        <f>_xlfn.XLOOKUP($A622,表格1[No.],表格1[Name],"---",0)</f>
        <v>---</v>
      </c>
      <c r="E622" t="str">
        <f>_xlfn.XLOOKUP($A622,表格1[No.],表格1[month],"---",0)</f>
        <v>---</v>
      </c>
      <c r="F622" s="12" t="str">
        <f>_xlfn.XLOOKUP($A622,表格1[No.],表格1[date],"---",0)</f>
        <v>---</v>
      </c>
      <c r="G622" t="str">
        <f>_xlfn.XLOOKUP($A622,表格1[No.],表格1[Model],"---",0)</f>
        <v>---</v>
      </c>
      <c r="H622" t="str">
        <f>_xlfn.XLOOKUP($A622,表格1[No.],表格1[QTY],"---",0)</f>
        <v>---</v>
      </c>
      <c r="I622" t="str">
        <f>_xlfn.XLOOKUP($A622,表格1[No.],表格1[Unit Price],"---",0)</f>
        <v>---</v>
      </c>
      <c r="J622" t="str">
        <f>_xlfn.XLOOKUP($A622,表格1[No.],表格1[inv no],"---",0)</f>
        <v>---</v>
      </c>
      <c r="K622" t="str">
        <f>_xlfn.XLOOKUP($A622,表格1[No.],表格1[apps report no.],"---",0)</f>
        <v>---</v>
      </c>
    </row>
    <row r="623" spans="2:11">
      <c r="B623" t="str">
        <f>_xlfn.XLOOKUP($A623,表格1[No.],表格1[Shop],"---",0)</f>
        <v>---</v>
      </c>
      <c r="C623" t="str">
        <f>_xlfn.XLOOKUP($A623,表格1[No.],表格1[Location],"---",0)</f>
        <v>---</v>
      </c>
      <c r="D623" t="str">
        <f>_xlfn.XLOOKUP($A623,表格1[No.],表格1[Name],"---",0)</f>
        <v>---</v>
      </c>
      <c r="E623" t="str">
        <f>_xlfn.XLOOKUP($A623,表格1[No.],表格1[month],"---",0)</f>
        <v>---</v>
      </c>
      <c r="F623" s="12" t="str">
        <f>_xlfn.XLOOKUP($A623,表格1[No.],表格1[date],"---",0)</f>
        <v>---</v>
      </c>
      <c r="G623" t="str">
        <f>_xlfn.XLOOKUP($A623,表格1[No.],表格1[Model],"---",0)</f>
        <v>---</v>
      </c>
      <c r="H623" t="str">
        <f>_xlfn.XLOOKUP($A623,表格1[No.],表格1[QTY],"---",0)</f>
        <v>---</v>
      </c>
      <c r="I623" t="str">
        <f>_xlfn.XLOOKUP($A623,表格1[No.],表格1[Unit Price],"---",0)</f>
        <v>---</v>
      </c>
      <c r="J623" t="str">
        <f>_xlfn.XLOOKUP($A623,表格1[No.],表格1[inv no],"---",0)</f>
        <v>---</v>
      </c>
      <c r="K623" t="str">
        <f>_xlfn.XLOOKUP($A623,表格1[No.],表格1[apps report no.],"---",0)</f>
        <v>---</v>
      </c>
    </row>
    <row r="624" spans="2:11">
      <c r="B624" t="str">
        <f>_xlfn.XLOOKUP($A624,表格1[No.],表格1[Shop],"---",0)</f>
        <v>---</v>
      </c>
      <c r="C624" t="str">
        <f>_xlfn.XLOOKUP($A624,表格1[No.],表格1[Location],"---",0)</f>
        <v>---</v>
      </c>
      <c r="D624" t="str">
        <f>_xlfn.XLOOKUP($A624,表格1[No.],表格1[Name],"---",0)</f>
        <v>---</v>
      </c>
      <c r="E624" t="str">
        <f>_xlfn.XLOOKUP($A624,表格1[No.],表格1[month],"---",0)</f>
        <v>---</v>
      </c>
      <c r="F624" s="12" t="str">
        <f>_xlfn.XLOOKUP($A624,表格1[No.],表格1[date],"---",0)</f>
        <v>---</v>
      </c>
      <c r="G624" t="str">
        <f>_xlfn.XLOOKUP($A624,表格1[No.],表格1[Model],"---",0)</f>
        <v>---</v>
      </c>
      <c r="H624" t="str">
        <f>_xlfn.XLOOKUP($A624,表格1[No.],表格1[QTY],"---",0)</f>
        <v>---</v>
      </c>
      <c r="I624" t="str">
        <f>_xlfn.XLOOKUP($A624,表格1[No.],表格1[Unit Price],"---",0)</f>
        <v>---</v>
      </c>
      <c r="J624" t="str">
        <f>_xlfn.XLOOKUP($A624,表格1[No.],表格1[inv no],"---",0)</f>
        <v>---</v>
      </c>
      <c r="K624" t="str">
        <f>_xlfn.XLOOKUP($A624,表格1[No.],表格1[apps report no.],"---",0)</f>
        <v>---</v>
      </c>
    </row>
    <row r="625" spans="2:11">
      <c r="B625" t="str">
        <f>_xlfn.XLOOKUP($A625,表格1[No.],表格1[Shop],"---",0)</f>
        <v>---</v>
      </c>
      <c r="C625" t="str">
        <f>_xlfn.XLOOKUP($A625,表格1[No.],表格1[Location],"---",0)</f>
        <v>---</v>
      </c>
      <c r="D625" t="str">
        <f>_xlfn.XLOOKUP($A625,表格1[No.],表格1[Name],"---",0)</f>
        <v>---</v>
      </c>
      <c r="E625" t="str">
        <f>_xlfn.XLOOKUP($A625,表格1[No.],表格1[month],"---",0)</f>
        <v>---</v>
      </c>
      <c r="F625" s="12" t="str">
        <f>_xlfn.XLOOKUP($A625,表格1[No.],表格1[date],"---",0)</f>
        <v>---</v>
      </c>
      <c r="G625" t="str">
        <f>_xlfn.XLOOKUP($A625,表格1[No.],表格1[Model],"---",0)</f>
        <v>---</v>
      </c>
      <c r="H625" t="str">
        <f>_xlfn.XLOOKUP($A625,表格1[No.],表格1[QTY],"---",0)</f>
        <v>---</v>
      </c>
      <c r="I625" t="str">
        <f>_xlfn.XLOOKUP($A625,表格1[No.],表格1[Unit Price],"---",0)</f>
        <v>---</v>
      </c>
      <c r="J625" t="str">
        <f>_xlfn.XLOOKUP($A625,表格1[No.],表格1[inv no],"---",0)</f>
        <v>---</v>
      </c>
      <c r="K625" t="str">
        <f>_xlfn.XLOOKUP($A625,表格1[No.],表格1[apps report no.],"---",0)</f>
        <v>---</v>
      </c>
    </row>
    <row r="626" spans="2:11">
      <c r="B626" t="str">
        <f>_xlfn.XLOOKUP($A626,表格1[No.],表格1[Shop],"---",0)</f>
        <v>---</v>
      </c>
      <c r="C626" t="str">
        <f>_xlfn.XLOOKUP($A626,表格1[No.],表格1[Location],"---",0)</f>
        <v>---</v>
      </c>
      <c r="D626" t="str">
        <f>_xlfn.XLOOKUP($A626,表格1[No.],表格1[Name],"---",0)</f>
        <v>---</v>
      </c>
      <c r="E626" t="str">
        <f>_xlfn.XLOOKUP($A626,表格1[No.],表格1[month],"---",0)</f>
        <v>---</v>
      </c>
      <c r="F626" s="12" t="str">
        <f>_xlfn.XLOOKUP($A626,表格1[No.],表格1[date],"---",0)</f>
        <v>---</v>
      </c>
      <c r="G626" t="str">
        <f>_xlfn.XLOOKUP($A626,表格1[No.],表格1[Model],"---",0)</f>
        <v>---</v>
      </c>
      <c r="H626" t="str">
        <f>_xlfn.XLOOKUP($A626,表格1[No.],表格1[QTY],"---",0)</f>
        <v>---</v>
      </c>
      <c r="I626" t="str">
        <f>_xlfn.XLOOKUP($A626,表格1[No.],表格1[Unit Price],"---",0)</f>
        <v>---</v>
      </c>
      <c r="J626" t="str">
        <f>_xlfn.XLOOKUP($A626,表格1[No.],表格1[inv no],"---",0)</f>
        <v>---</v>
      </c>
      <c r="K626" t="str">
        <f>_xlfn.XLOOKUP($A626,表格1[No.],表格1[apps report no.],"---",0)</f>
        <v>---</v>
      </c>
    </row>
    <row r="627" spans="2:11">
      <c r="B627" t="str">
        <f>_xlfn.XLOOKUP($A627,表格1[No.],表格1[Shop],"---",0)</f>
        <v>---</v>
      </c>
      <c r="C627" t="str">
        <f>_xlfn.XLOOKUP($A627,表格1[No.],表格1[Location],"---",0)</f>
        <v>---</v>
      </c>
      <c r="D627" t="str">
        <f>_xlfn.XLOOKUP($A627,表格1[No.],表格1[Name],"---",0)</f>
        <v>---</v>
      </c>
      <c r="E627" t="str">
        <f>_xlfn.XLOOKUP($A627,表格1[No.],表格1[month],"---",0)</f>
        <v>---</v>
      </c>
      <c r="F627" s="12" t="str">
        <f>_xlfn.XLOOKUP($A627,表格1[No.],表格1[date],"---",0)</f>
        <v>---</v>
      </c>
      <c r="G627" t="str">
        <f>_xlfn.XLOOKUP($A627,表格1[No.],表格1[Model],"---",0)</f>
        <v>---</v>
      </c>
      <c r="H627" t="str">
        <f>_xlfn.XLOOKUP($A627,表格1[No.],表格1[QTY],"---",0)</f>
        <v>---</v>
      </c>
      <c r="I627" t="str">
        <f>_xlfn.XLOOKUP($A627,表格1[No.],表格1[Unit Price],"---",0)</f>
        <v>---</v>
      </c>
      <c r="J627" t="str">
        <f>_xlfn.XLOOKUP($A627,表格1[No.],表格1[inv no],"---",0)</f>
        <v>---</v>
      </c>
      <c r="K627" t="str">
        <f>_xlfn.XLOOKUP($A627,表格1[No.],表格1[apps report no.],"---",0)</f>
        <v>---</v>
      </c>
    </row>
    <row r="628" spans="2:11">
      <c r="B628" t="str">
        <f>_xlfn.XLOOKUP($A628,表格1[No.],表格1[Shop],"---",0)</f>
        <v>---</v>
      </c>
      <c r="C628" t="str">
        <f>_xlfn.XLOOKUP($A628,表格1[No.],表格1[Location],"---",0)</f>
        <v>---</v>
      </c>
      <c r="D628" t="str">
        <f>_xlfn.XLOOKUP($A628,表格1[No.],表格1[Name],"---",0)</f>
        <v>---</v>
      </c>
      <c r="E628" t="str">
        <f>_xlfn.XLOOKUP($A628,表格1[No.],表格1[month],"---",0)</f>
        <v>---</v>
      </c>
      <c r="F628" s="12" t="str">
        <f>_xlfn.XLOOKUP($A628,表格1[No.],表格1[date],"---",0)</f>
        <v>---</v>
      </c>
      <c r="G628" t="str">
        <f>_xlfn.XLOOKUP($A628,表格1[No.],表格1[Model],"---",0)</f>
        <v>---</v>
      </c>
      <c r="H628" t="str">
        <f>_xlfn.XLOOKUP($A628,表格1[No.],表格1[QTY],"---",0)</f>
        <v>---</v>
      </c>
      <c r="I628" t="str">
        <f>_xlfn.XLOOKUP($A628,表格1[No.],表格1[Unit Price],"---",0)</f>
        <v>---</v>
      </c>
      <c r="J628" t="str">
        <f>_xlfn.XLOOKUP($A628,表格1[No.],表格1[inv no],"---",0)</f>
        <v>---</v>
      </c>
      <c r="K628" t="str">
        <f>_xlfn.XLOOKUP($A628,表格1[No.],表格1[apps report no.],"---",0)</f>
        <v>---</v>
      </c>
    </row>
    <row r="629" spans="2:11">
      <c r="B629" t="str">
        <f>_xlfn.XLOOKUP($A629,表格1[No.],表格1[Shop],"---",0)</f>
        <v>---</v>
      </c>
      <c r="C629" t="str">
        <f>_xlfn.XLOOKUP($A629,表格1[No.],表格1[Location],"---",0)</f>
        <v>---</v>
      </c>
      <c r="D629" t="str">
        <f>_xlfn.XLOOKUP($A629,表格1[No.],表格1[Name],"---",0)</f>
        <v>---</v>
      </c>
      <c r="E629" t="str">
        <f>_xlfn.XLOOKUP($A629,表格1[No.],表格1[month],"---",0)</f>
        <v>---</v>
      </c>
      <c r="F629" s="12" t="str">
        <f>_xlfn.XLOOKUP($A629,表格1[No.],表格1[date],"---",0)</f>
        <v>---</v>
      </c>
      <c r="G629" t="str">
        <f>_xlfn.XLOOKUP($A629,表格1[No.],表格1[Model],"---",0)</f>
        <v>---</v>
      </c>
      <c r="H629" t="str">
        <f>_xlfn.XLOOKUP($A629,表格1[No.],表格1[QTY],"---",0)</f>
        <v>---</v>
      </c>
      <c r="I629" t="str">
        <f>_xlfn.XLOOKUP($A629,表格1[No.],表格1[Unit Price],"---",0)</f>
        <v>---</v>
      </c>
      <c r="J629" t="str">
        <f>_xlfn.XLOOKUP($A629,表格1[No.],表格1[inv no],"---",0)</f>
        <v>---</v>
      </c>
      <c r="K629" t="str">
        <f>_xlfn.XLOOKUP($A629,表格1[No.],表格1[apps report no.],"---",0)</f>
        <v>---</v>
      </c>
    </row>
    <row r="630" spans="2:11">
      <c r="B630" t="str">
        <f>_xlfn.XLOOKUP($A630,表格1[No.],表格1[Shop],"---",0)</f>
        <v>---</v>
      </c>
      <c r="C630" t="str">
        <f>_xlfn.XLOOKUP($A630,表格1[No.],表格1[Location],"---",0)</f>
        <v>---</v>
      </c>
      <c r="D630" t="str">
        <f>_xlfn.XLOOKUP($A630,表格1[No.],表格1[Name],"---",0)</f>
        <v>---</v>
      </c>
      <c r="E630" t="str">
        <f>_xlfn.XLOOKUP($A630,表格1[No.],表格1[month],"---",0)</f>
        <v>---</v>
      </c>
      <c r="F630" s="12" t="str">
        <f>_xlfn.XLOOKUP($A630,表格1[No.],表格1[date],"---",0)</f>
        <v>---</v>
      </c>
      <c r="G630" t="str">
        <f>_xlfn.XLOOKUP($A630,表格1[No.],表格1[Model],"---",0)</f>
        <v>---</v>
      </c>
      <c r="H630" t="str">
        <f>_xlfn.XLOOKUP($A630,表格1[No.],表格1[QTY],"---",0)</f>
        <v>---</v>
      </c>
      <c r="I630" t="str">
        <f>_xlfn.XLOOKUP($A630,表格1[No.],表格1[Unit Price],"---",0)</f>
        <v>---</v>
      </c>
      <c r="J630" t="str">
        <f>_xlfn.XLOOKUP($A630,表格1[No.],表格1[inv no],"---",0)</f>
        <v>---</v>
      </c>
      <c r="K630" t="str">
        <f>_xlfn.XLOOKUP($A630,表格1[No.],表格1[apps report no.],"---",0)</f>
        <v>---</v>
      </c>
    </row>
    <row r="631" spans="2:11">
      <c r="B631" t="str">
        <f>_xlfn.XLOOKUP($A631,表格1[No.],表格1[Shop],"---",0)</f>
        <v>---</v>
      </c>
      <c r="C631" t="str">
        <f>_xlfn.XLOOKUP($A631,表格1[No.],表格1[Location],"---",0)</f>
        <v>---</v>
      </c>
      <c r="D631" t="str">
        <f>_xlfn.XLOOKUP($A631,表格1[No.],表格1[Name],"---",0)</f>
        <v>---</v>
      </c>
      <c r="E631" t="str">
        <f>_xlfn.XLOOKUP($A631,表格1[No.],表格1[month],"---",0)</f>
        <v>---</v>
      </c>
      <c r="F631" s="12" t="str">
        <f>_xlfn.XLOOKUP($A631,表格1[No.],表格1[date],"---",0)</f>
        <v>---</v>
      </c>
      <c r="G631" t="str">
        <f>_xlfn.XLOOKUP($A631,表格1[No.],表格1[Model],"---",0)</f>
        <v>---</v>
      </c>
      <c r="H631" t="str">
        <f>_xlfn.XLOOKUP($A631,表格1[No.],表格1[QTY],"---",0)</f>
        <v>---</v>
      </c>
      <c r="I631" t="str">
        <f>_xlfn.XLOOKUP($A631,表格1[No.],表格1[Unit Price],"---",0)</f>
        <v>---</v>
      </c>
      <c r="J631" t="str">
        <f>_xlfn.XLOOKUP($A631,表格1[No.],表格1[inv no],"---",0)</f>
        <v>---</v>
      </c>
      <c r="K631" t="str">
        <f>_xlfn.XLOOKUP($A631,表格1[No.],表格1[apps report no.],"---",0)</f>
        <v>---</v>
      </c>
    </row>
    <row r="632" spans="2:11">
      <c r="B632" t="str">
        <f>_xlfn.XLOOKUP($A632,表格1[No.],表格1[Shop],"---",0)</f>
        <v>---</v>
      </c>
      <c r="C632" t="str">
        <f>_xlfn.XLOOKUP($A632,表格1[No.],表格1[Location],"---",0)</f>
        <v>---</v>
      </c>
      <c r="D632" t="str">
        <f>_xlfn.XLOOKUP($A632,表格1[No.],表格1[Name],"---",0)</f>
        <v>---</v>
      </c>
      <c r="E632" t="str">
        <f>_xlfn.XLOOKUP($A632,表格1[No.],表格1[month],"---",0)</f>
        <v>---</v>
      </c>
      <c r="F632" s="12" t="str">
        <f>_xlfn.XLOOKUP($A632,表格1[No.],表格1[date],"---",0)</f>
        <v>---</v>
      </c>
      <c r="G632" t="str">
        <f>_xlfn.XLOOKUP($A632,表格1[No.],表格1[Model],"---",0)</f>
        <v>---</v>
      </c>
      <c r="H632" t="str">
        <f>_xlfn.XLOOKUP($A632,表格1[No.],表格1[QTY],"---",0)</f>
        <v>---</v>
      </c>
      <c r="I632" t="str">
        <f>_xlfn.XLOOKUP($A632,表格1[No.],表格1[Unit Price],"---",0)</f>
        <v>---</v>
      </c>
      <c r="J632" t="str">
        <f>_xlfn.XLOOKUP($A632,表格1[No.],表格1[inv no],"---",0)</f>
        <v>---</v>
      </c>
      <c r="K632" t="str">
        <f>_xlfn.XLOOKUP($A632,表格1[No.],表格1[apps report no.],"---",0)</f>
        <v>---</v>
      </c>
    </row>
    <row r="633" spans="2:11">
      <c r="B633" t="str">
        <f>_xlfn.XLOOKUP($A633,表格1[No.],表格1[Shop],"---",0)</f>
        <v>---</v>
      </c>
      <c r="C633" t="str">
        <f>_xlfn.XLOOKUP($A633,表格1[No.],表格1[Location],"---",0)</f>
        <v>---</v>
      </c>
      <c r="D633" t="str">
        <f>_xlfn.XLOOKUP($A633,表格1[No.],表格1[Name],"---",0)</f>
        <v>---</v>
      </c>
      <c r="E633" t="str">
        <f>_xlfn.XLOOKUP($A633,表格1[No.],表格1[month],"---",0)</f>
        <v>---</v>
      </c>
      <c r="F633" s="12" t="str">
        <f>_xlfn.XLOOKUP($A633,表格1[No.],表格1[date],"---",0)</f>
        <v>---</v>
      </c>
      <c r="G633" t="str">
        <f>_xlfn.XLOOKUP($A633,表格1[No.],表格1[Model],"---",0)</f>
        <v>---</v>
      </c>
      <c r="H633" t="str">
        <f>_xlfn.XLOOKUP($A633,表格1[No.],表格1[QTY],"---",0)</f>
        <v>---</v>
      </c>
      <c r="I633" t="str">
        <f>_xlfn.XLOOKUP($A633,表格1[No.],表格1[Unit Price],"---",0)</f>
        <v>---</v>
      </c>
      <c r="J633" t="str">
        <f>_xlfn.XLOOKUP($A633,表格1[No.],表格1[inv no],"---",0)</f>
        <v>---</v>
      </c>
      <c r="K633" t="str">
        <f>_xlfn.XLOOKUP($A633,表格1[No.],表格1[apps report no.],"---",0)</f>
        <v>---</v>
      </c>
    </row>
    <row r="634" spans="2:11">
      <c r="B634" t="str">
        <f>_xlfn.XLOOKUP($A634,表格1[No.],表格1[Shop],"---",0)</f>
        <v>---</v>
      </c>
      <c r="C634" t="str">
        <f>_xlfn.XLOOKUP($A634,表格1[No.],表格1[Location],"---",0)</f>
        <v>---</v>
      </c>
      <c r="D634" t="str">
        <f>_xlfn.XLOOKUP($A634,表格1[No.],表格1[Name],"---",0)</f>
        <v>---</v>
      </c>
      <c r="E634" t="str">
        <f>_xlfn.XLOOKUP($A634,表格1[No.],表格1[month],"---",0)</f>
        <v>---</v>
      </c>
      <c r="F634" s="12" t="str">
        <f>_xlfn.XLOOKUP($A634,表格1[No.],表格1[date],"---",0)</f>
        <v>---</v>
      </c>
      <c r="G634" t="str">
        <f>_xlfn.XLOOKUP($A634,表格1[No.],表格1[Model],"---",0)</f>
        <v>---</v>
      </c>
      <c r="H634" t="str">
        <f>_xlfn.XLOOKUP($A634,表格1[No.],表格1[QTY],"---",0)</f>
        <v>---</v>
      </c>
      <c r="I634" t="str">
        <f>_xlfn.XLOOKUP($A634,表格1[No.],表格1[Unit Price],"---",0)</f>
        <v>---</v>
      </c>
      <c r="J634" t="str">
        <f>_xlfn.XLOOKUP($A634,表格1[No.],表格1[inv no],"---",0)</f>
        <v>---</v>
      </c>
      <c r="K634" t="str">
        <f>_xlfn.XLOOKUP($A634,表格1[No.],表格1[apps report no.],"---",0)</f>
        <v>---</v>
      </c>
    </row>
    <row r="635" spans="2:11">
      <c r="B635" t="str">
        <f>_xlfn.XLOOKUP($A635,表格1[No.],表格1[Shop],"---",0)</f>
        <v>---</v>
      </c>
      <c r="C635" t="str">
        <f>_xlfn.XLOOKUP($A635,表格1[No.],表格1[Location],"---",0)</f>
        <v>---</v>
      </c>
      <c r="D635" t="str">
        <f>_xlfn.XLOOKUP($A635,表格1[No.],表格1[Name],"---",0)</f>
        <v>---</v>
      </c>
      <c r="E635" t="str">
        <f>_xlfn.XLOOKUP($A635,表格1[No.],表格1[month],"---",0)</f>
        <v>---</v>
      </c>
      <c r="F635" s="12" t="str">
        <f>_xlfn.XLOOKUP($A635,表格1[No.],表格1[date],"---",0)</f>
        <v>---</v>
      </c>
      <c r="G635" t="str">
        <f>_xlfn.XLOOKUP($A635,表格1[No.],表格1[Model],"---",0)</f>
        <v>---</v>
      </c>
      <c r="H635" t="str">
        <f>_xlfn.XLOOKUP($A635,表格1[No.],表格1[QTY],"---",0)</f>
        <v>---</v>
      </c>
      <c r="I635" t="str">
        <f>_xlfn.XLOOKUP($A635,表格1[No.],表格1[Unit Price],"---",0)</f>
        <v>---</v>
      </c>
      <c r="J635" t="str">
        <f>_xlfn.XLOOKUP($A635,表格1[No.],表格1[inv no],"---",0)</f>
        <v>---</v>
      </c>
      <c r="K635" t="str">
        <f>_xlfn.XLOOKUP($A635,表格1[No.],表格1[apps report no.],"---",0)</f>
        <v>---</v>
      </c>
    </row>
    <row r="636" spans="2:11">
      <c r="B636" t="str">
        <f>_xlfn.XLOOKUP($A636,表格1[No.],表格1[Shop],"---",0)</f>
        <v>---</v>
      </c>
      <c r="C636" t="str">
        <f>_xlfn.XLOOKUP($A636,表格1[No.],表格1[Location],"---",0)</f>
        <v>---</v>
      </c>
      <c r="D636" t="str">
        <f>_xlfn.XLOOKUP($A636,表格1[No.],表格1[Name],"---",0)</f>
        <v>---</v>
      </c>
      <c r="E636" t="str">
        <f>_xlfn.XLOOKUP($A636,表格1[No.],表格1[month],"---",0)</f>
        <v>---</v>
      </c>
      <c r="F636" s="12" t="str">
        <f>_xlfn.XLOOKUP($A636,表格1[No.],表格1[date],"---",0)</f>
        <v>---</v>
      </c>
      <c r="G636" t="str">
        <f>_xlfn.XLOOKUP($A636,表格1[No.],表格1[Model],"---",0)</f>
        <v>---</v>
      </c>
      <c r="H636" t="str">
        <f>_xlfn.XLOOKUP($A636,表格1[No.],表格1[QTY],"---",0)</f>
        <v>---</v>
      </c>
      <c r="I636" t="str">
        <f>_xlfn.XLOOKUP($A636,表格1[No.],表格1[Unit Price],"---",0)</f>
        <v>---</v>
      </c>
      <c r="J636" t="str">
        <f>_xlfn.XLOOKUP($A636,表格1[No.],表格1[inv no],"---",0)</f>
        <v>---</v>
      </c>
      <c r="K636" t="str">
        <f>_xlfn.XLOOKUP($A636,表格1[No.],表格1[apps report no.],"---",0)</f>
        <v>---</v>
      </c>
    </row>
    <row r="637" spans="2:11">
      <c r="B637" t="str">
        <f>_xlfn.XLOOKUP($A637,表格1[No.],表格1[Shop],"---",0)</f>
        <v>---</v>
      </c>
      <c r="C637" t="str">
        <f>_xlfn.XLOOKUP($A637,表格1[No.],表格1[Location],"---",0)</f>
        <v>---</v>
      </c>
      <c r="D637" t="str">
        <f>_xlfn.XLOOKUP($A637,表格1[No.],表格1[Name],"---",0)</f>
        <v>---</v>
      </c>
      <c r="E637" t="str">
        <f>_xlfn.XLOOKUP($A637,表格1[No.],表格1[month],"---",0)</f>
        <v>---</v>
      </c>
      <c r="F637" s="12" t="str">
        <f>_xlfn.XLOOKUP($A637,表格1[No.],表格1[date],"---",0)</f>
        <v>---</v>
      </c>
      <c r="G637" t="str">
        <f>_xlfn.XLOOKUP($A637,表格1[No.],表格1[Model],"---",0)</f>
        <v>---</v>
      </c>
      <c r="H637" t="str">
        <f>_xlfn.XLOOKUP($A637,表格1[No.],表格1[QTY],"---",0)</f>
        <v>---</v>
      </c>
      <c r="I637" t="str">
        <f>_xlfn.XLOOKUP($A637,表格1[No.],表格1[Unit Price],"---",0)</f>
        <v>---</v>
      </c>
      <c r="J637" t="str">
        <f>_xlfn.XLOOKUP($A637,表格1[No.],表格1[inv no],"---",0)</f>
        <v>---</v>
      </c>
      <c r="K637" t="str">
        <f>_xlfn.XLOOKUP($A637,表格1[No.],表格1[apps report no.],"---",0)</f>
        <v>---</v>
      </c>
    </row>
    <row r="638" spans="2:11">
      <c r="B638" t="str">
        <f>_xlfn.XLOOKUP($A638,表格1[No.],表格1[Shop],"---",0)</f>
        <v>---</v>
      </c>
      <c r="C638" t="str">
        <f>_xlfn.XLOOKUP($A638,表格1[No.],表格1[Location],"---",0)</f>
        <v>---</v>
      </c>
      <c r="D638" t="str">
        <f>_xlfn.XLOOKUP($A638,表格1[No.],表格1[Name],"---",0)</f>
        <v>---</v>
      </c>
      <c r="E638" t="str">
        <f>_xlfn.XLOOKUP($A638,表格1[No.],表格1[month],"---",0)</f>
        <v>---</v>
      </c>
      <c r="F638" s="12" t="str">
        <f>_xlfn.XLOOKUP($A638,表格1[No.],表格1[date],"---",0)</f>
        <v>---</v>
      </c>
      <c r="G638" t="str">
        <f>_xlfn.XLOOKUP($A638,表格1[No.],表格1[Model],"---",0)</f>
        <v>---</v>
      </c>
      <c r="H638" t="str">
        <f>_xlfn.XLOOKUP($A638,表格1[No.],表格1[QTY],"---",0)</f>
        <v>---</v>
      </c>
      <c r="I638" t="str">
        <f>_xlfn.XLOOKUP($A638,表格1[No.],表格1[Unit Price],"---",0)</f>
        <v>---</v>
      </c>
      <c r="J638" t="str">
        <f>_xlfn.XLOOKUP($A638,表格1[No.],表格1[inv no],"---",0)</f>
        <v>---</v>
      </c>
      <c r="K638" t="str">
        <f>_xlfn.XLOOKUP($A638,表格1[No.],表格1[apps report no.],"---",0)</f>
        <v>---</v>
      </c>
    </row>
    <row r="639" spans="2:11">
      <c r="B639" t="str">
        <f>_xlfn.XLOOKUP($A639,表格1[No.],表格1[Shop],"---",0)</f>
        <v>---</v>
      </c>
      <c r="C639" t="str">
        <f>_xlfn.XLOOKUP($A639,表格1[No.],表格1[Location],"---",0)</f>
        <v>---</v>
      </c>
      <c r="D639" t="str">
        <f>_xlfn.XLOOKUP($A639,表格1[No.],表格1[Name],"---",0)</f>
        <v>---</v>
      </c>
      <c r="E639" t="str">
        <f>_xlfn.XLOOKUP($A639,表格1[No.],表格1[month],"---",0)</f>
        <v>---</v>
      </c>
      <c r="F639" s="12" t="str">
        <f>_xlfn.XLOOKUP($A639,表格1[No.],表格1[date],"---",0)</f>
        <v>---</v>
      </c>
      <c r="G639" t="str">
        <f>_xlfn.XLOOKUP($A639,表格1[No.],表格1[Model],"---",0)</f>
        <v>---</v>
      </c>
      <c r="H639" t="str">
        <f>_xlfn.XLOOKUP($A639,表格1[No.],表格1[QTY],"---",0)</f>
        <v>---</v>
      </c>
      <c r="I639" t="str">
        <f>_xlfn.XLOOKUP($A639,表格1[No.],表格1[Unit Price],"---",0)</f>
        <v>---</v>
      </c>
      <c r="J639" t="str">
        <f>_xlfn.XLOOKUP($A639,表格1[No.],表格1[inv no],"---",0)</f>
        <v>---</v>
      </c>
      <c r="K639" t="str">
        <f>_xlfn.XLOOKUP($A639,表格1[No.],表格1[apps report no.],"---",0)</f>
        <v>---</v>
      </c>
    </row>
    <row r="640" spans="2:11">
      <c r="B640" t="str">
        <f>_xlfn.XLOOKUP($A640,表格1[No.],表格1[Shop],"---",0)</f>
        <v>---</v>
      </c>
      <c r="C640" t="str">
        <f>_xlfn.XLOOKUP($A640,表格1[No.],表格1[Location],"---",0)</f>
        <v>---</v>
      </c>
      <c r="D640" t="str">
        <f>_xlfn.XLOOKUP($A640,表格1[No.],表格1[Name],"---",0)</f>
        <v>---</v>
      </c>
      <c r="E640" t="str">
        <f>_xlfn.XLOOKUP($A640,表格1[No.],表格1[month],"---",0)</f>
        <v>---</v>
      </c>
      <c r="F640" s="12" t="str">
        <f>_xlfn.XLOOKUP($A640,表格1[No.],表格1[date],"---",0)</f>
        <v>---</v>
      </c>
      <c r="G640" t="str">
        <f>_xlfn.XLOOKUP($A640,表格1[No.],表格1[Model],"---",0)</f>
        <v>---</v>
      </c>
      <c r="H640" t="str">
        <f>_xlfn.XLOOKUP($A640,表格1[No.],表格1[QTY],"---",0)</f>
        <v>---</v>
      </c>
      <c r="I640" t="str">
        <f>_xlfn.XLOOKUP($A640,表格1[No.],表格1[Unit Price],"---",0)</f>
        <v>---</v>
      </c>
      <c r="J640" t="str">
        <f>_xlfn.XLOOKUP($A640,表格1[No.],表格1[inv no],"---",0)</f>
        <v>---</v>
      </c>
      <c r="K640" t="str">
        <f>_xlfn.XLOOKUP($A640,表格1[No.],表格1[apps report no.],"---",0)</f>
        <v>---</v>
      </c>
    </row>
    <row r="641" spans="2:11">
      <c r="B641" t="str">
        <f>_xlfn.XLOOKUP($A641,表格1[No.],表格1[Shop],"---",0)</f>
        <v>---</v>
      </c>
      <c r="C641" t="str">
        <f>_xlfn.XLOOKUP($A641,表格1[No.],表格1[Location],"---",0)</f>
        <v>---</v>
      </c>
      <c r="D641" t="str">
        <f>_xlfn.XLOOKUP($A641,表格1[No.],表格1[Name],"---",0)</f>
        <v>---</v>
      </c>
      <c r="E641" t="str">
        <f>_xlfn.XLOOKUP($A641,表格1[No.],表格1[month],"---",0)</f>
        <v>---</v>
      </c>
      <c r="F641" s="12" t="str">
        <f>_xlfn.XLOOKUP($A641,表格1[No.],表格1[date],"---",0)</f>
        <v>---</v>
      </c>
      <c r="G641" t="str">
        <f>_xlfn.XLOOKUP($A641,表格1[No.],表格1[Model],"---",0)</f>
        <v>---</v>
      </c>
      <c r="H641" t="str">
        <f>_xlfn.XLOOKUP($A641,表格1[No.],表格1[QTY],"---",0)</f>
        <v>---</v>
      </c>
      <c r="I641" t="str">
        <f>_xlfn.XLOOKUP($A641,表格1[No.],表格1[Unit Price],"---",0)</f>
        <v>---</v>
      </c>
      <c r="J641" t="str">
        <f>_xlfn.XLOOKUP($A641,表格1[No.],表格1[inv no],"---",0)</f>
        <v>---</v>
      </c>
      <c r="K641" t="str">
        <f>_xlfn.XLOOKUP($A641,表格1[No.],表格1[apps report no.],"---",0)</f>
        <v>---</v>
      </c>
    </row>
    <row r="642" spans="2:11">
      <c r="B642" t="str">
        <f>_xlfn.XLOOKUP($A642,表格1[No.],表格1[Shop],"---",0)</f>
        <v>---</v>
      </c>
      <c r="C642" t="str">
        <f>_xlfn.XLOOKUP($A642,表格1[No.],表格1[Location],"---",0)</f>
        <v>---</v>
      </c>
      <c r="D642" t="str">
        <f>_xlfn.XLOOKUP($A642,表格1[No.],表格1[Name],"---",0)</f>
        <v>---</v>
      </c>
      <c r="E642" t="str">
        <f>_xlfn.XLOOKUP($A642,表格1[No.],表格1[month],"---",0)</f>
        <v>---</v>
      </c>
      <c r="F642" s="12" t="str">
        <f>_xlfn.XLOOKUP($A642,表格1[No.],表格1[date],"---",0)</f>
        <v>---</v>
      </c>
      <c r="G642" t="str">
        <f>_xlfn.XLOOKUP($A642,表格1[No.],表格1[Model],"---",0)</f>
        <v>---</v>
      </c>
      <c r="H642" t="str">
        <f>_xlfn.XLOOKUP($A642,表格1[No.],表格1[QTY],"---",0)</f>
        <v>---</v>
      </c>
      <c r="I642" t="str">
        <f>_xlfn.XLOOKUP($A642,表格1[No.],表格1[Unit Price],"---",0)</f>
        <v>---</v>
      </c>
      <c r="J642" t="str">
        <f>_xlfn.XLOOKUP($A642,表格1[No.],表格1[inv no],"---",0)</f>
        <v>---</v>
      </c>
      <c r="K642" t="str">
        <f>_xlfn.XLOOKUP($A642,表格1[No.],表格1[apps report no.],"---",0)</f>
        <v>---</v>
      </c>
    </row>
    <row r="643" spans="2:11">
      <c r="B643" t="str">
        <f>_xlfn.XLOOKUP($A643,表格1[No.],表格1[Shop],"---",0)</f>
        <v>---</v>
      </c>
      <c r="C643" t="str">
        <f>_xlfn.XLOOKUP($A643,表格1[No.],表格1[Location],"---",0)</f>
        <v>---</v>
      </c>
      <c r="D643" t="str">
        <f>_xlfn.XLOOKUP($A643,表格1[No.],表格1[Name],"---",0)</f>
        <v>---</v>
      </c>
      <c r="E643" t="str">
        <f>_xlfn.XLOOKUP($A643,表格1[No.],表格1[month],"---",0)</f>
        <v>---</v>
      </c>
      <c r="F643" s="12" t="str">
        <f>_xlfn.XLOOKUP($A643,表格1[No.],表格1[date],"---",0)</f>
        <v>---</v>
      </c>
      <c r="G643" t="str">
        <f>_xlfn.XLOOKUP($A643,表格1[No.],表格1[Model],"---",0)</f>
        <v>---</v>
      </c>
      <c r="H643" t="str">
        <f>_xlfn.XLOOKUP($A643,表格1[No.],表格1[QTY],"---",0)</f>
        <v>---</v>
      </c>
      <c r="I643" t="str">
        <f>_xlfn.XLOOKUP($A643,表格1[No.],表格1[Unit Price],"---",0)</f>
        <v>---</v>
      </c>
      <c r="J643" t="str">
        <f>_xlfn.XLOOKUP($A643,表格1[No.],表格1[inv no],"---",0)</f>
        <v>---</v>
      </c>
      <c r="K643" t="str">
        <f>_xlfn.XLOOKUP($A643,表格1[No.],表格1[apps report no.],"---",0)</f>
        <v>---</v>
      </c>
    </row>
    <row r="644" spans="2:11">
      <c r="B644" t="str">
        <f>_xlfn.XLOOKUP($A644,表格1[No.],表格1[Shop],"---",0)</f>
        <v>---</v>
      </c>
      <c r="C644" t="str">
        <f>_xlfn.XLOOKUP($A644,表格1[No.],表格1[Location],"---",0)</f>
        <v>---</v>
      </c>
      <c r="D644" t="str">
        <f>_xlfn.XLOOKUP($A644,表格1[No.],表格1[Name],"---",0)</f>
        <v>---</v>
      </c>
      <c r="E644" t="str">
        <f>_xlfn.XLOOKUP($A644,表格1[No.],表格1[month],"---",0)</f>
        <v>---</v>
      </c>
      <c r="F644" s="12" t="str">
        <f>_xlfn.XLOOKUP($A644,表格1[No.],表格1[date],"---",0)</f>
        <v>---</v>
      </c>
      <c r="G644" t="str">
        <f>_xlfn.XLOOKUP($A644,表格1[No.],表格1[Model],"---",0)</f>
        <v>---</v>
      </c>
      <c r="H644" t="str">
        <f>_xlfn.XLOOKUP($A644,表格1[No.],表格1[QTY],"---",0)</f>
        <v>---</v>
      </c>
      <c r="I644" t="str">
        <f>_xlfn.XLOOKUP($A644,表格1[No.],表格1[Unit Price],"---",0)</f>
        <v>---</v>
      </c>
      <c r="J644" t="str">
        <f>_xlfn.XLOOKUP($A644,表格1[No.],表格1[inv no],"---",0)</f>
        <v>---</v>
      </c>
      <c r="K644" t="str">
        <f>_xlfn.XLOOKUP($A644,表格1[No.],表格1[apps report no.],"---",0)</f>
        <v>---</v>
      </c>
    </row>
    <row r="645" spans="2:11">
      <c r="B645" t="str">
        <f>_xlfn.XLOOKUP($A645,表格1[No.],表格1[Shop],"---",0)</f>
        <v>---</v>
      </c>
      <c r="C645" t="str">
        <f>_xlfn.XLOOKUP($A645,表格1[No.],表格1[Location],"---",0)</f>
        <v>---</v>
      </c>
      <c r="D645" t="str">
        <f>_xlfn.XLOOKUP($A645,表格1[No.],表格1[Name],"---",0)</f>
        <v>---</v>
      </c>
      <c r="E645" t="str">
        <f>_xlfn.XLOOKUP($A645,表格1[No.],表格1[month],"---",0)</f>
        <v>---</v>
      </c>
      <c r="F645" s="12" t="str">
        <f>_xlfn.XLOOKUP($A645,表格1[No.],表格1[date],"---",0)</f>
        <v>---</v>
      </c>
      <c r="G645" t="str">
        <f>_xlfn.XLOOKUP($A645,表格1[No.],表格1[Model],"---",0)</f>
        <v>---</v>
      </c>
      <c r="H645" t="str">
        <f>_xlfn.XLOOKUP($A645,表格1[No.],表格1[QTY],"---",0)</f>
        <v>---</v>
      </c>
      <c r="I645" t="str">
        <f>_xlfn.XLOOKUP($A645,表格1[No.],表格1[Unit Price],"---",0)</f>
        <v>---</v>
      </c>
      <c r="J645" t="str">
        <f>_xlfn.XLOOKUP($A645,表格1[No.],表格1[inv no],"---",0)</f>
        <v>---</v>
      </c>
      <c r="K645" t="str">
        <f>_xlfn.XLOOKUP($A645,表格1[No.],表格1[apps report no.],"---",0)</f>
        <v>---</v>
      </c>
    </row>
    <row r="646" spans="2:11">
      <c r="B646" t="str">
        <f>_xlfn.XLOOKUP($A646,表格1[No.],表格1[Shop],"---",0)</f>
        <v>---</v>
      </c>
      <c r="C646" t="str">
        <f>_xlfn.XLOOKUP($A646,表格1[No.],表格1[Location],"---",0)</f>
        <v>---</v>
      </c>
      <c r="D646" t="str">
        <f>_xlfn.XLOOKUP($A646,表格1[No.],表格1[Name],"---",0)</f>
        <v>---</v>
      </c>
      <c r="E646" t="str">
        <f>_xlfn.XLOOKUP($A646,表格1[No.],表格1[month],"---",0)</f>
        <v>---</v>
      </c>
      <c r="F646" s="12" t="str">
        <f>_xlfn.XLOOKUP($A646,表格1[No.],表格1[date],"---",0)</f>
        <v>---</v>
      </c>
      <c r="G646" t="str">
        <f>_xlfn.XLOOKUP($A646,表格1[No.],表格1[Model],"---",0)</f>
        <v>---</v>
      </c>
      <c r="H646" t="str">
        <f>_xlfn.XLOOKUP($A646,表格1[No.],表格1[QTY],"---",0)</f>
        <v>---</v>
      </c>
      <c r="I646" t="str">
        <f>_xlfn.XLOOKUP($A646,表格1[No.],表格1[Unit Price],"---",0)</f>
        <v>---</v>
      </c>
      <c r="J646" t="str">
        <f>_xlfn.XLOOKUP($A646,表格1[No.],表格1[inv no],"---",0)</f>
        <v>---</v>
      </c>
      <c r="K646" t="str">
        <f>_xlfn.XLOOKUP($A646,表格1[No.],表格1[apps report no.],"---",0)</f>
        <v>---</v>
      </c>
    </row>
    <row r="647" spans="2:11">
      <c r="B647" t="str">
        <f>_xlfn.XLOOKUP($A647,表格1[No.],表格1[Shop],"---",0)</f>
        <v>---</v>
      </c>
      <c r="C647" t="str">
        <f>_xlfn.XLOOKUP($A647,表格1[No.],表格1[Location],"---",0)</f>
        <v>---</v>
      </c>
      <c r="D647" t="str">
        <f>_xlfn.XLOOKUP($A647,表格1[No.],表格1[Name],"---",0)</f>
        <v>---</v>
      </c>
      <c r="E647" t="str">
        <f>_xlfn.XLOOKUP($A647,表格1[No.],表格1[month],"---",0)</f>
        <v>---</v>
      </c>
      <c r="F647" s="12" t="str">
        <f>_xlfn.XLOOKUP($A647,表格1[No.],表格1[date],"---",0)</f>
        <v>---</v>
      </c>
      <c r="G647" t="str">
        <f>_xlfn.XLOOKUP($A647,表格1[No.],表格1[Model],"---",0)</f>
        <v>---</v>
      </c>
      <c r="H647" t="str">
        <f>_xlfn.XLOOKUP($A647,表格1[No.],表格1[QTY],"---",0)</f>
        <v>---</v>
      </c>
      <c r="I647" t="str">
        <f>_xlfn.XLOOKUP($A647,表格1[No.],表格1[Unit Price],"---",0)</f>
        <v>---</v>
      </c>
      <c r="J647" t="str">
        <f>_xlfn.XLOOKUP($A647,表格1[No.],表格1[inv no],"---",0)</f>
        <v>---</v>
      </c>
      <c r="K647" t="str">
        <f>_xlfn.XLOOKUP($A647,表格1[No.],表格1[apps report no.],"---",0)</f>
        <v>---</v>
      </c>
    </row>
    <row r="648" spans="2:11">
      <c r="B648" t="str">
        <f>_xlfn.XLOOKUP($A648,表格1[No.],表格1[Shop],"---",0)</f>
        <v>---</v>
      </c>
      <c r="C648" t="str">
        <f>_xlfn.XLOOKUP($A648,表格1[No.],表格1[Location],"---",0)</f>
        <v>---</v>
      </c>
      <c r="D648" t="str">
        <f>_xlfn.XLOOKUP($A648,表格1[No.],表格1[Name],"---",0)</f>
        <v>---</v>
      </c>
      <c r="E648" t="str">
        <f>_xlfn.XLOOKUP($A648,表格1[No.],表格1[month],"---",0)</f>
        <v>---</v>
      </c>
      <c r="F648" s="12" t="str">
        <f>_xlfn.XLOOKUP($A648,表格1[No.],表格1[date],"---",0)</f>
        <v>---</v>
      </c>
      <c r="G648" t="str">
        <f>_xlfn.XLOOKUP($A648,表格1[No.],表格1[Model],"---",0)</f>
        <v>---</v>
      </c>
      <c r="H648" t="str">
        <f>_xlfn.XLOOKUP($A648,表格1[No.],表格1[QTY],"---",0)</f>
        <v>---</v>
      </c>
      <c r="I648" t="str">
        <f>_xlfn.XLOOKUP($A648,表格1[No.],表格1[Unit Price],"---",0)</f>
        <v>---</v>
      </c>
      <c r="J648" t="str">
        <f>_xlfn.XLOOKUP($A648,表格1[No.],表格1[inv no],"---",0)</f>
        <v>---</v>
      </c>
      <c r="K648" t="str">
        <f>_xlfn.XLOOKUP($A648,表格1[No.],表格1[apps report no.],"---",0)</f>
        <v>---</v>
      </c>
    </row>
    <row r="649" spans="2:11">
      <c r="B649" t="str">
        <f>_xlfn.XLOOKUP($A649,表格1[No.],表格1[Shop],"---",0)</f>
        <v>---</v>
      </c>
      <c r="C649" t="str">
        <f>_xlfn.XLOOKUP($A649,表格1[No.],表格1[Location],"---",0)</f>
        <v>---</v>
      </c>
      <c r="D649" t="str">
        <f>_xlfn.XLOOKUP($A649,表格1[No.],表格1[Name],"---",0)</f>
        <v>---</v>
      </c>
      <c r="E649" t="str">
        <f>_xlfn.XLOOKUP($A649,表格1[No.],表格1[month],"---",0)</f>
        <v>---</v>
      </c>
      <c r="F649" s="12" t="str">
        <f>_xlfn.XLOOKUP($A649,表格1[No.],表格1[date],"---",0)</f>
        <v>---</v>
      </c>
      <c r="G649" t="str">
        <f>_xlfn.XLOOKUP($A649,表格1[No.],表格1[Model],"---",0)</f>
        <v>---</v>
      </c>
      <c r="H649" t="str">
        <f>_xlfn.XLOOKUP($A649,表格1[No.],表格1[QTY],"---",0)</f>
        <v>---</v>
      </c>
      <c r="I649" t="str">
        <f>_xlfn.XLOOKUP($A649,表格1[No.],表格1[Unit Price],"---",0)</f>
        <v>---</v>
      </c>
      <c r="J649" t="str">
        <f>_xlfn.XLOOKUP($A649,表格1[No.],表格1[inv no],"---",0)</f>
        <v>---</v>
      </c>
      <c r="K649" t="str">
        <f>_xlfn.XLOOKUP($A649,表格1[No.],表格1[apps report no.],"---",0)</f>
        <v>---</v>
      </c>
    </row>
    <row r="650" spans="2:11">
      <c r="B650" t="str">
        <f>_xlfn.XLOOKUP($A650,表格1[No.],表格1[Shop],"---",0)</f>
        <v>---</v>
      </c>
      <c r="C650" t="str">
        <f>_xlfn.XLOOKUP($A650,表格1[No.],表格1[Location],"---",0)</f>
        <v>---</v>
      </c>
      <c r="D650" t="str">
        <f>_xlfn.XLOOKUP($A650,表格1[No.],表格1[Name],"---",0)</f>
        <v>---</v>
      </c>
      <c r="E650" t="str">
        <f>_xlfn.XLOOKUP($A650,表格1[No.],表格1[month],"---",0)</f>
        <v>---</v>
      </c>
      <c r="F650" s="12" t="str">
        <f>_xlfn.XLOOKUP($A650,表格1[No.],表格1[date],"---",0)</f>
        <v>---</v>
      </c>
      <c r="G650" t="str">
        <f>_xlfn.XLOOKUP($A650,表格1[No.],表格1[Model],"---",0)</f>
        <v>---</v>
      </c>
      <c r="H650" t="str">
        <f>_xlfn.XLOOKUP($A650,表格1[No.],表格1[QTY],"---",0)</f>
        <v>---</v>
      </c>
      <c r="I650" t="str">
        <f>_xlfn.XLOOKUP($A650,表格1[No.],表格1[Unit Price],"---",0)</f>
        <v>---</v>
      </c>
      <c r="J650" t="str">
        <f>_xlfn.XLOOKUP($A650,表格1[No.],表格1[inv no],"---",0)</f>
        <v>---</v>
      </c>
      <c r="K650" t="str">
        <f>_xlfn.XLOOKUP($A650,表格1[No.],表格1[apps report no.],"---",0)</f>
        <v>---</v>
      </c>
    </row>
    <row r="651" spans="2:11">
      <c r="B651" t="str">
        <f>_xlfn.XLOOKUP($A651,表格1[No.],表格1[Shop],"---",0)</f>
        <v>---</v>
      </c>
      <c r="C651" t="str">
        <f>_xlfn.XLOOKUP($A651,表格1[No.],表格1[Location],"---",0)</f>
        <v>---</v>
      </c>
      <c r="D651" t="str">
        <f>_xlfn.XLOOKUP($A651,表格1[No.],表格1[Name],"---",0)</f>
        <v>---</v>
      </c>
      <c r="E651" t="str">
        <f>_xlfn.XLOOKUP($A651,表格1[No.],表格1[month],"---",0)</f>
        <v>---</v>
      </c>
      <c r="F651" s="12" t="str">
        <f>_xlfn.XLOOKUP($A651,表格1[No.],表格1[date],"---",0)</f>
        <v>---</v>
      </c>
      <c r="G651" t="str">
        <f>_xlfn.XLOOKUP($A651,表格1[No.],表格1[Model],"---",0)</f>
        <v>---</v>
      </c>
      <c r="H651" t="str">
        <f>_xlfn.XLOOKUP($A651,表格1[No.],表格1[QTY],"---",0)</f>
        <v>---</v>
      </c>
      <c r="I651" t="str">
        <f>_xlfn.XLOOKUP($A651,表格1[No.],表格1[Unit Price],"---",0)</f>
        <v>---</v>
      </c>
      <c r="J651" t="str">
        <f>_xlfn.XLOOKUP($A651,表格1[No.],表格1[inv no],"---",0)</f>
        <v>---</v>
      </c>
      <c r="K651" t="str">
        <f>_xlfn.XLOOKUP($A651,表格1[No.],表格1[apps report no.],"---",0)</f>
        <v>---</v>
      </c>
    </row>
    <row r="652" spans="2:11">
      <c r="B652" t="str">
        <f>_xlfn.XLOOKUP($A652,表格1[No.],表格1[Shop],"---",0)</f>
        <v>---</v>
      </c>
      <c r="C652" t="str">
        <f>_xlfn.XLOOKUP($A652,表格1[No.],表格1[Location],"---",0)</f>
        <v>---</v>
      </c>
      <c r="D652" t="str">
        <f>_xlfn.XLOOKUP($A652,表格1[No.],表格1[Name],"---",0)</f>
        <v>---</v>
      </c>
      <c r="E652" t="str">
        <f>_xlfn.XLOOKUP($A652,表格1[No.],表格1[month],"---",0)</f>
        <v>---</v>
      </c>
      <c r="F652" s="12" t="str">
        <f>_xlfn.XLOOKUP($A652,表格1[No.],表格1[date],"---",0)</f>
        <v>---</v>
      </c>
      <c r="G652" t="str">
        <f>_xlfn.XLOOKUP($A652,表格1[No.],表格1[Model],"---",0)</f>
        <v>---</v>
      </c>
      <c r="H652" t="str">
        <f>_xlfn.XLOOKUP($A652,表格1[No.],表格1[QTY],"---",0)</f>
        <v>---</v>
      </c>
      <c r="I652" t="str">
        <f>_xlfn.XLOOKUP($A652,表格1[No.],表格1[Unit Price],"---",0)</f>
        <v>---</v>
      </c>
      <c r="J652" t="str">
        <f>_xlfn.XLOOKUP($A652,表格1[No.],表格1[inv no],"---",0)</f>
        <v>---</v>
      </c>
      <c r="K652" t="str">
        <f>_xlfn.XLOOKUP($A652,表格1[No.],表格1[apps report no.],"---",0)</f>
        <v>---</v>
      </c>
    </row>
    <row r="653" spans="2:11">
      <c r="B653" t="str">
        <f>_xlfn.XLOOKUP($A653,表格1[No.],表格1[Shop],"---",0)</f>
        <v>---</v>
      </c>
      <c r="C653" t="str">
        <f>_xlfn.XLOOKUP($A653,表格1[No.],表格1[Location],"---",0)</f>
        <v>---</v>
      </c>
      <c r="D653" t="str">
        <f>_xlfn.XLOOKUP($A653,表格1[No.],表格1[Name],"---",0)</f>
        <v>---</v>
      </c>
      <c r="E653" t="str">
        <f>_xlfn.XLOOKUP($A653,表格1[No.],表格1[month],"---",0)</f>
        <v>---</v>
      </c>
      <c r="F653" s="12" t="str">
        <f>_xlfn.XLOOKUP($A653,表格1[No.],表格1[date],"---",0)</f>
        <v>---</v>
      </c>
      <c r="G653" t="str">
        <f>_xlfn.XLOOKUP($A653,表格1[No.],表格1[Model],"---",0)</f>
        <v>---</v>
      </c>
      <c r="H653" t="str">
        <f>_xlfn.XLOOKUP($A653,表格1[No.],表格1[QTY],"---",0)</f>
        <v>---</v>
      </c>
      <c r="I653" t="str">
        <f>_xlfn.XLOOKUP($A653,表格1[No.],表格1[Unit Price],"---",0)</f>
        <v>---</v>
      </c>
      <c r="J653" t="str">
        <f>_xlfn.XLOOKUP($A653,表格1[No.],表格1[inv no],"---",0)</f>
        <v>---</v>
      </c>
      <c r="K653" t="str">
        <f>_xlfn.XLOOKUP($A653,表格1[No.],表格1[apps report no.],"---",0)</f>
        <v>---</v>
      </c>
    </row>
    <row r="654" spans="2:11">
      <c r="B654" t="str">
        <f>_xlfn.XLOOKUP($A654,表格1[No.],表格1[Shop],"---",0)</f>
        <v>---</v>
      </c>
      <c r="C654" t="str">
        <f>_xlfn.XLOOKUP($A654,表格1[No.],表格1[Location],"---",0)</f>
        <v>---</v>
      </c>
      <c r="D654" t="str">
        <f>_xlfn.XLOOKUP($A654,表格1[No.],表格1[Name],"---",0)</f>
        <v>---</v>
      </c>
      <c r="E654" t="str">
        <f>_xlfn.XLOOKUP($A654,表格1[No.],表格1[month],"---",0)</f>
        <v>---</v>
      </c>
      <c r="F654" s="12" t="str">
        <f>_xlfn.XLOOKUP($A654,表格1[No.],表格1[date],"---",0)</f>
        <v>---</v>
      </c>
      <c r="G654" t="str">
        <f>_xlfn.XLOOKUP($A654,表格1[No.],表格1[Model],"---",0)</f>
        <v>---</v>
      </c>
      <c r="H654" t="str">
        <f>_xlfn.XLOOKUP($A654,表格1[No.],表格1[QTY],"---",0)</f>
        <v>---</v>
      </c>
      <c r="I654" t="str">
        <f>_xlfn.XLOOKUP($A654,表格1[No.],表格1[Unit Price],"---",0)</f>
        <v>---</v>
      </c>
      <c r="J654" t="str">
        <f>_xlfn.XLOOKUP($A654,表格1[No.],表格1[inv no],"---",0)</f>
        <v>---</v>
      </c>
      <c r="K654" t="str">
        <f>_xlfn.XLOOKUP($A654,表格1[No.],表格1[apps report no.],"---",0)</f>
        <v>---</v>
      </c>
    </row>
    <row r="655" spans="2:11">
      <c r="B655" t="str">
        <f>_xlfn.XLOOKUP($A655,表格1[No.],表格1[Shop],"---",0)</f>
        <v>---</v>
      </c>
      <c r="C655" t="str">
        <f>_xlfn.XLOOKUP($A655,表格1[No.],表格1[Location],"---",0)</f>
        <v>---</v>
      </c>
      <c r="D655" t="str">
        <f>_xlfn.XLOOKUP($A655,表格1[No.],表格1[Name],"---",0)</f>
        <v>---</v>
      </c>
      <c r="E655" t="str">
        <f>_xlfn.XLOOKUP($A655,表格1[No.],表格1[month],"---",0)</f>
        <v>---</v>
      </c>
      <c r="F655" s="12" t="str">
        <f>_xlfn.XLOOKUP($A655,表格1[No.],表格1[date],"---",0)</f>
        <v>---</v>
      </c>
      <c r="G655" t="str">
        <f>_xlfn.XLOOKUP($A655,表格1[No.],表格1[Model],"---",0)</f>
        <v>---</v>
      </c>
      <c r="H655" t="str">
        <f>_xlfn.XLOOKUP($A655,表格1[No.],表格1[QTY],"---",0)</f>
        <v>---</v>
      </c>
      <c r="I655" t="str">
        <f>_xlfn.XLOOKUP($A655,表格1[No.],表格1[Unit Price],"---",0)</f>
        <v>---</v>
      </c>
      <c r="J655" t="str">
        <f>_xlfn.XLOOKUP($A655,表格1[No.],表格1[inv no],"---",0)</f>
        <v>---</v>
      </c>
      <c r="K655" t="str">
        <f>_xlfn.XLOOKUP($A655,表格1[No.],表格1[apps report no.],"---",0)</f>
        <v>---</v>
      </c>
    </row>
    <row r="656" spans="2:11">
      <c r="B656" t="str">
        <f>_xlfn.XLOOKUP($A656,表格1[No.],表格1[Shop],"---",0)</f>
        <v>---</v>
      </c>
      <c r="C656" t="str">
        <f>_xlfn.XLOOKUP($A656,表格1[No.],表格1[Location],"---",0)</f>
        <v>---</v>
      </c>
      <c r="D656" t="str">
        <f>_xlfn.XLOOKUP($A656,表格1[No.],表格1[Name],"---",0)</f>
        <v>---</v>
      </c>
      <c r="E656" t="str">
        <f>_xlfn.XLOOKUP($A656,表格1[No.],表格1[month],"---",0)</f>
        <v>---</v>
      </c>
      <c r="F656" s="12" t="str">
        <f>_xlfn.XLOOKUP($A656,表格1[No.],表格1[date],"---",0)</f>
        <v>---</v>
      </c>
      <c r="G656" t="str">
        <f>_xlfn.XLOOKUP($A656,表格1[No.],表格1[Model],"---",0)</f>
        <v>---</v>
      </c>
      <c r="H656" t="str">
        <f>_xlfn.XLOOKUP($A656,表格1[No.],表格1[QTY],"---",0)</f>
        <v>---</v>
      </c>
      <c r="I656" t="str">
        <f>_xlfn.XLOOKUP($A656,表格1[No.],表格1[Unit Price],"---",0)</f>
        <v>---</v>
      </c>
      <c r="J656" t="str">
        <f>_xlfn.XLOOKUP($A656,表格1[No.],表格1[inv no],"---",0)</f>
        <v>---</v>
      </c>
      <c r="K656" t="str">
        <f>_xlfn.XLOOKUP($A656,表格1[No.],表格1[apps report no.],"---",0)</f>
        <v>---</v>
      </c>
    </row>
    <row r="657" spans="2:11">
      <c r="B657" t="str">
        <f>_xlfn.XLOOKUP($A657,表格1[No.],表格1[Shop],"---",0)</f>
        <v>---</v>
      </c>
      <c r="C657" t="str">
        <f>_xlfn.XLOOKUP($A657,表格1[No.],表格1[Location],"---",0)</f>
        <v>---</v>
      </c>
      <c r="D657" t="str">
        <f>_xlfn.XLOOKUP($A657,表格1[No.],表格1[Name],"---",0)</f>
        <v>---</v>
      </c>
      <c r="E657" t="str">
        <f>_xlfn.XLOOKUP($A657,表格1[No.],表格1[month],"---",0)</f>
        <v>---</v>
      </c>
      <c r="F657" s="12" t="str">
        <f>_xlfn.XLOOKUP($A657,表格1[No.],表格1[date],"---",0)</f>
        <v>---</v>
      </c>
      <c r="G657" t="str">
        <f>_xlfn.XLOOKUP($A657,表格1[No.],表格1[Model],"---",0)</f>
        <v>---</v>
      </c>
      <c r="H657" t="str">
        <f>_xlfn.XLOOKUP($A657,表格1[No.],表格1[QTY],"---",0)</f>
        <v>---</v>
      </c>
      <c r="I657" t="str">
        <f>_xlfn.XLOOKUP($A657,表格1[No.],表格1[Unit Price],"---",0)</f>
        <v>---</v>
      </c>
      <c r="J657" t="str">
        <f>_xlfn.XLOOKUP($A657,表格1[No.],表格1[inv no],"---",0)</f>
        <v>---</v>
      </c>
      <c r="K657" t="str">
        <f>_xlfn.XLOOKUP($A657,表格1[No.],表格1[apps report no.],"---",0)</f>
        <v>---</v>
      </c>
    </row>
    <row r="658" spans="2:11">
      <c r="B658" t="str">
        <f>_xlfn.XLOOKUP($A658,表格1[No.],表格1[Shop],"---",0)</f>
        <v>---</v>
      </c>
      <c r="C658" t="str">
        <f>_xlfn.XLOOKUP($A658,表格1[No.],表格1[Location],"---",0)</f>
        <v>---</v>
      </c>
      <c r="D658" t="str">
        <f>_xlfn.XLOOKUP($A658,表格1[No.],表格1[Name],"---",0)</f>
        <v>---</v>
      </c>
      <c r="E658" t="str">
        <f>_xlfn.XLOOKUP($A658,表格1[No.],表格1[month],"---",0)</f>
        <v>---</v>
      </c>
      <c r="F658" s="12" t="str">
        <f>_xlfn.XLOOKUP($A658,表格1[No.],表格1[date],"---",0)</f>
        <v>---</v>
      </c>
      <c r="G658" t="str">
        <f>_xlfn.XLOOKUP($A658,表格1[No.],表格1[Model],"---",0)</f>
        <v>---</v>
      </c>
      <c r="H658" t="str">
        <f>_xlfn.XLOOKUP($A658,表格1[No.],表格1[QTY],"---",0)</f>
        <v>---</v>
      </c>
      <c r="I658" t="str">
        <f>_xlfn.XLOOKUP($A658,表格1[No.],表格1[Unit Price],"---",0)</f>
        <v>---</v>
      </c>
      <c r="J658" t="str">
        <f>_xlfn.XLOOKUP($A658,表格1[No.],表格1[inv no],"---",0)</f>
        <v>---</v>
      </c>
      <c r="K658" t="str">
        <f>_xlfn.XLOOKUP($A658,表格1[No.],表格1[apps report no.],"---",0)</f>
        <v>---</v>
      </c>
    </row>
    <row r="659" spans="2:11">
      <c r="B659" t="str">
        <f>_xlfn.XLOOKUP($A659,表格1[No.],表格1[Shop],"---",0)</f>
        <v>---</v>
      </c>
      <c r="C659" t="str">
        <f>_xlfn.XLOOKUP($A659,表格1[No.],表格1[Location],"---",0)</f>
        <v>---</v>
      </c>
      <c r="D659" t="str">
        <f>_xlfn.XLOOKUP($A659,表格1[No.],表格1[Name],"---",0)</f>
        <v>---</v>
      </c>
      <c r="E659" t="str">
        <f>_xlfn.XLOOKUP($A659,表格1[No.],表格1[month],"---",0)</f>
        <v>---</v>
      </c>
      <c r="F659" s="12" t="str">
        <f>_xlfn.XLOOKUP($A659,表格1[No.],表格1[date],"---",0)</f>
        <v>---</v>
      </c>
      <c r="G659" t="str">
        <f>_xlfn.XLOOKUP($A659,表格1[No.],表格1[Model],"---",0)</f>
        <v>---</v>
      </c>
      <c r="H659" t="str">
        <f>_xlfn.XLOOKUP($A659,表格1[No.],表格1[QTY],"---",0)</f>
        <v>---</v>
      </c>
      <c r="I659" t="str">
        <f>_xlfn.XLOOKUP($A659,表格1[No.],表格1[Unit Price],"---",0)</f>
        <v>---</v>
      </c>
      <c r="J659" t="str">
        <f>_xlfn.XLOOKUP($A659,表格1[No.],表格1[inv no],"---",0)</f>
        <v>---</v>
      </c>
      <c r="K659" t="str">
        <f>_xlfn.XLOOKUP($A659,表格1[No.],表格1[apps report no.],"---",0)</f>
        <v>---</v>
      </c>
    </row>
    <row r="660" spans="2:11">
      <c r="B660" t="str">
        <f>_xlfn.XLOOKUP($A660,表格1[No.],表格1[Shop],"---",0)</f>
        <v>---</v>
      </c>
      <c r="C660" t="str">
        <f>_xlfn.XLOOKUP($A660,表格1[No.],表格1[Location],"---",0)</f>
        <v>---</v>
      </c>
      <c r="D660" t="str">
        <f>_xlfn.XLOOKUP($A660,表格1[No.],表格1[Name],"---",0)</f>
        <v>---</v>
      </c>
      <c r="E660" t="str">
        <f>_xlfn.XLOOKUP($A660,表格1[No.],表格1[month],"---",0)</f>
        <v>---</v>
      </c>
      <c r="F660" s="12" t="str">
        <f>_xlfn.XLOOKUP($A660,表格1[No.],表格1[date],"---",0)</f>
        <v>---</v>
      </c>
      <c r="G660" t="str">
        <f>_xlfn.XLOOKUP($A660,表格1[No.],表格1[Model],"---",0)</f>
        <v>---</v>
      </c>
      <c r="H660" t="str">
        <f>_xlfn.XLOOKUP($A660,表格1[No.],表格1[QTY],"---",0)</f>
        <v>---</v>
      </c>
      <c r="I660" t="str">
        <f>_xlfn.XLOOKUP($A660,表格1[No.],表格1[Unit Price],"---",0)</f>
        <v>---</v>
      </c>
      <c r="J660" t="str">
        <f>_xlfn.XLOOKUP($A660,表格1[No.],表格1[inv no],"---",0)</f>
        <v>---</v>
      </c>
      <c r="K660" t="str">
        <f>_xlfn.XLOOKUP($A660,表格1[No.],表格1[apps report no.],"---",0)</f>
        <v>---</v>
      </c>
    </row>
    <row r="661" spans="2:11">
      <c r="B661" t="str">
        <f>_xlfn.XLOOKUP($A661,表格1[No.],表格1[Shop],"---",0)</f>
        <v>---</v>
      </c>
      <c r="C661" t="str">
        <f>_xlfn.XLOOKUP($A661,表格1[No.],表格1[Location],"---",0)</f>
        <v>---</v>
      </c>
      <c r="D661" t="str">
        <f>_xlfn.XLOOKUP($A661,表格1[No.],表格1[Name],"---",0)</f>
        <v>---</v>
      </c>
      <c r="E661" t="str">
        <f>_xlfn.XLOOKUP($A661,表格1[No.],表格1[month],"---",0)</f>
        <v>---</v>
      </c>
      <c r="F661" s="12" t="str">
        <f>_xlfn.XLOOKUP($A661,表格1[No.],表格1[date],"---",0)</f>
        <v>---</v>
      </c>
      <c r="G661" t="str">
        <f>_xlfn.XLOOKUP($A661,表格1[No.],表格1[Model],"---",0)</f>
        <v>---</v>
      </c>
      <c r="H661" t="str">
        <f>_xlfn.XLOOKUP($A661,表格1[No.],表格1[QTY],"---",0)</f>
        <v>---</v>
      </c>
      <c r="I661" t="str">
        <f>_xlfn.XLOOKUP($A661,表格1[No.],表格1[Unit Price],"---",0)</f>
        <v>---</v>
      </c>
      <c r="J661" t="str">
        <f>_xlfn.XLOOKUP($A661,表格1[No.],表格1[inv no],"---",0)</f>
        <v>---</v>
      </c>
      <c r="K661" t="str">
        <f>_xlfn.XLOOKUP($A661,表格1[No.],表格1[apps report no.],"---",0)</f>
        <v>---</v>
      </c>
    </row>
    <row r="662" spans="2:11">
      <c r="B662" t="str">
        <f>_xlfn.XLOOKUP($A662,表格1[No.],表格1[Shop],"---",0)</f>
        <v>---</v>
      </c>
      <c r="C662" t="str">
        <f>_xlfn.XLOOKUP($A662,表格1[No.],表格1[Location],"---",0)</f>
        <v>---</v>
      </c>
      <c r="D662" t="str">
        <f>_xlfn.XLOOKUP($A662,表格1[No.],表格1[Name],"---",0)</f>
        <v>---</v>
      </c>
      <c r="E662" t="str">
        <f>_xlfn.XLOOKUP($A662,表格1[No.],表格1[month],"---",0)</f>
        <v>---</v>
      </c>
      <c r="F662" s="12" t="str">
        <f>_xlfn.XLOOKUP($A662,表格1[No.],表格1[date],"---",0)</f>
        <v>---</v>
      </c>
      <c r="G662" t="str">
        <f>_xlfn.XLOOKUP($A662,表格1[No.],表格1[Model],"---",0)</f>
        <v>---</v>
      </c>
      <c r="H662" t="str">
        <f>_xlfn.XLOOKUP($A662,表格1[No.],表格1[QTY],"---",0)</f>
        <v>---</v>
      </c>
      <c r="I662" t="str">
        <f>_xlfn.XLOOKUP($A662,表格1[No.],表格1[Unit Price],"---",0)</f>
        <v>---</v>
      </c>
      <c r="J662" t="str">
        <f>_xlfn.XLOOKUP($A662,表格1[No.],表格1[inv no],"---",0)</f>
        <v>---</v>
      </c>
      <c r="K662" t="str">
        <f>_xlfn.XLOOKUP($A662,表格1[No.],表格1[apps report no.],"---",0)</f>
        <v>---</v>
      </c>
    </row>
    <row r="663" spans="2:11">
      <c r="B663" t="str">
        <f>_xlfn.XLOOKUP($A663,表格1[No.],表格1[Shop],"---",0)</f>
        <v>---</v>
      </c>
      <c r="C663" t="str">
        <f>_xlfn.XLOOKUP($A663,表格1[No.],表格1[Location],"---",0)</f>
        <v>---</v>
      </c>
      <c r="D663" t="str">
        <f>_xlfn.XLOOKUP($A663,表格1[No.],表格1[Name],"---",0)</f>
        <v>---</v>
      </c>
      <c r="E663" t="str">
        <f>_xlfn.XLOOKUP($A663,表格1[No.],表格1[month],"---",0)</f>
        <v>---</v>
      </c>
      <c r="F663" s="12" t="str">
        <f>_xlfn.XLOOKUP($A663,表格1[No.],表格1[date],"---",0)</f>
        <v>---</v>
      </c>
      <c r="G663" t="str">
        <f>_xlfn.XLOOKUP($A663,表格1[No.],表格1[Model],"---",0)</f>
        <v>---</v>
      </c>
      <c r="H663" t="str">
        <f>_xlfn.XLOOKUP($A663,表格1[No.],表格1[QTY],"---",0)</f>
        <v>---</v>
      </c>
      <c r="I663" t="str">
        <f>_xlfn.XLOOKUP($A663,表格1[No.],表格1[Unit Price],"---",0)</f>
        <v>---</v>
      </c>
      <c r="J663" t="str">
        <f>_xlfn.XLOOKUP($A663,表格1[No.],表格1[inv no],"---",0)</f>
        <v>---</v>
      </c>
      <c r="K663" t="str">
        <f>_xlfn.XLOOKUP($A663,表格1[No.],表格1[apps report no.],"---",0)</f>
        <v>---</v>
      </c>
    </row>
    <row r="664" spans="2:11">
      <c r="B664" t="str">
        <f>_xlfn.XLOOKUP($A664,表格1[No.],表格1[Shop],"---",0)</f>
        <v>---</v>
      </c>
      <c r="C664" t="str">
        <f>_xlfn.XLOOKUP($A664,表格1[No.],表格1[Location],"---",0)</f>
        <v>---</v>
      </c>
      <c r="D664" t="str">
        <f>_xlfn.XLOOKUP($A664,表格1[No.],表格1[Name],"---",0)</f>
        <v>---</v>
      </c>
      <c r="E664" t="str">
        <f>_xlfn.XLOOKUP($A664,表格1[No.],表格1[month],"---",0)</f>
        <v>---</v>
      </c>
      <c r="F664" s="12" t="str">
        <f>_xlfn.XLOOKUP($A664,表格1[No.],表格1[date],"---",0)</f>
        <v>---</v>
      </c>
      <c r="G664" t="str">
        <f>_xlfn.XLOOKUP($A664,表格1[No.],表格1[Model],"---",0)</f>
        <v>---</v>
      </c>
      <c r="H664" t="str">
        <f>_xlfn.XLOOKUP($A664,表格1[No.],表格1[QTY],"---",0)</f>
        <v>---</v>
      </c>
      <c r="I664" t="str">
        <f>_xlfn.XLOOKUP($A664,表格1[No.],表格1[Unit Price],"---",0)</f>
        <v>---</v>
      </c>
      <c r="J664" t="str">
        <f>_xlfn.XLOOKUP($A664,表格1[No.],表格1[inv no],"---",0)</f>
        <v>---</v>
      </c>
      <c r="K664" t="str">
        <f>_xlfn.XLOOKUP($A664,表格1[No.],表格1[apps report no.],"---",0)</f>
        <v>---</v>
      </c>
    </row>
    <row r="665" spans="2:11">
      <c r="B665" t="str">
        <f>_xlfn.XLOOKUP($A665,表格1[No.],表格1[Shop],"---",0)</f>
        <v>---</v>
      </c>
      <c r="C665" t="str">
        <f>_xlfn.XLOOKUP($A665,表格1[No.],表格1[Location],"---",0)</f>
        <v>---</v>
      </c>
      <c r="D665" t="str">
        <f>_xlfn.XLOOKUP($A665,表格1[No.],表格1[Name],"---",0)</f>
        <v>---</v>
      </c>
      <c r="E665" t="str">
        <f>_xlfn.XLOOKUP($A665,表格1[No.],表格1[month],"---",0)</f>
        <v>---</v>
      </c>
      <c r="F665" s="12" t="str">
        <f>_xlfn.XLOOKUP($A665,表格1[No.],表格1[date],"---",0)</f>
        <v>---</v>
      </c>
      <c r="G665" t="str">
        <f>_xlfn.XLOOKUP($A665,表格1[No.],表格1[Model],"---",0)</f>
        <v>---</v>
      </c>
      <c r="H665" t="str">
        <f>_xlfn.XLOOKUP($A665,表格1[No.],表格1[QTY],"---",0)</f>
        <v>---</v>
      </c>
      <c r="I665" t="str">
        <f>_xlfn.XLOOKUP($A665,表格1[No.],表格1[Unit Price],"---",0)</f>
        <v>---</v>
      </c>
      <c r="J665" t="str">
        <f>_xlfn.XLOOKUP($A665,表格1[No.],表格1[inv no],"---",0)</f>
        <v>---</v>
      </c>
      <c r="K665" t="str">
        <f>_xlfn.XLOOKUP($A665,表格1[No.],表格1[apps report no.],"---",0)</f>
        <v>---</v>
      </c>
    </row>
    <row r="666" spans="2:11">
      <c r="B666" t="str">
        <f>_xlfn.XLOOKUP($A666,表格1[No.],表格1[Shop],"---",0)</f>
        <v>---</v>
      </c>
      <c r="C666" t="str">
        <f>_xlfn.XLOOKUP($A666,表格1[No.],表格1[Location],"---",0)</f>
        <v>---</v>
      </c>
      <c r="D666" t="str">
        <f>_xlfn.XLOOKUP($A666,表格1[No.],表格1[Name],"---",0)</f>
        <v>---</v>
      </c>
      <c r="E666" t="str">
        <f>_xlfn.XLOOKUP($A666,表格1[No.],表格1[month],"---",0)</f>
        <v>---</v>
      </c>
      <c r="F666" s="12" t="str">
        <f>_xlfn.XLOOKUP($A666,表格1[No.],表格1[date],"---",0)</f>
        <v>---</v>
      </c>
      <c r="G666" t="str">
        <f>_xlfn.XLOOKUP($A666,表格1[No.],表格1[Model],"---",0)</f>
        <v>---</v>
      </c>
      <c r="H666" t="str">
        <f>_xlfn.XLOOKUP($A666,表格1[No.],表格1[QTY],"---",0)</f>
        <v>---</v>
      </c>
      <c r="I666" t="str">
        <f>_xlfn.XLOOKUP($A666,表格1[No.],表格1[Unit Price],"---",0)</f>
        <v>---</v>
      </c>
      <c r="J666" t="str">
        <f>_xlfn.XLOOKUP($A666,表格1[No.],表格1[inv no],"---",0)</f>
        <v>---</v>
      </c>
      <c r="K666" t="str">
        <f>_xlfn.XLOOKUP($A666,表格1[No.],表格1[apps report no.],"---",0)</f>
        <v>---</v>
      </c>
    </row>
    <row r="667" spans="2:11">
      <c r="B667" t="str">
        <f>_xlfn.XLOOKUP($A667,表格1[No.],表格1[Shop],"---",0)</f>
        <v>---</v>
      </c>
      <c r="C667" t="str">
        <f>_xlfn.XLOOKUP($A667,表格1[No.],表格1[Location],"---",0)</f>
        <v>---</v>
      </c>
      <c r="D667" t="str">
        <f>_xlfn.XLOOKUP($A667,表格1[No.],表格1[Name],"---",0)</f>
        <v>---</v>
      </c>
      <c r="E667" t="str">
        <f>_xlfn.XLOOKUP($A667,表格1[No.],表格1[month],"---",0)</f>
        <v>---</v>
      </c>
      <c r="F667" s="12" t="str">
        <f>_xlfn.XLOOKUP($A667,表格1[No.],表格1[date],"---",0)</f>
        <v>---</v>
      </c>
      <c r="G667" t="str">
        <f>_xlfn.XLOOKUP($A667,表格1[No.],表格1[Model],"---",0)</f>
        <v>---</v>
      </c>
      <c r="H667" t="str">
        <f>_xlfn.XLOOKUP($A667,表格1[No.],表格1[QTY],"---",0)</f>
        <v>---</v>
      </c>
      <c r="I667" t="str">
        <f>_xlfn.XLOOKUP($A667,表格1[No.],表格1[Unit Price],"---",0)</f>
        <v>---</v>
      </c>
      <c r="J667" t="str">
        <f>_xlfn.XLOOKUP($A667,表格1[No.],表格1[inv no],"---",0)</f>
        <v>---</v>
      </c>
      <c r="K667" t="str">
        <f>_xlfn.XLOOKUP($A667,表格1[No.],表格1[apps report no.],"---",0)</f>
        <v>---</v>
      </c>
    </row>
    <row r="668" spans="2:11">
      <c r="B668" t="str">
        <f>_xlfn.XLOOKUP($A668,表格1[No.],表格1[Shop],"---",0)</f>
        <v>---</v>
      </c>
      <c r="C668" t="str">
        <f>_xlfn.XLOOKUP($A668,表格1[No.],表格1[Location],"---",0)</f>
        <v>---</v>
      </c>
      <c r="D668" t="str">
        <f>_xlfn.XLOOKUP($A668,表格1[No.],表格1[Name],"---",0)</f>
        <v>---</v>
      </c>
      <c r="E668" t="str">
        <f>_xlfn.XLOOKUP($A668,表格1[No.],表格1[month],"---",0)</f>
        <v>---</v>
      </c>
      <c r="F668" s="12" t="str">
        <f>_xlfn.XLOOKUP($A668,表格1[No.],表格1[date],"---",0)</f>
        <v>---</v>
      </c>
      <c r="G668" t="str">
        <f>_xlfn.XLOOKUP($A668,表格1[No.],表格1[Model],"---",0)</f>
        <v>---</v>
      </c>
      <c r="H668" t="str">
        <f>_xlfn.XLOOKUP($A668,表格1[No.],表格1[QTY],"---",0)</f>
        <v>---</v>
      </c>
      <c r="I668" t="str">
        <f>_xlfn.XLOOKUP($A668,表格1[No.],表格1[Unit Price],"---",0)</f>
        <v>---</v>
      </c>
      <c r="J668" t="str">
        <f>_xlfn.XLOOKUP($A668,表格1[No.],表格1[inv no],"---",0)</f>
        <v>---</v>
      </c>
      <c r="K668" t="str">
        <f>_xlfn.XLOOKUP($A668,表格1[No.],表格1[apps report no.],"---",0)</f>
        <v>---</v>
      </c>
    </row>
    <row r="669" spans="2:11">
      <c r="B669" t="str">
        <f>_xlfn.XLOOKUP($A669,表格1[No.],表格1[Shop],"---",0)</f>
        <v>---</v>
      </c>
      <c r="C669" t="str">
        <f>_xlfn.XLOOKUP($A669,表格1[No.],表格1[Location],"---",0)</f>
        <v>---</v>
      </c>
      <c r="D669" t="str">
        <f>_xlfn.XLOOKUP($A669,表格1[No.],表格1[Name],"---",0)</f>
        <v>---</v>
      </c>
      <c r="E669" t="str">
        <f>_xlfn.XLOOKUP($A669,表格1[No.],表格1[month],"---",0)</f>
        <v>---</v>
      </c>
      <c r="F669" s="12" t="str">
        <f>_xlfn.XLOOKUP($A669,表格1[No.],表格1[date],"---",0)</f>
        <v>---</v>
      </c>
      <c r="G669" t="str">
        <f>_xlfn.XLOOKUP($A669,表格1[No.],表格1[Model],"---",0)</f>
        <v>---</v>
      </c>
      <c r="H669" t="str">
        <f>_xlfn.XLOOKUP($A669,表格1[No.],表格1[QTY],"---",0)</f>
        <v>---</v>
      </c>
      <c r="I669" t="str">
        <f>_xlfn.XLOOKUP($A669,表格1[No.],表格1[Unit Price],"---",0)</f>
        <v>---</v>
      </c>
      <c r="J669" t="str">
        <f>_xlfn.XLOOKUP($A669,表格1[No.],表格1[inv no],"---",0)</f>
        <v>---</v>
      </c>
      <c r="K669" t="str">
        <f>_xlfn.XLOOKUP($A669,表格1[No.],表格1[apps report no.],"---",0)</f>
        <v>---</v>
      </c>
    </row>
    <row r="670" spans="2:11">
      <c r="B670" t="str">
        <f>_xlfn.XLOOKUP($A670,表格1[No.],表格1[Shop],"---",0)</f>
        <v>---</v>
      </c>
      <c r="C670" t="str">
        <f>_xlfn.XLOOKUP($A670,表格1[No.],表格1[Location],"---",0)</f>
        <v>---</v>
      </c>
      <c r="D670" t="str">
        <f>_xlfn.XLOOKUP($A670,表格1[No.],表格1[Name],"---",0)</f>
        <v>---</v>
      </c>
      <c r="E670" t="str">
        <f>_xlfn.XLOOKUP($A670,表格1[No.],表格1[month],"---",0)</f>
        <v>---</v>
      </c>
      <c r="F670" s="12" t="str">
        <f>_xlfn.XLOOKUP($A670,表格1[No.],表格1[date],"---",0)</f>
        <v>---</v>
      </c>
      <c r="G670" t="str">
        <f>_xlfn.XLOOKUP($A670,表格1[No.],表格1[Model],"---",0)</f>
        <v>---</v>
      </c>
      <c r="H670" t="str">
        <f>_xlfn.XLOOKUP($A670,表格1[No.],表格1[QTY],"---",0)</f>
        <v>---</v>
      </c>
      <c r="I670" t="str">
        <f>_xlfn.XLOOKUP($A670,表格1[No.],表格1[Unit Price],"---",0)</f>
        <v>---</v>
      </c>
      <c r="J670" t="str">
        <f>_xlfn.XLOOKUP($A670,表格1[No.],表格1[inv no],"---",0)</f>
        <v>---</v>
      </c>
      <c r="K670" t="str">
        <f>_xlfn.XLOOKUP($A670,表格1[No.],表格1[apps report no.],"---",0)</f>
        <v>---</v>
      </c>
    </row>
    <row r="671" spans="2:11">
      <c r="B671" t="str">
        <f>_xlfn.XLOOKUP($A671,表格1[No.],表格1[Shop],"---",0)</f>
        <v>---</v>
      </c>
      <c r="C671" t="str">
        <f>_xlfn.XLOOKUP($A671,表格1[No.],表格1[Location],"---",0)</f>
        <v>---</v>
      </c>
      <c r="D671" t="str">
        <f>_xlfn.XLOOKUP($A671,表格1[No.],表格1[Name],"---",0)</f>
        <v>---</v>
      </c>
      <c r="E671" t="str">
        <f>_xlfn.XLOOKUP($A671,表格1[No.],表格1[month],"---",0)</f>
        <v>---</v>
      </c>
      <c r="F671" s="12" t="str">
        <f>_xlfn.XLOOKUP($A671,表格1[No.],表格1[date],"---",0)</f>
        <v>---</v>
      </c>
      <c r="G671" t="str">
        <f>_xlfn.XLOOKUP($A671,表格1[No.],表格1[Model],"---",0)</f>
        <v>---</v>
      </c>
      <c r="H671" t="str">
        <f>_xlfn.XLOOKUP($A671,表格1[No.],表格1[QTY],"---",0)</f>
        <v>---</v>
      </c>
      <c r="I671" t="str">
        <f>_xlfn.XLOOKUP($A671,表格1[No.],表格1[Unit Price],"---",0)</f>
        <v>---</v>
      </c>
      <c r="J671" t="str">
        <f>_xlfn.XLOOKUP($A671,表格1[No.],表格1[inv no],"---",0)</f>
        <v>---</v>
      </c>
      <c r="K671" t="str">
        <f>_xlfn.XLOOKUP($A671,表格1[No.],表格1[apps report no.],"---",0)</f>
        <v>---</v>
      </c>
    </row>
    <row r="672" spans="2:11">
      <c r="B672" t="str">
        <f>_xlfn.XLOOKUP($A672,表格1[No.],表格1[Shop],"---",0)</f>
        <v>---</v>
      </c>
      <c r="C672" t="str">
        <f>_xlfn.XLOOKUP($A672,表格1[No.],表格1[Location],"---",0)</f>
        <v>---</v>
      </c>
      <c r="D672" t="str">
        <f>_xlfn.XLOOKUP($A672,表格1[No.],表格1[Name],"---",0)</f>
        <v>---</v>
      </c>
      <c r="E672" t="str">
        <f>_xlfn.XLOOKUP($A672,表格1[No.],表格1[month],"---",0)</f>
        <v>---</v>
      </c>
      <c r="F672" s="12" t="str">
        <f>_xlfn.XLOOKUP($A672,表格1[No.],表格1[date],"---",0)</f>
        <v>---</v>
      </c>
      <c r="G672" t="str">
        <f>_xlfn.XLOOKUP($A672,表格1[No.],表格1[Model],"---",0)</f>
        <v>---</v>
      </c>
      <c r="H672" t="str">
        <f>_xlfn.XLOOKUP($A672,表格1[No.],表格1[QTY],"---",0)</f>
        <v>---</v>
      </c>
      <c r="I672" t="str">
        <f>_xlfn.XLOOKUP($A672,表格1[No.],表格1[Unit Price],"---",0)</f>
        <v>---</v>
      </c>
      <c r="J672" t="str">
        <f>_xlfn.XLOOKUP($A672,表格1[No.],表格1[inv no],"---",0)</f>
        <v>---</v>
      </c>
      <c r="K672" t="str">
        <f>_xlfn.XLOOKUP($A672,表格1[No.],表格1[apps report no.],"---",0)</f>
        <v>---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B41"/>
  <sheetViews>
    <sheetView zoomScale="85" zoomScaleNormal="85" workbookViewId="0">
      <selection activeCell="E10" sqref="E10"/>
    </sheetView>
  </sheetViews>
  <sheetFormatPr defaultColWidth="9" defaultRowHeight="15.75"/>
  <cols>
    <col min="2" max="2" width="33.85546875" customWidth="1"/>
    <col min="3" max="3" width="64" customWidth="1"/>
    <col min="4" max="4" width="31.28515625" customWidth="1"/>
    <col min="5" max="5" width="73" bestFit="1" customWidth="1"/>
    <col min="9" max="9" width="10.42578125" bestFit="1" customWidth="1"/>
    <col min="10" max="10" width="14" customWidth="1"/>
    <col min="11" max="11" width="12.85546875" customWidth="1"/>
  </cols>
  <sheetData>
    <row r="1" spans="2:28" ht="52.5" customHeight="1">
      <c r="B1" s="64" t="s">
        <v>735</v>
      </c>
    </row>
    <row r="2" spans="2:28">
      <c r="B2" s="74" t="s">
        <v>10</v>
      </c>
      <c r="C2" s="74" t="s">
        <v>9</v>
      </c>
      <c r="D2" s="75"/>
      <c r="E2" s="106" t="s">
        <v>742</v>
      </c>
      <c r="H2" s="49"/>
      <c r="I2" s="49"/>
      <c r="J2" s="49"/>
      <c r="K2" s="49"/>
      <c r="L2" s="49"/>
      <c r="M2" s="49"/>
      <c r="O2" t="s">
        <v>1102</v>
      </c>
    </row>
    <row r="3" spans="2:28">
      <c r="B3" s="48"/>
      <c r="C3" s="48"/>
      <c r="D3" s="99"/>
      <c r="E3" s="113"/>
      <c r="H3" s="49"/>
      <c r="I3" s="49"/>
      <c r="J3" s="49"/>
      <c r="K3" s="49"/>
      <c r="L3" s="49"/>
      <c r="O3" t="s">
        <v>1103</v>
      </c>
    </row>
    <row r="4" spans="2:28">
      <c r="B4" s="48" t="s">
        <v>1096</v>
      </c>
      <c r="C4" s="48"/>
      <c r="D4" s="99"/>
      <c r="E4" s="113" t="s">
        <v>2476</v>
      </c>
      <c r="H4" s="49"/>
      <c r="I4" s="49"/>
      <c r="J4" s="49"/>
    </row>
    <row r="5" spans="2:28">
      <c r="B5" s="48" t="s">
        <v>1159</v>
      </c>
      <c r="C5" s="48" t="s">
        <v>2097</v>
      </c>
      <c r="D5" s="99"/>
      <c r="E5" s="113" t="s">
        <v>2143</v>
      </c>
      <c r="H5" s="49"/>
      <c r="I5" s="49"/>
      <c r="J5" s="49"/>
    </row>
    <row r="6" spans="2:28">
      <c r="B6" s="48" t="s">
        <v>1506</v>
      </c>
      <c r="C6" s="48" t="s">
        <v>2098</v>
      </c>
      <c r="D6" s="99"/>
      <c r="E6" s="113" t="s">
        <v>2142</v>
      </c>
      <c r="H6" s="49"/>
      <c r="I6" s="49"/>
      <c r="J6" s="49"/>
      <c r="O6" s="49" t="s">
        <v>2096</v>
      </c>
    </row>
    <row r="7" spans="2:28">
      <c r="B7" s="48"/>
      <c r="C7" s="48"/>
      <c r="D7" s="99"/>
      <c r="E7" s="113"/>
      <c r="I7" s="49"/>
      <c r="J7" s="49" t="s">
        <v>1153</v>
      </c>
      <c r="K7" s="49" t="s">
        <v>1227</v>
      </c>
      <c r="L7" s="49" t="s">
        <v>1158</v>
      </c>
      <c r="M7" s="49" t="s">
        <v>1230</v>
      </c>
      <c r="O7" s="49" t="s">
        <v>2095</v>
      </c>
    </row>
    <row r="8" spans="2:28">
      <c r="B8" s="48" t="s">
        <v>2467</v>
      </c>
      <c r="C8" s="48" t="s">
        <v>2463</v>
      </c>
      <c r="D8" s="99"/>
      <c r="E8" s="113" t="s">
        <v>2473</v>
      </c>
      <c r="I8" s="49"/>
      <c r="J8" s="49">
        <v>57.9</v>
      </c>
      <c r="K8">
        <v>28</v>
      </c>
      <c r="L8">
        <v>56</v>
      </c>
      <c r="M8">
        <v>35.4</v>
      </c>
      <c r="O8">
        <v>73.400000000000006</v>
      </c>
    </row>
    <row r="9" spans="2:28">
      <c r="B9" s="48" t="s">
        <v>2469</v>
      </c>
      <c r="C9" s="48" t="s">
        <v>2465</v>
      </c>
      <c r="D9" s="99"/>
      <c r="E9" s="113" t="s">
        <v>2474</v>
      </c>
      <c r="I9" s="49"/>
      <c r="J9" s="49">
        <v>115.8</v>
      </c>
      <c r="K9">
        <v>75</v>
      </c>
      <c r="L9">
        <v>69.900000000000006</v>
      </c>
      <c r="M9">
        <v>5</v>
      </c>
      <c r="O9">
        <v>27.6</v>
      </c>
    </row>
    <row r="10" spans="2:28">
      <c r="B10" s="48" t="s">
        <v>2471</v>
      </c>
      <c r="C10" s="48" t="s">
        <v>2466</v>
      </c>
      <c r="D10" s="99"/>
      <c r="E10" s="113" t="s">
        <v>2475</v>
      </c>
      <c r="I10" s="49"/>
      <c r="J10" s="49">
        <v>76.7</v>
      </c>
      <c r="K10">
        <v>160</v>
      </c>
      <c r="L10">
        <v>15</v>
      </c>
      <c r="M10">
        <v>80</v>
      </c>
      <c r="O10">
        <v>27</v>
      </c>
    </row>
    <row r="11" spans="2:28">
      <c r="B11" s="48"/>
      <c r="C11" s="48"/>
      <c r="D11" s="99"/>
      <c r="E11" s="113"/>
      <c r="I11" s="49"/>
      <c r="J11" s="49">
        <v>39.799999999999997</v>
      </c>
      <c r="L11">
        <v>12</v>
      </c>
      <c r="M11">
        <v>30</v>
      </c>
      <c r="O11">
        <v>45</v>
      </c>
    </row>
    <row r="12" spans="2:28">
      <c r="B12" s="48"/>
      <c r="C12" s="48"/>
      <c r="D12" s="99"/>
      <c r="E12" s="113"/>
      <c r="I12" s="49"/>
      <c r="J12" s="49">
        <v>22.9</v>
      </c>
      <c r="M12">
        <v>45</v>
      </c>
      <c r="O12">
        <v>47.9</v>
      </c>
    </row>
    <row r="13" spans="2:28">
      <c r="B13" s="48"/>
      <c r="C13" s="48"/>
      <c r="D13" s="99"/>
      <c r="E13" s="48"/>
      <c r="I13" s="49"/>
      <c r="J13" s="49">
        <v>22.9</v>
      </c>
      <c r="N13" s="49"/>
      <c r="O13" s="49">
        <v>38</v>
      </c>
      <c r="S13" s="49"/>
      <c r="T13" s="49"/>
      <c r="W13" s="49"/>
      <c r="X13" s="49"/>
      <c r="AA13" s="49"/>
      <c r="AB13" s="49"/>
    </row>
    <row r="14" spans="2:28">
      <c r="B14" s="48"/>
      <c r="C14" s="48"/>
      <c r="D14" s="99"/>
      <c r="E14" s="48"/>
      <c r="I14" s="49"/>
      <c r="J14" s="49">
        <v>29.9</v>
      </c>
      <c r="O14" s="49">
        <v>19.899999999999999</v>
      </c>
    </row>
    <row r="15" spans="2:28">
      <c r="B15" s="48" t="s">
        <v>892</v>
      </c>
      <c r="C15" s="48"/>
      <c r="D15" s="99"/>
      <c r="E15" s="48" t="s">
        <v>2460</v>
      </c>
      <c r="I15" s="49"/>
      <c r="J15" s="49">
        <v>45.8</v>
      </c>
      <c r="O15" s="49">
        <v>20</v>
      </c>
    </row>
    <row r="16" spans="2:28">
      <c r="B16" s="48" t="s">
        <v>1087</v>
      </c>
      <c r="C16" s="48"/>
      <c r="D16" s="99"/>
      <c r="E16" s="48" t="s">
        <v>2141</v>
      </c>
      <c r="I16" s="49"/>
      <c r="J16" s="49">
        <v>22.9</v>
      </c>
      <c r="O16" s="49">
        <v>55</v>
      </c>
    </row>
    <row r="17" spans="2:15">
      <c r="B17" s="48" t="s">
        <v>1236</v>
      </c>
      <c r="C17" s="48"/>
      <c r="D17" s="99"/>
      <c r="E17" s="48" t="s">
        <v>2459</v>
      </c>
      <c r="I17" s="49"/>
      <c r="J17" s="49">
        <v>29</v>
      </c>
      <c r="O17" s="49">
        <v>67</v>
      </c>
    </row>
    <row r="18" spans="2:15">
      <c r="B18" s="48"/>
      <c r="C18" s="48"/>
      <c r="D18" s="99"/>
      <c r="E18" s="48"/>
      <c r="I18" s="49"/>
      <c r="J18" s="49">
        <v>114</v>
      </c>
      <c r="O18" s="49">
        <v>22</v>
      </c>
    </row>
    <row r="19" spans="2:15">
      <c r="B19" s="48"/>
      <c r="C19" s="48"/>
      <c r="D19" s="99"/>
      <c r="E19" s="48"/>
      <c r="I19" s="49"/>
      <c r="J19" s="49">
        <v>23.5</v>
      </c>
      <c r="O19" s="49">
        <v>29</v>
      </c>
    </row>
    <row r="20" spans="2:15">
      <c r="B20" s="48"/>
      <c r="C20" s="48"/>
      <c r="D20" s="99"/>
      <c r="E20" s="48"/>
      <c r="I20" s="49"/>
      <c r="J20" s="49">
        <v>69</v>
      </c>
      <c r="O20" s="49">
        <v>84.8</v>
      </c>
    </row>
    <row r="21" spans="2:15">
      <c r="B21" s="48"/>
      <c r="C21" s="48"/>
      <c r="D21" s="99"/>
      <c r="E21" s="48"/>
      <c r="I21" s="49"/>
      <c r="J21" s="49">
        <v>68</v>
      </c>
      <c r="O21" s="49">
        <v>92.3</v>
      </c>
    </row>
    <row r="22" spans="2:15">
      <c r="B22" s="48"/>
      <c r="C22" s="48"/>
      <c r="D22" s="99"/>
      <c r="E22" s="48"/>
      <c r="I22" s="49"/>
      <c r="J22" s="49">
        <v>166</v>
      </c>
      <c r="O22" s="49">
        <v>21</v>
      </c>
    </row>
    <row r="23" spans="2:15">
      <c r="B23" s="48"/>
      <c r="C23" s="48"/>
      <c r="D23" s="99"/>
      <c r="E23" s="107"/>
      <c r="I23" s="49"/>
      <c r="J23" s="49">
        <v>147</v>
      </c>
      <c r="O23" s="49">
        <v>51</v>
      </c>
    </row>
    <row r="24" spans="2:15">
      <c r="B24" s="48"/>
      <c r="C24" s="48"/>
      <c r="D24" s="99"/>
      <c r="E24" s="48"/>
      <c r="J24" s="49">
        <v>45</v>
      </c>
      <c r="O24" s="49">
        <v>123.7</v>
      </c>
    </row>
    <row r="25" spans="2:15">
      <c r="B25" s="48"/>
      <c r="C25" s="48"/>
      <c r="D25" s="99"/>
      <c r="E25" s="48"/>
      <c r="J25" s="49">
        <v>136</v>
      </c>
      <c r="O25" s="49">
        <v>59</v>
      </c>
    </row>
    <row r="26" spans="2:15">
      <c r="B26" s="107"/>
      <c r="C26" s="48"/>
      <c r="D26" s="99"/>
      <c r="E26" s="48"/>
      <c r="O26" s="49">
        <v>44.7</v>
      </c>
    </row>
    <row r="27" spans="2:15">
      <c r="B27" s="48"/>
      <c r="C27" s="48"/>
      <c r="D27" s="99"/>
      <c r="E27" s="48"/>
      <c r="O27" s="49">
        <v>17</v>
      </c>
    </row>
    <row r="28" spans="2:15">
      <c r="B28" s="48"/>
      <c r="C28" s="48"/>
      <c r="D28" s="99"/>
      <c r="E28" s="48"/>
      <c r="O28" s="49">
        <v>22.9</v>
      </c>
    </row>
    <row r="29" spans="2:15">
      <c r="B29" s="48"/>
      <c r="C29" s="48"/>
      <c r="D29" s="99"/>
      <c r="E29" s="48"/>
      <c r="H29" s="49" t="s">
        <v>2462</v>
      </c>
      <c r="I29" s="49" t="s">
        <v>2096</v>
      </c>
      <c r="J29" s="49"/>
      <c r="O29" s="49">
        <v>110.8</v>
      </c>
    </row>
    <row r="30" spans="2:15">
      <c r="B30" s="48"/>
      <c r="C30" s="48"/>
      <c r="D30" s="99"/>
      <c r="E30" s="48"/>
      <c r="H30">
        <v>820098</v>
      </c>
      <c r="I30">
        <v>820390</v>
      </c>
      <c r="J30">
        <f>I30-H30</f>
        <v>292</v>
      </c>
      <c r="O30" s="49">
        <v>103</v>
      </c>
    </row>
    <row r="31" spans="2:15">
      <c r="B31" s="48"/>
      <c r="C31" s="48"/>
      <c r="D31" s="99"/>
      <c r="E31" s="48"/>
      <c r="H31">
        <v>1624969</v>
      </c>
      <c r="I31">
        <v>1625071</v>
      </c>
      <c r="J31">
        <f t="shared" ref="J31:J34" si="0">I31-H31</f>
        <v>102</v>
      </c>
      <c r="O31" s="49">
        <v>290</v>
      </c>
    </row>
    <row r="32" spans="2:15">
      <c r="B32" s="48"/>
      <c r="C32" s="48"/>
      <c r="D32" s="99"/>
      <c r="E32" s="48"/>
      <c r="H32">
        <v>2809135</v>
      </c>
      <c r="I32">
        <v>2810850</v>
      </c>
      <c r="J32">
        <f t="shared" si="0"/>
        <v>1715</v>
      </c>
      <c r="O32">
        <v>18</v>
      </c>
    </row>
    <row r="33" spans="2:10">
      <c r="B33" s="48"/>
      <c r="C33" s="48"/>
      <c r="D33" s="99"/>
      <c r="E33" s="48"/>
      <c r="H33">
        <v>2902081</v>
      </c>
      <c r="I33">
        <v>2902517</v>
      </c>
      <c r="J33">
        <f t="shared" si="0"/>
        <v>436</v>
      </c>
    </row>
    <row r="34" spans="2:10">
      <c r="B34" s="48"/>
      <c r="C34" s="48"/>
      <c r="D34" s="99"/>
      <c r="E34" s="48"/>
      <c r="H34">
        <v>2706136</v>
      </c>
      <c r="I34">
        <v>2706790</v>
      </c>
      <c r="J34">
        <f t="shared" si="0"/>
        <v>654</v>
      </c>
    </row>
    <row r="35" spans="2:10">
      <c r="B35" s="48"/>
      <c r="C35" s="48"/>
      <c r="D35" s="99"/>
      <c r="E35" s="48"/>
    </row>
    <row r="36" spans="2:10">
      <c r="B36" s="48"/>
      <c r="C36" s="48"/>
      <c r="D36" s="76"/>
      <c r="E36" s="44"/>
    </row>
    <row r="41" spans="2:10">
      <c r="H41">
        <v>2809725</v>
      </c>
      <c r="I41">
        <v>2810850</v>
      </c>
      <c r="J41">
        <f>I41-H41</f>
        <v>1125</v>
      </c>
    </row>
  </sheetData>
  <phoneticPr fontId="24" type="noConversion"/>
  <pageMargins left="7.8740157480315001E-2" right="7.8740157480315001E-2" top="7.8740157480315001E-2" bottom="7.8740157480315001E-2" header="0.31496062992126" footer="0.31496062992126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488E-1240-46C1-8BE1-576B98A224B9}">
  <sheetPr>
    <pageSetUpPr fitToPage="1"/>
  </sheetPr>
  <dimension ref="A1:CC176"/>
  <sheetViews>
    <sheetView topLeftCell="A12" zoomScale="70" zoomScaleNormal="70" workbookViewId="0">
      <selection activeCell="L23" sqref="L23"/>
    </sheetView>
  </sheetViews>
  <sheetFormatPr defaultRowHeight="15.75"/>
  <cols>
    <col min="1" max="1" width="22.7109375" customWidth="1"/>
    <col min="2" max="2" width="5" bestFit="1" customWidth="1"/>
    <col min="3" max="3" width="4" bestFit="1" customWidth="1"/>
    <col min="4" max="4" width="24.7109375" customWidth="1"/>
    <col min="5" max="5" width="19.7109375" bestFit="1" customWidth="1"/>
    <col min="6" max="6" width="30.85546875" customWidth="1"/>
    <col min="7" max="7" width="17.28515625" style="93" customWidth="1"/>
    <col min="8" max="8" width="19.85546875" bestFit="1" customWidth="1"/>
    <col min="9" max="9" width="21.85546875" customWidth="1"/>
    <col min="10" max="10" width="18.140625" bestFit="1" customWidth="1"/>
    <col min="11" max="11" width="17.28515625" customWidth="1"/>
    <col min="12" max="12" width="20.5703125" customWidth="1"/>
    <col min="13" max="13" width="18.140625" customWidth="1"/>
    <col min="14" max="14" width="22.140625" customWidth="1"/>
    <col min="15" max="15" width="18.140625" customWidth="1"/>
    <col min="16" max="16" width="20" customWidth="1"/>
    <col min="17" max="18" width="18.140625" customWidth="1"/>
    <col min="19" max="19" width="20" customWidth="1"/>
    <col min="20" max="26" width="18.140625" customWidth="1"/>
    <col min="27" max="27" width="21.140625" bestFit="1" customWidth="1"/>
    <col min="28" max="28" width="16.85546875" style="93" bestFit="1" customWidth="1"/>
    <col min="29" max="30" width="16.85546875" style="93" customWidth="1"/>
    <col min="31" max="31" width="14.7109375" style="93" bestFit="1" customWidth="1"/>
    <col min="32" max="37" width="14.7109375" style="93" customWidth="1"/>
    <col min="38" max="44" width="11.5703125" customWidth="1"/>
    <col min="45" max="45" width="8.85546875" customWidth="1"/>
    <col min="46" max="49" width="11.28515625" customWidth="1"/>
    <col min="50" max="50" width="14.5703125" bestFit="1" customWidth="1"/>
    <col min="78" max="78" width="14.42578125" customWidth="1"/>
    <col min="80" max="80" width="14.42578125" customWidth="1"/>
    <col min="82" max="82" width="17.7109375" customWidth="1"/>
  </cols>
  <sheetData>
    <row r="1" spans="1:81">
      <c r="H1" s="49"/>
      <c r="AB1" s="103"/>
      <c r="AC1" s="103"/>
      <c r="AD1" s="103"/>
    </row>
    <row r="2" spans="1:81">
      <c r="A2" s="49"/>
      <c r="F2" s="49"/>
      <c r="G2" s="149"/>
      <c r="H2" s="49"/>
      <c r="J2" s="49"/>
      <c r="N2">
        <v>21930</v>
      </c>
      <c r="O2">
        <v>8</v>
      </c>
      <c r="AB2" s="103"/>
      <c r="AC2" s="103"/>
      <c r="AD2" s="103"/>
    </row>
    <row r="3" spans="1:81">
      <c r="A3" s="49"/>
      <c r="C3" s="49"/>
      <c r="E3" s="49"/>
      <c r="F3">
        <v>455581.8</v>
      </c>
      <c r="H3" s="121"/>
      <c r="I3" s="49"/>
      <c r="J3" s="49"/>
      <c r="K3">
        <f>1063/158</f>
        <v>6.7278481012658231</v>
      </c>
      <c r="N3">
        <v>59498</v>
      </c>
      <c r="O3">
        <v>27</v>
      </c>
      <c r="R3">
        <f>20590*17%</f>
        <v>3500.3</v>
      </c>
    </row>
    <row r="4" spans="1:81">
      <c r="F4" s="121">
        <f ca="1">F3-F13</f>
        <v>342.20000000001164</v>
      </c>
      <c r="I4" s="49"/>
      <c r="AG4" s="128"/>
      <c r="AH4" s="128"/>
      <c r="AL4" s="121"/>
    </row>
    <row r="5" spans="1:81">
      <c r="E5" s="49"/>
      <c r="H5" s="172" t="s">
        <v>2483</v>
      </c>
      <c r="N5" s="54"/>
      <c r="AG5" s="128"/>
      <c r="AH5" s="128"/>
      <c r="AL5" s="121"/>
      <c r="AR5" s="49"/>
    </row>
    <row r="6" spans="1:81">
      <c r="H6" s="122"/>
      <c r="AG6" s="128"/>
      <c r="AH6" s="128"/>
      <c r="AL6" s="121"/>
    </row>
    <row r="7" spans="1:81">
      <c r="E7" s="49"/>
      <c r="F7" s="100"/>
      <c r="G7" s="100"/>
      <c r="H7" s="148"/>
      <c r="I7" s="148"/>
      <c r="L7" s="49"/>
      <c r="AG7" s="128"/>
      <c r="AH7" s="128"/>
      <c r="AL7" s="121"/>
      <c r="AR7" s="49"/>
    </row>
    <row r="8" spans="1:81">
      <c r="F8" s="78"/>
      <c r="H8" s="121"/>
      <c r="AG8" s="128"/>
      <c r="AH8" s="128"/>
      <c r="AL8" s="121"/>
    </row>
    <row r="9" spans="1:81">
      <c r="F9" s="78"/>
      <c r="H9" s="100"/>
      <c r="AG9" s="128"/>
      <c r="AH9" s="128"/>
      <c r="AL9" s="121"/>
      <c r="BY9" s="49"/>
    </row>
    <row r="10" spans="1:81">
      <c r="A10">
        <v>3152</v>
      </c>
      <c r="F10" s="100"/>
      <c r="K10">
        <v>1</v>
      </c>
      <c r="L10">
        <v>2</v>
      </c>
      <c r="M10">
        <v>3</v>
      </c>
      <c r="N10">
        <v>4</v>
      </c>
      <c r="O10">
        <v>5</v>
      </c>
      <c r="P10">
        <v>6</v>
      </c>
      <c r="Q10">
        <v>7</v>
      </c>
      <c r="R10">
        <v>8</v>
      </c>
      <c r="S10">
        <v>9</v>
      </c>
      <c r="T10">
        <v>10</v>
      </c>
      <c r="U10">
        <v>11</v>
      </c>
      <c r="V10">
        <v>12</v>
      </c>
      <c r="W10">
        <v>13</v>
      </c>
      <c r="X10">
        <v>14</v>
      </c>
      <c r="Y10">
        <v>15</v>
      </c>
      <c r="Z10">
        <v>16</v>
      </c>
      <c r="AB10" s="93">
        <v>1</v>
      </c>
      <c r="AC10" s="93">
        <v>2</v>
      </c>
      <c r="AD10" s="93">
        <v>3</v>
      </c>
      <c r="AE10" s="93">
        <v>4</v>
      </c>
      <c r="AF10" s="93">
        <v>5</v>
      </c>
      <c r="AG10" s="93">
        <v>6</v>
      </c>
      <c r="AH10" s="93">
        <v>7</v>
      </c>
      <c r="AI10" s="93">
        <v>8</v>
      </c>
      <c r="AJ10" s="93">
        <v>9</v>
      </c>
      <c r="AK10" s="93">
        <v>10</v>
      </c>
      <c r="AL10" s="93">
        <v>11</v>
      </c>
      <c r="AM10" s="93">
        <v>12</v>
      </c>
      <c r="AN10" s="93">
        <v>13</v>
      </c>
      <c r="AO10" s="93">
        <v>14</v>
      </c>
      <c r="AP10" s="93">
        <v>15</v>
      </c>
      <c r="AQ10" s="93">
        <v>16</v>
      </c>
      <c r="AS10" s="155">
        <v>4</v>
      </c>
      <c r="AX10" s="155">
        <v>1</v>
      </c>
      <c r="AZ10" s="155">
        <v>2</v>
      </c>
      <c r="BB10" s="155">
        <v>3</v>
      </c>
      <c r="BD10" s="155">
        <v>5</v>
      </c>
      <c r="BF10" s="155">
        <v>6</v>
      </c>
      <c r="BH10" s="155">
        <v>7</v>
      </c>
      <c r="BJ10" s="155">
        <v>8</v>
      </c>
      <c r="BL10" s="155">
        <v>9</v>
      </c>
      <c r="BN10" s="155">
        <v>10</v>
      </c>
      <c r="BP10" s="155">
        <v>11</v>
      </c>
      <c r="BR10" s="155">
        <v>12</v>
      </c>
      <c r="BW10" s="155">
        <v>13</v>
      </c>
      <c r="BY10" s="155">
        <v>14</v>
      </c>
      <c r="CA10" s="155">
        <v>15</v>
      </c>
      <c r="CC10" s="155">
        <v>16</v>
      </c>
    </row>
    <row r="11" spans="1:81" ht="31.5" customHeight="1">
      <c r="A11">
        <v>-4978</v>
      </c>
      <c r="F11" s="54">
        <f t="shared" ref="F11:Z11" ca="1" si="0">SUM(F13:F84)</f>
        <v>9587202.9000000004</v>
      </c>
      <c r="G11" s="147">
        <f t="shared" ca="1" si="0"/>
        <v>5744</v>
      </c>
      <c r="H11" s="54">
        <f t="shared" ca="1" si="0"/>
        <v>175479.11800000002</v>
      </c>
      <c r="I11" s="54">
        <f t="shared" ca="1" si="0"/>
        <v>8132.4699999999993</v>
      </c>
      <c r="J11" s="54">
        <f t="shared" ca="1" si="0"/>
        <v>16810</v>
      </c>
      <c r="K11" s="54">
        <f t="shared" ca="1" si="0"/>
        <v>250</v>
      </c>
      <c r="L11" s="54">
        <f t="shared" ca="1" si="0"/>
        <v>800</v>
      </c>
      <c r="M11" s="54">
        <f t="shared" ca="1" si="0"/>
        <v>400</v>
      </c>
      <c r="N11" s="54">
        <f t="shared" ca="1" si="0"/>
        <v>0</v>
      </c>
      <c r="O11" s="54">
        <f t="shared" ca="1" si="0"/>
        <v>2160</v>
      </c>
      <c r="P11" s="54">
        <f t="shared" ca="1" si="0"/>
        <v>0</v>
      </c>
      <c r="Q11" s="54">
        <f t="shared" ca="1" si="0"/>
        <v>650</v>
      </c>
      <c r="R11" s="54">
        <f t="shared" ca="1" si="0"/>
        <v>0</v>
      </c>
      <c r="S11" s="54">
        <f t="shared" ca="1" si="0"/>
        <v>1100</v>
      </c>
      <c r="T11" s="54">
        <f t="shared" ca="1" si="0"/>
        <v>400</v>
      </c>
      <c r="U11" s="54">
        <f t="shared" ca="1" si="0"/>
        <v>0</v>
      </c>
      <c r="V11" s="54">
        <f t="shared" ca="1" si="0"/>
        <v>600</v>
      </c>
      <c r="W11" s="54">
        <f t="shared" ca="1" si="0"/>
        <v>2450</v>
      </c>
      <c r="X11" s="54">
        <f t="shared" ca="1" si="0"/>
        <v>0</v>
      </c>
      <c r="Y11" s="54">
        <f t="shared" ca="1" si="0"/>
        <v>3000</v>
      </c>
      <c r="Z11" s="54">
        <f t="shared" ca="1" si="0"/>
        <v>5000</v>
      </c>
      <c r="AR11">
        <f ca="1">SUBTOTAL(9,AR13:AR84)</f>
        <v>14</v>
      </c>
      <c r="AT11">
        <f ca="1">SUBTOTAL(9,AT13:AT84)</f>
        <v>11</v>
      </c>
      <c r="AU11">
        <f ca="1">SUBTOTAL(9,AU13:AU84)</f>
        <v>17</v>
      </c>
      <c r="AV11">
        <f ca="1">SUBTOTAL(9,AV13:AV84)</f>
        <v>3</v>
      </c>
      <c r="AW11">
        <f ca="1">SUBTOTAL(9,AW13:AW84)</f>
        <v>12</v>
      </c>
      <c r="AY11">
        <f ca="1">SUBTOTAL(9,AY13:AY84)</f>
        <v>58</v>
      </c>
      <c r="BA11">
        <f ca="1">SUBTOTAL(9,BA13:BA84)</f>
        <v>14</v>
      </c>
      <c r="BC11">
        <f ca="1">SUBTOTAL(9,BC13:BC84)</f>
        <v>40</v>
      </c>
      <c r="BE11">
        <f ca="1">SUBTOTAL(9,BE13:BE84)</f>
        <v>33</v>
      </c>
      <c r="BG11">
        <f ca="1">SUBTOTAL(9,BG13:BG84)</f>
        <v>38</v>
      </c>
      <c r="BI11">
        <f ca="1">SUBTOTAL(9,BI13:BI84)</f>
        <v>9</v>
      </c>
      <c r="BK11">
        <f ca="1">SUBTOTAL(9,BK13:BK84)</f>
        <v>25</v>
      </c>
      <c r="BM11">
        <f ca="1">SUBTOTAL(9,BM13:BM84)</f>
        <v>7</v>
      </c>
      <c r="BO11">
        <f ca="1">SUBTOTAL(9,BO13:BO84)</f>
        <v>1</v>
      </c>
      <c r="BQ11">
        <f ca="1">SUBTOTAL(9,BQ13:BQ84)</f>
        <v>15</v>
      </c>
      <c r="BS11">
        <f ca="1">SUBTOTAL(9,BS13:BS84)</f>
        <v>72</v>
      </c>
      <c r="BT11">
        <f t="shared" ref="BT11:BV11" ca="1" si="1">SUBTOTAL(9,BT13:BT84)</f>
        <v>74</v>
      </c>
      <c r="BU11">
        <f t="shared" ca="1" si="1"/>
        <v>347</v>
      </c>
      <c r="BV11">
        <f t="shared" ca="1" si="1"/>
        <v>13</v>
      </c>
      <c r="BX11">
        <f ca="1">SUBTOTAL(9,BX13:BX84)</f>
        <v>1</v>
      </c>
      <c r="BZ11">
        <f t="shared" ref="BZ11" ca="1" si="2">SUBTOTAL(9,BZ13:BZ84)</f>
        <v>9587202.9000000004</v>
      </c>
    </row>
    <row r="12" spans="1:81" ht="90">
      <c r="A12" s="54">
        <f ca="1">SUM(A13:A84)</f>
        <v>515081.58800000011</v>
      </c>
      <c r="E12" s="52" t="s">
        <v>676</v>
      </c>
      <c r="F12" s="52" t="s">
        <v>679</v>
      </c>
      <c r="G12" s="94" t="s">
        <v>681</v>
      </c>
      <c r="H12" s="52" t="s">
        <v>680</v>
      </c>
      <c r="I12" s="52" t="s">
        <v>712</v>
      </c>
      <c r="J12" s="53" t="s">
        <v>678</v>
      </c>
      <c r="K12" s="108" t="s">
        <v>1328</v>
      </c>
      <c r="L12" s="108" t="s">
        <v>1329</v>
      </c>
      <c r="M12" s="108" t="s">
        <v>1330</v>
      </c>
      <c r="N12" s="108" t="s">
        <v>1331</v>
      </c>
      <c r="O12" s="108" t="s">
        <v>1316</v>
      </c>
      <c r="P12" s="108" t="s">
        <v>1332</v>
      </c>
      <c r="Q12" s="108" t="s">
        <v>1333</v>
      </c>
      <c r="R12" s="108" t="s">
        <v>1335</v>
      </c>
      <c r="S12" s="108" t="s">
        <v>1334</v>
      </c>
      <c r="T12" s="108" t="s">
        <v>1336</v>
      </c>
      <c r="U12" s="108" t="s">
        <v>1337</v>
      </c>
      <c r="V12" s="108" t="s">
        <v>1338</v>
      </c>
      <c r="W12" s="108" t="s">
        <v>1327</v>
      </c>
      <c r="X12" s="108" t="s">
        <v>1324</v>
      </c>
      <c r="Y12" s="108" t="s">
        <v>1325</v>
      </c>
      <c r="Z12" s="108" t="s">
        <v>1326</v>
      </c>
      <c r="AA12" s="58"/>
      <c r="AB12" s="144" t="s">
        <v>1315</v>
      </c>
      <c r="AC12" s="144" t="s">
        <v>902</v>
      </c>
      <c r="AD12" s="144" t="s">
        <v>991</v>
      </c>
      <c r="AE12" s="144" t="s">
        <v>819</v>
      </c>
      <c r="AF12" s="144" t="s">
        <v>1316</v>
      </c>
      <c r="AG12" s="144" t="s">
        <v>998</v>
      </c>
      <c r="AH12" s="144" t="s">
        <v>999</v>
      </c>
      <c r="AI12" s="144" t="s">
        <v>915</v>
      </c>
      <c r="AJ12" s="144" t="s">
        <v>886</v>
      </c>
      <c r="AK12" s="144" t="s">
        <v>714</v>
      </c>
      <c r="AL12" s="145" t="s">
        <v>1320</v>
      </c>
      <c r="AM12" s="145" t="s">
        <v>783</v>
      </c>
      <c r="AN12" s="145" t="s">
        <v>1160</v>
      </c>
      <c r="AO12" s="145" t="s">
        <v>1346</v>
      </c>
      <c r="AP12" s="145" t="s">
        <v>1325</v>
      </c>
      <c r="AQ12" s="145" t="s">
        <v>1348</v>
      </c>
      <c r="AR12" s="104" t="s">
        <v>823</v>
      </c>
      <c r="AS12" s="105" t="s">
        <v>914</v>
      </c>
      <c r="AT12" s="104" t="s">
        <v>478</v>
      </c>
      <c r="AU12" s="104" t="s">
        <v>815</v>
      </c>
      <c r="AV12" s="104" t="s">
        <v>482</v>
      </c>
      <c r="AW12" s="104" t="s">
        <v>817</v>
      </c>
      <c r="AX12" s="105" t="s">
        <v>718</v>
      </c>
      <c r="AY12" s="104" t="s">
        <v>977</v>
      </c>
      <c r="AZ12" s="105" t="s">
        <v>978</v>
      </c>
      <c r="BA12" s="104" t="s">
        <v>1319</v>
      </c>
      <c r="BB12" s="105" t="s">
        <v>1349</v>
      </c>
      <c r="BC12" s="104" t="s">
        <v>1350</v>
      </c>
      <c r="BD12" s="105" t="s">
        <v>935</v>
      </c>
      <c r="BE12" s="104" t="s">
        <v>1004</v>
      </c>
      <c r="BF12" s="105" t="s">
        <v>1351</v>
      </c>
      <c r="BG12" s="104" t="s">
        <v>1006</v>
      </c>
      <c r="BH12" s="105" t="s">
        <v>1352</v>
      </c>
      <c r="BI12" s="104" t="s">
        <v>1318</v>
      </c>
      <c r="BJ12" s="105" t="s">
        <v>1353</v>
      </c>
      <c r="BK12" s="104" t="s">
        <v>1357</v>
      </c>
      <c r="BL12" s="105" t="s">
        <v>1354</v>
      </c>
      <c r="BM12" s="104" t="s">
        <v>717</v>
      </c>
      <c r="BN12" s="105" t="s">
        <v>1355</v>
      </c>
      <c r="BO12" s="104" t="s">
        <v>1363</v>
      </c>
      <c r="BP12" s="105" t="s">
        <v>1361</v>
      </c>
      <c r="BQ12" s="104" t="s">
        <v>1186</v>
      </c>
      <c r="BR12" s="105" t="s">
        <v>1187</v>
      </c>
      <c r="BS12" s="104" t="s">
        <v>1190</v>
      </c>
      <c r="BT12" s="104" t="s">
        <v>1201</v>
      </c>
      <c r="BU12" s="104" t="s">
        <v>1358</v>
      </c>
      <c r="BV12" s="104" t="s">
        <v>1359</v>
      </c>
      <c r="BW12" s="105" t="s">
        <v>1193</v>
      </c>
      <c r="BX12" s="104" t="s">
        <v>928</v>
      </c>
      <c r="BY12" s="105" t="s">
        <v>929</v>
      </c>
      <c r="BZ12" s="104" t="s">
        <v>1313</v>
      </c>
      <c r="CA12" s="105" t="s">
        <v>1356</v>
      </c>
      <c r="CB12" s="104" t="s">
        <v>1314</v>
      </c>
      <c r="CC12" s="105" t="s">
        <v>1360</v>
      </c>
    </row>
    <row r="13" spans="1:81">
      <c r="A13" s="121">
        <f ca="1">Roster!AL5*Roster!AH5+Roster!AM5*Roster!AG5+三國演義!H13+三國演義!I13+三國演義!J13</f>
        <v>19744.792000000001</v>
      </c>
      <c r="B13" s="133">
        <v>0.02</v>
      </c>
      <c r="C13" s="66">
        <v>1</v>
      </c>
      <c r="D13" s="95" t="str">
        <f ca="1">_xlfn.XLOOKUP($E13,表格1[Name],表格1[Shop])</f>
        <v>Aeon</v>
      </c>
      <c r="E13" s="95" t="s">
        <v>5</v>
      </c>
      <c r="F13" s="96">
        <f ca="1">SUMIF(表格1[Name],$E13,表格1[Total Amount])+SUMIF(表格1[Name],$AA13,表格1[Total Amount])</f>
        <v>455239.6</v>
      </c>
      <c r="G13" s="161">
        <f ca="1">SUMIF(表格1[Name],$E13,表格1[QTY])+SUMIF(表格1[Name],$AA13,表格1[QTY])</f>
        <v>405</v>
      </c>
      <c r="H13" s="96">
        <f t="shared" ref="H13" ca="1" si="3">F13*2%</f>
        <v>9104.7919999999995</v>
      </c>
      <c r="I13" s="96"/>
      <c r="J13" s="51">
        <f ca="1">SUM($K13:$Z13)</f>
        <v>300</v>
      </c>
      <c r="K13" s="163">
        <f ca="1">$AX13</f>
        <v>0</v>
      </c>
      <c r="L13" s="163">
        <f ca="1">$AZ13</f>
        <v>300</v>
      </c>
      <c r="M13" s="44">
        <f ca="1">$BB13</f>
        <v>0</v>
      </c>
      <c r="N13" s="44">
        <f ca="1">$AS13</f>
        <v>0</v>
      </c>
      <c r="O13" s="44">
        <f ca="1">$BD13</f>
        <v>0</v>
      </c>
      <c r="P13" s="44">
        <f ca="1">$BF13</f>
        <v>0</v>
      </c>
      <c r="Q13" s="44">
        <f ca="1">$BH13</f>
        <v>0</v>
      </c>
      <c r="R13" s="44">
        <f ca="1">$BJ13</f>
        <v>0</v>
      </c>
      <c r="S13" s="44">
        <f ca="1">$BL13</f>
        <v>0</v>
      </c>
      <c r="T13" s="44">
        <f ca="1">$BN13</f>
        <v>0</v>
      </c>
      <c r="U13" s="44">
        <f ca="1">$BP13</f>
        <v>0</v>
      </c>
      <c r="V13" s="44">
        <f ca="1">$BR13</f>
        <v>0</v>
      </c>
      <c r="W13" s="44">
        <f ca="1">$BW13</f>
        <v>0</v>
      </c>
      <c r="X13" s="44">
        <f ca="1">$BY13</f>
        <v>0</v>
      </c>
      <c r="Y13" s="44">
        <f ca="1">$CA13</f>
        <v>0</v>
      </c>
      <c r="Z13" s="44">
        <f ca="1">$CC13</f>
        <v>0</v>
      </c>
      <c r="AA13" s="60" t="str">
        <f t="shared" ref="AA13:AA76" si="4">$E13&amp;" off"</f>
        <v>May C off</v>
      </c>
      <c r="AB13" s="71">
        <f>_xlfn.XLOOKUP($E13,target[NAME],target[RC-DS10K/18K])</f>
        <v>4</v>
      </c>
      <c r="AC13" s="71">
        <f>_xlfn.XLOOKUP($E13,target[NAME],target[RC-18AMXH(W)])</f>
        <v>4</v>
      </c>
      <c r="AD13" s="71">
        <f>_xlfn.XLOOKUP($E13,target[NAME],target[EB-T500APW])</f>
        <v>1</v>
      </c>
      <c r="AE13" s="71">
        <f>_xlfn.XLOOKUP($E13,target[NAME],target[ER-VD7000HK(XK)])</f>
        <v>2</v>
      </c>
      <c r="AF13" s="71">
        <f>_xlfn.XLOOKUP($E13,target[NAME],target[TWDT21BU95])</f>
        <v>2</v>
      </c>
      <c r="AG13" s="71">
        <f>_xlfn.XLOOKUP($E13,target[NAME],target[AW-Q800APH(WW)])</f>
        <v>1000</v>
      </c>
      <c r="AH13" s="71">
        <f>_xlfn.XLOOKUP($E13,target[NAME],target[AW-Q801APH(WW)])</f>
        <v>5</v>
      </c>
      <c r="AI13" s="71">
        <f>_xlfn.XLOOKUP($E13,target[NAME],target[GR-RM469WE-PGA(B3)])</f>
        <v>2</v>
      </c>
      <c r="AJ13" s="71">
        <f>_xlfn.XLOOKUP($E13,target[NAME],target[GR-RB449WE-PMA(57)])</f>
        <v>2</v>
      </c>
      <c r="AK13" s="71">
        <f>_xlfn.XLOOKUP($E13,target[NAME],target[GR-RB410WE-PMA(06)])</f>
        <v>2</v>
      </c>
      <c r="AL13" s="71">
        <f>_xlfn.XLOOKUP($E13,target[NAME],target[GR-RF698WI])</f>
        <v>1</v>
      </c>
      <c r="AM13" s="71">
        <f>_xlfn.XLOOKUP($E13,target[NAME],target[TWP-W2265THK(W)])</f>
        <v>2</v>
      </c>
      <c r="AN13" s="71">
        <f>_xlfn.XLOOKUP($E13,target[NAME],target[RAD-D200/250/300/DIA17])</f>
        <v>48</v>
      </c>
      <c r="AO13" s="71">
        <f>_xlfn.XLOOKUP($E13,target[NAME],target[(Fortress ONLY)TW-T25BZU115MWH(MG) ])</f>
        <v>2</v>
      </c>
      <c r="AP13" s="71">
        <f>_xlfn.XLOOKUP($E13,target[NAME],target[開門紅(三月)])</f>
        <v>770000</v>
      </c>
      <c r="AQ13" s="71">
        <f>_xlfn.XLOOKUP($E13,target[NAME],target[開門紅(第一季)])</f>
        <v>637447.89999999967</v>
      </c>
      <c r="AR13" s="73">
        <f ca="1">SUMIFS(表格1[QTY],表格1[Model],三國演義!$AR$12,表格1[Name],三國演義!$E13)+SUMIFS(表格1[QTY],表格1[Model],三國演義!$AR$12,表格1[Name],三國演義!$AA13)</f>
        <v>0</v>
      </c>
      <c r="AS13" s="77">
        <f ca="1">IF($AR13&gt;=$AE13,$AR13*'3月Target'!$W$8,0)</f>
        <v>0</v>
      </c>
      <c r="AT13" s="44">
        <f ca="1">SUMIFS(表格1[QTY],表格1[Model],三國演義!$AT$12,表格1[Name],三國演義!$E13)+SUMIFS(表格1[QTY],表格1[Model],三國演義!$AT$12,表格1[Name],三國演義!$AA13)</f>
        <v>0</v>
      </c>
      <c r="AU13" s="44">
        <f ca="1">SUMIFS(表格1[QTY],表格1[Model],三國演義!$AU$12,表格1[Name],三國演義!$E13)+SUMIFS(表格1[QTY],表格1[Model],三國演義!$AU$12,表格1[Name],三國演義!$AA13)</f>
        <v>0</v>
      </c>
      <c r="AV13" s="44">
        <f ca="1">SUMIFS(表格1[QTY],表格1[Model],三國演義!$AV$12,表格1[Name],三國演義!$E13)+SUMIFS(表格1[QTY],表格1[Model],三國演義!$AV$12,表格1[Name],三國演義!$AA13)</f>
        <v>0</v>
      </c>
      <c r="AW13" s="44">
        <f ca="1">SUMIFS(表格1[QTY],表格1[Model],三國演義!$AW$12,表格1[Name],三國演義!$E13)+SUMIFS(表格1[QTY],表格1[Model],三國演義!$AW$12,表格1[Name],三國演義!$AA13)</f>
        <v>0</v>
      </c>
      <c r="AX13" s="50">
        <f ca="1">IF((SUM($AT13:$AW13))&gt;=$AB13,SUM($AT13:$AW13)*'3月Target'!$W$5,0)</f>
        <v>0</v>
      </c>
      <c r="AY13" s="44">
        <f ca="1">SUMIFS(表格1[QTY],表格1[Model],三國演義!$AY$12,表格1[Name],三國演義!$E13)+SUMIFS(表格1[QTY],表格1[Model],三國演義!$AY$12,表格1[Name],三國演義!$AA13)</f>
        <v>6</v>
      </c>
      <c r="AZ13" s="77">
        <f ca="1">IF($AY13&gt;=$AC13,$AY13*'3月Target'!$W$6,0)</f>
        <v>300</v>
      </c>
      <c r="BA13" s="44">
        <f ca="1">SUMIFS(表格1[QTY],表格1[Model],三國演義!$BA$12,表格1[Name],三國演義!$E13)+SUMIFS(表格1[QTY],表格1[Model],三國演義!$BA$12,表格1[Name],三國演義!$AA13)</f>
        <v>0</v>
      </c>
      <c r="BB13" s="77">
        <f ca="1">IF($BA13&gt;=$AD13,$BA13*'3月Target'!$W$7,0)</f>
        <v>0</v>
      </c>
      <c r="BC13" s="44">
        <f ca="1">SUMIFS(表格1[QTY],表格1[Model],三國演義!$BC$12,表格1[Name],三國演義!$E13)+SUMIFS(表格1[QTY],表格1[Model],三國演義!$BC$12,表格1[Name],三國演義!$AA13)</f>
        <v>0</v>
      </c>
      <c r="BD13" s="77">
        <f ca="1">IF($BC13&gt;=$AF13,$BC13*'3月Target'!$W$9,0)</f>
        <v>0</v>
      </c>
      <c r="BE13" s="44">
        <f ca="1">SUMIFS(表格1[QTY],表格1[Model],三國演義!$BE$12,表格1[Name],三國演義!$E13)+SUMIFS(表格1[QTY],表格1[Model],三國演義!$BE$12,表格1[Name],三國演義!$AA13)</f>
        <v>0</v>
      </c>
      <c r="BF13" s="77">
        <f ca="1">IF($BE13&gt;=$AG13,$BE13*'3月Target'!$W$10,0)</f>
        <v>0</v>
      </c>
      <c r="BG13" s="44">
        <f ca="1">SUMIFS(表格1[QTY],表格1[Model],三國演義!$BG$12,表格1[Name],三國演義!$E13)+SUMIFS(表格1[QTY],表格1[Model],三國演義!$BG$12,表格1[Name],三國演義!$AA13)</f>
        <v>0</v>
      </c>
      <c r="BH13" s="77">
        <f ca="1">IF($BG13&gt;=$AH13,$BG13*'3月Target'!$W$10,0)</f>
        <v>0</v>
      </c>
      <c r="BI13" s="44">
        <f ca="1">SUMIFS(表格1[QTY],表格1[Model],三國演義!$BI$12,表格1[Name],三國演義!$E13)+SUMIFS(表格1[QTY],表格1[Model],三國演義!$BI$12,表格1[Name],三國演義!$AA13)</f>
        <v>0</v>
      </c>
      <c r="BJ13" s="77">
        <f ca="1">IF($BI13&gt;=$AI13,$BI13*'3月Target'!$W$11,0)</f>
        <v>0</v>
      </c>
      <c r="BK13" s="44">
        <f ca="1">SUMIFS(表格1[QTY],表格1[Model],三國演義!$BK$12,表格1[Name],三國演義!$E13)+SUMIFS(表格1[QTY],表格1[Model],三國演義!$BK$12,表格1[Name],三國演義!$AA13)</f>
        <v>0</v>
      </c>
      <c r="BL13" s="77">
        <f ca="1">IF($BK13&gt;=$AJ13,$BK13*'3月Target'!$W$12,0)</f>
        <v>0</v>
      </c>
      <c r="BM13" s="44">
        <f ca="1">SUMIFS(表格1[QTY],表格1[Model],三國演義!$BM$12,表格1[Name],三國演義!$E13)+SUMIFS(表格1[QTY],表格1[Model],三國演義!$BM$12,表格1[Name],三國演義!$AA13)</f>
        <v>0</v>
      </c>
      <c r="BN13" s="77">
        <f ca="1">IF($BM13&gt;=$AK13,$BM13*'3月Target'!$W$13,0)</f>
        <v>0</v>
      </c>
      <c r="BO13" s="44">
        <f ca="1">SUMIFS(表格1[QTY],表格1[Model],三國演義!$BO$12,表格1[Name],三國演義!$E13)+SUMIFS(表格1[QTY],表格1[Model],三國演義!$BO$12,表格1[Name],三國演義!$AA13)</f>
        <v>0</v>
      </c>
      <c r="BP13" s="77">
        <f ca="1">IF($BO13&gt;=$AL13,$BO13*'3月Target'!$W$14,0)</f>
        <v>0</v>
      </c>
      <c r="BQ13" s="44">
        <f ca="1">SUMIFS(表格1[QTY],表格1[Model],三國演義!$BQ$12,表格1[Name],三國演義!$E13)+SUMIFS(表格1[QTY],表格1[Model],三國演義!$BQ$12,表格1[Name],三國演義!$AA13)</f>
        <v>0</v>
      </c>
      <c r="BR13" s="77">
        <f ca="1">IF($BQ13&gt;=$AM13,$BQ13*'3月Target'!$W$15,0)</f>
        <v>0</v>
      </c>
      <c r="BS13" s="44">
        <f ca="1">SUMIFS(表格1[QTY],表格1[Model],三國演義!$BS$12,表格1[Name],三國演義!$E13)+SUMIFS(表格1[QTY],表格1[Model],三國演義!$BS$12,表格1[Name],三國演義!$AA13)</f>
        <v>5</v>
      </c>
      <c r="BT13" s="44">
        <f ca="1">SUMIFS(表格1[QTY],表格1[Model],三國演義!$BT$12,表格1[Name],三國演義!$E13)+SUMIFS(表格1[QTY],表格1[Model],三國演義!$BT$12,表格1[Name],三國演義!$AA13)</f>
        <v>0</v>
      </c>
      <c r="BU13" s="44">
        <f ca="1">SUMIFS(表格1[QTY],表格1[Model],三國演義!$BU$12,表格1[Name],三國演義!$E13)+SUMIFS(表格1[QTY],表格1[Model],三國演義!$BU$12,表格1[Name],三國演義!$AA13)</f>
        <v>29</v>
      </c>
      <c r="BV13" s="44">
        <f ca="1">SUMIFS(表格1[QTY],表格1[Model],三國演義!$BV$12,表格1[Name],三國演義!$E13)+SUMIFS(表格1[QTY],表格1[Model],三國演義!$BV$12,表格1[Name],三國演義!$AA13)</f>
        <v>0</v>
      </c>
      <c r="BW13" s="77">
        <f ca="1">IF((SUM($BS13:$BV13))&gt;=$AN13,SUM($BS13:$BV13)*'3月Target'!$W$16,0)</f>
        <v>0</v>
      </c>
      <c r="BX13" s="44">
        <f ca="1">SUMIFS(表格1[QTY],表格1[Model],三國演義!$BX$12,表格1[Name],三國演義!$E13)+SUMIFS(表格1[QTY],表格1[Model],三國演義!$BX$12,表格1[Name],三國演義!$AA13)</f>
        <v>0</v>
      </c>
      <c r="BY13" s="77">
        <f ca="1">IF($BX13&gt;=$AO13,$BX13*'3月Target'!$W$17,0)</f>
        <v>0</v>
      </c>
      <c r="BZ13" s="146">
        <f ca="1">$F13</f>
        <v>455239.6</v>
      </c>
      <c r="CA13" s="77">
        <f ca="1">IF($BZ13&gt;=$AP13,500,0)</f>
        <v>0</v>
      </c>
      <c r="CB13" s="146">
        <f ca="1">$F13</f>
        <v>455239.6</v>
      </c>
      <c r="CC13" s="77">
        <f ca="1">IF($CB13&gt;=$AQ13,1000,0)</f>
        <v>0</v>
      </c>
    </row>
    <row r="14" spans="1:81">
      <c r="A14" s="121">
        <f ca="1">Roster!AL6*Roster!AH6+Roster!AM6*Roster!AG6+三國演義!H14+三國演義!I14+三國演義!J14</f>
        <v>8606.52</v>
      </c>
      <c r="B14" s="133">
        <v>0.02</v>
      </c>
      <c r="C14" s="66">
        <v>2</v>
      </c>
      <c r="D14" s="95" t="str">
        <f ca="1">_xlfn.XLOOKUP($E14,表格1[Name],表格1[Shop])</f>
        <v>Fortress</v>
      </c>
      <c r="E14" s="95" t="s">
        <v>1211</v>
      </c>
      <c r="F14" s="96">
        <f ca="1">SUMIF(表格1[Name],$E14,表格1[Total Amount])+SUMIF(表格1[Name],$AA14,表格1[Total Amount])</f>
        <v>242326</v>
      </c>
      <c r="G14" s="161">
        <f ca="1">SUMIF(表格1[Name],$E14,表格1[QTY])+SUMIF(表格1[Name],$AA14,表格1[QTY])</f>
        <v>104</v>
      </c>
      <c r="H14" s="96">
        <f t="shared" ref="H14:H66" ca="1" si="5">F14*2%</f>
        <v>4846.5200000000004</v>
      </c>
      <c r="I14" s="96"/>
      <c r="J14" s="51">
        <f t="shared" ref="J14:J77" ca="1" si="6">SUM($K14:$Z14)</f>
        <v>400</v>
      </c>
      <c r="K14" s="163">
        <f t="shared" ref="K14:K53" ca="1" si="7">$AX14</f>
        <v>0</v>
      </c>
      <c r="L14" s="163">
        <f t="shared" ref="L14:L53" ca="1" si="8">$AZ14</f>
        <v>0</v>
      </c>
      <c r="M14" s="44">
        <f t="shared" ref="M14:M53" ca="1" si="9">$BB14</f>
        <v>0</v>
      </c>
      <c r="N14" s="44">
        <f t="shared" ref="N14:N53" ca="1" si="10">$AS14</f>
        <v>0</v>
      </c>
      <c r="O14" s="44">
        <f t="shared" ref="O14:O53" ca="1" si="11">$BD14</f>
        <v>0</v>
      </c>
      <c r="P14" s="44">
        <f t="shared" ref="P14:P53" ca="1" si="12">$BF14</f>
        <v>0</v>
      </c>
      <c r="Q14" s="44">
        <f t="shared" ref="Q14:Q53" ca="1" si="13">$BH14</f>
        <v>0</v>
      </c>
      <c r="R14" s="44">
        <f t="shared" ref="R14:R53" ca="1" si="14">$BJ14</f>
        <v>0</v>
      </c>
      <c r="S14" s="44">
        <f t="shared" ref="S14:S53" ca="1" si="15">$BL14</f>
        <v>0</v>
      </c>
      <c r="T14" s="44">
        <f t="shared" ref="T14:T53" ca="1" si="16">$BN14</f>
        <v>200</v>
      </c>
      <c r="U14" s="44">
        <f t="shared" ref="U14:U53" ca="1" si="17">$BP14</f>
        <v>0</v>
      </c>
      <c r="V14" s="44">
        <f t="shared" ref="V14:V53" ca="1" si="18">$BR14</f>
        <v>200</v>
      </c>
      <c r="W14" s="44">
        <f t="shared" ref="W14:W53" ca="1" si="19">$BW14</f>
        <v>0</v>
      </c>
      <c r="X14" s="44">
        <f t="shared" ref="X14:X53" ca="1" si="20">$BY14</f>
        <v>0</v>
      </c>
      <c r="Y14" s="44">
        <f t="shared" ref="Y14:Y53" ca="1" si="21">$CA14</f>
        <v>0</v>
      </c>
      <c r="Z14" s="44">
        <f t="shared" ref="Z14:Z53" ca="1" si="22">$CC14</f>
        <v>0</v>
      </c>
      <c r="AA14" s="60" t="str">
        <f t="shared" si="4"/>
        <v>Ivy Wong_1 off</v>
      </c>
      <c r="AB14" s="71">
        <f>_xlfn.XLOOKUP($E14,target[NAME],target[RC-DS10K/18K])</f>
        <v>4</v>
      </c>
      <c r="AC14" s="71">
        <f>_xlfn.XLOOKUP($E14,target[NAME],target[RC-18AMXH(W)])</f>
        <v>4</v>
      </c>
      <c r="AD14" s="71">
        <f>_xlfn.XLOOKUP($E14,target[NAME],target[EB-T500APW])</f>
        <v>1</v>
      </c>
      <c r="AE14" s="71">
        <f>_xlfn.XLOOKUP($E14,target[NAME],target[ER-VD7000HK(XK)])</f>
        <v>2</v>
      </c>
      <c r="AF14" s="71">
        <f>_xlfn.XLOOKUP($E14,target[NAME],target[TWDT21BU95])</f>
        <v>2</v>
      </c>
      <c r="AG14" s="71">
        <f>_xlfn.XLOOKUP($E14,target[NAME],target[AW-Q800APH(WW)])</f>
        <v>8</v>
      </c>
      <c r="AH14" s="71">
        <f>_xlfn.XLOOKUP($E14,target[NAME],target[AW-Q801APH(WW)])</f>
        <v>1000</v>
      </c>
      <c r="AI14" s="71">
        <f>_xlfn.XLOOKUP($E14,target[NAME],target[GR-RM469WE-PGA(B3)])</f>
        <v>2</v>
      </c>
      <c r="AJ14" s="71">
        <f>_xlfn.XLOOKUP($E14,target[NAME],target[GR-RB449WE-PMA(57)])</f>
        <v>2</v>
      </c>
      <c r="AK14" s="71">
        <f>_xlfn.XLOOKUP($E14,target[NAME],target[GR-RB410WE-PMA(06)])</f>
        <v>2</v>
      </c>
      <c r="AL14" s="71">
        <f>_xlfn.XLOOKUP($E14,target[NAME],target[GR-RF698WI])</f>
        <v>1</v>
      </c>
      <c r="AM14" s="71">
        <f>_xlfn.XLOOKUP($E14,target[NAME],target[TWP-W2265THK(W)])</f>
        <v>2</v>
      </c>
      <c r="AN14" s="71">
        <f>_xlfn.XLOOKUP($E14,target[NAME],target[RAD-D200/250/300/DIA17])</f>
        <v>48</v>
      </c>
      <c r="AO14" s="71">
        <f>_xlfn.XLOOKUP($E14,target[NAME],target[(Fortress ONLY)TW-T25BZU115MWH(MG) ])</f>
        <v>2</v>
      </c>
      <c r="AP14" s="71">
        <f>_xlfn.XLOOKUP($E14,target[NAME],target[開門紅(三月)])</f>
        <v>10000000</v>
      </c>
      <c r="AQ14" s="71">
        <f>_xlfn.XLOOKUP($E14,target[NAME],target[開門紅(第一季)])</f>
        <v>10000000</v>
      </c>
      <c r="AR14" s="73">
        <f ca="1">SUMIFS(表格1[QTY],表格1[Model],三國演義!$AR$12,表格1[Name],三國演義!$E14)+SUMIFS(表格1[QTY],表格1[Model],三國演義!$AR$12,表格1[Name],三國演義!$AA14)</f>
        <v>0</v>
      </c>
      <c r="AS14" s="77">
        <f ca="1">IF($AR14&gt;=$AE14,$AR14*'3月Target'!$W$8,0)</f>
        <v>0</v>
      </c>
      <c r="AT14" s="44">
        <f ca="1">SUMIFS(表格1[QTY],表格1[Model],三國演義!$AT$12,表格1[Name],三國演義!$E14)+SUMIFS(表格1[QTY],表格1[Model],三國演義!$AT$12,表格1[Name],三國演義!$AA14)</f>
        <v>1</v>
      </c>
      <c r="AU14" s="44">
        <f ca="1">SUMIFS(表格1[QTY],表格1[Model],三國演義!$AU$12,表格1[Name],三國演義!$E14)+SUMIFS(表格1[QTY],表格1[Model],三國演義!$AU$12,表格1[Name],三國演義!$AA14)</f>
        <v>0</v>
      </c>
      <c r="AV14" s="44">
        <f ca="1">SUMIFS(表格1[QTY],表格1[Model],三國演義!$AV$12,表格1[Name],三國演義!$E14)+SUMIFS(表格1[QTY],表格1[Model],三國演義!$AV$12,表格1[Name],三國演義!$AA14)</f>
        <v>2</v>
      </c>
      <c r="AW14" s="44">
        <f ca="1">SUMIFS(表格1[QTY],表格1[Model],三國演義!$AW$12,表格1[Name],三國演義!$E14)+SUMIFS(表格1[QTY],表格1[Model],三國演義!$AW$12,表格1[Name],三國演義!$AA14)</f>
        <v>0</v>
      </c>
      <c r="AX14" s="50">
        <f ca="1">IF((SUM($AT14:$AW14))&gt;=$AB14,SUM($AT14:$AW14)*'3月Target'!$W$5,0)</f>
        <v>0</v>
      </c>
      <c r="AY14" s="44">
        <f ca="1">SUMIFS(表格1[QTY],表格1[Model],三國演義!$AY$12,表格1[Name],三國演義!$E14)+SUMIFS(表格1[QTY],表格1[Model],三國演義!$AY$12,表格1[Name],三國演義!$AA14)</f>
        <v>0</v>
      </c>
      <c r="AZ14" s="77">
        <f ca="1">IF($AY14&gt;=$AC14,$AY14*'3月Target'!$W$6,0)</f>
        <v>0</v>
      </c>
      <c r="BA14" s="44">
        <f ca="1">SUMIFS(表格1[QTY],表格1[Model],三國演義!$BA$12,表格1[Name],三國演義!$E14)+SUMIFS(表格1[QTY],表格1[Model],三國演義!$BA$12,表格1[Name],三國演義!$AA14)</f>
        <v>0</v>
      </c>
      <c r="BB14" s="77">
        <f ca="1">IF($BA14&gt;=$AD14,$BA14*'3月Target'!$W$7,0)</f>
        <v>0</v>
      </c>
      <c r="BC14" s="44">
        <f ca="1">SUMIFS(表格1[QTY],表格1[Model],三國演義!$BC$12,表格1[Name],三國演義!$E14)+SUMIFS(表格1[QTY],表格1[Model],三國演義!$BC$12,表格1[Name],三國演義!$AA14)</f>
        <v>1</v>
      </c>
      <c r="BD14" s="77">
        <f ca="1">IF($BC14&gt;=$AF14,$BC14*'3月Target'!$W$9,0)</f>
        <v>0</v>
      </c>
      <c r="BE14" s="44">
        <f ca="1">SUMIFS(表格1[QTY],表格1[Model],三國演義!$BE$12,表格1[Name],三國演義!$E14)+SUMIFS(表格1[QTY],表格1[Model],三國演義!$BE$12,表格1[Name],三國演義!$AA14)</f>
        <v>2</v>
      </c>
      <c r="BF14" s="77">
        <f ca="1">IF($BE14&gt;=$AG14,$BE14*'3月Target'!$W$10,0)</f>
        <v>0</v>
      </c>
      <c r="BG14" s="44">
        <f ca="1">SUMIFS(表格1[QTY],表格1[Model],三國演義!$BG$12,表格1[Name],三國演義!$E14)+SUMIFS(表格1[QTY],表格1[Model],三國演義!$BG$12,表格1[Name],三國演義!$AA14)</f>
        <v>0</v>
      </c>
      <c r="BH14" s="77">
        <f ca="1">IF($BG14&gt;=$AH14,$BG14*'3月Target'!$W$10,0)</f>
        <v>0</v>
      </c>
      <c r="BI14" s="44">
        <f ca="1">SUMIFS(表格1[QTY],表格1[Model],三國演義!$BI$12,表格1[Name],三國演義!$E14)+SUMIFS(表格1[QTY],表格1[Model],三國演義!$BI$12,表格1[Name],三國演義!$AA14)</f>
        <v>0</v>
      </c>
      <c r="BJ14" s="77">
        <f ca="1">IF($BI14&gt;=$AI14,$BI14*'3月Target'!$W$11,0)</f>
        <v>0</v>
      </c>
      <c r="BK14" s="44">
        <f ca="1">SUMIFS(表格1[QTY],表格1[Model],三國演義!$BK$12,表格1[Name],三國演義!$E14)+SUMIFS(表格1[QTY],表格1[Model],三國演義!$BK$12,表格1[Name],三國演義!$AA14)</f>
        <v>0</v>
      </c>
      <c r="BL14" s="77">
        <f ca="1">IF($BK14&gt;=$AJ14,$BK14*'3月Target'!$W$12,0)</f>
        <v>0</v>
      </c>
      <c r="BM14" s="44">
        <f ca="1">SUMIFS(表格1[QTY],表格1[Model],三國演義!$BM$12,表格1[Name],三國演義!$E14)+SUMIFS(表格1[QTY],表格1[Model],三國演義!$BM$12,表格1[Name],三國演義!$AA14)</f>
        <v>2</v>
      </c>
      <c r="BN14" s="77">
        <f ca="1">IF($BM14&gt;=$AK14,$BM14*'3月Target'!$W$13,0)</f>
        <v>200</v>
      </c>
      <c r="BO14" s="44">
        <f ca="1">SUMIFS(表格1[QTY],表格1[Model],三國演義!$BO$12,表格1[Name],三國演義!$E14)+SUMIFS(表格1[QTY],表格1[Model],三國演義!$BO$12,表格1[Name],三國演義!$AA14)</f>
        <v>0</v>
      </c>
      <c r="BP14" s="77">
        <f ca="1">IF($BO14&gt;=$AL14,$BO14*'3月Target'!$W$14,0)</f>
        <v>0</v>
      </c>
      <c r="BQ14" s="44">
        <f ca="1">SUMIFS(表格1[QTY],表格1[Model],三國演義!$BQ$12,表格1[Name],三國演義!$E14)+SUMIFS(表格1[QTY],表格1[Model],三國演義!$BQ$12,表格1[Name],三國演義!$AA14)</f>
        <v>2</v>
      </c>
      <c r="BR14" s="77">
        <f ca="1">IF($BQ14&gt;=$AM14,$BQ14*'3月Target'!$W$15,0)</f>
        <v>200</v>
      </c>
      <c r="BS14" s="44">
        <f ca="1">SUMIFS(表格1[QTY],表格1[Model],三國演義!$BS$12,表格1[Name],三國演義!$E14)+SUMIFS(表格1[QTY],表格1[Model],三國演義!$BS$12,表格1[Name],三國演義!$AA14)</f>
        <v>0</v>
      </c>
      <c r="BT14" s="44">
        <f ca="1">SUMIFS(表格1[QTY],表格1[Model],三國演義!$BT$12,表格1[Name],三國演義!$E14)+SUMIFS(表格1[QTY],表格1[Model],三國演義!$BT$12,表格1[Name],三國演義!$AA14)</f>
        <v>0</v>
      </c>
      <c r="BU14" s="44">
        <f ca="1">SUMIFS(表格1[QTY],表格1[Model],三國演義!$BU$12,表格1[Name],三國演義!$E14)+SUMIFS(表格1[QTY],表格1[Model],三國演義!$BU$12,表格1[Name],三國演義!$AA14)</f>
        <v>10</v>
      </c>
      <c r="BV14" s="44">
        <f ca="1">SUMIFS(表格1[QTY],表格1[Model],三國演義!$BV$12,表格1[Name],三國演義!$E14)+SUMIFS(表格1[QTY],表格1[Model],三國演義!$BV$12,表格1[Name],三國演義!$AA14)</f>
        <v>0</v>
      </c>
      <c r="BW14" s="77">
        <f ca="1">IF((SUM($BS14:$BV14))&gt;=$AN14,SUM($BS14:$BV14)*'3月Target'!$W$16,0)</f>
        <v>0</v>
      </c>
      <c r="BX14" s="44">
        <f ca="1">SUMIFS(表格1[QTY],表格1[Model],三國演義!$BX$12,表格1[Name],三國演義!$E14)+SUMIFS(表格1[QTY],表格1[Model],三國演義!$BX$12,表格1[Name],三國演義!$AA14)</f>
        <v>0</v>
      </c>
      <c r="BY14" s="77">
        <f ca="1">IF($BX14&gt;=$AO14,$BX14*'3月Target'!$W$17,0)</f>
        <v>0</v>
      </c>
      <c r="BZ14" s="146">
        <f t="shared" ref="BZ14:BZ77" ca="1" si="23">$F14</f>
        <v>242326</v>
      </c>
      <c r="CA14" s="77">
        <f t="shared" ref="CA14:CA77" ca="1" si="24">IF($BZ14&gt;=$AP14,500,0)</f>
        <v>0</v>
      </c>
      <c r="CB14" s="146">
        <f t="shared" ref="CB14:CB77" ca="1" si="25">$F14</f>
        <v>242326</v>
      </c>
      <c r="CC14" s="77">
        <f t="shared" ref="CC14:CC77" ca="1" si="26">IF($CB14&gt;=$AQ14,1000,0)</f>
        <v>0</v>
      </c>
    </row>
    <row r="15" spans="1:81">
      <c r="A15" s="121">
        <f ca="1">Roster!AL7*Roster!AH7+Roster!AM7*Roster!AG7+三國演義!H15+三國演義!I15+三國演義!J15</f>
        <v>1118.22</v>
      </c>
      <c r="B15" s="133">
        <v>0.02</v>
      </c>
      <c r="C15" s="66">
        <v>3</v>
      </c>
      <c r="D15" s="95" t="str">
        <f ca="1">_xlfn.XLOOKUP($E15,表格1[Name],表格1[Shop])</f>
        <v>Fortress</v>
      </c>
      <c r="E15" s="95" t="s">
        <v>1757</v>
      </c>
      <c r="F15" s="96">
        <f ca="1">SUMIF(表格1[Name],$E15,表格1[Total Amount])+SUMIF(表格1[Name],$AA15,表格1[Total Amount])</f>
        <v>7911</v>
      </c>
      <c r="G15" s="161">
        <f ca="1">SUMIF(表格1[Name],$E15,表格1[QTY])+SUMIF(表格1[Name],$AA15,表格1[QTY])</f>
        <v>7</v>
      </c>
      <c r="H15" s="96">
        <f t="shared" ca="1" si="5"/>
        <v>158.22</v>
      </c>
      <c r="I15" s="96"/>
      <c r="J15" s="51">
        <f t="shared" si="6"/>
        <v>0</v>
      </c>
      <c r="K15" s="164"/>
      <c r="L15" s="164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60" t="str">
        <f t="shared" si="4"/>
        <v>Kit_3 off</v>
      </c>
      <c r="AB15" s="71" t="e">
        <f>_xlfn.XLOOKUP($E15,target[NAME],target[RC-DS10K/18K])</f>
        <v>#N/A</v>
      </c>
      <c r="AC15" s="71" t="e">
        <f>_xlfn.XLOOKUP($E15,target[NAME],target[RC-18AMXH(W)])</f>
        <v>#N/A</v>
      </c>
      <c r="AD15" s="71" t="e">
        <f>_xlfn.XLOOKUP($E15,target[NAME],target[EB-T500APW])</f>
        <v>#N/A</v>
      </c>
      <c r="AE15" s="71" t="e">
        <f>_xlfn.XLOOKUP($E15,target[NAME],target[ER-VD7000HK(XK)])</f>
        <v>#N/A</v>
      </c>
      <c r="AF15" s="71" t="e">
        <f>_xlfn.XLOOKUP($E15,target[NAME],target[TWDT21BU95])</f>
        <v>#N/A</v>
      </c>
      <c r="AG15" s="71" t="e">
        <f>_xlfn.XLOOKUP($E15,target[NAME],target[AW-Q800APH(WW)])</f>
        <v>#N/A</v>
      </c>
      <c r="AH15" s="71" t="e">
        <f>_xlfn.XLOOKUP($E15,target[NAME],target[AW-Q801APH(WW)])</f>
        <v>#N/A</v>
      </c>
      <c r="AI15" s="71" t="e">
        <f>_xlfn.XLOOKUP($E15,target[NAME],target[GR-RM469WE-PGA(B3)])</f>
        <v>#N/A</v>
      </c>
      <c r="AJ15" s="71" t="e">
        <f>_xlfn.XLOOKUP($E15,target[NAME],target[GR-RB449WE-PMA(57)])</f>
        <v>#N/A</v>
      </c>
      <c r="AK15" s="71" t="e">
        <f>_xlfn.XLOOKUP($E15,target[NAME],target[GR-RB410WE-PMA(06)])</f>
        <v>#N/A</v>
      </c>
      <c r="AL15" s="71" t="e">
        <f>_xlfn.XLOOKUP($E15,target[NAME],target[GR-RF698WI])</f>
        <v>#N/A</v>
      </c>
      <c r="AM15" s="71" t="e">
        <f>_xlfn.XLOOKUP($E15,target[NAME],target[TWP-W2265THK(W)])</f>
        <v>#N/A</v>
      </c>
      <c r="AN15" s="71" t="e">
        <f>_xlfn.XLOOKUP($E15,target[NAME],target[RAD-D200/250/300/DIA17])</f>
        <v>#N/A</v>
      </c>
      <c r="AO15" s="71" t="e">
        <f>_xlfn.XLOOKUP($E15,target[NAME],target[(Fortress ONLY)TW-T25BZU115MWH(MG) ])</f>
        <v>#N/A</v>
      </c>
      <c r="AP15" s="71" t="e">
        <f>_xlfn.XLOOKUP($E15,target[NAME],target[開門紅(三月)])</f>
        <v>#N/A</v>
      </c>
      <c r="AQ15" s="71" t="e">
        <f>_xlfn.XLOOKUP($E15,target[NAME],target[開門紅(第一季)])</f>
        <v>#N/A</v>
      </c>
      <c r="AR15" s="73">
        <f ca="1">SUMIFS(表格1[QTY],表格1[Model],三國演義!$AR$12,表格1[Name],三國演義!$E15)+SUMIFS(表格1[QTY],表格1[Model],三國演義!$AR$12,表格1[Name],三國演義!$AA15)</f>
        <v>0</v>
      </c>
      <c r="AS15" s="77" t="e">
        <f ca="1">IF($AR15&gt;=$AE15,$AR15*'3月Target'!$W$8,0)</f>
        <v>#N/A</v>
      </c>
      <c r="AT15" s="44">
        <f ca="1">SUMIFS(表格1[QTY],表格1[Model],三國演義!$AT$12,表格1[Name],三國演義!$E15)+SUMIFS(表格1[QTY],表格1[Model],三國演義!$AT$12,表格1[Name],三國演義!$AA15)</f>
        <v>0</v>
      </c>
      <c r="AU15" s="44">
        <f ca="1">SUMIFS(表格1[QTY],表格1[Model],三國演義!$AU$12,表格1[Name],三國演義!$E15)+SUMIFS(表格1[QTY],表格1[Model],三國演義!$AU$12,表格1[Name],三國演義!$AA15)</f>
        <v>0</v>
      </c>
      <c r="AV15" s="44">
        <f ca="1">SUMIFS(表格1[QTY],表格1[Model],三國演義!$AV$12,表格1[Name],三國演義!$E15)+SUMIFS(表格1[QTY],表格1[Model],三國演義!$AV$12,表格1[Name],三國演義!$AA15)</f>
        <v>0</v>
      </c>
      <c r="AW15" s="44">
        <f ca="1">SUMIFS(表格1[QTY],表格1[Model],三國演義!$AW$12,表格1[Name],三國演義!$E15)+SUMIFS(表格1[QTY],表格1[Model],三國演義!$AW$12,表格1[Name],三國演義!$AA15)</f>
        <v>0</v>
      </c>
      <c r="AX15" s="50" t="e">
        <f ca="1">IF((SUM($AT15:$AW15))&gt;=$AB15,SUM($AT15:$AW15)*'3月Target'!$W$5,0)</f>
        <v>#N/A</v>
      </c>
      <c r="AY15" s="44">
        <f ca="1">SUMIFS(表格1[QTY],表格1[Model],三國演義!$AY$12,表格1[Name],三國演義!$E15)+SUMIFS(表格1[QTY],表格1[Model],三國演義!$AY$12,表格1[Name],三國演義!$AA15)</f>
        <v>0</v>
      </c>
      <c r="AZ15" s="77" t="e">
        <f ca="1">IF($AY15&gt;=$AC15,$AY15*'3月Target'!$W$6,0)</f>
        <v>#N/A</v>
      </c>
      <c r="BA15" s="44">
        <f ca="1">SUMIFS(表格1[QTY],表格1[Model],三國演義!$BA$12,表格1[Name],三國演義!$E15)+SUMIFS(表格1[QTY],表格1[Model],三國演義!$BA$12,表格1[Name],三國演義!$AA15)</f>
        <v>0</v>
      </c>
      <c r="BB15" s="77" t="e">
        <f ca="1">IF($BA15&gt;=$AD15,$BA15*'3月Target'!$W$7,0)</f>
        <v>#N/A</v>
      </c>
      <c r="BC15" s="44">
        <f ca="1">SUMIFS(表格1[QTY],表格1[Model],三國演義!$BC$12,表格1[Name],三國演義!$E15)+SUMIFS(表格1[QTY],表格1[Model],三國演義!$BC$12,表格1[Name],三國演義!$AA15)</f>
        <v>0</v>
      </c>
      <c r="BD15" s="77" t="e">
        <f ca="1">IF($BC15&gt;=$AF15,$BC15*'3月Target'!$W$9,0)</f>
        <v>#N/A</v>
      </c>
      <c r="BE15" s="44">
        <f ca="1">SUMIFS(表格1[QTY],表格1[Model],三國演義!$BE$12,表格1[Name],三國演義!$E15)+SUMIFS(表格1[QTY],表格1[Model],三國演義!$BE$12,表格1[Name],三國演義!$AA15)</f>
        <v>0</v>
      </c>
      <c r="BF15" s="77" t="e">
        <f ca="1">IF($BE15&gt;=$AG15,$BE15*'3月Target'!$W$10,0)</f>
        <v>#N/A</v>
      </c>
      <c r="BG15" s="44">
        <f ca="1">SUMIFS(表格1[QTY],表格1[Model],三國演義!$BG$12,表格1[Name],三國演義!$E15)+SUMIFS(表格1[QTY],表格1[Model],三國演義!$BG$12,表格1[Name],三國演義!$AA15)</f>
        <v>0</v>
      </c>
      <c r="BH15" s="77" t="e">
        <f ca="1">IF($BG15&gt;=$AH15,$BG15*'3月Target'!$W$10,0)</f>
        <v>#N/A</v>
      </c>
      <c r="BI15" s="44">
        <f ca="1">SUMIFS(表格1[QTY],表格1[Model],三國演義!$BI$12,表格1[Name],三國演義!$E15)+SUMIFS(表格1[QTY],表格1[Model],三國演義!$BI$12,表格1[Name],三國演義!$AA15)</f>
        <v>0</v>
      </c>
      <c r="BJ15" s="77" t="e">
        <f ca="1">IF($BI15&gt;=$AI15,$BI15*'3月Target'!$W$11,0)</f>
        <v>#N/A</v>
      </c>
      <c r="BK15" s="44">
        <f ca="1">SUMIFS(表格1[QTY],表格1[Model],三國演義!$BK$12,表格1[Name],三國演義!$E15)+SUMIFS(表格1[QTY],表格1[Model],三國演義!$BK$12,表格1[Name],三國演義!$AA15)</f>
        <v>0</v>
      </c>
      <c r="BL15" s="77" t="e">
        <f ca="1">IF($BK15&gt;=$AJ15,$BK15*'3月Target'!$W$12,0)</f>
        <v>#N/A</v>
      </c>
      <c r="BM15" s="44">
        <f ca="1">SUMIFS(表格1[QTY],表格1[Model],三國演義!$BM$12,表格1[Name],三國演義!$E15)+SUMIFS(表格1[QTY],表格1[Model],三國演義!$BM$12,表格1[Name],三國演義!$AA15)</f>
        <v>0</v>
      </c>
      <c r="BN15" s="77" t="e">
        <f ca="1">IF($BM15&gt;=$AK15,$BM15*'3月Target'!$W$13,0)</f>
        <v>#N/A</v>
      </c>
      <c r="BO15" s="44">
        <f ca="1">SUMIFS(表格1[QTY],表格1[Model],三國演義!$BO$12,表格1[Name],三國演義!$E15)+SUMIFS(表格1[QTY],表格1[Model],三國演義!$BO$12,表格1[Name],三國演義!$AA15)</f>
        <v>0</v>
      </c>
      <c r="BP15" s="77" t="e">
        <f ca="1">IF($BO15&gt;=$AL15,$BO15*'3月Target'!$W$14,0)</f>
        <v>#N/A</v>
      </c>
      <c r="BQ15" s="44">
        <f ca="1">SUMIFS(表格1[QTY],表格1[Model],三國演義!$BQ$12,表格1[Name],三國演義!$E15)+SUMIFS(表格1[QTY],表格1[Model],三國演義!$BQ$12,表格1[Name],三國演義!$AA15)</f>
        <v>0</v>
      </c>
      <c r="BR15" s="77" t="e">
        <f ca="1">IF($BQ15&gt;=$AM15,$BQ15*'3月Target'!$W$15,0)</f>
        <v>#N/A</v>
      </c>
      <c r="BS15" s="44">
        <f ca="1">SUMIFS(表格1[QTY],表格1[Model],三國演義!$BS$12,表格1[Name],三國演義!$E15)+SUMIFS(表格1[QTY],表格1[Model],三國演義!$BS$12,表格1[Name],三國演義!$AA15)</f>
        <v>0</v>
      </c>
      <c r="BT15" s="44">
        <f ca="1">SUMIFS(表格1[QTY],表格1[Model],三國演義!$BT$12,表格1[Name],三國演義!$E15)+SUMIFS(表格1[QTY],表格1[Model],三國演義!$BT$12,表格1[Name],三國演義!$AA15)</f>
        <v>0</v>
      </c>
      <c r="BU15" s="44">
        <f ca="1">SUMIFS(表格1[QTY],表格1[Model],三國演義!$BU$12,表格1[Name],三國演義!$E15)+SUMIFS(表格1[QTY],表格1[Model],三國演義!$BU$12,表格1[Name],三國演義!$AA15)</f>
        <v>0</v>
      </c>
      <c r="BV15" s="44">
        <f ca="1">SUMIFS(表格1[QTY],表格1[Model],三國演義!$BV$12,表格1[Name],三國演義!$E15)+SUMIFS(表格1[QTY],表格1[Model],三國演義!$BV$12,表格1[Name],三國演義!$AA15)</f>
        <v>0</v>
      </c>
      <c r="BW15" s="77" t="e">
        <f ca="1">IF((SUM($BS15:$BV15))&gt;=$AN15,SUM($BS15:$BV15)*'3月Target'!$W$16,0)</f>
        <v>#N/A</v>
      </c>
      <c r="BX15" s="44">
        <f ca="1">SUMIFS(表格1[QTY],表格1[Model],三國演義!$BX$12,表格1[Name],三國演義!$E15)+SUMIFS(表格1[QTY],表格1[Model],三國演義!$BX$12,表格1[Name],三國演義!$AA15)</f>
        <v>0</v>
      </c>
      <c r="BY15" s="77" t="e">
        <f ca="1">IF($BX15&gt;=$AO15,$BX15*'3月Target'!$W$17,0)</f>
        <v>#N/A</v>
      </c>
      <c r="BZ15" s="146">
        <f t="shared" ca="1" si="23"/>
        <v>7911</v>
      </c>
      <c r="CA15" s="77" t="e">
        <f t="shared" ca="1" si="24"/>
        <v>#N/A</v>
      </c>
      <c r="CB15" s="146">
        <f t="shared" ca="1" si="25"/>
        <v>7911</v>
      </c>
      <c r="CC15" s="77" t="e">
        <f t="shared" ca="1" si="26"/>
        <v>#N/A</v>
      </c>
    </row>
    <row r="16" spans="1:81">
      <c r="A16" s="121">
        <f ca="1">Roster!AL8*Roster!AH8+Roster!AM8*Roster!AG8+三國演義!H16+三國演義!I16+三國演義!J16</f>
        <v>23963.300000000003</v>
      </c>
      <c r="B16" s="133">
        <v>0.02</v>
      </c>
      <c r="C16" s="66">
        <v>4</v>
      </c>
      <c r="D16" s="95" t="str">
        <f ca="1">_xlfn.XLOOKUP($E16,表格1[Name],表格1[Shop])</f>
        <v>Fortress</v>
      </c>
      <c r="E16" s="95" t="s">
        <v>851</v>
      </c>
      <c r="F16" s="96">
        <f ca="1">SUMIF(表格1[Name],$E16,表格1[Total Amount])+SUMIF(表格1[Name],$AA16,表格1[Total Amount])</f>
        <v>503165</v>
      </c>
      <c r="G16" s="161">
        <f ca="1">SUMIF(表格1[Name],$E16,表格1[QTY])+SUMIF(表格1[Name],$AA16,表格1[QTY])</f>
        <v>238</v>
      </c>
      <c r="H16" s="96">
        <f t="shared" ca="1" si="5"/>
        <v>10063.300000000001</v>
      </c>
      <c r="I16" s="96"/>
      <c r="J16" s="51">
        <f t="shared" ca="1" si="6"/>
        <v>2380</v>
      </c>
      <c r="K16" s="163">
        <f t="shared" ca="1" si="7"/>
        <v>0</v>
      </c>
      <c r="L16" s="163">
        <f t="shared" ca="1" si="8"/>
        <v>0</v>
      </c>
      <c r="M16" s="44">
        <f t="shared" ca="1" si="9"/>
        <v>0</v>
      </c>
      <c r="N16" s="44">
        <f t="shared" ca="1" si="10"/>
        <v>0</v>
      </c>
      <c r="O16" s="44">
        <f t="shared" ca="1" si="11"/>
        <v>880</v>
      </c>
      <c r="P16" s="44">
        <f t="shared" ca="1" si="12"/>
        <v>0</v>
      </c>
      <c r="Q16" s="44">
        <f t="shared" ca="1" si="13"/>
        <v>0</v>
      </c>
      <c r="R16" s="44">
        <f t="shared" ca="1" si="14"/>
        <v>0</v>
      </c>
      <c r="S16" s="44">
        <f t="shared" ca="1" si="15"/>
        <v>0</v>
      </c>
      <c r="T16" s="44">
        <f t="shared" ca="1" si="16"/>
        <v>0</v>
      </c>
      <c r="U16" s="44">
        <f t="shared" ca="1" si="17"/>
        <v>0</v>
      </c>
      <c r="V16" s="44">
        <f t="shared" ca="1" si="18"/>
        <v>0</v>
      </c>
      <c r="W16" s="44">
        <f t="shared" ca="1" si="19"/>
        <v>0</v>
      </c>
      <c r="X16" s="44">
        <f t="shared" ca="1" si="20"/>
        <v>0</v>
      </c>
      <c r="Y16" s="44">
        <f t="shared" ca="1" si="21"/>
        <v>500</v>
      </c>
      <c r="Z16" s="44">
        <f t="shared" ca="1" si="22"/>
        <v>1000</v>
      </c>
      <c r="AA16" s="60" t="str">
        <f t="shared" si="4"/>
        <v>Vicky L off</v>
      </c>
      <c r="AB16" s="71">
        <f>_xlfn.XLOOKUP($E16,target[NAME],target[RC-DS10K/18K])</f>
        <v>4</v>
      </c>
      <c r="AC16" s="71">
        <f>_xlfn.XLOOKUP($E16,target[NAME],target[RC-18AMXH(W)])</f>
        <v>4</v>
      </c>
      <c r="AD16" s="71">
        <f>_xlfn.XLOOKUP($E16,target[NAME],target[EB-T500APW])</f>
        <v>1</v>
      </c>
      <c r="AE16" s="71">
        <f>_xlfn.XLOOKUP($E16,target[NAME],target[ER-VD7000HK(XK)])</f>
        <v>2</v>
      </c>
      <c r="AF16" s="71">
        <f>_xlfn.XLOOKUP($E16,target[NAME],target[TWDT21BU95])</f>
        <v>2</v>
      </c>
      <c r="AG16" s="71">
        <f>_xlfn.XLOOKUP($E16,target[NAME],target[AW-Q800APH(WW)])</f>
        <v>10</v>
      </c>
      <c r="AH16" s="71">
        <f>_xlfn.XLOOKUP($E16,target[NAME],target[AW-Q801APH(WW)])</f>
        <v>1000</v>
      </c>
      <c r="AI16" s="71">
        <f>_xlfn.XLOOKUP($E16,target[NAME],target[GR-RM469WE-PGA(B3)])</f>
        <v>2</v>
      </c>
      <c r="AJ16" s="71">
        <f>_xlfn.XLOOKUP($E16,target[NAME],target[GR-RB449WE-PMA(57)])</f>
        <v>4</v>
      </c>
      <c r="AK16" s="71">
        <f>_xlfn.XLOOKUP($E16,target[NAME],target[GR-RB410WE-PMA(06)])</f>
        <v>4</v>
      </c>
      <c r="AL16" s="71">
        <f>_xlfn.XLOOKUP($E16,target[NAME],target[GR-RF698WI])</f>
        <v>1</v>
      </c>
      <c r="AM16" s="71">
        <f>_xlfn.XLOOKUP($E16,target[NAME],target[TWP-W2265THK(W)])</f>
        <v>2</v>
      </c>
      <c r="AN16" s="71">
        <f>_xlfn.XLOOKUP($E16,target[NAME],target[RAD-D200/250/300/DIA17])</f>
        <v>48</v>
      </c>
      <c r="AO16" s="71">
        <f>_xlfn.XLOOKUP($E16,target[NAME],target[(Fortress ONLY)TW-T25BZU115MWH(MG) ])</f>
        <v>2</v>
      </c>
      <c r="AP16" s="71">
        <f>_xlfn.XLOOKUP($E16,target[NAME],target[開門紅(三月)])</f>
        <v>414500</v>
      </c>
      <c r="AQ16" s="71">
        <f>_xlfn.XLOOKUP($E16,target[NAME],target[開門紅(第一季)])</f>
        <v>254887</v>
      </c>
      <c r="AR16" s="73">
        <f ca="1">SUMIFS(表格1[QTY],表格1[Model],三國演義!$AR$12,表格1[Name],三國演義!$E16)+SUMIFS(表格1[QTY],表格1[Model],三國演義!$AR$12,表格1[Name],三國演義!$AA16)</f>
        <v>1</v>
      </c>
      <c r="AS16" s="77">
        <f ca="1">IF($AR16&gt;=$AE16,$AR16*'3月Target'!$W$8,0)</f>
        <v>0</v>
      </c>
      <c r="AT16" s="44">
        <f ca="1">SUMIFS(表格1[QTY],表格1[Model],三國演義!$AT$12,表格1[Name],三國演義!$E16)+SUMIFS(表格1[QTY],表格1[Model],三國演義!$AT$12,表格1[Name],三國演義!$AA16)</f>
        <v>0</v>
      </c>
      <c r="AU16" s="44">
        <f ca="1">SUMIFS(表格1[QTY],表格1[Model],三國演義!$AU$12,表格1[Name],三國演義!$E16)+SUMIFS(表格1[QTY],表格1[Model],三國演義!$AU$12,表格1[Name],三國演義!$AA16)</f>
        <v>0</v>
      </c>
      <c r="AV16" s="44">
        <f ca="1">SUMIFS(表格1[QTY],表格1[Model],三國演義!$AV$12,表格1[Name],三國演義!$E16)+SUMIFS(表格1[QTY],表格1[Model],三國演義!$AV$12,表格1[Name],三國演義!$AA16)</f>
        <v>0</v>
      </c>
      <c r="AW16" s="44">
        <f ca="1">SUMIFS(表格1[QTY],表格1[Model],三國演義!$AW$12,表格1[Name],三國演義!$E16)+SUMIFS(表格1[QTY],表格1[Model],三國演義!$AW$12,表格1[Name],三國演義!$AA16)</f>
        <v>1</v>
      </c>
      <c r="AX16" s="50">
        <f ca="1">IF((SUM($AT16:$AW16))&gt;=$AB16,SUM($AT16:$AW16)*'3月Target'!$W$5,0)</f>
        <v>0</v>
      </c>
      <c r="AY16" s="44">
        <f ca="1">SUMIFS(表格1[QTY],表格1[Model],三國演義!$AY$12,表格1[Name],三國演義!$E16)+SUMIFS(表格1[QTY],表格1[Model],三國演義!$AY$12,表格1[Name],三國演義!$AA16)</f>
        <v>0</v>
      </c>
      <c r="AZ16" s="77">
        <f ca="1">IF($AY16&gt;=$AC16,$AY16*'3月Target'!$W$6,0)</f>
        <v>0</v>
      </c>
      <c r="BA16" s="44">
        <f ca="1">SUMIFS(表格1[QTY],表格1[Model],三國演義!$BA$12,表格1[Name],三國演義!$E16)+SUMIFS(表格1[QTY],表格1[Model],三國演義!$BA$12,表格1[Name],三國演義!$AA16)</f>
        <v>0</v>
      </c>
      <c r="BB16" s="77">
        <f ca="1">IF($BA16&gt;=$AD16,$BA16*'3月Target'!$W$7,0)</f>
        <v>0</v>
      </c>
      <c r="BC16" s="44">
        <f ca="1">SUMIFS(表格1[QTY],表格1[Model],三國演義!$BC$12,表格1[Name],三國演義!$E16)+SUMIFS(表格1[QTY],表格1[Model],三國演義!$BC$12,表格1[Name],三國演義!$AA16)</f>
        <v>11</v>
      </c>
      <c r="BD16" s="77">
        <f ca="1">IF($BC16&gt;=$AF16,$BC16*'3月Target'!$W$9,0)</f>
        <v>880</v>
      </c>
      <c r="BE16" s="44">
        <f ca="1">SUMIFS(表格1[QTY],表格1[Model],三國演義!$BE$12,表格1[Name],三國演義!$E16)+SUMIFS(表格1[QTY],表格1[Model],三國演義!$BE$12,表格1[Name],三國演義!$AA16)</f>
        <v>7</v>
      </c>
      <c r="BF16" s="77">
        <f ca="1">IF($BE16&gt;=$AG16,$BE16*'3月Target'!$W$10,0)</f>
        <v>0</v>
      </c>
      <c r="BG16" s="44">
        <f ca="1">SUMIFS(表格1[QTY],表格1[Model],三國演義!$BG$12,表格1[Name],三國演義!$E16)+SUMIFS(表格1[QTY],表格1[Model],三國演義!$BG$12,表格1[Name],三國演義!$AA16)</f>
        <v>0</v>
      </c>
      <c r="BH16" s="77">
        <f ca="1">IF($BG16&gt;=$AH16,$BG16*'3月Target'!$W$10,0)</f>
        <v>0</v>
      </c>
      <c r="BI16" s="44">
        <f ca="1">SUMIFS(表格1[QTY],表格1[Model],三國演義!$BI$12,表格1[Name],三國演義!$E16)+SUMIFS(表格1[QTY],表格1[Model],三國演義!$BI$12,表格1[Name],三國演義!$AA16)</f>
        <v>0</v>
      </c>
      <c r="BJ16" s="77">
        <f ca="1">IF($BI16&gt;=$AI16,$BI16*'3月Target'!$W$11,0)</f>
        <v>0</v>
      </c>
      <c r="BK16" s="44">
        <f ca="1">SUMIFS(表格1[QTY],表格1[Model],三國演義!$BK$12,表格1[Name],三國演義!$E16)+SUMIFS(表格1[QTY],表格1[Model],三國演義!$BK$12,表格1[Name],三國演義!$AA16)</f>
        <v>1</v>
      </c>
      <c r="BL16" s="77">
        <f ca="1">IF($BK16&gt;=$AJ16,$BK16*'3月Target'!$W$12,0)</f>
        <v>0</v>
      </c>
      <c r="BM16" s="44">
        <f ca="1">SUMIFS(表格1[QTY],表格1[Model],三國演義!$BM$12,表格1[Name],三國演義!$E16)+SUMIFS(表格1[QTY],表格1[Model],三國演義!$BM$12,表格1[Name],三國演義!$AA16)</f>
        <v>0</v>
      </c>
      <c r="BN16" s="77">
        <f ca="1">IF($BM16&gt;=$AK16,$BM16*'3月Target'!$W$13,0)</f>
        <v>0</v>
      </c>
      <c r="BO16" s="44">
        <f ca="1">SUMIFS(表格1[QTY],表格1[Model],三國演義!$BO$12,表格1[Name],三國演義!$E16)+SUMIFS(表格1[QTY],表格1[Model],三國演義!$BO$12,表格1[Name],三國演義!$AA16)</f>
        <v>0</v>
      </c>
      <c r="BP16" s="77">
        <f ca="1">IF($BO16&gt;=$AL16,$BO16*'3月Target'!$W$14,0)</f>
        <v>0</v>
      </c>
      <c r="BQ16" s="44">
        <f ca="1">SUMIFS(表格1[QTY],表格1[Model],三國演義!$BQ$12,表格1[Name],三國演義!$E16)+SUMIFS(表格1[QTY],表格1[Model],三國演義!$BQ$12,表格1[Name],三國演義!$AA16)</f>
        <v>0</v>
      </c>
      <c r="BR16" s="77">
        <f ca="1">IF($BQ16&gt;=$AM16,$BQ16*'3月Target'!$W$15,0)</f>
        <v>0</v>
      </c>
      <c r="BS16" s="44">
        <f ca="1">SUMIFS(表格1[QTY],表格1[Model],三國演義!$BS$12,表格1[Name],三國演義!$E16)+SUMIFS(表格1[QTY],表格1[Model],三國演義!$BS$12,表格1[Name],三國演義!$AA16)</f>
        <v>0</v>
      </c>
      <c r="BT16" s="44">
        <f ca="1">SUMIFS(表格1[QTY],表格1[Model],三國演義!$BT$12,表格1[Name],三國演義!$E16)+SUMIFS(表格1[QTY],表格1[Model],三國演義!$BT$12,表格1[Name],三國演義!$AA16)</f>
        <v>0</v>
      </c>
      <c r="BU16" s="44">
        <f ca="1">SUMIFS(表格1[QTY],表格1[Model],三國演義!$BU$12,表格1[Name],三國演義!$E16)+SUMIFS(表格1[QTY],表格1[Model],三國演義!$BU$12,表格1[Name],三國演義!$AA16)</f>
        <v>18</v>
      </c>
      <c r="BV16" s="44">
        <f ca="1">SUMIFS(表格1[QTY],表格1[Model],三國演義!$BV$12,表格1[Name],三國演義!$E16)+SUMIFS(表格1[QTY],表格1[Model],三國演義!$BV$12,表格1[Name],三國演義!$AA16)</f>
        <v>3</v>
      </c>
      <c r="BW16" s="77">
        <f ca="1">IF((SUM($BS16:$BV16))&gt;=$AN16,SUM($BS16:$BV16)*'3月Target'!$W$16,0)</f>
        <v>0</v>
      </c>
      <c r="BX16" s="44">
        <f ca="1">SUMIFS(表格1[QTY],表格1[Model],三國演義!$BX$12,表格1[Name],三國演義!$E16)+SUMIFS(表格1[QTY],表格1[Model],三國演義!$BX$12,表格1[Name],三國演義!$AA16)</f>
        <v>0</v>
      </c>
      <c r="BY16" s="77">
        <f ca="1">IF($BX16&gt;=$AO16,$BX16*'3月Target'!$W$17,0)</f>
        <v>0</v>
      </c>
      <c r="BZ16" s="146">
        <f t="shared" ca="1" si="23"/>
        <v>503165</v>
      </c>
      <c r="CA16" s="77">
        <f t="shared" ca="1" si="24"/>
        <v>500</v>
      </c>
      <c r="CB16" s="146">
        <f t="shared" ca="1" si="25"/>
        <v>503165</v>
      </c>
      <c r="CC16" s="77">
        <f t="shared" ca="1" si="26"/>
        <v>1000</v>
      </c>
    </row>
    <row r="17" spans="1:81" ht="16.5" customHeight="1">
      <c r="A17" s="121">
        <f ca="1">Roster!AL9*Roster!AH9+Roster!AM9*Roster!AG9+三國演義!H17+三國演義!I17+三國演義!J17</f>
        <v>20397.16</v>
      </c>
      <c r="B17" s="133">
        <v>0.02</v>
      </c>
      <c r="C17" s="66">
        <v>5</v>
      </c>
      <c r="D17" s="95" t="str">
        <f ca="1">_xlfn.XLOOKUP($E17,表格1[Name],表格1[Shop])</f>
        <v>fortress</v>
      </c>
      <c r="E17" s="95" t="s">
        <v>871</v>
      </c>
      <c r="F17" s="96">
        <f ca="1">SUMIF(表格1[Name],$E17,表格1[Total Amount])+SUMIF(表格1[Name],$AA17,表格1[Total Amount])</f>
        <v>442858</v>
      </c>
      <c r="G17" s="161">
        <f ca="1">SUMIF(表格1[Name],$E17,表格1[QTY])+SUMIF(表格1[Name],$AA17,表格1[QTY])</f>
        <v>200</v>
      </c>
      <c r="H17" s="96">
        <f t="shared" ca="1" si="5"/>
        <v>8857.16</v>
      </c>
      <c r="I17" s="96"/>
      <c r="J17" s="51">
        <f t="shared" ca="1" si="6"/>
        <v>980</v>
      </c>
      <c r="K17" s="163">
        <f t="shared" ca="1" si="7"/>
        <v>0</v>
      </c>
      <c r="L17" s="163">
        <f t="shared" ca="1" si="8"/>
        <v>0</v>
      </c>
      <c r="M17" s="44">
        <f t="shared" ca="1" si="9"/>
        <v>0</v>
      </c>
      <c r="N17" s="44">
        <f t="shared" ca="1" si="10"/>
        <v>0</v>
      </c>
      <c r="O17" s="44">
        <f t="shared" ca="1" si="11"/>
        <v>480</v>
      </c>
      <c r="P17" s="44">
        <f t="shared" ca="1" si="12"/>
        <v>0</v>
      </c>
      <c r="Q17" s="44">
        <f t="shared" ca="1" si="13"/>
        <v>0</v>
      </c>
      <c r="R17" s="44">
        <f t="shared" ca="1" si="14"/>
        <v>0</v>
      </c>
      <c r="S17" s="44">
        <f t="shared" ca="1" si="15"/>
        <v>500</v>
      </c>
      <c r="T17" s="44">
        <f t="shared" ca="1" si="16"/>
        <v>0</v>
      </c>
      <c r="U17" s="44">
        <f t="shared" ca="1" si="17"/>
        <v>0</v>
      </c>
      <c r="V17" s="44">
        <f t="shared" ca="1" si="18"/>
        <v>0</v>
      </c>
      <c r="W17" s="44">
        <f t="shared" ca="1" si="19"/>
        <v>0</v>
      </c>
      <c r="X17" s="44">
        <f t="shared" ca="1" si="20"/>
        <v>0</v>
      </c>
      <c r="Y17" s="44">
        <f t="shared" ca="1" si="21"/>
        <v>0</v>
      </c>
      <c r="Z17" s="44">
        <f t="shared" ca="1" si="22"/>
        <v>0</v>
      </c>
      <c r="AA17" s="60" t="str">
        <f t="shared" si="4"/>
        <v>Michelle off</v>
      </c>
      <c r="AB17" s="71">
        <f>_xlfn.XLOOKUP($E17,target[NAME],target[RC-DS10K/18K])</f>
        <v>7</v>
      </c>
      <c r="AC17" s="71">
        <f>_xlfn.XLOOKUP($E17,target[NAME],target[RC-18AMXH(W)])</f>
        <v>4</v>
      </c>
      <c r="AD17" s="71">
        <f>_xlfn.XLOOKUP($E17,target[NAME],target[EB-T500APW])</f>
        <v>1</v>
      </c>
      <c r="AE17" s="71">
        <f>_xlfn.XLOOKUP($E17,target[NAME],target[ER-VD7000HK(XK)])</f>
        <v>2</v>
      </c>
      <c r="AF17" s="71">
        <f>_xlfn.XLOOKUP($E17,target[NAME],target[TWDT21BU95])</f>
        <v>2</v>
      </c>
      <c r="AG17" s="71">
        <f>_xlfn.XLOOKUP($E17,target[NAME],target[AW-Q800APH(WW)])</f>
        <v>10</v>
      </c>
      <c r="AH17" s="71">
        <f>_xlfn.XLOOKUP($E17,target[NAME],target[AW-Q801APH(WW)])</f>
        <v>1000</v>
      </c>
      <c r="AI17" s="71">
        <f>_xlfn.XLOOKUP($E17,target[NAME],target[GR-RM469WE-PGA(B3)])</f>
        <v>2</v>
      </c>
      <c r="AJ17" s="71">
        <f>_xlfn.XLOOKUP($E17,target[NAME],target[GR-RB449WE-PMA(57)])</f>
        <v>4</v>
      </c>
      <c r="AK17" s="71">
        <f>_xlfn.XLOOKUP($E17,target[NAME],target[GR-RB410WE-PMA(06)])</f>
        <v>4</v>
      </c>
      <c r="AL17" s="71">
        <f>_xlfn.XLOOKUP($E17,target[NAME],target[GR-RF698WI])</f>
        <v>1</v>
      </c>
      <c r="AM17" s="71">
        <f>_xlfn.XLOOKUP($E17,target[NAME],target[TWP-W2265THK(W)])</f>
        <v>4</v>
      </c>
      <c r="AN17" s="71">
        <f>_xlfn.XLOOKUP($E17,target[NAME],target[RAD-D200/250/300/DIA17])</f>
        <v>48</v>
      </c>
      <c r="AO17" s="71">
        <f>_xlfn.XLOOKUP($E17,target[NAME],target[(Fortress ONLY)TW-T25BZU115MWH(MG) ])</f>
        <v>2</v>
      </c>
      <c r="AP17" s="71">
        <f>_xlfn.XLOOKUP($E17,target[NAME],target[開門紅(三月)])</f>
        <v>583000</v>
      </c>
      <c r="AQ17" s="71">
        <f>_xlfn.XLOOKUP($E17,target[NAME],target[開門紅(第一季)])</f>
        <v>730183</v>
      </c>
      <c r="AR17" s="73">
        <f ca="1">SUMIFS(表格1[QTY],表格1[Model],三國演義!$AR$12,表格1[Name],三國演義!$E17)+SUMIFS(表格1[QTY],表格1[Model],三國演義!$AR$12,表格1[Name],三國演義!$AA17)</f>
        <v>0</v>
      </c>
      <c r="AS17" s="77">
        <f ca="1">IF($AR17&gt;=$AE17,$AR17*'3月Target'!$W$8,0)</f>
        <v>0</v>
      </c>
      <c r="AT17" s="44">
        <f ca="1">SUMIFS(表格1[QTY],表格1[Model],三國演義!$AT$12,表格1[Name],三國演義!$E17)+SUMIFS(表格1[QTY],表格1[Model],三國演義!$AT$12,表格1[Name],三國演義!$AA17)</f>
        <v>0</v>
      </c>
      <c r="AU17" s="44">
        <f ca="1">SUMIFS(表格1[QTY],表格1[Model],三國演義!$AU$12,表格1[Name],三國演義!$E17)+SUMIFS(表格1[QTY],表格1[Model],三國演義!$AU$12,表格1[Name],三國演義!$AA17)</f>
        <v>1</v>
      </c>
      <c r="AV17" s="44">
        <f ca="1">SUMIFS(表格1[QTY],表格1[Model],三國演義!$AV$12,表格1[Name],三國演義!$E17)+SUMIFS(表格1[QTY],表格1[Model],三國演義!$AV$12,表格1[Name],三國演義!$AA17)</f>
        <v>0</v>
      </c>
      <c r="AW17" s="44">
        <f ca="1">SUMIFS(表格1[QTY],表格1[Model],三國演義!$AW$12,表格1[Name],三國演義!$E17)+SUMIFS(表格1[QTY],表格1[Model],三國演義!$AW$12,表格1[Name],三國演義!$AA17)</f>
        <v>1</v>
      </c>
      <c r="AX17" s="50">
        <f ca="1">IF((SUM($AT17:$AW17))&gt;=$AB17,SUM($AT17:$AW17)*'3月Target'!$W$5,0)</f>
        <v>0</v>
      </c>
      <c r="AY17" s="44">
        <f ca="1">SUMIFS(表格1[QTY],表格1[Model],三國演義!$AY$12,表格1[Name],三國演義!$E17)+SUMIFS(表格1[QTY],表格1[Model],三國演義!$AY$12,表格1[Name],三國演義!$AA17)</f>
        <v>0</v>
      </c>
      <c r="AZ17" s="77">
        <f ca="1">IF($AY17&gt;=$AC17,$AY17*'3月Target'!$W$6,0)</f>
        <v>0</v>
      </c>
      <c r="BA17" s="44">
        <f ca="1">SUMIFS(表格1[QTY],表格1[Model],三國演義!$BA$12,表格1[Name],三國演義!$E17)+SUMIFS(表格1[QTY],表格1[Model],三國演義!$BA$12,表格1[Name],三國演義!$AA17)</f>
        <v>0</v>
      </c>
      <c r="BB17" s="77">
        <f ca="1">IF($BA17&gt;=$AD17,$BA17*'3月Target'!$W$7,0)</f>
        <v>0</v>
      </c>
      <c r="BC17" s="44">
        <f ca="1">SUMIFS(表格1[QTY],表格1[Model],三國演義!$BC$12,表格1[Name],三國演義!$E17)+SUMIFS(表格1[QTY],表格1[Model],三國演義!$BC$12,表格1[Name],三國演義!$AA17)</f>
        <v>6</v>
      </c>
      <c r="BD17" s="77">
        <f ca="1">IF($BC17&gt;=$AF17,$BC17*'3月Target'!$W$9,0)</f>
        <v>480</v>
      </c>
      <c r="BE17" s="44">
        <f ca="1">SUMIFS(表格1[QTY],表格1[Model],三國演義!$BE$12,表格1[Name],三國演義!$E17)+SUMIFS(表格1[QTY],表格1[Model],三國演義!$BE$12,表格1[Name],三國演義!$AA17)</f>
        <v>3</v>
      </c>
      <c r="BF17" s="77">
        <f ca="1">IF($BE17&gt;=$AG17,$BE17*'3月Target'!$W$10,0)</f>
        <v>0</v>
      </c>
      <c r="BG17" s="44">
        <f ca="1">SUMIFS(表格1[QTY],表格1[Model],三國演義!$BG$12,表格1[Name],三國演義!$E17)+SUMIFS(表格1[QTY],表格1[Model],三國演義!$BG$12,表格1[Name],三國演義!$AA17)</f>
        <v>1</v>
      </c>
      <c r="BH17" s="77">
        <f ca="1">IF($BG17&gt;=$AH17,$BG17*'3月Target'!$W$10,0)</f>
        <v>0</v>
      </c>
      <c r="BI17" s="44">
        <f ca="1">SUMIFS(表格1[QTY],表格1[Model],三國演義!$BI$12,表格1[Name],三國演義!$E17)+SUMIFS(表格1[QTY],表格1[Model],三國演義!$BI$12,表格1[Name],三國演義!$AA17)</f>
        <v>0</v>
      </c>
      <c r="BJ17" s="77">
        <f ca="1">IF($BI17&gt;=$AI17,$BI17*'3月Target'!$W$11,0)</f>
        <v>0</v>
      </c>
      <c r="BK17" s="44">
        <f ca="1">SUMIFS(表格1[QTY],表格1[Model],三國演義!$BK$12,表格1[Name],三國演義!$E17)+SUMIFS(表格1[QTY],表格1[Model],三國演義!$BK$12,表格1[Name],三國演義!$AA17)</f>
        <v>5</v>
      </c>
      <c r="BL17" s="77">
        <f ca="1">IF($BK17&gt;=$AJ17,$BK17*'3月Target'!$W$12,0)</f>
        <v>500</v>
      </c>
      <c r="BM17" s="44">
        <f ca="1">SUMIFS(表格1[QTY],表格1[Model],三國演義!$BM$12,表格1[Name],三國演義!$E17)+SUMIFS(表格1[QTY],表格1[Model],三國演義!$BM$12,表格1[Name],三國演義!$AA17)</f>
        <v>1</v>
      </c>
      <c r="BN17" s="77">
        <f ca="1">IF($BM17&gt;=$AK17,$BM17*'3月Target'!$W$13,0)</f>
        <v>0</v>
      </c>
      <c r="BO17" s="44">
        <f ca="1">SUMIFS(表格1[QTY],表格1[Model],三國演義!$BO$12,表格1[Name],三國演義!$E17)+SUMIFS(表格1[QTY],表格1[Model],三國演義!$BO$12,表格1[Name],三國演義!$AA17)</f>
        <v>0</v>
      </c>
      <c r="BP17" s="77">
        <f ca="1">IF($BO17&gt;=$AL17,$BO17*'3月Target'!$W$14,0)</f>
        <v>0</v>
      </c>
      <c r="BQ17" s="44">
        <f ca="1">SUMIFS(表格1[QTY],表格1[Model],三國演義!$BQ$12,表格1[Name],三國演義!$E17)+SUMIFS(表格1[QTY],表格1[Model],三國演義!$BQ$12,表格1[Name],三國演義!$AA17)</f>
        <v>0</v>
      </c>
      <c r="BR17" s="77">
        <f ca="1">IF($BQ17&gt;=$AM17,$BQ17*'3月Target'!$W$15,0)</f>
        <v>0</v>
      </c>
      <c r="BS17" s="44">
        <f ca="1">SUMIFS(表格1[QTY],表格1[Model],三國演義!$BS$12,表格1[Name],三國演義!$E17)+SUMIFS(表格1[QTY],表格1[Model],三國演義!$BS$12,表格1[Name],三國演義!$AA17)</f>
        <v>0</v>
      </c>
      <c r="BT17" s="44">
        <f ca="1">SUMIFS(表格1[QTY],表格1[Model],三國演義!$BT$12,表格1[Name],三國演義!$E17)+SUMIFS(表格1[QTY],表格1[Model],三國演義!$BT$12,表格1[Name],三國演義!$AA17)</f>
        <v>0</v>
      </c>
      <c r="BU17" s="44">
        <f ca="1">SUMIFS(表格1[QTY],表格1[Model],三國演義!$BU$12,表格1[Name],三國演義!$E17)+SUMIFS(表格1[QTY],表格1[Model],三國演義!$BU$12,表格1[Name],三國演義!$AA17)</f>
        <v>4</v>
      </c>
      <c r="BV17" s="44">
        <f ca="1">SUMIFS(表格1[QTY],表格1[Model],三國演義!$BV$12,表格1[Name],三國演義!$E17)+SUMIFS(表格1[QTY],表格1[Model],三國演義!$BV$12,表格1[Name],三國演義!$AA17)</f>
        <v>1</v>
      </c>
      <c r="BW17" s="77">
        <f ca="1">IF((SUM($BS17:$BV17))&gt;=$AN17,SUM($BS17:$BV17)*'3月Target'!$W$16,0)</f>
        <v>0</v>
      </c>
      <c r="BX17" s="44">
        <f ca="1">SUMIFS(表格1[QTY],表格1[Model],三國演義!$BX$12,表格1[Name],三國演義!$E17)+SUMIFS(表格1[QTY],表格1[Model],三國演義!$BX$12,表格1[Name],三國演義!$AA17)</f>
        <v>1</v>
      </c>
      <c r="BY17" s="77">
        <f ca="1">IF($BX17&gt;=$AO17,$BX17*'3月Target'!$W$17,0)</f>
        <v>0</v>
      </c>
      <c r="BZ17" s="146">
        <f t="shared" ca="1" si="23"/>
        <v>442858</v>
      </c>
      <c r="CA17" s="77">
        <f t="shared" ca="1" si="24"/>
        <v>0</v>
      </c>
      <c r="CB17" s="146">
        <f t="shared" ca="1" si="25"/>
        <v>442858</v>
      </c>
      <c r="CC17" s="77">
        <f t="shared" ca="1" si="26"/>
        <v>0</v>
      </c>
    </row>
    <row r="18" spans="1:81">
      <c r="A18" s="121">
        <f ca="1">Roster!AL10*Roster!AH10+Roster!AM10*Roster!AG10+三國演義!H18+三國演義!I18+三國演義!J18</f>
        <v>18981.704000000002</v>
      </c>
      <c r="B18" s="133">
        <v>0.02</v>
      </c>
      <c r="C18" s="66">
        <v>6</v>
      </c>
      <c r="D18" s="95" t="str">
        <f ca="1">_xlfn.XLOOKUP($E18,表格1[Name],表格1[Shop])</f>
        <v>Aeon</v>
      </c>
      <c r="E18" s="95" t="s">
        <v>921</v>
      </c>
      <c r="F18" s="96">
        <f ca="1">SUMIF(表格1[Name],$E18,表格1[Total Amount])+SUMIF(表格1[Name],$AA18,表格1[Total Amount])</f>
        <v>419085.20000000007</v>
      </c>
      <c r="G18" s="161">
        <f ca="1">SUMIF(表格1[Name],$E18,表格1[QTY])+SUMIF(表格1[Name],$AA18,表格1[QTY])</f>
        <v>331</v>
      </c>
      <c r="H18" s="96">
        <f t="shared" ca="1" si="5"/>
        <v>8381.7040000000015</v>
      </c>
      <c r="I18" s="96"/>
      <c r="J18" s="51">
        <f t="shared" ca="1" si="6"/>
        <v>200</v>
      </c>
      <c r="K18" s="163">
        <f t="shared" ca="1" si="7"/>
        <v>0</v>
      </c>
      <c r="L18" s="163">
        <f t="shared" ca="1" si="8"/>
        <v>0</v>
      </c>
      <c r="M18" s="44">
        <f t="shared" ca="1" si="9"/>
        <v>0</v>
      </c>
      <c r="N18" s="44">
        <f t="shared" ca="1" si="10"/>
        <v>0</v>
      </c>
      <c r="O18" s="44">
        <f t="shared" ca="1" si="11"/>
        <v>0</v>
      </c>
      <c r="P18" s="44">
        <f t="shared" ca="1" si="12"/>
        <v>0</v>
      </c>
      <c r="Q18" s="44">
        <f t="shared" ca="1" si="13"/>
        <v>0</v>
      </c>
      <c r="R18" s="44">
        <f t="shared" ca="1" si="14"/>
        <v>0</v>
      </c>
      <c r="S18" s="44">
        <f t="shared" ca="1" si="15"/>
        <v>0</v>
      </c>
      <c r="T18" s="44">
        <f t="shared" ca="1" si="16"/>
        <v>0</v>
      </c>
      <c r="U18" s="44">
        <f t="shared" ca="1" si="17"/>
        <v>0</v>
      </c>
      <c r="V18" s="44">
        <f t="shared" ca="1" si="18"/>
        <v>200</v>
      </c>
      <c r="W18" s="44">
        <f t="shared" ca="1" si="19"/>
        <v>0</v>
      </c>
      <c r="X18" s="44">
        <f t="shared" ca="1" si="20"/>
        <v>0</v>
      </c>
      <c r="Y18" s="44">
        <f t="shared" ca="1" si="21"/>
        <v>0</v>
      </c>
      <c r="Z18" s="44">
        <f t="shared" ca="1" si="22"/>
        <v>0</v>
      </c>
      <c r="AA18" s="60" t="str">
        <f t="shared" si="4"/>
        <v>Jessica off</v>
      </c>
      <c r="AB18" s="71">
        <f>_xlfn.XLOOKUP($E18,target[NAME],target[RC-DS10K/18K])</f>
        <v>4</v>
      </c>
      <c r="AC18" s="71">
        <f>_xlfn.XLOOKUP($E18,target[NAME],target[RC-18AMXH(W)])</f>
        <v>4</v>
      </c>
      <c r="AD18" s="71">
        <f>_xlfn.XLOOKUP($E18,target[NAME],target[EB-T500APW])</f>
        <v>1</v>
      </c>
      <c r="AE18" s="71">
        <f>_xlfn.XLOOKUP($E18,target[NAME],target[ER-VD7000HK(XK)])</f>
        <v>2</v>
      </c>
      <c r="AF18" s="71">
        <f>_xlfn.XLOOKUP($E18,target[NAME],target[TWDT21BU95])</f>
        <v>2</v>
      </c>
      <c r="AG18" s="71">
        <f>_xlfn.XLOOKUP($E18,target[NAME],target[AW-Q800APH(WW)])</f>
        <v>1000</v>
      </c>
      <c r="AH18" s="71">
        <f>_xlfn.XLOOKUP($E18,target[NAME],target[AW-Q801APH(WW)])</f>
        <v>5</v>
      </c>
      <c r="AI18" s="71">
        <f>_xlfn.XLOOKUP($E18,target[NAME],target[GR-RM469WE-PGA(B3)])</f>
        <v>2</v>
      </c>
      <c r="AJ18" s="71">
        <f>_xlfn.XLOOKUP($E18,target[NAME],target[GR-RB449WE-PMA(57)])</f>
        <v>2</v>
      </c>
      <c r="AK18" s="71">
        <f>_xlfn.XLOOKUP($E18,target[NAME],target[GR-RB410WE-PMA(06)])</f>
        <v>2</v>
      </c>
      <c r="AL18" s="71">
        <f>_xlfn.XLOOKUP($E18,target[NAME],target[GR-RF698WI])</f>
        <v>1</v>
      </c>
      <c r="AM18" s="71">
        <f>_xlfn.XLOOKUP($E18,target[NAME],target[TWP-W2265THK(W)])</f>
        <v>2</v>
      </c>
      <c r="AN18" s="71">
        <f>_xlfn.XLOOKUP($E18,target[NAME],target[RAD-D200/250/300/DIA17])</f>
        <v>48</v>
      </c>
      <c r="AO18" s="71">
        <f>_xlfn.XLOOKUP($E18,target[NAME],target[(Fortress ONLY)TW-T25BZU115MWH(MG) ])</f>
        <v>1000</v>
      </c>
      <c r="AP18" s="71">
        <f>_xlfn.XLOOKUP($E18,target[NAME],target[開門紅(三月)])</f>
        <v>630000</v>
      </c>
      <c r="AQ18" s="71">
        <f>_xlfn.XLOOKUP($E18,target[NAME],target[開門紅(第一季)])</f>
        <v>530284.99999999977</v>
      </c>
      <c r="AR18" s="73">
        <f ca="1">SUMIFS(表格1[QTY],表格1[Model],三國演義!$AR$12,表格1[Name],三國演義!$E18)+SUMIFS(表格1[QTY],表格1[Model],三國演義!$AR$12,表格1[Name],三國演義!$AA18)</f>
        <v>1</v>
      </c>
      <c r="AS18" s="77">
        <f ca="1">IF($AR18&gt;=$AE18,$AR18*'3月Target'!$W$8,0)</f>
        <v>0</v>
      </c>
      <c r="AT18" s="44">
        <f ca="1">SUMIFS(表格1[QTY],表格1[Model],三國演義!$AT$12,表格1[Name],三國演義!$E18)+SUMIFS(表格1[QTY],表格1[Model],三國演義!$AT$12,表格1[Name],三國演義!$AA18)</f>
        <v>0</v>
      </c>
      <c r="AU18" s="44">
        <f ca="1">SUMIFS(表格1[QTY],表格1[Model],三國演義!$AU$12,表格1[Name],三國演義!$E18)+SUMIFS(表格1[QTY],表格1[Model],三國演義!$AU$12,表格1[Name],三國演義!$AA18)</f>
        <v>0</v>
      </c>
      <c r="AV18" s="44">
        <f ca="1">SUMIFS(表格1[QTY],表格1[Model],三國演義!$AV$12,表格1[Name],三國演義!$E18)+SUMIFS(表格1[QTY],表格1[Model],三國演義!$AV$12,表格1[Name],三國演義!$AA18)</f>
        <v>0</v>
      </c>
      <c r="AW18" s="44">
        <f ca="1">SUMIFS(表格1[QTY],表格1[Model],三國演義!$AW$12,表格1[Name],三國演義!$E18)+SUMIFS(表格1[QTY],表格1[Model],三國演義!$AW$12,表格1[Name],三國演義!$AA18)</f>
        <v>0</v>
      </c>
      <c r="AX18" s="50">
        <f ca="1">IF((SUM($AT18:$AW18))&gt;=$AB18,SUM($AT18:$AW18)*'3月Target'!$W$5,0)</f>
        <v>0</v>
      </c>
      <c r="AY18" s="44">
        <f ca="1">SUMIFS(表格1[QTY],表格1[Model],三國演義!$AY$12,表格1[Name],三國演義!$E18)+SUMIFS(表格1[QTY],表格1[Model],三國演義!$AY$12,表格1[Name],三國演義!$AA18)</f>
        <v>2</v>
      </c>
      <c r="AZ18" s="77">
        <f ca="1">IF($AY18&gt;=$AC18,$AY18*'3月Target'!$W$6,0)</f>
        <v>0</v>
      </c>
      <c r="BA18" s="44">
        <f ca="1">SUMIFS(表格1[QTY],表格1[Model],三國演義!$BA$12,表格1[Name],三國演義!$E18)+SUMIFS(表格1[QTY],表格1[Model],三國演義!$BA$12,表格1[Name],三國演義!$AA18)</f>
        <v>0</v>
      </c>
      <c r="BB18" s="77">
        <f ca="1">IF($BA18&gt;=$AD18,$BA18*'3月Target'!$W$7,0)</f>
        <v>0</v>
      </c>
      <c r="BC18" s="44">
        <f ca="1">SUMIFS(表格1[QTY],表格1[Model],三國演義!$BC$12,表格1[Name],三國演義!$E18)+SUMIFS(表格1[QTY],表格1[Model],三國演義!$BC$12,表格1[Name],三國演義!$AA18)</f>
        <v>1</v>
      </c>
      <c r="BD18" s="77">
        <f ca="1">IF($BC18&gt;=$AF18,$BC18*'3月Target'!$W$9,0)</f>
        <v>0</v>
      </c>
      <c r="BE18" s="44">
        <f ca="1">SUMIFS(表格1[QTY],表格1[Model],三國演義!$BE$12,表格1[Name],三國演義!$E18)+SUMIFS(表格1[QTY],表格1[Model],三國演義!$BE$12,表格1[Name],三國演義!$AA18)</f>
        <v>0</v>
      </c>
      <c r="BF18" s="77">
        <f ca="1">IF($BE18&gt;=$AG18,$BE18*'3月Target'!$W$10,0)</f>
        <v>0</v>
      </c>
      <c r="BG18" s="44">
        <f ca="1">SUMIFS(表格1[QTY],表格1[Model],三國演義!$BG$12,表格1[Name],三國演義!$E18)+SUMIFS(表格1[QTY],表格1[Model],三國演義!$BG$12,表格1[Name],三國演義!$AA18)</f>
        <v>0</v>
      </c>
      <c r="BH18" s="77">
        <f ca="1">IF($BG18&gt;=$AH18,$BG18*'3月Target'!$W$10,0)</f>
        <v>0</v>
      </c>
      <c r="BI18" s="44">
        <f ca="1">SUMIFS(表格1[QTY],表格1[Model],三國演義!$BI$12,表格1[Name],三國演義!$E18)+SUMIFS(表格1[QTY],表格1[Model],三國演義!$BI$12,表格1[Name],三國演義!$AA18)</f>
        <v>0</v>
      </c>
      <c r="BJ18" s="77">
        <f ca="1">IF($BI18&gt;=$AI18,$BI18*'3月Target'!$W$11,0)</f>
        <v>0</v>
      </c>
      <c r="BK18" s="44">
        <f ca="1">SUMIFS(表格1[QTY],表格1[Model],三國演義!$BK$12,表格1[Name],三國演義!$E18)+SUMIFS(表格1[QTY],表格1[Model],三國演義!$BK$12,表格1[Name],三國演義!$AA18)</f>
        <v>0</v>
      </c>
      <c r="BL18" s="77">
        <f ca="1">IF($BK18&gt;=$AJ18,$BK18*'3月Target'!$W$12,0)</f>
        <v>0</v>
      </c>
      <c r="BM18" s="44">
        <f ca="1">SUMIFS(表格1[QTY],表格1[Model],三國演義!$BM$12,表格1[Name],三國演義!$E18)+SUMIFS(表格1[QTY],表格1[Model],三國演義!$BM$12,表格1[Name],三國演義!$AA18)</f>
        <v>0</v>
      </c>
      <c r="BN18" s="77">
        <f ca="1">IF($BM18&gt;=$AK18,$BM18*'3月Target'!$W$13,0)</f>
        <v>0</v>
      </c>
      <c r="BO18" s="44">
        <f ca="1">SUMIFS(表格1[QTY],表格1[Model],三國演義!$BO$12,表格1[Name],三國演義!$E18)+SUMIFS(表格1[QTY],表格1[Model],三國演義!$BO$12,表格1[Name],三國演義!$AA18)</f>
        <v>0</v>
      </c>
      <c r="BP18" s="77">
        <f ca="1">IF($BO18&gt;=$AL18,$BO18*'3月Target'!$W$14,0)</f>
        <v>0</v>
      </c>
      <c r="BQ18" s="44">
        <f ca="1">SUMIFS(表格1[QTY],表格1[Model],三國演義!$BQ$12,表格1[Name],三國演義!$E18)+SUMIFS(表格1[QTY],表格1[Model],三國演義!$BQ$12,表格1[Name],三國演義!$AA18)</f>
        <v>2</v>
      </c>
      <c r="BR18" s="77">
        <f ca="1">IF($BQ18&gt;=$AM18,$BQ18*'3月Target'!$W$15,0)</f>
        <v>200</v>
      </c>
      <c r="BS18" s="44">
        <f ca="1">SUMIFS(表格1[QTY],表格1[Model],三國演義!$BS$12,表格1[Name],三國演義!$E18)+SUMIFS(表格1[QTY],表格1[Model],三國演義!$BS$12,表格1[Name],三國演義!$AA18)</f>
        <v>6</v>
      </c>
      <c r="BT18" s="44">
        <f ca="1">SUMIFS(表格1[QTY],表格1[Model],三國演義!$BT$12,表格1[Name],三國演義!$E18)+SUMIFS(表格1[QTY],表格1[Model],三國演義!$BT$12,表格1[Name],三國演義!$AA18)</f>
        <v>0</v>
      </c>
      <c r="BU18" s="44">
        <f ca="1">SUMIFS(表格1[QTY],表格1[Model],三國演義!$BU$12,表格1[Name],三國演義!$E18)+SUMIFS(表格1[QTY],表格1[Model],三國演義!$BU$12,表格1[Name],三國演義!$AA18)</f>
        <v>5</v>
      </c>
      <c r="BV18" s="44">
        <f ca="1">SUMIFS(表格1[QTY],表格1[Model],三國演義!$BV$12,表格1[Name],三國演義!$E18)+SUMIFS(表格1[QTY],表格1[Model],三國演義!$BV$12,表格1[Name],三國演義!$AA18)</f>
        <v>0</v>
      </c>
      <c r="BW18" s="77">
        <f ca="1">IF((SUM($BS18:$BV18))&gt;=$AN18,SUM($BS18:$BV18)*'3月Target'!$W$16,0)</f>
        <v>0</v>
      </c>
      <c r="BX18" s="44">
        <f ca="1">SUMIFS(表格1[QTY],表格1[Model],三國演義!$BX$12,表格1[Name],三國演義!$E18)+SUMIFS(表格1[QTY],表格1[Model],三國演義!$BX$12,表格1[Name],三國演義!$AA18)</f>
        <v>0</v>
      </c>
      <c r="BY18" s="77">
        <f ca="1">IF($BX18&gt;=$AO18,$BX18*'3月Target'!$W$17,0)</f>
        <v>0</v>
      </c>
      <c r="BZ18" s="146">
        <f t="shared" ca="1" si="23"/>
        <v>419085.20000000007</v>
      </c>
      <c r="CA18" s="77">
        <f t="shared" ca="1" si="24"/>
        <v>0</v>
      </c>
      <c r="CB18" s="146">
        <f t="shared" ca="1" si="25"/>
        <v>419085.20000000007</v>
      </c>
      <c r="CC18" s="77">
        <f t="shared" ca="1" si="26"/>
        <v>0</v>
      </c>
    </row>
    <row r="19" spans="1:81">
      <c r="A19" s="121">
        <f ca="1">Roster!AL11*Roster!AH11+Roster!AM11*Roster!AG11+三國演義!H19+三國演義!I19+三國演義!J19</f>
        <v>15998.08</v>
      </c>
      <c r="B19" s="133">
        <v>0.02</v>
      </c>
      <c r="C19" s="66">
        <v>7</v>
      </c>
      <c r="D19" s="95" t="str">
        <f ca="1">_xlfn.XLOOKUP($E19,表格1[Name],表格1[Shop])</f>
        <v>Suning</v>
      </c>
      <c r="E19" s="95" t="s">
        <v>976</v>
      </c>
      <c r="F19" s="96">
        <f ca="1">SUMIF(表格1[Name],$E19,表格1[Total Amount])+SUMIF(表格1[Name],$AA19,表格1[Total Amount])</f>
        <v>234404</v>
      </c>
      <c r="G19" s="161">
        <f ca="1">SUMIF(表格1[Name],$E19,表格1[QTY])+SUMIF(表格1[Name],$AA19,表格1[QTY])</f>
        <v>109</v>
      </c>
      <c r="H19" s="96">
        <f t="shared" ca="1" si="5"/>
        <v>4688.08</v>
      </c>
      <c r="I19" s="96"/>
      <c r="J19" s="51">
        <f t="shared" ca="1" si="6"/>
        <v>750</v>
      </c>
      <c r="K19" s="163">
        <f t="shared" ca="1" si="7"/>
        <v>0</v>
      </c>
      <c r="L19" s="163">
        <f t="shared" ca="1" si="8"/>
        <v>0</v>
      </c>
      <c r="M19" s="44">
        <f t="shared" ca="1" si="9"/>
        <v>0</v>
      </c>
      <c r="N19" s="44">
        <f t="shared" ca="1" si="10"/>
        <v>0</v>
      </c>
      <c r="O19" s="44">
        <f t="shared" ca="1" si="11"/>
        <v>0</v>
      </c>
      <c r="P19" s="44">
        <f t="shared" ca="1" si="12"/>
        <v>0</v>
      </c>
      <c r="Q19" s="44">
        <f t="shared" ca="1" si="13"/>
        <v>250</v>
      </c>
      <c r="R19" s="44">
        <f t="shared" ca="1" si="14"/>
        <v>0</v>
      </c>
      <c r="S19" s="44">
        <f t="shared" ca="1" si="15"/>
        <v>0</v>
      </c>
      <c r="T19" s="44">
        <f t="shared" ca="1" si="16"/>
        <v>0</v>
      </c>
      <c r="U19" s="44">
        <f t="shared" ca="1" si="17"/>
        <v>0</v>
      </c>
      <c r="V19" s="44">
        <f t="shared" ca="1" si="18"/>
        <v>0</v>
      </c>
      <c r="W19" s="44">
        <f t="shared" ca="1" si="19"/>
        <v>0</v>
      </c>
      <c r="X19" s="44">
        <f t="shared" ca="1" si="20"/>
        <v>0</v>
      </c>
      <c r="Y19" s="44">
        <f t="shared" ca="1" si="21"/>
        <v>500</v>
      </c>
      <c r="Z19" s="44">
        <f t="shared" ca="1" si="22"/>
        <v>0</v>
      </c>
      <c r="AA19" s="60" t="str">
        <f t="shared" si="4"/>
        <v>Kitty Yeung off</v>
      </c>
      <c r="AB19" s="71">
        <f>_xlfn.XLOOKUP($E19,target[NAME],target[RC-DS10K/18K])</f>
        <v>4</v>
      </c>
      <c r="AC19" s="71">
        <f>_xlfn.XLOOKUP($E19,target[NAME],target[RC-18AMXH(W)])</f>
        <v>4</v>
      </c>
      <c r="AD19" s="71">
        <f>_xlfn.XLOOKUP($E19,target[NAME],target[EB-T500APW])</f>
        <v>1</v>
      </c>
      <c r="AE19" s="71">
        <f>_xlfn.XLOOKUP($E19,target[NAME],target[ER-VD7000HK(XK)])</f>
        <v>2</v>
      </c>
      <c r="AF19" s="71">
        <f>_xlfn.XLOOKUP($E19,target[NAME],target[TWDT21BU95])</f>
        <v>2</v>
      </c>
      <c r="AG19" s="71">
        <f>_xlfn.XLOOKUP($E19,target[NAME],target[AW-Q800APH(WW)])</f>
        <v>1000</v>
      </c>
      <c r="AH19" s="71">
        <f>_xlfn.XLOOKUP($E19,target[NAME],target[AW-Q801APH(WW)])</f>
        <v>5</v>
      </c>
      <c r="AI19" s="71">
        <f>_xlfn.XLOOKUP($E19,target[NAME],target[GR-RM469WE-PGA(B3)])</f>
        <v>2</v>
      </c>
      <c r="AJ19" s="71">
        <f>_xlfn.XLOOKUP($E19,target[NAME],target[GR-RB449WE-PMA(57)])</f>
        <v>4</v>
      </c>
      <c r="AK19" s="71">
        <f>_xlfn.XLOOKUP($E19,target[NAME],target[GR-RB410WE-PMA(06)])</f>
        <v>2</v>
      </c>
      <c r="AL19" s="71">
        <f>_xlfn.XLOOKUP($E19,target[NAME],target[GR-RF698WI])</f>
        <v>1</v>
      </c>
      <c r="AM19" s="71">
        <f>_xlfn.XLOOKUP($E19,target[NAME],target[TWP-W2265THK(W)])</f>
        <v>2</v>
      </c>
      <c r="AN19" s="71">
        <f>_xlfn.XLOOKUP($E19,target[NAME],target[RAD-D200/250/300/DIA17])</f>
        <v>48</v>
      </c>
      <c r="AO19" s="71">
        <f>_xlfn.XLOOKUP($E19,target[NAME],target[(Fortress ONLY)TW-T25BZU115MWH(MG) ])</f>
        <v>1000</v>
      </c>
      <c r="AP19" s="71">
        <f>_xlfn.XLOOKUP($E19,target[NAME],target[開門紅(三月)])</f>
        <v>227500</v>
      </c>
      <c r="AQ19" s="71">
        <f>_xlfn.XLOOKUP($E19,target[NAME],target[開門紅(第一季)])</f>
        <v>301112</v>
      </c>
      <c r="AR19" s="73">
        <f ca="1">SUMIFS(表格1[QTY],表格1[Model],三國演義!$AR$12,表格1[Name],三國演義!$E19)+SUMIFS(表格1[QTY],表格1[Model],三國演義!$AR$12,表格1[Name],三國演義!$AA19)</f>
        <v>0</v>
      </c>
      <c r="AS19" s="77">
        <f ca="1">IF($AR19&gt;=$AE19,$AR19*'3月Target'!$W$8,0)</f>
        <v>0</v>
      </c>
      <c r="AT19" s="44">
        <f ca="1">SUMIFS(表格1[QTY],表格1[Model],三國演義!$AT$12,表格1[Name],三國演義!$E19)+SUMIFS(表格1[QTY],表格1[Model],三國演義!$AT$12,表格1[Name],三國演義!$AA19)</f>
        <v>0</v>
      </c>
      <c r="AU19" s="44">
        <f ca="1">SUMIFS(表格1[QTY],表格1[Model],三國演義!$AU$12,表格1[Name],三國演義!$E19)+SUMIFS(表格1[QTY],表格1[Model],三國演義!$AU$12,表格1[Name],三國演義!$AA19)</f>
        <v>0</v>
      </c>
      <c r="AV19" s="44">
        <f ca="1">SUMIFS(表格1[QTY],表格1[Model],三國演義!$AV$12,表格1[Name],三國演義!$E19)+SUMIFS(表格1[QTY],表格1[Model],三國演義!$AV$12,表格1[Name],三國演義!$AA19)</f>
        <v>0</v>
      </c>
      <c r="AW19" s="44">
        <f ca="1">SUMIFS(表格1[QTY],表格1[Model],三國演義!$AW$12,表格1[Name],三國演義!$E19)+SUMIFS(表格1[QTY],表格1[Model],三國演義!$AW$12,表格1[Name],三國演義!$AA19)</f>
        <v>0</v>
      </c>
      <c r="AX19" s="50">
        <f ca="1">IF((SUM($AT19:$AW19))&gt;=$AB19,SUM($AT19:$AW19)*'3月Target'!$W$5,0)</f>
        <v>0</v>
      </c>
      <c r="AY19" s="44">
        <f ca="1">SUMIFS(表格1[QTY],表格1[Model],三國演義!$AY$12,表格1[Name],三國演義!$E19)+SUMIFS(表格1[QTY],表格1[Model],三國演義!$AY$12,表格1[Name],三國演義!$AA19)</f>
        <v>1</v>
      </c>
      <c r="AZ19" s="77">
        <f ca="1">IF($AY19&gt;=$AC19,$AY19*'3月Target'!$W$6,0)</f>
        <v>0</v>
      </c>
      <c r="BA19" s="44">
        <f ca="1">SUMIFS(表格1[QTY],表格1[Model],三國演義!$BA$12,表格1[Name],三國演義!$E19)+SUMIFS(表格1[QTY],表格1[Model],三國演義!$BA$12,表格1[Name],三國演義!$AA19)</f>
        <v>0</v>
      </c>
      <c r="BB19" s="77">
        <f ca="1">IF($BA19&gt;=$AD19,$BA19*'3月Target'!$W$7,0)</f>
        <v>0</v>
      </c>
      <c r="BC19" s="44">
        <f ca="1">SUMIFS(表格1[QTY],表格1[Model],三國演義!$BC$12,表格1[Name],三國演義!$E19)+SUMIFS(表格1[QTY],表格1[Model],三國演義!$BC$12,表格1[Name],三國演義!$AA19)</f>
        <v>0</v>
      </c>
      <c r="BD19" s="77">
        <f ca="1">IF($BC19&gt;=$AF19,$BC19*'3月Target'!$W$9,0)</f>
        <v>0</v>
      </c>
      <c r="BE19" s="44">
        <f ca="1">SUMIFS(表格1[QTY],表格1[Model],三國演義!$BE$12,表格1[Name],三國演義!$E19)+SUMIFS(表格1[QTY],表格1[Model],三國演義!$BE$12,表格1[Name],三國演義!$AA19)</f>
        <v>0</v>
      </c>
      <c r="BF19" s="77">
        <f ca="1">IF($BE19&gt;=$AG19,$BE19*'3月Target'!$W$10,0)</f>
        <v>0</v>
      </c>
      <c r="BG19" s="44">
        <f ca="1">SUMIFS(表格1[QTY],表格1[Model],三國演義!$BG$12,表格1[Name],三國演義!$E19)+SUMIFS(表格1[QTY],表格1[Model],三國演義!$BG$12,表格1[Name],三國演義!$AA19)</f>
        <v>5</v>
      </c>
      <c r="BH19" s="77">
        <f ca="1">IF($BG19&gt;=$AH19,$BG19*'3月Target'!$W$10,0)</f>
        <v>250</v>
      </c>
      <c r="BI19" s="44">
        <f ca="1">SUMIFS(表格1[QTY],表格1[Model],三國演義!$BI$12,表格1[Name],三國演義!$E19)+SUMIFS(表格1[QTY],表格1[Model],三國演義!$BI$12,表格1[Name],三國演義!$AA19)</f>
        <v>0</v>
      </c>
      <c r="BJ19" s="77">
        <f ca="1">IF($BI19&gt;=$AI19,$BI19*'3月Target'!$W$11,0)</f>
        <v>0</v>
      </c>
      <c r="BK19" s="44">
        <f ca="1">SUMIFS(表格1[QTY],表格1[Model],三國演義!$BK$12,表格1[Name],三國演義!$E19)+SUMIFS(表格1[QTY],表格1[Model],三國演義!$BK$12,表格1[Name],三國演義!$AA19)</f>
        <v>1</v>
      </c>
      <c r="BL19" s="77">
        <f ca="1">IF($BK19&gt;=$AJ19,$BK19*'3月Target'!$W$12,0)</f>
        <v>0</v>
      </c>
      <c r="BM19" s="44">
        <f ca="1">SUMIFS(表格1[QTY],表格1[Model],三國演義!$BM$12,表格1[Name],三國演義!$E19)+SUMIFS(表格1[QTY],表格1[Model],三國演義!$BM$12,表格1[Name],三國演義!$AA19)</f>
        <v>0</v>
      </c>
      <c r="BN19" s="77">
        <f ca="1">IF($BM19&gt;=$AK19,$BM19*'3月Target'!$W$13,0)</f>
        <v>0</v>
      </c>
      <c r="BO19" s="44">
        <f ca="1">SUMIFS(表格1[QTY],表格1[Model],三國演義!$BO$12,表格1[Name],三國演義!$E19)+SUMIFS(表格1[QTY],表格1[Model],三國演義!$BO$12,表格1[Name],三國演義!$AA19)</f>
        <v>0</v>
      </c>
      <c r="BP19" s="77">
        <f ca="1">IF($BO19&gt;=$AL19,$BO19*'3月Target'!$W$14,0)</f>
        <v>0</v>
      </c>
      <c r="BQ19" s="44">
        <f ca="1">SUMIFS(表格1[QTY],表格1[Model],三國演義!$BQ$12,表格1[Name],三國演義!$E19)+SUMIFS(表格1[QTY],表格1[Model],三國演義!$BQ$12,表格1[Name],三國演義!$AA19)</f>
        <v>0</v>
      </c>
      <c r="BR19" s="77">
        <f ca="1">IF($BQ19&gt;=$AM19,$BQ19*'3月Target'!$W$15,0)</f>
        <v>0</v>
      </c>
      <c r="BS19" s="44">
        <f ca="1">SUMIFS(表格1[QTY],表格1[Model],三國演義!$BS$12,表格1[Name],三國演義!$E19)+SUMIFS(表格1[QTY],表格1[Model],三國演義!$BS$12,表格1[Name],三國演義!$AA19)</f>
        <v>1</v>
      </c>
      <c r="BT19" s="44">
        <f ca="1">SUMIFS(表格1[QTY],表格1[Model],三國演義!$BT$12,表格1[Name],三國演義!$E19)+SUMIFS(表格1[QTY],表格1[Model],三國演義!$BT$12,表格1[Name],三國演義!$AA19)</f>
        <v>0</v>
      </c>
      <c r="BU19" s="44">
        <f ca="1">SUMIFS(表格1[QTY],表格1[Model],三國演義!$BU$12,表格1[Name],三國演義!$E19)+SUMIFS(表格1[QTY],表格1[Model],三國演義!$BU$12,表格1[Name],三國演義!$AA19)</f>
        <v>11</v>
      </c>
      <c r="BV19" s="44">
        <f ca="1">SUMIFS(表格1[QTY],表格1[Model],三國演義!$BV$12,表格1[Name],三國演義!$E19)+SUMIFS(表格1[QTY],表格1[Model],三國演義!$BV$12,表格1[Name],三國演義!$AA19)</f>
        <v>0</v>
      </c>
      <c r="BW19" s="77">
        <f ca="1">IF((SUM($BS19:$BV19))&gt;=$AN19,SUM($BS19:$BV19)*'3月Target'!$W$16,0)</f>
        <v>0</v>
      </c>
      <c r="BX19" s="44">
        <f ca="1">SUMIFS(表格1[QTY],表格1[Model],三國演義!$BX$12,表格1[Name],三國演義!$E19)+SUMIFS(表格1[QTY],表格1[Model],三國演義!$BX$12,表格1[Name],三國演義!$AA19)</f>
        <v>0</v>
      </c>
      <c r="BY19" s="77">
        <f ca="1">IF($BX19&gt;=$AO19,$BX19*'3月Target'!$W$17,0)</f>
        <v>0</v>
      </c>
      <c r="BZ19" s="146">
        <f t="shared" ca="1" si="23"/>
        <v>234404</v>
      </c>
      <c r="CA19" s="77">
        <f t="shared" ca="1" si="24"/>
        <v>500</v>
      </c>
      <c r="CB19" s="146">
        <f t="shared" ca="1" si="25"/>
        <v>234404</v>
      </c>
      <c r="CC19" s="77">
        <f t="shared" ca="1" si="26"/>
        <v>0</v>
      </c>
    </row>
    <row r="20" spans="1:81">
      <c r="A20" s="121">
        <f ca="1">Roster!AL12*Roster!AH12+Roster!AM12*Roster!AG12+三國演義!H20+三國演義!I20+三國演義!J20</f>
        <v>3523.08</v>
      </c>
      <c r="B20" s="133">
        <v>0.02</v>
      </c>
      <c r="C20" s="66">
        <v>8</v>
      </c>
      <c r="D20" s="95" t="str">
        <f ca="1">_xlfn.XLOOKUP($E20,表格1[Name],表格1[Shop])</f>
        <v>Broadway</v>
      </c>
      <c r="E20" s="95" t="s">
        <v>1213</v>
      </c>
      <c r="F20" s="96">
        <f ca="1">SUMIF(表格1[Name],$E20,表格1[Total Amount])+SUMIF(表格1[Name],$AA20,表格1[Total Amount])</f>
        <v>82154</v>
      </c>
      <c r="G20" s="161">
        <f ca="1">SUMIF(表格1[Name],$E20,表格1[QTY])+SUMIF(表格1[Name],$AA20,表格1[QTY])</f>
        <v>37</v>
      </c>
      <c r="H20" s="96">
        <f t="shared" ca="1" si="5"/>
        <v>1643.08</v>
      </c>
      <c r="I20" s="96"/>
      <c r="J20" s="51">
        <f t="shared" ca="1" si="6"/>
        <v>0</v>
      </c>
      <c r="K20" s="163">
        <f t="shared" ca="1" si="7"/>
        <v>0</v>
      </c>
      <c r="L20" s="163">
        <f t="shared" ca="1" si="8"/>
        <v>0</v>
      </c>
      <c r="M20" s="44">
        <f t="shared" ca="1" si="9"/>
        <v>0</v>
      </c>
      <c r="N20" s="44">
        <f t="shared" ca="1" si="10"/>
        <v>0</v>
      </c>
      <c r="O20" s="44">
        <f t="shared" ca="1" si="11"/>
        <v>0</v>
      </c>
      <c r="P20" s="44">
        <f t="shared" ca="1" si="12"/>
        <v>0</v>
      </c>
      <c r="Q20" s="44">
        <f t="shared" ca="1" si="13"/>
        <v>0</v>
      </c>
      <c r="R20" s="44">
        <f t="shared" ca="1" si="14"/>
        <v>0</v>
      </c>
      <c r="S20" s="44">
        <f t="shared" ca="1" si="15"/>
        <v>0</v>
      </c>
      <c r="T20" s="44">
        <f t="shared" ca="1" si="16"/>
        <v>0</v>
      </c>
      <c r="U20" s="44">
        <f t="shared" ca="1" si="17"/>
        <v>0</v>
      </c>
      <c r="V20" s="44">
        <f t="shared" ca="1" si="18"/>
        <v>0</v>
      </c>
      <c r="W20" s="44">
        <f t="shared" ca="1" si="19"/>
        <v>0</v>
      </c>
      <c r="X20" s="44">
        <f t="shared" ca="1" si="20"/>
        <v>0</v>
      </c>
      <c r="Y20" s="44">
        <f t="shared" ca="1" si="21"/>
        <v>0</v>
      </c>
      <c r="Z20" s="44">
        <f t="shared" ca="1" si="22"/>
        <v>0</v>
      </c>
      <c r="AA20" s="60" t="str">
        <f t="shared" si="4"/>
        <v>Amy Or_1 off</v>
      </c>
      <c r="AB20" s="71">
        <f>_xlfn.XLOOKUP($E20,target[NAME],target[RC-DS10K/18K])</f>
        <v>7</v>
      </c>
      <c r="AC20" s="71">
        <f>_xlfn.XLOOKUP($E20,target[NAME],target[RC-18AMXH(W)])</f>
        <v>4</v>
      </c>
      <c r="AD20" s="71">
        <f>_xlfn.XLOOKUP($E20,target[NAME],target[EB-T500APW])</f>
        <v>1</v>
      </c>
      <c r="AE20" s="71">
        <f>_xlfn.XLOOKUP($E20,target[NAME],target[ER-VD7000HK(XK)])</f>
        <v>2</v>
      </c>
      <c r="AF20" s="71">
        <f>_xlfn.XLOOKUP($E20,target[NAME],target[TWDT21BU95])</f>
        <v>2</v>
      </c>
      <c r="AG20" s="71">
        <f>_xlfn.XLOOKUP($E20,target[NAME],target[AW-Q800APH(WW)])</f>
        <v>1000</v>
      </c>
      <c r="AH20" s="71">
        <f>_xlfn.XLOOKUP($E20,target[NAME],target[AW-Q801APH(WW)])</f>
        <v>5</v>
      </c>
      <c r="AI20" s="71">
        <f>_xlfn.XLOOKUP($E20,target[NAME],target[GR-RM469WE-PGA(B3)])</f>
        <v>2</v>
      </c>
      <c r="AJ20" s="71">
        <f>_xlfn.XLOOKUP($E20,target[NAME],target[GR-RB449WE-PMA(57)])</f>
        <v>2</v>
      </c>
      <c r="AK20" s="71">
        <f>_xlfn.XLOOKUP($E20,target[NAME],target[GR-RB410WE-PMA(06)])</f>
        <v>2</v>
      </c>
      <c r="AL20" s="71">
        <f>_xlfn.XLOOKUP($E20,target[NAME],target[GR-RF698WI])</f>
        <v>1</v>
      </c>
      <c r="AM20" s="71">
        <f>_xlfn.XLOOKUP($E20,target[NAME],target[TWP-W2265THK(W)])</f>
        <v>4</v>
      </c>
      <c r="AN20" s="71">
        <f>_xlfn.XLOOKUP($E20,target[NAME],target[RAD-D200/250/300/DIA17])</f>
        <v>48</v>
      </c>
      <c r="AO20" s="71">
        <f>_xlfn.XLOOKUP($E20,target[NAME],target[(Fortress ONLY)TW-T25BZU115MWH(MG) ])</f>
        <v>1000</v>
      </c>
      <c r="AP20" s="71">
        <f>_xlfn.XLOOKUP($E20,target[NAME],target[開門紅(三月)])</f>
        <v>210000</v>
      </c>
      <c r="AQ20" s="71">
        <f>_xlfn.XLOOKUP($E20,target[NAME],target[開門紅(第一季)])</f>
        <v>267605</v>
      </c>
      <c r="AR20" s="73">
        <f ca="1">SUMIFS(表格1[QTY],表格1[Model],三國演義!$AR$12,表格1[Name],三國演義!$E20)+SUMIFS(表格1[QTY],表格1[Model],三國演義!$AR$12,表格1[Name],三國演義!$AA20)</f>
        <v>1</v>
      </c>
      <c r="AS20" s="77">
        <f ca="1">IF($AR20&gt;=$AE20,$AR20*'3月Target'!$W$8,0)</f>
        <v>0</v>
      </c>
      <c r="AT20" s="44">
        <f ca="1">SUMIFS(表格1[QTY],表格1[Model],三國演義!$AT$12,表格1[Name],三國演義!$E20)+SUMIFS(表格1[QTY],表格1[Model],三國演義!$AT$12,表格1[Name],三國演義!$AA20)</f>
        <v>0</v>
      </c>
      <c r="AU20" s="44">
        <f ca="1">SUMIFS(表格1[QTY],表格1[Model],三國演義!$AU$12,表格1[Name],三國演義!$E20)+SUMIFS(表格1[QTY],表格1[Model],三國演義!$AU$12,表格1[Name],三國演義!$AA20)</f>
        <v>0</v>
      </c>
      <c r="AV20" s="44">
        <f ca="1">SUMIFS(表格1[QTY],表格1[Model],三國演義!$AV$12,表格1[Name],三國演義!$E20)+SUMIFS(表格1[QTY],表格1[Model],三國演義!$AV$12,表格1[Name],三國演義!$AA20)</f>
        <v>0</v>
      </c>
      <c r="AW20" s="44">
        <f ca="1">SUMIFS(表格1[QTY],表格1[Model],三國演義!$AW$12,表格1[Name],三國演義!$E20)+SUMIFS(表格1[QTY],表格1[Model],三國演義!$AW$12,表格1[Name],三國演義!$AA20)</f>
        <v>0</v>
      </c>
      <c r="AX20" s="50">
        <f ca="1">IF((SUM($AT20:$AW20))&gt;=$AB20,SUM($AT20:$AW20)*'3月Target'!$W$5,0)</f>
        <v>0</v>
      </c>
      <c r="AY20" s="44">
        <f ca="1">SUMIFS(表格1[QTY],表格1[Model],三國演義!$AY$12,表格1[Name],三國演義!$E20)+SUMIFS(表格1[QTY],表格1[Model],三國演義!$AY$12,表格1[Name],三國演義!$AA20)</f>
        <v>0</v>
      </c>
      <c r="AZ20" s="77">
        <f ca="1">IF($AY20&gt;=$AC20,$AY20*'3月Target'!$W$6,0)</f>
        <v>0</v>
      </c>
      <c r="BA20" s="44">
        <f ca="1">SUMIFS(表格1[QTY],表格1[Model],三國演義!$BA$12,表格1[Name],三國演義!$E20)+SUMIFS(表格1[QTY],表格1[Model],三國演義!$BA$12,表格1[Name],三國演義!$AA20)</f>
        <v>0</v>
      </c>
      <c r="BB20" s="77">
        <f ca="1">IF($BA20&gt;=$AD20,$BA20*'3月Target'!$W$7,0)</f>
        <v>0</v>
      </c>
      <c r="BC20" s="44">
        <f ca="1">SUMIFS(表格1[QTY],表格1[Model],三國演義!$BC$12,表格1[Name],三國演義!$E20)+SUMIFS(表格1[QTY],表格1[Model],三國演義!$BC$12,表格1[Name],三國演義!$AA20)</f>
        <v>0</v>
      </c>
      <c r="BD20" s="77">
        <f ca="1">IF($BC20&gt;=$AF20,$BC20*'3月Target'!$W$9,0)</f>
        <v>0</v>
      </c>
      <c r="BE20" s="44">
        <f ca="1">SUMIFS(表格1[QTY],表格1[Model],三國演義!$BE$12,表格1[Name],三國演義!$E20)+SUMIFS(表格1[QTY],表格1[Model],三國演義!$BE$12,表格1[Name],三國演義!$AA20)</f>
        <v>0</v>
      </c>
      <c r="BF20" s="77">
        <f ca="1">IF($BE20&gt;=$AG20,$BE20*'3月Target'!$W$10,0)</f>
        <v>0</v>
      </c>
      <c r="BG20" s="44">
        <f ca="1">SUMIFS(表格1[QTY],表格1[Model],三國演義!$BG$12,表格1[Name],三國演義!$E20)+SUMIFS(表格1[QTY],表格1[Model],三國演義!$BG$12,表格1[Name],三國演義!$AA20)</f>
        <v>0</v>
      </c>
      <c r="BH20" s="77">
        <f ca="1">IF($BG20&gt;=$AH20,$BG20*'3月Target'!$W$10,0)</f>
        <v>0</v>
      </c>
      <c r="BI20" s="44">
        <f ca="1">SUMIFS(表格1[QTY],表格1[Model],三國演義!$BI$12,表格1[Name],三國演義!$E20)+SUMIFS(表格1[QTY],表格1[Model],三國演義!$BI$12,表格1[Name],三國演義!$AA20)</f>
        <v>0</v>
      </c>
      <c r="BJ20" s="77">
        <f ca="1">IF($BI20&gt;=$AI20,$BI20*'3月Target'!$W$11,0)</f>
        <v>0</v>
      </c>
      <c r="BK20" s="44">
        <f ca="1">SUMIFS(表格1[QTY],表格1[Model],三國演義!$BK$12,表格1[Name],三國演義!$E20)+SUMIFS(表格1[QTY],表格1[Model],三國演義!$BK$12,表格1[Name],三國演義!$AA20)</f>
        <v>0</v>
      </c>
      <c r="BL20" s="77">
        <f ca="1">IF($BK20&gt;=$AJ20,$BK20*'3月Target'!$W$12,0)</f>
        <v>0</v>
      </c>
      <c r="BM20" s="44">
        <f ca="1">SUMIFS(表格1[QTY],表格1[Model],三國演義!$BM$12,表格1[Name],三國演義!$E20)+SUMIFS(表格1[QTY],表格1[Model],三國演義!$BM$12,表格1[Name],三國演義!$AA20)</f>
        <v>0</v>
      </c>
      <c r="BN20" s="77">
        <f ca="1">IF($BM20&gt;=$AK20,$BM20*'3月Target'!$W$13,0)</f>
        <v>0</v>
      </c>
      <c r="BO20" s="44">
        <f ca="1">SUMIFS(表格1[QTY],表格1[Model],三國演義!$BO$12,表格1[Name],三國演義!$E20)+SUMIFS(表格1[QTY],表格1[Model],三國演義!$BO$12,表格1[Name],三國演義!$AA20)</f>
        <v>0</v>
      </c>
      <c r="BP20" s="77">
        <f ca="1">IF($BO20&gt;=$AL20,$BO20*'3月Target'!$W$14,0)</f>
        <v>0</v>
      </c>
      <c r="BQ20" s="44">
        <f ca="1">SUMIFS(表格1[QTY],表格1[Model],三國演義!$BQ$12,表格1[Name],三國演義!$E20)+SUMIFS(表格1[QTY],表格1[Model],三國演義!$BQ$12,表格1[Name],三國演義!$AA20)</f>
        <v>2</v>
      </c>
      <c r="BR20" s="77">
        <f ca="1">IF($BQ20&gt;=$AM20,$BQ20*'3月Target'!$W$15,0)</f>
        <v>0</v>
      </c>
      <c r="BS20" s="44">
        <f ca="1">SUMIFS(表格1[QTY],表格1[Model],三國演義!$BS$12,表格1[Name],三國演義!$E20)+SUMIFS(表格1[QTY],表格1[Model],三國演義!$BS$12,表格1[Name],三國演義!$AA20)</f>
        <v>0</v>
      </c>
      <c r="BT20" s="44">
        <f ca="1">SUMIFS(表格1[QTY],表格1[Model],三國演義!$BT$12,表格1[Name],三國演義!$E20)+SUMIFS(表格1[QTY],表格1[Model],三國演義!$BT$12,表格1[Name],三國演義!$AA20)</f>
        <v>24</v>
      </c>
      <c r="BU20" s="44">
        <f ca="1">SUMIFS(表格1[QTY],表格1[Model],三國演義!$BU$12,表格1[Name],三國演義!$E20)+SUMIFS(表格1[QTY],表格1[Model],三國演義!$BU$12,表格1[Name],三國演義!$AA20)</f>
        <v>0</v>
      </c>
      <c r="BV20" s="44">
        <f ca="1">SUMIFS(表格1[QTY],表格1[Model],三國演義!$BV$12,表格1[Name],三國演義!$E20)+SUMIFS(表格1[QTY],表格1[Model],三國演義!$BV$12,表格1[Name],三國演義!$AA20)</f>
        <v>0</v>
      </c>
      <c r="BW20" s="77">
        <f ca="1">IF((SUM($BS20:$BV20))&gt;=$AN20,SUM($BS20:$BV20)*'3月Target'!$W$16,0)</f>
        <v>0</v>
      </c>
      <c r="BX20" s="44">
        <f ca="1">SUMIFS(表格1[QTY],表格1[Model],三國演義!$BX$12,表格1[Name],三國演義!$E20)+SUMIFS(表格1[QTY],表格1[Model],三國演義!$BX$12,表格1[Name],三國演義!$AA20)</f>
        <v>0</v>
      </c>
      <c r="BY20" s="77">
        <f ca="1">IF($BX20&gt;=$AO20,$BX20*'3月Target'!$W$17,0)</f>
        <v>0</v>
      </c>
      <c r="BZ20" s="146">
        <f t="shared" ca="1" si="23"/>
        <v>82154</v>
      </c>
      <c r="CA20" s="77">
        <f t="shared" ca="1" si="24"/>
        <v>0</v>
      </c>
      <c r="CB20" s="146">
        <f t="shared" ca="1" si="25"/>
        <v>82154</v>
      </c>
      <c r="CC20" s="77">
        <f t="shared" ca="1" si="26"/>
        <v>0</v>
      </c>
    </row>
    <row r="21" spans="1:81">
      <c r="A21" s="121">
        <f ca="1">Roster!AL13*Roster!AH13+Roster!AM13*Roster!AG13+三國演義!H21+三國演義!I21+三國演義!J21</f>
        <v>4711.74</v>
      </c>
      <c r="B21" s="133">
        <v>0.02</v>
      </c>
      <c r="C21" s="66">
        <v>9</v>
      </c>
      <c r="D21" s="95" t="str">
        <f ca="1">_xlfn.XLOOKUP($E21,表格1[Name],表格1[Shop])</f>
        <v>Broadway</v>
      </c>
      <c r="E21" s="98" t="s">
        <v>1215</v>
      </c>
      <c r="F21" s="96">
        <f ca="1">SUMIF(表格1[Name],$E21,表格1[Total Amount])+SUMIF(表格1[Name],$AA21,表格1[Total Amount])</f>
        <v>67587</v>
      </c>
      <c r="G21" s="161">
        <f ca="1">SUMIF(表格1[Name],$E21,表格1[QTY])+SUMIF(表格1[Name],$AA21,表格1[QTY])</f>
        <v>32</v>
      </c>
      <c r="H21" s="96">
        <f t="shared" ca="1" si="5"/>
        <v>1351.74</v>
      </c>
      <c r="I21" s="96"/>
      <c r="J21" s="51">
        <f t="shared" si="6"/>
        <v>0</v>
      </c>
      <c r="K21" s="164"/>
      <c r="L21" s="164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60" t="str">
        <f t="shared" si="4"/>
        <v>Fong_1 off</v>
      </c>
      <c r="AB21" s="71" t="e">
        <f>_xlfn.XLOOKUP($E21,target[NAME],target[RC-DS10K/18K])</f>
        <v>#N/A</v>
      </c>
      <c r="AC21" s="71" t="e">
        <f>_xlfn.XLOOKUP($E21,target[NAME],target[RC-18AMXH(W)])</f>
        <v>#N/A</v>
      </c>
      <c r="AD21" s="71" t="e">
        <f>_xlfn.XLOOKUP($E21,target[NAME],target[EB-T500APW])</f>
        <v>#N/A</v>
      </c>
      <c r="AE21" s="71" t="e">
        <f>_xlfn.XLOOKUP($E21,target[NAME],target[ER-VD7000HK(XK)])</f>
        <v>#N/A</v>
      </c>
      <c r="AF21" s="71" t="e">
        <f>_xlfn.XLOOKUP($E21,target[NAME],target[TWDT21BU95])</f>
        <v>#N/A</v>
      </c>
      <c r="AG21" s="71" t="e">
        <f>_xlfn.XLOOKUP($E21,target[NAME],target[AW-Q800APH(WW)])</f>
        <v>#N/A</v>
      </c>
      <c r="AH21" s="71" t="e">
        <f>_xlfn.XLOOKUP($E21,target[NAME],target[AW-Q801APH(WW)])</f>
        <v>#N/A</v>
      </c>
      <c r="AI21" s="71" t="e">
        <f>_xlfn.XLOOKUP($E21,target[NAME],target[GR-RM469WE-PGA(B3)])</f>
        <v>#N/A</v>
      </c>
      <c r="AJ21" s="71" t="e">
        <f>_xlfn.XLOOKUP($E21,target[NAME],target[GR-RB449WE-PMA(57)])</f>
        <v>#N/A</v>
      </c>
      <c r="AK21" s="71" t="e">
        <f>_xlfn.XLOOKUP($E21,target[NAME],target[GR-RB410WE-PMA(06)])</f>
        <v>#N/A</v>
      </c>
      <c r="AL21" s="71" t="e">
        <f>_xlfn.XLOOKUP($E21,target[NAME],target[GR-RF698WI])</f>
        <v>#N/A</v>
      </c>
      <c r="AM21" s="71" t="e">
        <f>_xlfn.XLOOKUP($E21,target[NAME],target[TWP-W2265THK(W)])</f>
        <v>#N/A</v>
      </c>
      <c r="AN21" s="71" t="e">
        <f>_xlfn.XLOOKUP($E21,target[NAME],target[RAD-D200/250/300/DIA17])</f>
        <v>#N/A</v>
      </c>
      <c r="AO21" s="71" t="e">
        <f>_xlfn.XLOOKUP($E21,target[NAME],target[(Fortress ONLY)TW-T25BZU115MWH(MG) ])</f>
        <v>#N/A</v>
      </c>
      <c r="AP21" s="71" t="e">
        <f>_xlfn.XLOOKUP($E21,target[NAME],target[開門紅(三月)])</f>
        <v>#N/A</v>
      </c>
      <c r="AQ21" s="71" t="e">
        <f>_xlfn.XLOOKUP($E21,target[NAME],target[開門紅(第一季)])</f>
        <v>#N/A</v>
      </c>
      <c r="AR21" s="73">
        <f ca="1">SUMIFS(表格1[QTY],表格1[Model],三國演義!$AR$12,表格1[Name],三國演義!$E21)+SUMIFS(表格1[QTY],表格1[Model],三國演義!$AR$12,表格1[Name],三國演義!$AA21)</f>
        <v>0</v>
      </c>
      <c r="AS21" s="77" t="e">
        <f ca="1">IF($AR21&gt;=$AE21,$AR21*'3月Target'!$W$8,0)</f>
        <v>#N/A</v>
      </c>
      <c r="AT21" s="44">
        <f ca="1">SUMIFS(表格1[QTY],表格1[Model],三國演義!$AT$12,表格1[Name],三國演義!$E21)+SUMIFS(表格1[QTY],表格1[Model],三國演義!$AT$12,表格1[Name],三國演義!$AA21)</f>
        <v>0</v>
      </c>
      <c r="AU21" s="44">
        <f ca="1">SUMIFS(表格1[QTY],表格1[Model],三國演義!$AU$12,表格1[Name],三國演義!$E21)+SUMIFS(表格1[QTY],表格1[Model],三國演義!$AU$12,表格1[Name],三國演義!$AA21)</f>
        <v>0</v>
      </c>
      <c r="AV21" s="44">
        <f ca="1">SUMIFS(表格1[QTY],表格1[Model],三國演義!$AV$12,表格1[Name],三國演義!$E21)+SUMIFS(表格1[QTY],表格1[Model],三國演義!$AV$12,表格1[Name],三國演義!$AA21)</f>
        <v>0</v>
      </c>
      <c r="AW21" s="44">
        <f ca="1">SUMIFS(表格1[QTY],表格1[Model],三國演義!$AW$12,表格1[Name],三國演義!$E21)+SUMIFS(表格1[QTY],表格1[Model],三國演義!$AW$12,表格1[Name],三國演義!$AA21)</f>
        <v>0</v>
      </c>
      <c r="AX21" s="50" t="e">
        <f ca="1">IF((SUM($AT21:$AW21))&gt;=$AB21,SUM($AT21:$AW21)*'3月Target'!$W$5,0)</f>
        <v>#N/A</v>
      </c>
      <c r="AY21" s="44">
        <f ca="1">SUMIFS(表格1[QTY],表格1[Model],三國演義!$AY$12,表格1[Name],三國演義!$E21)+SUMIFS(表格1[QTY],表格1[Model],三國演義!$AY$12,表格1[Name],三國演義!$AA21)</f>
        <v>0</v>
      </c>
      <c r="AZ21" s="77" t="e">
        <f ca="1">IF($AY21&gt;=$AC21,$AY21*'3月Target'!$W$6,0)</f>
        <v>#N/A</v>
      </c>
      <c r="BA21" s="44">
        <f ca="1">SUMIFS(表格1[QTY],表格1[Model],三國演義!$BA$12,表格1[Name],三國演義!$E21)+SUMIFS(表格1[QTY],表格1[Model],三國演義!$BA$12,表格1[Name],三國演義!$AA21)</f>
        <v>0</v>
      </c>
      <c r="BB21" s="77" t="e">
        <f ca="1">IF($BA21&gt;=$AD21,$BA21*'3月Target'!$W$7,0)</f>
        <v>#N/A</v>
      </c>
      <c r="BC21" s="44">
        <f ca="1">SUMIFS(表格1[QTY],表格1[Model],三國演義!$BC$12,表格1[Name],三國演義!$E21)+SUMIFS(表格1[QTY],表格1[Model],三國演義!$BC$12,表格1[Name],三國演義!$AA21)</f>
        <v>0</v>
      </c>
      <c r="BD21" s="77" t="e">
        <f ca="1">IF($BC21&gt;=$AF21,$BC21*'3月Target'!$W$9,0)</f>
        <v>#N/A</v>
      </c>
      <c r="BE21" s="44">
        <f ca="1">SUMIFS(表格1[QTY],表格1[Model],三國演義!$BE$12,表格1[Name],三國演義!$E21)+SUMIFS(表格1[QTY],表格1[Model],三國演義!$BE$12,表格1[Name],三國演義!$AA21)</f>
        <v>0</v>
      </c>
      <c r="BF21" s="77" t="e">
        <f ca="1">IF($BE21&gt;=$AG21,$BE21*'3月Target'!$W$10,0)</f>
        <v>#N/A</v>
      </c>
      <c r="BG21" s="44">
        <f ca="1">SUMIFS(表格1[QTY],表格1[Model],三國演義!$BG$12,表格1[Name],三國演義!$E21)+SUMIFS(表格1[QTY],表格1[Model],三國演義!$BG$12,表格1[Name],三國演義!$AA21)</f>
        <v>0</v>
      </c>
      <c r="BH21" s="77" t="e">
        <f ca="1">IF($BG21&gt;=$AH21,$BG21*'3月Target'!$W$10,0)</f>
        <v>#N/A</v>
      </c>
      <c r="BI21" s="44">
        <f ca="1">SUMIFS(表格1[QTY],表格1[Model],三國演義!$BI$12,表格1[Name],三國演義!$E21)+SUMIFS(表格1[QTY],表格1[Model],三國演義!$BI$12,表格1[Name],三國演義!$AA21)</f>
        <v>0</v>
      </c>
      <c r="BJ21" s="77" t="e">
        <f ca="1">IF($BI21&gt;=$AI21,$BI21*'3月Target'!$W$11,0)</f>
        <v>#N/A</v>
      </c>
      <c r="BK21" s="44">
        <f ca="1">SUMIFS(表格1[QTY],表格1[Model],三國演義!$BK$12,表格1[Name],三國演義!$E21)+SUMIFS(表格1[QTY],表格1[Model],三國演義!$BK$12,表格1[Name],三國演義!$AA21)</f>
        <v>0</v>
      </c>
      <c r="BL21" s="77" t="e">
        <f ca="1">IF($BK21&gt;=$AJ21,$BK21*'3月Target'!$W$12,0)</f>
        <v>#N/A</v>
      </c>
      <c r="BM21" s="44">
        <f ca="1">SUMIFS(表格1[QTY],表格1[Model],三國演義!$BM$12,表格1[Name],三國演義!$E21)+SUMIFS(表格1[QTY],表格1[Model],三國演義!$BM$12,表格1[Name],三國演義!$AA21)</f>
        <v>0</v>
      </c>
      <c r="BN21" s="77" t="e">
        <f ca="1">IF($BM21&gt;=$AK21,$BM21*'3月Target'!$W$13,0)</f>
        <v>#N/A</v>
      </c>
      <c r="BO21" s="44">
        <f ca="1">SUMIFS(表格1[QTY],表格1[Model],三國演義!$BO$12,表格1[Name],三國演義!$E21)+SUMIFS(表格1[QTY],表格1[Model],三國演義!$BO$12,表格1[Name],三國演義!$AA21)</f>
        <v>0</v>
      </c>
      <c r="BP21" s="77" t="e">
        <f ca="1">IF($BO21&gt;=$AL21,$BO21*'3月Target'!$W$14,0)</f>
        <v>#N/A</v>
      </c>
      <c r="BQ21" s="44">
        <f ca="1">SUMIFS(表格1[QTY],表格1[Model],三國演義!$BQ$12,表格1[Name],三國演義!$E21)+SUMIFS(表格1[QTY],表格1[Model],三國演義!$BQ$12,表格1[Name],三國演義!$AA21)</f>
        <v>0</v>
      </c>
      <c r="BR21" s="77" t="e">
        <f ca="1">IF($BQ21&gt;=$AM21,$BQ21*'3月Target'!$W$15,0)</f>
        <v>#N/A</v>
      </c>
      <c r="BS21" s="44">
        <f ca="1">SUMIFS(表格1[QTY],表格1[Model],三國演義!$BS$12,表格1[Name],三國演義!$E21)+SUMIFS(表格1[QTY],表格1[Model],三國演義!$BS$12,表格1[Name],三國演義!$AA21)</f>
        <v>0</v>
      </c>
      <c r="BT21" s="44">
        <f ca="1">SUMIFS(表格1[QTY],表格1[Model],三國演義!$BT$12,表格1[Name],三國演義!$E21)+SUMIFS(表格1[QTY],表格1[Model],三國演義!$BT$12,表格1[Name],三國演義!$AA21)</f>
        <v>2</v>
      </c>
      <c r="BU21" s="44">
        <f ca="1">SUMIFS(表格1[QTY],表格1[Model],三國演義!$BU$12,表格1[Name],三國演義!$E21)+SUMIFS(表格1[QTY],表格1[Model],三國演義!$BU$12,表格1[Name],三國演義!$AA21)</f>
        <v>0</v>
      </c>
      <c r="BV21" s="44">
        <f ca="1">SUMIFS(表格1[QTY],表格1[Model],三國演義!$BV$12,表格1[Name],三國演義!$E21)+SUMIFS(表格1[QTY],表格1[Model],三國演義!$BV$12,表格1[Name],三國演義!$AA21)</f>
        <v>0</v>
      </c>
      <c r="BW21" s="77" t="e">
        <f ca="1">IF((SUM($BS21:$BV21))&gt;=$AN21,SUM($BS21:$BV21)*'3月Target'!$W$16,0)</f>
        <v>#N/A</v>
      </c>
      <c r="BX21" s="44">
        <f ca="1">SUMIFS(表格1[QTY],表格1[Model],三國演義!$BX$12,表格1[Name],三國演義!$E21)+SUMIFS(表格1[QTY],表格1[Model],三國演義!$BX$12,表格1[Name],三國演義!$AA21)</f>
        <v>0</v>
      </c>
      <c r="BY21" s="77" t="e">
        <f ca="1">IF($BX21&gt;=$AO21,$BX21*'3月Target'!$W$17,0)</f>
        <v>#N/A</v>
      </c>
      <c r="BZ21" s="146">
        <f t="shared" ca="1" si="23"/>
        <v>67587</v>
      </c>
      <c r="CA21" s="77" t="e">
        <f t="shared" ca="1" si="24"/>
        <v>#N/A</v>
      </c>
      <c r="CB21" s="146">
        <f t="shared" ca="1" si="25"/>
        <v>67587</v>
      </c>
      <c r="CC21" s="77" t="e">
        <f t="shared" ca="1" si="26"/>
        <v>#N/A</v>
      </c>
    </row>
    <row r="22" spans="1:81">
      <c r="A22" s="121">
        <f ca="1">Roster!AL14*Roster!AH14+Roster!AM14*Roster!AG14+三國演義!H22+三國演義!I22+三國演義!J22</f>
        <v>1306.08</v>
      </c>
      <c r="B22" s="133">
        <v>0.02</v>
      </c>
      <c r="C22" s="66">
        <v>10</v>
      </c>
      <c r="D22" s="95" t="str">
        <f ca="1">_xlfn.XLOOKUP($E22,表格1[Name],表格1[Shop])</f>
        <v>Broadway</v>
      </c>
      <c r="E22" s="95" t="s">
        <v>1224</v>
      </c>
      <c r="F22" s="96">
        <f ca="1">SUMIF(表格1[Name],$E22,表格1[Total Amount])+SUMIF(表格1[Name],$AA22,表格1[Total Amount])</f>
        <v>17304</v>
      </c>
      <c r="G22" s="161">
        <f ca="1">SUMIF(表格1[Name],$E22,表格1[QTY])+SUMIF(表格1[Name],$AA22,表格1[QTY])</f>
        <v>7</v>
      </c>
      <c r="H22" s="96">
        <f t="shared" ca="1" si="5"/>
        <v>346.08</v>
      </c>
      <c r="I22" s="96"/>
      <c r="J22" s="51">
        <f t="shared" si="6"/>
        <v>0</v>
      </c>
      <c r="K22" s="164"/>
      <c r="L22" s="164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60" t="str">
        <f t="shared" si="4"/>
        <v>Mui Chan_2 off</v>
      </c>
      <c r="AB22" s="71" t="e">
        <f>_xlfn.XLOOKUP($E22,target[NAME],target[RC-DS10K/18K])</f>
        <v>#N/A</v>
      </c>
      <c r="AC22" s="71" t="e">
        <f>_xlfn.XLOOKUP($E22,target[NAME],target[RC-18AMXH(W)])</f>
        <v>#N/A</v>
      </c>
      <c r="AD22" s="71" t="e">
        <f>_xlfn.XLOOKUP($E22,target[NAME],target[EB-T500APW])</f>
        <v>#N/A</v>
      </c>
      <c r="AE22" s="71" t="e">
        <f>_xlfn.XLOOKUP($E22,target[NAME],target[ER-VD7000HK(XK)])</f>
        <v>#N/A</v>
      </c>
      <c r="AF22" s="71" t="e">
        <f>_xlfn.XLOOKUP($E22,target[NAME],target[TWDT21BU95])</f>
        <v>#N/A</v>
      </c>
      <c r="AG22" s="71" t="e">
        <f>_xlfn.XLOOKUP($E22,target[NAME],target[AW-Q800APH(WW)])</f>
        <v>#N/A</v>
      </c>
      <c r="AH22" s="71" t="e">
        <f>_xlfn.XLOOKUP($E22,target[NAME],target[AW-Q801APH(WW)])</f>
        <v>#N/A</v>
      </c>
      <c r="AI22" s="71" t="e">
        <f>_xlfn.XLOOKUP($E22,target[NAME],target[GR-RM469WE-PGA(B3)])</f>
        <v>#N/A</v>
      </c>
      <c r="AJ22" s="71" t="e">
        <f>_xlfn.XLOOKUP($E22,target[NAME],target[GR-RB449WE-PMA(57)])</f>
        <v>#N/A</v>
      </c>
      <c r="AK22" s="71" t="e">
        <f>_xlfn.XLOOKUP($E22,target[NAME],target[GR-RB410WE-PMA(06)])</f>
        <v>#N/A</v>
      </c>
      <c r="AL22" s="71" t="e">
        <f>_xlfn.XLOOKUP($E22,target[NAME],target[GR-RF698WI])</f>
        <v>#N/A</v>
      </c>
      <c r="AM22" s="71" t="e">
        <f>_xlfn.XLOOKUP($E22,target[NAME],target[TWP-W2265THK(W)])</f>
        <v>#N/A</v>
      </c>
      <c r="AN22" s="71" t="e">
        <f>_xlfn.XLOOKUP($E22,target[NAME],target[RAD-D200/250/300/DIA17])</f>
        <v>#N/A</v>
      </c>
      <c r="AO22" s="71" t="e">
        <f>_xlfn.XLOOKUP($E22,target[NAME],target[(Fortress ONLY)TW-T25BZU115MWH(MG) ])</f>
        <v>#N/A</v>
      </c>
      <c r="AP22" s="71" t="e">
        <f>_xlfn.XLOOKUP($E22,target[NAME],target[開門紅(三月)])</f>
        <v>#N/A</v>
      </c>
      <c r="AQ22" s="71" t="e">
        <f>_xlfn.XLOOKUP($E22,target[NAME],target[開門紅(第一季)])</f>
        <v>#N/A</v>
      </c>
      <c r="AR22" s="73">
        <f ca="1">SUMIFS(表格1[QTY],表格1[Model],三國演義!$AR$12,表格1[Name],三國演義!$E22)+SUMIFS(表格1[QTY],表格1[Model],三國演義!$AR$12,表格1[Name],三國演義!$AA22)</f>
        <v>1</v>
      </c>
      <c r="AS22" s="77" t="e">
        <f ca="1">IF($AR22&gt;=$AE22,$AR22*'3月Target'!$W$8,0)</f>
        <v>#N/A</v>
      </c>
      <c r="AT22" s="44">
        <f ca="1">SUMIFS(表格1[QTY],表格1[Model],三國演義!$AT$12,表格1[Name],三國演義!$E22)+SUMIFS(表格1[QTY],表格1[Model],三國演義!$AT$12,表格1[Name],三國演義!$AA22)</f>
        <v>0</v>
      </c>
      <c r="AU22" s="44">
        <f ca="1">SUMIFS(表格1[QTY],表格1[Model],三國演義!$AU$12,表格1[Name],三國演義!$E22)+SUMIFS(表格1[QTY],表格1[Model],三國演義!$AU$12,表格1[Name],三國演義!$AA22)</f>
        <v>0</v>
      </c>
      <c r="AV22" s="44">
        <f ca="1">SUMIFS(表格1[QTY],表格1[Model],三國演義!$AV$12,表格1[Name],三國演義!$E22)+SUMIFS(表格1[QTY],表格1[Model],三國演義!$AV$12,表格1[Name],三國演義!$AA22)</f>
        <v>0</v>
      </c>
      <c r="AW22" s="44">
        <f ca="1">SUMIFS(表格1[QTY],表格1[Model],三國演義!$AW$12,表格1[Name],三國演義!$E22)+SUMIFS(表格1[QTY],表格1[Model],三國演義!$AW$12,表格1[Name],三國演義!$AA22)</f>
        <v>0</v>
      </c>
      <c r="AX22" s="50" t="e">
        <f ca="1">IF((SUM($AT22:$AW22))&gt;=$AB22,SUM($AT22:$AW22)*'3月Target'!$W$5,0)</f>
        <v>#N/A</v>
      </c>
      <c r="AY22" s="44">
        <f ca="1">SUMIFS(表格1[QTY],表格1[Model],三國演義!$AY$12,表格1[Name],三國演義!$E22)+SUMIFS(表格1[QTY],表格1[Model],三國演義!$AY$12,表格1[Name],三國演義!$AA22)</f>
        <v>0</v>
      </c>
      <c r="AZ22" s="77" t="e">
        <f ca="1">IF($AY22&gt;=$AC22,$AY22*'3月Target'!$W$6,0)</f>
        <v>#N/A</v>
      </c>
      <c r="BA22" s="44">
        <f ca="1">SUMIFS(表格1[QTY],表格1[Model],三國演義!$BA$12,表格1[Name],三國演義!$E22)+SUMIFS(表格1[QTY],表格1[Model],三國演義!$BA$12,表格1[Name],三國演義!$AA22)</f>
        <v>0</v>
      </c>
      <c r="BB22" s="77" t="e">
        <f ca="1">IF($BA22&gt;=$AD22,$BA22*'3月Target'!$W$7,0)</f>
        <v>#N/A</v>
      </c>
      <c r="BC22" s="44">
        <f ca="1">SUMIFS(表格1[QTY],表格1[Model],三國演義!$BC$12,表格1[Name],三國演義!$E22)+SUMIFS(表格1[QTY],表格1[Model],三國演義!$BC$12,表格1[Name],三國演義!$AA22)</f>
        <v>0</v>
      </c>
      <c r="BD22" s="77" t="e">
        <f ca="1">IF($BC22&gt;=$AF22,$BC22*'3月Target'!$W$9,0)</f>
        <v>#N/A</v>
      </c>
      <c r="BE22" s="44">
        <f ca="1">SUMIFS(表格1[QTY],表格1[Model],三國演義!$BE$12,表格1[Name],三國演義!$E22)+SUMIFS(表格1[QTY],表格1[Model],三國演義!$BE$12,表格1[Name],三國演義!$AA22)</f>
        <v>0</v>
      </c>
      <c r="BF22" s="77" t="e">
        <f ca="1">IF($BE22&gt;=$AG22,$BE22*'3月Target'!$W$10,0)</f>
        <v>#N/A</v>
      </c>
      <c r="BG22" s="44">
        <f ca="1">SUMIFS(表格1[QTY],表格1[Model],三國演義!$BG$12,表格1[Name],三國演義!$E22)+SUMIFS(表格1[QTY],表格1[Model],三國演義!$BG$12,表格1[Name],三國演義!$AA22)</f>
        <v>0</v>
      </c>
      <c r="BH22" s="77" t="e">
        <f ca="1">IF($BG22&gt;=$AH22,$BG22*'3月Target'!$W$10,0)</f>
        <v>#N/A</v>
      </c>
      <c r="BI22" s="44">
        <f ca="1">SUMIFS(表格1[QTY],表格1[Model],三國演義!$BI$12,表格1[Name],三國演義!$E22)+SUMIFS(表格1[QTY],表格1[Model],三國演義!$BI$12,表格1[Name],三國演義!$AA22)</f>
        <v>0</v>
      </c>
      <c r="BJ22" s="77" t="e">
        <f ca="1">IF($BI22&gt;=$AI22,$BI22*'3月Target'!$W$11,0)</f>
        <v>#N/A</v>
      </c>
      <c r="BK22" s="44">
        <f ca="1">SUMIFS(表格1[QTY],表格1[Model],三國演義!$BK$12,表格1[Name],三國演義!$E22)+SUMIFS(表格1[QTY],表格1[Model],三國演義!$BK$12,表格1[Name],三國演義!$AA22)</f>
        <v>0</v>
      </c>
      <c r="BL22" s="77" t="e">
        <f ca="1">IF($BK22&gt;=$AJ22,$BK22*'3月Target'!$W$12,0)</f>
        <v>#N/A</v>
      </c>
      <c r="BM22" s="44">
        <f ca="1">SUMIFS(表格1[QTY],表格1[Model],三國演義!$BM$12,表格1[Name],三國演義!$E22)+SUMIFS(表格1[QTY],表格1[Model],三國演義!$BM$12,表格1[Name],三國演義!$AA22)</f>
        <v>0</v>
      </c>
      <c r="BN22" s="77" t="e">
        <f ca="1">IF($BM22&gt;=$AK22,$BM22*'3月Target'!$W$13,0)</f>
        <v>#N/A</v>
      </c>
      <c r="BO22" s="44">
        <f ca="1">SUMIFS(表格1[QTY],表格1[Model],三國演義!$BO$12,表格1[Name],三國演義!$E22)+SUMIFS(表格1[QTY],表格1[Model],三國演義!$BO$12,表格1[Name],三國演義!$AA22)</f>
        <v>0</v>
      </c>
      <c r="BP22" s="77" t="e">
        <f ca="1">IF($BO22&gt;=$AL22,$BO22*'3月Target'!$W$14,0)</f>
        <v>#N/A</v>
      </c>
      <c r="BQ22" s="44">
        <f ca="1">SUMIFS(表格1[QTY],表格1[Model],三國演義!$BQ$12,表格1[Name],三國演義!$E22)+SUMIFS(表格1[QTY],表格1[Model],三國演義!$BQ$12,表格1[Name],三國演義!$AA22)</f>
        <v>0</v>
      </c>
      <c r="BR22" s="77" t="e">
        <f ca="1">IF($BQ22&gt;=$AM22,$BQ22*'3月Target'!$W$15,0)</f>
        <v>#N/A</v>
      </c>
      <c r="BS22" s="44">
        <f ca="1">SUMIFS(表格1[QTY],表格1[Model],三國演義!$BS$12,表格1[Name],三國演義!$E22)+SUMIFS(表格1[QTY],表格1[Model],三國演義!$BS$12,表格1[Name],三國演義!$AA22)</f>
        <v>0</v>
      </c>
      <c r="BT22" s="44">
        <f ca="1">SUMIFS(表格1[QTY],表格1[Model],三國演義!$BT$12,表格1[Name],三國演義!$E22)+SUMIFS(表格1[QTY],表格1[Model],三國演義!$BT$12,表格1[Name],三國演義!$AA22)</f>
        <v>0</v>
      </c>
      <c r="BU22" s="44">
        <f ca="1">SUMIFS(表格1[QTY],表格1[Model],三國演義!$BU$12,表格1[Name],三國演義!$E22)+SUMIFS(表格1[QTY],表格1[Model],三國演義!$BU$12,表格1[Name],三國演義!$AA22)</f>
        <v>0</v>
      </c>
      <c r="BV22" s="44">
        <f ca="1">SUMIFS(表格1[QTY],表格1[Model],三國演義!$BV$12,表格1[Name],三國演義!$E22)+SUMIFS(表格1[QTY],表格1[Model],三國演義!$BV$12,表格1[Name],三國演義!$AA22)</f>
        <v>0</v>
      </c>
      <c r="BW22" s="77" t="e">
        <f ca="1">IF((SUM($BS22:$BV22))&gt;=$AN22,SUM($BS22:$BV22)*'3月Target'!$W$16,0)</f>
        <v>#N/A</v>
      </c>
      <c r="BX22" s="44">
        <f ca="1">SUMIFS(表格1[QTY],表格1[Model],三國演義!$BX$12,表格1[Name],三國演義!$E22)+SUMIFS(表格1[QTY],表格1[Model],三國演義!$BX$12,表格1[Name],三國演義!$AA22)</f>
        <v>0</v>
      </c>
      <c r="BY22" s="77" t="e">
        <f ca="1">IF($BX22&gt;=$AO22,$BX22*'3月Target'!$W$17,0)</f>
        <v>#N/A</v>
      </c>
      <c r="BZ22" s="146">
        <f t="shared" ca="1" si="23"/>
        <v>17304</v>
      </c>
      <c r="CA22" s="77" t="e">
        <f t="shared" ca="1" si="24"/>
        <v>#N/A</v>
      </c>
      <c r="CB22" s="146">
        <f t="shared" ca="1" si="25"/>
        <v>17304</v>
      </c>
      <c r="CC22" s="77" t="e">
        <f t="shared" ca="1" si="26"/>
        <v>#N/A</v>
      </c>
    </row>
    <row r="23" spans="1:81">
      <c r="A23" s="121">
        <f ca="1">Roster!AL15*Roster!AH15+Roster!AM15*Roster!AG15+三國演義!H23+三國演義!I23+三國演義!J23</f>
        <v>11330.880000000001</v>
      </c>
      <c r="B23" s="133">
        <v>0.02</v>
      </c>
      <c r="C23" s="66">
        <v>11</v>
      </c>
      <c r="D23" s="95" t="str">
        <f ca="1">_xlfn.XLOOKUP($E23,表格1[Name],表格1[Shop])</f>
        <v>Citistore</v>
      </c>
      <c r="E23" s="95" t="s">
        <v>2079</v>
      </c>
      <c r="F23" s="96">
        <f ca="1">SUMIF(表格1[Name],$E23,表格1[Total Amount])+SUMIF(表格1[Name],$AA23,表格1[Total Amount])</f>
        <v>134544</v>
      </c>
      <c r="G23" s="161">
        <f ca="1">SUMIF(表格1[Name],$E23,表格1[QTY])+SUMIF(表格1[Name],$AA23,表格1[QTY])</f>
        <v>114</v>
      </c>
      <c r="H23" s="96">
        <f t="shared" ca="1" si="5"/>
        <v>2690.88</v>
      </c>
      <c r="I23" s="96"/>
      <c r="J23" s="51">
        <f t="shared" ca="1" si="6"/>
        <v>0</v>
      </c>
      <c r="K23" s="163">
        <f t="shared" ca="1" si="7"/>
        <v>0</v>
      </c>
      <c r="L23" s="163">
        <f t="shared" ca="1" si="8"/>
        <v>0</v>
      </c>
      <c r="M23" s="44">
        <f t="shared" ca="1" si="9"/>
        <v>0</v>
      </c>
      <c r="N23" s="44">
        <f t="shared" ca="1" si="10"/>
        <v>0</v>
      </c>
      <c r="O23" s="44">
        <f t="shared" ca="1" si="11"/>
        <v>0</v>
      </c>
      <c r="P23" s="44">
        <f t="shared" ca="1" si="12"/>
        <v>0</v>
      </c>
      <c r="Q23" s="44">
        <f t="shared" ca="1" si="13"/>
        <v>0</v>
      </c>
      <c r="R23" s="44">
        <f t="shared" ca="1" si="14"/>
        <v>0</v>
      </c>
      <c r="S23" s="44">
        <f t="shared" ca="1" si="15"/>
        <v>0</v>
      </c>
      <c r="T23" s="44">
        <f t="shared" ca="1" si="16"/>
        <v>0</v>
      </c>
      <c r="U23" s="44">
        <f t="shared" ca="1" si="17"/>
        <v>0</v>
      </c>
      <c r="V23" s="44">
        <f t="shared" ca="1" si="18"/>
        <v>0</v>
      </c>
      <c r="W23" s="44">
        <f t="shared" ca="1" si="19"/>
        <v>0</v>
      </c>
      <c r="X23" s="44">
        <f t="shared" ca="1" si="20"/>
        <v>0</v>
      </c>
      <c r="Y23" s="44">
        <f t="shared" ca="1" si="21"/>
        <v>0</v>
      </c>
      <c r="Z23" s="44">
        <f t="shared" ca="1" si="22"/>
        <v>0</v>
      </c>
      <c r="AA23" s="60" t="str">
        <f t="shared" si="4"/>
        <v>Shan_1 off</v>
      </c>
      <c r="AB23" s="71">
        <f>_xlfn.XLOOKUP($E23,target[NAME],target[RC-DS10K/18K])</f>
        <v>4</v>
      </c>
      <c r="AC23" s="71">
        <f>_xlfn.XLOOKUP($E23,target[NAME],target[RC-18AMXH(W)])</f>
        <v>4</v>
      </c>
      <c r="AD23" s="71">
        <f>_xlfn.XLOOKUP($E23,target[NAME],target[EB-T500APW])</f>
        <v>1</v>
      </c>
      <c r="AE23" s="71">
        <f>_xlfn.XLOOKUP($E23,target[NAME],target[ER-VD7000HK(XK)])</f>
        <v>2</v>
      </c>
      <c r="AF23" s="71">
        <f>_xlfn.XLOOKUP($E23,target[NAME],target[TWDT21BU95])</f>
        <v>2</v>
      </c>
      <c r="AG23" s="71">
        <f>_xlfn.XLOOKUP($E23,target[NAME],target[AW-Q800APH(WW)])</f>
        <v>1000</v>
      </c>
      <c r="AH23" s="71">
        <f>_xlfn.XLOOKUP($E23,target[NAME],target[AW-Q801APH(WW)])</f>
        <v>5</v>
      </c>
      <c r="AI23" s="71">
        <f>_xlfn.XLOOKUP($E23,target[NAME],target[GR-RM469WE-PGA(B3)])</f>
        <v>2</v>
      </c>
      <c r="AJ23" s="71">
        <f>_xlfn.XLOOKUP($E23,target[NAME],target[GR-RB449WE-PMA(57)])</f>
        <v>2</v>
      </c>
      <c r="AK23" s="71">
        <f>_xlfn.XLOOKUP($E23,target[NAME],target[GR-RB410WE-PMA(06)])</f>
        <v>2</v>
      </c>
      <c r="AL23" s="71">
        <f>_xlfn.XLOOKUP($E23,target[NAME],target[GR-RF698WI])</f>
        <v>1</v>
      </c>
      <c r="AM23" s="71">
        <f>_xlfn.XLOOKUP($E23,target[NAME],target[TWP-W2265THK(W)])</f>
        <v>2</v>
      </c>
      <c r="AN23" s="71">
        <f>_xlfn.XLOOKUP($E23,target[NAME],target[RAD-D200/250/300/DIA17])</f>
        <v>48</v>
      </c>
      <c r="AO23" s="71">
        <f>_xlfn.XLOOKUP($E23,target[NAME],target[(Fortress ONLY)TW-T25BZU115MWH(MG) ])</f>
        <v>1000</v>
      </c>
      <c r="AP23" s="71">
        <f>_xlfn.XLOOKUP($E23,target[NAME],target[開門紅(三月)])</f>
        <v>395600</v>
      </c>
      <c r="AQ23" s="71">
        <f>_xlfn.XLOOKUP($E23,target[NAME],target[開門紅(第一季)])</f>
        <v>737903.39999999991</v>
      </c>
      <c r="AR23" s="73">
        <f ca="1">SUMIFS(表格1[QTY],表格1[Model],三國演義!$AR$12,表格1[Name],三國演義!$E23)+SUMIFS(表格1[QTY],表格1[Model],三國演義!$AR$12,表格1[Name],三國演義!$AA23)</f>
        <v>0</v>
      </c>
      <c r="AS23" s="77">
        <f ca="1">IF($AR23&gt;=$AE23,$AR23*'3月Target'!$W$8,0)</f>
        <v>0</v>
      </c>
      <c r="AT23" s="44">
        <f ca="1">SUMIFS(表格1[QTY],表格1[Model],三國演義!$AT$12,表格1[Name],三國演義!$E23)+SUMIFS(表格1[QTY],表格1[Model],三國演義!$AT$12,表格1[Name],三國演義!$AA23)</f>
        <v>0</v>
      </c>
      <c r="AU23" s="44">
        <f ca="1">SUMIFS(表格1[QTY],表格1[Model],三國演義!$AU$12,表格1[Name],三國演義!$E23)+SUMIFS(表格1[QTY],表格1[Model],三國演義!$AU$12,表格1[Name],三國演義!$AA23)</f>
        <v>0</v>
      </c>
      <c r="AV23" s="44">
        <f ca="1">SUMIFS(表格1[QTY],表格1[Model],三國演義!$AV$12,表格1[Name],三國演義!$E23)+SUMIFS(表格1[QTY],表格1[Model],三國演義!$AV$12,表格1[Name],三國演義!$AA23)</f>
        <v>0</v>
      </c>
      <c r="AW23" s="44">
        <f ca="1">SUMIFS(表格1[QTY],表格1[Model],三國演義!$AW$12,表格1[Name],三國演義!$E23)+SUMIFS(表格1[QTY],表格1[Model],三國演義!$AW$12,表格1[Name],三國演義!$AA23)</f>
        <v>0</v>
      </c>
      <c r="AX23" s="50">
        <f ca="1">IF((SUM($AT23:$AW23))&gt;=$AB23,SUM($AT23:$AW23)*'3月Target'!$W$5,0)</f>
        <v>0</v>
      </c>
      <c r="AY23" s="44">
        <f ca="1">SUMIFS(表格1[QTY],表格1[Model],三國演義!$AY$12,表格1[Name],三國演義!$E23)+SUMIFS(表格1[QTY],表格1[Model],三國演義!$AY$12,表格1[Name],三國演義!$AA23)</f>
        <v>0</v>
      </c>
      <c r="AZ23" s="77">
        <f ca="1">IF($AY23&gt;=$AC23,$AY23*'3月Target'!$W$6,0)</f>
        <v>0</v>
      </c>
      <c r="BA23" s="44">
        <f ca="1">SUMIFS(表格1[QTY],表格1[Model],三國演義!$BA$12,表格1[Name],三國演義!$E23)+SUMIFS(表格1[QTY],表格1[Model],三國演義!$BA$12,表格1[Name],三國演義!$AA23)</f>
        <v>0</v>
      </c>
      <c r="BB23" s="77">
        <f ca="1">IF($BA23&gt;=$AD23,$BA23*'3月Target'!$W$7,0)</f>
        <v>0</v>
      </c>
      <c r="BC23" s="44">
        <f ca="1">SUMIFS(表格1[QTY],表格1[Model],三國演義!$BC$12,表格1[Name],三國演義!$E23)+SUMIFS(表格1[QTY],表格1[Model],三國演義!$BC$12,表格1[Name],三國演義!$AA23)</f>
        <v>0</v>
      </c>
      <c r="BD23" s="77">
        <f ca="1">IF($BC23&gt;=$AF23,$BC23*'3月Target'!$W$9,0)</f>
        <v>0</v>
      </c>
      <c r="BE23" s="44">
        <f ca="1">SUMIFS(表格1[QTY],表格1[Model],三國演義!$BE$12,表格1[Name],三國演義!$E23)+SUMIFS(表格1[QTY],表格1[Model],三國演義!$BE$12,表格1[Name],三國演義!$AA23)</f>
        <v>0</v>
      </c>
      <c r="BF23" s="77">
        <f ca="1">IF($BE23&gt;=$AG23,$BE23*'3月Target'!$W$10,0)</f>
        <v>0</v>
      </c>
      <c r="BG23" s="44">
        <f ca="1">SUMIFS(表格1[QTY],表格1[Model],三國演義!$BG$12,表格1[Name],三國演義!$E23)+SUMIFS(表格1[QTY],表格1[Model],三國演義!$BG$12,表格1[Name],三國演義!$AA23)</f>
        <v>0</v>
      </c>
      <c r="BH23" s="77">
        <f ca="1">IF($BG23&gt;=$AH23,$BG23*'3月Target'!$W$10,0)</f>
        <v>0</v>
      </c>
      <c r="BI23" s="44">
        <f ca="1">SUMIFS(表格1[QTY],表格1[Model],三國演義!$BI$12,表格1[Name],三國演義!$E23)+SUMIFS(表格1[QTY],表格1[Model],三國演義!$BI$12,表格1[Name],三國演義!$AA23)</f>
        <v>0</v>
      </c>
      <c r="BJ23" s="77">
        <f ca="1">IF($BI23&gt;=$AI23,$BI23*'3月Target'!$W$11,0)</f>
        <v>0</v>
      </c>
      <c r="BK23" s="44">
        <f ca="1">SUMIFS(表格1[QTY],表格1[Model],三國演義!$BK$12,表格1[Name],三國演義!$E23)+SUMIFS(表格1[QTY],表格1[Model],三國演義!$BK$12,表格1[Name],三國演義!$AA23)</f>
        <v>0</v>
      </c>
      <c r="BL23" s="77">
        <f ca="1">IF($BK23&gt;=$AJ23,$BK23*'3月Target'!$W$12,0)</f>
        <v>0</v>
      </c>
      <c r="BM23" s="44">
        <f ca="1">SUMIFS(表格1[QTY],表格1[Model],三國演義!$BM$12,表格1[Name],三國演義!$E23)+SUMIFS(表格1[QTY],表格1[Model],三國演義!$BM$12,表格1[Name],三國演義!$AA23)</f>
        <v>0</v>
      </c>
      <c r="BN23" s="77">
        <f ca="1">IF($BM23&gt;=$AK23,$BM23*'3月Target'!$W$13,0)</f>
        <v>0</v>
      </c>
      <c r="BO23" s="44">
        <f ca="1">SUMIFS(表格1[QTY],表格1[Model],三國演義!$BO$12,表格1[Name],三國演義!$E23)+SUMIFS(表格1[QTY],表格1[Model],三國演義!$BO$12,表格1[Name],三國演義!$AA23)</f>
        <v>0</v>
      </c>
      <c r="BP23" s="77">
        <f ca="1">IF($BO23&gt;=$AL23,$BO23*'3月Target'!$W$14,0)</f>
        <v>0</v>
      </c>
      <c r="BQ23" s="44">
        <f ca="1">SUMIFS(表格1[QTY],表格1[Model],三國演義!$BQ$12,表格1[Name],三國演義!$E23)+SUMIFS(表格1[QTY],表格1[Model],三國演義!$BQ$12,表格1[Name],三國演義!$AA23)</f>
        <v>0</v>
      </c>
      <c r="BR23" s="77">
        <f ca="1">IF($BQ23&gt;=$AM23,$BQ23*'3月Target'!$W$15,0)</f>
        <v>0</v>
      </c>
      <c r="BS23" s="44">
        <f ca="1">SUMIFS(表格1[QTY],表格1[Model],三國演義!$BS$12,表格1[Name],三國演義!$E23)+SUMIFS(表格1[QTY],表格1[Model],三國演義!$BS$12,表格1[Name],三國演義!$AA23)</f>
        <v>6</v>
      </c>
      <c r="BT23" s="44">
        <f ca="1">SUMIFS(表格1[QTY],表格1[Model],三國演義!$BT$12,表格1[Name],三國演義!$E23)+SUMIFS(表格1[QTY],表格1[Model],三國演義!$BT$12,表格1[Name],三國演義!$AA23)</f>
        <v>0</v>
      </c>
      <c r="BU23" s="44">
        <f ca="1">SUMIFS(表格1[QTY],表格1[Model],三國演義!$BU$12,表格1[Name],三國演義!$E23)+SUMIFS(表格1[QTY],表格1[Model],三國演義!$BU$12,表格1[Name],三國演義!$AA23)</f>
        <v>15</v>
      </c>
      <c r="BV23" s="44">
        <f ca="1">SUMIFS(表格1[QTY],表格1[Model],三國演義!$BV$12,表格1[Name],三國演義!$E23)+SUMIFS(表格1[QTY],表格1[Model],三國演義!$BV$12,表格1[Name],三國演義!$AA23)</f>
        <v>0</v>
      </c>
      <c r="BW23" s="77">
        <f ca="1">IF((SUM($BS23:$BV23))&gt;=$AN23,SUM($BS23:$BV23)*'3月Target'!$W$16,0)</f>
        <v>0</v>
      </c>
      <c r="BX23" s="44">
        <f ca="1">SUMIFS(表格1[QTY],表格1[Model],三國演義!$BX$12,表格1[Name],三國演義!$E23)+SUMIFS(表格1[QTY],表格1[Model],三國演義!$BX$12,表格1[Name],三國演義!$AA23)</f>
        <v>0</v>
      </c>
      <c r="BY23" s="77">
        <f ca="1">IF($BX23&gt;=$AO23,$BX23*'3月Target'!$W$17,0)</f>
        <v>0</v>
      </c>
      <c r="BZ23" s="146">
        <f t="shared" ca="1" si="23"/>
        <v>134544</v>
      </c>
      <c r="CA23" s="77">
        <f t="shared" ca="1" si="24"/>
        <v>0</v>
      </c>
      <c r="CB23" s="146">
        <f t="shared" ca="1" si="25"/>
        <v>134544</v>
      </c>
      <c r="CC23" s="77">
        <f t="shared" ca="1" si="26"/>
        <v>0</v>
      </c>
    </row>
    <row r="24" spans="1:81">
      <c r="A24" s="121">
        <f ca="1">Roster!AL16*Roster!AH16+Roster!AM16*Roster!AG16+三國演義!H24+三國演義!I24+三國演義!J24</f>
        <v>4344.0600000000004</v>
      </c>
      <c r="B24" s="133">
        <v>0.02</v>
      </c>
      <c r="C24" s="66">
        <v>12</v>
      </c>
      <c r="D24" s="95" t="str">
        <f ca="1">_xlfn.XLOOKUP($E24,表格1[Name],表格1[Shop])</f>
        <v>Citistore</v>
      </c>
      <c r="E24" s="95" t="s">
        <v>1216</v>
      </c>
      <c r="F24" s="96">
        <f ca="1">SUMIF(表格1[Name],$E24,表格1[Total Amount])+SUMIF(表格1[Name],$AA24,表格1[Total Amount])</f>
        <v>28203</v>
      </c>
      <c r="G24" s="161">
        <f ca="1">SUMIF(表格1[Name],$E24,表格1[QTY])+SUMIF(表格1[Name],$AA24,表格1[QTY])</f>
        <v>29</v>
      </c>
      <c r="H24" s="96">
        <f t="shared" ca="1" si="5"/>
        <v>564.06000000000006</v>
      </c>
      <c r="I24" s="96"/>
      <c r="J24" s="51">
        <f t="shared" si="6"/>
        <v>0</v>
      </c>
      <c r="K24" s="164"/>
      <c r="L24" s="164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60" t="str">
        <f t="shared" si="4"/>
        <v>Wendy Wong_1 off</v>
      </c>
      <c r="AB24" s="71" t="e">
        <f>_xlfn.XLOOKUP($E24,target[NAME],target[RC-DS10K/18K])</f>
        <v>#N/A</v>
      </c>
      <c r="AC24" s="71" t="e">
        <f>_xlfn.XLOOKUP($E24,target[NAME],target[RC-18AMXH(W)])</f>
        <v>#N/A</v>
      </c>
      <c r="AD24" s="71" t="e">
        <f>_xlfn.XLOOKUP($E24,target[NAME],target[EB-T500APW])</f>
        <v>#N/A</v>
      </c>
      <c r="AE24" s="71" t="e">
        <f>_xlfn.XLOOKUP($E24,target[NAME],target[ER-VD7000HK(XK)])</f>
        <v>#N/A</v>
      </c>
      <c r="AF24" s="71" t="e">
        <f>_xlfn.XLOOKUP($E24,target[NAME],target[TWDT21BU95])</f>
        <v>#N/A</v>
      </c>
      <c r="AG24" s="71" t="e">
        <f>_xlfn.XLOOKUP($E24,target[NAME],target[AW-Q800APH(WW)])</f>
        <v>#N/A</v>
      </c>
      <c r="AH24" s="71" t="e">
        <f>_xlfn.XLOOKUP($E24,target[NAME],target[AW-Q801APH(WW)])</f>
        <v>#N/A</v>
      </c>
      <c r="AI24" s="71" t="e">
        <f>_xlfn.XLOOKUP($E24,target[NAME],target[GR-RM469WE-PGA(B3)])</f>
        <v>#N/A</v>
      </c>
      <c r="AJ24" s="71" t="e">
        <f>_xlfn.XLOOKUP($E24,target[NAME],target[GR-RB449WE-PMA(57)])</f>
        <v>#N/A</v>
      </c>
      <c r="AK24" s="71" t="e">
        <f>_xlfn.XLOOKUP($E24,target[NAME],target[GR-RB410WE-PMA(06)])</f>
        <v>#N/A</v>
      </c>
      <c r="AL24" s="71" t="e">
        <f>_xlfn.XLOOKUP($E24,target[NAME],target[GR-RF698WI])</f>
        <v>#N/A</v>
      </c>
      <c r="AM24" s="71" t="e">
        <f>_xlfn.XLOOKUP($E24,target[NAME],target[TWP-W2265THK(W)])</f>
        <v>#N/A</v>
      </c>
      <c r="AN24" s="71" t="e">
        <f>_xlfn.XLOOKUP($E24,target[NAME],target[RAD-D200/250/300/DIA17])</f>
        <v>#N/A</v>
      </c>
      <c r="AO24" s="71" t="e">
        <f>_xlfn.XLOOKUP($E24,target[NAME],target[(Fortress ONLY)TW-T25BZU115MWH(MG) ])</f>
        <v>#N/A</v>
      </c>
      <c r="AP24" s="71" t="e">
        <f>_xlfn.XLOOKUP($E24,target[NAME],target[開門紅(三月)])</f>
        <v>#N/A</v>
      </c>
      <c r="AQ24" s="71" t="e">
        <f>_xlfn.XLOOKUP($E24,target[NAME],target[開門紅(第一季)])</f>
        <v>#N/A</v>
      </c>
      <c r="AR24" s="73">
        <f ca="1">SUMIFS(表格1[QTY],表格1[Model],三國演義!$AR$12,表格1[Name],三國演義!$E24)+SUMIFS(表格1[QTY],表格1[Model],三國演義!$AR$12,表格1[Name],三國演義!$AA24)</f>
        <v>0</v>
      </c>
      <c r="AS24" s="77" t="e">
        <f ca="1">IF($AR24&gt;=$AE24,$AR24*'3月Target'!$W$8,0)</f>
        <v>#N/A</v>
      </c>
      <c r="AT24" s="44">
        <f ca="1">SUMIFS(表格1[QTY],表格1[Model],三國演義!$AT$12,表格1[Name],三國演義!$E24)+SUMIFS(表格1[QTY],表格1[Model],三國演義!$AT$12,表格1[Name],三國演義!$AA24)</f>
        <v>0</v>
      </c>
      <c r="AU24" s="44">
        <f ca="1">SUMIFS(表格1[QTY],表格1[Model],三國演義!$AU$12,表格1[Name],三國演義!$E24)+SUMIFS(表格1[QTY],表格1[Model],三國演義!$AU$12,表格1[Name],三國演義!$AA24)</f>
        <v>0</v>
      </c>
      <c r="AV24" s="44">
        <f ca="1">SUMIFS(表格1[QTY],表格1[Model],三國演義!$AV$12,表格1[Name],三國演義!$E24)+SUMIFS(表格1[QTY],表格1[Model],三國演義!$AV$12,表格1[Name],三國演義!$AA24)</f>
        <v>0</v>
      </c>
      <c r="AW24" s="44">
        <f ca="1">SUMIFS(表格1[QTY],表格1[Model],三國演義!$AW$12,表格1[Name],三國演義!$E24)+SUMIFS(表格1[QTY],表格1[Model],三國演義!$AW$12,表格1[Name],三國演義!$AA24)</f>
        <v>0</v>
      </c>
      <c r="AX24" s="50" t="e">
        <f ca="1">IF((SUM($AT24:$AW24))&gt;=$AB24,SUM($AT24:$AW24)*'3月Target'!$W$5,0)</f>
        <v>#N/A</v>
      </c>
      <c r="AY24" s="44">
        <f ca="1">SUMIFS(表格1[QTY],表格1[Model],三國演義!$AY$12,表格1[Name],三國演義!$E24)+SUMIFS(表格1[QTY],表格1[Model],三國演義!$AY$12,表格1[Name],三國演義!$AA24)</f>
        <v>0</v>
      </c>
      <c r="AZ24" s="77" t="e">
        <f ca="1">IF($AY24&gt;=$AC24,$AY24*'3月Target'!$W$6,0)</f>
        <v>#N/A</v>
      </c>
      <c r="BA24" s="44">
        <f ca="1">SUMIFS(表格1[QTY],表格1[Model],三國演義!$BA$12,表格1[Name],三國演義!$E24)+SUMIFS(表格1[QTY],表格1[Model],三國演義!$BA$12,表格1[Name],三國演義!$AA24)</f>
        <v>0</v>
      </c>
      <c r="BB24" s="77" t="e">
        <f ca="1">IF($BA24&gt;=$AD24,$BA24*'3月Target'!$W$7,0)</f>
        <v>#N/A</v>
      </c>
      <c r="BC24" s="44">
        <f ca="1">SUMIFS(表格1[QTY],表格1[Model],三國演義!$BC$12,表格1[Name],三國演義!$E24)+SUMIFS(表格1[QTY],表格1[Model],三國演義!$BC$12,表格1[Name],三國演義!$AA24)</f>
        <v>0</v>
      </c>
      <c r="BD24" s="77" t="e">
        <f ca="1">IF($BC24&gt;=$AF24,$BC24*'3月Target'!$W$9,0)</f>
        <v>#N/A</v>
      </c>
      <c r="BE24" s="44">
        <f ca="1">SUMIFS(表格1[QTY],表格1[Model],三國演義!$BE$12,表格1[Name],三國演義!$E24)+SUMIFS(表格1[QTY],表格1[Model],三國演義!$BE$12,表格1[Name],三國演義!$AA24)</f>
        <v>0</v>
      </c>
      <c r="BF24" s="77" t="e">
        <f ca="1">IF($BE24&gt;=$AG24,$BE24*'3月Target'!$W$10,0)</f>
        <v>#N/A</v>
      </c>
      <c r="BG24" s="44">
        <f ca="1">SUMIFS(表格1[QTY],表格1[Model],三國演義!$BG$12,表格1[Name],三國演義!$E24)+SUMIFS(表格1[QTY],表格1[Model],三國演義!$BG$12,表格1[Name],三國演義!$AA24)</f>
        <v>0</v>
      </c>
      <c r="BH24" s="77" t="e">
        <f ca="1">IF($BG24&gt;=$AH24,$BG24*'3月Target'!$W$10,0)</f>
        <v>#N/A</v>
      </c>
      <c r="BI24" s="44">
        <f ca="1">SUMIFS(表格1[QTY],表格1[Model],三國演義!$BI$12,表格1[Name],三國演義!$E24)+SUMIFS(表格1[QTY],表格1[Model],三國演義!$BI$12,表格1[Name],三國演義!$AA24)</f>
        <v>0</v>
      </c>
      <c r="BJ24" s="77" t="e">
        <f ca="1">IF($BI24&gt;=$AI24,$BI24*'3月Target'!$W$11,0)</f>
        <v>#N/A</v>
      </c>
      <c r="BK24" s="44">
        <f ca="1">SUMIFS(表格1[QTY],表格1[Model],三國演義!$BK$12,表格1[Name],三國演義!$E24)+SUMIFS(表格1[QTY],表格1[Model],三國演義!$BK$12,表格1[Name],三國演義!$AA24)</f>
        <v>0</v>
      </c>
      <c r="BL24" s="77" t="e">
        <f ca="1">IF($BK24&gt;=$AJ24,$BK24*'3月Target'!$W$12,0)</f>
        <v>#N/A</v>
      </c>
      <c r="BM24" s="44">
        <f ca="1">SUMIFS(表格1[QTY],表格1[Model],三國演義!$BM$12,表格1[Name],三國演義!$E24)+SUMIFS(表格1[QTY],表格1[Model],三國演義!$BM$12,表格1[Name],三國演義!$AA24)</f>
        <v>0</v>
      </c>
      <c r="BN24" s="77" t="e">
        <f ca="1">IF($BM24&gt;=$AK24,$BM24*'3月Target'!$W$13,0)</f>
        <v>#N/A</v>
      </c>
      <c r="BO24" s="44">
        <f ca="1">SUMIFS(表格1[QTY],表格1[Model],三國演義!$BO$12,表格1[Name],三國演義!$E24)+SUMIFS(表格1[QTY],表格1[Model],三國演義!$BO$12,表格1[Name],三國演義!$AA24)</f>
        <v>0</v>
      </c>
      <c r="BP24" s="77" t="e">
        <f ca="1">IF($BO24&gt;=$AL24,$BO24*'3月Target'!$W$14,0)</f>
        <v>#N/A</v>
      </c>
      <c r="BQ24" s="44">
        <f ca="1">SUMIFS(表格1[QTY],表格1[Model],三國演義!$BQ$12,表格1[Name],三國演義!$E24)+SUMIFS(表格1[QTY],表格1[Model],三國演義!$BQ$12,表格1[Name],三國演義!$AA24)</f>
        <v>0</v>
      </c>
      <c r="BR24" s="77" t="e">
        <f ca="1">IF($BQ24&gt;=$AM24,$BQ24*'3月Target'!$W$15,0)</f>
        <v>#N/A</v>
      </c>
      <c r="BS24" s="44">
        <f ca="1">SUMIFS(表格1[QTY],表格1[Model],三國演義!$BS$12,表格1[Name],三國演義!$E24)+SUMIFS(表格1[QTY],表格1[Model],三國演義!$BS$12,表格1[Name],三國演義!$AA24)</f>
        <v>1</v>
      </c>
      <c r="BT24" s="44">
        <f ca="1">SUMIFS(表格1[QTY],表格1[Model],三國演義!$BT$12,表格1[Name],三國演義!$E24)+SUMIFS(表格1[QTY],表格1[Model],三國演義!$BT$12,表格1[Name],三國演義!$AA24)</f>
        <v>0</v>
      </c>
      <c r="BU24" s="44">
        <f ca="1">SUMIFS(表格1[QTY],表格1[Model],三國演義!$BU$12,表格1[Name],三國演義!$E24)+SUMIFS(表格1[QTY],表格1[Model],三國演義!$BU$12,表格1[Name],三國演義!$AA24)</f>
        <v>3</v>
      </c>
      <c r="BV24" s="44">
        <f ca="1">SUMIFS(表格1[QTY],表格1[Model],三國演義!$BV$12,表格1[Name],三國演義!$E24)+SUMIFS(表格1[QTY],表格1[Model],三國演義!$BV$12,表格1[Name],三國演義!$AA24)</f>
        <v>0</v>
      </c>
      <c r="BW24" s="77" t="e">
        <f ca="1">IF((SUM($BS24:$BV24))&gt;=$AN24,SUM($BS24:$BV24)*'3月Target'!$W$16,0)</f>
        <v>#N/A</v>
      </c>
      <c r="BX24" s="44">
        <f ca="1">SUMIFS(表格1[QTY],表格1[Model],三國演義!$BX$12,表格1[Name],三國演義!$E24)+SUMIFS(表格1[QTY],表格1[Model],三國演義!$BX$12,表格1[Name],三國演義!$AA24)</f>
        <v>0</v>
      </c>
      <c r="BY24" s="77" t="e">
        <f ca="1">IF($BX24&gt;=$AO24,$BX24*'3月Target'!$W$17,0)</f>
        <v>#N/A</v>
      </c>
      <c r="BZ24" s="146">
        <f t="shared" ca="1" si="23"/>
        <v>28203</v>
      </c>
      <c r="CA24" s="77" t="e">
        <f t="shared" ca="1" si="24"/>
        <v>#N/A</v>
      </c>
      <c r="CB24" s="146">
        <f t="shared" ca="1" si="25"/>
        <v>28203</v>
      </c>
      <c r="CC24" s="77" t="e">
        <f t="shared" ca="1" si="26"/>
        <v>#N/A</v>
      </c>
    </row>
    <row r="25" spans="1:81">
      <c r="A25" s="121">
        <f ca="1">Roster!AL17*Roster!AH17+Roster!AM17*Roster!AG17+三國演義!H25+三國演義!I25+三國演義!J25</f>
        <v>633.28</v>
      </c>
      <c r="B25" s="133">
        <v>0.02</v>
      </c>
      <c r="C25" s="66">
        <v>13</v>
      </c>
      <c r="D25" s="95" t="str">
        <f ca="1">_xlfn.XLOOKUP($E25,表格1[Name],表格1[Shop])</f>
        <v>Citistore</v>
      </c>
      <c r="E25" s="95" t="s">
        <v>950</v>
      </c>
      <c r="F25" s="96">
        <f ca="1">SUMIF(表格1[Name],$E25,表格1[Total Amount])+SUMIF(表格1[Name],$AA25,表格1[Total Amount])</f>
        <v>4664</v>
      </c>
      <c r="G25" s="161">
        <f ca="1">SUMIF(表格1[Name],$E25,表格1[QTY])+SUMIF(表格1[Name],$AA25,表格1[QTY])</f>
        <v>6</v>
      </c>
      <c r="H25" s="96">
        <f t="shared" ca="1" si="5"/>
        <v>93.28</v>
      </c>
      <c r="I25" s="96"/>
      <c r="J25" s="51">
        <f t="shared" si="6"/>
        <v>0</v>
      </c>
      <c r="K25" s="164"/>
      <c r="L25" s="164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60" t="str">
        <f t="shared" si="4"/>
        <v>Mandy off</v>
      </c>
      <c r="AB25" s="71" t="e">
        <f>_xlfn.XLOOKUP($E25,target[NAME],target[RC-DS10K/18K])</f>
        <v>#N/A</v>
      </c>
      <c r="AC25" s="71" t="e">
        <f>_xlfn.XLOOKUP($E25,target[NAME],target[RC-18AMXH(W)])</f>
        <v>#N/A</v>
      </c>
      <c r="AD25" s="71" t="e">
        <f>_xlfn.XLOOKUP($E25,target[NAME],target[EB-T500APW])</f>
        <v>#N/A</v>
      </c>
      <c r="AE25" s="71" t="e">
        <f>_xlfn.XLOOKUP($E25,target[NAME],target[ER-VD7000HK(XK)])</f>
        <v>#N/A</v>
      </c>
      <c r="AF25" s="71" t="e">
        <f>_xlfn.XLOOKUP($E25,target[NAME],target[TWDT21BU95])</f>
        <v>#N/A</v>
      </c>
      <c r="AG25" s="71" t="e">
        <f>_xlfn.XLOOKUP($E25,target[NAME],target[AW-Q800APH(WW)])</f>
        <v>#N/A</v>
      </c>
      <c r="AH25" s="71" t="e">
        <f>_xlfn.XLOOKUP($E25,target[NAME],target[AW-Q801APH(WW)])</f>
        <v>#N/A</v>
      </c>
      <c r="AI25" s="71" t="e">
        <f>_xlfn.XLOOKUP($E25,target[NAME],target[GR-RM469WE-PGA(B3)])</f>
        <v>#N/A</v>
      </c>
      <c r="AJ25" s="71" t="e">
        <f>_xlfn.XLOOKUP($E25,target[NAME],target[GR-RB449WE-PMA(57)])</f>
        <v>#N/A</v>
      </c>
      <c r="AK25" s="71" t="e">
        <f>_xlfn.XLOOKUP($E25,target[NAME],target[GR-RB410WE-PMA(06)])</f>
        <v>#N/A</v>
      </c>
      <c r="AL25" s="71" t="e">
        <f>_xlfn.XLOOKUP($E25,target[NAME],target[GR-RF698WI])</f>
        <v>#N/A</v>
      </c>
      <c r="AM25" s="71" t="e">
        <f>_xlfn.XLOOKUP($E25,target[NAME],target[TWP-W2265THK(W)])</f>
        <v>#N/A</v>
      </c>
      <c r="AN25" s="71" t="e">
        <f>_xlfn.XLOOKUP($E25,target[NAME],target[RAD-D200/250/300/DIA17])</f>
        <v>#N/A</v>
      </c>
      <c r="AO25" s="71" t="e">
        <f>_xlfn.XLOOKUP($E25,target[NAME],target[(Fortress ONLY)TW-T25BZU115MWH(MG) ])</f>
        <v>#N/A</v>
      </c>
      <c r="AP25" s="71" t="e">
        <f>_xlfn.XLOOKUP($E25,target[NAME],target[開門紅(三月)])</f>
        <v>#N/A</v>
      </c>
      <c r="AQ25" s="71" t="e">
        <f>_xlfn.XLOOKUP($E25,target[NAME],target[開門紅(第一季)])</f>
        <v>#N/A</v>
      </c>
      <c r="AR25" s="73">
        <f ca="1">SUMIFS(表格1[QTY],表格1[Model],三國演義!$AR$12,表格1[Name],三國演義!$E25)+SUMIFS(表格1[QTY],表格1[Model],三國演義!$AR$12,表格1[Name],三國演義!$AA25)</f>
        <v>0</v>
      </c>
      <c r="AS25" s="77" t="e">
        <f ca="1">IF($AR25&gt;=$AE25,$AR25*'3月Target'!$W$8,0)</f>
        <v>#N/A</v>
      </c>
      <c r="AT25" s="44">
        <f ca="1">SUMIFS(表格1[QTY],表格1[Model],三國演義!$AT$12,表格1[Name],三國演義!$E25)+SUMIFS(表格1[QTY],表格1[Model],三國演義!$AT$12,表格1[Name],三國演義!$AA25)</f>
        <v>0</v>
      </c>
      <c r="AU25" s="44">
        <f ca="1">SUMIFS(表格1[QTY],表格1[Model],三國演義!$AU$12,表格1[Name],三國演義!$E25)+SUMIFS(表格1[QTY],表格1[Model],三國演義!$AU$12,表格1[Name],三國演義!$AA25)</f>
        <v>0</v>
      </c>
      <c r="AV25" s="44">
        <f ca="1">SUMIFS(表格1[QTY],表格1[Model],三國演義!$AV$12,表格1[Name],三國演義!$E25)+SUMIFS(表格1[QTY],表格1[Model],三國演義!$AV$12,表格1[Name],三國演義!$AA25)</f>
        <v>0</v>
      </c>
      <c r="AW25" s="44">
        <f ca="1">SUMIFS(表格1[QTY],表格1[Model],三國演義!$AW$12,表格1[Name],三國演義!$E25)+SUMIFS(表格1[QTY],表格1[Model],三國演義!$AW$12,表格1[Name],三國演義!$AA25)</f>
        <v>0</v>
      </c>
      <c r="AX25" s="50" t="e">
        <f ca="1">IF((SUM($AT25:$AW25))&gt;=$AB25,SUM($AT25:$AW25)*'3月Target'!$W$5,0)</f>
        <v>#N/A</v>
      </c>
      <c r="AY25" s="44">
        <f ca="1">SUMIFS(表格1[QTY],表格1[Model],三國演義!$AY$12,表格1[Name],三國演義!$E25)+SUMIFS(表格1[QTY],表格1[Model],三國演義!$AY$12,表格1[Name],三國演義!$AA25)</f>
        <v>0</v>
      </c>
      <c r="AZ25" s="77" t="e">
        <f ca="1">IF($AY25&gt;=$AC25,$AY25*'3月Target'!$W$6,0)</f>
        <v>#N/A</v>
      </c>
      <c r="BA25" s="44">
        <f ca="1">SUMIFS(表格1[QTY],表格1[Model],三國演義!$BA$12,表格1[Name],三國演義!$E25)+SUMIFS(表格1[QTY],表格1[Model],三國演義!$BA$12,表格1[Name],三國演義!$AA25)</f>
        <v>0</v>
      </c>
      <c r="BB25" s="77" t="e">
        <f ca="1">IF($BA25&gt;=$AD25,$BA25*'3月Target'!$W$7,0)</f>
        <v>#N/A</v>
      </c>
      <c r="BC25" s="44">
        <f ca="1">SUMIFS(表格1[QTY],表格1[Model],三國演義!$BC$12,表格1[Name],三國演義!$E25)+SUMIFS(表格1[QTY],表格1[Model],三國演義!$BC$12,表格1[Name],三國演義!$AA25)</f>
        <v>0</v>
      </c>
      <c r="BD25" s="77" t="e">
        <f ca="1">IF($BC25&gt;=$AF25,$BC25*'3月Target'!$W$9,0)</f>
        <v>#N/A</v>
      </c>
      <c r="BE25" s="44">
        <f ca="1">SUMIFS(表格1[QTY],表格1[Model],三國演義!$BE$12,表格1[Name],三國演義!$E25)+SUMIFS(表格1[QTY],表格1[Model],三國演義!$BE$12,表格1[Name],三國演義!$AA25)</f>
        <v>0</v>
      </c>
      <c r="BF25" s="77" t="e">
        <f ca="1">IF($BE25&gt;=$AG25,$BE25*'3月Target'!$W$10,0)</f>
        <v>#N/A</v>
      </c>
      <c r="BG25" s="44">
        <f ca="1">SUMIFS(表格1[QTY],表格1[Model],三國演義!$BG$12,表格1[Name],三國演義!$E25)+SUMIFS(表格1[QTY],表格1[Model],三國演義!$BG$12,表格1[Name],三國演義!$AA25)</f>
        <v>0</v>
      </c>
      <c r="BH25" s="77" t="e">
        <f ca="1">IF($BG25&gt;=$AH25,$BG25*'3月Target'!$W$10,0)</f>
        <v>#N/A</v>
      </c>
      <c r="BI25" s="44">
        <f ca="1">SUMIFS(表格1[QTY],表格1[Model],三國演義!$BI$12,表格1[Name],三國演義!$E25)+SUMIFS(表格1[QTY],表格1[Model],三國演義!$BI$12,表格1[Name],三國演義!$AA25)</f>
        <v>0</v>
      </c>
      <c r="BJ25" s="77" t="e">
        <f ca="1">IF($BI25&gt;=$AI25,$BI25*'3月Target'!$W$11,0)</f>
        <v>#N/A</v>
      </c>
      <c r="BK25" s="44">
        <f ca="1">SUMIFS(表格1[QTY],表格1[Model],三國演義!$BK$12,表格1[Name],三國演義!$E25)+SUMIFS(表格1[QTY],表格1[Model],三國演義!$BK$12,表格1[Name],三國演義!$AA25)</f>
        <v>0</v>
      </c>
      <c r="BL25" s="77" t="e">
        <f ca="1">IF($BK25&gt;=$AJ25,$BK25*'3月Target'!$W$12,0)</f>
        <v>#N/A</v>
      </c>
      <c r="BM25" s="44">
        <f ca="1">SUMIFS(表格1[QTY],表格1[Model],三國演義!$BM$12,表格1[Name],三國演義!$E25)+SUMIFS(表格1[QTY],表格1[Model],三國演義!$BM$12,表格1[Name],三國演義!$AA25)</f>
        <v>0</v>
      </c>
      <c r="BN25" s="77" t="e">
        <f ca="1">IF($BM25&gt;=$AK25,$BM25*'3月Target'!$W$13,0)</f>
        <v>#N/A</v>
      </c>
      <c r="BO25" s="44">
        <f ca="1">SUMIFS(表格1[QTY],表格1[Model],三國演義!$BO$12,表格1[Name],三國演義!$E25)+SUMIFS(表格1[QTY],表格1[Model],三國演義!$BO$12,表格1[Name],三國演義!$AA25)</f>
        <v>0</v>
      </c>
      <c r="BP25" s="77" t="e">
        <f ca="1">IF($BO25&gt;=$AL25,$BO25*'3月Target'!$W$14,0)</f>
        <v>#N/A</v>
      </c>
      <c r="BQ25" s="44">
        <f ca="1">SUMIFS(表格1[QTY],表格1[Model],三國演義!$BQ$12,表格1[Name],三國演義!$E25)+SUMIFS(表格1[QTY],表格1[Model],三國演義!$BQ$12,表格1[Name],三國演義!$AA25)</f>
        <v>0</v>
      </c>
      <c r="BR25" s="77" t="e">
        <f ca="1">IF($BQ25&gt;=$AM25,$BQ25*'3月Target'!$W$15,0)</f>
        <v>#N/A</v>
      </c>
      <c r="BS25" s="44">
        <f ca="1">SUMIFS(表格1[QTY],表格1[Model],三國演義!$BS$12,表格1[Name],三國演義!$E25)+SUMIFS(表格1[QTY],表格1[Model],三國演義!$BS$12,表格1[Name],三國演義!$AA25)</f>
        <v>0</v>
      </c>
      <c r="BT25" s="44">
        <f ca="1">SUMIFS(表格1[QTY],表格1[Model],三國演義!$BT$12,表格1[Name],三國演義!$E25)+SUMIFS(表格1[QTY],表格1[Model],三國演義!$BT$12,表格1[Name],三國演義!$AA25)</f>
        <v>0</v>
      </c>
      <c r="BU25" s="44">
        <f ca="1">SUMIFS(表格1[QTY],表格1[Model],三國演義!$BU$12,表格1[Name],三國演義!$E25)+SUMIFS(表格1[QTY],表格1[Model],三國演義!$BU$12,表格1[Name],三國演義!$AA25)</f>
        <v>0</v>
      </c>
      <c r="BV25" s="44">
        <f ca="1">SUMIFS(表格1[QTY],表格1[Model],三國演義!$BV$12,表格1[Name],三國演義!$E25)+SUMIFS(表格1[QTY],表格1[Model],三國演義!$BV$12,表格1[Name],三國演義!$AA25)</f>
        <v>0</v>
      </c>
      <c r="BW25" s="77" t="e">
        <f ca="1">IF((SUM($BS25:$BV25))&gt;=$AN25,SUM($BS25:$BV25)*'3月Target'!$W$16,0)</f>
        <v>#N/A</v>
      </c>
      <c r="BX25" s="44">
        <f ca="1">SUMIFS(表格1[QTY],表格1[Model],三國演義!$BX$12,表格1[Name],三國演義!$E25)+SUMIFS(表格1[QTY],表格1[Model],三國演義!$BX$12,表格1[Name],三國演義!$AA25)</f>
        <v>0</v>
      </c>
      <c r="BY25" s="77" t="e">
        <f ca="1">IF($BX25&gt;=$AO25,$BX25*'3月Target'!$W$17,0)</f>
        <v>#N/A</v>
      </c>
      <c r="BZ25" s="146">
        <f t="shared" ca="1" si="23"/>
        <v>4664</v>
      </c>
      <c r="CA25" s="77" t="e">
        <f t="shared" ca="1" si="24"/>
        <v>#N/A</v>
      </c>
      <c r="CB25" s="146">
        <f t="shared" ca="1" si="25"/>
        <v>4664</v>
      </c>
      <c r="CC25" s="77" t="e">
        <f t="shared" ca="1" si="26"/>
        <v>#N/A</v>
      </c>
    </row>
    <row r="26" spans="1:81">
      <c r="A26" s="121">
        <f ca="1">Roster!AL18*Roster!AH18+Roster!AM18*Roster!AG18+三國演義!H26+三國演義!I26+三國演義!J26</f>
        <v>6389.4920000000002</v>
      </c>
      <c r="B26" s="133">
        <v>0.02</v>
      </c>
      <c r="C26" s="66">
        <v>14</v>
      </c>
      <c r="D26" s="95" t="str">
        <f ca="1">_xlfn.XLOOKUP($E26,表格1[Name],表格1[Shop])</f>
        <v>Citistore</v>
      </c>
      <c r="E26" s="95" t="s">
        <v>2078</v>
      </c>
      <c r="F26" s="96">
        <f ca="1">SUMIF(表格1[Name],$E26,表格1[Total Amount])+SUMIF(表格1[Name],$AA26,表格1[Total Amount])</f>
        <v>151474.6</v>
      </c>
      <c r="G26" s="161">
        <f ca="1">SUMIF(表格1[Name],$E26,表格1[QTY])+SUMIF(表格1[Name],$AA26,表格1[QTY])</f>
        <v>161</v>
      </c>
      <c r="H26" s="96">
        <f t="shared" ca="1" si="5"/>
        <v>3029.4920000000002</v>
      </c>
      <c r="I26" s="96"/>
      <c r="J26" s="51">
        <f t="shared" si="6"/>
        <v>0</v>
      </c>
      <c r="K26" s="164"/>
      <c r="L26" s="164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60" t="str">
        <f t="shared" si="4"/>
        <v>Shan_2 off</v>
      </c>
      <c r="AB26" s="71" t="e">
        <f>_xlfn.XLOOKUP($E26,target[NAME],target[RC-DS10K/18K])</f>
        <v>#N/A</v>
      </c>
      <c r="AC26" s="71" t="e">
        <f>_xlfn.XLOOKUP($E26,target[NAME],target[RC-18AMXH(W)])</f>
        <v>#N/A</v>
      </c>
      <c r="AD26" s="71" t="e">
        <f>_xlfn.XLOOKUP($E26,target[NAME],target[EB-T500APW])</f>
        <v>#N/A</v>
      </c>
      <c r="AE26" s="71" t="e">
        <f>_xlfn.XLOOKUP($E26,target[NAME],target[ER-VD7000HK(XK)])</f>
        <v>#N/A</v>
      </c>
      <c r="AF26" s="71" t="e">
        <f>_xlfn.XLOOKUP($E26,target[NAME],target[TWDT21BU95])</f>
        <v>#N/A</v>
      </c>
      <c r="AG26" s="71" t="e">
        <f>_xlfn.XLOOKUP($E26,target[NAME],target[AW-Q800APH(WW)])</f>
        <v>#N/A</v>
      </c>
      <c r="AH26" s="71" t="e">
        <f>_xlfn.XLOOKUP($E26,target[NAME],target[AW-Q801APH(WW)])</f>
        <v>#N/A</v>
      </c>
      <c r="AI26" s="71" t="e">
        <f>_xlfn.XLOOKUP($E26,target[NAME],target[GR-RM469WE-PGA(B3)])</f>
        <v>#N/A</v>
      </c>
      <c r="AJ26" s="71" t="e">
        <f>_xlfn.XLOOKUP($E26,target[NAME],target[GR-RB449WE-PMA(57)])</f>
        <v>#N/A</v>
      </c>
      <c r="AK26" s="71" t="e">
        <f>_xlfn.XLOOKUP($E26,target[NAME],target[GR-RB410WE-PMA(06)])</f>
        <v>#N/A</v>
      </c>
      <c r="AL26" s="71" t="e">
        <f>_xlfn.XLOOKUP($E26,target[NAME],target[GR-RF698WI])</f>
        <v>#N/A</v>
      </c>
      <c r="AM26" s="71" t="e">
        <f>_xlfn.XLOOKUP($E26,target[NAME],target[TWP-W2265THK(W)])</f>
        <v>#N/A</v>
      </c>
      <c r="AN26" s="71" t="e">
        <f>_xlfn.XLOOKUP($E26,target[NAME],target[RAD-D200/250/300/DIA17])</f>
        <v>#N/A</v>
      </c>
      <c r="AO26" s="71" t="e">
        <f>_xlfn.XLOOKUP($E26,target[NAME],target[(Fortress ONLY)TW-T25BZU115MWH(MG) ])</f>
        <v>#N/A</v>
      </c>
      <c r="AP26" s="71" t="e">
        <f>_xlfn.XLOOKUP($E26,target[NAME],target[開門紅(三月)])</f>
        <v>#N/A</v>
      </c>
      <c r="AQ26" s="71" t="e">
        <f>_xlfn.XLOOKUP($E26,target[NAME],target[開門紅(第一季)])</f>
        <v>#N/A</v>
      </c>
      <c r="AR26" s="73">
        <f ca="1">SUMIFS(表格1[QTY],表格1[Model],三國演義!$AR$12,表格1[Name],三國演義!$E26)+SUMIFS(表格1[QTY],表格1[Model],三國演義!$AR$12,表格1[Name],三國演義!$AA26)</f>
        <v>0</v>
      </c>
      <c r="AS26" s="77" t="e">
        <f ca="1">IF($AR26&gt;=$AE26,$AR26*'3月Target'!$W$8,0)</f>
        <v>#N/A</v>
      </c>
      <c r="AT26" s="44">
        <f ca="1">SUMIFS(表格1[QTY],表格1[Model],三國演義!$AT$12,表格1[Name],三國演義!$E26)+SUMIFS(表格1[QTY],表格1[Model],三國演義!$AT$12,表格1[Name],三國演義!$AA26)</f>
        <v>0</v>
      </c>
      <c r="AU26" s="44">
        <f ca="1">SUMIFS(表格1[QTY],表格1[Model],三國演義!$AU$12,表格1[Name],三國演義!$E26)+SUMIFS(表格1[QTY],表格1[Model],三國演義!$AU$12,表格1[Name],三國演義!$AA26)</f>
        <v>0</v>
      </c>
      <c r="AV26" s="44">
        <f ca="1">SUMIFS(表格1[QTY],表格1[Model],三國演義!$AV$12,表格1[Name],三國演義!$E26)+SUMIFS(表格1[QTY],表格1[Model],三國演義!$AV$12,表格1[Name],三國演義!$AA26)</f>
        <v>0</v>
      </c>
      <c r="AW26" s="44">
        <f ca="1">SUMIFS(表格1[QTY],表格1[Model],三國演義!$AW$12,表格1[Name],三國演義!$E26)+SUMIFS(表格1[QTY],表格1[Model],三國演義!$AW$12,表格1[Name],三國演義!$AA26)</f>
        <v>0</v>
      </c>
      <c r="AX26" s="50" t="e">
        <f ca="1">IF((SUM($AT26:$AW26))&gt;=$AB26,SUM($AT26:$AW26)*'3月Target'!$W$5,0)</f>
        <v>#N/A</v>
      </c>
      <c r="AY26" s="44">
        <f ca="1">SUMIFS(表格1[QTY],表格1[Model],三國演義!$AY$12,表格1[Name],三國演義!$E26)+SUMIFS(表格1[QTY],表格1[Model],三國演義!$AY$12,表格1[Name],三國演義!$AA26)</f>
        <v>8</v>
      </c>
      <c r="AZ26" s="77" t="e">
        <f ca="1">IF($AY26&gt;=$AC26,$AY26*'3月Target'!$W$6,0)</f>
        <v>#N/A</v>
      </c>
      <c r="BA26" s="44">
        <f ca="1">SUMIFS(表格1[QTY],表格1[Model],三國演義!$BA$12,表格1[Name],三國演義!$E26)+SUMIFS(表格1[QTY],表格1[Model],三國演義!$BA$12,表格1[Name],三國演義!$AA26)</f>
        <v>0</v>
      </c>
      <c r="BB26" s="77" t="e">
        <f ca="1">IF($BA26&gt;=$AD26,$BA26*'3月Target'!$W$7,0)</f>
        <v>#N/A</v>
      </c>
      <c r="BC26" s="44">
        <f ca="1">SUMIFS(表格1[QTY],表格1[Model],三國演義!$BC$12,表格1[Name],三國演義!$E26)+SUMIFS(表格1[QTY],表格1[Model],三國演義!$BC$12,表格1[Name],三國演義!$AA26)</f>
        <v>1</v>
      </c>
      <c r="BD26" s="77" t="e">
        <f ca="1">IF($BC26&gt;=$AF26,$BC26*'3月Target'!$W$9,0)</f>
        <v>#N/A</v>
      </c>
      <c r="BE26" s="44">
        <f ca="1">SUMIFS(表格1[QTY],表格1[Model],三國演義!$BE$12,表格1[Name],三國演義!$E26)+SUMIFS(表格1[QTY],表格1[Model],三國演義!$BE$12,表格1[Name],三國演義!$AA26)</f>
        <v>0</v>
      </c>
      <c r="BF26" s="77" t="e">
        <f ca="1">IF($BE26&gt;=$AG26,$BE26*'3月Target'!$W$10,0)</f>
        <v>#N/A</v>
      </c>
      <c r="BG26" s="44">
        <f ca="1">SUMIFS(表格1[QTY],表格1[Model],三國演義!$BG$12,表格1[Name],三國演義!$E26)+SUMIFS(表格1[QTY],表格1[Model],三國演義!$BG$12,表格1[Name],三國演義!$AA26)</f>
        <v>0</v>
      </c>
      <c r="BH26" s="77" t="e">
        <f ca="1">IF($BG26&gt;=$AH26,$BG26*'3月Target'!$W$10,0)</f>
        <v>#N/A</v>
      </c>
      <c r="BI26" s="44">
        <f ca="1">SUMIFS(表格1[QTY],表格1[Model],三國演義!$BI$12,表格1[Name],三國演義!$E26)+SUMIFS(表格1[QTY],表格1[Model],三國演義!$BI$12,表格1[Name],三國演義!$AA26)</f>
        <v>0</v>
      </c>
      <c r="BJ26" s="77" t="e">
        <f ca="1">IF($BI26&gt;=$AI26,$BI26*'3月Target'!$W$11,0)</f>
        <v>#N/A</v>
      </c>
      <c r="BK26" s="44">
        <f ca="1">SUMIFS(表格1[QTY],表格1[Model],三國演義!$BK$12,表格1[Name],三國演義!$E26)+SUMIFS(表格1[QTY],表格1[Model],三國演義!$BK$12,表格1[Name],三國演義!$AA26)</f>
        <v>1</v>
      </c>
      <c r="BL26" s="77" t="e">
        <f ca="1">IF($BK26&gt;=$AJ26,$BK26*'3月Target'!$W$12,0)</f>
        <v>#N/A</v>
      </c>
      <c r="BM26" s="44">
        <f ca="1">SUMIFS(表格1[QTY],表格1[Model],三國演義!$BM$12,表格1[Name],三國演義!$E26)+SUMIFS(表格1[QTY],表格1[Model],三國演義!$BM$12,表格1[Name],三國演義!$AA26)</f>
        <v>0</v>
      </c>
      <c r="BN26" s="77" t="e">
        <f ca="1">IF($BM26&gt;=$AK26,$BM26*'3月Target'!$W$13,0)</f>
        <v>#N/A</v>
      </c>
      <c r="BO26" s="44">
        <f ca="1">SUMIFS(表格1[QTY],表格1[Model],三國演義!$BO$12,表格1[Name],三國演義!$E26)+SUMIFS(表格1[QTY],表格1[Model],三國演義!$BO$12,表格1[Name],三國演義!$AA26)</f>
        <v>0</v>
      </c>
      <c r="BP26" s="77" t="e">
        <f ca="1">IF($BO26&gt;=$AL26,$BO26*'3月Target'!$W$14,0)</f>
        <v>#N/A</v>
      </c>
      <c r="BQ26" s="44">
        <f ca="1">SUMIFS(表格1[QTY],表格1[Model],三國演義!$BQ$12,表格1[Name],三國演義!$E26)+SUMIFS(表格1[QTY],表格1[Model],三國演義!$BQ$12,表格1[Name],三國演義!$AA26)</f>
        <v>0</v>
      </c>
      <c r="BR26" s="77" t="e">
        <f ca="1">IF($BQ26&gt;=$AM26,$BQ26*'3月Target'!$W$15,0)</f>
        <v>#N/A</v>
      </c>
      <c r="BS26" s="44">
        <f ca="1">SUMIFS(表格1[QTY],表格1[Model],三國演義!$BS$12,表格1[Name],三國演義!$E26)+SUMIFS(表格1[QTY],表格1[Model],三國演義!$BS$12,表格1[Name],三國演義!$AA26)</f>
        <v>1</v>
      </c>
      <c r="BT26" s="44">
        <f ca="1">SUMIFS(表格1[QTY],表格1[Model],三國演義!$BT$12,表格1[Name],三國演義!$E26)+SUMIFS(表格1[QTY],表格1[Model],三國演義!$BT$12,表格1[Name],三國演義!$AA26)</f>
        <v>0</v>
      </c>
      <c r="BU26" s="44">
        <f ca="1">SUMIFS(表格1[QTY],表格1[Model],三國演義!$BU$12,表格1[Name],三國演義!$E26)+SUMIFS(表格1[QTY],表格1[Model],三國演義!$BU$12,表格1[Name],三國演義!$AA26)</f>
        <v>4</v>
      </c>
      <c r="BV26" s="44">
        <f ca="1">SUMIFS(表格1[QTY],表格1[Model],三國演義!$BV$12,表格1[Name],三國演義!$E26)+SUMIFS(表格1[QTY],表格1[Model],三國演義!$BV$12,表格1[Name],三國演義!$AA26)</f>
        <v>0</v>
      </c>
      <c r="BW26" s="77" t="e">
        <f ca="1">IF((SUM($BS26:$BV26))&gt;=$AN26,SUM($BS26:$BV26)*'3月Target'!$W$16,0)</f>
        <v>#N/A</v>
      </c>
      <c r="BX26" s="44">
        <f ca="1">SUMIFS(表格1[QTY],表格1[Model],三國演義!$BX$12,表格1[Name],三國演義!$E26)+SUMIFS(表格1[QTY],表格1[Model],三國演義!$BX$12,表格1[Name],三國演義!$AA26)</f>
        <v>0</v>
      </c>
      <c r="BY26" s="77" t="e">
        <f ca="1">IF($BX26&gt;=$AO26,$BX26*'3月Target'!$W$17,0)</f>
        <v>#N/A</v>
      </c>
      <c r="BZ26" s="146">
        <f t="shared" ca="1" si="23"/>
        <v>151474.6</v>
      </c>
      <c r="CA26" s="77" t="e">
        <f t="shared" ca="1" si="24"/>
        <v>#N/A</v>
      </c>
      <c r="CB26" s="146">
        <f t="shared" ca="1" si="25"/>
        <v>151474.6</v>
      </c>
      <c r="CC26" s="77" t="e">
        <f t="shared" ca="1" si="26"/>
        <v>#N/A</v>
      </c>
    </row>
    <row r="27" spans="1:81">
      <c r="A27" s="121">
        <f ca="1">Roster!AL19*Roster!AH19+Roster!AM19*Roster!AG19+三國演義!H27+三國演義!I27+三國演義!J27</f>
        <v>2238.4499999999998</v>
      </c>
      <c r="B27" s="133">
        <v>0.02</v>
      </c>
      <c r="C27" s="66">
        <v>15</v>
      </c>
      <c r="D27" s="95" t="str">
        <f ca="1">_xlfn.XLOOKUP($E27,表格1[Name],表格1[Shop])</f>
        <v>Citistore</v>
      </c>
      <c r="E27" s="95" t="s">
        <v>1217</v>
      </c>
      <c r="F27" s="96">
        <f ca="1">SUMIF(表格1[Name],$E27,表格1[Total Amount])+SUMIF(表格1[Name],$AA27,表格1[Total Amount])</f>
        <v>79845</v>
      </c>
      <c r="G27" s="161">
        <f ca="1">SUMIF(表格1[Name],$E27,表格1[QTY])+SUMIF(表格1[Name],$AA27,表格1[QTY])</f>
        <v>75</v>
      </c>
      <c r="H27" s="96"/>
      <c r="I27" s="96">
        <f ca="1">F27*1%</f>
        <v>798.45</v>
      </c>
      <c r="J27" s="51">
        <f t="shared" si="6"/>
        <v>0</v>
      </c>
      <c r="K27" s="164"/>
      <c r="L27" s="164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60" t="str">
        <f t="shared" si="4"/>
        <v>Wendy Wong_2 off</v>
      </c>
      <c r="AB27" s="71" t="e">
        <f>_xlfn.XLOOKUP($E27,target[NAME],target[RC-DS10K/18K])</f>
        <v>#N/A</v>
      </c>
      <c r="AC27" s="71" t="e">
        <f>_xlfn.XLOOKUP($E27,target[NAME],target[RC-18AMXH(W)])</f>
        <v>#N/A</v>
      </c>
      <c r="AD27" s="71" t="e">
        <f>_xlfn.XLOOKUP($E27,target[NAME],target[EB-T500APW])</f>
        <v>#N/A</v>
      </c>
      <c r="AE27" s="71" t="e">
        <f>_xlfn.XLOOKUP($E27,target[NAME],target[ER-VD7000HK(XK)])</f>
        <v>#N/A</v>
      </c>
      <c r="AF27" s="71" t="e">
        <f>_xlfn.XLOOKUP($E27,target[NAME],target[TWDT21BU95])</f>
        <v>#N/A</v>
      </c>
      <c r="AG27" s="71" t="e">
        <f>_xlfn.XLOOKUP($E27,target[NAME],target[AW-Q800APH(WW)])</f>
        <v>#N/A</v>
      </c>
      <c r="AH27" s="71" t="e">
        <f>_xlfn.XLOOKUP($E27,target[NAME],target[AW-Q801APH(WW)])</f>
        <v>#N/A</v>
      </c>
      <c r="AI27" s="71" t="e">
        <f>_xlfn.XLOOKUP($E27,target[NAME],target[GR-RM469WE-PGA(B3)])</f>
        <v>#N/A</v>
      </c>
      <c r="AJ27" s="71" t="e">
        <f>_xlfn.XLOOKUP($E27,target[NAME],target[GR-RB449WE-PMA(57)])</f>
        <v>#N/A</v>
      </c>
      <c r="AK27" s="71" t="e">
        <f>_xlfn.XLOOKUP($E27,target[NAME],target[GR-RB410WE-PMA(06)])</f>
        <v>#N/A</v>
      </c>
      <c r="AL27" s="71" t="e">
        <f>_xlfn.XLOOKUP($E27,target[NAME],target[GR-RF698WI])</f>
        <v>#N/A</v>
      </c>
      <c r="AM27" s="71" t="e">
        <f>_xlfn.XLOOKUP($E27,target[NAME],target[TWP-W2265THK(W)])</f>
        <v>#N/A</v>
      </c>
      <c r="AN27" s="71" t="e">
        <f>_xlfn.XLOOKUP($E27,target[NAME],target[RAD-D200/250/300/DIA17])</f>
        <v>#N/A</v>
      </c>
      <c r="AO27" s="71" t="e">
        <f>_xlfn.XLOOKUP($E27,target[NAME],target[(Fortress ONLY)TW-T25BZU115MWH(MG) ])</f>
        <v>#N/A</v>
      </c>
      <c r="AP27" s="71" t="e">
        <f>_xlfn.XLOOKUP($E27,target[NAME],target[開門紅(三月)])</f>
        <v>#N/A</v>
      </c>
      <c r="AQ27" s="71" t="e">
        <f>_xlfn.XLOOKUP($E27,target[NAME],target[開門紅(第一季)])</f>
        <v>#N/A</v>
      </c>
      <c r="AR27" s="73">
        <f ca="1">SUMIFS(表格1[QTY],表格1[Model],三國演義!$AR$12,表格1[Name],三國演義!$E27)+SUMIFS(表格1[QTY],表格1[Model],三國演義!$AR$12,表格1[Name],三國演義!$AA27)</f>
        <v>0</v>
      </c>
      <c r="AS27" s="77" t="e">
        <f ca="1">IF($AR27&gt;=$AE27,$AR27*'3月Target'!$W$8,0)</f>
        <v>#N/A</v>
      </c>
      <c r="AT27" s="44">
        <f ca="1">SUMIFS(表格1[QTY],表格1[Model],三國演義!$AT$12,表格1[Name],三國演義!$E27)+SUMIFS(表格1[QTY],表格1[Model],三國演義!$AT$12,表格1[Name],三國演義!$AA27)</f>
        <v>0</v>
      </c>
      <c r="AU27" s="44">
        <f ca="1">SUMIFS(表格1[QTY],表格1[Model],三國演義!$AU$12,表格1[Name],三國演義!$E27)+SUMIFS(表格1[QTY],表格1[Model],三國演義!$AU$12,表格1[Name],三國演義!$AA27)</f>
        <v>0</v>
      </c>
      <c r="AV27" s="44">
        <f ca="1">SUMIFS(表格1[QTY],表格1[Model],三國演義!$AV$12,表格1[Name],三國演義!$E27)+SUMIFS(表格1[QTY],表格1[Model],三國演義!$AV$12,表格1[Name],三國演義!$AA27)</f>
        <v>0</v>
      </c>
      <c r="AW27" s="44">
        <f ca="1">SUMIFS(表格1[QTY],表格1[Model],三國演義!$AW$12,表格1[Name],三國演義!$E27)+SUMIFS(表格1[QTY],表格1[Model],三國演義!$AW$12,表格1[Name],三國演義!$AA27)</f>
        <v>0</v>
      </c>
      <c r="AX27" s="50" t="e">
        <f ca="1">IF((SUM($AT27:$AW27))&gt;=$AB27,SUM($AT27:$AW27)*'3月Target'!$W$5,0)</f>
        <v>#N/A</v>
      </c>
      <c r="AY27" s="44">
        <f ca="1">SUMIFS(表格1[QTY],表格1[Model],三國演義!$AY$12,表格1[Name],三國演義!$E27)+SUMIFS(表格1[QTY],表格1[Model],三國演義!$AY$12,表格1[Name],三國演義!$AA27)</f>
        <v>5</v>
      </c>
      <c r="AZ27" s="77" t="e">
        <f ca="1">IF($AY27&gt;=$AC27,$AY27*'3月Target'!$W$6,0)</f>
        <v>#N/A</v>
      </c>
      <c r="BA27" s="44">
        <f ca="1">SUMIFS(表格1[QTY],表格1[Model],三國演義!$BA$12,表格1[Name],三國演義!$E27)+SUMIFS(表格1[QTY],表格1[Model],三國演義!$BA$12,表格1[Name],三國演義!$AA27)</f>
        <v>0</v>
      </c>
      <c r="BB27" s="77" t="e">
        <f ca="1">IF($BA27&gt;=$AD27,$BA27*'3月Target'!$W$7,0)</f>
        <v>#N/A</v>
      </c>
      <c r="BC27" s="44">
        <f ca="1">SUMIFS(表格1[QTY],表格1[Model],三國演義!$BC$12,表格1[Name],三國演義!$E27)+SUMIFS(表格1[QTY],表格1[Model],三國演義!$BC$12,表格1[Name],三國演義!$AA27)</f>
        <v>1</v>
      </c>
      <c r="BD27" s="77" t="e">
        <f ca="1">IF($BC27&gt;=$AF27,$BC27*'3月Target'!$W$9,0)</f>
        <v>#N/A</v>
      </c>
      <c r="BE27" s="44">
        <f ca="1">SUMIFS(表格1[QTY],表格1[Model],三國演義!$BE$12,表格1[Name],三國演義!$E27)+SUMIFS(表格1[QTY],表格1[Model],三國演義!$BE$12,表格1[Name],三國演義!$AA27)</f>
        <v>0</v>
      </c>
      <c r="BF27" s="77" t="e">
        <f ca="1">IF($BE27&gt;=$AG27,$BE27*'3月Target'!$W$10,0)</f>
        <v>#N/A</v>
      </c>
      <c r="BG27" s="44">
        <f ca="1">SUMIFS(表格1[QTY],表格1[Model],三國演義!$BG$12,表格1[Name],三國演義!$E27)+SUMIFS(表格1[QTY],表格1[Model],三國演義!$BG$12,表格1[Name],三國演義!$AA27)</f>
        <v>0</v>
      </c>
      <c r="BH27" s="77" t="e">
        <f ca="1">IF($BG27&gt;=$AH27,$BG27*'3月Target'!$W$10,0)</f>
        <v>#N/A</v>
      </c>
      <c r="BI27" s="44">
        <f ca="1">SUMIFS(表格1[QTY],表格1[Model],三國演義!$BI$12,表格1[Name],三國演義!$E27)+SUMIFS(表格1[QTY],表格1[Model],三國演義!$BI$12,表格1[Name],三國演義!$AA27)</f>
        <v>0</v>
      </c>
      <c r="BJ27" s="77" t="e">
        <f ca="1">IF($BI27&gt;=$AI27,$BI27*'3月Target'!$W$11,0)</f>
        <v>#N/A</v>
      </c>
      <c r="BK27" s="44">
        <f ca="1">SUMIFS(表格1[QTY],表格1[Model],三國演義!$BK$12,表格1[Name],三國演義!$E27)+SUMIFS(表格1[QTY],表格1[Model],三國演義!$BK$12,表格1[Name],三國演義!$AA27)</f>
        <v>0</v>
      </c>
      <c r="BL27" s="77" t="e">
        <f ca="1">IF($BK27&gt;=$AJ27,$BK27*'3月Target'!$W$12,0)</f>
        <v>#N/A</v>
      </c>
      <c r="BM27" s="44">
        <f ca="1">SUMIFS(表格1[QTY],表格1[Model],三國演義!$BM$12,表格1[Name],三國演義!$E27)+SUMIFS(表格1[QTY],表格1[Model],三國演義!$BM$12,表格1[Name],三國演義!$AA27)</f>
        <v>0</v>
      </c>
      <c r="BN27" s="77" t="e">
        <f ca="1">IF($BM27&gt;=$AK27,$BM27*'3月Target'!$W$13,0)</f>
        <v>#N/A</v>
      </c>
      <c r="BO27" s="44">
        <f ca="1">SUMIFS(表格1[QTY],表格1[Model],三國演義!$BO$12,表格1[Name],三國演義!$E27)+SUMIFS(表格1[QTY],表格1[Model],三國演義!$BO$12,表格1[Name],三國演義!$AA27)</f>
        <v>0</v>
      </c>
      <c r="BP27" s="77" t="e">
        <f ca="1">IF($BO27&gt;=$AL27,$BO27*'3月Target'!$W$14,0)</f>
        <v>#N/A</v>
      </c>
      <c r="BQ27" s="44">
        <f ca="1">SUMIFS(表格1[QTY],表格1[Model],三國演義!$BQ$12,表格1[Name],三國演義!$E27)+SUMIFS(表格1[QTY],表格1[Model],三國演義!$BQ$12,表格1[Name],三國演義!$AA27)</f>
        <v>0</v>
      </c>
      <c r="BR27" s="77" t="e">
        <f ca="1">IF($BQ27&gt;=$AM27,$BQ27*'3月Target'!$W$15,0)</f>
        <v>#N/A</v>
      </c>
      <c r="BS27" s="44">
        <f ca="1">SUMIFS(表格1[QTY],表格1[Model],三國演義!$BS$12,表格1[Name],三國演義!$E27)+SUMIFS(表格1[QTY],表格1[Model],三國演義!$BS$12,表格1[Name],三國演義!$AA27)</f>
        <v>1</v>
      </c>
      <c r="BT27" s="44">
        <f ca="1">SUMIFS(表格1[QTY],表格1[Model],三國演義!$BT$12,表格1[Name],三國演義!$E27)+SUMIFS(表格1[QTY],表格1[Model],三國演義!$BT$12,表格1[Name],三國演義!$AA27)</f>
        <v>0</v>
      </c>
      <c r="BU27" s="44">
        <f ca="1">SUMIFS(表格1[QTY],表格1[Model],三國演義!$BU$12,表格1[Name],三國演義!$E27)+SUMIFS(表格1[QTY],表格1[Model],三國演義!$BU$12,表格1[Name],三國演義!$AA27)</f>
        <v>3</v>
      </c>
      <c r="BV27" s="44">
        <f ca="1">SUMIFS(表格1[QTY],表格1[Model],三國演義!$BV$12,表格1[Name],三國演義!$E27)+SUMIFS(表格1[QTY],表格1[Model],三國演義!$BV$12,表格1[Name],三國演義!$AA27)</f>
        <v>0</v>
      </c>
      <c r="BW27" s="77" t="e">
        <f ca="1">IF((SUM($BS27:$BV27))&gt;=$AN27,SUM($BS27:$BV27)*'3月Target'!$W$16,0)</f>
        <v>#N/A</v>
      </c>
      <c r="BX27" s="44">
        <f ca="1">SUMIFS(表格1[QTY],表格1[Model],三國演義!$BX$12,表格1[Name],三國演義!$E27)+SUMIFS(表格1[QTY],表格1[Model],三國演義!$BX$12,表格1[Name],三國演義!$AA27)</f>
        <v>0</v>
      </c>
      <c r="BY27" s="77" t="e">
        <f ca="1">IF($BX27&gt;=$AO27,$BX27*'3月Target'!$W$17,0)</f>
        <v>#N/A</v>
      </c>
      <c r="BZ27" s="146">
        <f t="shared" ca="1" si="23"/>
        <v>79845</v>
      </c>
      <c r="CA27" s="77" t="e">
        <f t="shared" ca="1" si="24"/>
        <v>#N/A</v>
      </c>
      <c r="CB27" s="146">
        <f t="shared" ca="1" si="25"/>
        <v>79845</v>
      </c>
      <c r="CC27" s="77" t="e">
        <f t="shared" ca="1" si="26"/>
        <v>#N/A</v>
      </c>
    </row>
    <row r="28" spans="1:81">
      <c r="A28" s="121">
        <f ca="1">Roster!AL20*Roster!AH20+Roster!AM20*Roster!AG20+三國演義!H28+三國演義!I28+三國演義!J28</f>
        <v>22131.800000000003</v>
      </c>
      <c r="B28" s="133">
        <v>0.02</v>
      </c>
      <c r="C28" s="66">
        <v>16</v>
      </c>
      <c r="D28" s="95" t="str">
        <f ca="1">_xlfn.XLOOKUP($E28,表格1[Name],表格1[Shop])</f>
        <v>Fortress</v>
      </c>
      <c r="E28" s="95" t="s">
        <v>771</v>
      </c>
      <c r="F28" s="96">
        <f ca="1">SUMIF(表格1[Name],$E28,表格1[Total Amount])+SUMIF(表格1[Name],$AA28,表格1[Total Amount])</f>
        <v>487590</v>
      </c>
      <c r="G28" s="161">
        <f ca="1">SUMIF(表格1[Name],$E28,表格1[QTY])+SUMIF(表格1[Name],$AA28,表格1[QTY])</f>
        <v>268</v>
      </c>
      <c r="H28" s="96">
        <f t="shared" ca="1" si="5"/>
        <v>9751.8000000000011</v>
      </c>
      <c r="I28" s="96"/>
      <c r="J28" s="51">
        <f t="shared" ca="1" si="6"/>
        <v>1820</v>
      </c>
      <c r="K28" s="163">
        <f t="shared" ca="1" si="7"/>
        <v>0</v>
      </c>
      <c r="L28" s="163">
        <f t="shared" ca="1" si="8"/>
        <v>0</v>
      </c>
      <c r="M28" s="44">
        <f t="shared" ca="1" si="9"/>
        <v>0</v>
      </c>
      <c r="N28" s="44">
        <f t="shared" ca="1" si="10"/>
        <v>0</v>
      </c>
      <c r="O28" s="44">
        <f t="shared" ca="1" si="11"/>
        <v>320</v>
      </c>
      <c r="P28" s="44">
        <f t="shared" ca="1" si="12"/>
        <v>0</v>
      </c>
      <c r="Q28" s="44">
        <f t="shared" ca="1" si="13"/>
        <v>0</v>
      </c>
      <c r="R28" s="44">
        <f t="shared" ca="1" si="14"/>
        <v>0</v>
      </c>
      <c r="S28" s="44">
        <f t="shared" ca="1" si="15"/>
        <v>0</v>
      </c>
      <c r="T28" s="44">
        <f t="shared" ca="1" si="16"/>
        <v>0</v>
      </c>
      <c r="U28" s="44">
        <f t="shared" ca="1" si="17"/>
        <v>0</v>
      </c>
      <c r="V28" s="44">
        <f t="shared" ca="1" si="18"/>
        <v>0</v>
      </c>
      <c r="W28" s="44">
        <f t="shared" ca="1" si="19"/>
        <v>0</v>
      </c>
      <c r="X28" s="44">
        <f t="shared" ca="1" si="20"/>
        <v>0</v>
      </c>
      <c r="Y28" s="44">
        <f t="shared" ca="1" si="21"/>
        <v>500</v>
      </c>
      <c r="Z28" s="44">
        <f t="shared" ca="1" si="22"/>
        <v>1000</v>
      </c>
      <c r="AA28" s="60" t="str">
        <f t="shared" si="4"/>
        <v>Kiko off</v>
      </c>
      <c r="AB28" s="71">
        <f>_xlfn.XLOOKUP($E28,target[NAME],target[RC-DS10K/18K])</f>
        <v>4</v>
      </c>
      <c r="AC28" s="71">
        <f>_xlfn.XLOOKUP($E28,target[NAME],target[RC-18AMXH(W)])</f>
        <v>4</v>
      </c>
      <c r="AD28" s="71">
        <f>_xlfn.XLOOKUP($E28,target[NAME],target[EB-T500APW])</f>
        <v>1</v>
      </c>
      <c r="AE28" s="71">
        <f>_xlfn.XLOOKUP($E28,target[NAME],target[ER-VD7000HK(XK)])</f>
        <v>4</v>
      </c>
      <c r="AF28" s="71">
        <f>_xlfn.XLOOKUP($E28,target[NAME],target[TWDT21BU95])</f>
        <v>2</v>
      </c>
      <c r="AG28" s="71">
        <f>_xlfn.XLOOKUP($E28,target[NAME],target[AW-Q800APH(WW)])</f>
        <v>10</v>
      </c>
      <c r="AH28" s="71">
        <f>_xlfn.XLOOKUP($E28,target[NAME],target[AW-Q801APH(WW)])</f>
        <v>1000</v>
      </c>
      <c r="AI28" s="71">
        <f>_xlfn.XLOOKUP($E28,target[NAME],target[GR-RM469WE-PGA(B3)])</f>
        <v>2</v>
      </c>
      <c r="AJ28" s="71">
        <f>_xlfn.XLOOKUP($E28,target[NAME],target[GR-RB449WE-PMA(57)])</f>
        <v>2</v>
      </c>
      <c r="AK28" s="71">
        <f>_xlfn.XLOOKUP($E28,target[NAME],target[GR-RB410WE-PMA(06)])</f>
        <v>2</v>
      </c>
      <c r="AL28" s="71">
        <f>_xlfn.XLOOKUP($E28,target[NAME],target[GR-RF698WI])</f>
        <v>1</v>
      </c>
      <c r="AM28" s="71">
        <f>_xlfn.XLOOKUP($E28,target[NAME],target[TWP-W2265THK(W)])</f>
        <v>4</v>
      </c>
      <c r="AN28" s="71">
        <f>_xlfn.XLOOKUP($E28,target[NAME],target[RAD-D200/250/300/DIA17])</f>
        <v>48</v>
      </c>
      <c r="AO28" s="71">
        <f>_xlfn.XLOOKUP($E28,target[NAME],target[(Fortress ONLY)TW-T25BZU115MWH(MG) ])</f>
        <v>2</v>
      </c>
      <c r="AP28" s="71">
        <f>_xlfn.XLOOKUP($E28,target[NAME],target[開門紅(三月)])</f>
        <v>442700</v>
      </c>
      <c r="AQ28" s="71">
        <f>_xlfn.XLOOKUP($E28,target[NAME],target[開門紅(第一季)])</f>
        <v>472427</v>
      </c>
      <c r="AR28" s="73">
        <f ca="1">SUMIFS(表格1[QTY],表格1[Model],三國演義!$AR$12,表格1[Name],三國演義!$E28)+SUMIFS(表格1[QTY],表格1[Model],三國演義!$AR$12,表格1[Name],三國演義!$AA28)</f>
        <v>1</v>
      </c>
      <c r="AS28" s="77">
        <f ca="1">IF($AR28&gt;=$AE28,$AR28*'3月Target'!$W$8,0)</f>
        <v>0</v>
      </c>
      <c r="AT28" s="44">
        <f ca="1">SUMIFS(表格1[QTY],表格1[Model],三國演義!$AT$12,表格1[Name],三國演義!$E28)+SUMIFS(表格1[QTY],表格1[Model],三國演義!$AT$12,表格1[Name],三國演義!$AA28)</f>
        <v>0</v>
      </c>
      <c r="AU28" s="44">
        <f ca="1">SUMIFS(表格1[QTY],表格1[Model],三國演義!$AU$12,表格1[Name],三國演義!$E28)+SUMIFS(表格1[QTY],表格1[Model],三國演義!$AU$12,表格1[Name],三國演義!$AA28)</f>
        <v>1</v>
      </c>
      <c r="AV28" s="44">
        <f ca="1">SUMIFS(表格1[QTY],表格1[Model],三國演義!$AV$12,表格1[Name],三國演義!$E28)+SUMIFS(表格1[QTY],表格1[Model],三國演義!$AV$12,表格1[Name],三國演義!$AA28)</f>
        <v>0</v>
      </c>
      <c r="AW28" s="44">
        <f ca="1">SUMIFS(表格1[QTY],表格1[Model],三國演義!$AW$12,表格1[Name],三國演義!$E28)+SUMIFS(表格1[QTY],表格1[Model],三國演義!$AW$12,表格1[Name],三國演義!$AA28)</f>
        <v>0</v>
      </c>
      <c r="AX28" s="50">
        <f ca="1">IF((SUM($AT28:$AW28))&gt;=$AB28,SUM($AT28:$AW28)*'3月Target'!$W$5,0)</f>
        <v>0</v>
      </c>
      <c r="AY28" s="44">
        <f ca="1">SUMIFS(表格1[QTY],表格1[Model],三國演義!$AY$12,表格1[Name],三國演義!$E28)+SUMIFS(表格1[QTY],表格1[Model],三國演義!$AY$12,表格1[Name],三國演義!$AA28)</f>
        <v>1</v>
      </c>
      <c r="AZ28" s="77">
        <f ca="1">IF($AY28&gt;=$AC28,$AY28*'3月Target'!$W$6,0)</f>
        <v>0</v>
      </c>
      <c r="BA28" s="44">
        <f ca="1">SUMIFS(表格1[QTY],表格1[Model],三國演義!$BA$12,表格1[Name],三國演義!$E28)+SUMIFS(表格1[QTY],表格1[Model],三國演義!$BA$12,表格1[Name],三國演義!$AA28)</f>
        <v>0</v>
      </c>
      <c r="BB28" s="77">
        <f ca="1">IF($BA28&gt;=$AD28,$BA28*'3月Target'!$W$7,0)</f>
        <v>0</v>
      </c>
      <c r="BC28" s="44">
        <f ca="1">SUMIFS(表格1[QTY],表格1[Model],三國演義!$BC$12,表格1[Name],三國演義!$E28)+SUMIFS(表格1[QTY],表格1[Model],三國演義!$BC$12,表格1[Name],三國演義!$AA28)</f>
        <v>4</v>
      </c>
      <c r="BD28" s="77">
        <f ca="1">IF($BC28&gt;=$AF28,$BC28*'3月Target'!$W$9,0)</f>
        <v>320</v>
      </c>
      <c r="BE28" s="44">
        <f ca="1">SUMIFS(表格1[QTY],表格1[Model],三國演義!$BE$12,表格1[Name],三國演義!$E28)+SUMIFS(表格1[QTY],表格1[Model],三國演義!$BE$12,表格1[Name],三國演義!$AA28)</f>
        <v>5</v>
      </c>
      <c r="BF28" s="77">
        <f ca="1">IF($BE28&gt;=$AG28,$BE28*'3月Target'!$W$10,0)</f>
        <v>0</v>
      </c>
      <c r="BG28" s="44">
        <f ca="1">SUMIFS(表格1[QTY],表格1[Model],三國演義!$BG$12,表格1[Name],三國演義!$E28)+SUMIFS(表格1[QTY],表格1[Model],三國演義!$BG$12,表格1[Name],三國演義!$AA28)</f>
        <v>0</v>
      </c>
      <c r="BH28" s="77">
        <f ca="1">IF($BG28&gt;=$AH28,$BG28*'3月Target'!$W$10,0)</f>
        <v>0</v>
      </c>
      <c r="BI28" s="44">
        <f ca="1">SUMIFS(表格1[QTY],表格1[Model],三國演義!$BI$12,表格1[Name],三國演義!$E28)+SUMIFS(表格1[QTY],表格1[Model],三國演義!$BI$12,表格1[Name],三國演義!$AA28)</f>
        <v>0</v>
      </c>
      <c r="BJ28" s="77">
        <f ca="1">IF($BI28&gt;=$AI28,$BI28*'3月Target'!$W$11,0)</f>
        <v>0</v>
      </c>
      <c r="BK28" s="44">
        <f ca="1">SUMIFS(表格1[QTY],表格1[Model],三國演義!$BK$12,表格1[Name],三國演義!$E28)+SUMIFS(表格1[QTY],表格1[Model],三國演義!$BK$12,表格1[Name],三國演義!$AA28)</f>
        <v>0</v>
      </c>
      <c r="BL28" s="77">
        <f ca="1">IF($BK28&gt;=$AJ28,$BK28*'3月Target'!$W$12,0)</f>
        <v>0</v>
      </c>
      <c r="BM28" s="44">
        <f ca="1">SUMIFS(表格1[QTY],表格1[Model],三國演義!$BM$12,表格1[Name],三國演義!$E28)+SUMIFS(表格1[QTY],表格1[Model],三國演義!$BM$12,表格1[Name],三國演義!$AA28)</f>
        <v>1</v>
      </c>
      <c r="BN28" s="77">
        <f ca="1">IF($BM28&gt;=$AK28,$BM28*'3月Target'!$W$13,0)</f>
        <v>0</v>
      </c>
      <c r="BO28" s="44">
        <f ca="1">SUMIFS(表格1[QTY],表格1[Model],三國演義!$BO$12,表格1[Name],三國演義!$E28)+SUMIFS(表格1[QTY],表格1[Model],三國演義!$BO$12,表格1[Name],三國演義!$AA28)</f>
        <v>0</v>
      </c>
      <c r="BP28" s="77">
        <f ca="1">IF($BO28&gt;=$AL28,$BO28*'3月Target'!$W$14,0)</f>
        <v>0</v>
      </c>
      <c r="BQ28" s="44">
        <f ca="1">SUMIFS(表格1[QTY],表格1[Model],三國演義!$BQ$12,表格1[Name],三國演義!$E28)+SUMIFS(表格1[QTY],表格1[Model],三國演義!$BQ$12,表格1[Name],三國演義!$AA28)</f>
        <v>2</v>
      </c>
      <c r="BR28" s="77">
        <f ca="1">IF($BQ28&gt;=$AM28,$BQ28*'3月Target'!$W$15,0)</f>
        <v>0</v>
      </c>
      <c r="BS28" s="44">
        <f ca="1">SUMIFS(表格1[QTY],表格1[Model],三國演義!$BS$12,表格1[Name],三國演義!$E28)+SUMIFS(表格1[QTY],表格1[Model],三國演義!$BS$12,表格1[Name],三國演義!$AA28)</f>
        <v>0</v>
      </c>
      <c r="BT28" s="44">
        <f ca="1">SUMIFS(表格1[QTY],表格1[Model],三國演義!$BT$12,表格1[Name],三國演義!$E28)+SUMIFS(表格1[QTY],表格1[Model],三國演義!$BT$12,表格1[Name],三國演義!$AA28)</f>
        <v>0</v>
      </c>
      <c r="BU28" s="44">
        <f ca="1">SUMIFS(表格1[QTY],表格1[Model],三國演義!$BU$12,表格1[Name],三國演義!$E28)+SUMIFS(表格1[QTY],表格1[Model],三國演義!$BU$12,表格1[Name],三國演義!$AA28)</f>
        <v>43</v>
      </c>
      <c r="BV28" s="44">
        <f ca="1">SUMIFS(表格1[QTY],表格1[Model],三國演義!$BV$12,表格1[Name],三國演義!$E28)+SUMIFS(表格1[QTY],表格1[Model],三國演義!$BV$12,表格1[Name],三國演義!$AA28)</f>
        <v>1</v>
      </c>
      <c r="BW28" s="77">
        <f ca="1">IF((SUM($BS28:$BV28))&gt;=$AN28,SUM($BS28:$BV28)*'3月Target'!$W$16,0)</f>
        <v>0</v>
      </c>
      <c r="BX28" s="44">
        <f ca="1">SUMIFS(表格1[QTY],表格1[Model],三國演義!$BX$12,表格1[Name],三國演義!$E28)+SUMIFS(表格1[QTY],表格1[Model],三國演義!$BX$12,表格1[Name],三國演義!$AA28)</f>
        <v>0</v>
      </c>
      <c r="BY28" s="77">
        <f ca="1">IF($BX28&gt;=$AO28,$BX28*'3月Target'!$W$17,0)</f>
        <v>0</v>
      </c>
      <c r="BZ28" s="146">
        <f t="shared" ca="1" si="23"/>
        <v>487590</v>
      </c>
      <c r="CA28" s="77">
        <f t="shared" ca="1" si="24"/>
        <v>500</v>
      </c>
      <c r="CB28" s="146">
        <f t="shared" ca="1" si="25"/>
        <v>487590</v>
      </c>
      <c r="CC28" s="77">
        <f t="shared" ca="1" si="26"/>
        <v>1000</v>
      </c>
    </row>
    <row r="29" spans="1:81">
      <c r="A29" s="121">
        <f ca="1">Roster!AL21*Roster!AH21+Roster!AM21*Roster!AG21+三國演義!H29+三國演義!I29+三國演義!J29</f>
        <v>18102.099999999999</v>
      </c>
      <c r="B29" s="133">
        <v>0.02</v>
      </c>
      <c r="C29" s="66">
        <v>17</v>
      </c>
      <c r="D29" s="95" t="str">
        <f ca="1">_xlfn.XLOOKUP($E29,表格1[Name],表格1[Shop])</f>
        <v>Fortress</v>
      </c>
      <c r="E29" s="95" t="s">
        <v>946</v>
      </c>
      <c r="F29" s="96">
        <f ca="1">SUMIF(表格1[Name],$E29,表格1[Total Amount])+SUMIF(表格1[Name],$AA29,表格1[Total Amount])</f>
        <v>372105</v>
      </c>
      <c r="G29" s="161">
        <f ca="1">SUMIF(表格1[Name],$E29,表格1[QTY])+SUMIF(表格1[Name],$AA29,表格1[QTY])</f>
        <v>203</v>
      </c>
      <c r="H29" s="96">
        <f t="shared" ca="1" si="5"/>
        <v>7442.1</v>
      </c>
      <c r="I29" s="96"/>
      <c r="J29" s="51">
        <f t="shared" ca="1" si="6"/>
        <v>460</v>
      </c>
      <c r="K29" s="163">
        <f t="shared" ca="1" si="7"/>
        <v>0</v>
      </c>
      <c r="L29" s="163">
        <f t="shared" ca="1" si="8"/>
        <v>0</v>
      </c>
      <c r="M29" s="44">
        <f t="shared" ca="1" si="9"/>
        <v>0</v>
      </c>
      <c r="N29" s="44">
        <f t="shared" ca="1" si="10"/>
        <v>0</v>
      </c>
      <c r="O29" s="44">
        <f t="shared" ca="1" si="11"/>
        <v>160</v>
      </c>
      <c r="P29" s="44">
        <f t="shared" ca="1" si="12"/>
        <v>0</v>
      </c>
      <c r="Q29" s="44">
        <f t="shared" ca="1" si="13"/>
        <v>0</v>
      </c>
      <c r="R29" s="44">
        <f t="shared" ca="1" si="14"/>
        <v>0</v>
      </c>
      <c r="S29" s="44">
        <f t="shared" ca="1" si="15"/>
        <v>300</v>
      </c>
      <c r="T29" s="44">
        <f t="shared" ca="1" si="16"/>
        <v>0</v>
      </c>
      <c r="U29" s="44">
        <f t="shared" ca="1" si="17"/>
        <v>0</v>
      </c>
      <c r="V29" s="44">
        <f t="shared" ca="1" si="18"/>
        <v>0</v>
      </c>
      <c r="W29" s="44">
        <f t="shared" ca="1" si="19"/>
        <v>0</v>
      </c>
      <c r="X29" s="44">
        <f t="shared" ca="1" si="20"/>
        <v>0</v>
      </c>
      <c r="Y29" s="44">
        <f t="shared" ca="1" si="21"/>
        <v>0</v>
      </c>
      <c r="Z29" s="44">
        <f t="shared" ca="1" si="22"/>
        <v>0</v>
      </c>
      <c r="AA29" s="60" t="str">
        <f t="shared" si="4"/>
        <v>Jaco off</v>
      </c>
      <c r="AB29" s="71">
        <f>_xlfn.XLOOKUP($E29,target[NAME],target[RC-DS10K/18K])</f>
        <v>4</v>
      </c>
      <c r="AC29" s="71">
        <f>_xlfn.XLOOKUP($E29,target[NAME],target[RC-18AMXH(W)])</f>
        <v>4</v>
      </c>
      <c r="AD29" s="71">
        <f>_xlfn.XLOOKUP($E29,target[NAME],target[EB-T500APW])</f>
        <v>1</v>
      </c>
      <c r="AE29" s="71">
        <f>_xlfn.XLOOKUP($E29,target[NAME],target[ER-VD7000HK(XK)])</f>
        <v>2</v>
      </c>
      <c r="AF29" s="71">
        <f>_xlfn.XLOOKUP($E29,target[NAME],target[TWDT21BU95])</f>
        <v>2</v>
      </c>
      <c r="AG29" s="71">
        <f>_xlfn.XLOOKUP($E29,target[NAME],target[AW-Q800APH(WW)])</f>
        <v>10</v>
      </c>
      <c r="AH29" s="71">
        <f>_xlfn.XLOOKUP($E29,target[NAME],target[AW-Q801APH(WW)])</f>
        <v>1000</v>
      </c>
      <c r="AI29" s="71">
        <f>_xlfn.XLOOKUP($E29,target[NAME],target[GR-RM469WE-PGA(B3)])</f>
        <v>2</v>
      </c>
      <c r="AJ29" s="71">
        <f>_xlfn.XLOOKUP($E29,target[NAME],target[GR-RB449WE-PMA(57)])</f>
        <v>2</v>
      </c>
      <c r="AK29" s="71">
        <f>_xlfn.XLOOKUP($E29,target[NAME],target[GR-RB410WE-PMA(06)])</f>
        <v>2</v>
      </c>
      <c r="AL29" s="71">
        <f>_xlfn.XLOOKUP($E29,target[NAME],target[GR-RF698WI])</f>
        <v>1</v>
      </c>
      <c r="AM29" s="71">
        <f>_xlfn.XLOOKUP($E29,target[NAME],target[TWP-W2265THK(W)])</f>
        <v>2</v>
      </c>
      <c r="AN29" s="71">
        <f>_xlfn.XLOOKUP($E29,target[NAME],target[RAD-D200/250/300/DIA17])</f>
        <v>48</v>
      </c>
      <c r="AO29" s="71">
        <f>_xlfn.XLOOKUP($E29,target[NAME],target[(Fortress ONLY)TW-T25BZU115MWH(MG) ])</f>
        <v>2</v>
      </c>
      <c r="AP29" s="71">
        <f>_xlfn.XLOOKUP($E29,target[NAME],target[開門紅(三月)])</f>
        <v>450400</v>
      </c>
      <c r="AQ29" s="71">
        <f>_xlfn.XLOOKUP($E29,target[NAME],target[開門紅(第一季)])</f>
        <v>642229</v>
      </c>
      <c r="AR29" s="73">
        <f ca="1">SUMIFS(表格1[QTY],表格1[Model],三國演義!$AR$12,表格1[Name],三國演義!$E29)+SUMIFS(表格1[QTY],表格1[Model],三國演義!$AR$12,表格1[Name],三國演義!$AA29)</f>
        <v>0</v>
      </c>
      <c r="AS29" s="77">
        <f ca="1">IF($AR29&gt;=$AE29,$AR29*'3月Target'!$W$8,0)</f>
        <v>0</v>
      </c>
      <c r="AT29" s="44">
        <f ca="1">SUMIFS(表格1[QTY],表格1[Model],三國演義!$AT$12,表格1[Name],三國演義!$E29)+SUMIFS(表格1[QTY],表格1[Model],三國演義!$AT$12,表格1[Name],三國演義!$AA29)</f>
        <v>0</v>
      </c>
      <c r="AU29" s="44">
        <f ca="1">SUMIFS(表格1[QTY],表格1[Model],三國演義!$AU$12,表格1[Name],三國演義!$E29)+SUMIFS(表格1[QTY],表格1[Model],三國演義!$AU$12,表格1[Name],三國演義!$AA29)</f>
        <v>0</v>
      </c>
      <c r="AV29" s="44">
        <f ca="1">SUMIFS(表格1[QTY],表格1[Model],三國演義!$AV$12,表格1[Name],三國演義!$E29)+SUMIFS(表格1[QTY],表格1[Model],三國演義!$AV$12,表格1[Name],三國演義!$AA29)</f>
        <v>0</v>
      </c>
      <c r="AW29" s="44">
        <f ca="1">SUMIFS(表格1[QTY],表格1[Model],三國演義!$AW$12,表格1[Name],三國演義!$E29)+SUMIFS(表格1[QTY],表格1[Model],三國演義!$AW$12,表格1[Name],三國演義!$AA29)</f>
        <v>2</v>
      </c>
      <c r="AX29" s="50">
        <f ca="1">IF((SUM($AT29:$AW29))&gt;=$AB29,SUM($AT29:$AW29)*'3月Target'!$W$5,0)</f>
        <v>0</v>
      </c>
      <c r="AY29" s="44">
        <f ca="1">SUMIFS(表格1[QTY],表格1[Model],三國演義!$AY$12,表格1[Name],三國演義!$E29)+SUMIFS(表格1[QTY],表格1[Model],三國演義!$AY$12,表格1[Name],三國演義!$AA29)</f>
        <v>1</v>
      </c>
      <c r="AZ29" s="77">
        <f ca="1">IF($AY29&gt;=$AC29,$AY29*'3月Target'!$W$6,0)</f>
        <v>0</v>
      </c>
      <c r="BA29" s="44">
        <f ca="1">SUMIFS(表格1[QTY],表格1[Model],三國演義!$BA$12,表格1[Name],三國演義!$E29)+SUMIFS(表格1[QTY],表格1[Model],三國演義!$BA$12,表格1[Name],三國演義!$AA29)</f>
        <v>0</v>
      </c>
      <c r="BB29" s="77">
        <f ca="1">IF($BA29&gt;=$AD29,$BA29*'3月Target'!$W$7,0)</f>
        <v>0</v>
      </c>
      <c r="BC29" s="44">
        <f ca="1">SUMIFS(表格1[QTY],表格1[Model],三國演義!$BC$12,表格1[Name],三國演義!$E29)+SUMIFS(表格1[QTY],表格1[Model],三國演義!$BC$12,表格1[Name],三國演義!$AA29)</f>
        <v>2</v>
      </c>
      <c r="BD29" s="77">
        <f ca="1">IF($BC29&gt;=$AF29,$BC29*'3月Target'!$W$9,0)</f>
        <v>160</v>
      </c>
      <c r="BE29" s="44">
        <f ca="1">SUMIFS(表格1[QTY],表格1[Model],三國演義!$BE$12,表格1[Name],三國演義!$E29)+SUMIFS(表格1[QTY],表格1[Model],三國演義!$BE$12,表格1[Name],三國演義!$AA29)</f>
        <v>2</v>
      </c>
      <c r="BF29" s="77">
        <f ca="1">IF($BE29&gt;=$AG29,$BE29*'3月Target'!$W$10,0)</f>
        <v>0</v>
      </c>
      <c r="BG29" s="44">
        <f ca="1">SUMIFS(表格1[QTY],表格1[Model],三國演義!$BG$12,表格1[Name],三國演義!$E29)+SUMIFS(表格1[QTY],表格1[Model],三國演義!$BG$12,表格1[Name],三國演義!$AA29)</f>
        <v>1</v>
      </c>
      <c r="BH29" s="77">
        <f ca="1">IF($BG29&gt;=$AH29,$BG29*'3月Target'!$W$10,0)</f>
        <v>0</v>
      </c>
      <c r="BI29" s="44">
        <f ca="1">SUMIFS(表格1[QTY],表格1[Model],三國演義!$BI$12,表格1[Name],三國演義!$E29)+SUMIFS(表格1[QTY],表格1[Model],三國演義!$BI$12,表格1[Name],三國演義!$AA29)</f>
        <v>0</v>
      </c>
      <c r="BJ29" s="77">
        <f ca="1">IF($BI29&gt;=$AI29,$BI29*'3月Target'!$W$11,0)</f>
        <v>0</v>
      </c>
      <c r="BK29" s="44">
        <f ca="1">SUMIFS(表格1[QTY],表格1[Model],三國演義!$BK$12,表格1[Name],三國演義!$E29)+SUMIFS(表格1[QTY],表格1[Model],三國演義!$BK$12,表格1[Name],三國演義!$AA29)</f>
        <v>3</v>
      </c>
      <c r="BL29" s="77">
        <f ca="1">IF($BK29&gt;=$AJ29,$BK29*'3月Target'!$W$12,0)</f>
        <v>300</v>
      </c>
      <c r="BM29" s="44">
        <f ca="1">SUMIFS(表格1[QTY],表格1[Model],三國演義!$BM$12,表格1[Name],三國演義!$E29)+SUMIFS(表格1[QTY],表格1[Model],三國演義!$BM$12,表格1[Name],三國演義!$AA29)</f>
        <v>0</v>
      </c>
      <c r="BN29" s="77">
        <f ca="1">IF($BM29&gt;=$AK29,$BM29*'3月Target'!$W$13,0)</f>
        <v>0</v>
      </c>
      <c r="BO29" s="44">
        <f ca="1">SUMIFS(表格1[QTY],表格1[Model],三國演義!$BO$12,表格1[Name],三國演義!$E29)+SUMIFS(表格1[QTY],表格1[Model],三國演義!$BO$12,表格1[Name],三國演義!$AA29)</f>
        <v>0</v>
      </c>
      <c r="BP29" s="77">
        <f ca="1">IF($BO29&gt;=$AL29,$BO29*'3月Target'!$W$14,0)</f>
        <v>0</v>
      </c>
      <c r="BQ29" s="44">
        <f ca="1">SUMIFS(表格1[QTY],表格1[Model],三國演義!$BQ$12,表格1[Name],三國演義!$E29)+SUMIFS(表格1[QTY],表格1[Model],三國演義!$BQ$12,表格1[Name],三國演義!$AA29)</f>
        <v>0</v>
      </c>
      <c r="BR29" s="77">
        <f ca="1">IF($BQ29&gt;=$AM29,$BQ29*'3月Target'!$W$15,0)</f>
        <v>0</v>
      </c>
      <c r="BS29" s="44">
        <f ca="1">SUMIFS(表格1[QTY],表格1[Model],三國演義!$BS$12,表格1[Name],三國演義!$E29)+SUMIFS(表格1[QTY],表格1[Model],三國演義!$BS$12,表格1[Name],三國演義!$AA29)</f>
        <v>0</v>
      </c>
      <c r="BT29" s="44">
        <f ca="1">SUMIFS(表格1[QTY],表格1[Model],三國演義!$BT$12,表格1[Name],三國演義!$E29)+SUMIFS(表格1[QTY],表格1[Model],三國演義!$BT$12,表格1[Name],三國演義!$AA29)</f>
        <v>0</v>
      </c>
      <c r="BU29" s="44">
        <f ca="1">SUMIFS(表格1[QTY],表格1[Model],三國演義!$BU$12,表格1[Name],三國演義!$E29)+SUMIFS(表格1[QTY],表格1[Model],三國演義!$BU$12,表格1[Name],三國演義!$AA29)</f>
        <v>16</v>
      </c>
      <c r="BV29" s="44">
        <f ca="1">SUMIFS(表格1[QTY],表格1[Model],三國演義!$BV$12,表格1[Name],三國演義!$E29)+SUMIFS(表格1[QTY],表格1[Model],三國演義!$BV$12,表格1[Name],三國演義!$AA29)</f>
        <v>1</v>
      </c>
      <c r="BW29" s="77">
        <f ca="1">IF((SUM($BS29:$BV29))&gt;=$AN29,SUM($BS29:$BV29)*'3月Target'!$W$16,0)</f>
        <v>0</v>
      </c>
      <c r="BX29" s="44">
        <f ca="1">SUMIFS(表格1[QTY],表格1[Model],三國演義!$BX$12,表格1[Name],三國演義!$E29)+SUMIFS(表格1[QTY],表格1[Model],三國演義!$BX$12,表格1[Name],三國演義!$AA29)</f>
        <v>0</v>
      </c>
      <c r="BY29" s="77">
        <f ca="1">IF($BX29&gt;=$AO29,$BX29*'3月Target'!$W$17,0)</f>
        <v>0</v>
      </c>
      <c r="BZ29" s="146">
        <f t="shared" ca="1" si="23"/>
        <v>372105</v>
      </c>
      <c r="CA29" s="77">
        <f t="shared" ca="1" si="24"/>
        <v>0</v>
      </c>
      <c r="CB29" s="146">
        <f t="shared" ca="1" si="25"/>
        <v>372105</v>
      </c>
      <c r="CC29" s="77">
        <f t="shared" ca="1" si="26"/>
        <v>0</v>
      </c>
    </row>
    <row r="30" spans="1:81">
      <c r="A30" s="121">
        <f ca="1">Roster!AL22*Roster!AH22+Roster!AM22*Roster!AG22+三國演義!H30+三國演義!I30+三國演義!J30</f>
        <v>18145.8</v>
      </c>
      <c r="B30" s="133">
        <v>0.02</v>
      </c>
      <c r="C30" s="66">
        <v>18</v>
      </c>
      <c r="D30" s="95" t="str">
        <f ca="1">_xlfn.XLOOKUP($E30,表格1[Name],表格1[Shop])</f>
        <v>Suning</v>
      </c>
      <c r="E30" s="95" t="s">
        <v>864</v>
      </c>
      <c r="F30" s="96">
        <f ca="1">SUMIF(表格1[Name],$E30,表格1[Total Amount])+SUMIF(表格1[Name],$AA30,表格1[Total Amount])</f>
        <v>335290</v>
      </c>
      <c r="G30" s="161">
        <f ca="1">SUMIF(表格1[Name],$E30,表格1[QTY])+SUMIF(表格1[Name],$AA30,表格1[QTY])</f>
        <v>164</v>
      </c>
      <c r="H30" s="96">
        <f t="shared" ca="1" si="5"/>
        <v>6705.8</v>
      </c>
      <c r="I30" s="96"/>
      <c r="J30" s="51">
        <f t="shared" ca="1" si="6"/>
        <v>400</v>
      </c>
      <c r="K30" s="163">
        <f t="shared" ca="1" si="7"/>
        <v>0</v>
      </c>
      <c r="L30" s="163">
        <f t="shared" ca="1" si="8"/>
        <v>200</v>
      </c>
      <c r="M30" s="44">
        <f t="shared" ca="1" si="9"/>
        <v>0</v>
      </c>
      <c r="N30" s="44">
        <f t="shared" ca="1" si="10"/>
        <v>0</v>
      </c>
      <c r="O30" s="44">
        <f t="shared" ca="1" si="11"/>
        <v>0</v>
      </c>
      <c r="P30" s="44">
        <f t="shared" ca="1" si="12"/>
        <v>0</v>
      </c>
      <c r="Q30" s="44">
        <f t="shared" ca="1" si="13"/>
        <v>0</v>
      </c>
      <c r="R30" s="44">
        <f t="shared" ca="1" si="14"/>
        <v>0</v>
      </c>
      <c r="S30" s="44">
        <f t="shared" ca="1" si="15"/>
        <v>0</v>
      </c>
      <c r="T30" s="44">
        <f t="shared" ca="1" si="16"/>
        <v>0</v>
      </c>
      <c r="U30" s="44">
        <f t="shared" ca="1" si="17"/>
        <v>0</v>
      </c>
      <c r="V30" s="44">
        <f t="shared" ca="1" si="18"/>
        <v>200</v>
      </c>
      <c r="W30" s="44">
        <f t="shared" ca="1" si="19"/>
        <v>0</v>
      </c>
      <c r="X30" s="44">
        <f t="shared" ca="1" si="20"/>
        <v>0</v>
      </c>
      <c r="Y30" s="44">
        <f t="shared" ca="1" si="21"/>
        <v>0</v>
      </c>
      <c r="Z30" s="44">
        <f t="shared" ca="1" si="22"/>
        <v>0</v>
      </c>
      <c r="AA30" s="60" t="str">
        <f t="shared" si="4"/>
        <v>Daisy off</v>
      </c>
      <c r="AB30" s="71">
        <f>_xlfn.XLOOKUP($E30,target[NAME],target[RC-DS10K/18K])</f>
        <v>7</v>
      </c>
      <c r="AC30" s="71">
        <f>_xlfn.XLOOKUP($E30,target[NAME],target[RC-18AMXH(W)])</f>
        <v>4</v>
      </c>
      <c r="AD30" s="71">
        <f>_xlfn.XLOOKUP($E30,target[NAME],target[EB-T500APW])</f>
        <v>1</v>
      </c>
      <c r="AE30" s="71">
        <f>_xlfn.XLOOKUP($E30,target[NAME],target[ER-VD7000HK(XK)])</f>
        <v>4</v>
      </c>
      <c r="AF30" s="71">
        <f>_xlfn.XLOOKUP($E30,target[NAME],target[TWDT21BU95])</f>
        <v>2</v>
      </c>
      <c r="AG30" s="71">
        <f>_xlfn.XLOOKUP($E30,target[NAME],target[AW-Q800APH(WW)])</f>
        <v>1000</v>
      </c>
      <c r="AH30" s="71">
        <f>_xlfn.XLOOKUP($E30,target[NAME],target[AW-Q801APH(WW)])</f>
        <v>5</v>
      </c>
      <c r="AI30" s="71">
        <f>_xlfn.XLOOKUP($E30,target[NAME],target[GR-RM469WE-PGA(B3)])</f>
        <v>2</v>
      </c>
      <c r="AJ30" s="71">
        <f>_xlfn.XLOOKUP($E30,target[NAME],target[GR-RB449WE-PMA(57)])</f>
        <v>2</v>
      </c>
      <c r="AK30" s="71">
        <f>_xlfn.XLOOKUP($E30,target[NAME],target[GR-RB410WE-PMA(06)])</f>
        <v>2</v>
      </c>
      <c r="AL30" s="71">
        <f>_xlfn.XLOOKUP($E30,target[NAME],target[GR-RF698WI])</f>
        <v>1</v>
      </c>
      <c r="AM30" s="71">
        <f>_xlfn.XLOOKUP($E30,target[NAME],target[TWP-W2265THK(W)])</f>
        <v>2</v>
      </c>
      <c r="AN30" s="71">
        <f>_xlfn.XLOOKUP($E30,target[NAME],target[RAD-D200/250/300/DIA17])</f>
        <v>48</v>
      </c>
      <c r="AO30" s="71">
        <f>_xlfn.XLOOKUP($E30,target[NAME],target[(Fortress ONLY)TW-T25BZU115MWH(MG) ])</f>
        <v>1000</v>
      </c>
      <c r="AP30" s="71">
        <f>_xlfn.XLOOKUP($E30,target[NAME],target[開門紅(三月)])</f>
        <v>402100</v>
      </c>
      <c r="AQ30" s="71">
        <f>_xlfn.XLOOKUP($E30,target[NAME],target[開門紅(第一季)])</f>
        <v>378219</v>
      </c>
      <c r="AR30" s="73">
        <f ca="1">SUMIFS(表格1[QTY],表格1[Model],三國演義!$AR$12,表格1[Name],三國演義!$E30)+SUMIFS(表格1[QTY],表格1[Model],三國演義!$AR$12,表格1[Name],三國演義!$AA30)</f>
        <v>1</v>
      </c>
      <c r="AS30" s="77">
        <f ca="1">IF($AR30&gt;=$AE30,$AR30*'3月Target'!$W$8,0)</f>
        <v>0</v>
      </c>
      <c r="AT30" s="44">
        <f ca="1">SUMIFS(表格1[QTY],表格1[Model],三國演義!$AT$12,表格1[Name],三國演義!$E30)+SUMIFS(表格1[QTY],表格1[Model],三國演義!$AT$12,表格1[Name],三國演義!$AA30)</f>
        <v>0</v>
      </c>
      <c r="AU30" s="44">
        <f ca="1">SUMIFS(表格1[QTY],表格1[Model],三國演義!$AU$12,表格1[Name],三國演義!$E30)+SUMIFS(表格1[QTY],表格1[Model],三國演義!$AU$12,表格1[Name],三國演義!$AA30)</f>
        <v>4</v>
      </c>
      <c r="AV30" s="44">
        <f ca="1">SUMIFS(表格1[QTY],表格1[Model],三國演義!$AV$12,表格1[Name],三國演義!$E30)+SUMIFS(表格1[QTY],表格1[Model],三國演義!$AV$12,表格1[Name],三國演義!$AA30)</f>
        <v>0</v>
      </c>
      <c r="AW30" s="44">
        <f ca="1">SUMIFS(表格1[QTY],表格1[Model],三國演義!$AW$12,表格1[Name],三國演義!$E30)+SUMIFS(表格1[QTY],表格1[Model],三國演義!$AW$12,表格1[Name],三國演義!$AA30)</f>
        <v>1</v>
      </c>
      <c r="AX30" s="50">
        <f ca="1">IF((SUM($AT30:$AW30))&gt;=$AB30,SUM($AT30:$AW30)*'3月Target'!$W$5,0)</f>
        <v>0</v>
      </c>
      <c r="AY30" s="44">
        <f ca="1">SUMIFS(表格1[QTY],表格1[Model],三國演義!$AY$12,表格1[Name],三國演義!$E30)+SUMIFS(表格1[QTY],表格1[Model],三國演義!$AY$12,表格1[Name],三國演義!$AA30)</f>
        <v>4</v>
      </c>
      <c r="AZ30" s="77">
        <f ca="1">IF($AY30&gt;=$AC30,$AY30*'3月Target'!$W$6,0)</f>
        <v>200</v>
      </c>
      <c r="BA30" s="44">
        <f ca="1">SUMIFS(表格1[QTY],表格1[Model],三國演義!$BA$12,表格1[Name],三國演義!$E30)+SUMIFS(表格1[QTY],表格1[Model],三國演義!$BA$12,表格1[Name],三國演義!$AA30)</f>
        <v>0</v>
      </c>
      <c r="BB30" s="77">
        <f ca="1">IF($BA30&gt;=$AD30,$BA30*'3月Target'!$W$7,0)</f>
        <v>0</v>
      </c>
      <c r="BC30" s="44">
        <f ca="1">SUMIFS(表格1[QTY],表格1[Model],三國演義!$BC$12,表格1[Name],三國演義!$E30)+SUMIFS(表格1[QTY],表格1[Model],三國演義!$BC$12,表格1[Name],三國演義!$AA30)</f>
        <v>1</v>
      </c>
      <c r="BD30" s="77">
        <f ca="1">IF($BC30&gt;=$AF30,$BC30*'3月Target'!$W$9,0)</f>
        <v>0</v>
      </c>
      <c r="BE30" s="44">
        <f ca="1">SUMIFS(表格1[QTY],表格1[Model],三國演義!$BE$12,表格1[Name],三國演義!$E30)+SUMIFS(表格1[QTY],表格1[Model],三國演義!$BE$12,表格1[Name],三國演義!$AA30)</f>
        <v>0</v>
      </c>
      <c r="BF30" s="77">
        <f ca="1">IF($BE30&gt;=$AG30,$BE30*'3月Target'!$W$10,0)</f>
        <v>0</v>
      </c>
      <c r="BG30" s="44">
        <f ca="1">SUMIFS(表格1[QTY],表格1[Model],三國演義!$BG$12,表格1[Name],三國演義!$E30)+SUMIFS(表格1[QTY],表格1[Model],三國演義!$BG$12,表格1[Name],三國演義!$AA30)</f>
        <v>0</v>
      </c>
      <c r="BH30" s="77">
        <f ca="1">IF($BG30&gt;=$AH30,$BG30*'3月Target'!$W$10,0)</f>
        <v>0</v>
      </c>
      <c r="BI30" s="44">
        <f ca="1">SUMIFS(表格1[QTY],表格1[Model],三國演義!$BI$12,表格1[Name],三國演義!$E30)+SUMIFS(表格1[QTY],表格1[Model],三國演義!$BI$12,表格1[Name],三國演義!$AA30)</f>
        <v>0</v>
      </c>
      <c r="BJ30" s="77">
        <f ca="1">IF($BI30&gt;=$AI30,$BI30*'3月Target'!$W$11,0)</f>
        <v>0</v>
      </c>
      <c r="BK30" s="44">
        <f ca="1">SUMIFS(表格1[QTY],表格1[Model],三國演義!$BK$12,表格1[Name],三國演義!$E30)+SUMIFS(表格1[QTY],表格1[Model],三國演義!$BK$12,表格1[Name],三國演義!$AA30)</f>
        <v>0</v>
      </c>
      <c r="BL30" s="77">
        <f ca="1">IF($BK30&gt;=$AJ30,$BK30*'3月Target'!$W$12,0)</f>
        <v>0</v>
      </c>
      <c r="BM30" s="44">
        <f ca="1">SUMIFS(表格1[QTY],表格1[Model],三國演義!$BM$12,表格1[Name],三國演義!$E30)+SUMIFS(表格1[QTY],表格1[Model],三國演義!$BM$12,表格1[Name],三國演義!$AA30)</f>
        <v>0</v>
      </c>
      <c r="BN30" s="77">
        <f ca="1">IF($BM30&gt;=$AK30,$BM30*'3月Target'!$W$13,0)</f>
        <v>0</v>
      </c>
      <c r="BO30" s="44">
        <f ca="1">SUMIFS(表格1[QTY],表格1[Model],三國演義!$BO$12,表格1[Name],三國演義!$E30)+SUMIFS(表格1[QTY],表格1[Model],三國演義!$BO$12,表格1[Name],三國演義!$AA30)</f>
        <v>0</v>
      </c>
      <c r="BP30" s="77">
        <f ca="1">IF($BO30&gt;=$AL30,$BO30*'3月Target'!$W$14,0)</f>
        <v>0</v>
      </c>
      <c r="BQ30" s="44">
        <f ca="1">SUMIFS(表格1[QTY],表格1[Model],三國演義!$BQ$12,表格1[Name],三國演義!$E30)+SUMIFS(表格1[QTY],表格1[Model],三國演義!$BQ$12,表格1[Name],三國演義!$AA30)</f>
        <v>2</v>
      </c>
      <c r="BR30" s="77">
        <f ca="1">IF($BQ30&gt;=$AM30,$BQ30*'3月Target'!$W$15,0)</f>
        <v>200</v>
      </c>
      <c r="BS30" s="44">
        <f ca="1">SUMIFS(表格1[QTY],表格1[Model],三國演義!$BS$12,表格1[Name],三國演義!$E30)+SUMIFS(表格1[QTY],表格1[Model],三國演義!$BS$12,表格1[Name],三國演義!$AA30)</f>
        <v>1</v>
      </c>
      <c r="BT30" s="44">
        <f ca="1">SUMIFS(表格1[QTY],表格1[Model],三國演義!$BT$12,表格1[Name],三國演義!$E30)+SUMIFS(表格1[QTY],表格1[Model],三國演義!$BT$12,表格1[Name],三國演義!$AA30)</f>
        <v>0</v>
      </c>
      <c r="BU30" s="44">
        <f ca="1">SUMIFS(表格1[QTY],表格1[Model],三國演義!$BU$12,表格1[Name],三國演義!$E30)+SUMIFS(表格1[QTY],表格1[Model],三國演義!$BU$12,表格1[Name],三國演義!$AA30)</f>
        <v>14</v>
      </c>
      <c r="BV30" s="44">
        <f ca="1">SUMIFS(表格1[QTY],表格1[Model],三國演義!$BV$12,表格1[Name],三國演義!$E30)+SUMIFS(表格1[QTY],表格1[Model],三國演義!$BV$12,表格1[Name],三國演義!$AA30)</f>
        <v>0</v>
      </c>
      <c r="BW30" s="77">
        <f ca="1">IF((SUM($BS30:$BV30))&gt;=$AN30,SUM($BS30:$BV30)*'3月Target'!$W$16,0)</f>
        <v>0</v>
      </c>
      <c r="BX30" s="44">
        <f ca="1">SUMIFS(表格1[QTY],表格1[Model],三國演義!$BX$12,表格1[Name],三國演義!$E30)+SUMIFS(表格1[QTY],表格1[Model],三國演義!$BX$12,表格1[Name],三國演義!$AA30)</f>
        <v>0</v>
      </c>
      <c r="BY30" s="77">
        <f ca="1">IF($BX30&gt;=$AO30,$BX30*'3月Target'!$W$17,0)</f>
        <v>0</v>
      </c>
      <c r="BZ30" s="146">
        <f t="shared" ca="1" si="23"/>
        <v>335290</v>
      </c>
      <c r="CA30" s="77">
        <f t="shared" ca="1" si="24"/>
        <v>0</v>
      </c>
      <c r="CB30" s="146">
        <f t="shared" ca="1" si="25"/>
        <v>335290</v>
      </c>
      <c r="CC30" s="77">
        <f t="shared" ca="1" si="26"/>
        <v>0</v>
      </c>
    </row>
    <row r="31" spans="1:81">
      <c r="A31" s="121">
        <f ca="1">Roster!AL23*Roster!AH23+Roster!AM23*Roster!AG23+三國演義!H31+三國演義!I31+三國演義!J31</f>
        <v>11624.052</v>
      </c>
      <c r="B31" s="133">
        <v>0.02</v>
      </c>
      <c r="C31" s="66">
        <v>19</v>
      </c>
      <c r="D31" s="95" t="str">
        <f ca="1">_xlfn.XLOOKUP($E31,表格1[Name],表格1[Shop])</f>
        <v>Citistore</v>
      </c>
      <c r="E31" s="95" t="s">
        <v>873</v>
      </c>
      <c r="F31" s="96">
        <f ca="1">SUMIF(表格1[Name],$E31,表格1[Total Amount])+SUMIF(表格1[Name],$AA31,表格1[Total Amount])</f>
        <v>119202.6</v>
      </c>
      <c r="G31" s="161">
        <f ca="1">SUMIF(表格1[Name],$E31,表格1[QTY])+SUMIF(表格1[Name],$AA31,表格1[QTY])</f>
        <v>116</v>
      </c>
      <c r="H31" s="96">
        <f t="shared" ca="1" si="5"/>
        <v>2384.0520000000001</v>
      </c>
      <c r="I31" s="96"/>
      <c r="J31" s="51">
        <f t="shared" ca="1" si="6"/>
        <v>0</v>
      </c>
      <c r="K31" s="163">
        <f t="shared" ca="1" si="7"/>
        <v>0</v>
      </c>
      <c r="L31" s="163">
        <f t="shared" ca="1" si="8"/>
        <v>0</v>
      </c>
      <c r="M31" s="44">
        <f t="shared" ca="1" si="9"/>
        <v>0</v>
      </c>
      <c r="N31" s="44">
        <f t="shared" ca="1" si="10"/>
        <v>0</v>
      </c>
      <c r="O31" s="44">
        <f t="shared" ca="1" si="11"/>
        <v>0</v>
      </c>
      <c r="P31" s="44">
        <f t="shared" ca="1" si="12"/>
        <v>0</v>
      </c>
      <c r="Q31" s="44">
        <f t="shared" ca="1" si="13"/>
        <v>0</v>
      </c>
      <c r="R31" s="44">
        <f t="shared" ca="1" si="14"/>
        <v>0</v>
      </c>
      <c r="S31" s="44">
        <f t="shared" ca="1" si="15"/>
        <v>0</v>
      </c>
      <c r="T31" s="44">
        <f t="shared" ca="1" si="16"/>
        <v>0</v>
      </c>
      <c r="U31" s="44">
        <f t="shared" ca="1" si="17"/>
        <v>0</v>
      </c>
      <c r="V31" s="44">
        <f t="shared" ca="1" si="18"/>
        <v>0</v>
      </c>
      <c r="W31" s="44">
        <f t="shared" ca="1" si="19"/>
        <v>0</v>
      </c>
      <c r="X31" s="44">
        <f t="shared" ca="1" si="20"/>
        <v>0</v>
      </c>
      <c r="Y31" s="44">
        <f t="shared" ca="1" si="21"/>
        <v>0</v>
      </c>
      <c r="Z31" s="44">
        <f t="shared" ca="1" si="22"/>
        <v>0</v>
      </c>
      <c r="AA31" s="60" t="str">
        <f t="shared" si="4"/>
        <v>Pam off</v>
      </c>
      <c r="AB31" s="71">
        <f>_xlfn.XLOOKUP($E31,target[NAME],target[RC-DS10K/18K])</f>
        <v>4</v>
      </c>
      <c r="AC31" s="71">
        <f>_xlfn.XLOOKUP($E31,target[NAME],target[RC-18AMXH(W)])</f>
        <v>4</v>
      </c>
      <c r="AD31" s="71">
        <f>_xlfn.XLOOKUP($E31,target[NAME],target[EB-T500APW])</f>
        <v>1</v>
      </c>
      <c r="AE31" s="71">
        <f>_xlfn.XLOOKUP($E31,target[NAME],target[ER-VD7000HK(XK)])</f>
        <v>2</v>
      </c>
      <c r="AF31" s="71">
        <f>_xlfn.XLOOKUP($E31,target[NAME],target[TWDT21BU95])</f>
        <v>2</v>
      </c>
      <c r="AG31" s="71">
        <f>_xlfn.XLOOKUP($E31,target[NAME],target[AW-Q800APH(WW)])</f>
        <v>1000</v>
      </c>
      <c r="AH31" s="71">
        <f>_xlfn.XLOOKUP($E31,target[NAME],target[AW-Q801APH(WW)])</f>
        <v>5</v>
      </c>
      <c r="AI31" s="71">
        <f>_xlfn.XLOOKUP($E31,target[NAME],target[GR-RM469WE-PGA(B3)])</f>
        <v>2</v>
      </c>
      <c r="AJ31" s="71">
        <f>_xlfn.XLOOKUP($E31,target[NAME],target[GR-RB449WE-PMA(57)])</f>
        <v>2</v>
      </c>
      <c r="AK31" s="71">
        <f>_xlfn.XLOOKUP($E31,target[NAME],target[GR-RB410WE-PMA(06)])</f>
        <v>2</v>
      </c>
      <c r="AL31" s="71">
        <f>_xlfn.XLOOKUP($E31,target[NAME],target[GR-RF698WI])</f>
        <v>1</v>
      </c>
      <c r="AM31" s="71">
        <f>_xlfn.XLOOKUP($E31,target[NAME],target[TWP-W2265THK(W)])</f>
        <v>2</v>
      </c>
      <c r="AN31" s="71">
        <f>_xlfn.XLOOKUP($E31,target[NAME],target[RAD-D200/250/300/DIA17])</f>
        <v>48</v>
      </c>
      <c r="AO31" s="71">
        <f>_xlfn.XLOOKUP($E31,target[NAME],target[(Fortress ONLY)TW-T25BZU115MWH(MG) ])</f>
        <v>1000</v>
      </c>
      <c r="AP31" s="71">
        <f>_xlfn.XLOOKUP($E31,target[NAME],target[開門紅(三月)])</f>
        <v>280000</v>
      </c>
      <c r="AQ31" s="71">
        <f>_xlfn.XLOOKUP($E31,target[NAME],target[開門紅(第一季)])</f>
        <v>394742.1</v>
      </c>
      <c r="AR31" s="73">
        <f ca="1">SUMIFS(表格1[QTY],表格1[Model],三國演義!$AR$12,表格1[Name],三國演義!$E31)+SUMIFS(表格1[QTY],表格1[Model],三國演義!$AR$12,表格1[Name],三國演義!$AA31)</f>
        <v>0</v>
      </c>
      <c r="AS31" s="77">
        <f ca="1">IF($AR31&gt;=$AE31,$AR31*'3月Target'!$W$8,0)</f>
        <v>0</v>
      </c>
      <c r="AT31" s="44">
        <f ca="1">SUMIFS(表格1[QTY],表格1[Model],三國演義!$AT$12,表格1[Name],三國演義!$E31)+SUMIFS(表格1[QTY],表格1[Model],三國演義!$AT$12,表格1[Name],三國演義!$AA31)</f>
        <v>0</v>
      </c>
      <c r="AU31" s="44">
        <f ca="1">SUMIFS(表格1[QTY],表格1[Model],三國演義!$AU$12,表格1[Name],三國演義!$E31)+SUMIFS(表格1[QTY],表格1[Model],三國演義!$AU$12,表格1[Name],三國演義!$AA31)</f>
        <v>0</v>
      </c>
      <c r="AV31" s="44">
        <f ca="1">SUMIFS(表格1[QTY],表格1[Model],三國演義!$AV$12,表格1[Name],三國演義!$E31)+SUMIFS(表格1[QTY],表格1[Model],三國演義!$AV$12,表格1[Name],三國演義!$AA31)</f>
        <v>0</v>
      </c>
      <c r="AW31" s="44">
        <f ca="1">SUMIFS(表格1[QTY],表格1[Model],三國演義!$AW$12,表格1[Name],三國演義!$E31)+SUMIFS(表格1[QTY],表格1[Model],三國演義!$AW$12,表格1[Name],三國演義!$AA31)</f>
        <v>0</v>
      </c>
      <c r="AX31" s="50">
        <f ca="1">IF((SUM($AT31:$AW31))&gt;=$AB31,SUM($AT31:$AW31)*'3月Target'!$W$5,0)</f>
        <v>0</v>
      </c>
      <c r="AY31" s="44">
        <f ca="1">SUMIFS(表格1[QTY],表格1[Model],三國演義!$AY$12,表格1[Name],三國演義!$E31)+SUMIFS(表格1[QTY],表格1[Model],三國演義!$AY$12,表格1[Name],三國演義!$AA31)</f>
        <v>0</v>
      </c>
      <c r="AZ31" s="77">
        <f ca="1">IF($AY31&gt;=$AC31,$AY31*'3月Target'!$W$6,0)</f>
        <v>0</v>
      </c>
      <c r="BA31" s="44">
        <f ca="1">SUMIFS(表格1[QTY],表格1[Model],三國演義!$BA$12,表格1[Name],三國演義!$E31)+SUMIFS(表格1[QTY],表格1[Model],三國演義!$BA$12,表格1[Name],三國演義!$AA31)</f>
        <v>0</v>
      </c>
      <c r="BB31" s="77">
        <f ca="1">IF($BA31&gt;=$AD31,$BA31*'3月Target'!$W$7,0)</f>
        <v>0</v>
      </c>
      <c r="BC31" s="44">
        <f ca="1">SUMIFS(表格1[QTY],表格1[Model],三國演義!$BC$12,表格1[Name],三國演義!$E31)+SUMIFS(表格1[QTY],表格1[Model],三國演義!$BC$12,表格1[Name],三國演義!$AA31)</f>
        <v>1</v>
      </c>
      <c r="BD31" s="77">
        <f ca="1">IF($BC31&gt;=$AF31,$BC31*'3月Target'!$W$9,0)</f>
        <v>0</v>
      </c>
      <c r="BE31" s="44">
        <f ca="1">SUMIFS(表格1[QTY],表格1[Model],三國演義!$BE$12,表格1[Name],三國演義!$E31)+SUMIFS(表格1[QTY],表格1[Model],三國演義!$BE$12,表格1[Name],三國演義!$AA31)</f>
        <v>0</v>
      </c>
      <c r="BF31" s="77">
        <f ca="1">IF($BE31&gt;=$AG31,$BE31*'3月Target'!$W$10,0)</f>
        <v>0</v>
      </c>
      <c r="BG31" s="44">
        <f ca="1">SUMIFS(表格1[QTY],表格1[Model],三國演義!$BG$12,表格1[Name],三國演義!$E31)+SUMIFS(表格1[QTY],表格1[Model],三國演義!$BG$12,表格1[Name],三國演義!$AA31)</f>
        <v>1</v>
      </c>
      <c r="BH31" s="77">
        <f ca="1">IF($BG31&gt;=$AH31,$BG31*'3月Target'!$W$10,0)</f>
        <v>0</v>
      </c>
      <c r="BI31" s="44">
        <f ca="1">SUMIFS(表格1[QTY],表格1[Model],三國演義!$BI$12,表格1[Name],三國演義!$E31)+SUMIFS(表格1[QTY],表格1[Model],三國演義!$BI$12,表格1[Name],三國演義!$AA31)</f>
        <v>0</v>
      </c>
      <c r="BJ31" s="77">
        <f ca="1">IF($BI31&gt;=$AI31,$BI31*'3月Target'!$W$11,0)</f>
        <v>0</v>
      </c>
      <c r="BK31" s="44">
        <f ca="1">SUMIFS(表格1[QTY],表格1[Model],三國演義!$BK$12,表格1[Name],三國演義!$E31)+SUMIFS(表格1[QTY],表格1[Model],三國演義!$BK$12,表格1[Name],三國演義!$AA31)</f>
        <v>1</v>
      </c>
      <c r="BL31" s="77">
        <f ca="1">IF($BK31&gt;=$AJ31,$BK31*'3月Target'!$W$12,0)</f>
        <v>0</v>
      </c>
      <c r="BM31" s="44">
        <f ca="1">SUMIFS(表格1[QTY],表格1[Model],三國演義!$BM$12,表格1[Name],三國演義!$E31)+SUMIFS(表格1[QTY],表格1[Model],三國演義!$BM$12,表格1[Name],三國演義!$AA31)</f>
        <v>0</v>
      </c>
      <c r="BN31" s="77">
        <f ca="1">IF($BM31&gt;=$AK31,$BM31*'3月Target'!$W$13,0)</f>
        <v>0</v>
      </c>
      <c r="BO31" s="44">
        <f ca="1">SUMIFS(表格1[QTY],表格1[Model],三國演義!$BO$12,表格1[Name],三國演義!$E31)+SUMIFS(表格1[QTY],表格1[Model],三國演義!$BO$12,表格1[Name],三國演義!$AA31)</f>
        <v>0</v>
      </c>
      <c r="BP31" s="77">
        <f ca="1">IF($BO31&gt;=$AL31,$BO31*'3月Target'!$W$14,0)</f>
        <v>0</v>
      </c>
      <c r="BQ31" s="44">
        <f ca="1">SUMIFS(表格1[QTY],表格1[Model],三國演義!$BQ$12,表格1[Name],三國演義!$E31)+SUMIFS(表格1[QTY],表格1[Model],三國演義!$BQ$12,表格1[Name],三國演義!$AA31)</f>
        <v>0</v>
      </c>
      <c r="BR31" s="77">
        <f ca="1">IF($BQ31&gt;=$AM31,$BQ31*'3月Target'!$W$15,0)</f>
        <v>0</v>
      </c>
      <c r="BS31" s="44">
        <f ca="1">SUMIFS(表格1[QTY],表格1[Model],三國演義!$BS$12,表格1[Name],三國演義!$E31)+SUMIFS(表格1[QTY],表格1[Model],三國演義!$BS$12,表格1[Name],三國演義!$AA31)</f>
        <v>12</v>
      </c>
      <c r="BT31" s="44">
        <f ca="1">SUMIFS(表格1[QTY],表格1[Model],三國演義!$BT$12,表格1[Name],三國演義!$E31)+SUMIFS(表格1[QTY],表格1[Model],三國演義!$BT$12,表格1[Name],三國演義!$AA31)</f>
        <v>0</v>
      </c>
      <c r="BU31" s="44">
        <f ca="1">SUMIFS(表格1[QTY],表格1[Model],三國演義!$BU$12,表格1[Name],三國演義!$E31)+SUMIFS(表格1[QTY],表格1[Model],三國演義!$BU$12,表格1[Name],三國演義!$AA31)</f>
        <v>6</v>
      </c>
      <c r="BV31" s="44">
        <f ca="1">SUMIFS(表格1[QTY],表格1[Model],三國演義!$BV$12,表格1[Name],三國演義!$E31)+SUMIFS(表格1[QTY],表格1[Model],三國演義!$BV$12,表格1[Name],三國演義!$AA31)</f>
        <v>0</v>
      </c>
      <c r="BW31" s="77">
        <f ca="1">IF((SUM($BS31:$BV31))&gt;=$AN31,SUM($BS31:$BV31)*'3月Target'!$W$16,0)</f>
        <v>0</v>
      </c>
      <c r="BX31" s="44">
        <f ca="1">SUMIFS(表格1[QTY],表格1[Model],三國演義!$BX$12,表格1[Name],三國演義!$E31)+SUMIFS(表格1[QTY],表格1[Model],三國演義!$BX$12,表格1[Name],三國演義!$AA31)</f>
        <v>0</v>
      </c>
      <c r="BY31" s="77">
        <f ca="1">IF($BX31&gt;=$AO31,$BX31*'3月Target'!$W$17,0)</f>
        <v>0</v>
      </c>
      <c r="BZ31" s="146">
        <f t="shared" ca="1" si="23"/>
        <v>119202.6</v>
      </c>
      <c r="CA31" s="77">
        <f t="shared" ca="1" si="24"/>
        <v>0</v>
      </c>
      <c r="CB31" s="146">
        <f t="shared" ca="1" si="25"/>
        <v>119202.6</v>
      </c>
      <c r="CC31" s="77">
        <f t="shared" ca="1" si="26"/>
        <v>0</v>
      </c>
    </row>
    <row r="32" spans="1:81">
      <c r="A32" s="121">
        <f ca="1">Roster!AL24*Roster!AH24+Roster!AM24*Roster!AG24+三國演義!H32+三國演義!I32+三國演義!J32</f>
        <v>1312.56</v>
      </c>
      <c r="B32" s="133">
        <v>0.02</v>
      </c>
      <c r="C32" s="66">
        <v>20</v>
      </c>
      <c r="D32" s="95" t="str">
        <f ca="1">_xlfn.XLOOKUP($E32,表格1[Name],表格1[Shop])</f>
        <v>Citistore</v>
      </c>
      <c r="E32" s="95" t="s">
        <v>1908</v>
      </c>
      <c r="F32" s="96">
        <f ca="1">SUMIF(表格1[Name],$E32,表格1[Total Amount])+SUMIF(表格1[Name],$AA32,表格1[Total Amount])</f>
        <v>17628</v>
      </c>
      <c r="G32" s="161">
        <f ca="1">SUMIF(表格1[Name],$E32,表格1[QTY])+SUMIF(表格1[Name],$AA32,表格1[QTY])</f>
        <v>12</v>
      </c>
      <c r="H32" s="96">
        <f t="shared" ca="1" si="5"/>
        <v>352.56</v>
      </c>
      <c r="I32" s="96"/>
      <c r="J32" s="51">
        <f t="shared" si="6"/>
        <v>0</v>
      </c>
      <c r="K32" s="164"/>
      <c r="L32" s="164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60" t="str">
        <f t="shared" si="4"/>
        <v>Tony_4 off</v>
      </c>
      <c r="AB32" s="71" t="e">
        <f>_xlfn.XLOOKUP($E32,target[NAME],target[RC-DS10K/18K])</f>
        <v>#N/A</v>
      </c>
      <c r="AC32" s="71" t="e">
        <f>_xlfn.XLOOKUP($E32,target[NAME],target[RC-18AMXH(W)])</f>
        <v>#N/A</v>
      </c>
      <c r="AD32" s="71" t="e">
        <f>_xlfn.XLOOKUP($E32,target[NAME],target[EB-T500APW])</f>
        <v>#N/A</v>
      </c>
      <c r="AE32" s="71" t="e">
        <f>_xlfn.XLOOKUP($E32,target[NAME],target[ER-VD7000HK(XK)])</f>
        <v>#N/A</v>
      </c>
      <c r="AF32" s="71" t="e">
        <f>_xlfn.XLOOKUP($E32,target[NAME],target[TWDT21BU95])</f>
        <v>#N/A</v>
      </c>
      <c r="AG32" s="71" t="e">
        <f>_xlfn.XLOOKUP($E32,target[NAME],target[AW-Q800APH(WW)])</f>
        <v>#N/A</v>
      </c>
      <c r="AH32" s="71" t="e">
        <f>_xlfn.XLOOKUP($E32,target[NAME],target[AW-Q801APH(WW)])</f>
        <v>#N/A</v>
      </c>
      <c r="AI32" s="71" t="e">
        <f>_xlfn.XLOOKUP($E32,target[NAME],target[GR-RM469WE-PGA(B3)])</f>
        <v>#N/A</v>
      </c>
      <c r="AJ32" s="71" t="e">
        <f>_xlfn.XLOOKUP($E32,target[NAME],target[GR-RB449WE-PMA(57)])</f>
        <v>#N/A</v>
      </c>
      <c r="AK32" s="71" t="e">
        <f>_xlfn.XLOOKUP($E32,target[NAME],target[GR-RB410WE-PMA(06)])</f>
        <v>#N/A</v>
      </c>
      <c r="AL32" s="71" t="e">
        <f>_xlfn.XLOOKUP($E32,target[NAME],target[GR-RF698WI])</f>
        <v>#N/A</v>
      </c>
      <c r="AM32" s="71" t="e">
        <f>_xlfn.XLOOKUP($E32,target[NAME],target[TWP-W2265THK(W)])</f>
        <v>#N/A</v>
      </c>
      <c r="AN32" s="71" t="e">
        <f>_xlfn.XLOOKUP($E32,target[NAME],target[RAD-D200/250/300/DIA17])</f>
        <v>#N/A</v>
      </c>
      <c r="AO32" s="71" t="e">
        <f>_xlfn.XLOOKUP($E32,target[NAME],target[(Fortress ONLY)TW-T25BZU115MWH(MG) ])</f>
        <v>#N/A</v>
      </c>
      <c r="AP32" s="71" t="e">
        <f>_xlfn.XLOOKUP($E32,target[NAME],target[開門紅(三月)])</f>
        <v>#N/A</v>
      </c>
      <c r="AQ32" s="71" t="e">
        <f>_xlfn.XLOOKUP($E32,target[NAME],target[開門紅(第一季)])</f>
        <v>#N/A</v>
      </c>
      <c r="AR32" s="73">
        <f ca="1">SUMIFS(表格1[QTY],表格1[Model],三國演義!$AR$12,表格1[Name],三國演義!$E32)+SUMIFS(表格1[QTY],表格1[Model],三國演義!$AR$12,表格1[Name],三國演義!$AA32)</f>
        <v>0</v>
      </c>
      <c r="AS32" s="77" t="e">
        <f ca="1">IF($AR32&gt;=$AE32,$AR32*'3月Target'!$W$8,0)</f>
        <v>#N/A</v>
      </c>
      <c r="AT32" s="44">
        <f ca="1">SUMIFS(表格1[QTY],表格1[Model],三國演義!$AT$12,表格1[Name],三國演義!$E32)+SUMIFS(表格1[QTY],表格1[Model],三國演義!$AT$12,表格1[Name],三國演義!$AA32)</f>
        <v>0</v>
      </c>
      <c r="AU32" s="44">
        <f ca="1">SUMIFS(表格1[QTY],表格1[Model],三國演義!$AU$12,表格1[Name],三國演義!$E32)+SUMIFS(表格1[QTY],表格1[Model],三國演義!$AU$12,表格1[Name],三國演義!$AA32)</f>
        <v>0</v>
      </c>
      <c r="AV32" s="44">
        <f ca="1">SUMIFS(表格1[QTY],表格1[Model],三國演義!$AV$12,表格1[Name],三國演義!$E32)+SUMIFS(表格1[QTY],表格1[Model],三國演義!$AV$12,表格1[Name],三國演義!$AA32)</f>
        <v>0</v>
      </c>
      <c r="AW32" s="44">
        <f ca="1">SUMIFS(表格1[QTY],表格1[Model],三國演義!$AW$12,表格1[Name],三國演義!$E32)+SUMIFS(表格1[QTY],表格1[Model],三國演義!$AW$12,表格1[Name],三國演義!$AA32)</f>
        <v>0</v>
      </c>
      <c r="AX32" s="50" t="e">
        <f ca="1">IF((SUM($AT32:$AW32))&gt;=$AB32,SUM($AT32:$AW32)*'3月Target'!$W$5,0)</f>
        <v>#N/A</v>
      </c>
      <c r="AY32" s="44">
        <f ca="1">SUMIFS(表格1[QTY],表格1[Model],三國演義!$AY$12,表格1[Name],三國演義!$E32)+SUMIFS(表格1[QTY],表格1[Model],三國演義!$AY$12,表格1[Name],三國演義!$AA32)</f>
        <v>0</v>
      </c>
      <c r="AZ32" s="77" t="e">
        <f ca="1">IF($AY32&gt;=$AC32,$AY32*'3月Target'!$W$6,0)</f>
        <v>#N/A</v>
      </c>
      <c r="BA32" s="44">
        <f ca="1">SUMIFS(表格1[QTY],表格1[Model],三國演義!$BA$12,表格1[Name],三國演義!$E32)+SUMIFS(表格1[QTY],表格1[Model],三國演義!$BA$12,表格1[Name],三國演義!$AA32)</f>
        <v>0</v>
      </c>
      <c r="BB32" s="77" t="e">
        <f ca="1">IF($BA32&gt;=$AD32,$BA32*'3月Target'!$W$7,0)</f>
        <v>#N/A</v>
      </c>
      <c r="BC32" s="44">
        <f ca="1">SUMIFS(表格1[QTY],表格1[Model],三國演義!$BC$12,表格1[Name],三國演義!$E32)+SUMIFS(表格1[QTY],表格1[Model],三國演義!$BC$12,表格1[Name],三國演義!$AA32)</f>
        <v>0</v>
      </c>
      <c r="BD32" s="77" t="e">
        <f ca="1">IF($BC32&gt;=$AF32,$BC32*'3月Target'!$W$9,0)</f>
        <v>#N/A</v>
      </c>
      <c r="BE32" s="44">
        <f ca="1">SUMIFS(表格1[QTY],表格1[Model],三國演義!$BE$12,表格1[Name],三國演義!$E32)+SUMIFS(表格1[QTY],表格1[Model],三國演義!$BE$12,表格1[Name],三國演義!$AA32)</f>
        <v>0</v>
      </c>
      <c r="BF32" s="77" t="e">
        <f ca="1">IF($BE32&gt;=$AG32,$BE32*'3月Target'!$W$10,0)</f>
        <v>#N/A</v>
      </c>
      <c r="BG32" s="44">
        <f ca="1">SUMIFS(表格1[QTY],表格1[Model],三國演義!$BG$12,表格1[Name],三國演義!$E32)+SUMIFS(表格1[QTY],表格1[Model],三國演義!$BG$12,表格1[Name],三國演義!$AA32)</f>
        <v>1</v>
      </c>
      <c r="BH32" s="77" t="e">
        <f ca="1">IF($BG32&gt;=$AH32,$BG32*'3月Target'!$W$10,0)</f>
        <v>#N/A</v>
      </c>
      <c r="BI32" s="44">
        <f ca="1">SUMIFS(表格1[QTY],表格1[Model],三國演義!$BI$12,表格1[Name],三國演義!$E32)+SUMIFS(表格1[QTY],表格1[Model],三國演義!$BI$12,表格1[Name],三國演義!$AA32)</f>
        <v>0</v>
      </c>
      <c r="BJ32" s="77" t="e">
        <f ca="1">IF($BI32&gt;=$AI32,$BI32*'3月Target'!$W$11,0)</f>
        <v>#N/A</v>
      </c>
      <c r="BK32" s="44">
        <f ca="1">SUMIFS(表格1[QTY],表格1[Model],三國演義!$BK$12,表格1[Name],三國演義!$E32)+SUMIFS(表格1[QTY],表格1[Model],三國演義!$BK$12,表格1[Name],三國演義!$AA32)</f>
        <v>0</v>
      </c>
      <c r="BL32" s="77" t="e">
        <f ca="1">IF($BK32&gt;=$AJ32,$BK32*'3月Target'!$W$12,0)</f>
        <v>#N/A</v>
      </c>
      <c r="BM32" s="44">
        <f ca="1">SUMIFS(表格1[QTY],表格1[Model],三國演義!$BM$12,表格1[Name],三國演義!$E32)+SUMIFS(表格1[QTY],表格1[Model],三國演義!$BM$12,表格1[Name],三國演義!$AA32)</f>
        <v>0</v>
      </c>
      <c r="BN32" s="77" t="e">
        <f ca="1">IF($BM32&gt;=$AK32,$BM32*'3月Target'!$W$13,0)</f>
        <v>#N/A</v>
      </c>
      <c r="BO32" s="44">
        <f ca="1">SUMIFS(表格1[QTY],表格1[Model],三國演義!$BO$12,表格1[Name],三國演義!$E32)+SUMIFS(表格1[QTY],表格1[Model],三國演義!$BO$12,表格1[Name],三國演義!$AA32)</f>
        <v>0</v>
      </c>
      <c r="BP32" s="77" t="e">
        <f ca="1">IF($BO32&gt;=$AL32,$BO32*'3月Target'!$W$14,0)</f>
        <v>#N/A</v>
      </c>
      <c r="BQ32" s="44">
        <f ca="1">SUMIFS(表格1[QTY],表格1[Model],三國演義!$BQ$12,表格1[Name],三國演義!$E32)+SUMIFS(表格1[QTY],表格1[Model],三國演義!$BQ$12,表格1[Name],三國演義!$AA32)</f>
        <v>0</v>
      </c>
      <c r="BR32" s="77" t="e">
        <f ca="1">IF($BQ32&gt;=$AM32,$BQ32*'3月Target'!$W$15,0)</f>
        <v>#N/A</v>
      </c>
      <c r="BS32" s="44">
        <f ca="1">SUMIFS(表格1[QTY],表格1[Model],三國演義!$BS$12,表格1[Name],三國演義!$E32)+SUMIFS(表格1[QTY],表格1[Model],三國演義!$BS$12,表格1[Name],三國演義!$AA32)</f>
        <v>3</v>
      </c>
      <c r="BT32" s="44">
        <f ca="1">SUMIFS(表格1[QTY],表格1[Model],三國演義!$BT$12,表格1[Name],三國演義!$E32)+SUMIFS(表格1[QTY],表格1[Model],三國演義!$BT$12,表格1[Name],三國演義!$AA32)</f>
        <v>0</v>
      </c>
      <c r="BU32" s="44">
        <f ca="1">SUMIFS(表格1[QTY],表格1[Model],三國演義!$BU$12,表格1[Name],三國演義!$E32)+SUMIFS(表格1[QTY],表格1[Model],三國演義!$BU$12,表格1[Name],三國演義!$AA32)</f>
        <v>0</v>
      </c>
      <c r="BV32" s="44">
        <f ca="1">SUMIFS(表格1[QTY],表格1[Model],三國演義!$BV$12,表格1[Name],三國演義!$E32)+SUMIFS(表格1[QTY],表格1[Model],三國演義!$BV$12,表格1[Name],三國演義!$AA32)</f>
        <v>0</v>
      </c>
      <c r="BW32" s="77" t="e">
        <f ca="1">IF((SUM($BS32:$BV32))&gt;=$AN32,SUM($BS32:$BV32)*'3月Target'!$W$16,0)</f>
        <v>#N/A</v>
      </c>
      <c r="BX32" s="44">
        <f ca="1">SUMIFS(表格1[QTY],表格1[Model],三國演義!$BX$12,表格1[Name],三國演義!$E32)+SUMIFS(表格1[QTY],表格1[Model],三國演義!$BX$12,表格1[Name],三國演義!$AA32)</f>
        <v>0</v>
      </c>
      <c r="BY32" s="77" t="e">
        <f ca="1">IF($BX32&gt;=$AO32,$BX32*'3月Target'!$W$17,0)</f>
        <v>#N/A</v>
      </c>
      <c r="BZ32" s="146">
        <f t="shared" ca="1" si="23"/>
        <v>17628</v>
      </c>
      <c r="CA32" s="77" t="e">
        <f t="shared" ca="1" si="24"/>
        <v>#N/A</v>
      </c>
      <c r="CB32" s="146">
        <f t="shared" ca="1" si="25"/>
        <v>17628</v>
      </c>
      <c r="CC32" s="77" t="e">
        <f t="shared" ca="1" si="26"/>
        <v>#N/A</v>
      </c>
    </row>
    <row r="33" spans="1:81">
      <c r="A33" s="121">
        <f ca="1">Roster!AL25*Roster!AH25+Roster!AM25*Roster!AG25+三國演義!H33+三國演義!I33+三國演義!J33</f>
        <v>12092.71</v>
      </c>
      <c r="B33" s="133">
        <v>0.02</v>
      </c>
      <c r="C33" s="66">
        <v>21</v>
      </c>
      <c r="D33" s="95" t="str">
        <f ca="1">_xlfn.XLOOKUP($E33,表格1[Name],表格1[Shop])</f>
        <v>Aeon</v>
      </c>
      <c r="E33" s="95" t="s">
        <v>955</v>
      </c>
      <c r="F33" s="96">
        <f ca="1">SUMIF(表格1[Name],$E33,表格1[Total Amount])+SUMIF(表格1[Name],$AA33,表格1[Total Amount])</f>
        <v>228635.5</v>
      </c>
      <c r="G33" s="161">
        <f ca="1">SUMIF(表格1[Name],$E33,表格1[QTY])+SUMIF(表格1[Name],$AA33,表格1[QTY])</f>
        <v>241</v>
      </c>
      <c r="H33" s="96">
        <f t="shared" ca="1" si="5"/>
        <v>4572.71</v>
      </c>
      <c r="I33" s="96"/>
      <c r="J33" s="51">
        <f t="shared" ca="1" si="6"/>
        <v>0</v>
      </c>
      <c r="K33" s="163">
        <f t="shared" ca="1" si="7"/>
        <v>0</v>
      </c>
      <c r="L33" s="163">
        <f t="shared" ca="1" si="8"/>
        <v>0</v>
      </c>
      <c r="M33" s="44">
        <f t="shared" ca="1" si="9"/>
        <v>0</v>
      </c>
      <c r="N33" s="44">
        <f t="shared" ca="1" si="10"/>
        <v>0</v>
      </c>
      <c r="O33" s="44">
        <f t="shared" ca="1" si="11"/>
        <v>0</v>
      </c>
      <c r="P33" s="44">
        <f t="shared" ca="1" si="12"/>
        <v>0</v>
      </c>
      <c r="Q33" s="44">
        <f t="shared" ca="1" si="13"/>
        <v>0</v>
      </c>
      <c r="R33" s="44">
        <f t="shared" ca="1" si="14"/>
        <v>0</v>
      </c>
      <c r="S33" s="44">
        <f t="shared" ca="1" si="15"/>
        <v>0</v>
      </c>
      <c r="T33" s="44">
        <f t="shared" ca="1" si="16"/>
        <v>0</v>
      </c>
      <c r="U33" s="44">
        <f t="shared" ca="1" si="17"/>
        <v>0</v>
      </c>
      <c r="V33" s="44">
        <f t="shared" ca="1" si="18"/>
        <v>0</v>
      </c>
      <c r="W33" s="44">
        <f t="shared" ca="1" si="19"/>
        <v>0</v>
      </c>
      <c r="X33" s="44">
        <f t="shared" ca="1" si="20"/>
        <v>0</v>
      </c>
      <c r="Y33" s="44">
        <f t="shared" ca="1" si="21"/>
        <v>0</v>
      </c>
      <c r="Z33" s="44">
        <f t="shared" ca="1" si="22"/>
        <v>0</v>
      </c>
      <c r="AA33" s="60" t="str">
        <f t="shared" si="4"/>
        <v>Lily Hon off</v>
      </c>
      <c r="AB33" s="71">
        <f>_xlfn.XLOOKUP($E33,target[NAME],target[RC-DS10K/18K])</f>
        <v>4</v>
      </c>
      <c r="AC33" s="71">
        <f>_xlfn.XLOOKUP($E33,target[NAME],target[RC-18AMXH(W)])</f>
        <v>4</v>
      </c>
      <c r="AD33" s="71">
        <f>_xlfn.XLOOKUP($E33,target[NAME],target[EB-T500APW])</f>
        <v>1</v>
      </c>
      <c r="AE33" s="71">
        <f>_xlfn.XLOOKUP($E33,target[NAME],target[ER-VD7000HK(XK)])</f>
        <v>2</v>
      </c>
      <c r="AF33" s="71">
        <f>_xlfn.XLOOKUP($E33,target[NAME],target[TWDT21BU95])</f>
        <v>2</v>
      </c>
      <c r="AG33" s="71">
        <f>_xlfn.XLOOKUP($E33,target[NAME],target[AW-Q800APH(WW)])</f>
        <v>1000</v>
      </c>
      <c r="AH33" s="71">
        <f>_xlfn.XLOOKUP($E33,target[NAME],target[AW-Q801APH(WW)])</f>
        <v>5</v>
      </c>
      <c r="AI33" s="71">
        <f>_xlfn.XLOOKUP($E33,target[NAME],target[GR-RM469WE-PGA(B3)])</f>
        <v>2</v>
      </c>
      <c r="AJ33" s="71">
        <f>_xlfn.XLOOKUP($E33,target[NAME],target[GR-RB449WE-PMA(57)])</f>
        <v>2</v>
      </c>
      <c r="AK33" s="71">
        <f>_xlfn.XLOOKUP($E33,target[NAME],target[GR-RB410WE-PMA(06)])</f>
        <v>2</v>
      </c>
      <c r="AL33" s="71">
        <f>_xlfn.XLOOKUP($E33,target[NAME],target[GR-RF698WI])</f>
        <v>1</v>
      </c>
      <c r="AM33" s="71">
        <f>_xlfn.XLOOKUP($E33,target[NAME],target[TWP-W2265THK(W)])</f>
        <v>2</v>
      </c>
      <c r="AN33" s="71">
        <f>_xlfn.XLOOKUP($E33,target[NAME],target[RAD-D200/250/300/DIA17])</f>
        <v>48</v>
      </c>
      <c r="AO33" s="71">
        <f>_xlfn.XLOOKUP($E33,target[NAME],target[(Fortress ONLY)TW-T25BZU115MWH(MG) ])</f>
        <v>1000</v>
      </c>
      <c r="AP33" s="71">
        <f>_xlfn.XLOOKUP($E33,target[NAME],target[開門紅(三月)])</f>
        <v>455000</v>
      </c>
      <c r="AQ33" s="71">
        <f>_xlfn.XLOOKUP($E33,target[NAME],target[開門紅(第一季)])</f>
        <v>339055.7</v>
      </c>
      <c r="AR33" s="73">
        <f ca="1">SUMIFS(表格1[QTY],表格1[Model],三國演義!$AR$12,表格1[Name],三國演義!$E33)+SUMIFS(表格1[QTY],表格1[Model],三國演義!$AR$12,表格1[Name],三國演義!$AA33)</f>
        <v>0</v>
      </c>
      <c r="AS33" s="77">
        <f ca="1">IF($AR33&gt;=$AE33,$AR33*'3月Target'!$W$8,0)</f>
        <v>0</v>
      </c>
      <c r="AT33" s="44">
        <f ca="1">SUMIFS(表格1[QTY],表格1[Model],三國演義!$AT$12,表格1[Name],三國演義!$E33)+SUMIFS(表格1[QTY],表格1[Model],三國演義!$AT$12,表格1[Name],三國演義!$AA33)</f>
        <v>0</v>
      </c>
      <c r="AU33" s="44">
        <f ca="1">SUMIFS(表格1[QTY],表格1[Model],三國演義!$AU$12,表格1[Name],三國演義!$E33)+SUMIFS(表格1[QTY],表格1[Model],三國演義!$AU$12,表格1[Name],三國演義!$AA33)</f>
        <v>0</v>
      </c>
      <c r="AV33" s="44">
        <f ca="1">SUMIFS(表格1[QTY],表格1[Model],三國演義!$AV$12,表格1[Name],三國演義!$E33)+SUMIFS(表格1[QTY],表格1[Model],三國演義!$AV$12,表格1[Name],三國演義!$AA33)</f>
        <v>0</v>
      </c>
      <c r="AW33" s="44">
        <f ca="1">SUMIFS(表格1[QTY],表格1[Model],三國演義!$AW$12,表格1[Name],三國演義!$E33)+SUMIFS(表格1[QTY],表格1[Model],三國演義!$AW$12,表格1[Name],三國演義!$AA33)</f>
        <v>0</v>
      </c>
      <c r="AX33" s="50">
        <f ca="1">IF((SUM($AT33:$AW33))&gt;=$AB33,SUM($AT33:$AW33)*'3月Target'!$W$5,0)</f>
        <v>0</v>
      </c>
      <c r="AY33" s="44">
        <f ca="1">SUMIFS(表格1[QTY],表格1[Model],三國演義!$AY$12,表格1[Name],三國演義!$E33)+SUMIFS(表格1[QTY],表格1[Model],三國演義!$AY$12,表格1[Name],三國演義!$AA33)</f>
        <v>1</v>
      </c>
      <c r="AZ33" s="77">
        <f ca="1">IF($AY33&gt;=$AC33,$AY33*'3月Target'!$W$6,0)</f>
        <v>0</v>
      </c>
      <c r="BA33" s="44">
        <f ca="1">SUMIFS(表格1[QTY],表格1[Model],三國演義!$BA$12,表格1[Name],三國演義!$E33)+SUMIFS(表格1[QTY],表格1[Model],三國演義!$BA$12,表格1[Name],三國演義!$AA33)</f>
        <v>0</v>
      </c>
      <c r="BB33" s="77">
        <f ca="1">IF($BA33&gt;=$AD33,$BA33*'3月Target'!$W$7,0)</f>
        <v>0</v>
      </c>
      <c r="BC33" s="44">
        <f ca="1">SUMIFS(表格1[QTY],表格1[Model],三國演義!$BC$12,表格1[Name],三國演義!$E33)+SUMIFS(表格1[QTY],表格1[Model],三國演義!$BC$12,表格1[Name],三國演義!$AA33)</f>
        <v>0</v>
      </c>
      <c r="BD33" s="77">
        <f ca="1">IF($BC33&gt;=$AF33,$BC33*'3月Target'!$W$9,0)</f>
        <v>0</v>
      </c>
      <c r="BE33" s="44">
        <f ca="1">SUMIFS(表格1[QTY],表格1[Model],三國演義!$BE$12,表格1[Name],三國演義!$E33)+SUMIFS(表格1[QTY],表格1[Model],三國演義!$BE$12,表格1[Name],三國演義!$AA33)</f>
        <v>0</v>
      </c>
      <c r="BF33" s="77">
        <f ca="1">IF($BE33&gt;=$AG33,$BE33*'3月Target'!$W$10,0)</f>
        <v>0</v>
      </c>
      <c r="BG33" s="44">
        <f ca="1">SUMIFS(表格1[QTY],表格1[Model],三國演義!$BG$12,表格1[Name],三國演義!$E33)+SUMIFS(表格1[QTY],表格1[Model],三國演義!$BG$12,表格1[Name],三國演義!$AA33)</f>
        <v>2</v>
      </c>
      <c r="BH33" s="77">
        <f ca="1">IF($BG33&gt;=$AH33,$BG33*'3月Target'!$W$10,0)</f>
        <v>0</v>
      </c>
      <c r="BI33" s="44">
        <f ca="1">SUMIFS(表格1[QTY],表格1[Model],三國演義!$BI$12,表格1[Name],三國演義!$E33)+SUMIFS(表格1[QTY],表格1[Model],三國演義!$BI$12,表格1[Name],三國演義!$AA33)</f>
        <v>0</v>
      </c>
      <c r="BJ33" s="77">
        <f ca="1">IF($BI33&gt;=$AI33,$BI33*'3月Target'!$W$11,0)</f>
        <v>0</v>
      </c>
      <c r="BK33" s="44">
        <f ca="1">SUMIFS(表格1[QTY],表格1[Model],三國演義!$BK$12,表格1[Name],三國演義!$E33)+SUMIFS(表格1[QTY],表格1[Model],三國演義!$BK$12,表格1[Name],三國演義!$AA33)</f>
        <v>0</v>
      </c>
      <c r="BL33" s="77">
        <f ca="1">IF($BK33&gt;=$AJ33,$BK33*'3月Target'!$W$12,0)</f>
        <v>0</v>
      </c>
      <c r="BM33" s="44">
        <f ca="1">SUMIFS(表格1[QTY],表格1[Model],三國演義!$BM$12,表格1[Name],三國演義!$E33)+SUMIFS(表格1[QTY],表格1[Model],三國演義!$BM$12,表格1[Name],三國演義!$AA33)</f>
        <v>0</v>
      </c>
      <c r="BN33" s="77">
        <f ca="1">IF($BM33&gt;=$AK33,$BM33*'3月Target'!$W$13,0)</f>
        <v>0</v>
      </c>
      <c r="BO33" s="44">
        <f ca="1">SUMIFS(表格1[QTY],表格1[Model],三國演義!$BO$12,表格1[Name],三國演義!$E33)+SUMIFS(表格1[QTY],表格1[Model],三國演義!$BO$12,表格1[Name],三國演義!$AA33)</f>
        <v>0</v>
      </c>
      <c r="BP33" s="77">
        <f ca="1">IF($BO33&gt;=$AL33,$BO33*'3月Target'!$W$14,0)</f>
        <v>0</v>
      </c>
      <c r="BQ33" s="44">
        <f ca="1">SUMIFS(表格1[QTY],表格1[Model],三國演義!$BQ$12,表格1[Name],三國演義!$E33)+SUMIFS(表格1[QTY],表格1[Model],三國演義!$BQ$12,表格1[Name],三國演義!$AA33)</f>
        <v>0</v>
      </c>
      <c r="BR33" s="77">
        <f ca="1">IF($BQ33&gt;=$AM33,$BQ33*'3月Target'!$W$15,0)</f>
        <v>0</v>
      </c>
      <c r="BS33" s="44">
        <f ca="1">SUMIFS(表格1[QTY],表格1[Model],三國演義!$BS$12,表格1[Name],三國演義!$E33)+SUMIFS(表格1[QTY],表格1[Model],三國演義!$BS$12,表格1[Name],三國演義!$AA33)</f>
        <v>2</v>
      </c>
      <c r="BT33" s="44">
        <f ca="1">SUMIFS(表格1[QTY],表格1[Model],三國演義!$BT$12,表格1[Name],三國演義!$E33)+SUMIFS(表格1[QTY],表格1[Model],三國演義!$BT$12,表格1[Name],三國演義!$AA33)</f>
        <v>0</v>
      </c>
      <c r="BU33" s="44">
        <f ca="1">SUMIFS(表格1[QTY],表格1[Model],三國演義!$BU$12,表格1[Name],三國演義!$E33)+SUMIFS(表格1[QTY],表格1[Model],三國演義!$BU$12,表格1[Name],三國演義!$AA33)</f>
        <v>1</v>
      </c>
      <c r="BV33" s="44">
        <f ca="1">SUMIFS(表格1[QTY],表格1[Model],三國演義!$BV$12,表格1[Name],三國演義!$E33)+SUMIFS(表格1[QTY],表格1[Model],三國演義!$BV$12,表格1[Name],三國演義!$AA33)</f>
        <v>0</v>
      </c>
      <c r="BW33" s="77">
        <f ca="1">IF((SUM($BS33:$BV33))&gt;=$AN33,SUM($BS33:$BV33)*'3月Target'!$W$16,0)</f>
        <v>0</v>
      </c>
      <c r="BX33" s="44">
        <f ca="1">SUMIFS(表格1[QTY],表格1[Model],三國演義!$BX$12,表格1[Name],三國演義!$E33)+SUMIFS(表格1[QTY],表格1[Model],三國演義!$BX$12,表格1[Name],三國演義!$AA33)</f>
        <v>0</v>
      </c>
      <c r="BY33" s="77">
        <f ca="1">IF($BX33&gt;=$AO33,$BX33*'3月Target'!$W$17,0)</f>
        <v>0</v>
      </c>
      <c r="BZ33" s="146">
        <f t="shared" ca="1" si="23"/>
        <v>228635.5</v>
      </c>
      <c r="CA33" s="77">
        <f t="shared" ca="1" si="24"/>
        <v>0</v>
      </c>
      <c r="CB33" s="146">
        <f t="shared" ca="1" si="25"/>
        <v>228635.5</v>
      </c>
      <c r="CC33" s="77">
        <f t="shared" ca="1" si="26"/>
        <v>0</v>
      </c>
    </row>
    <row r="34" spans="1:81">
      <c r="A34" s="121">
        <f ca="1">Roster!AL26*Roster!AH26+Roster!AM26*Roster!AG26+三國演義!H34+三國演義!I34+三國演義!J34</f>
        <v>2381.9</v>
      </c>
      <c r="B34" s="133">
        <v>0.02</v>
      </c>
      <c r="C34" s="66">
        <v>22</v>
      </c>
      <c r="D34" s="95" t="str">
        <f ca="1">_xlfn.XLOOKUP($E34,表格1[Name],表格1[Shop])</f>
        <v>Aeon</v>
      </c>
      <c r="E34" s="95" t="s">
        <v>1466</v>
      </c>
      <c r="F34" s="96">
        <f ca="1">SUMIF(表格1[Name],$E34,表格1[Total Amount])+SUMIF(表格1[Name],$AA34,表格1[Total Amount])</f>
        <v>31095</v>
      </c>
      <c r="G34" s="161">
        <f ca="1">SUMIF(表格1[Name],$E34,表格1[QTY])+SUMIF(表格1[Name],$AA34,表格1[QTY])</f>
        <v>22</v>
      </c>
      <c r="H34" s="96">
        <f t="shared" ca="1" si="5"/>
        <v>621.9</v>
      </c>
      <c r="I34" s="96"/>
      <c r="J34" s="51">
        <f t="shared" si="6"/>
        <v>0</v>
      </c>
      <c r="K34" s="164"/>
      <c r="L34" s="164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60" t="str">
        <f t="shared" si="4"/>
        <v>Ho_3 off</v>
      </c>
      <c r="AB34" s="71" t="e">
        <f>_xlfn.XLOOKUP($E34,target[NAME],target[RC-DS10K/18K])</f>
        <v>#N/A</v>
      </c>
      <c r="AC34" s="71" t="e">
        <f>_xlfn.XLOOKUP($E34,target[NAME],target[RC-18AMXH(W)])</f>
        <v>#N/A</v>
      </c>
      <c r="AD34" s="71" t="e">
        <f>_xlfn.XLOOKUP($E34,target[NAME],target[EB-T500APW])</f>
        <v>#N/A</v>
      </c>
      <c r="AE34" s="71" t="e">
        <f>_xlfn.XLOOKUP($E34,target[NAME],target[ER-VD7000HK(XK)])</f>
        <v>#N/A</v>
      </c>
      <c r="AF34" s="71" t="e">
        <f>_xlfn.XLOOKUP($E34,target[NAME],target[TWDT21BU95])</f>
        <v>#N/A</v>
      </c>
      <c r="AG34" s="71" t="e">
        <f>_xlfn.XLOOKUP($E34,target[NAME],target[AW-Q800APH(WW)])</f>
        <v>#N/A</v>
      </c>
      <c r="AH34" s="71" t="e">
        <f>_xlfn.XLOOKUP($E34,target[NAME],target[AW-Q801APH(WW)])</f>
        <v>#N/A</v>
      </c>
      <c r="AI34" s="71" t="e">
        <f>_xlfn.XLOOKUP($E34,target[NAME],target[GR-RM469WE-PGA(B3)])</f>
        <v>#N/A</v>
      </c>
      <c r="AJ34" s="71" t="e">
        <f>_xlfn.XLOOKUP($E34,target[NAME],target[GR-RB449WE-PMA(57)])</f>
        <v>#N/A</v>
      </c>
      <c r="AK34" s="71" t="e">
        <f>_xlfn.XLOOKUP($E34,target[NAME],target[GR-RB410WE-PMA(06)])</f>
        <v>#N/A</v>
      </c>
      <c r="AL34" s="71" t="e">
        <f>_xlfn.XLOOKUP($E34,target[NAME],target[GR-RF698WI])</f>
        <v>#N/A</v>
      </c>
      <c r="AM34" s="71" t="e">
        <f>_xlfn.XLOOKUP($E34,target[NAME],target[TWP-W2265THK(W)])</f>
        <v>#N/A</v>
      </c>
      <c r="AN34" s="71" t="e">
        <f>_xlfn.XLOOKUP($E34,target[NAME],target[RAD-D200/250/300/DIA17])</f>
        <v>#N/A</v>
      </c>
      <c r="AO34" s="71" t="e">
        <f>_xlfn.XLOOKUP($E34,target[NAME],target[(Fortress ONLY)TW-T25BZU115MWH(MG) ])</f>
        <v>#N/A</v>
      </c>
      <c r="AP34" s="71" t="e">
        <f>_xlfn.XLOOKUP($E34,target[NAME],target[開門紅(三月)])</f>
        <v>#N/A</v>
      </c>
      <c r="AQ34" s="71" t="e">
        <f>_xlfn.XLOOKUP($E34,target[NAME],target[開門紅(第一季)])</f>
        <v>#N/A</v>
      </c>
      <c r="AR34" s="73">
        <f ca="1">SUMIFS(表格1[QTY],表格1[Model],三國演義!$AR$12,表格1[Name],三國演義!$E34)+SUMIFS(表格1[QTY],表格1[Model],三國演義!$AR$12,表格1[Name],三國演義!$AA34)</f>
        <v>0</v>
      </c>
      <c r="AS34" s="77" t="e">
        <f ca="1">IF($AR34&gt;=$AE34,$AR34*'3月Target'!$W$8,0)</f>
        <v>#N/A</v>
      </c>
      <c r="AT34" s="44">
        <f ca="1">SUMIFS(表格1[QTY],表格1[Model],三國演義!$AT$12,表格1[Name],三國演義!$E34)+SUMIFS(表格1[QTY],表格1[Model],三國演義!$AT$12,表格1[Name],三國演義!$AA34)</f>
        <v>0</v>
      </c>
      <c r="AU34" s="44">
        <f ca="1">SUMIFS(表格1[QTY],表格1[Model],三國演義!$AU$12,表格1[Name],三國演義!$E34)+SUMIFS(表格1[QTY],表格1[Model],三國演義!$AU$12,表格1[Name],三國演義!$AA34)</f>
        <v>0</v>
      </c>
      <c r="AV34" s="44">
        <f ca="1">SUMIFS(表格1[QTY],表格1[Model],三國演義!$AV$12,表格1[Name],三國演義!$E34)+SUMIFS(表格1[QTY],表格1[Model],三國演義!$AV$12,表格1[Name],三國演義!$AA34)</f>
        <v>0</v>
      </c>
      <c r="AW34" s="44">
        <f ca="1">SUMIFS(表格1[QTY],表格1[Model],三國演義!$AW$12,表格1[Name],三國演義!$E34)+SUMIFS(表格1[QTY],表格1[Model],三國演義!$AW$12,表格1[Name],三國演義!$AA34)</f>
        <v>0</v>
      </c>
      <c r="AX34" s="50" t="e">
        <f ca="1">IF((SUM($AT34:$AW34))&gt;=$AB34,SUM($AT34:$AW34)*'3月Target'!$W$5,0)</f>
        <v>#N/A</v>
      </c>
      <c r="AY34" s="44">
        <f ca="1">SUMIFS(表格1[QTY],表格1[Model],三國演義!$AY$12,表格1[Name],三國演義!$E34)+SUMIFS(表格1[QTY],表格1[Model],三國演義!$AY$12,表格1[Name],三國演義!$AA34)</f>
        <v>0</v>
      </c>
      <c r="AZ34" s="77" t="e">
        <f ca="1">IF($AY34&gt;=$AC34,$AY34*'3月Target'!$W$6,0)</f>
        <v>#N/A</v>
      </c>
      <c r="BA34" s="44">
        <f ca="1">SUMIFS(表格1[QTY],表格1[Model],三國演義!$BA$12,表格1[Name],三國演義!$E34)+SUMIFS(表格1[QTY],表格1[Model],三國演義!$BA$12,表格1[Name],三國演義!$AA34)</f>
        <v>0</v>
      </c>
      <c r="BB34" s="77" t="e">
        <f ca="1">IF($BA34&gt;=$AD34,$BA34*'3月Target'!$W$7,0)</f>
        <v>#N/A</v>
      </c>
      <c r="BC34" s="44">
        <f ca="1">SUMIFS(表格1[QTY],表格1[Model],三國演義!$BC$12,表格1[Name],三國演義!$E34)+SUMIFS(表格1[QTY],表格1[Model],三國演義!$BC$12,表格1[Name],三國演義!$AA34)</f>
        <v>0</v>
      </c>
      <c r="BD34" s="77" t="e">
        <f ca="1">IF($BC34&gt;=$AF34,$BC34*'3月Target'!$W$9,0)</f>
        <v>#N/A</v>
      </c>
      <c r="BE34" s="44">
        <f ca="1">SUMIFS(表格1[QTY],表格1[Model],三國演義!$BE$12,表格1[Name],三國演義!$E34)+SUMIFS(表格1[QTY],表格1[Model],三國演義!$BE$12,表格1[Name],三國演義!$AA34)</f>
        <v>0</v>
      </c>
      <c r="BF34" s="77" t="e">
        <f ca="1">IF($BE34&gt;=$AG34,$BE34*'3月Target'!$W$10,0)</f>
        <v>#N/A</v>
      </c>
      <c r="BG34" s="44">
        <f ca="1">SUMIFS(表格1[QTY],表格1[Model],三國演義!$BG$12,表格1[Name],三國演義!$E34)+SUMIFS(表格1[QTY],表格1[Model],三國演義!$BG$12,表格1[Name],三國演義!$AA34)</f>
        <v>0</v>
      </c>
      <c r="BH34" s="77" t="e">
        <f ca="1">IF($BG34&gt;=$AH34,$BG34*'3月Target'!$W$10,0)</f>
        <v>#N/A</v>
      </c>
      <c r="BI34" s="44">
        <f ca="1">SUMIFS(表格1[QTY],表格1[Model],三國演義!$BI$12,表格1[Name],三國演義!$E34)+SUMIFS(表格1[QTY],表格1[Model],三國演義!$BI$12,表格1[Name],三國演義!$AA34)</f>
        <v>0</v>
      </c>
      <c r="BJ34" s="77" t="e">
        <f ca="1">IF($BI34&gt;=$AI34,$BI34*'3月Target'!$W$11,0)</f>
        <v>#N/A</v>
      </c>
      <c r="BK34" s="44">
        <f ca="1">SUMIFS(表格1[QTY],表格1[Model],三國演義!$BK$12,表格1[Name],三國演義!$E34)+SUMIFS(表格1[QTY],表格1[Model],三國演義!$BK$12,表格1[Name],三國演義!$AA34)</f>
        <v>0</v>
      </c>
      <c r="BL34" s="77" t="e">
        <f ca="1">IF($BK34&gt;=$AJ34,$BK34*'3月Target'!$W$12,0)</f>
        <v>#N/A</v>
      </c>
      <c r="BM34" s="44">
        <f ca="1">SUMIFS(表格1[QTY],表格1[Model],三國演義!$BM$12,表格1[Name],三國演義!$E34)+SUMIFS(表格1[QTY],表格1[Model],三國演義!$BM$12,表格1[Name],三國演義!$AA34)</f>
        <v>0</v>
      </c>
      <c r="BN34" s="77" t="e">
        <f ca="1">IF($BM34&gt;=$AK34,$BM34*'3月Target'!$W$13,0)</f>
        <v>#N/A</v>
      </c>
      <c r="BO34" s="44">
        <f ca="1">SUMIFS(表格1[QTY],表格1[Model],三國演義!$BO$12,表格1[Name],三國演義!$E34)+SUMIFS(表格1[QTY],表格1[Model],三國演義!$BO$12,表格1[Name],三國演義!$AA34)</f>
        <v>0</v>
      </c>
      <c r="BP34" s="77" t="e">
        <f ca="1">IF($BO34&gt;=$AL34,$BO34*'3月Target'!$W$14,0)</f>
        <v>#N/A</v>
      </c>
      <c r="BQ34" s="44">
        <f ca="1">SUMIFS(表格1[QTY],表格1[Model],三國演義!$BQ$12,表格1[Name],三國演義!$E34)+SUMIFS(表格1[QTY],表格1[Model],三國演義!$BQ$12,表格1[Name],三國演義!$AA34)</f>
        <v>0</v>
      </c>
      <c r="BR34" s="77" t="e">
        <f ca="1">IF($BQ34&gt;=$AM34,$BQ34*'3月Target'!$W$15,0)</f>
        <v>#N/A</v>
      </c>
      <c r="BS34" s="44">
        <f ca="1">SUMIFS(表格1[QTY],表格1[Model],三國演義!$BS$12,表格1[Name],三國演義!$E34)+SUMIFS(表格1[QTY],表格1[Model],三國演義!$BS$12,表格1[Name],三國演義!$AA34)</f>
        <v>2</v>
      </c>
      <c r="BT34" s="44">
        <f ca="1">SUMIFS(表格1[QTY],表格1[Model],三國演義!$BT$12,表格1[Name],三國演義!$E34)+SUMIFS(表格1[QTY],表格1[Model],三國演義!$BT$12,表格1[Name],三國演義!$AA34)</f>
        <v>0</v>
      </c>
      <c r="BU34" s="44">
        <f ca="1">SUMIFS(表格1[QTY],表格1[Model],三國演義!$BU$12,表格1[Name],三國演義!$E34)+SUMIFS(表格1[QTY],表格1[Model],三國演義!$BU$12,表格1[Name],三國演義!$AA34)</f>
        <v>1</v>
      </c>
      <c r="BV34" s="44">
        <f ca="1">SUMIFS(表格1[QTY],表格1[Model],三國演義!$BV$12,表格1[Name],三國演義!$E34)+SUMIFS(表格1[QTY],表格1[Model],三國演義!$BV$12,表格1[Name],三國演義!$AA34)</f>
        <v>0</v>
      </c>
      <c r="BW34" s="77" t="e">
        <f ca="1">IF((SUM($BS34:$BV34))&gt;=$AN34,SUM($BS34:$BV34)*'3月Target'!$W$16,0)</f>
        <v>#N/A</v>
      </c>
      <c r="BX34" s="44">
        <f ca="1">SUMIFS(表格1[QTY],表格1[Model],三國演義!$BX$12,表格1[Name],三國演義!$E34)+SUMIFS(表格1[QTY],表格1[Model],三國演義!$BX$12,表格1[Name],三國演義!$AA34)</f>
        <v>0</v>
      </c>
      <c r="BY34" s="77" t="e">
        <f ca="1">IF($BX34&gt;=$AO34,$BX34*'3月Target'!$W$17,0)</f>
        <v>#N/A</v>
      </c>
      <c r="BZ34" s="146">
        <f t="shared" ca="1" si="23"/>
        <v>31095</v>
      </c>
      <c r="CA34" s="77" t="e">
        <f t="shared" ca="1" si="24"/>
        <v>#N/A</v>
      </c>
      <c r="CB34" s="146">
        <f t="shared" ca="1" si="25"/>
        <v>31095</v>
      </c>
      <c r="CC34" s="77" t="e">
        <f t="shared" ca="1" si="26"/>
        <v>#N/A</v>
      </c>
    </row>
    <row r="35" spans="1:81">
      <c r="A35" s="121">
        <f ca="1">Roster!AL27*Roster!AH27+Roster!AM27*Roster!AG27+三國演義!H35+三國演義!I35+三國演義!J35</f>
        <v>6392.7800000000007</v>
      </c>
      <c r="B35" s="133">
        <v>0.02</v>
      </c>
      <c r="C35" s="66">
        <v>23</v>
      </c>
      <c r="D35" s="95" t="str">
        <f ca="1">_xlfn.XLOOKUP($E35,表格1[Name],表格1[Shop])</f>
        <v>Fortress</v>
      </c>
      <c r="E35" s="95" t="s">
        <v>872</v>
      </c>
      <c r="F35" s="96">
        <f ca="1">SUMIF(表格1[Name],$E35,表格1[Total Amount])+SUMIF(表格1[Name],$AA35,表格1[Total Amount])</f>
        <v>165639</v>
      </c>
      <c r="G35" s="161">
        <f ca="1">SUMIF(表格1[Name],$E35,表格1[QTY])+SUMIF(表格1[Name],$AA35,表格1[QTY])</f>
        <v>102</v>
      </c>
      <c r="H35" s="96">
        <f t="shared" ca="1" si="5"/>
        <v>3312.78</v>
      </c>
      <c r="I35" s="96"/>
      <c r="J35" s="51">
        <f t="shared" ca="1" si="6"/>
        <v>0</v>
      </c>
      <c r="K35" s="163">
        <f t="shared" ca="1" si="7"/>
        <v>0</v>
      </c>
      <c r="L35" s="163">
        <f t="shared" ca="1" si="8"/>
        <v>0</v>
      </c>
      <c r="M35" s="44">
        <f t="shared" ca="1" si="9"/>
        <v>0</v>
      </c>
      <c r="N35" s="44">
        <f t="shared" ca="1" si="10"/>
        <v>0</v>
      </c>
      <c r="O35" s="44">
        <f t="shared" ca="1" si="11"/>
        <v>0</v>
      </c>
      <c r="P35" s="44">
        <f t="shared" ca="1" si="12"/>
        <v>0</v>
      </c>
      <c r="Q35" s="44">
        <f t="shared" ca="1" si="13"/>
        <v>0</v>
      </c>
      <c r="R35" s="44">
        <f t="shared" ca="1" si="14"/>
        <v>0</v>
      </c>
      <c r="S35" s="44">
        <f t="shared" ca="1" si="15"/>
        <v>0</v>
      </c>
      <c r="T35" s="44">
        <f t="shared" ca="1" si="16"/>
        <v>0</v>
      </c>
      <c r="U35" s="44">
        <f t="shared" ca="1" si="17"/>
        <v>0</v>
      </c>
      <c r="V35" s="44">
        <f t="shared" ca="1" si="18"/>
        <v>0</v>
      </c>
      <c r="W35" s="44">
        <f t="shared" ca="1" si="19"/>
        <v>0</v>
      </c>
      <c r="X35" s="44">
        <f t="shared" ca="1" si="20"/>
        <v>0</v>
      </c>
      <c r="Y35" s="44">
        <f t="shared" ca="1" si="21"/>
        <v>0</v>
      </c>
      <c r="Z35" s="44">
        <f t="shared" ca="1" si="22"/>
        <v>0</v>
      </c>
      <c r="AA35" s="60" t="str">
        <f t="shared" si="4"/>
        <v>Kandy off</v>
      </c>
      <c r="AB35" s="71">
        <f>_xlfn.XLOOKUP($E35,target[NAME],target[RC-DS10K/18K])</f>
        <v>4</v>
      </c>
      <c r="AC35" s="71">
        <f>_xlfn.XLOOKUP($E35,target[NAME],target[RC-18AMXH(W)])</f>
        <v>4</v>
      </c>
      <c r="AD35" s="71">
        <f>_xlfn.XLOOKUP($E35,target[NAME],target[EB-T500APW])</f>
        <v>1</v>
      </c>
      <c r="AE35" s="71">
        <f>_xlfn.XLOOKUP($E35,target[NAME],target[ER-VD7000HK(XK)])</f>
        <v>2</v>
      </c>
      <c r="AF35" s="71">
        <f>_xlfn.XLOOKUP($E35,target[NAME],target[TWDT21BU95])</f>
        <v>2</v>
      </c>
      <c r="AG35" s="71">
        <f>_xlfn.XLOOKUP($E35,target[NAME],target[AW-Q800APH(WW)])</f>
        <v>8</v>
      </c>
      <c r="AH35" s="71">
        <f>_xlfn.XLOOKUP($E35,target[NAME],target[AW-Q801APH(WW)])</f>
        <v>1000</v>
      </c>
      <c r="AI35" s="71">
        <f>_xlfn.XLOOKUP($E35,target[NAME],target[GR-RM469WE-PGA(B3)])</f>
        <v>2</v>
      </c>
      <c r="AJ35" s="71">
        <f>_xlfn.XLOOKUP($E35,target[NAME],target[GR-RB449WE-PMA(57)])</f>
        <v>2</v>
      </c>
      <c r="AK35" s="71">
        <f>_xlfn.XLOOKUP($E35,target[NAME],target[GR-RB410WE-PMA(06)])</f>
        <v>2</v>
      </c>
      <c r="AL35" s="71">
        <f>_xlfn.XLOOKUP($E35,target[NAME],target[GR-RF698WI])</f>
        <v>1</v>
      </c>
      <c r="AM35" s="71">
        <f>_xlfn.XLOOKUP($E35,target[NAME],target[TWP-W2265THK(W)])</f>
        <v>2</v>
      </c>
      <c r="AN35" s="71">
        <f>_xlfn.XLOOKUP($E35,target[NAME],target[RAD-D200/250/300/DIA17])</f>
        <v>48</v>
      </c>
      <c r="AO35" s="71">
        <f>_xlfn.XLOOKUP($E35,target[NAME],target[(Fortress ONLY)TW-T25BZU115MWH(MG) ])</f>
        <v>2</v>
      </c>
      <c r="AP35" s="71">
        <f>_xlfn.XLOOKUP($E35,target[NAME],target[開門紅(三月)])</f>
        <v>10000000</v>
      </c>
      <c r="AQ35" s="71">
        <f>_xlfn.XLOOKUP($E35,target[NAME],target[開門紅(第一季)])</f>
        <v>10000000</v>
      </c>
      <c r="AR35" s="73">
        <f ca="1">SUMIFS(表格1[QTY],表格1[Model],三國演義!$AR$12,表格1[Name],三國演義!$E35)+SUMIFS(表格1[QTY],表格1[Model],三國演義!$AR$12,表格1[Name],三國演義!$AA35)</f>
        <v>1</v>
      </c>
      <c r="AS35" s="77">
        <f ca="1">IF($AR35&gt;=$AE35,$AR35*'3月Target'!$W$8,0)</f>
        <v>0</v>
      </c>
      <c r="AT35" s="44">
        <f ca="1">SUMIFS(表格1[QTY],表格1[Model],三國演義!$AT$12,表格1[Name],三國演義!$E35)+SUMIFS(表格1[QTY],表格1[Model],三國演義!$AT$12,表格1[Name],三國演義!$AA35)</f>
        <v>0</v>
      </c>
      <c r="AU35" s="44">
        <f ca="1">SUMIFS(表格1[QTY],表格1[Model],三國演義!$AU$12,表格1[Name],三國演義!$E35)+SUMIFS(表格1[QTY],表格1[Model],三國演義!$AU$12,表格1[Name],三國演義!$AA35)</f>
        <v>0</v>
      </c>
      <c r="AV35" s="44">
        <f ca="1">SUMIFS(表格1[QTY],表格1[Model],三國演義!$AV$12,表格1[Name],三國演義!$E35)+SUMIFS(表格1[QTY],表格1[Model],三國演義!$AV$12,表格1[Name],三國演義!$AA35)</f>
        <v>0</v>
      </c>
      <c r="AW35" s="44">
        <f ca="1">SUMIFS(表格1[QTY],表格1[Model],三國演義!$AW$12,表格1[Name],三國演義!$E35)+SUMIFS(表格1[QTY],表格1[Model],三國演義!$AW$12,表格1[Name],三國演義!$AA35)</f>
        <v>0</v>
      </c>
      <c r="AX35" s="50">
        <f ca="1">IF((SUM($AT35:$AW35))&gt;=$AB35,SUM($AT35:$AW35)*'3月Target'!$W$5,0)</f>
        <v>0</v>
      </c>
      <c r="AY35" s="44">
        <f ca="1">SUMIFS(表格1[QTY],表格1[Model],三國演義!$AY$12,表格1[Name],三國演義!$E35)+SUMIFS(表格1[QTY],表格1[Model],三國演義!$AY$12,表格1[Name],三國演義!$AA35)</f>
        <v>0</v>
      </c>
      <c r="AZ35" s="77">
        <f ca="1">IF($AY35&gt;=$AC35,$AY35*'3月Target'!$W$6,0)</f>
        <v>0</v>
      </c>
      <c r="BA35" s="44">
        <f ca="1">SUMIFS(表格1[QTY],表格1[Model],三國演義!$BA$12,表格1[Name],三國演義!$E35)+SUMIFS(表格1[QTY],表格1[Model],三國演義!$BA$12,表格1[Name],三國演義!$AA35)</f>
        <v>0</v>
      </c>
      <c r="BB35" s="77">
        <f ca="1">IF($BA35&gt;=$AD35,$BA35*'3月Target'!$W$7,0)</f>
        <v>0</v>
      </c>
      <c r="BC35" s="44">
        <f ca="1">SUMIFS(表格1[QTY],表格1[Model],三國演義!$BC$12,表格1[Name],三國演義!$E35)+SUMIFS(表格1[QTY],表格1[Model],三國演義!$BC$12,表格1[Name],三國演義!$AA35)</f>
        <v>0</v>
      </c>
      <c r="BD35" s="77">
        <f ca="1">IF($BC35&gt;=$AF35,$BC35*'3月Target'!$W$9,0)</f>
        <v>0</v>
      </c>
      <c r="BE35" s="44">
        <f ca="1">SUMIFS(表格1[QTY],表格1[Model],三國演義!$BE$12,表格1[Name],三國演義!$E35)+SUMIFS(表格1[QTY],表格1[Model],三國演義!$BE$12,表格1[Name],三國演義!$AA35)</f>
        <v>1</v>
      </c>
      <c r="BF35" s="77">
        <f ca="1">IF($BE35&gt;=$AG35,$BE35*'3月Target'!$W$10,0)</f>
        <v>0</v>
      </c>
      <c r="BG35" s="44">
        <f ca="1">SUMIFS(表格1[QTY],表格1[Model],三國演義!$BG$12,表格1[Name],三國演義!$E35)+SUMIFS(表格1[QTY],表格1[Model],三國演義!$BG$12,表格1[Name],三國演義!$AA35)</f>
        <v>0</v>
      </c>
      <c r="BH35" s="77">
        <f ca="1">IF($BG35&gt;=$AH35,$BG35*'3月Target'!$W$10,0)</f>
        <v>0</v>
      </c>
      <c r="BI35" s="44">
        <f ca="1">SUMIFS(表格1[QTY],表格1[Model],三國演義!$BI$12,表格1[Name],三國演義!$E35)+SUMIFS(表格1[QTY],表格1[Model],三國演義!$BI$12,表格1[Name],三國演義!$AA35)</f>
        <v>0</v>
      </c>
      <c r="BJ35" s="77">
        <f ca="1">IF($BI35&gt;=$AI35,$BI35*'3月Target'!$W$11,0)</f>
        <v>0</v>
      </c>
      <c r="BK35" s="44">
        <f ca="1">SUMIFS(表格1[QTY],表格1[Model],三國演義!$BK$12,表格1[Name],三國演義!$E35)+SUMIFS(表格1[QTY],表格1[Model],三國演義!$BK$12,表格1[Name],三國演義!$AA35)</f>
        <v>1</v>
      </c>
      <c r="BL35" s="77">
        <f ca="1">IF($BK35&gt;=$AJ35,$BK35*'3月Target'!$W$12,0)</f>
        <v>0</v>
      </c>
      <c r="BM35" s="44">
        <f ca="1">SUMIFS(表格1[QTY],表格1[Model],三國演義!$BM$12,表格1[Name],三國演義!$E35)+SUMIFS(表格1[QTY],表格1[Model],三國演義!$BM$12,表格1[Name],三國演義!$AA35)</f>
        <v>0</v>
      </c>
      <c r="BN35" s="77">
        <f ca="1">IF($BM35&gt;=$AK35,$BM35*'3月Target'!$W$13,0)</f>
        <v>0</v>
      </c>
      <c r="BO35" s="44">
        <f ca="1">SUMIFS(表格1[QTY],表格1[Model],三國演義!$BO$12,表格1[Name],三國演義!$E35)+SUMIFS(表格1[QTY],表格1[Model],三國演義!$BO$12,表格1[Name],三國演義!$AA35)</f>
        <v>0</v>
      </c>
      <c r="BP35" s="77">
        <f ca="1">IF($BO35&gt;=$AL35,$BO35*'3月Target'!$W$14,0)</f>
        <v>0</v>
      </c>
      <c r="BQ35" s="44">
        <f ca="1">SUMIFS(表格1[QTY],表格1[Model],三國演義!$BQ$12,表格1[Name],三國演義!$E35)+SUMIFS(表格1[QTY],表格1[Model],三國演義!$BQ$12,表格1[Name],三國演義!$AA35)</f>
        <v>1</v>
      </c>
      <c r="BR35" s="77">
        <f ca="1">IF($BQ35&gt;=$AM35,$BQ35*'3月Target'!$W$15,0)</f>
        <v>0</v>
      </c>
      <c r="BS35" s="44">
        <f ca="1">SUMIFS(表格1[QTY],表格1[Model],三國演義!$BS$12,表格1[Name],三國演義!$E35)+SUMIFS(表格1[QTY],表格1[Model],三國演義!$BS$12,表格1[Name],三國演義!$AA35)</f>
        <v>0</v>
      </c>
      <c r="BT35" s="44">
        <f ca="1">SUMIFS(表格1[QTY],表格1[Model],三國演義!$BT$12,表格1[Name],三國演義!$E35)+SUMIFS(表格1[QTY],表格1[Model],三國演義!$BT$12,表格1[Name],三國演義!$AA35)</f>
        <v>0</v>
      </c>
      <c r="BU35" s="44">
        <f ca="1">SUMIFS(表格1[QTY],表格1[Model],三國演義!$BU$12,表格1[Name],三國演義!$E35)+SUMIFS(表格1[QTY],表格1[Model],三國演義!$BU$12,表格1[Name],三國演義!$AA35)</f>
        <v>6</v>
      </c>
      <c r="BV35" s="44">
        <f ca="1">SUMIFS(表格1[QTY],表格1[Model],三國演義!$BV$12,表格1[Name],三國演義!$E35)+SUMIFS(表格1[QTY],表格1[Model],三國演義!$BV$12,表格1[Name],三國演義!$AA35)</f>
        <v>2</v>
      </c>
      <c r="BW35" s="77">
        <f ca="1">IF((SUM($BS35:$BV35))&gt;=$AN35,SUM($BS35:$BV35)*'3月Target'!$W$16,0)</f>
        <v>0</v>
      </c>
      <c r="BX35" s="44">
        <f ca="1">SUMIFS(表格1[QTY],表格1[Model],三國演義!$BX$12,表格1[Name],三國演義!$E35)+SUMIFS(表格1[QTY],表格1[Model],三國演義!$BX$12,表格1[Name],三國演義!$AA35)</f>
        <v>0</v>
      </c>
      <c r="BY35" s="77">
        <f ca="1">IF($BX35&gt;=$AO35,$BX35*'3月Target'!$W$17,0)</f>
        <v>0</v>
      </c>
      <c r="BZ35" s="146">
        <f t="shared" ca="1" si="23"/>
        <v>165639</v>
      </c>
      <c r="CA35" s="77">
        <f t="shared" ca="1" si="24"/>
        <v>0</v>
      </c>
      <c r="CB35" s="146">
        <f t="shared" ca="1" si="25"/>
        <v>165639</v>
      </c>
      <c r="CC35" s="77">
        <f t="shared" ca="1" si="26"/>
        <v>0</v>
      </c>
    </row>
    <row r="36" spans="1:81">
      <c r="A36" s="121">
        <f ca="1">Roster!AL28*Roster!AH28+Roster!AM28*Roster!AG28+三國演義!H36+三國演義!I36+三國演義!J36</f>
        <v>19342.8</v>
      </c>
      <c r="B36" s="133">
        <v>0.02</v>
      </c>
      <c r="C36" s="66">
        <v>24</v>
      </c>
      <c r="D36" s="95" t="str">
        <f ca="1">_xlfn.XLOOKUP($E36,表格1[Name],表格1[Shop])</f>
        <v>Suning</v>
      </c>
      <c r="E36" s="95" t="s">
        <v>923</v>
      </c>
      <c r="F36" s="159">
        <f ca="1">SUMIF(表格1[Name],$E36,表格1[Total Amount])+SUMIF(表格1[Name],$AA36,表格1[Total Amount])</f>
        <v>364140</v>
      </c>
      <c r="G36" s="162">
        <f ca="1">SUMIF(表格1[Name],$E36,表格1[QTY])+SUMIF(表格1[Name],$AA36,表格1[QTY])</f>
        <v>173</v>
      </c>
      <c r="H36" s="159">
        <f t="shared" ca="1" si="5"/>
        <v>7282.8</v>
      </c>
      <c r="I36" s="96"/>
      <c r="J36" s="51">
        <f t="shared" ca="1" si="6"/>
        <v>1500</v>
      </c>
      <c r="K36" s="163">
        <f t="shared" ca="1" si="7"/>
        <v>0</v>
      </c>
      <c r="L36" s="163">
        <f t="shared" ca="1" si="8"/>
        <v>0</v>
      </c>
      <c r="M36" s="44">
        <f t="shared" ca="1" si="9"/>
        <v>0</v>
      </c>
      <c r="N36" s="44">
        <f t="shared" ca="1" si="10"/>
        <v>0</v>
      </c>
      <c r="O36" s="44">
        <f t="shared" ca="1" si="11"/>
        <v>0</v>
      </c>
      <c r="P36" s="44">
        <f t="shared" ca="1" si="12"/>
        <v>0</v>
      </c>
      <c r="Q36" s="44">
        <f t="shared" ca="1" si="13"/>
        <v>0</v>
      </c>
      <c r="R36" s="44">
        <f t="shared" ca="1" si="14"/>
        <v>0</v>
      </c>
      <c r="S36" s="44">
        <f t="shared" ca="1" si="15"/>
        <v>0</v>
      </c>
      <c r="T36" s="44">
        <f t="shared" ca="1" si="16"/>
        <v>0</v>
      </c>
      <c r="U36" s="44">
        <f t="shared" ca="1" si="17"/>
        <v>0</v>
      </c>
      <c r="V36" s="44">
        <f t="shared" ca="1" si="18"/>
        <v>0</v>
      </c>
      <c r="W36" s="44">
        <f t="shared" ca="1" si="19"/>
        <v>0</v>
      </c>
      <c r="X36" s="44">
        <f t="shared" ca="1" si="20"/>
        <v>0</v>
      </c>
      <c r="Y36" s="44">
        <f t="shared" ca="1" si="21"/>
        <v>500</v>
      </c>
      <c r="Z36" s="44">
        <f t="shared" ca="1" si="22"/>
        <v>1000</v>
      </c>
      <c r="AA36" s="60" t="str">
        <f t="shared" si="4"/>
        <v>Hung off</v>
      </c>
      <c r="AB36" s="71">
        <f>_xlfn.XLOOKUP($E36,target[NAME],target[RC-DS10K/18K])</f>
        <v>7</v>
      </c>
      <c r="AC36" s="71">
        <f>_xlfn.XLOOKUP($E36,target[NAME],target[RC-18AMXH(W)])</f>
        <v>4</v>
      </c>
      <c r="AD36" s="71">
        <f>_xlfn.XLOOKUP($E36,target[NAME],target[EB-T500APW])</f>
        <v>1</v>
      </c>
      <c r="AE36" s="71">
        <f>_xlfn.XLOOKUP($E36,target[NAME],target[ER-VD7000HK(XK)])</f>
        <v>4</v>
      </c>
      <c r="AF36" s="71">
        <f>_xlfn.XLOOKUP($E36,target[NAME],target[TWDT21BU95])</f>
        <v>2</v>
      </c>
      <c r="AG36" s="71">
        <f>_xlfn.XLOOKUP($E36,target[NAME],target[AW-Q800APH(WW)])</f>
        <v>1000</v>
      </c>
      <c r="AH36" s="71">
        <f>_xlfn.XLOOKUP($E36,target[NAME],target[AW-Q801APH(WW)])</f>
        <v>5</v>
      </c>
      <c r="AI36" s="71">
        <f>_xlfn.XLOOKUP($E36,target[NAME],target[GR-RM469WE-PGA(B3)])</f>
        <v>2</v>
      </c>
      <c r="AJ36" s="71">
        <f>_xlfn.XLOOKUP($E36,target[NAME],target[GR-RB449WE-PMA(57)])</f>
        <v>2</v>
      </c>
      <c r="AK36" s="71">
        <f>_xlfn.XLOOKUP($E36,target[NAME],target[GR-RB410WE-PMA(06)])</f>
        <v>2</v>
      </c>
      <c r="AL36" s="71">
        <f>_xlfn.XLOOKUP($E36,target[NAME],target[GR-RF698WI])</f>
        <v>1</v>
      </c>
      <c r="AM36" s="71">
        <f>_xlfn.XLOOKUP($E36,target[NAME],target[TWP-W2265THK(W)])</f>
        <v>4</v>
      </c>
      <c r="AN36" s="71">
        <f>_xlfn.XLOOKUP($E36,target[NAME],target[RAD-D200/250/300/DIA17])</f>
        <v>48</v>
      </c>
      <c r="AO36" s="71">
        <f>_xlfn.XLOOKUP($E36,target[NAME],target[(Fortress ONLY)TW-T25BZU115MWH(MG) ])</f>
        <v>1000</v>
      </c>
      <c r="AP36" s="71">
        <f>_xlfn.XLOOKUP($E36,target[NAME],target[開門紅(三月)])</f>
        <v>353700</v>
      </c>
      <c r="AQ36" s="71">
        <f>_xlfn.XLOOKUP($E36,target[NAME],target[開門紅(第一季)])</f>
        <v>307533</v>
      </c>
      <c r="AR36" s="73">
        <f ca="1">SUMIFS(表格1[QTY],表格1[Model],三國演義!$AR$12,表格1[Name],三國演義!$E36)+SUMIFS(表格1[QTY],表格1[Model],三國演義!$AR$12,表格1[Name],三國演義!$AA36)</f>
        <v>0</v>
      </c>
      <c r="AS36" s="77">
        <f ca="1">IF($AR36&gt;=$AE36,$AR36*'3月Target'!$W$8,0)</f>
        <v>0</v>
      </c>
      <c r="AT36" s="44">
        <f ca="1">SUMIFS(表格1[QTY],表格1[Model],三國演義!$AT$12,表格1[Name],三國演義!$E36)+SUMIFS(表格1[QTY],表格1[Model],三國演義!$AT$12,表格1[Name],三國演義!$AA36)</f>
        <v>4</v>
      </c>
      <c r="AU36" s="44">
        <f ca="1">SUMIFS(表格1[QTY],表格1[Model],三國演義!$AU$12,表格1[Name],三國演義!$E36)+SUMIFS(表格1[QTY],表格1[Model],三國演義!$AU$12,表格1[Name],三國演義!$AA36)</f>
        <v>0</v>
      </c>
      <c r="AV36" s="44">
        <f ca="1">SUMIFS(表格1[QTY],表格1[Model],三國演義!$AV$12,表格1[Name],三國演義!$E36)+SUMIFS(表格1[QTY],表格1[Model],三國演義!$AV$12,表格1[Name],三國演義!$AA36)</f>
        <v>0</v>
      </c>
      <c r="AW36" s="44">
        <f ca="1">SUMIFS(表格1[QTY],表格1[Model],三國演義!$AW$12,表格1[Name],三國演義!$E36)+SUMIFS(表格1[QTY],表格1[Model],三國演義!$AW$12,表格1[Name],三國演義!$AA36)</f>
        <v>0</v>
      </c>
      <c r="AX36" s="50">
        <f ca="1">IF((SUM($AT36:$AW36))&gt;=$AB36,SUM($AT36:$AW36)*'3月Target'!$W$5,0)</f>
        <v>0</v>
      </c>
      <c r="AY36" s="44">
        <f ca="1">SUMIFS(表格1[QTY],表格1[Model],三國演義!$AY$12,表格1[Name],三國演義!$E36)+SUMIFS(表格1[QTY],表格1[Model],三國演義!$AY$12,表格1[Name],三國演義!$AA36)</f>
        <v>0</v>
      </c>
      <c r="AZ36" s="77">
        <f ca="1">IF($AY36&gt;=$AC36,$AY36*'3月Target'!$W$6,0)</f>
        <v>0</v>
      </c>
      <c r="BA36" s="44">
        <f ca="1">SUMIFS(表格1[QTY],表格1[Model],三國演義!$BA$12,表格1[Name],三國演義!$E36)+SUMIFS(表格1[QTY],表格1[Model],三國演義!$BA$12,表格1[Name],三國演義!$AA36)</f>
        <v>0</v>
      </c>
      <c r="BB36" s="77">
        <f ca="1">IF($BA36&gt;=$AD36,$BA36*'3月Target'!$W$7,0)</f>
        <v>0</v>
      </c>
      <c r="BC36" s="44">
        <f ca="1">SUMIFS(表格1[QTY],表格1[Model],三國演義!$BC$12,表格1[Name],三國演義!$E36)+SUMIFS(表格1[QTY],表格1[Model],三國演義!$BC$12,表格1[Name],三國演義!$AA36)</f>
        <v>0</v>
      </c>
      <c r="BD36" s="77">
        <f ca="1">IF($BC36&gt;=$AF36,$BC36*'3月Target'!$W$9,0)</f>
        <v>0</v>
      </c>
      <c r="BE36" s="44">
        <f ca="1">SUMIFS(表格1[QTY],表格1[Model],三國演義!$BE$12,表格1[Name],三國演義!$E36)+SUMIFS(表格1[QTY],表格1[Model],三國演義!$BE$12,表格1[Name],三國演義!$AA36)</f>
        <v>0</v>
      </c>
      <c r="BF36" s="77">
        <f ca="1">IF($BE36&gt;=$AG36,$BE36*'3月Target'!$W$10,0)</f>
        <v>0</v>
      </c>
      <c r="BG36" s="44">
        <f ca="1">SUMIFS(表格1[QTY],表格1[Model],三國演義!$BG$12,表格1[Name],三國演義!$E36)+SUMIFS(表格1[QTY],表格1[Model],三國演義!$BG$12,表格1[Name],三國演義!$AA36)</f>
        <v>0</v>
      </c>
      <c r="BH36" s="77">
        <f ca="1">IF($BG36&gt;=$AH36,$BG36*'3月Target'!$W$10,0)</f>
        <v>0</v>
      </c>
      <c r="BI36" s="44">
        <f ca="1">SUMIFS(表格1[QTY],表格1[Model],三國演義!$BI$12,表格1[Name],三國演義!$E36)+SUMIFS(表格1[QTY],表格1[Model],三國演義!$BI$12,表格1[Name],三國演義!$AA36)</f>
        <v>1</v>
      </c>
      <c r="BJ36" s="77">
        <f ca="1">IF($BI36&gt;=$AI36,$BI36*'3月Target'!$W$11,0)</f>
        <v>0</v>
      </c>
      <c r="BK36" s="44">
        <f ca="1">SUMIFS(表格1[QTY],表格1[Model],三國演義!$BK$12,表格1[Name],三國演義!$E36)+SUMIFS(表格1[QTY],表格1[Model],三國演義!$BK$12,表格1[Name],三國演義!$AA36)</f>
        <v>1</v>
      </c>
      <c r="BL36" s="77">
        <f ca="1">IF($BK36&gt;=$AJ36,$BK36*'3月Target'!$W$12,0)</f>
        <v>0</v>
      </c>
      <c r="BM36" s="44">
        <f ca="1">SUMIFS(表格1[QTY],表格1[Model],三國演義!$BM$12,表格1[Name],三國演義!$E36)+SUMIFS(表格1[QTY],表格1[Model],三國演義!$BM$12,表格1[Name],三國演義!$AA36)</f>
        <v>0</v>
      </c>
      <c r="BN36" s="77">
        <f ca="1">IF($BM36&gt;=$AK36,$BM36*'3月Target'!$W$13,0)</f>
        <v>0</v>
      </c>
      <c r="BO36" s="44">
        <f ca="1">SUMIFS(表格1[QTY],表格1[Model],三國演義!$BO$12,表格1[Name],三國演義!$E36)+SUMIFS(表格1[QTY],表格1[Model],三國演義!$BO$12,表格1[Name],三國演義!$AA36)</f>
        <v>0</v>
      </c>
      <c r="BP36" s="77">
        <f ca="1">IF($BO36&gt;=$AL36,$BO36*'3月Target'!$W$14,0)</f>
        <v>0</v>
      </c>
      <c r="BQ36" s="44">
        <f ca="1">SUMIFS(表格1[QTY],表格1[Model],三國演義!$BQ$12,表格1[Name],三國演義!$E36)+SUMIFS(表格1[QTY],表格1[Model],三國演義!$BQ$12,表格1[Name],三國演義!$AA36)</f>
        <v>1</v>
      </c>
      <c r="BR36" s="77">
        <f ca="1">IF($BQ36&gt;=$AM36,$BQ36*'3月Target'!$W$15,0)</f>
        <v>0</v>
      </c>
      <c r="BS36" s="44">
        <f ca="1">SUMIFS(表格1[QTY],表格1[Model],三國演義!$BS$12,表格1[Name],三國演義!$E36)+SUMIFS(表格1[QTY],表格1[Model],三國演義!$BS$12,表格1[Name],三國演義!$AA36)</f>
        <v>2</v>
      </c>
      <c r="BT36" s="44">
        <f ca="1">SUMIFS(表格1[QTY],表格1[Model],三國演義!$BT$12,表格1[Name],三國演義!$E36)+SUMIFS(表格1[QTY],表格1[Model],三國演義!$BT$12,表格1[Name],三國演義!$AA36)</f>
        <v>0</v>
      </c>
      <c r="BU36" s="44">
        <f ca="1">SUMIFS(表格1[QTY],表格1[Model],三國演義!$BU$12,表格1[Name],三國演義!$E36)+SUMIFS(表格1[QTY],表格1[Model],三國演義!$BU$12,表格1[Name],三國演義!$AA36)</f>
        <v>30</v>
      </c>
      <c r="BV36" s="44">
        <f ca="1">SUMIFS(表格1[QTY],表格1[Model],三國演義!$BV$12,表格1[Name],三國演義!$E36)+SUMIFS(表格1[QTY],表格1[Model],三國演義!$BV$12,表格1[Name],三國演義!$AA36)</f>
        <v>0</v>
      </c>
      <c r="BW36" s="77">
        <f ca="1">IF((SUM($BS36:$BV36))&gt;=$AN36,SUM($BS36:$BV36)*'3月Target'!$W$16,0)</f>
        <v>0</v>
      </c>
      <c r="BX36" s="44">
        <f ca="1">SUMIFS(表格1[QTY],表格1[Model],三國演義!$BX$12,表格1[Name],三國演義!$E36)+SUMIFS(表格1[QTY],表格1[Model],三國演義!$BX$12,表格1[Name],三國演義!$AA36)</f>
        <v>0</v>
      </c>
      <c r="BY36" s="77">
        <f ca="1">IF($BX36&gt;=$AO36,$BX36*'3月Target'!$W$17,0)</f>
        <v>0</v>
      </c>
      <c r="BZ36" s="146">
        <f t="shared" ca="1" si="23"/>
        <v>364140</v>
      </c>
      <c r="CA36" s="77">
        <f t="shared" ca="1" si="24"/>
        <v>500</v>
      </c>
      <c r="CB36" s="146">
        <f t="shared" ca="1" si="25"/>
        <v>364140</v>
      </c>
      <c r="CC36" s="77">
        <f t="shared" ca="1" si="26"/>
        <v>1000</v>
      </c>
    </row>
    <row r="37" spans="1:81">
      <c r="A37" s="121">
        <f ca="1">Roster!AL29*Roster!AH29+Roster!AM29*Roster!AG29+三國演義!H37+三國演義!I37+三國演義!J37</f>
        <v>17811.560000000001</v>
      </c>
      <c r="B37" s="133">
        <v>0.02</v>
      </c>
      <c r="C37" s="66">
        <v>25</v>
      </c>
      <c r="D37" s="95" t="str">
        <f ca="1">_xlfn.XLOOKUP($E37,表格1[Name],表格1[Shop])</f>
        <v>Suning</v>
      </c>
      <c r="E37" s="95" t="s">
        <v>865</v>
      </c>
      <c r="F37" s="96">
        <f ca="1">SUMIF(表格1[Name],$E37,表格1[Total Amount])+SUMIF(表格1[Name],$AA37,表格1[Total Amount])</f>
        <v>294578</v>
      </c>
      <c r="G37" s="161">
        <f ca="1">SUMIF(表格1[Name],$E37,表格1[QTY])+SUMIF(表格1[Name],$AA37,表格1[QTY])</f>
        <v>153</v>
      </c>
      <c r="H37" s="96">
        <f t="shared" ca="1" si="5"/>
        <v>5891.56</v>
      </c>
      <c r="I37" s="96"/>
      <c r="J37" s="51">
        <f t="shared" ca="1" si="6"/>
        <v>1800</v>
      </c>
      <c r="K37" s="163">
        <f t="shared" ca="1" si="7"/>
        <v>0</v>
      </c>
      <c r="L37" s="163">
        <f t="shared" ca="1" si="8"/>
        <v>0</v>
      </c>
      <c r="M37" s="44">
        <f t="shared" ca="1" si="9"/>
        <v>0</v>
      </c>
      <c r="N37" s="44">
        <f t="shared" ca="1" si="10"/>
        <v>0</v>
      </c>
      <c r="O37" s="44">
        <f t="shared" ca="1" si="11"/>
        <v>0</v>
      </c>
      <c r="P37" s="44">
        <f t="shared" ca="1" si="12"/>
        <v>0</v>
      </c>
      <c r="Q37" s="44">
        <f t="shared" ca="1" si="13"/>
        <v>0</v>
      </c>
      <c r="R37" s="44">
        <f t="shared" ca="1" si="14"/>
        <v>0</v>
      </c>
      <c r="S37" s="44">
        <f t="shared" ca="1" si="15"/>
        <v>300</v>
      </c>
      <c r="T37" s="44">
        <f t="shared" ca="1" si="16"/>
        <v>0</v>
      </c>
      <c r="U37" s="44">
        <f t="shared" ca="1" si="17"/>
        <v>0</v>
      </c>
      <c r="V37" s="44">
        <f t="shared" ca="1" si="18"/>
        <v>0</v>
      </c>
      <c r="W37" s="44">
        <f t="shared" ca="1" si="19"/>
        <v>0</v>
      </c>
      <c r="X37" s="44">
        <f t="shared" ca="1" si="20"/>
        <v>0</v>
      </c>
      <c r="Y37" s="44">
        <f t="shared" ca="1" si="21"/>
        <v>500</v>
      </c>
      <c r="Z37" s="44">
        <f t="shared" ca="1" si="22"/>
        <v>1000</v>
      </c>
      <c r="AA37" s="60" t="str">
        <f t="shared" si="4"/>
        <v>Leo off</v>
      </c>
      <c r="AB37" s="71">
        <f>_xlfn.XLOOKUP($E37,target[NAME],target[RC-DS10K/18K])</f>
        <v>4</v>
      </c>
      <c r="AC37" s="71">
        <f>_xlfn.XLOOKUP($E37,target[NAME],target[RC-18AMXH(W)])</f>
        <v>4</v>
      </c>
      <c r="AD37" s="71">
        <f>_xlfn.XLOOKUP($E37,target[NAME],target[EB-T500APW])</f>
        <v>1</v>
      </c>
      <c r="AE37" s="71">
        <f>_xlfn.XLOOKUP($E37,target[NAME],target[ER-VD7000HK(XK)])</f>
        <v>2</v>
      </c>
      <c r="AF37" s="71">
        <f>_xlfn.XLOOKUP($E37,target[NAME],target[TWDT21BU95])</f>
        <v>2</v>
      </c>
      <c r="AG37" s="71">
        <f>_xlfn.XLOOKUP($E37,target[NAME],target[AW-Q800APH(WW)])</f>
        <v>1000</v>
      </c>
      <c r="AH37" s="71">
        <f>_xlfn.XLOOKUP($E37,target[NAME],target[AW-Q801APH(WW)])</f>
        <v>5</v>
      </c>
      <c r="AI37" s="71">
        <f>_xlfn.XLOOKUP($E37,target[NAME],target[GR-RM469WE-PGA(B3)])</f>
        <v>2</v>
      </c>
      <c r="AJ37" s="71">
        <f>_xlfn.XLOOKUP($E37,target[NAME],target[GR-RB449WE-PMA(57)])</f>
        <v>2</v>
      </c>
      <c r="AK37" s="71">
        <f>_xlfn.XLOOKUP($E37,target[NAME],target[GR-RB410WE-PMA(06)])</f>
        <v>2</v>
      </c>
      <c r="AL37" s="71">
        <f>_xlfn.XLOOKUP($E37,target[NAME],target[GR-RF698WI])</f>
        <v>1</v>
      </c>
      <c r="AM37" s="71">
        <f>_xlfn.XLOOKUP($E37,target[NAME],target[TWP-W2265THK(W)])</f>
        <v>4</v>
      </c>
      <c r="AN37" s="71">
        <f>_xlfn.XLOOKUP($E37,target[NAME],target[RAD-D200/250/300/DIA17])</f>
        <v>48</v>
      </c>
      <c r="AO37" s="71">
        <f>_xlfn.XLOOKUP($E37,target[NAME],target[(Fortress ONLY)TW-T25BZU115MWH(MG) ])</f>
        <v>1000</v>
      </c>
      <c r="AP37" s="71">
        <f>_xlfn.XLOOKUP($E37,target[NAME],target[開門紅(三月)])</f>
        <v>271300</v>
      </c>
      <c r="AQ37" s="71">
        <f>_xlfn.XLOOKUP($E37,target[NAME],target[開門紅(第一季)])</f>
        <v>220589</v>
      </c>
      <c r="AR37" s="73">
        <f ca="1">SUMIFS(表格1[QTY],表格1[Model],三國演義!$AR$12,表格1[Name],三國演義!$E37)+SUMIFS(表格1[QTY],表格1[Model],三國演義!$AR$12,表格1[Name],三國演義!$AA37)</f>
        <v>0</v>
      </c>
      <c r="AS37" s="77">
        <f ca="1">IF($AR37&gt;=$AE37,$AR37*'3月Target'!$W$8,0)</f>
        <v>0</v>
      </c>
      <c r="AT37" s="44">
        <f ca="1">SUMIFS(表格1[QTY],表格1[Model],三國演義!$AT$12,表格1[Name],三國演義!$E37)+SUMIFS(表格1[QTY],表格1[Model],三國演義!$AT$12,表格1[Name],三國演義!$AA37)</f>
        <v>0</v>
      </c>
      <c r="AU37" s="44">
        <f ca="1">SUMIFS(表格1[QTY],表格1[Model],三國演義!$AU$12,表格1[Name],三國演義!$E37)+SUMIFS(表格1[QTY],表格1[Model],三國演義!$AU$12,表格1[Name],三國演義!$AA37)</f>
        <v>0</v>
      </c>
      <c r="AV37" s="44">
        <f ca="1">SUMIFS(表格1[QTY],表格1[Model],三國演義!$AV$12,表格1[Name],三國演義!$E37)+SUMIFS(表格1[QTY],表格1[Model],三國演義!$AV$12,表格1[Name],三國演義!$AA37)</f>
        <v>0</v>
      </c>
      <c r="AW37" s="44">
        <f ca="1">SUMIFS(表格1[QTY],表格1[Model],三國演義!$AW$12,表格1[Name],三國演義!$E37)+SUMIFS(表格1[QTY],表格1[Model],三國演義!$AW$12,表格1[Name],三國演義!$AA37)</f>
        <v>0</v>
      </c>
      <c r="AX37" s="50">
        <f ca="1">IF((SUM($AT37:$AW37))&gt;=$AB37,SUM($AT37:$AW37)*'3月Target'!$W$5,0)</f>
        <v>0</v>
      </c>
      <c r="AY37" s="44">
        <f ca="1">SUMIFS(表格1[QTY],表格1[Model],三國演義!$AY$12,表格1[Name],三國演義!$E37)+SUMIFS(表格1[QTY],表格1[Model],三國演義!$AY$12,表格1[Name],三國演義!$AA37)</f>
        <v>0</v>
      </c>
      <c r="AZ37" s="77">
        <f ca="1">IF($AY37&gt;=$AC37,$AY37*'3月Target'!$W$6,0)</f>
        <v>0</v>
      </c>
      <c r="BA37" s="44">
        <f ca="1">SUMIFS(表格1[QTY],表格1[Model],三國演義!$BA$12,表格1[Name],三國演義!$E37)+SUMIFS(表格1[QTY],表格1[Model],三國演義!$BA$12,表格1[Name],三國演義!$AA37)</f>
        <v>0</v>
      </c>
      <c r="BB37" s="77">
        <f ca="1">IF($BA37&gt;=$AD37,$BA37*'3月Target'!$W$7,0)</f>
        <v>0</v>
      </c>
      <c r="BC37" s="44">
        <f ca="1">SUMIFS(表格1[QTY],表格1[Model],三國演義!$BC$12,表格1[Name],三國演義!$E37)+SUMIFS(表格1[QTY],表格1[Model],三國演義!$BC$12,表格1[Name],三國演義!$AA37)</f>
        <v>0</v>
      </c>
      <c r="BD37" s="77">
        <f ca="1">IF($BC37&gt;=$AF37,$BC37*'3月Target'!$W$9,0)</f>
        <v>0</v>
      </c>
      <c r="BE37" s="44">
        <f ca="1">SUMIFS(表格1[QTY],表格1[Model],三國演義!$BE$12,表格1[Name],三國演義!$E37)+SUMIFS(表格1[QTY],表格1[Model],三國演義!$BE$12,表格1[Name],三國演義!$AA37)</f>
        <v>0</v>
      </c>
      <c r="BF37" s="77">
        <f ca="1">IF($BE37&gt;=$AG37,$BE37*'3月Target'!$W$10,0)</f>
        <v>0</v>
      </c>
      <c r="BG37" s="44">
        <f ca="1">SUMIFS(表格1[QTY],表格1[Model],三國演義!$BG$12,表格1[Name],三國演義!$E37)+SUMIFS(表格1[QTY],表格1[Model],三國演義!$BG$12,表格1[Name],三國演義!$AA37)</f>
        <v>4</v>
      </c>
      <c r="BH37" s="77">
        <f ca="1">IF($BG37&gt;=$AH37,$BG37*'3月Target'!$W$10,0)</f>
        <v>0</v>
      </c>
      <c r="BI37" s="44">
        <f ca="1">SUMIFS(表格1[QTY],表格1[Model],三國演義!$BI$12,表格1[Name],三國演義!$E37)+SUMIFS(表格1[QTY],表格1[Model],三國演義!$BI$12,表格1[Name],三國演義!$AA37)</f>
        <v>0</v>
      </c>
      <c r="BJ37" s="77">
        <f ca="1">IF($BI37&gt;=$AI37,$BI37*'3月Target'!$W$11,0)</f>
        <v>0</v>
      </c>
      <c r="BK37" s="44">
        <f ca="1">SUMIFS(表格1[QTY],表格1[Model],三國演義!$BK$12,表格1[Name],三國演義!$E37)+SUMIFS(表格1[QTY],表格1[Model],三國演義!$BK$12,表格1[Name],三國演義!$AA37)</f>
        <v>3</v>
      </c>
      <c r="BL37" s="77">
        <f ca="1">IF($BK37&gt;=$AJ37,$BK37*'3月Target'!$W$12,0)</f>
        <v>300</v>
      </c>
      <c r="BM37" s="44">
        <f ca="1">SUMIFS(表格1[QTY],表格1[Model],三國演義!$BM$12,表格1[Name],三國演義!$E37)+SUMIFS(表格1[QTY],表格1[Model],三國演義!$BM$12,表格1[Name],三國演義!$AA37)</f>
        <v>0</v>
      </c>
      <c r="BN37" s="77">
        <f ca="1">IF($BM37&gt;=$AK37,$BM37*'3月Target'!$W$13,0)</f>
        <v>0</v>
      </c>
      <c r="BO37" s="44">
        <f ca="1">SUMIFS(表格1[QTY],表格1[Model],三國演義!$BO$12,表格1[Name],三國演義!$E37)+SUMIFS(表格1[QTY],表格1[Model],三國演義!$BO$12,表格1[Name],三國演義!$AA37)</f>
        <v>0</v>
      </c>
      <c r="BP37" s="77">
        <f ca="1">IF($BO37&gt;=$AL37,$BO37*'3月Target'!$W$14,0)</f>
        <v>0</v>
      </c>
      <c r="BQ37" s="44">
        <f ca="1">SUMIFS(表格1[QTY],表格1[Model],三國演義!$BQ$12,表格1[Name],三國演義!$E37)+SUMIFS(表格1[QTY],表格1[Model],三國演義!$BQ$12,表格1[Name],三國演義!$AA37)</f>
        <v>2</v>
      </c>
      <c r="BR37" s="77">
        <f ca="1">IF($BQ37&gt;=$AM37,$BQ37*'3月Target'!$W$15,0)</f>
        <v>0</v>
      </c>
      <c r="BS37" s="44">
        <f ca="1">SUMIFS(表格1[QTY],表格1[Model],三國演義!$BS$12,表格1[Name],三國演義!$E37)+SUMIFS(表格1[QTY],表格1[Model],三國演義!$BS$12,表格1[Name],三國演義!$AA37)</f>
        <v>0</v>
      </c>
      <c r="BT37" s="44">
        <f ca="1">SUMIFS(表格1[QTY],表格1[Model],三國演義!$BT$12,表格1[Name],三國演義!$E37)+SUMIFS(表格1[QTY],表格1[Model],三國演義!$BT$12,表格1[Name],三國演義!$AA37)</f>
        <v>0</v>
      </c>
      <c r="BU37" s="44">
        <f ca="1">SUMIFS(表格1[QTY],表格1[Model],三國演義!$BU$12,表格1[Name],三國演義!$E37)+SUMIFS(表格1[QTY],表格1[Model],三國演義!$BU$12,表格1[Name],三國演義!$AA37)</f>
        <v>18</v>
      </c>
      <c r="BV37" s="44">
        <f ca="1">SUMIFS(表格1[QTY],表格1[Model],三國演義!$BV$12,表格1[Name],三國演義!$E37)+SUMIFS(表格1[QTY],表格1[Model],三國演義!$BV$12,表格1[Name],三國演義!$AA37)</f>
        <v>0</v>
      </c>
      <c r="BW37" s="77">
        <f ca="1">IF((SUM($BS37:$BV37))&gt;=$AN37,SUM($BS37:$BV37)*'3月Target'!$W$16,0)</f>
        <v>0</v>
      </c>
      <c r="BX37" s="44">
        <f ca="1">SUMIFS(表格1[QTY],表格1[Model],三國演義!$BX$12,表格1[Name],三國演義!$E37)+SUMIFS(表格1[QTY],表格1[Model],三國演義!$BX$12,表格1[Name],三國演義!$AA37)</f>
        <v>0</v>
      </c>
      <c r="BY37" s="77">
        <f ca="1">IF($BX37&gt;=$AO37,$BX37*'3月Target'!$W$17,0)</f>
        <v>0</v>
      </c>
      <c r="BZ37" s="146">
        <f t="shared" ca="1" si="23"/>
        <v>294578</v>
      </c>
      <c r="CA37" s="77">
        <f t="shared" ca="1" si="24"/>
        <v>500</v>
      </c>
      <c r="CB37" s="146">
        <f t="shared" ca="1" si="25"/>
        <v>294578</v>
      </c>
      <c r="CC37" s="77">
        <f t="shared" ca="1" si="26"/>
        <v>1000</v>
      </c>
    </row>
    <row r="38" spans="1:81">
      <c r="A38" s="121">
        <f ca="1">Roster!AL30*Roster!AH30+Roster!AM30*Roster!AG30+三國演義!H38+三國演義!I38+三國演義!J38</f>
        <v>12115.2</v>
      </c>
      <c r="B38" s="133">
        <v>0.02</v>
      </c>
      <c r="C38" s="66">
        <v>26</v>
      </c>
      <c r="D38" s="95" t="str">
        <f ca="1">_xlfn.XLOOKUP($E38,表格1[Name],表格1[Shop])</f>
        <v>Citistore</v>
      </c>
      <c r="E38" s="95" t="s">
        <v>975</v>
      </c>
      <c r="F38" s="96">
        <f ca="1">SUMIF(表格1[Name],$E38,表格1[Total Amount])+SUMIF(表格1[Name],$AA38,表格1[Total Amount])</f>
        <v>125760</v>
      </c>
      <c r="G38" s="161">
        <f ca="1">SUMIF(表格1[Name],$E38,表格1[QTY])+SUMIF(表格1[Name],$AA38,表格1[QTY])</f>
        <v>152</v>
      </c>
      <c r="H38" s="96">
        <f t="shared" ca="1" si="5"/>
        <v>2515.2000000000003</v>
      </c>
      <c r="I38" s="96"/>
      <c r="J38" s="51">
        <f t="shared" ca="1" si="6"/>
        <v>0</v>
      </c>
      <c r="K38" s="163">
        <f t="shared" ca="1" si="7"/>
        <v>0</v>
      </c>
      <c r="L38" s="163">
        <f t="shared" ca="1" si="8"/>
        <v>0</v>
      </c>
      <c r="M38" s="44">
        <f t="shared" ca="1" si="9"/>
        <v>0</v>
      </c>
      <c r="N38" s="44">
        <f t="shared" ca="1" si="10"/>
        <v>0</v>
      </c>
      <c r="O38" s="44">
        <f t="shared" ca="1" si="11"/>
        <v>0</v>
      </c>
      <c r="P38" s="44">
        <f t="shared" ca="1" si="12"/>
        <v>0</v>
      </c>
      <c r="Q38" s="44">
        <f t="shared" ca="1" si="13"/>
        <v>0</v>
      </c>
      <c r="R38" s="44">
        <f t="shared" ca="1" si="14"/>
        <v>0</v>
      </c>
      <c r="S38" s="44">
        <f t="shared" ca="1" si="15"/>
        <v>0</v>
      </c>
      <c r="T38" s="44">
        <f t="shared" ca="1" si="16"/>
        <v>0</v>
      </c>
      <c r="U38" s="44">
        <f t="shared" ca="1" si="17"/>
        <v>0</v>
      </c>
      <c r="V38" s="44">
        <f t="shared" ca="1" si="18"/>
        <v>0</v>
      </c>
      <c r="W38" s="44">
        <f t="shared" ca="1" si="19"/>
        <v>0</v>
      </c>
      <c r="X38" s="44">
        <f t="shared" ca="1" si="20"/>
        <v>0</v>
      </c>
      <c r="Y38" s="44">
        <f t="shared" ca="1" si="21"/>
        <v>0</v>
      </c>
      <c r="Z38" s="44">
        <f t="shared" ca="1" si="22"/>
        <v>0</v>
      </c>
      <c r="AA38" s="60" t="str">
        <f t="shared" si="4"/>
        <v>Yee off</v>
      </c>
      <c r="AB38" s="71">
        <f>_xlfn.XLOOKUP($E38,target[NAME],target[RC-DS10K/18K])</f>
        <v>4</v>
      </c>
      <c r="AC38" s="71">
        <f>_xlfn.XLOOKUP($E38,target[NAME],target[RC-18AMXH(W)])</f>
        <v>4</v>
      </c>
      <c r="AD38" s="71">
        <f>_xlfn.XLOOKUP($E38,target[NAME],target[EB-T500APW])</f>
        <v>1</v>
      </c>
      <c r="AE38" s="71">
        <f>_xlfn.XLOOKUP($E38,target[NAME],target[ER-VD7000HK(XK)])</f>
        <v>2</v>
      </c>
      <c r="AF38" s="71">
        <f>_xlfn.XLOOKUP($E38,target[NAME],target[TWDT21BU95])</f>
        <v>2</v>
      </c>
      <c r="AG38" s="71">
        <f>_xlfn.XLOOKUP($E38,target[NAME],target[AW-Q800APH(WW)])</f>
        <v>1000</v>
      </c>
      <c r="AH38" s="71">
        <f>_xlfn.XLOOKUP($E38,target[NAME],target[AW-Q801APH(WW)])</f>
        <v>5</v>
      </c>
      <c r="AI38" s="71">
        <f>_xlfn.XLOOKUP($E38,target[NAME],target[GR-RM469WE-PGA(B3)])</f>
        <v>2</v>
      </c>
      <c r="AJ38" s="71">
        <f>_xlfn.XLOOKUP($E38,target[NAME],target[GR-RB449WE-PMA(57)])</f>
        <v>2</v>
      </c>
      <c r="AK38" s="71">
        <f>_xlfn.XLOOKUP($E38,target[NAME],target[GR-RB410WE-PMA(06)])</f>
        <v>2</v>
      </c>
      <c r="AL38" s="71">
        <f>_xlfn.XLOOKUP($E38,target[NAME],target[GR-RF698WI])</f>
        <v>1</v>
      </c>
      <c r="AM38" s="71">
        <f>_xlfn.XLOOKUP($E38,target[NAME],target[TWP-W2265THK(W)])</f>
        <v>2</v>
      </c>
      <c r="AN38" s="71">
        <f>_xlfn.XLOOKUP($E38,target[NAME],target[RAD-D200/250/300/DIA17])</f>
        <v>48</v>
      </c>
      <c r="AO38" s="71">
        <f>_xlfn.XLOOKUP($E38,target[NAME],target[(Fortress ONLY)TW-T25BZU115MWH(MG) ])</f>
        <v>1000</v>
      </c>
      <c r="AP38" s="71">
        <f>_xlfn.XLOOKUP($E38,target[NAME],target[開門紅(三月)])</f>
        <v>192500</v>
      </c>
      <c r="AQ38" s="71">
        <f>_xlfn.XLOOKUP($E38,target[NAME],target[開門紅(第一季)])</f>
        <v>10000000</v>
      </c>
      <c r="AR38" s="73">
        <f ca="1">SUMIFS(表格1[QTY],表格1[Model],三國演義!$AR$12,表格1[Name],三國演義!$E38)+SUMIFS(表格1[QTY],表格1[Model],三國演義!$AR$12,表格1[Name],三國演義!$AA38)</f>
        <v>0</v>
      </c>
      <c r="AS38" s="77">
        <f ca="1">IF($AR38&gt;=$AE38,$AR38*'3月Target'!$W$8,0)</f>
        <v>0</v>
      </c>
      <c r="AT38" s="44">
        <f ca="1">SUMIFS(表格1[QTY],表格1[Model],三國演義!$AT$12,表格1[Name],三國演義!$E38)+SUMIFS(表格1[QTY],表格1[Model],三國演義!$AT$12,表格1[Name],三國演義!$AA38)</f>
        <v>0</v>
      </c>
      <c r="AU38" s="44">
        <f ca="1">SUMIFS(表格1[QTY],表格1[Model],三國演義!$AU$12,表格1[Name],三國演義!$E38)+SUMIFS(表格1[QTY],表格1[Model],三國演義!$AU$12,表格1[Name],三國演義!$AA38)</f>
        <v>0</v>
      </c>
      <c r="AV38" s="44">
        <f ca="1">SUMIFS(表格1[QTY],表格1[Model],三國演義!$AV$12,表格1[Name],三國演義!$E38)+SUMIFS(表格1[QTY],表格1[Model],三國演義!$AV$12,表格1[Name],三國演義!$AA38)</f>
        <v>0</v>
      </c>
      <c r="AW38" s="44">
        <f ca="1">SUMIFS(表格1[QTY],表格1[Model],三國演義!$AW$12,表格1[Name],三國演義!$E38)+SUMIFS(表格1[QTY],表格1[Model],三國演義!$AW$12,表格1[Name],三國演義!$AA38)</f>
        <v>0</v>
      </c>
      <c r="AX38" s="50">
        <f ca="1">IF((SUM($AT38:$AW38))&gt;=$AB38,SUM($AT38:$AW38)*'3月Target'!$W$5,0)</f>
        <v>0</v>
      </c>
      <c r="AY38" s="44">
        <f ca="1">SUMIFS(表格1[QTY],表格1[Model],三國演義!$AY$12,表格1[Name],三國演義!$E38)+SUMIFS(表格1[QTY],表格1[Model],三國演義!$AY$12,表格1[Name],三國演義!$AA38)</f>
        <v>0</v>
      </c>
      <c r="AZ38" s="77">
        <f ca="1">IF($AY38&gt;=$AC38,$AY38*'3月Target'!$W$6,0)</f>
        <v>0</v>
      </c>
      <c r="BA38" s="44">
        <f ca="1">SUMIFS(表格1[QTY],表格1[Model],三國演義!$BA$12,表格1[Name],三國演義!$E38)+SUMIFS(表格1[QTY],表格1[Model],三國演義!$BA$12,表格1[Name],三國演義!$AA38)</f>
        <v>0</v>
      </c>
      <c r="BB38" s="77">
        <f ca="1">IF($BA38&gt;=$AD38,$BA38*'3月Target'!$W$7,0)</f>
        <v>0</v>
      </c>
      <c r="BC38" s="44">
        <f ca="1">SUMIFS(表格1[QTY],表格1[Model],三國演義!$BC$12,表格1[Name],三國演義!$E38)+SUMIFS(表格1[QTY],表格1[Model],三國演義!$BC$12,表格1[Name],三國演義!$AA38)</f>
        <v>0</v>
      </c>
      <c r="BD38" s="77">
        <f ca="1">IF($BC38&gt;=$AF38,$BC38*'3月Target'!$W$9,0)</f>
        <v>0</v>
      </c>
      <c r="BE38" s="44">
        <f ca="1">SUMIFS(表格1[QTY],表格1[Model],三國演義!$BE$12,表格1[Name],三國演義!$E38)+SUMIFS(表格1[QTY],表格1[Model],三國演義!$BE$12,表格1[Name],三國演義!$AA38)</f>
        <v>0</v>
      </c>
      <c r="BF38" s="77">
        <f ca="1">IF($BE38&gt;=$AG38,$BE38*'3月Target'!$W$10,0)</f>
        <v>0</v>
      </c>
      <c r="BG38" s="44">
        <f ca="1">SUMIFS(表格1[QTY],表格1[Model],三國演義!$BG$12,表格1[Name],三國演義!$E38)+SUMIFS(表格1[QTY],表格1[Model],三國演義!$BG$12,表格1[Name],三國演義!$AA38)</f>
        <v>1</v>
      </c>
      <c r="BH38" s="77">
        <f ca="1">IF($BG38&gt;=$AH38,$BG38*'3月Target'!$W$10,0)</f>
        <v>0</v>
      </c>
      <c r="BI38" s="44">
        <f ca="1">SUMIFS(表格1[QTY],表格1[Model],三國演義!$BI$12,表格1[Name],三國演義!$E38)+SUMIFS(表格1[QTY],表格1[Model],三國演義!$BI$12,表格1[Name],三國演義!$AA38)</f>
        <v>0</v>
      </c>
      <c r="BJ38" s="77">
        <f ca="1">IF($BI38&gt;=$AI38,$BI38*'3月Target'!$W$11,0)</f>
        <v>0</v>
      </c>
      <c r="BK38" s="44">
        <f ca="1">SUMIFS(表格1[QTY],表格1[Model],三國演義!$BK$12,表格1[Name],三國演義!$E38)+SUMIFS(表格1[QTY],表格1[Model],三國演義!$BK$12,表格1[Name],三國演義!$AA38)</f>
        <v>0</v>
      </c>
      <c r="BL38" s="77">
        <f ca="1">IF($BK38&gt;=$AJ38,$BK38*'3月Target'!$W$12,0)</f>
        <v>0</v>
      </c>
      <c r="BM38" s="44">
        <f ca="1">SUMIFS(表格1[QTY],表格1[Model],三國演義!$BM$12,表格1[Name],三國演義!$E38)+SUMIFS(表格1[QTY],表格1[Model],三國演義!$BM$12,表格1[Name],三國演義!$AA38)</f>
        <v>0</v>
      </c>
      <c r="BN38" s="77">
        <f ca="1">IF($BM38&gt;=$AK38,$BM38*'3月Target'!$W$13,0)</f>
        <v>0</v>
      </c>
      <c r="BO38" s="44">
        <f ca="1">SUMIFS(表格1[QTY],表格1[Model],三國演義!$BO$12,表格1[Name],三國演義!$E38)+SUMIFS(表格1[QTY],表格1[Model],三國演義!$BO$12,表格1[Name],三國演義!$AA38)</f>
        <v>0</v>
      </c>
      <c r="BP38" s="77">
        <f ca="1">IF($BO38&gt;=$AL38,$BO38*'3月Target'!$W$14,0)</f>
        <v>0</v>
      </c>
      <c r="BQ38" s="44">
        <f ca="1">SUMIFS(表格1[QTY],表格1[Model],三國演義!$BQ$12,表格1[Name],三國演義!$E38)+SUMIFS(表格1[QTY],表格1[Model],三國演義!$BQ$12,表格1[Name],三國演義!$AA38)</f>
        <v>0</v>
      </c>
      <c r="BR38" s="77">
        <f ca="1">IF($BQ38&gt;=$AM38,$BQ38*'3月Target'!$W$15,0)</f>
        <v>0</v>
      </c>
      <c r="BS38" s="44">
        <f ca="1">SUMIFS(表格1[QTY],表格1[Model],三國演義!$BS$12,表格1[Name],三國演義!$E38)+SUMIFS(表格1[QTY],表格1[Model],三國演義!$BS$12,表格1[Name],三國演義!$AA38)</f>
        <v>4</v>
      </c>
      <c r="BT38" s="44">
        <f ca="1">SUMIFS(表格1[QTY],表格1[Model],三國演義!$BT$12,表格1[Name],三國演義!$E38)+SUMIFS(表格1[QTY],表格1[Model],三國演義!$BT$12,表格1[Name],三國演義!$AA38)</f>
        <v>0</v>
      </c>
      <c r="BU38" s="44">
        <f ca="1">SUMIFS(表格1[QTY],表格1[Model],三國演義!$BU$12,表格1[Name],三國演義!$E38)+SUMIFS(表格1[QTY],表格1[Model],三國演義!$BU$12,表格1[Name],三國演義!$AA38)</f>
        <v>2</v>
      </c>
      <c r="BV38" s="44">
        <f ca="1">SUMIFS(表格1[QTY],表格1[Model],三國演義!$BV$12,表格1[Name],三國演義!$E38)+SUMIFS(表格1[QTY],表格1[Model],三國演義!$BV$12,表格1[Name],三國演義!$AA38)</f>
        <v>0</v>
      </c>
      <c r="BW38" s="77">
        <f ca="1">IF((SUM($BS38:$BV38))&gt;=$AN38,SUM($BS38:$BV38)*'3月Target'!$W$16,0)</f>
        <v>0</v>
      </c>
      <c r="BX38" s="44">
        <f ca="1">SUMIFS(表格1[QTY],表格1[Model],三國演義!$BX$12,表格1[Name],三國演義!$E38)+SUMIFS(表格1[QTY],表格1[Model],三國演義!$BX$12,表格1[Name],三國演義!$AA38)</f>
        <v>0</v>
      </c>
      <c r="BY38" s="77">
        <f ca="1">IF($BX38&gt;=$AO38,$BX38*'3月Target'!$W$17,0)</f>
        <v>0</v>
      </c>
      <c r="BZ38" s="146">
        <f t="shared" ca="1" si="23"/>
        <v>125760</v>
      </c>
      <c r="CA38" s="77">
        <f t="shared" ca="1" si="24"/>
        <v>0</v>
      </c>
      <c r="CB38" s="146">
        <f t="shared" ca="1" si="25"/>
        <v>125760</v>
      </c>
      <c r="CC38" s="77">
        <f t="shared" ca="1" si="26"/>
        <v>0</v>
      </c>
    </row>
    <row r="39" spans="1:81" ht="15.75" customHeight="1">
      <c r="A39" s="121">
        <f ca="1">Roster!AL31*Roster!AH31+Roster!AM31*Roster!AG31+三國演義!H39+三國演義!I39+三國演義!J39</f>
        <v>14596.148000000001</v>
      </c>
      <c r="B39" s="133">
        <v>0.02</v>
      </c>
      <c r="C39" s="66">
        <v>27</v>
      </c>
      <c r="D39" s="95" t="str">
        <f ca="1">_xlfn.XLOOKUP($E39,表格1[Name],表格1[Shop])</f>
        <v>Citistore</v>
      </c>
      <c r="E39" s="95" t="s">
        <v>974</v>
      </c>
      <c r="F39" s="96">
        <f ca="1">SUMIF(表格1[Name],$E39,表格1[Total Amount])+SUMIF(表格1[Name],$AA39,表格1[Total Amount])</f>
        <v>153807.4</v>
      </c>
      <c r="G39" s="161">
        <f ca="1">SUMIF(表格1[Name],$E39,表格1[QTY])+SUMIF(表格1[Name],$AA39,表格1[QTY])</f>
        <v>183</v>
      </c>
      <c r="H39" s="96">
        <f t="shared" ca="1" si="5"/>
        <v>3076.1480000000001</v>
      </c>
      <c r="I39" s="96"/>
      <c r="J39" s="51">
        <f t="shared" ca="1" si="6"/>
        <v>0</v>
      </c>
      <c r="K39" s="163">
        <f t="shared" ca="1" si="7"/>
        <v>0</v>
      </c>
      <c r="L39" s="163">
        <f t="shared" ca="1" si="8"/>
        <v>0</v>
      </c>
      <c r="M39" s="44">
        <f t="shared" ca="1" si="9"/>
        <v>0</v>
      </c>
      <c r="N39" s="44">
        <f t="shared" ca="1" si="10"/>
        <v>0</v>
      </c>
      <c r="O39" s="44">
        <f t="shared" ca="1" si="11"/>
        <v>0</v>
      </c>
      <c r="P39" s="44">
        <f t="shared" ca="1" si="12"/>
        <v>0</v>
      </c>
      <c r="Q39" s="44">
        <f t="shared" ca="1" si="13"/>
        <v>0</v>
      </c>
      <c r="R39" s="44">
        <f t="shared" ca="1" si="14"/>
        <v>0</v>
      </c>
      <c r="S39" s="44">
        <f t="shared" ca="1" si="15"/>
        <v>0</v>
      </c>
      <c r="T39" s="44">
        <f t="shared" ca="1" si="16"/>
        <v>0</v>
      </c>
      <c r="U39" s="44">
        <f t="shared" ca="1" si="17"/>
        <v>0</v>
      </c>
      <c r="V39" s="44">
        <f t="shared" ca="1" si="18"/>
        <v>0</v>
      </c>
      <c r="W39" s="44">
        <f t="shared" ca="1" si="19"/>
        <v>0</v>
      </c>
      <c r="X39" s="44">
        <f t="shared" ca="1" si="20"/>
        <v>0</v>
      </c>
      <c r="Y39" s="44">
        <f t="shared" ca="1" si="21"/>
        <v>0</v>
      </c>
      <c r="Z39" s="44">
        <f t="shared" ca="1" si="22"/>
        <v>0</v>
      </c>
      <c r="AA39" s="60" t="str">
        <f t="shared" si="4"/>
        <v>Ling Ho off</v>
      </c>
      <c r="AB39" s="71">
        <f>_xlfn.XLOOKUP($E39,target[NAME],target[RC-DS10K/18K])</f>
        <v>4</v>
      </c>
      <c r="AC39" s="71">
        <f>_xlfn.XLOOKUP($E39,target[NAME],target[RC-18AMXH(W)])</f>
        <v>4</v>
      </c>
      <c r="AD39" s="71">
        <f>_xlfn.XLOOKUP($E39,target[NAME],target[EB-T500APW])</f>
        <v>1</v>
      </c>
      <c r="AE39" s="71">
        <f>_xlfn.XLOOKUP($E39,target[NAME],target[ER-VD7000HK(XK)])</f>
        <v>2</v>
      </c>
      <c r="AF39" s="71">
        <f>_xlfn.XLOOKUP($E39,target[NAME],target[TWDT21BU95])</f>
        <v>2</v>
      </c>
      <c r="AG39" s="71">
        <f>_xlfn.XLOOKUP($E39,target[NAME],target[AW-Q800APH(WW)])</f>
        <v>1000</v>
      </c>
      <c r="AH39" s="71">
        <f>_xlfn.XLOOKUP($E39,target[NAME],target[AW-Q801APH(WW)])</f>
        <v>5</v>
      </c>
      <c r="AI39" s="71">
        <f>_xlfn.XLOOKUP($E39,target[NAME],target[GR-RM469WE-PGA(B3)])</f>
        <v>2</v>
      </c>
      <c r="AJ39" s="71">
        <f>_xlfn.XLOOKUP($E39,target[NAME],target[GR-RB449WE-PMA(57)])</f>
        <v>2</v>
      </c>
      <c r="AK39" s="71">
        <f>_xlfn.XLOOKUP($E39,target[NAME],target[GR-RB410WE-PMA(06)])</f>
        <v>2</v>
      </c>
      <c r="AL39" s="71">
        <f>_xlfn.XLOOKUP($E39,target[NAME],target[GR-RF698WI])</f>
        <v>1</v>
      </c>
      <c r="AM39" s="71">
        <f>_xlfn.XLOOKUP($E39,target[NAME],target[TWP-W2265THK(W)])</f>
        <v>2</v>
      </c>
      <c r="AN39" s="71">
        <f>_xlfn.XLOOKUP($E39,target[NAME],target[RAD-D200/250/300/DIA17])</f>
        <v>48</v>
      </c>
      <c r="AO39" s="71">
        <f>_xlfn.XLOOKUP($E39,target[NAME],target[(Fortress ONLY)TW-T25BZU115MWH(MG) ])</f>
        <v>1000</v>
      </c>
      <c r="AP39" s="71">
        <f>_xlfn.XLOOKUP($E39,target[NAME],target[開門紅(三月)])</f>
        <v>332500</v>
      </c>
      <c r="AQ39" s="71">
        <f>_xlfn.XLOOKUP($E39,target[NAME],target[開門紅(第一季)])</f>
        <v>438777.79999999981</v>
      </c>
      <c r="AR39" s="73">
        <f ca="1">SUMIFS(表格1[QTY],表格1[Model],三國演義!$AR$12,表格1[Name],三國演義!$E39)+SUMIFS(表格1[QTY],表格1[Model],三國演義!$AR$12,表格1[Name],三國演義!$AA39)</f>
        <v>0</v>
      </c>
      <c r="AS39" s="77">
        <f ca="1">IF($AR39&gt;=$AE39,$AR39*'3月Target'!$W$8,0)</f>
        <v>0</v>
      </c>
      <c r="AT39" s="44">
        <f ca="1">SUMIFS(表格1[QTY],表格1[Model],三國演義!$AT$12,表格1[Name],三國演義!$E39)+SUMIFS(表格1[QTY],表格1[Model],三國演義!$AT$12,表格1[Name],三國演義!$AA39)</f>
        <v>0</v>
      </c>
      <c r="AU39" s="44">
        <f ca="1">SUMIFS(表格1[QTY],表格1[Model],三國演義!$AU$12,表格1[Name],三國演義!$E39)+SUMIFS(表格1[QTY],表格1[Model],三國演義!$AU$12,表格1[Name],三國演義!$AA39)</f>
        <v>0</v>
      </c>
      <c r="AV39" s="44">
        <f ca="1">SUMIFS(表格1[QTY],表格1[Model],三國演義!$AV$12,表格1[Name],三國演義!$E39)+SUMIFS(表格1[QTY],表格1[Model],三國演義!$AV$12,表格1[Name],三國演義!$AA39)</f>
        <v>0</v>
      </c>
      <c r="AW39" s="44">
        <f ca="1">SUMIFS(表格1[QTY],表格1[Model],三國演義!$AW$12,表格1[Name],三國演義!$E39)+SUMIFS(表格1[QTY],表格1[Model],三國演義!$AW$12,表格1[Name],三國演義!$AA39)</f>
        <v>0</v>
      </c>
      <c r="AX39" s="50">
        <f ca="1">IF((SUM($AT39:$AW39))&gt;=$AB39,SUM($AT39:$AW39)*'3月Target'!$W$5,0)</f>
        <v>0</v>
      </c>
      <c r="AY39" s="44">
        <f ca="1">SUMIFS(表格1[QTY],表格1[Model],三國演義!$AY$12,表格1[Name],三國演義!$E39)+SUMIFS(表格1[QTY],表格1[Model],三國演義!$AY$12,表格1[Name],三國演義!$AA39)</f>
        <v>2</v>
      </c>
      <c r="AZ39" s="77">
        <f ca="1">IF($AY39&gt;=$AC39,$AY39*'3月Target'!$W$6,0)</f>
        <v>0</v>
      </c>
      <c r="BA39" s="44">
        <f ca="1">SUMIFS(表格1[QTY],表格1[Model],三國演義!$BA$12,表格1[Name],三國演義!$E39)+SUMIFS(表格1[QTY],表格1[Model],三國演義!$BA$12,表格1[Name],三國演義!$AA39)</f>
        <v>0</v>
      </c>
      <c r="BB39" s="77">
        <f ca="1">IF($BA39&gt;=$AD39,$BA39*'3月Target'!$W$7,0)</f>
        <v>0</v>
      </c>
      <c r="BC39" s="44">
        <f ca="1">SUMIFS(表格1[QTY],表格1[Model],三國演義!$BC$12,表格1[Name],三國演義!$E39)+SUMIFS(表格1[QTY],表格1[Model],三國演義!$BC$12,表格1[Name],三國演義!$AA39)</f>
        <v>0</v>
      </c>
      <c r="BD39" s="77">
        <f ca="1">IF($BC39&gt;=$AF39,$BC39*'3月Target'!$W$9,0)</f>
        <v>0</v>
      </c>
      <c r="BE39" s="44">
        <f ca="1">SUMIFS(表格1[QTY],表格1[Model],三國演義!$BE$12,表格1[Name],三國演義!$E39)+SUMIFS(表格1[QTY],表格1[Model],三國演義!$BE$12,表格1[Name],三國演義!$AA39)</f>
        <v>0</v>
      </c>
      <c r="BF39" s="77">
        <f ca="1">IF($BE39&gt;=$AG39,$BE39*'3月Target'!$W$10,0)</f>
        <v>0</v>
      </c>
      <c r="BG39" s="44">
        <f ca="1">SUMIFS(表格1[QTY],表格1[Model],三國演義!$BG$12,表格1[Name],三國演義!$E39)+SUMIFS(表格1[QTY],表格1[Model],三國演義!$BG$12,表格1[Name],三國演義!$AA39)</f>
        <v>0</v>
      </c>
      <c r="BH39" s="77">
        <f ca="1">IF($BG39&gt;=$AH39,$BG39*'3月Target'!$W$10,0)</f>
        <v>0</v>
      </c>
      <c r="BI39" s="44">
        <f ca="1">SUMIFS(表格1[QTY],表格1[Model],三國演義!$BI$12,表格1[Name],三國演義!$E39)+SUMIFS(表格1[QTY],表格1[Model],三國演義!$BI$12,表格1[Name],三國演義!$AA39)</f>
        <v>0</v>
      </c>
      <c r="BJ39" s="77">
        <f ca="1">IF($BI39&gt;=$AI39,$BI39*'3月Target'!$W$11,0)</f>
        <v>0</v>
      </c>
      <c r="BK39" s="44">
        <f ca="1">SUMIFS(表格1[QTY],表格1[Model],三國演義!$BK$12,表格1[Name],三國演義!$E39)+SUMIFS(表格1[QTY],表格1[Model],三國演義!$BK$12,表格1[Name],三國演義!$AA39)</f>
        <v>0</v>
      </c>
      <c r="BL39" s="77">
        <f ca="1">IF($BK39&gt;=$AJ39,$BK39*'3月Target'!$W$12,0)</f>
        <v>0</v>
      </c>
      <c r="BM39" s="44">
        <f ca="1">SUMIFS(表格1[QTY],表格1[Model],三國演義!$BM$12,表格1[Name],三國演義!$E39)+SUMIFS(表格1[QTY],表格1[Model],三國演義!$BM$12,表格1[Name],三國演義!$AA39)</f>
        <v>0</v>
      </c>
      <c r="BN39" s="77">
        <f ca="1">IF($BM39&gt;=$AK39,$BM39*'3月Target'!$W$13,0)</f>
        <v>0</v>
      </c>
      <c r="BO39" s="44">
        <f ca="1">SUMIFS(表格1[QTY],表格1[Model],三國演義!$BO$12,表格1[Name],三國演義!$E39)+SUMIFS(表格1[QTY],表格1[Model],三國演義!$BO$12,表格1[Name],三國演義!$AA39)</f>
        <v>0</v>
      </c>
      <c r="BP39" s="77">
        <f ca="1">IF($BO39&gt;=$AL39,$BO39*'3月Target'!$W$14,0)</f>
        <v>0</v>
      </c>
      <c r="BQ39" s="44">
        <f ca="1">SUMIFS(表格1[QTY],表格1[Model],三國演義!$BQ$12,表格1[Name],三國演義!$E39)+SUMIFS(表格1[QTY],表格1[Model],三國演義!$BQ$12,表格1[Name],三國演義!$AA39)</f>
        <v>0</v>
      </c>
      <c r="BR39" s="77">
        <f ca="1">IF($BQ39&gt;=$AM39,$BQ39*'3月Target'!$W$15,0)</f>
        <v>0</v>
      </c>
      <c r="BS39" s="44">
        <f ca="1">SUMIFS(表格1[QTY],表格1[Model],三國演義!$BS$12,表格1[Name],三國演義!$E39)+SUMIFS(表格1[QTY],表格1[Model],三國演義!$BS$12,表格1[Name],三國演義!$AA39)</f>
        <v>12</v>
      </c>
      <c r="BT39" s="44">
        <f ca="1">SUMIFS(表格1[QTY],表格1[Model],三國演義!$BT$12,表格1[Name],三國演義!$E39)+SUMIFS(表格1[QTY],表格1[Model],三國演義!$BT$12,表格1[Name],三國演義!$AA39)</f>
        <v>0</v>
      </c>
      <c r="BU39" s="44">
        <f ca="1">SUMIFS(表格1[QTY],表格1[Model],三國演義!$BU$12,表格1[Name],三國演義!$E39)+SUMIFS(表格1[QTY],表格1[Model],三國演義!$BU$12,表格1[Name],三國演義!$AA39)</f>
        <v>13</v>
      </c>
      <c r="BV39" s="44">
        <f ca="1">SUMIFS(表格1[QTY],表格1[Model],三國演義!$BV$12,表格1[Name],三國演義!$E39)+SUMIFS(表格1[QTY],表格1[Model],三國演義!$BV$12,表格1[Name],三國演義!$AA39)</f>
        <v>0</v>
      </c>
      <c r="BW39" s="77">
        <f ca="1">IF((SUM($BS39:$BV39))&gt;=$AN39,SUM($BS39:$BV39)*'3月Target'!$W$16,0)</f>
        <v>0</v>
      </c>
      <c r="BX39" s="44">
        <f ca="1">SUMIFS(表格1[QTY],表格1[Model],三國演義!$BX$12,表格1[Name],三國演義!$E39)+SUMIFS(表格1[QTY],表格1[Model],三國演義!$BX$12,表格1[Name],三國演義!$AA39)</f>
        <v>0</v>
      </c>
      <c r="BY39" s="77">
        <f ca="1">IF($BX39&gt;=$AO39,$BX39*'3月Target'!$W$17,0)</f>
        <v>0</v>
      </c>
      <c r="BZ39" s="146">
        <f t="shared" ca="1" si="23"/>
        <v>153807.4</v>
      </c>
      <c r="CA39" s="77">
        <f t="shared" ca="1" si="24"/>
        <v>0</v>
      </c>
      <c r="CB39" s="146">
        <f t="shared" ca="1" si="25"/>
        <v>153807.4</v>
      </c>
      <c r="CC39" s="77">
        <f t="shared" ca="1" si="26"/>
        <v>0</v>
      </c>
    </row>
    <row r="40" spans="1:81" ht="15" customHeight="1">
      <c r="A40" s="121">
        <f ca="1">Roster!AL32*Roster!AH32+Roster!AM32*Roster!AG32+三國演義!H40+三國演義!I40+三國演義!J40</f>
        <v>24676.260000000002</v>
      </c>
      <c r="B40" s="133">
        <v>0.02</v>
      </c>
      <c r="C40" s="66">
        <v>28</v>
      </c>
      <c r="D40" s="95" t="str">
        <f ca="1">_xlfn.XLOOKUP($E40,表格1[Name],表格1[Shop])</f>
        <v>Broadway</v>
      </c>
      <c r="E40" s="95" t="s">
        <v>973</v>
      </c>
      <c r="F40" s="96">
        <f ca="1">SUMIF(表格1[Name],$E40,表格1[Total Amount])+SUMIF(表格1[Name],$AA40,表格1[Total Amount])</f>
        <v>470313</v>
      </c>
      <c r="G40" s="161">
        <f ca="1">SUMIF(表格1[Name],$E40,表格1[QTY])+SUMIF(表格1[Name],$AA40,表格1[QTY])</f>
        <v>203</v>
      </c>
      <c r="H40" s="96">
        <f t="shared" ca="1" si="5"/>
        <v>9406.26</v>
      </c>
      <c r="I40" s="96"/>
      <c r="J40" s="51">
        <f t="shared" ca="1" si="6"/>
        <v>4710</v>
      </c>
      <c r="K40" s="163">
        <f t="shared" ca="1" si="7"/>
        <v>0</v>
      </c>
      <c r="L40" s="163">
        <f t="shared" ca="1" si="8"/>
        <v>0</v>
      </c>
      <c r="M40" s="44">
        <f t="shared" ca="1" si="9"/>
        <v>0</v>
      </c>
      <c r="N40" s="44">
        <f t="shared" ca="1" si="10"/>
        <v>0</v>
      </c>
      <c r="O40" s="44">
        <f t="shared" ca="1" si="11"/>
        <v>160</v>
      </c>
      <c r="P40" s="44">
        <f t="shared" ca="1" si="12"/>
        <v>0</v>
      </c>
      <c r="Q40" s="44">
        <f t="shared" ca="1" si="13"/>
        <v>400</v>
      </c>
      <c r="R40" s="44">
        <f t="shared" ca="1" si="14"/>
        <v>0</v>
      </c>
      <c r="S40" s="44">
        <f t="shared" ca="1" si="15"/>
        <v>0</v>
      </c>
      <c r="T40" s="44">
        <f t="shared" ca="1" si="16"/>
        <v>200</v>
      </c>
      <c r="U40" s="44">
        <f t="shared" ca="1" si="17"/>
        <v>0</v>
      </c>
      <c r="V40" s="44">
        <f t="shared" ca="1" si="18"/>
        <v>0</v>
      </c>
      <c r="W40" s="44">
        <f t="shared" ca="1" si="19"/>
        <v>2450</v>
      </c>
      <c r="X40" s="44">
        <f t="shared" ca="1" si="20"/>
        <v>0</v>
      </c>
      <c r="Y40" s="44">
        <f t="shared" ca="1" si="21"/>
        <v>500</v>
      </c>
      <c r="Z40" s="44">
        <f t="shared" ca="1" si="22"/>
        <v>1000</v>
      </c>
      <c r="AA40" s="60" t="str">
        <f t="shared" si="4"/>
        <v>Happy off</v>
      </c>
      <c r="AB40" s="71">
        <f>_xlfn.XLOOKUP($E40,target[NAME],target[RC-DS10K/18K])</f>
        <v>10</v>
      </c>
      <c r="AC40" s="71">
        <f>_xlfn.XLOOKUP($E40,target[NAME],target[RC-18AMXH(W)])</f>
        <v>4</v>
      </c>
      <c r="AD40" s="71">
        <f>_xlfn.XLOOKUP($E40,target[NAME],target[EB-T500APW])</f>
        <v>1</v>
      </c>
      <c r="AE40" s="71">
        <f>_xlfn.XLOOKUP($E40,target[NAME],target[ER-VD7000HK(XK)])</f>
        <v>2</v>
      </c>
      <c r="AF40" s="71">
        <f>_xlfn.XLOOKUP($E40,target[NAME],target[TWDT21BU95])</f>
        <v>2</v>
      </c>
      <c r="AG40" s="71">
        <f>_xlfn.XLOOKUP($E40,target[NAME],target[AW-Q800APH(WW)])</f>
        <v>1000</v>
      </c>
      <c r="AH40" s="71">
        <f>_xlfn.XLOOKUP($E40,target[NAME],target[AW-Q801APH(WW)])</f>
        <v>5</v>
      </c>
      <c r="AI40" s="71">
        <f>_xlfn.XLOOKUP($E40,target[NAME],target[GR-RM469WE-PGA(B3)])</f>
        <v>2</v>
      </c>
      <c r="AJ40" s="71">
        <f>_xlfn.XLOOKUP($E40,target[NAME],target[GR-RB449WE-PMA(57)])</f>
        <v>2</v>
      </c>
      <c r="AK40" s="71">
        <f>_xlfn.XLOOKUP($E40,target[NAME],target[GR-RB410WE-PMA(06)])</f>
        <v>2</v>
      </c>
      <c r="AL40" s="71">
        <f>_xlfn.XLOOKUP($E40,target[NAME],target[GR-RF698WI])</f>
        <v>1</v>
      </c>
      <c r="AM40" s="71">
        <f>_xlfn.XLOOKUP($E40,target[NAME],target[TWP-W2265THK(W)])</f>
        <v>2</v>
      </c>
      <c r="AN40" s="71">
        <f>_xlfn.XLOOKUP($E40,target[NAME],target[RAD-D200/250/300/DIA17])</f>
        <v>48</v>
      </c>
      <c r="AO40" s="71">
        <f>_xlfn.XLOOKUP($E40,target[NAME],target[(Fortress ONLY)TW-T25BZU115MWH(MG) ])</f>
        <v>1000</v>
      </c>
      <c r="AP40" s="71">
        <f>_xlfn.XLOOKUP($E40,target[NAME],target[開門紅(三月)])</f>
        <v>437500</v>
      </c>
      <c r="AQ40" s="71">
        <f>_xlfn.XLOOKUP($E40,target[NAME],target[開門紅(第一季)])</f>
        <v>393424</v>
      </c>
      <c r="AR40" s="73">
        <f ca="1">SUMIFS(表格1[QTY],表格1[Model],三國演義!$AR$12,表格1[Name],三國演義!$E40)+SUMIFS(表格1[QTY],表格1[Model],三國演義!$AR$12,表格1[Name],三國演義!$AA40)</f>
        <v>1</v>
      </c>
      <c r="AS40" s="77">
        <f ca="1">IF($AR40&gt;=$AE40,$AR40*'3月Target'!$W$8,0)</f>
        <v>0</v>
      </c>
      <c r="AT40" s="44">
        <f ca="1">SUMIFS(表格1[QTY],表格1[Model],三國演義!$AT$12,表格1[Name],三國演義!$E40)+SUMIFS(表格1[QTY],表格1[Model],三國演義!$AT$12,表格1[Name],三國演義!$AA40)</f>
        <v>0</v>
      </c>
      <c r="AU40" s="44">
        <f ca="1">SUMIFS(表格1[QTY],表格1[Model],三國演義!$AU$12,表格1[Name],三國演義!$E40)+SUMIFS(表格1[QTY],表格1[Model],三國演義!$AU$12,表格1[Name],三國演義!$AA40)</f>
        <v>1</v>
      </c>
      <c r="AV40" s="44">
        <f ca="1">SUMIFS(表格1[QTY],表格1[Model],三國演義!$AV$12,表格1[Name],三國演義!$E40)+SUMIFS(表格1[QTY],表格1[Model],三國演義!$AV$12,表格1[Name],三國演義!$AA40)</f>
        <v>0</v>
      </c>
      <c r="AW40" s="44">
        <f ca="1">SUMIFS(表格1[QTY],表格1[Model],三國演義!$AW$12,表格1[Name],三國演義!$E40)+SUMIFS(表格1[QTY],表格1[Model],三國演義!$AW$12,表格1[Name],三國演義!$AA40)</f>
        <v>0</v>
      </c>
      <c r="AX40" s="50">
        <f ca="1">IF((SUM($AT40:$AW40))&gt;=$AB40,SUM($AT40:$AW40)*'3月Target'!$W$5,0)</f>
        <v>0</v>
      </c>
      <c r="AY40" s="44">
        <f ca="1">SUMIFS(表格1[QTY],表格1[Model],三國演義!$AY$12,表格1[Name],三國演義!$E40)+SUMIFS(表格1[QTY],表格1[Model],三國演義!$AY$12,表格1[Name],三國演義!$AA40)</f>
        <v>2</v>
      </c>
      <c r="AZ40" s="77">
        <f ca="1">IF($AY40&gt;=$AC40,$AY40*'3月Target'!$W$6,0)</f>
        <v>0</v>
      </c>
      <c r="BA40" s="44">
        <f ca="1">SUMIFS(表格1[QTY],表格1[Model],三國演義!$BA$12,表格1[Name],三國演義!$E40)+SUMIFS(表格1[QTY],表格1[Model],三國演義!$BA$12,表格1[Name],三國演義!$AA40)</f>
        <v>0</v>
      </c>
      <c r="BB40" s="77">
        <f ca="1">IF($BA40&gt;=$AD40,$BA40*'3月Target'!$W$7,0)</f>
        <v>0</v>
      </c>
      <c r="BC40" s="44">
        <f ca="1">SUMIFS(表格1[QTY],表格1[Model],三國演義!$BC$12,表格1[Name],三國演義!$E40)+SUMIFS(表格1[QTY],表格1[Model],三國演義!$BC$12,表格1[Name],三國演義!$AA40)</f>
        <v>2</v>
      </c>
      <c r="BD40" s="77">
        <f ca="1">IF($BC40&gt;=$AF40,$BC40*'3月Target'!$W$9,0)</f>
        <v>160</v>
      </c>
      <c r="BE40" s="44">
        <f ca="1">SUMIFS(表格1[QTY],表格1[Model],三國演義!$BE$12,表格1[Name],三國演義!$E40)+SUMIFS(表格1[QTY],表格1[Model],三國演義!$BE$12,表格1[Name],三國演義!$AA40)</f>
        <v>0</v>
      </c>
      <c r="BF40" s="77">
        <f ca="1">IF($BE40&gt;=$AG40,$BE40*'3月Target'!$W$10,0)</f>
        <v>0</v>
      </c>
      <c r="BG40" s="44">
        <f ca="1">SUMIFS(表格1[QTY],表格1[Model],三國演義!$BG$12,表格1[Name],三國演義!$E40)+SUMIFS(表格1[QTY],表格1[Model],三國演義!$BG$12,表格1[Name],三國演義!$AA40)</f>
        <v>8</v>
      </c>
      <c r="BH40" s="77">
        <f ca="1">IF($BG40&gt;=$AH40,$BG40*'3月Target'!$W$10,0)</f>
        <v>400</v>
      </c>
      <c r="BI40" s="44">
        <f ca="1">SUMIFS(表格1[QTY],表格1[Model],三國演義!$BI$12,表格1[Name],三國演義!$E40)+SUMIFS(表格1[QTY],表格1[Model],三國演義!$BI$12,表格1[Name],三國演義!$AA40)</f>
        <v>1</v>
      </c>
      <c r="BJ40" s="77">
        <f ca="1">IF($BI40&gt;=$AI40,$BI40*'3月Target'!$W$11,0)</f>
        <v>0</v>
      </c>
      <c r="BK40" s="44">
        <f ca="1">SUMIFS(表格1[QTY],表格1[Model],三國演義!$BK$12,表格1[Name],三國演義!$E40)+SUMIFS(表格1[QTY],表格1[Model],三國演義!$BK$12,表格1[Name],三國演義!$AA40)</f>
        <v>1</v>
      </c>
      <c r="BL40" s="77">
        <f ca="1">IF($BK40&gt;=$AJ40,$BK40*'3月Target'!$W$12,0)</f>
        <v>0</v>
      </c>
      <c r="BM40" s="44">
        <f ca="1">SUMIFS(表格1[QTY],表格1[Model],三國演義!$BM$12,表格1[Name],三國演義!$E40)+SUMIFS(表格1[QTY],表格1[Model],三國演義!$BM$12,表格1[Name],三國演義!$AA40)</f>
        <v>2</v>
      </c>
      <c r="BN40" s="77">
        <f ca="1">IF($BM40&gt;=$AK40,$BM40*'3月Target'!$W$13,0)</f>
        <v>200</v>
      </c>
      <c r="BO40" s="44">
        <f ca="1">SUMIFS(表格1[QTY],表格1[Model],三國演義!$BO$12,表格1[Name],三國演義!$E40)+SUMIFS(表格1[QTY],表格1[Model],三國演義!$BO$12,表格1[Name],三國演義!$AA40)</f>
        <v>0</v>
      </c>
      <c r="BP40" s="77">
        <f ca="1">IF($BO40&gt;=$AL40,$BO40*'3月Target'!$W$14,0)</f>
        <v>0</v>
      </c>
      <c r="BQ40" s="44">
        <f ca="1">SUMIFS(表格1[QTY],表格1[Model],三國演義!$BQ$12,表格1[Name],三國演義!$E40)+SUMIFS(表格1[QTY],表格1[Model],三國演義!$BQ$12,表格1[Name],三國演義!$AA40)</f>
        <v>0</v>
      </c>
      <c r="BR40" s="77">
        <f ca="1">IF($BQ40&gt;=$AM40,$BQ40*'3月Target'!$W$15,0)</f>
        <v>0</v>
      </c>
      <c r="BS40" s="44">
        <f ca="1">SUMIFS(表格1[QTY],表格1[Model],三國演義!$BS$12,表格1[Name],三國演義!$E40)+SUMIFS(表格1[QTY],表格1[Model],三國演義!$BS$12,表格1[Name],三國演義!$AA40)</f>
        <v>0</v>
      </c>
      <c r="BT40" s="44">
        <f ca="1">SUMIFS(表格1[QTY],表格1[Model],三國演義!$BT$12,表格1[Name],三國演義!$E40)+SUMIFS(表格1[QTY],表格1[Model],三國演義!$BT$12,表格1[Name],三國演義!$AA40)</f>
        <v>48</v>
      </c>
      <c r="BU40" s="44">
        <f ca="1">SUMIFS(表格1[QTY],表格1[Model],三國演義!$BU$12,表格1[Name],三國演義!$E40)+SUMIFS(表格1[QTY],表格1[Model],三國演義!$BU$12,表格1[Name],三國演義!$AA40)</f>
        <v>1</v>
      </c>
      <c r="BV40" s="44">
        <f ca="1">SUMIFS(表格1[QTY],表格1[Model],三國演義!$BV$12,表格1[Name],三國演義!$E40)+SUMIFS(表格1[QTY],表格1[Model],三國演義!$BV$12,表格1[Name],三國演義!$AA40)</f>
        <v>0</v>
      </c>
      <c r="BW40" s="77">
        <f ca="1">IF((SUM($BS40:$BV40))&gt;=$AN40,SUM($BS40:$BV40)*'3月Target'!$W$16,0)</f>
        <v>2450</v>
      </c>
      <c r="BX40" s="44">
        <f ca="1">SUMIFS(表格1[QTY],表格1[Model],三國演義!$BX$12,表格1[Name],三國演義!$E40)+SUMIFS(表格1[QTY],表格1[Model],三國演義!$BX$12,表格1[Name],三國演義!$AA40)</f>
        <v>0</v>
      </c>
      <c r="BY40" s="77">
        <f ca="1">IF($BX40&gt;=$AO40,$BX40*'3月Target'!$W$17,0)</f>
        <v>0</v>
      </c>
      <c r="BZ40" s="146">
        <f t="shared" ca="1" si="23"/>
        <v>470313</v>
      </c>
      <c r="CA40" s="77">
        <f t="shared" ca="1" si="24"/>
        <v>500</v>
      </c>
      <c r="CB40" s="146">
        <f t="shared" ca="1" si="25"/>
        <v>470313</v>
      </c>
      <c r="CC40" s="77">
        <f t="shared" ca="1" si="26"/>
        <v>1000</v>
      </c>
    </row>
    <row r="41" spans="1:81" ht="16.5" customHeight="1">
      <c r="A41" s="121">
        <f ca="1">Roster!AL33*Roster!AH33+Roster!AM33*Roster!AG33+三國演義!H41+三國演義!I41+三國演義!J41</f>
        <v>16329.64</v>
      </c>
      <c r="B41" s="133">
        <v>0.02</v>
      </c>
      <c r="C41" s="66">
        <v>29</v>
      </c>
      <c r="D41" s="95" t="str">
        <f ca="1">_xlfn.XLOOKUP($E41,表格1[Name],表格1[Shop])</f>
        <v>Fortress</v>
      </c>
      <c r="E41" s="95" t="s">
        <v>1087</v>
      </c>
      <c r="F41" s="96">
        <f ca="1">SUMIF(表格1[Name],$E41,表格1[Total Amount])+SUMIF(表格1[Name],$AA41,表格1[Total Amount])</f>
        <v>376482</v>
      </c>
      <c r="G41" s="161">
        <f ca="1">SUMIF(表格1[Name],$E41,表格1[QTY])+SUMIF(表格1[Name],$AA41,表格1[QTY])</f>
        <v>160</v>
      </c>
      <c r="H41" s="96">
        <f t="shared" ca="1" si="5"/>
        <v>7529.64</v>
      </c>
      <c r="I41" s="96"/>
      <c r="J41" s="51">
        <f t="shared" ca="1" si="6"/>
        <v>160</v>
      </c>
      <c r="K41" s="163">
        <f t="shared" ca="1" si="7"/>
        <v>0</v>
      </c>
      <c r="L41" s="163">
        <f t="shared" ca="1" si="8"/>
        <v>0</v>
      </c>
      <c r="M41" s="44">
        <f t="shared" ca="1" si="9"/>
        <v>0</v>
      </c>
      <c r="N41" s="44">
        <f t="shared" ca="1" si="10"/>
        <v>0</v>
      </c>
      <c r="O41" s="44">
        <f t="shared" ca="1" si="11"/>
        <v>160</v>
      </c>
      <c r="P41" s="44">
        <f t="shared" ca="1" si="12"/>
        <v>0</v>
      </c>
      <c r="Q41" s="44">
        <f t="shared" ca="1" si="13"/>
        <v>0</v>
      </c>
      <c r="R41" s="44">
        <f t="shared" ca="1" si="14"/>
        <v>0</v>
      </c>
      <c r="S41" s="44">
        <f t="shared" ca="1" si="15"/>
        <v>0</v>
      </c>
      <c r="T41" s="44">
        <f t="shared" ca="1" si="16"/>
        <v>0</v>
      </c>
      <c r="U41" s="44">
        <f t="shared" ca="1" si="17"/>
        <v>0</v>
      </c>
      <c r="V41" s="44">
        <f t="shared" ca="1" si="18"/>
        <v>0</v>
      </c>
      <c r="W41" s="44">
        <f t="shared" ca="1" si="19"/>
        <v>0</v>
      </c>
      <c r="X41" s="44">
        <f t="shared" ca="1" si="20"/>
        <v>0</v>
      </c>
      <c r="Y41" s="44">
        <f t="shared" ca="1" si="21"/>
        <v>0</v>
      </c>
      <c r="Z41" s="44">
        <f t="shared" ca="1" si="22"/>
        <v>0</v>
      </c>
      <c r="AA41" s="60" t="str">
        <f t="shared" si="4"/>
        <v>Tiffany off</v>
      </c>
      <c r="AB41" s="71">
        <f>_xlfn.XLOOKUP($E41,target[NAME],target[RC-DS10K/18K])</f>
        <v>7</v>
      </c>
      <c r="AC41" s="71">
        <f>_xlfn.XLOOKUP($E41,target[NAME],target[RC-18AMXH(W)])</f>
        <v>4</v>
      </c>
      <c r="AD41" s="71">
        <f>_xlfn.XLOOKUP($E41,target[NAME],target[EB-T500APW])</f>
        <v>1</v>
      </c>
      <c r="AE41" s="71">
        <f>_xlfn.XLOOKUP($E41,target[NAME],target[ER-VD7000HK(XK)])</f>
        <v>2</v>
      </c>
      <c r="AF41" s="71">
        <f>_xlfn.XLOOKUP($E41,target[NAME],target[TWDT21BU95])</f>
        <v>2</v>
      </c>
      <c r="AG41" s="71">
        <f>_xlfn.XLOOKUP($E41,target[NAME],target[AW-Q800APH(WW)])</f>
        <v>10</v>
      </c>
      <c r="AH41" s="71">
        <f>_xlfn.XLOOKUP($E41,target[NAME],target[AW-Q801APH(WW)])</f>
        <v>1000</v>
      </c>
      <c r="AI41" s="71">
        <f>_xlfn.XLOOKUP($E41,target[NAME],target[GR-RM469WE-PGA(B3)])</f>
        <v>2</v>
      </c>
      <c r="AJ41" s="71">
        <f>_xlfn.XLOOKUP($E41,target[NAME],target[GR-RB449WE-PMA(57)])</f>
        <v>2</v>
      </c>
      <c r="AK41" s="71">
        <f>_xlfn.XLOOKUP($E41,target[NAME],target[GR-RB410WE-PMA(06)])</f>
        <v>2</v>
      </c>
      <c r="AL41" s="71">
        <f>_xlfn.XLOOKUP($E41,target[NAME],target[GR-RF698WI])</f>
        <v>1</v>
      </c>
      <c r="AM41" s="71">
        <f>_xlfn.XLOOKUP($E41,target[NAME],target[TWP-W2265THK(W)])</f>
        <v>2</v>
      </c>
      <c r="AN41" s="71">
        <f>_xlfn.XLOOKUP($E41,target[NAME],target[RAD-D200/250/300/DIA17])</f>
        <v>48</v>
      </c>
      <c r="AO41" s="71">
        <f>_xlfn.XLOOKUP($E41,target[NAME],target[(Fortress ONLY)TW-T25BZU115MWH(MG) ])</f>
        <v>2</v>
      </c>
      <c r="AP41" s="71">
        <f>_xlfn.XLOOKUP($E41,target[NAME],target[開門紅(三月)])</f>
        <v>578600</v>
      </c>
      <c r="AQ41" s="71">
        <f>_xlfn.XLOOKUP($E41,target[NAME],target[開門紅(第一季)])</f>
        <v>10000000</v>
      </c>
      <c r="AR41" s="73">
        <f ca="1">SUMIFS(表格1[QTY],表格1[Model],三國演義!$AR$12,表格1[Name],三國演義!$E41)+SUMIFS(表格1[QTY],表格1[Model],三國演義!$AR$12,表格1[Name],三國演義!$AA41)</f>
        <v>0</v>
      </c>
      <c r="AS41" s="77">
        <f ca="1">IF($AR41&gt;=$AE41,$AR41*'3月Target'!$W$8,0)</f>
        <v>0</v>
      </c>
      <c r="AT41" s="44">
        <f ca="1">SUMIFS(表格1[QTY],表格1[Model],三國演義!$AT$12,表格1[Name],三國演義!$E41)+SUMIFS(表格1[QTY],表格1[Model],三國演義!$AT$12,表格1[Name],三國演義!$AA41)</f>
        <v>0</v>
      </c>
      <c r="AU41" s="44">
        <f ca="1">SUMIFS(表格1[QTY],表格1[Model],三國演義!$AU$12,表格1[Name],三國演義!$E41)+SUMIFS(表格1[QTY],表格1[Model],三國演義!$AU$12,表格1[Name],三國演義!$AA41)</f>
        <v>0</v>
      </c>
      <c r="AV41" s="44">
        <f ca="1">SUMIFS(表格1[QTY],表格1[Model],三國演義!$AV$12,表格1[Name],三國演義!$E41)+SUMIFS(表格1[QTY],表格1[Model],三國演義!$AV$12,表格1[Name],三國演義!$AA41)</f>
        <v>0</v>
      </c>
      <c r="AW41" s="44">
        <f ca="1">SUMIFS(表格1[QTY],表格1[Model],三國演義!$AW$12,表格1[Name],三國演義!$E41)+SUMIFS(表格1[QTY],表格1[Model],三國演義!$AW$12,表格1[Name],三國演義!$AA41)</f>
        <v>2</v>
      </c>
      <c r="AX41" s="50">
        <f ca="1">IF((SUM($AT41:$AW41))&gt;=$AB41,SUM($AT41:$AW41)*'3月Target'!$W$5,0)</f>
        <v>0</v>
      </c>
      <c r="AY41" s="44">
        <f ca="1">SUMIFS(表格1[QTY],表格1[Model],三國演義!$AY$12,表格1[Name],三國演義!$E41)+SUMIFS(表格1[QTY],表格1[Model],三國演義!$AY$12,表格1[Name],三國演義!$AA41)</f>
        <v>3</v>
      </c>
      <c r="AZ41" s="77">
        <f ca="1">IF($AY41&gt;=$AC41,$AY41*'3月Target'!$W$6,0)</f>
        <v>0</v>
      </c>
      <c r="BA41" s="44">
        <f ca="1">SUMIFS(表格1[QTY],表格1[Model],三國演義!$BA$12,表格1[Name],三國演義!$E41)+SUMIFS(表格1[QTY],表格1[Model],三國演義!$BA$12,表格1[Name],三國演義!$AA41)</f>
        <v>0</v>
      </c>
      <c r="BB41" s="77">
        <f ca="1">IF($BA41&gt;=$AD41,$BA41*'3月Target'!$W$7,0)</f>
        <v>0</v>
      </c>
      <c r="BC41" s="44">
        <f ca="1">SUMIFS(表格1[QTY],表格1[Model],三國演義!$BC$12,表格1[Name],三國演義!$E41)+SUMIFS(表格1[QTY],表格1[Model],三國演義!$BC$12,表格1[Name],三國演義!$AA41)</f>
        <v>2</v>
      </c>
      <c r="BD41" s="77">
        <f ca="1">IF($BC41&gt;=$AF41,$BC41*'3月Target'!$W$9,0)</f>
        <v>160</v>
      </c>
      <c r="BE41" s="44">
        <f ca="1">SUMIFS(表格1[QTY],表格1[Model],三國演義!$BE$12,表格1[Name],三國演義!$E41)+SUMIFS(表格1[QTY],表格1[Model],三國演義!$BE$12,表格1[Name],三國演義!$AA41)</f>
        <v>7</v>
      </c>
      <c r="BF41" s="77">
        <f ca="1">IF($BE41&gt;=$AG41,$BE41*'3月Target'!$W$10,0)</f>
        <v>0</v>
      </c>
      <c r="BG41" s="44">
        <f ca="1">SUMIFS(表格1[QTY],表格1[Model],三國演義!$BG$12,表格1[Name],三國演義!$E41)+SUMIFS(表格1[QTY],表格1[Model],三國演義!$BG$12,表格1[Name],三國演義!$AA41)</f>
        <v>0</v>
      </c>
      <c r="BH41" s="77">
        <f ca="1">IF($BG41&gt;=$AH41,$BG41*'3月Target'!$W$10,0)</f>
        <v>0</v>
      </c>
      <c r="BI41" s="44">
        <f ca="1">SUMIFS(表格1[QTY],表格1[Model],三國演義!$BI$12,表格1[Name],三國演義!$E41)+SUMIFS(表格1[QTY],表格1[Model],三國演義!$BI$12,表格1[Name],三國演義!$AA41)</f>
        <v>0</v>
      </c>
      <c r="BJ41" s="77">
        <f ca="1">IF($BI41&gt;=$AI41,$BI41*'3月Target'!$W$11,0)</f>
        <v>0</v>
      </c>
      <c r="BK41" s="44">
        <f ca="1">SUMIFS(表格1[QTY],表格1[Model],三國演義!$BK$12,表格1[Name],三國演義!$E41)+SUMIFS(表格1[QTY],表格1[Model],三國演義!$BK$12,表格1[Name],三國演義!$AA41)</f>
        <v>0</v>
      </c>
      <c r="BL41" s="77">
        <f ca="1">IF($BK41&gt;=$AJ41,$BK41*'3月Target'!$W$12,0)</f>
        <v>0</v>
      </c>
      <c r="BM41" s="44">
        <f ca="1">SUMIFS(表格1[QTY],表格1[Model],三國演義!$BM$12,表格1[Name],三國演義!$E41)+SUMIFS(表格1[QTY],表格1[Model],三國演義!$BM$12,表格1[Name],三國演義!$AA41)</f>
        <v>0</v>
      </c>
      <c r="BN41" s="77">
        <f ca="1">IF($BM41&gt;=$AK41,$BM41*'3月Target'!$W$13,0)</f>
        <v>0</v>
      </c>
      <c r="BO41" s="44">
        <f ca="1">SUMIFS(表格1[QTY],表格1[Model],三國演義!$BO$12,表格1[Name],三國演義!$E41)+SUMIFS(表格1[QTY],表格1[Model],三國演義!$BO$12,表格1[Name],三國演義!$AA41)</f>
        <v>0</v>
      </c>
      <c r="BP41" s="77">
        <f ca="1">IF($BO41&gt;=$AL41,$BO41*'3月Target'!$W$14,0)</f>
        <v>0</v>
      </c>
      <c r="BQ41" s="44">
        <f ca="1">SUMIFS(表格1[QTY],表格1[Model],三國演義!$BQ$12,表格1[Name],三國演義!$E41)+SUMIFS(表格1[QTY],表格1[Model],三國演義!$BQ$12,表格1[Name],三國演義!$AA41)</f>
        <v>0</v>
      </c>
      <c r="BR41" s="77">
        <f ca="1">IF($BQ41&gt;=$AM41,$BQ41*'3月Target'!$W$15,0)</f>
        <v>0</v>
      </c>
      <c r="BS41" s="44">
        <f ca="1">SUMIFS(表格1[QTY],表格1[Model],三國演義!$BS$12,表格1[Name],三國演義!$E41)+SUMIFS(表格1[QTY],表格1[Model],三國演義!$BS$12,表格1[Name],三國演義!$AA41)</f>
        <v>0</v>
      </c>
      <c r="BT41" s="44">
        <f ca="1">SUMIFS(表格1[QTY],表格1[Model],三國演義!$BT$12,表格1[Name],三國演義!$E41)+SUMIFS(表格1[QTY],表格1[Model],三國演義!$BT$12,表格1[Name],三國演義!$AA41)</f>
        <v>0</v>
      </c>
      <c r="BU41" s="44">
        <f ca="1">SUMIFS(表格1[QTY],表格1[Model],三國演義!$BU$12,表格1[Name],三國演義!$E41)+SUMIFS(表格1[QTY],表格1[Model],三國演義!$BU$12,表格1[Name],三國演義!$AA41)</f>
        <v>18</v>
      </c>
      <c r="BV41" s="44">
        <f ca="1">SUMIFS(表格1[QTY],表格1[Model],三國演義!$BV$12,表格1[Name],三國演義!$E41)+SUMIFS(表格1[QTY],表格1[Model],三國演義!$BV$12,表格1[Name],三國演義!$AA41)</f>
        <v>3</v>
      </c>
      <c r="BW41" s="77">
        <f ca="1">IF((SUM($BS41:$BV41))&gt;=$AN41,SUM($BS41:$BV41)*'3月Target'!$W$16,0)</f>
        <v>0</v>
      </c>
      <c r="BX41" s="44">
        <f ca="1">SUMIFS(表格1[QTY],表格1[Model],三國演義!$BX$12,表格1[Name],三國演義!$E41)+SUMIFS(表格1[QTY],表格1[Model],三國演義!$BX$12,表格1[Name],三國演義!$AA41)</f>
        <v>0</v>
      </c>
      <c r="BY41" s="77">
        <f ca="1">IF($BX41&gt;=$AO41,$BX41*'3月Target'!$W$17,0)</f>
        <v>0</v>
      </c>
      <c r="BZ41" s="146">
        <f t="shared" ca="1" si="23"/>
        <v>376482</v>
      </c>
      <c r="CA41" s="77">
        <f t="shared" ca="1" si="24"/>
        <v>0</v>
      </c>
      <c r="CB41" s="146">
        <f t="shared" ca="1" si="25"/>
        <v>376482</v>
      </c>
      <c r="CC41" s="77">
        <f t="shared" ca="1" si="26"/>
        <v>0</v>
      </c>
    </row>
    <row r="42" spans="1:81">
      <c r="A42" s="121">
        <f ca="1">Roster!AL34*Roster!AH34+Roster!AM34*Roster!AG34+三國演義!H42+三國演義!I42+三國演義!J42</f>
        <v>14185.24</v>
      </c>
      <c r="B42" s="133">
        <v>0.02</v>
      </c>
      <c r="C42" s="66">
        <v>30</v>
      </c>
      <c r="D42" s="95" t="str">
        <f ca="1">_xlfn.XLOOKUP($E42,表格1[Name],表格1[Shop])</f>
        <v>Suning</v>
      </c>
      <c r="E42" s="95" t="s">
        <v>949</v>
      </c>
      <c r="F42" s="96">
        <f ca="1">SUMIF(表格1[Name],$E42,表格1[Total Amount])+SUMIF(表格1[Name],$AA42,表格1[Total Amount])</f>
        <v>229262</v>
      </c>
      <c r="G42" s="161">
        <f ca="1">SUMIF(表格1[Name],$E42,表格1[QTY])+SUMIF(表格1[Name],$AA42,表格1[QTY])</f>
        <v>115</v>
      </c>
      <c r="H42" s="96">
        <f t="shared" ca="1" si="5"/>
        <v>4585.24</v>
      </c>
      <c r="I42" s="96"/>
      <c r="J42" s="51">
        <f t="shared" ca="1" si="6"/>
        <v>0</v>
      </c>
      <c r="K42" s="163">
        <f t="shared" ca="1" si="7"/>
        <v>0</v>
      </c>
      <c r="L42" s="163">
        <f t="shared" ca="1" si="8"/>
        <v>0</v>
      </c>
      <c r="M42" s="44">
        <f t="shared" ca="1" si="9"/>
        <v>0</v>
      </c>
      <c r="N42" s="44">
        <f t="shared" ca="1" si="10"/>
        <v>0</v>
      </c>
      <c r="O42" s="44">
        <f t="shared" ca="1" si="11"/>
        <v>0</v>
      </c>
      <c r="P42" s="44">
        <f t="shared" ca="1" si="12"/>
        <v>0</v>
      </c>
      <c r="Q42" s="44">
        <f t="shared" ca="1" si="13"/>
        <v>0</v>
      </c>
      <c r="R42" s="44">
        <f t="shared" ca="1" si="14"/>
        <v>0</v>
      </c>
      <c r="S42" s="44">
        <f t="shared" ca="1" si="15"/>
        <v>0</v>
      </c>
      <c r="T42" s="44">
        <f t="shared" ca="1" si="16"/>
        <v>0</v>
      </c>
      <c r="U42" s="44">
        <f t="shared" ca="1" si="17"/>
        <v>0</v>
      </c>
      <c r="V42" s="44">
        <f t="shared" ca="1" si="18"/>
        <v>0</v>
      </c>
      <c r="W42" s="44">
        <f t="shared" ca="1" si="19"/>
        <v>0</v>
      </c>
      <c r="X42" s="44">
        <f t="shared" ca="1" si="20"/>
        <v>0</v>
      </c>
      <c r="Y42" s="44">
        <f t="shared" ca="1" si="21"/>
        <v>0</v>
      </c>
      <c r="Z42" s="44">
        <f t="shared" ca="1" si="22"/>
        <v>0</v>
      </c>
      <c r="AA42" s="60" t="str">
        <f t="shared" si="4"/>
        <v>Coco off</v>
      </c>
      <c r="AB42" s="71">
        <f>_xlfn.XLOOKUP($E42,target[NAME],target[RC-DS10K/18K])</f>
        <v>4</v>
      </c>
      <c r="AC42" s="71">
        <f>_xlfn.XLOOKUP($E42,target[NAME],target[RC-18AMXH(W)])</f>
        <v>4</v>
      </c>
      <c r="AD42" s="71">
        <f>_xlfn.XLOOKUP($E42,target[NAME],target[EB-T500APW])</f>
        <v>1</v>
      </c>
      <c r="AE42" s="71">
        <f>_xlfn.XLOOKUP($E42,target[NAME],target[ER-VD7000HK(XK)])</f>
        <v>4</v>
      </c>
      <c r="AF42" s="71">
        <f>_xlfn.XLOOKUP($E42,target[NAME],target[TWDT21BU95])</f>
        <v>2</v>
      </c>
      <c r="AG42" s="71">
        <f>_xlfn.XLOOKUP($E42,target[NAME],target[AW-Q800APH(WW)])</f>
        <v>1000</v>
      </c>
      <c r="AH42" s="71">
        <f>_xlfn.XLOOKUP($E42,target[NAME],target[AW-Q801APH(WW)])</f>
        <v>5</v>
      </c>
      <c r="AI42" s="71">
        <f>_xlfn.XLOOKUP($E42,target[NAME],target[GR-RM469WE-PGA(B3)])</f>
        <v>2</v>
      </c>
      <c r="AJ42" s="71">
        <f>_xlfn.XLOOKUP($E42,target[NAME],target[GR-RB449WE-PMA(57)])</f>
        <v>2</v>
      </c>
      <c r="AK42" s="71">
        <f>_xlfn.XLOOKUP($E42,target[NAME],target[GR-RB410WE-PMA(06)])</f>
        <v>2</v>
      </c>
      <c r="AL42" s="71">
        <f>_xlfn.XLOOKUP($E42,target[NAME],target[GR-RF698WI])</f>
        <v>1</v>
      </c>
      <c r="AM42" s="71">
        <f>_xlfn.XLOOKUP($E42,target[NAME],target[TWP-W2265THK(W)])</f>
        <v>2</v>
      </c>
      <c r="AN42" s="71">
        <f>_xlfn.XLOOKUP($E42,target[NAME],target[RAD-D200/250/300/DIA17])</f>
        <v>48</v>
      </c>
      <c r="AO42" s="71">
        <f>_xlfn.XLOOKUP($E42,target[NAME],target[(Fortress ONLY)TW-T25BZU115MWH(MG) ])</f>
        <v>1000</v>
      </c>
      <c r="AP42" s="71">
        <f>_xlfn.XLOOKUP($E42,target[NAME],target[開門紅(三月)])</f>
        <v>10000000</v>
      </c>
      <c r="AQ42" s="71">
        <f>_xlfn.XLOOKUP($E42,target[NAME],target[開門紅(第一季)])</f>
        <v>10000000</v>
      </c>
      <c r="AR42" s="73">
        <f ca="1">SUMIFS(表格1[QTY],表格1[Model],三國演義!$AR$12,表格1[Name],三國演義!$E42)+SUMIFS(表格1[QTY],表格1[Model],三國演義!$AR$12,表格1[Name],三國演義!$AA42)</f>
        <v>0</v>
      </c>
      <c r="AS42" s="77">
        <f ca="1">IF($AR42&gt;=$AE42,$AR42*'3月Target'!$W$8,0)</f>
        <v>0</v>
      </c>
      <c r="AT42" s="44">
        <f ca="1">SUMIFS(表格1[QTY],表格1[Model],三國演義!$AT$12,表格1[Name],三國演義!$E42)+SUMIFS(表格1[QTY],表格1[Model],三國演義!$AT$12,表格1[Name],三國演義!$AA42)</f>
        <v>1</v>
      </c>
      <c r="AU42" s="44">
        <f ca="1">SUMIFS(表格1[QTY],表格1[Model],三國演義!$AU$12,表格1[Name],三國演義!$E42)+SUMIFS(表格1[QTY],表格1[Model],三國演義!$AU$12,表格1[Name],三國演義!$AA42)</f>
        <v>0</v>
      </c>
      <c r="AV42" s="44">
        <f ca="1">SUMIFS(表格1[QTY],表格1[Model],三國演義!$AV$12,表格1[Name],三國演義!$E42)+SUMIFS(表格1[QTY],表格1[Model],三國演義!$AV$12,表格1[Name],三國演義!$AA42)</f>
        <v>0</v>
      </c>
      <c r="AW42" s="44">
        <f ca="1">SUMIFS(表格1[QTY],表格1[Model],三國演義!$AW$12,表格1[Name],三國演義!$E42)+SUMIFS(表格1[QTY],表格1[Model],三國演義!$AW$12,表格1[Name],三國演義!$AA42)</f>
        <v>0</v>
      </c>
      <c r="AX42" s="50">
        <f ca="1">IF((SUM($AT42:$AW42))&gt;=$AB42,SUM($AT42:$AW42)*'3月Target'!$W$5,0)</f>
        <v>0</v>
      </c>
      <c r="AY42" s="44">
        <f ca="1">SUMIFS(表格1[QTY],表格1[Model],三國演義!$AY$12,表格1[Name],三國演義!$E42)+SUMIFS(表格1[QTY],表格1[Model],三國演義!$AY$12,表格1[Name],三國演義!$AA42)</f>
        <v>0</v>
      </c>
      <c r="AZ42" s="77">
        <f ca="1">IF($AY42&gt;=$AC42,$AY42*'3月Target'!$W$6,0)</f>
        <v>0</v>
      </c>
      <c r="BA42" s="44">
        <f ca="1">SUMIFS(表格1[QTY],表格1[Model],三國演義!$BA$12,表格1[Name],三國演義!$E42)+SUMIFS(表格1[QTY],表格1[Model],三國演義!$BA$12,表格1[Name],三國演義!$AA42)</f>
        <v>0</v>
      </c>
      <c r="BB42" s="77">
        <f ca="1">IF($BA42&gt;=$AD42,$BA42*'3月Target'!$W$7,0)</f>
        <v>0</v>
      </c>
      <c r="BC42" s="44">
        <f ca="1">SUMIFS(表格1[QTY],表格1[Model],三國演義!$BC$12,表格1[Name],三國演義!$E42)+SUMIFS(表格1[QTY],表格1[Model],三國演義!$BC$12,表格1[Name],三國演義!$AA42)</f>
        <v>1</v>
      </c>
      <c r="BD42" s="77">
        <f ca="1">IF($BC42&gt;=$AF42,$BC42*'3月Target'!$W$9,0)</f>
        <v>0</v>
      </c>
      <c r="BE42" s="44">
        <f ca="1">SUMIFS(表格1[QTY],表格1[Model],三國演義!$BE$12,表格1[Name],三國演義!$E42)+SUMIFS(表格1[QTY],表格1[Model],三國演義!$BE$12,表格1[Name],三國演義!$AA42)</f>
        <v>0</v>
      </c>
      <c r="BF42" s="77">
        <f ca="1">IF($BE42&gt;=$AG42,$BE42*'3月Target'!$W$10,0)</f>
        <v>0</v>
      </c>
      <c r="BG42" s="44">
        <f ca="1">SUMIFS(表格1[QTY],表格1[Model],三國演義!$BG$12,表格1[Name],三國演義!$E42)+SUMIFS(表格1[QTY],表格1[Model],三國演義!$BG$12,表格1[Name],三國演義!$AA42)</f>
        <v>0</v>
      </c>
      <c r="BH42" s="77">
        <f ca="1">IF($BG42&gt;=$AH42,$BG42*'3月Target'!$W$10,0)</f>
        <v>0</v>
      </c>
      <c r="BI42" s="44">
        <f ca="1">SUMIFS(表格1[QTY],表格1[Model],三國演義!$BI$12,表格1[Name],三國演義!$E42)+SUMIFS(表格1[QTY],表格1[Model],三國演義!$BI$12,表格1[Name],三國演義!$AA42)</f>
        <v>0</v>
      </c>
      <c r="BJ42" s="77">
        <f ca="1">IF($BI42&gt;=$AI42,$BI42*'3月Target'!$W$11,0)</f>
        <v>0</v>
      </c>
      <c r="BK42" s="44">
        <f ca="1">SUMIFS(表格1[QTY],表格1[Model],三國演義!$BK$12,表格1[Name],三國演義!$E42)+SUMIFS(表格1[QTY],表格1[Model],三國演義!$BK$12,表格1[Name],三國演義!$AA42)</f>
        <v>0</v>
      </c>
      <c r="BL42" s="77">
        <f ca="1">IF($BK42&gt;=$AJ42,$BK42*'3月Target'!$W$12,0)</f>
        <v>0</v>
      </c>
      <c r="BM42" s="44">
        <f ca="1">SUMIFS(表格1[QTY],表格1[Model],三國演義!$BM$12,表格1[Name],三國演義!$E42)+SUMIFS(表格1[QTY],表格1[Model],三國演義!$BM$12,表格1[Name],三國演義!$AA42)</f>
        <v>0</v>
      </c>
      <c r="BN42" s="77">
        <f ca="1">IF($BM42&gt;=$AK42,$BM42*'3月Target'!$W$13,0)</f>
        <v>0</v>
      </c>
      <c r="BO42" s="44">
        <f ca="1">SUMIFS(表格1[QTY],表格1[Model],三國演義!$BO$12,表格1[Name],三國演義!$E42)+SUMIFS(表格1[QTY],表格1[Model],三國演義!$BO$12,表格1[Name],三國演義!$AA42)</f>
        <v>0</v>
      </c>
      <c r="BP42" s="77">
        <f ca="1">IF($BO42&gt;=$AL42,$BO42*'3月Target'!$W$14,0)</f>
        <v>0</v>
      </c>
      <c r="BQ42" s="44">
        <f ca="1">SUMIFS(表格1[QTY],表格1[Model],三國演義!$BQ$12,表格1[Name],三國演義!$E42)+SUMIFS(表格1[QTY],表格1[Model],三國演義!$BQ$12,表格1[Name],三國演義!$AA42)</f>
        <v>0</v>
      </c>
      <c r="BR42" s="77">
        <f ca="1">IF($BQ42&gt;=$AM42,$BQ42*'3月Target'!$W$15,0)</f>
        <v>0</v>
      </c>
      <c r="BS42" s="44">
        <f ca="1">SUMIFS(表格1[QTY],表格1[Model],三國演義!$BS$12,表格1[Name],三國演義!$E42)+SUMIFS(表格1[QTY],表格1[Model],三國演義!$BS$12,表格1[Name],三國演義!$AA42)</f>
        <v>1</v>
      </c>
      <c r="BT42" s="44">
        <f ca="1">SUMIFS(表格1[QTY],表格1[Model],三國演義!$BT$12,表格1[Name],三國演義!$E42)+SUMIFS(表格1[QTY],表格1[Model],三國演義!$BT$12,表格1[Name],三國演義!$AA42)</f>
        <v>0</v>
      </c>
      <c r="BU42" s="44">
        <f ca="1">SUMIFS(表格1[QTY],表格1[Model],三國演義!$BU$12,表格1[Name],三國演義!$E42)+SUMIFS(表格1[QTY],表格1[Model],三國演義!$BU$12,表格1[Name],三國演義!$AA42)</f>
        <v>28</v>
      </c>
      <c r="BV42" s="44">
        <f ca="1">SUMIFS(表格1[QTY],表格1[Model],三國演義!$BV$12,表格1[Name],三國演義!$E42)+SUMIFS(表格1[QTY],表格1[Model],三國演義!$BV$12,表格1[Name],三國演義!$AA42)</f>
        <v>0</v>
      </c>
      <c r="BW42" s="77">
        <f ca="1">IF((SUM($BS42:$BV42))&gt;=$AN42,SUM($BS42:$BV42)*'3月Target'!$W$16,0)</f>
        <v>0</v>
      </c>
      <c r="BX42" s="44">
        <f ca="1">SUMIFS(表格1[QTY],表格1[Model],三國演義!$BX$12,表格1[Name],三國演義!$E42)+SUMIFS(表格1[QTY],表格1[Model],三國演義!$BX$12,表格1[Name],三國演義!$AA42)</f>
        <v>0</v>
      </c>
      <c r="BY42" s="77">
        <f ca="1">IF($BX42&gt;=$AO42,$BX42*'3月Target'!$W$17,0)</f>
        <v>0</v>
      </c>
      <c r="BZ42" s="146">
        <f t="shared" ca="1" si="23"/>
        <v>229262</v>
      </c>
      <c r="CA42" s="77">
        <f t="shared" ca="1" si="24"/>
        <v>0</v>
      </c>
      <c r="CB42" s="146">
        <f t="shared" ca="1" si="25"/>
        <v>229262</v>
      </c>
      <c r="CC42" s="77">
        <f t="shared" ca="1" si="26"/>
        <v>0</v>
      </c>
    </row>
    <row r="43" spans="1:81">
      <c r="A43" s="121">
        <f ca="1">Roster!AL35*Roster!AH35+Roster!AM35*Roster!AG35+三國演義!H43+三國演義!I43+三國演義!J43</f>
        <v>18729.88</v>
      </c>
      <c r="B43" s="133">
        <v>0.02</v>
      </c>
      <c r="C43" s="66">
        <v>31</v>
      </c>
      <c r="D43" s="95" t="str">
        <f ca="1">_xlfn.XLOOKUP($E43,表格1[Name],表格1[Shop])</f>
        <v>Fortress</v>
      </c>
      <c r="E43" s="95" t="s">
        <v>1132</v>
      </c>
      <c r="F43" s="96">
        <f ca="1">SUMIF(表格1[Name],$E43,表格1[Total Amount])+SUMIF(表格1[Name],$AA43,表格1[Total Amount])</f>
        <v>360494</v>
      </c>
      <c r="G43" s="161">
        <f ca="1">SUMIF(表格1[Name],$E43,表格1[QTY])+SUMIF(表格1[Name],$AA43,表格1[QTY])</f>
        <v>180</v>
      </c>
      <c r="H43" s="96">
        <f t="shared" ca="1" si="5"/>
        <v>7209.88</v>
      </c>
      <c r="I43" s="96"/>
      <c r="J43" s="51">
        <f t="shared" ca="1" si="6"/>
        <v>0</v>
      </c>
      <c r="K43" s="163">
        <f t="shared" ca="1" si="7"/>
        <v>0</v>
      </c>
      <c r="L43" s="163">
        <f t="shared" ca="1" si="8"/>
        <v>0</v>
      </c>
      <c r="M43" s="44">
        <f t="shared" ca="1" si="9"/>
        <v>0</v>
      </c>
      <c r="N43" s="44">
        <f t="shared" ca="1" si="10"/>
        <v>0</v>
      </c>
      <c r="O43" s="44">
        <f t="shared" ca="1" si="11"/>
        <v>0</v>
      </c>
      <c r="P43" s="44">
        <f t="shared" ca="1" si="12"/>
        <v>0</v>
      </c>
      <c r="Q43" s="44">
        <f t="shared" ca="1" si="13"/>
        <v>0</v>
      </c>
      <c r="R43" s="44">
        <f t="shared" ca="1" si="14"/>
        <v>0</v>
      </c>
      <c r="S43" s="44">
        <f t="shared" ca="1" si="15"/>
        <v>0</v>
      </c>
      <c r="T43" s="44">
        <f t="shared" ca="1" si="16"/>
        <v>0</v>
      </c>
      <c r="U43" s="44">
        <f t="shared" ca="1" si="17"/>
        <v>0</v>
      </c>
      <c r="V43" s="44">
        <f t="shared" ca="1" si="18"/>
        <v>0</v>
      </c>
      <c r="W43" s="44">
        <f t="shared" ca="1" si="19"/>
        <v>0</v>
      </c>
      <c r="X43" s="44">
        <f t="shared" ca="1" si="20"/>
        <v>0</v>
      </c>
      <c r="Y43" s="44">
        <f t="shared" ca="1" si="21"/>
        <v>0</v>
      </c>
      <c r="Z43" s="44">
        <f t="shared" ca="1" si="22"/>
        <v>0</v>
      </c>
      <c r="AA43" s="60" t="str">
        <f t="shared" si="4"/>
        <v>Raymond off</v>
      </c>
      <c r="AB43" s="71">
        <f>_xlfn.XLOOKUP($E43,target[NAME],target[RC-DS10K/18K])</f>
        <v>7</v>
      </c>
      <c r="AC43" s="71">
        <f>_xlfn.XLOOKUP($E43,target[NAME],target[RC-18AMXH(W)])</f>
        <v>4</v>
      </c>
      <c r="AD43" s="71">
        <f>_xlfn.XLOOKUP($E43,target[NAME],target[EB-T500APW])</f>
        <v>1</v>
      </c>
      <c r="AE43" s="71">
        <f>_xlfn.XLOOKUP($E43,target[NAME],target[ER-VD7000HK(XK)])</f>
        <v>4</v>
      </c>
      <c r="AF43" s="71">
        <f>_xlfn.XLOOKUP($E43,target[NAME],target[TWDT21BU95])</f>
        <v>2</v>
      </c>
      <c r="AG43" s="71">
        <f>_xlfn.XLOOKUP($E43,target[NAME],target[AW-Q800APH(WW)])</f>
        <v>10</v>
      </c>
      <c r="AH43" s="71">
        <f>_xlfn.XLOOKUP($E43,target[NAME],target[AW-Q801APH(WW)])</f>
        <v>1000</v>
      </c>
      <c r="AI43" s="71">
        <f>_xlfn.XLOOKUP($E43,target[NAME],target[GR-RM469WE-PGA(B3)])</f>
        <v>2</v>
      </c>
      <c r="AJ43" s="71">
        <f>_xlfn.XLOOKUP($E43,target[NAME],target[GR-RB449WE-PMA(57)])</f>
        <v>2</v>
      </c>
      <c r="AK43" s="71">
        <f>_xlfn.XLOOKUP($E43,target[NAME],target[GR-RB410WE-PMA(06)])</f>
        <v>2</v>
      </c>
      <c r="AL43" s="71">
        <f>_xlfn.XLOOKUP($E43,target[NAME],target[GR-RF698WI])</f>
        <v>1</v>
      </c>
      <c r="AM43" s="71">
        <f>_xlfn.XLOOKUP($E43,target[NAME],target[TWP-W2265THK(W)])</f>
        <v>2</v>
      </c>
      <c r="AN43" s="71">
        <f>_xlfn.XLOOKUP($E43,target[NAME],target[RAD-D200/250/300/DIA17])</f>
        <v>48</v>
      </c>
      <c r="AO43" s="71">
        <f>_xlfn.XLOOKUP($E43,target[NAME],target[(Fortress ONLY)TW-T25BZU115MWH(MG) ])</f>
        <v>2</v>
      </c>
      <c r="AP43" s="71">
        <f>_xlfn.XLOOKUP($E43,target[NAME],target[開門紅(三月)])</f>
        <v>10000000</v>
      </c>
      <c r="AQ43" s="71">
        <f>_xlfn.XLOOKUP($E43,target[NAME],target[開門紅(第一季)])</f>
        <v>10000000</v>
      </c>
      <c r="AR43" s="73">
        <f ca="1">SUMIFS(表格1[QTY],表格1[Model],三國演義!$AR$12,表格1[Name],三國演義!$E43)+SUMIFS(表格1[QTY],表格1[Model],三國演義!$AR$12,表格1[Name],三國演義!$AA43)</f>
        <v>1</v>
      </c>
      <c r="AS43" s="77">
        <f ca="1">IF($AR43&gt;=$AE43,$AR43*'3月Target'!$W$8,0)</f>
        <v>0</v>
      </c>
      <c r="AT43" s="44">
        <f ca="1">SUMIFS(表格1[QTY],表格1[Model],三國演義!$AT$12,表格1[Name],三國演義!$E43)+SUMIFS(表格1[QTY],表格1[Model],三國演義!$AT$12,表格1[Name],三國演義!$AA43)</f>
        <v>3</v>
      </c>
      <c r="AU43" s="44">
        <f ca="1">SUMIFS(表格1[QTY],表格1[Model],三國演義!$AU$12,表格1[Name],三國演義!$E43)+SUMIFS(表格1[QTY],表格1[Model],三國演義!$AU$12,表格1[Name],三國演義!$AA43)</f>
        <v>0</v>
      </c>
      <c r="AV43" s="44">
        <f ca="1">SUMIFS(表格1[QTY],表格1[Model],三國演義!$AV$12,表格1[Name],三國演義!$E43)+SUMIFS(表格1[QTY],表格1[Model],三國演義!$AV$12,表格1[Name],三國演義!$AA43)</f>
        <v>1</v>
      </c>
      <c r="AW43" s="44">
        <f ca="1">SUMIFS(表格1[QTY],表格1[Model],三國演義!$AW$12,表格1[Name],三國演義!$E43)+SUMIFS(表格1[QTY],表格1[Model],三國演義!$AW$12,表格1[Name],三國演義!$AA43)</f>
        <v>0</v>
      </c>
      <c r="AX43" s="50">
        <f ca="1">IF((SUM($AT43:$AW43))&gt;=$AB43,SUM($AT43:$AW43)*'3月Target'!$W$5,0)</f>
        <v>0</v>
      </c>
      <c r="AY43" s="44">
        <f ca="1">SUMIFS(表格1[QTY],表格1[Model],三國演義!$AY$12,表格1[Name],三國演義!$E43)+SUMIFS(表格1[QTY],表格1[Model],三國演義!$AY$12,表格1[Name],三國演義!$AA43)</f>
        <v>0</v>
      </c>
      <c r="AZ43" s="77">
        <f ca="1">IF($AY43&gt;=$AC43,$AY43*'3月Target'!$W$6,0)</f>
        <v>0</v>
      </c>
      <c r="BA43" s="44">
        <f ca="1">SUMIFS(表格1[QTY],表格1[Model],三國演義!$BA$12,表格1[Name],三國演義!$E43)+SUMIFS(表格1[QTY],表格1[Model],三國演義!$BA$12,表格1[Name],三國演義!$AA43)</f>
        <v>0</v>
      </c>
      <c r="BB43" s="77">
        <f ca="1">IF($BA43&gt;=$AD43,$BA43*'3月Target'!$W$7,0)</f>
        <v>0</v>
      </c>
      <c r="BC43" s="44">
        <f ca="1">SUMIFS(表格1[QTY],表格1[Model],三國演義!$BC$12,表格1[Name],三國演義!$E43)+SUMIFS(表格1[QTY],表格1[Model],三國演義!$BC$12,表格1[Name],三國演義!$AA43)</f>
        <v>1</v>
      </c>
      <c r="BD43" s="77">
        <f ca="1">IF($BC43&gt;=$AF43,$BC43*'3月Target'!$W$9,0)</f>
        <v>0</v>
      </c>
      <c r="BE43" s="44">
        <f ca="1">SUMIFS(表格1[QTY],表格1[Model],三國演義!$BE$12,表格1[Name],三國演義!$E43)+SUMIFS(表格1[QTY],表格1[Model],三國演義!$BE$12,表格1[Name],三國演義!$AA43)</f>
        <v>1</v>
      </c>
      <c r="BF43" s="77">
        <f ca="1">IF($BE43&gt;=$AG43,$BE43*'3月Target'!$W$10,0)</f>
        <v>0</v>
      </c>
      <c r="BG43" s="44">
        <f ca="1">SUMIFS(表格1[QTY],表格1[Model],三國演義!$BG$12,表格1[Name],三國演義!$E43)+SUMIFS(表格1[QTY],表格1[Model],三國演義!$BG$12,表格1[Name],三國演義!$AA43)</f>
        <v>0</v>
      </c>
      <c r="BH43" s="77">
        <f ca="1">IF($BG43&gt;=$AH43,$BG43*'3月Target'!$W$10,0)</f>
        <v>0</v>
      </c>
      <c r="BI43" s="44">
        <f ca="1">SUMIFS(表格1[QTY],表格1[Model],三國演義!$BI$12,表格1[Name],三國演義!$E43)+SUMIFS(表格1[QTY],表格1[Model],三國演義!$BI$12,表格1[Name],三國演義!$AA43)</f>
        <v>1</v>
      </c>
      <c r="BJ43" s="77">
        <f ca="1">IF($BI43&gt;=$AI43,$BI43*'3月Target'!$W$11,0)</f>
        <v>0</v>
      </c>
      <c r="BK43" s="44">
        <f ca="1">SUMIFS(表格1[QTY],表格1[Model],三國演義!$BK$12,表格1[Name],三國演義!$E43)+SUMIFS(表格1[QTY],表格1[Model],三國演義!$BK$12,表格1[Name],三國演義!$AA43)</f>
        <v>0</v>
      </c>
      <c r="BL43" s="77">
        <f ca="1">IF($BK43&gt;=$AJ43,$BK43*'3月Target'!$W$12,0)</f>
        <v>0</v>
      </c>
      <c r="BM43" s="44">
        <f ca="1">SUMIFS(表格1[QTY],表格1[Model],三國演義!$BM$12,表格1[Name],三國演義!$E43)+SUMIFS(表格1[QTY],表格1[Model],三國演義!$BM$12,表格1[Name],三國演義!$AA43)</f>
        <v>0</v>
      </c>
      <c r="BN43" s="77">
        <f ca="1">IF($BM43&gt;=$AK43,$BM43*'3月Target'!$W$13,0)</f>
        <v>0</v>
      </c>
      <c r="BO43" s="44">
        <f ca="1">SUMIFS(表格1[QTY],表格1[Model],三國演義!$BO$12,表格1[Name],三國演義!$E43)+SUMIFS(表格1[QTY],表格1[Model],三國演義!$BO$12,表格1[Name],三國演義!$AA43)</f>
        <v>0</v>
      </c>
      <c r="BP43" s="77">
        <f ca="1">IF($BO43&gt;=$AL43,$BO43*'3月Target'!$W$14,0)</f>
        <v>0</v>
      </c>
      <c r="BQ43" s="44">
        <f ca="1">SUMIFS(表格1[QTY],表格1[Model],三國演義!$BQ$12,表格1[Name],三國演義!$E43)+SUMIFS(表格1[QTY],表格1[Model],三國演義!$BQ$12,表格1[Name],三國演義!$AA43)</f>
        <v>0</v>
      </c>
      <c r="BR43" s="77">
        <f ca="1">IF($BQ43&gt;=$AM43,$BQ43*'3月Target'!$W$15,0)</f>
        <v>0</v>
      </c>
      <c r="BS43" s="44">
        <f ca="1">SUMIFS(表格1[QTY],表格1[Model],三國演義!$BS$12,表格1[Name],三國演義!$E43)+SUMIFS(表格1[QTY],表格1[Model],三國演義!$BS$12,表格1[Name],三國演義!$AA43)</f>
        <v>0</v>
      </c>
      <c r="BT43" s="44">
        <f ca="1">SUMIFS(表格1[QTY],表格1[Model],三國演義!$BT$12,表格1[Name],三國演義!$E43)+SUMIFS(表格1[QTY],表格1[Model],三國演義!$BT$12,表格1[Name],三國演義!$AA43)</f>
        <v>0</v>
      </c>
      <c r="BU43" s="44">
        <f ca="1">SUMIFS(表格1[QTY],表格1[Model],三國演義!$BU$12,表格1[Name],三國演義!$E43)+SUMIFS(表格1[QTY],表格1[Model],三國演義!$BU$12,表格1[Name],三國演義!$AA43)</f>
        <v>12</v>
      </c>
      <c r="BV43" s="44">
        <f ca="1">SUMIFS(表格1[QTY],表格1[Model],三國演義!$BV$12,表格1[Name],三國演義!$E43)+SUMIFS(表格1[QTY],表格1[Model],三國演義!$BV$12,表格1[Name],三國演義!$AA43)</f>
        <v>2</v>
      </c>
      <c r="BW43" s="77">
        <f ca="1">IF((SUM($BS43:$BV43))&gt;=$AN43,SUM($BS43:$BV43)*'3月Target'!$W$16,0)</f>
        <v>0</v>
      </c>
      <c r="BX43" s="44">
        <f ca="1">SUMIFS(表格1[QTY],表格1[Model],三國演義!$BX$12,表格1[Name],三國演義!$E43)+SUMIFS(表格1[QTY],表格1[Model],三國演義!$BX$12,表格1[Name],三國演義!$AA43)</f>
        <v>0</v>
      </c>
      <c r="BY43" s="77">
        <f ca="1">IF($BX43&gt;=$AO43,$BX43*'3月Target'!$W$17,0)</f>
        <v>0</v>
      </c>
      <c r="BZ43" s="146">
        <f t="shared" ca="1" si="23"/>
        <v>360494</v>
      </c>
      <c r="CA43" s="77">
        <f t="shared" ca="1" si="24"/>
        <v>0</v>
      </c>
      <c r="CB43" s="146">
        <f t="shared" ca="1" si="25"/>
        <v>360494</v>
      </c>
      <c r="CC43" s="77">
        <f t="shared" ca="1" si="26"/>
        <v>0</v>
      </c>
    </row>
    <row r="44" spans="1:81">
      <c r="A44" s="121">
        <f ca="1">Roster!AL36*Roster!AH36+Roster!AM36*Roster!AG36+三國演義!H44+三國演義!I44+三國演義!J44</f>
        <v>13025.84</v>
      </c>
      <c r="B44" s="133">
        <v>0.02</v>
      </c>
      <c r="C44" s="66">
        <v>32</v>
      </c>
      <c r="D44" s="95" t="str">
        <f ca="1">_xlfn.XLOOKUP($E44,表格1[Name],表格1[Shop])</f>
        <v>Yata</v>
      </c>
      <c r="E44" s="95" t="s">
        <v>1072</v>
      </c>
      <c r="F44" s="96">
        <f ca="1">SUMIF(表格1[Name],$E44,表格1[Total Amount])+SUMIF(表格1[Name],$AA44,表格1[Total Amount])</f>
        <v>123292</v>
      </c>
      <c r="G44" s="161">
        <f ca="1">SUMIF(表格1[Name],$E44,表格1[QTY])+SUMIF(表格1[Name],$AA44,表格1[QTY])</f>
        <v>125</v>
      </c>
      <c r="H44" s="96">
        <f t="shared" ca="1" si="5"/>
        <v>2465.84</v>
      </c>
      <c r="I44" s="96"/>
      <c r="J44" s="51">
        <f t="shared" ca="1" si="6"/>
        <v>0</v>
      </c>
      <c r="K44" s="163">
        <f t="shared" ca="1" si="7"/>
        <v>0</v>
      </c>
      <c r="L44" s="163">
        <f t="shared" ca="1" si="8"/>
        <v>0</v>
      </c>
      <c r="M44" s="44">
        <f t="shared" ca="1" si="9"/>
        <v>0</v>
      </c>
      <c r="N44" s="44">
        <f t="shared" ca="1" si="10"/>
        <v>0</v>
      </c>
      <c r="O44" s="44">
        <f t="shared" ca="1" si="11"/>
        <v>0</v>
      </c>
      <c r="P44" s="44">
        <f t="shared" ca="1" si="12"/>
        <v>0</v>
      </c>
      <c r="Q44" s="44">
        <f t="shared" ca="1" si="13"/>
        <v>0</v>
      </c>
      <c r="R44" s="44">
        <f t="shared" ca="1" si="14"/>
        <v>0</v>
      </c>
      <c r="S44" s="44">
        <f t="shared" ca="1" si="15"/>
        <v>0</v>
      </c>
      <c r="T44" s="44">
        <f t="shared" ca="1" si="16"/>
        <v>0</v>
      </c>
      <c r="U44" s="44">
        <f t="shared" ca="1" si="17"/>
        <v>0</v>
      </c>
      <c r="V44" s="44">
        <f t="shared" ca="1" si="18"/>
        <v>0</v>
      </c>
      <c r="W44" s="44">
        <f t="shared" ca="1" si="19"/>
        <v>0</v>
      </c>
      <c r="X44" s="44">
        <f t="shared" ca="1" si="20"/>
        <v>0</v>
      </c>
      <c r="Y44" s="44">
        <f t="shared" ca="1" si="21"/>
        <v>0</v>
      </c>
      <c r="Z44" s="44">
        <f t="shared" ca="1" si="22"/>
        <v>0</v>
      </c>
      <c r="AA44" s="60" t="str">
        <f t="shared" si="4"/>
        <v>Maggie Yip off</v>
      </c>
      <c r="AB44" s="71">
        <f>_xlfn.XLOOKUP($E44,target[NAME],target[RC-DS10K/18K])</f>
        <v>7</v>
      </c>
      <c r="AC44" s="71">
        <f>_xlfn.XLOOKUP($E44,target[NAME],target[RC-18AMXH(W)])</f>
        <v>4</v>
      </c>
      <c r="AD44" s="71">
        <f>_xlfn.XLOOKUP($E44,target[NAME],target[EB-T500APW])</f>
        <v>1</v>
      </c>
      <c r="AE44" s="71">
        <f>_xlfn.XLOOKUP($E44,target[NAME],target[ER-VD7000HK(XK)])</f>
        <v>2</v>
      </c>
      <c r="AF44" s="71">
        <f>_xlfn.XLOOKUP($E44,target[NAME],target[TWDT21BU95])</f>
        <v>2</v>
      </c>
      <c r="AG44" s="71">
        <f>_xlfn.XLOOKUP($E44,target[NAME],target[AW-Q800APH(WW)])</f>
        <v>1000</v>
      </c>
      <c r="AH44" s="71">
        <f>_xlfn.XLOOKUP($E44,target[NAME],target[AW-Q801APH(WW)])</f>
        <v>5</v>
      </c>
      <c r="AI44" s="71">
        <f>_xlfn.XLOOKUP($E44,target[NAME],target[GR-RM469WE-PGA(B3)])</f>
        <v>2</v>
      </c>
      <c r="AJ44" s="71">
        <f>_xlfn.XLOOKUP($E44,target[NAME],target[GR-RB449WE-PMA(57)])</f>
        <v>2</v>
      </c>
      <c r="AK44" s="71">
        <f>_xlfn.XLOOKUP($E44,target[NAME],target[GR-RB410WE-PMA(06)])</f>
        <v>2</v>
      </c>
      <c r="AL44" s="71">
        <f>_xlfn.XLOOKUP($E44,target[NAME],target[GR-RF698WI])</f>
        <v>1</v>
      </c>
      <c r="AM44" s="71">
        <f>_xlfn.XLOOKUP($E44,target[NAME],target[TWP-W2265THK(W)])</f>
        <v>2</v>
      </c>
      <c r="AN44" s="71">
        <f>_xlfn.XLOOKUP($E44,target[NAME],target[RAD-D200/250/300/DIA17])</f>
        <v>48</v>
      </c>
      <c r="AO44" s="71">
        <f>_xlfn.XLOOKUP($E44,target[NAME],target[(Fortress ONLY)TW-T25BZU115MWH(MG) ])</f>
        <v>1000</v>
      </c>
      <c r="AP44" s="71">
        <f>_xlfn.XLOOKUP($E44,target[NAME],target[開門紅(三月)])</f>
        <v>263300</v>
      </c>
      <c r="AQ44" s="71">
        <f>_xlfn.XLOOKUP($E44,target[NAME],target[開門紅(第一季)])</f>
        <v>486083</v>
      </c>
      <c r="AR44" s="73">
        <f ca="1">SUMIFS(表格1[QTY],表格1[Model],三國演義!$AR$12,表格1[Name],三國演義!$E44)+SUMIFS(表格1[QTY],表格1[Model],三國演義!$AR$12,表格1[Name],三國演義!$AA44)</f>
        <v>0</v>
      </c>
      <c r="AS44" s="77">
        <f ca="1">IF($AR44&gt;=$AE44,$AR44*'3月Target'!$W$8,0)</f>
        <v>0</v>
      </c>
      <c r="AT44" s="44">
        <f ca="1">SUMIFS(表格1[QTY],表格1[Model],三國演義!$AT$12,表格1[Name],三國演義!$E44)+SUMIFS(表格1[QTY],表格1[Model],三國演義!$AT$12,表格1[Name],三國演義!$AA44)</f>
        <v>0</v>
      </c>
      <c r="AU44" s="44">
        <f ca="1">SUMIFS(表格1[QTY],表格1[Model],三國演義!$AU$12,表格1[Name],三國演義!$E44)+SUMIFS(表格1[QTY],表格1[Model],三國演義!$AU$12,表格1[Name],三國演義!$AA44)</f>
        <v>3</v>
      </c>
      <c r="AV44" s="44">
        <f ca="1">SUMIFS(表格1[QTY],表格1[Model],三國演義!$AV$12,表格1[Name],三國演義!$E44)+SUMIFS(表格1[QTY],表格1[Model],三國演義!$AV$12,表格1[Name],三國演義!$AA44)</f>
        <v>0</v>
      </c>
      <c r="AW44" s="44">
        <f ca="1">SUMIFS(表格1[QTY],表格1[Model],三國演義!$AW$12,表格1[Name],三國演義!$E44)+SUMIFS(表格1[QTY],表格1[Model],三國演義!$AW$12,表格1[Name],三國演義!$AA44)</f>
        <v>1</v>
      </c>
      <c r="AX44" s="50">
        <f ca="1">IF((SUM($AT44:$AW44))&gt;=$AB44,SUM($AT44:$AW44)*'3月Target'!$W$5,0)</f>
        <v>0</v>
      </c>
      <c r="AY44" s="44">
        <f ca="1">SUMIFS(表格1[QTY],表格1[Model],三國演義!$AY$12,表格1[Name],三國演義!$E44)+SUMIFS(表格1[QTY],表格1[Model],三國演義!$AY$12,表格1[Name],三國演義!$AA44)</f>
        <v>2</v>
      </c>
      <c r="AZ44" s="77">
        <f ca="1">IF($AY44&gt;=$AC44,$AY44*'3月Target'!$W$6,0)</f>
        <v>0</v>
      </c>
      <c r="BA44" s="44">
        <f ca="1">SUMIFS(表格1[QTY],表格1[Model],三國演義!$BA$12,表格1[Name],三國演義!$E44)+SUMIFS(表格1[QTY],表格1[Model],三國演義!$BA$12,表格1[Name],三國演義!$AA44)</f>
        <v>0</v>
      </c>
      <c r="BB44" s="77">
        <f ca="1">IF($BA44&gt;=$AD44,$BA44*'3月Target'!$W$7,0)</f>
        <v>0</v>
      </c>
      <c r="BC44" s="44">
        <f ca="1">SUMIFS(表格1[QTY],表格1[Model],三國演義!$BC$12,表格1[Name],三國演義!$E44)+SUMIFS(表格1[QTY],表格1[Model],三國演義!$BC$12,表格1[Name],三國演義!$AA44)</f>
        <v>0</v>
      </c>
      <c r="BD44" s="77">
        <f ca="1">IF($BC44&gt;=$AF44,$BC44*'3月Target'!$W$9,0)</f>
        <v>0</v>
      </c>
      <c r="BE44" s="44">
        <f ca="1">SUMIFS(表格1[QTY],表格1[Model],三國演義!$BE$12,表格1[Name],三國演義!$E44)+SUMIFS(表格1[QTY],表格1[Model],三國演義!$BE$12,表格1[Name],三國演義!$AA44)</f>
        <v>0</v>
      </c>
      <c r="BF44" s="77">
        <f ca="1">IF($BE44&gt;=$AG44,$BE44*'3月Target'!$W$10,0)</f>
        <v>0</v>
      </c>
      <c r="BG44" s="44">
        <f ca="1">SUMIFS(表格1[QTY],表格1[Model],三國演義!$BG$12,表格1[Name],三國演義!$E44)+SUMIFS(表格1[QTY],表格1[Model],三國演義!$BG$12,表格1[Name],三國演義!$AA44)</f>
        <v>0</v>
      </c>
      <c r="BH44" s="77">
        <f ca="1">IF($BG44&gt;=$AH44,$BG44*'3月Target'!$W$10,0)</f>
        <v>0</v>
      </c>
      <c r="BI44" s="44">
        <f ca="1">SUMIFS(表格1[QTY],表格1[Model],三國演義!$BI$12,表格1[Name],三國演義!$E44)+SUMIFS(表格1[QTY],表格1[Model],三國演義!$BI$12,表格1[Name],三國演義!$AA44)</f>
        <v>0</v>
      </c>
      <c r="BJ44" s="77">
        <f ca="1">IF($BI44&gt;=$AI44,$BI44*'3月Target'!$W$11,0)</f>
        <v>0</v>
      </c>
      <c r="BK44" s="44">
        <f ca="1">SUMIFS(表格1[QTY],表格1[Model],三國演義!$BK$12,表格1[Name],三國演義!$E44)+SUMIFS(表格1[QTY],表格1[Model],三國演義!$BK$12,表格1[Name],三國演義!$AA44)</f>
        <v>0</v>
      </c>
      <c r="BL44" s="77">
        <f ca="1">IF($BK44&gt;=$AJ44,$BK44*'3月Target'!$W$12,0)</f>
        <v>0</v>
      </c>
      <c r="BM44" s="44">
        <f ca="1">SUMIFS(表格1[QTY],表格1[Model],三國演義!$BM$12,表格1[Name],三國演義!$E44)+SUMIFS(表格1[QTY],表格1[Model],三國演義!$BM$12,表格1[Name],三國演義!$AA44)</f>
        <v>0</v>
      </c>
      <c r="BN44" s="77">
        <f ca="1">IF($BM44&gt;=$AK44,$BM44*'3月Target'!$W$13,0)</f>
        <v>0</v>
      </c>
      <c r="BO44" s="44">
        <f ca="1">SUMIFS(表格1[QTY],表格1[Model],三國演義!$BO$12,表格1[Name],三國演義!$E44)+SUMIFS(表格1[QTY],表格1[Model],三國演義!$BO$12,表格1[Name],三國演義!$AA44)</f>
        <v>0</v>
      </c>
      <c r="BP44" s="77">
        <f ca="1">IF($BO44&gt;=$AL44,$BO44*'3月Target'!$W$14,0)</f>
        <v>0</v>
      </c>
      <c r="BQ44" s="44">
        <f ca="1">SUMIFS(表格1[QTY],表格1[Model],三國演義!$BQ$12,表格1[Name],三國演義!$E44)+SUMIFS(表格1[QTY],表格1[Model],三國演義!$BQ$12,表格1[Name],三國演義!$AA44)</f>
        <v>0</v>
      </c>
      <c r="BR44" s="77">
        <f ca="1">IF($BQ44&gt;=$AM44,$BQ44*'3月Target'!$W$15,0)</f>
        <v>0</v>
      </c>
      <c r="BS44" s="44">
        <f ca="1">SUMIFS(表格1[QTY],表格1[Model],三國演義!$BS$12,表格1[Name],三國演義!$E44)+SUMIFS(表格1[QTY],表格1[Model],三國演義!$BS$12,表格1[Name],三國演義!$AA44)</f>
        <v>3</v>
      </c>
      <c r="BT44" s="44">
        <f ca="1">SUMIFS(表格1[QTY],表格1[Model],三國演義!$BT$12,表格1[Name],三國演義!$E44)+SUMIFS(表格1[QTY],表格1[Model],三國演義!$BT$12,表格1[Name],三國演義!$AA44)</f>
        <v>0</v>
      </c>
      <c r="BU44" s="44">
        <f ca="1">SUMIFS(表格1[QTY],表格1[Model],三國演義!$BU$12,表格1[Name],三國演義!$E44)+SUMIFS(表格1[QTY],表格1[Model],三國演義!$BU$12,表格1[Name],三國演義!$AA44)</f>
        <v>1</v>
      </c>
      <c r="BV44" s="44">
        <f ca="1">SUMIFS(表格1[QTY],表格1[Model],三國演義!$BV$12,表格1[Name],三國演義!$E44)+SUMIFS(表格1[QTY],表格1[Model],三國演義!$BV$12,表格1[Name],三國演義!$AA44)</f>
        <v>0</v>
      </c>
      <c r="BW44" s="77">
        <f ca="1">IF((SUM($BS44:$BV44))&gt;=$AN44,SUM($BS44:$BV44)*'3月Target'!$W$16,0)</f>
        <v>0</v>
      </c>
      <c r="BX44" s="44">
        <f ca="1">SUMIFS(表格1[QTY],表格1[Model],三國演義!$BX$12,表格1[Name],三國演義!$E44)+SUMIFS(表格1[QTY],表格1[Model],三國演義!$BX$12,表格1[Name],三國演義!$AA44)</f>
        <v>0</v>
      </c>
      <c r="BY44" s="77">
        <f ca="1">IF($BX44&gt;=$AO44,$BX44*'3月Target'!$W$17,0)</f>
        <v>0</v>
      </c>
      <c r="BZ44" s="146">
        <f t="shared" ca="1" si="23"/>
        <v>123292</v>
      </c>
      <c r="CA44" s="77">
        <f t="shared" ca="1" si="24"/>
        <v>0</v>
      </c>
      <c r="CB44" s="146">
        <f t="shared" ca="1" si="25"/>
        <v>123292</v>
      </c>
      <c r="CC44" s="77">
        <f t="shared" ca="1" si="26"/>
        <v>0</v>
      </c>
    </row>
    <row r="45" spans="1:81">
      <c r="A45" s="121">
        <f ca="1">Roster!AL37*Roster!AH37+Roster!AM37*Roster!AG37+三國演義!H45+三國演義!I45+三國演義!J45</f>
        <v>2235.6999999999998</v>
      </c>
      <c r="B45" s="133">
        <v>0.02</v>
      </c>
      <c r="C45" s="66">
        <v>33</v>
      </c>
      <c r="D45" s="95" t="str">
        <f ca="1">_xlfn.XLOOKUP($E45,表格1[Name],表格1[Shop])</f>
        <v>Yata</v>
      </c>
      <c r="E45" s="95" t="s">
        <v>1049</v>
      </c>
      <c r="F45" s="96">
        <f ca="1">SUMIF(表格1[Name],$E45,表格1[Total Amount])+SUMIF(表格1[Name],$AA45,表格1[Total Amount])</f>
        <v>15785</v>
      </c>
      <c r="G45" s="161">
        <f ca="1">SUMIF(表格1[Name],$E45,表格1[QTY])+SUMIF(表格1[Name],$AA45,表格1[QTY])</f>
        <v>13</v>
      </c>
      <c r="H45" s="96">
        <f t="shared" ca="1" si="5"/>
        <v>315.7</v>
      </c>
      <c r="I45" s="96"/>
      <c r="J45" s="51">
        <f t="shared" si="6"/>
        <v>0</v>
      </c>
      <c r="K45" s="164"/>
      <c r="L45" s="164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60" t="str">
        <f t="shared" si="4"/>
        <v>Emma off</v>
      </c>
      <c r="AB45" s="71" t="e">
        <f>_xlfn.XLOOKUP($E45,target[NAME],target[RC-DS10K/18K])</f>
        <v>#N/A</v>
      </c>
      <c r="AC45" s="71" t="e">
        <f>_xlfn.XLOOKUP($E45,target[NAME],target[RC-18AMXH(W)])</f>
        <v>#N/A</v>
      </c>
      <c r="AD45" s="71" t="e">
        <f>_xlfn.XLOOKUP($E45,target[NAME],target[EB-T500APW])</f>
        <v>#N/A</v>
      </c>
      <c r="AE45" s="71" t="e">
        <f>_xlfn.XLOOKUP($E45,target[NAME],target[ER-VD7000HK(XK)])</f>
        <v>#N/A</v>
      </c>
      <c r="AF45" s="71" t="e">
        <f>_xlfn.XLOOKUP($E45,target[NAME],target[TWDT21BU95])</f>
        <v>#N/A</v>
      </c>
      <c r="AG45" s="71" t="e">
        <f>_xlfn.XLOOKUP($E45,target[NAME],target[AW-Q800APH(WW)])</f>
        <v>#N/A</v>
      </c>
      <c r="AH45" s="71" t="e">
        <f>_xlfn.XLOOKUP($E45,target[NAME],target[AW-Q801APH(WW)])</f>
        <v>#N/A</v>
      </c>
      <c r="AI45" s="71" t="e">
        <f>_xlfn.XLOOKUP($E45,target[NAME],target[GR-RM469WE-PGA(B3)])</f>
        <v>#N/A</v>
      </c>
      <c r="AJ45" s="71" t="e">
        <f>_xlfn.XLOOKUP($E45,target[NAME],target[GR-RB449WE-PMA(57)])</f>
        <v>#N/A</v>
      </c>
      <c r="AK45" s="71" t="e">
        <f>_xlfn.XLOOKUP($E45,target[NAME],target[GR-RB410WE-PMA(06)])</f>
        <v>#N/A</v>
      </c>
      <c r="AL45" s="71" t="e">
        <f>_xlfn.XLOOKUP($E45,target[NAME],target[GR-RF698WI])</f>
        <v>#N/A</v>
      </c>
      <c r="AM45" s="71" t="e">
        <f>_xlfn.XLOOKUP($E45,target[NAME],target[TWP-W2265THK(W)])</f>
        <v>#N/A</v>
      </c>
      <c r="AN45" s="71" t="e">
        <f>_xlfn.XLOOKUP($E45,target[NAME],target[RAD-D200/250/300/DIA17])</f>
        <v>#N/A</v>
      </c>
      <c r="AO45" s="71" t="e">
        <f>_xlfn.XLOOKUP($E45,target[NAME],target[(Fortress ONLY)TW-T25BZU115MWH(MG) ])</f>
        <v>#N/A</v>
      </c>
      <c r="AP45" s="71" t="e">
        <f>_xlfn.XLOOKUP($E45,target[NAME],target[開門紅(三月)])</f>
        <v>#N/A</v>
      </c>
      <c r="AQ45" s="71" t="e">
        <f>_xlfn.XLOOKUP($E45,target[NAME],target[開門紅(第一季)])</f>
        <v>#N/A</v>
      </c>
      <c r="AR45" s="73">
        <f ca="1">SUMIFS(表格1[QTY],表格1[Model],三國演義!$AR$12,表格1[Name],三國演義!$E45)+SUMIFS(表格1[QTY],表格1[Model],三國演義!$AR$12,表格1[Name],三國演義!$AA45)</f>
        <v>0</v>
      </c>
      <c r="AS45" s="77" t="e">
        <f ca="1">IF($AR45&gt;=$AE45,$AR45*'3月Target'!$W$8,0)</f>
        <v>#N/A</v>
      </c>
      <c r="AT45" s="44">
        <f ca="1">SUMIFS(表格1[QTY],表格1[Model],三國演義!$AT$12,表格1[Name],三國演義!$E45)+SUMIFS(表格1[QTY],表格1[Model],三國演義!$AT$12,表格1[Name],三國演義!$AA45)</f>
        <v>0</v>
      </c>
      <c r="AU45" s="44">
        <f ca="1">SUMIFS(表格1[QTY],表格1[Model],三國演義!$AU$12,表格1[Name],三國演義!$E45)+SUMIFS(表格1[QTY],表格1[Model],三國演義!$AU$12,表格1[Name],三國演義!$AA45)</f>
        <v>0</v>
      </c>
      <c r="AV45" s="44">
        <f ca="1">SUMIFS(表格1[QTY],表格1[Model],三國演義!$AV$12,表格1[Name],三國演義!$E45)+SUMIFS(表格1[QTY],表格1[Model],三國演義!$AV$12,表格1[Name],三國演義!$AA45)</f>
        <v>0</v>
      </c>
      <c r="AW45" s="44">
        <f ca="1">SUMIFS(表格1[QTY],表格1[Model],三國演義!$AW$12,表格1[Name],三國演義!$E45)+SUMIFS(表格1[QTY],表格1[Model],三國演義!$AW$12,表格1[Name],三國演義!$AA45)</f>
        <v>0</v>
      </c>
      <c r="AX45" s="50" t="e">
        <f ca="1">IF((SUM($AT45:$AW45))&gt;=$AB45,SUM($AT45:$AW45)*'3月Target'!$W$5,0)</f>
        <v>#N/A</v>
      </c>
      <c r="AY45" s="44">
        <f ca="1">SUMIFS(表格1[QTY],表格1[Model],三國演義!$AY$12,表格1[Name],三國演義!$E45)+SUMIFS(表格1[QTY],表格1[Model],三國演義!$AY$12,表格1[Name],三國演義!$AA45)</f>
        <v>0</v>
      </c>
      <c r="AZ45" s="77" t="e">
        <f ca="1">IF($AY45&gt;=$AC45,$AY45*'3月Target'!$W$6,0)</f>
        <v>#N/A</v>
      </c>
      <c r="BA45" s="44">
        <f ca="1">SUMIFS(表格1[QTY],表格1[Model],三國演義!$BA$12,表格1[Name],三國演義!$E45)+SUMIFS(表格1[QTY],表格1[Model],三國演義!$BA$12,表格1[Name],三國演義!$AA45)</f>
        <v>0</v>
      </c>
      <c r="BB45" s="77" t="e">
        <f ca="1">IF($BA45&gt;=$AD45,$BA45*'3月Target'!$W$7,0)</f>
        <v>#N/A</v>
      </c>
      <c r="BC45" s="44">
        <f ca="1">SUMIFS(表格1[QTY],表格1[Model],三國演義!$BC$12,表格1[Name],三國演義!$E45)+SUMIFS(表格1[QTY],表格1[Model],三國演義!$BC$12,表格1[Name],三國演義!$AA45)</f>
        <v>0</v>
      </c>
      <c r="BD45" s="77" t="e">
        <f ca="1">IF($BC45&gt;=$AF45,$BC45*'3月Target'!$W$9,0)</f>
        <v>#N/A</v>
      </c>
      <c r="BE45" s="44">
        <f ca="1">SUMIFS(表格1[QTY],表格1[Model],三國演義!$BE$12,表格1[Name],三國演義!$E45)+SUMIFS(表格1[QTY],表格1[Model],三國演義!$BE$12,表格1[Name],三國演義!$AA45)</f>
        <v>0</v>
      </c>
      <c r="BF45" s="77" t="e">
        <f ca="1">IF($BE45&gt;=$AG45,$BE45*'3月Target'!$W$10,0)</f>
        <v>#N/A</v>
      </c>
      <c r="BG45" s="44">
        <f ca="1">SUMIFS(表格1[QTY],表格1[Model],三國演義!$BG$12,表格1[Name],三國演義!$E45)+SUMIFS(表格1[QTY],表格1[Model],三國演義!$BG$12,表格1[Name],三國演義!$AA45)</f>
        <v>0</v>
      </c>
      <c r="BH45" s="77" t="e">
        <f ca="1">IF($BG45&gt;=$AH45,$BG45*'3月Target'!$W$10,0)</f>
        <v>#N/A</v>
      </c>
      <c r="BI45" s="44">
        <f ca="1">SUMIFS(表格1[QTY],表格1[Model],三國演義!$BI$12,表格1[Name],三國演義!$E45)+SUMIFS(表格1[QTY],表格1[Model],三國演義!$BI$12,表格1[Name],三國演義!$AA45)</f>
        <v>0</v>
      </c>
      <c r="BJ45" s="77" t="e">
        <f ca="1">IF($BI45&gt;=$AI45,$BI45*'3月Target'!$W$11,0)</f>
        <v>#N/A</v>
      </c>
      <c r="BK45" s="44">
        <f ca="1">SUMIFS(表格1[QTY],表格1[Model],三國演義!$BK$12,表格1[Name],三國演義!$E45)+SUMIFS(表格1[QTY],表格1[Model],三國演義!$BK$12,表格1[Name],三國演義!$AA45)</f>
        <v>0</v>
      </c>
      <c r="BL45" s="77" t="e">
        <f ca="1">IF($BK45&gt;=$AJ45,$BK45*'3月Target'!$W$12,0)</f>
        <v>#N/A</v>
      </c>
      <c r="BM45" s="44">
        <f ca="1">SUMIFS(表格1[QTY],表格1[Model],三國演義!$BM$12,表格1[Name],三國演義!$E45)+SUMIFS(表格1[QTY],表格1[Model],三國演義!$BM$12,表格1[Name],三國演義!$AA45)</f>
        <v>0</v>
      </c>
      <c r="BN45" s="77" t="e">
        <f ca="1">IF($BM45&gt;=$AK45,$BM45*'3月Target'!$W$13,0)</f>
        <v>#N/A</v>
      </c>
      <c r="BO45" s="44">
        <f ca="1">SUMIFS(表格1[QTY],表格1[Model],三國演義!$BO$12,表格1[Name],三國演義!$E45)+SUMIFS(表格1[QTY],表格1[Model],三國演義!$BO$12,表格1[Name],三國演義!$AA45)</f>
        <v>0</v>
      </c>
      <c r="BP45" s="77" t="e">
        <f ca="1">IF($BO45&gt;=$AL45,$BO45*'3月Target'!$W$14,0)</f>
        <v>#N/A</v>
      </c>
      <c r="BQ45" s="44">
        <f ca="1">SUMIFS(表格1[QTY],表格1[Model],三國演義!$BQ$12,表格1[Name],三國演義!$E45)+SUMIFS(表格1[QTY],表格1[Model],三國演義!$BQ$12,表格1[Name],三國演義!$AA45)</f>
        <v>0</v>
      </c>
      <c r="BR45" s="77" t="e">
        <f ca="1">IF($BQ45&gt;=$AM45,$BQ45*'3月Target'!$W$15,0)</f>
        <v>#N/A</v>
      </c>
      <c r="BS45" s="44">
        <f ca="1">SUMIFS(表格1[QTY],表格1[Model],三國演義!$BS$12,表格1[Name],三國演義!$E45)+SUMIFS(表格1[QTY],表格1[Model],三國演義!$BS$12,表格1[Name],三國演義!$AA45)</f>
        <v>1</v>
      </c>
      <c r="BT45" s="44">
        <f ca="1">SUMIFS(表格1[QTY],表格1[Model],三國演義!$BT$12,表格1[Name],三國演義!$E45)+SUMIFS(表格1[QTY],表格1[Model],三國演義!$BT$12,表格1[Name],三國演義!$AA45)</f>
        <v>0</v>
      </c>
      <c r="BU45" s="44">
        <f ca="1">SUMIFS(表格1[QTY],表格1[Model],三國演義!$BU$12,表格1[Name],三國演義!$E45)+SUMIFS(表格1[QTY],表格1[Model],三國演義!$BU$12,表格1[Name],三國演義!$AA45)</f>
        <v>0</v>
      </c>
      <c r="BV45" s="44">
        <f ca="1">SUMIFS(表格1[QTY],表格1[Model],三國演義!$BV$12,表格1[Name],三國演義!$E45)+SUMIFS(表格1[QTY],表格1[Model],三國演義!$BV$12,表格1[Name],三國演義!$AA45)</f>
        <v>0</v>
      </c>
      <c r="BW45" s="77" t="e">
        <f ca="1">IF((SUM($BS45:$BV45))&gt;=$AN45,SUM($BS45:$BV45)*'3月Target'!$W$16,0)</f>
        <v>#N/A</v>
      </c>
      <c r="BX45" s="44">
        <f ca="1">SUMIFS(表格1[QTY],表格1[Model],三國演義!$BX$12,表格1[Name],三國演義!$E45)+SUMIFS(表格1[QTY],表格1[Model],三國演義!$BX$12,表格1[Name],三國演義!$AA45)</f>
        <v>0</v>
      </c>
      <c r="BY45" s="77" t="e">
        <f ca="1">IF($BX45&gt;=$AO45,$BX45*'3月Target'!$W$17,0)</f>
        <v>#N/A</v>
      </c>
      <c r="BZ45" s="146">
        <f t="shared" ca="1" si="23"/>
        <v>15785</v>
      </c>
      <c r="CA45" s="77" t="e">
        <f t="shared" ca="1" si="24"/>
        <v>#N/A</v>
      </c>
      <c r="CB45" s="146">
        <f t="shared" ca="1" si="25"/>
        <v>15785</v>
      </c>
      <c r="CC45" s="77" t="e">
        <f t="shared" ca="1" si="26"/>
        <v>#N/A</v>
      </c>
    </row>
    <row r="46" spans="1:81">
      <c r="A46" s="121">
        <f ca="1">Roster!AL38*Roster!AH38+Roster!AM38*Roster!AG38+三國演義!H46+三國演義!I46+三國演義!J46</f>
        <v>1073.72</v>
      </c>
      <c r="B46" s="133">
        <v>0.02</v>
      </c>
      <c r="C46" s="66">
        <v>34</v>
      </c>
      <c r="D46" s="95" t="str">
        <f ca="1">_xlfn.XLOOKUP($E46,表格1[Name],表格1[Shop])</f>
        <v>Yata</v>
      </c>
      <c r="E46" s="95" t="s">
        <v>1218</v>
      </c>
      <c r="F46" s="96">
        <f ca="1">SUMIF(表格1[Name],$E46,表格1[Total Amount])+SUMIF(表格1[Name],$AA46,表格1[Total Amount])</f>
        <v>5686</v>
      </c>
      <c r="G46" s="161">
        <f ca="1">SUMIF(表格1[Name],$E46,表格1[QTY])+SUMIF(表格1[Name],$AA46,表格1[QTY])</f>
        <v>11</v>
      </c>
      <c r="H46" s="96">
        <f t="shared" ca="1" si="5"/>
        <v>113.72</v>
      </c>
      <c r="I46" s="96"/>
      <c r="J46" s="51">
        <f t="shared" si="6"/>
        <v>0</v>
      </c>
      <c r="K46" s="164"/>
      <c r="L46" s="164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60" t="str">
        <f t="shared" si="4"/>
        <v>Tony_1 off</v>
      </c>
      <c r="AB46" s="71" t="e">
        <f>_xlfn.XLOOKUP($E46,target[NAME],target[RC-DS10K/18K])</f>
        <v>#N/A</v>
      </c>
      <c r="AC46" s="71" t="e">
        <f>_xlfn.XLOOKUP($E46,target[NAME],target[RC-18AMXH(W)])</f>
        <v>#N/A</v>
      </c>
      <c r="AD46" s="71" t="e">
        <f>_xlfn.XLOOKUP($E46,target[NAME],target[EB-T500APW])</f>
        <v>#N/A</v>
      </c>
      <c r="AE46" s="71" t="e">
        <f>_xlfn.XLOOKUP($E46,target[NAME],target[ER-VD7000HK(XK)])</f>
        <v>#N/A</v>
      </c>
      <c r="AF46" s="71" t="e">
        <f>_xlfn.XLOOKUP($E46,target[NAME],target[TWDT21BU95])</f>
        <v>#N/A</v>
      </c>
      <c r="AG46" s="71" t="e">
        <f>_xlfn.XLOOKUP($E46,target[NAME],target[AW-Q800APH(WW)])</f>
        <v>#N/A</v>
      </c>
      <c r="AH46" s="71" t="e">
        <f>_xlfn.XLOOKUP($E46,target[NAME],target[AW-Q801APH(WW)])</f>
        <v>#N/A</v>
      </c>
      <c r="AI46" s="71" t="e">
        <f>_xlfn.XLOOKUP($E46,target[NAME],target[GR-RM469WE-PGA(B3)])</f>
        <v>#N/A</v>
      </c>
      <c r="AJ46" s="71" t="e">
        <f>_xlfn.XLOOKUP($E46,target[NAME],target[GR-RB449WE-PMA(57)])</f>
        <v>#N/A</v>
      </c>
      <c r="AK46" s="71" t="e">
        <f>_xlfn.XLOOKUP($E46,target[NAME],target[GR-RB410WE-PMA(06)])</f>
        <v>#N/A</v>
      </c>
      <c r="AL46" s="71" t="e">
        <f>_xlfn.XLOOKUP($E46,target[NAME],target[GR-RF698WI])</f>
        <v>#N/A</v>
      </c>
      <c r="AM46" s="71" t="e">
        <f>_xlfn.XLOOKUP($E46,target[NAME],target[TWP-W2265THK(W)])</f>
        <v>#N/A</v>
      </c>
      <c r="AN46" s="71" t="e">
        <f>_xlfn.XLOOKUP($E46,target[NAME],target[RAD-D200/250/300/DIA17])</f>
        <v>#N/A</v>
      </c>
      <c r="AO46" s="71" t="e">
        <f>_xlfn.XLOOKUP($E46,target[NAME],target[(Fortress ONLY)TW-T25BZU115MWH(MG) ])</f>
        <v>#N/A</v>
      </c>
      <c r="AP46" s="71" t="e">
        <f>_xlfn.XLOOKUP($E46,target[NAME],target[開門紅(三月)])</f>
        <v>#N/A</v>
      </c>
      <c r="AQ46" s="71" t="e">
        <f>_xlfn.XLOOKUP($E46,target[NAME],target[開門紅(第一季)])</f>
        <v>#N/A</v>
      </c>
      <c r="AR46" s="73">
        <f ca="1">SUMIFS(表格1[QTY],表格1[Model],三國演義!$AR$12,表格1[Name],三國演義!$E46)+SUMIFS(表格1[QTY],表格1[Model],三國演義!$AR$12,表格1[Name],三國演義!$AA46)</f>
        <v>0</v>
      </c>
      <c r="AS46" s="77" t="e">
        <f ca="1">IF($AR46&gt;=$AE46,$AR46*'3月Target'!$W$8,0)</f>
        <v>#N/A</v>
      </c>
      <c r="AT46" s="44">
        <f ca="1">SUMIFS(表格1[QTY],表格1[Model],三國演義!$AT$12,表格1[Name],三國演義!$E46)+SUMIFS(表格1[QTY],表格1[Model],三國演義!$AT$12,表格1[Name],三國演義!$AA46)</f>
        <v>0</v>
      </c>
      <c r="AU46" s="44">
        <f ca="1">SUMIFS(表格1[QTY],表格1[Model],三國演義!$AU$12,表格1[Name],三國演義!$E46)+SUMIFS(表格1[QTY],表格1[Model],三國演義!$AU$12,表格1[Name],三國演義!$AA46)</f>
        <v>0</v>
      </c>
      <c r="AV46" s="44">
        <f ca="1">SUMIFS(表格1[QTY],表格1[Model],三國演義!$AV$12,表格1[Name],三國演義!$E46)+SUMIFS(表格1[QTY],表格1[Model],三國演義!$AV$12,表格1[Name],三國演義!$AA46)</f>
        <v>0</v>
      </c>
      <c r="AW46" s="44">
        <f ca="1">SUMIFS(表格1[QTY],表格1[Model],三國演義!$AW$12,表格1[Name],三國演義!$E46)+SUMIFS(表格1[QTY],表格1[Model],三國演義!$AW$12,表格1[Name],三國演義!$AA46)</f>
        <v>0</v>
      </c>
      <c r="AX46" s="50" t="e">
        <f ca="1">IF((SUM($AT46:$AW46))&gt;=$AB46,SUM($AT46:$AW46)*'3月Target'!$W$5,0)</f>
        <v>#N/A</v>
      </c>
      <c r="AY46" s="44">
        <f ca="1">SUMIFS(表格1[QTY],表格1[Model],三國演義!$AY$12,表格1[Name],三國演義!$E46)+SUMIFS(表格1[QTY],表格1[Model],三國演義!$AY$12,表格1[Name],三國演義!$AA46)</f>
        <v>0</v>
      </c>
      <c r="AZ46" s="77" t="e">
        <f ca="1">IF($AY46&gt;=$AC46,$AY46*'3月Target'!$W$6,0)</f>
        <v>#N/A</v>
      </c>
      <c r="BA46" s="44">
        <f ca="1">SUMIFS(表格1[QTY],表格1[Model],三國演義!$BA$12,表格1[Name],三國演義!$E46)+SUMIFS(表格1[QTY],表格1[Model],三國演義!$BA$12,表格1[Name],三國演義!$AA46)</f>
        <v>0</v>
      </c>
      <c r="BB46" s="77" t="e">
        <f ca="1">IF($BA46&gt;=$AD46,$BA46*'3月Target'!$W$7,0)</f>
        <v>#N/A</v>
      </c>
      <c r="BC46" s="44">
        <f ca="1">SUMIFS(表格1[QTY],表格1[Model],三國演義!$BC$12,表格1[Name],三國演義!$E46)+SUMIFS(表格1[QTY],表格1[Model],三國演義!$BC$12,表格1[Name],三國演義!$AA46)</f>
        <v>0</v>
      </c>
      <c r="BD46" s="77" t="e">
        <f ca="1">IF($BC46&gt;=$AF46,$BC46*'3月Target'!$W$9,0)</f>
        <v>#N/A</v>
      </c>
      <c r="BE46" s="44">
        <f ca="1">SUMIFS(表格1[QTY],表格1[Model],三國演義!$BE$12,表格1[Name],三國演義!$E46)+SUMIFS(表格1[QTY],表格1[Model],三國演義!$BE$12,表格1[Name],三國演義!$AA46)</f>
        <v>0</v>
      </c>
      <c r="BF46" s="77" t="e">
        <f ca="1">IF($BE46&gt;=$AG46,$BE46*'3月Target'!$W$10,0)</f>
        <v>#N/A</v>
      </c>
      <c r="BG46" s="44">
        <f ca="1">SUMIFS(表格1[QTY],表格1[Model],三國演義!$BG$12,表格1[Name],三國演義!$E46)+SUMIFS(表格1[QTY],表格1[Model],三國演義!$BG$12,表格1[Name],三國演義!$AA46)</f>
        <v>0</v>
      </c>
      <c r="BH46" s="77" t="e">
        <f ca="1">IF($BG46&gt;=$AH46,$BG46*'3月Target'!$W$10,0)</f>
        <v>#N/A</v>
      </c>
      <c r="BI46" s="44">
        <f ca="1">SUMIFS(表格1[QTY],表格1[Model],三國演義!$BI$12,表格1[Name],三國演義!$E46)+SUMIFS(表格1[QTY],表格1[Model],三國演義!$BI$12,表格1[Name],三國演義!$AA46)</f>
        <v>0</v>
      </c>
      <c r="BJ46" s="77" t="e">
        <f ca="1">IF($BI46&gt;=$AI46,$BI46*'3月Target'!$W$11,0)</f>
        <v>#N/A</v>
      </c>
      <c r="BK46" s="44">
        <f ca="1">SUMIFS(表格1[QTY],表格1[Model],三國演義!$BK$12,表格1[Name],三國演義!$E46)+SUMIFS(表格1[QTY],表格1[Model],三國演義!$BK$12,表格1[Name],三國演義!$AA46)</f>
        <v>0</v>
      </c>
      <c r="BL46" s="77" t="e">
        <f ca="1">IF($BK46&gt;=$AJ46,$BK46*'3月Target'!$W$12,0)</f>
        <v>#N/A</v>
      </c>
      <c r="BM46" s="44">
        <f ca="1">SUMIFS(表格1[QTY],表格1[Model],三國演義!$BM$12,表格1[Name],三國演義!$E46)+SUMIFS(表格1[QTY],表格1[Model],三國演義!$BM$12,表格1[Name],三國演義!$AA46)</f>
        <v>0</v>
      </c>
      <c r="BN46" s="77" t="e">
        <f ca="1">IF($BM46&gt;=$AK46,$BM46*'3月Target'!$W$13,0)</f>
        <v>#N/A</v>
      </c>
      <c r="BO46" s="44">
        <f ca="1">SUMIFS(表格1[QTY],表格1[Model],三國演義!$BO$12,表格1[Name],三國演義!$E46)+SUMIFS(表格1[QTY],表格1[Model],三國演義!$BO$12,表格1[Name],三國演義!$AA46)</f>
        <v>0</v>
      </c>
      <c r="BP46" s="77" t="e">
        <f ca="1">IF($BO46&gt;=$AL46,$BO46*'3月Target'!$W$14,0)</f>
        <v>#N/A</v>
      </c>
      <c r="BQ46" s="44">
        <f ca="1">SUMIFS(表格1[QTY],表格1[Model],三國演義!$BQ$12,表格1[Name],三國演義!$E46)+SUMIFS(表格1[QTY],表格1[Model],三國演義!$BQ$12,表格1[Name],三國演義!$AA46)</f>
        <v>0</v>
      </c>
      <c r="BR46" s="77" t="e">
        <f ca="1">IF($BQ46&gt;=$AM46,$BQ46*'3月Target'!$W$15,0)</f>
        <v>#N/A</v>
      </c>
      <c r="BS46" s="44">
        <f ca="1">SUMIFS(表格1[QTY],表格1[Model],三國演義!$BS$12,表格1[Name],三國演義!$E46)+SUMIFS(表格1[QTY],表格1[Model],三國演義!$BS$12,表格1[Name],三國演義!$AA46)</f>
        <v>0</v>
      </c>
      <c r="BT46" s="44">
        <f ca="1">SUMIFS(表格1[QTY],表格1[Model],三國演義!$BT$12,表格1[Name],三國演義!$E46)+SUMIFS(表格1[QTY],表格1[Model],三國演義!$BT$12,表格1[Name],三國演義!$AA46)</f>
        <v>0</v>
      </c>
      <c r="BU46" s="44">
        <f ca="1">SUMIFS(表格1[QTY],表格1[Model],三國演義!$BU$12,表格1[Name],三國演義!$E46)+SUMIFS(表格1[QTY],表格1[Model],三國演義!$BU$12,表格1[Name],三國演義!$AA46)</f>
        <v>0</v>
      </c>
      <c r="BV46" s="44">
        <f ca="1">SUMIFS(表格1[QTY],表格1[Model],三國演義!$BV$12,表格1[Name],三國演義!$E46)+SUMIFS(表格1[QTY],表格1[Model],三國演義!$BV$12,表格1[Name],三國演義!$AA46)</f>
        <v>0</v>
      </c>
      <c r="BW46" s="77" t="e">
        <f ca="1">IF((SUM($BS46:$BV46))&gt;=$AN46,SUM($BS46:$BV46)*'3月Target'!$W$16,0)</f>
        <v>#N/A</v>
      </c>
      <c r="BX46" s="44">
        <f ca="1">SUMIFS(表格1[QTY],表格1[Model],三國演義!$BX$12,表格1[Name],三國演義!$E46)+SUMIFS(表格1[QTY],表格1[Model],三國演義!$BX$12,表格1[Name],三國演義!$AA46)</f>
        <v>0</v>
      </c>
      <c r="BY46" s="77" t="e">
        <f ca="1">IF($BX46&gt;=$AO46,$BX46*'3月Target'!$W$17,0)</f>
        <v>#N/A</v>
      </c>
      <c r="BZ46" s="146">
        <f t="shared" ca="1" si="23"/>
        <v>5686</v>
      </c>
      <c r="CA46" s="77" t="e">
        <f t="shared" ca="1" si="24"/>
        <v>#N/A</v>
      </c>
      <c r="CB46" s="146">
        <f t="shared" ca="1" si="25"/>
        <v>5686</v>
      </c>
      <c r="CC46" s="77" t="e">
        <f t="shared" ca="1" si="26"/>
        <v>#N/A</v>
      </c>
    </row>
    <row r="47" spans="1:81">
      <c r="A47" s="121">
        <f ca="1">Roster!AL39*Roster!AH39+Roster!AM39*Roster!AG39+三國演義!H47+三國演義!I47+三國演義!J47</f>
        <v>1840.08</v>
      </c>
      <c r="B47" s="133">
        <v>0.02</v>
      </c>
      <c r="C47" s="66">
        <v>35</v>
      </c>
      <c r="D47" s="95" t="str">
        <f ca="1">_xlfn.XLOOKUP($E47,表格1[Name],表格1[Shop])</f>
        <v>Yata</v>
      </c>
      <c r="E47" s="95" t="s">
        <v>1415</v>
      </c>
      <c r="F47" s="96">
        <f ca="1">SUMIF(表格1[Name],$E47,表格1[Total Amount])+SUMIF(表格1[Name],$AA47,表格1[Total Amount])</f>
        <v>20004</v>
      </c>
      <c r="G47" s="161">
        <f ca="1">SUMIF(表格1[Name],$E47,表格1[QTY])+SUMIF(表格1[Name],$AA47,表格1[QTY])</f>
        <v>21</v>
      </c>
      <c r="H47" s="96">
        <f t="shared" ca="1" si="5"/>
        <v>400.08</v>
      </c>
      <c r="I47" s="96"/>
      <c r="J47" s="51">
        <f t="shared" si="6"/>
        <v>0</v>
      </c>
      <c r="K47" s="164"/>
      <c r="L47" s="164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60" t="str">
        <f t="shared" si="4"/>
        <v>Kit_1 off</v>
      </c>
      <c r="AB47" s="71" t="e">
        <f>_xlfn.XLOOKUP($E47,target[NAME],target[RC-DS10K/18K])</f>
        <v>#N/A</v>
      </c>
      <c r="AC47" s="71" t="e">
        <f>_xlfn.XLOOKUP($E47,target[NAME],target[RC-18AMXH(W)])</f>
        <v>#N/A</v>
      </c>
      <c r="AD47" s="71" t="e">
        <f>_xlfn.XLOOKUP($E47,target[NAME],target[EB-T500APW])</f>
        <v>#N/A</v>
      </c>
      <c r="AE47" s="71" t="e">
        <f>_xlfn.XLOOKUP($E47,target[NAME],target[ER-VD7000HK(XK)])</f>
        <v>#N/A</v>
      </c>
      <c r="AF47" s="71" t="e">
        <f>_xlfn.XLOOKUP($E47,target[NAME],target[TWDT21BU95])</f>
        <v>#N/A</v>
      </c>
      <c r="AG47" s="71" t="e">
        <f>_xlfn.XLOOKUP($E47,target[NAME],target[AW-Q800APH(WW)])</f>
        <v>#N/A</v>
      </c>
      <c r="AH47" s="71" t="e">
        <f>_xlfn.XLOOKUP($E47,target[NAME],target[AW-Q801APH(WW)])</f>
        <v>#N/A</v>
      </c>
      <c r="AI47" s="71" t="e">
        <f>_xlfn.XLOOKUP($E47,target[NAME],target[GR-RM469WE-PGA(B3)])</f>
        <v>#N/A</v>
      </c>
      <c r="AJ47" s="71" t="e">
        <f>_xlfn.XLOOKUP($E47,target[NAME],target[GR-RB449WE-PMA(57)])</f>
        <v>#N/A</v>
      </c>
      <c r="AK47" s="71" t="e">
        <f>_xlfn.XLOOKUP($E47,target[NAME],target[GR-RB410WE-PMA(06)])</f>
        <v>#N/A</v>
      </c>
      <c r="AL47" s="71" t="e">
        <f>_xlfn.XLOOKUP($E47,target[NAME],target[GR-RF698WI])</f>
        <v>#N/A</v>
      </c>
      <c r="AM47" s="71" t="e">
        <f>_xlfn.XLOOKUP($E47,target[NAME],target[TWP-W2265THK(W)])</f>
        <v>#N/A</v>
      </c>
      <c r="AN47" s="71" t="e">
        <f>_xlfn.XLOOKUP($E47,target[NAME],target[RAD-D200/250/300/DIA17])</f>
        <v>#N/A</v>
      </c>
      <c r="AO47" s="71" t="e">
        <f>_xlfn.XLOOKUP($E47,target[NAME],target[(Fortress ONLY)TW-T25BZU115MWH(MG) ])</f>
        <v>#N/A</v>
      </c>
      <c r="AP47" s="71" t="e">
        <f>_xlfn.XLOOKUP($E47,target[NAME],target[開門紅(三月)])</f>
        <v>#N/A</v>
      </c>
      <c r="AQ47" s="71" t="e">
        <f>_xlfn.XLOOKUP($E47,target[NAME],target[開門紅(第一季)])</f>
        <v>#N/A</v>
      </c>
      <c r="AR47" s="73">
        <f ca="1">SUMIFS(表格1[QTY],表格1[Model],三國演義!$AR$12,表格1[Name],三國演義!$E47)+SUMIFS(表格1[QTY],表格1[Model],三國演義!$AR$12,表格1[Name],三國演義!$AA47)</f>
        <v>0</v>
      </c>
      <c r="AS47" s="77" t="e">
        <f ca="1">IF($AR47&gt;=$AE47,$AR47*'3月Target'!$W$8,0)</f>
        <v>#N/A</v>
      </c>
      <c r="AT47" s="44">
        <f ca="1">SUMIFS(表格1[QTY],表格1[Model],三國演義!$AT$12,表格1[Name],三國演義!$E47)+SUMIFS(表格1[QTY],表格1[Model],三國演義!$AT$12,表格1[Name],三國演義!$AA47)</f>
        <v>0</v>
      </c>
      <c r="AU47" s="44">
        <f ca="1">SUMIFS(表格1[QTY],表格1[Model],三國演義!$AU$12,表格1[Name],三國演義!$E47)+SUMIFS(表格1[QTY],表格1[Model],三國演義!$AU$12,表格1[Name],三國演義!$AA47)</f>
        <v>0</v>
      </c>
      <c r="AV47" s="44">
        <f ca="1">SUMIFS(表格1[QTY],表格1[Model],三國演義!$AV$12,表格1[Name],三國演義!$E47)+SUMIFS(表格1[QTY],表格1[Model],三國演義!$AV$12,表格1[Name],三國演義!$AA47)</f>
        <v>0</v>
      </c>
      <c r="AW47" s="44">
        <f ca="1">SUMIFS(表格1[QTY],表格1[Model],三國演義!$AW$12,表格1[Name],三國演義!$E47)+SUMIFS(表格1[QTY],表格1[Model],三國演義!$AW$12,表格1[Name],三國演義!$AA47)</f>
        <v>0</v>
      </c>
      <c r="AX47" s="50" t="e">
        <f ca="1">IF((SUM($AT47:$AW47))&gt;=$AB47,SUM($AT47:$AW47)*'3月Target'!$W$5,0)</f>
        <v>#N/A</v>
      </c>
      <c r="AY47" s="44">
        <f ca="1">SUMIFS(表格1[QTY],表格1[Model],三國演義!$AY$12,表格1[Name],三國演義!$E47)+SUMIFS(表格1[QTY],表格1[Model],三國演義!$AY$12,表格1[Name],三國演義!$AA47)</f>
        <v>1</v>
      </c>
      <c r="AZ47" s="77" t="e">
        <f ca="1">IF($AY47&gt;=$AC47,$AY47*'3月Target'!$W$6,0)</f>
        <v>#N/A</v>
      </c>
      <c r="BA47" s="44">
        <f ca="1">SUMIFS(表格1[QTY],表格1[Model],三國演義!$BA$12,表格1[Name],三國演義!$E47)+SUMIFS(表格1[QTY],表格1[Model],三國演義!$BA$12,表格1[Name],三國演義!$AA47)</f>
        <v>0</v>
      </c>
      <c r="BB47" s="77" t="e">
        <f ca="1">IF($BA47&gt;=$AD47,$BA47*'3月Target'!$W$7,0)</f>
        <v>#N/A</v>
      </c>
      <c r="BC47" s="44">
        <f ca="1">SUMIFS(表格1[QTY],表格1[Model],三國演義!$BC$12,表格1[Name],三國演義!$E47)+SUMIFS(表格1[QTY],表格1[Model],三國演義!$BC$12,表格1[Name],三國演義!$AA47)</f>
        <v>0</v>
      </c>
      <c r="BD47" s="77" t="e">
        <f ca="1">IF($BC47&gt;=$AF47,$BC47*'3月Target'!$W$9,0)</f>
        <v>#N/A</v>
      </c>
      <c r="BE47" s="44">
        <f ca="1">SUMIFS(表格1[QTY],表格1[Model],三國演義!$BE$12,表格1[Name],三國演義!$E47)+SUMIFS(表格1[QTY],表格1[Model],三國演義!$BE$12,表格1[Name],三國演義!$AA47)</f>
        <v>0</v>
      </c>
      <c r="BF47" s="77" t="e">
        <f ca="1">IF($BE47&gt;=$AG47,$BE47*'3月Target'!$W$10,0)</f>
        <v>#N/A</v>
      </c>
      <c r="BG47" s="44">
        <f ca="1">SUMIFS(表格1[QTY],表格1[Model],三國演義!$BG$12,表格1[Name],三國演義!$E47)+SUMIFS(表格1[QTY],表格1[Model],三國演義!$BG$12,表格1[Name],三國演義!$AA47)</f>
        <v>0</v>
      </c>
      <c r="BH47" s="77" t="e">
        <f ca="1">IF($BG47&gt;=$AH47,$BG47*'3月Target'!$W$10,0)</f>
        <v>#N/A</v>
      </c>
      <c r="BI47" s="44">
        <f ca="1">SUMIFS(表格1[QTY],表格1[Model],三國演義!$BI$12,表格1[Name],三國演義!$E47)+SUMIFS(表格1[QTY],表格1[Model],三國演義!$BI$12,表格1[Name],三國演義!$AA47)</f>
        <v>0</v>
      </c>
      <c r="BJ47" s="77" t="e">
        <f ca="1">IF($BI47&gt;=$AI47,$BI47*'3月Target'!$W$11,0)</f>
        <v>#N/A</v>
      </c>
      <c r="BK47" s="44">
        <f ca="1">SUMIFS(表格1[QTY],表格1[Model],三國演義!$BK$12,表格1[Name],三國演義!$E47)+SUMIFS(表格1[QTY],表格1[Model],三國演義!$BK$12,表格1[Name],三國演義!$AA47)</f>
        <v>0</v>
      </c>
      <c r="BL47" s="77" t="e">
        <f ca="1">IF($BK47&gt;=$AJ47,$BK47*'3月Target'!$W$12,0)</f>
        <v>#N/A</v>
      </c>
      <c r="BM47" s="44">
        <f ca="1">SUMIFS(表格1[QTY],表格1[Model],三國演義!$BM$12,表格1[Name],三國演義!$E47)+SUMIFS(表格1[QTY],表格1[Model],三國演義!$BM$12,表格1[Name],三國演義!$AA47)</f>
        <v>0</v>
      </c>
      <c r="BN47" s="77" t="e">
        <f ca="1">IF($BM47&gt;=$AK47,$BM47*'3月Target'!$W$13,0)</f>
        <v>#N/A</v>
      </c>
      <c r="BO47" s="44">
        <f ca="1">SUMIFS(表格1[QTY],表格1[Model],三國演義!$BO$12,表格1[Name],三國演義!$E47)+SUMIFS(表格1[QTY],表格1[Model],三國演義!$BO$12,表格1[Name],三國演義!$AA47)</f>
        <v>0</v>
      </c>
      <c r="BP47" s="77" t="e">
        <f ca="1">IF($BO47&gt;=$AL47,$BO47*'3月Target'!$W$14,0)</f>
        <v>#N/A</v>
      </c>
      <c r="BQ47" s="44">
        <f ca="1">SUMIFS(表格1[QTY],表格1[Model],三國演義!$BQ$12,表格1[Name],三國演義!$E47)+SUMIFS(表格1[QTY],表格1[Model],三國演義!$BQ$12,表格1[Name],三國演義!$AA47)</f>
        <v>0</v>
      </c>
      <c r="BR47" s="77" t="e">
        <f ca="1">IF($BQ47&gt;=$AM47,$BQ47*'3月Target'!$W$15,0)</f>
        <v>#N/A</v>
      </c>
      <c r="BS47" s="44">
        <f ca="1">SUMIFS(表格1[QTY],表格1[Model],三國演義!$BS$12,表格1[Name],三國演義!$E47)+SUMIFS(表格1[QTY],表格1[Model],三國演義!$BS$12,表格1[Name],三國演義!$AA47)</f>
        <v>0</v>
      </c>
      <c r="BT47" s="44">
        <f ca="1">SUMIFS(表格1[QTY],表格1[Model],三國演義!$BT$12,表格1[Name],三國演義!$E47)+SUMIFS(表格1[QTY],表格1[Model],三國演義!$BT$12,表格1[Name],三國演義!$AA47)</f>
        <v>0</v>
      </c>
      <c r="BU47" s="44">
        <f ca="1">SUMIFS(表格1[QTY],表格1[Model],三國演義!$BU$12,表格1[Name],三國演義!$E47)+SUMIFS(表格1[QTY],表格1[Model],三國演義!$BU$12,表格1[Name],三國演義!$AA47)</f>
        <v>1</v>
      </c>
      <c r="BV47" s="44">
        <f ca="1">SUMIFS(表格1[QTY],表格1[Model],三國演義!$BV$12,表格1[Name],三國演義!$E47)+SUMIFS(表格1[QTY],表格1[Model],三國演義!$BV$12,表格1[Name],三國演義!$AA47)</f>
        <v>0</v>
      </c>
      <c r="BW47" s="77" t="e">
        <f ca="1">IF((SUM($BS47:$BV47))&gt;=$AN47,SUM($BS47:$BV47)*'3月Target'!$W$16,0)</f>
        <v>#N/A</v>
      </c>
      <c r="BX47" s="44">
        <f ca="1">SUMIFS(表格1[QTY],表格1[Model],三國演義!$BX$12,表格1[Name],三國演義!$E47)+SUMIFS(表格1[QTY],表格1[Model],三國演義!$BX$12,表格1[Name],三國演義!$AA47)</f>
        <v>0</v>
      </c>
      <c r="BY47" s="77" t="e">
        <f ca="1">IF($BX47&gt;=$AO47,$BX47*'3月Target'!$W$17,0)</f>
        <v>#N/A</v>
      </c>
      <c r="BZ47" s="146">
        <f t="shared" ca="1" si="23"/>
        <v>20004</v>
      </c>
      <c r="CA47" s="77" t="e">
        <f t="shared" ca="1" si="24"/>
        <v>#N/A</v>
      </c>
      <c r="CB47" s="146">
        <f t="shared" ca="1" si="25"/>
        <v>20004</v>
      </c>
      <c r="CC47" s="77" t="e">
        <f t="shared" ca="1" si="26"/>
        <v>#N/A</v>
      </c>
    </row>
    <row r="48" spans="1:81">
      <c r="A48" s="121">
        <f ca="1">Roster!AL40*Roster!AH40+Roster!AM40*Roster!AG40+三國演義!H48+三國演義!I48+三國演義!J48</f>
        <v>13832.34</v>
      </c>
      <c r="B48" s="133">
        <v>0.02</v>
      </c>
      <c r="C48" s="66">
        <v>36</v>
      </c>
      <c r="D48" s="95" t="str">
        <f ca="1">_xlfn.XLOOKUP($E48,表格1[Name],表格1[Shop])</f>
        <v>Yata</v>
      </c>
      <c r="E48" s="95" t="s">
        <v>1051</v>
      </c>
      <c r="F48" s="96">
        <f ca="1">SUMIF(表格1[Name],$E48,表格1[Total Amount])+SUMIF(表格1[Name],$AA48,表格1[Total Amount])</f>
        <v>175117</v>
      </c>
      <c r="G48" s="161">
        <f ca="1">SUMIF(表格1[Name],$E48,表格1[QTY])+SUMIF(表格1[Name],$AA48,表格1[QTY])</f>
        <v>121</v>
      </c>
      <c r="H48" s="96">
        <f t="shared" ca="1" si="5"/>
        <v>3502.34</v>
      </c>
      <c r="I48" s="96"/>
      <c r="J48" s="51">
        <f t="shared" ca="1" si="6"/>
        <v>250</v>
      </c>
      <c r="K48" s="163">
        <f t="shared" ca="1" si="7"/>
        <v>250</v>
      </c>
      <c r="L48" s="163">
        <f t="shared" ca="1" si="8"/>
        <v>0</v>
      </c>
      <c r="M48" s="44">
        <f t="shared" ca="1" si="9"/>
        <v>0</v>
      </c>
      <c r="N48" s="44">
        <f t="shared" ca="1" si="10"/>
        <v>0</v>
      </c>
      <c r="O48" s="44">
        <f t="shared" ca="1" si="11"/>
        <v>0</v>
      </c>
      <c r="P48" s="44">
        <f t="shared" ca="1" si="12"/>
        <v>0</v>
      </c>
      <c r="Q48" s="44">
        <f t="shared" ca="1" si="13"/>
        <v>0</v>
      </c>
      <c r="R48" s="44">
        <f t="shared" ca="1" si="14"/>
        <v>0</v>
      </c>
      <c r="S48" s="44">
        <f t="shared" ca="1" si="15"/>
        <v>0</v>
      </c>
      <c r="T48" s="44">
        <f t="shared" ca="1" si="16"/>
        <v>0</v>
      </c>
      <c r="U48" s="44">
        <f t="shared" ca="1" si="17"/>
        <v>0</v>
      </c>
      <c r="V48" s="44">
        <f t="shared" ca="1" si="18"/>
        <v>0</v>
      </c>
      <c r="W48" s="44">
        <f t="shared" ca="1" si="19"/>
        <v>0</v>
      </c>
      <c r="X48" s="44">
        <f t="shared" ca="1" si="20"/>
        <v>0</v>
      </c>
      <c r="Y48" s="44">
        <f t="shared" ca="1" si="21"/>
        <v>0</v>
      </c>
      <c r="Z48" s="44">
        <f t="shared" ca="1" si="22"/>
        <v>0</v>
      </c>
      <c r="AA48" s="60" t="str">
        <f t="shared" si="4"/>
        <v>Gloria off</v>
      </c>
      <c r="AB48" s="71">
        <f>_xlfn.XLOOKUP($E48,target[NAME],target[RC-DS10K/18K])</f>
        <v>4</v>
      </c>
      <c r="AC48" s="71">
        <f>_xlfn.XLOOKUP($E48,target[NAME],target[RC-18AMXH(W)])</f>
        <v>4</v>
      </c>
      <c r="AD48" s="71">
        <f>_xlfn.XLOOKUP($E48,target[NAME],target[EB-T500APW])</f>
        <v>1</v>
      </c>
      <c r="AE48" s="71">
        <f>_xlfn.XLOOKUP($E48,target[NAME],target[ER-VD7000HK(XK)])</f>
        <v>2</v>
      </c>
      <c r="AF48" s="71">
        <f>_xlfn.XLOOKUP($E48,target[NAME],target[TWDT21BU95])</f>
        <v>2</v>
      </c>
      <c r="AG48" s="71">
        <f>_xlfn.XLOOKUP($E48,target[NAME],target[AW-Q800APH(WW)])</f>
        <v>1000</v>
      </c>
      <c r="AH48" s="71">
        <f>_xlfn.XLOOKUP($E48,target[NAME],target[AW-Q801APH(WW)])</f>
        <v>5</v>
      </c>
      <c r="AI48" s="71">
        <f>_xlfn.XLOOKUP($E48,target[NAME],target[GR-RM469WE-PGA(B3)])</f>
        <v>2</v>
      </c>
      <c r="AJ48" s="71">
        <f>_xlfn.XLOOKUP($E48,target[NAME],target[GR-RB449WE-PMA(57)])</f>
        <v>2</v>
      </c>
      <c r="AK48" s="71">
        <f>_xlfn.XLOOKUP($E48,target[NAME],target[GR-RB410WE-PMA(06)])</f>
        <v>2</v>
      </c>
      <c r="AL48" s="71">
        <f>_xlfn.XLOOKUP($E48,target[NAME],target[GR-RF698WI])</f>
        <v>1</v>
      </c>
      <c r="AM48" s="71">
        <f>_xlfn.XLOOKUP($E48,target[NAME],target[TWP-W2265THK(W)])</f>
        <v>2</v>
      </c>
      <c r="AN48" s="71">
        <f>_xlfn.XLOOKUP($E48,target[NAME],target[RAD-D200/250/300/DIA17])</f>
        <v>48</v>
      </c>
      <c r="AO48" s="71">
        <f>_xlfn.XLOOKUP($E48,target[NAME],target[(Fortress ONLY)TW-T25BZU115MWH(MG) ])</f>
        <v>1000</v>
      </c>
      <c r="AP48" s="71">
        <f>_xlfn.XLOOKUP($E48,target[NAME],target[開門紅(三月)])</f>
        <v>256800</v>
      </c>
      <c r="AQ48" s="71">
        <f>_xlfn.XLOOKUP($E48,target[NAME],target[開門紅(第一季)])</f>
        <v>446383</v>
      </c>
      <c r="AR48" s="73">
        <f ca="1">SUMIFS(表格1[QTY],表格1[Model],三國演義!$AR$12,表格1[Name],三國演義!$E48)+SUMIFS(表格1[QTY],表格1[Model],三國演義!$AR$12,表格1[Name],三國演義!$AA48)</f>
        <v>0</v>
      </c>
      <c r="AS48" s="77">
        <f ca="1">IF($AR48&gt;=$AE48,$AR48*'3月Target'!$W$8,0)</f>
        <v>0</v>
      </c>
      <c r="AT48" s="44">
        <f ca="1">SUMIFS(表格1[QTY],表格1[Model],三國演義!$AT$12,表格1[Name],三國演義!$E48)+SUMIFS(表格1[QTY],表格1[Model],三國演義!$AT$12,表格1[Name],三國演義!$AA48)</f>
        <v>0</v>
      </c>
      <c r="AU48" s="44">
        <f ca="1">SUMIFS(表格1[QTY],表格1[Model],三國演義!$AU$12,表格1[Name],三國演義!$E48)+SUMIFS(表格1[QTY],表格1[Model],三國演義!$AU$12,表格1[Name],三國演義!$AA48)</f>
        <v>3</v>
      </c>
      <c r="AV48" s="44">
        <f ca="1">SUMIFS(表格1[QTY],表格1[Model],三國演義!$AV$12,表格1[Name],三國演義!$E48)+SUMIFS(表格1[QTY],表格1[Model],三國演義!$AV$12,表格1[Name],三國演義!$AA48)</f>
        <v>0</v>
      </c>
      <c r="AW48" s="44">
        <f ca="1">SUMIFS(表格1[QTY],表格1[Model],三國演義!$AW$12,表格1[Name],三國演義!$E48)+SUMIFS(表格1[QTY],表格1[Model],三國演義!$AW$12,表格1[Name],三國演義!$AA48)</f>
        <v>2</v>
      </c>
      <c r="AX48" s="50">
        <f ca="1">IF((SUM($AT48:$AW48))&gt;=$AB48,SUM($AT48:$AW48)*'3月Target'!$W$5,0)</f>
        <v>250</v>
      </c>
      <c r="AY48" s="44">
        <f ca="1">SUMIFS(表格1[QTY],表格1[Model],三國演義!$AY$12,表格1[Name],三國演義!$E48)+SUMIFS(表格1[QTY],表格1[Model],三國演義!$AY$12,表格1[Name],三國演義!$AA48)</f>
        <v>1</v>
      </c>
      <c r="AZ48" s="77">
        <f ca="1">IF($AY48&gt;=$AC48,$AY48*'3月Target'!$W$6,0)</f>
        <v>0</v>
      </c>
      <c r="BA48" s="44">
        <f ca="1">SUMIFS(表格1[QTY],表格1[Model],三國演義!$BA$12,表格1[Name],三國演義!$E48)+SUMIFS(表格1[QTY],表格1[Model],三國演義!$BA$12,表格1[Name],三國演義!$AA48)</f>
        <v>0</v>
      </c>
      <c r="BB48" s="77">
        <f ca="1">IF($BA48&gt;=$AD48,$BA48*'3月Target'!$W$7,0)</f>
        <v>0</v>
      </c>
      <c r="BC48" s="44">
        <f ca="1">SUMIFS(表格1[QTY],表格1[Model],三國演義!$BC$12,表格1[Name],三國演義!$E48)+SUMIFS(表格1[QTY],表格1[Model],三國演義!$BC$12,表格1[Name],三國演義!$AA48)</f>
        <v>0</v>
      </c>
      <c r="BD48" s="77">
        <f ca="1">IF($BC48&gt;=$AF48,$BC48*'3月Target'!$W$9,0)</f>
        <v>0</v>
      </c>
      <c r="BE48" s="44">
        <f ca="1">SUMIFS(表格1[QTY],表格1[Model],三國演義!$BE$12,表格1[Name],三國演義!$E48)+SUMIFS(表格1[QTY],表格1[Model],三國演義!$BE$12,表格1[Name],三國演義!$AA48)</f>
        <v>0</v>
      </c>
      <c r="BF48" s="77">
        <f ca="1">IF($BE48&gt;=$AG48,$BE48*'3月Target'!$W$10,0)</f>
        <v>0</v>
      </c>
      <c r="BG48" s="44">
        <f ca="1">SUMIFS(表格1[QTY],表格1[Model],三國演義!$BG$12,表格1[Name],三國演義!$E48)+SUMIFS(表格1[QTY],表格1[Model],三國演義!$BG$12,表格1[Name],三國演義!$AA48)</f>
        <v>2</v>
      </c>
      <c r="BH48" s="77">
        <f ca="1">IF($BG48&gt;=$AH48,$BG48*'3月Target'!$W$10,0)</f>
        <v>0</v>
      </c>
      <c r="BI48" s="44">
        <f ca="1">SUMIFS(表格1[QTY],表格1[Model],三國演義!$BI$12,表格1[Name],三國演義!$E48)+SUMIFS(表格1[QTY],表格1[Model],三國演義!$BI$12,表格1[Name],三國演義!$AA48)</f>
        <v>0</v>
      </c>
      <c r="BJ48" s="77">
        <f ca="1">IF($BI48&gt;=$AI48,$BI48*'3月Target'!$W$11,0)</f>
        <v>0</v>
      </c>
      <c r="BK48" s="44">
        <f ca="1">SUMIFS(表格1[QTY],表格1[Model],三國演義!$BK$12,表格1[Name],三國演義!$E48)+SUMIFS(表格1[QTY],表格1[Model],三國演義!$BK$12,表格1[Name],三國演義!$AA48)</f>
        <v>1</v>
      </c>
      <c r="BL48" s="77">
        <f ca="1">IF($BK48&gt;=$AJ48,$BK48*'3月Target'!$W$12,0)</f>
        <v>0</v>
      </c>
      <c r="BM48" s="44">
        <f ca="1">SUMIFS(表格1[QTY],表格1[Model],三國演義!$BM$12,表格1[Name],三國演義!$E48)+SUMIFS(表格1[QTY],表格1[Model],三國演義!$BM$12,表格1[Name],三國演義!$AA48)</f>
        <v>0</v>
      </c>
      <c r="BN48" s="77">
        <f ca="1">IF($BM48&gt;=$AK48,$BM48*'3月Target'!$W$13,0)</f>
        <v>0</v>
      </c>
      <c r="BO48" s="44">
        <f ca="1">SUMIFS(表格1[QTY],表格1[Model],三國演義!$BO$12,表格1[Name],三國演義!$E48)+SUMIFS(表格1[QTY],表格1[Model],三國演義!$BO$12,表格1[Name],三國演義!$AA48)</f>
        <v>0</v>
      </c>
      <c r="BP48" s="77">
        <f ca="1">IF($BO48&gt;=$AL48,$BO48*'3月Target'!$W$14,0)</f>
        <v>0</v>
      </c>
      <c r="BQ48" s="44">
        <f ca="1">SUMIFS(表格1[QTY],表格1[Model],三國演義!$BQ$12,表格1[Name],三國演義!$E48)+SUMIFS(表格1[QTY],表格1[Model],三國演義!$BQ$12,表格1[Name],三國演義!$AA48)</f>
        <v>0</v>
      </c>
      <c r="BR48" s="77">
        <f ca="1">IF($BQ48&gt;=$AM48,$BQ48*'3月Target'!$W$15,0)</f>
        <v>0</v>
      </c>
      <c r="BS48" s="44">
        <f ca="1">SUMIFS(表格1[QTY],表格1[Model],三國演義!$BS$12,表格1[Name],三國演義!$E48)+SUMIFS(表格1[QTY],表格1[Model],三國演義!$BS$12,表格1[Name],三國演義!$AA48)</f>
        <v>0</v>
      </c>
      <c r="BT48" s="44">
        <f ca="1">SUMIFS(表格1[QTY],表格1[Model],三國演義!$BT$12,表格1[Name],三國演義!$E48)+SUMIFS(表格1[QTY],表格1[Model],三國演義!$BT$12,表格1[Name],三國演義!$AA48)</f>
        <v>0</v>
      </c>
      <c r="BU48" s="44">
        <f ca="1">SUMIFS(表格1[QTY],表格1[Model],三國演義!$BU$12,表格1[Name],三國演義!$E48)+SUMIFS(表格1[QTY],表格1[Model],三國演義!$BU$12,表格1[Name],三國演義!$AA48)</f>
        <v>2</v>
      </c>
      <c r="BV48" s="44">
        <f ca="1">SUMIFS(表格1[QTY],表格1[Model],三國演義!$BV$12,表格1[Name],三國演義!$E48)+SUMIFS(表格1[QTY],表格1[Model],三國演義!$BV$12,表格1[Name],三國演義!$AA48)</f>
        <v>0</v>
      </c>
      <c r="BW48" s="77">
        <f ca="1">IF((SUM($BS48:$BV48))&gt;=$AN48,SUM($BS48:$BV48)*'3月Target'!$W$16,0)</f>
        <v>0</v>
      </c>
      <c r="BX48" s="44">
        <f ca="1">SUMIFS(表格1[QTY],表格1[Model],三國演義!$BX$12,表格1[Name],三國演義!$E48)+SUMIFS(表格1[QTY],表格1[Model],三國演義!$BX$12,表格1[Name],三國演義!$AA48)</f>
        <v>0</v>
      </c>
      <c r="BY48" s="77">
        <f ca="1">IF($BX48&gt;=$AO48,$BX48*'3月Target'!$W$17,0)</f>
        <v>0</v>
      </c>
      <c r="BZ48" s="146">
        <f t="shared" ca="1" si="23"/>
        <v>175117</v>
      </c>
      <c r="CA48" s="77">
        <f t="shared" ca="1" si="24"/>
        <v>0</v>
      </c>
      <c r="CB48" s="146">
        <f t="shared" ca="1" si="25"/>
        <v>175117</v>
      </c>
      <c r="CC48" s="77">
        <f t="shared" ca="1" si="26"/>
        <v>0</v>
      </c>
    </row>
    <row r="49" spans="1:81">
      <c r="A49" s="121">
        <f ca="1">Roster!AL41*Roster!AH41+Roster!AM41*Roster!AG41+三國演義!H49+三國演義!I49+三國演義!J49</f>
        <v>3539.04</v>
      </c>
      <c r="B49" s="133">
        <v>0.01</v>
      </c>
      <c r="C49" s="66">
        <v>37</v>
      </c>
      <c r="D49" s="95" t="str">
        <f ca="1">_xlfn.XLOOKUP($E49,表格1[Name],表格1[Shop])</f>
        <v>Yata</v>
      </c>
      <c r="E49" s="95" t="s">
        <v>1219</v>
      </c>
      <c r="F49" s="96">
        <f ca="1">SUMIF(表格1[Name],$E49,表格1[Total Amount])+SUMIF(表格1[Name],$AA49,表格1[Total Amount])</f>
        <v>32952</v>
      </c>
      <c r="G49" s="161">
        <f ca="1">SUMIF(表格1[Name],$E49,表格1[QTY])+SUMIF(表格1[Name],$AA49,表格1[QTY])</f>
        <v>22</v>
      </c>
      <c r="H49" s="96">
        <f t="shared" ca="1" si="5"/>
        <v>659.04</v>
      </c>
      <c r="I49" s="96"/>
      <c r="J49" s="51">
        <f t="shared" si="6"/>
        <v>0</v>
      </c>
      <c r="K49" s="164"/>
      <c r="L49" s="164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60" t="str">
        <f t="shared" si="4"/>
        <v>Tony_2 off</v>
      </c>
      <c r="AB49" s="71" t="e">
        <f>_xlfn.XLOOKUP($E49,target[NAME],target[RC-DS10K/18K])</f>
        <v>#N/A</v>
      </c>
      <c r="AC49" s="71" t="e">
        <f>_xlfn.XLOOKUP($E49,target[NAME],target[RC-18AMXH(W)])</f>
        <v>#N/A</v>
      </c>
      <c r="AD49" s="71" t="e">
        <f>_xlfn.XLOOKUP($E49,target[NAME],target[EB-T500APW])</f>
        <v>#N/A</v>
      </c>
      <c r="AE49" s="71" t="e">
        <f>_xlfn.XLOOKUP($E49,target[NAME],target[ER-VD7000HK(XK)])</f>
        <v>#N/A</v>
      </c>
      <c r="AF49" s="71" t="e">
        <f>_xlfn.XLOOKUP($E49,target[NAME],target[TWDT21BU95])</f>
        <v>#N/A</v>
      </c>
      <c r="AG49" s="71" t="e">
        <f>_xlfn.XLOOKUP($E49,target[NAME],target[AW-Q800APH(WW)])</f>
        <v>#N/A</v>
      </c>
      <c r="AH49" s="71" t="e">
        <f>_xlfn.XLOOKUP($E49,target[NAME],target[AW-Q801APH(WW)])</f>
        <v>#N/A</v>
      </c>
      <c r="AI49" s="71" t="e">
        <f>_xlfn.XLOOKUP($E49,target[NAME],target[GR-RM469WE-PGA(B3)])</f>
        <v>#N/A</v>
      </c>
      <c r="AJ49" s="71" t="e">
        <f>_xlfn.XLOOKUP($E49,target[NAME],target[GR-RB449WE-PMA(57)])</f>
        <v>#N/A</v>
      </c>
      <c r="AK49" s="71" t="e">
        <f>_xlfn.XLOOKUP($E49,target[NAME],target[GR-RB410WE-PMA(06)])</f>
        <v>#N/A</v>
      </c>
      <c r="AL49" s="71" t="e">
        <f>_xlfn.XLOOKUP($E49,target[NAME],target[GR-RF698WI])</f>
        <v>#N/A</v>
      </c>
      <c r="AM49" s="71" t="e">
        <f>_xlfn.XLOOKUP($E49,target[NAME],target[TWP-W2265THK(W)])</f>
        <v>#N/A</v>
      </c>
      <c r="AN49" s="71" t="e">
        <f>_xlfn.XLOOKUP($E49,target[NAME],target[RAD-D200/250/300/DIA17])</f>
        <v>#N/A</v>
      </c>
      <c r="AO49" s="71" t="e">
        <f>_xlfn.XLOOKUP($E49,target[NAME],target[(Fortress ONLY)TW-T25BZU115MWH(MG) ])</f>
        <v>#N/A</v>
      </c>
      <c r="AP49" s="71" t="e">
        <f>_xlfn.XLOOKUP($E49,target[NAME],target[開門紅(三月)])</f>
        <v>#N/A</v>
      </c>
      <c r="AQ49" s="71" t="e">
        <f>_xlfn.XLOOKUP($E49,target[NAME],target[開門紅(第一季)])</f>
        <v>#N/A</v>
      </c>
      <c r="AR49" s="73">
        <f ca="1">SUMIFS(表格1[QTY],表格1[Model],三國演義!$AR$12,表格1[Name],三國演義!$E49)+SUMIFS(表格1[QTY],表格1[Model],三國演義!$AR$12,表格1[Name],三國演義!$AA49)</f>
        <v>0</v>
      </c>
      <c r="AS49" s="77" t="e">
        <f ca="1">IF($AR49&gt;=$AE49,$AR49*'3月Target'!$W$8,0)</f>
        <v>#N/A</v>
      </c>
      <c r="AT49" s="44">
        <f ca="1">SUMIFS(表格1[QTY],表格1[Model],三國演義!$AT$12,表格1[Name],三國演義!$E49)+SUMIFS(表格1[QTY],表格1[Model],三國演義!$AT$12,表格1[Name],三國演義!$AA49)</f>
        <v>0</v>
      </c>
      <c r="AU49" s="44">
        <f ca="1">SUMIFS(表格1[QTY],表格1[Model],三國演義!$AU$12,表格1[Name],三國演義!$E49)+SUMIFS(表格1[QTY],表格1[Model],三國演義!$AU$12,表格1[Name],三國演義!$AA49)</f>
        <v>0</v>
      </c>
      <c r="AV49" s="44">
        <f ca="1">SUMIFS(表格1[QTY],表格1[Model],三國演義!$AV$12,表格1[Name],三國演義!$E49)+SUMIFS(表格1[QTY],表格1[Model],三國演義!$AV$12,表格1[Name],三國演義!$AA49)</f>
        <v>0</v>
      </c>
      <c r="AW49" s="44">
        <f ca="1">SUMIFS(表格1[QTY],表格1[Model],三國演義!$AW$12,表格1[Name],三國演義!$E49)+SUMIFS(表格1[QTY],表格1[Model],三國演義!$AW$12,表格1[Name],三國演義!$AA49)</f>
        <v>0</v>
      </c>
      <c r="AX49" s="50" t="e">
        <f ca="1">IF((SUM($AT49:$AW49))&gt;=$AB49,SUM($AT49:$AW49)*'3月Target'!$W$5,0)</f>
        <v>#N/A</v>
      </c>
      <c r="AY49" s="44">
        <f ca="1">SUMIFS(表格1[QTY],表格1[Model],三國演義!$AY$12,表格1[Name],三國演義!$E49)+SUMIFS(表格1[QTY],表格1[Model],三國演義!$AY$12,表格1[Name],三國演義!$AA49)</f>
        <v>0</v>
      </c>
      <c r="AZ49" s="77" t="e">
        <f ca="1">IF($AY49&gt;=$AC49,$AY49*'3月Target'!$W$6,0)</f>
        <v>#N/A</v>
      </c>
      <c r="BA49" s="44">
        <f ca="1">SUMIFS(表格1[QTY],表格1[Model],三國演義!$BA$12,表格1[Name],三國演義!$E49)+SUMIFS(表格1[QTY],表格1[Model],三國演義!$BA$12,表格1[Name],三國演義!$AA49)</f>
        <v>0</v>
      </c>
      <c r="BB49" s="77" t="e">
        <f ca="1">IF($BA49&gt;=$AD49,$BA49*'3月Target'!$W$7,0)</f>
        <v>#N/A</v>
      </c>
      <c r="BC49" s="44">
        <f ca="1">SUMIFS(表格1[QTY],表格1[Model],三國演義!$BC$12,表格1[Name],三國演義!$E49)+SUMIFS(表格1[QTY],表格1[Model],三國演義!$BC$12,表格1[Name],三國演義!$AA49)</f>
        <v>0</v>
      </c>
      <c r="BD49" s="77" t="e">
        <f ca="1">IF($BC49&gt;=$AF49,$BC49*'3月Target'!$W$9,0)</f>
        <v>#N/A</v>
      </c>
      <c r="BE49" s="44">
        <f ca="1">SUMIFS(表格1[QTY],表格1[Model],三國演義!$BE$12,表格1[Name],三國演義!$E49)+SUMIFS(表格1[QTY],表格1[Model],三國演義!$BE$12,表格1[Name],三國演義!$AA49)</f>
        <v>0</v>
      </c>
      <c r="BF49" s="77" t="e">
        <f ca="1">IF($BE49&gt;=$AG49,$BE49*'3月Target'!$W$10,0)</f>
        <v>#N/A</v>
      </c>
      <c r="BG49" s="44">
        <f ca="1">SUMIFS(表格1[QTY],表格1[Model],三國演義!$BG$12,表格1[Name],三國演義!$E49)+SUMIFS(表格1[QTY],表格1[Model],三國演義!$BG$12,表格1[Name],三國演義!$AA49)</f>
        <v>1</v>
      </c>
      <c r="BH49" s="77" t="e">
        <f ca="1">IF($BG49&gt;=$AH49,$BG49*'3月Target'!$W$10,0)</f>
        <v>#N/A</v>
      </c>
      <c r="BI49" s="44">
        <f ca="1">SUMIFS(表格1[QTY],表格1[Model],三國演義!$BI$12,表格1[Name],三國演義!$E49)+SUMIFS(表格1[QTY],表格1[Model],三國演義!$BI$12,表格1[Name],三國演義!$AA49)</f>
        <v>0</v>
      </c>
      <c r="BJ49" s="77" t="e">
        <f ca="1">IF($BI49&gt;=$AI49,$BI49*'3月Target'!$W$11,0)</f>
        <v>#N/A</v>
      </c>
      <c r="BK49" s="44">
        <f ca="1">SUMIFS(表格1[QTY],表格1[Model],三國演義!$BK$12,表格1[Name],三國演義!$E49)+SUMIFS(表格1[QTY],表格1[Model],三國演義!$BK$12,表格1[Name],三國演義!$AA49)</f>
        <v>0</v>
      </c>
      <c r="BL49" s="77" t="e">
        <f ca="1">IF($BK49&gt;=$AJ49,$BK49*'3月Target'!$W$12,0)</f>
        <v>#N/A</v>
      </c>
      <c r="BM49" s="44">
        <f ca="1">SUMIFS(表格1[QTY],表格1[Model],三國演義!$BM$12,表格1[Name],三國演義!$E49)+SUMIFS(表格1[QTY],表格1[Model],三國演義!$BM$12,表格1[Name],三國演義!$AA49)</f>
        <v>0</v>
      </c>
      <c r="BN49" s="77" t="e">
        <f ca="1">IF($BM49&gt;=$AK49,$BM49*'3月Target'!$W$13,0)</f>
        <v>#N/A</v>
      </c>
      <c r="BO49" s="44">
        <f ca="1">SUMIFS(表格1[QTY],表格1[Model],三國演義!$BO$12,表格1[Name],三國演義!$E49)+SUMIFS(表格1[QTY],表格1[Model],三國演義!$BO$12,表格1[Name],三國演義!$AA49)</f>
        <v>0</v>
      </c>
      <c r="BP49" s="77" t="e">
        <f ca="1">IF($BO49&gt;=$AL49,$BO49*'3月Target'!$W$14,0)</f>
        <v>#N/A</v>
      </c>
      <c r="BQ49" s="44">
        <f ca="1">SUMIFS(表格1[QTY],表格1[Model],三國演義!$BQ$12,表格1[Name],三國演義!$E49)+SUMIFS(表格1[QTY],表格1[Model],三國演義!$BQ$12,表格1[Name],三國演義!$AA49)</f>
        <v>0</v>
      </c>
      <c r="BR49" s="77" t="e">
        <f ca="1">IF($BQ49&gt;=$AM49,$BQ49*'3月Target'!$W$15,0)</f>
        <v>#N/A</v>
      </c>
      <c r="BS49" s="44">
        <f ca="1">SUMIFS(表格1[QTY],表格1[Model],三國演義!$BS$12,表格1[Name],三國演義!$E49)+SUMIFS(表格1[QTY],表格1[Model],三國演義!$BS$12,表格1[Name],三國演義!$AA49)</f>
        <v>0</v>
      </c>
      <c r="BT49" s="44">
        <f ca="1">SUMIFS(表格1[QTY],表格1[Model],三國演義!$BT$12,表格1[Name],三國演義!$E49)+SUMIFS(表格1[QTY],表格1[Model],三國演義!$BT$12,表格1[Name],三國演義!$AA49)</f>
        <v>0</v>
      </c>
      <c r="BU49" s="44">
        <f ca="1">SUMIFS(表格1[QTY],表格1[Model],三國演義!$BU$12,表格1[Name],三國演義!$E49)+SUMIFS(表格1[QTY],表格1[Model],三國演義!$BU$12,表格1[Name],三國演義!$AA49)</f>
        <v>0</v>
      </c>
      <c r="BV49" s="44">
        <f ca="1">SUMIFS(表格1[QTY],表格1[Model],三國演義!$BV$12,表格1[Name],三國演義!$E49)+SUMIFS(表格1[QTY],表格1[Model],三國演義!$BV$12,表格1[Name],三國演義!$AA49)</f>
        <v>0</v>
      </c>
      <c r="BW49" s="77" t="e">
        <f ca="1">IF((SUM($BS49:$BV49))&gt;=$AN49,SUM($BS49:$BV49)*'3月Target'!$W$16,0)</f>
        <v>#N/A</v>
      </c>
      <c r="BX49" s="44">
        <f ca="1">SUMIFS(表格1[QTY],表格1[Model],三國演義!$BX$12,表格1[Name],三國演義!$E49)+SUMIFS(表格1[QTY],表格1[Model],三國演義!$BX$12,表格1[Name],三國演義!$AA49)</f>
        <v>0</v>
      </c>
      <c r="BY49" s="77" t="e">
        <f ca="1">IF($BX49&gt;=$AO49,$BX49*'3月Target'!$W$17,0)</f>
        <v>#N/A</v>
      </c>
      <c r="BZ49" s="146">
        <f t="shared" ca="1" si="23"/>
        <v>32952</v>
      </c>
      <c r="CA49" s="77" t="e">
        <f t="shared" ca="1" si="24"/>
        <v>#N/A</v>
      </c>
      <c r="CB49" s="146">
        <f t="shared" ca="1" si="25"/>
        <v>32952</v>
      </c>
      <c r="CC49" s="77" t="e">
        <f t="shared" ca="1" si="26"/>
        <v>#N/A</v>
      </c>
    </row>
    <row r="50" spans="1:81">
      <c r="A50" s="121">
        <f ca="1">Roster!AL42*Roster!AH42+Roster!AM42*Roster!AG42+三國演義!H50+三國演義!I50+三國演義!J50</f>
        <v>2091</v>
      </c>
      <c r="B50" s="133">
        <v>0.02</v>
      </c>
      <c r="C50" s="66">
        <v>38</v>
      </c>
      <c r="D50" s="95" t="str">
        <f ca="1">_xlfn.XLOOKUP($E50,表格1[Name],表格1[Shop])</f>
        <v>Yata</v>
      </c>
      <c r="E50" s="95" t="s">
        <v>1416</v>
      </c>
      <c r="F50" s="96">
        <f ca="1">SUMIF(表格1[Name],$E50,表格1[Total Amount])+SUMIF(表格1[Name],$AA50,表格1[Total Amount])</f>
        <v>8550</v>
      </c>
      <c r="G50" s="161">
        <f ca="1">SUMIF(表格1[Name],$E50,表格1[QTY])+SUMIF(表格1[Name],$AA50,表格1[QTY])</f>
        <v>11</v>
      </c>
      <c r="H50" s="96">
        <f t="shared" ca="1" si="5"/>
        <v>171</v>
      </c>
      <c r="I50" s="96"/>
      <c r="J50" s="51">
        <f t="shared" si="6"/>
        <v>0</v>
      </c>
      <c r="K50" s="164"/>
      <c r="L50" s="164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60" t="str">
        <f t="shared" si="4"/>
        <v>Kit_2 off</v>
      </c>
      <c r="AB50" s="71" t="e">
        <f>_xlfn.XLOOKUP($E50,target[NAME],target[RC-DS10K/18K])</f>
        <v>#N/A</v>
      </c>
      <c r="AC50" s="71" t="e">
        <f>_xlfn.XLOOKUP($E50,target[NAME],target[RC-18AMXH(W)])</f>
        <v>#N/A</v>
      </c>
      <c r="AD50" s="71" t="e">
        <f>_xlfn.XLOOKUP($E50,target[NAME],target[EB-T500APW])</f>
        <v>#N/A</v>
      </c>
      <c r="AE50" s="71" t="e">
        <f>_xlfn.XLOOKUP($E50,target[NAME],target[ER-VD7000HK(XK)])</f>
        <v>#N/A</v>
      </c>
      <c r="AF50" s="71" t="e">
        <f>_xlfn.XLOOKUP($E50,target[NAME],target[TWDT21BU95])</f>
        <v>#N/A</v>
      </c>
      <c r="AG50" s="71" t="e">
        <f>_xlfn.XLOOKUP($E50,target[NAME],target[AW-Q800APH(WW)])</f>
        <v>#N/A</v>
      </c>
      <c r="AH50" s="71" t="e">
        <f>_xlfn.XLOOKUP($E50,target[NAME],target[AW-Q801APH(WW)])</f>
        <v>#N/A</v>
      </c>
      <c r="AI50" s="71" t="e">
        <f>_xlfn.XLOOKUP($E50,target[NAME],target[GR-RM469WE-PGA(B3)])</f>
        <v>#N/A</v>
      </c>
      <c r="AJ50" s="71" t="e">
        <f>_xlfn.XLOOKUP($E50,target[NAME],target[GR-RB449WE-PMA(57)])</f>
        <v>#N/A</v>
      </c>
      <c r="AK50" s="71" t="e">
        <f>_xlfn.XLOOKUP($E50,target[NAME],target[GR-RB410WE-PMA(06)])</f>
        <v>#N/A</v>
      </c>
      <c r="AL50" s="71" t="e">
        <f>_xlfn.XLOOKUP($E50,target[NAME],target[GR-RF698WI])</f>
        <v>#N/A</v>
      </c>
      <c r="AM50" s="71" t="e">
        <f>_xlfn.XLOOKUP($E50,target[NAME],target[TWP-W2265THK(W)])</f>
        <v>#N/A</v>
      </c>
      <c r="AN50" s="71" t="e">
        <f>_xlfn.XLOOKUP($E50,target[NAME],target[RAD-D200/250/300/DIA17])</f>
        <v>#N/A</v>
      </c>
      <c r="AO50" s="71" t="e">
        <f>_xlfn.XLOOKUP($E50,target[NAME],target[(Fortress ONLY)TW-T25BZU115MWH(MG) ])</f>
        <v>#N/A</v>
      </c>
      <c r="AP50" s="71" t="e">
        <f>_xlfn.XLOOKUP($E50,target[NAME],target[開門紅(三月)])</f>
        <v>#N/A</v>
      </c>
      <c r="AQ50" s="71" t="e">
        <f>_xlfn.XLOOKUP($E50,target[NAME],target[開門紅(第一季)])</f>
        <v>#N/A</v>
      </c>
      <c r="AR50" s="73">
        <f ca="1">SUMIFS(表格1[QTY],表格1[Model],三國演義!$AR$12,表格1[Name],三國演義!$E50)+SUMIFS(表格1[QTY],表格1[Model],三國演義!$AR$12,表格1[Name],三國演義!$AA50)</f>
        <v>0</v>
      </c>
      <c r="AS50" s="77" t="e">
        <f ca="1">IF($AR50&gt;=$AE50,$AR50*'3月Target'!$W$8,0)</f>
        <v>#N/A</v>
      </c>
      <c r="AT50" s="44">
        <f ca="1">SUMIFS(表格1[QTY],表格1[Model],三國演義!$AT$12,表格1[Name],三國演義!$E50)+SUMIFS(表格1[QTY],表格1[Model],三國演義!$AT$12,表格1[Name],三國演義!$AA50)</f>
        <v>0</v>
      </c>
      <c r="AU50" s="44">
        <f ca="1">SUMIFS(表格1[QTY],表格1[Model],三國演義!$AU$12,表格1[Name],三國演義!$E50)+SUMIFS(表格1[QTY],表格1[Model],三國演義!$AU$12,表格1[Name],三國演義!$AA50)</f>
        <v>0</v>
      </c>
      <c r="AV50" s="44">
        <f ca="1">SUMIFS(表格1[QTY],表格1[Model],三國演義!$AV$12,表格1[Name],三國演義!$E50)+SUMIFS(表格1[QTY],表格1[Model],三國演義!$AV$12,表格1[Name],三國演義!$AA50)</f>
        <v>0</v>
      </c>
      <c r="AW50" s="44">
        <f ca="1">SUMIFS(表格1[QTY],表格1[Model],三國演義!$AW$12,表格1[Name],三國演義!$E50)+SUMIFS(表格1[QTY],表格1[Model],三國演義!$AW$12,表格1[Name],三國演義!$AA50)</f>
        <v>0</v>
      </c>
      <c r="AX50" s="50" t="e">
        <f ca="1">IF((SUM($AT50:$AW50))&gt;=$AB50,SUM($AT50:$AW50)*'3月Target'!$W$5,0)</f>
        <v>#N/A</v>
      </c>
      <c r="AY50" s="44">
        <f ca="1">SUMIFS(表格1[QTY],表格1[Model],三國演義!$AY$12,表格1[Name],三國演義!$E50)+SUMIFS(表格1[QTY],表格1[Model],三國演義!$AY$12,表格1[Name],三國演義!$AA50)</f>
        <v>0</v>
      </c>
      <c r="AZ50" s="77" t="e">
        <f ca="1">IF($AY50&gt;=$AC50,$AY50*'3月Target'!$W$6,0)</f>
        <v>#N/A</v>
      </c>
      <c r="BA50" s="44">
        <f ca="1">SUMIFS(表格1[QTY],表格1[Model],三國演義!$BA$12,表格1[Name],三國演義!$E50)+SUMIFS(表格1[QTY],表格1[Model],三國演義!$BA$12,表格1[Name],三國演義!$AA50)</f>
        <v>0</v>
      </c>
      <c r="BB50" s="77" t="e">
        <f ca="1">IF($BA50&gt;=$AD50,$BA50*'3月Target'!$W$7,0)</f>
        <v>#N/A</v>
      </c>
      <c r="BC50" s="44">
        <f ca="1">SUMIFS(表格1[QTY],表格1[Model],三國演義!$BC$12,表格1[Name],三國演義!$E50)+SUMIFS(表格1[QTY],表格1[Model],三國演義!$BC$12,表格1[Name],三國演義!$AA50)</f>
        <v>0</v>
      </c>
      <c r="BD50" s="77" t="e">
        <f ca="1">IF($BC50&gt;=$AF50,$BC50*'3月Target'!$W$9,0)</f>
        <v>#N/A</v>
      </c>
      <c r="BE50" s="44">
        <f ca="1">SUMIFS(表格1[QTY],表格1[Model],三國演義!$BE$12,表格1[Name],三國演義!$E50)+SUMIFS(表格1[QTY],表格1[Model],三國演義!$BE$12,表格1[Name],三國演義!$AA50)</f>
        <v>0</v>
      </c>
      <c r="BF50" s="77" t="e">
        <f ca="1">IF($BE50&gt;=$AG50,$BE50*'3月Target'!$W$10,0)</f>
        <v>#N/A</v>
      </c>
      <c r="BG50" s="44">
        <f ca="1">SUMIFS(表格1[QTY],表格1[Model],三國演義!$BG$12,表格1[Name],三國演義!$E50)+SUMIFS(表格1[QTY],表格1[Model],三國演義!$BG$12,表格1[Name],三國演義!$AA50)</f>
        <v>0</v>
      </c>
      <c r="BH50" s="77" t="e">
        <f ca="1">IF($BG50&gt;=$AH50,$BG50*'3月Target'!$W$10,0)</f>
        <v>#N/A</v>
      </c>
      <c r="BI50" s="44">
        <f ca="1">SUMIFS(表格1[QTY],表格1[Model],三國演義!$BI$12,表格1[Name],三國演義!$E50)+SUMIFS(表格1[QTY],表格1[Model],三國演義!$BI$12,表格1[Name],三國演義!$AA50)</f>
        <v>0</v>
      </c>
      <c r="BJ50" s="77" t="e">
        <f ca="1">IF($BI50&gt;=$AI50,$BI50*'3月Target'!$W$11,0)</f>
        <v>#N/A</v>
      </c>
      <c r="BK50" s="44">
        <f ca="1">SUMIFS(表格1[QTY],表格1[Model],三國演義!$BK$12,表格1[Name],三國演義!$E50)+SUMIFS(表格1[QTY],表格1[Model],三國演義!$BK$12,表格1[Name],三國演義!$AA50)</f>
        <v>0</v>
      </c>
      <c r="BL50" s="77" t="e">
        <f ca="1">IF($BK50&gt;=$AJ50,$BK50*'3月Target'!$W$12,0)</f>
        <v>#N/A</v>
      </c>
      <c r="BM50" s="44">
        <f ca="1">SUMIFS(表格1[QTY],表格1[Model],三國演義!$BM$12,表格1[Name],三國演義!$E50)+SUMIFS(表格1[QTY],表格1[Model],三國演義!$BM$12,表格1[Name],三國演義!$AA50)</f>
        <v>0</v>
      </c>
      <c r="BN50" s="77" t="e">
        <f ca="1">IF($BM50&gt;=$AK50,$BM50*'3月Target'!$W$13,0)</f>
        <v>#N/A</v>
      </c>
      <c r="BO50" s="44">
        <f ca="1">SUMIFS(表格1[QTY],表格1[Model],三國演義!$BO$12,表格1[Name],三國演義!$E50)+SUMIFS(表格1[QTY],表格1[Model],三國演義!$BO$12,表格1[Name],三國演義!$AA50)</f>
        <v>0</v>
      </c>
      <c r="BP50" s="77" t="e">
        <f ca="1">IF($BO50&gt;=$AL50,$BO50*'3月Target'!$W$14,0)</f>
        <v>#N/A</v>
      </c>
      <c r="BQ50" s="44">
        <f ca="1">SUMIFS(表格1[QTY],表格1[Model],三國演義!$BQ$12,表格1[Name],三國演義!$E50)+SUMIFS(表格1[QTY],表格1[Model],三國演義!$BQ$12,表格1[Name],三國演義!$AA50)</f>
        <v>0</v>
      </c>
      <c r="BR50" s="77" t="e">
        <f ca="1">IF($BQ50&gt;=$AM50,$BQ50*'3月Target'!$W$15,0)</f>
        <v>#N/A</v>
      </c>
      <c r="BS50" s="44">
        <f ca="1">SUMIFS(表格1[QTY],表格1[Model],三國演義!$BS$12,表格1[Name],三國演義!$E50)+SUMIFS(表格1[QTY],表格1[Model],三國演義!$BS$12,表格1[Name],三國演義!$AA50)</f>
        <v>1</v>
      </c>
      <c r="BT50" s="44">
        <f ca="1">SUMIFS(表格1[QTY],表格1[Model],三國演義!$BT$12,表格1[Name],三國演義!$E50)+SUMIFS(表格1[QTY],表格1[Model],三國演義!$BT$12,表格1[Name],三國演義!$AA50)</f>
        <v>0</v>
      </c>
      <c r="BU50" s="44">
        <f ca="1">SUMIFS(表格1[QTY],表格1[Model],三國演義!$BU$12,表格1[Name],三國演義!$E50)+SUMIFS(表格1[QTY],表格1[Model],三國演義!$BU$12,表格1[Name],三國演義!$AA50)</f>
        <v>0</v>
      </c>
      <c r="BV50" s="44">
        <f ca="1">SUMIFS(表格1[QTY],表格1[Model],三國演義!$BV$12,表格1[Name],三國演義!$E50)+SUMIFS(表格1[QTY],表格1[Model],三國演義!$BV$12,表格1[Name],三國演義!$AA50)</f>
        <v>0</v>
      </c>
      <c r="BW50" s="77" t="e">
        <f ca="1">IF((SUM($BS50:$BV50))&gt;=$AN50,SUM($BS50:$BV50)*'3月Target'!$W$16,0)</f>
        <v>#N/A</v>
      </c>
      <c r="BX50" s="44">
        <f ca="1">SUMIFS(表格1[QTY],表格1[Model],三國演義!$BX$12,表格1[Name],三國演義!$E50)+SUMIFS(表格1[QTY],表格1[Model],三國演義!$BX$12,表格1[Name],三國演義!$AA50)</f>
        <v>0</v>
      </c>
      <c r="BY50" s="77" t="e">
        <f ca="1">IF($BX50&gt;=$AO50,$BX50*'3月Target'!$W$17,0)</f>
        <v>#N/A</v>
      </c>
      <c r="BZ50" s="146">
        <f t="shared" ca="1" si="23"/>
        <v>8550</v>
      </c>
      <c r="CA50" s="77" t="e">
        <f t="shared" ca="1" si="24"/>
        <v>#N/A</v>
      </c>
      <c r="CB50" s="146">
        <f t="shared" ca="1" si="25"/>
        <v>8550</v>
      </c>
      <c r="CC50" s="77" t="e">
        <f t="shared" ca="1" si="26"/>
        <v>#N/A</v>
      </c>
    </row>
    <row r="51" spans="1:81">
      <c r="A51" s="121">
        <f ca="1">Roster!AL43*Roster!AH43+Roster!AM43*Roster!AG43+三國演義!H51+三國演義!I51+三國演義!J51</f>
        <v>1553.88</v>
      </c>
      <c r="B51" s="133">
        <v>0.02</v>
      </c>
      <c r="C51" s="66">
        <v>39</v>
      </c>
      <c r="D51" s="95" t="str">
        <f ca="1">_xlfn.XLOOKUP($E51,表格1[Name],表格1[Shop])</f>
        <v>Sogo</v>
      </c>
      <c r="E51" s="95" t="s">
        <v>1904</v>
      </c>
      <c r="F51" s="96">
        <f ca="1">SUMIF(表格1[Name],$E51,表格1[Total Amount])+SUMIF(表格1[Name],$AA51,表格1[Total Amount])</f>
        <v>5694</v>
      </c>
      <c r="G51" s="161">
        <f ca="1">SUMIF(表格1[Name],$E51,表格1[QTY])+SUMIF(表格1[Name],$AA51,表格1[QTY])</f>
        <v>10</v>
      </c>
      <c r="H51" s="96">
        <f t="shared" ca="1" si="5"/>
        <v>113.88</v>
      </c>
      <c r="I51" s="96"/>
      <c r="J51" s="51">
        <f t="shared" si="6"/>
        <v>0</v>
      </c>
      <c r="K51" s="164"/>
      <c r="L51" s="164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60" t="str">
        <f t="shared" si="4"/>
        <v>Anita_1 off</v>
      </c>
      <c r="AB51" s="71" t="e">
        <f>_xlfn.XLOOKUP($E51,target[NAME],target[RC-DS10K/18K])</f>
        <v>#N/A</v>
      </c>
      <c r="AC51" s="71" t="e">
        <f>_xlfn.XLOOKUP($E51,target[NAME],target[RC-18AMXH(W)])</f>
        <v>#N/A</v>
      </c>
      <c r="AD51" s="71" t="e">
        <f>_xlfn.XLOOKUP($E51,target[NAME],target[EB-T500APW])</f>
        <v>#N/A</v>
      </c>
      <c r="AE51" s="71" t="e">
        <f>_xlfn.XLOOKUP($E51,target[NAME],target[ER-VD7000HK(XK)])</f>
        <v>#N/A</v>
      </c>
      <c r="AF51" s="71" t="e">
        <f>_xlfn.XLOOKUP($E51,target[NAME],target[TWDT21BU95])</f>
        <v>#N/A</v>
      </c>
      <c r="AG51" s="71" t="e">
        <f>_xlfn.XLOOKUP($E51,target[NAME],target[AW-Q800APH(WW)])</f>
        <v>#N/A</v>
      </c>
      <c r="AH51" s="71" t="e">
        <f>_xlfn.XLOOKUP($E51,target[NAME],target[AW-Q801APH(WW)])</f>
        <v>#N/A</v>
      </c>
      <c r="AI51" s="71" t="e">
        <f>_xlfn.XLOOKUP($E51,target[NAME],target[GR-RM469WE-PGA(B3)])</f>
        <v>#N/A</v>
      </c>
      <c r="AJ51" s="71" t="e">
        <f>_xlfn.XLOOKUP($E51,target[NAME],target[GR-RB449WE-PMA(57)])</f>
        <v>#N/A</v>
      </c>
      <c r="AK51" s="71" t="e">
        <f>_xlfn.XLOOKUP($E51,target[NAME],target[GR-RB410WE-PMA(06)])</f>
        <v>#N/A</v>
      </c>
      <c r="AL51" s="71" t="e">
        <f>_xlfn.XLOOKUP($E51,target[NAME],target[GR-RF698WI])</f>
        <v>#N/A</v>
      </c>
      <c r="AM51" s="71" t="e">
        <f>_xlfn.XLOOKUP($E51,target[NAME],target[TWP-W2265THK(W)])</f>
        <v>#N/A</v>
      </c>
      <c r="AN51" s="71" t="e">
        <f>_xlfn.XLOOKUP($E51,target[NAME],target[RAD-D200/250/300/DIA17])</f>
        <v>#N/A</v>
      </c>
      <c r="AO51" s="71" t="e">
        <f>_xlfn.XLOOKUP($E51,target[NAME],target[(Fortress ONLY)TW-T25BZU115MWH(MG) ])</f>
        <v>#N/A</v>
      </c>
      <c r="AP51" s="71" t="e">
        <f>_xlfn.XLOOKUP($E51,target[NAME],target[開門紅(三月)])</f>
        <v>#N/A</v>
      </c>
      <c r="AQ51" s="71" t="e">
        <f>_xlfn.XLOOKUP($E51,target[NAME],target[開門紅(第一季)])</f>
        <v>#N/A</v>
      </c>
      <c r="AR51" s="73">
        <f ca="1">SUMIFS(表格1[QTY],表格1[Model],三國演義!$AR$12,表格1[Name],三國演義!$E51)+SUMIFS(表格1[QTY],表格1[Model],三國演義!$AR$12,表格1[Name],三國演義!$AA51)</f>
        <v>0</v>
      </c>
      <c r="AS51" s="77" t="e">
        <f ca="1">IF($AR51&gt;=$AE51,$AR51*'3月Target'!$W$8,0)</f>
        <v>#N/A</v>
      </c>
      <c r="AT51" s="44">
        <f ca="1">SUMIFS(表格1[QTY],表格1[Model],三國演義!$AT$12,表格1[Name],三國演義!$E51)+SUMIFS(表格1[QTY],表格1[Model],三國演義!$AT$12,表格1[Name],三國演義!$AA51)</f>
        <v>0</v>
      </c>
      <c r="AU51" s="44">
        <f ca="1">SUMIFS(表格1[QTY],表格1[Model],三國演義!$AU$12,表格1[Name],三國演義!$E51)+SUMIFS(表格1[QTY],表格1[Model],三國演義!$AU$12,表格1[Name],三國演義!$AA51)</f>
        <v>0</v>
      </c>
      <c r="AV51" s="44">
        <f ca="1">SUMIFS(表格1[QTY],表格1[Model],三國演義!$AV$12,表格1[Name],三國演義!$E51)+SUMIFS(表格1[QTY],表格1[Model],三國演義!$AV$12,表格1[Name],三國演義!$AA51)</f>
        <v>0</v>
      </c>
      <c r="AW51" s="44">
        <f ca="1">SUMIFS(表格1[QTY],表格1[Model],三國演義!$AW$12,表格1[Name],三國演義!$E51)+SUMIFS(表格1[QTY],表格1[Model],三國演義!$AW$12,表格1[Name],三國演義!$AA51)</f>
        <v>0</v>
      </c>
      <c r="AX51" s="50" t="e">
        <f ca="1">IF((SUM($AT51:$AW51))&gt;=$AB51,SUM($AT51:$AW51)*'3月Target'!$W$5,0)</f>
        <v>#N/A</v>
      </c>
      <c r="AY51" s="44">
        <f ca="1">SUMIFS(表格1[QTY],表格1[Model],三國演義!$AY$12,表格1[Name],三國演義!$E51)+SUMIFS(表格1[QTY],表格1[Model],三國演義!$AY$12,表格1[Name],三國演義!$AA51)</f>
        <v>0</v>
      </c>
      <c r="AZ51" s="77" t="e">
        <f ca="1">IF($AY51&gt;=$AC51,$AY51*'3月Target'!$W$6,0)</f>
        <v>#N/A</v>
      </c>
      <c r="BA51" s="44">
        <f ca="1">SUMIFS(表格1[QTY],表格1[Model],三國演義!$BA$12,表格1[Name],三國演義!$E51)+SUMIFS(表格1[QTY],表格1[Model],三國演義!$BA$12,表格1[Name],三國演義!$AA51)</f>
        <v>0</v>
      </c>
      <c r="BB51" s="77" t="e">
        <f ca="1">IF($BA51&gt;=$AD51,$BA51*'3月Target'!$W$7,0)</f>
        <v>#N/A</v>
      </c>
      <c r="BC51" s="44">
        <f ca="1">SUMIFS(表格1[QTY],表格1[Model],三國演義!$BC$12,表格1[Name],三國演義!$E51)+SUMIFS(表格1[QTY],表格1[Model],三國演義!$BC$12,表格1[Name],三國演義!$AA51)</f>
        <v>0</v>
      </c>
      <c r="BD51" s="77" t="e">
        <f ca="1">IF($BC51&gt;=$AF51,$BC51*'3月Target'!$W$9,0)</f>
        <v>#N/A</v>
      </c>
      <c r="BE51" s="44">
        <f ca="1">SUMIFS(表格1[QTY],表格1[Model],三國演義!$BE$12,表格1[Name],三國演義!$E51)+SUMIFS(表格1[QTY],表格1[Model],三國演義!$BE$12,表格1[Name],三國演義!$AA51)</f>
        <v>0</v>
      </c>
      <c r="BF51" s="77" t="e">
        <f ca="1">IF($BE51&gt;=$AG51,$BE51*'3月Target'!$W$10,0)</f>
        <v>#N/A</v>
      </c>
      <c r="BG51" s="44">
        <f ca="1">SUMIFS(表格1[QTY],表格1[Model],三國演義!$BG$12,表格1[Name],三國演義!$E51)+SUMIFS(表格1[QTY],表格1[Model],三國演義!$BG$12,表格1[Name],三國演義!$AA51)</f>
        <v>0</v>
      </c>
      <c r="BH51" s="77" t="e">
        <f ca="1">IF($BG51&gt;=$AH51,$BG51*'3月Target'!$W$10,0)</f>
        <v>#N/A</v>
      </c>
      <c r="BI51" s="44">
        <f ca="1">SUMIFS(表格1[QTY],表格1[Model],三國演義!$BI$12,表格1[Name],三國演義!$E51)+SUMIFS(表格1[QTY],表格1[Model],三國演義!$BI$12,表格1[Name],三國演義!$AA51)</f>
        <v>0</v>
      </c>
      <c r="BJ51" s="77" t="e">
        <f ca="1">IF($BI51&gt;=$AI51,$BI51*'3月Target'!$W$11,0)</f>
        <v>#N/A</v>
      </c>
      <c r="BK51" s="44">
        <f ca="1">SUMIFS(表格1[QTY],表格1[Model],三國演義!$BK$12,表格1[Name],三國演義!$E51)+SUMIFS(表格1[QTY],表格1[Model],三國演義!$BK$12,表格1[Name],三國演義!$AA51)</f>
        <v>0</v>
      </c>
      <c r="BL51" s="77" t="e">
        <f ca="1">IF($BK51&gt;=$AJ51,$BK51*'3月Target'!$W$12,0)</f>
        <v>#N/A</v>
      </c>
      <c r="BM51" s="44">
        <f ca="1">SUMIFS(表格1[QTY],表格1[Model],三國演義!$BM$12,表格1[Name],三國演義!$E51)+SUMIFS(表格1[QTY],表格1[Model],三國演義!$BM$12,表格1[Name],三國演義!$AA51)</f>
        <v>0</v>
      </c>
      <c r="BN51" s="77" t="e">
        <f ca="1">IF($BM51&gt;=$AK51,$BM51*'3月Target'!$W$13,0)</f>
        <v>#N/A</v>
      </c>
      <c r="BO51" s="44">
        <f ca="1">SUMIFS(表格1[QTY],表格1[Model],三國演義!$BO$12,表格1[Name],三國演義!$E51)+SUMIFS(表格1[QTY],表格1[Model],三國演義!$BO$12,表格1[Name],三國演義!$AA51)</f>
        <v>0</v>
      </c>
      <c r="BP51" s="77" t="e">
        <f ca="1">IF($BO51&gt;=$AL51,$BO51*'3月Target'!$W$14,0)</f>
        <v>#N/A</v>
      </c>
      <c r="BQ51" s="44">
        <f ca="1">SUMIFS(表格1[QTY],表格1[Model],三國演義!$BQ$12,表格1[Name],三國演義!$E51)+SUMIFS(表格1[QTY],表格1[Model],三國演義!$BQ$12,表格1[Name],三國演義!$AA51)</f>
        <v>0</v>
      </c>
      <c r="BR51" s="77" t="e">
        <f ca="1">IF($BQ51&gt;=$AM51,$BQ51*'3月Target'!$W$15,0)</f>
        <v>#N/A</v>
      </c>
      <c r="BS51" s="44">
        <f ca="1">SUMIFS(表格1[QTY],表格1[Model],三國演義!$BS$12,表格1[Name],三國演義!$E51)+SUMIFS(表格1[QTY],表格1[Model],三國演義!$BS$12,表格1[Name],三國演義!$AA51)</f>
        <v>0</v>
      </c>
      <c r="BT51" s="44">
        <f ca="1">SUMIFS(表格1[QTY],表格1[Model],三國演義!$BT$12,表格1[Name],三國演義!$E51)+SUMIFS(表格1[QTY],表格1[Model],三國演義!$BT$12,表格1[Name],三國演義!$AA51)</f>
        <v>0</v>
      </c>
      <c r="BU51" s="44">
        <f ca="1">SUMIFS(表格1[QTY],表格1[Model],三國演義!$BU$12,表格1[Name],三國演義!$E51)+SUMIFS(表格1[QTY],表格1[Model],三國演義!$BU$12,表格1[Name],三國演義!$AA51)</f>
        <v>0</v>
      </c>
      <c r="BV51" s="44">
        <f ca="1">SUMIFS(表格1[QTY],表格1[Model],三國演義!$BV$12,表格1[Name],三國演義!$E51)+SUMIFS(表格1[QTY],表格1[Model],三國演義!$BV$12,表格1[Name],三國演義!$AA51)</f>
        <v>0</v>
      </c>
      <c r="BW51" s="77" t="e">
        <f ca="1">IF((SUM($BS51:$BV51))&gt;=$AN51,SUM($BS51:$BV51)*'3月Target'!$W$16,0)</f>
        <v>#N/A</v>
      </c>
      <c r="BX51" s="44">
        <f ca="1">SUMIFS(表格1[QTY],表格1[Model],三國演義!$BX$12,表格1[Name],三國演義!$E51)+SUMIFS(表格1[QTY],表格1[Model],三國演義!$BX$12,表格1[Name],三國演義!$AA51)</f>
        <v>0</v>
      </c>
      <c r="BY51" s="77" t="e">
        <f ca="1">IF($BX51&gt;=$AO51,$BX51*'3月Target'!$W$17,0)</f>
        <v>#N/A</v>
      </c>
      <c r="BZ51" s="146">
        <f t="shared" ca="1" si="23"/>
        <v>5694</v>
      </c>
      <c r="CA51" s="77" t="e">
        <f t="shared" ca="1" si="24"/>
        <v>#N/A</v>
      </c>
      <c r="CB51" s="146">
        <f t="shared" ca="1" si="25"/>
        <v>5694</v>
      </c>
      <c r="CC51" s="77" t="e">
        <f t="shared" ca="1" si="26"/>
        <v>#N/A</v>
      </c>
    </row>
    <row r="52" spans="1:81">
      <c r="A52" s="121">
        <f>Roster!AL44*Roster!AH44+Roster!AM44*Roster!AG44+三國演義!H52+三國演義!I52+三國演義!J52</f>
        <v>3795.52</v>
      </c>
      <c r="B52" s="133">
        <v>0.02</v>
      </c>
      <c r="C52" s="66">
        <v>40</v>
      </c>
      <c r="D52" s="95" t="str">
        <f ca="1">_xlfn.XLOOKUP($E52,表格1[Name],表格1[Shop])</f>
        <v>Sogo</v>
      </c>
      <c r="E52" s="95" t="s">
        <v>1129</v>
      </c>
      <c r="F52" s="96">
        <f ca="1">SUMIF(表格1[Name],$E52,表格1[Total Amount])+SUMIF(表格1[Name],$AA52,表格1[Total Amount])</f>
        <v>49436</v>
      </c>
      <c r="G52" s="161">
        <f ca="1">SUMIF(表格1[Name],$E52,表格1[QTY])+SUMIF(表格1[Name],$AA52,表格1[QTY])</f>
        <v>25</v>
      </c>
      <c r="H52" s="159">
        <v>362.32</v>
      </c>
      <c r="I52" s="159">
        <v>313.2</v>
      </c>
      <c r="J52" s="51">
        <f t="shared" si="6"/>
        <v>0</v>
      </c>
      <c r="K52" s="164"/>
      <c r="L52" s="164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60" t="str">
        <f t="shared" si="4"/>
        <v>Hazel off</v>
      </c>
      <c r="AB52" s="71" t="e">
        <f>_xlfn.XLOOKUP($E52,target[NAME],target[RC-DS10K/18K])</f>
        <v>#N/A</v>
      </c>
      <c r="AC52" s="71" t="e">
        <f>_xlfn.XLOOKUP($E52,target[NAME],target[RC-18AMXH(W)])</f>
        <v>#N/A</v>
      </c>
      <c r="AD52" s="71" t="e">
        <f>_xlfn.XLOOKUP($E52,target[NAME],target[EB-T500APW])</f>
        <v>#N/A</v>
      </c>
      <c r="AE52" s="71" t="e">
        <f>_xlfn.XLOOKUP($E52,target[NAME],target[ER-VD7000HK(XK)])</f>
        <v>#N/A</v>
      </c>
      <c r="AF52" s="71" t="e">
        <f>_xlfn.XLOOKUP($E52,target[NAME],target[TWDT21BU95])</f>
        <v>#N/A</v>
      </c>
      <c r="AG52" s="71" t="e">
        <f>_xlfn.XLOOKUP($E52,target[NAME],target[AW-Q800APH(WW)])</f>
        <v>#N/A</v>
      </c>
      <c r="AH52" s="71" t="e">
        <f>_xlfn.XLOOKUP($E52,target[NAME],target[AW-Q801APH(WW)])</f>
        <v>#N/A</v>
      </c>
      <c r="AI52" s="71" t="e">
        <f>_xlfn.XLOOKUP($E52,target[NAME],target[GR-RM469WE-PGA(B3)])</f>
        <v>#N/A</v>
      </c>
      <c r="AJ52" s="71" t="e">
        <f>_xlfn.XLOOKUP($E52,target[NAME],target[GR-RB449WE-PMA(57)])</f>
        <v>#N/A</v>
      </c>
      <c r="AK52" s="71" t="e">
        <f>_xlfn.XLOOKUP($E52,target[NAME],target[GR-RB410WE-PMA(06)])</f>
        <v>#N/A</v>
      </c>
      <c r="AL52" s="71" t="e">
        <f>_xlfn.XLOOKUP($E52,target[NAME],target[GR-RF698WI])</f>
        <v>#N/A</v>
      </c>
      <c r="AM52" s="71" t="e">
        <f>_xlfn.XLOOKUP($E52,target[NAME],target[TWP-W2265THK(W)])</f>
        <v>#N/A</v>
      </c>
      <c r="AN52" s="71" t="e">
        <f>_xlfn.XLOOKUP($E52,target[NAME],target[RAD-D200/250/300/DIA17])</f>
        <v>#N/A</v>
      </c>
      <c r="AO52" s="71" t="e">
        <f>_xlfn.XLOOKUP($E52,target[NAME],target[(Fortress ONLY)TW-T25BZU115MWH(MG) ])</f>
        <v>#N/A</v>
      </c>
      <c r="AP52" s="71" t="e">
        <f>_xlfn.XLOOKUP($E52,target[NAME],target[開門紅(三月)])</f>
        <v>#N/A</v>
      </c>
      <c r="AQ52" s="71" t="e">
        <f>_xlfn.XLOOKUP($E52,target[NAME],target[開門紅(第一季)])</f>
        <v>#N/A</v>
      </c>
      <c r="AR52" s="73">
        <f ca="1">SUMIFS(表格1[QTY],表格1[Model],三國演義!$AR$12,表格1[Name],三國演義!$E52)+SUMIFS(表格1[QTY],表格1[Model],三國演義!$AR$12,表格1[Name],三國演義!$AA52)</f>
        <v>0</v>
      </c>
      <c r="AS52" s="77" t="e">
        <f ca="1">IF($AR52&gt;=$AE52,$AR52*'3月Target'!$W$8,0)</f>
        <v>#N/A</v>
      </c>
      <c r="AT52" s="44">
        <f ca="1">SUMIFS(表格1[QTY],表格1[Model],三國演義!$AT$12,表格1[Name],三國演義!$E52)+SUMIFS(表格1[QTY],表格1[Model],三國演義!$AT$12,表格1[Name],三國演義!$AA52)</f>
        <v>1</v>
      </c>
      <c r="AU52" s="44">
        <f ca="1">SUMIFS(表格1[QTY],表格1[Model],三國演義!$AU$12,表格1[Name],三國演義!$E52)+SUMIFS(表格1[QTY],表格1[Model],三國演義!$AU$12,表格1[Name],三國演義!$AA52)</f>
        <v>0</v>
      </c>
      <c r="AV52" s="44">
        <f ca="1">SUMIFS(表格1[QTY],表格1[Model],三國演義!$AV$12,表格1[Name],三國演義!$E52)+SUMIFS(表格1[QTY],表格1[Model],三國演義!$AV$12,表格1[Name],三國演義!$AA52)</f>
        <v>0</v>
      </c>
      <c r="AW52" s="44">
        <f ca="1">SUMIFS(表格1[QTY],表格1[Model],三國演義!$AW$12,表格1[Name],三國演義!$E52)+SUMIFS(表格1[QTY],表格1[Model],三國演義!$AW$12,表格1[Name],三國演義!$AA52)</f>
        <v>0</v>
      </c>
      <c r="AX52" s="50" t="e">
        <f ca="1">IF((SUM($AT52:$AW52))&gt;=$AB52,SUM($AT52:$AW52)*'3月Target'!$W$5,0)</f>
        <v>#N/A</v>
      </c>
      <c r="AY52" s="44">
        <f ca="1">SUMIFS(表格1[QTY],表格1[Model],三國演義!$AY$12,表格1[Name],三國演義!$E52)+SUMIFS(表格1[QTY],表格1[Model],三國演義!$AY$12,表格1[Name],三國演義!$AA52)</f>
        <v>0</v>
      </c>
      <c r="AZ52" s="77" t="e">
        <f ca="1">IF($AY52&gt;=$AC52,$AY52*'3月Target'!$W$6,0)</f>
        <v>#N/A</v>
      </c>
      <c r="BA52" s="44">
        <f ca="1">SUMIFS(表格1[QTY],表格1[Model],三國演義!$BA$12,表格1[Name],三國演義!$E52)+SUMIFS(表格1[QTY],表格1[Model],三國演義!$BA$12,表格1[Name],三國演義!$AA52)</f>
        <v>0</v>
      </c>
      <c r="BB52" s="77" t="e">
        <f ca="1">IF($BA52&gt;=$AD52,$BA52*'3月Target'!$W$7,0)</f>
        <v>#N/A</v>
      </c>
      <c r="BC52" s="44">
        <f ca="1">SUMIFS(表格1[QTY],表格1[Model],三國演義!$BC$12,表格1[Name],三國演義!$E52)+SUMIFS(表格1[QTY],表格1[Model],三國演義!$BC$12,表格1[Name],三國演義!$AA52)</f>
        <v>0</v>
      </c>
      <c r="BD52" s="77" t="e">
        <f ca="1">IF($BC52&gt;=$AF52,$BC52*'3月Target'!$W$9,0)</f>
        <v>#N/A</v>
      </c>
      <c r="BE52" s="44">
        <f ca="1">SUMIFS(表格1[QTY],表格1[Model],三國演義!$BE$12,表格1[Name],三國演義!$E52)+SUMIFS(表格1[QTY],表格1[Model],三國演義!$BE$12,表格1[Name],三國演義!$AA52)</f>
        <v>0</v>
      </c>
      <c r="BF52" s="77" t="e">
        <f ca="1">IF($BE52&gt;=$AG52,$BE52*'3月Target'!$W$10,0)</f>
        <v>#N/A</v>
      </c>
      <c r="BG52" s="44">
        <f ca="1">SUMIFS(表格1[QTY],表格1[Model],三國演義!$BG$12,表格1[Name],三國演義!$E52)+SUMIFS(表格1[QTY],表格1[Model],三國演義!$BG$12,表格1[Name],三國演義!$AA52)</f>
        <v>0</v>
      </c>
      <c r="BH52" s="77" t="e">
        <f ca="1">IF($BG52&gt;=$AH52,$BG52*'3月Target'!$W$10,0)</f>
        <v>#N/A</v>
      </c>
      <c r="BI52" s="44">
        <f ca="1">SUMIFS(表格1[QTY],表格1[Model],三國演義!$BI$12,表格1[Name],三國演義!$E52)+SUMIFS(表格1[QTY],表格1[Model],三國演義!$BI$12,表格1[Name],三國演義!$AA52)</f>
        <v>0</v>
      </c>
      <c r="BJ52" s="77" t="e">
        <f ca="1">IF($BI52&gt;=$AI52,$BI52*'3月Target'!$W$11,0)</f>
        <v>#N/A</v>
      </c>
      <c r="BK52" s="44">
        <f ca="1">SUMIFS(表格1[QTY],表格1[Model],三國演義!$BK$12,表格1[Name],三國演義!$E52)+SUMIFS(表格1[QTY],表格1[Model],三國演義!$BK$12,表格1[Name],三國演義!$AA52)</f>
        <v>0</v>
      </c>
      <c r="BL52" s="77" t="e">
        <f ca="1">IF($BK52&gt;=$AJ52,$BK52*'3月Target'!$W$12,0)</f>
        <v>#N/A</v>
      </c>
      <c r="BM52" s="44">
        <f ca="1">SUMIFS(表格1[QTY],表格1[Model],三國演義!$BM$12,表格1[Name],三國演義!$E52)+SUMIFS(表格1[QTY],表格1[Model],三國演義!$BM$12,表格1[Name],三國演義!$AA52)</f>
        <v>0</v>
      </c>
      <c r="BN52" s="77" t="e">
        <f ca="1">IF($BM52&gt;=$AK52,$BM52*'3月Target'!$W$13,0)</f>
        <v>#N/A</v>
      </c>
      <c r="BO52" s="44">
        <f ca="1">SUMIFS(表格1[QTY],表格1[Model],三國演義!$BO$12,表格1[Name],三國演義!$E52)+SUMIFS(表格1[QTY],表格1[Model],三國演義!$BO$12,表格1[Name],三國演義!$AA52)</f>
        <v>0</v>
      </c>
      <c r="BP52" s="77" t="e">
        <f ca="1">IF($BO52&gt;=$AL52,$BO52*'3月Target'!$W$14,0)</f>
        <v>#N/A</v>
      </c>
      <c r="BQ52" s="44">
        <f ca="1">SUMIFS(表格1[QTY],表格1[Model],三國演義!$BQ$12,表格1[Name],三國演義!$E52)+SUMIFS(表格1[QTY],表格1[Model],三國演義!$BQ$12,表格1[Name],三國演義!$AA52)</f>
        <v>0</v>
      </c>
      <c r="BR52" s="77" t="e">
        <f ca="1">IF($BQ52&gt;=$AM52,$BQ52*'3月Target'!$W$15,0)</f>
        <v>#N/A</v>
      </c>
      <c r="BS52" s="44">
        <f ca="1">SUMIFS(表格1[QTY],表格1[Model],三國演義!$BS$12,表格1[Name],三國演義!$E52)+SUMIFS(表格1[QTY],表格1[Model],三國演義!$BS$12,表格1[Name],三國演義!$AA52)</f>
        <v>1</v>
      </c>
      <c r="BT52" s="44">
        <f ca="1">SUMIFS(表格1[QTY],表格1[Model],三國演義!$BT$12,表格1[Name],三國演義!$E52)+SUMIFS(表格1[QTY],表格1[Model],三國演義!$BT$12,表格1[Name],三國演義!$AA52)</f>
        <v>0</v>
      </c>
      <c r="BU52" s="44">
        <f ca="1">SUMIFS(表格1[QTY],表格1[Model],三國演義!$BU$12,表格1[Name],三國演義!$E52)+SUMIFS(表格1[QTY],表格1[Model],三國演義!$BU$12,表格1[Name],三國演義!$AA52)</f>
        <v>5</v>
      </c>
      <c r="BV52" s="44">
        <f ca="1">SUMIFS(表格1[QTY],表格1[Model],三國演義!$BV$12,表格1[Name],三國演義!$E52)+SUMIFS(表格1[QTY],表格1[Model],三國演義!$BV$12,表格1[Name],三國演義!$AA52)</f>
        <v>0</v>
      </c>
      <c r="BW52" s="77" t="e">
        <f ca="1">IF((SUM($BS52:$BV52))&gt;=$AN52,SUM($BS52:$BV52)*'3月Target'!$W$16,0)</f>
        <v>#N/A</v>
      </c>
      <c r="BX52" s="44">
        <f ca="1">SUMIFS(表格1[QTY],表格1[Model],三國演義!$BX$12,表格1[Name],三國演義!$E52)+SUMIFS(表格1[QTY],表格1[Model],三國演義!$BX$12,表格1[Name],三國演義!$AA52)</f>
        <v>0</v>
      </c>
      <c r="BY52" s="77" t="e">
        <f ca="1">IF($BX52&gt;=$AO52,$BX52*'3月Target'!$W$17,0)</f>
        <v>#N/A</v>
      </c>
      <c r="BZ52" s="146">
        <f t="shared" ca="1" si="23"/>
        <v>49436</v>
      </c>
      <c r="CA52" s="77" t="e">
        <f t="shared" ca="1" si="24"/>
        <v>#N/A</v>
      </c>
      <c r="CB52" s="146">
        <f t="shared" ca="1" si="25"/>
        <v>49436</v>
      </c>
      <c r="CC52" s="77" t="e">
        <f t="shared" ca="1" si="26"/>
        <v>#N/A</v>
      </c>
    </row>
    <row r="53" spans="1:81">
      <c r="A53" s="121">
        <f ca="1">Roster!AL45*Roster!AH45+Roster!AM45*Roster!AG45+三國演義!H53+三國演義!I53+三國演義!J53</f>
        <v>10997.61</v>
      </c>
      <c r="B53" s="133">
        <v>0.02</v>
      </c>
      <c r="C53" s="66">
        <v>41</v>
      </c>
      <c r="D53" s="95" t="str">
        <f ca="1">_xlfn.XLOOKUP($E53,表格1[Name],表格1[Shop])</f>
        <v>Sogo</v>
      </c>
      <c r="E53" s="95" t="s">
        <v>1506</v>
      </c>
      <c r="F53" s="96">
        <f ca="1">SUMIF(表格1[Name],$E53,表格1[Total Amount])+SUMIF(表格1[Name],$AA53,表格1[Total Amount])</f>
        <v>187023</v>
      </c>
      <c r="G53" s="161">
        <f ca="1">SUMIF(表格1[Name],$E53,表格1[QTY])+SUMIF(表格1[Name],$AA53,表格1[QTY])</f>
        <v>84</v>
      </c>
      <c r="H53" s="159">
        <v>2454.7600000000002</v>
      </c>
      <c r="I53" s="159">
        <v>642.85</v>
      </c>
      <c r="J53" s="51">
        <f t="shared" ca="1" si="6"/>
        <v>700</v>
      </c>
      <c r="K53" s="163">
        <f t="shared" ca="1" si="7"/>
        <v>0</v>
      </c>
      <c r="L53" s="163">
        <f t="shared" ca="1" si="8"/>
        <v>300</v>
      </c>
      <c r="M53" s="44">
        <f t="shared" ca="1" si="9"/>
        <v>400</v>
      </c>
      <c r="N53" s="44">
        <f t="shared" ca="1" si="10"/>
        <v>0</v>
      </c>
      <c r="O53" s="44">
        <f t="shared" ca="1" si="11"/>
        <v>0</v>
      </c>
      <c r="P53" s="44">
        <f t="shared" ca="1" si="12"/>
        <v>0</v>
      </c>
      <c r="Q53" s="44">
        <f t="shared" ca="1" si="13"/>
        <v>0</v>
      </c>
      <c r="R53" s="44">
        <f t="shared" ca="1" si="14"/>
        <v>0</v>
      </c>
      <c r="S53" s="44">
        <f t="shared" ca="1" si="15"/>
        <v>0</v>
      </c>
      <c r="T53" s="44">
        <f t="shared" ca="1" si="16"/>
        <v>0</v>
      </c>
      <c r="U53" s="44">
        <f t="shared" ca="1" si="17"/>
        <v>0</v>
      </c>
      <c r="V53" s="44">
        <f t="shared" ca="1" si="18"/>
        <v>0</v>
      </c>
      <c r="W53" s="44">
        <f t="shared" ca="1" si="19"/>
        <v>0</v>
      </c>
      <c r="X53" s="44">
        <f t="shared" ca="1" si="20"/>
        <v>0</v>
      </c>
      <c r="Y53" s="44">
        <f t="shared" ca="1" si="21"/>
        <v>0</v>
      </c>
      <c r="Z53" s="44">
        <f t="shared" ca="1" si="22"/>
        <v>0</v>
      </c>
      <c r="AA53" s="60" t="str">
        <f t="shared" si="4"/>
        <v>Mui Chan_1 off</v>
      </c>
      <c r="AB53" s="71">
        <f>_xlfn.XLOOKUP($E53,target[NAME],target[RC-DS10K/18K])</f>
        <v>4</v>
      </c>
      <c r="AC53" s="71">
        <f>_xlfn.XLOOKUP($E53,target[NAME],target[RC-18AMXH(W)])</f>
        <v>4</v>
      </c>
      <c r="AD53" s="71">
        <f>_xlfn.XLOOKUP($E53,target[NAME],target[EB-T500APW])</f>
        <v>1</v>
      </c>
      <c r="AE53" s="71">
        <f>_xlfn.XLOOKUP($E53,target[NAME],target[ER-VD7000HK(XK)])</f>
        <v>2</v>
      </c>
      <c r="AF53" s="71">
        <f>_xlfn.XLOOKUP($E53,target[NAME],target[TWDT21BU95])</f>
        <v>2</v>
      </c>
      <c r="AG53" s="71">
        <f>_xlfn.XLOOKUP($E53,target[NAME],target[AW-Q800APH(WW)])</f>
        <v>1000</v>
      </c>
      <c r="AH53" s="71">
        <f>_xlfn.XLOOKUP($E53,target[NAME],target[AW-Q801APH(WW)])</f>
        <v>5</v>
      </c>
      <c r="AI53" s="71">
        <f>_xlfn.XLOOKUP($E53,target[NAME],target[GR-RM469WE-PGA(B3)])</f>
        <v>2</v>
      </c>
      <c r="AJ53" s="71">
        <f>_xlfn.XLOOKUP($E53,target[NAME],target[GR-RB449WE-PMA(57)])</f>
        <v>2</v>
      </c>
      <c r="AK53" s="71">
        <f>_xlfn.XLOOKUP($E53,target[NAME],target[GR-RB410WE-PMA(06)])</f>
        <v>2</v>
      </c>
      <c r="AL53" s="71">
        <f>_xlfn.XLOOKUP($E53,target[NAME],target[GR-RF698WI])</f>
        <v>1</v>
      </c>
      <c r="AM53" s="71">
        <f>_xlfn.XLOOKUP($E53,target[NAME],target[TWP-W2265THK(W)])</f>
        <v>2</v>
      </c>
      <c r="AN53" s="71">
        <f>_xlfn.XLOOKUP($E53,target[NAME],target[RAD-D200/250/300/DIA17])</f>
        <v>48</v>
      </c>
      <c r="AO53" s="71">
        <f>_xlfn.XLOOKUP($E53,target[NAME],target[(Fortress ONLY)TW-T25BZU115MWH(MG) ])</f>
        <v>1000</v>
      </c>
      <c r="AP53" s="71">
        <f>_xlfn.XLOOKUP($E53,target[NAME],target[開門紅(三月)])</f>
        <v>210000</v>
      </c>
      <c r="AQ53" s="71">
        <f>_xlfn.XLOOKUP($E53,target[NAME],target[開門紅(第一季)])</f>
        <v>495091</v>
      </c>
      <c r="AR53" s="73">
        <f ca="1">SUMIFS(表格1[QTY],表格1[Model],三國演義!$AR$12,表格1[Name],三國演義!$E53)+SUMIFS(表格1[QTY],表格1[Model],三國演義!$AR$12,表格1[Name],三國演義!$AA53)</f>
        <v>0</v>
      </c>
      <c r="AS53" s="77">
        <f ca="1">IF($AR53&gt;=$AE53,$AR53*'3月Target'!$W$8,0)</f>
        <v>0</v>
      </c>
      <c r="AT53" s="44">
        <f ca="1">SUMIFS(表格1[QTY],表格1[Model],三國演義!$AT$12,表格1[Name],三國演義!$E53)+SUMIFS(表格1[QTY],表格1[Model],三國演義!$AT$12,表格1[Name],三國演義!$AA53)</f>
        <v>1</v>
      </c>
      <c r="AU53" s="44">
        <f ca="1">SUMIFS(表格1[QTY],表格1[Model],三國演義!$AU$12,表格1[Name],三國演義!$E53)+SUMIFS(表格1[QTY],表格1[Model],三國演義!$AU$12,表格1[Name],三國演義!$AA53)</f>
        <v>0</v>
      </c>
      <c r="AV53" s="44">
        <f ca="1">SUMIFS(表格1[QTY],表格1[Model],三國演義!$AV$12,表格1[Name],三國演義!$E53)+SUMIFS(表格1[QTY],表格1[Model],三國演義!$AV$12,表格1[Name],三國演義!$AA53)</f>
        <v>0</v>
      </c>
      <c r="AW53" s="44">
        <f ca="1">SUMIFS(表格1[QTY],表格1[Model],三國演義!$AW$12,表格1[Name],三國演義!$E53)+SUMIFS(表格1[QTY],表格1[Model],三國演義!$AW$12,表格1[Name],三國演義!$AA53)</f>
        <v>1</v>
      </c>
      <c r="AX53" s="50">
        <f ca="1">IF((SUM($AT53:$AW53))&gt;=$AB53,SUM($AT53:$AW53)*'3月Target'!$W$5,0)</f>
        <v>0</v>
      </c>
      <c r="AY53" s="44">
        <f ca="1">SUMIFS(表格1[QTY],表格1[Model],三國演義!$AY$12,表格1[Name],三國演義!$E53)+SUMIFS(表格1[QTY],表格1[Model],三國演義!$AY$12,表格1[Name],三國演義!$AA53)</f>
        <v>6</v>
      </c>
      <c r="AZ53" s="77">
        <f ca="1">IF($AY53&gt;=$AC53,$AY53*'3月Target'!$W$6,0)</f>
        <v>300</v>
      </c>
      <c r="BA53" s="44">
        <f ca="1">SUMIFS(表格1[QTY],表格1[Model],三國演義!$BA$12,表格1[Name],三國演義!$E53)+SUMIFS(表格1[QTY],表格1[Model],三國演義!$BA$12,表格1[Name],三國演義!$AA53)</f>
        <v>2</v>
      </c>
      <c r="BB53" s="77">
        <f ca="1">IF($BA53&gt;=$AD53,$BA53*'3月Target'!$W$7,0)</f>
        <v>400</v>
      </c>
      <c r="BC53" s="44">
        <f ca="1">SUMIFS(表格1[QTY],表格1[Model],三國演義!$BC$12,表格1[Name],三國演義!$E53)+SUMIFS(表格1[QTY],表格1[Model],三國演義!$BC$12,表格1[Name],三國演義!$AA53)</f>
        <v>0</v>
      </c>
      <c r="BD53" s="77">
        <f ca="1">IF($BC53&gt;=$AF53,$BC53*'3月Target'!$W$9,0)</f>
        <v>0</v>
      </c>
      <c r="BE53" s="44">
        <f ca="1">SUMIFS(表格1[QTY],表格1[Model],三國演義!$BE$12,表格1[Name],三國演義!$E53)+SUMIFS(表格1[QTY],表格1[Model],三國演義!$BE$12,表格1[Name],三國演義!$AA53)</f>
        <v>0</v>
      </c>
      <c r="BF53" s="77">
        <f ca="1">IF($BE53&gt;=$AG53,$BE53*'3月Target'!$W$10,0)</f>
        <v>0</v>
      </c>
      <c r="BG53" s="44">
        <f ca="1">SUMIFS(表格1[QTY],表格1[Model],三國演義!$BG$12,表格1[Name],三國演義!$E53)+SUMIFS(表格1[QTY],表格1[Model],三國演義!$BG$12,表格1[Name],三國演義!$AA53)</f>
        <v>1</v>
      </c>
      <c r="BH53" s="77">
        <f ca="1">IF($BG53&gt;=$AH53,$BG53*'3月Target'!$W$10,0)</f>
        <v>0</v>
      </c>
      <c r="BI53" s="44">
        <f ca="1">SUMIFS(表格1[QTY],表格1[Model],三國演義!$BI$12,表格1[Name],三國演義!$E53)+SUMIFS(表格1[QTY],表格1[Model],三國演義!$BI$12,表格1[Name],三國演義!$AA53)</f>
        <v>0</v>
      </c>
      <c r="BJ53" s="77">
        <f ca="1">IF($BI53&gt;=$AI53,$BI53*'3月Target'!$W$11,0)</f>
        <v>0</v>
      </c>
      <c r="BK53" s="44">
        <f ca="1">SUMIFS(表格1[QTY],表格1[Model],三國演義!$BK$12,表格1[Name],三國演義!$E53)+SUMIFS(表格1[QTY],表格1[Model],三國演義!$BK$12,表格1[Name],三國演義!$AA53)</f>
        <v>1</v>
      </c>
      <c r="BL53" s="77">
        <f ca="1">IF($BK53&gt;=$AJ53,$BK53*'3月Target'!$W$12,0)</f>
        <v>0</v>
      </c>
      <c r="BM53" s="44">
        <f ca="1">SUMIFS(表格1[QTY],表格1[Model],三國演義!$BM$12,表格1[Name],三國演義!$E53)+SUMIFS(表格1[QTY],表格1[Model],三國演義!$BM$12,表格1[Name],三國演義!$AA53)</f>
        <v>0</v>
      </c>
      <c r="BN53" s="77">
        <f ca="1">IF($BM53&gt;=$AK53,$BM53*'3月Target'!$W$13,0)</f>
        <v>0</v>
      </c>
      <c r="BO53" s="44">
        <f ca="1">SUMIFS(表格1[QTY],表格1[Model],三國演義!$BO$12,表格1[Name],三國演義!$E53)+SUMIFS(表格1[QTY],表格1[Model],三國演義!$BO$12,表格1[Name],三國演義!$AA53)</f>
        <v>0</v>
      </c>
      <c r="BP53" s="77">
        <f ca="1">IF($BO53&gt;=$AL53,$BO53*'3月Target'!$W$14,0)</f>
        <v>0</v>
      </c>
      <c r="BQ53" s="44">
        <f ca="1">SUMIFS(表格1[QTY],表格1[Model],三國演義!$BQ$12,表格1[Name],三國演義!$E53)+SUMIFS(表格1[QTY],表格1[Model],三國演義!$BQ$12,表格1[Name],三國演義!$AA53)</f>
        <v>0</v>
      </c>
      <c r="BR53" s="77">
        <f ca="1">IF($BQ53&gt;=$AM53,$BQ53*'3月Target'!$W$15,0)</f>
        <v>0</v>
      </c>
      <c r="BS53" s="44">
        <f ca="1">SUMIFS(表格1[QTY],表格1[Model],三國演義!$BS$12,表格1[Name],三國演義!$E53)+SUMIFS(表格1[QTY],表格1[Model],三國演義!$BS$12,表格1[Name],三國演義!$AA53)</f>
        <v>0</v>
      </c>
      <c r="BT53" s="44">
        <f ca="1">SUMIFS(表格1[QTY],表格1[Model],三國演義!$BT$12,表格1[Name],三國演義!$E53)+SUMIFS(表格1[QTY],表格1[Model],三國演義!$BT$12,表格1[Name],三國演義!$AA53)</f>
        <v>0</v>
      </c>
      <c r="BU53" s="44">
        <f ca="1">SUMIFS(表格1[QTY],表格1[Model],三國演義!$BU$12,表格1[Name],三國演義!$E53)+SUMIFS(表格1[QTY],表格1[Model],三國演義!$BU$12,表格1[Name],三國演義!$AA53)</f>
        <v>4</v>
      </c>
      <c r="BV53" s="44">
        <f ca="1">SUMIFS(表格1[QTY],表格1[Model],三國演義!$BV$12,表格1[Name],三國演義!$E53)+SUMIFS(表格1[QTY],表格1[Model],三國演義!$BV$12,表格1[Name],三國演義!$AA53)</f>
        <v>0</v>
      </c>
      <c r="BW53" s="77">
        <f ca="1">IF((SUM($BS53:$BV53))&gt;=$AN53,SUM($BS53:$BV53)*'3月Target'!$W$16,0)</f>
        <v>0</v>
      </c>
      <c r="BX53" s="44">
        <f ca="1">SUMIFS(表格1[QTY],表格1[Model],三國演義!$BX$12,表格1[Name],三國演義!$E53)+SUMIFS(表格1[QTY],表格1[Model],三國演義!$BX$12,表格1[Name],三國演義!$AA53)</f>
        <v>0</v>
      </c>
      <c r="BY53" s="77">
        <f ca="1">IF($BX53&gt;=$AO53,$BX53*'3月Target'!$W$17,0)</f>
        <v>0</v>
      </c>
      <c r="BZ53" s="146">
        <f t="shared" ca="1" si="23"/>
        <v>187023</v>
      </c>
      <c r="CA53" s="77">
        <f t="shared" ca="1" si="24"/>
        <v>0</v>
      </c>
      <c r="CB53" s="146">
        <f t="shared" ca="1" si="25"/>
        <v>187023</v>
      </c>
      <c r="CC53" s="77">
        <f t="shared" ca="1" si="26"/>
        <v>0</v>
      </c>
    </row>
    <row r="54" spans="1:81">
      <c r="A54" s="121">
        <f ca="1">Roster!AL46*Roster!AH46+Roster!AM46*Roster!AG46+三國演義!H54+三國演義!I54+三國演義!J54</f>
        <v>554.36</v>
      </c>
      <c r="B54" s="133">
        <v>0.02</v>
      </c>
      <c r="C54" s="66">
        <v>42</v>
      </c>
      <c r="D54" s="95" t="str">
        <f ca="1">_xlfn.XLOOKUP($E54,表格1[Name],表格1[Shop])</f>
        <v>Sogo</v>
      </c>
      <c r="E54" s="95" t="s">
        <v>2094</v>
      </c>
      <c r="F54" s="96">
        <f ca="1">SUMIF(表格1[Name],$E54,表格1[Total Amount])+SUMIF(表格1[Name],$AA54,表格1[Total Amount])</f>
        <v>3718</v>
      </c>
      <c r="G54" s="161">
        <f ca="1">SUMIF(表格1[Name],$E54,表格1[QTY])+SUMIF(表格1[Name],$AA54,表格1[QTY])</f>
        <v>4</v>
      </c>
      <c r="H54" s="96">
        <f t="shared" ca="1" si="5"/>
        <v>74.36</v>
      </c>
      <c r="I54" s="96"/>
      <c r="J54" s="51">
        <f t="shared" si="6"/>
        <v>0</v>
      </c>
      <c r="K54" s="164"/>
      <c r="L54" s="164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60" t="str">
        <f t="shared" si="4"/>
        <v>Fong_2 off</v>
      </c>
      <c r="AB54" s="71" t="e">
        <f>_xlfn.XLOOKUP($E54,target[NAME],target[RC-DS10K/18K])</f>
        <v>#N/A</v>
      </c>
      <c r="AC54" s="71" t="e">
        <f>_xlfn.XLOOKUP($E54,target[NAME],target[RC-18AMXH(W)])</f>
        <v>#N/A</v>
      </c>
      <c r="AD54" s="71" t="e">
        <f>_xlfn.XLOOKUP($E54,target[NAME],target[EB-T500APW])</f>
        <v>#N/A</v>
      </c>
      <c r="AE54" s="71" t="e">
        <f>_xlfn.XLOOKUP($E54,target[NAME],target[ER-VD7000HK(XK)])</f>
        <v>#N/A</v>
      </c>
      <c r="AF54" s="71" t="e">
        <f>_xlfn.XLOOKUP($E54,target[NAME],target[TWDT21BU95])</f>
        <v>#N/A</v>
      </c>
      <c r="AG54" s="71" t="e">
        <f>_xlfn.XLOOKUP($E54,target[NAME],target[AW-Q800APH(WW)])</f>
        <v>#N/A</v>
      </c>
      <c r="AH54" s="71" t="e">
        <f>_xlfn.XLOOKUP($E54,target[NAME],target[AW-Q801APH(WW)])</f>
        <v>#N/A</v>
      </c>
      <c r="AI54" s="71" t="e">
        <f>_xlfn.XLOOKUP($E54,target[NAME],target[GR-RM469WE-PGA(B3)])</f>
        <v>#N/A</v>
      </c>
      <c r="AJ54" s="71" t="e">
        <f>_xlfn.XLOOKUP($E54,target[NAME],target[GR-RB449WE-PMA(57)])</f>
        <v>#N/A</v>
      </c>
      <c r="AK54" s="71" t="e">
        <f>_xlfn.XLOOKUP($E54,target[NAME],target[GR-RB410WE-PMA(06)])</f>
        <v>#N/A</v>
      </c>
      <c r="AL54" s="71" t="e">
        <f>_xlfn.XLOOKUP($E54,target[NAME],target[GR-RF698WI])</f>
        <v>#N/A</v>
      </c>
      <c r="AM54" s="71" t="e">
        <f>_xlfn.XLOOKUP($E54,target[NAME],target[TWP-W2265THK(W)])</f>
        <v>#N/A</v>
      </c>
      <c r="AN54" s="71" t="e">
        <f>_xlfn.XLOOKUP($E54,target[NAME],target[RAD-D200/250/300/DIA17])</f>
        <v>#N/A</v>
      </c>
      <c r="AO54" s="71" t="e">
        <f>_xlfn.XLOOKUP($E54,target[NAME],target[(Fortress ONLY)TW-T25BZU115MWH(MG) ])</f>
        <v>#N/A</v>
      </c>
      <c r="AP54" s="71" t="e">
        <f>_xlfn.XLOOKUP($E54,target[NAME],target[開門紅(三月)])</f>
        <v>#N/A</v>
      </c>
      <c r="AQ54" s="71" t="e">
        <f>_xlfn.XLOOKUP($E54,target[NAME],target[開門紅(第一季)])</f>
        <v>#N/A</v>
      </c>
      <c r="AR54" s="73">
        <f ca="1">SUMIFS(表格1[QTY],表格1[Model],三國演義!$AR$12,表格1[Name],三國演義!$E54)+SUMIFS(表格1[QTY],表格1[Model],三國演義!$AR$12,表格1[Name],三國演義!$AA54)</f>
        <v>0</v>
      </c>
      <c r="AS54" s="77" t="e">
        <f ca="1">IF($AR54&gt;=$AE54,$AR54*'3月Target'!$W$8,0)</f>
        <v>#N/A</v>
      </c>
      <c r="AT54" s="44">
        <f ca="1">SUMIFS(表格1[QTY],表格1[Model],三國演義!$AT$12,表格1[Name],三國演義!$E54)+SUMIFS(表格1[QTY],表格1[Model],三國演義!$AT$12,表格1[Name],三國演義!$AA54)</f>
        <v>0</v>
      </c>
      <c r="AU54" s="44">
        <f ca="1">SUMIFS(表格1[QTY],表格1[Model],三國演義!$AU$12,表格1[Name],三國演義!$E54)+SUMIFS(表格1[QTY],表格1[Model],三國演義!$AU$12,表格1[Name],三國演義!$AA54)</f>
        <v>0</v>
      </c>
      <c r="AV54" s="44">
        <f ca="1">SUMIFS(表格1[QTY],表格1[Model],三國演義!$AV$12,表格1[Name],三國演義!$E54)+SUMIFS(表格1[QTY],表格1[Model],三國演義!$AV$12,表格1[Name],三國演義!$AA54)</f>
        <v>0</v>
      </c>
      <c r="AW54" s="44">
        <f ca="1">SUMIFS(表格1[QTY],表格1[Model],三國演義!$AW$12,表格1[Name],三國演義!$E54)+SUMIFS(表格1[QTY],表格1[Model],三國演義!$AW$12,表格1[Name],三國演義!$AA54)</f>
        <v>0</v>
      </c>
      <c r="AX54" s="50" t="e">
        <f ca="1">IF((SUM($AT54:$AW54))&gt;=$AB54,SUM($AT54:$AW54)*'3月Target'!$W$5,0)</f>
        <v>#N/A</v>
      </c>
      <c r="AY54" s="44">
        <f ca="1">SUMIFS(表格1[QTY],表格1[Model],三國演義!$AY$12,表格1[Name],三國演義!$E54)+SUMIFS(表格1[QTY],表格1[Model],三國演義!$AY$12,表格1[Name],三國演義!$AA54)</f>
        <v>0</v>
      </c>
      <c r="AZ54" s="77" t="e">
        <f ca="1">IF($AY54&gt;=$AC54,$AY54*'3月Target'!$W$6,0)</f>
        <v>#N/A</v>
      </c>
      <c r="BA54" s="44">
        <f ca="1">SUMIFS(表格1[QTY],表格1[Model],三國演義!$BA$12,表格1[Name],三國演義!$E54)+SUMIFS(表格1[QTY],表格1[Model],三國演義!$BA$12,表格1[Name],三國演義!$AA54)</f>
        <v>0</v>
      </c>
      <c r="BB54" s="77" t="e">
        <f ca="1">IF($BA54&gt;=$AD54,$BA54*'3月Target'!$W$7,0)</f>
        <v>#N/A</v>
      </c>
      <c r="BC54" s="44">
        <f ca="1">SUMIFS(表格1[QTY],表格1[Model],三國演義!$BC$12,表格1[Name],三國演義!$E54)+SUMIFS(表格1[QTY],表格1[Model],三國演義!$BC$12,表格1[Name],三國演義!$AA54)</f>
        <v>0</v>
      </c>
      <c r="BD54" s="77" t="e">
        <f ca="1">IF($BC54&gt;=$AF54,$BC54*'3月Target'!$W$9,0)</f>
        <v>#N/A</v>
      </c>
      <c r="BE54" s="44">
        <f ca="1">SUMIFS(表格1[QTY],表格1[Model],三國演義!$BE$12,表格1[Name],三國演義!$E54)+SUMIFS(表格1[QTY],表格1[Model],三國演義!$BE$12,表格1[Name],三國演義!$AA54)</f>
        <v>0</v>
      </c>
      <c r="BF54" s="77" t="e">
        <f ca="1">IF($BE54&gt;=$AG54,$BE54*'3月Target'!$W$10,0)</f>
        <v>#N/A</v>
      </c>
      <c r="BG54" s="44">
        <f ca="1">SUMIFS(表格1[QTY],表格1[Model],三國演義!$BG$12,表格1[Name],三國演義!$E54)+SUMIFS(表格1[QTY],表格1[Model],三國演義!$BG$12,表格1[Name],三國演義!$AA54)</f>
        <v>0</v>
      </c>
      <c r="BH54" s="77" t="e">
        <f ca="1">IF($BG54&gt;=$AH54,$BG54*'3月Target'!$W$10,0)</f>
        <v>#N/A</v>
      </c>
      <c r="BI54" s="44">
        <f ca="1">SUMIFS(表格1[QTY],表格1[Model],三國演義!$BI$12,表格1[Name],三國演義!$E54)+SUMIFS(表格1[QTY],表格1[Model],三國演義!$BI$12,表格1[Name],三國演義!$AA54)</f>
        <v>0</v>
      </c>
      <c r="BJ54" s="77" t="e">
        <f ca="1">IF($BI54&gt;=$AI54,$BI54*'3月Target'!$W$11,0)</f>
        <v>#N/A</v>
      </c>
      <c r="BK54" s="44">
        <f ca="1">SUMIFS(表格1[QTY],表格1[Model],三國演義!$BK$12,表格1[Name],三國演義!$E54)+SUMIFS(表格1[QTY],表格1[Model],三國演義!$BK$12,表格1[Name],三國演義!$AA54)</f>
        <v>0</v>
      </c>
      <c r="BL54" s="77" t="e">
        <f ca="1">IF($BK54&gt;=$AJ54,$BK54*'3月Target'!$W$12,0)</f>
        <v>#N/A</v>
      </c>
      <c r="BM54" s="44">
        <f ca="1">SUMIFS(表格1[QTY],表格1[Model],三國演義!$BM$12,表格1[Name],三國演義!$E54)+SUMIFS(表格1[QTY],表格1[Model],三國演義!$BM$12,表格1[Name],三國演義!$AA54)</f>
        <v>0</v>
      </c>
      <c r="BN54" s="77" t="e">
        <f ca="1">IF($BM54&gt;=$AK54,$BM54*'3月Target'!$W$13,0)</f>
        <v>#N/A</v>
      </c>
      <c r="BO54" s="44">
        <f ca="1">SUMIFS(表格1[QTY],表格1[Model],三國演義!$BO$12,表格1[Name],三國演義!$E54)+SUMIFS(表格1[QTY],表格1[Model],三國演義!$BO$12,表格1[Name],三國演義!$AA54)</f>
        <v>0</v>
      </c>
      <c r="BP54" s="77" t="e">
        <f ca="1">IF($BO54&gt;=$AL54,$BO54*'3月Target'!$W$14,0)</f>
        <v>#N/A</v>
      </c>
      <c r="BQ54" s="44">
        <f ca="1">SUMIFS(表格1[QTY],表格1[Model],三國演義!$BQ$12,表格1[Name],三國演義!$E54)+SUMIFS(表格1[QTY],表格1[Model],三國演義!$BQ$12,表格1[Name],三國演義!$AA54)</f>
        <v>0</v>
      </c>
      <c r="BR54" s="77" t="e">
        <f ca="1">IF($BQ54&gt;=$AM54,$BQ54*'3月Target'!$W$15,0)</f>
        <v>#N/A</v>
      </c>
      <c r="BS54" s="44">
        <f ca="1">SUMIFS(表格1[QTY],表格1[Model],三國演義!$BS$12,表格1[Name],三國演義!$E54)+SUMIFS(表格1[QTY],表格1[Model],三國演義!$BS$12,表格1[Name],三國演義!$AA54)</f>
        <v>0</v>
      </c>
      <c r="BT54" s="44">
        <f ca="1">SUMIFS(表格1[QTY],表格1[Model],三國演義!$BT$12,表格1[Name],三國演義!$E54)+SUMIFS(表格1[QTY],表格1[Model],三國演義!$BT$12,表格1[Name],三國演義!$AA54)</f>
        <v>0</v>
      </c>
      <c r="BU54" s="44">
        <f ca="1">SUMIFS(表格1[QTY],表格1[Model],三國演義!$BU$12,表格1[Name],三國演義!$E54)+SUMIFS(表格1[QTY],表格1[Model],三國演義!$BU$12,表格1[Name],三國演義!$AA54)</f>
        <v>0</v>
      </c>
      <c r="BV54" s="44">
        <f ca="1">SUMIFS(表格1[QTY],表格1[Model],三國演義!$BV$12,表格1[Name],三國演義!$E54)+SUMIFS(表格1[QTY],表格1[Model],三國演義!$BV$12,表格1[Name],三國演義!$AA54)</f>
        <v>0</v>
      </c>
      <c r="BW54" s="77" t="e">
        <f ca="1">IF((SUM($BS54:$BV54))&gt;=$AN54,SUM($BS54:$BV54)*'3月Target'!$W$16,0)</f>
        <v>#N/A</v>
      </c>
      <c r="BX54" s="44">
        <f ca="1">SUMIFS(表格1[QTY],表格1[Model],三國演義!$BX$12,表格1[Name],三國演義!$E54)+SUMIFS(表格1[QTY],表格1[Model],三國演義!$BX$12,表格1[Name],三國演義!$AA54)</f>
        <v>0</v>
      </c>
      <c r="BY54" s="77" t="e">
        <f ca="1">IF($BX54&gt;=$AO54,$BX54*'3月Target'!$W$17,0)</f>
        <v>#N/A</v>
      </c>
      <c r="BZ54" s="146">
        <f t="shared" ca="1" si="23"/>
        <v>3718</v>
      </c>
      <c r="CA54" s="77" t="e">
        <f t="shared" ca="1" si="24"/>
        <v>#N/A</v>
      </c>
      <c r="CB54" s="146">
        <f t="shared" ca="1" si="25"/>
        <v>3718</v>
      </c>
      <c r="CC54" s="77" t="e">
        <f t="shared" ca="1" si="26"/>
        <v>#N/A</v>
      </c>
    </row>
    <row r="55" spans="1:81">
      <c r="A55" s="121">
        <f ca="1">Roster!AL47*Roster!AH47+Roster!AM47*Roster!AG47+三國演義!H55+三國演義!I55+三國演義!J55</f>
        <v>1160.32</v>
      </c>
      <c r="B55" s="133">
        <v>0.02</v>
      </c>
      <c r="C55" s="66">
        <v>43</v>
      </c>
      <c r="D55" s="95" t="str">
        <f ca="1">_xlfn.XLOOKUP($E55,表格1[Name],表格1[Shop])</f>
        <v>Sogo</v>
      </c>
      <c r="E55" s="95" t="s">
        <v>1070</v>
      </c>
      <c r="F55" s="96">
        <f ca="1">SUMIF(表格1[Name],$E55,表格1[Total Amount])+SUMIF(表格1[Name],$AA55,表格1[Total Amount])</f>
        <v>10016</v>
      </c>
      <c r="G55" s="161">
        <f ca="1">SUMIF(表格1[Name],$E55,表格1[QTY])+SUMIF(表格1[Name],$AA55,表格1[QTY])</f>
        <v>3</v>
      </c>
      <c r="H55" s="96">
        <f t="shared" ca="1" si="5"/>
        <v>200.32</v>
      </c>
      <c r="I55" s="96"/>
      <c r="J55" s="51">
        <f t="shared" si="6"/>
        <v>0</v>
      </c>
      <c r="K55" s="164"/>
      <c r="L55" s="164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60" t="str">
        <f t="shared" si="4"/>
        <v>Shirley off</v>
      </c>
      <c r="AB55" s="71" t="e">
        <f>_xlfn.XLOOKUP($E55,target[NAME],target[RC-DS10K/18K])</f>
        <v>#N/A</v>
      </c>
      <c r="AC55" s="71" t="e">
        <f>_xlfn.XLOOKUP($E55,target[NAME],target[RC-18AMXH(W)])</f>
        <v>#N/A</v>
      </c>
      <c r="AD55" s="71" t="e">
        <f>_xlfn.XLOOKUP($E55,target[NAME],target[EB-T500APW])</f>
        <v>#N/A</v>
      </c>
      <c r="AE55" s="71" t="e">
        <f>_xlfn.XLOOKUP($E55,target[NAME],target[ER-VD7000HK(XK)])</f>
        <v>#N/A</v>
      </c>
      <c r="AF55" s="71" t="e">
        <f>_xlfn.XLOOKUP($E55,target[NAME],target[TWDT21BU95])</f>
        <v>#N/A</v>
      </c>
      <c r="AG55" s="71" t="e">
        <f>_xlfn.XLOOKUP($E55,target[NAME],target[AW-Q800APH(WW)])</f>
        <v>#N/A</v>
      </c>
      <c r="AH55" s="71" t="e">
        <f>_xlfn.XLOOKUP($E55,target[NAME],target[AW-Q801APH(WW)])</f>
        <v>#N/A</v>
      </c>
      <c r="AI55" s="71" t="e">
        <f>_xlfn.XLOOKUP($E55,target[NAME],target[GR-RM469WE-PGA(B3)])</f>
        <v>#N/A</v>
      </c>
      <c r="AJ55" s="71" t="e">
        <f>_xlfn.XLOOKUP($E55,target[NAME],target[GR-RB449WE-PMA(57)])</f>
        <v>#N/A</v>
      </c>
      <c r="AK55" s="71" t="e">
        <f>_xlfn.XLOOKUP($E55,target[NAME],target[GR-RB410WE-PMA(06)])</f>
        <v>#N/A</v>
      </c>
      <c r="AL55" s="71" t="e">
        <f>_xlfn.XLOOKUP($E55,target[NAME],target[GR-RF698WI])</f>
        <v>#N/A</v>
      </c>
      <c r="AM55" s="71" t="e">
        <f>_xlfn.XLOOKUP($E55,target[NAME],target[TWP-W2265THK(W)])</f>
        <v>#N/A</v>
      </c>
      <c r="AN55" s="71" t="e">
        <f>_xlfn.XLOOKUP($E55,target[NAME],target[RAD-D200/250/300/DIA17])</f>
        <v>#N/A</v>
      </c>
      <c r="AO55" s="71" t="e">
        <f>_xlfn.XLOOKUP($E55,target[NAME],target[(Fortress ONLY)TW-T25BZU115MWH(MG) ])</f>
        <v>#N/A</v>
      </c>
      <c r="AP55" s="71" t="e">
        <f>_xlfn.XLOOKUP($E55,target[NAME],target[開門紅(三月)])</f>
        <v>#N/A</v>
      </c>
      <c r="AQ55" s="71" t="e">
        <f>_xlfn.XLOOKUP($E55,target[NAME],target[開門紅(第一季)])</f>
        <v>#N/A</v>
      </c>
      <c r="AR55" s="73">
        <f ca="1">SUMIFS(表格1[QTY],表格1[Model],三國演義!$AR$12,表格1[Name],三國演義!$E55)+SUMIFS(表格1[QTY],表格1[Model],三國演義!$AR$12,表格1[Name],三國演義!$AA55)</f>
        <v>1</v>
      </c>
      <c r="AS55" s="77" t="e">
        <f ca="1">IF($AR55&gt;=$AE55,$AR55*'3月Target'!$W$8,0)</f>
        <v>#N/A</v>
      </c>
      <c r="AT55" s="44">
        <f ca="1">SUMIFS(表格1[QTY],表格1[Model],三國演義!$AT$12,表格1[Name],三國演義!$E55)+SUMIFS(表格1[QTY],表格1[Model],三國演義!$AT$12,表格1[Name],三國演義!$AA55)</f>
        <v>0</v>
      </c>
      <c r="AU55" s="44">
        <f ca="1">SUMIFS(表格1[QTY],表格1[Model],三國演義!$AU$12,表格1[Name],三國演義!$E55)+SUMIFS(表格1[QTY],表格1[Model],三國演義!$AU$12,表格1[Name],三國演義!$AA55)</f>
        <v>0</v>
      </c>
      <c r="AV55" s="44">
        <f ca="1">SUMIFS(表格1[QTY],表格1[Model],三國演義!$AV$12,表格1[Name],三國演義!$E55)+SUMIFS(表格1[QTY],表格1[Model],三國演義!$AV$12,表格1[Name],三國演義!$AA55)</f>
        <v>0</v>
      </c>
      <c r="AW55" s="44">
        <f ca="1">SUMIFS(表格1[QTY],表格1[Model],三國演義!$AW$12,表格1[Name],三國演義!$E55)+SUMIFS(表格1[QTY],表格1[Model],三國演義!$AW$12,表格1[Name],三國演義!$AA55)</f>
        <v>0</v>
      </c>
      <c r="AX55" s="50" t="e">
        <f ca="1">IF((SUM($AT55:$AW55))&gt;=$AB55,SUM($AT55:$AW55)*'3月Target'!$W$5,0)</f>
        <v>#N/A</v>
      </c>
      <c r="AY55" s="44">
        <f ca="1">SUMIFS(表格1[QTY],表格1[Model],三國演義!$AY$12,表格1[Name],三國演義!$E55)+SUMIFS(表格1[QTY],表格1[Model],三國演義!$AY$12,表格1[Name],三國演義!$AA55)</f>
        <v>0</v>
      </c>
      <c r="AZ55" s="77" t="e">
        <f ca="1">IF($AY55&gt;=$AC55,$AY55*'3月Target'!$W$6,0)</f>
        <v>#N/A</v>
      </c>
      <c r="BA55" s="44">
        <f ca="1">SUMIFS(表格1[QTY],表格1[Model],三國演義!$BA$12,表格1[Name],三國演義!$E55)+SUMIFS(表格1[QTY],表格1[Model],三國演義!$BA$12,表格1[Name],三國演義!$AA55)</f>
        <v>0</v>
      </c>
      <c r="BB55" s="77" t="e">
        <f ca="1">IF($BA55&gt;=$AD55,$BA55*'3月Target'!$W$7,0)</f>
        <v>#N/A</v>
      </c>
      <c r="BC55" s="44">
        <f ca="1">SUMIFS(表格1[QTY],表格1[Model],三國演義!$BC$12,表格1[Name],三國演義!$E55)+SUMIFS(表格1[QTY],表格1[Model],三國演義!$BC$12,表格1[Name],三國演義!$AA55)</f>
        <v>0</v>
      </c>
      <c r="BD55" s="77" t="e">
        <f ca="1">IF($BC55&gt;=$AF55,$BC55*'3月Target'!$W$9,0)</f>
        <v>#N/A</v>
      </c>
      <c r="BE55" s="44">
        <f ca="1">SUMIFS(表格1[QTY],表格1[Model],三國演義!$BE$12,表格1[Name],三國演義!$E55)+SUMIFS(表格1[QTY],表格1[Model],三國演義!$BE$12,表格1[Name],三國演義!$AA55)</f>
        <v>0</v>
      </c>
      <c r="BF55" s="77" t="e">
        <f ca="1">IF($BE55&gt;=$AG55,$BE55*'3月Target'!$W$10,0)</f>
        <v>#N/A</v>
      </c>
      <c r="BG55" s="44">
        <f ca="1">SUMIFS(表格1[QTY],表格1[Model],三國演義!$BG$12,表格1[Name],三國演義!$E55)+SUMIFS(表格1[QTY],表格1[Model],三國演義!$BG$12,表格1[Name],三國演義!$AA55)</f>
        <v>0</v>
      </c>
      <c r="BH55" s="77" t="e">
        <f ca="1">IF($BG55&gt;=$AH55,$BG55*'3月Target'!$W$10,0)</f>
        <v>#N/A</v>
      </c>
      <c r="BI55" s="44">
        <f ca="1">SUMIFS(表格1[QTY],表格1[Model],三國演義!$BI$12,表格1[Name],三國演義!$E55)+SUMIFS(表格1[QTY],表格1[Model],三國演義!$BI$12,表格1[Name],三國演義!$AA55)</f>
        <v>0</v>
      </c>
      <c r="BJ55" s="77" t="e">
        <f ca="1">IF($BI55&gt;=$AI55,$BI55*'3月Target'!$W$11,0)</f>
        <v>#N/A</v>
      </c>
      <c r="BK55" s="44">
        <f ca="1">SUMIFS(表格1[QTY],表格1[Model],三國演義!$BK$12,表格1[Name],三國演義!$E55)+SUMIFS(表格1[QTY],表格1[Model],三國演義!$BK$12,表格1[Name],三國演義!$AA55)</f>
        <v>0</v>
      </c>
      <c r="BL55" s="77" t="e">
        <f ca="1">IF($BK55&gt;=$AJ55,$BK55*'3月Target'!$W$12,0)</f>
        <v>#N/A</v>
      </c>
      <c r="BM55" s="44">
        <f ca="1">SUMIFS(表格1[QTY],表格1[Model],三國演義!$BM$12,表格1[Name],三國演義!$E55)+SUMIFS(表格1[QTY],表格1[Model],三國演義!$BM$12,表格1[Name],三國演義!$AA55)</f>
        <v>0</v>
      </c>
      <c r="BN55" s="77" t="e">
        <f ca="1">IF($BM55&gt;=$AK55,$BM55*'3月Target'!$W$13,0)</f>
        <v>#N/A</v>
      </c>
      <c r="BO55" s="44">
        <f ca="1">SUMIFS(表格1[QTY],表格1[Model],三國演義!$BO$12,表格1[Name],三國演義!$E55)+SUMIFS(表格1[QTY],表格1[Model],三國演義!$BO$12,表格1[Name],三國演義!$AA55)</f>
        <v>0</v>
      </c>
      <c r="BP55" s="77" t="e">
        <f ca="1">IF($BO55&gt;=$AL55,$BO55*'3月Target'!$W$14,0)</f>
        <v>#N/A</v>
      </c>
      <c r="BQ55" s="44">
        <f ca="1">SUMIFS(表格1[QTY],表格1[Model],三國演義!$BQ$12,表格1[Name],三國演義!$E55)+SUMIFS(表格1[QTY],表格1[Model],三國演義!$BQ$12,表格1[Name],三國演義!$AA55)</f>
        <v>0</v>
      </c>
      <c r="BR55" s="77" t="e">
        <f ca="1">IF($BQ55&gt;=$AM55,$BQ55*'3月Target'!$W$15,0)</f>
        <v>#N/A</v>
      </c>
      <c r="BS55" s="44">
        <f ca="1">SUMIFS(表格1[QTY],表格1[Model],三國演義!$BS$12,表格1[Name],三國演義!$E55)+SUMIFS(表格1[QTY],表格1[Model],三國演義!$BS$12,表格1[Name],三國演義!$AA55)</f>
        <v>0</v>
      </c>
      <c r="BT55" s="44">
        <f ca="1">SUMIFS(表格1[QTY],表格1[Model],三國演義!$BT$12,表格1[Name],三國演義!$E55)+SUMIFS(表格1[QTY],表格1[Model],三國演義!$BT$12,表格1[Name],三國演義!$AA55)</f>
        <v>0</v>
      </c>
      <c r="BU55" s="44">
        <f ca="1">SUMIFS(表格1[QTY],表格1[Model],三國演義!$BU$12,表格1[Name],三國演義!$E55)+SUMIFS(表格1[QTY],表格1[Model],三國演義!$BU$12,表格1[Name],三國演義!$AA55)</f>
        <v>0</v>
      </c>
      <c r="BV55" s="44">
        <f ca="1">SUMIFS(表格1[QTY],表格1[Model],三國演義!$BV$12,表格1[Name],三國演義!$E55)+SUMIFS(表格1[QTY],表格1[Model],三國演義!$BV$12,表格1[Name],三國演義!$AA55)</f>
        <v>0</v>
      </c>
      <c r="BW55" s="77" t="e">
        <f ca="1">IF((SUM($BS55:$BV55))&gt;=$AN55,SUM($BS55:$BV55)*'3月Target'!$W$16,0)</f>
        <v>#N/A</v>
      </c>
      <c r="BX55" s="44">
        <f ca="1">SUMIFS(表格1[QTY],表格1[Model],三國演義!$BX$12,表格1[Name],三國演義!$E55)+SUMIFS(表格1[QTY],表格1[Model],三國演義!$BX$12,表格1[Name],三國演義!$AA55)</f>
        <v>0</v>
      </c>
      <c r="BY55" s="77" t="e">
        <f ca="1">IF($BX55&gt;=$AO55,$BX55*'3月Target'!$W$17,0)</f>
        <v>#N/A</v>
      </c>
      <c r="BZ55" s="146">
        <f t="shared" ca="1" si="23"/>
        <v>10016</v>
      </c>
      <c r="CA55" s="77" t="e">
        <f t="shared" ca="1" si="24"/>
        <v>#N/A</v>
      </c>
      <c r="CB55" s="146">
        <f t="shared" ca="1" si="25"/>
        <v>10016</v>
      </c>
      <c r="CC55" s="77" t="e">
        <f t="shared" ca="1" si="26"/>
        <v>#N/A</v>
      </c>
    </row>
    <row r="56" spans="1:81">
      <c r="A56" s="121">
        <f ca="1">Roster!AL48*Roster!AH48+Roster!AM48*Roster!AG48+三國演義!H56+三國演義!I56+三國演義!J56</f>
        <v>1753.2</v>
      </c>
      <c r="B56" s="133">
        <v>0.02</v>
      </c>
      <c r="C56" s="66">
        <v>44</v>
      </c>
      <c r="D56" s="95" t="str">
        <f ca="1">_xlfn.XLOOKUP($E56,表格1[Name],表格1[Shop])</f>
        <v>Sogo</v>
      </c>
      <c r="E56" s="95" t="s">
        <v>2073</v>
      </c>
      <c r="F56" s="96">
        <f ca="1">SUMIF(表格1[Name],$E56,表格1[Total Amount])+SUMIF(表格1[Name],$AA56,表格1[Total Amount])</f>
        <v>31320</v>
      </c>
      <c r="G56" s="161">
        <f ca="1">SUMIF(表格1[Name],$E56,表格1[QTY])+SUMIF(表格1[Name],$AA56,表格1[QTY])</f>
        <v>16</v>
      </c>
      <c r="H56" s="96"/>
      <c r="I56" s="96">
        <f t="shared" ref="I56:I67" ca="1" si="27">F56*1%</f>
        <v>313.2</v>
      </c>
      <c r="J56" s="51">
        <f t="shared" si="6"/>
        <v>0</v>
      </c>
      <c r="K56" s="164"/>
      <c r="L56" s="164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60" t="str">
        <f t="shared" si="4"/>
        <v>Wendy Wong_3 off</v>
      </c>
      <c r="AB56" s="71" t="e">
        <f>_xlfn.XLOOKUP($E56,target[NAME],target[RC-DS10K/18K])</f>
        <v>#N/A</v>
      </c>
      <c r="AC56" s="71" t="e">
        <f>_xlfn.XLOOKUP($E56,target[NAME],target[RC-18AMXH(W)])</f>
        <v>#N/A</v>
      </c>
      <c r="AD56" s="71" t="e">
        <f>_xlfn.XLOOKUP($E56,target[NAME],target[EB-T500APW])</f>
        <v>#N/A</v>
      </c>
      <c r="AE56" s="71" t="e">
        <f>_xlfn.XLOOKUP($E56,target[NAME],target[ER-VD7000HK(XK)])</f>
        <v>#N/A</v>
      </c>
      <c r="AF56" s="71" t="e">
        <f>_xlfn.XLOOKUP($E56,target[NAME],target[TWDT21BU95])</f>
        <v>#N/A</v>
      </c>
      <c r="AG56" s="71" t="e">
        <f>_xlfn.XLOOKUP($E56,target[NAME],target[AW-Q800APH(WW)])</f>
        <v>#N/A</v>
      </c>
      <c r="AH56" s="71" t="e">
        <f>_xlfn.XLOOKUP($E56,target[NAME],target[AW-Q801APH(WW)])</f>
        <v>#N/A</v>
      </c>
      <c r="AI56" s="71" t="e">
        <f>_xlfn.XLOOKUP($E56,target[NAME],target[GR-RM469WE-PGA(B3)])</f>
        <v>#N/A</v>
      </c>
      <c r="AJ56" s="71" t="e">
        <f>_xlfn.XLOOKUP($E56,target[NAME],target[GR-RB449WE-PMA(57)])</f>
        <v>#N/A</v>
      </c>
      <c r="AK56" s="71" t="e">
        <f>_xlfn.XLOOKUP($E56,target[NAME],target[GR-RB410WE-PMA(06)])</f>
        <v>#N/A</v>
      </c>
      <c r="AL56" s="71" t="e">
        <f>_xlfn.XLOOKUP($E56,target[NAME],target[GR-RF698WI])</f>
        <v>#N/A</v>
      </c>
      <c r="AM56" s="71" t="e">
        <f>_xlfn.XLOOKUP($E56,target[NAME],target[TWP-W2265THK(W)])</f>
        <v>#N/A</v>
      </c>
      <c r="AN56" s="71" t="e">
        <f>_xlfn.XLOOKUP($E56,target[NAME],target[RAD-D200/250/300/DIA17])</f>
        <v>#N/A</v>
      </c>
      <c r="AO56" s="71" t="e">
        <f>_xlfn.XLOOKUP($E56,target[NAME],target[(Fortress ONLY)TW-T25BZU115MWH(MG) ])</f>
        <v>#N/A</v>
      </c>
      <c r="AP56" s="71" t="e">
        <f>_xlfn.XLOOKUP($E56,target[NAME],target[開門紅(三月)])</f>
        <v>#N/A</v>
      </c>
      <c r="AQ56" s="71" t="e">
        <f>_xlfn.XLOOKUP($E56,target[NAME],target[開門紅(第一季)])</f>
        <v>#N/A</v>
      </c>
      <c r="AR56" s="73">
        <f ca="1">SUMIFS(表格1[QTY],表格1[Model],三國演義!$AR$12,表格1[Name],三國演義!$E56)+SUMIFS(表格1[QTY],表格1[Model],三國演義!$AR$12,表格1[Name],三國演義!$AA56)</f>
        <v>0</v>
      </c>
      <c r="AS56" s="77" t="e">
        <f ca="1">IF($AR56&gt;=$AE56,$AR56*'3月Target'!$W$8,0)</f>
        <v>#N/A</v>
      </c>
      <c r="AT56" s="44">
        <f ca="1">SUMIFS(表格1[QTY],表格1[Model],三國演義!$AT$12,表格1[Name],三國演義!$E56)+SUMIFS(表格1[QTY],表格1[Model],三國演義!$AT$12,表格1[Name],三國演義!$AA56)</f>
        <v>0</v>
      </c>
      <c r="AU56" s="44">
        <f ca="1">SUMIFS(表格1[QTY],表格1[Model],三國演義!$AU$12,表格1[Name],三國演義!$E56)+SUMIFS(表格1[QTY],表格1[Model],三國演義!$AU$12,表格1[Name],三國演義!$AA56)</f>
        <v>0</v>
      </c>
      <c r="AV56" s="44">
        <f ca="1">SUMIFS(表格1[QTY],表格1[Model],三國演義!$AV$12,表格1[Name],三國演義!$E56)+SUMIFS(表格1[QTY],表格1[Model],三國演義!$AV$12,表格1[Name],三國演義!$AA56)</f>
        <v>0</v>
      </c>
      <c r="AW56" s="44">
        <f ca="1">SUMIFS(表格1[QTY],表格1[Model],三國演義!$AW$12,表格1[Name],三國演義!$E56)+SUMIFS(表格1[QTY],表格1[Model],三國演義!$AW$12,表格1[Name],三國演義!$AA56)</f>
        <v>0</v>
      </c>
      <c r="AX56" s="50" t="e">
        <f ca="1">IF((SUM($AT56:$AW56))&gt;=$AB56,SUM($AT56:$AW56)*'3月Target'!$W$5,0)</f>
        <v>#N/A</v>
      </c>
      <c r="AY56" s="44">
        <f ca="1">SUMIFS(表格1[QTY],表格1[Model],三國演義!$AY$12,表格1[Name],三國演義!$E56)+SUMIFS(表格1[QTY],表格1[Model],三國演義!$AY$12,表格1[Name],三國演義!$AA56)</f>
        <v>0</v>
      </c>
      <c r="AZ56" s="77" t="e">
        <f ca="1">IF($AY56&gt;=$AC56,$AY56*'3月Target'!$W$6,0)</f>
        <v>#N/A</v>
      </c>
      <c r="BA56" s="44">
        <f ca="1">SUMIFS(表格1[QTY],表格1[Model],三國演義!$BA$12,表格1[Name],三國演義!$E56)+SUMIFS(表格1[QTY],表格1[Model],三國演義!$BA$12,表格1[Name],三國演義!$AA56)</f>
        <v>0</v>
      </c>
      <c r="BB56" s="77" t="e">
        <f ca="1">IF($BA56&gt;=$AD56,$BA56*'3月Target'!$W$7,0)</f>
        <v>#N/A</v>
      </c>
      <c r="BC56" s="44">
        <f ca="1">SUMIFS(表格1[QTY],表格1[Model],三國演義!$BC$12,表格1[Name],三國演義!$E56)+SUMIFS(表格1[QTY],表格1[Model],三國演義!$BC$12,表格1[Name],三國演義!$AA56)</f>
        <v>0</v>
      </c>
      <c r="BD56" s="77" t="e">
        <f ca="1">IF($BC56&gt;=$AF56,$BC56*'3月Target'!$W$9,0)</f>
        <v>#N/A</v>
      </c>
      <c r="BE56" s="44">
        <f ca="1">SUMIFS(表格1[QTY],表格1[Model],三國演義!$BE$12,表格1[Name],三國演義!$E56)+SUMIFS(表格1[QTY],表格1[Model],三國演義!$BE$12,表格1[Name],三國演義!$AA56)</f>
        <v>0</v>
      </c>
      <c r="BF56" s="77" t="e">
        <f ca="1">IF($BE56&gt;=$AG56,$BE56*'3月Target'!$W$10,0)</f>
        <v>#N/A</v>
      </c>
      <c r="BG56" s="44">
        <f ca="1">SUMIFS(表格1[QTY],表格1[Model],三國演義!$BG$12,表格1[Name],三國演義!$E56)+SUMIFS(表格1[QTY],表格1[Model],三國演義!$BG$12,表格1[Name],三國演義!$AA56)</f>
        <v>0</v>
      </c>
      <c r="BH56" s="77" t="e">
        <f ca="1">IF($BG56&gt;=$AH56,$BG56*'3月Target'!$W$10,0)</f>
        <v>#N/A</v>
      </c>
      <c r="BI56" s="44">
        <f ca="1">SUMIFS(表格1[QTY],表格1[Model],三國演義!$BI$12,表格1[Name],三國演義!$E56)+SUMIFS(表格1[QTY],表格1[Model],三國演義!$BI$12,表格1[Name],三國演義!$AA56)</f>
        <v>0</v>
      </c>
      <c r="BJ56" s="77" t="e">
        <f ca="1">IF($BI56&gt;=$AI56,$BI56*'3月Target'!$W$11,0)</f>
        <v>#N/A</v>
      </c>
      <c r="BK56" s="44">
        <f ca="1">SUMIFS(表格1[QTY],表格1[Model],三國演義!$BK$12,表格1[Name],三國演義!$E56)+SUMIFS(表格1[QTY],表格1[Model],三國演義!$BK$12,表格1[Name],三國演義!$AA56)</f>
        <v>0</v>
      </c>
      <c r="BL56" s="77" t="e">
        <f ca="1">IF($BK56&gt;=$AJ56,$BK56*'3月Target'!$W$12,0)</f>
        <v>#N/A</v>
      </c>
      <c r="BM56" s="44">
        <f ca="1">SUMIFS(表格1[QTY],表格1[Model],三國演義!$BM$12,表格1[Name],三國演義!$E56)+SUMIFS(表格1[QTY],表格1[Model],三國演義!$BM$12,表格1[Name],三國演義!$AA56)</f>
        <v>0</v>
      </c>
      <c r="BN56" s="77" t="e">
        <f ca="1">IF($BM56&gt;=$AK56,$BM56*'3月Target'!$W$13,0)</f>
        <v>#N/A</v>
      </c>
      <c r="BO56" s="44">
        <f ca="1">SUMIFS(表格1[QTY],表格1[Model],三國演義!$BO$12,表格1[Name],三國演義!$E56)+SUMIFS(表格1[QTY],表格1[Model],三國演義!$BO$12,表格1[Name],三國演義!$AA56)</f>
        <v>0</v>
      </c>
      <c r="BP56" s="77" t="e">
        <f ca="1">IF($BO56&gt;=$AL56,$BO56*'3月Target'!$W$14,0)</f>
        <v>#N/A</v>
      </c>
      <c r="BQ56" s="44">
        <f ca="1">SUMIFS(表格1[QTY],表格1[Model],三國演義!$BQ$12,表格1[Name],三國演義!$E56)+SUMIFS(表格1[QTY],表格1[Model],三國演義!$BQ$12,表格1[Name],三國演義!$AA56)</f>
        <v>0</v>
      </c>
      <c r="BR56" s="77" t="e">
        <f ca="1">IF($BQ56&gt;=$AM56,$BQ56*'3月Target'!$W$15,0)</f>
        <v>#N/A</v>
      </c>
      <c r="BS56" s="44">
        <f ca="1">SUMIFS(表格1[QTY],表格1[Model],三國演義!$BS$12,表格1[Name],三國演義!$E56)+SUMIFS(表格1[QTY],表格1[Model],三國演義!$BS$12,表格1[Name],三國演義!$AA56)</f>
        <v>0</v>
      </c>
      <c r="BT56" s="44">
        <f ca="1">SUMIFS(表格1[QTY],表格1[Model],三國演義!$BT$12,表格1[Name],三國演義!$E56)+SUMIFS(表格1[QTY],表格1[Model],三國演義!$BT$12,表格1[Name],三國演義!$AA56)</f>
        <v>0</v>
      </c>
      <c r="BU56" s="44">
        <f ca="1">SUMIFS(表格1[QTY],表格1[Model],三國演義!$BU$12,表格1[Name],三國演義!$E56)+SUMIFS(表格1[QTY],表格1[Model],三國演義!$BU$12,表格1[Name],三國演義!$AA56)</f>
        <v>3</v>
      </c>
      <c r="BV56" s="44">
        <f ca="1">SUMIFS(表格1[QTY],表格1[Model],三國演義!$BV$12,表格1[Name],三國演義!$E56)+SUMIFS(表格1[QTY],表格1[Model],三國演義!$BV$12,表格1[Name],三國演義!$AA56)</f>
        <v>0</v>
      </c>
      <c r="BW56" s="77" t="e">
        <f ca="1">IF((SUM($BS56:$BV56))&gt;=$AN56,SUM($BS56:$BV56)*'3月Target'!$W$16,0)</f>
        <v>#N/A</v>
      </c>
      <c r="BX56" s="44">
        <f ca="1">SUMIFS(表格1[QTY],表格1[Model],三國演義!$BX$12,表格1[Name],三國演義!$E56)+SUMIFS(表格1[QTY],表格1[Model],三國演義!$BX$12,表格1[Name],三國演義!$AA56)</f>
        <v>0</v>
      </c>
      <c r="BY56" s="77" t="e">
        <f ca="1">IF($BX56&gt;=$AO56,$BX56*'3月Target'!$W$17,0)</f>
        <v>#N/A</v>
      </c>
      <c r="BZ56" s="146">
        <f t="shared" ca="1" si="23"/>
        <v>31320</v>
      </c>
      <c r="CA56" s="77" t="e">
        <f t="shared" ca="1" si="24"/>
        <v>#N/A</v>
      </c>
      <c r="CB56" s="146">
        <f t="shared" ca="1" si="25"/>
        <v>31320</v>
      </c>
      <c r="CC56" s="77" t="e">
        <f t="shared" ca="1" si="26"/>
        <v>#N/A</v>
      </c>
    </row>
    <row r="57" spans="1:81">
      <c r="A57" s="121">
        <f ca="1">Roster!AL49*Roster!AH49+Roster!AM49*Roster!AG49+三國演義!H57+三國演義!I57+三國演義!J57</f>
        <v>1602.85</v>
      </c>
      <c r="B57" s="133">
        <v>0.02</v>
      </c>
      <c r="C57" s="66">
        <v>45</v>
      </c>
      <c r="D57" s="95" t="str">
        <f ca="1">_xlfn.XLOOKUP($E57,表格1[Name],表格1[Shop])</f>
        <v>Sogo</v>
      </c>
      <c r="E57" s="95" t="s">
        <v>1905</v>
      </c>
      <c r="F57" s="96">
        <f ca="1">SUMIF(表格1[Name],$E57,表格1[Total Amount])+SUMIF(表格1[Name],$AA57,表格1[Total Amount])</f>
        <v>64285</v>
      </c>
      <c r="G57" s="161">
        <f ca="1">SUMIF(表格1[Name],$E57,表格1[QTY])+SUMIF(表格1[Name],$AA57,表格1[QTY])</f>
        <v>28</v>
      </c>
      <c r="H57" s="96"/>
      <c r="I57" s="96">
        <f t="shared" ca="1" si="27"/>
        <v>642.85</v>
      </c>
      <c r="J57" s="51">
        <f t="shared" si="6"/>
        <v>0</v>
      </c>
      <c r="K57" s="164"/>
      <c r="L57" s="164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60" t="str">
        <f t="shared" si="4"/>
        <v>Anita_2 off</v>
      </c>
      <c r="AB57" s="71" t="e">
        <f>_xlfn.XLOOKUP($E57,target[NAME],target[RC-DS10K/18K])</f>
        <v>#N/A</v>
      </c>
      <c r="AC57" s="71" t="e">
        <f>_xlfn.XLOOKUP($E57,target[NAME],target[RC-18AMXH(W)])</f>
        <v>#N/A</v>
      </c>
      <c r="AD57" s="71" t="e">
        <f>_xlfn.XLOOKUP($E57,target[NAME],target[EB-T500APW])</f>
        <v>#N/A</v>
      </c>
      <c r="AE57" s="71" t="e">
        <f>_xlfn.XLOOKUP($E57,target[NAME],target[ER-VD7000HK(XK)])</f>
        <v>#N/A</v>
      </c>
      <c r="AF57" s="71" t="e">
        <f>_xlfn.XLOOKUP($E57,target[NAME],target[TWDT21BU95])</f>
        <v>#N/A</v>
      </c>
      <c r="AG57" s="71" t="e">
        <f>_xlfn.XLOOKUP($E57,target[NAME],target[AW-Q800APH(WW)])</f>
        <v>#N/A</v>
      </c>
      <c r="AH57" s="71" t="e">
        <f>_xlfn.XLOOKUP($E57,target[NAME],target[AW-Q801APH(WW)])</f>
        <v>#N/A</v>
      </c>
      <c r="AI57" s="71" t="e">
        <f>_xlfn.XLOOKUP($E57,target[NAME],target[GR-RM469WE-PGA(B3)])</f>
        <v>#N/A</v>
      </c>
      <c r="AJ57" s="71" t="e">
        <f>_xlfn.XLOOKUP($E57,target[NAME],target[GR-RB449WE-PMA(57)])</f>
        <v>#N/A</v>
      </c>
      <c r="AK57" s="71" t="e">
        <f>_xlfn.XLOOKUP($E57,target[NAME],target[GR-RB410WE-PMA(06)])</f>
        <v>#N/A</v>
      </c>
      <c r="AL57" s="71" t="e">
        <f>_xlfn.XLOOKUP($E57,target[NAME],target[GR-RF698WI])</f>
        <v>#N/A</v>
      </c>
      <c r="AM57" s="71" t="e">
        <f>_xlfn.XLOOKUP($E57,target[NAME],target[TWP-W2265THK(W)])</f>
        <v>#N/A</v>
      </c>
      <c r="AN57" s="71" t="e">
        <f>_xlfn.XLOOKUP($E57,target[NAME],target[RAD-D200/250/300/DIA17])</f>
        <v>#N/A</v>
      </c>
      <c r="AO57" s="71" t="e">
        <f>_xlfn.XLOOKUP($E57,target[NAME],target[(Fortress ONLY)TW-T25BZU115MWH(MG) ])</f>
        <v>#N/A</v>
      </c>
      <c r="AP57" s="71" t="e">
        <f>_xlfn.XLOOKUP($E57,target[NAME],target[開門紅(三月)])</f>
        <v>#N/A</v>
      </c>
      <c r="AQ57" s="71" t="e">
        <f>_xlfn.XLOOKUP($E57,target[NAME],target[開門紅(第一季)])</f>
        <v>#N/A</v>
      </c>
      <c r="AR57" s="73">
        <f ca="1">SUMIFS(表格1[QTY],表格1[Model],三國演義!$AR$12,表格1[Name],三國演義!$E57)+SUMIFS(表格1[QTY],表格1[Model],三國演義!$AR$12,表格1[Name],三國演義!$AA57)</f>
        <v>0</v>
      </c>
      <c r="AS57" s="77" t="e">
        <f ca="1">IF($AR57&gt;=$AE57,$AR57*'3月Target'!$W$8,0)</f>
        <v>#N/A</v>
      </c>
      <c r="AT57" s="44">
        <f ca="1">SUMIFS(表格1[QTY],表格1[Model],三國演義!$AT$12,表格1[Name],三國演義!$E57)+SUMIFS(表格1[QTY],表格1[Model],三國演義!$AT$12,表格1[Name],三國演義!$AA57)</f>
        <v>0</v>
      </c>
      <c r="AU57" s="44">
        <f ca="1">SUMIFS(表格1[QTY],表格1[Model],三國演義!$AU$12,表格1[Name],三國演義!$E57)+SUMIFS(表格1[QTY],表格1[Model],三國演義!$AU$12,表格1[Name],三國演義!$AA57)</f>
        <v>0</v>
      </c>
      <c r="AV57" s="44">
        <f ca="1">SUMIFS(表格1[QTY],表格1[Model],三國演義!$AV$12,表格1[Name],三國演義!$E57)+SUMIFS(表格1[QTY],表格1[Model],三國演義!$AV$12,表格1[Name],三國演義!$AA57)</f>
        <v>0</v>
      </c>
      <c r="AW57" s="44">
        <f ca="1">SUMIFS(表格1[QTY],表格1[Model],三國演義!$AW$12,表格1[Name],三國演義!$E57)+SUMIFS(表格1[QTY],表格1[Model],三國演義!$AW$12,表格1[Name],三國演義!$AA57)</f>
        <v>0</v>
      </c>
      <c r="AX57" s="50" t="e">
        <f ca="1">IF((SUM($AT57:$AW57))&gt;=$AB57,SUM($AT57:$AW57)*'3月Target'!$W$5,0)</f>
        <v>#N/A</v>
      </c>
      <c r="AY57" s="44">
        <f ca="1">SUMIFS(表格1[QTY],表格1[Model],三國演義!$AY$12,表格1[Name],三國演義!$E57)+SUMIFS(表格1[QTY],表格1[Model],三國演義!$AY$12,表格1[Name],三國演義!$AA57)</f>
        <v>2</v>
      </c>
      <c r="AZ57" s="77" t="e">
        <f ca="1">IF($AY57&gt;=$AC57,$AY57*'3月Target'!$W$6,0)</f>
        <v>#N/A</v>
      </c>
      <c r="BA57" s="44">
        <f ca="1">SUMIFS(表格1[QTY],表格1[Model],三國演義!$BA$12,表格1[Name],三國演義!$E57)+SUMIFS(表格1[QTY],表格1[Model],三國演義!$BA$12,表格1[Name],三國演義!$AA57)</f>
        <v>1</v>
      </c>
      <c r="BB57" s="77" t="e">
        <f ca="1">IF($BA57&gt;=$AD57,$BA57*'3月Target'!$W$7,0)</f>
        <v>#N/A</v>
      </c>
      <c r="BC57" s="44">
        <f ca="1">SUMIFS(表格1[QTY],表格1[Model],三國演義!$BC$12,表格1[Name],三國演義!$E57)+SUMIFS(表格1[QTY],表格1[Model],三國演義!$BC$12,表格1[Name],三國演義!$AA57)</f>
        <v>0</v>
      </c>
      <c r="BD57" s="77" t="e">
        <f ca="1">IF($BC57&gt;=$AF57,$BC57*'3月Target'!$W$9,0)</f>
        <v>#N/A</v>
      </c>
      <c r="BE57" s="44">
        <f ca="1">SUMIFS(表格1[QTY],表格1[Model],三國演義!$BE$12,表格1[Name],三國演義!$E57)+SUMIFS(表格1[QTY],表格1[Model],三國演義!$BE$12,表格1[Name],三國演義!$AA57)</f>
        <v>0</v>
      </c>
      <c r="BF57" s="77" t="e">
        <f ca="1">IF($BE57&gt;=$AG57,$BE57*'3月Target'!$W$10,0)</f>
        <v>#N/A</v>
      </c>
      <c r="BG57" s="44">
        <f ca="1">SUMIFS(表格1[QTY],表格1[Model],三國演義!$BG$12,表格1[Name],三國演義!$E57)+SUMIFS(表格1[QTY],表格1[Model],三國演義!$BG$12,表格1[Name],三國演義!$AA57)</f>
        <v>0</v>
      </c>
      <c r="BH57" s="77" t="e">
        <f ca="1">IF($BG57&gt;=$AH57,$BG57*'3月Target'!$W$10,0)</f>
        <v>#N/A</v>
      </c>
      <c r="BI57" s="44">
        <f ca="1">SUMIFS(表格1[QTY],表格1[Model],三國演義!$BI$12,表格1[Name],三國演義!$E57)+SUMIFS(表格1[QTY],表格1[Model],三國演義!$BI$12,表格1[Name],三國演義!$AA57)</f>
        <v>0</v>
      </c>
      <c r="BJ57" s="77" t="e">
        <f ca="1">IF($BI57&gt;=$AI57,$BI57*'3月Target'!$W$11,0)</f>
        <v>#N/A</v>
      </c>
      <c r="BK57" s="44">
        <f ca="1">SUMIFS(表格1[QTY],表格1[Model],三國演義!$BK$12,表格1[Name],三國演義!$E57)+SUMIFS(表格1[QTY],表格1[Model],三國演義!$BK$12,表格1[Name],三國演義!$AA57)</f>
        <v>0</v>
      </c>
      <c r="BL57" s="77" t="e">
        <f ca="1">IF($BK57&gt;=$AJ57,$BK57*'3月Target'!$W$12,0)</f>
        <v>#N/A</v>
      </c>
      <c r="BM57" s="44">
        <f ca="1">SUMIFS(表格1[QTY],表格1[Model],三國演義!$BM$12,表格1[Name],三國演義!$E57)+SUMIFS(表格1[QTY],表格1[Model],三國演義!$BM$12,表格1[Name],三國演義!$AA57)</f>
        <v>0</v>
      </c>
      <c r="BN57" s="77" t="e">
        <f ca="1">IF($BM57&gt;=$AK57,$BM57*'3月Target'!$W$13,0)</f>
        <v>#N/A</v>
      </c>
      <c r="BO57" s="44">
        <f ca="1">SUMIFS(表格1[QTY],表格1[Model],三國演義!$BO$12,表格1[Name],三國演義!$E57)+SUMIFS(表格1[QTY],表格1[Model],三國演義!$BO$12,表格1[Name],三國演義!$AA57)</f>
        <v>0</v>
      </c>
      <c r="BP57" s="77" t="e">
        <f ca="1">IF($BO57&gt;=$AL57,$BO57*'3月Target'!$W$14,0)</f>
        <v>#N/A</v>
      </c>
      <c r="BQ57" s="44">
        <f ca="1">SUMIFS(表格1[QTY],表格1[Model],三國演義!$BQ$12,表格1[Name],三國演義!$E57)+SUMIFS(表格1[QTY],表格1[Model],三國演義!$BQ$12,表格1[Name],三國演義!$AA57)</f>
        <v>0</v>
      </c>
      <c r="BR57" s="77" t="e">
        <f ca="1">IF($BQ57&gt;=$AM57,$BQ57*'3月Target'!$W$15,0)</f>
        <v>#N/A</v>
      </c>
      <c r="BS57" s="44">
        <f ca="1">SUMIFS(表格1[QTY],表格1[Model],三國演義!$BS$12,表格1[Name],三國演義!$E57)+SUMIFS(表格1[QTY],表格1[Model],三國演義!$BS$12,表格1[Name],三國演義!$AA57)</f>
        <v>0</v>
      </c>
      <c r="BT57" s="44">
        <f ca="1">SUMIFS(表格1[QTY],表格1[Model],三國演義!$BT$12,表格1[Name],三國演義!$E57)+SUMIFS(表格1[QTY],表格1[Model],三國演義!$BT$12,表格1[Name],三國演義!$AA57)</f>
        <v>0</v>
      </c>
      <c r="BU57" s="44">
        <f ca="1">SUMIFS(表格1[QTY],表格1[Model],三國演義!$BU$12,表格1[Name],三國演義!$E57)+SUMIFS(表格1[QTY],表格1[Model],三國演義!$BU$12,表格1[Name],三國演義!$AA57)</f>
        <v>2</v>
      </c>
      <c r="BV57" s="44">
        <f ca="1">SUMIFS(表格1[QTY],表格1[Model],三國演義!$BV$12,表格1[Name],三國演義!$E57)+SUMIFS(表格1[QTY],表格1[Model],三國演義!$BV$12,表格1[Name],三國演義!$AA57)</f>
        <v>0</v>
      </c>
      <c r="BW57" s="77" t="e">
        <f ca="1">IF((SUM($BS57:$BV57))&gt;=$AN57,SUM($BS57:$BV57)*'3月Target'!$W$16,0)</f>
        <v>#N/A</v>
      </c>
      <c r="BX57" s="44">
        <f ca="1">SUMIFS(表格1[QTY],表格1[Model],三國演義!$BX$12,表格1[Name],三國演義!$E57)+SUMIFS(表格1[QTY],表格1[Model],三國演義!$BX$12,表格1[Name],三國演義!$AA57)</f>
        <v>0</v>
      </c>
      <c r="BY57" s="77" t="e">
        <f ca="1">IF($BX57&gt;=$AO57,$BX57*'3月Target'!$W$17,0)</f>
        <v>#N/A</v>
      </c>
      <c r="BZ57" s="146">
        <f t="shared" ca="1" si="23"/>
        <v>64285</v>
      </c>
      <c r="CA57" s="77" t="e">
        <f t="shared" ca="1" si="24"/>
        <v>#N/A</v>
      </c>
      <c r="CB57" s="146">
        <f t="shared" ca="1" si="25"/>
        <v>64285</v>
      </c>
      <c r="CC57" s="77" t="e">
        <f t="shared" ca="1" si="26"/>
        <v>#N/A</v>
      </c>
    </row>
    <row r="58" spans="1:81">
      <c r="A58" s="121">
        <f ca="1">Roster!AL50*Roster!AH50+Roster!AM50*Roster!AG50+三國演義!H58+三國演義!I58+三國演義!J58</f>
        <v>3973.42</v>
      </c>
      <c r="B58" s="133">
        <v>0.02</v>
      </c>
      <c r="C58" s="66">
        <v>46</v>
      </c>
      <c r="D58" s="95" t="str">
        <f ca="1">_xlfn.XLOOKUP($E58,表格1[Name],表格1[Shop])</f>
        <v>BBE</v>
      </c>
      <c r="E58" s="95" t="s">
        <v>965</v>
      </c>
      <c r="F58" s="159">
        <f ca="1">SUMIF(表格1[Name],$E58,表格1[Total Amount])+SUMIF(表格1[Name],$AA58,表格1[Total Amount])</f>
        <v>102671</v>
      </c>
      <c r="G58" s="162">
        <f ca="1">SUMIF(表格1[Name],$E58,表格1[QTY])+SUMIF(表格1[Name],$AA58,表格1[QTY])</f>
        <v>14</v>
      </c>
      <c r="H58" s="159">
        <f t="shared" ca="1" si="5"/>
        <v>2053.42</v>
      </c>
      <c r="I58" s="96"/>
      <c r="J58" s="51">
        <f t="shared" si="6"/>
        <v>0</v>
      </c>
      <c r="K58" s="163"/>
      <c r="L58" s="163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60" t="str">
        <f t="shared" si="4"/>
        <v>Connie off</v>
      </c>
      <c r="AB58" s="71" t="e">
        <f>_xlfn.XLOOKUP($E58,target[NAME],target[RC-DS10K/18K])</f>
        <v>#N/A</v>
      </c>
      <c r="AC58" s="71" t="e">
        <f>_xlfn.XLOOKUP($E58,target[NAME],target[RC-18AMXH(W)])</f>
        <v>#N/A</v>
      </c>
      <c r="AD58" s="71" t="e">
        <f>_xlfn.XLOOKUP($E58,target[NAME],target[EB-T500APW])</f>
        <v>#N/A</v>
      </c>
      <c r="AE58" s="71" t="e">
        <f>_xlfn.XLOOKUP($E58,target[NAME],target[ER-VD7000HK(XK)])</f>
        <v>#N/A</v>
      </c>
      <c r="AF58" s="71" t="e">
        <f>_xlfn.XLOOKUP($E58,target[NAME],target[TWDT21BU95])</f>
        <v>#N/A</v>
      </c>
      <c r="AG58" s="71" t="e">
        <f>_xlfn.XLOOKUP($E58,target[NAME],target[AW-Q800APH(WW)])</f>
        <v>#N/A</v>
      </c>
      <c r="AH58" s="71" t="e">
        <f>_xlfn.XLOOKUP($E58,target[NAME],target[AW-Q801APH(WW)])</f>
        <v>#N/A</v>
      </c>
      <c r="AI58" s="71" t="e">
        <f>_xlfn.XLOOKUP($E58,target[NAME],target[GR-RM469WE-PGA(B3)])</f>
        <v>#N/A</v>
      </c>
      <c r="AJ58" s="71" t="e">
        <f>_xlfn.XLOOKUP($E58,target[NAME],target[GR-RB449WE-PMA(57)])</f>
        <v>#N/A</v>
      </c>
      <c r="AK58" s="71" t="e">
        <f>_xlfn.XLOOKUP($E58,target[NAME],target[GR-RB410WE-PMA(06)])</f>
        <v>#N/A</v>
      </c>
      <c r="AL58" s="71" t="e">
        <f>_xlfn.XLOOKUP($E58,target[NAME],target[GR-RF698WI])</f>
        <v>#N/A</v>
      </c>
      <c r="AM58" s="71" t="e">
        <f>_xlfn.XLOOKUP($E58,target[NAME],target[TWP-W2265THK(W)])</f>
        <v>#N/A</v>
      </c>
      <c r="AN58" s="71" t="e">
        <f>_xlfn.XLOOKUP($E58,target[NAME],target[RAD-D200/250/300/DIA17])</f>
        <v>#N/A</v>
      </c>
      <c r="AO58" s="71" t="e">
        <f>_xlfn.XLOOKUP($E58,target[NAME],target[(Fortress ONLY)TW-T25BZU115MWH(MG) ])</f>
        <v>#N/A</v>
      </c>
      <c r="AP58" s="71" t="e">
        <f>_xlfn.XLOOKUP($E58,target[NAME],target[開門紅(三月)])</f>
        <v>#N/A</v>
      </c>
      <c r="AQ58" s="71" t="e">
        <f>_xlfn.XLOOKUP($E58,target[NAME],target[開門紅(第一季)])</f>
        <v>#N/A</v>
      </c>
      <c r="AR58" s="73">
        <f ca="1">SUMIFS(表格1[QTY],表格1[Model],三國演義!$AR$12,表格1[Name],三國演義!$E58)+SUMIFS(表格1[QTY],表格1[Model],三國演義!$AR$12,表格1[Name],三國演義!$AA58)</f>
        <v>0</v>
      </c>
      <c r="AS58" s="77" t="e">
        <f ca="1">IF($AR58&gt;=$AE58,$AR58*'3月Target'!$W$8,0)</f>
        <v>#N/A</v>
      </c>
      <c r="AT58" s="44">
        <f ca="1">SUMIFS(表格1[QTY],表格1[Model],三國演義!$AT$12,表格1[Name],三國演義!$E58)+SUMIFS(表格1[QTY],表格1[Model],三國演義!$AT$12,表格1[Name],三國演義!$AA58)</f>
        <v>0</v>
      </c>
      <c r="AU58" s="44">
        <f ca="1">SUMIFS(表格1[QTY],表格1[Model],三國演義!$AU$12,表格1[Name],三國演義!$E58)+SUMIFS(表格1[QTY],表格1[Model],三國演義!$AU$12,表格1[Name],三國演義!$AA58)</f>
        <v>0</v>
      </c>
      <c r="AV58" s="44">
        <f ca="1">SUMIFS(表格1[QTY],表格1[Model],三國演義!$AV$12,表格1[Name],三國演義!$E58)+SUMIFS(表格1[QTY],表格1[Model],三國演義!$AV$12,表格1[Name],三國演義!$AA58)</f>
        <v>0</v>
      </c>
      <c r="AW58" s="44">
        <f ca="1">SUMIFS(表格1[QTY],表格1[Model],三國演義!$AW$12,表格1[Name],三國演義!$E58)+SUMIFS(表格1[QTY],表格1[Model],三國演義!$AW$12,表格1[Name],三國演義!$AA58)</f>
        <v>0</v>
      </c>
      <c r="AX58" s="50" t="e">
        <f ca="1">IF((SUM($AT58:$AW58))&gt;=$AB58,SUM($AT58:$AW58)*'3月Target'!$W$5,0)</f>
        <v>#N/A</v>
      </c>
      <c r="AY58" s="44">
        <f ca="1">SUMIFS(表格1[QTY],表格1[Model],三國演義!$AY$12,表格1[Name],三國演義!$E58)+SUMIFS(表格1[QTY],表格1[Model],三國演義!$AY$12,表格1[Name],三國演義!$AA58)</f>
        <v>0</v>
      </c>
      <c r="AZ58" s="77" t="e">
        <f ca="1">IF($AY58&gt;=$AC58,$AY58*'3月Target'!$W$6,0)</f>
        <v>#N/A</v>
      </c>
      <c r="BA58" s="44">
        <f ca="1">SUMIFS(表格1[QTY],表格1[Model],三國演義!$BA$12,表格1[Name],三國演義!$E58)+SUMIFS(表格1[QTY],表格1[Model],三國演義!$BA$12,表格1[Name],三國演義!$AA58)</f>
        <v>4</v>
      </c>
      <c r="BB58" s="77" t="e">
        <f ca="1">IF($BA58&gt;=$AD58,$BA58*'3月Target'!$W$7,0)</f>
        <v>#N/A</v>
      </c>
      <c r="BC58" s="44">
        <f ca="1">SUMIFS(表格1[QTY],表格1[Model],三國演義!$BC$12,表格1[Name],三國演義!$E58)+SUMIFS(表格1[QTY],表格1[Model],三國演義!$BC$12,表格1[Name],三國演義!$AA58)</f>
        <v>0</v>
      </c>
      <c r="BD58" s="77" t="e">
        <f ca="1">IF($BC58&gt;=$AF58,$BC58*'3月Target'!$W$9,0)</f>
        <v>#N/A</v>
      </c>
      <c r="BE58" s="44">
        <f ca="1">SUMIFS(表格1[QTY],表格1[Model],三國演義!$BE$12,表格1[Name],三國演義!$E58)+SUMIFS(表格1[QTY],表格1[Model],三國演義!$BE$12,表格1[Name],三國演義!$AA58)</f>
        <v>0</v>
      </c>
      <c r="BF58" s="77" t="e">
        <f ca="1">IF($BE58&gt;=$AG58,$BE58*'3月Target'!$W$10,0)</f>
        <v>#N/A</v>
      </c>
      <c r="BG58" s="44">
        <f ca="1">SUMIFS(表格1[QTY],表格1[Model],三國演義!$BG$12,表格1[Name],三國演義!$E58)+SUMIFS(表格1[QTY],表格1[Model],三國演義!$BG$12,表格1[Name],三國演義!$AA58)</f>
        <v>0</v>
      </c>
      <c r="BH58" s="77" t="e">
        <f ca="1">IF($BG58&gt;=$AH58,$BG58*'3月Target'!$W$10,0)</f>
        <v>#N/A</v>
      </c>
      <c r="BI58" s="44">
        <f ca="1">SUMIFS(表格1[QTY],表格1[Model],三國演義!$BI$12,表格1[Name],三國演義!$E58)+SUMIFS(表格1[QTY],表格1[Model],三國演義!$BI$12,表格1[Name],三國演義!$AA58)</f>
        <v>0</v>
      </c>
      <c r="BJ58" s="77" t="e">
        <f ca="1">IF($BI58&gt;=$AI58,$BI58*'3月Target'!$W$11,0)</f>
        <v>#N/A</v>
      </c>
      <c r="BK58" s="44">
        <f ca="1">SUMIFS(表格1[QTY],表格1[Model],三國演義!$BK$12,表格1[Name],三國演義!$E58)+SUMIFS(表格1[QTY],表格1[Model],三國演義!$BK$12,表格1[Name],三國演義!$AA58)</f>
        <v>0</v>
      </c>
      <c r="BL58" s="77" t="e">
        <f ca="1">IF($BK58&gt;=$AJ58,$BK58*'3月Target'!$W$12,0)</f>
        <v>#N/A</v>
      </c>
      <c r="BM58" s="44">
        <f ca="1">SUMIFS(表格1[QTY],表格1[Model],三國演義!$BM$12,表格1[Name],三國演義!$E58)+SUMIFS(表格1[QTY],表格1[Model],三國演義!$BM$12,表格1[Name],三國演義!$AA58)</f>
        <v>0</v>
      </c>
      <c r="BN58" s="77" t="e">
        <f ca="1">IF($BM58&gt;=$AK58,$BM58*'3月Target'!$W$13,0)</f>
        <v>#N/A</v>
      </c>
      <c r="BO58" s="44">
        <f ca="1">SUMIFS(表格1[QTY],表格1[Model],三國演義!$BO$12,表格1[Name],三國演義!$E58)+SUMIFS(表格1[QTY],表格1[Model],三國演義!$BO$12,表格1[Name],三國演義!$AA58)</f>
        <v>0</v>
      </c>
      <c r="BP58" s="77" t="e">
        <f ca="1">IF($BO58&gt;=$AL58,$BO58*'3月Target'!$W$14,0)</f>
        <v>#N/A</v>
      </c>
      <c r="BQ58" s="44">
        <f ca="1">SUMIFS(表格1[QTY],表格1[Model],三國演義!$BQ$12,表格1[Name],三國演義!$E58)+SUMIFS(表格1[QTY],表格1[Model],三國演義!$BQ$12,表格1[Name],三國演義!$AA58)</f>
        <v>0</v>
      </c>
      <c r="BR58" s="77" t="e">
        <f ca="1">IF($BQ58&gt;=$AM58,$BQ58*'3月Target'!$W$15,0)</f>
        <v>#N/A</v>
      </c>
      <c r="BS58" s="44">
        <f ca="1">SUMIFS(表格1[QTY],表格1[Model],三國演義!$BS$12,表格1[Name],三國演義!$E58)+SUMIFS(表格1[QTY],表格1[Model],三國演義!$BS$12,表格1[Name],三國演義!$AA58)</f>
        <v>0</v>
      </c>
      <c r="BT58" s="44">
        <f ca="1">SUMIFS(表格1[QTY],表格1[Model],三國演義!$BT$12,表格1[Name],三國演義!$E58)+SUMIFS(表格1[QTY],表格1[Model],三國演義!$BT$12,表格1[Name],三國演義!$AA58)</f>
        <v>0</v>
      </c>
      <c r="BU58" s="44">
        <f ca="1">SUMIFS(表格1[QTY],表格1[Model],三國演義!$BU$12,表格1[Name],三國演義!$E58)+SUMIFS(表格1[QTY],表格1[Model],三國演義!$BU$12,表格1[Name],三國演義!$AA58)</f>
        <v>0</v>
      </c>
      <c r="BV58" s="44">
        <f ca="1">SUMIFS(表格1[QTY],表格1[Model],三國演義!$BV$12,表格1[Name],三國演義!$E58)+SUMIFS(表格1[QTY],表格1[Model],三國演義!$BV$12,表格1[Name],三國演義!$AA58)</f>
        <v>0</v>
      </c>
      <c r="BW58" s="77" t="e">
        <f ca="1">IF((SUM($BS58:$BV58))&gt;=$AN58,SUM($BS58:$BV58)*'3月Target'!$W$16,0)</f>
        <v>#N/A</v>
      </c>
      <c r="BX58" s="44">
        <f ca="1">SUMIFS(表格1[QTY],表格1[Model],三國演義!$BX$12,表格1[Name],三國演義!$E58)+SUMIFS(表格1[QTY],表格1[Model],三國演義!$BX$12,表格1[Name],三國演義!$AA58)</f>
        <v>0</v>
      </c>
      <c r="BY58" s="77" t="e">
        <f ca="1">IF($BX58&gt;=$AO58,$BX58*'3月Target'!$W$17,0)</f>
        <v>#N/A</v>
      </c>
      <c r="BZ58" s="146">
        <f t="shared" ca="1" si="23"/>
        <v>102671</v>
      </c>
      <c r="CA58" s="77" t="e">
        <f t="shared" ca="1" si="24"/>
        <v>#N/A</v>
      </c>
      <c r="CB58" s="146">
        <f t="shared" ca="1" si="25"/>
        <v>102671</v>
      </c>
      <c r="CC58" s="77" t="e">
        <f t="shared" ca="1" si="26"/>
        <v>#N/A</v>
      </c>
    </row>
    <row r="59" spans="1:81">
      <c r="A59" s="121">
        <f ca="1">Roster!AL51*Roster!AH51+Roster!AM51*Roster!AG51+三國演義!H59+三國演義!I59+三國演義!J59</f>
        <v>4732.08</v>
      </c>
      <c r="B59" s="133">
        <v>0.02</v>
      </c>
      <c r="C59" s="66">
        <v>47</v>
      </c>
      <c r="D59" s="95" t="str">
        <f ca="1">_xlfn.XLOOKUP($E59,表格1[Name],表格1[Shop])</f>
        <v>BBE</v>
      </c>
      <c r="E59" s="95" t="s">
        <v>1214</v>
      </c>
      <c r="F59" s="96">
        <f ca="1">SUMIF(表格1[Name],$E59,表格1[Total Amount])+SUMIF(表格1[Name],$AA59,表格1[Total Amount])</f>
        <v>95604</v>
      </c>
      <c r="G59" s="161">
        <f ca="1">SUMIF(表格1[Name],$E59,表格1[QTY])+SUMIF(表格1[Name],$AA59,表格1[QTY])</f>
        <v>15</v>
      </c>
      <c r="H59" s="96">
        <f t="shared" ca="1" si="5"/>
        <v>1912.08</v>
      </c>
      <c r="I59" s="96"/>
      <c r="J59" s="51">
        <f t="shared" si="6"/>
        <v>0</v>
      </c>
      <c r="K59" s="163"/>
      <c r="L59" s="163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60" t="str">
        <f t="shared" si="4"/>
        <v>Amy Or_2 off</v>
      </c>
      <c r="AB59" s="71" t="e">
        <f>_xlfn.XLOOKUP($E59,target[NAME],target[RC-DS10K/18K])</f>
        <v>#N/A</v>
      </c>
      <c r="AC59" s="71" t="e">
        <f>_xlfn.XLOOKUP($E59,target[NAME],target[RC-18AMXH(W)])</f>
        <v>#N/A</v>
      </c>
      <c r="AD59" s="71" t="e">
        <f>_xlfn.XLOOKUP($E59,target[NAME],target[EB-T500APW])</f>
        <v>#N/A</v>
      </c>
      <c r="AE59" s="71" t="e">
        <f>_xlfn.XLOOKUP($E59,target[NAME],target[ER-VD7000HK(XK)])</f>
        <v>#N/A</v>
      </c>
      <c r="AF59" s="71" t="e">
        <f>_xlfn.XLOOKUP($E59,target[NAME],target[TWDT21BU95])</f>
        <v>#N/A</v>
      </c>
      <c r="AG59" s="71" t="e">
        <f>_xlfn.XLOOKUP($E59,target[NAME],target[AW-Q800APH(WW)])</f>
        <v>#N/A</v>
      </c>
      <c r="AH59" s="71" t="e">
        <f>_xlfn.XLOOKUP($E59,target[NAME],target[AW-Q801APH(WW)])</f>
        <v>#N/A</v>
      </c>
      <c r="AI59" s="71" t="e">
        <f>_xlfn.XLOOKUP($E59,target[NAME],target[GR-RM469WE-PGA(B3)])</f>
        <v>#N/A</v>
      </c>
      <c r="AJ59" s="71" t="e">
        <f>_xlfn.XLOOKUP($E59,target[NAME],target[GR-RB449WE-PMA(57)])</f>
        <v>#N/A</v>
      </c>
      <c r="AK59" s="71" t="e">
        <f>_xlfn.XLOOKUP($E59,target[NAME],target[GR-RB410WE-PMA(06)])</f>
        <v>#N/A</v>
      </c>
      <c r="AL59" s="71" t="e">
        <f>_xlfn.XLOOKUP($E59,target[NAME],target[GR-RF698WI])</f>
        <v>#N/A</v>
      </c>
      <c r="AM59" s="71" t="e">
        <f>_xlfn.XLOOKUP($E59,target[NAME],target[TWP-W2265THK(W)])</f>
        <v>#N/A</v>
      </c>
      <c r="AN59" s="71" t="e">
        <f>_xlfn.XLOOKUP($E59,target[NAME],target[RAD-D200/250/300/DIA17])</f>
        <v>#N/A</v>
      </c>
      <c r="AO59" s="71" t="e">
        <f>_xlfn.XLOOKUP($E59,target[NAME],target[(Fortress ONLY)TW-T25BZU115MWH(MG) ])</f>
        <v>#N/A</v>
      </c>
      <c r="AP59" s="71" t="e">
        <f>_xlfn.XLOOKUP($E59,target[NAME],target[開門紅(三月)])</f>
        <v>#N/A</v>
      </c>
      <c r="AQ59" s="71" t="e">
        <f>_xlfn.XLOOKUP($E59,target[NAME],target[開門紅(第一季)])</f>
        <v>#N/A</v>
      </c>
      <c r="AR59" s="73">
        <f ca="1">SUMIFS(表格1[QTY],表格1[Model],三國演義!$AR$12,表格1[Name],三國演義!$E59)+SUMIFS(表格1[QTY],表格1[Model],三國演義!$AR$12,表格1[Name],三國演義!$AA59)</f>
        <v>1</v>
      </c>
      <c r="AS59" s="77" t="e">
        <f ca="1">IF($AR59&gt;=$AE59,$AR59*'3月Target'!$W$8,0)</f>
        <v>#N/A</v>
      </c>
      <c r="AT59" s="44">
        <f ca="1">SUMIFS(表格1[QTY],表格1[Model],三國演義!$AT$12,表格1[Name],三國演義!$E59)+SUMIFS(表格1[QTY],表格1[Model],三國演義!$AT$12,表格1[Name],三國演義!$AA59)</f>
        <v>0</v>
      </c>
      <c r="AU59" s="44">
        <f ca="1">SUMIFS(表格1[QTY],表格1[Model],三國演義!$AU$12,表格1[Name],三國演義!$E59)+SUMIFS(表格1[QTY],表格1[Model],三國演義!$AU$12,表格1[Name],三國演義!$AA59)</f>
        <v>0</v>
      </c>
      <c r="AV59" s="44">
        <f ca="1">SUMIFS(表格1[QTY],表格1[Model],三國演義!$AV$12,表格1[Name],三國演義!$E59)+SUMIFS(表格1[QTY],表格1[Model],三國演義!$AV$12,表格1[Name],三國演義!$AA59)</f>
        <v>0</v>
      </c>
      <c r="AW59" s="44">
        <f ca="1">SUMIFS(表格1[QTY],表格1[Model],三國演義!$AW$12,表格1[Name],三國演義!$E59)+SUMIFS(表格1[QTY],表格1[Model],三國演義!$AW$12,表格1[Name],三國演義!$AA59)</f>
        <v>0</v>
      </c>
      <c r="AX59" s="50" t="e">
        <f ca="1">IF((SUM($AT59:$AW59))&gt;=$AB59,SUM($AT59:$AW59)*'3月Target'!$W$5,0)</f>
        <v>#N/A</v>
      </c>
      <c r="AY59" s="44">
        <f ca="1">SUMIFS(表格1[QTY],表格1[Model],三國演義!$AY$12,表格1[Name],三國演義!$E59)+SUMIFS(表格1[QTY],表格1[Model],三國演義!$AY$12,表格1[Name],三國演義!$AA59)</f>
        <v>0</v>
      </c>
      <c r="AZ59" s="77" t="e">
        <f ca="1">IF($AY59&gt;=$AC59,$AY59*'3月Target'!$W$6,0)</f>
        <v>#N/A</v>
      </c>
      <c r="BA59" s="44">
        <f ca="1">SUMIFS(表格1[QTY],表格1[Model],三國演義!$BA$12,表格1[Name],三國演義!$E59)+SUMIFS(表格1[QTY],表格1[Model],三國演義!$BA$12,表格1[Name],三國演義!$AA59)</f>
        <v>4</v>
      </c>
      <c r="BB59" s="77" t="e">
        <f ca="1">IF($BA59&gt;=$AD59,$BA59*'3月Target'!$W$7,0)</f>
        <v>#N/A</v>
      </c>
      <c r="BC59" s="44">
        <f ca="1">SUMIFS(表格1[QTY],表格1[Model],三國演義!$BC$12,表格1[Name],三國演義!$E59)+SUMIFS(表格1[QTY],表格1[Model],三國演義!$BC$12,表格1[Name],三國演義!$AA59)</f>
        <v>0</v>
      </c>
      <c r="BD59" s="77" t="e">
        <f ca="1">IF($BC59&gt;=$AF59,$BC59*'3月Target'!$W$9,0)</f>
        <v>#N/A</v>
      </c>
      <c r="BE59" s="44">
        <f ca="1">SUMIFS(表格1[QTY],表格1[Model],三國演義!$BE$12,表格1[Name],三國演義!$E59)+SUMIFS(表格1[QTY],表格1[Model],三國演義!$BE$12,表格1[Name],三國演義!$AA59)</f>
        <v>0</v>
      </c>
      <c r="BF59" s="77" t="e">
        <f ca="1">IF($BE59&gt;=$AG59,$BE59*'3月Target'!$W$10,0)</f>
        <v>#N/A</v>
      </c>
      <c r="BG59" s="44">
        <f ca="1">SUMIFS(表格1[QTY],表格1[Model],三國演義!$BG$12,表格1[Name],三國演義!$E59)+SUMIFS(表格1[QTY],表格1[Model],三國演義!$BG$12,表格1[Name],三國演義!$AA59)</f>
        <v>0</v>
      </c>
      <c r="BH59" s="77" t="e">
        <f ca="1">IF($BG59&gt;=$AH59,$BG59*'3月Target'!$W$10,0)</f>
        <v>#N/A</v>
      </c>
      <c r="BI59" s="44">
        <f ca="1">SUMIFS(表格1[QTY],表格1[Model],三國演義!$BI$12,表格1[Name],三國演義!$E59)+SUMIFS(表格1[QTY],表格1[Model],三國演義!$BI$12,表格1[Name],三國演義!$AA59)</f>
        <v>0</v>
      </c>
      <c r="BJ59" s="77" t="e">
        <f ca="1">IF($BI59&gt;=$AI59,$BI59*'3月Target'!$W$11,0)</f>
        <v>#N/A</v>
      </c>
      <c r="BK59" s="44">
        <f ca="1">SUMIFS(表格1[QTY],表格1[Model],三國演義!$BK$12,表格1[Name],三國演義!$E59)+SUMIFS(表格1[QTY],表格1[Model],三國演義!$BK$12,表格1[Name],三國演義!$AA59)</f>
        <v>0</v>
      </c>
      <c r="BL59" s="77" t="e">
        <f ca="1">IF($BK59&gt;=$AJ59,$BK59*'3月Target'!$W$12,0)</f>
        <v>#N/A</v>
      </c>
      <c r="BM59" s="44">
        <f ca="1">SUMIFS(表格1[QTY],表格1[Model],三國演義!$BM$12,表格1[Name],三國演義!$E59)+SUMIFS(表格1[QTY],表格1[Model],三國演義!$BM$12,表格1[Name],三國演義!$AA59)</f>
        <v>0</v>
      </c>
      <c r="BN59" s="77" t="e">
        <f ca="1">IF($BM59&gt;=$AK59,$BM59*'3月Target'!$W$13,0)</f>
        <v>#N/A</v>
      </c>
      <c r="BO59" s="44">
        <f ca="1">SUMIFS(表格1[QTY],表格1[Model],三國演義!$BO$12,表格1[Name],三國演義!$E59)+SUMIFS(表格1[QTY],表格1[Model],三國演義!$BO$12,表格1[Name],三國演義!$AA59)</f>
        <v>0</v>
      </c>
      <c r="BP59" s="77" t="e">
        <f ca="1">IF($BO59&gt;=$AL59,$BO59*'3月Target'!$W$14,0)</f>
        <v>#N/A</v>
      </c>
      <c r="BQ59" s="44">
        <f ca="1">SUMIFS(表格1[QTY],表格1[Model],三國演義!$BQ$12,表格1[Name],三國演義!$E59)+SUMIFS(表格1[QTY],表格1[Model],三國演義!$BQ$12,表格1[Name],三國演義!$AA59)</f>
        <v>0</v>
      </c>
      <c r="BR59" s="77" t="e">
        <f ca="1">IF($BQ59&gt;=$AM59,$BQ59*'3月Target'!$W$15,0)</f>
        <v>#N/A</v>
      </c>
      <c r="BS59" s="44">
        <f ca="1">SUMIFS(表格1[QTY],表格1[Model],三國演義!$BS$12,表格1[Name],三國演義!$E59)+SUMIFS(表格1[QTY],表格1[Model],三國演義!$BS$12,表格1[Name],三國演義!$AA59)</f>
        <v>1</v>
      </c>
      <c r="BT59" s="44">
        <f ca="1">SUMIFS(表格1[QTY],表格1[Model],三國演義!$BT$12,表格1[Name],三國演義!$E59)+SUMIFS(表格1[QTY],表格1[Model],三國演義!$BT$12,表格1[Name],三國演義!$AA59)</f>
        <v>0</v>
      </c>
      <c r="BU59" s="44">
        <f ca="1">SUMIFS(表格1[QTY],表格1[Model],三國演義!$BU$12,表格1[Name],三國演義!$E59)+SUMIFS(表格1[QTY],表格1[Model],三國演義!$BU$12,表格1[Name],三國演義!$AA59)</f>
        <v>0</v>
      </c>
      <c r="BV59" s="44">
        <f ca="1">SUMIFS(表格1[QTY],表格1[Model],三國演義!$BV$12,表格1[Name],三國演義!$E59)+SUMIFS(表格1[QTY],表格1[Model],三國演義!$BV$12,表格1[Name],三國演義!$AA59)</f>
        <v>0</v>
      </c>
      <c r="BW59" s="77" t="e">
        <f ca="1">IF((SUM($BS59:$BV59))&gt;=$AN59,SUM($BS59:$BV59)*'3月Target'!$W$16,0)</f>
        <v>#N/A</v>
      </c>
      <c r="BX59" s="44">
        <f ca="1">SUMIFS(表格1[QTY],表格1[Model],三國演義!$BX$12,表格1[Name],三國演義!$E59)+SUMIFS(表格1[QTY],表格1[Model],三國演義!$BX$12,表格1[Name],三國演義!$AA59)</f>
        <v>0</v>
      </c>
      <c r="BY59" s="77" t="e">
        <f ca="1">IF($BX59&gt;=$AO59,$BX59*'3月Target'!$W$17,0)</f>
        <v>#N/A</v>
      </c>
      <c r="BZ59" s="146">
        <f t="shared" ca="1" si="23"/>
        <v>95604</v>
      </c>
      <c r="CA59" s="77" t="e">
        <f t="shared" ca="1" si="24"/>
        <v>#N/A</v>
      </c>
      <c r="CB59" s="146">
        <f t="shared" ca="1" si="25"/>
        <v>95604</v>
      </c>
      <c r="CC59" s="77" t="e">
        <f t="shared" ca="1" si="26"/>
        <v>#N/A</v>
      </c>
    </row>
    <row r="60" spans="1:81">
      <c r="A60" s="121">
        <f ca="1">Roster!AL52*Roster!AH52+Roster!AM52*Roster!AG52+三國演義!H60+三國演義!I60+三國演義!J60</f>
        <v>5743.98</v>
      </c>
      <c r="B60" s="133">
        <v>0.02</v>
      </c>
      <c r="C60" s="66">
        <v>48</v>
      </c>
      <c r="D60" s="95" t="str">
        <f ca="1">_xlfn.XLOOKUP($E60,表格1[Name],表格1[Shop])</f>
        <v>Apita</v>
      </c>
      <c r="E60" s="95" t="s">
        <v>1140</v>
      </c>
      <c r="F60" s="96">
        <f ca="1">SUMIF(表格1[Name],$E60,表格1[Total Amount])+SUMIF(表格1[Name],$AA60,表格1[Total Amount])</f>
        <v>47199</v>
      </c>
      <c r="G60" s="161">
        <f ca="1">SUMIF(表格1[Name],$E60,表格1[QTY])+SUMIF(表格1[Name],$AA60,表格1[QTY])</f>
        <v>32</v>
      </c>
      <c r="H60" s="96">
        <f t="shared" ca="1" si="5"/>
        <v>943.98</v>
      </c>
      <c r="I60" s="96"/>
      <c r="J60" s="51">
        <f t="shared" si="6"/>
        <v>0</v>
      </c>
      <c r="K60" s="163"/>
      <c r="L60" s="163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60" t="str">
        <f t="shared" si="4"/>
        <v>SK off</v>
      </c>
      <c r="AB60" s="71" t="e">
        <f>_xlfn.XLOOKUP($E60,target[NAME],target[RC-DS10K/18K])</f>
        <v>#N/A</v>
      </c>
      <c r="AC60" s="71" t="e">
        <f>_xlfn.XLOOKUP($E60,target[NAME],target[RC-18AMXH(W)])</f>
        <v>#N/A</v>
      </c>
      <c r="AD60" s="71" t="e">
        <f>_xlfn.XLOOKUP($E60,target[NAME],target[EB-T500APW])</f>
        <v>#N/A</v>
      </c>
      <c r="AE60" s="71" t="e">
        <f>_xlfn.XLOOKUP($E60,target[NAME],target[ER-VD7000HK(XK)])</f>
        <v>#N/A</v>
      </c>
      <c r="AF60" s="71" t="e">
        <f>_xlfn.XLOOKUP($E60,target[NAME],target[TWDT21BU95])</f>
        <v>#N/A</v>
      </c>
      <c r="AG60" s="71" t="e">
        <f>_xlfn.XLOOKUP($E60,target[NAME],target[AW-Q800APH(WW)])</f>
        <v>#N/A</v>
      </c>
      <c r="AH60" s="71" t="e">
        <f>_xlfn.XLOOKUP($E60,target[NAME],target[AW-Q801APH(WW)])</f>
        <v>#N/A</v>
      </c>
      <c r="AI60" s="71" t="e">
        <f>_xlfn.XLOOKUP($E60,target[NAME],target[GR-RM469WE-PGA(B3)])</f>
        <v>#N/A</v>
      </c>
      <c r="AJ60" s="71" t="e">
        <f>_xlfn.XLOOKUP($E60,target[NAME],target[GR-RB449WE-PMA(57)])</f>
        <v>#N/A</v>
      </c>
      <c r="AK60" s="71" t="e">
        <f>_xlfn.XLOOKUP($E60,target[NAME],target[GR-RB410WE-PMA(06)])</f>
        <v>#N/A</v>
      </c>
      <c r="AL60" s="71" t="e">
        <f>_xlfn.XLOOKUP($E60,target[NAME],target[GR-RF698WI])</f>
        <v>#N/A</v>
      </c>
      <c r="AM60" s="71" t="e">
        <f>_xlfn.XLOOKUP($E60,target[NAME],target[TWP-W2265THK(W)])</f>
        <v>#N/A</v>
      </c>
      <c r="AN60" s="71" t="e">
        <f>_xlfn.XLOOKUP($E60,target[NAME],target[RAD-D200/250/300/DIA17])</f>
        <v>#N/A</v>
      </c>
      <c r="AO60" s="71" t="e">
        <f>_xlfn.XLOOKUP($E60,target[NAME],target[(Fortress ONLY)TW-T25BZU115MWH(MG) ])</f>
        <v>#N/A</v>
      </c>
      <c r="AP60" s="71" t="e">
        <f>_xlfn.XLOOKUP($E60,target[NAME],target[開門紅(三月)])</f>
        <v>#N/A</v>
      </c>
      <c r="AQ60" s="71" t="e">
        <f>_xlfn.XLOOKUP($E60,target[NAME],target[開門紅(第一季)])</f>
        <v>#N/A</v>
      </c>
      <c r="AR60" s="73">
        <f ca="1">SUMIFS(表格1[QTY],表格1[Model],三國演義!$AR$12,表格1[Name],三國演義!$E60)+SUMIFS(表格1[QTY],表格1[Model],三國演義!$AR$12,表格1[Name],三國演義!$AA60)</f>
        <v>0</v>
      </c>
      <c r="AS60" s="77" t="e">
        <f ca="1">IF($AR60&gt;=$AE60,$AR60*'3月Target'!$W$8,0)</f>
        <v>#N/A</v>
      </c>
      <c r="AT60" s="44">
        <f ca="1">SUMIFS(表格1[QTY],表格1[Model],三國演義!$AT$12,表格1[Name],三國演義!$E60)+SUMIFS(表格1[QTY],表格1[Model],三國演義!$AT$12,表格1[Name],三國演義!$AA60)</f>
        <v>0</v>
      </c>
      <c r="AU60" s="44">
        <f ca="1">SUMIFS(表格1[QTY],表格1[Model],三國演義!$AU$12,表格1[Name],三國演義!$E60)+SUMIFS(表格1[QTY],表格1[Model],三國演義!$AU$12,表格1[Name],三國演義!$AA60)</f>
        <v>0</v>
      </c>
      <c r="AV60" s="44">
        <f ca="1">SUMIFS(表格1[QTY],表格1[Model],三國演義!$AV$12,表格1[Name],三國演義!$E60)+SUMIFS(表格1[QTY],表格1[Model],三國演義!$AV$12,表格1[Name],三國演義!$AA60)</f>
        <v>0</v>
      </c>
      <c r="AW60" s="44">
        <f ca="1">SUMIFS(表格1[QTY],表格1[Model],三國演義!$AW$12,表格1[Name],三國演義!$E60)+SUMIFS(表格1[QTY],表格1[Model],三國演義!$AW$12,表格1[Name],三國演義!$AA60)</f>
        <v>0</v>
      </c>
      <c r="AX60" s="50" t="e">
        <f ca="1">IF((SUM($AT60:$AW60))&gt;=$AB60,SUM($AT60:$AW60)*'3月Target'!$W$5,0)</f>
        <v>#N/A</v>
      </c>
      <c r="AY60" s="44">
        <f ca="1">SUMIFS(表格1[QTY],表格1[Model],三國演義!$AY$12,表格1[Name],三國演義!$E60)+SUMIFS(表格1[QTY],表格1[Model],三國演義!$AY$12,表格1[Name],三國演義!$AA60)</f>
        <v>4</v>
      </c>
      <c r="AZ60" s="77" t="e">
        <f ca="1">IF($AY60&gt;=$AC60,$AY60*'3月Target'!$W$6,0)</f>
        <v>#N/A</v>
      </c>
      <c r="BA60" s="44">
        <f ca="1">SUMIFS(表格1[QTY],表格1[Model],三國演義!$BA$12,表格1[Name],三國演義!$E60)+SUMIFS(表格1[QTY],表格1[Model],三國演義!$BA$12,表格1[Name],三國演義!$AA60)</f>
        <v>0</v>
      </c>
      <c r="BB60" s="77" t="e">
        <f ca="1">IF($BA60&gt;=$AD60,$BA60*'3月Target'!$W$7,0)</f>
        <v>#N/A</v>
      </c>
      <c r="BC60" s="44">
        <f ca="1">SUMIFS(表格1[QTY],表格1[Model],三國演義!$BC$12,表格1[Name],三國演義!$E60)+SUMIFS(表格1[QTY],表格1[Model],三國演義!$BC$12,表格1[Name],三國演義!$AA60)</f>
        <v>0</v>
      </c>
      <c r="BD60" s="77" t="e">
        <f ca="1">IF($BC60&gt;=$AF60,$BC60*'3月Target'!$W$9,0)</f>
        <v>#N/A</v>
      </c>
      <c r="BE60" s="44">
        <f ca="1">SUMIFS(表格1[QTY],表格1[Model],三國演義!$BE$12,表格1[Name],三國演義!$E60)+SUMIFS(表格1[QTY],表格1[Model],三國演義!$BE$12,表格1[Name],三國演義!$AA60)</f>
        <v>0</v>
      </c>
      <c r="BF60" s="77" t="e">
        <f ca="1">IF($BE60&gt;=$AG60,$BE60*'3月Target'!$W$10,0)</f>
        <v>#N/A</v>
      </c>
      <c r="BG60" s="44">
        <f ca="1">SUMIFS(表格1[QTY],表格1[Model],三國演義!$BG$12,表格1[Name],三國演義!$E60)+SUMIFS(表格1[QTY],表格1[Model],三國演義!$BG$12,表格1[Name],三國演義!$AA60)</f>
        <v>3</v>
      </c>
      <c r="BH60" s="77" t="e">
        <f ca="1">IF($BG60&gt;=$AH60,$BG60*'3月Target'!$W$10,0)</f>
        <v>#N/A</v>
      </c>
      <c r="BI60" s="44">
        <f ca="1">SUMIFS(表格1[QTY],表格1[Model],三國演義!$BI$12,表格1[Name],三國演義!$E60)+SUMIFS(表格1[QTY],表格1[Model],三國演義!$BI$12,表格1[Name],三國演義!$AA60)</f>
        <v>0</v>
      </c>
      <c r="BJ60" s="77" t="e">
        <f ca="1">IF($BI60&gt;=$AI60,$BI60*'3月Target'!$W$11,0)</f>
        <v>#N/A</v>
      </c>
      <c r="BK60" s="44">
        <f ca="1">SUMIFS(表格1[QTY],表格1[Model],三國演義!$BK$12,表格1[Name],三國演義!$E60)+SUMIFS(表格1[QTY],表格1[Model],三國演義!$BK$12,表格1[Name],三國演義!$AA60)</f>
        <v>0</v>
      </c>
      <c r="BL60" s="77" t="e">
        <f ca="1">IF($BK60&gt;=$AJ60,$BK60*'3月Target'!$W$12,0)</f>
        <v>#N/A</v>
      </c>
      <c r="BM60" s="44">
        <f ca="1">SUMIFS(表格1[QTY],表格1[Model],三國演義!$BM$12,表格1[Name],三國演義!$E60)+SUMIFS(表格1[QTY],表格1[Model],三國演義!$BM$12,表格1[Name],三國演義!$AA60)</f>
        <v>0</v>
      </c>
      <c r="BN60" s="77" t="e">
        <f ca="1">IF($BM60&gt;=$AK60,$BM60*'3月Target'!$W$13,0)</f>
        <v>#N/A</v>
      </c>
      <c r="BO60" s="44">
        <f ca="1">SUMIFS(表格1[QTY],表格1[Model],三國演義!$BO$12,表格1[Name],三國演義!$E60)+SUMIFS(表格1[QTY],表格1[Model],三國演義!$BO$12,表格1[Name],三國演義!$AA60)</f>
        <v>0</v>
      </c>
      <c r="BP60" s="77" t="e">
        <f ca="1">IF($BO60&gt;=$AL60,$BO60*'3月Target'!$W$14,0)</f>
        <v>#N/A</v>
      </c>
      <c r="BQ60" s="44">
        <f ca="1">SUMIFS(表格1[QTY],表格1[Model],三國演義!$BQ$12,表格1[Name],三國演義!$E60)+SUMIFS(表格1[QTY],表格1[Model],三國演義!$BQ$12,表格1[Name],三國演義!$AA60)</f>
        <v>0</v>
      </c>
      <c r="BR60" s="77" t="e">
        <f ca="1">IF($BQ60&gt;=$AM60,$BQ60*'3月Target'!$W$15,0)</f>
        <v>#N/A</v>
      </c>
      <c r="BS60" s="44">
        <f ca="1">SUMIFS(表格1[QTY],表格1[Model],三國演義!$BS$12,表格1[Name],三國演義!$E60)+SUMIFS(表格1[QTY],表格1[Model],三國演義!$BS$12,表格1[Name],三國演義!$AA60)</f>
        <v>4</v>
      </c>
      <c r="BT60" s="44">
        <f ca="1">SUMIFS(表格1[QTY],表格1[Model],三國演義!$BT$12,表格1[Name],三國演義!$E60)+SUMIFS(表格1[QTY],表格1[Model],三國演義!$BT$12,表格1[Name],三國演義!$AA60)</f>
        <v>0</v>
      </c>
      <c r="BU60" s="44">
        <f ca="1">SUMIFS(表格1[QTY],表格1[Model],三國演義!$BU$12,表格1[Name],三國演義!$E60)+SUMIFS(表格1[QTY],表格1[Model],三國演義!$BU$12,表格1[Name],三國演義!$AA60)</f>
        <v>0</v>
      </c>
      <c r="BV60" s="44">
        <f ca="1">SUMIFS(表格1[QTY],表格1[Model],三國演義!$BV$12,表格1[Name],三國演義!$E60)+SUMIFS(表格1[QTY],表格1[Model],三國演義!$BV$12,表格1[Name],三國演義!$AA60)</f>
        <v>0</v>
      </c>
      <c r="BW60" s="77" t="e">
        <f ca="1">IF((SUM($BS60:$BV60))&gt;=$AN60,SUM($BS60:$BV60)*'3月Target'!$W$16,0)</f>
        <v>#N/A</v>
      </c>
      <c r="BX60" s="44">
        <f ca="1">SUMIFS(表格1[QTY],表格1[Model],三國演義!$BX$12,表格1[Name],三國演義!$E60)+SUMIFS(表格1[QTY],表格1[Model],三國演義!$BX$12,表格1[Name],三國演義!$AA60)</f>
        <v>0</v>
      </c>
      <c r="BY60" s="77" t="e">
        <f ca="1">IF($BX60&gt;=$AO60,$BX60*'3月Target'!$W$17,0)</f>
        <v>#N/A</v>
      </c>
      <c r="BZ60" s="146">
        <f t="shared" ca="1" si="23"/>
        <v>47199</v>
      </c>
      <c r="CA60" s="77" t="e">
        <f t="shared" ca="1" si="24"/>
        <v>#N/A</v>
      </c>
      <c r="CB60" s="146">
        <f t="shared" ca="1" si="25"/>
        <v>47199</v>
      </c>
      <c r="CC60" s="77" t="e">
        <f t="shared" ca="1" si="26"/>
        <v>#N/A</v>
      </c>
    </row>
    <row r="61" spans="1:81">
      <c r="A61" s="121">
        <f ca="1">Roster!AL53*Roster!AH53+Roster!AM53*Roster!AG53+三國演義!H61+三國演義!I61+三國演義!J61</f>
        <v>605.29999999999995</v>
      </c>
      <c r="B61" s="133">
        <v>0.02</v>
      </c>
      <c r="C61" s="66">
        <v>49</v>
      </c>
      <c r="D61" s="95" t="str">
        <f ca="1">_xlfn.XLOOKUP($E61,表格1[Name],表格1[Shop])</f>
        <v>Apita</v>
      </c>
      <c r="E61" s="95" t="s">
        <v>1220</v>
      </c>
      <c r="F61" s="96">
        <f ca="1">SUMIF(表格1[Name],$E61,表格1[Total Amount])+SUMIF(表格1[Name],$AA61,表格1[Total Amount])</f>
        <v>6265</v>
      </c>
      <c r="G61" s="161">
        <f ca="1">SUMIF(表格1[Name],$E61,表格1[QTY])+SUMIF(表格1[Name],$AA61,表格1[QTY])</f>
        <v>5</v>
      </c>
      <c r="H61" s="96">
        <f t="shared" ca="1" si="5"/>
        <v>125.3</v>
      </c>
      <c r="I61" s="96"/>
      <c r="J61" s="51">
        <f t="shared" si="6"/>
        <v>0</v>
      </c>
      <c r="K61" s="163"/>
      <c r="L61" s="163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60" t="str">
        <f t="shared" si="4"/>
        <v>Tony_3 off</v>
      </c>
      <c r="AB61" s="71" t="e">
        <f>_xlfn.XLOOKUP($E61,target[NAME],target[RC-DS10K/18K])</f>
        <v>#N/A</v>
      </c>
      <c r="AC61" s="71" t="e">
        <f>_xlfn.XLOOKUP($E61,target[NAME],target[RC-18AMXH(W)])</f>
        <v>#N/A</v>
      </c>
      <c r="AD61" s="71" t="e">
        <f>_xlfn.XLOOKUP($E61,target[NAME],target[EB-T500APW])</f>
        <v>#N/A</v>
      </c>
      <c r="AE61" s="71" t="e">
        <f>_xlfn.XLOOKUP($E61,target[NAME],target[ER-VD7000HK(XK)])</f>
        <v>#N/A</v>
      </c>
      <c r="AF61" s="71" t="e">
        <f>_xlfn.XLOOKUP($E61,target[NAME],target[TWDT21BU95])</f>
        <v>#N/A</v>
      </c>
      <c r="AG61" s="71" t="e">
        <f>_xlfn.XLOOKUP($E61,target[NAME],target[AW-Q800APH(WW)])</f>
        <v>#N/A</v>
      </c>
      <c r="AH61" s="71" t="e">
        <f>_xlfn.XLOOKUP($E61,target[NAME],target[AW-Q801APH(WW)])</f>
        <v>#N/A</v>
      </c>
      <c r="AI61" s="71" t="e">
        <f>_xlfn.XLOOKUP($E61,target[NAME],target[GR-RM469WE-PGA(B3)])</f>
        <v>#N/A</v>
      </c>
      <c r="AJ61" s="71" t="e">
        <f>_xlfn.XLOOKUP($E61,target[NAME],target[GR-RB449WE-PMA(57)])</f>
        <v>#N/A</v>
      </c>
      <c r="AK61" s="71" t="e">
        <f>_xlfn.XLOOKUP($E61,target[NAME],target[GR-RB410WE-PMA(06)])</f>
        <v>#N/A</v>
      </c>
      <c r="AL61" s="71" t="e">
        <f>_xlfn.XLOOKUP($E61,target[NAME],target[GR-RF698WI])</f>
        <v>#N/A</v>
      </c>
      <c r="AM61" s="71" t="e">
        <f>_xlfn.XLOOKUP($E61,target[NAME],target[TWP-W2265THK(W)])</f>
        <v>#N/A</v>
      </c>
      <c r="AN61" s="71" t="e">
        <f>_xlfn.XLOOKUP($E61,target[NAME],target[RAD-D200/250/300/DIA17])</f>
        <v>#N/A</v>
      </c>
      <c r="AO61" s="71" t="e">
        <f>_xlfn.XLOOKUP($E61,target[NAME],target[(Fortress ONLY)TW-T25BZU115MWH(MG) ])</f>
        <v>#N/A</v>
      </c>
      <c r="AP61" s="71" t="e">
        <f>_xlfn.XLOOKUP($E61,target[NAME],target[開門紅(三月)])</f>
        <v>#N/A</v>
      </c>
      <c r="AQ61" s="71" t="e">
        <f>_xlfn.XLOOKUP($E61,target[NAME],target[開門紅(第一季)])</f>
        <v>#N/A</v>
      </c>
      <c r="AR61" s="73">
        <f ca="1">SUMIFS(表格1[QTY],表格1[Model],三國演義!$AR$12,表格1[Name],三國演義!$E61)+SUMIFS(表格1[QTY],表格1[Model],三國演義!$AR$12,表格1[Name],三國演義!$AA61)</f>
        <v>0</v>
      </c>
      <c r="AS61" s="77" t="e">
        <f ca="1">IF($AR61&gt;=$AE61,$AR61*'3月Target'!$W$8,0)</f>
        <v>#N/A</v>
      </c>
      <c r="AT61" s="44">
        <f ca="1">SUMIFS(表格1[QTY],表格1[Model],三國演義!$AT$12,表格1[Name],三國演義!$E61)+SUMIFS(表格1[QTY],表格1[Model],三國演義!$AT$12,表格1[Name],三國演義!$AA61)</f>
        <v>0</v>
      </c>
      <c r="AU61" s="44">
        <f ca="1">SUMIFS(表格1[QTY],表格1[Model],三國演義!$AU$12,表格1[Name],三國演義!$E61)+SUMIFS(表格1[QTY],表格1[Model],三國演義!$AU$12,表格1[Name],三國演義!$AA61)</f>
        <v>0</v>
      </c>
      <c r="AV61" s="44">
        <f ca="1">SUMIFS(表格1[QTY],表格1[Model],三國演義!$AV$12,表格1[Name],三國演義!$E61)+SUMIFS(表格1[QTY],表格1[Model],三國演義!$AV$12,表格1[Name],三國演義!$AA61)</f>
        <v>0</v>
      </c>
      <c r="AW61" s="44">
        <f ca="1">SUMIFS(表格1[QTY],表格1[Model],三國演義!$AW$12,表格1[Name],三國演義!$E61)+SUMIFS(表格1[QTY],表格1[Model],三國演義!$AW$12,表格1[Name],三國演義!$AA61)</f>
        <v>0</v>
      </c>
      <c r="AX61" s="50" t="e">
        <f ca="1">IF((SUM($AT61:$AW61))&gt;=$AB61,SUM($AT61:$AW61)*'3月Target'!$W$5,0)</f>
        <v>#N/A</v>
      </c>
      <c r="AY61" s="44">
        <f ca="1">SUMIFS(表格1[QTY],表格1[Model],三國演義!$AY$12,表格1[Name],三國演義!$E61)+SUMIFS(表格1[QTY],表格1[Model],三國演義!$AY$12,表格1[Name],三國演義!$AA61)</f>
        <v>0</v>
      </c>
      <c r="AZ61" s="77" t="e">
        <f ca="1">IF($AY61&gt;=$AC61,$AY61*'3月Target'!$W$6,0)</f>
        <v>#N/A</v>
      </c>
      <c r="BA61" s="44">
        <f ca="1">SUMIFS(表格1[QTY],表格1[Model],三國演義!$BA$12,表格1[Name],三國演義!$E61)+SUMIFS(表格1[QTY],表格1[Model],三國演義!$BA$12,表格1[Name],三國演義!$AA61)</f>
        <v>0</v>
      </c>
      <c r="BB61" s="77" t="e">
        <f ca="1">IF($BA61&gt;=$AD61,$BA61*'3月Target'!$W$7,0)</f>
        <v>#N/A</v>
      </c>
      <c r="BC61" s="44">
        <f ca="1">SUMIFS(表格1[QTY],表格1[Model],三國演義!$BC$12,表格1[Name],三國演義!$E61)+SUMIFS(表格1[QTY],表格1[Model],三國演義!$BC$12,表格1[Name],三國演義!$AA61)</f>
        <v>0</v>
      </c>
      <c r="BD61" s="77" t="e">
        <f ca="1">IF($BC61&gt;=$AF61,$BC61*'3月Target'!$W$9,0)</f>
        <v>#N/A</v>
      </c>
      <c r="BE61" s="44">
        <f ca="1">SUMIFS(表格1[QTY],表格1[Model],三國演義!$BE$12,表格1[Name],三國演義!$E61)+SUMIFS(表格1[QTY],表格1[Model],三國演義!$BE$12,表格1[Name],三國演義!$AA61)</f>
        <v>0</v>
      </c>
      <c r="BF61" s="77" t="e">
        <f ca="1">IF($BE61&gt;=$AG61,$BE61*'3月Target'!$W$10,0)</f>
        <v>#N/A</v>
      </c>
      <c r="BG61" s="44">
        <f ca="1">SUMIFS(表格1[QTY],表格1[Model],三國演義!$BG$12,表格1[Name],三國演義!$E61)+SUMIFS(表格1[QTY],表格1[Model],三國演義!$BG$12,表格1[Name],三國演義!$AA61)</f>
        <v>0</v>
      </c>
      <c r="BH61" s="77" t="e">
        <f ca="1">IF($BG61&gt;=$AH61,$BG61*'3月Target'!$W$10,0)</f>
        <v>#N/A</v>
      </c>
      <c r="BI61" s="44">
        <f ca="1">SUMIFS(表格1[QTY],表格1[Model],三國演義!$BI$12,表格1[Name],三國演義!$E61)+SUMIFS(表格1[QTY],表格1[Model],三國演義!$BI$12,表格1[Name],三國演義!$AA61)</f>
        <v>0</v>
      </c>
      <c r="BJ61" s="77" t="e">
        <f ca="1">IF($BI61&gt;=$AI61,$BI61*'3月Target'!$W$11,0)</f>
        <v>#N/A</v>
      </c>
      <c r="BK61" s="44">
        <f ca="1">SUMIFS(表格1[QTY],表格1[Model],三國演義!$BK$12,表格1[Name],三國演義!$E61)+SUMIFS(表格1[QTY],表格1[Model],三國演義!$BK$12,表格1[Name],三國演義!$AA61)</f>
        <v>0</v>
      </c>
      <c r="BL61" s="77" t="e">
        <f ca="1">IF($BK61&gt;=$AJ61,$BK61*'3月Target'!$W$12,0)</f>
        <v>#N/A</v>
      </c>
      <c r="BM61" s="44">
        <f ca="1">SUMIFS(表格1[QTY],表格1[Model],三國演義!$BM$12,表格1[Name],三國演義!$E61)+SUMIFS(表格1[QTY],表格1[Model],三國演義!$BM$12,表格1[Name],三國演義!$AA61)</f>
        <v>0</v>
      </c>
      <c r="BN61" s="77" t="e">
        <f ca="1">IF($BM61&gt;=$AK61,$BM61*'3月Target'!$W$13,0)</f>
        <v>#N/A</v>
      </c>
      <c r="BO61" s="44">
        <f ca="1">SUMIFS(表格1[QTY],表格1[Model],三國演義!$BO$12,表格1[Name],三國演義!$E61)+SUMIFS(表格1[QTY],表格1[Model],三國演義!$BO$12,表格1[Name],三國演義!$AA61)</f>
        <v>0</v>
      </c>
      <c r="BP61" s="77" t="e">
        <f ca="1">IF($BO61&gt;=$AL61,$BO61*'3月Target'!$W$14,0)</f>
        <v>#N/A</v>
      </c>
      <c r="BQ61" s="44">
        <f ca="1">SUMIFS(表格1[QTY],表格1[Model],三國演義!$BQ$12,表格1[Name],三國演義!$E61)+SUMIFS(表格1[QTY],表格1[Model],三國演義!$BQ$12,表格1[Name],三國演義!$AA61)</f>
        <v>0</v>
      </c>
      <c r="BR61" s="77" t="e">
        <f ca="1">IF($BQ61&gt;=$AM61,$BQ61*'3月Target'!$W$15,0)</f>
        <v>#N/A</v>
      </c>
      <c r="BS61" s="44">
        <f ca="1">SUMIFS(表格1[QTY],表格1[Model],三國演義!$BS$12,表格1[Name],三國演義!$E61)+SUMIFS(表格1[QTY],表格1[Model],三國演義!$BS$12,表格1[Name],三國演義!$AA61)</f>
        <v>0</v>
      </c>
      <c r="BT61" s="44">
        <f ca="1">SUMIFS(表格1[QTY],表格1[Model],三國演義!$BT$12,表格1[Name],三國演義!$E61)+SUMIFS(表格1[QTY],表格1[Model],三國演義!$BT$12,表格1[Name],三國演義!$AA61)</f>
        <v>0</v>
      </c>
      <c r="BU61" s="44">
        <f ca="1">SUMIFS(表格1[QTY],表格1[Model],三國演義!$BU$12,表格1[Name],三國演義!$E61)+SUMIFS(表格1[QTY],表格1[Model],三國演義!$BU$12,表格1[Name],三國演義!$AA61)</f>
        <v>0</v>
      </c>
      <c r="BV61" s="44">
        <f ca="1">SUMIFS(表格1[QTY],表格1[Model],三國演義!$BV$12,表格1[Name],三國演義!$E61)+SUMIFS(表格1[QTY],表格1[Model],三國演義!$BV$12,表格1[Name],三國演義!$AA61)</f>
        <v>0</v>
      </c>
      <c r="BW61" s="77" t="e">
        <f ca="1">IF((SUM($BS61:$BV61))&gt;=$AN61,SUM($BS61:$BV61)*'3月Target'!$W$16,0)</f>
        <v>#N/A</v>
      </c>
      <c r="BX61" s="44">
        <f ca="1">SUMIFS(表格1[QTY],表格1[Model],三國演義!$BX$12,表格1[Name],三國演義!$E61)+SUMIFS(表格1[QTY],表格1[Model],三國演義!$BX$12,表格1[Name],三國演義!$AA61)</f>
        <v>0</v>
      </c>
      <c r="BY61" s="77" t="e">
        <f ca="1">IF($BX61&gt;=$AO61,$BX61*'3月Target'!$W$17,0)</f>
        <v>#N/A</v>
      </c>
      <c r="BZ61" s="146">
        <f t="shared" ca="1" si="23"/>
        <v>6265</v>
      </c>
      <c r="CA61" s="77" t="e">
        <f t="shared" ca="1" si="24"/>
        <v>#N/A</v>
      </c>
      <c r="CB61" s="146">
        <f t="shared" ca="1" si="25"/>
        <v>6265</v>
      </c>
      <c r="CC61" s="77" t="e">
        <f t="shared" ca="1" si="26"/>
        <v>#N/A</v>
      </c>
    </row>
    <row r="62" spans="1:81">
      <c r="A62" s="121">
        <f ca="1">Roster!AL54*Roster!AH54+Roster!AM54*Roster!AG54+三國演義!H62+三國演義!I62+三國演義!J62</f>
        <v>1660.8600000000001</v>
      </c>
      <c r="B62" s="133">
        <v>0.02</v>
      </c>
      <c r="C62" s="66">
        <v>50</v>
      </c>
      <c r="D62" s="95" t="str">
        <f ca="1">_xlfn.XLOOKUP($E62,表格1[Name],表格1[Shop])</f>
        <v>Apita</v>
      </c>
      <c r="E62" s="95" t="s">
        <v>1906</v>
      </c>
      <c r="F62" s="96">
        <f ca="1">SUMIF(表格1[Name],$E62,表格1[Total Amount])+SUMIF(表格1[Name],$AA62,表格1[Total Amount])</f>
        <v>11043</v>
      </c>
      <c r="G62" s="161">
        <f ca="1">SUMIF(表格1[Name],$E62,表格1[QTY])+SUMIF(表格1[Name],$AA62,表格1[QTY])</f>
        <v>6</v>
      </c>
      <c r="H62" s="96">
        <f t="shared" ca="1" si="5"/>
        <v>220.86</v>
      </c>
      <c r="I62" s="96"/>
      <c r="J62" s="51">
        <f t="shared" si="6"/>
        <v>0</v>
      </c>
      <c r="K62" s="163"/>
      <c r="L62" s="163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60" t="str">
        <f t="shared" si="4"/>
        <v>Terence_1 off</v>
      </c>
      <c r="AB62" s="71" t="e">
        <f>_xlfn.XLOOKUP($E62,target[NAME],target[RC-DS10K/18K])</f>
        <v>#N/A</v>
      </c>
      <c r="AC62" s="71" t="e">
        <f>_xlfn.XLOOKUP($E62,target[NAME],target[RC-18AMXH(W)])</f>
        <v>#N/A</v>
      </c>
      <c r="AD62" s="71" t="e">
        <f>_xlfn.XLOOKUP($E62,target[NAME],target[EB-T500APW])</f>
        <v>#N/A</v>
      </c>
      <c r="AE62" s="71" t="e">
        <f>_xlfn.XLOOKUP($E62,target[NAME],target[ER-VD7000HK(XK)])</f>
        <v>#N/A</v>
      </c>
      <c r="AF62" s="71" t="e">
        <f>_xlfn.XLOOKUP($E62,target[NAME],target[TWDT21BU95])</f>
        <v>#N/A</v>
      </c>
      <c r="AG62" s="71" t="e">
        <f>_xlfn.XLOOKUP($E62,target[NAME],target[AW-Q800APH(WW)])</f>
        <v>#N/A</v>
      </c>
      <c r="AH62" s="71" t="e">
        <f>_xlfn.XLOOKUP($E62,target[NAME],target[AW-Q801APH(WW)])</f>
        <v>#N/A</v>
      </c>
      <c r="AI62" s="71" t="e">
        <f>_xlfn.XLOOKUP($E62,target[NAME],target[GR-RM469WE-PGA(B3)])</f>
        <v>#N/A</v>
      </c>
      <c r="AJ62" s="71" t="e">
        <f>_xlfn.XLOOKUP($E62,target[NAME],target[GR-RB449WE-PMA(57)])</f>
        <v>#N/A</v>
      </c>
      <c r="AK62" s="71" t="e">
        <f>_xlfn.XLOOKUP($E62,target[NAME],target[GR-RB410WE-PMA(06)])</f>
        <v>#N/A</v>
      </c>
      <c r="AL62" s="71" t="e">
        <f>_xlfn.XLOOKUP($E62,target[NAME],target[GR-RF698WI])</f>
        <v>#N/A</v>
      </c>
      <c r="AM62" s="71" t="e">
        <f>_xlfn.XLOOKUP($E62,target[NAME],target[TWP-W2265THK(W)])</f>
        <v>#N/A</v>
      </c>
      <c r="AN62" s="71" t="e">
        <f>_xlfn.XLOOKUP($E62,target[NAME],target[RAD-D200/250/300/DIA17])</f>
        <v>#N/A</v>
      </c>
      <c r="AO62" s="71" t="e">
        <f>_xlfn.XLOOKUP($E62,target[NAME],target[(Fortress ONLY)TW-T25BZU115MWH(MG) ])</f>
        <v>#N/A</v>
      </c>
      <c r="AP62" s="71" t="e">
        <f>_xlfn.XLOOKUP($E62,target[NAME],target[開門紅(三月)])</f>
        <v>#N/A</v>
      </c>
      <c r="AQ62" s="71" t="e">
        <f>_xlfn.XLOOKUP($E62,target[NAME],target[開門紅(第一季)])</f>
        <v>#N/A</v>
      </c>
      <c r="AR62" s="73">
        <f ca="1">SUMIFS(表格1[QTY],表格1[Model],三國演義!$AR$12,表格1[Name],三國演義!$E62)+SUMIFS(表格1[QTY],表格1[Model],三國演義!$AR$12,表格1[Name],三國演義!$AA62)</f>
        <v>0</v>
      </c>
      <c r="AS62" s="77" t="e">
        <f ca="1">IF($AR62&gt;=$AE62,$AR62*'3月Target'!$W$8,0)</f>
        <v>#N/A</v>
      </c>
      <c r="AT62" s="44">
        <f ca="1">SUMIFS(表格1[QTY],表格1[Model],三國演義!$AT$12,表格1[Name],三國演義!$E62)+SUMIFS(表格1[QTY],表格1[Model],三國演義!$AT$12,表格1[Name],三國演義!$AA62)</f>
        <v>0</v>
      </c>
      <c r="AU62" s="44">
        <f ca="1">SUMIFS(表格1[QTY],表格1[Model],三國演義!$AU$12,表格1[Name],三國演義!$E62)+SUMIFS(表格1[QTY],表格1[Model],三國演義!$AU$12,表格1[Name],三國演義!$AA62)</f>
        <v>0</v>
      </c>
      <c r="AV62" s="44">
        <f ca="1">SUMIFS(表格1[QTY],表格1[Model],三國演義!$AV$12,表格1[Name],三國演義!$E62)+SUMIFS(表格1[QTY],表格1[Model],三國演義!$AV$12,表格1[Name],三國演義!$AA62)</f>
        <v>0</v>
      </c>
      <c r="AW62" s="44">
        <f ca="1">SUMIFS(表格1[QTY],表格1[Model],三國演義!$AW$12,表格1[Name],三國演義!$E62)+SUMIFS(表格1[QTY],表格1[Model],三國演義!$AW$12,表格1[Name],三國演義!$AA62)</f>
        <v>0</v>
      </c>
      <c r="AX62" s="50" t="e">
        <f ca="1">IF((SUM($AT62:$AW62))&gt;=$AB62,SUM($AT62:$AW62)*'3月Target'!$W$5,0)</f>
        <v>#N/A</v>
      </c>
      <c r="AY62" s="44">
        <f ca="1">SUMIFS(表格1[QTY],表格1[Model],三國演義!$AY$12,表格1[Name],三國演義!$E62)+SUMIFS(表格1[QTY],表格1[Model],三國演義!$AY$12,表格1[Name],三國演義!$AA62)</f>
        <v>0</v>
      </c>
      <c r="AZ62" s="77" t="e">
        <f ca="1">IF($AY62&gt;=$AC62,$AY62*'3月Target'!$W$6,0)</f>
        <v>#N/A</v>
      </c>
      <c r="BA62" s="44">
        <f ca="1">SUMIFS(表格1[QTY],表格1[Model],三國演義!$BA$12,表格1[Name],三國演義!$E62)+SUMIFS(表格1[QTY],表格1[Model],三國演義!$BA$12,表格1[Name],三國演義!$AA62)</f>
        <v>0</v>
      </c>
      <c r="BB62" s="77" t="e">
        <f ca="1">IF($BA62&gt;=$AD62,$BA62*'3月Target'!$W$7,0)</f>
        <v>#N/A</v>
      </c>
      <c r="BC62" s="44">
        <f ca="1">SUMIFS(表格1[QTY],表格1[Model],三國演義!$BC$12,表格1[Name],三國演義!$E62)+SUMIFS(表格1[QTY],表格1[Model],三國演義!$BC$12,表格1[Name],三國演義!$AA62)</f>
        <v>0</v>
      </c>
      <c r="BD62" s="77" t="e">
        <f ca="1">IF($BC62&gt;=$AF62,$BC62*'3月Target'!$W$9,0)</f>
        <v>#N/A</v>
      </c>
      <c r="BE62" s="44">
        <f ca="1">SUMIFS(表格1[QTY],表格1[Model],三國演義!$BE$12,表格1[Name],三國演義!$E62)+SUMIFS(表格1[QTY],表格1[Model],三國演義!$BE$12,表格1[Name],三國演義!$AA62)</f>
        <v>0</v>
      </c>
      <c r="BF62" s="77" t="e">
        <f ca="1">IF($BE62&gt;=$AG62,$BE62*'3月Target'!$W$10,0)</f>
        <v>#N/A</v>
      </c>
      <c r="BG62" s="44">
        <f ca="1">SUMIFS(表格1[QTY],表格1[Model],三國演義!$BG$12,表格1[Name],三國演義!$E62)+SUMIFS(表格1[QTY],表格1[Model],三國演義!$BG$12,表格1[Name],三國演義!$AA62)</f>
        <v>0</v>
      </c>
      <c r="BH62" s="77" t="e">
        <f ca="1">IF($BG62&gt;=$AH62,$BG62*'3月Target'!$W$10,0)</f>
        <v>#N/A</v>
      </c>
      <c r="BI62" s="44">
        <f ca="1">SUMIFS(表格1[QTY],表格1[Model],三國演義!$BI$12,表格1[Name],三國演義!$E62)+SUMIFS(表格1[QTY],表格1[Model],三國演義!$BI$12,表格1[Name],三國演義!$AA62)</f>
        <v>1</v>
      </c>
      <c r="BJ62" s="77" t="e">
        <f ca="1">IF($BI62&gt;=$AI62,$BI62*'3月Target'!$W$11,0)</f>
        <v>#N/A</v>
      </c>
      <c r="BK62" s="44">
        <f ca="1">SUMIFS(表格1[QTY],表格1[Model],三國演義!$BK$12,表格1[Name],三國演義!$E62)+SUMIFS(表格1[QTY],表格1[Model],三國演義!$BK$12,表格1[Name],三國演義!$AA62)</f>
        <v>0</v>
      </c>
      <c r="BL62" s="77" t="e">
        <f ca="1">IF($BK62&gt;=$AJ62,$BK62*'3月Target'!$W$12,0)</f>
        <v>#N/A</v>
      </c>
      <c r="BM62" s="44">
        <f ca="1">SUMIFS(表格1[QTY],表格1[Model],三國演義!$BM$12,表格1[Name],三國演義!$E62)+SUMIFS(表格1[QTY],表格1[Model],三國演義!$BM$12,表格1[Name],三國演義!$AA62)</f>
        <v>0</v>
      </c>
      <c r="BN62" s="77" t="e">
        <f ca="1">IF($BM62&gt;=$AK62,$BM62*'3月Target'!$W$13,0)</f>
        <v>#N/A</v>
      </c>
      <c r="BO62" s="44">
        <f ca="1">SUMIFS(表格1[QTY],表格1[Model],三國演義!$BO$12,表格1[Name],三國演義!$E62)+SUMIFS(表格1[QTY],表格1[Model],三國演義!$BO$12,表格1[Name],三國演義!$AA62)</f>
        <v>0</v>
      </c>
      <c r="BP62" s="77" t="e">
        <f ca="1">IF($BO62&gt;=$AL62,$BO62*'3月Target'!$W$14,0)</f>
        <v>#N/A</v>
      </c>
      <c r="BQ62" s="44">
        <f ca="1">SUMIFS(表格1[QTY],表格1[Model],三國演義!$BQ$12,表格1[Name],三國演義!$E62)+SUMIFS(表格1[QTY],表格1[Model],三國演義!$BQ$12,表格1[Name],三國演義!$AA62)</f>
        <v>0</v>
      </c>
      <c r="BR62" s="77" t="e">
        <f ca="1">IF($BQ62&gt;=$AM62,$BQ62*'3月Target'!$W$15,0)</f>
        <v>#N/A</v>
      </c>
      <c r="BS62" s="44">
        <f ca="1">SUMIFS(表格1[QTY],表格1[Model],三國演義!$BS$12,表格1[Name],三國演義!$E62)+SUMIFS(表格1[QTY],表格1[Model],三國演義!$BS$12,表格1[Name],三國演義!$AA62)</f>
        <v>0</v>
      </c>
      <c r="BT62" s="44">
        <f ca="1">SUMIFS(表格1[QTY],表格1[Model],三國演義!$BT$12,表格1[Name],三國演義!$E62)+SUMIFS(表格1[QTY],表格1[Model],三國演義!$BT$12,表格1[Name],三國演義!$AA62)</f>
        <v>0</v>
      </c>
      <c r="BU62" s="44">
        <f ca="1">SUMIFS(表格1[QTY],表格1[Model],三國演義!$BU$12,表格1[Name],三國演義!$E62)+SUMIFS(表格1[QTY],表格1[Model],三國演義!$BU$12,表格1[Name],三國演義!$AA62)</f>
        <v>0</v>
      </c>
      <c r="BV62" s="44">
        <f ca="1">SUMIFS(表格1[QTY],表格1[Model],三國演義!$BV$12,表格1[Name],三國演義!$E62)+SUMIFS(表格1[QTY],表格1[Model],三國演義!$BV$12,表格1[Name],三國演義!$AA62)</f>
        <v>0</v>
      </c>
      <c r="BW62" s="77" t="e">
        <f ca="1">IF((SUM($BS62:$BV62))&gt;=$AN62,SUM($BS62:$BV62)*'3月Target'!$W$16,0)</f>
        <v>#N/A</v>
      </c>
      <c r="BX62" s="44">
        <f ca="1">SUMIFS(表格1[QTY],表格1[Model],三國演義!$BX$12,表格1[Name],三國演義!$E62)+SUMIFS(表格1[QTY],表格1[Model],三國演義!$BX$12,表格1[Name],三國演義!$AA62)</f>
        <v>0</v>
      </c>
      <c r="BY62" s="77" t="e">
        <f ca="1">IF($BX62&gt;=$AO62,$BX62*'3月Target'!$W$17,0)</f>
        <v>#N/A</v>
      </c>
      <c r="BZ62" s="146">
        <f t="shared" ca="1" si="23"/>
        <v>11043</v>
      </c>
      <c r="CA62" s="77" t="e">
        <f t="shared" ca="1" si="24"/>
        <v>#N/A</v>
      </c>
      <c r="CB62" s="146">
        <f t="shared" ca="1" si="25"/>
        <v>11043</v>
      </c>
      <c r="CC62" s="77" t="e">
        <f t="shared" ca="1" si="26"/>
        <v>#N/A</v>
      </c>
    </row>
    <row r="63" spans="1:81">
      <c r="A63" s="121">
        <f ca="1">Roster!AL55*Roster!AH55+Roster!AM55*Roster!AG55+三國演義!H63+三國演義!I63+三國演義!J63</f>
        <v>9211.880000000001</v>
      </c>
      <c r="B63" s="133">
        <v>0.02</v>
      </c>
      <c r="C63" s="66">
        <v>51</v>
      </c>
      <c r="D63" s="95" t="str">
        <f ca="1">_xlfn.XLOOKUP($E63,表格1[Name],表格1[Shop])</f>
        <v>Broadway</v>
      </c>
      <c r="E63" s="95" t="s">
        <v>1068</v>
      </c>
      <c r="F63" s="96">
        <f ca="1">SUMIF(表格1[Name],$E63,表格1[Total Amount])+SUMIF(表格1[Name],$AA63,表格1[Total Amount])</f>
        <v>172594</v>
      </c>
      <c r="G63" s="160">
        <f ca="1">SUMIF(表格1[Name],$E63,表格1[QTY])+SUMIF(表格1[Name],$AA63,表格1[QTY])</f>
        <v>78</v>
      </c>
      <c r="H63" s="96">
        <f t="shared" ca="1" si="5"/>
        <v>3451.88</v>
      </c>
      <c r="I63" s="96"/>
      <c r="J63" s="51">
        <f t="shared" si="6"/>
        <v>0</v>
      </c>
      <c r="K63" s="163"/>
      <c r="L63" s="163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60" t="str">
        <f t="shared" si="4"/>
        <v>PoWan off</v>
      </c>
      <c r="AB63" s="71" t="e">
        <f>_xlfn.XLOOKUP($E63,target[NAME],target[RC-DS10K/18K])</f>
        <v>#N/A</v>
      </c>
      <c r="AC63" s="71" t="e">
        <f>_xlfn.XLOOKUP($E63,target[NAME],target[RC-18AMXH(W)])</f>
        <v>#N/A</v>
      </c>
      <c r="AD63" s="71" t="e">
        <f>_xlfn.XLOOKUP($E63,target[NAME],target[EB-T500APW])</f>
        <v>#N/A</v>
      </c>
      <c r="AE63" s="71" t="e">
        <f>_xlfn.XLOOKUP($E63,target[NAME],target[ER-VD7000HK(XK)])</f>
        <v>#N/A</v>
      </c>
      <c r="AF63" s="71" t="e">
        <f>_xlfn.XLOOKUP($E63,target[NAME],target[TWDT21BU95])</f>
        <v>#N/A</v>
      </c>
      <c r="AG63" s="71" t="e">
        <f>_xlfn.XLOOKUP($E63,target[NAME],target[AW-Q800APH(WW)])</f>
        <v>#N/A</v>
      </c>
      <c r="AH63" s="71" t="e">
        <f>_xlfn.XLOOKUP($E63,target[NAME],target[AW-Q801APH(WW)])</f>
        <v>#N/A</v>
      </c>
      <c r="AI63" s="71" t="e">
        <f>_xlfn.XLOOKUP($E63,target[NAME],target[GR-RM469WE-PGA(B3)])</f>
        <v>#N/A</v>
      </c>
      <c r="AJ63" s="71" t="e">
        <f>_xlfn.XLOOKUP($E63,target[NAME],target[GR-RB449WE-PMA(57)])</f>
        <v>#N/A</v>
      </c>
      <c r="AK63" s="71" t="e">
        <f>_xlfn.XLOOKUP($E63,target[NAME],target[GR-RB410WE-PMA(06)])</f>
        <v>#N/A</v>
      </c>
      <c r="AL63" s="71" t="e">
        <f>_xlfn.XLOOKUP($E63,target[NAME],target[GR-RF698WI])</f>
        <v>#N/A</v>
      </c>
      <c r="AM63" s="71" t="e">
        <f>_xlfn.XLOOKUP($E63,target[NAME],target[TWP-W2265THK(W)])</f>
        <v>#N/A</v>
      </c>
      <c r="AN63" s="71" t="e">
        <f>_xlfn.XLOOKUP($E63,target[NAME],target[RAD-D200/250/300/DIA17])</f>
        <v>#N/A</v>
      </c>
      <c r="AO63" s="71" t="e">
        <f>_xlfn.XLOOKUP($E63,target[NAME],target[(Fortress ONLY)TW-T25BZU115MWH(MG) ])</f>
        <v>#N/A</v>
      </c>
      <c r="AP63" s="71" t="e">
        <f>_xlfn.XLOOKUP($E63,target[NAME],target[開門紅(三月)])</f>
        <v>#N/A</v>
      </c>
      <c r="AQ63" s="71" t="e">
        <f>_xlfn.XLOOKUP($E63,target[NAME],target[開門紅(第一季)])</f>
        <v>#N/A</v>
      </c>
      <c r="AR63" s="73">
        <f ca="1">SUMIFS(表格1[QTY],表格1[Model],三國演義!$AR$12,表格1[Name],三國演義!$E63)+SUMIFS(表格1[QTY],表格1[Model],三國演義!$AR$12,表格1[Name],三國演義!$AA63)</f>
        <v>2</v>
      </c>
      <c r="AS63" s="77" t="e">
        <f ca="1">IF($AR63&gt;=$AE63,$AR63*'3月Target'!$W$8,0)</f>
        <v>#N/A</v>
      </c>
      <c r="AT63" s="44">
        <f ca="1">SUMIFS(表格1[QTY],表格1[Model],三國演義!$AT$12,表格1[Name],三國演義!$E63)+SUMIFS(表格1[QTY],表格1[Model],三國演義!$AT$12,表格1[Name],三國演義!$AA63)</f>
        <v>0</v>
      </c>
      <c r="AU63" s="44">
        <f ca="1">SUMIFS(表格1[QTY],表格1[Model],三國演義!$AU$12,表格1[Name],三國演義!$E63)+SUMIFS(表格1[QTY],表格1[Model],三國演義!$AU$12,表格1[Name],三國演義!$AA63)</f>
        <v>3</v>
      </c>
      <c r="AV63" s="44">
        <f ca="1">SUMIFS(表格1[QTY],表格1[Model],三國演義!$AV$12,表格1[Name],三國演義!$E63)+SUMIFS(表格1[QTY],表格1[Model],三國演義!$AV$12,表格1[Name],三國演義!$AA63)</f>
        <v>0</v>
      </c>
      <c r="AW63" s="44">
        <f ca="1">SUMIFS(表格1[QTY],表格1[Model],三國演義!$AW$12,表格1[Name],三國演義!$E63)+SUMIFS(表格1[QTY],表格1[Model],三國演義!$AW$12,表格1[Name],三國演義!$AA63)</f>
        <v>1</v>
      </c>
      <c r="AX63" s="50" t="e">
        <f ca="1">IF((SUM($AT63:$AW63))&gt;=$AB63,SUM($AT63:$AW63)*'3月Target'!$W$5,0)</f>
        <v>#N/A</v>
      </c>
      <c r="AY63" s="44">
        <f ca="1">SUMIFS(表格1[QTY],表格1[Model],三國演義!$AY$12,表格1[Name],三國演義!$E63)+SUMIFS(表格1[QTY],表格1[Model],三國演義!$AY$12,表格1[Name],三國演義!$AA63)</f>
        <v>0</v>
      </c>
      <c r="AZ63" s="77" t="e">
        <f ca="1">IF($AY63&gt;=$AC63,$AY63*'3月Target'!$W$6,0)</f>
        <v>#N/A</v>
      </c>
      <c r="BA63" s="44">
        <f ca="1">SUMIFS(表格1[QTY],表格1[Model],三國演義!$BA$12,表格1[Name],三國演義!$E63)+SUMIFS(表格1[QTY],表格1[Model],三國演義!$BA$12,表格1[Name],三國演義!$AA63)</f>
        <v>1</v>
      </c>
      <c r="BB63" s="77" t="e">
        <f ca="1">IF($BA63&gt;=$AD63,$BA63*'3月Target'!$W$7,0)</f>
        <v>#N/A</v>
      </c>
      <c r="BC63" s="44">
        <f ca="1">SUMIFS(表格1[QTY],表格1[Model],三國演義!$BC$12,表格1[Name],三國演義!$E63)+SUMIFS(表格1[QTY],表格1[Model],三國演義!$BC$12,表格1[Name],三國演義!$AA63)</f>
        <v>0</v>
      </c>
      <c r="BD63" s="77" t="e">
        <f ca="1">IF($BC63&gt;=$AF63,$BC63*'3月Target'!$W$9,0)</f>
        <v>#N/A</v>
      </c>
      <c r="BE63" s="44">
        <f ca="1">SUMIFS(表格1[QTY],表格1[Model],三國演義!$BE$12,表格1[Name],三國演義!$E63)+SUMIFS(表格1[QTY],表格1[Model],三國演義!$BE$12,表格1[Name],三國演義!$AA63)</f>
        <v>0</v>
      </c>
      <c r="BF63" s="77" t="e">
        <f ca="1">IF($BE63&gt;=$AG63,$BE63*'3月Target'!$W$10,0)</f>
        <v>#N/A</v>
      </c>
      <c r="BG63" s="44">
        <f ca="1">SUMIFS(表格1[QTY],表格1[Model],三國演義!$BG$12,表格1[Name],三國演義!$E63)+SUMIFS(表格1[QTY],表格1[Model],三國演義!$BG$12,表格1[Name],三國演義!$AA63)</f>
        <v>0</v>
      </c>
      <c r="BH63" s="77" t="e">
        <f ca="1">IF($BG63&gt;=$AH63,$BG63*'3月Target'!$W$10,0)</f>
        <v>#N/A</v>
      </c>
      <c r="BI63" s="44">
        <f ca="1">SUMIFS(表格1[QTY],表格1[Model],三國演義!$BI$12,表格1[Name],三國演義!$E63)+SUMIFS(表格1[QTY],表格1[Model],三國演義!$BI$12,表格1[Name],三國演義!$AA63)</f>
        <v>0</v>
      </c>
      <c r="BJ63" s="77" t="e">
        <f ca="1">IF($BI63&gt;=$AI63,$BI63*'3月Target'!$W$11,0)</f>
        <v>#N/A</v>
      </c>
      <c r="BK63" s="44">
        <f ca="1">SUMIFS(表格1[QTY],表格1[Model],三國演義!$BK$12,表格1[Name],三國演義!$E63)+SUMIFS(表格1[QTY],表格1[Model],三國演義!$BK$12,表格1[Name],三國演義!$AA63)</f>
        <v>0</v>
      </c>
      <c r="BL63" s="77" t="e">
        <f ca="1">IF($BK63&gt;=$AJ63,$BK63*'3月Target'!$W$12,0)</f>
        <v>#N/A</v>
      </c>
      <c r="BM63" s="44">
        <f ca="1">SUMIFS(表格1[QTY],表格1[Model],三國演義!$BM$12,表格1[Name],三國演義!$E63)+SUMIFS(表格1[QTY],表格1[Model],三國演義!$BM$12,表格1[Name],三國演義!$AA63)</f>
        <v>0</v>
      </c>
      <c r="BN63" s="77" t="e">
        <f ca="1">IF($BM63&gt;=$AK63,$BM63*'3月Target'!$W$13,0)</f>
        <v>#N/A</v>
      </c>
      <c r="BO63" s="44">
        <f ca="1">SUMIFS(表格1[QTY],表格1[Model],三國演義!$BO$12,表格1[Name],三國演義!$E63)+SUMIFS(表格1[QTY],表格1[Model],三國演義!$BO$12,表格1[Name],三國演義!$AA63)</f>
        <v>0</v>
      </c>
      <c r="BP63" s="77" t="e">
        <f ca="1">IF($BO63&gt;=$AL63,$BO63*'3月Target'!$W$14,0)</f>
        <v>#N/A</v>
      </c>
      <c r="BQ63" s="44">
        <f ca="1">SUMIFS(表格1[QTY],表格1[Model],三國演義!$BQ$12,表格1[Name],三國演義!$E63)+SUMIFS(表格1[QTY],表格1[Model],三國演義!$BQ$12,表格1[Name],三國演義!$AA63)</f>
        <v>1</v>
      </c>
      <c r="BR63" s="77" t="e">
        <f ca="1">IF($BQ63&gt;=$AM63,$BQ63*'3月Target'!$W$15,0)</f>
        <v>#N/A</v>
      </c>
      <c r="BS63" s="44">
        <f ca="1">SUMIFS(表格1[QTY],表格1[Model],三國演義!$BS$12,表格1[Name],三國演義!$E63)+SUMIFS(表格1[QTY],表格1[Model],三國演義!$BS$12,表格1[Name],三國演義!$AA63)</f>
        <v>0</v>
      </c>
      <c r="BT63" s="44">
        <f ca="1">SUMIFS(表格1[QTY],表格1[Model],三國演義!$BT$12,表格1[Name],三國演義!$E63)+SUMIFS(表格1[QTY],表格1[Model],三國演義!$BT$12,表格1[Name],三國演義!$AA63)</f>
        <v>0</v>
      </c>
      <c r="BU63" s="44">
        <f ca="1">SUMIFS(表格1[QTY],表格1[Model],三國演義!$BU$12,表格1[Name],三國演義!$E63)+SUMIFS(表格1[QTY],表格1[Model],三國演義!$BU$12,表格1[Name],三國演義!$AA63)</f>
        <v>0</v>
      </c>
      <c r="BV63" s="44">
        <f ca="1">SUMIFS(表格1[QTY],表格1[Model],三國演義!$BV$12,表格1[Name],三國演義!$E63)+SUMIFS(表格1[QTY],表格1[Model],三國演義!$BV$12,表格1[Name],三國演義!$AA63)</f>
        <v>0</v>
      </c>
      <c r="BW63" s="77" t="e">
        <f ca="1">IF((SUM($BS63:$BV63))&gt;=$AN63,SUM($BS63:$BV63)*'3月Target'!$W$16,0)</f>
        <v>#N/A</v>
      </c>
      <c r="BX63" s="44">
        <f ca="1">SUMIFS(表格1[QTY],表格1[Model],三國演義!$BX$12,表格1[Name],三國演義!$E63)+SUMIFS(表格1[QTY],表格1[Model],三國演義!$BX$12,表格1[Name],三國演義!$AA63)</f>
        <v>0</v>
      </c>
      <c r="BY63" s="77" t="e">
        <f ca="1">IF($BX63&gt;=$AO63,$BX63*'3月Target'!$W$17,0)</f>
        <v>#N/A</v>
      </c>
      <c r="BZ63" s="146">
        <f t="shared" ca="1" si="23"/>
        <v>172594</v>
      </c>
      <c r="CA63" s="77" t="e">
        <f t="shared" ca="1" si="24"/>
        <v>#N/A</v>
      </c>
      <c r="CB63" s="146">
        <f t="shared" ca="1" si="25"/>
        <v>172594</v>
      </c>
      <c r="CC63" s="77" t="e">
        <f t="shared" ca="1" si="26"/>
        <v>#N/A</v>
      </c>
    </row>
    <row r="64" spans="1:81">
      <c r="A64" s="121">
        <f ca="1">Roster!AL56*Roster!AH56+Roster!AM56*Roster!AG56+三國演義!H64+三國演義!I64+三國演義!J64</f>
        <v>5595.7</v>
      </c>
      <c r="B64" s="133">
        <v>0.02</v>
      </c>
      <c r="C64" s="66">
        <v>52</v>
      </c>
      <c r="D64" s="95" t="str">
        <f ca="1">_xlfn.XLOOKUP($E64,表格1[Name],表格1[Shop])</f>
        <v>Sogo</v>
      </c>
      <c r="E64" s="95" t="s">
        <v>1223</v>
      </c>
      <c r="F64" s="96">
        <f ca="1">SUMIF(表格1[Name],$E64,表格1[Total Amount])+SUMIF(表格1[Name],$AA64,表格1[Total Amount])</f>
        <v>71785</v>
      </c>
      <c r="G64" s="161">
        <f ca="1">SUMIF(表格1[Name],$E64,表格1[QTY])+SUMIF(表格1[Name],$AA64,表格1[QTY])</f>
        <v>47</v>
      </c>
      <c r="H64" s="96">
        <f t="shared" ca="1" si="5"/>
        <v>1435.7</v>
      </c>
      <c r="I64" s="96"/>
      <c r="J64" s="51">
        <f t="shared" si="6"/>
        <v>0</v>
      </c>
      <c r="K64" s="163"/>
      <c r="L64" s="163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60" t="str">
        <f t="shared" si="4"/>
        <v>Maggie Ho_2 off</v>
      </c>
      <c r="AB64" s="71" t="e">
        <f>_xlfn.XLOOKUP($E64,target[NAME],target[RC-DS10K/18K])</f>
        <v>#N/A</v>
      </c>
      <c r="AC64" s="71" t="e">
        <f>_xlfn.XLOOKUP($E64,target[NAME],target[RC-18AMXH(W)])</f>
        <v>#N/A</v>
      </c>
      <c r="AD64" s="71" t="e">
        <f>_xlfn.XLOOKUP($E64,target[NAME],target[EB-T500APW])</f>
        <v>#N/A</v>
      </c>
      <c r="AE64" s="71" t="e">
        <f>_xlfn.XLOOKUP($E64,target[NAME],target[ER-VD7000HK(XK)])</f>
        <v>#N/A</v>
      </c>
      <c r="AF64" s="71" t="e">
        <f>_xlfn.XLOOKUP($E64,target[NAME],target[TWDT21BU95])</f>
        <v>#N/A</v>
      </c>
      <c r="AG64" s="71" t="e">
        <f>_xlfn.XLOOKUP($E64,target[NAME],target[AW-Q800APH(WW)])</f>
        <v>#N/A</v>
      </c>
      <c r="AH64" s="71" t="e">
        <f>_xlfn.XLOOKUP($E64,target[NAME],target[AW-Q801APH(WW)])</f>
        <v>#N/A</v>
      </c>
      <c r="AI64" s="71" t="e">
        <f>_xlfn.XLOOKUP($E64,target[NAME],target[GR-RM469WE-PGA(B3)])</f>
        <v>#N/A</v>
      </c>
      <c r="AJ64" s="71" t="e">
        <f>_xlfn.XLOOKUP($E64,target[NAME],target[GR-RB449WE-PMA(57)])</f>
        <v>#N/A</v>
      </c>
      <c r="AK64" s="71" t="e">
        <f>_xlfn.XLOOKUP($E64,target[NAME],target[GR-RB410WE-PMA(06)])</f>
        <v>#N/A</v>
      </c>
      <c r="AL64" s="71" t="e">
        <f>_xlfn.XLOOKUP($E64,target[NAME],target[GR-RF698WI])</f>
        <v>#N/A</v>
      </c>
      <c r="AM64" s="71" t="e">
        <f>_xlfn.XLOOKUP($E64,target[NAME],target[TWP-W2265THK(W)])</f>
        <v>#N/A</v>
      </c>
      <c r="AN64" s="71" t="e">
        <f>_xlfn.XLOOKUP($E64,target[NAME],target[RAD-D200/250/300/DIA17])</f>
        <v>#N/A</v>
      </c>
      <c r="AO64" s="71" t="e">
        <f>_xlfn.XLOOKUP($E64,target[NAME],target[(Fortress ONLY)TW-T25BZU115MWH(MG) ])</f>
        <v>#N/A</v>
      </c>
      <c r="AP64" s="71" t="e">
        <f>_xlfn.XLOOKUP($E64,target[NAME],target[開門紅(三月)])</f>
        <v>#N/A</v>
      </c>
      <c r="AQ64" s="71" t="e">
        <f>_xlfn.XLOOKUP($E64,target[NAME],target[開門紅(第一季)])</f>
        <v>#N/A</v>
      </c>
      <c r="AR64" s="73">
        <f ca="1">SUMIFS(表格1[QTY],表格1[Model],三國演義!$AR$12,表格1[Name],三國演義!$E64)+SUMIFS(表格1[QTY],表格1[Model],三國演義!$AR$12,表格1[Name],三國演義!$AA64)</f>
        <v>1</v>
      </c>
      <c r="AS64" s="77" t="e">
        <f ca="1">IF($AR64&gt;=$AE64,$AR64*'3月Target'!$W$8,0)</f>
        <v>#N/A</v>
      </c>
      <c r="AT64" s="44">
        <f ca="1">SUMIFS(表格1[QTY],表格1[Model],三國演義!$AT$12,表格1[Name],三國演義!$E64)+SUMIFS(表格1[QTY],表格1[Model],三國演義!$AT$12,表格1[Name],三國演義!$AA64)</f>
        <v>0</v>
      </c>
      <c r="AU64" s="44">
        <f ca="1">SUMIFS(表格1[QTY],表格1[Model],三國演義!$AU$12,表格1[Name],三國演義!$E64)+SUMIFS(表格1[QTY],表格1[Model],三國演義!$AU$12,表格1[Name],三國演義!$AA64)</f>
        <v>0</v>
      </c>
      <c r="AV64" s="44">
        <f ca="1">SUMIFS(表格1[QTY],表格1[Model],三國演義!$AV$12,表格1[Name],三國演義!$E64)+SUMIFS(表格1[QTY],表格1[Model],三國演義!$AV$12,表格1[Name],三國演義!$AA64)</f>
        <v>0</v>
      </c>
      <c r="AW64" s="44">
        <f ca="1">SUMIFS(表格1[QTY],表格1[Model],三國演義!$AW$12,表格1[Name],三國演義!$E64)+SUMIFS(表格1[QTY],表格1[Model],三國演義!$AW$12,表格1[Name],三國演義!$AA64)</f>
        <v>0</v>
      </c>
      <c r="AX64" s="50" t="e">
        <f ca="1">IF((SUM($AT64:$AW64))&gt;=$AB64,SUM($AT64:$AW64)*'3月Target'!$W$5,0)</f>
        <v>#N/A</v>
      </c>
      <c r="AY64" s="44">
        <f ca="1">SUMIFS(表格1[QTY],表格1[Model],三國演義!$AY$12,表格1[Name],三國演義!$E64)+SUMIFS(表格1[QTY],表格1[Model],三國演義!$AY$12,表格1[Name],三國演義!$AA64)</f>
        <v>1</v>
      </c>
      <c r="AZ64" s="77" t="e">
        <f ca="1">IF($AY64&gt;=$AC64,$AY64*'3月Target'!$W$6,0)</f>
        <v>#N/A</v>
      </c>
      <c r="BA64" s="44">
        <f ca="1">SUMIFS(表格1[QTY],表格1[Model],三國演義!$BA$12,表格1[Name],三國演義!$E64)+SUMIFS(表格1[QTY],表格1[Model],三國演義!$BA$12,表格1[Name],三國演義!$AA64)</f>
        <v>0</v>
      </c>
      <c r="BB64" s="77" t="e">
        <f ca="1">IF($BA64&gt;=$AD64,$BA64*'3月Target'!$W$7,0)</f>
        <v>#N/A</v>
      </c>
      <c r="BC64" s="44">
        <f ca="1">SUMIFS(表格1[QTY],表格1[Model],三國演義!$BC$12,表格1[Name],三國演義!$E64)+SUMIFS(表格1[QTY],表格1[Model],三國演義!$BC$12,表格1[Name],三國演義!$AA64)</f>
        <v>0</v>
      </c>
      <c r="BD64" s="77" t="e">
        <f ca="1">IF($BC64&gt;=$AF64,$BC64*'3月Target'!$W$9,0)</f>
        <v>#N/A</v>
      </c>
      <c r="BE64" s="44">
        <f ca="1">SUMIFS(表格1[QTY],表格1[Model],三國演義!$BE$12,表格1[Name],三國演義!$E64)+SUMIFS(表格1[QTY],表格1[Model],三國演義!$BE$12,表格1[Name],三國演義!$AA64)</f>
        <v>0</v>
      </c>
      <c r="BF64" s="77" t="e">
        <f ca="1">IF($BE64&gt;=$AG64,$BE64*'3月Target'!$W$10,0)</f>
        <v>#N/A</v>
      </c>
      <c r="BG64" s="44">
        <f ca="1">SUMIFS(表格1[QTY],表格1[Model],三國演義!$BG$12,表格1[Name],三國演義!$E64)+SUMIFS(表格1[QTY],表格1[Model],三國演義!$BG$12,表格1[Name],三國演義!$AA64)</f>
        <v>0</v>
      </c>
      <c r="BH64" s="77" t="e">
        <f ca="1">IF($BG64&gt;=$AH64,$BG64*'3月Target'!$W$10,0)</f>
        <v>#N/A</v>
      </c>
      <c r="BI64" s="44">
        <f ca="1">SUMIFS(表格1[QTY],表格1[Model],三國演義!$BI$12,表格1[Name],三國演義!$E64)+SUMIFS(表格1[QTY],表格1[Model],三國演義!$BI$12,表格1[Name],三國演義!$AA64)</f>
        <v>0</v>
      </c>
      <c r="BJ64" s="77" t="e">
        <f ca="1">IF($BI64&gt;=$AI64,$BI64*'3月Target'!$W$11,0)</f>
        <v>#N/A</v>
      </c>
      <c r="BK64" s="44">
        <f ca="1">SUMIFS(表格1[QTY],表格1[Model],三國演義!$BK$12,表格1[Name],三國演義!$E64)+SUMIFS(表格1[QTY],表格1[Model],三國演義!$BK$12,表格1[Name],三國演義!$AA64)</f>
        <v>0</v>
      </c>
      <c r="BL64" s="77" t="e">
        <f ca="1">IF($BK64&gt;=$AJ64,$BK64*'3月Target'!$W$12,0)</f>
        <v>#N/A</v>
      </c>
      <c r="BM64" s="44">
        <f ca="1">SUMIFS(表格1[QTY],表格1[Model],三國演義!$BM$12,表格1[Name],三國演義!$E64)+SUMIFS(表格1[QTY],表格1[Model],三國演義!$BM$12,表格1[Name],三國演義!$AA64)</f>
        <v>0</v>
      </c>
      <c r="BN64" s="77" t="e">
        <f ca="1">IF($BM64&gt;=$AK64,$BM64*'3月Target'!$W$13,0)</f>
        <v>#N/A</v>
      </c>
      <c r="BO64" s="44">
        <f ca="1">SUMIFS(表格1[QTY],表格1[Model],三國演義!$BO$12,表格1[Name],三國演義!$E64)+SUMIFS(表格1[QTY],表格1[Model],三國演義!$BO$12,表格1[Name],三國演義!$AA64)</f>
        <v>0</v>
      </c>
      <c r="BP64" s="77" t="e">
        <f ca="1">IF($BO64&gt;=$AL64,$BO64*'3月Target'!$W$14,0)</f>
        <v>#N/A</v>
      </c>
      <c r="BQ64" s="44">
        <f ca="1">SUMIFS(表格1[QTY],表格1[Model],三國演義!$BQ$12,表格1[Name],三國演義!$E64)+SUMIFS(表格1[QTY],表格1[Model],三國演義!$BQ$12,表格1[Name],三國演義!$AA64)</f>
        <v>0</v>
      </c>
      <c r="BR64" s="77" t="e">
        <f ca="1">IF($BQ64&gt;=$AM64,$BQ64*'3月Target'!$W$15,0)</f>
        <v>#N/A</v>
      </c>
      <c r="BS64" s="44">
        <f ca="1">SUMIFS(表格1[QTY],表格1[Model],三國演義!$BS$12,表格1[Name],三國演義!$E64)+SUMIFS(表格1[QTY],表格1[Model],三國演義!$BS$12,表格1[Name],三國演義!$AA64)</f>
        <v>0</v>
      </c>
      <c r="BT64" s="44">
        <f ca="1">SUMIFS(表格1[QTY],表格1[Model],三國演義!$BT$12,表格1[Name],三國演義!$E64)+SUMIFS(表格1[QTY],表格1[Model],三國演義!$BT$12,表格1[Name],三國演義!$AA64)</f>
        <v>0</v>
      </c>
      <c r="BU64" s="44">
        <f ca="1">SUMIFS(表格1[QTY],表格1[Model],三國演義!$BU$12,表格1[Name],三國演義!$E64)+SUMIFS(表格1[QTY],表格1[Model],三國演義!$BU$12,表格1[Name],三國演義!$AA64)</f>
        <v>1</v>
      </c>
      <c r="BV64" s="44">
        <f ca="1">SUMIFS(表格1[QTY],表格1[Model],三國演義!$BV$12,表格1[Name],三國演義!$E64)+SUMIFS(表格1[QTY],表格1[Model],三國演義!$BV$12,表格1[Name],三國演義!$AA64)</f>
        <v>0</v>
      </c>
      <c r="BW64" s="77" t="e">
        <f ca="1">IF((SUM($BS64:$BV64))&gt;=$AN64,SUM($BS64:$BV64)*'3月Target'!$W$16,0)</f>
        <v>#N/A</v>
      </c>
      <c r="BX64" s="44">
        <f ca="1">SUMIFS(表格1[QTY],表格1[Model],三國演義!$BX$12,表格1[Name],三國演義!$E64)+SUMIFS(表格1[QTY],表格1[Model],三國演義!$BX$12,表格1[Name],三國演義!$AA64)</f>
        <v>0</v>
      </c>
      <c r="BY64" s="77" t="e">
        <f ca="1">IF($BX64&gt;=$AO64,$BX64*'3月Target'!$W$17,0)</f>
        <v>#N/A</v>
      </c>
      <c r="BZ64" s="146">
        <f t="shared" ca="1" si="23"/>
        <v>71785</v>
      </c>
      <c r="CA64" s="77" t="e">
        <f t="shared" ca="1" si="24"/>
        <v>#N/A</v>
      </c>
      <c r="CB64" s="146">
        <f t="shared" ca="1" si="25"/>
        <v>71785</v>
      </c>
      <c r="CC64" s="77" t="e">
        <f t="shared" ca="1" si="26"/>
        <v>#N/A</v>
      </c>
    </row>
    <row r="65" spans="1:81">
      <c r="A65" s="121">
        <f ca="1">Roster!AL57*Roster!AH57+Roster!AM57*Roster!AG57+三國演義!H65+三國演義!I65+三國演義!J65</f>
        <v>3806.2</v>
      </c>
      <c r="B65" s="133">
        <v>0.02</v>
      </c>
      <c r="C65" s="66">
        <v>53</v>
      </c>
      <c r="D65" s="95" t="str">
        <f ca="1">_xlfn.XLOOKUP($E65,表格1[Name],表格1[Shop])</f>
        <v>Tung Yuen</v>
      </c>
      <c r="E65" s="95" t="s">
        <v>1212</v>
      </c>
      <c r="F65" s="96">
        <f ca="1">SUMIF(表格1[Name],$E65,表格1[Total Amount])+SUMIF(表格1[Name],$AA65,表格1[Total Amount])</f>
        <v>83810</v>
      </c>
      <c r="G65" s="161">
        <f ca="1">SUMIF(表格1[Name],$E65,表格1[QTY])+SUMIF(表格1[Name],$AA65,表格1[QTY])</f>
        <v>30</v>
      </c>
      <c r="H65" s="96">
        <f t="shared" ca="1" si="5"/>
        <v>1676.2</v>
      </c>
      <c r="I65" s="96"/>
      <c r="J65" s="51">
        <f t="shared" si="6"/>
        <v>0</v>
      </c>
      <c r="K65" s="163"/>
      <c r="L65" s="163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60" t="str">
        <f t="shared" si="4"/>
        <v>Ivy Wong_2 off</v>
      </c>
      <c r="AB65" s="71" t="e">
        <f>_xlfn.XLOOKUP($E65,target[NAME],target[RC-DS10K/18K])</f>
        <v>#N/A</v>
      </c>
      <c r="AC65" s="71" t="e">
        <f>_xlfn.XLOOKUP($E65,target[NAME],target[RC-18AMXH(W)])</f>
        <v>#N/A</v>
      </c>
      <c r="AD65" s="71" t="e">
        <f>_xlfn.XLOOKUP($E65,target[NAME],target[EB-T500APW])</f>
        <v>#N/A</v>
      </c>
      <c r="AE65" s="71" t="e">
        <f>_xlfn.XLOOKUP($E65,target[NAME],target[ER-VD7000HK(XK)])</f>
        <v>#N/A</v>
      </c>
      <c r="AF65" s="71" t="e">
        <f>_xlfn.XLOOKUP($E65,target[NAME],target[TWDT21BU95])</f>
        <v>#N/A</v>
      </c>
      <c r="AG65" s="71" t="e">
        <f>_xlfn.XLOOKUP($E65,target[NAME],target[AW-Q800APH(WW)])</f>
        <v>#N/A</v>
      </c>
      <c r="AH65" s="71" t="e">
        <f>_xlfn.XLOOKUP($E65,target[NAME],target[AW-Q801APH(WW)])</f>
        <v>#N/A</v>
      </c>
      <c r="AI65" s="71" t="e">
        <f>_xlfn.XLOOKUP($E65,target[NAME],target[GR-RM469WE-PGA(B3)])</f>
        <v>#N/A</v>
      </c>
      <c r="AJ65" s="71" t="e">
        <f>_xlfn.XLOOKUP($E65,target[NAME],target[GR-RB449WE-PMA(57)])</f>
        <v>#N/A</v>
      </c>
      <c r="AK65" s="71" t="e">
        <f>_xlfn.XLOOKUP($E65,target[NAME],target[GR-RB410WE-PMA(06)])</f>
        <v>#N/A</v>
      </c>
      <c r="AL65" s="71" t="e">
        <f>_xlfn.XLOOKUP($E65,target[NAME],target[GR-RF698WI])</f>
        <v>#N/A</v>
      </c>
      <c r="AM65" s="71" t="e">
        <f>_xlfn.XLOOKUP($E65,target[NAME],target[TWP-W2265THK(W)])</f>
        <v>#N/A</v>
      </c>
      <c r="AN65" s="71" t="e">
        <f>_xlfn.XLOOKUP($E65,target[NAME],target[RAD-D200/250/300/DIA17])</f>
        <v>#N/A</v>
      </c>
      <c r="AO65" s="71" t="e">
        <f>_xlfn.XLOOKUP($E65,target[NAME],target[(Fortress ONLY)TW-T25BZU115MWH(MG) ])</f>
        <v>#N/A</v>
      </c>
      <c r="AP65" s="71" t="e">
        <f>_xlfn.XLOOKUP($E65,target[NAME],target[開門紅(三月)])</f>
        <v>#N/A</v>
      </c>
      <c r="AQ65" s="71" t="e">
        <f>_xlfn.XLOOKUP($E65,target[NAME],target[開門紅(第一季)])</f>
        <v>#N/A</v>
      </c>
      <c r="AR65" s="73">
        <f ca="1">SUMIFS(表格1[QTY],表格1[Model],三國演義!$AR$12,表格1[Name],三國演義!$E65)+SUMIFS(表格1[QTY],表格1[Model],三國演義!$AR$12,表格1[Name],三國演義!$AA65)</f>
        <v>0</v>
      </c>
      <c r="AS65" s="77" t="e">
        <f ca="1">IF($AR65&gt;=$AE65,$AR65*'3月Target'!$W$8,0)</f>
        <v>#N/A</v>
      </c>
      <c r="AT65" s="44">
        <f ca="1">SUMIFS(表格1[QTY],表格1[Model],三國演義!$AT$12,表格1[Name],三國演義!$E65)+SUMIFS(表格1[QTY],表格1[Model],三國演義!$AT$12,表格1[Name],三國演義!$AA65)</f>
        <v>0</v>
      </c>
      <c r="AU65" s="44">
        <f ca="1">SUMIFS(表格1[QTY],表格1[Model],三國演義!$AU$12,表格1[Name],三國演義!$E65)+SUMIFS(表格1[QTY],表格1[Model],三國演義!$AU$12,表格1[Name],三國演義!$AA65)</f>
        <v>0</v>
      </c>
      <c r="AV65" s="44">
        <f ca="1">SUMIFS(表格1[QTY],表格1[Model],三國演義!$AV$12,表格1[Name],三國演義!$E65)+SUMIFS(表格1[QTY],表格1[Model],三國演義!$AV$12,表格1[Name],三國演義!$AA65)</f>
        <v>0</v>
      </c>
      <c r="AW65" s="44">
        <f ca="1">SUMIFS(表格1[QTY],表格1[Model],三國演義!$AW$12,表格1[Name],三國演義!$E65)+SUMIFS(表格1[QTY],表格1[Model],三國演義!$AW$12,表格1[Name],三國演義!$AA65)</f>
        <v>0</v>
      </c>
      <c r="AX65" s="50" t="e">
        <f ca="1">IF((SUM($AT65:$AW65))&gt;=$AB65,SUM($AT65:$AW65)*'3月Target'!$W$5,0)</f>
        <v>#N/A</v>
      </c>
      <c r="AY65" s="44">
        <f ca="1">SUMIFS(表格1[QTY],表格1[Model],三國演義!$AY$12,表格1[Name],三國演義!$E65)+SUMIFS(表格1[QTY],表格1[Model],三國演義!$AY$12,表格1[Name],三國演義!$AA65)</f>
        <v>0</v>
      </c>
      <c r="AZ65" s="77" t="e">
        <f ca="1">IF($AY65&gt;=$AC65,$AY65*'3月Target'!$W$6,0)</f>
        <v>#N/A</v>
      </c>
      <c r="BA65" s="44">
        <f ca="1">SUMIFS(表格1[QTY],表格1[Model],三國演義!$BA$12,表格1[Name],三國演義!$E65)+SUMIFS(表格1[QTY],表格1[Model],三國演義!$BA$12,表格1[Name],三國演義!$AA65)</f>
        <v>0</v>
      </c>
      <c r="BB65" s="77" t="e">
        <f ca="1">IF($BA65&gt;=$AD65,$BA65*'3月Target'!$W$7,0)</f>
        <v>#N/A</v>
      </c>
      <c r="BC65" s="44">
        <f ca="1">SUMIFS(表格1[QTY],表格1[Model],三國演義!$BC$12,表格1[Name],三國演義!$E65)+SUMIFS(表格1[QTY],表格1[Model],三國演義!$BC$12,表格1[Name],三國演義!$AA65)</f>
        <v>0</v>
      </c>
      <c r="BD65" s="77" t="e">
        <f ca="1">IF($BC65&gt;=$AF65,$BC65*'3月Target'!$W$9,0)</f>
        <v>#N/A</v>
      </c>
      <c r="BE65" s="44">
        <f ca="1">SUMIFS(表格1[QTY],表格1[Model],三國演義!$BE$12,表格1[Name],三國演義!$E65)+SUMIFS(表格1[QTY],表格1[Model],三國演義!$BE$12,表格1[Name],三國演義!$AA65)</f>
        <v>0</v>
      </c>
      <c r="BF65" s="77" t="e">
        <f ca="1">IF($BE65&gt;=$AG65,$BE65*'3月Target'!$W$10,0)</f>
        <v>#N/A</v>
      </c>
      <c r="BG65" s="44">
        <f ca="1">SUMIFS(表格1[QTY],表格1[Model],三國演義!$BG$12,表格1[Name],三國演義!$E65)+SUMIFS(表格1[QTY],表格1[Model],三國演義!$BG$12,表格1[Name],三國演義!$AA65)</f>
        <v>2</v>
      </c>
      <c r="BH65" s="77" t="e">
        <f ca="1">IF($BG65&gt;=$AH65,$BG65*'3月Target'!$W$10,0)</f>
        <v>#N/A</v>
      </c>
      <c r="BI65" s="44">
        <f ca="1">SUMIFS(表格1[QTY],表格1[Model],三國演義!$BI$12,表格1[Name],三國演義!$E65)+SUMIFS(表格1[QTY],表格1[Model],三國演義!$BI$12,表格1[Name],三國演義!$AA65)</f>
        <v>0</v>
      </c>
      <c r="BJ65" s="77" t="e">
        <f ca="1">IF($BI65&gt;=$AI65,$BI65*'3月Target'!$W$11,0)</f>
        <v>#N/A</v>
      </c>
      <c r="BK65" s="44">
        <f ca="1">SUMIFS(表格1[QTY],表格1[Model],三國演義!$BK$12,表格1[Name],三國演義!$E65)+SUMIFS(表格1[QTY],表格1[Model],三國演義!$BK$12,表格1[Name],三國演義!$AA65)</f>
        <v>0</v>
      </c>
      <c r="BL65" s="77" t="e">
        <f ca="1">IF($BK65&gt;=$AJ65,$BK65*'3月Target'!$W$12,0)</f>
        <v>#N/A</v>
      </c>
      <c r="BM65" s="44">
        <f ca="1">SUMIFS(表格1[QTY],表格1[Model],三國演義!$BM$12,表格1[Name],三國演義!$E65)+SUMIFS(表格1[QTY],表格1[Model],三國演義!$BM$12,表格1[Name],三國演義!$AA65)</f>
        <v>0</v>
      </c>
      <c r="BN65" s="77" t="e">
        <f ca="1">IF($BM65&gt;=$AK65,$BM65*'3月Target'!$W$13,0)</f>
        <v>#N/A</v>
      </c>
      <c r="BO65" s="44">
        <f ca="1">SUMIFS(表格1[QTY],表格1[Model],三國演義!$BO$12,表格1[Name],三國演義!$E65)+SUMIFS(表格1[QTY],表格1[Model],三國演義!$BO$12,表格1[Name],三國演義!$AA65)</f>
        <v>0</v>
      </c>
      <c r="BP65" s="77" t="e">
        <f ca="1">IF($BO65&gt;=$AL65,$BO65*'3月Target'!$W$14,0)</f>
        <v>#N/A</v>
      </c>
      <c r="BQ65" s="44">
        <f ca="1">SUMIFS(表格1[QTY],表格1[Model],三國演義!$BQ$12,表格1[Name],三國演義!$E65)+SUMIFS(表格1[QTY],表格1[Model],三國演義!$BQ$12,表格1[Name],三國演義!$AA65)</f>
        <v>0</v>
      </c>
      <c r="BR65" s="77" t="e">
        <f ca="1">IF($BQ65&gt;=$AM65,$BQ65*'3月Target'!$W$15,0)</f>
        <v>#N/A</v>
      </c>
      <c r="BS65" s="44">
        <f ca="1">SUMIFS(表格1[QTY],表格1[Model],三國演義!$BS$12,表格1[Name],三國演義!$E65)+SUMIFS(表格1[QTY],表格1[Model],三國演義!$BS$12,表格1[Name],三國演義!$AA65)</f>
        <v>0</v>
      </c>
      <c r="BT65" s="44">
        <f ca="1">SUMIFS(表格1[QTY],表格1[Model],三國演義!$BT$12,表格1[Name],三國演義!$E65)+SUMIFS(表格1[QTY],表格1[Model],三國演義!$BT$12,表格1[Name],三國演義!$AA65)</f>
        <v>0</v>
      </c>
      <c r="BU65" s="44">
        <f ca="1">SUMIFS(表格1[QTY],表格1[Model],三國演義!$BU$12,表格1[Name],三國演義!$E65)+SUMIFS(表格1[QTY],表格1[Model],三國演義!$BU$12,表格1[Name],三國演義!$AA65)</f>
        <v>5</v>
      </c>
      <c r="BV65" s="44">
        <f ca="1">SUMIFS(表格1[QTY],表格1[Model],三國演義!$BV$12,表格1[Name],三國演義!$E65)+SUMIFS(表格1[QTY],表格1[Model],三國演義!$BV$12,表格1[Name],三國演義!$AA65)</f>
        <v>0</v>
      </c>
      <c r="BW65" s="77" t="e">
        <f ca="1">IF((SUM($BS65:$BV65))&gt;=$AN65,SUM($BS65:$BV65)*'3月Target'!$W$16,0)</f>
        <v>#N/A</v>
      </c>
      <c r="BX65" s="44">
        <f ca="1">SUMIFS(表格1[QTY],表格1[Model],三國演義!$BX$12,表格1[Name],三國演義!$E65)+SUMIFS(表格1[QTY],表格1[Model],三國演義!$BX$12,表格1[Name],三國演義!$AA65)</f>
        <v>0</v>
      </c>
      <c r="BY65" s="77" t="e">
        <f ca="1">IF($BX65&gt;=$AO65,$BX65*'3月Target'!$W$17,0)</f>
        <v>#N/A</v>
      </c>
      <c r="BZ65" s="146">
        <f t="shared" ca="1" si="23"/>
        <v>83810</v>
      </c>
      <c r="CA65" s="77" t="e">
        <f t="shared" ca="1" si="24"/>
        <v>#N/A</v>
      </c>
      <c r="CB65" s="146">
        <f t="shared" ca="1" si="25"/>
        <v>83810</v>
      </c>
      <c r="CC65" s="77" t="e">
        <f t="shared" ca="1" si="26"/>
        <v>#N/A</v>
      </c>
    </row>
    <row r="66" spans="1:81">
      <c r="A66" s="121">
        <f ca="1">Roster!AL58*Roster!AH58+Roster!AM58*Roster!AG58+三國演義!H66+三國演義!I66+三國演義!J66</f>
        <v>3424.52</v>
      </c>
      <c r="B66" s="133">
        <v>0.02</v>
      </c>
      <c r="C66" s="66">
        <v>54</v>
      </c>
      <c r="D66" s="95" t="str">
        <f ca="1">_xlfn.XLOOKUP($E66,表格1[Name],表格1[Shop])</f>
        <v>Tung Yuen</v>
      </c>
      <c r="E66" s="95" t="s">
        <v>1465</v>
      </c>
      <c r="F66" s="96">
        <f ca="1">SUMIF(表格1[Name],$E66,表格1[Total Amount])+SUMIF(表格1[Name],$AA66,表格1[Total Amount])</f>
        <v>75226</v>
      </c>
      <c r="G66" s="161">
        <f ca="1">SUMIF(表格1[Name],$E66,表格1[QTY])+SUMIF(表格1[Name],$AA66,表格1[QTY])</f>
        <v>28</v>
      </c>
      <c r="H66" s="96">
        <f t="shared" ca="1" si="5"/>
        <v>1504.52</v>
      </c>
      <c r="I66" s="96"/>
      <c r="J66" s="51">
        <f t="shared" si="6"/>
        <v>0</v>
      </c>
      <c r="K66" s="163"/>
      <c r="L66" s="163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60" t="str">
        <f t="shared" si="4"/>
        <v>Ho_2 off</v>
      </c>
      <c r="AB66" s="71" t="e">
        <f>_xlfn.XLOOKUP($E66,target[NAME],target[RC-DS10K/18K])</f>
        <v>#N/A</v>
      </c>
      <c r="AC66" s="71" t="e">
        <f>_xlfn.XLOOKUP($E66,target[NAME],target[RC-18AMXH(W)])</f>
        <v>#N/A</v>
      </c>
      <c r="AD66" s="71" t="e">
        <f>_xlfn.XLOOKUP($E66,target[NAME],target[EB-T500APW])</f>
        <v>#N/A</v>
      </c>
      <c r="AE66" s="71" t="e">
        <f>_xlfn.XLOOKUP($E66,target[NAME],target[ER-VD7000HK(XK)])</f>
        <v>#N/A</v>
      </c>
      <c r="AF66" s="71" t="e">
        <f>_xlfn.XLOOKUP($E66,target[NAME],target[TWDT21BU95])</f>
        <v>#N/A</v>
      </c>
      <c r="AG66" s="71" t="e">
        <f>_xlfn.XLOOKUP($E66,target[NAME],target[AW-Q800APH(WW)])</f>
        <v>#N/A</v>
      </c>
      <c r="AH66" s="71" t="e">
        <f>_xlfn.XLOOKUP($E66,target[NAME],target[AW-Q801APH(WW)])</f>
        <v>#N/A</v>
      </c>
      <c r="AI66" s="71" t="e">
        <f>_xlfn.XLOOKUP($E66,target[NAME],target[GR-RM469WE-PGA(B3)])</f>
        <v>#N/A</v>
      </c>
      <c r="AJ66" s="71" t="e">
        <f>_xlfn.XLOOKUP($E66,target[NAME],target[GR-RB449WE-PMA(57)])</f>
        <v>#N/A</v>
      </c>
      <c r="AK66" s="71" t="e">
        <f>_xlfn.XLOOKUP($E66,target[NAME],target[GR-RB410WE-PMA(06)])</f>
        <v>#N/A</v>
      </c>
      <c r="AL66" s="71" t="e">
        <f>_xlfn.XLOOKUP($E66,target[NAME],target[GR-RF698WI])</f>
        <v>#N/A</v>
      </c>
      <c r="AM66" s="71" t="e">
        <f>_xlfn.XLOOKUP($E66,target[NAME],target[TWP-W2265THK(W)])</f>
        <v>#N/A</v>
      </c>
      <c r="AN66" s="71" t="e">
        <f>_xlfn.XLOOKUP($E66,target[NAME],target[RAD-D200/250/300/DIA17])</f>
        <v>#N/A</v>
      </c>
      <c r="AO66" s="71" t="e">
        <f>_xlfn.XLOOKUP($E66,target[NAME],target[(Fortress ONLY)TW-T25BZU115MWH(MG) ])</f>
        <v>#N/A</v>
      </c>
      <c r="AP66" s="71" t="e">
        <f>_xlfn.XLOOKUP($E66,target[NAME],target[開門紅(三月)])</f>
        <v>#N/A</v>
      </c>
      <c r="AQ66" s="71" t="e">
        <f>_xlfn.XLOOKUP($E66,target[NAME],target[開門紅(第一季)])</f>
        <v>#N/A</v>
      </c>
      <c r="AR66" s="73">
        <f ca="1">SUMIFS(表格1[QTY],表格1[Model],三國演義!$AR$12,表格1[Name],三國演義!$E66)+SUMIFS(表格1[QTY],表格1[Model],三國演義!$AR$12,表格1[Name],三國演義!$AA66)</f>
        <v>0</v>
      </c>
      <c r="AS66" s="77" t="e">
        <f ca="1">IF($AR66&gt;=$AE66,$AR66*'3月Target'!$W$8,0)</f>
        <v>#N/A</v>
      </c>
      <c r="AT66" s="44">
        <f ca="1">SUMIFS(表格1[QTY],表格1[Model],三國演義!$AT$12,表格1[Name],三國演義!$E66)+SUMIFS(表格1[QTY],表格1[Model],三國演義!$AT$12,表格1[Name],三國演義!$AA66)</f>
        <v>0</v>
      </c>
      <c r="AU66" s="44">
        <f ca="1">SUMIFS(表格1[QTY],表格1[Model],三國演義!$AU$12,表格1[Name],三國演義!$E66)+SUMIFS(表格1[QTY],表格1[Model],三國演義!$AU$12,表格1[Name],三國演義!$AA66)</f>
        <v>0</v>
      </c>
      <c r="AV66" s="44">
        <f ca="1">SUMIFS(表格1[QTY],表格1[Model],三國演義!$AV$12,表格1[Name],三國演義!$E66)+SUMIFS(表格1[QTY],表格1[Model],三國演義!$AV$12,表格1[Name],三國演義!$AA66)</f>
        <v>0</v>
      </c>
      <c r="AW66" s="44">
        <f ca="1">SUMIFS(表格1[QTY],表格1[Model],三國演義!$AW$12,表格1[Name],三國演義!$E66)+SUMIFS(表格1[QTY],表格1[Model],三國演義!$AW$12,表格1[Name],三國演義!$AA66)</f>
        <v>0</v>
      </c>
      <c r="AX66" s="50" t="e">
        <f ca="1">IF((SUM($AT66:$AW66))&gt;=$AB66,SUM($AT66:$AW66)*'3月Target'!$W$5,0)</f>
        <v>#N/A</v>
      </c>
      <c r="AY66" s="44">
        <f ca="1">SUMIFS(表格1[QTY],表格1[Model],三國演義!$AY$12,表格1[Name],三國演義!$E66)+SUMIFS(表格1[QTY],表格1[Model],三國演義!$AY$12,表格1[Name],三國演義!$AA66)</f>
        <v>0</v>
      </c>
      <c r="AZ66" s="77" t="e">
        <f ca="1">IF($AY66&gt;=$AC66,$AY66*'3月Target'!$W$6,0)</f>
        <v>#N/A</v>
      </c>
      <c r="BA66" s="44">
        <f ca="1">SUMIFS(表格1[QTY],表格1[Model],三國演義!$BA$12,表格1[Name],三國演義!$E66)+SUMIFS(表格1[QTY],表格1[Model],三國演義!$BA$12,表格1[Name],三國演義!$AA66)</f>
        <v>0</v>
      </c>
      <c r="BB66" s="77" t="e">
        <f ca="1">IF($BA66&gt;=$AD66,$BA66*'3月Target'!$W$7,0)</f>
        <v>#N/A</v>
      </c>
      <c r="BC66" s="44">
        <f ca="1">SUMIFS(表格1[QTY],表格1[Model],三國演義!$BC$12,表格1[Name],三國演義!$E66)+SUMIFS(表格1[QTY],表格1[Model],三國演義!$BC$12,表格1[Name],三國演義!$AA66)</f>
        <v>1</v>
      </c>
      <c r="BD66" s="77" t="e">
        <f ca="1">IF($BC66&gt;=$AF66,$BC66*'3月Target'!$W$9,0)</f>
        <v>#N/A</v>
      </c>
      <c r="BE66" s="44">
        <f ca="1">SUMIFS(表格1[QTY],表格1[Model],三國演義!$BE$12,表格1[Name],三國演義!$E66)+SUMIFS(表格1[QTY],表格1[Model],三國演義!$BE$12,表格1[Name],三國演義!$AA66)</f>
        <v>0</v>
      </c>
      <c r="BF66" s="77" t="e">
        <f ca="1">IF($BE66&gt;=$AG66,$BE66*'3月Target'!$W$10,0)</f>
        <v>#N/A</v>
      </c>
      <c r="BG66" s="44">
        <f ca="1">SUMIFS(表格1[QTY],表格1[Model],三國演義!$BG$12,表格1[Name],三國演義!$E66)+SUMIFS(表格1[QTY],表格1[Model],三國演義!$BG$12,表格1[Name],三國演義!$AA66)</f>
        <v>5</v>
      </c>
      <c r="BH66" s="77" t="e">
        <f ca="1">IF($BG66&gt;=$AH66,$BG66*'3月Target'!$W$10,0)</f>
        <v>#N/A</v>
      </c>
      <c r="BI66" s="44">
        <f ca="1">SUMIFS(表格1[QTY],表格1[Model],三國演義!$BI$12,表格1[Name],三國演義!$E66)+SUMIFS(表格1[QTY],表格1[Model],三國演義!$BI$12,表格1[Name],三國演義!$AA66)</f>
        <v>2</v>
      </c>
      <c r="BJ66" s="77" t="e">
        <f ca="1">IF($BI66&gt;=$AI66,$BI66*'3月Target'!$W$11,0)</f>
        <v>#N/A</v>
      </c>
      <c r="BK66" s="44">
        <f ca="1">SUMIFS(表格1[QTY],表格1[Model],三國演義!$BK$12,表格1[Name],三國演義!$E66)+SUMIFS(表格1[QTY],表格1[Model],三國演義!$BK$12,表格1[Name],三國演義!$AA66)</f>
        <v>0</v>
      </c>
      <c r="BL66" s="77" t="e">
        <f ca="1">IF($BK66&gt;=$AJ66,$BK66*'3月Target'!$W$12,0)</f>
        <v>#N/A</v>
      </c>
      <c r="BM66" s="44">
        <f ca="1">SUMIFS(表格1[QTY],表格1[Model],三國演義!$BM$12,表格1[Name],三國演義!$E66)+SUMIFS(表格1[QTY],表格1[Model],三國演義!$BM$12,表格1[Name],三國演義!$AA66)</f>
        <v>0</v>
      </c>
      <c r="BN66" s="77" t="e">
        <f ca="1">IF($BM66&gt;=$AK66,$BM66*'3月Target'!$W$13,0)</f>
        <v>#N/A</v>
      </c>
      <c r="BO66" s="44">
        <f ca="1">SUMIFS(表格1[QTY],表格1[Model],三國演義!$BO$12,表格1[Name],三國演義!$E66)+SUMIFS(表格1[QTY],表格1[Model],三國演義!$BO$12,表格1[Name],三國演義!$AA66)</f>
        <v>0</v>
      </c>
      <c r="BP66" s="77" t="e">
        <f ca="1">IF($BO66&gt;=$AL66,$BO66*'3月Target'!$W$14,0)</f>
        <v>#N/A</v>
      </c>
      <c r="BQ66" s="44">
        <f ca="1">SUMIFS(表格1[QTY],表格1[Model],三國演義!$BQ$12,表格1[Name],三國演義!$E66)+SUMIFS(表格1[QTY],表格1[Model],三國演義!$BQ$12,表格1[Name],三國演義!$AA66)</f>
        <v>0</v>
      </c>
      <c r="BR66" s="77" t="e">
        <f ca="1">IF($BQ66&gt;=$AM66,$BQ66*'3月Target'!$W$15,0)</f>
        <v>#N/A</v>
      </c>
      <c r="BS66" s="44">
        <f ca="1">SUMIFS(表格1[QTY],表格1[Model],三國演義!$BS$12,表格1[Name],三國演義!$E66)+SUMIFS(表格1[QTY],表格1[Model],三國演義!$BS$12,表格1[Name],三國演義!$AA66)</f>
        <v>0</v>
      </c>
      <c r="BT66" s="44">
        <f ca="1">SUMIFS(表格1[QTY],表格1[Model],三國演義!$BT$12,表格1[Name],三國演義!$E66)+SUMIFS(表格1[QTY],表格1[Model],三國演義!$BT$12,表格1[Name],三國演義!$AA66)</f>
        <v>0</v>
      </c>
      <c r="BU66" s="44">
        <f ca="1">SUMIFS(表格1[QTY],表格1[Model],三國演義!$BU$12,表格1[Name],三國演義!$E66)+SUMIFS(表格1[QTY],表格1[Model],三國演義!$BU$12,表格1[Name],三國演義!$AA66)</f>
        <v>5</v>
      </c>
      <c r="BV66" s="44">
        <f ca="1">SUMIFS(表格1[QTY],表格1[Model],三國演義!$BV$12,表格1[Name],三國演義!$E66)+SUMIFS(表格1[QTY],表格1[Model],三國演義!$BV$12,表格1[Name],三國演義!$AA66)</f>
        <v>0</v>
      </c>
      <c r="BW66" s="77" t="e">
        <f ca="1">IF((SUM($BS66:$BV66))&gt;=$AN66,SUM($BS66:$BV66)*'3月Target'!$W$16,0)</f>
        <v>#N/A</v>
      </c>
      <c r="BX66" s="44">
        <f ca="1">SUMIFS(表格1[QTY],表格1[Model],三國演義!$BX$12,表格1[Name],三國演義!$E66)+SUMIFS(表格1[QTY],表格1[Model],三國演義!$BX$12,表格1[Name],三國演義!$AA66)</f>
        <v>0</v>
      </c>
      <c r="BY66" s="77" t="e">
        <f ca="1">IF($BX66&gt;=$AO66,$BX66*'3月Target'!$W$17,0)</f>
        <v>#N/A</v>
      </c>
      <c r="BZ66" s="146">
        <f t="shared" ca="1" si="23"/>
        <v>75226</v>
      </c>
      <c r="CA66" s="77" t="e">
        <f t="shared" ca="1" si="24"/>
        <v>#N/A</v>
      </c>
      <c r="CB66" s="146">
        <f t="shared" ca="1" si="25"/>
        <v>75226</v>
      </c>
      <c r="CC66" s="77" t="e">
        <f t="shared" ca="1" si="26"/>
        <v>#N/A</v>
      </c>
    </row>
    <row r="67" spans="1:81">
      <c r="A67" s="121">
        <f ca="1">Roster!AL59*Roster!AH59+Roster!AM59*Roster!AG59+三國演義!H67+三國演義!I67+三國演義!J67</f>
        <v>7821.92</v>
      </c>
      <c r="B67" s="133">
        <v>0.02</v>
      </c>
      <c r="C67" s="66">
        <v>55</v>
      </c>
      <c r="D67" s="95" t="str">
        <f ca="1">_xlfn.XLOOKUP($E67,表格1[Name],表格1[Shop])</f>
        <v>Fortress</v>
      </c>
      <c r="E67" s="95" t="s">
        <v>1907</v>
      </c>
      <c r="F67" s="96">
        <f ca="1">SUMIF(表格1[Name],$E67,表格1[Total Amount])+SUMIF(表格1[Name],$AA67,表格1[Total Amount])</f>
        <v>542192</v>
      </c>
      <c r="G67" s="161">
        <f ca="1">SUMIF(表格1[Name],$E67,表格1[QTY])+SUMIF(表格1[Name],$AA67,表格1[QTY])</f>
        <v>181</v>
      </c>
      <c r="H67" s="96"/>
      <c r="I67" s="96">
        <f t="shared" ca="1" si="27"/>
        <v>5421.92</v>
      </c>
      <c r="J67" s="51">
        <f t="shared" si="6"/>
        <v>0</v>
      </c>
      <c r="K67" s="163"/>
      <c r="L67" s="163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60" t="str">
        <f t="shared" si="4"/>
        <v>Terence_2 off</v>
      </c>
      <c r="AB67" s="71" t="e">
        <f>_xlfn.XLOOKUP($E67,target[NAME],target[RC-DS10K/18K])</f>
        <v>#N/A</v>
      </c>
      <c r="AC67" s="71" t="e">
        <f>_xlfn.XLOOKUP($E67,target[NAME],target[RC-18AMXH(W)])</f>
        <v>#N/A</v>
      </c>
      <c r="AD67" s="71" t="e">
        <f>_xlfn.XLOOKUP($E67,target[NAME],target[EB-T500APW])</f>
        <v>#N/A</v>
      </c>
      <c r="AE67" s="71" t="e">
        <f>_xlfn.XLOOKUP($E67,target[NAME],target[ER-VD7000HK(XK)])</f>
        <v>#N/A</v>
      </c>
      <c r="AF67" s="71" t="e">
        <f>_xlfn.XLOOKUP($E67,target[NAME],target[TWDT21BU95])</f>
        <v>#N/A</v>
      </c>
      <c r="AG67" s="71" t="e">
        <f>_xlfn.XLOOKUP($E67,target[NAME],target[AW-Q800APH(WW)])</f>
        <v>#N/A</v>
      </c>
      <c r="AH67" s="71" t="e">
        <f>_xlfn.XLOOKUP($E67,target[NAME],target[AW-Q801APH(WW)])</f>
        <v>#N/A</v>
      </c>
      <c r="AI67" s="71" t="e">
        <f>_xlfn.XLOOKUP($E67,target[NAME],target[GR-RM469WE-PGA(B3)])</f>
        <v>#N/A</v>
      </c>
      <c r="AJ67" s="71" t="e">
        <f>_xlfn.XLOOKUP($E67,target[NAME],target[GR-RB449WE-PMA(57)])</f>
        <v>#N/A</v>
      </c>
      <c r="AK67" s="71" t="e">
        <f>_xlfn.XLOOKUP($E67,target[NAME],target[GR-RB410WE-PMA(06)])</f>
        <v>#N/A</v>
      </c>
      <c r="AL67" s="71" t="e">
        <f>_xlfn.XLOOKUP($E67,target[NAME],target[GR-RF698WI])</f>
        <v>#N/A</v>
      </c>
      <c r="AM67" s="71" t="e">
        <f>_xlfn.XLOOKUP($E67,target[NAME],target[TWP-W2265THK(W)])</f>
        <v>#N/A</v>
      </c>
      <c r="AN67" s="71" t="e">
        <f>_xlfn.XLOOKUP($E67,target[NAME],target[RAD-D200/250/300/DIA17])</f>
        <v>#N/A</v>
      </c>
      <c r="AO67" s="71" t="e">
        <f>_xlfn.XLOOKUP($E67,target[NAME],target[(Fortress ONLY)TW-T25BZU115MWH(MG) ])</f>
        <v>#N/A</v>
      </c>
      <c r="AP67" s="71" t="e">
        <f>_xlfn.XLOOKUP($E67,target[NAME],target[開門紅(三月)])</f>
        <v>#N/A</v>
      </c>
      <c r="AQ67" s="71" t="e">
        <f>_xlfn.XLOOKUP($E67,target[NAME],target[開門紅(第一季)])</f>
        <v>#N/A</v>
      </c>
      <c r="AR67" s="73">
        <f ca="1">SUMIFS(表格1[QTY],表格1[Model],三國演義!$AR$12,表格1[Name],三國演義!$E67)+SUMIFS(表格1[QTY],表格1[Model],三國演義!$AR$12,表格1[Name],三國演義!$AA67)</f>
        <v>0</v>
      </c>
      <c r="AS67" s="77" t="e">
        <f ca="1">IF($AR67&gt;=$AE67,$AR67*'3月Target'!$W$8,0)</f>
        <v>#N/A</v>
      </c>
      <c r="AT67" s="44">
        <f ca="1">SUMIFS(表格1[QTY],表格1[Model],三國演義!$AT$12,表格1[Name],三國演義!$E67)+SUMIFS(表格1[QTY],表格1[Model],三國演義!$AT$12,表格1[Name],三國演義!$AA67)</f>
        <v>0</v>
      </c>
      <c r="AU67" s="44">
        <f ca="1">SUMIFS(表格1[QTY],表格1[Model],三國演義!$AU$12,表格1[Name],三國演義!$E67)+SUMIFS(表格1[QTY],表格1[Model],三國演義!$AU$12,表格1[Name],三國演義!$AA67)</f>
        <v>1</v>
      </c>
      <c r="AV67" s="44">
        <f ca="1">SUMIFS(表格1[QTY],表格1[Model],三國演義!$AV$12,表格1[Name],三國演義!$E67)+SUMIFS(表格1[QTY],表格1[Model],三國演義!$AV$12,表格1[Name],三國演義!$AA67)</f>
        <v>0</v>
      </c>
      <c r="AW67" s="44">
        <f ca="1">SUMIFS(表格1[QTY],表格1[Model],三國演義!$AW$12,表格1[Name],三國演義!$E67)+SUMIFS(表格1[QTY],表格1[Model],三國演義!$AW$12,表格1[Name],三國演義!$AA67)</f>
        <v>0</v>
      </c>
      <c r="AX67" s="50" t="e">
        <f ca="1">IF((SUM($AT67:$AW67))&gt;=$AB67,SUM($AT67:$AW67)*'3月Target'!$W$5,0)</f>
        <v>#N/A</v>
      </c>
      <c r="AY67" s="44">
        <f ca="1">SUMIFS(表格1[QTY],表格1[Model],三國演義!$AY$12,表格1[Name],三國演義!$E67)+SUMIFS(表格1[QTY],表格1[Model],三國演義!$AY$12,表格1[Name],三國演義!$AA67)</f>
        <v>5</v>
      </c>
      <c r="AZ67" s="77" t="e">
        <f ca="1">IF($AY67&gt;=$AC67,$AY67*'3月Target'!$W$6,0)</f>
        <v>#N/A</v>
      </c>
      <c r="BA67" s="44">
        <f ca="1">SUMIFS(表格1[QTY],表格1[Model],三國演義!$BA$12,表格1[Name],三國演義!$E67)+SUMIFS(表格1[QTY],表格1[Model],三國演義!$BA$12,表格1[Name],三國演義!$AA67)</f>
        <v>2</v>
      </c>
      <c r="BB67" s="77" t="e">
        <f ca="1">IF($BA67&gt;=$AD67,$BA67*'3月Target'!$W$7,0)</f>
        <v>#N/A</v>
      </c>
      <c r="BC67" s="44">
        <f ca="1">SUMIFS(表格1[QTY],表格1[Model],三國演義!$BC$12,表格1[Name],三國演義!$E67)+SUMIFS(表格1[QTY],表格1[Model],三國演義!$BC$12,表格1[Name],三國演義!$AA67)</f>
        <v>4</v>
      </c>
      <c r="BD67" s="77" t="e">
        <f ca="1">IF($BC67&gt;=$AF67,$BC67*'3月Target'!$W$9,0)</f>
        <v>#N/A</v>
      </c>
      <c r="BE67" s="44">
        <f ca="1">SUMIFS(表格1[QTY],表格1[Model],三國演義!$BE$12,表格1[Name],三國演義!$E67)+SUMIFS(表格1[QTY],表格1[Model],三國演義!$BE$12,表格1[Name],三國演義!$AA67)</f>
        <v>5</v>
      </c>
      <c r="BF67" s="77" t="e">
        <f ca="1">IF($BE67&gt;=$AG67,$BE67*'3月Target'!$W$10,0)</f>
        <v>#N/A</v>
      </c>
      <c r="BG67" s="44">
        <f ca="1">SUMIFS(表格1[QTY],表格1[Model],三國演義!$BG$12,表格1[Name],三國演義!$E67)+SUMIFS(表格1[QTY],表格1[Model],三國演義!$BG$12,表格1[Name],三國演義!$AA67)</f>
        <v>0</v>
      </c>
      <c r="BH67" s="77" t="e">
        <f ca="1">IF($BG67&gt;=$AH67,$BG67*'3月Target'!$W$10,0)</f>
        <v>#N/A</v>
      </c>
      <c r="BI67" s="44">
        <f ca="1">SUMIFS(表格1[QTY],表格1[Model],三國演義!$BI$12,表格1[Name],三國演義!$E67)+SUMIFS(表格1[QTY],表格1[Model],三國演義!$BI$12,表格1[Name],三國演義!$AA67)</f>
        <v>3</v>
      </c>
      <c r="BJ67" s="77" t="e">
        <f ca="1">IF($BI67&gt;=$AI67,$BI67*'3月Target'!$W$11,0)</f>
        <v>#N/A</v>
      </c>
      <c r="BK67" s="44">
        <f ca="1">SUMIFS(表格1[QTY],表格1[Model],三國演義!$BK$12,表格1[Name],三國演義!$E67)+SUMIFS(表格1[QTY],表格1[Model],三國演義!$BK$12,表格1[Name],三國演義!$AA67)</f>
        <v>5</v>
      </c>
      <c r="BL67" s="77" t="e">
        <f ca="1">IF($BK67&gt;=$AJ67,$BK67*'3月Target'!$W$12,0)</f>
        <v>#N/A</v>
      </c>
      <c r="BM67" s="44">
        <f ca="1">SUMIFS(表格1[QTY],表格1[Model],三國演義!$BM$12,表格1[Name],三國演義!$E67)+SUMIFS(表格1[QTY],表格1[Model],三國演義!$BM$12,表格1[Name],三國演義!$AA67)</f>
        <v>1</v>
      </c>
      <c r="BN67" s="77" t="e">
        <f ca="1">IF($BM67&gt;=$AK67,$BM67*'3月Target'!$W$13,0)</f>
        <v>#N/A</v>
      </c>
      <c r="BO67" s="44">
        <f ca="1">SUMIFS(表格1[QTY],表格1[Model],三國演義!$BO$12,表格1[Name],三國演義!$E67)+SUMIFS(表格1[QTY],表格1[Model],三國演義!$BO$12,表格1[Name],三國演義!$AA67)</f>
        <v>1</v>
      </c>
      <c r="BP67" s="77" t="e">
        <f ca="1">IF($BO67&gt;=$AL67,$BO67*'3月Target'!$W$14,0)</f>
        <v>#N/A</v>
      </c>
      <c r="BQ67" s="44">
        <f ca="1">SUMIFS(表格1[QTY],表格1[Model],三國演義!$BQ$12,表格1[Name],三國演義!$E67)+SUMIFS(表格1[QTY],表格1[Model],三國演義!$BQ$12,表格1[Name],三國演義!$AA67)</f>
        <v>0</v>
      </c>
      <c r="BR67" s="77" t="e">
        <f ca="1">IF($BQ67&gt;=$AM67,$BQ67*'3月Target'!$W$15,0)</f>
        <v>#N/A</v>
      </c>
      <c r="BS67" s="44">
        <f ca="1">SUMIFS(表格1[QTY],表格1[Model],三國演義!$BS$12,表格1[Name],三國演義!$E67)+SUMIFS(表格1[QTY],表格1[Model],三國演義!$BS$12,表格1[Name],三國演義!$AA67)</f>
        <v>0</v>
      </c>
      <c r="BT67" s="44">
        <f ca="1">SUMIFS(表格1[QTY],表格1[Model],三國演義!$BT$12,表格1[Name],三國演義!$E67)+SUMIFS(表格1[QTY],表格1[Model],三國演義!$BT$12,表格1[Name],三國演義!$AA67)</f>
        <v>0</v>
      </c>
      <c r="BU67" s="44">
        <f ca="1">SUMIFS(表格1[QTY],表格1[Model],三國演義!$BU$12,表格1[Name],三國演義!$E67)+SUMIFS(表格1[QTY],表格1[Model],三國演義!$BU$12,表格1[Name],三國演義!$AA67)</f>
        <v>6</v>
      </c>
      <c r="BV67" s="44">
        <f ca="1">SUMIFS(表格1[QTY],表格1[Model],三國演義!$BV$12,表格1[Name],三國演義!$E67)+SUMIFS(表格1[QTY],表格1[Model],三國演義!$BV$12,表格1[Name],三國演義!$AA67)</f>
        <v>0</v>
      </c>
      <c r="BW67" s="77" t="e">
        <f ca="1">IF((SUM($BS67:$BV67))&gt;=$AN67,SUM($BS67:$BV67)*'3月Target'!$W$16,0)</f>
        <v>#N/A</v>
      </c>
      <c r="BX67" s="44">
        <f ca="1">SUMIFS(表格1[QTY],表格1[Model],三國演義!$BX$12,表格1[Name],三國演義!$E67)+SUMIFS(表格1[QTY],表格1[Model],三國演義!$BX$12,表格1[Name],三國演義!$AA67)</f>
        <v>0</v>
      </c>
      <c r="BY67" s="77" t="e">
        <f ca="1">IF($BX67&gt;=$AO67,$BX67*'3月Target'!$W$17,0)</f>
        <v>#N/A</v>
      </c>
      <c r="BZ67" s="146">
        <f t="shared" ca="1" si="23"/>
        <v>542192</v>
      </c>
      <c r="CA67" s="77" t="e">
        <f t="shared" ca="1" si="24"/>
        <v>#N/A</v>
      </c>
      <c r="CB67" s="146">
        <f t="shared" ca="1" si="25"/>
        <v>542192</v>
      </c>
      <c r="CC67" s="77" t="e">
        <f t="shared" ca="1" si="26"/>
        <v>#N/A</v>
      </c>
    </row>
    <row r="68" spans="1:81">
      <c r="A68" s="121">
        <f ca="1">Roster!AL60*Roster!AH60+Roster!AM60*Roster!AG60+三國演義!H68+三國演義!I68+三國演義!J68</f>
        <v>8466.08</v>
      </c>
      <c r="B68" s="133">
        <v>0.02</v>
      </c>
      <c r="C68" s="66">
        <v>56</v>
      </c>
      <c r="D68" s="95" t="str">
        <f ca="1">_xlfn.XLOOKUP($E68,表格1[Name],表格1[Shop])</f>
        <v>Aeon</v>
      </c>
      <c r="E68" s="95" t="s">
        <v>1463</v>
      </c>
      <c r="F68" s="96">
        <f ca="1">SUMIF(表格1[Name],$E68,表格1[Total Amount])+SUMIF(表格1[Name],$AA68,表格1[Total Amount])</f>
        <v>111304</v>
      </c>
      <c r="G68" s="161">
        <f ca="1">SUMIF(表格1[Name],$E68,表格1[QTY])+SUMIF(表格1[Name],$AA68,表格1[QTY])</f>
        <v>118</v>
      </c>
      <c r="H68" s="96">
        <f t="shared" ref="H68:H71" ca="1" si="28">F68*2%</f>
        <v>2226.08</v>
      </c>
      <c r="I68" s="96"/>
      <c r="J68" s="51">
        <f t="shared" si="6"/>
        <v>0</v>
      </c>
      <c r="K68" s="163"/>
      <c r="L68" s="163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60" t="str">
        <f t="shared" si="4"/>
        <v>Ho_1 off</v>
      </c>
      <c r="AB68" s="71" t="e">
        <f>_xlfn.XLOOKUP($E68,target[NAME],target[RC-DS10K/18K])</f>
        <v>#N/A</v>
      </c>
      <c r="AC68" s="71" t="e">
        <f>_xlfn.XLOOKUP($E68,target[NAME],target[RC-18AMXH(W)])</f>
        <v>#N/A</v>
      </c>
      <c r="AD68" s="71" t="e">
        <f>_xlfn.XLOOKUP($E68,target[NAME],target[EB-T500APW])</f>
        <v>#N/A</v>
      </c>
      <c r="AE68" s="71" t="e">
        <f>_xlfn.XLOOKUP($E68,target[NAME],target[ER-VD7000HK(XK)])</f>
        <v>#N/A</v>
      </c>
      <c r="AF68" s="71" t="e">
        <f>_xlfn.XLOOKUP($E68,target[NAME],target[TWDT21BU95])</f>
        <v>#N/A</v>
      </c>
      <c r="AG68" s="71" t="e">
        <f>_xlfn.XLOOKUP($E68,target[NAME],target[AW-Q800APH(WW)])</f>
        <v>#N/A</v>
      </c>
      <c r="AH68" s="71" t="e">
        <f>_xlfn.XLOOKUP($E68,target[NAME],target[AW-Q801APH(WW)])</f>
        <v>#N/A</v>
      </c>
      <c r="AI68" s="71" t="e">
        <f>_xlfn.XLOOKUP($E68,target[NAME],target[GR-RM469WE-PGA(B3)])</f>
        <v>#N/A</v>
      </c>
      <c r="AJ68" s="71" t="e">
        <f>_xlfn.XLOOKUP($E68,target[NAME],target[GR-RB449WE-PMA(57)])</f>
        <v>#N/A</v>
      </c>
      <c r="AK68" s="71" t="e">
        <f>_xlfn.XLOOKUP($E68,target[NAME],target[GR-RB410WE-PMA(06)])</f>
        <v>#N/A</v>
      </c>
      <c r="AL68" s="71" t="e">
        <f>_xlfn.XLOOKUP($E68,target[NAME],target[GR-RF698WI])</f>
        <v>#N/A</v>
      </c>
      <c r="AM68" s="71" t="e">
        <f>_xlfn.XLOOKUP($E68,target[NAME],target[TWP-W2265THK(W)])</f>
        <v>#N/A</v>
      </c>
      <c r="AN68" s="71" t="e">
        <f>_xlfn.XLOOKUP($E68,target[NAME],target[RAD-D200/250/300/DIA17])</f>
        <v>#N/A</v>
      </c>
      <c r="AO68" s="71" t="e">
        <f>_xlfn.XLOOKUP($E68,target[NAME],target[(Fortress ONLY)TW-T25BZU115MWH(MG) ])</f>
        <v>#N/A</v>
      </c>
      <c r="AP68" s="71" t="e">
        <f>_xlfn.XLOOKUP($E68,target[NAME],target[開門紅(三月)])</f>
        <v>#N/A</v>
      </c>
      <c r="AQ68" s="71" t="e">
        <f>_xlfn.XLOOKUP($E68,target[NAME],target[開門紅(第一季)])</f>
        <v>#N/A</v>
      </c>
      <c r="AR68" s="73">
        <f ca="1">SUMIFS(表格1[QTY],表格1[Model],三國演義!$AR$12,表格1[Name],三國演義!$E68)+SUMIFS(表格1[QTY],表格1[Model],三國演義!$AR$12,表格1[Name],三國演義!$AA68)</f>
        <v>0</v>
      </c>
      <c r="AS68" s="77" t="e">
        <f ca="1">IF($AR68&gt;=$AE68,$AR68*'3月Target'!$W$8,0)</f>
        <v>#N/A</v>
      </c>
      <c r="AT68" s="44">
        <f ca="1">SUMIFS(表格1[QTY],表格1[Model],三國演義!$AT$12,表格1[Name],三國演義!$E68)+SUMIFS(表格1[QTY],表格1[Model],三國演義!$AT$12,表格1[Name],三國演義!$AA68)</f>
        <v>0</v>
      </c>
      <c r="AU68" s="44">
        <f ca="1">SUMIFS(表格1[QTY],表格1[Model],三國演義!$AU$12,表格1[Name],三國演義!$E68)+SUMIFS(表格1[QTY],表格1[Model],三國演義!$AU$12,表格1[Name],三國演義!$AA68)</f>
        <v>0</v>
      </c>
      <c r="AV68" s="44">
        <f ca="1">SUMIFS(表格1[QTY],表格1[Model],三國演義!$AV$12,表格1[Name],三國演義!$E68)+SUMIFS(表格1[QTY],表格1[Model],三國演義!$AV$12,表格1[Name],三國演義!$AA68)</f>
        <v>0</v>
      </c>
      <c r="AW68" s="44">
        <f ca="1">SUMIFS(表格1[QTY],表格1[Model],三國演義!$AW$12,表格1[Name],三國演義!$E68)+SUMIFS(表格1[QTY],表格1[Model],三國演義!$AW$12,表格1[Name],三國演義!$AA68)</f>
        <v>0</v>
      </c>
      <c r="AX68" s="50" t="e">
        <f ca="1">IF((SUM($AT68:$AW68))&gt;=$AB68,SUM($AT68:$AW68)*'3月Target'!$W$5,0)</f>
        <v>#N/A</v>
      </c>
      <c r="AY68" s="44">
        <f ca="1">SUMIFS(表格1[QTY],表格1[Model],三國演義!$AY$12,表格1[Name],三國演義!$E68)+SUMIFS(表格1[QTY],表格1[Model],三國演義!$AY$12,表格1[Name],三國演義!$AA68)</f>
        <v>0</v>
      </c>
      <c r="AZ68" s="77" t="e">
        <f ca="1">IF($AY68&gt;=$AC68,$AY68*'3月Target'!$W$6,0)</f>
        <v>#N/A</v>
      </c>
      <c r="BA68" s="44">
        <f ca="1">SUMIFS(表格1[QTY],表格1[Model],三國演義!$BA$12,表格1[Name],三國演義!$E68)+SUMIFS(表格1[QTY],表格1[Model],三國演義!$BA$12,表格1[Name],三國演義!$AA68)</f>
        <v>0</v>
      </c>
      <c r="BB68" s="77" t="e">
        <f ca="1">IF($BA68&gt;=$AD68,$BA68*'3月Target'!$W$7,0)</f>
        <v>#N/A</v>
      </c>
      <c r="BC68" s="44">
        <f ca="1">SUMIFS(表格1[QTY],表格1[Model],三國演義!$BC$12,表格1[Name],三國演義!$E68)+SUMIFS(表格1[QTY],表格1[Model],三國演義!$BC$12,表格1[Name],三國演義!$AA68)</f>
        <v>0</v>
      </c>
      <c r="BD68" s="77" t="e">
        <f ca="1">IF($BC68&gt;=$AF68,$BC68*'3月Target'!$W$9,0)</f>
        <v>#N/A</v>
      </c>
      <c r="BE68" s="44">
        <f ca="1">SUMIFS(表格1[QTY],表格1[Model],三國演義!$BE$12,表格1[Name],三國演義!$E68)+SUMIFS(表格1[QTY],表格1[Model],三國演義!$BE$12,表格1[Name],三國演義!$AA68)</f>
        <v>0</v>
      </c>
      <c r="BF68" s="77" t="e">
        <f ca="1">IF($BE68&gt;=$AG68,$BE68*'3月Target'!$W$10,0)</f>
        <v>#N/A</v>
      </c>
      <c r="BG68" s="44">
        <f ca="1">SUMIFS(表格1[QTY],表格1[Model],三國演義!$BG$12,表格1[Name],三國演義!$E68)+SUMIFS(表格1[QTY],表格1[Model],三國演義!$BG$12,表格1[Name],三國演義!$AA68)</f>
        <v>0</v>
      </c>
      <c r="BH68" s="77" t="e">
        <f ca="1">IF($BG68&gt;=$AH68,$BG68*'3月Target'!$W$10,0)</f>
        <v>#N/A</v>
      </c>
      <c r="BI68" s="44">
        <f ca="1">SUMIFS(表格1[QTY],表格1[Model],三國演義!$BI$12,表格1[Name],三國演義!$E68)+SUMIFS(表格1[QTY],表格1[Model],三國演義!$BI$12,表格1[Name],三國演義!$AA68)</f>
        <v>0</v>
      </c>
      <c r="BJ68" s="77" t="e">
        <f ca="1">IF($BI68&gt;=$AI68,$BI68*'3月Target'!$W$11,0)</f>
        <v>#N/A</v>
      </c>
      <c r="BK68" s="44">
        <f ca="1">SUMIFS(表格1[QTY],表格1[Model],三國演義!$BK$12,表格1[Name],三國演義!$E68)+SUMIFS(表格1[QTY],表格1[Model],三國演義!$BK$12,表格1[Name],三國演義!$AA68)</f>
        <v>0</v>
      </c>
      <c r="BL68" s="77" t="e">
        <f ca="1">IF($BK68&gt;=$AJ68,$BK68*'3月Target'!$W$12,0)</f>
        <v>#N/A</v>
      </c>
      <c r="BM68" s="44">
        <f ca="1">SUMIFS(表格1[QTY],表格1[Model],三國演義!$BM$12,表格1[Name],三國演義!$E68)+SUMIFS(表格1[QTY],表格1[Model],三國演義!$BM$12,表格1[Name],三國演義!$AA68)</f>
        <v>0</v>
      </c>
      <c r="BN68" s="77" t="e">
        <f ca="1">IF($BM68&gt;=$AK68,$BM68*'3月Target'!$W$13,0)</f>
        <v>#N/A</v>
      </c>
      <c r="BO68" s="44">
        <f ca="1">SUMIFS(表格1[QTY],表格1[Model],三國演義!$BO$12,表格1[Name],三國演義!$E68)+SUMIFS(表格1[QTY],表格1[Model],三國演義!$BO$12,表格1[Name],三國演義!$AA68)</f>
        <v>0</v>
      </c>
      <c r="BP68" s="77" t="e">
        <f ca="1">IF($BO68&gt;=$AL68,$BO68*'3月Target'!$W$14,0)</f>
        <v>#N/A</v>
      </c>
      <c r="BQ68" s="44">
        <f ca="1">SUMIFS(表格1[QTY],表格1[Model],三國演義!$BQ$12,表格1[Name],三國演義!$E68)+SUMIFS(表格1[QTY],表格1[Model],三國演義!$BQ$12,表格1[Name],三國演義!$AA68)</f>
        <v>0</v>
      </c>
      <c r="BR68" s="77" t="e">
        <f ca="1">IF($BQ68&gt;=$AM68,$BQ68*'3月Target'!$W$15,0)</f>
        <v>#N/A</v>
      </c>
      <c r="BS68" s="44">
        <f ca="1">SUMIFS(表格1[QTY],表格1[Model],三國演義!$BS$12,表格1[Name],三國演義!$E68)+SUMIFS(表格1[QTY],表格1[Model],三國演義!$BS$12,表格1[Name],三國演義!$AA68)</f>
        <v>0</v>
      </c>
      <c r="BT68" s="44">
        <f ca="1">SUMIFS(表格1[QTY],表格1[Model],三國演義!$BT$12,表格1[Name],三國演義!$E68)+SUMIFS(表格1[QTY],表格1[Model],三國演義!$BT$12,表格1[Name],三國演義!$AA68)</f>
        <v>0</v>
      </c>
      <c r="BU68" s="44">
        <f ca="1">SUMIFS(表格1[QTY],表格1[Model],三國演義!$BU$12,表格1[Name],三國演義!$E68)+SUMIFS(表格1[QTY],表格1[Model],三國演義!$BU$12,表格1[Name],三國演義!$AA68)</f>
        <v>0</v>
      </c>
      <c r="BV68" s="44">
        <f ca="1">SUMIFS(表格1[QTY],表格1[Model],三國演義!$BV$12,表格1[Name],三國演義!$E68)+SUMIFS(表格1[QTY],表格1[Model],三國演義!$BV$12,表格1[Name],三國演義!$AA68)</f>
        <v>0</v>
      </c>
      <c r="BW68" s="77" t="e">
        <f ca="1">IF((SUM($BS68:$BV68))&gt;=$AN68,SUM($BS68:$BV68)*'3月Target'!$W$16,0)</f>
        <v>#N/A</v>
      </c>
      <c r="BX68" s="44">
        <f ca="1">SUMIFS(表格1[QTY],表格1[Model],三國演義!$BX$12,表格1[Name],三國演義!$E68)+SUMIFS(表格1[QTY],表格1[Model],三國演義!$BX$12,表格1[Name],三國演義!$AA68)</f>
        <v>0</v>
      </c>
      <c r="BY68" s="77" t="e">
        <f ca="1">IF($BX68&gt;=$AO68,$BX68*'3月Target'!$W$17,0)</f>
        <v>#N/A</v>
      </c>
      <c r="BZ68" s="146">
        <f t="shared" ca="1" si="23"/>
        <v>111304</v>
      </c>
      <c r="CA68" s="77" t="e">
        <f t="shared" ca="1" si="24"/>
        <v>#N/A</v>
      </c>
      <c r="CB68" s="146">
        <f t="shared" ca="1" si="25"/>
        <v>111304</v>
      </c>
      <c r="CC68" s="77" t="e">
        <f t="shared" ca="1" si="26"/>
        <v>#N/A</v>
      </c>
    </row>
    <row r="69" spans="1:81">
      <c r="A69" s="121">
        <f ca="1">Roster!AL61*Roster!AH61+Roster!AM61*Roster!AG61+三國演義!H69+三國演義!I69+三國演義!J69</f>
        <v>3727.2</v>
      </c>
      <c r="B69" s="133">
        <v>0.02</v>
      </c>
      <c r="C69" s="66">
        <v>57</v>
      </c>
      <c r="D69" s="95" t="str">
        <f ca="1">_xlfn.XLOOKUP($E69,表格1[Name],表格1[Shop])</f>
        <v>Aeon</v>
      </c>
      <c r="E69" s="95" t="s">
        <v>1085</v>
      </c>
      <c r="F69" s="96">
        <f ca="1">SUMIF(表格1[Name],$E69,表格1[Total Amount])+SUMIF(表格1[Name],$AA69,表格1[Total Amount])</f>
        <v>66360</v>
      </c>
      <c r="G69" s="161">
        <f ca="1">SUMIF(表格1[Name],$E69,表格1[QTY])+SUMIF(表格1[Name],$AA69,表格1[QTY])</f>
        <v>50</v>
      </c>
      <c r="H69" s="96">
        <f t="shared" ca="1" si="28"/>
        <v>1327.2</v>
      </c>
      <c r="I69" s="96"/>
      <c r="J69" s="51">
        <f t="shared" si="6"/>
        <v>0</v>
      </c>
      <c r="K69" s="163"/>
      <c r="L69" s="163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60" t="str">
        <f t="shared" si="4"/>
        <v>Winnie off</v>
      </c>
      <c r="AB69" s="71" t="e">
        <f>_xlfn.XLOOKUP($E69,target[NAME],target[RC-DS10K/18K])</f>
        <v>#N/A</v>
      </c>
      <c r="AC69" s="71" t="e">
        <f>_xlfn.XLOOKUP($E69,target[NAME],target[RC-18AMXH(W)])</f>
        <v>#N/A</v>
      </c>
      <c r="AD69" s="71" t="e">
        <f>_xlfn.XLOOKUP($E69,target[NAME],target[EB-T500APW])</f>
        <v>#N/A</v>
      </c>
      <c r="AE69" s="71" t="e">
        <f>_xlfn.XLOOKUP($E69,target[NAME],target[ER-VD7000HK(XK)])</f>
        <v>#N/A</v>
      </c>
      <c r="AF69" s="71" t="e">
        <f>_xlfn.XLOOKUP($E69,target[NAME],target[TWDT21BU95])</f>
        <v>#N/A</v>
      </c>
      <c r="AG69" s="71" t="e">
        <f>_xlfn.XLOOKUP($E69,target[NAME],target[AW-Q800APH(WW)])</f>
        <v>#N/A</v>
      </c>
      <c r="AH69" s="71" t="e">
        <f>_xlfn.XLOOKUP($E69,target[NAME],target[AW-Q801APH(WW)])</f>
        <v>#N/A</v>
      </c>
      <c r="AI69" s="71" t="e">
        <f>_xlfn.XLOOKUP($E69,target[NAME],target[GR-RM469WE-PGA(B3)])</f>
        <v>#N/A</v>
      </c>
      <c r="AJ69" s="71" t="e">
        <f>_xlfn.XLOOKUP($E69,target[NAME],target[GR-RB449WE-PMA(57)])</f>
        <v>#N/A</v>
      </c>
      <c r="AK69" s="71" t="e">
        <f>_xlfn.XLOOKUP($E69,target[NAME],target[GR-RB410WE-PMA(06)])</f>
        <v>#N/A</v>
      </c>
      <c r="AL69" s="71" t="e">
        <f>_xlfn.XLOOKUP($E69,target[NAME],target[GR-RF698WI])</f>
        <v>#N/A</v>
      </c>
      <c r="AM69" s="71" t="e">
        <f>_xlfn.XLOOKUP($E69,target[NAME],target[TWP-W2265THK(W)])</f>
        <v>#N/A</v>
      </c>
      <c r="AN69" s="71" t="e">
        <f>_xlfn.XLOOKUP($E69,target[NAME],target[RAD-D200/250/300/DIA17])</f>
        <v>#N/A</v>
      </c>
      <c r="AO69" s="71" t="e">
        <f>_xlfn.XLOOKUP($E69,target[NAME],target[(Fortress ONLY)TW-T25BZU115MWH(MG) ])</f>
        <v>#N/A</v>
      </c>
      <c r="AP69" s="71" t="e">
        <f>_xlfn.XLOOKUP($E69,target[NAME],target[開門紅(三月)])</f>
        <v>#N/A</v>
      </c>
      <c r="AQ69" s="71" t="e">
        <f>_xlfn.XLOOKUP($E69,target[NAME],target[開門紅(第一季)])</f>
        <v>#N/A</v>
      </c>
      <c r="AR69" s="73">
        <f ca="1">SUMIFS(表格1[QTY],表格1[Model],三國演義!$AR$12,表格1[Name],三國演義!$E69)+SUMIFS(表格1[QTY],表格1[Model],三國演義!$AR$12,表格1[Name],三國演義!$AA69)</f>
        <v>0</v>
      </c>
      <c r="AS69" s="77" t="e">
        <f ca="1">IF($AR69&gt;=$AE69,$AR69*'3月Target'!$W$8,0)</f>
        <v>#N/A</v>
      </c>
      <c r="AT69" s="44">
        <f ca="1">SUMIFS(表格1[QTY],表格1[Model],三國演義!$AT$12,表格1[Name],三國演義!$E69)+SUMIFS(表格1[QTY],表格1[Model],三國演義!$AT$12,表格1[Name],三國演義!$AA69)</f>
        <v>0</v>
      </c>
      <c r="AU69" s="44">
        <f ca="1">SUMIFS(表格1[QTY],表格1[Model],三國演義!$AU$12,表格1[Name],三國演義!$E69)+SUMIFS(表格1[QTY],表格1[Model],三國演義!$AU$12,表格1[Name],三國演義!$AA69)</f>
        <v>0</v>
      </c>
      <c r="AV69" s="44">
        <f ca="1">SUMIFS(表格1[QTY],表格1[Model],三國演義!$AV$12,表格1[Name],三國演義!$E69)+SUMIFS(表格1[QTY],表格1[Model],三國演義!$AV$12,表格1[Name],三國演義!$AA69)</f>
        <v>0</v>
      </c>
      <c r="AW69" s="44">
        <f ca="1">SUMIFS(表格1[QTY],表格1[Model],三國演義!$AW$12,表格1[Name],三國演義!$E69)+SUMIFS(表格1[QTY],表格1[Model],三國演義!$AW$12,表格1[Name],三國演義!$AA69)</f>
        <v>0</v>
      </c>
      <c r="AX69" s="50" t="e">
        <f ca="1">IF((SUM($AT69:$AW69))&gt;=$AB69,SUM($AT69:$AW69)*'3月Target'!$W$5,0)</f>
        <v>#N/A</v>
      </c>
      <c r="AY69" s="44">
        <f ca="1">SUMIFS(表格1[QTY],表格1[Model],三國演義!$AY$12,表格1[Name],三國演義!$E69)+SUMIFS(表格1[QTY],表格1[Model],三國演義!$AY$12,表格1[Name],三國演義!$AA69)</f>
        <v>0</v>
      </c>
      <c r="AZ69" s="77" t="e">
        <f ca="1">IF($AY69&gt;=$AC69,$AY69*'3月Target'!$W$6,0)</f>
        <v>#N/A</v>
      </c>
      <c r="BA69" s="44">
        <f ca="1">SUMIFS(表格1[QTY],表格1[Model],三國演義!$BA$12,表格1[Name],三國演義!$E69)+SUMIFS(表格1[QTY],表格1[Model],三國演義!$BA$12,表格1[Name],三國演義!$AA69)</f>
        <v>0</v>
      </c>
      <c r="BB69" s="77" t="e">
        <f ca="1">IF($BA69&gt;=$AD69,$BA69*'3月Target'!$W$7,0)</f>
        <v>#N/A</v>
      </c>
      <c r="BC69" s="44">
        <f ca="1">SUMIFS(表格1[QTY],表格1[Model],三國演義!$BC$12,表格1[Name],三國演義!$E69)+SUMIFS(表格1[QTY],表格1[Model],三國演義!$BC$12,表格1[Name],三國演義!$AA69)</f>
        <v>0</v>
      </c>
      <c r="BD69" s="77" t="e">
        <f ca="1">IF($BC69&gt;=$AF69,$BC69*'3月Target'!$W$9,0)</f>
        <v>#N/A</v>
      </c>
      <c r="BE69" s="44">
        <f ca="1">SUMIFS(表格1[QTY],表格1[Model],三國演義!$BE$12,表格1[Name],三國演義!$E69)+SUMIFS(表格1[QTY],表格1[Model],三國演義!$BE$12,表格1[Name],三國演義!$AA69)</f>
        <v>0</v>
      </c>
      <c r="BF69" s="77" t="e">
        <f ca="1">IF($BE69&gt;=$AG69,$BE69*'3月Target'!$W$10,0)</f>
        <v>#N/A</v>
      </c>
      <c r="BG69" s="44">
        <f ca="1">SUMIFS(表格1[QTY],表格1[Model],三國演義!$BG$12,表格1[Name],三國演義!$E69)+SUMIFS(表格1[QTY],表格1[Model],三國演義!$BG$12,表格1[Name],三國演義!$AA69)</f>
        <v>0</v>
      </c>
      <c r="BH69" s="77" t="e">
        <f ca="1">IF($BG69&gt;=$AH69,$BG69*'3月Target'!$W$10,0)</f>
        <v>#N/A</v>
      </c>
      <c r="BI69" s="44">
        <f ca="1">SUMIFS(表格1[QTY],表格1[Model],三國演義!$BI$12,表格1[Name],三國演義!$E69)+SUMIFS(表格1[QTY],表格1[Model],三國演義!$BI$12,表格1[Name],三國演義!$AA69)</f>
        <v>0</v>
      </c>
      <c r="BJ69" s="77" t="e">
        <f ca="1">IF($BI69&gt;=$AI69,$BI69*'3月Target'!$W$11,0)</f>
        <v>#N/A</v>
      </c>
      <c r="BK69" s="44">
        <f ca="1">SUMIFS(表格1[QTY],表格1[Model],三國演義!$BK$12,表格1[Name],三國演義!$E69)+SUMIFS(表格1[QTY],表格1[Model],三國演義!$BK$12,表格1[Name],三國演義!$AA69)</f>
        <v>0</v>
      </c>
      <c r="BL69" s="77" t="e">
        <f ca="1">IF($BK69&gt;=$AJ69,$BK69*'3月Target'!$W$12,0)</f>
        <v>#N/A</v>
      </c>
      <c r="BM69" s="44">
        <f ca="1">SUMIFS(表格1[QTY],表格1[Model],三國演義!$BM$12,表格1[Name],三國演義!$E69)+SUMIFS(表格1[QTY],表格1[Model],三國演義!$BM$12,表格1[Name],三國演義!$AA69)</f>
        <v>0</v>
      </c>
      <c r="BN69" s="77" t="e">
        <f ca="1">IF($BM69&gt;=$AK69,$BM69*'3月Target'!$W$13,0)</f>
        <v>#N/A</v>
      </c>
      <c r="BO69" s="44">
        <f ca="1">SUMIFS(表格1[QTY],表格1[Model],三國演義!$BO$12,表格1[Name],三國演義!$E69)+SUMIFS(表格1[QTY],表格1[Model],三國演義!$BO$12,表格1[Name],三國演義!$AA69)</f>
        <v>0</v>
      </c>
      <c r="BP69" s="77" t="e">
        <f ca="1">IF($BO69&gt;=$AL69,$BO69*'3月Target'!$W$14,0)</f>
        <v>#N/A</v>
      </c>
      <c r="BQ69" s="44">
        <f ca="1">SUMIFS(表格1[QTY],表格1[Model],三國演義!$BQ$12,表格1[Name],三國演義!$E69)+SUMIFS(表格1[QTY],表格1[Model],三國演義!$BQ$12,表格1[Name],三國演義!$AA69)</f>
        <v>0</v>
      </c>
      <c r="BR69" s="77" t="e">
        <f ca="1">IF($BQ69&gt;=$AM69,$BQ69*'3月Target'!$W$15,0)</f>
        <v>#N/A</v>
      </c>
      <c r="BS69" s="44">
        <f ca="1">SUMIFS(表格1[QTY],表格1[Model],三國演義!$BS$12,表格1[Name],三國演義!$E69)+SUMIFS(表格1[QTY],表格1[Model],三國演義!$BS$12,表格1[Name],三國演義!$AA69)</f>
        <v>0</v>
      </c>
      <c r="BT69" s="44">
        <f ca="1">SUMIFS(表格1[QTY],表格1[Model],三國演義!$BT$12,表格1[Name],三國演義!$E69)+SUMIFS(表格1[QTY],表格1[Model],三國演義!$BT$12,表格1[Name],三國演義!$AA69)</f>
        <v>0</v>
      </c>
      <c r="BU69" s="44">
        <f ca="1">SUMIFS(表格1[QTY],表格1[Model],三國演義!$BU$12,表格1[Name],三國演義!$E69)+SUMIFS(表格1[QTY],表格1[Model],三國演義!$BU$12,表格1[Name],三國演義!$AA69)</f>
        <v>0</v>
      </c>
      <c r="BV69" s="44">
        <f ca="1">SUMIFS(表格1[QTY],表格1[Model],三國演義!$BV$12,表格1[Name],三國演義!$E69)+SUMIFS(表格1[QTY],表格1[Model],三國演義!$BV$12,表格1[Name],三國演義!$AA69)</f>
        <v>0</v>
      </c>
      <c r="BW69" s="77" t="e">
        <f ca="1">IF((SUM($BS69:$BV69))&gt;=$AN69,SUM($BS69:$BV69)*'3月Target'!$W$16,0)</f>
        <v>#N/A</v>
      </c>
      <c r="BX69" s="44">
        <f ca="1">SUMIFS(表格1[QTY],表格1[Model],三國演義!$BX$12,表格1[Name],三國演義!$E69)+SUMIFS(表格1[QTY],表格1[Model],三國演義!$BX$12,表格1[Name],三國演義!$AA69)</f>
        <v>0</v>
      </c>
      <c r="BY69" s="77" t="e">
        <f ca="1">IF($BX69&gt;=$AO69,$BX69*'3月Target'!$W$17,0)</f>
        <v>#N/A</v>
      </c>
      <c r="BZ69" s="146">
        <f t="shared" ca="1" si="23"/>
        <v>66360</v>
      </c>
      <c r="CA69" s="77" t="e">
        <f t="shared" ca="1" si="24"/>
        <v>#N/A</v>
      </c>
      <c r="CB69" s="146">
        <f t="shared" ca="1" si="25"/>
        <v>66360</v>
      </c>
      <c r="CC69" s="77" t="e">
        <f t="shared" ca="1" si="26"/>
        <v>#N/A</v>
      </c>
    </row>
    <row r="70" spans="1:81">
      <c r="A70" s="121">
        <f ca="1">Roster!AL62*Roster!AH62+Roster!AM62*Roster!AG62+三國演義!H70+三國演義!I70+三國演義!J70</f>
        <v>3980.2799999999997</v>
      </c>
      <c r="B70" s="133">
        <v>0.02</v>
      </c>
      <c r="C70" s="66">
        <v>58</v>
      </c>
      <c r="D70" s="95" t="str">
        <f ca="1">_xlfn.XLOOKUP($E70,表格1[Name],表格1[Shop])</f>
        <v>Aeon</v>
      </c>
      <c r="E70" s="95" t="s">
        <v>1082</v>
      </c>
      <c r="F70" s="96">
        <f ca="1">SUMIF(表格1[Name],$E70,表格1[Total Amount])+SUMIF(表格1[Name],$AA70,表格1[Total Amount])</f>
        <v>79014</v>
      </c>
      <c r="G70" s="161">
        <f ca="1">SUMIF(表格1[Name],$E70,表格1[QTY])+SUMIF(表格1[Name],$AA70,表格1[QTY])</f>
        <v>71</v>
      </c>
      <c r="H70" s="96">
        <f t="shared" ca="1" si="28"/>
        <v>1580.28</v>
      </c>
      <c r="I70" s="96"/>
      <c r="J70" s="51">
        <f t="shared" si="6"/>
        <v>0</v>
      </c>
      <c r="K70" s="163"/>
      <c r="L70" s="163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60" t="str">
        <f t="shared" si="4"/>
        <v>Wendy Lau off</v>
      </c>
      <c r="AB70" s="71" t="e">
        <f>_xlfn.XLOOKUP($E70,target[NAME],target[RC-DS10K/18K])</f>
        <v>#N/A</v>
      </c>
      <c r="AC70" s="71" t="e">
        <f>_xlfn.XLOOKUP($E70,target[NAME],target[RC-18AMXH(W)])</f>
        <v>#N/A</v>
      </c>
      <c r="AD70" s="71" t="e">
        <f>_xlfn.XLOOKUP($E70,target[NAME],target[EB-T500APW])</f>
        <v>#N/A</v>
      </c>
      <c r="AE70" s="71" t="e">
        <f>_xlfn.XLOOKUP($E70,target[NAME],target[ER-VD7000HK(XK)])</f>
        <v>#N/A</v>
      </c>
      <c r="AF70" s="71" t="e">
        <f>_xlfn.XLOOKUP($E70,target[NAME],target[TWDT21BU95])</f>
        <v>#N/A</v>
      </c>
      <c r="AG70" s="71" t="e">
        <f>_xlfn.XLOOKUP($E70,target[NAME],target[AW-Q800APH(WW)])</f>
        <v>#N/A</v>
      </c>
      <c r="AH70" s="71" t="e">
        <f>_xlfn.XLOOKUP($E70,target[NAME],target[AW-Q801APH(WW)])</f>
        <v>#N/A</v>
      </c>
      <c r="AI70" s="71" t="e">
        <f>_xlfn.XLOOKUP($E70,target[NAME],target[GR-RM469WE-PGA(B3)])</f>
        <v>#N/A</v>
      </c>
      <c r="AJ70" s="71" t="e">
        <f>_xlfn.XLOOKUP($E70,target[NAME],target[GR-RB449WE-PMA(57)])</f>
        <v>#N/A</v>
      </c>
      <c r="AK70" s="71" t="e">
        <f>_xlfn.XLOOKUP($E70,target[NAME],target[GR-RB410WE-PMA(06)])</f>
        <v>#N/A</v>
      </c>
      <c r="AL70" s="71" t="e">
        <f>_xlfn.XLOOKUP($E70,target[NAME],target[GR-RF698WI])</f>
        <v>#N/A</v>
      </c>
      <c r="AM70" s="71" t="e">
        <f>_xlfn.XLOOKUP($E70,target[NAME],target[TWP-W2265THK(W)])</f>
        <v>#N/A</v>
      </c>
      <c r="AN70" s="71" t="e">
        <f>_xlfn.XLOOKUP($E70,target[NAME],target[RAD-D200/250/300/DIA17])</f>
        <v>#N/A</v>
      </c>
      <c r="AO70" s="71" t="e">
        <f>_xlfn.XLOOKUP($E70,target[NAME],target[(Fortress ONLY)TW-T25BZU115MWH(MG) ])</f>
        <v>#N/A</v>
      </c>
      <c r="AP70" s="71" t="e">
        <f>_xlfn.XLOOKUP($E70,target[NAME],target[開門紅(三月)])</f>
        <v>#N/A</v>
      </c>
      <c r="AQ70" s="71" t="e">
        <f>_xlfn.XLOOKUP($E70,target[NAME],target[開門紅(第一季)])</f>
        <v>#N/A</v>
      </c>
      <c r="AR70" s="73">
        <f ca="1">SUMIFS(表格1[QTY],表格1[Model],三國演義!$AR$12,表格1[Name],三國演義!$E70)+SUMIFS(表格1[QTY],表格1[Model],三國演義!$AR$12,表格1[Name],三國演義!$AA70)</f>
        <v>0</v>
      </c>
      <c r="AS70" s="77" t="e">
        <f ca="1">IF($AR70&gt;=$AE70,$AR70*'3月Target'!$W$8,0)</f>
        <v>#N/A</v>
      </c>
      <c r="AT70" s="44">
        <f ca="1">SUMIFS(表格1[QTY],表格1[Model],三國演義!$AT$12,表格1[Name],三國演義!$E70)+SUMIFS(表格1[QTY],表格1[Model],三國演義!$AT$12,表格1[Name],三國演義!$AA70)</f>
        <v>0</v>
      </c>
      <c r="AU70" s="44">
        <f ca="1">SUMIFS(表格1[QTY],表格1[Model],三國演義!$AU$12,表格1[Name],三國演義!$E70)+SUMIFS(表格1[QTY],表格1[Model],三國演義!$AU$12,表格1[Name],三國演義!$AA70)</f>
        <v>0</v>
      </c>
      <c r="AV70" s="44">
        <f ca="1">SUMIFS(表格1[QTY],表格1[Model],三國演義!$AV$12,表格1[Name],三國演義!$E70)+SUMIFS(表格1[QTY],表格1[Model],三國演義!$AV$12,表格1[Name],三國演義!$AA70)</f>
        <v>0</v>
      </c>
      <c r="AW70" s="44">
        <f ca="1">SUMIFS(表格1[QTY],表格1[Model],三國演義!$AW$12,表格1[Name],三國演義!$E70)+SUMIFS(表格1[QTY],表格1[Model],三國演義!$AW$12,表格1[Name],三國演義!$AA70)</f>
        <v>0</v>
      </c>
      <c r="AX70" s="50" t="e">
        <f ca="1">IF((SUM($AT70:$AW70))&gt;=$AB70,SUM($AT70:$AW70)*'3月Target'!$W$5,0)</f>
        <v>#N/A</v>
      </c>
      <c r="AY70" s="44">
        <f ca="1">SUMIFS(表格1[QTY],表格1[Model],三國演義!$AY$12,表格1[Name],三國演義!$E70)+SUMIFS(表格1[QTY],表格1[Model],三國演義!$AY$12,表格1[Name],三國演義!$AA70)</f>
        <v>0</v>
      </c>
      <c r="AZ70" s="77" t="e">
        <f ca="1">IF($AY70&gt;=$AC70,$AY70*'3月Target'!$W$6,0)</f>
        <v>#N/A</v>
      </c>
      <c r="BA70" s="44">
        <f ca="1">SUMIFS(表格1[QTY],表格1[Model],三國演義!$BA$12,表格1[Name],三國演義!$E70)+SUMIFS(表格1[QTY],表格1[Model],三國演義!$BA$12,表格1[Name],三國演義!$AA70)</f>
        <v>0</v>
      </c>
      <c r="BB70" s="77" t="e">
        <f ca="1">IF($BA70&gt;=$AD70,$BA70*'3月Target'!$W$7,0)</f>
        <v>#N/A</v>
      </c>
      <c r="BC70" s="44">
        <f ca="1">SUMIFS(表格1[QTY],表格1[Model],三國演義!$BC$12,表格1[Name],三國演義!$E70)+SUMIFS(表格1[QTY],表格1[Model],三國演義!$BC$12,表格1[Name],三國演義!$AA70)</f>
        <v>0</v>
      </c>
      <c r="BD70" s="77" t="e">
        <f ca="1">IF($BC70&gt;=$AF70,$BC70*'3月Target'!$W$9,0)</f>
        <v>#N/A</v>
      </c>
      <c r="BE70" s="44">
        <f ca="1">SUMIFS(表格1[QTY],表格1[Model],三國演義!$BE$12,表格1[Name],三國演義!$E70)+SUMIFS(表格1[QTY],表格1[Model],三國演義!$BE$12,表格1[Name],三國演義!$AA70)</f>
        <v>0</v>
      </c>
      <c r="BF70" s="77" t="e">
        <f ca="1">IF($BE70&gt;=$AG70,$BE70*'3月Target'!$W$10,0)</f>
        <v>#N/A</v>
      </c>
      <c r="BG70" s="44">
        <f ca="1">SUMIFS(表格1[QTY],表格1[Model],三國演義!$BG$12,表格1[Name],三國演義!$E70)+SUMIFS(表格1[QTY],表格1[Model],三國演義!$BG$12,表格1[Name],三國演義!$AA70)</f>
        <v>0</v>
      </c>
      <c r="BH70" s="77" t="e">
        <f ca="1">IF($BG70&gt;=$AH70,$BG70*'3月Target'!$W$10,0)</f>
        <v>#N/A</v>
      </c>
      <c r="BI70" s="44">
        <f ca="1">SUMIFS(表格1[QTY],表格1[Model],三國演義!$BI$12,表格1[Name],三國演義!$E70)+SUMIFS(表格1[QTY],表格1[Model],三國演義!$BI$12,表格1[Name],三國演義!$AA70)</f>
        <v>0</v>
      </c>
      <c r="BJ70" s="77" t="e">
        <f ca="1">IF($BI70&gt;=$AI70,$BI70*'3月Target'!$W$11,0)</f>
        <v>#N/A</v>
      </c>
      <c r="BK70" s="44">
        <f ca="1">SUMIFS(表格1[QTY],表格1[Model],三國演義!$BK$12,表格1[Name],三國演義!$E70)+SUMIFS(表格1[QTY],表格1[Model],三國演義!$BK$12,表格1[Name],三國演義!$AA70)</f>
        <v>0</v>
      </c>
      <c r="BL70" s="77" t="e">
        <f ca="1">IF($BK70&gt;=$AJ70,$BK70*'3月Target'!$W$12,0)</f>
        <v>#N/A</v>
      </c>
      <c r="BM70" s="44">
        <f ca="1">SUMIFS(表格1[QTY],表格1[Model],三國演義!$BM$12,表格1[Name],三國演義!$E70)+SUMIFS(表格1[QTY],表格1[Model],三國演義!$BM$12,表格1[Name],三國演義!$AA70)</f>
        <v>0</v>
      </c>
      <c r="BN70" s="77" t="e">
        <f ca="1">IF($BM70&gt;=$AK70,$BM70*'3月Target'!$W$13,0)</f>
        <v>#N/A</v>
      </c>
      <c r="BO70" s="44">
        <f ca="1">SUMIFS(表格1[QTY],表格1[Model],三國演義!$BO$12,表格1[Name],三國演義!$E70)+SUMIFS(表格1[QTY],表格1[Model],三國演義!$BO$12,表格1[Name],三國演義!$AA70)</f>
        <v>0</v>
      </c>
      <c r="BP70" s="77" t="e">
        <f ca="1">IF($BO70&gt;=$AL70,$BO70*'3月Target'!$W$14,0)</f>
        <v>#N/A</v>
      </c>
      <c r="BQ70" s="44">
        <f ca="1">SUMIFS(表格1[QTY],表格1[Model],三國演義!$BQ$12,表格1[Name],三國演義!$E70)+SUMIFS(表格1[QTY],表格1[Model],三國演義!$BQ$12,表格1[Name],三國演義!$AA70)</f>
        <v>0</v>
      </c>
      <c r="BR70" s="77" t="e">
        <f ca="1">IF($BQ70&gt;=$AM70,$BQ70*'3月Target'!$W$15,0)</f>
        <v>#N/A</v>
      </c>
      <c r="BS70" s="44">
        <f ca="1">SUMIFS(表格1[QTY],表格1[Model],三國演義!$BS$12,表格1[Name],三國演義!$E70)+SUMIFS(表格1[QTY],表格1[Model],三國演義!$BS$12,表格1[Name],三國演義!$AA70)</f>
        <v>0</v>
      </c>
      <c r="BT70" s="44">
        <f ca="1">SUMIFS(表格1[QTY],表格1[Model],三國演義!$BT$12,表格1[Name],三國演義!$E70)+SUMIFS(表格1[QTY],表格1[Model],三國演義!$BT$12,表格1[Name],三國演義!$AA70)</f>
        <v>0</v>
      </c>
      <c r="BU70" s="44">
        <f ca="1">SUMIFS(表格1[QTY],表格1[Model],三國演義!$BU$12,表格1[Name],三國演義!$E70)+SUMIFS(表格1[QTY],表格1[Model],三國演義!$BU$12,表格1[Name],三國演義!$AA70)</f>
        <v>0</v>
      </c>
      <c r="BV70" s="44">
        <f ca="1">SUMIFS(表格1[QTY],表格1[Model],三國演義!$BV$12,表格1[Name],三國演義!$E70)+SUMIFS(表格1[QTY],表格1[Model],三國演義!$BV$12,表格1[Name],三國演義!$AA70)</f>
        <v>0</v>
      </c>
      <c r="BW70" s="77" t="e">
        <f ca="1">IF((SUM($BS70:$BV70))&gt;=$AN70,SUM($BS70:$BV70)*'3月Target'!$W$16,0)</f>
        <v>#N/A</v>
      </c>
      <c r="BX70" s="44">
        <f ca="1">SUMIFS(表格1[QTY],表格1[Model],三國演義!$BX$12,表格1[Name],三國演義!$E70)+SUMIFS(表格1[QTY],表格1[Model],三國演義!$BX$12,表格1[Name],三國演義!$AA70)</f>
        <v>0</v>
      </c>
      <c r="BY70" s="77" t="e">
        <f ca="1">IF($BX70&gt;=$AO70,$BX70*'3月Target'!$W$17,0)</f>
        <v>#N/A</v>
      </c>
      <c r="BZ70" s="146">
        <f t="shared" ca="1" si="23"/>
        <v>79014</v>
      </c>
      <c r="CA70" s="77" t="e">
        <f t="shared" ca="1" si="24"/>
        <v>#N/A</v>
      </c>
      <c r="CB70" s="146">
        <f t="shared" ca="1" si="25"/>
        <v>79014</v>
      </c>
      <c r="CC70" s="77" t="e">
        <f t="shared" ca="1" si="26"/>
        <v>#N/A</v>
      </c>
    </row>
    <row r="71" spans="1:81">
      <c r="A71" s="121">
        <f ca="1">Roster!AL63*Roster!AH63+Roster!AM63*Roster!AG63+三國演義!H71+三國演義!I71+三國演義!J71</f>
        <v>11982.24</v>
      </c>
      <c r="B71" s="133">
        <v>0.02</v>
      </c>
      <c r="C71" s="66">
        <v>59</v>
      </c>
      <c r="D71" s="95" t="str">
        <f ca="1">_xlfn.XLOOKUP($E71,表格1[Name],表格1[Shop])</f>
        <v>Aeon</v>
      </c>
      <c r="E71" s="95" t="s">
        <v>912</v>
      </c>
      <c r="F71" s="96">
        <f ca="1">SUMIF(表格1[Name],$E71,表格1[Total Amount])+SUMIF(表格1[Name],$AA71,表格1[Total Amount])</f>
        <v>287112</v>
      </c>
      <c r="G71" s="161">
        <f ca="1">SUMIF(表格1[Name],$E71,表格1[QTY])+SUMIF(表格1[Name],$AA71,表格1[QTY])</f>
        <v>211</v>
      </c>
      <c r="H71" s="96">
        <f t="shared" ca="1" si="28"/>
        <v>5742.24</v>
      </c>
      <c r="I71" s="96"/>
      <c r="J71" s="51">
        <f t="shared" si="6"/>
        <v>0</v>
      </c>
      <c r="K71" s="163"/>
      <c r="L71" s="163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60" t="str">
        <f t="shared" si="4"/>
        <v>Me off</v>
      </c>
      <c r="AB71" s="71" t="e">
        <f>_xlfn.XLOOKUP($E71,target[NAME],target[RC-DS10K/18K])</f>
        <v>#N/A</v>
      </c>
      <c r="AC71" s="71" t="e">
        <f>_xlfn.XLOOKUP($E71,target[NAME],target[RC-18AMXH(W)])</f>
        <v>#N/A</v>
      </c>
      <c r="AD71" s="71" t="e">
        <f>_xlfn.XLOOKUP($E71,target[NAME],target[EB-T500APW])</f>
        <v>#N/A</v>
      </c>
      <c r="AE71" s="71" t="e">
        <f>_xlfn.XLOOKUP($E71,target[NAME],target[ER-VD7000HK(XK)])</f>
        <v>#N/A</v>
      </c>
      <c r="AF71" s="71" t="e">
        <f>_xlfn.XLOOKUP($E71,target[NAME],target[TWDT21BU95])</f>
        <v>#N/A</v>
      </c>
      <c r="AG71" s="71" t="e">
        <f>_xlfn.XLOOKUP($E71,target[NAME],target[AW-Q800APH(WW)])</f>
        <v>#N/A</v>
      </c>
      <c r="AH71" s="71" t="e">
        <f>_xlfn.XLOOKUP($E71,target[NAME],target[AW-Q801APH(WW)])</f>
        <v>#N/A</v>
      </c>
      <c r="AI71" s="71" t="e">
        <f>_xlfn.XLOOKUP($E71,target[NAME],target[GR-RM469WE-PGA(B3)])</f>
        <v>#N/A</v>
      </c>
      <c r="AJ71" s="71" t="e">
        <f>_xlfn.XLOOKUP($E71,target[NAME],target[GR-RB449WE-PMA(57)])</f>
        <v>#N/A</v>
      </c>
      <c r="AK71" s="71" t="e">
        <f>_xlfn.XLOOKUP($E71,target[NAME],target[GR-RB410WE-PMA(06)])</f>
        <v>#N/A</v>
      </c>
      <c r="AL71" s="71" t="e">
        <f>_xlfn.XLOOKUP($E71,target[NAME],target[GR-RF698WI])</f>
        <v>#N/A</v>
      </c>
      <c r="AM71" s="71" t="e">
        <f>_xlfn.XLOOKUP($E71,target[NAME],target[TWP-W2265THK(W)])</f>
        <v>#N/A</v>
      </c>
      <c r="AN71" s="71" t="e">
        <f>_xlfn.XLOOKUP($E71,target[NAME],target[RAD-D200/250/300/DIA17])</f>
        <v>#N/A</v>
      </c>
      <c r="AO71" s="71" t="e">
        <f>_xlfn.XLOOKUP($E71,target[NAME],target[(Fortress ONLY)TW-T25BZU115MWH(MG) ])</f>
        <v>#N/A</v>
      </c>
      <c r="AP71" s="71" t="e">
        <f>_xlfn.XLOOKUP($E71,target[NAME],target[開門紅(三月)])</f>
        <v>#N/A</v>
      </c>
      <c r="AQ71" s="71" t="e">
        <f>_xlfn.XLOOKUP($E71,target[NAME],target[開門紅(第一季)])</f>
        <v>#N/A</v>
      </c>
      <c r="AR71" s="73">
        <f ca="1">SUMIFS(表格1[QTY],表格1[Model],三國演義!$AR$12,表格1[Name],三國演義!$E71)+SUMIFS(表格1[QTY],表格1[Model],三國演義!$AR$12,表格1[Name],三國演義!$AA71)</f>
        <v>0</v>
      </c>
      <c r="AS71" s="77" t="e">
        <f ca="1">IF($AR71&gt;=$AE71,$AR71*'3月Target'!$W$8,0)</f>
        <v>#N/A</v>
      </c>
      <c r="AT71" s="44">
        <f ca="1">SUMIFS(表格1[QTY],表格1[Model],三國演義!$AT$12,表格1[Name],三國演義!$E71)+SUMIFS(表格1[QTY],表格1[Model],三國演義!$AT$12,表格1[Name],三國演義!$AA71)</f>
        <v>0</v>
      </c>
      <c r="AU71" s="44">
        <f ca="1">SUMIFS(表格1[QTY],表格1[Model],三國演義!$AU$12,表格1[Name],三國演義!$E71)+SUMIFS(表格1[QTY],表格1[Model],三國演義!$AU$12,表格1[Name],三國演義!$AA71)</f>
        <v>0</v>
      </c>
      <c r="AV71" s="44">
        <f ca="1">SUMIFS(表格1[QTY],表格1[Model],三國演義!$AV$12,表格1[Name],三國演義!$E71)+SUMIFS(表格1[QTY],表格1[Model],三國演義!$AV$12,表格1[Name],三國演義!$AA71)</f>
        <v>0</v>
      </c>
      <c r="AW71" s="44">
        <f ca="1">SUMIFS(表格1[QTY],表格1[Model],三國演義!$AW$12,表格1[Name],三國演義!$E71)+SUMIFS(表格1[QTY],表格1[Model],三國演義!$AW$12,表格1[Name],三國演義!$AA71)</f>
        <v>0</v>
      </c>
      <c r="AX71" s="50" t="e">
        <f ca="1">IF((SUM($AT71:$AW71))&gt;=$AB71,SUM($AT71:$AW71)*'3月Target'!$W$5,0)</f>
        <v>#N/A</v>
      </c>
      <c r="AY71" s="44">
        <f ca="1">SUMIFS(表格1[QTY],表格1[Model],三國演義!$AY$12,表格1[Name],三國演義!$E71)+SUMIFS(表格1[QTY],表格1[Model],三國演義!$AY$12,表格1[Name],三國演義!$AA71)</f>
        <v>0</v>
      </c>
      <c r="AZ71" s="77" t="e">
        <f ca="1">IF($AY71&gt;=$AC71,$AY71*'3月Target'!$W$6,0)</f>
        <v>#N/A</v>
      </c>
      <c r="BA71" s="44">
        <f ca="1">SUMIFS(表格1[QTY],表格1[Model],三國演義!$BA$12,表格1[Name],三國演義!$E71)+SUMIFS(表格1[QTY],表格1[Model],三國演義!$BA$12,表格1[Name],三國演義!$AA71)</f>
        <v>0</v>
      </c>
      <c r="BB71" s="77" t="e">
        <f ca="1">IF($BA71&gt;=$AD71,$BA71*'3月Target'!$W$7,0)</f>
        <v>#N/A</v>
      </c>
      <c r="BC71" s="44">
        <f ca="1">SUMIFS(表格1[QTY],表格1[Model],三國演義!$BC$12,表格1[Name],三國演義!$E71)+SUMIFS(表格1[QTY],表格1[Model],三國演義!$BC$12,表格1[Name],三國演義!$AA71)</f>
        <v>0</v>
      </c>
      <c r="BD71" s="77" t="e">
        <f ca="1">IF($BC71&gt;=$AF71,$BC71*'3月Target'!$W$9,0)</f>
        <v>#N/A</v>
      </c>
      <c r="BE71" s="44">
        <f ca="1">SUMIFS(表格1[QTY],表格1[Model],三國演義!$BE$12,表格1[Name],三國演義!$E71)+SUMIFS(表格1[QTY],表格1[Model],三國演義!$BE$12,表格1[Name],三國演義!$AA71)</f>
        <v>0</v>
      </c>
      <c r="BF71" s="77" t="e">
        <f ca="1">IF($BE71&gt;=$AG71,$BE71*'3月Target'!$W$10,0)</f>
        <v>#N/A</v>
      </c>
      <c r="BG71" s="44">
        <f ca="1">SUMIFS(表格1[QTY],表格1[Model],三國演義!$BG$12,表格1[Name],三國演義!$E71)+SUMIFS(表格1[QTY],表格1[Model],三國演義!$BG$12,表格1[Name],三國演義!$AA71)</f>
        <v>0</v>
      </c>
      <c r="BH71" s="77" t="e">
        <f ca="1">IF($BG71&gt;=$AH71,$BG71*'3月Target'!$W$10,0)</f>
        <v>#N/A</v>
      </c>
      <c r="BI71" s="44">
        <f ca="1">SUMIFS(表格1[QTY],表格1[Model],三國演義!$BI$12,表格1[Name],三國演義!$E71)+SUMIFS(表格1[QTY],表格1[Model],三國演義!$BI$12,表格1[Name],三國演義!$AA71)</f>
        <v>0</v>
      </c>
      <c r="BJ71" s="77" t="e">
        <f ca="1">IF($BI71&gt;=$AI71,$BI71*'3月Target'!$W$11,0)</f>
        <v>#N/A</v>
      </c>
      <c r="BK71" s="44">
        <f ca="1">SUMIFS(表格1[QTY],表格1[Model],三國演義!$BK$12,表格1[Name],三國演義!$E71)+SUMIFS(表格1[QTY],表格1[Model],三國演義!$BK$12,表格1[Name],三國演義!$AA71)</f>
        <v>0</v>
      </c>
      <c r="BL71" s="77" t="e">
        <f ca="1">IF($BK71&gt;=$AJ71,$BK71*'3月Target'!$W$12,0)</f>
        <v>#N/A</v>
      </c>
      <c r="BM71" s="44">
        <f ca="1">SUMIFS(表格1[QTY],表格1[Model],三國演義!$BM$12,表格1[Name],三國演義!$E71)+SUMIFS(表格1[QTY],表格1[Model],三國演義!$BM$12,表格1[Name],三國演義!$AA71)</f>
        <v>0</v>
      </c>
      <c r="BN71" s="77" t="e">
        <f ca="1">IF($BM71&gt;=$AK71,$BM71*'3月Target'!$W$13,0)</f>
        <v>#N/A</v>
      </c>
      <c r="BO71" s="44">
        <f ca="1">SUMIFS(表格1[QTY],表格1[Model],三國演義!$BO$12,表格1[Name],三國演義!$E71)+SUMIFS(表格1[QTY],表格1[Model],三國演義!$BO$12,表格1[Name],三國演義!$AA71)</f>
        <v>0</v>
      </c>
      <c r="BP71" s="77" t="e">
        <f ca="1">IF($BO71&gt;=$AL71,$BO71*'3月Target'!$W$14,0)</f>
        <v>#N/A</v>
      </c>
      <c r="BQ71" s="44">
        <f ca="1">SUMIFS(表格1[QTY],表格1[Model],三國演義!$BQ$12,表格1[Name],三國演義!$E71)+SUMIFS(表格1[QTY],表格1[Model],三國演義!$BQ$12,表格1[Name],三國演義!$AA71)</f>
        <v>0</v>
      </c>
      <c r="BR71" s="77" t="e">
        <f ca="1">IF($BQ71&gt;=$AM71,$BQ71*'3月Target'!$W$15,0)</f>
        <v>#N/A</v>
      </c>
      <c r="BS71" s="44">
        <f ca="1">SUMIFS(表格1[QTY],表格1[Model],三國演義!$BS$12,表格1[Name],三國演義!$E71)+SUMIFS(表格1[QTY],表格1[Model],三國演義!$BS$12,表格1[Name],三國演義!$AA71)</f>
        <v>0</v>
      </c>
      <c r="BT71" s="44">
        <f ca="1">SUMIFS(表格1[QTY],表格1[Model],三國演義!$BT$12,表格1[Name],三國演義!$E71)+SUMIFS(表格1[QTY],表格1[Model],三國演義!$BT$12,表格1[Name],三國演義!$AA71)</f>
        <v>0</v>
      </c>
      <c r="BU71" s="44">
        <f ca="1">SUMIFS(表格1[QTY],表格1[Model],三國演義!$BU$12,表格1[Name],三國演義!$E71)+SUMIFS(表格1[QTY],表格1[Model],三國演義!$BU$12,表格1[Name],三國演義!$AA71)</f>
        <v>0</v>
      </c>
      <c r="BV71" s="44">
        <f ca="1">SUMIFS(表格1[QTY],表格1[Model],三國演義!$BV$12,表格1[Name],三國演義!$E71)+SUMIFS(表格1[QTY],表格1[Model],三國演義!$BV$12,表格1[Name],三國演義!$AA71)</f>
        <v>0</v>
      </c>
      <c r="BW71" s="77" t="e">
        <f ca="1">IF((SUM($BS71:$BV71))&gt;=$AN71,SUM($BS71:$BV71)*'3月Target'!$W$16,0)</f>
        <v>#N/A</v>
      </c>
      <c r="BX71" s="44">
        <f ca="1">SUMIFS(表格1[QTY],表格1[Model],三國演義!$BX$12,表格1[Name],三國演義!$E71)+SUMIFS(表格1[QTY],表格1[Model],三國演義!$BX$12,表格1[Name],三國演義!$AA71)</f>
        <v>0</v>
      </c>
      <c r="BY71" s="77" t="e">
        <f ca="1">IF($BX71&gt;=$AO71,$BX71*'3月Target'!$W$17,0)</f>
        <v>#N/A</v>
      </c>
      <c r="BZ71" s="146">
        <f t="shared" ca="1" si="23"/>
        <v>287112</v>
      </c>
      <c r="CA71" s="77" t="e">
        <f t="shared" ca="1" si="24"/>
        <v>#N/A</v>
      </c>
      <c r="CB71" s="146">
        <f t="shared" ca="1" si="25"/>
        <v>287112</v>
      </c>
      <c r="CC71" s="77" t="e">
        <f t="shared" ca="1" si="26"/>
        <v>#N/A</v>
      </c>
    </row>
    <row r="72" spans="1:81">
      <c r="A72" s="121">
        <f ca="1">Roster!AL64*Roster!AH64+Roster!AM64*Roster!AG64+三國演義!H72+三國演義!I72+三國演義!J72</f>
        <v>2611.7600000000002</v>
      </c>
      <c r="C72" s="66">
        <v>60</v>
      </c>
      <c r="D72" s="95" t="str">
        <f ca="1">_xlfn.XLOOKUP($E72,表格1[Name],表格1[Shop])</f>
        <v>Aeon</v>
      </c>
      <c r="E72" s="95" t="s">
        <v>1114</v>
      </c>
      <c r="F72" s="96">
        <f ca="1">SUMIF(表格1[Name],$E72,表格1[Total Amount])+SUMIF(表格1[Name],$AA72,表格1[Total Amount])</f>
        <v>10588</v>
      </c>
      <c r="G72" s="161">
        <f ca="1">SUMIF(表格1[Name],$E72,表格1[QTY])+SUMIF(表格1[Name],$AA72,表格1[QTY])</f>
        <v>7</v>
      </c>
      <c r="H72" s="96">
        <f t="shared" ref="H72:H73" ca="1" si="29">F72*2%</f>
        <v>211.76</v>
      </c>
      <c r="I72" s="96"/>
      <c r="J72" s="51">
        <f t="shared" si="6"/>
        <v>0</v>
      </c>
      <c r="K72" s="163"/>
      <c r="L72" s="163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60" t="str">
        <f t="shared" si="4"/>
        <v>Pinky off</v>
      </c>
      <c r="AB72" s="71" t="e">
        <f>_xlfn.XLOOKUP($E72,target[NAME],target[RC-DS10K/18K])</f>
        <v>#N/A</v>
      </c>
      <c r="AC72" s="71" t="e">
        <f>_xlfn.XLOOKUP($E72,target[NAME],target[RC-18AMXH(W)])</f>
        <v>#N/A</v>
      </c>
      <c r="AD72" s="71" t="e">
        <f>_xlfn.XLOOKUP($E72,target[NAME],target[EB-T500APW])</f>
        <v>#N/A</v>
      </c>
      <c r="AE72" s="71" t="e">
        <f>_xlfn.XLOOKUP($E72,target[NAME],target[ER-VD7000HK(XK)])</f>
        <v>#N/A</v>
      </c>
      <c r="AF72" s="71" t="e">
        <f>_xlfn.XLOOKUP($E72,target[NAME],target[TWDT21BU95])</f>
        <v>#N/A</v>
      </c>
      <c r="AG72" s="71" t="e">
        <f>_xlfn.XLOOKUP($E72,target[NAME],target[AW-Q800APH(WW)])</f>
        <v>#N/A</v>
      </c>
      <c r="AH72" s="71" t="e">
        <f>_xlfn.XLOOKUP($E72,target[NAME],target[AW-Q801APH(WW)])</f>
        <v>#N/A</v>
      </c>
      <c r="AI72" s="71" t="e">
        <f>_xlfn.XLOOKUP($E72,target[NAME],target[GR-RM469WE-PGA(B3)])</f>
        <v>#N/A</v>
      </c>
      <c r="AJ72" s="71" t="e">
        <f>_xlfn.XLOOKUP($E72,target[NAME],target[GR-RB449WE-PMA(57)])</f>
        <v>#N/A</v>
      </c>
      <c r="AK72" s="71" t="e">
        <f>_xlfn.XLOOKUP($E72,target[NAME],target[GR-RB410WE-PMA(06)])</f>
        <v>#N/A</v>
      </c>
      <c r="AL72" s="71" t="e">
        <f>_xlfn.XLOOKUP($E72,target[NAME],target[GR-RF698WI])</f>
        <v>#N/A</v>
      </c>
      <c r="AM72" s="71" t="e">
        <f>_xlfn.XLOOKUP($E72,target[NAME],target[TWP-W2265THK(W)])</f>
        <v>#N/A</v>
      </c>
      <c r="AN72" s="71" t="e">
        <f>_xlfn.XLOOKUP($E72,target[NAME],target[RAD-D200/250/300/DIA17])</f>
        <v>#N/A</v>
      </c>
      <c r="AO72" s="71" t="e">
        <f>_xlfn.XLOOKUP($E72,target[NAME],target[(Fortress ONLY)TW-T25BZU115MWH(MG) ])</f>
        <v>#N/A</v>
      </c>
      <c r="AP72" s="71" t="e">
        <f>_xlfn.XLOOKUP($E72,target[NAME],target[開門紅(三月)])</f>
        <v>#N/A</v>
      </c>
      <c r="AQ72" s="71" t="e">
        <f>_xlfn.XLOOKUP($E72,target[NAME],target[開門紅(第一季)])</f>
        <v>#N/A</v>
      </c>
      <c r="AR72" s="73">
        <f ca="1">SUMIFS(表格1[QTY],表格1[Model],三國演義!$AR$12,表格1[Name],三國演義!$E72)+SUMIFS(表格1[QTY],表格1[Model],三國演義!$AR$12,表格1[Name],三國演義!$AA72)</f>
        <v>0</v>
      </c>
      <c r="AS72" s="77" t="e">
        <f ca="1">IF($AR72&gt;=$AE72,$AR72*'3月Target'!$W$8,0)</f>
        <v>#N/A</v>
      </c>
      <c r="AT72" s="44">
        <f ca="1">SUMIFS(表格1[QTY],表格1[Model],三國演義!$AT$12,表格1[Name],三國演義!$E72)+SUMIFS(表格1[QTY],表格1[Model],三國演義!$AT$12,表格1[Name],三國演義!$AA72)</f>
        <v>0</v>
      </c>
      <c r="AU72" s="44">
        <f ca="1">SUMIFS(表格1[QTY],表格1[Model],三國演義!$AU$12,表格1[Name],三國演義!$E72)+SUMIFS(表格1[QTY],表格1[Model],三國演義!$AU$12,表格1[Name],三國演義!$AA72)</f>
        <v>0</v>
      </c>
      <c r="AV72" s="44">
        <f ca="1">SUMIFS(表格1[QTY],表格1[Model],三國演義!$AV$12,表格1[Name],三國演義!$E72)+SUMIFS(表格1[QTY],表格1[Model],三國演義!$AV$12,表格1[Name],三國演義!$AA72)</f>
        <v>0</v>
      </c>
      <c r="AW72" s="44">
        <f ca="1">SUMIFS(表格1[QTY],表格1[Model],三國演義!$AW$12,表格1[Name],三國演義!$E72)+SUMIFS(表格1[QTY],表格1[Model],三國演義!$AW$12,表格1[Name],三國演義!$AA72)</f>
        <v>0</v>
      </c>
      <c r="AX72" s="50" t="e">
        <f ca="1">IF((SUM($AT72:$AW72))&gt;=$AB72,SUM($AT72:$AW72)*'3月Target'!$W$5,0)</f>
        <v>#N/A</v>
      </c>
      <c r="AY72" s="44">
        <f ca="1">SUMIFS(表格1[QTY],表格1[Model],三國演義!$AY$12,表格1[Name],三國演義!$E72)+SUMIFS(表格1[QTY],表格1[Model],三國演義!$AY$12,表格1[Name],三國演義!$AA72)</f>
        <v>0</v>
      </c>
      <c r="AZ72" s="77" t="e">
        <f ca="1">IF($AY72&gt;=$AC72,$AY72*'3月Target'!$W$6,0)</f>
        <v>#N/A</v>
      </c>
      <c r="BA72" s="44">
        <f ca="1">SUMIFS(表格1[QTY],表格1[Model],三國演義!$BA$12,表格1[Name],三國演義!$E72)+SUMIFS(表格1[QTY],表格1[Model],三國演義!$BA$12,表格1[Name],三國演義!$AA72)</f>
        <v>0</v>
      </c>
      <c r="BB72" s="77" t="e">
        <f ca="1">IF($BA72&gt;=$AD72,$BA72*'3月Target'!$W$7,0)</f>
        <v>#N/A</v>
      </c>
      <c r="BC72" s="44">
        <f ca="1">SUMIFS(表格1[QTY],表格1[Model],三國演義!$BC$12,表格1[Name],三國演義!$E72)+SUMIFS(表格1[QTY],表格1[Model],三國演義!$BC$12,表格1[Name],三國演義!$AA72)</f>
        <v>0</v>
      </c>
      <c r="BD72" s="77" t="e">
        <f ca="1">IF($BC72&gt;=$AF72,$BC72*'3月Target'!$W$9,0)</f>
        <v>#N/A</v>
      </c>
      <c r="BE72" s="44">
        <f ca="1">SUMIFS(表格1[QTY],表格1[Model],三國演義!$BE$12,表格1[Name],三國演義!$E72)+SUMIFS(表格1[QTY],表格1[Model],三國演義!$BE$12,表格1[Name],三國演義!$AA72)</f>
        <v>0</v>
      </c>
      <c r="BF72" s="77" t="e">
        <f ca="1">IF($BE72&gt;=$AG72,$BE72*'3月Target'!$W$10,0)</f>
        <v>#N/A</v>
      </c>
      <c r="BG72" s="44">
        <f ca="1">SUMIFS(表格1[QTY],表格1[Model],三國演義!$BG$12,表格1[Name],三國演義!$E72)+SUMIFS(表格1[QTY],表格1[Model],三國演義!$BG$12,表格1[Name],三國演義!$AA72)</f>
        <v>0</v>
      </c>
      <c r="BH72" s="77" t="e">
        <f ca="1">IF($BG72&gt;=$AH72,$BG72*'3月Target'!$W$10,0)</f>
        <v>#N/A</v>
      </c>
      <c r="BI72" s="44">
        <f ca="1">SUMIFS(表格1[QTY],表格1[Model],三國演義!$BI$12,表格1[Name],三國演義!$E72)+SUMIFS(表格1[QTY],表格1[Model],三國演義!$BI$12,表格1[Name],三國演義!$AA72)</f>
        <v>0</v>
      </c>
      <c r="BJ72" s="77" t="e">
        <f ca="1">IF($BI72&gt;=$AI72,$BI72*'3月Target'!$W$11,0)</f>
        <v>#N/A</v>
      </c>
      <c r="BK72" s="44">
        <f ca="1">SUMIFS(表格1[QTY],表格1[Model],三國演義!$BK$12,表格1[Name],三國演義!$E72)+SUMIFS(表格1[QTY],表格1[Model],三國演義!$BK$12,表格1[Name],三國演義!$AA72)</f>
        <v>0</v>
      </c>
      <c r="BL72" s="77" t="e">
        <f ca="1">IF($BK72&gt;=$AJ72,$BK72*'3月Target'!$W$12,0)</f>
        <v>#N/A</v>
      </c>
      <c r="BM72" s="44">
        <f ca="1">SUMIFS(表格1[QTY],表格1[Model],三國演義!$BM$12,表格1[Name],三國演義!$E72)+SUMIFS(表格1[QTY],表格1[Model],三國演義!$BM$12,表格1[Name],三國演義!$AA72)</f>
        <v>0</v>
      </c>
      <c r="BN72" s="77" t="e">
        <f ca="1">IF($BM72&gt;=$AK72,$BM72*'3月Target'!$W$13,0)</f>
        <v>#N/A</v>
      </c>
      <c r="BO72" s="44">
        <f ca="1">SUMIFS(表格1[QTY],表格1[Model],三國演義!$BO$12,表格1[Name],三國演義!$E72)+SUMIFS(表格1[QTY],表格1[Model],三國演義!$BO$12,表格1[Name],三國演義!$AA72)</f>
        <v>0</v>
      </c>
      <c r="BP72" s="77" t="e">
        <f ca="1">IF($BO72&gt;=$AL72,$BO72*'3月Target'!$W$14,0)</f>
        <v>#N/A</v>
      </c>
      <c r="BQ72" s="44">
        <f ca="1">SUMIFS(表格1[QTY],表格1[Model],三國演義!$BQ$12,表格1[Name],三國演義!$E72)+SUMIFS(表格1[QTY],表格1[Model],三國演義!$BQ$12,表格1[Name],三國演義!$AA72)</f>
        <v>0</v>
      </c>
      <c r="BR72" s="77" t="e">
        <f ca="1">IF($BQ72&gt;=$AM72,$BQ72*'3月Target'!$W$15,0)</f>
        <v>#N/A</v>
      </c>
      <c r="BS72" s="44">
        <f ca="1">SUMIFS(表格1[QTY],表格1[Model],三國演義!$BS$12,表格1[Name],三國演義!$E72)+SUMIFS(表格1[QTY],表格1[Model],三國演義!$BS$12,表格1[Name],三國演義!$AA72)</f>
        <v>0</v>
      </c>
      <c r="BT72" s="44">
        <f ca="1">SUMIFS(表格1[QTY],表格1[Model],三國演義!$BT$12,表格1[Name],三國演義!$E72)+SUMIFS(表格1[QTY],表格1[Model],三國演義!$BT$12,表格1[Name],三國演義!$AA72)</f>
        <v>0</v>
      </c>
      <c r="BU72" s="44">
        <f ca="1">SUMIFS(表格1[QTY],表格1[Model],三國演義!$BU$12,表格1[Name],三國演義!$E72)+SUMIFS(表格1[QTY],表格1[Model],三國演義!$BU$12,表格1[Name],三國演義!$AA72)</f>
        <v>0</v>
      </c>
      <c r="BV72" s="44">
        <f ca="1">SUMIFS(表格1[QTY],表格1[Model],三國演義!$BV$12,表格1[Name],三國演義!$E72)+SUMIFS(表格1[QTY],表格1[Model],三國演義!$BV$12,表格1[Name],三國演義!$AA72)</f>
        <v>0</v>
      </c>
      <c r="BW72" s="77" t="e">
        <f ca="1">IF((SUM($BS72:$BV72))&gt;=$AN72,SUM($BS72:$BV72)*'3月Target'!$W$16,0)</f>
        <v>#N/A</v>
      </c>
      <c r="BX72" s="44">
        <f ca="1">SUMIFS(表格1[QTY],表格1[Model],三國演義!$BX$12,表格1[Name],三國演義!$E72)+SUMIFS(表格1[QTY],表格1[Model],三國演義!$BX$12,表格1[Name],三國演義!$AA72)</f>
        <v>0</v>
      </c>
      <c r="BY72" s="77" t="e">
        <f ca="1">IF($BX72&gt;=$AO72,$BX72*'3月Target'!$W$17,0)</f>
        <v>#N/A</v>
      </c>
      <c r="BZ72" s="146">
        <f t="shared" ca="1" si="23"/>
        <v>10588</v>
      </c>
      <c r="CA72" s="77" t="e">
        <f t="shared" ca="1" si="24"/>
        <v>#N/A</v>
      </c>
      <c r="CB72" s="146">
        <f t="shared" ca="1" si="25"/>
        <v>10588</v>
      </c>
      <c r="CC72" s="77" t="e">
        <f t="shared" ca="1" si="26"/>
        <v>#N/A</v>
      </c>
    </row>
    <row r="73" spans="1:81">
      <c r="A73" s="121">
        <f ca="1">Roster!AL65*Roster!AH65+Roster!AM65*Roster!AG65+三國演義!H73+三國演義!I73+三國演義!J73</f>
        <v>4375.4400000000005</v>
      </c>
      <c r="C73" s="66">
        <v>61</v>
      </c>
      <c r="D73" s="95" t="str">
        <f ca="1">_xlfn.XLOOKUP($E73,表格1[Name],表格1[Shop])</f>
        <v>Aeon</v>
      </c>
      <c r="E73" s="95" t="s">
        <v>1222</v>
      </c>
      <c r="F73" s="96">
        <f ca="1">SUMIF(表格1[Name],$E73,表格1[Total Amount])+SUMIF(表格1[Name],$AA73,表格1[Total Amount])</f>
        <v>88772</v>
      </c>
      <c r="G73" s="161">
        <f ca="1">SUMIF(表格1[Name],$E73,表格1[QTY])+SUMIF(表格1[Name],$AA73,表格1[QTY])</f>
        <v>55</v>
      </c>
      <c r="H73" s="96">
        <f t="shared" ca="1" si="29"/>
        <v>1775.44</v>
      </c>
      <c r="I73" s="96"/>
      <c r="J73" s="51">
        <f t="shared" si="6"/>
        <v>0</v>
      </c>
      <c r="K73" s="111"/>
      <c r="L73" s="111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60" t="str">
        <f t="shared" si="4"/>
        <v>Maggie Ho_1 off</v>
      </c>
      <c r="AB73" s="71" t="e">
        <f>_xlfn.XLOOKUP($E73,target[NAME],target[RC-DS10K/18K])</f>
        <v>#N/A</v>
      </c>
      <c r="AC73" s="71" t="e">
        <f>_xlfn.XLOOKUP($E73,target[NAME],target[RC-18AMXH(W)])</f>
        <v>#N/A</v>
      </c>
      <c r="AD73" s="71" t="e">
        <f>_xlfn.XLOOKUP($E73,target[NAME],target[EB-T500APW])</f>
        <v>#N/A</v>
      </c>
      <c r="AE73" s="71" t="e">
        <f>_xlfn.XLOOKUP($E73,target[NAME],target[ER-VD7000HK(XK)])</f>
        <v>#N/A</v>
      </c>
      <c r="AF73" s="71" t="e">
        <f>_xlfn.XLOOKUP($E73,target[NAME],target[TWDT21BU95])</f>
        <v>#N/A</v>
      </c>
      <c r="AG73" s="71" t="e">
        <f>_xlfn.XLOOKUP($E73,target[NAME],target[AW-Q800APH(WW)])</f>
        <v>#N/A</v>
      </c>
      <c r="AH73" s="71" t="e">
        <f>_xlfn.XLOOKUP($E73,target[NAME],target[AW-Q801APH(WW)])</f>
        <v>#N/A</v>
      </c>
      <c r="AI73" s="71" t="e">
        <f>_xlfn.XLOOKUP($E73,target[NAME],target[GR-RM469WE-PGA(B3)])</f>
        <v>#N/A</v>
      </c>
      <c r="AJ73" s="71" t="e">
        <f>_xlfn.XLOOKUP($E73,target[NAME],target[GR-RB449WE-PMA(57)])</f>
        <v>#N/A</v>
      </c>
      <c r="AK73" s="71" t="e">
        <f>_xlfn.XLOOKUP($E73,target[NAME],target[GR-RB410WE-PMA(06)])</f>
        <v>#N/A</v>
      </c>
      <c r="AL73" s="71" t="e">
        <f>_xlfn.XLOOKUP($E73,target[NAME],target[GR-RF698WI])</f>
        <v>#N/A</v>
      </c>
      <c r="AM73" s="71" t="e">
        <f>_xlfn.XLOOKUP($E73,target[NAME],target[TWP-W2265THK(W)])</f>
        <v>#N/A</v>
      </c>
      <c r="AN73" s="71" t="e">
        <f>_xlfn.XLOOKUP($E73,target[NAME],target[RAD-D200/250/300/DIA17])</f>
        <v>#N/A</v>
      </c>
      <c r="AO73" s="71" t="e">
        <f>_xlfn.XLOOKUP($E73,target[NAME],target[(Fortress ONLY)TW-T25BZU115MWH(MG) ])</f>
        <v>#N/A</v>
      </c>
      <c r="AP73" s="71" t="e">
        <f>_xlfn.XLOOKUP($E73,target[NAME],target[開門紅(三月)])</f>
        <v>#N/A</v>
      </c>
      <c r="AQ73" s="71" t="e">
        <f>_xlfn.XLOOKUP($E73,target[NAME],target[開門紅(第一季)])</f>
        <v>#N/A</v>
      </c>
      <c r="AR73" s="73">
        <f ca="1">SUMIFS(表格1[QTY],表格1[Model],三國演義!$AR$12,表格1[Name],三國演義!$E73)+SUMIFS(表格1[QTY],表格1[Model],三國演義!$AR$12,表格1[Name],三國演義!$AA73)</f>
        <v>0</v>
      </c>
      <c r="AS73" s="77" t="e">
        <f ca="1">IF($AR73&gt;=$AE73,$AR73*'3月Target'!$W$8,0)</f>
        <v>#N/A</v>
      </c>
      <c r="AT73" s="44">
        <f ca="1">SUMIFS(表格1[QTY],表格1[Model],三國演義!$AT$12,表格1[Name],三國演義!$E73)+SUMIFS(表格1[QTY],表格1[Model],三國演義!$AT$12,表格1[Name],三國演義!$AA73)</f>
        <v>0</v>
      </c>
      <c r="AU73" s="44">
        <f ca="1">SUMIFS(表格1[QTY],表格1[Model],三國演義!$AU$12,表格1[Name],三國演義!$E73)+SUMIFS(表格1[QTY],表格1[Model],三國演義!$AU$12,表格1[Name],三國演義!$AA73)</f>
        <v>0</v>
      </c>
      <c r="AV73" s="44">
        <f ca="1">SUMIFS(表格1[QTY],表格1[Model],三國演義!$AV$12,表格1[Name],三國演義!$E73)+SUMIFS(表格1[QTY],表格1[Model],三國演義!$AV$12,表格1[Name],三國演義!$AA73)</f>
        <v>0</v>
      </c>
      <c r="AW73" s="44">
        <f ca="1">SUMIFS(表格1[QTY],表格1[Model],三國演義!$AW$12,表格1[Name],三國演義!$E73)+SUMIFS(表格1[QTY],表格1[Model],三國演義!$AW$12,表格1[Name],三國演義!$AA73)</f>
        <v>0</v>
      </c>
      <c r="AX73" s="50" t="e">
        <f ca="1">IF((SUM($AT73:$AW73))&gt;=$AB73,SUM($AT73:$AW73)*'3月Target'!$W$5,0)</f>
        <v>#N/A</v>
      </c>
      <c r="AY73" s="44">
        <f ca="1">SUMIFS(表格1[QTY],表格1[Model],三國演義!$AY$12,表格1[Name],三國演義!$E73)+SUMIFS(表格1[QTY],表格1[Model],三國演義!$AY$12,表格1[Name],三國演義!$AA73)</f>
        <v>0</v>
      </c>
      <c r="AZ73" s="77" t="e">
        <f ca="1">IF($AY73&gt;=$AC73,$AY73*'3月Target'!$W$6,0)</f>
        <v>#N/A</v>
      </c>
      <c r="BA73" s="44">
        <f ca="1">SUMIFS(表格1[QTY],表格1[Model],三國演義!$BA$12,表格1[Name],三國演義!$E73)+SUMIFS(表格1[QTY],表格1[Model],三國演義!$BA$12,表格1[Name],三國演義!$AA73)</f>
        <v>0</v>
      </c>
      <c r="BB73" s="77" t="e">
        <f ca="1">IF($BA73&gt;=$AD73,$BA73*'3月Target'!$W$7,0)</f>
        <v>#N/A</v>
      </c>
      <c r="BC73" s="44">
        <f ca="1">SUMIFS(表格1[QTY],表格1[Model],三國演義!$BC$12,表格1[Name],三國演義!$E73)+SUMIFS(表格1[QTY],表格1[Model],三國演義!$BC$12,表格1[Name],三國演義!$AA73)</f>
        <v>0</v>
      </c>
      <c r="BD73" s="77" t="e">
        <f ca="1">IF($BC73&gt;=$AF73,$BC73*'3月Target'!$W$9,0)</f>
        <v>#N/A</v>
      </c>
      <c r="BE73" s="44">
        <f ca="1">SUMIFS(表格1[QTY],表格1[Model],三國演義!$BE$12,表格1[Name],三國演義!$E73)+SUMIFS(表格1[QTY],表格1[Model],三國演義!$BE$12,表格1[Name],三國演義!$AA73)</f>
        <v>0</v>
      </c>
      <c r="BF73" s="77" t="e">
        <f ca="1">IF($BE73&gt;=$AG73,$BE73*'3月Target'!$W$10,0)</f>
        <v>#N/A</v>
      </c>
      <c r="BG73" s="44">
        <f ca="1">SUMIFS(表格1[QTY],表格1[Model],三國演義!$BG$12,表格1[Name],三國演義!$E73)+SUMIFS(表格1[QTY],表格1[Model],三國演義!$BG$12,表格1[Name],三國演義!$AA73)</f>
        <v>0</v>
      </c>
      <c r="BH73" s="77" t="e">
        <f ca="1">IF($BG73&gt;=$AH73,$BG73*'3月Target'!$W$10,0)</f>
        <v>#N/A</v>
      </c>
      <c r="BI73" s="44">
        <f ca="1">SUMIFS(表格1[QTY],表格1[Model],三國演義!$BI$12,表格1[Name],三國演義!$E73)+SUMIFS(表格1[QTY],表格1[Model],三國演義!$BI$12,表格1[Name],三國演義!$AA73)</f>
        <v>0</v>
      </c>
      <c r="BJ73" s="77" t="e">
        <f ca="1">IF($BI73&gt;=$AI73,$BI73*'3月Target'!$W$11,0)</f>
        <v>#N/A</v>
      </c>
      <c r="BK73" s="44">
        <f ca="1">SUMIFS(表格1[QTY],表格1[Model],三國演義!$BK$12,表格1[Name],三國演義!$E73)+SUMIFS(表格1[QTY],表格1[Model],三國演義!$BK$12,表格1[Name],三國演義!$AA73)</f>
        <v>0</v>
      </c>
      <c r="BL73" s="77" t="e">
        <f ca="1">IF($BK73&gt;=$AJ73,$BK73*'3月Target'!$W$12,0)</f>
        <v>#N/A</v>
      </c>
      <c r="BM73" s="44">
        <f ca="1">SUMIFS(表格1[QTY],表格1[Model],三國演義!$BM$12,表格1[Name],三國演義!$E73)+SUMIFS(表格1[QTY],表格1[Model],三國演義!$BM$12,表格1[Name],三國演義!$AA73)</f>
        <v>0</v>
      </c>
      <c r="BN73" s="77" t="e">
        <f ca="1">IF($BM73&gt;=$AK73,$BM73*'3月Target'!$W$13,0)</f>
        <v>#N/A</v>
      </c>
      <c r="BO73" s="44">
        <f ca="1">SUMIFS(表格1[QTY],表格1[Model],三國演義!$BO$12,表格1[Name],三國演義!$E73)+SUMIFS(表格1[QTY],表格1[Model],三國演義!$BO$12,表格1[Name],三國演義!$AA73)</f>
        <v>0</v>
      </c>
      <c r="BP73" s="77" t="e">
        <f ca="1">IF($BO73&gt;=$AL73,$BO73*'3月Target'!$W$14,0)</f>
        <v>#N/A</v>
      </c>
      <c r="BQ73" s="44">
        <f ca="1">SUMIFS(表格1[QTY],表格1[Model],三國演義!$BQ$12,表格1[Name],三國演義!$E73)+SUMIFS(表格1[QTY],表格1[Model],三國演義!$BQ$12,表格1[Name],三國演義!$AA73)</f>
        <v>0</v>
      </c>
      <c r="BR73" s="77" t="e">
        <f ca="1">IF($BQ73&gt;=$AM73,$BQ73*'3月Target'!$W$15,0)</f>
        <v>#N/A</v>
      </c>
      <c r="BS73" s="44">
        <f ca="1">SUMIFS(表格1[QTY],表格1[Model],三國演義!$BS$12,表格1[Name],三國演義!$E73)+SUMIFS(表格1[QTY],表格1[Model],三國演義!$BS$12,表格1[Name],三國演義!$AA73)</f>
        <v>1</v>
      </c>
      <c r="BT73" s="44">
        <f ca="1">SUMIFS(表格1[QTY],表格1[Model],三國演義!$BT$12,表格1[Name],三國演義!$E73)+SUMIFS(表格1[QTY],表格1[Model],三國演義!$BT$12,表格1[Name],三國演義!$AA73)</f>
        <v>0</v>
      </c>
      <c r="BU73" s="44">
        <f ca="1">SUMIFS(表格1[QTY],表格1[Model],三國演義!$BU$12,表格1[Name],三國演義!$E73)+SUMIFS(表格1[QTY],表格1[Model],三國演義!$BU$12,表格1[Name],三國演義!$AA73)</f>
        <v>1</v>
      </c>
      <c r="BV73" s="44">
        <f ca="1">SUMIFS(表格1[QTY],表格1[Model],三國演義!$BV$12,表格1[Name],三國演義!$E73)+SUMIFS(表格1[QTY],表格1[Model],三國演義!$BV$12,表格1[Name],三國演義!$AA73)</f>
        <v>0</v>
      </c>
      <c r="BW73" s="77" t="e">
        <f ca="1">IF((SUM($BS73:$BV73))&gt;=$AN73,SUM($BS73:$BV73)*'3月Target'!$W$16,0)</f>
        <v>#N/A</v>
      </c>
      <c r="BX73" s="44">
        <f ca="1">SUMIFS(表格1[QTY],表格1[Model],三國演義!$BX$12,表格1[Name],三國演義!$E73)+SUMIFS(表格1[QTY],表格1[Model],三國演義!$BX$12,表格1[Name],三國演義!$AA73)</f>
        <v>0</v>
      </c>
      <c r="BY73" s="77" t="e">
        <f ca="1">IF($BX73&gt;=$AO73,$BX73*'3月Target'!$W$17,0)</f>
        <v>#N/A</v>
      </c>
      <c r="BZ73" s="146">
        <f t="shared" ca="1" si="23"/>
        <v>88772</v>
      </c>
      <c r="CA73" s="77" t="e">
        <f t="shared" ca="1" si="24"/>
        <v>#N/A</v>
      </c>
      <c r="CB73" s="146">
        <f t="shared" ca="1" si="25"/>
        <v>88772</v>
      </c>
      <c r="CC73" s="77" t="e">
        <f t="shared" ca="1" si="26"/>
        <v>#N/A</v>
      </c>
    </row>
    <row r="74" spans="1:81">
      <c r="A74" s="121">
        <f>Roster!AL66*Roster!AH66+Roster!AM66*Roster!AG66+三國演義!H74+三國演義!I74+三國演義!J74</f>
        <v>350</v>
      </c>
      <c r="C74" s="66">
        <v>62</v>
      </c>
      <c r="D74" s="95" t="e">
        <f ca="1">_xlfn.XLOOKUP($E74,表格1[Name],表格1[Shop])</f>
        <v>#N/A</v>
      </c>
      <c r="E74" s="95" t="s">
        <v>2467</v>
      </c>
      <c r="F74" s="96"/>
      <c r="G74" s="97"/>
      <c r="H74" s="96"/>
      <c r="I74" s="96"/>
      <c r="J74" s="51">
        <f t="shared" si="6"/>
        <v>0</v>
      </c>
      <c r="K74" s="111"/>
      <c r="L74" s="111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60" t="str">
        <f t="shared" si="4"/>
        <v>Eddy off</v>
      </c>
      <c r="AB74" s="71" t="e">
        <f>_xlfn.XLOOKUP($E74,target[NAME],target[RC-DS10K/18K])</f>
        <v>#N/A</v>
      </c>
      <c r="AC74" s="71" t="e">
        <f>_xlfn.XLOOKUP($E74,target[NAME],target[RC-18AMXH(W)])</f>
        <v>#N/A</v>
      </c>
      <c r="AD74" s="71" t="e">
        <f>_xlfn.XLOOKUP($E74,target[NAME],target[EB-T500APW])</f>
        <v>#N/A</v>
      </c>
      <c r="AE74" s="71" t="e">
        <f>_xlfn.XLOOKUP($E74,target[NAME],target[ER-VD7000HK(XK)])</f>
        <v>#N/A</v>
      </c>
      <c r="AF74" s="71" t="e">
        <f>_xlfn.XLOOKUP($E74,target[NAME],target[TWDT21BU95])</f>
        <v>#N/A</v>
      </c>
      <c r="AG74" s="71" t="e">
        <f>_xlfn.XLOOKUP($E74,target[NAME],target[AW-Q800APH(WW)])</f>
        <v>#N/A</v>
      </c>
      <c r="AH74" s="71" t="e">
        <f>_xlfn.XLOOKUP($E74,target[NAME],target[AW-Q801APH(WW)])</f>
        <v>#N/A</v>
      </c>
      <c r="AI74" s="71" t="e">
        <f>_xlfn.XLOOKUP($E74,target[NAME],target[GR-RM469WE-PGA(B3)])</f>
        <v>#N/A</v>
      </c>
      <c r="AJ74" s="71" t="e">
        <f>_xlfn.XLOOKUP($E74,target[NAME],target[GR-RB449WE-PMA(57)])</f>
        <v>#N/A</v>
      </c>
      <c r="AK74" s="71" t="e">
        <f>_xlfn.XLOOKUP($E74,target[NAME],target[GR-RB410WE-PMA(06)])</f>
        <v>#N/A</v>
      </c>
      <c r="AL74" s="71" t="e">
        <f>_xlfn.XLOOKUP($E74,target[NAME],target[GR-RF698WI])</f>
        <v>#N/A</v>
      </c>
      <c r="AM74" s="71" t="e">
        <f>_xlfn.XLOOKUP($E74,target[NAME],target[TWP-W2265THK(W)])</f>
        <v>#N/A</v>
      </c>
      <c r="AN74" s="71" t="e">
        <f>_xlfn.XLOOKUP($E74,target[NAME],target[RAD-D200/250/300/DIA17])</f>
        <v>#N/A</v>
      </c>
      <c r="AO74" s="71" t="e">
        <f>_xlfn.XLOOKUP($E74,target[NAME],target[(Fortress ONLY)TW-T25BZU115MWH(MG) ])</f>
        <v>#N/A</v>
      </c>
      <c r="AP74" s="71" t="e">
        <f>_xlfn.XLOOKUP($E74,target[NAME],target[開門紅(三月)])</f>
        <v>#N/A</v>
      </c>
      <c r="AQ74" s="71" t="e">
        <f>_xlfn.XLOOKUP($E74,target[NAME],target[開門紅(第一季)])</f>
        <v>#N/A</v>
      </c>
      <c r="AR74" s="73">
        <f ca="1">SUMIFS(表格1[QTY],表格1[Model],三國演義!$AR$12,表格1[Name],三國演義!$E74)+SUMIFS(表格1[QTY],表格1[Model],三國演義!$AR$12,表格1[Name],三國演義!$AA74)</f>
        <v>0</v>
      </c>
      <c r="AS74" s="77" t="e">
        <f ca="1">IF($AR74&gt;=$AE74,$AR74*'3月Target'!$W$8,0)</f>
        <v>#N/A</v>
      </c>
      <c r="AT74" s="44">
        <f ca="1">SUMIFS(表格1[QTY],表格1[Model],三國演義!$AT$12,表格1[Name],三國演義!$E74)+SUMIFS(表格1[QTY],表格1[Model],三國演義!$AT$12,表格1[Name],三國演義!$AA74)</f>
        <v>0</v>
      </c>
      <c r="AU74" s="44">
        <f ca="1">SUMIFS(表格1[QTY],表格1[Model],三國演義!$AU$12,表格1[Name],三國演義!$E74)+SUMIFS(表格1[QTY],表格1[Model],三國演義!$AU$12,表格1[Name],三國演義!$AA74)</f>
        <v>0</v>
      </c>
      <c r="AV74" s="44">
        <f ca="1">SUMIFS(表格1[QTY],表格1[Model],三國演義!$AV$12,表格1[Name],三國演義!$E74)+SUMIFS(表格1[QTY],表格1[Model],三國演義!$AV$12,表格1[Name],三國演義!$AA74)</f>
        <v>0</v>
      </c>
      <c r="AW74" s="44">
        <f ca="1">SUMIFS(表格1[QTY],表格1[Model],三國演義!$AW$12,表格1[Name],三國演義!$E74)+SUMIFS(表格1[QTY],表格1[Model],三國演義!$AW$12,表格1[Name],三國演義!$AA74)</f>
        <v>0</v>
      </c>
      <c r="AX74" s="50" t="e">
        <f ca="1">IF((SUM($AT74:$AW74))&gt;=$AB74,SUM($AT74:$AW74)*'3月Target'!$W$5,0)</f>
        <v>#N/A</v>
      </c>
      <c r="AY74" s="44">
        <f ca="1">SUMIFS(表格1[QTY],表格1[Model],三國演義!$AY$12,表格1[Name],三國演義!$E74)+SUMIFS(表格1[QTY],表格1[Model],三國演義!$AY$12,表格1[Name],三國演義!$AA74)</f>
        <v>0</v>
      </c>
      <c r="AZ74" s="77" t="e">
        <f ca="1">IF($AY74&gt;=$AC74,$AY74*'3月Target'!$W$6,0)</f>
        <v>#N/A</v>
      </c>
      <c r="BA74" s="44">
        <f ca="1">SUMIFS(表格1[QTY],表格1[Model],三國演義!$BA$12,表格1[Name],三國演義!$E74)+SUMIFS(表格1[QTY],表格1[Model],三國演義!$BA$12,表格1[Name],三國演義!$AA74)</f>
        <v>0</v>
      </c>
      <c r="BB74" s="77" t="e">
        <f ca="1">IF($BA74&gt;=$AD74,$BA74*'3月Target'!$W$7,0)</f>
        <v>#N/A</v>
      </c>
      <c r="BC74" s="44">
        <f ca="1">SUMIFS(表格1[QTY],表格1[Model],三國演義!$BC$12,表格1[Name],三國演義!$E74)+SUMIFS(表格1[QTY],表格1[Model],三國演義!$BC$12,表格1[Name],三國演義!$AA74)</f>
        <v>0</v>
      </c>
      <c r="BD74" s="77" t="e">
        <f ca="1">IF($BC74&gt;=$AF74,$BC74*'3月Target'!$W$9,0)</f>
        <v>#N/A</v>
      </c>
      <c r="BE74" s="44">
        <f ca="1">SUMIFS(表格1[QTY],表格1[Model],三國演義!$BE$12,表格1[Name],三國演義!$E74)+SUMIFS(表格1[QTY],表格1[Model],三國演義!$BE$12,表格1[Name],三國演義!$AA74)</f>
        <v>0</v>
      </c>
      <c r="BF74" s="77" t="e">
        <f ca="1">IF($BE74&gt;=$AG74,$BE74*'3月Target'!$W$10,0)</f>
        <v>#N/A</v>
      </c>
      <c r="BG74" s="44">
        <f ca="1">SUMIFS(表格1[QTY],表格1[Model],三國演義!$BG$12,表格1[Name],三國演義!$E74)+SUMIFS(表格1[QTY],表格1[Model],三國演義!$BG$12,表格1[Name],三國演義!$AA74)</f>
        <v>0</v>
      </c>
      <c r="BH74" s="77" t="e">
        <f ca="1">IF($BG74&gt;=$AH74,$BG74*'3月Target'!$W$10,0)</f>
        <v>#N/A</v>
      </c>
      <c r="BI74" s="44">
        <f ca="1">SUMIFS(表格1[QTY],表格1[Model],三國演義!$BI$12,表格1[Name],三國演義!$E74)+SUMIFS(表格1[QTY],表格1[Model],三國演義!$BI$12,表格1[Name],三國演義!$AA74)</f>
        <v>0</v>
      </c>
      <c r="BJ74" s="77" t="e">
        <f ca="1">IF($BI74&gt;=$AI74,$BI74*'3月Target'!$W$11,0)</f>
        <v>#N/A</v>
      </c>
      <c r="BK74" s="44">
        <f ca="1">SUMIFS(表格1[QTY],表格1[Model],三國演義!$BK$12,表格1[Name],三國演義!$E74)+SUMIFS(表格1[QTY],表格1[Model],三國演義!$BK$12,表格1[Name],三國演義!$AA74)</f>
        <v>0</v>
      </c>
      <c r="BL74" s="77" t="e">
        <f ca="1">IF($BK74&gt;=$AJ74,$BK74*'3月Target'!$W$12,0)</f>
        <v>#N/A</v>
      </c>
      <c r="BM74" s="44">
        <f ca="1">SUMIFS(表格1[QTY],表格1[Model],三國演義!$BM$12,表格1[Name],三國演義!$E74)+SUMIFS(表格1[QTY],表格1[Model],三國演義!$BM$12,表格1[Name],三國演義!$AA74)</f>
        <v>0</v>
      </c>
      <c r="BN74" s="77" t="e">
        <f ca="1">IF($BM74&gt;=$AK74,$BM74*'3月Target'!$W$13,0)</f>
        <v>#N/A</v>
      </c>
      <c r="BO74" s="44">
        <f ca="1">SUMIFS(表格1[QTY],表格1[Model],三國演義!$BO$12,表格1[Name],三國演義!$E74)+SUMIFS(表格1[QTY],表格1[Model],三國演義!$BO$12,表格1[Name],三國演義!$AA74)</f>
        <v>0</v>
      </c>
      <c r="BP74" s="77" t="e">
        <f ca="1">IF($BO74&gt;=$AL74,$BO74*'3月Target'!$W$14,0)</f>
        <v>#N/A</v>
      </c>
      <c r="BQ74" s="44">
        <f ca="1">SUMIFS(表格1[QTY],表格1[Model],三國演義!$BQ$12,表格1[Name],三國演義!$E74)+SUMIFS(表格1[QTY],表格1[Model],三國演義!$BQ$12,表格1[Name],三國演義!$AA74)</f>
        <v>0</v>
      </c>
      <c r="BR74" s="77" t="e">
        <f ca="1">IF($BQ74&gt;=$AM74,$BQ74*'3月Target'!$W$15,0)</f>
        <v>#N/A</v>
      </c>
      <c r="BS74" s="44">
        <f ca="1">SUMIFS(表格1[QTY],表格1[Model],三國演義!$BS$12,表格1[Name],三國演義!$E74)+SUMIFS(表格1[QTY],表格1[Model],三國演義!$BS$12,表格1[Name],三國演義!$AA74)</f>
        <v>0</v>
      </c>
      <c r="BT74" s="44">
        <f ca="1">SUMIFS(表格1[QTY],表格1[Model],三國演義!$BT$12,表格1[Name],三國演義!$E74)+SUMIFS(表格1[QTY],表格1[Model],三國演義!$BT$12,表格1[Name],三國演義!$AA74)</f>
        <v>0</v>
      </c>
      <c r="BU74" s="44">
        <f ca="1">SUMIFS(表格1[QTY],表格1[Model],三國演義!$BU$12,表格1[Name],三國演義!$E74)+SUMIFS(表格1[QTY],表格1[Model],三國演義!$BU$12,表格1[Name],三國演義!$AA74)</f>
        <v>0</v>
      </c>
      <c r="BV74" s="44">
        <f ca="1">SUMIFS(表格1[QTY],表格1[Model],三國演義!$BV$12,表格1[Name],三國演義!$E74)+SUMIFS(表格1[QTY],表格1[Model],三國演義!$BV$12,表格1[Name],三國演義!$AA74)</f>
        <v>0</v>
      </c>
      <c r="BW74" s="77" t="e">
        <f ca="1">IF((SUM($BS74:$BV74))&gt;=$AN74,SUM($BS74:$BV74)*'3月Target'!$W$16,0)</f>
        <v>#N/A</v>
      </c>
      <c r="BX74" s="44">
        <f ca="1">SUMIFS(表格1[QTY],表格1[Model],三國演義!$BX$12,表格1[Name],三國演義!$E74)+SUMIFS(表格1[QTY],表格1[Model],三國演義!$BX$12,表格1[Name],三國演義!$AA74)</f>
        <v>0</v>
      </c>
      <c r="BY74" s="77" t="e">
        <f ca="1">IF($BX74&gt;=$AO74,$BX74*'3月Target'!$W$17,0)</f>
        <v>#N/A</v>
      </c>
      <c r="BZ74" s="146">
        <f t="shared" si="23"/>
        <v>0</v>
      </c>
      <c r="CA74" s="77" t="e">
        <f t="shared" si="24"/>
        <v>#N/A</v>
      </c>
      <c r="CB74" s="146">
        <f t="shared" si="25"/>
        <v>0</v>
      </c>
      <c r="CC74" s="77" t="e">
        <f t="shared" si="26"/>
        <v>#N/A</v>
      </c>
    </row>
    <row r="75" spans="1:81">
      <c r="A75" s="121">
        <f>Roster!AL67*Roster!AH67+Roster!AM67*Roster!AG67+三國演義!H75+三國演義!I75+三國演義!J75</f>
        <v>350</v>
      </c>
      <c r="C75" s="66">
        <v>63</v>
      </c>
      <c r="D75" s="95" t="e">
        <f ca="1">_xlfn.XLOOKUP($E75,表格1[Name],表格1[Shop])</f>
        <v>#N/A</v>
      </c>
      <c r="E75" s="95" t="s">
        <v>2469</v>
      </c>
      <c r="F75" s="96"/>
      <c r="G75" s="97"/>
      <c r="H75" s="96"/>
      <c r="I75" s="96"/>
      <c r="J75" s="51">
        <f t="shared" si="6"/>
        <v>0</v>
      </c>
      <c r="K75" s="111"/>
      <c r="L75" s="111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60" t="str">
        <f t="shared" si="4"/>
        <v>Jenny off</v>
      </c>
      <c r="AB75" s="71" t="e">
        <f>_xlfn.XLOOKUP($E75,target[NAME],target[RC-DS10K/18K])</f>
        <v>#N/A</v>
      </c>
      <c r="AC75" s="71" t="e">
        <f>_xlfn.XLOOKUP($E75,target[NAME],target[RC-18AMXH(W)])</f>
        <v>#N/A</v>
      </c>
      <c r="AD75" s="71" t="e">
        <f>_xlfn.XLOOKUP($E75,target[NAME],target[EB-T500APW])</f>
        <v>#N/A</v>
      </c>
      <c r="AE75" s="71" t="e">
        <f>_xlfn.XLOOKUP($E75,target[NAME],target[ER-VD7000HK(XK)])</f>
        <v>#N/A</v>
      </c>
      <c r="AF75" s="71" t="e">
        <f>_xlfn.XLOOKUP($E75,target[NAME],target[TWDT21BU95])</f>
        <v>#N/A</v>
      </c>
      <c r="AG75" s="71" t="e">
        <f>_xlfn.XLOOKUP($E75,target[NAME],target[AW-Q800APH(WW)])</f>
        <v>#N/A</v>
      </c>
      <c r="AH75" s="71" t="e">
        <f>_xlfn.XLOOKUP($E75,target[NAME],target[AW-Q801APH(WW)])</f>
        <v>#N/A</v>
      </c>
      <c r="AI75" s="71" t="e">
        <f>_xlfn.XLOOKUP($E75,target[NAME],target[GR-RM469WE-PGA(B3)])</f>
        <v>#N/A</v>
      </c>
      <c r="AJ75" s="71" t="e">
        <f>_xlfn.XLOOKUP($E75,target[NAME],target[GR-RB449WE-PMA(57)])</f>
        <v>#N/A</v>
      </c>
      <c r="AK75" s="71" t="e">
        <f>_xlfn.XLOOKUP($E75,target[NAME],target[GR-RB410WE-PMA(06)])</f>
        <v>#N/A</v>
      </c>
      <c r="AL75" s="71" t="e">
        <f>_xlfn.XLOOKUP($E75,target[NAME],target[GR-RF698WI])</f>
        <v>#N/A</v>
      </c>
      <c r="AM75" s="71" t="e">
        <f>_xlfn.XLOOKUP($E75,target[NAME],target[TWP-W2265THK(W)])</f>
        <v>#N/A</v>
      </c>
      <c r="AN75" s="71" t="e">
        <f>_xlfn.XLOOKUP($E75,target[NAME],target[RAD-D200/250/300/DIA17])</f>
        <v>#N/A</v>
      </c>
      <c r="AO75" s="71" t="e">
        <f>_xlfn.XLOOKUP($E75,target[NAME],target[(Fortress ONLY)TW-T25BZU115MWH(MG) ])</f>
        <v>#N/A</v>
      </c>
      <c r="AP75" s="71" t="e">
        <f>_xlfn.XLOOKUP($E75,target[NAME],target[開門紅(三月)])</f>
        <v>#N/A</v>
      </c>
      <c r="AQ75" s="71" t="e">
        <f>_xlfn.XLOOKUP($E75,target[NAME],target[開門紅(第一季)])</f>
        <v>#N/A</v>
      </c>
      <c r="AR75" s="73">
        <f ca="1">SUMIFS(表格1[QTY],表格1[Model],三國演義!$AR$12,表格1[Name],三國演義!$E75)+SUMIFS(表格1[QTY],表格1[Model],三國演義!$AR$12,表格1[Name],三國演義!$AA75)</f>
        <v>0</v>
      </c>
      <c r="AS75" s="77" t="e">
        <f ca="1">IF($AR75&gt;=$AE75,$AR75*'3月Target'!$W$8,0)</f>
        <v>#N/A</v>
      </c>
      <c r="AT75" s="44">
        <f ca="1">SUMIFS(表格1[QTY],表格1[Model],三國演義!$AT$12,表格1[Name],三國演義!$E75)+SUMIFS(表格1[QTY],表格1[Model],三國演義!$AT$12,表格1[Name],三國演義!$AA75)</f>
        <v>0</v>
      </c>
      <c r="AU75" s="44">
        <f ca="1">SUMIFS(表格1[QTY],表格1[Model],三國演義!$AU$12,表格1[Name],三國演義!$E75)+SUMIFS(表格1[QTY],表格1[Model],三國演義!$AU$12,表格1[Name],三國演義!$AA75)</f>
        <v>0</v>
      </c>
      <c r="AV75" s="44">
        <f ca="1">SUMIFS(表格1[QTY],表格1[Model],三國演義!$AV$12,表格1[Name],三國演義!$E75)+SUMIFS(表格1[QTY],表格1[Model],三國演義!$AV$12,表格1[Name],三國演義!$AA75)</f>
        <v>0</v>
      </c>
      <c r="AW75" s="44">
        <f ca="1">SUMIFS(表格1[QTY],表格1[Model],三國演義!$AW$12,表格1[Name],三國演義!$E75)+SUMIFS(表格1[QTY],表格1[Model],三國演義!$AW$12,表格1[Name],三國演義!$AA75)</f>
        <v>0</v>
      </c>
      <c r="AX75" s="50" t="e">
        <f ca="1">IF((SUM($AT75:$AW75))&gt;=$AB75,SUM($AT75:$AW75)*'3月Target'!$W$5,0)</f>
        <v>#N/A</v>
      </c>
      <c r="AY75" s="44">
        <f ca="1">SUMIFS(表格1[QTY],表格1[Model],三國演義!$AY$12,表格1[Name],三國演義!$E75)+SUMIFS(表格1[QTY],表格1[Model],三國演義!$AY$12,表格1[Name],三國演義!$AA75)</f>
        <v>0</v>
      </c>
      <c r="AZ75" s="77" t="e">
        <f ca="1">IF($AY75&gt;=$AC75,$AY75*'3月Target'!$W$6,0)</f>
        <v>#N/A</v>
      </c>
      <c r="BA75" s="44">
        <f ca="1">SUMIFS(表格1[QTY],表格1[Model],三國演義!$BA$12,表格1[Name],三國演義!$E75)+SUMIFS(表格1[QTY],表格1[Model],三國演義!$BA$12,表格1[Name],三國演義!$AA75)</f>
        <v>0</v>
      </c>
      <c r="BB75" s="77" t="e">
        <f ca="1">IF($BA75&gt;=$AD75,$BA75*'3月Target'!$W$7,0)</f>
        <v>#N/A</v>
      </c>
      <c r="BC75" s="44">
        <f ca="1">SUMIFS(表格1[QTY],表格1[Model],三國演義!$BC$12,表格1[Name],三國演義!$E75)+SUMIFS(表格1[QTY],表格1[Model],三國演義!$BC$12,表格1[Name],三國演義!$AA75)</f>
        <v>0</v>
      </c>
      <c r="BD75" s="77" t="e">
        <f ca="1">IF($BC75&gt;=$AF75,$BC75*'3月Target'!$W$9,0)</f>
        <v>#N/A</v>
      </c>
      <c r="BE75" s="44">
        <f ca="1">SUMIFS(表格1[QTY],表格1[Model],三國演義!$BE$12,表格1[Name],三國演義!$E75)+SUMIFS(表格1[QTY],表格1[Model],三國演義!$BE$12,表格1[Name],三國演義!$AA75)</f>
        <v>0</v>
      </c>
      <c r="BF75" s="77" t="e">
        <f ca="1">IF($BE75&gt;=$AG75,$BE75*'3月Target'!$W$10,0)</f>
        <v>#N/A</v>
      </c>
      <c r="BG75" s="44">
        <f ca="1">SUMIFS(表格1[QTY],表格1[Model],三國演義!$BG$12,表格1[Name],三國演義!$E75)+SUMIFS(表格1[QTY],表格1[Model],三國演義!$BG$12,表格1[Name],三國演義!$AA75)</f>
        <v>0</v>
      </c>
      <c r="BH75" s="77" t="e">
        <f ca="1">IF($BG75&gt;=$AH75,$BG75*'3月Target'!$W$10,0)</f>
        <v>#N/A</v>
      </c>
      <c r="BI75" s="44">
        <f ca="1">SUMIFS(表格1[QTY],表格1[Model],三國演義!$BI$12,表格1[Name],三國演義!$E75)+SUMIFS(表格1[QTY],表格1[Model],三國演義!$BI$12,表格1[Name],三國演義!$AA75)</f>
        <v>0</v>
      </c>
      <c r="BJ75" s="77" t="e">
        <f ca="1">IF($BI75&gt;=$AI75,$BI75*'3月Target'!$W$11,0)</f>
        <v>#N/A</v>
      </c>
      <c r="BK75" s="44">
        <f ca="1">SUMIFS(表格1[QTY],表格1[Model],三國演義!$BK$12,表格1[Name],三國演義!$E75)+SUMIFS(表格1[QTY],表格1[Model],三國演義!$BK$12,表格1[Name],三國演義!$AA75)</f>
        <v>0</v>
      </c>
      <c r="BL75" s="77" t="e">
        <f ca="1">IF($BK75&gt;=$AJ75,$BK75*'3月Target'!$W$12,0)</f>
        <v>#N/A</v>
      </c>
      <c r="BM75" s="44">
        <f ca="1">SUMIFS(表格1[QTY],表格1[Model],三國演義!$BM$12,表格1[Name],三國演義!$E75)+SUMIFS(表格1[QTY],表格1[Model],三國演義!$BM$12,表格1[Name],三國演義!$AA75)</f>
        <v>0</v>
      </c>
      <c r="BN75" s="77" t="e">
        <f ca="1">IF($BM75&gt;=$AK75,$BM75*'3月Target'!$W$13,0)</f>
        <v>#N/A</v>
      </c>
      <c r="BO75" s="44">
        <f ca="1">SUMIFS(表格1[QTY],表格1[Model],三國演義!$BO$12,表格1[Name],三國演義!$E75)+SUMIFS(表格1[QTY],表格1[Model],三國演義!$BO$12,表格1[Name],三國演義!$AA75)</f>
        <v>0</v>
      </c>
      <c r="BP75" s="77" t="e">
        <f ca="1">IF($BO75&gt;=$AL75,$BO75*'3月Target'!$W$14,0)</f>
        <v>#N/A</v>
      </c>
      <c r="BQ75" s="44">
        <f ca="1">SUMIFS(表格1[QTY],表格1[Model],三國演義!$BQ$12,表格1[Name],三國演義!$E75)+SUMIFS(表格1[QTY],表格1[Model],三國演義!$BQ$12,表格1[Name],三國演義!$AA75)</f>
        <v>0</v>
      </c>
      <c r="BR75" s="77" t="e">
        <f ca="1">IF($BQ75&gt;=$AM75,$BQ75*'3月Target'!$W$15,0)</f>
        <v>#N/A</v>
      </c>
      <c r="BS75" s="44">
        <f ca="1">SUMIFS(表格1[QTY],表格1[Model],三國演義!$BS$12,表格1[Name],三國演義!$E75)+SUMIFS(表格1[QTY],表格1[Model],三國演義!$BS$12,表格1[Name],三國演義!$AA75)</f>
        <v>0</v>
      </c>
      <c r="BT75" s="44">
        <f ca="1">SUMIFS(表格1[QTY],表格1[Model],三國演義!$BT$12,表格1[Name],三國演義!$E75)+SUMIFS(表格1[QTY],表格1[Model],三國演義!$BT$12,表格1[Name],三國演義!$AA75)</f>
        <v>0</v>
      </c>
      <c r="BU75" s="44">
        <f ca="1">SUMIFS(表格1[QTY],表格1[Model],三國演義!$BU$12,表格1[Name],三國演義!$E75)+SUMIFS(表格1[QTY],表格1[Model],三國演義!$BU$12,表格1[Name],三國演義!$AA75)</f>
        <v>0</v>
      </c>
      <c r="BV75" s="44">
        <f ca="1">SUMIFS(表格1[QTY],表格1[Model],三國演義!$BV$12,表格1[Name],三國演義!$E75)+SUMIFS(表格1[QTY],表格1[Model],三國演義!$BV$12,表格1[Name],三國演義!$AA75)</f>
        <v>0</v>
      </c>
      <c r="BW75" s="77" t="e">
        <f ca="1">IF((SUM($BS75:$BV75))&gt;=$AN75,SUM($BS75:$BV75)*'3月Target'!$W$16,0)</f>
        <v>#N/A</v>
      </c>
      <c r="BX75" s="44">
        <f ca="1">SUMIFS(表格1[QTY],表格1[Model],三國演義!$BX$12,表格1[Name],三國演義!$E75)+SUMIFS(表格1[QTY],表格1[Model],三國演義!$BX$12,表格1[Name],三國演義!$AA75)</f>
        <v>0</v>
      </c>
      <c r="BY75" s="77" t="e">
        <f ca="1">IF($BX75&gt;=$AO75,$BX75*'3月Target'!$W$17,0)</f>
        <v>#N/A</v>
      </c>
      <c r="BZ75" s="146">
        <f t="shared" si="23"/>
        <v>0</v>
      </c>
      <c r="CA75" s="77" t="e">
        <f t="shared" si="24"/>
        <v>#N/A</v>
      </c>
      <c r="CB75" s="146">
        <f t="shared" si="25"/>
        <v>0</v>
      </c>
      <c r="CC75" s="77" t="e">
        <f t="shared" si="26"/>
        <v>#N/A</v>
      </c>
    </row>
    <row r="76" spans="1:81">
      <c r="A76" s="121">
        <f>Roster!AL68*Roster!AH68+Roster!AM68*Roster!AG68+三國演義!H76+三國演義!I76+三國演義!J76</f>
        <v>350</v>
      </c>
      <c r="C76" s="66">
        <v>64</v>
      </c>
      <c r="D76" s="95" t="e">
        <f ca="1">_xlfn.XLOOKUP($E76,表格1[Name],表格1[Shop])</f>
        <v>#N/A</v>
      </c>
      <c r="E76" s="95" t="s">
        <v>2471</v>
      </c>
      <c r="F76" s="96"/>
      <c r="G76" s="97"/>
      <c r="H76" s="96"/>
      <c r="I76" s="96"/>
      <c r="J76" s="51">
        <f t="shared" si="6"/>
        <v>0</v>
      </c>
      <c r="K76" s="111"/>
      <c r="L76" s="111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60" t="str">
        <f t="shared" si="4"/>
        <v>WanWah off</v>
      </c>
      <c r="AB76" s="71" t="e">
        <f>_xlfn.XLOOKUP($E76,target[NAME],target[RC-DS10K/18K])</f>
        <v>#N/A</v>
      </c>
      <c r="AC76" s="71" t="e">
        <f>_xlfn.XLOOKUP($E76,target[NAME],target[RC-18AMXH(W)])</f>
        <v>#N/A</v>
      </c>
      <c r="AD76" s="71" t="e">
        <f>_xlfn.XLOOKUP($E76,target[NAME],target[EB-T500APW])</f>
        <v>#N/A</v>
      </c>
      <c r="AE76" s="71" t="e">
        <f>_xlfn.XLOOKUP($E76,target[NAME],target[ER-VD7000HK(XK)])</f>
        <v>#N/A</v>
      </c>
      <c r="AF76" s="71" t="e">
        <f>_xlfn.XLOOKUP($E76,target[NAME],target[TWDT21BU95])</f>
        <v>#N/A</v>
      </c>
      <c r="AG76" s="71" t="e">
        <f>_xlfn.XLOOKUP($E76,target[NAME],target[AW-Q800APH(WW)])</f>
        <v>#N/A</v>
      </c>
      <c r="AH76" s="71" t="e">
        <f>_xlfn.XLOOKUP($E76,target[NAME],target[AW-Q801APH(WW)])</f>
        <v>#N/A</v>
      </c>
      <c r="AI76" s="71" t="e">
        <f>_xlfn.XLOOKUP($E76,target[NAME],target[GR-RM469WE-PGA(B3)])</f>
        <v>#N/A</v>
      </c>
      <c r="AJ76" s="71" t="e">
        <f>_xlfn.XLOOKUP($E76,target[NAME],target[GR-RB449WE-PMA(57)])</f>
        <v>#N/A</v>
      </c>
      <c r="AK76" s="71" t="e">
        <f>_xlfn.XLOOKUP($E76,target[NAME],target[GR-RB410WE-PMA(06)])</f>
        <v>#N/A</v>
      </c>
      <c r="AL76" s="71" t="e">
        <f>_xlfn.XLOOKUP($E76,target[NAME],target[GR-RF698WI])</f>
        <v>#N/A</v>
      </c>
      <c r="AM76" s="71" t="e">
        <f>_xlfn.XLOOKUP($E76,target[NAME],target[TWP-W2265THK(W)])</f>
        <v>#N/A</v>
      </c>
      <c r="AN76" s="71" t="e">
        <f>_xlfn.XLOOKUP($E76,target[NAME],target[RAD-D200/250/300/DIA17])</f>
        <v>#N/A</v>
      </c>
      <c r="AO76" s="71" t="e">
        <f>_xlfn.XLOOKUP($E76,target[NAME],target[(Fortress ONLY)TW-T25BZU115MWH(MG) ])</f>
        <v>#N/A</v>
      </c>
      <c r="AP76" s="71" t="e">
        <f>_xlfn.XLOOKUP($E76,target[NAME],target[開門紅(三月)])</f>
        <v>#N/A</v>
      </c>
      <c r="AQ76" s="71" t="e">
        <f>_xlfn.XLOOKUP($E76,target[NAME],target[開門紅(第一季)])</f>
        <v>#N/A</v>
      </c>
      <c r="AR76" s="73">
        <f ca="1">SUMIFS(表格1[QTY],表格1[Model],三國演義!$AR$12,表格1[Name],三國演義!$E76)+SUMIFS(表格1[QTY],表格1[Model],三國演義!$AR$12,表格1[Name],三國演義!$AA76)</f>
        <v>0</v>
      </c>
      <c r="AS76" s="77" t="e">
        <f ca="1">IF($AR76&gt;=$AE76,$AR76*'3月Target'!$W$8,0)</f>
        <v>#N/A</v>
      </c>
      <c r="AT76" s="44">
        <f ca="1">SUMIFS(表格1[QTY],表格1[Model],三國演義!$AT$12,表格1[Name],三國演義!$E76)+SUMIFS(表格1[QTY],表格1[Model],三國演義!$AT$12,表格1[Name],三國演義!$AA76)</f>
        <v>0</v>
      </c>
      <c r="AU76" s="44">
        <f ca="1">SUMIFS(表格1[QTY],表格1[Model],三國演義!$AU$12,表格1[Name],三國演義!$E76)+SUMIFS(表格1[QTY],表格1[Model],三國演義!$AU$12,表格1[Name],三國演義!$AA76)</f>
        <v>0</v>
      </c>
      <c r="AV76" s="44">
        <f ca="1">SUMIFS(表格1[QTY],表格1[Model],三國演義!$AV$12,表格1[Name],三國演義!$E76)+SUMIFS(表格1[QTY],表格1[Model],三國演義!$AV$12,表格1[Name],三國演義!$AA76)</f>
        <v>0</v>
      </c>
      <c r="AW76" s="44">
        <f ca="1">SUMIFS(表格1[QTY],表格1[Model],三國演義!$AW$12,表格1[Name],三國演義!$E76)+SUMIFS(表格1[QTY],表格1[Model],三國演義!$AW$12,表格1[Name],三國演義!$AA76)</f>
        <v>0</v>
      </c>
      <c r="AX76" s="50" t="e">
        <f ca="1">IF((SUM($AT76:$AW76))&gt;=$AB76,SUM($AT76:$AW76)*'3月Target'!$W$5,0)</f>
        <v>#N/A</v>
      </c>
      <c r="AY76" s="44">
        <f ca="1">SUMIFS(表格1[QTY],表格1[Model],三國演義!$AY$12,表格1[Name],三國演義!$E76)+SUMIFS(表格1[QTY],表格1[Model],三國演義!$AY$12,表格1[Name],三國演義!$AA76)</f>
        <v>0</v>
      </c>
      <c r="AZ76" s="77" t="e">
        <f ca="1">IF($AY76&gt;=$AC76,$AY76*'3月Target'!$W$6,0)</f>
        <v>#N/A</v>
      </c>
      <c r="BA76" s="44">
        <f ca="1">SUMIFS(表格1[QTY],表格1[Model],三國演義!$BA$12,表格1[Name],三國演義!$E76)+SUMIFS(表格1[QTY],表格1[Model],三國演義!$BA$12,表格1[Name],三國演義!$AA76)</f>
        <v>0</v>
      </c>
      <c r="BB76" s="77" t="e">
        <f ca="1">IF($BA76&gt;=$AD76,$BA76*'3月Target'!$W$7,0)</f>
        <v>#N/A</v>
      </c>
      <c r="BC76" s="44">
        <f ca="1">SUMIFS(表格1[QTY],表格1[Model],三國演義!$BC$12,表格1[Name],三國演義!$E76)+SUMIFS(表格1[QTY],表格1[Model],三國演義!$BC$12,表格1[Name],三國演義!$AA76)</f>
        <v>0</v>
      </c>
      <c r="BD76" s="77" t="e">
        <f ca="1">IF($BC76&gt;=$AF76,$BC76*'3月Target'!$W$9,0)</f>
        <v>#N/A</v>
      </c>
      <c r="BE76" s="44">
        <f ca="1">SUMIFS(表格1[QTY],表格1[Model],三國演義!$BE$12,表格1[Name],三國演義!$E76)+SUMIFS(表格1[QTY],表格1[Model],三國演義!$BE$12,表格1[Name],三國演義!$AA76)</f>
        <v>0</v>
      </c>
      <c r="BF76" s="77" t="e">
        <f ca="1">IF($BE76&gt;=$AG76,$BE76*'3月Target'!$W$10,0)</f>
        <v>#N/A</v>
      </c>
      <c r="BG76" s="44">
        <f ca="1">SUMIFS(表格1[QTY],表格1[Model],三國演義!$BG$12,表格1[Name],三國演義!$E76)+SUMIFS(表格1[QTY],表格1[Model],三國演義!$BG$12,表格1[Name],三國演義!$AA76)</f>
        <v>0</v>
      </c>
      <c r="BH76" s="77" t="e">
        <f ca="1">IF($BG76&gt;=$AH76,$BG76*'3月Target'!$W$10,0)</f>
        <v>#N/A</v>
      </c>
      <c r="BI76" s="44">
        <f ca="1">SUMIFS(表格1[QTY],表格1[Model],三國演義!$BI$12,表格1[Name],三國演義!$E76)+SUMIFS(表格1[QTY],表格1[Model],三國演義!$BI$12,表格1[Name],三國演義!$AA76)</f>
        <v>0</v>
      </c>
      <c r="BJ76" s="77" t="e">
        <f ca="1">IF($BI76&gt;=$AI76,$BI76*'3月Target'!$W$11,0)</f>
        <v>#N/A</v>
      </c>
      <c r="BK76" s="44">
        <f ca="1">SUMIFS(表格1[QTY],表格1[Model],三國演義!$BK$12,表格1[Name],三國演義!$E76)+SUMIFS(表格1[QTY],表格1[Model],三國演義!$BK$12,表格1[Name],三國演義!$AA76)</f>
        <v>0</v>
      </c>
      <c r="BL76" s="77" t="e">
        <f ca="1">IF($BK76&gt;=$AJ76,$BK76*'3月Target'!$W$12,0)</f>
        <v>#N/A</v>
      </c>
      <c r="BM76" s="44">
        <f ca="1">SUMIFS(表格1[QTY],表格1[Model],三國演義!$BM$12,表格1[Name],三國演義!$E76)+SUMIFS(表格1[QTY],表格1[Model],三國演義!$BM$12,表格1[Name],三國演義!$AA76)</f>
        <v>0</v>
      </c>
      <c r="BN76" s="77" t="e">
        <f ca="1">IF($BM76&gt;=$AK76,$BM76*'3月Target'!$W$13,0)</f>
        <v>#N/A</v>
      </c>
      <c r="BO76" s="44">
        <f ca="1">SUMIFS(表格1[QTY],表格1[Model],三國演義!$BO$12,表格1[Name],三國演義!$E76)+SUMIFS(表格1[QTY],表格1[Model],三國演義!$BO$12,表格1[Name],三國演義!$AA76)</f>
        <v>0</v>
      </c>
      <c r="BP76" s="77" t="e">
        <f ca="1">IF($BO76&gt;=$AL76,$BO76*'3月Target'!$W$14,0)</f>
        <v>#N/A</v>
      </c>
      <c r="BQ76" s="44">
        <f ca="1">SUMIFS(表格1[QTY],表格1[Model],三國演義!$BQ$12,表格1[Name],三國演義!$E76)+SUMIFS(表格1[QTY],表格1[Model],三國演義!$BQ$12,表格1[Name],三國演義!$AA76)</f>
        <v>0</v>
      </c>
      <c r="BR76" s="77" t="e">
        <f ca="1">IF($BQ76&gt;=$AM76,$BQ76*'3月Target'!$W$15,0)</f>
        <v>#N/A</v>
      </c>
      <c r="BS76" s="44">
        <f ca="1">SUMIFS(表格1[QTY],表格1[Model],三國演義!$BS$12,表格1[Name],三國演義!$E76)+SUMIFS(表格1[QTY],表格1[Model],三國演義!$BS$12,表格1[Name],三國演義!$AA76)</f>
        <v>0</v>
      </c>
      <c r="BT76" s="44">
        <f ca="1">SUMIFS(表格1[QTY],表格1[Model],三國演義!$BT$12,表格1[Name],三國演義!$E76)+SUMIFS(表格1[QTY],表格1[Model],三國演義!$BT$12,表格1[Name],三國演義!$AA76)</f>
        <v>0</v>
      </c>
      <c r="BU76" s="44">
        <f ca="1">SUMIFS(表格1[QTY],表格1[Model],三國演義!$BU$12,表格1[Name],三國演義!$E76)+SUMIFS(表格1[QTY],表格1[Model],三國演義!$BU$12,表格1[Name],三國演義!$AA76)</f>
        <v>0</v>
      </c>
      <c r="BV76" s="44">
        <f ca="1">SUMIFS(表格1[QTY],表格1[Model],三國演義!$BV$12,表格1[Name],三國演義!$E76)+SUMIFS(表格1[QTY],表格1[Model],三國演義!$BV$12,表格1[Name],三國演義!$AA76)</f>
        <v>0</v>
      </c>
      <c r="BW76" s="77" t="e">
        <f ca="1">IF((SUM($BS76:$BV76))&gt;=$AN76,SUM($BS76:$BV76)*'3月Target'!$W$16,0)</f>
        <v>#N/A</v>
      </c>
      <c r="BX76" s="44">
        <f ca="1">SUMIFS(表格1[QTY],表格1[Model],三國演義!$BX$12,表格1[Name],三國演義!$E76)+SUMIFS(表格1[QTY],表格1[Model],三國演義!$BX$12,表格1[Name],三國演義!$AA76)</f>
        <v>0</v>
      </c>
      <c r="BY76" s="77" t="e">
        <f ca="1">IF($BX76&gt;=$AO76,$BX76*'3月Target'!$W$17,0)</f>
        <v>#N/A</v>
      </c>
      <c r="BZ76" s="146">
        <f t="shared" si="23"/>
        <v>0</v>
      </c>
      <c r="CA76" s="77" t="e">
        <f t="shared" si="24"/>
        <v>#N/A</v>
      </c>
      <c r="CB76" s="146">
        <f t="shared" si="25"/>
        <v>0</v>
      </c>
      <c r="CC76" s="77" t="e">
        <f t="shared" si="26"/>
        <v>#N/A</v>
      </c>
    </row>
    <row r="77" spans="1:81">
      <c r="A77" s="121">
        <f>Roster!AL69*Roster!AH69+Roster!AM69*Roster!AG69+三國演義!H77+三國演義!I77+三國演義!J77</f>
        <v>0</v>
      </c>
      <c r="C77" s="66">
        <v>65</v>
      </c>
      <c r="D77" s="95" t="e">
        <f ca="1">_xlfn.XLOOKUP($E77,表格1[Name],表格1[Shop])</f>
        <v>#N/A</v>
      </c>
      <c r="E77" s="95"/>
      <c r="F77" s="96"/>
      <c r="G77" s="97"/>
      <c r="H77" s="96"/>
      <c r="I77" s="96"/>
      <c r="J77" s="51">
        <f t="shared" si="6"/>
        <v>0</v>
      </c>
      <c r="K77" s="111"/>
      <c r="L77" s="111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60" t="str">
        <f t="shared" ref="AA77:AA84" si="30">$E77&amp;" off"</f>
        <v xml:space="preserve"> off</v>
      </c>
      <c r="AB77" s="71">
        <f>_xlfn.XLOOKUP($E77,target[NAME],target[RC-DS10K/18K])</f>
        <v>0</v>
      </c>
      <c r="AC77" s="71">
        <f>_xlfn.XLOOKUP($E77,target[NAME],target[RC-18AMXH(W)])</f>
        <v>0</v>
      </c>
      <c r="AD77" s="71">
        <f>_xlfn.XLOOKUP($E77,target[NAME],target[EB-T500APW])</f>
        <v>0</v>
      </c>
      <c r="AE77" s="71">
        <f>_xlfn.XLOOKUP($E77,target[NAME],target[ER-VD7000HK(XK)])</f>
        <v>0</v>
      </c>
      <c r="AF77" s="71">
        <f>_xlfn.XLOOKUP($E77,target[NAME],target[TWDT21BU95])</f>
        <v>0</v>
      </c>
      <c r="AG77" s="71">
        <f>_xlfn.XLOOKUP($E77,target[NAME],target[AW-Q800APH(WW)])</f>
        <v>0</v>
      </c>
      <c r="AH77" s="71">
        <f>_xlfn.XLOOKUP($E77,target[NAME],target[AW-Q801APH(WW)])</f>
        <v>0</v>
      </c>
      <c r="AI77" s="71">
        <f>_xlfn.XLOOKUP($E77,target[NAME],target[GR-RM469WE-PGA(B3)])</f>
        <v>0</v>
      </c>
      <c r="AJ77" s="71">
        <f>_xlfn.XLOOKUP($E77,target[NAME],target[GR-RB449WE-PMA(57)])</f>
        <v>0</v>
      </c>
      <c r="AK77" s="71">
        <f>_xlfn.XLOOKUP($E77,target[NAME],target[GR-RB410WE-PMA(06)])</f>
        <v>0</v>
      </c>
      <c r="AL77" s="71">
        <f>_xlfn.XLOOKUP($E77,target[NAME],target[GR-RF698WI])</f>
        <v>0</v>
      </c>
      <c r="AM77" s="71">
        <f>_xlfn.XLOOKUP($E77,target[NAME],target[TWP-W2265THK(W)])</f>
        <v>0</v>
      </c>
      <c r="AN77" s="71">
        <f>_xlfn.XLOOKUP($E77,target[NAME],target[RAD-D200/250/300/DIA17])</f>
        <v>0</v>
      </c>
      <c r="AO77" s="71">
        <f>_xlfn.XLOOKUP($E77,target[NAME],target[(Fortress ONLY)TW-T25BZU115MWH(MG) ])</f>
        <v>0</v>
      </c>
      <c r="AP77" s="71">
        <f>_xlfn.XLOOKUP($E77,target[NAME],target[開門紅(三月)])</f>
        <v>0</v>
      </c>
      <c r="AQ77" s="71">
        <f>_xlfn.XLOOKUP($E77,target[NAME],target[開門紅(第一季)])</f>
        <v>0</v>
      </c>
      <c r="AR77" s="73">
        <f ca="1">SUMIFS(表格1[QTY],表格1[Model],三國演義!$AR$12,表格1[Name],三國演義!$E77)+SUMIFS(表格1[QTY],表格1[Model],三國演義!$AR$12,表格1[Name],三國演義!$AA77)</f>
        <v>0</v>
      </c>
      <c r="AS77" s="77">
        <f ca="1">IF($AR77&gt;=$AE77,$AR77*'3月Target'!$W$8,0)</f>
        <v>0</v>
      </c>
      <c r="AT77" s="44">
        <f ca="1">SUMIFS(表格1[QTY],表格1[Model],三國演義!$AT$12,表格1[Name],三國演義!$E77)+SUMIFS(表格1[QTY],表格1[Model],三國演義!$AT$12,表格1[Name],三國演義!$AA77)</f>
        <v>0</v>
      </c>
      <c r="AU77" s="44">
        <f ca="1">SUMIFS(表格1[QTY],表格1[Model],三國演義!$AU$12,表格1[Name],三國演義!$E77)+SUMIFS(表格1[QTY],表格1[Model],三國演義!$AU$12,表格1[Name],三國演義!$AA77)</f>
        <v>0</v>
      </c>
      <c r="AV77" s="44">
        <f ca="1">SUMIFS(表格1[QTY],表格1[Model],三國演義!$AV$12,表格1[Name],三國演義!$E77)+SUMIFS(表格1[QTY],表格1[Model],三國演義!$AV$12,表格1[Name],三國演義!$AA77)</f>
        <v>0</v>
      </c>
      <c r="AW77" s="44">
        <f ca="1">SUMIFS(表格1[QTY],表格1[Model],三國演義!$AW$12,表格1[Name],三國演義!$E77)+SUMIFS(表格1[QTY],表格1[Model],三國演義!$AW$12,表格1[Name],三國演義!$AA77)</f>
        <v>0</v>
      </c>
      <c r="AX77" s="50">
        <f ca="1">IF((SUM($AT77:$AW77))&gt;=$AB77,SUM($AT77:$AW77)*'3月Target'!$W$5,0)</f>
        <v>0</v>
      </c>
      <c r="AY77" s="44">
        <f ca="1">SUMIFS(表格1[QTY],表格1[Model],三國演義!$AY$12,表格1[Name],三國演義!$E77)+SUMIFS(表格1[QTY],表格1[Model],三國演義!$AY$12,表格1[Name],三國演義!$AA77)</f>
        <v>0</v>
      </c>
      <c r="AZ77" s="77">
        <f ca="1">IF($AY77&gt;=$AC77,$AY77*'3月Target'!$W$6,0)</f>
        <v>0</v>
      </c>
      <c r="BA77" s="44">
        <f ca="1">SUMIFS(表格1[QTY],表格1[Model],三國演義!$BA$12,表格1[Name],三國演義!$E77)+SUMIFS(表格1[QTY],表格1[Model],三國演義!$BA$12,表格1[Name],三國演義!$AA77)</f>
        <v>0</v>
      </c>
      <c r="BB77" s="77">
        <f ca="1">IF($BA77&gt;=$AD77,$BA77*'3月Target'!$W$7,0)</f>
        <v>0</v>
      </c>
      <c r="BC77" s="44">
        <f ca="1">SUMIFS(表格1[QTY],表格1[Model],三國演義!$BC$12,表格1[Name],三國演義!$E77)+SUMIFS(表格1[QTY],表格1[Model],三國演義!$BC$12,表格1[Name],三國演義!$AA77)</f>
        <v>0</v>
      </c>
      <c r="BD77" s="77">
        <f ca="1">IF($BC77&gt;=$AF77,$BC77*'3月Target'!$W$9,0)</f>
        <v>0</v>
      </c>
      <c r="BE77" s="44">
        <f ca="1">SUMIFS(表格1[QTY],表格1[Model],三國演義!$BE$12,表格1[Name],三國演義!$E77)+SUMIFS(表格1[QTY],表格1[Model],三國演義!$BE$12,表格1[Name],三國演義!$AA77)</f>
        <v>0</v>
      </c>
      <c r="BF77" s="77">
        <f ca="1">IF($BE77&gt;=$AG77,$BE77*'3月Target'!$W$10,0)</f>
        <v>0</v>
      </c>
      <c r="BG77" s="44">
        <f ca="1">SUMIFS(表格1[QTY],表格1[Model],三國演義!$BG$12,表格1[Name],三國演義!$E77)+SUMIFS(表格1[QTY],表格1[Model],三國演義!$BG$12,表格1[Name],三國演義!$AA77)</f>
        <v>0</v>
      </c>
      <c r="BH77" s="77">
        <f ca="1">IF($BG77&gt;=$AH77,$BG77*'3月Target'!$W$10,0)</f>
        <v>0</v>
      </c>
      <c r="BI77" s="44">
        <f ca="1">SUMIFS(表格1[QTY],表格1[Model],三國演義!$BI$12,表格1[Name],三國演義!$E77)+SUMIFS(表格1[QTY],表格1[Model],三國演義!$BI$12,表格1[Name],三國演義!$AA77)</f>
        <v>0</v>
      </c>
      <c r="BJ77" s="77">
        <f ca="1">IF($BI77&gt;=$AI77,$BI77*'3月Target'!$W$11,0)</f>
        <v>0</v>
      </c>
      <c r="BK77" s="44">
        <f ca="1">SUMIFS(表格1[QTY],表格1[Model],三國演義!$BK$12,表格1[Name],三國演義!$E77)+SUMIFS(表格1[QTY],表格1[Model],三國演義!$BK$12,表格1[Name],三國演義!$AA77)</f>
        <v>0</v>
      </c>
      <c r="BL77" s="77">
        <f ca="1">IF($BK77&gt;=$AJ77,$BK77*'3月Target'!$W$12,0)</f>
        <v>0</v>
      </c>
      <c r="BM77" s="44">
        <f ca="1">SUMIFS(表格1[QTY],表格1[Model],三國演義!$BM$12,表格1[Name],三國演義!$E77)+SUMIFS(表格1[QTY],表格1[Model],三國演義!$BM$12,表格1[Name],三國演義!$AA77)</f>
        <v>0</v>
      </c>
      <c r="BN77" s="77">
        <f ca="1">IF($BM77&gt;=$AK77,$BM77*'3月Target'!$W$13,0)</f>
        <v>0</v>
      </c>
      <c r="BO77" s="44">
        <f ca="1">SUMIFS(表格1[QTY],表格1[Model],三國演義!$BO$12,表格1[Name],三國演義!$E77)+SUMIFS(表格1[QTY],表格1[Model],三國演義!$BO$12,表格1[Name],三國演義!$AA77)</f>
        <v>0</v>
      </c>
      <c r="BP77" s="77">
        <f ca="1">IF($BO77&gt;=$AL77,$BO77*'3月Target'!$W$14,0)</f>
        <v>0</v>
      </c>
      <c r="BQ77" s="44">
        <f ca="1">SUMIFS(表格1[QTY],表格1[Model],三國演義!$BQ$12,表格1[Name],三國演義!$E77)+SUMIFS(表格1[QTY],表格1[Model],三國演義!$BQ$12,表格1[Name],三國演義!$AA77)</f>
        <v>0</v>
      </c>
      <c r="BR77" s="77">
        <f ca="1">IF($BQ77&gt;=$AM77,$BQ77*'3月Target'!$W$15,0)</f>
        <v>0</v>
      </c>
      <c r="BS77" s="44">
        <f ca="1">SUMIFS(表格1[QTY],表格1[Model],三國演義!$BS$12,表格1[Name],三國演義!$E77)+SUMIFS(表格1[QTY],表格1[Model],三國演義!$BS$12,表格1[Name],三國演義!$AA77)</f>
        <v>0</v>
      </c>
      <c r="BT77" s="44">
        <f ca="1">SUMIFS(表格1[QTY],表格1[Model],三國演義!$BT$12,表格1[Name],三國演義!$E77)+SUMIFS(表格1[QTY],表格1[Model],三國演義!$BT$12,表格1[Name],三國演義!$AA77)</f>
        <v>0</v>
      </c>
      <c r="BU77" s="44">
        <f ca="1">SUMIFS(表格1[QTY],表格1[Model],三國演義!$BU$12,表格1[Name],三國演義!$E77)+SUMIFS(表格1[QTY],表格1[Model],三國演義!$BU$12,表格1[Name],三國演義!$AA77)</f>
        <v>0</v>
      </c>
      <c r="BV77" s="44">
        <f ca="1">SUMIFS(表格1[QTY],表格1[Model],三國演義!$BV$12,表格1[Name],三國演義!$E77)+SUMIFS(表格1[QTY],表格1[Model],三國演義!$BV$12,表格1[Name],三國演義!$AA77)</f>
        <v>0</v>
      </c>
      <c r="BW77" s="77">
        <f ca="1">IF((SUM($BS77:$BV77))&gt;=$AN77,SUM($BS77:$BV77)*'3月Target'!$W$16,0)</f>
        <v>0</v>
      </c>
      <c r="BX77" s="44">
        <f ca="1">SUMIFS(表格1[QTY],表格1[Model],三國演義!$BX$12,表格1[Name],三國演義!$E77)+SUMIFS(表格1[QTY],表格1[Model],三國演義!$BX$12,表格1[Name],三國演義!$AA77)</f>
        <v>0</v>
      </c>
      <c r="BY77" s="77">
        <f ca="1">IF($BX77&gt;=$AO77,$BX77*'3月Target'!$W$17,0)</f>
        <v>0</v>
      </c>
      <c r="BZ77" s="146">
        <f t="shared" si="23"/>
        <v>0</v>
      </c>
      <c r="CA77" s="77">
        <f t="shared" si="24"/>
        <v>500</v>
      </c>
      <c r="CB77" s="146">
        <f t="shared" si="25"/>
        <v>0</v>
      </c>
      <c r="CC77" s="77">
        <f t="shared" si="26"/>
        <v>1000</v>
      </c>
    </row>
    <row r="78" spans="1:81">
      <c r="A78" s="121">
        <f>Roster!AL70*Roster!AH70+Roster!AM70*Roster!AG70+三國演義!H78+三國演義!I78+三國演義!J78</f>
        <v>0</v>
      </c>
      <c r="C78" s="66">
        <v>66</v>
      </c>
      <c r="D78" s="95" t="e">
        <f ca="1">_xlfn.XLOOKUP($E78,表格1[Name],表格1[Shop])</f>
        <v>#N/A</v>
      </c>
      <c r="E78" s="95"/>
      <c r="F78" s="96"/>
      <c r="G78" s="97"/>
      <c r="H78" s="96"/>
      <c r="I78" s="96"/>
      <c r="J78" s="51">
        <f t="shared" ref="J78:J84" si="31">SUM($K78:$Z78)</f>
        <v>0</v>
      </c>
      <c r="K78" s="111"/>
      <c r="L78" s="111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60" t="str">
        <f t="shared" si="30"/>
        <v xml:space="preserve"> off</v>
      </c>
      <c r="AB78" s="71">
        <f>_xlfn.XLOOKUP($E78,target[NAME],target[RC-DS10K/18K])</f>
        <v>0</v>
      </c>
      <c r="AC78" s="71">
        <f>_xlfn.XLOOKUP($E78,target[NAME],target[RC-18AMXH(W)])</f>
        <v>0</v>
      </c>
      <c r="AD78" s="71">
        <f>_xlfn.XLOOKUP($E78,target[NAME],target[EB-T500APW])</f>
        <v>0</v>
      </c>
      <c r="AE78" s="71">
        <f>_xlfn.XLOOKUP($E78,target[NAME],target[ER-VD7000HK(XK)])</f>
        <v>0</v>
      </c>
      <c r="AF78" s="71">
        <f>_xlfn.XLOOKUP($E78,target[NAME],target[TWDT21BU95])</f>
        <v>0</v>
      </c>
      <c r="AG78" s="71">
        <f>_xlfn.XLOOKUP($E78,target[NAME],target[AW-Q800APH(WW)])</f>
        <v>0</v>
      </c>
      <c r="AH78" s="71">
        <f>_xlfn.XLOOKUP($E78,target[NAME],target[AW-Q801APH(WW)])</f>
        <v>0</v>
      </c>
      <c r="AI78" s="71">
        <f>_xlfn.XLOOKUP($E78,target[NAME],target[GR-RM469WE-PGA(B3)])</f>
        <v>0</v>
      </c>
      <c r="AJ78" s="71">
        <f>_xlfn.XLOOKUP($E78,target[NAME],target[GR-RB449WE-PMA(57)])</f>
        <v>0</v>
      </c>
      <c r="AK78" s="71">
        <f>_xlfn.XLOOKUP($E78,target[NAME],target[GR-RB410WE-PMA(06)])</f>
        <v>0</v>
      </c>
      <c r="AL78" s="71">
        <f>_xlfn.XLOOKUP($E78,target[NAME],target[GR-RF698WI])</f>
        <v>0</v>
      </c>
      <c r="AM78" s="71">
        <f>_xlfn.XLOOKUP($E78,target[NAME],target[TWP-W2265THK(W)])</f>
        <v>0</v>
      </c>
      <c r="AN78" s="71">
        <f>_xlfn.XLOOKUP($E78,target[NAME],target[RAD-D200/250/300/DIA17])</f>
        <v>0</v>
      </c>
      <c r="AO78" s="71">
        <f>_xlfn.XLOOKUP($E78,target[NAME],target[(Fortress ONLY)TW-T25BZU115MWH(MG) ])</f>
        <v>0</v>
      </c>
      <c r="AP78" s="71">
        <f>_xlfn.XLOOKUP($E78,target[NAME],target[開門紅(三月)])</f>
        <v>0</v>
      </c>
      <c r="AQ78" s="71">
        <f>_xlfn.XLOOKUP($E78,target[NAME],target[開門紅(第一季)])</f>
        <v>0</v>
      </c>
      <c r="AR78" s="73">
        <f ca="1">SUMIFS(表格1[QTY],表格1[Model],三國演義!$AR$12,表格1[Name],三國演義!$E78)+SUMIFS(表格1[QTY],表格1[Model],三國演義!$AR$12,表格1[Name],三國演義!$AA78)</f>
        <v>0</v>
      </c>
      <c r="AS78" s="77">
        <f ca="1">IF($AR78&gt;=$AE78,$AR78*'3月Target'!$W$8,0)</f>
        <v>0</v>
      </c>
      <c r="AT78" s="44">
        <f ca="1">SUMIFS(表格1[QTY],表格1[Model],三國演義!$AT$12,表格1[Name],三國演義!$E78)+SUMIFS(表格1[QTY],表格1[Model],三國演義!$AT$12,表格1[Name],三國演義!$AA78)</f>
        <v>0</v>
      </c>
      <c r="AU78" s="44">
        <f ca="1">SUMIFS(表格1[QTY],表格1[Model],三國演義!$AU$12,表格1[Name],三國演義!$E78)+SUMIFS(表格1[QTY],表格1[Model],三國演義!$AU$12,表格1[Name],三國演義!$AA78)</f>
        <v>0</v>
      </c>
      <c r="AV78" s="44">
        <f ca="1">SUMIFS(表格1[QTY],表格1[Model],三國演義!$AV$12,表格1[Name],三國演義!$E78)+SUMIFS(表格1[QTY],表格1[Model],三國演義!$AV$12,表格1[Name],三國演義!$AA78)</f>
        <v>0</v>
      </c>
      <c r="AW78" s="44">
        <f ca="1">SUMIFS(表格1[QTY],表格1[Model],三國演義!$AW$12,表格1[Name],三國演義!$E78)+SUMIFS(表格1[QTY],表格1[Model],三國演義!$AW$12,表格1[Name],三國演義!$AA78)</f>
        <v>0</v>
      </c>
      <c r="AX78" s="50">
        <f ca="1">IF((SUM($AT78:$AW78))&gt;=$AB78,SUM($AT78:$AW78)*'3月Target'!$W$5,0)</f>
        <v>0</v>
      </c>
      <c r="AY78" s="44">
        <f ca="1">SUMIFS(表格1[QTY],表格1[Model],三國演義!$AY$12,表格1[Name],三國演義!$E78)+SUMIFS(表格1[QTY],表格1[Model],三國演義!$AY$12,表格1[Name],三國演義!$AA78)</f>
        <v>0</v>
      </c>
      <c r="AZ78" s="77">
        <f ca="1">IF($AY78&gt;=$AC78,$AY78*'3月Target'!$W$6,0)</f>
        <v>0</v>
      </c>
      <c r="BA78" s="44">
        <f ca="1">SUMIFS(表格1[QTY],表格1[Model],三國演義!$BA$12,表格1[Name],三國演義!$E78)+SUMIFS(表格1[QTY],表格1[Model],三國演義!$BA$12,表格1[Name],三國演義!$AA78)</f>
        <v>0</v>
      </c>
      <c r="BB78" s="77">
        <f ca="1">IF($BA78&gt;=$AD78,$BA78*'3月Target'!$W$7,0)</f>
        <v>0</v>
      </c>
      <c r="BC78" s="44">
        <f ca="1">SUMIFS(表格1[QTY],表格1[Model],三國演義!$BC$12,表格1[Name],三國演義!$E78)+SUMIFS(表格1[QTY],表格1[Model],三國演義!$BC$12,表格1[Name],三國演義!$AA78)</f>
        <v>0</v>
      </c>
      <c r="BD78" s="77">
        <f ca="1">IF($BC78&gt;=$AF78,$BC78*'3月Target'!$W$9,0)</f>
        <v>0</v>
      </c>
      <c r="BE78" s="44">
        <f ca="1">SUMIFS(表格1[QTY],表格1[Model],三國演義!$BE$12,表格1[Name],三國演義!$E78)+SUMIFS(表格1[QTY],表格1[Model],三國演義!$BE$12,表格1[Name],三國演義!$AA78)</f>
        <v>0</v>
      </c>
      <c r="BF78" s="77">
        <f ca="1">IF($BE78&gt;=$AG78,$BE78*'3月Target'!$W$10,0)</f>
        <v>0</v>
      </c>
      <c r="BG78" s="44">
        <f ca="1">SUMIFS(表格1[QTY],表格1[Model],三國演義!$BG$12,表格1[Name],三國演義!$E78)+SUMIFS(表格1[QTY],表格1[Model],三國演義!$BG$12,表格1[Name],三國演義!$AA78)</f>
        <v>0</v>
      </c>
      <c r="BH78" s="77">
        <f ca="1">IF($BG78&gt;=$AH78,$BG78*'3月Target'!$W$10,0)</f>
        <v>0</v>
      </c>
      <c r="BI78" s="44">
        <f ca="1">SUMIFS(表格1[QTY],表格1[Model],三國演義!$BI$12,表格1[Name],三國演義!$E78)+SUMIFS(表格1[QTY],表格1[Model],三國演義!$BI$12,表格1[Name],三國演義!$AA78)</f>
        <v>0</v>
      </c>
      <c r="BJ78" s="77">
        <f ca="1">IF($BI78&gt;=$AI78,$BI78*'3月Target'!$W$11,0)</f>
        <v>0</v>
      </c>
      <c r="BK78" s="44">
        <f ca="1">SUMIFS(表格1[QTY],表格1[Model],三國演義!$BK$12,表格1[Name],三國演義!$E78)+SUMIFS(表格1[QTY],表格1[Model],三國演義!$BK$12,表格1[Name],三國演義!$AA78)</f>
        <v>0</v>
      </c>
      <c r="BL78" s="77">
        <f ca="1">IF($BK78&gt;=$AJ78,$BK78*'3月Target'!$W$12,0)</f>
        <v>0</v>
      </c>
      <c r="BM78" s="44">
        <f ca="1">SUMIFS(表格1[QTY],表格1[Model],三國演義!$BM$12,表格1[Name],三國演義!$E78)+SUMIFS(表格1[QTY],表格1[Model],三國演義!$BM$12,表格1[Name],三國演義!$AA78)</f>
        <v>0</v>
      </c>
      <c r="BN78" s="77">
        <f ca="1">IF($BM78&gt;=$AK78,$BM78*'3月Target'!$W$13,0)</f>
        <v>0</v>
      </c>
      <c r="BO78" s="44">
        <f ca="1">SUMIFS(表格1[QTY],表格1[Model],三國演義!$BO$12,表格1[Name],三國演義!$E78)+SUMIFS(表格1[QTY],表格1[Model],三國演義!$BO$12,表格1[Name],三國演義!$AA78)</f>
        <v>0</v>
      </c>
      <c r="BP78" s="77">
        <f ca="1">IF($BO78&gt;=$AL78,$BO78*'3月Target'!$W$14,0)</f>
        <v>0</v>
      </c>
      <c r="BQ78" s="44">
        <f ca="1">SUMIFS(表格1[QTY],表格1[Model],三國演義!$BQ$12,表格1[Name],三國演義!$E78)+SUMIFS(表格1[QTY],表格1[Model],三國演義!$BQ$12,表格1[Name],三國演義!$AA78)</f>
        <v>0</v>
      </c>
      <c r="BR78" s="77">
        <f ca="1">IF($BQ78&gt;=$AM78,$BQ78*'3月Target'!$W$15,0)</f>
        <v>0</v>
      </c>
      <c r="BS78" s="44">
        <f ca="1">SUMIFS(表格1[QTY],表格1[Model],三國演義!$BS$12,表格1[Name],三國演義!$E78)+SUMIFS(表格1[QTY],表格1[Model],三國演義!$BS$12,表格1[Name],三國演義!$AA78)</f>
        <v>0</v>
      </c>
      <c r="BT78" s="44">
        <f ca="1">SUMIFS(表格1[QTY],表格1[Model],三國演義!$BT$12,表格1[Name],三國演義!$E78)+SUMIFS(表格1[QTY],表格1[Model],三國演義!$BT$12,表格1[Name],三國演義!$AA78)</f>
        <v>0</v>
      </c>
      <c r="BU78" s="44">
        <f ca="1">SUMIFS(表格1[QTY],表格1[Model],三國演義!$BU$12,表格1[Name],三國演義!$E78)+SUMIFS(表格1[QTY],表格1[Model],三國演義!$BU$12,表格1[Name],三國演義!$AA78)</f>
        <v>0</v>
      </c>
      <c r="BV78" s="44">
        <f ca="1">SUMIFS(表格1[QTY],表格1[Model],三國演義!$BV$12,表格1[Name],三國演義!$E78)+SUMIFS(表格1[QTY],表格1[Model],三國演義!$BV$12,表格1[Name],三國演義!$AA78)</f>
        <v>0</v>
      </c>
      <c r="BW78" s="77">
        <f ca="1">IF((SUM($BS78:$BV78))&gt;=$AN78,SUM($BS78:$BV78)*'3月Target'!$W$16,0)</f>
        <v>0</v>
      </c>
      <c r="BX78" s="44">
        <f ca="1">SUMIFS(表格1[QTY],表格1[Model],三國演義!$BX$12,表格1[Name],三國演義!$E78)+SUMIFS(表格1[QTY],表格1[Model],三國演義!$BX$12,表格1[Name],三國演義!$AA78)</f>
        <v>0</v>
      </c>
      <c r="BY78" s="77">
        <f ca="1">IF($BX78&gt;=$AO78,$BX78*'3月Target'!$W$17,0)</f>
        <v>0</v>
      </c>
      <c r="BZ78" s="146">
        <f t="shared" ref="BZ78:BZ84" si="32">$F78</f>
        <v>0</v>
      </c>
      <c r="CA78" s="77">
        <f t="shared" ref="CA78:CA84" si="33">IF($BZ78&gt;=$AP78,500,0)</f>
        <v>500</v>
      </c>
      <c r="CB78" s="146">
        <f t="shared" ref="CB78:CB84" si="34">$F78</f>
        <v>0</v>
      </c>
      <c r="CC78" s="77">
        <f t="shared" ref="CC78:CC84" si="35">IF($CB78&gt;=$AQ78,1000,0)</f>
        <v>1000</v>
      </c>
    </row>
    <row r="79" spans="1:81">
      <c r="A79" s="121">
        <f>Roster!AL71*Roster!AH71+Roster!AM71*Roster!AG71+三國演義!H79+三國演義!I79+三國演義!J79</f>
        <v>0</v>
      </c>
      <c r="C79" s="66">
        <v>67</v>
      </c>
      <c r="D79" s="95" t="e">
        <f ca="1">_xlfn.XLOOKUP($E79,表格1[Name],表格1[Shop])</f>
        <v>#N/A</v>
      </c>
      <c r="E79" s="95"/>
      <c r="F79" s="96"/>
      <c r="G79" s="97"/>
      <c r="H79" s="96"/>
      <c r="I79" s="96"/>
      <c r="J79" s="51">
        <f t="shared" si="31"/>
        <v>0</v>
      </c>
      <c r="K79" s="111"/>
      <c r="L79" s="111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60" t="str">
        <f t="shared" si="30"/>
        <v xml:space="preserve"> off</v>
      </c>
      <c r="AB79" s="71">
        <f>_xlfn.XLOOKUP($E79,target[NAME],target[RC-DS10K/18K])</f>
        <v>0</v>
      </c>
      <c r="AC79" s="71">
        <f>_xlfn.XLOOKUP($E79,target[NAME],target[RC-18AMXH(W)])</f>
        <v>0</v>
      </c>
      <c r="AD79" s="71">
        <f>_xlfn.XLOOKUP($E79,target[NAME],target[EB-T500APW])</f>
        <v>0</v>
      </c>
      <c r="AE79" s="71">
        <f>_xlfn.XLOOKUP($E79,target[NAME],target[ER-VD7000HK(XK)])</f>
        <v>0</v>
      </c>
      <c r="AF79" s="71">
        <f>_xlfn.XLOOKUP($E79,target[NAME],target[TWDT21BU95])</f>
        <v>0</v>
      </c>
      <c r="AG79" s="71">
        <f>_xlfn.XLOOKUP($E79,target[NAME],target[AW-Q800APH(WW)])</f>
        <v>0</v>
      </c>
      <c r="AH79" s="71">
        <f>_xlfn.XLOOKUP($E79,target[NAME],target[AW-Q801APH(WW)])</f>
        <v>0</v>
      </c>
      <c r="AI79" s="71">
        <f>_xlfn.XLOOKUP($E79,target[NAME],target[GR-RM469WE-PGA(B3)])</f>
        <v>0</v>
      </c>
      <c r="AJ79" s="71">
        <f>_xlfn.XLOOKUP($E79,target[NAME],target[GR-RB449WE-PMA(57)])</f>
        <v>0</v>
      </c>
      <c r="AK79" s="71">
        <f>_xlfn.XLOOKUP($E79,target[NAME],target[GR-RB410WE-PMA(06)])</f>
        <v>0</v>
      </c>
      <c r="AL79" s="71">
        <f>_xlfn.XLOOKUP($E79,target[NAME],target[GR-RF698WI])</f>
        <v>0</v>
      </c>
      <c r="AM79" s="71">
        <f>_xlfn.XLOOKUP($E79,target[NAME],target[TWP-W2265THK(W)])</f>
        <v>0</v>
      </c>
      <c r="AN79" s="71">
        <f>_xlfn.XLOOKUP($E79,target[NAME],target[RAD-D200/250/300/DIA17])</f>
        <v>0</v>
      </c>
      <c r="AO79" s="71">
        <f>_xlfn.XLOOKUP($E79,target[NAME],target[(Fortress ONLY)TW-T25BZU115MWH(MG) ])</f>
        <v>0</v>
      </c>
      <c r="AP79" s="71">
        <f>_xlfn.XLOOKUP($E79,target[NAME],target[開門紅(三月)])</f>
        <v>0</v>
      </c>
      <c r="AQ79" s="71">
        <f>_xlfn.XLOOKUP($E79,target[NAME],target[開門紅(第一季)])</f>
        <v>0</v>
      </c>
      <c r="AR79" s="73">
        <f ca="1">SUMIFS(表格1[QTY],表格1[Model],三國演義!$AR$12,表格1[Name],三國演義!$E79)+SUMIFS(表格1[QTY],表格1[Model],三國演義!$AR$12,表格1[Name],三國演義!$AA79)</f>
        <v>0</v>
      </c>
      <c r="AS79" s="77">
        <f ca="1">IF($AR79&gt;=$AE79,$AR79*'3月Target'!$W$8,0)</f>
        <v>0</v>
      </c>
      <c r="AT79" s="44">
        <f ca="1">SUMIFS(表格1[QTY],表格1[Model],三國演義!$AT$12,表格1[Name],三國演義!$E79)+SUMIFS(表格1[QTY],表格1[Model],三國演義!$AT$12,表格1[Name],三國演義!$AA79)</f>
        <v>0</v>
      </c>
      <c r="AU79" s="44">
        <f ca="1">SUMIFS(表格1[QTY],表格1[Model],三國演義!$AU$12,表格1[Name],三國演義!$E79)+SUMIFS(表格1[QTY],表格1[Model],三國演義!$AU$12,表格1[Name],三國演義!$AA79)</f>
        <v>0</v>
      </c>
      <c r="AV79" s="44">
        <f ca="1">SUMIFS(表格1[QTY],表格1[Model],三國演義!$AV$12,表格1[Name],三國演義!$E79)+SUMIFS(表格1[QTY],表格1[Model],三國演義!$AV$12,表格1[Name],三國演義!$AA79)</f>
        <v>0</v>
      </c>
      <c r="AW79" s="44">
        <f ca="1">SUMIFS(表格1[QTY],表格1[Model],三國演義!$AW$12,表格1[Name],三國演義!$E79)+SUMIFS(表格1[QTY],表格1[Model],三國演義!$AW$12,表格1[Name],三國演義!$AA79)</f>
        <v>0</v>
      </c>
      <c r="AX79" s="50">
        <f ca="1">IF((SUM($AT79:$AW79))&gt;=$AB79,SUM($AT79:$AW79)*'3月Target'!$W$5,0)</f>
        <v>0</v>
      </c>
      <c r="AY79" s="44">
        <f ca="1">SUMIFS(表格1[QTY],表格1[Model],三國演義!$AY$12,表格1[Name],三國演義!$E79)+SUMIFS(表格1[QTY],表格1[Model],三國演義!$AY$12,表格1[Name],三國演義!$AA79)</f>
        <v>0</v>
      </c>
      <c r="AZ79" s="77">
        <f ca="1">IF($AY79&gt;=$AC79,$AY79*'3月Target'!$W$6,0)</f>
        <v>0</v>
      </c>
      <c r="BA79" s="44">
        <f ca="1">SUMIFS(表格1[QTY],表格1[Model],三國演義!$BA$12,表格1[Name],三國演義!$E79)+SUMIFS(表格1[QTY],表格1[Model],三國演義!$BA$12,表格1[Name],三國演義!$AA79)</f>
        <v>0</v>
      </c>
      <c r="BB79" s="77">
        <f ca="1">IF($BA79&gt;=$AD79,$BA79*'3月Target'!$W$7,0)</f>
        <v>0</v>
      </c>
      <c r="BC79" s="44">
        <f ca="1">SUMIFS(表格1[QTY],表格1[Model],三國演義!$BC$12,表格1[Name],三國演義!$E79)+SUMIFS(表格1[QTY],表格1[Model],三國演義!$BC$12,表格1[Name],三國演義!$AA79)</f>
        <v>0</v>
      </c>
      <c r="BD79" s="77">
        <f ca="1">IF($BC79&gt;=$AF79,$BC79*'3月Target'!$W$9,0)</f>
        <v>0</v>
      </c>
      <c r="BE79" s="44">
        <f ca="1">SUMIFS(表格1[QTY],表格1[Model],三國演義!$BE$12,表格1[Name],三國演義!$E79)+SUMIFS(表格1[QTY],表格1[Model],三國演義!$BE$12,表格1[Name],三國演義!$AA79)</f>
        <v>0</v>
      </c>
      <c r="BF79" s="77">
        <f ca="1">IF($BE79&gt;=$AG79,$BE79*'3月Target'!$W$10,0)</f>
        <v>0</v>
      </c>
      <c r="BG79" s="44">
        <f ca="1">SUMIFS(表格1[QTY],表格1[Model],三國演義!$BG$12,表格1[Name],三國演義!$E79)+SUMIFS(表格1[QTY],表格1[Model],三國演義!$BG$12,表格1[Name],三國演義!$AA79)</f>
        <v>0</v>
      </c>
      <c r="BH79" s="77">
        <f ca="1">IF($BG79&gt;=$AH79,$BG79*'3月Target'!$W$10,0)</f>
        <v>0</v>
      </c>
      <c r="BI79" s="44">
        <f ca="1">SUMIFS(表格1[QTY],表格1[Model],三國演義!$BI$12,表格1[Name],三國演義!$E79)+SUMIFS(表格1[QTY],表格1[Model],三國演義!$BI$12,表格1[Name],三國演義!$AA79)</f>
        <v>0</v>
      </c>
      <c r="BJ79" s="77">
        <f ca="1">IF($BI79&gt;=$AI79,$BI79*'3月Target'!$W$11,0)</f>
        <v>0</v>
      </c>
      <c r="BK79" s="44">
        <f ca="1">SUMIFS(表格1[QTY],表格1[Model],三國演義!$BK$12,表格1[Name],三國演義!$E79)+SUMIFS(表格1[QTY],表格1[Model],三國演義!$BK$12,表格1[Name],三國演義!$AA79)</f>
        <v>0</v>
      </c>
      <c r="BL79" s="77">
        <f ca="1">IF($BK79&gt;=$AJ79,$BK79*'3月Target'!$W$12,0)</f>
        <v>0</v>
      </c>
      <c r="BM79" s="44">
        <f ca="1">SUMIFS(表格1[QTY],表格1[Model],三國演義!$BM$12,表格1[Name],三國演義!$E79)+SUMIFS(表格1[QTY],表格1[Model],三國演義!$BM$12,表格1[Name],三國演義!$AA79)</f>
        <v>0</v>
      </c>
      <c r="BN79" s="77">
        <f ca="1">IF($BM79&gt;=$AK79,$BM79*'3月Target'!$W$13,0)</f>
        <v>0</v>
      </c>
      <c r="BO79" s="44">
        <f ca="1">SUMIFS(表格1[QTY],表格1[Model],三國演義!$BO$12,表格1[Name],三國演義!$E79)+SUMIFS(表格1[QTY],表格1[Model],三國演義!$BO$12,表格1[Name],三國演義!$AA79)</f>
        <v>0</v>
      </c>
      <c r="BP79" s="77">
        <f ca="1">IF($BO79&gt;=$AL79,$BO79*'3月Target'!$W$14,0)</f>
        <v>0</v>
      </c>
      <c r="BQ79" s="44">
        <f ca="1">SUMIFS(表格1[QTY],表格1[Model],三國演義!$BQ$12,表格1[Name],三國演義!$E79)+SUMIFS(表格1[QTY],表格1[Model],三國演義!$BQ$12,表格1[Name],三國演義!$AA79)</f>
        <v>0</v>
      </c>
      <c r="BR79" s="77">
        <f ca="1">IF($BQ79&gt;=$AM79,$BQ79*'3月Target'!$W$15,0)</f>
        <v>0</v>
      </c>
      <c r="BS79" s="44">
        <f ca="1">SUMIFS(表格1[QTY],表格1[Model],三國演義!$BS$12,表格1[Name],三國演義!$E79)+SUMIFS(表格1[QTY],表格1[Model],三國演義!$BS$12,表格1[Name],三國演義!$AA79)</f>
        <v>0</v>
      </c>
      <c r="BT79" s="44">
        <f ca="1">SUMIFS(表格1[QTY],表格1[Model],三國演義!$BT$12,表格1[Name],三國演義!$E79)+SUMIFS(表格1[QTY],表格1[Model],三國演義!$BT$12,表格1[Name],三國演義!$AA79)</f>
        <v>0</v>
      </c>
      <c r="BU79" s="44">
        <f ca="1">SUMIFS(表格1[QTY],表格1[Model],三國演義!$BU$12,表格1[Name],三國演義!$E79)+SUMIFS(表格1[QTY],表格1[Model],三國演義!$BU$12,表格1[Name],三國演義!$AA79)</f>
        <v>0</v>
      </c>
      <c r="BV79" s="44">
        <f ca="1">SUMIFS(表格1[QTY],表格1[Model],三國演義!$BV$12,表格1[Name],三國演義!$E79)+SUMIFS(表格1[QTY],表格1[Model],三國演義!$BV$12,表格1[Name],三國演義!$AA79)</f>
        <v>0</v>
      </c>
      <c r="BW79" s="77">
        <f ca="1">IF((SUM($BS79:$BV79))&gt;=$AN79,SUM($BS79:$BV79)*'3月Target'!$W$16,0)</f>
        <v>0</v>
      </c>
      <c r="BX79" s="44">
        <f ca="1">SUMIFS(表格1[QTY],表格1[Model],三國演義!$BX$12,表格1[Name],三國演義!$E79)+SUMIFS(表格1[QTY],表格1[Model],三國演義!$BX$12,表格1[Name],三國演義!$AA79)</f>
        <v>0</v>
      </c>
      <c r="BY79" s="77">
        <f ca="1">IF($BX79&gt;=$AO79,$BX79*'3月Target'!$W$17,0)</f>
        <v>0</v>
      </c>
      <c r="BZ79" s="146">
        <f t="shared" si="32"/>
        <v>0</v>
      </c>
      <c r="CA79" s="77">
        <f t="shared" si="33"/>
        <v>500</v>
      </c>
      <c r="CB79" s="146">
        <f t="shared" si="34"/>
        <v>0</v>
      </c>
      <c r="CC79" s="77">
        <f t="shared" si="35"/>
        <v>1000</v>
      </c>
    </row>
    <row r="80" spans="1:81">
      <c r="A80" s="121">
        <f>Roster!AL72*Roster!AH72+Roster!AM72*Roster!AG72+三國演義!H80+三國演義!I80+三國演義!J80</f>
        <v>0</v>
      </c>
      <c r="C80" s="66">
        <v>68</v>
      </c>
      <c r="D80" s="95" t="e">
        <f ca="1">_xlfn.XLOOKUP($E80,表格1[Name],表格1[Shop])</f>
        <v>#N/A</v>
      </c>
      <c r="E80" s="95"/>
      <c r="F80" s="96"/>
      <c r="G80" s="97"/>
      <c r="H80" s="96"/>
      <c r="I80" s="96"/>
      <c r="J80" s="51">
        <f t="shared" si="31"/>
        <v>0</v>
      </c>
      <c r="K80" s="111"/>
      <c r="L80" s="111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60" t="str">
        <f t="shared" si="30"/>
        <v xml:space="preserve"> off</v>
      </c>
      <c r="AB80" s="71">
        <f>_xlfn.XLOOKUP($E80,target[NAME],target[RC-DS10K/18K])</f>
        <v>0</v>
      </c>
      <c r="AC80" s="71">
        <f>_xlfn.XLOOKUP($E80,target[NAME],target[RC-18AMXH(W)])</f>
        <v>0</v>
      </c>
      <c r="AD80" s="71">
        <f>_xlfn.XLOOKUP($E80,target[NAME],target[EB-T500APW])</f>
        <v>0</v>
      </c>
      <c r="AE80" s="71">
        <f>_xlfn.XLOOKUP($E80,target[NAME],target[ER-VD7000HK(XK)])</f>
        <v>0</v>
      </c>
      <c r="AF80" s="71">
        <f>_xlfn.XLOOKUP($E80,target[NAME],target[TWDT21BU95])</f>
        <v>0</v>
      </c>
      <c r="AG80" s="71">
        <f>_xlfn.XLOOKUP($E80,target[NAME],target[AW-Q800APH(WW)])</f>
        <v>0</v>
      </c>
      <c r="AH80" s="71">
        <f>_xlfn.XLOOKUP($E80,target[NAME],target[AW-Q801APH(WW)])</f>
        <v>0</v>
      </c>
      <c r="AI80" s="71">
        <f>_xlfn.XLOOKUP($E80,target[NAME],target[GR-RM469WE-PGA(B3)])</f>
        <v>0</v>
      </c>
      <c r="AJ80" s="71">
        <f>_xlfn.XLOOKUP($E80,target[NAME],target[GR-RB449WE-PMA(57)])</f>
        <v>0</v>
      </c>
      <c r="AK80" s="71">
        <f>_xlfn.XLOOKUP($E80,target[NAME],target[GR-RB410WE-PMA(06)])</f>
        <v>0</v>
      </c>
      <c r="AL80" s="71">
        <f>_xlfn.XLOOKUP($E80,target[NAME],target[GR-RF698WI])</f>
        <v>0</v>
      </c>
      <c r="AM80" s="71">
        <f>_xlfn.XLOOKUP($E80,target[NAME],target[TWP-W2265THK(W)])</f>
        <v>0</v>
      </c>
      <c r="AN80" s="71">
        <f>_xlfn.XLOOKUP($E80,target[NAME],target[RAD-D200/250/300/DIA17])</f>
        <v>0</v>
      </c>
      <c r="AO80" s="71">
        <f>_xlfn.XLOOKUP($E80,target[NAME],target[(Fortress ONLY)TW-T25BZU115MWH(MG) ])</f>
        <v>0</v>
      </c>
      <c r="AP80" s="71">
        <f>_xlfn.XLOOKUP($E80,target[NAME],target[開門紅(三月)])</f>
        <v>0</v>
      </c>
      <c r="AQ80" s="71">
        <f>_xlfn.XLOOKUP($E80,target[NAME],target[開門紅(第一季)])</f>
        <v>0</v>
      </c>
      <c r="AR80" s="73">
        <f ca="1">SUMIFS(表格1[QTY],表格1[Model],三國演義!$AR$12,表格1[Name],三國演義!$E80)+SUMIFS(表格1[QTY],表格1[Model],三國演義!$AR$12,表格1[Name],三國演義!$AA80)</f>
        <v>0</v>
      </c>
      <c r="AS80" s="77">
        <f ca="1">IF($AR80&gt;=$AE80,$AR80*'3月Target'!$W$8,0)</f>
        <v>0</v>
      </c>
      <c r="AT80" s="44">
        <f ca="1">SUMIFS(表格1[QTY],表格1[Model],三國演義!$AT$12,表格1[Name],三國演義!$E80)+SUMIFS(表格1[QTY],表格1[Model],三國演義!$AT$12,表格1[Name],三國演義!$AA80)</f>
        <v>0</v>
      </c>
      <c r="AU80" s="44">
        <f ca="1">SUMIFS(表格1[QTY],表格1[Model],三國演義!$AU$12,表格1[Name],三國演義!$E80)+SUMIFS(表格1[QTY],表格1[Model],三國演義!$AU$12,表格1[Name],三國演義!$AA80)</f>
        <v>0</v>
      </c>
      <c r="AV80" s="44">
        <f ca="1">SUMIFS(表格1[QTY],表格1[Model],三國演義!$AV$12,表格1[Name],三國演義!$E80)+SUMIFS(表格1[QTY],表格1[Model],三國演義!$AV$12,表格1[Name],三國演義!$AA80)</f>
        <v>0</v>
      </c>
      <c r="AW80" s="44">
        <f ca="1">SUMIFS(表格1[QTY],表格1[Model],三國演義!$AW$12,表格1[Name],三國演義!$E80)+SUMIFS(表格1[QTY],表格1[Model],三國演義!$AW$12,表格1[Name],三國演義!$AA80)</f>
        <v>0</v>
      </c>
      <c r="AX80" s="50">
        <f ca="1">IF((SUM($AT80:$AW80))&gt;=$AB80,SUM($AT80:$AW80)*'3月Target'!$W$5,0)</f>
        <v>0</v>
      </c>
      <c r="AY80" s="44">
        <f ca="1">SUMIFS(表格1[QTY],表格1[Model],三國演義!$AY$12,表格1[Name],三國演義!$E80)+SUMIFS(表格1[QTY],表格1[Model],三國演義!$AY$12,表格1[Name],三國演義!$AA80)</f>
        <v>0</v>
      </c>
      <c r="AZ80" s="77">
        <f ca="1">IF($AY80&gt;=$AC80,$AY80*'3月Target'!$W$6,0)</f>
        <v>0</v>
      </c>
      <c r="BA80" s="44">
        <f ca="1">SUMIFS(表格1[QTY],表格1[Model],三國演義!$BA$12,表格1[Name],三國演義!$E80)+SUMIFS(表格1[QTY],表格1[Model],三國演義!$BA$12,表格1[Name],三國演義!$AA80)</f>
        <v>0</v>
      </c>
      <c r="BB80" s="77">
        <f ca="1">IF($BA80&gt;=$AD80,$BA80*'3月Target'!$W$7,0)</f>
        <v>0</v>
      </c>
      <c r="BC80" s="44">
        <f ca="1">SUMIFS(表格1[QTY],表格1[Model],三國演義!$BC$12,表格1[Name],三國演義!$E80)+SUMIFS(表格1[QTY],表格1[Model],三國演義!$BC$12,表格1[Name],三國演義!$AA80)</f>
        <v>0</v>
      </c>
      <c r="BD80" s="77">
        <f ca="1">IF($BC80&gt;=$AF80,$BC80*'3月Target'!$W$9,0)</f>
        <v>0</v>
      </c>
      <c r="BE80" s="44">
        <f ca="1">SUMIFS(表格1[QTY],表格1[Model],三國演義!$BE$12,表格1[Name],三國演義!$E80)+SUMIFS(表格1[QTY],表格1[Model],三國演義!$BE$12,表格1[Name],三國演義!$AA80)</f>
        <v>0</v>
      </c>
      <c r="BF80" s="77">
        <f ca="1">IF($BE80&gt;=$AG80,$BE80*'3月Target'!$W$10,0)</f>
        <v>0</v>
      </c>
      <c r="BG80" s="44">
        <f ca="1">SUMIFS(表格1[QTY],表格1[Model],三國演義!$BG$12,表格1[Name],三國演義!$E80)+SUMIFS(表格1[QTY],表格1[Model],三國演義!$BG$12,表格1[Name],三國演義!$AA80)</f>
        <v>0</v>
      </c>
      <c r="BH80" s="77">
        <f ca="1">IF($BG80&gt;=$AH80,$BG80*'3月Target'!$W$10,0)</f>
        <v>0</v>
      </c>
      <c r="BI80" s="44">
        <f ca="1">SUMIFS(表格1[QTY],表格1[Model],三國演義!$BI$12,表格1[Name],三國演義!$E80)+SUMIFS(表格1[QTY],表格1[Model],三國演義!$BI$12,表格1[Name],三國演義!$AA80)</f>
        <v>0</v>
      </c>
      <c r="BJ80" s="77">
        <f ca="1">IF($BI80&gt;=$AI80,$BI80*'3月Target'!$W$11,0)</f>
        <v>0</v>
      </c>
      <c r="BK80" s="44">
        <f ca="1">SUMIFS(表格1[QTY],表格1[Model],三國演義!$BK$12,表格1[Name],三國演義!$E80)+SUMIFS(表格1[QTY],表格1[Model],三國演義!$BK$12,表格1[Name],三國演義!$AA80)</f>
        <v>0</v>
      </c>
      <c r="BL80" s="77">
        <f ca="1">IF($BK80&gt;=$AJ80,$BK80*'3月Target'!$W$12,0)</f>
        <v>0</v>
      </c>
      <c r="BM80" s="44">
        <f ca="1">SUMIFS(表格1[QTY],表格1[Model],三國演義!$BM$12,表格1[Name],三國演義!$E80)+SUMIFS(表格1[QTY],表格1[Model],三國演義!$BM$12,表格1[Name],三國演義!$AA80)</f>
        <v>0</v>
      </c>
      <c r="BN80" s="77">
        <f ca="1">IF($BM80&gt;=$AK80,$BM80*'3月Target'!$W$13,0)</f>
        <v>0</v>
      </c>
      <c r="BO80" s="44">
        <f ca="1">SUMIFS(表格1[QTY],表格1[Model],三國演義!$BO$12,表格1[Name],三國演義!$E80)+SUMIFS(表格1[QTY],表格1[Model],三國演義!$BO$12,表格1[Name],三國演義!$AA80)</f>
        <v>0</v>
      </c>
      <c r="BP80" s="77">
        <f ca="1">IF($BO80&gt;=$AL80,$BO80*'3月Target'!$W$14,0)</f>
        <v>0</v>
      </c>
      <c r="BQ80" s="44">
        <f ca="1">SUMIFS(表格1[QTY],表格1[Model],三國演義!$BQ$12,表格1[Name],三國演義!$E80)+SUMIFS(表格1[QTY],表格1[Model],三國演義!$BQ$12,表格1[Name],三國演義!$AA80)</f>
        <v>0</v>
      </c>
      <c r="BR80" s="77">
        <f ca="1">IF($BQ80&gt;=$AM80,$BQ80*'3月Target'!$W$15,0)</f>
        <v>0</v>
      </c>
      <c r="BS80" s="44">
        <f ca="1">SUMIFS(表格1[QTY],表格1[Model],三國演義!$BS$12,表格1[Name],三國演義!$E80)+SUMIFS(表格1[QTY],表格1[Model],三國演義!$BS$12,表格1[Name],三國演義!$AA80)</f>
        <v>0</v>
      </c>
      <c r="BT80" s="44">
        <f ca="1">SUMIFS(表格1[QTY],表格1[Model],三國演義!$BT$12,表格1[Name],三國演義!$E80)+SUMIFS(表格1[QTY],表格1[Model],三國演義!$BT$12,表格1[Name],三國演義!$AA80)</f>
        <v>0</v>
      </c>
      <c r="BU80" s="44">
        <f ca="1">SUMIFS(表格1[QTY],表格1[Model],三國演義!$BU$12,表格1[Name],三國演義!$E80)+SUMIFS(表格1[QTY],表格1[Model],三國演義!$BU$12,表格1[Name],三國演義!$AA80)</f>
        <v>0</v>
      </c>
      <c r="BV80" s="44">
        <f ca="1">SUMIFS(表格1[QTY],表格1[Model],三國演義!$BV$12,表格1[Name],三國演義!$E80)+SUMIFS(表格1[QTY],表格1[Model],三國演義!$BV$12,表格1[Name],三國演義!$AA80)</f>
        <v>0</v>
      </c>
      <c r="BW80" s="77">
        <f ca="1">IF((SUM($BS80:$BV80))&gt;=$AN80,SUM($BS80:$BV80)*'3月Target'!$W$16,0)</f>
        <v>0</v>
      </c>
      <c r="BX80" s="44">
        <f ca="1">SUMIFS(表格1[QTY],表格1[Model],三國演義!$BX$12,表格1[Name],三國演義!$E80)+SUMIFS(表格1[QTY],表格1[Model],三國演義!$BX$12,表格1[Name],三國演義!$AA80)</f>
        <v>0</v>
      </c>
      <c r="BY80" s="77">
        <f ca="1">IF($BX80&gt;=$AO80,$BX80*'3月Target'!$W$17,0)</f>
        <v>0</v>
      </c>
      <c r="BZ80" s="146">
        <f t="shared" si="32"/>
        <v>0</v>
      </c>
      <c r="CA80" s="77">
        <f t="shared" si="33"/>
        <v>500</v>
      </c>
      <c r="CB80" s="146">
        <f t="shared" si="34"/>
        <v>0</v>
      </c>
      <c r="CC80" s="77">
        <f t="shared" si="35"/>
        <v>1000</v>
      </c>
    </row>
    <row r="81" spans="1:81">
      <c r="A81" s="121">
        <f>Roster!AL73*Roster!AH73+Roster!AM73*Roster!AG73+三國演義!H81+三國演義!I81+三國演義!J81</f>
        <v>0</v>
      </c>
      <c r="C81" s="66"/>
      <c r="D81" s="95" t="e">
        <f ca="1">_xlfn.XLOOKUP($E81,表格1[Name],表格1[Shop])</f>
        <v>#N/A</v>
      </c>
      <c r="E81" s="95"/>
      <c r="F81" s="96"/>
      <c r="G81" s="97"/>
      <c r="H81" s="96"/>
      <c r="I81" s="96"/>
      <c r="J81" s="51">
        <f t="shared" si="31"/>
        <v>0</v>
      </c>
      <c r="K81" s="111"/>
      <c r="L81" s="111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60" t="str">
        <f t="shared" si="30"/>
        <v xml:space="preserve"> off</v>
      </c>
      <c r="AB81" s="71">
        <f>_xlfn.XLOOKUP($E81,target[NAME],target[RC-DS10K/18K])</f>
        <v>0</v>
      </c>
      <c r="AC81" s="71">
        <f>_xlfn.XLOOKUP($E81,target[NAME],target[RC-18AMXH(W)])</f>
        <v>0</v>
      </c>
      <c r="AD81" s="71">
        <f>_xlfn.XLOOKUP($E81,target[NAME],target[EB-T500APW])</f>
        <v>0</v>
      </c>
      <c r="AE81" s="71">
        <f>_xlfn.XLOOKUP($E81,target[NAME],target[ER-VD7000HK(XK)])</f>
        <v>0</v>
      </c>
      <c r="AF81" s="71">
        <f>_xlfn.XLOOKUP($E81,target[NAME],target[TWDT21BU95])</f>
        <v>0</v>
      </c>
      <c r="AG81" s="71">
        <f>_xlfn.XLOOKUP($E81,target[NAME],target[AW-Q800APH(WW)])</f>
        <v>0</v>
      </c>
      <c r="AH81" s="71">
        <f>_xlfn.XLOOKUP($E81,target[NAME],target[AW-Q801APH(WW)])</f>
        <v>0</v>
      </c>
      <c r="AI81" s="71">
        <f>_xlfn.XLOOKUP($E81,target[NAME],target[GR-RM469WE-PGA(B3)])</f>
        <v>0</v>
      </c>
      <c r="AJ81" s="71">
        <f>_xlfn.XLOOKUP($E81,target[NAME],target[GR-RB449WE-PMA(57)])</f>
        <v>0</v>
      </c>
      <c r="AK81" s="71">
        <f>_xlfn.XLOOKUP($E81,target[NAME],target[GR-RB410WE-PMA(06)])</f>
        <v>0</v>
      </c>
      <c r="AL81" s="71">
        <f>_xlfn.XLOOKUP($E81,target[NAME],target[GR-RF698WI])</f>
        <v>0</v>
      </c>
      <c r="AM81" s="71">
        <f>_xlfn.XLOOKUP($E81,target[NAME],target[TWP-W2265THK(W)])</f>
        <v>0</v>
      </c>
      <c r="AN81" s="71">
        <f>_xlfn.XLOOKUP($E81,target[NAME],target[RAD-D200/250/300/DIA17])</f>
        <v>0</v>
      </c>
      <c r="AO81" s="71">
        <f>_xlfn.XLOOKUP($E81,target[NAME],target[(Fortress ONLY)TW-T25BZU115MWH(MG) ])</f>
        <v>0</v>
      </c>
      <c r="AP81" s="71">
        <f>_xlfn.XLOOKUP($E81,target[NAME],target[開門紅(三月)])</f>
        <v>0</v>
      </c>
      <c r="AQ81" s="71">
        <f>_xlfn.XLOOKUP($E81,target[NAME],target[開門紅(第一季)])</f>
        <v>0</v>
      </c>
      <c r="AR81" s="73">
        <f ca="1">SUMIFS(表格1[QTY],表格1[Model],三國演義!$AR$12,表格1[Name],三國演義!$E81)+SUMIFS(表格1[QTY],表格1[Model],三國演義!$AR$12,表格1[Name],三國演義!$AA81)</f>
        <v>0</v>
      </c>
      <c r="AS81" s="77">
        <f ca="1">IF($AR81&gt;=$AE81,$AR81*'3月Target'!$W$8,0)</f>
        <v>0</v>
      </c>
      <c r="AT81" s="44">
        <f ca="1">SUMIFS(表格1[QTY],表格1[Model],三國演義!$AT$12,表格1[Name],三國演義!$E81)+SUMIFS(表格1[QTY],表格1[Model],三國演義!$AT$12,表格1[Name],三國演義!$AA81)</f>
        <v>0</v>
      </c>
      <c r="AU81" s="44">
        <f ca="1">SUMIFS(表格1[QTY],表格1[Model],三國演義!$AU$12,表格1[Name],三國演義!$E81)+SUMIFS(表格1[QTY],表格1[Model],三國演義!$AU$12,表格1[Name],三國演義!$AA81)</f>
        <v>0</v>
      </c>
      <c r="AV81" s="44">
        <f ca="1">SUMIFS(表格1[QTY],表格1[Model],三國演義!$AV$12,表格1[Name],三國演義!$E81)+SUMIFS(表格1[QTY],表格1[Model],三國演義!$AV$12,表格1[Name],三國演義!$AA81)</f>
        <v>0</v>
      </c>
      <c r="AW81" s="44">
        <f ca="1">SUMIFS(表格1[QTY],表格1[Model],三國演義!$AW$12,表格1[Name],三國演義!$E81)+SUMIFS(表格1[QTY],表格1[Model],三國演義!$AW$12,表格1[Name],三國演義!$AA81)</f>
        <v>0</v>
      </c>
      <c r="AX81" s="50">
        <f ca="1">IF((SUM($AT81:$AW81))&gt;=$AB81,SUM($AT81:$AW81)*'3月Target'!$W$5,0)</f>
        <v>0</v>
      </c>
      <c r="AY81" s="44">
        <f ca="1">SUMIFS(表格1[QTY],表格1[Model],三國演義!$AY$12,表格1[Name],三國演義!$E81)+SUMIFS(表格1[QTY],表格1[Model],三國演義!$AY$12,表格1[Name],三國演義!$AA81)</f>
        <v>0</v>
      </c>
      <c r="AZ81" s="77">
        <f ca="1">IF($AY81&gt;=$AC81,$AY81*'3月Target'!$W$6,0)</f>
        <v>0</v>
      </c>
      <c r="BA81" s="44">
        <f ca="1">SUMIFS(表格1[QTY],表格1[Model],三國演義!$BA$12,表格1[Name],三國演義!$E81)+SUMIFS(表格1[QTY],表格1[Model],三國演義!$BA$12,表格1[Name],三國演義!$AA81)</f>
        <v>0</v>
      </c>
      <c r="BB81" s="77">
        <f ca="1">IF($BA81&gt;=$AD81,$BA81*'3月Target'!$W$7,0)</f>
        <v>0</v>
      </c>
      <c r="BC81" s="44">
        <f ca="1">SUMIFS(表格1[QTY],表格1[Model],三國演義!$BC$12,表格1[Name],三國演義!$E81)+SUMIFS(表格1[QTY],表格1[Model],三國演義!$BC$12,表格1[Name],三國演義!$AA81)</f>
        <v>0</v>
      </c>
      <c r="BD81" s="77">
        <f ca="1">IF($BC81&gt;=$AF81,$BC81*'3月Target'!$W$9,0)</f>
        <v>0</v>
      </c>
      <c r="BE81" s="44">
        <f ca="1">SUMIFS(表格1[QTY],表格1[Model],三國演義!$BE$12,表格1[Name],三國演義!$E81)+SUMIFS(表格1[QTY],表格1[Model],三國演義!$BE$12,表格1[Name],三國演義!$AA81)</f>
        <v>0</v>
      </c>
      <c r="BF81" s="77">
        <f ca="1">IF($BE81&gt;=$AG81,$BE81*'3月Target'!$W$10,0)</f>
        <v>0</v>
      </c>
      <c r="BG81" s="44">
        <f ca="1">SUMIFS(表格1[QTY],表格1[Model],三國演義!$BG$12,表格1[Name],三國演義!$E81)+SUMIFS(表格1[QTY],表格1[Model],三國演義!$BG$12,表格1[Name],三國演義!$AA81)</f>
        <v>0</v>
      </c>
      <c r="BH81" s="77">
        <f ca="1">IF($BG81&gt;=$AH81,$BG81*'3月Target'!$W$10,0)</f>
        <v>0</v>
      </c>
      <c r="BI81" s="44">
        <f ca="1">SUMIFS(表格1[QTY],表格1[Model],三國演義!$BI$12,表格1[Name],三國演義!$E81)+SUMIFS(表格1[QTY],表格1[Model],三國演義!$BI$12,表格1[Name],三國演義!$AA81)</f>
        <v>0</v>
      </c>
      <c r="BJ81" s="77">
        <f ca="1">IF($BI81&gt;=$AI81,$BI81*'3月Target'!$W$11,0)</f>
        <v>0</v>
      </c>
      <c r="BK81" s="44">
        <f ca="1">SUMIFS(表格1[QTY],表格1[Model],三國演義!$BK$12,表格1[Name],三國演義!$E81)+SUMIFS(表格1[QTY],表格1[Model],三國演義!$BK$12,表格1[Name],三國演義!$AA81)</f>
        <v>0</v>
      </c>
      <c r="BL81" s="77">
        <f ca="1">IF($BK81&gt;=$AJ81,$BK81*'3月Target'!$W$12,0)</f>
        <v>0</v>
      </c>
      <c r="BM81" s="44">
        <f ca="1">SUMIFS(表格1[QTY],表格1[Model],三國演義!$BM$12,表格1[Name],三國演義!$E81)+SUMIFS(表格1[QTY],表格1[Model],三國演義!$BM$12,表格1[Name],三國演義!$AA81)</f>
        <v>0</v>
      </c>
      <c r="BN81" s="77">
        <f ca="1">IF($BM81&gt;=$AK81,$BM81*'3月Target'!$W$13,0)</f>
        <v>0</v>
      </c>
      <c r="BO81" s="44">
        <f ca="1">SUMIFS(表格1[QTY],表格1[Model],三國演義!$BO$12,表格1[Name],三國演義!$E81)+SUMIFS(表格1[QTY],表格1[Model],三國演義!$BO$12,表格1[Name],三國演義!$AA81)</f>
        <v>0</v>
      </c>
      <c r="BP81" s="77">
        <f ca="1">IF($BO81&gt;=$AL81,$BO81*'3月Target'!$W$14,0)</f>
        <v>0</v>
      </c>
      <c r="BQ81" s="44">
        <f ca="1">SUMIFS(表格1[QTY],表格1[Model],三國演義!$BQ$12,表格1[Name],三國演義!$E81)+SUMIFS(表格1[QTY],表格1[Model],三國演義!$BQ$12,表格1[Name],三國演義!$AA81)</f>
        <v>0</v>
      </c>
      <c r="BR81" s="77">
        <f ca="1">IF($BQ81&gt;=$AM81,$BQ81*'3月Target'!$W$15,0)</f>
        <v>0</v>
      </c>
      <c r="BS81" s="44">
        <f ca="1">SUMIFS(表格1[QTY],表格1[Model],三國演義!$BS$12,表格1[Name],三國演義!$E81)+SUMIFS(表格1[QTY],表格1[Model],三國演義!$BS$12,表格1[Name],三國演義!$AA81)</f>
        <v>0</v>
      </c>
      <c r="BT81" s="44">
        <f ca="1">SUMIFS(表格1[QTY],表格1[Model],三國演義!$BT$12,表格1[Name],三國演義!$E81)+SUMIFS(表格1[QTY],表格1[Model],三國演義!$BT$12,表格1[Name],三國演義!$AA81)</f>
        <v>0</v>
      </c>
      <c r="BU81" s="44">
        <f ca="1">SUMIFS(表格1[QTY],表格1[Model],三國演義!$BU$12,表格1[Name],三國演義!$E81)+SUMIFS(表格1[QTY],表格1[Model],三國演義!$BU$12,表格1[Name],三國演義!$AA81)</f>
        <v>0</v>
      </c>
      <c r="BV81" s="44">
        <f ca="1">SUMIFS(表格1[QTY],表格1[Model],三國演義!$BV$12,表格1[Name],三國演義!$E81)+SUMIFS(表格1[QTY],表格1[Model],三國演義!$BV$12,表格1[Name],三國演義!$AA81)</f>
        <v>0</v>
      </c>
      <c r="BW81" s="77">
        <f ca="1">IF((SUM($BS81:$BV81))&gt;=$AN81,SUM($BS81:$BV81)*'3月Target'!$W$16,0)</f>
        <v>0</v>
      </c>
      <c r="BX81" s="44">
        <f ca="1">SUMIFS(表格1[QTY],表格1[Model],三國演義!$BX$12,表格1[Name],三國演義!$E81)+SUMIFS(表格1[QTY],表格1[Model],三國演義!$BX$12,表格1[Name],三國演義!$AA81)</f>
        <v>0</v>
      </c>
      <c r="BY81" s="77">
        <f ca="1">IF($BX81&gt;=$AO81,$BX81*'3月Target'!$W$17,0)</f>
        <v>0</v>
      </c>
      <c r="BZ81" s="146">
        <f t="shared" si="32"/>
        <v>0</v>
      </c>
      <c r="CA81" s="77">
        <f t="shared" si="33"/>
        <v>500</v>
      </c>
      <c r="CB81" s="146">
        <f t="shared" si="34"/>
        <v>0</v>
      </c>
      <c r="CC81" s="77">
        <f t="shared" si="35"/>
        <v>1000</v>
      </c>
    </row>
    <row r="82" spans="1:81">
      <c r="A82" s="121">
        <f>Roster!AL74*Roster!AH74+Roster!AM74*Roster!AG74+三國演義!H82+三國演義!I82+三國演義!J82</f>
        <v>0</v>
      </c>
      <c r="C82" s="66"/>
      <c r="D82" s="95" t="e">
        <f ca="1">_xlfn.XLOOKUP($E82,表格1[Name],表格1[Shop])</f>
        <v>#N/A</v>
      </c>
      <c r="E82" s="95"/>
      <c r="F82" s="96"/>
      <c r="G82" s="97"/>
      <c r="H82" s="96"/>
      <c r="I82" s="96"/>
      <c r="J82" s="51">
        <f t="shared" si="31"/>
        <v>0</v>
      </c>
      <c r="K82" s="111"/>
      <c r="L82" s="111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60" t="str">
        <f t="shared" si="30"/>
        <v xml:space="preserve"> off</v>
      </c>
      <c r="AB82" s="71">
        <f>_xlfn.XLOOKUP($E82,target[NAME],target[RC-DS10K/18K])</f>
        <v>0</v>
      </c>
      <c r="AC82" s="71">
        <f>_xlfn.XLOOKUP($E82,target[NAME],target[RC-18AMXH(W)])</f>
        <v>0</v>
      </c>
      <c r="AD82" s="71">
        <f>_xlfn.XLOOKUP($E82,target[NAME],target[EB-T500APW])</f>
        <v>0</v>
      </c>
      <c r="AE82" s="71">
        <f>_xlfn.XLOOKUP($E82,target[NAME],target[ER-VD7000HK(XK)])</f>
        <v>0</v>
      </c>
      <c r="AF82" s="71">
        <f>_xlfn.XLOOKUP($E82,target[NAME],target[TWDT21BU95])</f>
        <v>0</v>
      </c>
      <c r="AG82" s="71">
        <f>_xlfn.XLOOKUP($E82,target[NAME],target[AW-Q800APH(WW)])</f>
        <v>0</v>
      </c>
      <c r="AH82" s="71">
        <f>_xlfn.XLOOKUP($E82,target[NAME],target[AW-Q801APH(WW)])</f>
        <v>0</v>
      </c>
      <c r="AI82" s="71">
        <f>_xlfn.XLOOKUP($E82,target[NAME],target[GR-RM469WE-PGA(B3)])</f>
        <v>0</v>
      </c>
      <c r="AJ82" s="71">
        <f>_xlfn.XLOOKUP($E82,target[NAME],target[GR-RB449WE-PMA(57)])</f>
        <v>0</v>
      </c>
      <c r="AK82" s="71">
        <f>_xlfn.XLOOKUP($E82,target[NAME],target[GR-RB410WE-PMA(06)])</f>
        <v>0</v>
      </c>
      <c r="AL82" s="71">
        <f>_xlfn.XLOOKUP($E82,target[NAME],target[GR-RF698WI])</f>
        <v>0</v>
      </c>
      <c r="AM82" s="71">
        <f>_xlfn.XLOOKUP($E82,target[NAME],target[TWP-W2265THK(W)])</f>
        <v>0</v>
      </c>
      <c r="AN82" s="71">
        <f>_xlfn.XLOOKUP($E82,target[NAME],target[RAD-D200/250/300/DIA17])</f>
        <v>0</v>
      </c>
      <c r="AO82" s="71">
        <f>_xlfn.XLOOKUP($E82,target[NAME],target[(Fortress ONLY)TW-T25BZU115MWH(MG) ])</f>
        <v>0</v>
      </c>
      <c r="AP82" s="71">
        <f>_xlfn.XLOOKUP($E82,target[NAME],target[開門紅(三月)])</f>
        <v>0</v>
      </c>
      <c r="AQ82" s="71">
        <f>_xlfn.XLOOKUP($E82,target[NAME],target[開門紅(第一季)])</f>
        <v>0</v>
      </c>
      <c r="AR82" s="73">
        <f ca="1">SUMIFS(表格1[QTY],表格1[Model],三國演義!$AR$12,表格1[Name],三國演義!$E82)+SUMIFS(表格1[QTY],表格1[Model],三國演義!$AR$12,表格1[Name],三國演義!$AA82)</f>
        <v>0</v>
      </c>
      <c r="AS82" s="77">
        <f ca="1">IF($AR82&gt;=$AE82,$AR82*'3月Target'!$W$8,0)</f>
        <v>0</v>
      </c>
      <c r="AT82" s="44">
        <f ca="1">SUMIFS(表格1[QTY],表格1[Model],三國演義!$AT$12,表格1[Name],三國演義!$E82)+SUMIFS(表格1[QTY],表格1[Model],三國演義!$AT$12,表格1[Name],三國演義!$AA82)</f>
        <v>0</v>
      </c>
      <c r="AU82" s="44">
        <f ca="1">SUMIFS(表格1[QTY],表格1[Model],三國演義!$AU$12,表格1[Name],三國演義!$E82)+SUMIFS(表格1[QTY],表格1[Model],三國演義!$AU$12,表格1[Name],三國演義!$AA82)</f>
        <v>0</v>
      </c>
      <c r="AV82" s="44">
        <f ca="1">SUMIFS(表格1[QTY],表格1[Model],三國演義!$AV$12,表格1[Name],三國演義!$E82)+SUMIFS(表格1[QTY],表格1[Model],三國演義!$AV$12,表格1[Name],三國演義!$AA82)</f>
        <v>0</v>
      </c>
      <c r="AW82" s="44">
        <f ca="1">SUMIFS(表格1[QTY],表格1[Model],三國演義!$AW$12,表格1[Name],三國演義!$E82)+SUMIFS(表格1[QTY],表格1[Model],三國演義!$AW$12,表格1[Name],三國演義!$AA82)</f>
        <v>0</v>
      </c>
      <c r="AX82" s="50">
        <f ca="1">IF((SUM($AT82:$AW82))&gt;=$AB82,SUM($AT82:$AW82)*'3月Target'!$W$5,0)</f>
        <v>0</v>
      </c>
      <c r="AY82" s="44">
        <f ca="1">SUMIFS(表格1[QTY],表格1[Model],三國演義!$AY$12,表格1[Name],三國演義!$E82)+SUMIFS(表格1[QTY],表格1[Model],三國演義!$AY$12,表格1[Name],三國演義!$AA82)</f>
        <v>0</v>
      </c>
      <c r="AZ82" s="77">
        <f ca="1">IF($AY82&gt;=$AC82,$AY82*'3月Target'!$W$6,0)</f>
        <v>0</v>
      </c>
      <c r="BA82" s="44">
        <f ca="1">SUMIFS(表格1[QTY],表格1[Model],三國演義!$BA$12,表格1[Name],三國演義!$E82)+SUMIFS(表格1[QTY],表格1[Model],三國演義!$BA$12,表格1[Name],三國演義!$AA82)</f>
        <v>0</v>
      </c>
      <c r="BB82" s="77">
        <f ca="1">IF($BA82&gt;=$AD82,$BA82*'3月Target'!$W$7,0)</f>
        <v>0</v>
      </c>
      <c r="BC82" s="44">
        <f ca="1">SUMIFS(表格1[QTY],表格1[Model],三國演義!$BC$12,表格1[Name],三國演義!$E82)+SUMIFS(表格1[QTY],表格1[Model],三國演義!$BC$12,表格1[Name],三國演義!$AA82)</f>
        <v>0</v>
      </c>
      <c r="BD82" s="77">
        <f ca="1">IF($BC82&gt;=$AF82,$BC82*'3月Target'!$W$9,0)</f>
        <v>0</v>
      </c>
      <c r="BE82" s="44">
        <f ca="1">SUMIFS(表格1[QTY],表格1[Model],三國演義!$BE$12,表格1[Name],三國演義!$E82)+SUMIFS(表格1[QTY],表格1[Model],三國演義!$BE$12,表格1[Name],三國演義!$AA82)</f>
        <v>0</v>
      </c>
      <c r="BF82" s="77">
        <f ca="1">IF($BE82&gt;=$AG82,$BE82*'3月Target'!$W$10,0)</f>
        <v>0</v>
      </c>
      <c r="BG82" s="44">
        <f ca="1">SUMIFS(表格1[QTY],表格1[Model],三國演義!$BG$12,表格1[Name],三國演義!$E82)+SUMIFS(表格1[QTY],表格1[Model],三國演義!$BG$12,表格1[Name],三國演義!$AA82)</f>
        <v>0</v>
      </c>
      <c r="BH82" s="77">
        <f ca="1">IF($BG82&gt;=$AH82,$BG82*'3月Target'!$W$10,0)</f>
        <v>0</v>
      </c>
      <c r="BI82" s="44">
        <f ca="1">SUMIFS(表格1[QTY],表格1[Model],三國演義!$BI$12,表格1[Name],三國演義!$E82)+SUMIFS(表格1[QTY],表格1[Model],三國演義!$BI$12,表格1[Name],三國演義!$AA82)</f>
        <v>0</v>
      </c>
      <c r="BJ82" s="77">
        <f ca="1">IF($BI82&gt;=$AI82,$BI82*'3月Target'!$W$11,0)</f>
        <v>0</v>
      </c>
      <c r="BK82" s="44">
        <f ca="1">SUMIFS(表格1[QTY],表格1[Model],三國演義!$BK$12,表格1[Name],三國演義!$E82)+SUMIFS(表格1[QTY],表格1[Model],三國演義!$BK$12,表格1[Name],三國演義!$AA82)</f>
        <v>0</v>
      </c>
      <c r="BL82" s="77">
        <f ca="1">IF($BK82&gt;=$AJ82,$BK82*'3月Target'!$W$12,0)</f>
        <v>0</v>
      </c>
      <c r="BM82" s="44">
        <f ca="1">SUMIFS(表格1[QTY],表格1[Model],三國演義!$BM$12,表格1[Name],三國演義!$E82)+SUMIFS(表格1[QTY],表格1[Model],三國演義!$BM$12,表格1[Name],三國演義!$AA82)</f>
        <v>0</v>
      </c>
      <c r="BN82" s="77">
        <f ca="1">IF($BM82&gt;=$AK82,$BM82*'3月Target'!$W$13,0)</f>
        <v>0</v>
      </c>
      <c r="BO82" s="44">
        <f ca="1">SUMIFS(表格1[QTY],表格1[Model],三國演義!$BO$12,表格1[Name],三國演義!$E82)+SUMIFS(表格1[QTY],表格1[Model],三國演義!$BO$12,表格1[Name],三國演義!$AA82)</f>
        <v>0</v>
      </c>
      <c r="BP82" s="77">
        <f ca="1">IF($BO82&gt;=$AL82,$BO82*'3月Target'!$W$14,0)</f>
        <v>0</v>
      </c>
      <c r="BQ82" s="44">
        <f ca="1">SUMIFS(表格1[QTY],表格1[Model],三國演義!$BQ$12,表格1[Name],三國演義!$E82)+SUMIFS(表格1[QTY],表格1[Model],三國演義!$BQ$12,表格1[Name],三國演義!$AA82)</f>
        <v>0</v>
      </c>
      <c r="BR82" s="77">
        <f ca="1">IF($BQ82&gt;=$AM82,$BQ82*'3月Target'!$W$15,0)</f>
        <v>0</v>
      </c>
      <c r="BS82" s="44">
        <f ca="1">SUMIFS(表格1[QTY],表格1[Model],三國演義!$BS$12,表格1[Name],三國演義!$E82)+SUMIFS(表格1[QTY],表格1[Model],三國演義!$BS$12,表格1[Name],三國演義!$AA82)</f>
        <v>0</v>
      </c>
      <c r="BT82" s="44">
        <f ca="1">SUMIFS(表格1[QTY],表格1[Model],三國演義!$BT$12,表格1[Name],三國演義!$E82)+SUMIFS(表格1[QTY],表格1[Model],三國演義!$BT$12,表格1[Name],三國演義!$AA82)</f>
        <v>0</v>
      </c>
      <c r="BU82" s="44">
        <f ca="1">SUMIFS(表格1[QTY],表格1[Model],三國演義!$BU$12,表格1[Name],三國演義!$E82)+SUMIFS(表格1[QTY],表格1[Model],三國演義!$BU$12,表格1[Name],三國演義!$AA82)</f>
        <v>0</v>
      </c>
      <c r="BV82" s="44">
        <f ca="1">SUMIFS(表格1[QTY],表格1[Model],三國演義!$BV$12,表格1[Name],三國演義!$E82)+SUMIFS(表格1[QTY],表格1[Model],三國演義!$BV$12,表格1[Name],三國演義!$AA82)</f>
        <v>0</v>
      </c>
      <c r="BW82" s="77">
        <f ca="1">IF((SUM($BS82:$BV82))&gt;=$AN82,SUM($BS82:$BV82)*'3月Target'!$W$16,0)</f>
        <v>0</v>
      </c>
      <c r="BX82" s="44">
        <f ca="1">SUMIFS(表格1[QTY],表格1[Model],三國演義!$BX$12,表格1[Name],三國演義!$E82)+SUMIFS(表格1[QTY],表格1[Model],三國演義!$BX$12,表格1[Name],三國演義!$AA82)</f>
        <v>0</v>
      </c>
      <c r="BY82" s="77">
        <f ca="1">IF($BX82&gt;=$AO82,$BX82*'3月Target'!$W$17,0)</f>
        <v>0</v>
      </c>
      <c r="BZ82" s="146">
        <f t="shared" si="32"/>
        <v>0</v>
      </c>
      <c r="CA82" s="77">
        <f t="shared" si="33"/>
        <v>500</v>
      </c>
      <c r="CB82" s="146">
        <f t="shared" si="34"/>
        <v>0</v>
      </c>
      <c r="CC82" s="77">
        <f t="shared" si="35"/>
        <v>1000</v>
      </c>
    </row>
    <row r="83" spans="1:81">
      <c r="A83" s="121">
        <f>Roster!AL75*Roster!AH75+Roster!AM75*Roster!AG75+三國演義!H83+三國演義!I83+三國演義!J83</f>
        <v>0</v>
      </c>
      <c r="D83" s="95" t="e">
        <f ca="1">_xlfn.XLOOKUP($E83,表格1[Name],表格1[Shop])</f>
        <v>#N/A</v>
      </c>
      <c r="E83" s="95"/>
      <c r="F83" s="96"/>
      <c r="G83" s="97"/>
      <c r="H83" s="96"/>
      <c r="I83" s="96"/>
      <c r="J83" s="51">
        <f t="shared" si="31"/>
        <v>0</v>
      </c>
      <c r="K83" s="111"/>
      <c r="L83" s="111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60" t="str">
        <f t="shared" si="30"/>
        <v xml:space="preserve"> off</v>
      </c>
      <c r="AB83" s="71">
        <f>_xlfn.XLOOKUP($E83,target[NAME],target[RC-DS10K/18K])</f>
        <v>0</v>
      </c>
      <c r="AC83" s="71">
        <f>_xlfn.XLOOKUP($E83,target[NAME],target[RC-18AMXH(W)])</f>
        <v>0</v>
      </c>
      <c r="AD83" s="71">
        <f>_xlfn.XLOOKUP($E83,target[NAME],target[EB-T500APW])</f>
        <v>0</v>
      </c>
      <c r="AE83" s="71">
        <f>_xlfn.XLOOKUP($E83,target[NAME],target[ER-VD7000HK(XK)])</f>
        <v>0</v>
      </c>
      <c r="AF83" s="71">
        <f>_xlfn.XLOOKUP($E83,target[NAME],target[TWDT21BU95])</f>
        <v>0</v>
      </c>
      <c r="AG83" s="71">
        <f>_xlfn.XLOOKUP($E83,target[NAME],target[AW-Q800APH(WW)])</f>
        <v>0</v>
      </c>
      <c r="AH83" s="71">
        <f>_xlfn.XLOOKUP($E83,target[NAME],target[AW-Q801APH(WW)])</f>
        <v>0</v>
      </c>
      <c r="AI83" s="71">
        <f>_xlfn.XLOOKUP($E83,target[NAME],target[GR-RM469WE-PGA(B3)])</f>
        <v>0</v>
      </c>
      <c r="AJ83" s="71">
        <f>_xlfn.XLOOKUP($E83,target[NAME],target[GR-RB449WE-PMA(57)])</f>
        <v>0</v>
      </c>
      <c r="AK83" s="71">
        <f>_xlfn.XLOOKUP($E83,target[NAME],target[GR-RB410WE-PMA(06)])</f>
        <v>0</v>
      </c>
      <c r="AL83" s="71">
        <f>_xlfn.XLOOKUP($E83,target[NAME],target[GR-RF698WI])</f>
        <v>0</v>
      </c>
      <c r="AM83" s="71">
        <f>_xlfn.XLOOKUP($E83,target[NAME],target[TWP-W2265THK(W)])</f>
        <v>0</v>
      </c>
      <c r="AN83" s="71">
        <f>_xlfn.XLOOKUP($E83,target[NAME],target[RAD-D200/250/300/DIA17])</f>
        <v>0</v>
      </c>
      <c r="AO83" s="71">
        <f>_xlfn.XLOOKUP($E83,target[NAME],target[(Fortress ONLY)TW-T25BZU115MWH(MG) ])</f>
        <v>0</v>
      </c>
      <c r="AP83" s="71">
        <f>_xlfn.XLOOKUP($E83,target[NAME],target[開門紅(三月)])</f>
        <v>0</v>
      </c>
      <c r="AQ83" s="71">
        <f>_xlfn.XLOOKUP($E83,target[NAME],target[開門紅(第一季)])</f>
        <v>0</v>
      </c>
      <c r="AR83" s="73">
        <f ca="1">SUMIFS(表格1[QTY],表格1[Model],三國演義!$AR$12,表格1[Name],三國演義!$E83)+SUMIFS(表格1[QTY],表格1[Model],三國演義!$AR$12,表格1[Name],三國演義!$AA83)</f>
        <v>0</v>
      </c>
      <c r="AS83" s="77">
        <f ca="1">IF($AR83&gt;=$AE83,$AR83*'3月Target'!$W$8,0)</f>
        <v>0</v>
      </c>
      <c r="AT83" s="44">
        <f ca="1">SUMIFS(表格1[QTY],表格1[Model],三國演義!$AT$12,表格1[Name],三國演義!$E83)+SUMIFS(表格1[QTY],表格1[Model],三國演義!$AT$12,表格1[Name],三國演義!$AA83)</f>
        <v>0</v>
      </c>
      <c r="AU83" s="44">
        <f ca="1">SUMIFS(表格1[QTY],表格1[Model],三國演義!$AU$12,表格1[Name],三國演義!$E83)+SUMIFS(表格1[QTY],表格1[Model],三國演義!$AU$12,表格1[Name],三國演義!$AA83)</f>
        <v>0</v>
      </c>
      <c r="AV83" s="44">
        <f ca="1">SUMIFS(表格1[QTY],表格1[Model],三國演義!$AV$12,表格1[Name],三國演義!$E83)+SUMIFS(表格1[QTY],表格1[Model],三國演義!$AV$12,表格1[Name],三國演義!$AA83)</f>
        <v>0</v>
      </c>
      <c r="AW83" s="44">
        <f ca="1">SUMIFS(表格1[QTY],表格1[Model],三國演義!$AW$12,表格1[Name],三國演義!$E83)+SUMIFS(表格1[QTY],表格1[Model],三國演義!$AW$12,表格1[Name],三國演義!$AA83)</f>
        <v>0</v>
      </c>
      <c r="AX83" s="50">
        <f ca="1">IF((SUM($AT83:$AW83))&gt;=$AB83,SUM($AT83:$AW83)*'3月Target'!$W$5,0)</f>
        <v>0</v>
      </c>
      <c r="AY83" s="44">
        <f ca="1">SUMIFS(表格1[QTY],表格1[Model],三國演義!$AY$12,表格1[Name],三國演義!$E83)+SUMIFS(表格1[QTY],表格1[Model],三國演義!$AY$12,表格1[Name],三國演義!$AA83)</f>
        <v>0</v>
      </c>
      <c r="AZ83" s="77">
        <f ca="1">IF($AY83&gt;=$AC83,$AY83*'3月Target'!$W$6,0)</f>
        <v>0</v>
      </c>
      <c r="BA83" s="44">
        <f ca="1">SUMIFS(表格1[QTY],表格1[Model],三國演義!$BA$12,表格1[Name],三國演義!$E83)+SUMIFS(表格1[QTY],表格1[Model],三國演義!$BA$12,表格1[Name],三國演義!$AA83)</f>
        <v>0</v>
      </c>
      <c r="BB83" s="77">
        <f ca="1">IF($BA83&gt;=$AD83,$BA83*'3月Target'!$W$7,0)</f>
        <v>0</v>
      </c>
      <c r="BC83" s="44">
        <f ca="1">SUMIFS(表格1[QTY],表格1[Model],三國演義!$BC$12,表格1[Name],三國演義!$E83)+SUMIFS(表格1[QTY],表格1[Model],三國演義!$BC$12,表格1[Name],三國演義!$AA83)</f>
        <v>0</v>
      </c>
      <c r="BD83" s="77">
        <f ca="1">IF($BC83&gt;=$AF83,$BC83*'3月Target'!$W$9,0)</f>
        <v>0</v>
      </c>
      <c r="BE83" s="44">
        <f ca="1">SUMIFS(表格1[QTY],表格1[Model],三國演義!$BE$12,表格1[Name],三國演義!$E83)+SUMIFS(表格1[QTY],表格1[Model],三國演義!$BE$12,表格1[Name],三國演義!$AA83)</f>
        <v>0</v>
      </c>
      <c r="BF83" s="77">
        <f ca="1">IF($BE83&gt;=$AG83,$BE83*'3月Target'!$W$10,0)</f>
        <v>0</v>
      </c>
      <c r="BG83" s="44">
        <f ca="1">SUMIFS(表格1[QTY],表格1[Model],三國演義!$BG$12,表格1[Name],三國演義!$E83)+SUMIFS(表格1[QTY],表格1[Model],三國演義!$BG$12,表格1[Name],三國演義!$AA83)</f>
        <v>0</v>
      </c>
      <c r="BH83" s="77">
        <f ca="1">IF($BG83&gt;=$AH83,$BG83*'3月Target'!$W$10,0)</f>
        <v>0</v>
      </c>
      <c r="BI83" s="44">
        <f ca="1">SUMIFS(表格1[QTY],表格1[Model],三國演義!$BI$12,表格1[Name],三國演義!$E83)+SUMIFS(表格1[QTY],表格1[Model],三國演義!$BI$12,表格1[Name],三國演義!$AA83)</f>
        <v>0</v>
      </c>
      <c r="BJ83" s="77">
        <f ca="1">IF($BI83&gt;=$AI83,$BI83*'3月Target'!$W$11,0)</f>
        <v>0</v>
      </c>
      <c r="BK83" s="44">
        <f ca="1">SUMIFS(表格1[QTY],表格1[Model],三國演義!$BK$12,表格1[Name],三國演義!$E83)+SUMIFS(表格1[QTY],表格1[Model],三國演義!$BK$12,表格1[Name],三國演義!$AA83)</f>
        <v>0</v>
      </c>
      <c r="BL83" s="77">
        <f ca="1">IF($BK83&gt;=$AJ83,$BK83*'3月Target'!$W$12,0)</f>
        <v>0</v>
      </c>
      <c r="BM83" s="44">
        <f ca="1">SUMIFS(表格1[QTY],表格1[Model],三國演義!$BM$12,表格1[Name],三國演義!$E83)+SUMIFS(表格1[QTY],表格1[Model],三國演義!$BM$12,表格1[Name],三國演義!$AA83)</f>
        <v>0</v>
      </c>
      <c r="BN83" s="77">
        <f ca="1">IF($BM83&gt;=$AK83,$BM83*'3月Target'!$W$13,0)</f>
        <v>0</v>
      </c>
      <c r="BO83" s="44">
        <f ca="1">SUMIFS(表格1[QTY],表格1[Model],三國演義!$BO$12,表格1[Name],三國演義!$E83)+SUMIFS(表格1[QTY],表格1[Model],三國演義!$BO$12,表格1[Name],三國演義!$AA83)</f>
        <v>0</v>
      </c>
      <c r="BP83" s="77">
        <f ca="1">IF($BO83&gt;=$AL83,$BO83*'3月Target'!$W$14,0)</f>
        <v>0</v>
      </c>
      <c r="BQ83" s="44">
        <f ca="1">SUMIFS(表格1[QTY],表格1[Model],三國演義!$BQ$12,表格1[Name],三國演義!$E83)+SUMIFS(表格1[QTY],表格1[Model],三國演義!$BQ$12,表格1[Name],三國演義!$AA83)</f>
        <v>0</v>
      </c>
      <c r="BR83" s="77">
        <f ca="1">IF($BQ83&gt;=$AM83,$BQ83*'3月Target'!$W$15,0)</f>
        <v>0</v>
      </c>
      <c r="BS83" s="44">
        <f ca="1">SUMIFS(表格1[QTY],表格1[Model],三國演義!$BS$12,表格1[Name],三國演義!$E83)+SUMIFS(表格1[QTY],表格1[Model],三國演義!$BS$12,表格1[Name],三國演義!$AA83)</f>
        <v>0</v>
      </c>
      <c r="BT83" s="44">
        <f ca="1">SUMIFS(表格1[QTY],表格1[Model],三國演義!$BT$12,表格1[Name],三國演義!$E83)+SUMIFS(表格1[QTY],表格1[Model],三國演義!$BT$12,表格1[Name],三國演義!$AA83)</f>
        <v>0</v>
      </c>
      <c r="BU83" s="44">
        <f ca="1">SUMIFS(表格1[QTY],表格1[Model],三國演義!$BU$12,表格1[Name],三國演義!$E83)+SUMIFS(表格1[QTY],表格1[Model],三國演義!$BU$12,表格1[Name],三國演義!$AA83)</f>
        <v>0</v>
      </c>
      <c r="BV83" s="44">
        <f ca="1">SUMIFS(表格1[QTY],表格1[Model],三國演義!$BV$12,表格1[Name],三國演義!$E83)+SUMIFS(表格1[QTY],表格1[Model],三國演義!$BV$12,表格1[Name],三國演義!$AA83)</f>
        <v>0</v>
      </c>
      <c r="BW83" s="77">
        <f ca="1">IF((SUM($BS83:$BV83))&gt;=$AN83,SUM($BS83:$BV83)*'3月Target'!$W$16,0)</f>
        <v>0</v>
      </c>
      <c r="BX83" s="44">
        <f ca="1">SUMIFS(表格1[QTY],表格1[Model],三國演義!$BX$12,表格1[Name],三國演義!$E83)+SUMIFS(表格1[QTY],表格1[Model],三國演義!$BX$12,表格1[Name],三國演義!$AA83)</f>
        <v>0</v>
      </c>
      <c r="BY83" s="77">
        <f ca="1">IF($BX83&gt;=$AO83,$BX83*'3月Target'!$W$17,0)</f>
        <v>0</v>
      </c>
      <c r="BZ83" s="146">
        <f t="shared" si="32"/>
        <v>0</v>
      </c>
      <c r="CA83" s="77">
        <f t="shared" si="33"/>
        <v>500</v>
      </c>
      <c r="CB83" s="146">
        <f t="shared" si="34"/>
        <v>0</v>
      </c>
      <c r="CC83" s="77">
        <f t="shared" si="35"/>
        <v>1000</v>
      </c>
    </row>
    <row r="84" spans="1:81">
      <c r="A84" s="121">
        <f>Roster!AL76*Roster!AH76+Roster!AM76*Roster!AG76+三國演義!H84+三國演義!I84+三國演義!J84</f>
        <v>0</v>
      </c>
      <c r="D84" s="95" t="e">
        <f ca="1">_xlfn.XLOOKUP($E84,表格1[Name],表格1[Shop])</f>
        <v>#N/A</v>
      </c>
      <c r="E84" s="95"/>
      <c r="F84" s="96"/>
      <c r="G84" s="97"/>
      <c r="H84" s="96"/>
      <c r="I84" s="96"/>
      <c r="J84" s="51">
        <f t="shared" si="31"/>
        <v>0</v>
      </c>
      <c r="K84" s="111"/>
      <c r="L84" s="111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60" t="str">
        <f t="shared" si="30"/>
        <v xml:space="preserve"> off</v>
      </c>
      <c r="AB84" s="71">
        <f>_xlfn.XLOOKUP($E84,target[NAME],target[RC-DS10K/18K])</f>
        <v>0</v>
      </c>
      <c r="AC84" s="71">
        <f>_xlfn.XLOOKUP($E84,target[NAME],target[RC-18AMXH(W)])</f>
        <v>0</v>
      </c>
      <c r="AD84" s="71">
        <f>_xlfn.XLOOKUP($E84,target[NAME],target[EB-T500APW])</f>
        <v>0</v>
      </c>
      <c r="AE84" s="71">
        <f>_xlfn.XLOOKUP($E84,target[NAME],target[ER-VD7000HK(XK)])</f>
        <v>0</v>
      </c>
      <c r="AF84" s="71">
        <f>_xlfn.XLOOKUP($E84,target[NAME],target[TWDT21BU95])</f>
        <v>0</v>
      </c>
      <c r="AG84" s="71">
        <f>_xlfn.XLOOKUP($E84,target[NAME],target[AW-Q800APH(WW)])</f>
        <v>0</v>
      </c>
      <c r="AH84" s="71">
        <f>_xlfn.XLOOKUP($E84,target[NAME],target[AW-Q801APH(WW)])</f>
        <v>0</v>
      </c>
      <c r="AI84" s="71">
        <f>_xlfn.XLOOKUP($E84,target[NAME],target[GR-RM469WE-PGA(B3)])</f>
        <v>0</v>
      </c>
      <c r="AJ84" s="71">
        <f>_xlfn.XLOOKUP($E84,target[NAME],target[GR-RB449WE-PMA(57)])</f>
        <v>0</v>
      </c>
      <c r="AK84" s="71">
        <f>_xlfn.XLOOKUP($E84,target[NAME],target[GR-RB410WE-PMA(06)])</f>
        <v>0</v>
      </c>
      <c r="AL84" s="71">
        <f>_xlfn.XLOOKUP($E84,target[NAME],target[GR-RF698WI])</f>
        <v>0</v>
      </c>
      <c r="AM84" s="71">
        <f>_xlfn.XLOOKUP($E84,target[NAME],target[TWP-W2265THK(W)])</f>
        <v>0</v>
      </c>
      <c r="AN84" s="71">
        <f>_xlfn.XLOOKUP($E84,target[NAME],target[RAD-D200/250/300/DIA17])</f>
        <v>0</v>
      </c>
      <c r="AO84" s="71">
        <f>_xlfn.XLOOKUP($E84,target[NAME],target[(Fortress ONLY)TW-T25BZU115MWH(MG) ])</f>
        <v>0</v>
      </c>
      <c r="AP84" s="71">
        <f>_xlfn.XLOOKUP($E84,target[NAME],target[開門紅(三月)])</f>
        <v>0</v>
      </c>
      <c r="AQ84" s="71">
        <f>_xlfn.XLOOKUP($E84,target[NAME],target[開門紅(第一季)])</f>
        <v>0</v>
      </c>
      <c r="AR84" s="73">
        <f ca="1">SUMIFS(表格1[QTY],表格1[Model],三國演義!$AR$12,表格1[Name],三國演義!$E84)+SUMIFS(表格1[QTY],表格1[Model],三國演義!$AR$12,表格1[Name],三國演義!$AA84)</f>
        <v>0</v>
      </c>
      <c r="AS84" s="77">
        <f ca="1">IF($AR84&gt;=$AE84,$AR84*'3月Target'!$W$8,0)</f>
        <v>0</v>
      </c>
      <c r="AT84" s="44">
        <f ca="1">SUMIFS(表格1[QTY],表格1[Model],三國演義!$AT$12,表格1[Name],三國演義!$E84)+SUMIFS(表格1[QTY],表格1[Model],三國演義!$AT$12,表格1[Name],三國演義!$AA84)</f>
        <v>0</v>
      </c>
      <c r="AU84" s="44">
        <f ca="1">SUMIFS(表格1[QTY],表格1[Model],三國演義!$AU$12,表格1[Name],三國演義!$E84)+SUMIFS(表格1[QTY],表格1[Model],三國演義!$AU$12,表格1[Name],三國演義!$AA84)</f>
        <v>0</v>
      </c>
      <c r="AV84" s="44">
        <f ca="1">SUMIFS(表格1[QTY],表格1[Model],三國演義!$AV$12,表格1[Name],三國演義!$E84)+SUMIFS(表格1[QTY],表格1[Model],三國演義!$AV$12,表格1[Name],三國演義!$AA84)</f>
        <v>0</v>
      </c>
      <c r="AW84" s="44">
        <f ca="1">SUMIFS(表格1[QTY],表格1[Model],三國演義!$AW$12,表格1[Name],三國演義!$E84)+SUMIFS(表格1[QTY],表格1[Model],三國演義!$AW$12,表格1[Name],三國演義!$AA84)</f>
        <v>0</v>
      </c>
      <c r="AX84" s="50">
        <f ca="1">IF((SUM($AT84:$AW84))&gt;=$AB84,SUM($AT84:$AW84)*'3月Target'!$W$5,0)</f>
        <v>0</v>
      </c>
      <c r="AY84" s="44">
        <f ca="1">SUMIFS(表格1[QTY],表格1[Model],三國演義!$AY$12,表格1[Name],三國演義!$E84)+SUMIFS(表格1[QTY],表格1[Model],三國演義!$AY$12,表格1[Name],三國演義!$AA84)</f>
        <v>0</v>
      </c>
      <c r="AZ84" s="77">
        <f ca="1">IF($AY84&gt;=$AC84,$AY84*'3月Target'!$W$6,0)</f>
        <v>0</v>
      </c>
      <c r="BA84" s="44">
        <f ca="1">SUMIFS(表格1[QTY],表格1[Model],三國演義!$BA$12,表格1[Name],三國演義!$E84)+SUMIFS(表格1[QTY],表格1[Model],三國演義!$BA$12,表格1[Name],三國演義!$AA84)</f>
        <v>0</v>
      </c>
      <c r="BB84" s="77">
        <f ca="1">IF($BA84&gt;=$AD84,$BA84*'3月Target'!$W$7,0)</f>
        <v>0</v>
      </c>
      <c r="BC84" s="44">
        <f ca="1">SUMIFS(表格1[QTY],表格1[Model],三國演義!$BC$12,表格1[Name],三國演義!$E84)+SUMIFS(表格1[QTY],表格1[Model],三國演義!$BC$12,表格1[Name],三國演義!$AA84)</f>
        <v>0</v>
      </c>
      <c r="BD84" s="77">
        <f ca="1">IF($BC84&gt;=$AF84,$BC84*'3月Target'!$W$9,0)</f>
        <v>0</v>
      </c>
      <c r="BE84" s="44">
        <f ca="1">SUMIFS(表格1[QTY],表格1[Model],三國演義!$BE$12,表格1[Name],三國演義!$E84)+SUMIFS(表格1[QTY],表格1[Model],三國演義!$BE$12,表格1[Name],三國演義!$AA84)</f>
        <v>0</v>
      </c>
      <c r="BF84" s="77">
        <f ca="1">IF($BE84&gt;=$AG84,$BE84*'3月Target'!$W$10,0)</f>
        <v>0</v>
      </c>
      <c r="BG84" s="44">
        <f ca="1">SUMIFS(表格1[QTY],表格1[Model],三國演義!$BG$12,表格1[Name],三國演義!$E84)+SUMIFS(表格1[QTY],表格1[Model],三國演義!$BG$12,表格1[Name],三國演義!$AA84)</f>
        <v>0</v>
      </c>
      <c r="BH84" s="77">
        <f ca="1">IF($BG84&gt;=$AH84,$BG84*'3月Target'!$W$10,0)</f>
        <v>0</v>
      </c>
      <c r="BI84" s="44">
        <f ca="1">SUMIFS(表格1[QTY],表格1[Model],三國演義!$BI$12,表格1[Name],三國演義!$E84)+SUMIFS(表格1[QTY],表格1[Model],三國演義!$BI$12,表格1[Name],三國演義!$AA84)</f>
        <v>0</v>
      </c>
      <c r="BJ84" s="77">
        <f ca="1">IF($BI84&gt;=$AI84,$BI84*'3月Target'!$W$11,0)</f>
        <v>0</v>
      </c>
      <c r="BK84" s="44">
        <f ca="1">SUMIFS(表格1[QTY],表格1[Model],三國演義!$BK$12,表格1[Name],三國演義!$E84)+SUMIFS(表格1[QTY],表格1[Model],三國演義!$BK$12,表格1[Name],三國演義!$AA84)</f>
        <v>0</v>
      </c>
      <c r="BL84" s="77">
        <f ca="1">IF($BK84&gt;=$AJ84,$BK84*'3月Target'!$W$12,0)</f>
        <v>0</v>
      </c>
      <c r="BM84" s="44">
        <f ca="1">SUMIFS(表格1[QTY],表格1[Model],三國演義!$BM$12,表格1[Name],三國演義!$E84)+SUMIFS(表格1[QTY],表格1[Model],三國演義!$BM$12,表格1[Name],三國演義!$AA84)</f>
        <v>0</v>
      </c>
      <c r="BN84" s="77">
        <f ca="1">IF($BM84&gt;=$AK84,$BM84*'3月Target'!$W$13,0)</f>
        <v>0</v>
      </c>
      <c r="BO84" s="44">
        <f ca="1">SUMIFS(表格1[QTY],表格1[Model],三國演義!$BO$12,表格1[Name],三國演義!$E84)+SUMIFS(表格1[QTY],表格1[Model],三國演義!$BO$12,表格1[Name],三國演義!$AA84)</f>
        <v>0</v>
      </c>
      <c r="BP84" s="77">
        <f ca="1">IF($BO84&gt;=$AL84,$BO84*'3月Target'!$W$14,0)</f>
        <v>0</v>
      </c>
      <c r="BQ84" s="44">
        <f ca="1">SUMIFS(表格1[QTY],表格1[Model],三國演義!$BQ$12,表格1[Name],三國演義!$E84)+SUMIFS(表格1[QTY],表格1[Model],三國演義!$BQ$12,表格1[Name],三國演義!$AA84)</f>
        <v>0</v>
      </c>
      <c r="BR84" s="77">
        <f ca="1">IF($BQ84&gt;=$AM84,$BQ84*'3月Target'!$W$15,0)</f>
        <v>0</v>
      </c>
      <c r="BS84" s="44">
        <f ca="1">SUMIFS(表格1[QTY],表格1[Model],三國演義!$BS$12,表格1[Name],三國演義!$E84)+SUMIFS(表格1[QTY],表格1[Model],三國演義!$BS$12,表格1[Name],三國演義!$AA84)</f>
        <v>0</v>
      </c>
      <c r="BT84" s="44">
        <f ca="1">SUMIFS(表格1[QTY],表格1[Model],三國演義!$BT$12,表格1[Name],三國演義!$E84)+SUMIFS(表格1[QTY],表格1[Model],三國演義!$BT$12,表格1[Name],三國演義!$AA84)</f>
        <v>0</v>
      </c>
      <c r="BU84" s="44">
        <f ca="1">SUMIFS(表格1[QTY],表格1[Model],三國演義!$BU$12,表格1[Name],三國演義!$E84)+SUMIFS(表格1[QTY],表格1[Model],三國演義!$BU$12,表格1[Name],三國演義!$AA84)</f>
        <v>0</v>
      </c>
      <c r="BV84" s="44">
        <f ca="1">SUMIFS(表格1[QTY],表格1[Model],三國演義!$BV$12,表格1[Name],三國演義!$E84)+SUMIFS(表格1[QTY],表格1[Model],三國演義!$BV$12,表格1[Name],三國演義!$AA84)</f>
        <v>0</v>
      </c>
      <c r="BW84" s="77">
        <f ca="1">IF((SUM($BS84:$BV84))&gt;=$AN84,SUM($BS84:$BV84)*'3月Target'!$W$16,0)</f>
        <v>0</v>
      </c>
      <c r="BX84" s="44">
        <f ca="1">SUMIFS(表格1[QTY],表格1[Model],三國演義!$BX$12,表格1[Name],三國演義!$E84)+SUMIFS(表格1[QTY],表格1[Model],三國演義!$BX$12,表格1[Name],三國演義!$AA84)</f>
        <v>0</v>
      </c>
      <c r="BY84" s="77">
        <f ca="1">IF($BX84&gt;=$AO84,$BX84*'3月Target'!$W$17,0)</f>
        <v>0</v>
      </c>
      <c r="BZ84" s="146">
        <f t="shared" si="32"/>
        <v>0</v>
      </c>
      <c r="CA84" s="77">
        <f t="shared" si="33"/>
        <v>500</v>
      </c>
      <c r="CB84" s="146">
        <f t="shared" si="34"/>
        <v>0</v>
      </c>
      <c r="CC84" s="77">
        <f t="shared" si="35"/>
        <v>1000</v>
      </c>
    </row>
    <row r="85" spans="1:81">
      <c r="A85" s="57"/>
      <c r="G85"/>
      <c r="AB85"/>
      <c r="AC85"/>
      <c r="AD85"/>
      <c r="AE85"/>
      <c r="AF85"/>
      <c r="AG85"/>
      <c r="AH85"/>
      <c r="AI85"/>
      <c r="AJ85"/>
      <c r="AK85"/>
    </row>
    <row r="86" spans="1:81">
      <c r="A86" s="57"/>
      <c r="G86"/>
      <c r="AB86"/>
      <c r="AC86"/>
      <c r="AD86"/>
      <c r="AE86"/>
      <c r="AF86"/>
      <c r="AG86"/>
      <c r="AH86"/>
      <c r="AI86"/>
      <c r="AJ86"/>
      <c r="AK86"/>
    </row>
    <row r="87" spans="1:81">
      <c r="A87" s="57"/>
      <c r="G87"/>
      <c r="AB87"/>
      <c r="AC87"/>
      <c r="AD87"/>
      <c r="AE87"/>
      <c r="AF87"/>
      <c r="AG87"/>
      <c r="AH87"/>
      <c r="AI87"/>
      <c r="AJ87"/>
      <c r="AK87"/>
    </row>
    <row r="88" spans="1:81">
      <c r="A88" s="57"/>
      <c r="G88"/>
      <c r="AB88"/>
      <c r="AC88"/>
      <c r="AD88"/>
      <c r="AE88"/>
      <c r="AF88"/>
      <c r="AG88"/>
      <c r="AH88"/>
      <c r="AI88"/>
      <c r="AJ88"/>
      <c r="AK88"/>
    </row>
    <row r="89" spans="1:81">
      <c r="A89" s="57"/>
      <c r="G89"/>
      <c r="AB89"/>
      <c r="AC89"/>
      <c r="AD89"/>
      <c r="AE89"/>
      <c r="AF89"/>
      <c r="AG89"/>
      <c r="AH89"/>
      <c r="AI89"/>
      <c r="AJ89"/>
      <c r="AK89"/>
    </row>
    <row r="90" spans="1:81">
      <c r="A90" s="57"/>
      <c r="AB90"/>
      <c r="AC90"/>
      <c r="AD90"/>
      <c r="AE90"/>
      <c r="AF90"/>
      <c r="AG90"/>
      <c r="AH90"/>
      <c r="AI90"/>
      <c r="AJ90"/>
      <c r="AK90"/>
    </row>
    <row r="91" spans="1:81">
      <c r="A91" s="57"/>
      <c r="AB91"/>
      <c r="AC91"/>
      <c r="AD91"/>
      <c r="AE91"/>
      <c r="AF91"/>
      <c r="AG91"/>
      <c r="AH91"/>
      <c r="AI91"/>
      <c r="AJ91"/>
      <c r="AK91"/>
    </row>
    <row r="92" spans="1:81">
      <c r="A92" s="57"/>
    </row>
    <row r="93" spans="1:81">
      <c r="A93" s="57"/>
    </row>
    <row r="94" spans="1:81">
      <c r="A94" s="57"/>
    </row>
    <row r="95" spans="1:81">
      <c r="A95" s="57"/>
    </row>
    <row r="125" spans="4:5">
      <c r="D125" s="44"/>
      <c r="E125" s="44"/>
    </row>
    <row r="126" spans="4:5">
      <c r="D126" s="44"/>
      <c r="E126" s="44"/>
    </row>
    <row r="127" spans="4:5">
      <c r="D127" s="44"/>
      <c r="E127" s="44"/>
    </row>
    <row r="128" spans="4:5">
      <c r="D128" s="44"/>
      <c r="E128" s="44"/>
    </row>
    <row r="129" spans="4:5">
      <c r="D129" s="44"/>
      <c r="E129" s="44"/>
    </row>
    <row r="130" spans="4:5">
      <c r="D130" s="44"/>
      <c r="E130" s="44"/>
    </row>
    <row r="131" spans="4:5">
      <c r="D131" s="44"/>
      <c r="E131" s="44"/>
    </row>
    <row r="132" spans="4:5">
      <c r="D132" s="44"/>
      <c r="E132" s="44"/>
    </row>
    <row r="133" spans="4:5">
      <c r="D133" s="44"/>
      <c r="E133" s="44"/>
    </row>
    <row r="134" spans="4:5">
      <c r="D134" s="44"/>
      <c r="E134" s="44"/>
    </row>
    <row r="135" spans="4:5">
      <c r="D135" s="44"/>
      <c r="E135" s="44"/>
    </row>
    <row r="136" spans="4:5">
      <c r="D136" s="44"/>
      <c r="E136" s="44"/>
    </row>
    <row r="137" spans="4:5">
      <c r="D137" s="44"/>
      <c r="E137" s="44"/>
    </row>
    <row r="138" spans="4:5">
      <c r="D138" s="44"/>
      <c r="E138" s="44"/>
    </row>
    <row r="139" spans="4:5">
      <c r="D139" s="44"/>
      <c r="E139" s="44"/>
    </row>
    <row r="140" spans="4:5">
      <c r="D140" s="44"/>
      <c r="E140" s="44"/>
    </row>
    <row r="141" spans="4:5">
      <c r="D141" s="44"/>
      <c r="E141" s="44"/>
    </row>
    <row r="142" spans="4:5">
      <c r="D142" s="44"/>
      <c r="E142" s="44"/>
    </row>
    <row r="143" spans="4:5">
      <c r="D143" s="44"/>
      <c r="E143" s="44"/>
    </row>
    <row r="144" spans="4:5">
      <c r="D144" s="44"/>
      <c r="E144" s="44"/>
    </row>
    <row r="145" spans="4:5">
      <c r="D145" s="44"/>
      <c r="E145" s="44"/>
    </row>
    <row r="146" spans="4:5">
      <c r="D146" s="44"/>
      <c r="E146" s="44"/>
    </row>
    <row r="147" spans="4:5">
      <c r="D147" s="44"/>
      <c r="E147" s="44"/>
    </row>
    <row r="148" spans="4:5">
      <c r="D148" s="44"/>
      <c r="E148" s="44"/>
    </row>
    <row r="149" spans="4:5">
      <c r="D149" s="44"/>
      <c r="E149" s="44"/>
    </row>
    <row r="150" spans="4:5">
      <c r="D150" s="44"/>
      <c r="E150" s="44"/>
    </row>
    <row r="151" spans="4:5">
      <c r="D151" s="44"/>
      <c r="E151" s="44"/>
    </row>
    <row r="152" spans="4:5">
      <c r="D152" s="44"/>
      <c r="E152" s="44"/>
    </row>
    <row r="153" spans="4:5">
      <c r="D153" s="44"/>
      <c r="E153" s="44"/>
    </row>
    <row r="154" spans="4:5">
      <c r="D154" s="44"/>
      <c r="E154" s="44"/>
    </row>
    <row r="155" spans="4:5">
      <c r="D155" s="44"/>
      <c r="E155" s="44"/>
    </row>
    <row r="156" spans="4:5">
      <c r="D156" s="44"/>
      <c r="E156" s="44"/>
    </row>
    <row r="157" spans="4:5">
      <c r="D157" s="44"/>
      <c r="E157" s="44"/>
    </row>
    <row r="158" spans="4:5">
      <c r="D158" s="44"/>
      <c r="E158" s="44"/>
    </row>
    <row r="159" spans="4:5">
      <c r="D159" s="44"/>
      <c r="E159" s="44"/>
    </row>
    <row r="160" spans="4:5">
      <c r="D160" s="44"/>
      <c r="E160" s="44"/>
    </row>
    <row r="161" spans="4:5">
      <c r="D161" s="44"/>
      <c r="E161" s="44"/>
    </row>
    <row r="162" spans="4:5">
      <c r="D162" s="44"/>
      <c r="E162" s="44"/>
    </row>
    <row r="163" spans="4:5">
      <c r="D163" s="44"/>
      <c r="E163" s="44"/>
    </row>
    <row r="164" spans="4:5">
      <c r="D164" s="44"/>
      <c r="E164" s="44"/>
    </row>
    <row r="165" spans="4:5">
      <c r="D165" s="44"/>
      <c r="E165" s="44"/>
    </row>
    <row r="166" spans="4:5">
      <c r="D166" s="44"/>
      <c r="E166" s="44"/>
    </row>
    <row r="167" spans="4:5">
      <c r="D167" s="44"/>
      <c r="E167" s="44"/>
    </row>
    <row r="168" spans="4:5">
      <c r="D168" s="44"/>
      <c r="E168" s="44"/>
    </row>
    <row r="169" spans="4:5">
      <c r="D169" s="44"/>
      <c r="E169" s="44"/>
    </row>
    <row r="170" spans="4:5">
      <c r="D170" s="44"/>
      <c r="E170" s="44"/>
    </row>
    <row r="171" spans="4:5">
      <c r="D171" s="44"/>
      <c r="E171" s="44"/>
    </row>
    <row r="172" spans="4:5">
      <c r="D172" s="44"/>
      <c r="E172" s="44"/>
    </row>
    <row r="173" spans="4:5">
      <c r="D173" s="44"/>
      <c r="E173" s="44"/>
    </row>
    <row r="174" spans="4:5">
      <c r="D174" s="44"/>
      <c r="E174" s="44"/>
    </row>
    <row r="175" spans="4:5">
      <c r="D175" s="44"/>
      <c r="E175" s="44"/>
    </row>
    <row r="176" spans="4:5">
      <c r="D176" s="44"/>
      <c r="E176" s="44"/>
    </row>
  </sheetData>
  <sortState xmlns:xlrd2="http://schemas.microsoft.com/office/spreadsheetml/2017/richdata2" ref="D125:E176">
    <sortCondition ref="D125:D176"/>
  </sortState>
  <phoneticPr fontId="24" type="noConversion"/>
  <conditionalFormatting sqref="D125:E176">
    <cfRule type="duplicateValues" dxfId="14" priority="1"/>
  </conditionalFormatting>
  <pageMargins left="0.7" right="0.7" top="0.75" bottom="0.75" header="0.3" footer="0.3"/>
  <pageSetup paperSize="9" scale="15" orientation="landscape" r:id="rId1"/>
  <ignoredErrors>
    <ignoredError sqref="CA1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265B-EE36-49E4-BAF4-EAC1A2C7AB2E}">
  <dimension ref="A1:AD41"/>
  <sheetViews>
    <sheetView zoomScaleNormal="100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Q20" sqref="Q20"/>
    </sheetView>
  </sheetViews>
  <sheetFormatPr defaultRowHeight="15.75"/>
  <cols>
    <col min="1" max="1" width="18.7109375" customWidth="1"/>
    <col min="2" max="2" width="19.42578125" customWidth="1"/>
    <col min="3" max="3" width="10.7109375" bestFit="1" customWidth="1"/>
    <col min="4" max="4" width="10.85546875" bestFit="1" customWidth="1"/>
    <col min="5" max="5" width="10.85546875" customWidth="1"/>
    <col min="6" max="6" width="12" bestFit="1" customWidth="1"/>
    <col min="7" max="16" width="12.5703125" customWidth="1"/>
    <col min="17" max="17" width="11" customWidth="1"/>
    <col min="18" max="18" width="10.85546875" bestFit="1" customWidth="1"/>
    <col min="20" max="20" width="44.140625" customWidth="1"/>
    <col min="21" max="21" width="13.140625" customWidth="1"/>
    <col min="22" max="22" width="20.28515625" customWidth="1"/>
    <col min="23" max="23" width="10" bestFit="1" customWidth="1"/>
    <col min="24" max="24" width="13.5703125" bestFit="1" customWidth="1"/>
    <col min="25" max="25" width="14" bestFit="1" customWidth="1"/>
  </cols>
  <sheetData>
    <row r="1" spans="1:30">
      <c r="C1">
        <v>1</v>
      </c>
      <c r="D1">
        <v>2</v>
      </c>
      <c r="E1">
        <v>3</v>
      </c>
      <c r="F1">
        <v>4</v>
      </c>
      <c r="G1">
        <v>5</v>
      </c>
      <c r="H1" s="49" t="s">
        <v>1322</v>
      </c>
      <c r="I1" s="49" t="s">
        <v>1323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30">
      <c r="C2">
        <f>SUBTOTAL(9,target[RC-DS10K/18K])</f>
        <v>127</v>
      </c>
      <c r="D2">
        <f>SUBTOTAL(9,target[RC-18AMXH(W)])</f>
        <v>100</v>
      </c>
      <c r="E2">
        <f>SUBTOTAL(9,target[EB-T500APW])</f>
        <v>25</v>
      </c>
      <c r="F2">
        <f>SUBTOTAL(9,target[ER-VD7000HK(XK)])</f>
        <v>60</v>
      </c>
      <c r="G2">
        <f>SUBTOTAL(9,target[TWDT21BU95])</f>
        <v>50</v>
      </c>
      <c r="H2">
        <f>SUBTOTAL(9,target[AW-Q800APH(WW)])</f>
        <v>17076</v>
      </c>
      <c r="I2">
        <f>SUBTOTAL(9,target[AW-Q801APH(WW)])</f>
        <v>8085</v>
      </c>
      <c r="J2">
        <f>SUBTOTAL(9,target[GR-RM469WE-PGA(B3)])</f>
        <v>50</v>
      </c>
      <c r="K2">
        <f>SUBTOTAL(9,target[GR-RB449WE-PMA(57)])</f>
        <v>56</v>
      </c>
      <c r="L2">
        <f>SUBTOTAL(9,target[GR-RB410WE-PMA(06)])</f>
        <v>54</v>
      </c>
      <c r="M2">
        <f>SUBTOTAL(9,target[GR-RF698WI])</f>
        <v>25</v>
      </c>
      <c r="N2">
        <f>SUBTOTAL(9,target[TWP-W2265THK(W)])</f>
        <v>60</v>
      </c>
      <c r="O2">
        <f>SUBTOTAL(9,target[RAD-D200/250/300/DIA17])</f>
        <v>1200</v>
      </c>
      <c r="P2">
        <f>SUBTOTAL(9,target[(Fortress ONLY)TW-T25BZU115MWH(MG) ])</f>
        <v>16018</v>
      </c>
      <c r="Q2">
        <f>SUBTOTAL(9,target[開門紅(三月)])</f>
        <v>48157000</v>
      </c>
      <c r="R2">
        <f>SUBTOTAL(9,target[開門紅(第一季)])</f>
        <v>68473976.900000006</v>
      </c>
    </row>
    <row r="3" spans="1:30">
      <c r="A3" s="119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</row>
    <row r="4" spans="1:30" ht="63">
      <c r="A4" s="115" t="s">
        <v>677</v>
      </c>
      <c r="B4" s="115" t="s">
        <v>980</v>
      </c>
      <c r="C4" s="116" t="s">
        <v>926</v>
      </c>
      <c r="D4" s="116" t="s">
        <v>902</v>
      </c>
      <c r="E4" s="116" t="s">
        <v>1319</v>
      </c>
      <c r="F4" s="117" t="s">
        <v>819</v>
      </c>
      <c r="G4" s="117" t="s">
        <v>1317</v>
      </c>
      <c r="H4" s="117" t="s">
        <v>998</v>
      </c>
      <c r="I4" s="117" t="s">
        <v>999</v>
      </c>
      <c r="J4" s="117" t="s">
        <v>915</v>
      </c>
      <c r="K4" s="117" t="s">
        <v>886</v>
      </c>
      <c r="L4" s="117" t="s">
        <v>714</v>
      </c>
      <c r="M4" s="117" t="s">
        <v>1321</v>
      </c>
      <c r="N4" s="117" t="s">
        <v>1186</v>
      </c>
      <c r="O4" s="117" t="s">
        <v>1160</v>
      </c>
      <c r="P4" s="117" t="s">
        <v>1021</v>
      </c>
      <c r="Q4" s="117" t="s">
        <v>1313</v>
      </c>
      <c r="R4" s="117" t="s">
        <v>1314</v>
      </c>
      <c r="V4" s="49"/>
      <c r="Y4" s="49"/>
      <c r="Z4" s="49"/>
      <c r="AD4" s="49"/>
    </row>
    <row r="5" spans="1:30">
      <c r="A5" s="114" t="s">
        <v>2140</v>
      </c>
      <c r="B5" s="114" t="s">
        <v>1161</v>
      </c>
      <c r="C5" s="44">
        <v>4</v>
      </c>
      <c r="D5" s="44">
        <v>4</v>
      </c>
      <c r="E5" s="44">
        <v>1</v>
      </c>
      <c r="F5" s="44">
        <v>2</v>
      </c>
      <c r="G5" s="44">
        <v>2</v>
      </c>
      <c r="H5" s="44">
        <v>1000</v>
      </c>
      <c r="I5" s="44">
        <v>5</v>
      </c>
      <c r="J5" s="44">
        <v>2</v>
      </c>
      <c r="K5" s="44">
        <v>2</v>
      </c>
      <c r="L5" s="44">
        <v>2</v>
      </c>
      <c r="M5" s="48">
        <v>1</v>
      </c>
      <c r="N5" s="44">
        <v>2</v>
      </c>
      <c r="O5" s="44">
        <v>48</v>
      </c>
      <c r="P5" s="44">
        <v>1000</v>
      </c>
      <c r="Q5" s="129">
        <v>395600</v>
      </c>
      <c r="R5" s="129">
        <v>737903.39999999991</v>
      </c>
      <c r="U5">
        <v>1</v>
      </c>
      <c r="V5" s="48" t="s">
        <v>1315</v>
      </c>
      <c r="W5" s="166">
        <v>50</v>
      </c>
      <c r="Z5" s="49"/>
    </row>
    <row r="6" spans="1:30">
      <c r="A6" s="114" t="s">
        <v>975</v>
      </c>
      <c r="B6" s="114" t="s">
        <v>1162</v>
      </c>
      <c r="C6" s="44">
        <v>4</v>
      </c>
      <c r="D6" s="44">
        <v>4</v>
      </c>
      <c r="E6" s="44">
        <v>1</v>
      </c>
      <c r="F6" s="44">
        <v>2</v>
      </c>
      <c r="G6" s="44">
        <v>2</v>
      </c>
      <c r="H6" s="44">
        <v>1000</v>
      </c>
      <c r="I6" s="44">
        <v>5</v>
      </c>
      <c r="J6" s="44">
        <v>2</v>
      </c>
      <c r="K6" s="44">
        <v>2</v>
      </c>
      <c r="L6" s="44">
        <v>2</v>
      </c>
      <c r="M6" s="44">
        <v>1</v>
      </c>
      <c r="N6" s="44">
        <v>2</v>
      </c>
      <c r="O6" s="44">
        <v>48</v>
      </c>
      <c r="P6" s="44">
        <v>1000</v>
      </c>
      <c r="Q6" s="129">
        <v>192500</v>
      </c>
      <c r="R6" s="129">
        <v>10000000</v>
      </c>
      <c r="U6">
        <v>2</v>
      </c>
      <c r="V6" s="44" t="s">
        <v>902</v>
      </c>
      <c r="W6" s="166">
        <v>50</v>
      </c>
      <c r="Z6" s="49"/>
    </row>
    <row r="7" spans="1:30">
      <c r="A7" s="114" t="s">
        <v>873</v>
      </c>
      <c r="B7" s="114" t="s">
        <v>1163</v>
      </c>
      <c r="C7" s="44">
        <v>4</v>
      </c>
      <c r="D7" s="44">
        <v>4</v>
      </c>
      <c r="E7" s="44">
        <v>1</v>
      </c>
      <c r="F7" s="44">
        <v>2</v>
      </c>
      <c r="G7" s="44">
        <v>2</v>
      </c>
      <c r="H7" s="44">
        <v>1000</v>
      </c>
      <c r="I7" s="44">
        <v>5</v>
      </c>
      <c r="J7" s="44">
        <v>2</v>
      </c>
      <c r="K7" s="44">
        <v>2</v>
      </c>
      <c r="L7" s="44">
        <v>2</v>
      </c>
      <c r="M7" s="44">
        <v>1</v>
      </c>
      <c r="N7" s="44">
        <v>2</v>
      </c>
      <c r="O7" s="44">
        <v>48</v>
      </c>
      <c r="P7" s="44">
        <v>1000</v>
      </c>
      <c r="Q7" s="129">
        <v>280000</v>
      </c>
      <c r="R7" s="129">
        <v>394742.1</v>
      </c>
      <c r="U7">
        <v>3</v>
      </c>
      <c r="V7" s="44" t="s">
        <v>991</v>
      </c>
      <c r="W7" s="166">
        <v>200</v>
      </c>
      <c r="Z7" s="49"/>
    </row>
    <row r="8" spans="1:30">
      <c r="A8" s="114" t="s">
        <v>974</v>
      </c>
      <c r="B8" s="114" t="s">
        <v>1164</v>
      </c>
      <c r="C8" s="44">
        <v>4</v>
      </c>
      <c r="D8" s="44">
        <v>4</v>
      </c>
      <c r="E8" s="44">
        <v>1</v>
      </c>
      <c r="F8" s="44">
        <v>2</v>
      </c>
      <c r="G8" s="44">
        <v>2</v>
      </c>
      <c r="H8" s="44">
        <v>1000</v>
      </c>
      <c r="I8" s="44">
        <v>5</v>
      </c>
      <c r="J8" s="44">
        <v>2</v>
      </c>
      <c r="K8" s="44">
        <v>2</v>
      </c>
      <c r="L8" s="44">
        <v>2</v>
      </c>
      <c r="M8" s="44">
        <v>1</v>
      </c>
      <c r="N8" s="44">
        <v>2</v>
      </c>
      <c r="O8" s="44">
        <v>48</v>
      </c>
      <c r="P8" s="44">
        <v>1000</v>
      </c>
      <c r="Q8" s="129">
        <v>332500</v>
      </c>
      <c r="R8" s="129">
        <v>438777.79999999981</v>
      </c>
      <c r="U8">
        <v>4</v>
      </c>
      <c r="V8" s="44" t="s">
        <v>819</v>
      </c>
      <c r="W8" s="166">
        <v>120</v>
      </c>
      <c r="Z8" s="49"/>
    </row>
    <row r="9" spans="1:30">
      <c r="A9" s="114" t="s">
        <v>1072</v>
      </c>
      <c r="B9" s="114" t="s">
        <v>1165</v>
      </c>
      <c r="C9" s="44">
        <v>7</v>
      </c>
      <c r="D9" s="44">
        <v>4</v>
      </c>
      <c r="E9" s="44">
        <v>1</v>
      </c>
      <c r="F9" s="44">
        <v>2</v>
      </c>
      <c r="G9" s="44">
        <v>2</v>
      </c>
      <c r="H9" s="44">
        <v>1000</v>
      </c>
      <c r="I9" s="44">
        <v>5</v>
      </c>
      <c r="J9" s="44">
        <v>2</v>
      </c>
      <c r="K9" s="44">
        <v>2</v>
      </c>
      <c r="L9" s="44">
        <v>2</v>
      </c>
      <c r="M9" s="44">
        <v>1</v>
      </c>
      <c r="N9" s="44">
        <v>2</v>
      </c>
      <c r="O9" s="44">
        <v>48</v>
      </c>
      <c r="P9" s="44">
        <v>1000</v>
      </c>
      <c r="Q9" s="129">
        <v>263300</v>
      </c>
      <c r="R9" s="129">
        <v>486083</v>
      </c>
      <c r="U9">
        <v>5</v>
      </c>
      <c r="V9" s="44" t="s">
        <v>1316</v>
      </c>
      <c r="W9" s="166">
        <v>80</v>
      </c>
    </row>
    <row r="10" spans="1:30">
      <c r="A10" s="114" t="s">
        <v>1051</v>
      </c>
      <c r="B10" s="114" t="s">
        <v>1166</v>
      </c>
      <c r="C10" s="44">
        <v>4</v>
      </c>
      <c r="D10" s="44">
        <v>4</v>
      </c>
      <c r="E10" s="44">
        <v>1</v>
      </c>
      <c r="F10" s="44">
        <v>2</v>
      </c>
      <c r="G10" s="44">
        <v>2</v>
      </c>
      <c r="H10" s="44">
        <v>1000</v>
      </c>
      <c r="I10" s="44">
        <v>5</v>
      </c>
      <c r="J10" s="44">
        <v>2</v>
      </c>
      <c r="K10" s="44">
        <v>2</v>
      </c>
      <c r="L10" s="44">
        <v>2</v>
      </c>
      <c r="M10" s="44">
        <v>1</v>
      </c>
      <c r="N10" s="44">
        <v>2</v>
      </c>
      <c r="O10" s="44">
        <v>48</v>
      </c>
      <c r="P10" s="44">
        <v>1000</v>
      </c>
      <c r="Q10" s="129">
        <v>256800</v>
      </c>
      <c r="R10" s="129">
        <v>446383</v>
      </c>
      <c r="U10">
        <v>6</v>
      </c>
      <c r="V10" s="48" t="s">
        <v>1339</v>
      </c>
      <c r="W10" s="166">
        <v>50</v>
      </c>
    </row>
    <row r="11" spans="1:30">
      <c r="A11" s="114" t="s">
        <v>5</v>
      </c>
      <c r="B11" s="114" t="s">
        <v>1167</v>
      </c>
      <c r="C11" s="44">
        <v>4</v>
      </c>
      <c r="D11" s="44">
        <v>4</v>
      </c>
      <c r="E11" s="44">
        <v>1</v>
      </c>
      <c r="F11" s="44">
        <v>2</v>
      </c>
      <c r="G11" s="44">
        <v>2</v>
      </c>
      <c r="H11" s="44">
        <v>1000</v>
      </c>
      <c r="I11" s="44">
        <v>5</v>
      </c>
      <c r="J11" s="44">
        <v>2</v>
      </c>
      <c r="K11" s="44">
        <v>2</v>
      </c>
      <c r="L11" s="44">
        <v>2</v>
      </c>
      <c r="M11" s="44">
        <v>1</v>
      </c>
      <c r="N11" s="44">
        <v>2</v>
      </c>
      <c r="O11" s="44">
        <v>48</v>
      </c>
      <c r="P11" s="44">
        <v>2</v>
      </c>
      <c r="Q11" s="129">
        <v>770000</v>
      </c>
      <c r="R11" s="129">
        <v>637447.89999999967</v>
      </c>
      <c r="U11">
        <v>7</v>
      </c>
      <c r="V11" s="48" t="s">
        <v>1340</v>
      </c>
      <c r="W11" s="166">
        <v>100</v>
      </c>
    </row>
    <row r="12" spans="1:30">
      <c r="A12" s="114" t="s">
        <v>921</v>
      </c>
      <c r="B12" s="114" t="s">
        <v>1168</v>
      </c>
      <c r="C12" s="44">
        <v>4</v>
      </c>
      <c r="D12" s="44">
        <v>4</v>
      </c>
      <c r="E12" s="44">
        <v>1</v>
      </c>
      <c r="F12" s="44">
        <v>2</v>
      </c>
      <c r="G12" s="44">
        <v>2</v>
      </c>
      <c r="H12" s="44">
        <v>1000</v>
      </c>
      <c r="I12" s="44">
        <v>5</v>
      </c>
      <c r="J12" s="44">
        <v>2</v>
      </c>
      <c r="K12" s="44">
        <v>2</v>
      </c>
      <c r="L12" s="44">
        <v>2</v>
      </c>
      <c r="M12" s="44">
        <v>1</v>
      </c>
      <c r="N12" s="44">
        <v>2</v>
      </c>
      <c r="O12" s="44">
        <v>48</v>
      </c>
      <c r="P12" s="44">
        <v>1000</v>
      </c>
      <c r="Q12" s="129">
        <v>630000</v>
      </c>
      <c r="R12" s="129">
        <v>530284.99999999977</v>
      </c>
      <c r="U12">
        <v>8</v>
      </c>
      <c r="V12" s="48" t="s">
        <v>1341</v>
      </c>
      <c r="W12" s="166">
        <v>100</v>
      </c>
    </row>
    <row r="13" spans="1:30">
      <c r="A13" s="114" t="s">
        <v>955</v>
      </c>
      <c r="B13" s="114" t="s">
        <v>1169</v>
      </c>
      <c r="C13" s="44">
        <v>4</v>
      </c>
      <c r="D13" s="44">
        <v>4</v>
      </c>
      <c r="E13" s="44">
        <v>1</v>
      </c>
      <c r="F13" s="44">
        <v>2</v>
      </c>
      <c r="G13" s="44">
        <v>2</v>
      </c>
      <c r="H13" s="44">
        <v>1000</v>
      </c>
      <c r="I13" s="44">
        <v>5</v>
      </c>
      <c r="J13" s="44">
        <v>2</v>
      </c>
      <c r="K13" s="44">
        <v>2</v>
      </c>
      <c r="L13" s="44">
        <v>2</v>
      </c>
      <c r="M13" s="44">
        <v>1</v>
      </c>
      <c r="N13" s="44">
        <v>2</v>
      </c>
      <c r="O13" s="44">
        <v>48</v>
      </c>
      <c r="P13" s="44">
        <v>1000</v>
      </c>
      <c r="Q13" s="129">
        <v>455000</v>
      </c>
      <c r="R13" s="129">
        <v>339055.7</v>
      </c>
      <c r="U13">
        <v>9</v>
      </c>
      <c r="V13" s="48" t="s">
        <v>1342</v>
      </c>
      <c r="W13" s="166">
        <v>100</v>
      </c>
    </row>
    <row r="14" spans="1:30">
      <c r="A14" s="114" t="s">
        <v>2062</v>
      </c>
      <c r="B14" s="114" t="s">
        <v>1170</v>
      </c>
      <c r="C14" s="44">
        <v>7</v>
      </c>
      <c r="D14" s="44">
        <v>4</v>
      </c>
      <c r="E14" s="44">
        <v>1</v>
      </c>
      <c r="F14" s="44">
        <v>2</v>
      </c>
      <c r="G14" s="44">
        <v>2</v>
      </c>
      <c r="H14" s="44">
        <v>1000</v>
      </c>
      <c r="I14" s="44">
        <v>5</v>
      </c>
      <c r="J14" s="44">
        <v>2</v>
      </c>
      <c r="K14" s="44">
        <v>2</v>
      </c>
      <c r="L14" s="44">
        <v>2</v>
      </c>
      <c r="M14" s="44">
        <v>1</v>
      </c>
      <c r="N14" s="44">
        <v>4</v>
      </c>
      <c r="O14" s="44">
        <v>48</v>
      </c>
      <c r="P14" s="44">
        <v>1000</v>
      </c>
      <c r="Q14" s="129">
        <v>210000</v>
      </c>
      <c r="R14" s="129">
        <v>267605</v>
      </c>
      <c r="U14">
        <v>10</v>
      </c>
      <c r="V14" s="48" t="s">
        <v>1343</v>
      </c>
      <c r="W14" s="167">
        <v>500</v>
      </c>
    </row>
    <row r="15" spans="1:30">
      <c r="A15" s="114" t="s">
        <v>973</v>
      </c>
      <c r="B15" s="114" t="s">
        <v>1171</v>
      </c>
      <c r="C15" s="44">
        <v>10</v>
      </c>
      <c r="D15" s="44">
        <v>4</v>
      </c>
      <c r="E15" s="44">
        <v>1</v>
      </c>
      <c r="F15" s="44">
        <v>2</v>
      </c>
      <c r="G15" s="44">
        <v>2</v>
      </c>
      <c r="H15" s="44">
        <v>1000</v>
      </c>
      <c r="I15" s="44">
        <v>5</v>
      </c>
      <c r="J15" s="44">
        <v>2</v>
      </c>
      <c r="K15" s="44">
        <v>2</v>
      </c>
      <c r="L15" s="44">
        <v>2</v>
      </c>
      <c r="M15" s="44">
        <v>1</v>
      </c>
      <c r="N15" s="44">
        <v>2</v>
      </c>
      <c r="O15" s="44">
        <v>48</v>
      </c>
      <c r="P15" s="44">
        <v>1000</v>
      </c>
      <c r="Q15" s="129">
        <v>437500</v>
      </c>
      <c r="R15" s="129">
        <v>393424</v>
      </c>
      <c r="U15">
        <v>11</v>
      </c>
      <c r="V15" s="48" t="s">
        <v>1344</v>
      </c>
      <c r="W15" s="167">
        <v>100</v>
      </c>
    </row>
    <row r="16" spans="1:30">
      <c r="A16" s="114" t="s">
        <v>864</v>
      </c>
      <c r="B16" s="114" t="s">
        <v>1172</v>
      </c>
      <c r="C16" s="44">
        <v>7</v>
      </c>
      <c r="D16" s="44">
        <v>4</v>
      </c>
      <c r="E16" s="44">
        <v>1</v>
      </c>
      <c r="F16" s="44">
        <v>4</v>
      </c>
      <c r="G16" s="44">
        <v>2</v>
      </c>
      <c r="H16" s="44">
        <v>1000</v>
      </c>
      <c r="I16" s="44">
        <v>5</v>
      </c>
      <c r="J16" s="44">
        <v>2</v>
      </c>
      <c r="K16" s="44">
        <v>2</v>
      </c>
      <c r="L16" s="44">
        <v>2</v>
      </c>
      <c r="M16" s="44">
        <v>1</v>
      </c>
      <c r="N16" s="44">
        <v>2</v>
      </c>
      <c r="O16" s="44">
        <v>48</v>
      </c>
      <c r="P16" s="44">
        <v>1000</v>
      </c>
      <c r="Q16" s="129">
        <v>402100</v>
      </c>
      <c r="R16" s="129">
        <v>378219</v>
      </c>
      <c r="U16">
        <v>12</v>
      </c>
      <c r="V16" s="48" t="s">
        <v>1345</v>
      </c>
      <c r="W16" s="167">
        <v>50</v>
      </c>
    </row>
    <row r="17" spans="1:23">
      <c r="A17" s="114" t="s">
        <v>923</v>
      </c>
      <c r="B17" s="114" t="s">
        <v>1173</v>
      </c>
      <c r="C17" s="44">
        <v>7</v>
      </c>
      <c r="D17" s="44">
        <v>4</v>
      </c>
      <c r="E17" s="44">
        <v>1</v>
      </c>
      <c r="F17" s="44">
        <v>4</v>
      </c>
      <c r="G17" s="44">
        <v>2</v>
      </c>
      <c r="H17" s="44">
        <v>1000</v>
      </c>
      <c r="I17" s="44">
        <v>5</v>
      </c>
      <c r="J17" s="44">
        <v>2</v>
      </c>
      <c r="K17" s="44">
        <v>2</v>
      </c>
      <c r="L17" s="44">
        <v>2</v>
      </c>
      <c r="M17" s="44">
        <v>1</v>
      </c>
      <c r="N17" s="44">
        <v>4</v>
      </c>
      <c r="O17" s="44">
        <v>48</v>
      </c>
      <c r="P17" s="44">
        <v>1000</v>
      </c>
      <c r="Q17" s="129">
        <v>353700</v>
      </c>
      <c r="R17" s="129">
        <v>307533</v>
      </c>
      <c r="U17">
        <v>13</v>
      </c>
      <c r="V17" s="48" t="s">
        <v>1347</v>
      </c>
      <c r="W17" s="167">
        <v>200</v>
      </c>
    </row>
    <row r="18" spans="1:23">
      <c r="A18" s="114" t="s">
        <v>949</v>
      </c>
      <c r="B18" s="114" t="s">
        <v>1174</v>
      </c>
      <c r="C18" s="44">
        <v>4</v>
      </c>
      <c r="D18" s="44">
        <v>4</v>
      </c>
      <c r="E18" s="44">
        <v>1</v>
      </c>
      <c r="F18" s="44">
        <v>4</v>
      </c>
      <c r="G18" s="44">
        <v>2</v>
      </c>
      <c r="H18" s="44">
        <v>1000</v>
      </c>
      <c r="I18" s="44">
        <v>5</v>
      </c>
      <c r="J18" s="44">
        <v>2</v>
      </c>
      <c r="K18" s="44">
        <v>2</v>
      </c>
      <c r="L18" s="44">
        <v>2</v>
      </c>
      <c r="M18" s="44">
        <v>1</v>
      </c>
      <c r="N18" s="44">
        <v>2</v>
      </c>
      <c r="O18" s="44">
        <v>48</v>
      </c>
      <c r="P18" s="44">
        <v>1000</v>
      </c>
      <c r="Q18" s="129">
        <v>10000000</v>
      </c>
      <c r="R18" s="129">
        <v>10000000</v>
      </c>
      <c r="U18">
        <v>14</v>
      </c>
      <c r="V18" s="44" t="s">
        <v>1325</v>
      </c>
      <c r="W18" s="44">
        <v>500</v>
      </c>
    </row>
    <row r="19" spans="1:23">
      <c r="A19" s="114" t="s">
        <v>865</v>
      </c>
      <c r="B19" s="114" t="s">
        <v>1175</v>
      </c>
      <c r="C19" s="44">
        <v>4</v>
      </c>
      <c r="D19" s="44">
        <v>4</v>
      </c>
      <c r="E19" s="44">
        <v>1</v>
      </c>
      <c r="F19" s="44">
        <v>2</v>
      </c>
      <c r="G19" s="44">
        <v>2</v>
      </c>
      <c r="H19" s="44">
        <v>1000</v>
      </c>
      <c r="I19" s="44">
        <v>5</v>
      </c>
      <c r="J19" s="44">
        <v>2</v>
      </c>
      <c r="K19" s="44">
        <v>2</v>
      </c>
      <c r="L19" s="44">
        <v>2</v>
      </c>
      <c r="M19" s="44">
        <v>1</v>
      </c>
      <c r="N19" s="44">
        <v>4</v>
      </c>
      <c r="O19" s="44">
        <v>48</v>
      </c>
      <c r="P19" s="44">
        <v>1000</v>
      </c>
      <c r="Q19" s="129">
        <v>271300</v>
      </c>
      <c r="R19" s="129">
        <v>220589</v>
      </c>
      <c r="U19">
        <v>15</v>
      </c>
      <c r="V19" s="44" t="s">
        <v>1326</v>
      </c>
      <c r="W19" s="44">
        <v>1000</v>
      </c>
    </row>
    <row r="20" spans="1:23">
      <c r="A20" s="114" t="s">
        <v>1225</v>
      </c>
      <c r="B20" s="114" t="s">
        <v>1176</v>
      </c>
      <c r="C20" s="44">
        <v>4</v>
      </c>
      <c r="D20" s="44">
        <v>4</v>
      </c>
      <c r="E20" s="44">
        <v>1</v>
      </c>
      <c r="F20" s="44">
        <v>2</v>
      </c>
      <c r="G20" s="44">
        <v>2</v>
      </c>
      <c r="H20" s="44">
        <v>1000</v>
      </c>
      <c r="I20" s="44">
        <v>5</v>
      </c>
      <c r="J20" s="44">
        <v>2</v>
      </c>
      <c r="K20" s="44">
        <v>4</v>
      </c>
      <c r="L20" s="44">
        <v>2</v>
      </c>
      <c r="M20" s="44">
        <v>1</v>
      </c>
      <c r="N20" s="44">
        <v>2</v>
      </c>
      <c r="O20" s="44">
        <v>48</v>
      </c>
      <c r="P20" s="44">
        <v>1000</v>
      </c>
      <c r="Q20" s="129">
        <v>227500</v>
      </c>
      <c r="R20" s="129">
        <v>301112</v>
      </c>
      <c r="U20">
        <v>16</v>
      </c>
      <c r="V20" s="44"/>
      <c r="W20" s="44"/>
    </row>
    <row r="21" spans="1:23">
      <c r="A21" s="114" t="s">
        <v>2458</v>
      </c>
      <c r="B21" s="114" t="s">
        <v>1177</v>
      </c>
      <c r="C21" s="44">
        <v>4</v>
      </c>
      <c r="D21" s="44">
        <v>4</v>
      </c>
      <c r="E21" s="44">
        <v>1</v>
      </c>
      <c r="F21" s="44">
        <v>2</v>
      </c>
      <c r="G21" s="44">
        <v>2</v>
      </c>
      <c r="H21" s="44">
        <v>1000</v>
      </c>
      <c r="I21" s="44">
        <v>5</v>
      </c>
      <c r="J21" s="44">
        <v>2</v>
      </c>
      <c r="K21" s="44">
        <v>2</v>
      </c>
      <c r="L21" s="44">
        <v>2</v>
      </c>
      <c r="M21" s="44">
        <v>1</v>
      </c>
      <c r="N21" s="44">
        <v>2</v>
      </c>
      <c r="O21" s="44">
        <v>48</v>
      </c>
      <c r="P21" s="44">
        <v>1000</v>
      </c>
      <c r="Q21" s="129">
        <v>210000</v>
      </c>
      <c r="R21" s="129">
        <v>495091</v>
      </c>
      <c r="U21">
        <v>17</v>
      </c>
      <c r="V21" s="44"/>
      <c r="W21" s="44"/>
    </row>
    <row r="22" spans="1:23">
      <c r="A22" s="114" t="s">
        <v>1132</v>
      </c>
      <c r="B22" s="114" t="s">
        <v>1178</v>
      </c>
      <c r="C22" s="44">
        <v>7</v>
      </c>
      <c r="D22" s="44">
        <v>4</v>
      </c>
      <c r="E22" s="44">
        <v>1</v>
      </c>
      <c r="F22" s="44">
        <v>4</v>
      </c>
      <c r="G22" s="44">
        <v>2</v>
      </c>
      <c r="H22" s="44">
        <v>10</v>
      </c>
      <c r="I22" s="44">
        <v>1000</v>
      </c>
      <c r="J22" s="44">
        <v>2</v>
      </c>
      <c r="K22" s="44">
        <v>2</v>
      </c>
      <c r="L22" s="44">
        <v>2</v>
      </c>
      <c r="M22" s="44">
        <v>1</v>
      </c>
      <c r="N22" s="44">
        <v>2</v>
      </c>
      <c r="O22" s="44">
        <v>48</v>
      </c>
      <c r="P22" s="44">
        <v>2</v>
      </c>
      <c r="Q22" s="129">
        <v>10000000</v>
      </c>
      <c r="R22" s="129">
        <v>10000000</v>
      </c>
    </row>
    <row r="23" spans="1:23">
      <c r="A23" s="114" t="s">
        <v>771</v>
      </c>
      <c r="B23" s="114" t="s">
        <v>1179</v>
      </c>
      <c r="C23" s="44">
        <v>4</v>
      </c>
      <c r="D23" s="44">
        <v>4</v>
      </c>
      <c r="E23" s="44">
        <v>1</v>
      </c>
      <c r="F23" s="44">
        <v>4</v>
      </c>
      <c r="G23" s="44">
        <v>2</v>
      </c>
      <c r="H23" s="44">
        <v>10</v>
      </c>
      <c r="I23" s="44">
        <v>1000</v>
      </c>
      <c r="J23" s="44">
        <v>2</v>
      </c>
      <c r="K23" s="44">
        <v>2</v>
      </c>
      <c r="L23" s="44">
        <v>2</v>
      </c>
      <c r="M23" s="44">
        <v>1</v>
      </c>
      <c r="N23" s="44">
        <v>4</v>
      </c>
      <c r="O23" s="44">
        <v>48</v>
      </c>
      <c r="P23" s="44">
        <v>2</v>
      </c>
      <c r="Q23" s="129">
        <v>442700</v>
      </c>
      <c r="R23" s="129">
        <v>472427</v>
      </c>
    </row>
    <row r="24" spans="1:23">
      <c r="A24" s="114" t="s">
        <v>1087</v>
      </c>
      <c r="B24" s="114" t="s">
        <v>1180</v>
      </c>
      <c r="C24" s="44">
        <v>7</v>
      </c>
      <c r="D24" s="44">
        <v>4</v>
      </c>
      <c r="E24" s="44">
        <v>1</v>
      </c>
      <c r="F24" s="44">
        <v>2</v>
      </c>
      <c r="G24" s="44">
        <v>2</v>
      </c>
      <c r="H24" s="44">
        <v>10</v>
      </c>
      <c r="I24" s="44">
        <v>1000</v>
      </c>
      <c r="J24" s="44">
        <v>2</v>
      </c>
      <c r="K24" s="44">
        <v>2</v>
      </c>
      <c r="L24" s="44">
        <v>2</v>
      </c>
      <c r="M24" s="44">
        <v>1</v>
      </c>
      <c r="N24" s="44">
        <v>2</v>
      </c>
      <c r="O24" s="44">
        <v>48</v>
      </c>
      <c r="P24" s="44">
        <v>2</v>
      </c>
      <c r="Q24" s="129">
        <v>578600</v>
      </c>
      <c r="R24" s="129">
        <v>10000000</v>
      </c>
    </row>
    <row r="25" spans="1:23">
      <c r="A25" s="114" t="s">
        <v>871</v>
      </c>
      <c r="B25" s="114" t="s">
        <v>1181</v>
      </c>
      <c r="C25" s="44">
        <v>7</v>
      </c>
      <c r="D25" s="44">
        <v>4</v>
      </c>
      <c r="E25" s="44">
        <v>1</v>
      </c>
      <c r="F25" s="44">
        <v>2</v>
      </c>
      <c r="G25" s="44">
        <v>2</v>
      </c>
      <c r="H25" s="44">
        <v>10</v>
      </c>
      <c r="I25" s="44">
        <v>1000</v>
      </c>
      <c r="J25" s="44">
        <v>2</v>
      </c>
      <c r="K25" s="44">
        <v>4</v>
      </c>
      <c r="L25" s="44">
        <v>4</v>
      </c>
      <c r="M25" s="44">
        <v>1</v>
      </c>
      <c r="N25" s="44">
        <v>4</v>
      </c>
      <c r="O25" s="44">
        <v>48</v>
      </c>
      <c r="P25" s="44">
        <v>2</v>
      </c>
      <c r="Q25" s="129">
        <v>583000</v>
      </c>
      <c r="R25" s="129">
        <v>730183</v>
      </c>
    </row>
    <row r="26" spans="1:23">
      <c r="A26" s="114" t="s">
        <v>851</v>
      </c>
      <c r="B26" s="114" t="s">
        <v>1182</v>
      </c>
      <c r="C26" s="44">
        <v>4</v>
      </c>
      <c r="D26" s="44">
        <v>4</v>
      </c>
      <c r="E26" s="44">
        <v>1</v>
      </c>
      <c r="F26" s="44">
        <v>2</v>
      </c>
      <c r="G26" s="44">
        <v>2</v>
      </c>
      <c r="H26" s="44">
        <v>10</v>
      </c>
      <c r="I26" s="44">
        <v>1000</v>
      </c>
      <c r="J26" s="44">
        <v>2</v>
      </c>
      <c r="K26" s="44">
        <v>4</v>
      </c>
      <c r="L26" s="44">
        <v>4</v>
      </c>
      <c r="M26" s="44">
        <v>1</v>
      </c>
      <c r="N26" s="44">
        <v>2</v>
      </c>
      <c r="O26" s="44">
        <v>48</v>
      </c>
      <c r="P26" s="44">
        <v>2</v>
      </c>
      <c r="Q26" s="129">
        <v>414500</v>
      </c>
      <c r="R26" s="129">
        <v>254887</v>
      </c>
    </row>
    <row r="27" spans="1:23">
      <c r="A27" s="114" t="s">
        <v>872</v>
      </c>
      <c r="B27" s="114" t="s">
        <v>1183</v>
      </c>
      <c r="C27" s="44">
        <v>4</v>
      </c>
      <c r="D27" s="44">
        <v>4</v>
      </c>
      <c r="E27" s="44">
        <v>1</v>
      </c>
      <c r="F27" s="44">
        <v>2</v>
      </c>
      <c r="G27" s="44">
        <v>2</v>
      </c>
      <c r="H27" s="44">
        <v>8</v>
      </c>
      <c r="I27" s="44">
        <v>1000</v>
      </c>
      <c r="J27" s="44">
        <v>2</v>
      </c>
      <c r="K27" s="44">
        <v>2</v>
      </c>
      <c r="L27" s="44">
        <v>2</v>
      </c>
      <c r="M27" s="44">
        <v>1</v>
      </c>
      <c r="N27" s="44">
        <v>2</v>
      </c>
      <c r="O27" s="44">
        <v>48</v>
      </c>
      <c r="P27" s="44">
        <v>2</v>
      </c>
      <c r="Q27" s="129">
        <v>10000000</v>
      </c>
      <c r="R27" s="129">
        <v>10000000</v>
      </c>
    </row>
    <row r="28" spans="1:23">
      <c r="A28" s="114" t="s">
        <v>2061</v>
      </c>
      <c r="B28" s="114" t="s">
        <v>1184</v>
      </c>
      <c r="C28" s="44">
        <v>4</v>
      </c>
      <c r="D28" s="44">
        <v>4</v>
      </c>
      <c r="E28" s="44">
        <v>1</v>
      </c>
      <c r="F28" s="44">
        <v>2</v>
      </c>
      <c r="G28" s="44">
        <v>2</v>
      </c>
      <c r="H28" s="44">
        <v>8</v>
      </c>
      <c r="I28" s="44">
        <v>1000</v>
      </c>
      <c r="J28" s="44">
        <v>2</v>
      </c>
      <c r="K28" s="44">
        <v>2</v>
      </c>
      <c r="L28" s="44">
        <v>2</v>
      </c>
      <c r="M28" s="44">
        <v>1</v>
      </c>
      <c r="N28" s="44">
        <v>2</v>
      </c>
      <c r="O28" s="44">
        <v>48</v>
      </c>
      <c r="P28" s="44">
        <v>2</v>
      </c>
      <c r="Q28" s="129">
        <v>10000000</v>
      </c>
      <c r="R28" s="129">
        <v>10000000</v>
      </c>
    </row>
    <row r="29" spans="1:23">
      <c r="A29" s="114" t="s">
        <v>946</v>
      </c>
      <c r="B29" s="114" t="s">
        <v>1185</v>
      </c>
      <c r="C29" s="44">
        <v>4</v>
      </c>
      <c r="D29" s="44">
        <v>4</v>
      </c>
      <c r="E29" s="44">
        <v>1</v>
      </c>
      <c r="F29" s="44">
        <v>2</v>
      </c>
      <c r="G29" s="44">
        <v>2</v>
      </c>
      <c r="H29" s="44">
        <v>10</v>
      </c>
      <c r="I29" s="44">
        <v>1000</v>
      </c>
      <c r="J29" s="44">
        <v>2</v>
      </c>
      <c r="K29" s="44">
        <v>2</v>
      </c>
      <c r="L29" s="44">
        <v>2</v>
      </c>
      <c r="M29" s="44">
        <v>1</v>
      </c>
      <c r="N29" s="44">
        <v>2</v>
      </c>
      <c r="O29" s="44">
        <v>48</v>
      </c>
      <c r="P29" s="44">
        <v>2</v>
      </c>
      <c r="Q29" s="129">
        <v>450400</v>
      </c>
      <c r="R29" s="129">
        <v>642229</v>
      </c>
    </row>
    <row r="30" spans="1:23">
      <c r="A30" s="114"/>
      <c r="B30" s="11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129"/>
      <c r="R30" s="129"/>
      <c r="U30" s="49"/>
      <c r="V30" s="49"/>
      <c r="W30" s="49"/>
    </row>
    <row r="31" spans="1:23">
      <c r="A31" s="114"/>
      <c r="B31" s="11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129"/>
      <c r="R31" s="129"/>
    </row>
    <row r="32" spans="1:23">
      <c r="A32" s="114"/>
      <c r="B32" s="11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129"/>
      <c r="R32" s="129"/>
    </row>
    <row r="33" spans="1:18">
      <c r="A33" s="114"/>
      <c r="B33" s="11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129"/>
      <c r="R33" s="129"/>
    </row>
    <row r="34" spans="1:18">
      <c r="A34" s="114"/>
      <c r="B34" s="11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129"/>
      <c r="R34" s="129"/>
    </row>
    <row r="35" spans="1:18">
      <c r="A35" s="114"/>
      <c r="B35" s="11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129"/>
      <c r="R35" s="129"/>
    </row>
    <row r="36" spans="1:18">
      <c r="A36" s="114"/>
      <c r="B36" s="11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129"/>
      <c r="R36" s="129"/>
    </row>
    <row r="37" spans="1:18">
      <c r="A37" s="114"/>
      <c r="B37" s="11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29"/>
      <c r="R37" s="129"/>
    </row>
    <row r="38" spans="1:18">
      <c r="A38" s="114"/>
      <c r="B38" s="11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129"/>
      <c r="R38" s="129"/>
    </row>
    <row r="39" spans="1:18">
      <c r="A39" s="114"/>
      <c r="B39" s="11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129"/>
      <c r="R39" s="129"/>
    </row>
    <row r="40" spans="1:18">
      <c r="A40" s="114"/>
      <c r="B40" s="11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129"/>
      <c r="R40" s="129"/>
    </row>
    <row r="41" spans="1:18">
      <c r="A41" s="114"/>
      <c r="B41" s="11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</sheetData>
  <phoneticPr fontId="24" type="noConversion"/>
  <conditionalFormatting sqref="A3:A1048576 B4:B41">
    <cfRule type="duplicateValues" dxfId="13" priority="6065"/>
  </conditionalFormatting>
  <pageMargins left="0.7" right="0.7" top="0.75" bottom="0.75" header="0.3" footer="0.3"/>
  <ignoredErrors>
    <ignoredError sqref="R5:R26 R29 R27:R28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99D1-C8A4-4F10-B53D-D2B89D08B51F}">
  <dimension ref="A2:B62"/>
  <sheetViews>
    <sheetView topLeftCell="A37" workbookViewId="0">
      <selection activeCell="B63" sqref="B63"/>
    </sheetView>
  </sheetViews>
  <sheetFormatPr defaultRowHeight="15.75"/>
  <cols>
    <col min="2" max="2" width="15.5703125" customWidth="1"/>
  </cols>
  <sheetData>
    <row r="2" spans="1:2">
      <c r="A2" s="49" t="s">
        <v>676</v>
      </c>
      <c r="B2" s="49" t="s">
        <v>1086</v>
      </c>
    </row>
    <row r="3" spans="1:2">
      <c r="A3" t="s">
        <v>892</v>
      </c>
      <c r="B3" t="s">
        <v>1028</v>
      </c>
    </row>
    <row r="4" spans="1:2">
      <c r="A4" t="s">
        <v>925</v>
      </c>
      <c r="B4" t="s">
        <v>1055</v>
      </c>
    </row>
    <row r="5" spans="1:2">
      <c r="A5" t="s">
        <v>621</v>
      </c>
      <c r="B5" t="s">
        <v>1078</v>
      </c>
    </row>
    <row r="6" spans="1:2">
      <c r="A6" t="s">
        <v>949</v>
      </c>
      <c r="B6" t="s">
        <v>1059</v>
      </c>
    </row>
    <row r="7" spans="1:2">
      <c r="A7" t="s">
        <v>965</v>
      </c>
      <c r="B7" t="s">
        <v>1060</v>
      </c>
    </row>
    <row r="8" spans="1:2">
      <c r="A8" t="s">
        <v>864</v>
      </c>
      <c r="B8" t="s">
        <v>1036</v>
      </c>
    </row>
    <row r="9" spans="1:2">
      <c r="A9" t="s">
        <v>894</v>
      </c>
      <c r="B9" t="s">
        <v>1041</v>
      </c>
    </row>
    <row r="10" spans="1:2">
      <c r="A10" t="s">
        <v>1049</v>
      </c>
      <c r="B10" t="s">
        <v>1050</v>
      </c>
    </row>
    <row r="11" spans="1:2">
      <c r="A11" t="s">
        <v>1071</v>
      </c>
      <c r="B11" t="s">
        <v>1038</v>
      </c>
    </row>
    <row r="12" spans="1:2">
      <c r="A12" t="s">
        <v>1051</v>
      </c>
      <c r="B12" t="s">
        <v>1052</v>
      </c>
    </row>
    <row r="13" spans="1:2">
      <c r="A13" t="s">
        <v>607</v>
      </c>
      <c r="B13" t="s">
        <v>1058</v>
      </c>
    </row>
    <row r="14" spans="1:2">
      <c r="A14" t="s">
        <v>973</v>
      </c>
      <c r="B14" t="s">
        <v>1046</v>
      </c>
    </row>
    <row r="15" spans="1:2">
      <c r="A15" t="s">
        <v>905</v>
      </c>
      <c r="B15" t="s">
        <v>1033</v>
      </c>
    </row>
    <row r="16" spans="1:2">
      <c r="A16" t="s">
        <v>923</v>
      </c>
      <c r="B16" t="s">
        <v>1042</v>
      </c>
    </row>
    <row r="17" spans="1:2">
      <c r="A17" t="s">
        <v>893</v>
      </c>
      <c r="B17" t="s">
        <v>1076</v>
      </c>
    </row>
    <row r="18" spans="1:2">
      <c r="A18" t="s">
        <v>895</v>
      </c>
      <c r="B18" t="s">
        <v>1023</v>
      </c>
    </row>
    <row r="19" spans="1:2">
      <c r="A19" t="s">
        <v>946</v>
      </c>
      <c r="B19" t="s">
        <v>1035</v>
      </c>
    </row>
    <row r="20" spans="1:2">
      <c r="A20" t="s">
        <v>921</v>
      </c>
      <c r="B20" t="s">
        <v>1026</v>
      </c>
    </row>
    <row r="21" spans="1:2">
      <c r="A21" t="s">
        <v>872</v>
      </c>
      <c r="B21" t="s">
        <v>1073</v>
      </c>
    </row>
    <row r="22" spans="1:2">
      <c r="A22" t="s">
        <v>771</v>
      </c>
      <c r="B22" t="s">
        <v>1034</v>
      </c>
    </row>
    <row r="23" spans="1:2">
      <c r="A23" t="s">
        <v>890</v>
      </c>
      <c r="B23" t="s">
        <v>1044</v>
      </c>
    </row>
    <row r="24" spans="1:2">
      <c r="A24" t="s">
        <v>1066</v>
      </c>
      <c r="B24" t="s">
        <v>1067</v>
      </c>
    </row>
    <row r="25" spans="1:2">
      <c r="A25" t="s">
        <v>976</v>
      </c>
      <c r="B25" t="s">
        <v>1027</v>
      </c>
    </row>
    <row r="26" spans="1:2">
      <c r="A26" t="s">
        <v>1080</v>
      </c>
      <c r="B26" t="s">
        <v>1081</v>
      </c>
    </row>
    <row r="27" spans="1:2">
      <c r="A27" t="s">
        <v>865</v>
      </c>
      <c r="B27" t="s">
        <v>1043</v>
      </c>
    </row>
    <row r="28" spans="1:2">
      <c r="A28" t="s">
        <v>955</v>
      </c>
      <c r="B28" t="s">
        <v>1039</v>
      </c>
    </row>
    <row r="29" spans="1:2">
      <c r="A29" t="s">
        <v>974</v>
      </c>
      <c r="B29" t="s">
        <v>1045</v>
      </c>
    </row>
    <row r="30" spans="1:2">
      <c r="A30" t="s">
        <v>986</v>
      </c>
      <c r="B30" t="s">
        <v>1065</v>
      </c>
    </row>
    <row r="31" spans="1:2">
      <c r="A31" t="s">
        <v>1062</v>
      </c>
      <c r="B31" t="s">
        <v>1063</v>
      </c>
    </row>
    <row r="32" spans="1:2">
      <c r="A32" t="s">
        <v>1047</v>
      </c>
      <c r="B32" t="s">
        <v>1048</v>
      </c>
    </row>
    <row r="33" spans="1:2">
      <c r="A33" t="s">
        <v>1072</v>
      </c>
      <c r="B33" t="s">
        <v>1075</v>
      </c>
    </row>
    <row r="34" spans="1:2">
      <c r="A34" t="s">
        <v>950</v>
      </c>
      <c r="B34" t="s">
        <v>1056</v>
      </c>
    </row>
    <row r="35" spans="1:2">
      <c r="A35" t="s">
        <v>5</v>
      </c>
      <c r="B35" t="s">
        <v>1022</v>
      </c>
    </row>
    <row r="36" spans="1:2">
      <c r="A36" t="s">
        <v>912</v>
      </c>
      <c r="B36" t="s">
        <v>1077</v>
      </c>
    </row>
    <row r="37" spans="1:2">
      <c r="A37" t="s">
        <v>871</v>
      </c>
      <c r="B37" t="s">
        <v>1025</v>
      </c>
    </row>
    <row r="38" spans="1:2">
      <c r="A38" t="s">
        <v>985</v>
      </c>
      <c r="B38" t="s">
        <v>1057</v>
      </c>
    </row>
    <row r="39" spans="1:2">
      <c r="A39" t="s">
        <v>1084</v>
      </c>
      <c r="B39" t="s">
        <v>1079</v>
      </c>
    </row>
    <row r="40" spans="1:2">
      <c r="A40" t="s">
        <v>878</v>
      </c>
      <c r="B40" t="s">
        <v>1040</v>
      </c>
    </row>
    <row r="41" spans="1:2">
      <c r="A41" t="s">
        <v>873</v>
      </c>
      <c r="B41" t="s">
        <v>1037</v>
      </c>
    </row>
    <row r="42" spans="1:2">
      <c r="A42" t="s">
        <v>1068</v>
      </c>
      <c r="B42" t="s">
        <v>1069</v>
      </c>
    </row>
    <row r="43" spans="1:2">
      <c r="A43" t="s">
        <v>951</v>
      </c>
      <c r="B43" t="s">
        <v>1029</v>
      </c>
    </row>
    <row r="44" spans="1:2">
      <c r="A44" t="s">
        <v>922</v>
      </c>
      <c r="B44" t="s">
        <v>1030</v>
      </c>
    </row>
    <row r="45" spans="1:2">
      <c r="A45" t="s">
        <v>1070</v>
      </c>
      <c r="B45" t="s">
        <v>1032</v>
      </c>
    </row>
    <row r="46" spans="1:2">
      <c r="A46" t="s">
        <v>904</v>
      </c>
      <c r="B46" t="s">
        <v>1064</v>
      </c>
    </row>
    <row r="47" spans="1:2">
      <c r="A47" t="s">
        <v>1053</v>
      </c>
      <c r="B47" t="s">
        <v>1054</v>
      </c>
    </row>
    <row r="48" spans="1:2">
      <c r="A48" t="s">
        <v>851</v>
      </c>
      <c r="B48" t="s">
        <v>1024</v>
      </c>
    </row>
    <row r="49" spans="1:2">
      <c r="A49" t="s">
        <v>1082</v>
      </c>
      <c r="B49" t="s">
        <v>1083</v>
      </c>
    </row>
    <row r="50" spans="1:2">
      <c r="A50" t="s">
        <v>995</v>
      </c>
      <c r="B50" t="s">
        <v>1031</v>
      </c>
    </row>
    <row r="51" spans="1:2">
      <c r="A51" t="s">
        <v>1085</v>
      </c>
      <c r="B51" t="s">
        <v>1074</v>
      </c>
    </row>
    <row r="52" spans="1:2">
      <c r="A52" t="s">
        <v>975</v>
      </c>
      <c r="B52" t="s">
        <v>1061</v>
      </c>
    </row>
    <row r="53" spans="1:2">
      <c r="A53" t="s">
        <v>924</v>
      </c>
      <c r="B53" s="49" t="s">
        <v>1089</v>
      </c>
    </row>
    <row r="54" spans="1:2">
      <c r="A54" t="s">
        <v>1019</v>
      </c>
      <c r="B54" t="s">
        <v>1088</v>
      </c>
    </row>
    <row r="55" spans="1:2">
      <c r="A55" t="s">
        <v>1114</v>
      </c>
      <c r="B55" s="49" t="s">
        <v>1138</v>
      </c>
    </row>
    <row r="56" spans="1:2">
      <c r="A56" t="s">
        <v>1087</v>
      </c>
      <c r="B56" s="49" t="s">
        <v>1139</v>
      </c>
    </row>
    <row r="57" spans="1:2">
      <c r="A57" t="s">
        <v>1132</v>
      </c>
      <c r="B57" t="s">
        <v>1141</v>
      </c>
    </row>
    <row r="58" spans="1:2">
      <c r="A58" t="s">
        <v>1129</v>
      </c>
      <c r="B58" t="s">
        <v>1142</v>
      </c>
    </row>
    <row r="59" spans="1:2">
      <c r="A59" t="s">
        <v>1140</v>
      </c>
      <c r="B59" t="s">
        <v>1143</v>
      </c>
    </row>
    <row r="60" spans="1:2">
      <c r="A60" s="49" t="s">
        <v>2468</v>
      </c>
      <c r="B60" s="49" t="s">
        <v>2473</v>
      </c>
    </row>
    <row r="61" spans="1:2">
      <c r="A61" s="49" t="s">
        <v>2470</v>
      </c>
      <c r="B61" s="49" t="s">
        <v>2474</v>
      </c>
    </row>
    <row r="62" spans="1:2">
      <c r="A62" s="49" t="s">
        <v>2472</v>
      </c>
      <c r="B62" s="49" t="s">
        <v>2475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2"/>
  <sheetViews>
    <sheetView topLeftCell="A301" workbookViewId="0">
      <selection activeCell="G314" sqref="G314"/>
    </sheetView>
  </sheetViews>
  <sheetFormatPr defaultColWidth="9" defaultRowHeight="19.5"/>
  <cols>
    <col min="1" max="1" width="6.7109375" style="47" bestFit="1" customWidth="1"/>
    <col min="2" max="2" width="43.140625" style="47" customWidth="1"/>
    <col min="3" max="3" width="59" style="15" customWidth="1"/>
    <col min="4" max="4" width="32.85546875" style="15" customWidth="1"/>
    <col min="5" max="5" width="51.7109375" style="15" bestFit="1" customWidth="1"/>
    <col min="6" max="6" width="14.28515625" style="16" customWidth="1"/>
    <col min="7" max="7" width="23.28515625" style="16" customWidth="1"/>
    <col min="8" max="8" width="14.85546875" style="16" customWidth="1"/>
    <col min="9" max="9" width="12.42578125" style="16" customWidth="1"/>
    <col min="10" max="16384" width="9" style="16"/>
  </cols>
  <sheetData>
    <row r="1" spans="1:11">
      <c r="A1" s="45" t="s">
        <v>883</v>
      </c>
      <c r="B1" s="15" t="s">
        <v>881</v>
      </c>
      <c r="C1" s="15" t="s">
        <v>882</v>
      </c>
      <c r="D1" s="15" t="s">
        <v>52</v>
      </c>
      <c r="E1" s="15" t="s">
        <v>14</v>
      </c>
      <c r="F1" s="16" t="s">
        <v>53</v>
      </c>
      <c r="G1" s="16" t="s">
        <v>54</v>
      </c>
      <c r="H1" s="16" t="s">
        <v>55</v>
      </c>
      <c r="I1" s="16" t="s">
        <v>56</v>
      </c>
      <c r="J1" s="16" t="s">
        <v>884</v>
      </c>
      <c r="K1" s="16" t="s">
        <v>885</v>
      </c>
    </row>
    <row r="2" spans="1:11">
      <c r="A2" s="46">
        <v>1</v>
      </c>
      <c r="B2" s="46" t="s">
        <v>654</v>
      </c>
      <c r="C2" s="15" t="s">
        <v>654</v>
      </c>
      <c r="D2" s="15" t="s">
        <v>654</v>
      </c>
      <c r="G2" s="16" t="s">
        <v>57</v>
      </c>
    </row>
    <row r="3" spans="1:11">
      <c r="A3" s="46">
        <v>2</v>
      </c>
      <c r="B3" s="46" t="s">
        <v>654</v>
      </c>
      <c r="C3" s="15" t="s">
        <v>654</v>
      </c>
      <c r="D3" s="15" t="s">
        <v>654</v>
      </c>
      <c r="G3" s="16" t="s">
        <v>57</v>
      </c>
    </row>
    <row r="4" spans="1:11">
      <c r="A4" s="46">
        <v>3</v>
      </c>
      <c r="B4" s="46" t="s">
        <v>58</v>
      </c>
      <c r="C4" s="15" t="s">
        <v>58</v>
      </c>
      <c r="D4" s="15" t="s">
        <v>58</v>
      </c>
      <c r="E4" s="26" t="s">
        <v>59</v>
      </c>
      <c r="F4" s="16">
        <v>3780</v>
      </c>
      <c r="G4" s="16" t="s">
        <v>57</v>
      </c>
      <c r="J4" s="16" t="s">
        <v>60</v>
      </c>
      <c r="K4" s="16" t="s">
        <v>61</v>
      </c>
    </row>
    <row r="5" spans="1:11">
      <c r="A5" s="46">
        <v>4</v>
      </c>
      <c r="B5" s="46" t="s">
        <v>62</v>
      </c>
      <c r="C5" s="15" t="s">
        <v>62</v>
      </c>
      <c r="D5" s="15" t="s">
        <v>62</v>
      </c>
      <c r="E5" s="26" t="s">
        <v>63</v>
      </c>
      <c r="F5" s="16">
        <v>4080</v>
      </c>
      <c r="G5" s="16" t="s">
        <v>57</v>
      </c>
      <c r="J5" s="16" t="s">
        <v>60</v>
      </c>
      <c r="K5" s="16" t="s">
        <v>61</v>
      </c>
    </row>
    <row r="6" spans="1:11" s="13" customFormat="1">
      <c r="A6" s="46">
        <v>5</v>
      </c>
      <c r="B6" s="46" t="s">
        <v>65</v>
      </c>
      <c r="C6" s="27" t="s">
        <v>64</v>
      </c>
      <c r="D6" s="27" t="s">
        <v>65</v>
      </c>
      <c r="E6" s="26" t="s">
        <v>66</v>
      </c>
      <c r="G6" s="16" t="s">
        <v>57</v>
      </c>
      <c r="J6" s="16" t="s">
        <v>60</v>
      </c>
      <c r="K6" s="13" t="s">
        <v>61</v>
      </c>
    </row>
    <row r="7" spans="1:11">
      <c r="A7" s="46">
        <v>6</v>
      </c>
      <c r="B7" s="46" t="s">
        <v>68</v>
      </c>
      <c r="C7" s="15" t="s">
        <v>67</v>
      </c>
      <c r="D7" s="15" t="s">
        <v>68</v>
      </c>
      <c r="E7" s="15" t="s">
        <v>69</v>
      </c>
      <c r="F7" s="16">
        <v>4480</v>
      </c>
      <c r="G7" s="16" t="s">
        <v>57</v>
      </c>
      <c r="J7" s="16" t="s">
        <v>60</v>
      </c>
      <c r="K7" s="16" t="s">
        <v>61</v>
      </c>
    </row>
    <row r="8" spans="1:11">
      <c r="A8" s="46">
        <v>7</v>
      </c>
      <c r="B8" s="46" t="s">
        <v>70</v>
      </c>
      <c r="C8" s="15" t="s">
        <v>70</v>
      </c>
      <c r="D8" s="15" t="s">
        <v>70</v>
      </c>
      <c r="E8" s="15" t="s">
        <v>71</v>
      </c>
      <c r="F8" s="16">
        <v>4980</v>
      </c>
      <c r="G8" s="16" t="s">
        <v>57</v>
      </c>
      <c r="J8" s="16" t="s">
        <v>60</v>
      </c>
      <c r="K8" s="16" t="s">
        <v>61</v>
      </c>
    </row>
    <row r="9" spans="1:11">
      <c r="A9" s="46">
        <v>8</v>
      </c>
      <c r="B9" s="46" t="s">
        <v>73</v>
      </c>
      <c r="C9" s="15" t="s">
        <v>72</v>
      </c>
      <c r="D9" s="15" t="s">
        <v>73</v>
      </c>
      <c r="E9" s="15" t="s">
        <v>74</v>
      </c>
      <c r="G9" s="16" t="s">
        <v>57</v>
      </c>
      <c r="J9" s="16" t="s">
        <v>60</v>
      </c>
      <c r="K9" s="16" t="s">
        <v>61</v>
      </c>
    </row>
    <row r="10" spans="1:11">
      <c r="A10" s="46">
        <v>9</v>
      </c>
      <c r="B10" s="46" t="s">
        <v>76</v>
      </c>
      <c r="C10" s="15" t="s">
        <v>75</v>
      </c>
      <c r="D10" s="15" t="s">
        <v>76</v>
      </c>
      <c r="E10" s="26" t="s">
        <v>77</v>
      </c>
      <c r="G10" s="16" t="s">
        <v>57</v>
      </c>
      <c r="J10" s="16" t="s">
        <v>60</v>
      </c>
      <c r="K10" s="16" t="s">
        <v>61</v>
      </c>
    </row>
    <row r="11" spans="1:11">
      <c r="A11" s="46">
        <v>10</v>
      </c>
      <c r="B11" s="46" t="s">
        <v>79</v>
      </c>
      <c r="C11" s="15" t="s">
        <v>78</v>
      </c>
      <c r="D11" s="15" t="s">
        <v>79</v>
      </c>
      <c r="E11" s="26" t="s">
        <v>80</v>
      </c>
      <c r="G11" s="16" t="s">
        <v>57</v>
      </c>
      <c r="J11" s="16" t="s">
        <v>60</v>
      </c>
      <c r="K11" s="16" t="s">
        <v>61</v>
      </c>
    </row>
    <row r="12" spans="1:11">
      <c r="A12" s="46">
        <v>11</v>
      </c>
      <c r="B12" s="46" t="s">
        <v>82</v>
      </c>
      <c r="C12" s="15" t="s">
        <v>81</v>
      </c>
      <c r="D12" s="15" t="s">
        <v>82</v>
      </c>
      <c r="E12" s="26" t="s">
        <v>83</v>
      </c>
      <c r="G12" s="16" t="s">
        <v>57</v>
      </c>
      <c r="J12" s="16" t="s">
        <v>60</v>
      </c>
      <c r="K12" s="16" t="s">
        <v>61</v>
      </c>
    </row>
    <row r="13" spans="1:11">
      <c r="A13" s="46">
        <v>12</v>
      </c>
      <c r="B13" s="46" t="s">
        <v>85</v>
      </c>
      <c r="C13" s="15" t="s">
        <v>84</v>
      </c>
      <c r="D13" s="15" t="s">
        <v>85</v>
      </c>
      <c r="E13" s="26" t="s">
        <v>83</v>
      </c>
      <c r="G13" s="16" t="s">
        <v>57</v>
      </c>
      <c r="J13" s="16" t="s">
        <v>60</v>
      </c>
      <c r="K13" s="16" t="s">
        <v>61</v>
      </c>
    </row>
    <row r="14" spans="1:11">
      <c r="A14" s="46">
        <v>13</v>
      </c>
      <c r="B14" s="46" t="s">
        <v>87</v>
      </c>
      <c r="C14" s="15" t="s">
        <v>86</v>
      </c>
      <c r="D14" s="15" t="s">
        <v>87</v>
      </c>
      <c r="E14" s="26" t="s">
        <v>88</v>
      </c>
      <c r="F14" s="16">
        <v>3180</v>
      </c>
      <c r="G14" s="16" t="s">
        <v>57</v>
      </c>
      <c r="J14" s="16" t="s">
        <v>60</v>
      </c>
      <c r="K14" s="16" t="s">
        <v>61</v>
      </c>
    </row>
    <row r="15" spans="1:11">
      <c r="A15" s="46">
        <v>14</v>
      </c>
      <c r="B15" s="46" t="s">
        <v>90</v>
      </c>
      <c r="C15" s="15" t="s">
        <v>89</v>
      </c>
      <c r="D15" s="15" t="s">
        <v>90</v>
      </c>
      <c r="E15" s="15" t="s">
        <v>91</v>
      </c>
      <c r="F15" s="16">
        <v>2999</v>
      </c>
      <c r="G15" s="16" t="s">
        <v>57</v>
      </c>
      <c r="J15" s="16" t="s">
        <v>60</v>
      </c>
      <c r="K15" s="16" t="s">
        <v>61</v>
      </c>
    </row>
    <row r="16" spans="1:11">
      <c r="A16" s="46">
        <v>15</v>
      </c>
      <c r="B16" s="46" t="s">
        <v>93</v>
      </c>
      <c r="C16" s="26" t="s">
        <v>92</v>
      </c>
      <c r="D16" s="26" t="s">
        <v>93</v>
      </c>
      <c r="E16" s="26" t="s">
        <v>94</v>
      </c>
      <c r="F16" s="16">
        <v>2480</v>
      </c>
      <c r="G16" s="16" t="s">
        <v>95</v>
      </c>
      <c r="H16" s="16">
        <v>3380</v>
      </c>
      <c r="I16" s="16" t="s">
        <v>57</v>
      </c>
      <c r="J16" s="16" t="s">
        <v>60</v>
      </c>
      <c r="K16" s="16" t="s">
        <v>61</v>
      </c>
    </row>
    <row r="17" spans="1:11">
      <c r="A17" s="46">
        <v>16</v>
      </c>
      <c r="B17" s="46" t="s">
        <v>97</v>
      </c>
      <c r="C17" s="15" t="s">
        <v>96</v>
      </c>
      <c r="D17" s="15" t="s">
        <v>97</v>
      </c>
      <c r="E17" s="15" t="s">
        <v>98</v>
      </c>
      <c r="F17" s="16">
        <v>3580</v>
      </c>
      <c r="G17" s="16" t="s">
        <v>57</v>
      </c>
      <c r="J17" s="16" t="s">
        <v>60</v>
      </c>
      <c r="K17" s="16" t="s">
        <v>61</v>
      </c>
    </row>
    <row r="18" spans="1:11">
      <c r="A18" s="46">
        <v>17</v>
      </c>
      <c r="B18" s="46" t="s">
        <v>100</v>
      </c>
      <c r="C18" s="15" t="s">
        <v>99</v>
      </c>
      <c r="D18" s="15" t="s">
        <v>100</v>
      </c>
      <c r="E18" s="15" t="s">
        <v>101</v>
      </c>
      <c r="G18" s="16" t="s">
        <v>57</v>
      </c>
      <c r="J18" s="16" t="s">
        <v>60</v>
      </c>
      <c r="K18" s="16" t="s">
        <v>61</v>
      </c>
    </row>
    <row r="19" spans="1:11">
      <c r="A19" s="46">
        <v>18</v>
      </c>
      <c r="B19" s="46" t="s">
        <v>103</v>
      </c>
      <c r="C19" s="26" t="s">
        <v>102</v>
      </c>
      <c r="D19" s="26" t="s">
        <v>103</v>
      </c>
      <c r="E19" s="26" t="s">
        <v>104</v>
      </c>
      <c r="F19" s="16">
        <v>3780</v>
      </c>
      <c r="G19" s="16" t="s">
        <v>57</v>
      </c>
      <c r="J19" s="16" t="s">
        <v>60</v>
      </c>
      <c r="K19" s="16" t="s">
        <v>61</v>
      </c>
    </row>
    <row r="20" spans="1:11">
      <c r="A20" s="46">
        <v>19</v>
      </c>
      <c r="B20" s="46" t="s">
        <v>106</v>
      </c>
      <c r="C20" s="28" t="s">
        <v>105</v>
      </c>
      <c r="D20" s="28" t="s">
        <v>106</v>
      </c>
      <c r="E20" s="26" t="s">
        <v>107</v>
      </c>
      <c r="F20" s="16">
        <v>2780</v>
      </c>
      <c r="G20" s="16" t="s">
        <v>57</v>
      </c>
      <c r="H20" s="16">
        <v>2780</v>
      </c>
      <c r="I20" s="16" t="s">
        <v>57</v>
      </c>
      <c r="J20" s="16" t="s">
        <v>60</v>
      </c>
      <c r="K20" s="16" t="s">
        <v>61</v>
      </c>
    </row>
    <row r="21" spans="1:11">
      <c r="A21" s="46">
        <v>20</v>
      </c>
      <c r="B21" s="46" t="s">
        <v>109</v>
      </c>
      <c r="C21" s="15" t="s">
        <v>108</v>
      </c>
      <c r="D21" s="15" t="s">
        <v>109</v>
      </c>
      <c r="E21" s="15" t="s">
        <v>110</v>
      </c>
      <c r="G21" s="16" t="s">
        <v>57</v>
      </c>
      <c r="J21" s="29" t="s">
        <v>111</v>
      </c>
      <c r="K21" s="29" t="s">
        <v>111</v>
      </c>
    </row>
    <row r="22" spans="1:11">
      <c r="A22" s="46">
        <v>21</v>
      </c>
      <c r="B22" s="46" t="s">
        <v>113</v>
      </c>
      <c r="C22" s="15" t="s">
        <v>112</v>
      </c>
      <c r="D22" s="15" t="s">
        <v>113</v>
      </c>
      <c r="E22" s="15" t="s">
        <v>114</v>
      </c>
      <c r="G22" s="16" t="s">
        <v>57</v>
      </c>
      <c r="J22" s="29" t="s">
        <v>111</v>
      </c>
      <c r="K22" s="29" t="s">
        <v>111</v>
      </c>
    </row>
    <row r="23" spans="1:11">
      <c r="A23" s="46">
        <v>22</v>
      </c>
      <c r="B23" s="46" t="s">
        <v>115</v>
      </c>
      <c r="C23" s="15" t="s">
        <v>655</v>
      </c>
      <c r="D23" s="15" t="s">
        <v>115</v>
      </c>
      <c r="E23" s="15" t="s">
        <v>116</v>
      </c>
      <c r="F23" s="16">
        <v>500</v>
      </c>
      <c r="G23" s="16" t="s">
        <v>57</v>
      </c>
      <c r="J23" s="29" t="s">
        <v>111</v>
      </c>
      <c r="K23" s="29" t="s">
        <v>111</v>
      </c>
    </row>
    <row r="24" spans="1:11">
      <c r="A24" s="46">
        <v>23</v>
      </c>
      <c r="B24" s="46" t="s">
        <v>118</v>
      </c>
      <c r="C24" s="15" t="s">
        <v>117</v>
      </c>
      <c r="D24" s="15" t="s">
        <v>118</v>
      </c>
      <c r="E24" s="15" t="s">
        <v>119</v>
      </c>
      <c r="G24" s="16" t="s">
        <v>57</v>
      </c>
      <c r="J24" s="29" t="s">
        <v>111</v>
      </c>
      <c r="K24" s="29" t="s">
        <v>111</v>
      </c>
    </row>
    <row r="25" spans="1:11">
      <c r="A25" s="46">
        <v>24</v>
      </c>
      <c r="B25" s="46" t="s">
        <v>121</v>
      </c>
      <c r="C25" s="15" t="s">
        <v>120</v>
      </c>
      <c r="D25" s="15" t="s">
        <v>121</v>
      </c>
      <c r="E25" s="15" t="s">
        <v>122</v>
      </c>
      <c r="G25" s="16" t="s">
        <v>57</v>
      </c>
      <c r="J25" s="29" t="s">
        <v>111</v>
      </c>
      <c r="K25" s="29" t="s">
        <v>111</v>
      </c>
    </row>
    <row r="26" spans="1:11">
      <c r="A26" s="46">
        <v>25</v>
      </c>
      <c r="B26" s="46" t="s">
        <v>124</v>
      </c>
      <c r="C26" s="15" t="s">
        <v>123</v>
      </c>
      <c r="D26" s="15" t="s">
        <v>124</v>
      </c>
      <c r="E26" s="15" t="s">
        <v>125</v>
      </c>
      <c r="G26" s="16" t="s">
        <v>57</v>
      </c>
      <c r="J26" s="29" t="s">
        <v>111</v>
      </c>
      <c r="K26" s="29" t="s">
        <v>111</v>
      </c>
    </row>
    <row r="27" spans="1:11">
      <c r="A27" s="46">
        <v>26</v>
      </c>
      <c r="B27" s="46" t="s">
        <v>127</v>
      </c>
      <c r="C27" s="15" t="s">
        <v>126</v>
      </c>
      <c r="D27" s="15" t="s">
        <v>127</v>
      </c>
      <c r="E27" s="15" t="s">
        <v>128</v>
      </c>
      <c r="G27" s="16" t="s">
        <v>57</v>
      </c>
      <c r="J27" s="29" t="s">
        <v>111</v>
      </c>
      <c r="K27" s="29" t="s">
        <v>111</v>
      </c>
    </row>
    <row r="28" spans="1:11">
      <c r="A28" s="46">
        <v>27</v>
      </c>
      <c r="B28" s="46" t="s">
        <v>130</v>
      </c>
      <c r="C28" s="15" t="s">
        <v>129</v>
      </c>
      <c r="D28" s="15" t="s">
        <v>130</v>
      </c>
      <c r="E28" s="15" t="s">
        <v>131</v>
      </c>
      <c r="F28" s="16">
        <v>200</v>
      </c>
      <c r="G28" s="16" t="s">
        <v>57</v>
      </c>
      <c r="J28" s="29" t="s">
        <v>111</v>
      </c>
      <c r="K28" s="29" t="s">
        <v>111</v>
      </c>
    </row>
    <row r="29" spans="1:11">
      <c r="A29" s="46">
        <v>28</v>
      </c>
      <c r="B29" s="46" t="s">
        <v>133</v>
      </c>
      <c r="C29" s="15" t="s">
        <v>132</v>
      </c>
      <c r="D29" s="15" t="s">
        <v>133</v>
      </c>
      <c r="E29" s="15" t="s">
        <v>134</v>
      </c>
      <c r="F29" s="16">
        <v>246</v>
      </c>
      <c r="G29" s="16" t="s">
        <v>671</v>
      </c>
      <c r="J29" s="29" t="s">
        <v>111</v>
      </c>
      <c r="K29" s="29" t="s">
        <v>111</v>
      </c>
    </row>
    <row r="30" spans="1:11">
      <c r="A30" s="46">
        <v>29</v>
      </c>
      <c r="B30" s="46" t="s">
        <v>135</v>
      </c>
      <c r="C30" s="15" t="s">
        <v>135</v>
      </c>
      <c r="D30" s="15" t="s">
        <v>135</v>
      </c>
      <c r="E30" s="15" t="s">
        <v>135</v>
      </c>
      <c r="G30" s="16" t="s">
        <v>57</v>
      </c>
      <c r="J30" s="29" t="s">
        <v>111</v>
      </c>
      <c r="K30" s="29" t="s">
        <v>111</v>
      </c>
    </row>
    <row r="31" spans="1:11">
      <c r="A31" s="46">
        <v>30</v>
      </c>
      <c r="B31" s="46" t="s">
        <v>137</v>
      </c>
      <c r="C31" s="15" t="s">
        <v>136</v>
      </c>
      <c r="D31" s="15" t="s">
        <v>137</v>
      </c>
      <c r="E31" s="15" t="s">
        <v>138</v>
      </c>
      <c r="F31" s="16">
        <v>2898</v>
      </c>
      <c r="G31" s="16" t="s">
        <v>57</v>
      </c>
      <c r="J31" s="29" t="s">
        <v>139</v>
      </c>
      <c r="K31" s="29" t="s">
        <v>140</v>
      </c>
    </row>
    <row r="32" spans="1:11">
      <c r="A32" s="46">
        <v>31</v>
      </c>
      <c r="B32" s="46" t="s">
        <v>142</v>
      </c>
      <c r="C32" s="15" t="s">
        <v>141</v>
      </c>
      <c r="D32" s="15" t="s">
        <v>142</v>
      </c>
      <c r="E32" s="15" t="s">
        <v>143</v>
      </c>
      <c r="G32" s="16" t="s">
        <v>57</v>
      </c>
      <c r="J32" s="29" t="s">
        <v>139</v>
      </c>
      <c r="K32" s="29" t="s">
        <v>144</v>
      </c>
    </row>
    <row r="33" spans="1:11">
      <c r="A33" s="46">
        <v>32</v>
      </c>
      <c r="B33" s="46" t="s">
        <v>146</v>
      </c>
      <c r="C33" s="15" t="s">
        <v>145</v>
      </c>
      <c r="D33" s="15" t="s">
        <v>146</v>
      </c>
      <c r="E33" s="15" t="s">
        <v>143</v>
      </c>
      <c r="G33" s="16" t="s">
        <v>57</v>
      </c>
      <c r="J33" s="29" t="s">
        <v>139</v>
      </c>
      <c r="K33" s="29" t="s">
        <v>144</v>
      </c>
    </row>
    <row r="34" spans="1:11">
      <c r="A34" s="46">
        <v>33</v>
      </c>
      <c r="B34" s="46" t="s">
        <v>1136</v>
      </c>
      <c r="C34" s="15" t="s">
        <v>147</v>
      </c>
      <c r="D34" s="46" t="s">
        <v>1136</v>
      </c>
      <c r="E34" s="15" t="s">
        <v>148</v>
      </c>
      <c r="F34" s="16">
        <v>4998</v>
      </c>
      <c r="G34" s="16" t="s">
        <v>57</v>
      </c>
      <c r="J34" s="29" t="s">
        <v>139</v>
      </c>
      <c r="K34" s="29" t="s">
        <v>144</v>
      </c>
    </row>
    <row r="35" spans="1:11">
      <c r="A35" s="46">
        <v>34</v>
      </c>
      <c r="B35" s="46" t="s">
        <v>27</v>
      </c>
      <c r="C35" s="15" t="s">
        <v>149</v>
      </c>
      <c r="D35" s="15" t="s">
        <v>27</v>
      </c>
      <c r="E35" s="15" t="s">
        <v>150</v>
      </c>
      <c r="F35" s="16">
        <v>918</v>
      </c>
      <c r="G35" s="16" t="s">
        <v>57</v>
      </c>
      <c r="J35" s="29" t="s">
        <v>139</v>
      </c>
      <c r="K35" s="29" t="s">
        <v>144</v>
      </c>
    </row>
    <row r="36" spans="1:11">
      <c r="A36" s="46">
        <v>35</v>
      </c>
      <c r="B36" s="46" t="s">
        <v>152</v>
      </c>
      <c r="C36" s="15" t="s">
        <v>151</v>
      </c>
      <c r="D36" s="15" t="s">
        <v>152</v>
      </c>
      <c r="E36" s="15" t="s">
        <v>153</v>
      </c>
      <c r="G36" s="16" t="s">
        <v>57</v>
      </c>
      <c r="J36" s="29" t="s">
        <v>139</v>
      </c>
      <c r="K36" s="29" t="s">
        <v>144</v>
      </c>
    </row>
    <row r="37" spans="1:11">
      <c r="A37" s="46">
        <v>36</v>
      </c>
      <c r="B37" s="46" t="s">
        <v>155</v>
      </c>
      <c r="C37" s="15" t="s">
        <v>154</v>
      </c>
      <c r="D37" s="15" t="s">
        <v>155</v>
      </c>
      <c r="E37" s="15" t="s">
        <v>156</v>
      </c>
      <c r="F37" s="16">
        <v>688</v>
      </c>
      <c r="G37" s="16" t="s">
        <v>57</v>
      </c>
      <c r="J37" s="29" t="s">
        <v>139</v>
      </c>
      <c r="K37" s="29" t="s">
        <v>144</v>
      </c>
    </row>
    <row r="38" spans="1:11">
      <c r="A38" s="46">
        <v>37</v>
      </c>
      <c r="B38" s="46" t="s">
        <v>158</v>
      </c>
      <c r="C38" s="15" t="s">
        <v>157</v>
      </c>
      <c r="D38" s="15" t="s">
        <v>158</v>
      </c>
      <c r="E38" s="15" t="s">
        <v>159</v>
      </c>
      <c r="F38" s="16">
        <v>788</v>
      </c>
      <c r="G38" s="16" t="s">
        <v>57</v>
      </c>
      <c r="J38" s="29" t="s">
        <v>139</v>
      </c>
      <c r="K38" s="29" t="s">
        <v>144</v>
      </c>
    </row>
    <row r="39" spans="1:11">
      <c r="A39" s="46">
        <v>38</v>
      </c>
      <c r="B39" s="46" t="s">
        <v>161</v>
      </c>
      <c r="C39" s="15" t="s">
        <v>160</v>
      </c>
      <c r="D39" s="15" t="s">
        <v>161</v>
      </c>
      <c r="E39" s="15" t="s">
        <v>162</v>
      </c>
      <c r="F39" s="16">
        <v>7998</v>
      </c>
      <c r="G39" s="16" t="s">
        <v>57</v>
      </c>
      <c r="J39" s="29" t="s">
        <v>139</v>
      </c>
      <c r="K39" s="29" t="s">
        <v>144</v>
      </c>
    </row>
    <row r="40" spans="1:11">
      <c r="A40" s="46">
        <v>39</v>
      </c>
      <c r="B40" s="46" t="s">
        <v>163</v>
      </c>
      <c r="C40" s="15" t="s">
        <v>163</v>
      </c>
      <c r="D40" s="15" t="s">
        <v>163</v>
      </c>
      <c r="E40" s="15" t="s">
        <v>164</v>
      </c>
      <c r="G40" s="16" t="s">
        <v>57</v>
      </c>
      <c r="J40" s="29" t="s">
        <v>139</v>
      </c>
      <c r="K40" s="29" t="s">
        <v>111</v>
      </c>
    </row>
    <row r="41" spans="1:11">
      <c r="A41" s="46">
        <v>40</v>
      </c>
      <c r="B41" s="46" t="s">
        <v>166</v>
      </c>
      <c r="C41" s="15" t="s">
        <v>165</v>
      </c>
      <c r="D41" s="15" t="s">
        <v>166</v>
      </c>
      <c r="E41" s="15" t="s">
        <v>167</v>
      </c>
      <c r="F41" s="16">
        <v>498</v>
      </c>
      <c r="G41" s="16" t="s">
        <v>57</v>
      </c>
      <c r="J41" s="29" t="s">
        <v>139</v>
      </c>
      <c r="K41" s="29" t="s">
        <v>144</v>
      </c>
    </row>
    <row r="42" spans="1:11">
      <c r="A42" s="46">
        <v>41</v>
      </c>
      <c r="B42" s="46" t="s">
        <v>169</v>
      </c>
      <c r="C42" s="15" t="s">
        <v>168</v>
      </c>
      <c r="D42" s="15" t="s">
        <v>169</v>
      </c>
      <c r="E42" s="15" t="s">
        <v>170</v>
      </c>
      <c r="G42" s="16" t="s">
        <v>57</v>
      </c>
      <c r="J42" s="29" t="s">
        <v>139</v>
      </c>
      <c r="K42" s="29" t="s">
        <v>171</v>
      </c>
    </row>
    <row r="43" spans="1:11">
      <c r="A43" s="46">
        <v>42</v>
      </c>
      <c r="B43" s="46" t="s">
        <v>173</v>
      </c>
      <c r="C43" s="15" t="s">
        <v>172</v>
      </c>
      <c r="D43" s="15" t="s">
        <v>173</v>
      </c>
      <c r="E43" s="15" t="s">
        <v>174</v>
      </c>
      <c r="G43" s="16" t="s">
        <v>57</v>
      </c>
      <c r="J43" s="29" t="s">
        <v>139</v>
      </c>
      <c r="K43" s="29" t="s">
        <v>171</v>
      </c>
    </row>
    <row r="44" spans="1:11">
      <c r="A44" s="46">
        <v>43</v>
      </c>
      <c r="B44" s="46" t="s">
        <v>176</v>
      </c>
      <c r="C44" s="28" t="s">
        <v>175</v>
      </c>
      <c r="D44" s="28" t="s">
        <v>176</v>
      </c>
      <c r="E44" s="15" t="s">
        <v>177</v>
      </c>
      <c r="F44" s="16">
        <v>988</v>
      </c>
      <c r="G44" s="16" t="s">
        <v>57</v>
      </c>
      <c r="J44" s="29" t="s">
        <v>139</v>
      </c>
      <c r="K44" s="29" t="s">
        <v>171</v>
      </c>
    </row>
    <row r="45" spans="1:11">
      <c r="A45" s="46">
        <v>44</v>
      </c>
      <c r="B45" s="46" t="s">
        <v>179</v>
      </c>
      <c r="C45" s="15" t="s">
        <v>178</v>
      </c>
      <c r="D45" s="15" t="s">
        <v>179</v>
      </c>
      <c r="E45" s="15" t="s">
        <v>180</v>
      </c>
      <c r="G45" s="16" t="s">
        <v>57</v>
      </c>
      <c r="J45" s="16" t="s">
        <v>60</v>
      </c>
      <c r="K45" s="29" t="s">
        <v>181</v>
      </c>
    </row>
    <row r="46" spans="1:11">
      <c r="A46" s="46">
        <v>45</v>
      </c>
      <c r="B46" s="46" t="s">
        <v>183</v>
      </c>
      <c r="C46" s="15" t="s">
        <v>182</v>
      </c>
      <c r="D46" s="15" t="s">
        <v>183</v>
      </c>
      <c r="E46" s="15" t="s">
        <v>180</v>
      </c>
      <c r="G46" s="16" t="s">
        <v>57</v>
      </c>
      <c r="J46" s="16" t="s">
        <v>60</v>
      </c>
      <c r="K46" s="29" t="s">
        <v>181</v>
      </c>
    </row>
    <row r="47" spans="1:11">
      <c r="A47" s="46">
        <v>46</v>
      </c>
      <c r="B47" s="46" t="s">
        <v>185</v>
      </c>
      <c r="C47" s="15" t="s">
        <v>184</v>
      </c>
      <c r="D47" s="15" t="s">
        <v>185</v>
      </c>
      <c r="E47" s="15" t="s">
        <v>186</v>
      </c>
      <c r="F47" s="16">
        <v>3380</v>
      </c>
      <c r="G47" s="16" t="s">
        <v>57</v>
      </c>
      <c r="J47" s="16" t="s">
        <v>60</v>
      </c>
      <c r="K47" s="29" t="s">
        <v>181</v>
      </c>
    </row>
    <row r="48" spans="1:11">
      <c r="A48" s="46">
        <v>47</v>
      </c>
      <c r="B48" s="46" t="s">
        <v>26</v>
      </c>
      <c r="C48" s="15" t="s">
        <v>187</v>
      </c>
      <c r="D48" s="15" t="s">
        <v>26</v>
      </c>
      <c r="E48" s="15" t="s">
        <v>186</v>
      </c>
      <c r="F48" s="16">
        <v>3780</v>
      </c>
      <c r="G48" s="16" t="s">
        <v>95</v>
      </c>
      <c r="H48" s="16">
        <v>4180</v>
      </c>
      <c r="I48" s="16" t="s">
        <v>57</v>
      </c>
      <c r="J48" s="16" t="s">
        <v>60</v>
      </c>
      <c r="K48" s="29" t="s">
        <v>181</v>
      </c>
    </row>
    <row r="49" spans="1:11">
      <c r="A49" s="46">
        <v>48</v>
      </c>
      <c r="B49" s="46" t="s">
        <v>189</v>
      </c>
      <c r="C49" s="15" t="s">
        <v>188</v>
      </c>
      <c r="D49" s="15" t="s">
        <v>189</v>
      </c>
      <c r="E49" s="15" t="s">
        <v>190</v>
      </c>
      <c r="G49" s="16" t="s">
        <v>57</v>
      </c>
      <c r="J49" s="16" t="s">
        <v>60</v>
      </c>
      <c r="K49" s="29" t="s">
        <v>181</v>
      </c>
    </row>
    <row r="50" spans="1:11">
      <c r="A50" s="46">
        <v>49</v>
      </c>
      <c r="B50" s="46" t="s">
        <v>192</v>
      </c>
      <c r="C50" s="15" t="s">
        <v>191</v>
      </c>
      <c r="D50" s="15" t="s">
        <v>192</v>
      </c>
      <c r="E50" s="15" t="s">
        <v>193</v>
      </c>
      <c r="G50" s="16" t="s">
        <v>57</v>
      </c>
      <c r="J50" s="16" t="s">
        <v>60</v>
      </c>
      <c r="K50" s="29" t="s">
        <v>181</v>
      </c>
    </row>
    <row r="51" spans="1:11">
      <c r="A51" s="46">
        <v>50</v>
      </c>
      <c r="B51" s="46" t="s">
        <v>195</v>
      </c>
      <c r="C51" s="15" t="s">
        <v>194</v>
      </c>
      <c r="D51" s="15" t="s">
        <v>195</v>
      </c>
      <c r="E51" s="15" t="s">
        <v>196</v>
      </c>
      <c r="F51" s="16">
        <v>3180</v>
      </c>
      <c r="G51" s="16" t="s">
        <v>95</v>
      </c>
      <c r="H51" s="16">
        <v>3480</v>
      </c>
      <c r="I51" s="16" t="s">
        <v>57</v>
      </c>
      <c r="J51" s="16" t="s">
        <v>60</v>
      </c>
      <c r="K51" s="29" t="s">
        <v>181</v>
      </c>
    </row>
    <row r="52" spans="1:11">
      <c r="A52" s="46">
        <v>51</v>
      </c>
      <c r="B52" s="46" t="s">
        <v>198</v>
      </c>
      <c r="C52" s="15" t="s">
        <v>197</v>
      </c>
      <c r="D52" s="15" t="s">
        <v>198</v>
      </c>
      <c r="E52" s="15" t="s">
        <v>199</v>
      </c>
      <c r="G52" s="16" t="s">
        <v>57</v>
      </c>
      <c r="J52" s="16" t="s">
        <v>60</v>
      </c>
      <c r="K52" s="29" t="s">
        <v>181</v>
      </c>
    </row>
    <row r="53" spans="1:11">
      <c r="A53" s="46">
        <v>52</v>
      </c>
      <c r="B53" s="46" t="s">
        <v>31</v>
      </c>
      <c r="C53" s="15" t="s">
        <v>200</v>
      </c>
      <c r="D53" s="15" t="s">
        <v>31</v>
      </c>
      <c r="E53" s="15" t="s">
        <v>201</v>
      </c>
      <c r="F53" s="16">
        <v>1780</v>
      </c>
      <c r="G53" s="16" t="s">
        <v>57</v>
      </c>
      <c r="J53" s="16" t="s">
        <v>60</v>
      </c>
      <c r="K53" s="29" t="s">
        <v>181</v>
      </c>
    </row>
    <row r="54" spans="1:11">
      <c r="A54" s="46">
        <v>53</v>
      </c>
      <c r="B54" s="46" t="s">
        <v>203</v>
      </c>
      <c r="C54" s="15" t="s">
        <v>202</v>
      </c>
      <c r="D54" s="15" t="s">
        <v>203</v>
      </c>
      <c r="E54" s="15" t="s">
        <v>204</v>
      </c>
      <c r="G54" s="16" t="s">
        <v>57</v>
      </c>
      <c r="J54" s="16" t="s">
        <v>60</v>
      </c>
      <c r="K54" s="29" t="s">
        <v>181</v>
      </c>
    </row>
    <row r="55" spans="1:11">
      <c r="A55" s="46">
        <v>54</v>
      </c>
      <c r="B55" s="46" t="s">
        <v>651</v>
      </c>
      <c r="C55" s="15" t="s">
        <v>205</v>
      </c>
      <c r="D55" s="15" t="s">
        <v>206</v>
      </c>
      <c r="E55" s="15" t="s">
        <v>207</v>
      </c>
      <c r="F55" s="16">
        <v>1980</v>
      </c>
      <c r="G55" s="16" t="s">
        <v>57</v>
      </c>
      <c r="J55" s="16" t="s">
        <v>60</v>
      </c>
      <c r="K55" s="29" t="s">
        <v>181</v>
      </c>
    </row>
    <row r="56" spans="1:11">
      <c r="A56" s="46">
        <v>55</v>
      </c>
      <c r="B56" s="46" t="s">
        <v>209</v>
      </c>
      <c r="C56" s="15" t="s">
        <v>208</v>
      </c>
      <c r="D56" s="15" t="s">
        <v>209</v>
      </c>
      <c r="E56" s="15" t="s">
        <v>210</v>
      </c>
      <c r="G56" s="16" t="s">
        <v>57</v>
      </c>
      <c r="J56" s="16" t="s">
        <v>60</v>
      </c>
      <c r="K56" s="29" t="s">
        <v>181</v>
      </c>
    </row>
    <row r="57" spans="1:11">
      <c r="A57" s="46">
        <v>56</v>
      </c>
      <c r="B57" s="46" t="s">
        <v>212</v>
      </c>
      <c r="C57" s="15" t="s">
        <v>211</v>
      </c>
      <c r="D57" s="15" t="s">
        <v>212</v>
      </c>
      <c r="E57" s="15" t="s">
        <v>213</v>
      </c>
      <c r="G57" s="16" t="s">
        <v>57</v>
      </c>
      <c r="J57" s="16" t="s">
        <v>60</v>
      </c>
      <c r="K57" s="29" t="s">
        <v>181</v>
      </c>
    </row>
    <row r="58" spans="1:11">
      <c r="A58" s="46">
        <v>57</v>
      </c>
      <c r="B58" s="46" t="s">
        <v>215</v>
      </c>
      <c r="C58" s="15" t="s">
        <v>214</v>
      </c>
      <c r="D58" s="15" t="s">
        <v>215</v>
      </c>
      <c r="E58" s="15" t="s">
        <v>216</v>
      </c>
      <c r="F58" s="16">
        <v>5380</v>
      </c>
      <c r="G58" s="16" t="s">
        <v>57</v>
      </c>
      <c r="J58" s="16" t="s">
        <v>60</v>
      </c>
      <c r="K58" s="29" t="s">
        <v>181</v>
      </c>
    </row>
    <row r="59" spans="1:11">
      <c r="A59" s="46">
        <v>58</v>
      </c>
      <c r="B59" s="46" t="s">
        <v>218</v>
      </c>
      <c r="C59" s="15" t="s">
        <v>217</v>
      </c>
      <c r="D59" s="15" t="s">
        <v>218</v>
      </c>
      <c r="E59" s="15" t="s">
        <v>219</v>
      </c>
      <c r="F59" s="16">
        <v>5380</v>
      </c>
      <c r="G59" s="16" t="s">
        <v>57</v>
      </c>
      <c r="J59" s="16" t="s">
        <v>60</v>
      </c>
      <c r="K59" s="29" t="s">
        <v>181</v>
      </c>
    </row>
    <row r="60" spans="1:11">
      <c r="A60" s="46">
        <v>59</v>
      </c>
      <c r="B60" s="46" t="s">
        <v>221</v>
      </c>
      <c r="C60" s="15" t="s">
        <v>220</v>
      </c>
      <c r="D60" s="15" t="s">
        <v>221</v>
      </c>
      <c r="E60" s="15" t="s">
        <v>222</v>
      </c>
      <c r="F60" s="16">
        <v>5480</v>
      </c>
      <c r="G60" s="16" t="s">
        <v>57</v>
      </c>
      <c r="J60" s="16" t="s">
        <v>60</v>
      </c>
      <c r="K60" s="29" t="s">
        <v>181</v>
      </c>
    </row>
    <row r="61" spans="1:11">
      <c r="A61" s="46">
        <v>60</v>
      </c>
      <c r="B61" s="46" t="s">
        <v>224</v>
      </c>
      <c r="C61" s="15" t="s">
        <v>223</v>
      </c>
      <c r="D61" s="15" t="s">
        <v>224</v>
      </c>
      <c r="E61" s="15" t="s">
        <v>225</v>
      </c>
      <c r="F61" s="16">
        <v>5480</v>
      </c>
      <c r="G61" s="16" t="s">
        <v>57</v>
      </c>
      <c r="J61" s="16" t="s">
        <v>60</v>
      </c>
      <c r="K61" s="29" t="s">
        <v>181</v>
      </c>
    </row>
    <row r="62" spans="1:11">
      <c r="A62" s="46">
        <v>61</v>
      </c>
      <c r="B62" s="46" t="s">
        <v>227</v>
      </c>
      <c r="C62" s="15" t="s">
        <v>226</v>
      </c>
      <c r="D62" s="15" t="s">
        <v>227</v>
      </c>
      <c r="E62" s="15" t="s">
        <v>228</v>
      </c>
      <c r="F62" s="16">
        <v>5080</v>
      </c>
      <c r="G62" s="16" t="s">
        <v>57</v>
      </c>
      <c r="J62" s="16" t="s">
        <v>60</v>
      </c>
      <c r="K62" s="29" t="s">
        <v>181</v>
      </c>
    </row>
    <row r="63" spans="1:11">
      <c r="A63" s="46">
        <v>62</v>
      </c>
      <c r="B63" s="46" t="s">
        <v>230</v>
      </c>
      <c r="C63" s="30" t="s">
        <v>229</v>
      </c>
      <c r="D63" s="30" t="s">
        <v>230</v>
      </c>
      <c r="E63" s="15" t="s">
        <v>231</v>
      </c>
      <c r="F63" s="16">
        <v>7180</v>
      </c>
      <c r="G63" s="16" t="s">
        <v>57</v>
      </c>
      <c r="J63" s="16" t="s">
        <v>60</v>
      </c>
      <c r="K63" s="29" t="s">
        <v>181</v>
      </c>
    </row>
    <row r="64" spans="1:11">
      <c r="A64" s="46">
        <v>63</v>
      </c>
      <c r="B64" s="46" t="s">
        <v>233</v>
      </c>
      <c r="C64" s="15" t="s">
        <v>232</v>
      </c>
      <c r="D64" s="15" t="s">
        <v>233</v>
      </c>
      <c r="E64" s="15" t="s">
        <v>234</v>
      </c>
      <c r="F64" s="16">
        <v>5380</v>
      </c>
      <c r="G64" s="16" t="s">
        <v>57</v>
      </c>
      <c r="J64" s="16" t="s">
        <v>60</v>
      </c>
      <c r="K64" s="29" t="s">
        <v>181</v>
      </c>
    </row>
    <row r="65" spans="1:11">
      <c r="A65" s="46">
        <v>64</v>
      </c>
      <c r="B65" s="46" t="s">
        <v>744</v>
      </c>
      <c r="C65" s="15" t="s">
        <v>745</v>
      </c>
      <c r="D65" s="15" t="s">
        <v>235</v>
      </c>
      <c r="E65" s="15" t="s">
        <v>236</v>
      </c>
      <c r="F65" s="16">
        <v>5780</v>
      </c>
      <c r="G65" s="16" t="s">
        <v>57</v>
      </c>
      <c r="J65" s="16" t="s">
        <v>60</v>
      </c>
      <c r="K65" s="29" t="s">
        <v>181</v>
      </c>
    </row>
    <row r="66" spans="1:11">
      <c r="A66" s="46">
        <v>65</v>
      </c>
      <c r="B66" s="46" t="s">
        <v>237</v>
      </c>
      <c r="C66" s="15" t="s">
        <v>237</v>
      </c>
      <c r="D66" s="15" t="s">
        <v>237</v>
      </c>
      <c r="E66" s="15" t="s">
        <v>238</v>
      </c>
      <c r="G66" s="16" t="s">
        <v>57</v>
      </c>
      <c r="J66" s="29" t="s">
        <v>111</v>
      </c>
      <c r="K66" s="29" t="s">
        <v>111</v>
      </c>
    </row>
    <row r="67" spans="1:11">
      <c r="A67" s="46">
        <v>66</v>
      </c>
      <c r="B67" s="46" t="s">
        <v>240</v>
      </c>
      <c r="C67" s="15" t="s">
        <v>239</v>
      </c>
      <c r="D67" s="15" t="s">
        <v>240</v>
      </c>
      <c r="E67" s="15" t="s">
        <v>241</v>
      </c>
      <c r="F67" s="16">
        <v>438</v>
      </c>
      <c r="G67" s="16" t="s">
        <v>57</v>
      </c>
      <c r="J67" s="29" t="s">
        <v>139</v>
      </c>
      <c r="K67" s="29" t="s">
        <v>144</v>
      </c>
    </row>
    <row r="68" spans="1:11">
      <c r="A68" s="46">
        <v>67</v>
      </c>
      <c r="B68" s="46" t="s">
        <v>36</v>
      </c>
      <c r="C68" s="15" t="s">
        <v>242</v>
      </c>
      <c r="D68" s="15" t="s">
        <v>36</v>
      </c>
      <c r="E68" s="30" t="s">
        <v>243</v>
      </c>
      <c r="F68" s="16">
        <v>498</v>
      </c>
      <c r="G68" s="16" t="s">
        <v>57</v>
      </c>
      <c r="J68" s="29" t="s">
        <v>139</v>
      </c>
      <c r="K68" s="29" t="s">
        <v>144</v>
      </c>
    </row>
    <row r="69" spans="1:11">
      <c r="A69" s="46">
        <v>68</v>
      </c>
      <c r="B69" s="46" t="s">
        <v>245</v>
      </c>
      <c r="C69" s="15" t="s">
        <v>244</v>
      </c>
      <c r="D69" s="15" t="s">
        <v>245</v>
      </c>
      <c r="E69" s="15" t="s">
        <v>246</v>
      </c>
      <c r="F69" s="16">
        <v>398</v>
      </c>
      <c r="G69" s="16" t="s">
        <v>57</v>
      </c>
      <c r="J69" s="29" t="s">
        <v>139</v>
      </c>
      <c r="K69" s="29" t="s">
        <v>144</v>
      </c>
    </row>
    <row r="70" spans="1:11">
      <c r="A70" s="46">
        <v>69</v>
      </c>
      <c r="B70" s="46" t="s">
        <v>29</v>
      </c>
      <c r="C70" s="15" t="s">
        <v>247</v>
      </c>
      <c r="D70" s="15" t="s">
        <v>29</v>
      </c>
      <c r="E70" s="15" t="s">
        <v>248</v>
      </c>
      <c r="F70" s="16">
        <v>299</v>
      </c>
      <c r="G70" s="16" t="s">
        <v>95</v>
      </c>
      <c r="J70" s="29" t="s">
        <v>139</v>
      </c>
      <c r="K70" s="29" t="s">
        <v>144</v>
      </c>
    </row>
    <row r="71" spans="1:11">
      <c r="A71" s="46">
        <v>70</v>
      </c>
      <c r="B71" s="46" t="s">
        <v>250</v>
      </c>
      <c r="C71" s="15" t="s">
        <v>249</v>
      </c>
      <c r="D71" s="15" t="s">
        <v>250</v>
      </c>
      <c r="E71" s="15" t="s">
        <v>251</v>
      </c>
      <c r="F71" s="16">
        <v>598</v>
      </c>
      <c r="G71" s="16" t="s">
        <v>57</v>
      </c>
      <c r="J71" s="29" t="s">
        <v>139</v>
      </c>
      <c r="K71" s="29" t="s">
        <v>144</v>
      </c>
    </row>
    <row r="72" spans="1:11">
      <c r="A72" s="46">
        <v>71</v>
      </c>
      <c r="B72" s="46" t="s">
        <v>253</v>
      </c>
      <c r="C72" s="15" t="s">
        <v>252</v>
      </c>
      <c r="D72" s="15" t="s">
        <v>253</v>
      </c>
      <c r="E72" s="15" t="s">
        <v>254</v>
      </c>
      <c r="F72" s="16">
        <v>2680</v>
      </c>
      <c r="G72" s="16" t="s">
        <v>57</v>
      </c>
      <c r="J72" s="29" t="s">
        <v>139</v>
      </c>
      <c r="K72" s="29" t="s">
        <v>255</v>
      </c>
    </row>
    <row r="73" spans="1:11">
      <c r="A73" s="46">
        <v>72</v>
      </c>
      <c r="B73" s="46" t="s">
        <v>257</v>
      </c>
      <c r="C73" s="15" t="s">
        <v>256</v>
      </c>
      <c r="D73" s="15" t="s">
        <v>257</v>
      </c>
      <c r="E73" s="15" t="s">
        <v>254</v>
      </c>
      <c r="F73" s="16">
        <v>2780</v>
      </c>
      <c r="G73" s="16" t="s">
        <v>57</v>
      </c>
      <c r="J73" s="29" t="s">
        <v>139</v>
      </c>
      <c r="K73" s="29" t="s">
        <v>255</v>
      </c>
    </row>
    <row r="74" spans="1:11">
      <c r="A74" s="46">
        <v>73</v>
      </c>
      <c r="B74" s="46" t="s">
        <v>259</v>
      </c>
      <c r="C74" s="30" t="s">
        <v>258</v>
      </c>
      <c r="D74" s="30" t="s">
        <v>259</v>
      </c>
      <c r="E74" s="15" t="s">
        <v>260</v>
      </c>
      <c r="F74" s="16">
        <v>5998</v>
      </c>
      <c r="G74" s="16" t="s">
        <v>57</v>
      </c>
      <c r="J74" s="29" t="s">
        <v>139</v>
      </c>
      <c r="K74" s="29" t="s">
        <v>255</v>
      </c>
    </row>
    <row r="75" spans="1:11">
      <c r="A75" s="46">
        <v>74</v>
      </c>
      <c r="B75" s="46" t="s">
        <v>262</v>
      </c>
      <c r="C75" s="15" t="s">
        <v>261</v>
      </c>
      <c r="D75" s="15" t="s">
        <v>262</v>
      </c>
      <c r="E75" s="15" t="s">
        <v>263</v>
      </c>
      <c r="F75" s="16">
        <v>1098</v>
      </c>
      <c r="G75" s="16" t="s">
        <v>57</v>
      </c>
      <c r="J75" s="29" t="s">
        <v>139</v>
      </c>
      <c r="K75" s="29" t="s">
        <v>144</v>
      </c>
    </row>
    <row r="76" spans="1:11">
      <c r="A76" s="46">
        <v>75</v>
      </c>
      <c r="B76" s="46" t="s">
        <v>265</v>
      </c>
      <c r="C76" s="26" t="s">
        <v>264</v>
      </c>
      <c r="D76" s="26" t="s">
        <v>265</v>
      </c>
      <c r="E76" s="26" t="s">
        <v>266</v>
      </c>
      <c r="F76" s="16">
        <v>2280</v>
      </c>
      <c r="G76" s="16" t="s">
        <v>57</v>
      </c>
      <c r="J76" s="29" t="s">
        <v>139</v>
      </c>
      <c r="K76" s="29" t="s">
        <v>144</v>
      </c>
    </row>
    <row r="77" spans="1:11">
      <c r="A77" s="46">
        <v>76</v>
      </c>
      <c r="B77" s="46" t="s">
        <v>268</v>
      </c>
      <c r="C77" s="31" t="s">
        <v>267</v>
      </c>
      <c r="D77" s="31" t="s">
        <v>268</v>
      </c>
      <c r="E77" s="15" t="s">
        <v>269</v>
      </c>
      <c r="F77" s="16">
        <v>848</v>
      </c>
      <c r="G77" s="16" t="s">
        <v>57</v>
      </c>
      <c r="J77" s="29" t="s">
        <v>139</v>
      </c>
      <c r="K77" s="29" t="s">
        <v>144</v>
      </c>
    </row>
    <row r="78" spans="1:11">
      <c r="A78" s="46">
        <v>77</v>
      </c>
      <c r="B78" s="46" t="s">
        <v>271</v>
      </c>
      <c r="C78" s="15" t="s">
        <v>270</v>
      </c>
      <c r="D78" s="15" t="s">
        <v>271</v>
      </c>
      <c r="E78" s="15" t="s">
        <v>272</v>
      </c>
      <c r="F78" s="16">
        <v>918</v>
      </c>
      <c r="G78" s="16" t="s">
        <v>57</v>
      </c>
      <c r="J78" s="29" t="s">
        <v>139</v>
      </c>
      <c r="K78" s="29" t="s">
        <v>144</v>
      </c>
    </row>
    <row r="79" spans="1:11">
      <c r="A79" s="46">
        <v>78</v>
      </c>
      <c r="B79" s="46" t="s">
        <v>274</v>
      </c>
      <c r="C79" s="15" t="s">
        <v>273</v>
      </c>
      <c r="D79" s="15" t="s">
        <v>274</v>
      </c>
      <c r="E79" s="15" t="s">
        <v>275</v>
      </c>
      <c r="F79" s="16">
        <v>648</v>
      </c>
      <c r="G79" s="16" t="s">
        <v>57</v>
      </c>
      <c r="J79" s="29" t="s">
        <v>139</v>
      </c>
      <c r="K79" s="29" t="s">
        <v>144</v>
      </c>
    </row>
    <row r="80" spans="1:11">
      <c r="A80" s="46">
        <v>79</v>
      </c>
      <c r="B80" s="46" t="s">
        <v>277</v>
      </c>
      <c r="C80" s="28" t="s">
        <v>276</v>
      </c>
      <c r="D80" s="28" t="s">
        <v>277</v>
      </c>
      <c r="E80" s="15" t="s">
        <v>278</v>
      </c>
      <c r="F80" s="16">
        <v>3380</v>
      </c>
      <c r="G80" s="16" t="s">
        <v>57</v>
      </c>
      <c r="J80" s="29" t="s">
        <v>139</v>
      </c>
      <c r="K80" s="29" t="s">
        <v>144</v>
      </c>
    </row>
    <row r="81" spans="1:11">
      <c r="A81" s="46">
        <v>80</v>
      </c>
      <c r="B81" s="46" t="s">
        <v>279</v>
      </c>
      <c r="C81" s="15" t="s">
        <v>754</v>
      </c>
      <c r="D81" s="15" t="s">
        <v>279</v>
      </c>
      <c r="E81" s="15" t="s">
        <v>280</v>
      </c>
      <c r="G81" s="16" t="s">
        <v>57</v>
      </c>
      <c r="J81" s="29" t="s">
        <v>139</v>
      </c>
      <c r="K81" s="29" t="s">
        <v>144</v>
      </c>
    </row>
    <row r="82" spans="1:11">
      <c r="A82" s="46">
        <v>81</v>
      </c>
      <c r="B82" s="46" t="s">
        <v>40</v>
      </c>
      <c r="C82" s="15" t="s">
        <v>281</v>
      </c>
      <c r="D82" s="15" t="s">
        <v>40</v>
      </c>
      <c r="E82" s="15" t="s">
        <v>282</v>
      </c>
      <c r="F82" s="16">
        <v>658</v>
      </c>
      <c r="G82" s="16" t="s">
        <v>57</v>
      </c>
      <c r="J82" s="29" t="s">
        <v>139</v>
      </c>
      <c r="K82" s="29" t="s">
        <v>144</v>
      </c>
    </row>
    <row r="83" spans="1:11">
      <c r="A83" s="46">
        <v>82</v>
      </c>
      <c r="B83" s="46" t="s">
        <v>30</v>
      </c>
      <c r="C83" s="30" t="s">
        <v>283</v>
      </c>
      <c r="D83" s="30" t="s">
        <v>30</v>
      </c>
      <c r="E83" s="30" t="s">
        <v>284</v>
      </c>
      <c r="F83" s="16">
        <v>788</v>
      </c>
      <c r="G83" s="16" t="s">
        <v>57</v>
      </c>
      <c r="J83" s="29" t="s">
        <v>139</v>
      </c>
      <c r="K83" s="29" t="s">
        <v>144</v>
      </c>
    </row>
    <row r="84" spans="1:11">
      <c r="A84" s="46">
        <v>83</v>
      </c>
      <c r="B84" s="46" t="s">
        <v>665</v>
      </c>
      <c r="C84" s="15" t="s">
        <v>285</v>
      </c>
      <c r="D84" s="15" t="s">
        <v>286</v>
      </c>
      <c r="E84" s="15" t="s">
        <v>287</v>
      </c>
      <c r="F84" s="16">
        <v>3690</v>
      </c>
      <c r="G84" s="16" t="s">
        <v>57</v>
      </c>
      <c r="J84" s="16" t="s">
        <v>60</v>
      </c>
      <c r="K84" s="29" t="s">
        <v>288</v>
      </c>
    </row>
    <row r="85" spans="1:11">
      <c r="A85" s="46">
        <v>84</v>
      </c>
      <c r="B85" s="46" t="s">
        <v>290</v>
      </c>
      <c r="C85" s="15" t="s">
        <v>289</v>
      </c>
      <c r="D85" s="15" t="s">
        <v>290</v>
      </c>
      <c r="E85" s="15" t="s">
        <v>291</v>
      </c>
      <c r="F85" s="16">
        <v>4390</v>
      </c>
      <c r="G85" s="16" t="s">
        <v>57</v>
      </c>
      <c r="J85" s="16" t="s">
        <v>60</v>
      </c>
      <c r="K85" s="29" t="s">
        <v>288</v>
      </c>
    </row>
    <row r="86" spans="1:11">
      <c r="A86" s="46">
        <v>85</v>
      </c>
      <c r="B86" s="46" t="s">
        <v>293</v>
      </c>
      <c r="C86" s="15" t="s">
        <v>292</v>
      </c>
      <c r="D86" s="15" t="s">
        <v>293</v>
      </c>
      <c r="E86" s="15" t="s">
        <v>294</v>
      </c>
      <c r="F86" s="16">
        <v>4290</v>
      </c>
      <c r="G86" s="16" t="s">
        <v>57</v>
      </c>
      <c r="J86" s="16" t="s">
        <v>60</v>
      </c>
      <c r="K86" s="29" t="s">
        <v>288</v>
      </c>
    </row>
    <row r="87" spans="1:11">
      <c r="A87" s="46">
        <v>86</v>
      </c>
      <c r="B87" s="46" t="s">
        <v>296</v>
      </c>
      <c r="C87" s="15" t="s">
        <v>295</v>
      </c>
      <c r="D87" s="15" t="s">
        <v>296</v>
      </c>
      <c r="E87" s="15" t="s">
        <v>297</v>
      </c>
      <c r="F87" s="16">
        <v>4590</v>
      </c>
      <c r="G87" s="16" t="s">
        <v>57</v>
      </c>
      <c r="J87" s="16" t="s">
        <v>60</v>
      </c>
      <c r="K87" s="29" t="s">
        <v>288</v>
      </c>
    </row>
    <row r="88" spans="1:11">
      <c r="A88" s="46">
        <v>87</v>
      </c>
      <c r="B88" s="46" t="s">
        <v>299</v>
      </c>
      <c r="C88" s="15" t="s">
        <v>298</v>
      </c>
      <c r="D88" s="15" t="s">
        <v>299</v>
      </c>
      <c r="E88" s="15" t="s">
        <v>300</v>
      </c>
      <c r="F88" s="16">
        <v>5290</v>
      </c>
      <c r="G88" s="16" t="s">
        <v>57</v>
      </c>
      <c r="J88" s="16" t="s">
        <v>60</v>
      </c>
      <c r="K88" s="29" t="s">
        <v>288</v>
      </c>
    </row>
    <row r="89" spans="1:11">
      <c r="A89" s="46">
        <v>88</v>
      </c>
      <c r="B89" s="46" t="s">
        <v>302</v>
      </c>
      <c r="C89" s="15" t="s">
        <v>301</v>
      </c>
      <c r="D89" s="15" t="s">
        <v>302</v>
      </c>
      <c r="E89" s="15" t="s">
        <v>303</v>
      </c>
      <c r="F89" s="16">
        <v>5990</v>
      </c>
      <c r="G89" s="16" t="s">
        <v>57</v>
      </c>
      <c r="J89" s="16" t="s">
        <v>60</v>
      </c>
      <c r="K89" s="29" t="s">
        <v>288</v>
      </c>
    </row>
    <row r="90" spans="1:11">
      <c r="A90" s="46">
        <v>89</v>
      </c>
      <c r="B90" s="46" t="s">
        <v>305</v>
      </c>
      <c r="C90" s="32" t="s">
        <v>304</v>
      </c>
      <c r="D90" s="15" t="s">
        <v>305</v>
      </c>
      <c r="E90" s="15" t="s">
        <v>306</v>
      </c>
      <c r="F90" s="16">
        <v>6790</v>
      </c>
      <c r="G90" s="16" t="s">
        <v>57</v>
      </c>
      <c r="J90" s="16" t="s">
        <v>60</v>
      </c>
      <c r="K90" s="29" t="s">
        <v>288</v>
      </c>
    </row>
    <row r="91" spans="1:11">
      <c r="A91" s="46">
        <v>90</v>
      </c>
      <c r="B91" s="46" t="s">
        <v>308</v>
      </c>
      <c r="C91" s="32" t="s">
        <v>307</v>
      </c>
      <c r="D91" s="32" t="s">
        <v>308</v>
      </c>
      <c r="E91" s="15" t="s">
        <v>309</v>
      </c>
      <c r="F91" s="16">
        <v>6990</v>
      </c>
      <c r="G91" s="16" t="s">
        <v>57</v>
      </c>
      <c r="J91" s="16" t="s">
        <v>60</v>
      </c>
      <c r="K91" s="29" t="s">
        <v>288</v>
      </c>
    </row>
    <row r="92" spans="1:11">
      <c r="A92" s="46">
        <v>91</v>
      </c>
      <c r="B92" s="46" t="s">
        <v>310</v>
      </c>
      <c r="C92" s="15" t="s">
        <v>310</v>
      </c>
      <c r="D92" s="15" t="s">
        <v>311</v>
      </c>
      <c r="E92" s="15" t="s">
        <v>312</v>
      </c>
      <c r="F92" s="16">
        <v>7890</v>
      </c>
      <c r="G92" s="16" t="s">
        <v>57</v>
      </c>
      <c r="J92" s="16" t="s">
        <v>60</v>
      </c>
      <c r="K92" s="29" t="s">
        <v>288</v>
      </c>
    </row>
    <row r="93" spans="1:11">
      <c r="A93" s="46">
        <v>92</v>
      </c>
      <c r="B93" s="46" t="s">
        <v>314</v>
      </c>
      <c r="C93" s="15" t="s">
        <v>313</v>
      </c>
      <c r="D93" s="15" t="s">
        <v>314</v>
      </c>
      <c r="E93" s="15" t="s">
        <v>315</v>
      </c>
      <c r="G93" s="16" t="s">
        <v>57</v>
      </c>
      <c r="J93" s="16" t="s">
        <v>60</v>
      </c>
      <c r="K93" s="29" t="s">
        <v>288</v>
      </c>
    </row>
    <row r="94" spans="1:11">
      <c r="A94" s="46">
        <v>93</v>
      </c>
      <c r="B94" s="46" t="s">
        <v>317</v>
      </c>
      <c r="C94" s="15" t="s">
        <v>316</v>
      </c>
      <c r="D94" s="15" t="s">
        <v>317</v>
      </c>
      <c r="E94" s="15" t="s">
        <v>294</v>
      </c>
      <c r="G94" s="16" t="s">
        <v>57</v>
      </c>
      <c r="J94" s="16" t="s">
        <v>60</v>
      </c>
      <c r="K94" s="29" t="s">
        <v>288</v>
      </c>
    </row>
    <row r="95" spans="1:11">
      <c r="A95" s="46">
        <v>94</v>
      </c>
      <c r="B95" s="46" t="s">
        <v>319</v>
      </c>
      <c r="C95" s="15" t="s">
        <v>318</v>
      </c>
      <c r="D95" s="15" t="s">
        <v>319</v>
      </c>
      <c r="E95" s="15" t="s">
        <v>294</v>
      </c>
      <c r="G95" s="16" t="s">
        <v>57</v>
      </c>
      <c r="J95" s="16" t="s">
        <v>60</v>
      </c>
      <c r="K95" s="29" t="s">
        <v>288</v>
      </c>
    </row>
    <row r="96" spans="1:11">
      <c r="A96" s="46">
        <v>95</v>
      </c>
      <c r="B96" s="46" t="s">
        <v>321</v>
      </c>
      <c r="C96" s="15" t="s">
        <v>320</v>
      </c>
      <c r="D96" s="15" t="s">
        <v>321</v>
      </c>
      <c r="E96" s="15" t="s">
        <v>322</v>
      </c>
      <c r="F96" s="16">
        <v>2940</v>
      </c>
      <c r="G96" s="16" t="s">
        <v>671</v>
      </c>
      <c r="J96" s="16" t="s">
        <v>60</v>
      </c>
      <c r="K96" s="29" t="s">
        <v>288</v>
      </c>
    </row>
    <row r="97" spans="1:11">
      <c r="A97" s="46">
        <v>96</v>
      </c>
      <c r="B97" s="46" t="s">
        <v>324</v>
      </c>
      <c r="C97" s="15" t="s">
        <v>323</v>
      </c>
      <c r="D97" s="15" t="s">
        <v>324</v>
      </c>
      <c r="E97" s="15" t="s">
        <v>297</v>
      </c>
      <c r="F97" s="33"/>
      <c r="G97" s="16" t="s">
        <v>57</v>
      </c>
      <c r="J97" s="16" t="s">
        <v>60</v>
      </c>
      <c r="K97" s="29" t="s">
        <v>288</v>
      </c>
    </row>
    <row r="98" spans="1:11">
      <c r="A98" s="46">
        <v>97</v>
      </c>
      <c r="B98" s="46" t="s">
        <v>326</v>
      </c>
      <c r="C98" s="30" t="s">
        <v>325</v>
      </c>
      <c r="D98" s="30" t="s">
        <v>326</v>
      </c>
      <c r="E98" s="15" t="s">
        <v>322</v>
      </c>
      <c r="G98" s="16" t="s">
        <v>57</v>
      </c>
      <c r="J98" s="16" t="s">
        <v>60</v>
      </c>
      <c r="K98" s="29" t="s">
        <v>288</v>
      </c>
    </row>
    <row r="99" spans="1:11">
      <c r="A99" s="46">
        <v>98</v>
      </c>
      <c r="B99" s="46" t="s">
        <v>328</v>
      </c>
      <c r="C99" s="26" t="s">
        <v>327</v>
      </c>
      <c r="D99" s="26" t="s">
        <v>328</v>
      </c>
      <c r="E99" s="15" t="s">
        <v>329</v>
      </c>
      <c r="G99" s="16" t="s">
        <v>57</v>
      </c>
      <c r="J99" s="16" t="s">
        <v>60</v>
      </c>
      <c r="K99" s="29" t="s">
        <v>288</v>
      </c>
    </row>
    <row r="100" spans="1:11">
      <c r="A100" s="46">
        <v>99</v>
      </c>
      <c r="B100" s="46" t="s">
        <v>331</v>
      </c>
      <c r="C100" s="26" t="s">
        <v>330</v>
      </c>
      <c r="D100" s="26" t="s">
        <v>331</v>
      </c>
      <c r="E100" s="15" t="s">
        <v>332</v>
      </c>
      <c r="G100" s="16" t="s">
        <v>57</v>
      </c>
      <c r="H100" s="14"/>
      <c r="I100" s="33"/>
      <c r="J100" s="16" t="s">
        <v>60</v>
      </c>
      <c r="K100" s="29" t="s">
        <v>288</v>
      </c>
    </row>
    <row r="101" spans="1:11">
      <c r="A101" s="46">
        <v>100</v>
      </c>
      <c r="B101" s="46" t="s">
        <v>334</v>
      </c>
      <c r="C101" s="15" t="s">
        <v>333</v>
      </c>
      <c r="D101" s="15" t="s">
        <v>334</v>
      </c>
      <c r="E101" s="15" t="s">
        <v>332</v>
      </c>
      <c r="G101" s="16" t="s">
        <v>57</v>
      </c>
      <c r="J101" s="16" t="s">
        <v>60</v>
      </c>
      <c r="K101" s="29" t="s">
        <v>288</v>
      </c>
    </row>
    <row r="102" spans="1:11">
      <c r="A102" s="46">
        <v>101</v>
      </c>
      <c r="B102" s="46" t="s">
        <v>336</v>
      </c>
      <c r="C102" s="15" t="s">
        <v>335</v>
      </c>
      <c r="D102" s="15" t="s">
        <v>336</v>
      </c>
      <c r="E102" s="15" t="s">
        <v>337</v>
      </c>
      <c r="G102" s="16" t="s">
        <v>57</v>
      </c>
      <c r="J102" s="16" t="s">
        <v>60</v>
      </c>
      <c r="K102" s="29" t="s">
        <v>288</v>
      </c>
    </row>
    <row r="103" spans="1:11">
      <c r="A103" s="46">
        <v>102</v>
      </c>
      <c r="B103" s="46" t="s">
        <v>339</v>
      </c>
      <c r="C103" s="15" t="s">
        <v>338</v>
      </c>
      <c r="D103" s="15" t="s">
        <v>339</v>
      </c>
      <c r="E103" s="15" t="s">
        <v>312</v>
      </c>
      <c r="G103" s="16" t="s">
        <v>57</v>
      </c>
      <c r="J103" s="16" t="s">
        <v>60</v>
      </c>
      <c r="K103" s="29" t="s">
        <v>288</v>
      </c>
    </row>
    <row r="104" spans="1:11">
      <c r="A104" s="46">
        <v>103</v>
      </c>
      <c r="B104" s="46" t="s">
        <v>341</v>
      </c>
      <c r="C104" s="32" t="s">
        <v>340</v>
      </c>
      <c r="D104" s="32" t="s">
        <v>341</v>
      </c>
      <c r="E104" s="15" t="s">
        <v>342</v>
      </c>
      <c r="G104" s="16" t="s">
        <v>57</v>
      </c>
      <c r="J104" s="16" t="s">
        <v>60</v>
      </c>
      <c r="K104" s="57" t="s">
        <v>686</v>
      </c>
    </row>
    <row r="105" spans="1:11">
      <c r="A105" s="46">
        <v>104</v>
      </c>
      <c r="B105" s="46" t="s">
        <v>344</v>
      </c>
      <c r="C105" s="32" t="s">
        <v>343</v>
      </c>
      <c r="D105" s="32" t="s">
        <v>344</v>
      </c>
      <c r="E105" s="15" t="s">
        <v>345</v>
      </c>
      <c r="G105" s="16" t="s">
        <v>57</v>
      </c>
      <c r="J105" s="16" t="s">
        <v>60</v>
      </c>
      <c r="K105" s="57" t="s">
        <v>686</v>
      </c>
    </row>
    <row r="106" spans="1:11">
      <c r="A106" s="46">
        <v>105</v>
      </c>
      <c r="B106" s="46" t="s">
        <v>347</v>
      </c>
      <c r="C106" s="15" t="s">
        <v>346</v>
      </c>
      <c r="D106" s="15" t="s">
        <v>347</v>
      </c>
      <c r="E106" s="15" t="s">
        <v>348</v>
      </c>
      <c r="G106" s="16" t="s">
        <v>57</v>
      </c>
      <c r="J106" s="16" t="s">
        <v>60</v>
      </c>
      <c r="K106" s="57" t="s">
        <v>686</v>
      </c>
    </row>
    <row r="107" spans="1:11">
      <c r="A107" s="46">
        <v>106</v>
      </c>
      <c r="B107" s="46" t="s">
        <v>1101</v>
      </c>
      <c r="C107" s="15" t="s">
        <v>650</v>
      </c>
      <c r="D107" s="15" t="s">
        <v>350</v>
      </c>
      <c r="E107" s="15" t="s">
        <v>351</v>
      </c>
      <c r="F107" s="16">
        <v>3080</v>
      </c>
      <c r="G107" s="16" t="s">
        <v>57</v>
      </c>
      <c r="J107" s="16" t="s">
        <v>60</v>
      </c>
      <c r="K107" s="57" t="s">
        <v>686</v>
      </c>
    </row>
    <row r="108" spans="1:11">
      <c r="A108" s="46">
        <v>107</v>
      </c>
      <c r="B108" s="46" t="s">
        <v>353</v>
      </c>
      <c r="C108" s="15" t="s">
        <v>352</v>
      </c>
      <c r="D108" s="15" t="s">
        <v>353</v>
      </c>
      <c r="E108" s="15" t="s">
        <v>354</v>
      </c>
      <c r="F108" s="16">
        <v>3580</v>
      </c>
      <c r="G108" s="16" t="s">
        <v>57</v>
      </c>
      <c r="J108" s="16" t="s">
        <v>60</v>
      </c>
      <c r="K108" s="57" t="s">
        <v>686</v>
      </c>
    </row>
    <row r="109" spans="1:11">
      <c r="A109" s="46">
        <v>108</v>
      </c>
      <c r="B109" s="46" t="s">
        <v>356</v>
      </c>
      <c r="C109" s="32" t="s">
        <v>355</v>
      </c>
      <c r="D109" s="32" t="s">
        <v>356</v>
      </c>
      <c r="E109" s="15" t="s">
        <v>357</v>
      </c>
      <c r="F109" s="16">
        <v>4580</v>
      </c>
      <c r="G109" s="16" t="s">
        <v>57</v>
      </c>
      <c r="J109" s="16" t="s">
        <v>60</v>
      </c>
      <c r="K109" s="57" t="s">
        <v>686</v>
      </c>
    </row>
    <row r="110" spans="1:11">
      <c r="A110" s="46">
        <v>109</v>
      </c>
      <c r="B110" s="46" t="s">
        <v>358</v>
      </c>
      <c r="C110" s="32" t="s">
        <v>349</v>
      </c>
      <c r="D110" s="32" t="s">
        <v>358</v>
      </c>
      <c r="E110" s="15" t="s">
        <v>359</v>
      </c>
      <c r="F110" s="16">
        <v>3280</v>
      </c>
      <c r="G110" s="16" t="s">
        <v>57</v>
      </c>
      <c r="J110" s="16" t="s">
        <v>60</v>
      </c>
      <c r="K110" s="57" t="s">
        <v>686</v>
      </c>
    </row>
    <row r="111" spans="1:11">
      <c r="A111" s="46">
        <v>110</v>
      </c>
      <c r="B111" s="46" t="s">
        <v>361</v>
      </c>
      <c r="C111" s="15" t="s">
        <v>360</v>
      </c>
      <c r="D111" s="15" t="s">
        <v>361</v>
      </c>
      <c r="E111" s="15" t="s">
        <v>362</v>
      </c>
      <c r="F111" s="16">
        <v>3980</v>
      </c>
      <c r="G111" s="16" t="s">
        <v>57</v>
      </c>
      <c r="J111" s="16" t="s">
        <v>60</v>
      </c>
      <c r="K111" s="57" t="s">
        <v>686</v>
      </c>
    </row>
    <row r="112" spans="1:11">
      <c r="A112" s="46">
        <v>111</v>
      </c>
      <c r="B112" s="46" t="s">
        <v>364</v>
      </c>
      <c r="C112" s="15" t="s">
        <v>363</v>
      </c>
      <c r="D112" s="15" t="s">
        <v>364</v>
      </c>
      <c r="E112" s="15" t="s">
        <v>357</v>
      </c>
      <c r="F112" s="16">
        <v>3780</v>
      </c>
      <c r="G112" s="16" t="s">
        <v>95</v>
      </c>
      <c r="H112" s="16">
        <v>4780</v>
      </c>
      <c r="I112" s="16" t="s">
        <v>57</v>
      </c>
      <c r="J112" s="16" t="s">
        <v>60</v>
      </c>
      <c r="K112" s="57" t="s">
        <v>686</v>
      </c>
    </row>
    <row r="113" spans="1:11">
      <c r="A113" s="46">
        <v>112</v>
      </c>
      <c r="B113" s="46" t="s">
        <v>906</v>
      </c>
      <c r="C113" s="15" t="s">
        <v>906</v>
      </c>
      <c r="D113" s="15" t="s">
        <v>906</v>
      </c>
      <c r="E113" s="15" t="s">
        <v>365</v>
      </c>
      <c r="F113" s="16">
        <v>6690</v>
      </c>
      <c r="G113" s="16" t="s">
        <v>57</v>
      </c>
      <c r="J113" s="16" t="s">
        <v>60</v>
      </c>
      <c r="K113" s="29" t="s">
        <v>288</v>
      </c>
    </row>
    <row r="114" spans="1:11">
      <c r="A114" s="46">
        <v>113</v>
      </c>
      <c r="B114" s="46" t="s">
        <v>367</v>
      </c>
      <c r="C114" s="32" t="s">
        <v>366</v>
      </c>
      <c r="D114" s="32" t="s">
        <v>367</v>
      </c>
      <c r="E114" s="15" t="s">
        <v>368</v>
      </c>
      <c r="G114" s="16" t="s">
        <v>57</v>
      </c>
      <c r="J114" s="16" t="s">
        <v>60</v>
      </c>
      <c r="K114" s="29" t="s">
        <v>288</v>
      </c>
    </row>
    <row r="115" spans="1:11">
      <c r="A115" s="46">
        <v>114</v>
      </c>
      <c r="B115" s="46" t="s">
        <v>370</v>
      </c>
      <c r="C115" s="15" t="s">
        <v>369</v>
      </c>
      <c r="D115" s="15" t="s">
        <v>370</v>
      </c>
      <c r="E115" s="15" t="s">
        <v>371</v>
      </c>
      <c r="G115" s="16" t="s">
        <v>57</v>
      </c>
      <c r="J115" s="16" t="s">
        <v>60</v>
      </c>
      <c r="K115" s="29" t="s">
        <v>288</v>
      </c>
    </row>
    <row r="116" spans="1:11">
      <c r="A116" s="46">
        <v>115</v>
      </c>
      <c r="B116" s="46" t="s">
        <v>766</v>
      </c>
      <c r="C116" s="15" t="s">
        <v>766</v>
      </c>
      <c r="D116" s="15" t="s">
        <v>766</v>
      </c>
      <c r="E116" s="15" t="s">
        <v>372</v>
      </c>
      <c r="F116" s="16">
        <v>7490</v>
      </c>
      <c r="G116" s="16" t="s">
        <v>57</v>
      </c>
      <c r="J116" s="16" t="s">
        <v>60</v>
      </c>
      <c r="K116" s="29" t="s">
        <v>288</v>
      </c>
    </row>
    <row r="117" spans="1:11">
      <c r="A117" s="46">
        <v>116</v>
      </c>
      <c r="B117" s="46" t="s">
        <v>759</v>
      </c>
      <c r="C117" s="15" t="s">
        <v>759</v>
      </c>
      <c r="D117" t="s">
        <v>759</v>
      </c>
      <c r="E117" s="15" t="s">
        <v>373</v>
      </c>
      <c r="F117" s="16">
        <v>8190</v>
      </c>
      <c r="G117" s="16" t="s">
        <v>57</v>
      </c>
      <c r="J117" s="16" t="s">
        <v>60</v>
      </c>
      <c r="K117" s="29" t="s">
        <v>288</v>
      </c>
    </row>
    <row r="118" spans="1:11">
      <c r="A118" s="46">
        <v>117</v>
      </c>
      <c r="B118" s="46" t="s">
        <v>375</v>
      </c>
      <c r="C118" s="15" t="s">
        <v>374</v>
      </c>
      <c r="D118" s="15" t="s">
        <v>375</v>
      </c>
      <c r="E118" s="15" t="s">
        <v>372</v>
      </c>
      <c r="G118" s="16" t="s">
        <v>57</v>
      </c>
      <c r="J118" s="16" t="s">
        <v>60</v>
      </c>
      <c r="K118" s="29" t="s">
        <v>288</v>
      </c>
    </row>
    <row r="119" spans="1:11">
      <c r="A119" s="46">
        <v>118</v>
      </c>
      <c r="B119" s="46" t="s">
        <v>377</v>
      </c>
      <c r="C119" s="15" t="s">
        <v>376</v>
      </c>
      <c r="D119" s="15" t="s">
        <v>377</v>
      </c>
      <c r="E119" s="15" t="s">
        <v>378</v>
      </c>
      <c r="G119" s="16" t="s">
        <v>57</v>
      </c>
      <c r="J119" s="16" t="s">
        <v>60</v>
      </c>
      <c r="K119" s="29" t="s">
        <v>288</v>
      </c>
    </row>
    <row r="120" spans="1:11">
      <c r="A120" s="46">
        <v>120</v>
      </c>
      <c r="B120" s="46" t="s">
        <v>381</v>
      </c>
      <c r="C120" s="15" t="s">
        <v>380</v>
      </c>
      <c r="D120" s="15" t="s">
        <v>381</v>
      </c>
      <c r="E120" s="15" t="s">
        <v>382</v>
      </c>
      <c r="F120" s="16">
        <v>11590</v>
      </c>
      <c r="G120" s="16" t="s">
        <v>57</v>
      </c>
      <c r="J120" s="16" t="s">
        <v>60</v>
      </c>
      <c r="K120" s="29" t="s">
        <v>288</v>
      </c>
    </row>
    <row r="121" spans="1:11">
      <c r="A121" s="46">
        <v>121</v>
      </c>
      <c r="B121" s="46" t="s">
        <v>384</v>
      </c>
      <c r="C121" s="15" t="s">
        <v>383</v>
      </c>
      <c r="D121" s="15" t="s">
        <v>384</v>
      </c>
      <c r="E121" s="15" t="s">
        <v>379</v>
      </c>
      <c r="G121" s="16" t="s">
        <v>57</v>
      </c>
      <c r="J121" s="16" t="s">
        <v>60</v>
      </c>
      <c r="K121" s="29" t="s">
        <v>288</v>
      </c>
    </row>
    <row r="122" spans="1:11">
      <c r="A122" s="46">
        <v>122</v>
      </c>
      <c r="B122" s="46" t="s">
        <v>386</v>
      </c>
      <c r="C122" s="15" t="s">
        <v>385</v>
      </c>
      <c r="D122" s="15" t="s">
        <v>386</v>
      </c>
      <c r="E122" s="15" t="s">
        <v>387</v>
      </c>
      <c r="G122" s="16" t="s">
        <v>57</v>
      </c>
      <c r="J122" s="16" t="s">
        <v>60</v>
      </c>
      <c r="K122" s="29" t="s">
        <v>288</v>
      </c>
    </row>
    <row r="123" spans="1:11">
      <c r="A123" s="46">
        <v>123</v>
      </c>
      <c r="B123" s="46" t="s">
        <v>389</v>
      </c>
      <c r="C123" s="15" t="s">
        <v>388</v>
      </c>
      <c r="D123" s="15" t="s">
        <v>389</v>
      </c>
      <c r="E123" s="15" t="s">
        <v>390</v>
      </c>
      <c r="G123" s="16" t="s">
        <v>57</v>
      </c>
      <c r="J123" s="16" t="s">
        <v>60</v>
      </c>
      <c r="K123" s="29" t="s">
        <v>288</v>
      </c>
    </row>
    <row r="124" spans="1:11">
      <c r="A124" s="46">
        <v>124</v>
      </c>
      <c r="B124" s="46" t="s">
        <v>392</v>
      </c>
      <c r="C124" s="28" t="s">
        <v>391</v>
      </c>
      <c r="D124" s="28" t="s">
        <v>392</v>
      </c>
      <c r="E124" s="15" t="s">
        <v>393</v>
      </c>
      <c r="G124" s="16" t="s">
        <v>57</v>
      </c>
      <c r="J124" s="16" t="s">
        <v>60</v>
      </c>
      <c r="K124" s="29" t="s">
        <v>288</v>
      </c>
    </row>
    <row r="125" spans="1:11">
      <c r="A125" s="46">
        <v>125</v>
      </c>
      <c r="B125" s="46" t="s">
        <v>395</v>
      </c>
      <c r="C125" s="15" t="s">
        <v>394</v>
      </c>
      <c r="D125" s="15" t="s">
        <v>395</v>
      </c>
      <c r="E125" s="15" t="s">
        <v>396</v>
      </c>
      <c r="G125" s="16" t="s">
        <v>57</v>
      </c>
      <c r="J125" s="16" t="s">
        <v>60</v>
      </c>
      <c r="K125" s="29" t="s">
        <v>288</v>
      </c>
    </row>
    <row r="126" spans="1:11">
      <c r="A126" s="46">
        <v>126</v>
      </c>
      <c r="B126" s="46" t="s">
        <v>398</v>
      </c>
      <c r="C126" s="15" t="s">
        <v>397</v>
      </c>
      <c r="D126" s="15" t="s">
        <v>398</v>
      </c>
      <c r="E126" s="15" t="s">
        <v>399</v>
      </c>
      <c r="G126" s="16" t="s">
        <v>57</v>
      </c>
      <c r="J126" s="16" t="s">
        <v>60</v>
      </c>
      <c r="K126" s="29" t="s">
        <v>288</v>
      </c>
    </row>
    <row r="127" spans="1:11">
      <c r="A127" s="46">
        <v>127</v>
      </c>
      <c r="B127" s="46" t="s">
        <v>401</v>
      </c>
      <c r="C127" s="15" t="s">
        <v>400</v>
      </c>
      <c r="D127" s="15" t="s">
        <v>401</v>
      </c>
      <c r="E127" s="15" t="s">
        <v>402</v>
      </c>
      <c r="F127" s="16">
        <v>15990</v>
      </c>
      <c r="G127" s="16" t="s">
        <v>57</v>
      </c>
      <c r="J127" s="16" t="s">
        <v>60</v>
      </c>
      <c r="K127" s="29" t="s">
        <v>288</v>
      </c>
    </row>
    <row r="128" spans="1:11">
      <c r="A128" s="46">
        <v>128</v>
      </c>
      <c r="B128" s="46" t="s">
        <v>404</v>
      </c>
      <c r="C128" s="15" t="s">
        <v>403</v>
      </c>
      <c r="D128" s="15" t="s">
        <v>404</v>
      </c>
      <c r="E128" s="15" t="s">
        <v>399</v>
      </c>
      <c r="G128" s="16" t="s">
        <v>57</v>
      </c>
      <c r="J128" s="16" t="s">
        <v>60</v>
      </c>
      <c r="K128" s="29" t="s">
        <v>288</v>
      </c>
    </row>
    <row r="129" spans="1:11">
      <c r="A129" s="46">
        <v>129</v>
      </c>
      <c r="B129" s="46" t="s">
        <v>406</v>
      </c>
      <c r="C129" s="34" t="s">
        <v>405</v>
      </c>
      <c r="D129" s="34" t="s">
        <v>406</v>
      </c>
      <c r="E129" s="15" t="s">
        <v>407</v>
      </c>
      <c r="F129" s="16">
        <v>17990</v>
      </c>
      <c r="G129" s="16" t="s">
        <v>57</v>
      </c>
      <c r="J129" s="16" t="s">
        <v>60</v>
      </c>
      <c r="K129" s="29" t="s">
        <v>288</v>
      </c>
    </row>
    <row r="130" spans="1:11">
      <c r="A130" s="46">
        <v>130</v>
      </c>
      <c r="B130" s="46" t="s">
        <v>409</v>
      </c>
      <c r="C130" s="28" t="s">
        <v>408</v>
      </c>
      <c r="D130" s="28" t="s">
        <v>409</v>
      </c>
      <c r="E130" s="15" t="s">
        <v>410</v>
      </c>
      <c r="G130" s="16" t="s">
        <v>57</v>
      </c>
      <c r="J130" s="16" t="s">
        <v>60</v>
      </c>
      <c r="K130" s="29" t="s">
        <v>288</v>
      </c>
    </row>
    <row r="131" spans="1:11">
      <c r="A131" s="46">
        <v>131</v>
      </c>
      <c r="B131" s="46" t="s">
        <v>412</v>
      </c>
      <c r="C131" s="15" t="s">
        <v>411</v>
      </c>
      <c r="D131" s="15" t="s">
        <v>412</v>
      </c>
      <c r="E131" s="15" t="s">
        <v>413</v>
      </c>
      <c r="G131" s="16" t="s">
        <v>57</v>
      </c>
      <c r="J131" s="29" t="s">
        <v>139</v>
      </c>
      <c r="K131" s="29" t="s">
        <v>144</v>
      </c>
    </row>
    <row r="132" spans="1:11">
      <c r="A132" s="46">
        <v>132</v>
      </c>
      <c r="B132" s="46" t="s">
        <v>45</v>
      </c>
      <c r="C132" s="15" t="s">
        <v>414</v>
      </c>
      <c r="D132" s="15" t="s">
        <v>45</v>
      </c>
      <c r="E132" s="15" t="s">
        <v>415</v>
      </c>
      <c r="F132" s="16">
        <v>798</v>
      </c>
      <c r="G132" s="16" t="s">
        <v>57</v>
      </c>
      <c r="J132" s="29" t="s">
        <v>139</v>
      </c>
      <c r="K132" s="29" t="s">
        <v>144</v>
      </c>
    </row>
    <row r="133" spans="1:11">
      <c r="A133" s="46">
        <v>133</v>
      </c>
      <c r="B133" s="46" t="s">
        <v>42</v>
      </c>
      <c r="C133" s="15" t="s">
        <v>416</v>
      </c>
      <c r="D133" s="15" t="s">
        <v>42</v>
      </c>
      <c r="E133" s="15" t="s">
        <v>417</v>
      </c>
      <c r="F133" s="16">
        <v>1388</v>
      </c>
      <c r="G133" s="16" t="s">
        <v>57</v>
      </c>
      <c r="J133" s="29" t="s">
        <v>139</v>
      </c>
      <c r="K133" s="29" t="s">
        <v>144</v>
      </c>
    </row>
    <row r="134" spans="1:11">
      <c r="A134" s="46">
        <v>134</v>
      </c>
      <c r="B134" s="46" t="s">
        <v>41</v>
      </c>
      <c r="C134" s="15" t="s">
        <v>418</v>
      </c>
      <c r="D134" s="15" t="s">
        <v>41</v>
      </c>
      <c r="E134" s="15" t="s">
        <v>419</v>
      </c>
      <c r="F134" s="16">
        <v>328</v>
      </c>
      <c r="G134" s="16" t="s">
        <v>57</v>
      </c>
      <c r="J134" s="29" t="s">
        <v>139</v>
      </c>
      <c r="K134" s="29" t="s">
        <v>144</v>
      </c>
    </row>
    <row r="135" spans="1:11">
      <c r="A135" s="46">
        <v>135</v>
      </c>
      <c r="B135" s="46" t="s">
        <v>421</v>
      </c>
      <c r="C135" s="15" t="s">
        <v>420</v>
      </c>
      <c r="D135" s="15" t="s">
        <v>421</v>
      </c>
      <c r="E135" s="15" t="s">
        <v>422</v>
      </c>
      <c r="G135" s="16" t="s">
        <v>57</v>
      </c>
      <c r="J135" s="29" t="s">
        <v>139</v>
      </c>
      <c r="K135" s="29" t="s">
        <v>144</v>
      </c>
    </row>
    <row r="136" spans="1:11">
      <c r="A136" s="46">
        <v>136</v>
      </c>
      <c r="B136" s="46" t="s">
        <v>424</v>
      </c>
      <c r="C136" s="15" t="s">
        <v>423</v>
      </c>
      <c r="D136" s="15" t="s">
        <v>424</v>
      </c>
      <c r="E136" s="15" t="s">
        <v>425</v>
      </c>
      <c r="F136" s="16">
        <v>998</v>
      </c>
      <c r="G136" s="16" t="s">
        <v>57</v>
      </c>
      <c r="J136" s="29" t="s">
        <v>139</v>
      </c>
      <c r="K136" s="29" t="s">
        <v>144</v>
      </c>
    </row>
    <row r="137" spans="1:11">
      <c r="A137" s="46">
        <v>137</v>
      </c>
      <c r="B137" s="46" t="s">
        <v>427</v>
      </c>
      <c r="C137" s="32" t="s">
        <v>426</v>
      </c>
      <c r="D137" s="32" t="s">
        <v>427</v>
      </c>
      <c r="E137" s="15" t="s">
        <v>428</v>
      </c>
      <c r="F137" s="16">
        <v>898</v>
      </c>
      <c r="G137" s="16" t="s">
        <v>57</v>
      </c>
      <c r="J137" s="29" t="s">
        <v>139</v>
      </c>
      <c r="K137" s="29" t="s">
        <v>144</v>
      </c>
    </row>
    <row r="138" spans="1:11">
      <c r="A138" s="46">
        <v>138</v>
      </c>
      <c r="B138" s="46" t="s">
        <v>430</v>
      </c>
      <c r="C138" s="15" t="s">
        <v>429</v>
      </c>
      <c r="D138" s="15" t="s">
        <v>430</v>
      </c>
      <c r="E138" s="15" t="s">
        <v>431</v>
      </c>
      <c r="G138" s="16" t="s">
        <v>57</v>
      </c>
      <c r="J138" s="29" t="s">
        <v>139</v>
      </c>
      <c r="K138" s="29" t="s">
        <v>144</v>
      </c>
    </row>
    <row r="139" spans="1:11">
      <c r="A139" s="46">
        <v>139</v>
      </c>
      <c r="B139" s="46" t="s">
        <v>433</v>
      </c>
      <c r="C139" s="15" t="s">
        <v>432</v>
      </c>
      <c r="D139" s="15" t="s">
        <v>433</v>
      </c>
      <c r="E139" s="15" t="s">
        <v>434</v>
      </c>
      <c r="G139" s="16" t="s">
        <v>57</v>
      </c>
      <c r="J139" s="29" t="s">
        <v>139</v>
      </c>
      <c r="K139" s="29" t="s">
        <v>144</v>
      </c>
    </row>
    <row r="140" spans="1:11">
      <c r="A140" s="46">
        <v>140</v>
      </c>
      <c r="B140" s="46" t="s">
        <v>47</v>
      </c>
      <c r="C140" s="15" t="s">
        <v>435</v>
      </c>
      <c r="D140" s="15" t="s">
        <v>47</v>
      </c>
      <c r="E140" s="15" t="s">
        <v>436</v>
      </c>
      <c r="F140" s="16">
        <v>898</v>
      </c>
      <c r="G140" s="16" t="s">
        <v>57</v>
      </c>
      <c r="J140" s="29" t="s">
        <v>139</v>
      </c>
      <c r="K140" s="29" t="s">
        <v>144</v>
      </c>
    </row>
    <row r="141" spans="1:11">
      <c r="A141" s="46">
        <v>141</v>
      </c>
      <c r="B141" s="46" t="s">
        <v>438</v>
      </c>
      <c r="C141" s="15" t="s">
        <v>437</v>
      </c>
      <c r="D141" s="15" t="s">
        <v>438</v>
      </c>
      <c r="E141" s="15" t="s">
        <v>439</v>
      </c>
      <c r="G141" s="16" t="s">
        <v>57</v>
      </c>
      <c r="J141" s="29" t="s">
        <v>139</v>
      </c>
      <c r="K141" s="29" t="s">
        <v>144</v>
      </c>
    </row>
    <row r="142" spans="1:11">
      <c r="A142" s="46">
        <v>142</v>
      </c>
      <c r="B142" s="46" t="s">
        <v>441</v>
      </c>
      <c r="C142" s="15" t="s">
        <v>440</v>
      </c>
      <c r="D142" s="15" t="s">
        <v>441</v>
      </c>
      <c r="E142" s="15" t="s">
        <v>442</v>
      </c>
      <c r="F142" s="16">
        <v>1436</v>
      </c>
      <c r="G142" s="16" t="s">
        <v>95</v>
      </c>
      <c r="H142" s="16">
        <v>1688</v>
      </c>
      <c r="I142" s="16" t="s">
        <v>57</v>
      </c>
      <c r="J142" s="29" t="s">
        <v>139</v>
      </c>
      <c r="K142" s="29" t="s">
        <v>144</v>
      </c>
    </row>
    <row r="143" spans="1:11">
      <c r="A143" s="46">
        <v>143</v>
      </c>
      <c r="B143" s="46" t="s">
        <v>44</v>
      </c>
      <c r="C143" s="15" t="s">
        <v>443</v>
      </c>
      <c r="D143" s="15" t="s">
        <v>44</v>
      </c>
      <c r="E143" s="15" t="s">
        <v>444</v>
      </c>
      <c r="F143" s="16">
        <v>388</v>
      </c>
      <c r="G143" s="16" t="s">
        <v>57</v>
      </c>
      <c r="J143" s="29" t="s">
        <v>139</v>
      </c>
      <c r="K143" s="29" t="s">
        <v>144</v>
      </c>
    </row>
    <row r="144" spans="1:11">
      <c r="A144" s="46">
        <v>144</v>
      </c>
      <c r="B144" s="46" t="s">
        <v>446</v>
      </c>
      <c r="C144" s="15" t="s">
        <v>445</v>
      </c>
      <c r="D144" s="15" t="s">
        <v>446</v>
      </c>
      <c r="E144" s="15" t="s">
        <v>447</v>
      </c>
      <c r="F144" s="16">
        <v>1098</v>
      </c>
      <c r="G144" s="16" t="s">
        <v>57</v>
      </c>
      <c r="J144" s="29" t="s">
        <v>139</v>
      </c>
      <c r="K144" s="29" t="s">
        <v>144</v>
      </c>
    </row>
    <row r="145" spans="1:11">
      <c r="A145" s="46">
        <v>145</v>
      </c>
      <c r="B145" s="46" t="s">
        <v>449</v>
      </c>
      <c r="C145" s="15" t="s">
        <v>448</v>
      </c>
      <c r="D145" s="15" t="s">
        <v>449</v>
      </c>
      <c r="E145" s="15" t="s">
        <v>439</v>
      </c>
      <c r="F145" s="16">
        <v>998</v>
      </c>
      <c r="G145" s="16" t="s">
        <v>57</v>
      </c>
      <c r="J145" s="29" t="s">
        <v>139</v>
      </c>
      <c r="K145" s="29" t="s">
        <v>144</v>
      </c>
    </row>
    <row r="146" spans="1:11">
      <c r="A146" s="46">
        <v>146</v>
      </c>
      <c r="B146" s="46" t="s">
        <v>451</v>
      </c>
      <c r="C146" s="15" t="s">
        <v>450</v>
      </c>
      <c r="D146" s="15" t="s">
        <v>451</v>
      </c>
      <c r="E146" s="15" t="s">
        <v>452</v>
      </c>
      <c r="G146" s="16" t="s">
        <v>57</v>
      </c>
      <c r="J146" s="29" t="s">
        <v>139</v>
      </c>
      <c r="K146" s="29" t="s">
        <v>144</v>
      </c>
    </row>
    <row r="147" spans="1:11">
      <c r="A147" s="46">
        <v>147</v>
      </c>
      <c r="B147" s="46" t="s">
        <v>454</v>
      </c>
      <c r="C147" s="15" t="s">
        <v>453</v>
      </c>
      <c r="D147" s="15" t="s">
        <v>454</v>
      </c>
      <c r="E147" s="15" t="s">
        <v>455</v>
      </c>
      <c r="G147" s="16" t="s">
        <v>57</v>
      </c>
      <c r="J147" s="29" t="s">
        <v>139</v>
      </c>
      <c r="K147" s="29" t="s">
        <v>144</v>
      </c>
    </row>
    <row r="148" spans="1:11">
      <c r="A148" s="46">
        <v>148</v>
      </c>
      <c r="B148" s="46" t="s">
        <v>457</v>
      </c>
      <c r="C148" s="15" t="s">
        <v>456</v>
      </c>
      <c r="D148" s="15" t="s">
        <v>457</v>
      </c>
      <c r="E148" s="15" t="s">
        <v>458</v>
      </c>
      <c r="F148" s="16">
        <v>618</v>
      </c>
      <c r="G148" s="16" t="s">
        <v>57</v>
      </c>
      <c r="J148" s="29" t="s">
        <v>139</v>
      </c>
      <c r="K148" s="29" t="s">
        <v>144</v>
      </c>
    </row>
    <row r="149" spans="1:11">
      <c r="A149" s="46">
        <v>149</v>
      </c>
      <c r="B149" s="46" t="s">
        <v>460</v>
      </c>
      <c r="C149" s="15" t="s">
        <v>459</v>
      </c>
      <c r="D149" s="15" t="s">
        <v>460</v>
      </c>
      <c r="E149" s="15" t="s">
        <v>458</v>
      </c>
      <c r="G149" s="16" t="s">
        <v>57</v>
      </c>
      <c r="J149" s="29" t="s">
        <v>139</v>
      </c>
      <c r="K149" s="29" t="s">
        <v>144</v>
      </c>
    </row>
    <row r="150" spans="1:11">
      <c r="A150" s="46">
        <v>150</v>
      </c>
      <c r="B150" s="46" t="s">
        <v>462</v>
      </c>
      <c r="C150" s="15" t="s">
        <v>461</v>
      </c>
      <c r="D150" s="15" t="s">
        <v>462</v>
      </c>
      <c r="E150" s="15" t="s">
        <v>463</v>
      </c>
      <c r="F150" s="16">
        <v>658</v>
      </c>
      <c r="G150" s="16" t="s">
        <v>57</v>
      </c>
      <c r="J150" s="29" t="s">
        <v>139</v>
      </c>
      <c r="K150" s="29" t="s">
        <v>144</v>
      </c>
    </row>
    <row r="151" spans="1:11">
      <c r="A151" s="46">
        <v>151</v>
      </c>
      <c r="B151" s="46" t="s">
        <v>32</v>
      </c>
      <c r="C151" s="15" t="s">
        <v>464</v>
      </c>
      <c r="D151" s="15" t="s">
        <v>32</v>
      </c>
      <c r="E151" s="15" t="s">
        <v>465</v>
      </c>
      <c r="F151" s="16">
        <v>1288</v>
      </c>
      <c r="G151" s="16" t="s">
        <v>57</v>
      </c>
      <c r="H151" s="16">
        <v>1288</v>
      </c>
      <c r="I151" s="16" t="s">
        <v>57</v>
      </c>
      <c r="J151" s="29" t="s">
        <v>139</v>
      </c>
      <c r="K151" s="29" t="s">
        <v>144</v>
      </c>
    </row>
    <row r="152" spans="1:11">
      <c r="A152" s="46">
        <v>152</v>
      </c>
      <c r="B152" s="46" t="s">
        <v>467</v>
      </c>
      <c r="C152" s="15" t="s">
        <v>466</v>
      </c>
      <c r="D152" s="15" t="s">
        <v>467</v>
      </c>
      <c r="E152" s="15" t="s">
        <v>468</v>
      </c>
      <c r="F152" s="16">
        <v>3188</v>
      </c>
      <c r="G152" s="16" t="s">
        <v>57</v>
      </c>
      <c r="J152" s="29" t="s">
        <v>139</v>
      </c>
      <c r="K152" s="29" t="s">
        <v>144</v>
      </c>
    </row>
    <row r="153" spans="1:11">
      <c r="A153" s="46">
        <v>153</v>
      </c>
      <c r="B153" s="46" t="s">
        <v>470</v>
      </c>
      <c r="C153" s="15" t="s">
        <v>469</v>
      </c>
      <c r="D153" s="15" t="s">
        <v>470</v>
      </c>
      <c r="E153" s="15" t="s">
        <v>468</v>
      </c>
      <c r="G153" s="16" t="s">
        <v>57</v>
      </c>
      <c r="J153" s="29" t="s">
        <v>139</v>
      </c>
      <c r="K153" s="29" t="s">
        <v>144</v>
      </c>
    </row>
    <row r="154" spans="1:11">
      <c r="A154" s="46">
        <v>154</v>
      </c>
      <c r="B154" s="46" t="s">
        <v>28</v>
      </c>
      <c r="C154" s="15" t="s">
        <v>807</v>
      </c>
      <c r="D154" s="15" t="s">
        <v>28</v>
      </c>
      <c r="E154" s="15" t="s">
        <v>468</v>
      </c>
      <c r="F154" s="16">
        <v>3188</v>
      </c>
      <c r="G154" s="16" t="s">
        <v>57</v>
      </c>
      <c r="J154" s="29" t="s">
        <v>139</v>
      </c>
      <c r="K154" s="29" t="s">
        <v>144</v>
      </c>
    </row>
    <row r="155" spans="1:11">
      <c r="A155" s="46">
        <v>155</v>
      </c>
      <c r="B155" s="46" t="s">
        <v>473</v>
      </c>
      <c r="C155" s="15" t="s">
        <v>472</v>
      </c>
      <c r="D155" s="15" t="s">
        <v>473</v>
      </c>
      <c r="E155" s="15" t="s">
        <v>468</v>
      </c>
      <c r="F155" s="16">
        <v>3588</v>
      </c>
      <c r="G155" s="16" t="s">
        <v>57</v>
      </c>
      <c r="J155" s="29" t="s">
        <v>139</v>
      </c>
      <c r="K155" s="29" t="s">
        <v>144</v>
      </c>
    </row>
    <row r="156" spans="1:11">
      <c r="A156" s="46">
        <v>156</v>
      </c>
      <c r="B156" s="46" t="s">
        <v>475</v>
      </c>
      <c r="C156" s="15" t="s">
        <v>474</v>
      </c>
      <c r="D156" s="15" t="s">
        <v>475</v>
      </c>
      <c r="E156" s="15" t="s">
        <v>468</v>
      </c>
      <c r="G156" s="16" t="s">
        <v>57</v>
      </c>
      <c r="J156" s="29" t="s">
        <v>139</v>
      </c>
      <c r="K156" s="29" t="s">
        <v>144</v>
      </c>
    </row>
    <row r="157" spans="1:11">
      <c r="A157" s="46">
        <v>157</v>
      </c>
      <c r="B157" s="46" t="s">
        <v>46</v>
      </c>
      <c r="C157" s="15" t="s">
        <v>808</v>
      </c>
      <c r="D157" s="15" t="s">
        <v>46</v>
      </c>
      <c r="E157" s="15" t="s">
        <v>477</v>
      </c>
      <c r="F157" s="16">
        <v>3588</v>
      </c>
      <c r="G157" s="16" t="s">
        <v>57</v>
      </c>
      <c r="J157" s="29" t="s">
        <v>139</v>
      </c>
      <c r="K157" s="29" t="s">
        <v>144</v>
      </c>
    </row>
    <row r="158" spans="1:11">
      <c r="A158" s="46">
        <v>158</v>
      </c>
      <c r="B158" s="46" t="s">
        <v>33</v>
      </c>
      <c r="C158" s="15" t="s">
        <v>478</v>
      </c>
      <c r="D158" s="15" t="s">
        <v>33</v>
      </c>
      <c r="E158" s="15" t="s">
        <v>468</v>
      </c>
      <c r="F158" s="16">
        <v>4588</v>
      </c>
      <c r="G158" s="16" t="s">
        <v>57</v>
      </c>
      <c r="H158" s="16">
        <v>3680</v>
      </c>
      <c r="I158" s="16" t="s">
        <v>95</v>
      </c>
      <c r="J158" s="29" t="s">
        <v>139</v>
      </c>
      <c r="K158" s="29" t="s">
        <v>144</v>
      </c>
    </row>
    <row r="159" spans="1:11">
      <c r="A159" s="46">
        <v>159</v>
      </c>
      <c r="B159" s="46" t="s">
        <v>480</v>
      </c>
      <c r="C159" s="15" t="s">
        <v>479</v>
      </c>
      <c r="D159" s="15" t="s">
        <v>480</v>
      </c>
      <c r="E159" s="15" t="s">
        <v>481</v>
      </c>
      <c r="G159" s="16" t="s">
        <v>57</v>
      </c>
      <c r="J159" s="29" t="s">
        <v>139</v>
      </c>
      <c r="K159" s="29" t="s">
        <v>144</v>
      </c>
    </row>
    <row r="160" spans="1:11">
      <c r="A160" s="46">
        <v>160</v>
      </c>
      <c r="B160" s="46" t="s">
        <v>43</v>
      </c>
      <c r="C160" s="35" t="s">
        <v>482</v>
      </c>
      <c r="D160" s="15" t="s">
        <v>43</v>
      </c>
      <c r="E160" s="31" t="s">
        <v>468</v>
      </c>
      <c r="F160" s="16">
        <v>4988</v>
      </c>
      <c r="G160" s="16" t="s">
        <v>57</v>
      </c>
      <c r="J160" s="29" t="s">
        <v>139</v>
      </c>
      <c r="K160" s="29" t="s">
        <v>144</v>
      </c>
    </row>
    <row r="161" spans="1:11">
      <c r="A161" s="46">
        <v>161</v>
      </c>
      <c r="B161" s="46" t="s">
        <v>484</v>
      </c>
      <c r="C161" s="15" t="s">
        <v>483</v>
      </c>
      <c r="D161" s="15" t="s">
        <v>484</v>
      </c>
      <c r="E161" s="15" t="s">
        <v>485</v>
      </c>
      <c r="G161" s="16" t="s">
        <v>57</v>
      </c>
      <c r="J161" s="29" t="s">
        <v>139</v>
      </c>
      <c r="K161" s="29" t="s">
        <v>144</v>
      </c>
    </row>
    <row r="162" spans="1:11">
      <c r="A162" s="46">
        <v>162</v>
      </c>
      <c r="B162" s="46" t="s">
        <v>487</v>
      </c>
      <c r="C162" s="15" t="s">
        <v>486</v>
      </c>
      <c r="D162" s="15" t="s">
        <v>487</v>
      </c>
      <c r="E162" s="15" t="s">
        <v>468</v>
      </c>
      <c r="F162" s="16">
        <v>5988</v>
      </c>
      <c r="G162" s="16" t="s">
        <v>57</v>
      </c>
      <c r="J162" s="29" t="s">
        <v>139</v>
      </c>
      <c r="K162" s="29" t="s">
        <v>144</v>
      </c>
    </row>
    <row r="163" spans="1:11">
      <c r="A163" s="46">
        <v>163</v>
      </c>
      <c r="B163" s="46" t="s">
        <v>489</v>
      </c>
      <c r="C163" s="15" t="s">
        <v>488</v>
      </c>
      <c r="D163" s="15" t="s">
        <v>489</v>
      </c>
      <c r="E163" s="15" t="s">
        <v>468</v>
      </c>
      <c r="F163" s="16">
        <v>6388</v>
      </c>
      <c r="G163" s="16" t="s">
        <v>57</v>
      </c>
      <c r="J163" s="29" t="s">
        <v>139</v>
      </c>
      <c r="K163" s="29" t="s">
        <v>144</v>
      </c>
    </row>
    <row r="164" spans="1:11">
      <c r="A164" s="46">
        <v>164</v>
      </c>
      <c r="B164" s="46" t="s">
        <v>491</v>
      </c>
      <c r="C164" s="15" t="s">
        <v>490</v>
      </c>
      <c r="D164" s="15" t="s">
        <v>491</v>
      </c>
      <c r="E164" s="15" t="s">
        <v>492</v>
      </c>
      <c r="G164" s="16" t="s">
        <v>57</v>
      </c>
      <c r="J164" s="29" t="s">
        <v>139</v>
      </c>
      <c r="K164" s="29" t="s">
        <v>144</v>
      </c>
    </row>
    <row r="165" spans="1:11">
      <c r="A165" s="46">
        <v>165</v>
      </c>
      <c r="B165" s="46" t="s">
        <v>494</v>
      </c>
      <c r="C165" s="15" t="s">
        <v>493</v>
      </c>
      <c r="D165" s="15" t="s">
        <v>494</v>
      </c>
      <c r="E165" s="15" t="s">
        <v>468</v>
      </c>
      <c r="F165" s="16">
        <v>3888</v>
      </c>
      <c r="G165" s="16" t="s">
        <v>693</v>
      </c>
      <c r="H165" s="16">
        <v>4588</v>
      </c>
      <c r="I165" s="16" t="s">
        <v>57</v>
      </c>
      <c r="J165" s="29" t="s">
        <v>139</v>
      </c>
      <c r="K165" s="29" t="s">
        <v>144</v>
      </c>
    </row>
    <row r="166" spans="1:11">
      <c r="A166" s="46">
        <v>166</v>
      </c>
      <c r="B166" s="46" t="s">
        <v>495</v>
      </c>
      <c r="C166" s="15" t="s">
        <v>495</v>
      </c>
      <c r="D166" s="15" t="s">
        <v>495</v>
      </c>
      <c r="E166" s="15" t="s">
        <v>495</v>
      </c>
      <c r="G166" s="16" t="s">
        <v>57</v>
      </c>
      <c r="J166" s="29" t="s">
        <v>111</v>
      </c>
      <c r="K166" s="29" t="s">
        <v>111</v>
      </c>
    </row>
    <row r="167" spans="1:11">
      <c r="A167" s="46">
        <v>167</v>
      </c>
      <c r="B167" s="46" t="s">
        <v>497</v>
      </c>
      <c r="C167" s="15" t="s">
        <v>496</v>
      </c>
      <c r="D167" s="15" t="s">
        <v>497</v>
      </c>
      <c r="E167" s="15" t="s">
        <v>498</v>
      </c>
      <c r="F167" s="16">
        <v>1588</v>
      </c>
      <c r="G167" s="16" t="s">
        <v>57</v>
      </c>
      <c r="J167" s="29" t="s">
        <v>139</v>
      </c>
      <c r="K167" s="29" t="s">
        <v>171</v>
      </c>
    </row>
    <row r="168" spans="1:11">
      <c r="A168" s="46">
        <v>168</v>
      </c>
      <c r="B168" s="46" t="s">
        <v>500</v>
      </c>
      <c r="C168" s="15" t="s">
        <v>499</v>
      </c>
      <c r="D168" s="15" t="s">
        <v>500</v>
      </c>
      <c r="E168" s="15" t="s">
        <v>498</v>
      </c>
      <c r="F168" s="16">
        <v>1388</v>
      </c>
      <c r="G168" s="16" t="s">
        <v>57</v>
      </c>
      <c r="J168" s="29" t="s">
        <v>139</v>
      </c>
      <c r="K168" s="29" t="s">
        <v>171</v>
      </c>
    </row>
    <row r="169" spans="1:11">
      <c r="A169" s="46">
        <v>169</v>
      </c>
      <c r="B169" s="46" t="s">
        <v>502</v>
      </c>
      <c r="C169" s="15" t="s">
        <v>501</v>
      </c>
      <c r="D169" s="15" t="s">
        <v>502</v>
      </c>
      <c r="E169" s="15" t="s">
        <v>503</v>
      </c>
      <c r="F169" s="16">
        <v>598</v>
      </c>
      <c r="G169" s="16" t="s">
        <v>57</v>
      </c>
      <c r="J169" s="29" t="s">
        <v>139</v>
      </c>
      <c r="K169" s="29" t="s">
        <v>171</v>
      </c>
    </row>
    <row r="170" spans="1:11" ht="21" customHeight="1">
      <c r="A170" s="46">
        <v>170</v>
      </c>
      <c r="B170" s="46" t="s">
        <v>505</v>
      </c>
      <c r="C170" s="32" t="s">
        <v>504</v>
      </c>
      <c r="D170" s="32" t="s">
        <v>505</v>
      </c>
      <c r="E170" s="15" t="s">
        <v>506</v>
      </c>
      <c r="F170" s="16">
        <v>1998</v>
      </c>
      <c r="G170" s="16" t="s">
        <v>57</v>
      </c>
      <c r="J170" s="29" t="s">
        <v>139</v>
      </c>
      <c r="K170" s="29" t="s">
        <v>144</v>
      </c>
    </row>
    <row r="171" spans="1:11">
      <c r="A171" s="46">
        <v>171</v>
      </c>
      <c r="B171" s="46" t="s">
        <v>508</v>
      </c>
      <c r="C171" s="32" t="s">
        <v>507</v>
      </c>
      <c r="D171" s="32" t="s">
        <v>508</v>
      </c>
      <c r="E171" s="15" t="s">
        <v>509</v>
      </c>
      <c r="F171" s="16">
        <v>1098</v>
      </c>
      <c r="G171" s="16" t="s">
        <v>57</v>
      </c>
      <c r="J171" s="29" t="s">
        <v>139</v>
      </c>
      <c r="K171" s="29" t="s">
        <v>144</v>
      </c>
    </row>
    <row r="172" spans="1:11">
      <c r="A172" s="46">
        <v>172</v>
      </c>
      <c r="B172" s="46" t="s">
        <v>511</v>
      </c>
      <c r="C172" s="32" t="s">
        <v>510</v>
      </c>
      <c r="D172" s="32" t="s">
        <v>511</v>
      </c>
      <c r="E172" s="15" t="s">
        <v>512</v>
      </c>
      <c r="G172" s="16" t="s">
        <v>57</v>
      </c>
      <c r="J172" s="16" t="s">
        <v>60</v>
      </c>
      <c r="K172" s="29" t="s">
        <v>61</v>
      </c>
    </row>
    <row r="173" spans="1:11">
      <c r="A173" s="46">
        <v>173</v>
      </c>
      <c r="B173" s="46" t="s">
        <v>514</v>
      </c>
      <c r="C173" s="32" t="s">
        <v>513</v>
      </c>
      <c r="D173" s="32" t="s">
        <v>514</v>
      </c>
      <c r="E173" s="15" t="s">
        <v>515</v>
      </c>
      <c r="G173" s="16" t="s">
        <v>57</v>
      </c>
      <c r="J173" s="16" t="s">
        <v>60</v>
      </c>
      <c r="K173" s="29" t="s">
        <v>61</v>
      </c>
    </row>
    <row r="174" spans="1:11">
      <c r="A174" s="46">
        <v>174</v>
      </c>
      <c r="B174" s="46" t="s">
        <v>517</v>
      </c>
      <c r="C174" s="32" t="s">
        <v>516</v>
      </c>
      <c r="D174" s="32" t="s">
        <v>517</v>
      </c>
      <c r="E174" s="15" t="s">
        <v>518</v>
      </c>
      <c r="G174" s="16" t="s">
        <v>57</v>
      </c>
      <c r="J174" s="16" t="s">
        <v>60</v>
      </c>
      <c r="K174" s="29" t="s">
        <v>61</v>
      </c>
    </row>
    <row r="175" spans="1:11">
      <c r="A175" s="46">
        <v>175</v>
      </c>
      <c r="B175" s="46" t="s">
        <v>520</v>
      </c>
      <c r="C175" s="32" t="s">
        <v>519</v>
      </c>
      <c r="D175" s="32" t="s">
        <v>520</v>
      </c>
      <c r="E175" s="15" t="s">
        <v>515</v>
      </c>
      <c r="F175" s="16">
        <v>5180</v>
      </c>
      <c r="G175" s="16" t="s">
        <v>57</v>
      </c>
      <c r="J175" s="16" t="s">
        <v>60</v>
      </c>
      <c r="K175" s="29" t="s">
        <v>61</v>
      </c>
    </row>
    <row r="176" spans="1:11">
      <c r="A176" s="46">
        <v>176</v>
      </c>
      <c r="B176" s="46" t="s">
        <v>522</v>
      </c>
      <c r="C176" s="32" t="s">
        <v>521</v>
      </c>
      <c r="D176" s="32" t="s">
        <v>522</v>
      </c>
      <c r="E176" s="15" t="s">
        <v>523</v>
      </c>
      <c r="F176" s="16">
        <v>5980</v>
      </c>
      <c r="G176" s="16" t="s">
        <v>57</v>
      </c>
      <c r="J176" s="16" t="s">
        <v>60</v>
      </c>
      <c r="K176" s="29" t="s">
        <v>61</v>
      </c>
    </row>
    <row r="177" spans="1:11">
      <c r="A177" s="46">
        <v>177</v>
      </c>
      <c r="B177" s="46" t="s">
        <v>525</v>
      </c>
      <c r="C177" s="32" t="s">
        <v>524</v>
      </c>
      <c r="D177" s="32" t="s">
        <v>525</v>
      </c>
      <c r="E177" s="15" t="s">
        <v>526</v>
      </c>
      <c r="F177" s="16">
        <v>6480</v>
      </c>
      <c r="G177" s="16" t="s">
        <v>57</v>
      </c>
      <c r="J177" s="16" t="s">
        <v>60</v>
      </c>
      <c r="K177" s="29" t="s">
        <v>61</v>
      </c>
    </row>
    <row r="178" spans="1:11">
      <c r="A178" s="46">
        <v>178</v>
      </c>
      <c r="B178" s="46" t="s">
        <v>528</v>
      </c>
      <c r="C178" s="15" t="s">
        <v>527</v>
      </c>
      <c r="D178" s="15" t="s">
        <v>528</v>
      </c>
      <c r="E178" s="15" t="s">
        <v>529</v>
      </c>
      <c r="F178" s="16">
        <v>3890</v>
      </c>
      <c r="G178" s="16" t="s">
        <v>95</v>
      </c>
      <c r="H178" s="16">
        <v>4880</v>
      </c>
      <c r="I178" s="16" t="s">
        <v>57</v>
      </c>
      <c r="J178" s="16" t="s">
        <v>60</v>
      </c>
      <c r="K178" s="29" t="s">
        <v>61</v>
      </c>
    </row>
    <row r="179" spans="1:11">
      <c r="A179" s="46">
        <v>179</v>
      </c>
      <c r="B179" s="46" t="s">
        <v>531</v>
      </c>
      <c r="C179" s="15" t="s">
        <v>530</v>
      </c>
      <c r="D179" s="15" t="s">
        <v>531</v>
      </c>
      <c r="E179" s="15" t="s">
        <v>532</v>
      </c>
      <c r="F179" s="16">
        <v>5080</v>
      </c>
      <c r="G179" s="16" t="s">
        <v>57</v>
      </c>
      <c r="J179" s="16" t="s">
        <v>60</v>
      </c>
      <c r="K179" s="29" t="s">
        <v>61</v>
      </c>
    </row>
    <row r="180" spans="1:11">
      <c r="A180" s="46">
        <v>180</v>
      </c>
      <c r="B180" s="46" t="s">
        <v>534</v>
      </c>
      <c r="C180" s="36" t="s">
        <v>533</v>
      </c>
      <c r="D180" s="36" t="s">
        <v>534</v>
      </c>
      <c r="E180" s="15" t="s">
        <v>515</v>
      </c>
      <c r="F180" s="16">
        <v>4980</v>
      </c>
      <c r="G180" s="16" t="s">
        <v>95</v>
      </c>
      <c r="H180" s="16">
        <v>5580</v>
      </c>
      <c r="I180" s="16" t="s">
        <v>57</v>
      </c>
      <c r="J180" s="16" t="s">
        <v>60</v>
      </c>
      <c r="K180" s="29" t="s">
        <v>61</v>
      </c>
    </row>
    <row r="181" spans="1:11">
      <c r="A181" s="46">
        <v>181</v>
      </c>
      <c r="B181" s="46" t="s">
        <v>536</v>
      </c>
      <c r="C181" s="15" t="s">
        <v>535</v>
      </c>
      <c r="D181" s="15" t="s">
        <v>536</v>
      </c>
      <c r="E181" s="15" t="s">
        <v>537</v>
      </c>
      <c r="G181" s="16" t="s">
        <v>57</v>
      </c>
      <c r="J181" s="16" t="s">
        <v>60</v>
      </c>
      <c r="K181" s="29" t="s">
        <v>61</v>
      </c>
    </row>
    <row r="182" spans="1:11">
      <c r="A182" s="46">
        <v>182</v>
      </c>
      <c r="B182" s="46" t="s">
        <v>539</v>
      </c>
      <c r="C182" s="15" t="s">
        <v>538</v>
      </c>
      <c r="D182" s="15" t="s">
        <v>539</v>
      </c>
      <c r="E182" s="15" t="s">
        <v>537</v>
      </c>
      <c r="F182" s="16">
        <v>5980</v>
      </c>
      <c r="G182" s="16" t="s">
        <v>57</v>
      </c>
      <c r="J182" s="16" t="s">
        <v>60</v>
      </c>
      <c r="K182" s="29" t="s">
        <v>61</v>
      </c>
    </row>
    <row r="183" spans="1:11">
      <c r="A183" s="46">
        <v>183</v>
      </c>
      <c r="B183" s="46" t="s">
        <v>541</v>
      </c>
      <c r="C183" s="15" t="s">
        <v>540</v>
      </c>
      <c r="D183" s="15" t="s">
        <v>541</v>
      </c>
      <c r="E183" s="15" t="s">
        <v>542</v>
      </c>
      <c r="F183" s="16">
        <v>3980</v>
      </c>
      <c r="G183" s="16" t="s">
        <v>57</v>
      </c>
      <c r="J183" s="16" t="s">
        <v>60</v>
      </c>
      <c r="K183" s="29" t="s">
        <v>61</v>
      </c>
    </row>
    <row r="184" spans="1:11">
      <c r="A184" s="46">
        <v>184</v>
      </c>
      <c r="B184" s="46" t="s">
        <v>544</v>
      </c>
      <c r="C184" s="15" t="s">
        <v>543</v>
      </c>
      <c r="D184" s="15" t="s">
        <v>544</v>
      </c>
      <c r="E184" s="15" t="s">
        <v>542</v>
      </c>
      <c r="G184" s="16" t="s">
        <v>57</v>
      </c>
      <c r="J184" s="16" t="s">
        <v>60</v>
      </c>
      <c r="K184" s="29" t="s">
        <v>61</v>
      </c>
    </row>
    <row r="185" spans="1:11">
      <c r="A185" s="46">
        <v>185</v>
      </c>
      <c r="B185" s="46" t="s">
        <v>546</v>
      </c>
      <c r="C185" s="15" t="s">
        <v>545</v>
      </c>
      <c r="D185" s="15" t="s">
        <v>546</v>
      </c>
      <c r="E185" s="15" t="s">
        <v>547</v>
      </c>
      <c r="F185" s="16">
        <v>3588</v>
      </c>
      <c r="G185" s="16" t="s">
        <v>57</v>
      </c>
      <c r="J185" s="29" t="s">
        <v>139</v>
      </c>
      <c r="K185" s="29" t="s">
        <v>255</v>
      </c>
    </row>
    <row r="186" spans="1:11">
      <c r="A186" s="46">
        <v>186</v>
      </c>
      <c r="B186" s="46" t="s">
        <v>549</v>
      </c>
      <c r="C186" s="28" t="s">
        <v>548</v>
      </c>
      <c r="D186" s="28" t="s">
        <v>549</v>
      </c>
      <c r="E186" s="15" t="s">
        <v>550</v>
      </c>
      <c r="F186" s="16">
        <v>1888</v>
      </c>
      <c r="G186" s="16" t="s">
        <v>57</v>
      </c>
      <c r="H186" s="16">
        <v>1588</v>
      </c>
      <c r="I186" s="16" t="s">
        <v>95</v>
      </c>
      <c r="J186" s="29" t="s">
        <v>139</v>
      </c>
      <c r="K186" s="29" t="s">
        <v>255</v>
      </c>
    </row>
    <row r="187" spans="1:11">
      <c r="A187" s="46">
        <v>187</v>
      </c>
      <c r="B187" s="46" t="s">
        <v>552</v>
      </c>
      <c r="C187" s="15" t="s">
        <v>551</v>
      </c>
      <c r="D187" s="15" t="s">
        <v>552</v>
      </c>
      <c r="E187" s="15" t="s">
        <v>553</v>
      </c>
      <c r="F187" s="16">
        <v>3188</v>
      </c>
      <c r="G187" s="16" t="s">
        <v>57</v>
      </c>
      <c r="H187" s="16">
        <v>2788</v>
      </c>
      <c r="I187" s="16" t="s">
        <v>95</v>
      </c>
      <c r="J187" s="29" t="s">
        <v>139</v>
      </c>
      <c r="K187" s="29" t="s">
        <v>255</v>
      </c>
    </row>
    <row r="188" spans="1:11">
      <c r="A188" s="46">
        <v>188</v>
      </c>
      <c r="B188" s="46" t="s">
        <v>555</v>
      </c>
      <c r="C188" s="15" t="s">
        <v>554</v>
      </c>
      <c r="D188" s="15" t="s">
        <v>555</v>
      </c>
      <c r="E188" s="15" t="s">
        <v>556</v>
      </c>
      <c r="F188" s="16">
        <v>1898</v>
      </c>
      <c r="G188" s="16" t="s">
        <v>57</v>
      </c>
      <c r="J188" s="29" t="s">
        <v>139</v>
      </c>
      <c r="K188" s="29" t="s">
        <v>255</v>
      </c>
    </row>
    <row r="189" spans="1:11">
      <c r="A189" s="46">
        <v>189</v>
      </c>
      <c r="B189" s="46" t="s">
        <v>557</v>
      </c>
      <c r="C189" s="15" t="s">
        <v>557</v>
      </c>
      <c r="D189" s="15" t="s">
        <v>557</v>
      </c>
      <c r="E189" s="37" t="s">
        <v>558</v>
      </c>
      <c r="F189" s="16">
        <v>598</v>
      </c>
      <c r="G189" s="16" t="s">
        <v>57</v>
      </c>
      <c r="J189" s="29" t="s">
        <v>139</v>
      </c>
      <c r="K189" s="29" t="s">
        <v>144</v>
      </c>
    </row>
    <row r="190" spans="1:11">
      <c r="A190" s="46">
        <v>190</v>
      </c>
      <c r="B190" s="46" t="s">
        <v>559</v>
      </c>
      <c r="C190" s="15" t="s">
        <v>559</v>
      </c>
      <c r="D190" s="15" t="s">
        <v>559</v>
      </c>
      <c r="E190" s="37" t="s">
        <v>560</v>
      </c>
      <c r="F190" s="16">
        <v>638</v>
      </c>
      <c r="G190" s="16" t="s">
        <v>57</v>
      </c>
      <c r="J190" s="29" t="s">
        <v>139</v>
      </c>
      <c r="K190" s="29" t="s">
        <v>144</v>
      </c>
    </row>
    <row r="191" spans="1:11">
      <c r="A191" s="46">
        <v>191</v>
      </c>
      <c r="B191" s="46" t="s">
        <v>762</v>
      </c>
      <c r="C191" s="38" t="s">
        <v>561</v>
      </c>
      <c r="D191" s="46" t="s">
        <v>762</v>
      </c>
      <c r="E191" s="38" t="s">
        <v>379</v>
      </c>
      <c r="G191" s="16" t="s">
        <v>57</v>
      </c>
      <c r="J191" s="16" t="s">
        <v>60</v>
      </c>
      <c r="K191" s="29" t="s">
        <v>288</v>
      </c>
    </row>
    <row r="192" spans="1:11">
      <c r="A192" s="46">
        <v>192</v>
      </c>
      <c r="B192" s="46" t="s">
        <v>765</v>
      </c>
      <c r="C192" s="46" t="s">
        <v>765</v>
      </c>
      <c r="D192" s="46" t="s">
        <v>765</v>
      </c>
      <c r="E192" s="17" t="s">
        <v>562</v>
      </c>
      <c r="G192" s="16" t="s">
        <v>57</v>
      </c>
      <c r="J192" s="16" t="s">
        <v>60</v>
      </c>
      <c r="K192" s="29" t="s">
        <v>288</v>
      </c>
    </row>
    <row r="193" spans="1:11">
      <c r="A193" s="46">
        <v>193</v>
      </c>
      <c r="B193" s="46" t="s">
        <v>564</v>
      </c>
      <c r="C193" s="39" t="s">
        <v>563</v>
      </c>
      <c r="D193" s="15" t="s">
        <v>564</v>
      </c>
      <c r="E193" s="15" t="s">
        <v>565</v>
      </c>
      <c r="F193" s="16">
        <v>3180</v>
      </c>
      <c r="G193" s="16" t="s">
        <v>57</v>
      </c>
      <c r="J193" s="29" t="s">
        <v>139</v>
      </c>
      <c r="K193" s="29" t="s">
        <v>566</v>
      </c>
    </row>
    <row r="194" spans="1:11">
      <c r="A194" s="46">
        <v>194</v>
      </c>
      <c r="B194" s="46" t="s">
        <v>568</v>
      </c>
      <c r="C194" s="28" t="s">
        <v>567</v>
      </c>
      <c r="D194" s="28" t="s">
        <v>568</v>
      </c>
      <c r="E194" s="40" t="s">
        <v>569</v>
      </c>
      <c r="F194" s="16">
        <v>3580</v>
      </c>
      <c r="G194" s="16" t="s">
        <v>57</v>
      </c>
      <c r="J194" s="16" t="s">
        <v>60</v>
      </c>
      <c r="K194" s="29" t="s">
        <v>61</v>
      </c>
    </row>
    <row r="195" spans="1:11">
      <c r="A195" s="46">
        <v>195</v>
      </c>
      <c r="B195" s="46" t="s">
        <v>35</v>
      </c>
      <c r="C195" s="15" t="s">
        <v>570</v>
      </c>
      <c r="D195" s="15" t="s">
        <v>35</v>
      </c>
      <c r="E195" s="41" t="s">
        <v>571</v>
      </c>
      <c r="F195" s="16">
        <v>3999</v>
      </c>
      <c r="G195" s="16" t="s">
        <v>572</v>
      </c>
      <c r="J195" s="16" t="s">
        <v>139</v>
      </c>
      <c r="K195" s="29" t="s">
        <v>140</v>
      </c>
    </row>
    <row r="196" spans="1:11">
      <c r="A196" s="46">
        <v>196</v>
      </c>
      <c r="B196" s="46" t="s">
        <v>34</v>
      </c>
      <c r="C196" s="15" t="s">
        <v>573</v>
      </c>
      <c r="D196" s="15" t="s">
        <v>34</v>
      </c>
      <c r="E196" s="15" t="s">
        <v>574</v>
      </c>
      <c r="F196" s="16">
        <v>5988</v>
      </c>
      <c r="G196" s="16" t="s">
        <v>57</v>
      </c>
      <c r="J196" s="29" t="s">
        <v>139</v>
      </c>
      <c r="K196" s="29" t="s">
        <v>144</v>
      </c>
    </row>
    <row r="197" spans="1:11">
      <c r="A197" s="46">
        <v>197</v>
      </c>
      <c r="B197" s="46" t="s">
        <v>48</v>
      </c>
      <c r="C197" s="15" t="s">
        <v>575</v>
      </c>
      <c r="D197" s="15" t="s">
        <v>48</v>
      </c>
      <c r="E197" s="15" t="s">
        <v>576</v>
      </c>
      <c r="F197" s="16">
        <v>2780</v>
      </c>
      <c r="G197" s="16" t="s">
        <v>57</v>
      </c>
      <c r="J197" s="16" t="s">
        <v>60</v>
      </c>
      <c r="K197" s="29" t="s">
        <v>61</v>
      </c>
    </row>
    <row r="198" spans="1:11">
      <c r="A198" s="46">
        <v>198</v>
      </c>
      <c r="B198" s="46" t="s">
        <v>578</v>
      </c>
      <c r="C198" s="15" t="s">
        <v>577</v>
      </c>
      <c r="D198" s="15" t="s">
        <v>578</v>
      </c>
      <c r="J198" s="16" t="s">
        <v>60</v>
      </c>
      <c r="K198" s="29" t="s">
        <v>61</v>
      </c>
    </row>
    <row r="199" spans="1:11">
      <c r="A199" s="46">
        <v>199</v>
      </c>
      <c r="B199" s="46" t="s">
        <v>580</v>
      </c>
      <c r="C199" s="15" t="s">
        <v>579</v>
      </c>
      <c r="D199" s="15" t="s">
        <v>580</v>
      </c>
      <c r="E199" s="42" t="s">
        <v>581</v>
      </c>
      <c r="F199" s="16">
        <v>9680</v>
      </c>
      <c r="G199" s="16" t="s">
        <v>57</v>
      </c>
      <c r="J199" s="16" t="s">
        <v>60</v>
      </c>
      <c r="K199" s="29" t="s">
        <v>288</v>
      </c>
    </row>
    <row r="200" spans="1:11">
      <c r="A200" s="46">
        <v>200</v>
      </c>
      <c r="B200" s="46" t="s">
        <v>583</v>
      </c>
      <c r="C200" s="15" t="s">
        <v>582</v>
      </c>
      <c r="D200" s="15" t="s">
        <v>583</v>
      </c>
      <c r="E200" s="15" t="s">
        <v>584</v>
      </c>
      <c r="F200" s="16">
        <v>6380</v>
      </c>
      <c r="G200" s="16" t="s">
        <v>57</v>
      </c>
      <c r="J200" s="16" t="s">
        <v>60</v>
      </c>
      <c r="K200" s="29" t="s">
        <v>288</v>
      </c>
    </row>
    <row r="201" spans="1:11">
      <c r="A201" s="46">
        <v>201</v>
      </c>
      <c r="B201" s="46" t="s">
        <v>586</v>
      </c>
      <c r="C201" s="15" t="s">
        <v>585</v>
      </c>
      <c r="D201" s="15" t="s">
        <v>586</v>
      </c>
      <c r="E201" s="56" t="s">
        <v>684</v>
      </c>
      <c r="F201" s="16">
        <v>2999</v>
      </c>
      <c r="G201" s="16" t="s">
        <v>693</v>
      </c>
      <c r="H201" s="16">
        <v>3280</v>
      </c>
      <c r="I201" s="16" t="s">
        <v>57</v>
      </c>
      <c r="J201" s="16" t="s">
        <v>60</v>
      </c>
      <c r="K201" s="57" t="s">
        <v>685</v>
      </c>
    </row>
    <row r="202" spans="1:11">
      <c r="A202" s="46">
        <v>202</v>
      </c>
      <c r="B202" s="46" t="s">
        <v>635</v>
      </c>
      <c r="C202" s="15" t="s">
        <v>587</v>
      </c>
      <c r="D202" s="15" t="s">
        <v>635</v>
      </c>
      <c r="E202" s="15" t="s">
        <v>588</v>
      </c>
      <c r="F202" s="16">
        <v>4980</v>
      </c>
      <c r="G202" s="16" t="s">
        <v>57</v>
      </c>
      <c r="J202" s="16" t="s">
        <v>60</v>
      </c>
      <c r="K202" s="16" t="s">
        <v>288</v>
      </c>
    </row>
    <row r="203" spans="1:11">
      <c r="A203" s="46">
        <v>203</v>
      </c>
      <c r="B203" s="46" t="s">
        <v>664</v>
      </c>
      <c r="C203" s="15" t="s">
        <v>636</v>
      </c>
      <c r="D203" s="15" t="s">
        <v>637</v>
      </c>
      <c r="E203" s="15" t="s">
        <v>663</v>
      </c>
      <c r="F203" s="16">
        <v>5580</v>
      </c>
      <c r="G203" s="16" t="s">
        <v>57</v>
      </c>
      <c r="J203" s="16" t="s">
        <v>60</v>
      </c>
      <c r="K203" s="16" t="s">
        <v>288</v>
      </c>
    </row>
    <row r="204" spans="1:11">
      <c r="A204" s="46">
        <v>204</v>
      </c>
      <c r="B204" s="46" t="s">
        <v>652</v>
      </c>
      <c r="C204" s="15" t="s">
        <v>639</v>
      </c>
      <c r="D204" s="15" t="s">
        <v>640</v>
      </c>
      <c r="E204" s="15" t="s">
        <v>641</v>
      </c>
      <c r="F204" s="16">
        <v>10380</v>
      </c>
      <c r="G204" s="16" t="s">
        <v>57</v>
      </c>
      <c r="J204" s="16" t="s">
        <v>60</v>
      </c>
      <c r="K204" s="16" t="s">
        <v>288</v>
      </c>
    </row>
    <row r="205" spans="1:11">
      <c r="A205" s="46">
        <v>205</v>
      </c>
      <c r="B205" s="46" t="s">
        <v>653</v>
      </c>
      <c r="C205" s="15" t="s">
        <v>642</v>
      </c>
      <c r="D205" s="15" t="s">
        <v>643</v>
      </c>
      <c r="E205" s="15" t="s">
        <v>207</v>
      </c>
      <c r="F205" s="16">
        <v>1980</v>
      </c>
      <c r="G205" s="16" t="s">
        <v>57</v>
      </c>
      <c r="J205" s="16" t="s">
        <v>60</v>
      </c>
      <c r="K205" s="16" t="s">
        <v>181</v>
      </c>
    </row>
    <row r="206" spans="1:11">
      <c r="A206" s="46">
        <v>206</v>
      </c>
      <c r="B206" s="46" t="s">
        <v>645</v>
      </c>
      <c r="C206" s="15" t="s">
        <v>644</v>
      </c>
      <c r="D206" s="15" t="s">
        <v>645</v>
      </c>
      <c r="E206" s="15" t="s">
        <v>646</v>
      </c>
      <c r="F206" s="16">
        <v>8680</v>
      </c>
      <c r="G206" s="16" t="s">
        <v>57</v>
      </c>
      <c r="J206" s="16" t="s">
        <v>60</v>
      </c>
      <c r="K206" s="16" t="s">
        <v>288</v>
      </c>
    </row>
    <row r="207" spans="1:11">
      <c r="A207" s="46">
        <v>207</v>
      </c>
      <c r="B207" s="46" t="s">
        <v>648</v>
      </c>
      <c r="C207" s="15" t="s">
        <v>647</v>
      </c>
      <c r="D207" s="15" t="s">
        <v>648</v>
      </c>
      <c r="E207" s="15" t="s">
        <v>649</v>
      </c>
      <c r="F207" s="16">
        <v>6980</v>
      </c>
      <c r="G207" s="16" t="s">
        <v>57</v>
      </c>
      <c r="J207" s="16" t="s">
        <v>60</v>
      </c>
      <c r="K207" s="16" t="s">
        <v>288</v>
      </c>
    </row>
    <row r="208" spans="1:11">
      <c r="A208" s="46">
        <v>208</v>
      </c>
      <c r="B208" s="46" t="s">
        <v>657</v>
      </c>
      <c r="C208" s="15" t="s">
        <v>657</v>
      </c>
      <c r="D208" s="15" t="s">
        <v>657</v>
      </c>
      <c r="E208" s="15" t="s">
        <v>658</v>
      </c>
      <c r="F208" s="16">
        <v>5990</v>
      </c>
      <c r="G208" s="16" t="s">
        <v>57</v>
      </c>
      <c r="J208" s="16" t="s">
        <v>60</v>
      </c>
      <c r="K208" s="16" t="s">
        <v>288</v>
      </c>
    </row>
    <row r="209" spans="1:11">
      <c r="A209" s="46">
        <v>209</v>
      </c>
      <c r="B209" s="46" t="s">
        <v>659</v>
      </c>
      <c r="C209" s="15" t="s">
        <v>659</v>
      </c>
      <c r="D209" s="15" t="s">
        <v>659</v>
      </c>
      <c r="E209" s="15" t="s">
        <v>660</v>
      </c>
      <c r="F209" s="16">
        <v>7980</v>
      </c>
      <c r="G209" s="16" t="s">
        <v>57</v>
      </c>
      <c r="J209" s="16" t="s">
        <v>60</v>
      </c>
      <c r="K209" s="16" t="s">
        <v>288</v>
      </c>
    </row>
    <row r="210" spans="1:11">
      <c r="A210" s="46">
        <v>210</v>
      </c>
      <c r="B210" s="46" t="s">
        <v>656</v>
      </c>
      <c r="C210" s="15" t="s">
        <v>661</v>
      </c>
      <c r="D210" s="15" t="s">
        <v>662</v>
      </c>
      <c r="E210" s="15" t="s">
        <v>638</v>
      </c>
      <c r="F210" s="16">
        <v>5580</v>
      </c>
      <c r="G210" s="16" t="s">
        <v>57</v>
      </c>
      <c r="J210" s="16" t="s">
        <v>60</v>
      </c>
      <c r="K210" s="16" t="s">
        <v>288</v>
      </c>
    </row>
    <row r="211" spans="1:11">
      <c r="A211" s="46">
        <v>211</v>
      </c>
      <c r="B211" s="47" t="s">
        <v>666</v>
      </c>
      <c r="C211" s="15" t="s">
        <v>666</v>
      </c>
      <c r="D211" s="15" t="s">
        <v>666</v>
      </c>
      <c r="E211" s="15" t="s">
        <v>670</v>
      </c>
      <c r="F211" s="16">
        <v>2880</v>
      </c>
      <c r="G211" s="16" t="s">
        <v>671</v>
      </c>
      <c r="J211" s="16" t="s">
        <v>60</v>
      </c>
      <c r="K211" s="16" t="s">
        <v>288</v>
      </c>
    </row>
    <row r="212" spans="1:11">
      <c r="A212" s="46">
        <v>212</v>
      </c>
      <c r="B212" s="47" t="s">
        <v>667</v>
      </c>
      <c r="C212" s="15" t="s">
        <v>667</v>
      </c>
      <c r="D212" s="15" t="s">
        <v>667</v>
      </c>
      <c r="E212" s="15" t="s">
        <v>670</v>
      </c>
      <c r="F212" s="16">
        <v>3280</v>
      </c>
      <c r="G212" s="16" t="s">
        <v>671</v>
      </c>
      <c r="J212" s="16" t="s">
        <v>60</v>
      </c>
      <c r="K212" s="16" t="s">
        <v>288</v>
      </c>
    </row>
    <row r="213" spans="1:11">
      <c r="A213" s="46">
        <v>213</v>
      </c>
      <c r="B213" s="47" t="s">
        <v>668</v>
      </c>
      <c r="C213" s="15" t="s">
        <v>668</v>
      </c>
      <c r="D213" s="15" t="s">
        <v>668</v>
      </c>
      <c r="E213" s="15" t="s">
        <v>670</v>
      </c>
      <c r="F213" s="16">
        <v>3980</v>
      </c>
      <c r="G213" s="16" t="s">
        <v>671</v>
      </c>
      <c r="J213" s="16" t="s">
        <v>60</v>
      </c>
      <c r="K213" s="16" t="s">
        <v>288</v>
      </c>
    </row>
    <row r="214" spans="1:11">
      <c r="A214" s="46">
        <v>214</v>
      </c>
      <c r="B214" s="47" t="s">
        <v>669</v>
      </c>
      <c r="C214" s="15" t="s">
        <v>669</v>
      </c>
      <c r="D214" s="15" t="s">
        <v>669</v>
      </c>
      <c r="E214" s="15" t="s">
        <v>670</v>
      </c>
      <c r="F214" s="16">
        <v>4700</v>
      </c>
      <c r="G214" s="16" t="s">
        <v>671</v>
      </c>
      <c r="J214" s="16" t="s">
        <v>60</v>
      </c>
      <c r="K214" s="16" t="s">
        <v>288</v>
      </c>
    </row>
    <row r="215" spans="1:11">
      <c r="A215" s="46">
        <v>215</v>
      </c>
      <c r="B215" s="47" t="s">
        <v>672</v>
      </c>
      <c r="C215" s="15" t="s">
        <v>672</v>
      </c>
      <c r="D215" s="15" t="s">
        <v>672</v>
      </c>
      <c r="E215" s="15" t="s">
        <v>673</v>
      </c>
      <c r="F215" s="16">
        <v>3780</v>
      </c>
      <c r="G215" s="16" t="s">
        <v>57</v>
      </c>
      <c r="J215" s="16" t="s">
        <v>60</v>
      </c>
      <c r="K215" s="16" t="s">
        <v>288</v>
      </c>
    </row>
    <row r="216" spans="1:11">
      <c r="A216" s="46">
        <v>216</v>
      </c>
      <c r="B216" s="47" t="s">
        <v>674</v>
      </c>
      <c r="C216" s="15" t="s">
        <v>674</v>
      </c>
      <c r="D216" s="15" t="s">
        <v>674</v>
      </c>
      <c r="E216" s="15" t="s">
        <v>675</v>
      </c>
      <c r="F216" s="16">
        <v>3380</v>
      </c>
      <c r="G216" s="16" t="s">
        <v>57</v>
      </c>
      <c r="J216" s="16" t="s">
        <v>60</v>
      </c>
      <c r="K216" s="16" t="s">
        <v>690</v>
      </c>
    </row>
    <row r="217" spans="1:11">
      <c r="A217" s="46">
        <v>217</v>
      </c>
      <c r="B217" s="47" t="s">
        <v>688</v>
      </c>
      <c r="C217" s="15" t="s">
        <v>687</v>
      </c>
      <c r="D217" s="15" t="s">
        <v>687</v>
      </c>
      <c r="E217" s="56" t="s">
        <v>689</v>
      </c>
      <c r="F217" s="16">
        <v>5980</v>
      </c>
      <c r="G217" s="16" t="s">
        <v>57</v>
      </c>
      <c r="J217" s="16" t="s">
        <v>60</v>
      </c>
      <c r="K217" s="16" t="s">
        <v>690</v>
      </c>
    </row>
    <row r="218" spans="1:11">
      <c r="A218" s="46">
        <v>218</v>
      </c>
      <c r="B218" s="47" t="s">
        <v>691</v>
      </c>
      <c r="C218" s="15" t="s">
        <v>691</v>
      </c>
      <c r="D218" s="15" t="s">
        <v>691</v>
      </c>
      <c r="E218" s="59" t="s">
        <v>692</v>
      </c>
      <c r="F218" s="16">
        <v>1500</v>
      </c>
      <c r="G218" s="16" t="s">
        <v>693</v>
      </c>
      <c r="J218" s="29" t="s">
        <v>139</v>
      </c>
      <c r="K218" s="16" t="s">
        <v>694</v>
      </c>
    </row>
    <row r="219" spans="1:11">
      <c r="A219" s="46">
        <v>219</v>
      </c>
      <c r="B219" s="47" t="s">
        <v>696</v>
      </c>
      <c r="C219" s="15" t="s">
        <v>695</v>
      </c>
      <c r="D219" s="47" t="s">
        <v>696</v>
      </c>
      <c r="E219" s="15" t="s">
        <v>697</v>
      </c>
      <c r="F219" s="16">
        <v>900</v>
      </c>
      <c r="G219" s="16" t="s">
        <v>57</v>
      </c>
      <c r="J219" s="29" t="s">
        <v>139</v>
      </c>
      <c r="K219" s="16" t="s">
        <v>697</v>
      </c>
    </row>
    <row r="220" spans="1:11">
      <c r="A220" s="46">
        <v>220</v>
      </c>
      <c r="B220" s="47" t="s">
        <v>698</v>
      </c>
      <c r="C220" s="15" t="s">
        <v>698</v>
      </c>
      <c r="D220" s="15" t="s">
        <v>698</v>
      </c>
      <c r="E220" s="15" t="s">
        <v>699</v>
      </c>
      <c r="F220" s="16">
        <v>1188</v>
      </c>
      <c r="G220" s="16" t="s">
        <v>700</v>
      </c>
      <c r="J220" s="29" t="s">
        <v>139</v>
      </c>
      <c r="K220" s="16" t="s">
        <v>144</v>
      </c>
    </row>
    <row r="221" spans="1:11">
      <c r="A221" s="46">
        <v>221</v>
      </c>
      <c r="B221" s="47" t="s">
        <v>703</v>
      </c>
      <c r="C221" s="15" t="s">
        <v>701</v>
      </c>
      <c r="D221" s="15" t="s">
        <v>701</v>
      </c>
      <c r="E221" s="15" t="s">
        <v>702</v>
      </c>
      <c r="F221" s="16">
        <v>19900</v>
      </c>
      <c r="G221" s="16" t="s">
        <v>57</v>
      </c>
      <c r="J221" s="16" t="s">
        <v>60</v>
      </c>
      <c r="K221" s="16" t="s">
        <v>288</v>
      </c>
    </row>
    <row r="222" spans="1:11">
      <c r="A222" s="46">
        <v>222</v>
      </c>
      <c r="B222" s="47" t="s">
        <v>705</v>
      </c>
      <c r="C222" s="15" t="s">
        <v>705</v>
      </c>
      <c r="D222" s="15" t="s">
        <v>705</v>
      </c>
      <c r="E222" s="15" t="s">
        <v>704</v>
      </c>
      <c r="F222" s="16">
        <v>22990</v>
      </c>
      <c r="G222" s="16" t="s">
        <v>57</v>
      </c>
      <c r="J222" s="16" t="s">
        <v>60</v>
      </c>
      <c r="K222" s="16" t="s">
        <v>288</v>
      </c>
    </row>
    <row r="223" spans="1:11">
      <c r="A223" s="46">
        <v>223</v>
      </c>
      <c r="B223" s="47" t="s">
        <v>709</v>
      </c>
      <c r="C223" s="15" t="s">
        <v>707</v>
      </c>
      <c r="D223" s="15" t="s">
        <v>709</v>
      </c>
      <c r="E223" s="15" t="s">
        <v>708</v>
      </c>
      <c r="F223" s="16">
        <v>2880</v>
      </c>
      <c r="G223" s="16" t="s">
        <v>57</v>
      </c>
      <c r="J223" s="29" t="s">
        <v>139</v>
      </c>
      <c r="K223" s="16" t="s">
        <v>255</v>
      </c>
    </row>
    <row r="224" spans="1:11">
      <c r="A224" s="46">
        <v>224</v>
      </c>
      <c r="B224" s="47" t="s">
        <v>710</v>
      </c>
      <c r="C224" s="15" t="s">
        <v>711</v>
      </c>
      <c r="D224" s="15" t="s">
        <v>710</v>
      </c>
      <c r="E224" s="15" t="s">
        <v>715</v>
      </c>
      <c r="F224" s="16">
        <v>10990</v>
      </c>
      <c r="G224" s="16" t="s">
        <v>693</v>
      </c>
      <c r="J224" s="16" t="s">
        <v>60</v>
      </c>
      <c r="K224" s="16" t="s">
        <v>181</v>
      </c>
    </row>
    <row r="225" spans="1:11">
      <c r="A225" s="46">
        <v>225</v>
      </c>
      <c r="B225" s="47" t="s">
        <v>717</v>
      </c>
      <c r="C225" s="15" t="s">
        <v>714</v>
      </c>
      <c r="D225" s="15" t="s">
        <v>714</v>
      </c>
      <c r="E225" s="63" t="s">
        <v>716</v>
      </c>
      <c r="F225" s="16">
        <v>4000</v>
      </c>
      <c r="G225" s="16" t="s">
        <v>693</v>
      </c>
      <c r="J225" s="16" t="s">
        <v>60</v>
      </c>
      <c r="K225" s="16" t="s">
        <v>181</v>
      </c>
    </row>
    <row r="226" spans="1:11">
      <c r="A226" s="46">
        <v>226</v>
      </c>
      <c r="B226" s="47" t="s">
        <v>719</v>
      </c>
      <c r="C226" s="15" t="s">
        <v>719</v>
      </c>
      <c r="D226" s="15" t="s">
        <v>719</v>
      </c>
      <c r="E226" s="15" t="s">
        <v>720</v>
      </c>
      <c r="F226" s="16">
        <v>1188</v>
      </c>
      <c r="G226" s="16" t="s">
        <v>95</v>
      </c>
      <c r="J226" s="29" t="s">
        <v>139</v>
      </c>
      <c r="K226" s="16" t="s">
        <v>721</v>
      </c>
    </row>
    <row r="227" spans="1:11">
      <c r="A227" s="46">
        <v>227</v>
      </c>
      <c r="B227" s="47" t="s">
        <v>722</v>
      </c>
      <c r="C227" s="15" t="s">
        <v>722</v>
      </c>
      <c r="D227" s="15" t="s">
        <v>722</v>
      </c>
      <c r="E227" s="56" t="s">
        <v>723</v>
      </c>
      <c r="F227" s="16">
        <v>2999</v>
      </c>
      <c r="G227" s="16" t="s">
        <v>693</v>
      </c>
      <c r="J227" s="16" t="s">
        <v>60</v>
      </c>
      <c r="K227" s="16" t="s">
        <v>685</v>
      </c>
    </row>
    <row r="228" spans="1:11">
      <c r="A228" s="46">
        <v>228</v>
      </c>
      <c r="B228" s="15" t="s">
        <v>724</v>
      </c>
      <c r="C228" s="15" t="s">
        <v>724</v>
      </c>
      <c r="D228" s="15" t="s">
        <v>724</v>
      </c>
      <c r="E228" s="65" t="s">
        <v>726</v>
      </c>
      <c r="F228" s="16">
        <v>1680</v>
      </c>
      <c r="G228" s="16" t="s">
        <v>57</v>
      </c>
      <c r="J228" s="29" t="s">
        <v>139</v>
      </c>
      <c r="K228" s="16" t="s">
        <v>725</v>
      </c>
    </row>
    <row r="229" spans="1:11">
      <c r="A229" s="46">
        <v>229</v>
      </c>
      <c r="B229" s="47" t="s">
        <v>727</v>
      </c>
      <c r="C229" s="15" t="s">
        <v>727</v>
      </c>
      <c r="D229" s="15" t="s">
        <v>727</v>
      </c>
      <c r="E229" s="15" t="s">
        <v>728</v>
      </c>
      <c r="F229" s="16">
        <v>5998</v>
      </c>
      <c r="G229" s="16" t="s">
        <v>95</v>
      </c>
      <c r="J229" s="29" t="s">
        <v>139</v>
      </c>
      <c r="K229" s="16" t="s">
        <v>255</v>
      </c>
    </row>
    <row r="230" spans="1:11">
      <c r="A230" s="46">
        <v>230</v>
      </c>
      <c r="B230" s="47" t="s">
        <v>729</v>
      </c>
      <c r="C230" s="15" t="s">
        <v>729</v>
      </c>
      <c r="D230" s="15" t="s">
        <v>729</v>
      </c>
      <c r="E230" s="15" t="s">
        <v>565</v>
      </c>
      <c r="F230" s="16">
        <v>2680</v>
      </c>
      <c r="G230" s="16" t="s">
        <v>57</v>
      </c>
      <c r="J230" s="29" t="s">
        <v>139</v>
      </c>
      <c r="K230" s="29" t="s">
        <v>566</v>
      </c>
    </row>
    <row r="231" spans="1:11">
      <c r="A231" s="46">
        <v>231</v>
      </c>
      <c r="B231" s="47" t="s">
        <v>730</v>
      </c>
      <c r="C231" s="15" t="s">
        <v>731</v>
      </c>
      <c r="D231" s="15" t="s">
        <v>730</v>
      </c>
      <c r="E231" s="65" t="s">
        <v>732</v>
      </c>
      <c r="F231" s="16">
        <v>17000</v>
      </c>
      <c r="G231" s="16" t="s">
        <v>95</v>
      </c>
      <c r="J231" s="16" t="s">
        <v>60</v>
      </c>
      <c r="K231" s="16" t="s">
        <v>288</v>
      </c>
    </row>
    <row r="232" spans="1:11">
      <c r="A232" s="46">
        <v>232</v>
      </c>
      <c r="B232" s="47" t="s">
        <v>733</v>
      </c>
      <c r="C232" s="15" t="s">
        <v>733</v>
      </c>
      <c r="D232" s="15" t="s">
        <v>733</v>
      </c>
      <c r="E232" s="15" t="s">
        <v>734</v>
      </c>
      <c r="F232" s="16">
        <v>738</v>
      </c>
      <c r="G232" s="16" t="s">
        <v>57</v>
      </c>
      <c r="J232" s="16" t="s">
        <v>139</v>
      </c>
      <c r="K232" s="16" t="s">
        <v>255</v>
      </c>
    </row>
    <row r="233" spans="1:11">
      <c r="A233" s="46">
        <v>233</v>
      </c>
      <c r="B233" s="47" t="s">
        <v>736</v>
      </c>
      <c r="C233" s="15" t="s">
        <v>736</v>
      </c>
      <c r="D233" s="15" t="s">
        <v>736</v>
      </c>
      <c r="E233" s="15" t="s">
        <v>738</v>
      </c>
      <c r="F233" s="16">
        <v>1288</v>
      </c>
      <c r="G233" s="16" t="s">
        <v>57</v>
      </c>
      <c r="J233" s="16" t="s">
        <v>139</v>
      </c>
      <c r="K233" s="16" t="s">
        <v>144</v>
      </c>
    </row>
    <row r="234" spans="1:11">
      <c r="A234" s="46">
        <v>234</v>
      </c>
      <c r="B234" s="47" t="s">
        <v>737</v>
      </c>
      <c r="C234" s="47" t="s">
        <v>737</v>
      </c>
      <c r="D234" s="47" t="s">
        <v>737</v>
      </c>
      <c r="E234" s="56" t="s">
        <v>739</v>
      </c>
      <c r="F234" s="16">
        <v>1288</v>
      </c>
      <c r="G234" s="16" t="s">
        <v>95</v>
      </c>
      <c r="J234" s="16" t="s">
        <v>139</v>
      </c>
      <c r="K234" s="16" t="s">
        <v>144</v>
      </c>
    </row>
    <row r="235" spans="1:11">
      <c r="A235" s="46">
        <v>235</v>
      </c>
      <c r="B235" s="47" t="s">
        <v>741</v>
      </c>
      <c r="C235" s="15" t="s">
        <v>741</v>
      </c>
      <c r="D235" s="15" t="s">
        <v>741</v>
      </c>
      <c r="E235" s="15" t="s">
        <v>740</v>
      </c>
      <c r="F235" s="16">
        <v>5888</v>
      </c>
      <c r="G235" s="16" t="s">
        <v>57</v>
      </c>
      <c r="J235" s="16" t="s">
        <v>139</v>
      </c>
      <c r="K235" s="16" t="s">
        <v>255</v>
      </c>
    </row>
    <row r="236" spans="1:11">
      <c r="A236" s="46">
        <v>236</v>
      </c>
      <c r="B236" s="47" t="s">
        <v>746</v>
      </c>
      <c r="C236" s="15" t="s">
        <v>746</v>
      </c>
      <c r="D236" s="15" t="s">
        <v>746</v>
      </c>
      <c r="E236" s="15" t="s">
        <v>747</v>
      </c>
      <c r="F236" s="16">
        <v>839</v>
      </c>
      <c r="G236" s="16" t="s">
        <v>95</v>
      </c>
      <c r="J236" s="16" t="s">
        <v>139</v>
      </c>
      <c r="K236" s="16" t="s">
        <v>721</v>
      </c>
    </row>
    <row r="237" spans="1:11">
      <c r="A237" s="46">
        <v>237</v>
      </c>
      <c r="B237" s="47" t="s">
        <v>748</v>
      </c>
      <c r="C237" s="47" t="s">
        <v>748</v>
      </c>
      <c r="D237" s="47" t="s">
        <v>748</v>
      </c>
      <c r="E237" s="15" t="s">
        <v>749</v>
      </c>
      <c r="F237" s="16">
        <v>4980</v>
      </c>
      <c r="G237" s="16" t="s">
        <v>57</v>
      </c>
      <c r="J237" s="16" t="s">
        <v>60</v>
      </c>
      <c r="K237" s="16" t="s">
        <v>750</v>
      </c>
    </row>
    <row r="238" spans="1:11">
      <c r="A238" s="46">
        <v>238</v>
      </c>
      <c r="B238" s="47" t="s">
        <v>753</v>
      </c>
      <c r="C238" s="15" t="s">
        <v>751</v>
      </c>
      <c r="D238" s="15" t="s">
        <v>751</v>
      </c>
      <c r="E238" s="15" t="s">
        <v>752</v>
      </c>
      <c r="J238" s="16" t="s">
        <v>758</v>
      </c>
      <c r="K238" s="16" t="s">
        <v>721</v>
      </c>
    </row>
    <row r="239" spans="1:11">
      <c r="A239" s="46">
        <v>239</v>
      </c>
      <c r="B239" s="47" t="s">
        <v>756</v>
      </c>
      <c r="C239" s="47" t="s">
        <v>755</v>
      </c>
      <c r="D239" s="47" t="s">
        <v>756</v>
      </c>
      <c r="E239" s="15" t="s">
        <v>757</v>
      </c>
      <c r="F239" s="16">
        <v>1088</v>
      </c>
      <c r="G239" s="16" t="s">
        <v>57</v>
      </c>
      <c r="J239" s="16" t="s">
        <v>758</v>
      </c>
      <c r="K239" s="16" t="s">
        <v>721</v>
      </c>
    </row>
    <row r="240" spans="1:11">
      <c r="A240" s="46">
        <v>240</v>
      </c>
      <c r="B240" s="47" t="s">
        <v>760</v>
      </c>
      <c r="C240" s="15" t="s">
        <v>760</v>
      </c>
      <c r="D240" s="15" t="s">
        <v>760</v>
      </c>
      <c r="E240" s="15" t="s">
        <v>761</v>
      </c>
      <c r="J240" s="16" t="s">
        <v>60</v>
      </c>
      <c r="K240" s="16" t="s">
        <v>750</v>
      </c>
    </row>
    <row r="241" spans="1:11">
      <c r="A241" s="46">
        <v>241</v>
      </c>
      <c r="B241" s="47" t="s">
        <v>763</v>
      </c>
      <c r="C241" s="15" t="s">
        <v>763</v>
      </c>
      <c r="D241" s="15" t="s">
        <v>763</v>
      </c>
      <c r="E241" s="15" t="s">
        <v>764</v>
      </c>
      <c r="J241" s="16" t="s">
        <v>60</v>
      </c>
      <c r="K241" s="16" t="s">
        <v>750</v>
      </c>
    </row>
    <row r="242" spans="1:11">
      <c r="A242" s="46">
        <v>242</v>
      </c>
      <c r="B242" s="47" t="s">
        <v>767</v>
      </c>
      <c r="C242" s="15" t="s">
        <v>767</v>
      </c>
      <c r="D242" s="15" t="s">
        <v>767</v>
      </c>
      <c r="E242" s="15" t="s">
        <v>769</v>
      </c>
      <c r="F242" s="16">
        <v>2280</v>
      </c>
      <c r="G242" s="16" t="s">
        <v>768</v>
      </c>
      <c r="J242" s="16" t="s">
        <v>758</v>
      </c>
      <c r="K242" s="16" t="s">
        <v>255</v>
      </c>
    </row>
    <row r="243" spans="1:11">
      <c r="A243" s="47">
        <v>243</v>
      </c>
      <c r="B243" s="47" t="s">
        <v>772</v>
      </c>
      <c r="C243" s="15" t="s">
        <v>772</v>
      </c>
      <c r="D243" s="15" t="s">
        <v>772</v>
      </c>
      <c r="E243" s="15" t="s">
        <v>773</v>
      </c>
      <c r="F243" s="16">
        <v>1500</v>
      </c>
      <c r="G243" s="16" t="s">
        <v>95</v>
      </c>
      <c r="J243" s="16" t="s">
        <v>139</v>
      </c>
      <c r="K243" s="16" t="s">
        <v>144</v>
      </c>
    </row>
    <row r="244" spans="1:11">
      <c r="A244" s="47">
        <v>244</v>
      </c>
      <c r="B244" s="47" t="s">
        <v>774</v>
      </c>
      <c r="C244" s="15" t="s">
        <v>774</v>
      </c>
      <c r="D244" s="15" t="s">
        <v>774</v>
      </c>
      <c r="E244" s="15" t="s">
        <v>775</v>
      </c>
      <c r="F244" s="16">
        <v>4580</v>
      </c>
      <c r="G244" s="16" t="s">
        <v>57</v>
      </c>
      <c r="J244" s="16" t="s">
        <v>139</v>
      </c>
      <c r="K244" s="16" t="s">
        <v>776</v>
      </c>
    </row>
    <row r="245" spans="1:11">
      <c r="A245" s="47">
        <v>245</v>
      </c>
      <c r="B245" s="47" t="s">
        <v>777</v>
      </c>
      <c r="C245" s="15" t="s">
        <v>777</v>
      </c>
      <c r="D245" s="15" t="s">
        <v>777</v>
      </c>
      <c r="E245" s="15" t="s">
        <v>778</v>
      </c>
      <c r="F245" s="16">
        <v>3288</v>
      </c>
      <c r="G245" s="16" t="s">
        <v>693</v>
      </c>
      <c r="J245" s="16" t="s">
        <v>60</v>
      </c>
      <c r="K245" s="16" t="s">
        <v>750</v>
      </c>
    </row>
    <row r="246" spans="1:11">
      <c r="A246" s="47">
        <v>246</v>
      </c>
      <c r="B246" s="47" t="s">
        <v>779</v>
      </c>
      <c r="C246" s="15" t="s">
        <v>779</v>
      </c>
      <c r="D246" s="15" t="s">
        <v>779</v>
      </c>
      <c r="E246" s="56" t="s">
        <v>780</v>
      </c>
      <c r="F246" s="16">
        <v>5000</v>
      </c>
      <c r="G246" s="16" t="s">
        <v>693</v>
      </c>
      <c r="J246" s="16" t="s">
        <v>60</v>
      </c>
      <c r="K246" s="16" t="s">
        <v>750</v>
      </c>
    </row>
    <row r="247" spans="1:11">
      <c r="A247" s="47">
        <v>247</v>
      </c>
      <c r="B247" s="47" t="s">
        <v>782</v>
      </c>
      <c r="C247" s="15" t="s">
        <v>782</v>
      </c>
      <c r="D247" s="15" t="s">
        <v>782</v>
      </c>
      <c r="E247" s="15" t="s">
        <v>781</v>
      </c>
      <c r="F247" s="16">
        <v>14790</v>
      </c>
      <c r="G247" s="16" t="s">
        <v>693</v>
      </c>
      <c r="J247" s="16" t="s">
        <v>60</v>
      </c>
      <c r="K247" s="16" t="s">
        <v>750</v>
      </c>
    </row>
    <row r="248" spans="1:11">
      <c r="A248" s="47">
        <v>248</v>
      </c>
      <c r="B248" s="47" t="s">
        <v>783</v>
      </c>
      <c r="C248" s="47" t="s">
        <v>783</v>
      </c>
      <c r="D248" s="47" t="s">
        <v>783</v>
      </c>
      <c r="E248" s="15" t="s">
        <v>784</v>
      </c>
      <c r="F248" s="16">
        <v>3480</v>
      </c>
      <c r="G248" s="16" t="s">
        <v>693</v>
      </c>
      <c r="J248" s="16" t="s">
        <v>139</v>
      </c>
      <c r="K248" t="s">
        <v>566</v>
      </c>
    </row>
    <row r="249" spans="1:11">
      <c r="A249" s="47">
        <v>249</v>
      </c>
      <c r="B249" s="47" t="s">
        <v>785</v>
      </c>
      <c r="C249" s="47" t="s">
        <v>785</v>
      </c>
      <c r="D249" s="47" t="s">
        <v>785</v>
      </c>
      <c r="E249" s="15" t="s">
        <v>786</v>
      </c>
      <c r="F249" s="16">
        <v>519</v>
      </c>
      <c r="G249" s="16" t="s">
        <v>693</v>
      </c>
      <c r="J249" s="16" t="s">
        <v>139</v>
      </c>
      <c r="K249" s="16" t="s">
        <v>144</v>
      </c>
    </row>
    <row r="250" spans="1:11">
      <c r="A250" s="47">
        <v>250</v>
      </c>
      <c r="B250" t="s">
        <v>787</v>
      </c>
      <c r="C250" t="s">
        <v>787</v>
      </c>
      <c r="D250" t="s">
        <v>787</v>
      </c>
      <c r="E250" s="15" t="s">
        <v>788</v>
      </c>
      <c r="F250" s="16">
        <v>16000</v>
      </c>
      <c r="G250" s="16" t="s">
        <v>693</v>
      </c>
      <c r="J250" s="16" t="s">
        <v>60</v>
      </c>
      <c r="K250" s="16" t="s">
        <v>750</v>
      </c>
    </row>
    <row r="251" spans="1:11">
      <c r="A251" s="47">
        <v>251</v>
      </c>
      <c r="B251" s="47" t="s">
        <v>795</v>
      </c>
      <c r="C251" s="15" t="s">
        <v>795</v>
      </c>
      <c r="D251" s="15" t="s">
        <v>789</v>
      </c>
      <c r="E251" s="15" t="s">
        <v>790</v>
      </c>
      <c r="F251" s="16">
        <v>11000</v>
      </c>
      <c r="G251" s="16" t="s">
        <v>693</v>
      </c>
      <c r="J251" s="16" t="s">
        <v>60</v>
      </c>
      <c r="K251" s="16" t="s">
        <v>181</v>
      </c>
    </row>
    <row r="252" spans="1:11">
      <c r="A252" s="47">
        <v>252</v>
      </c>
      <c r="B252" s="47" t="s">
        <v>791</v>
      </c>
      <c r="C252" s="15" t="s">
        <v>791</v>
      </c>
      <c r="D252" s="15" t="s">
        <v>791</v>
      </c>
      <c r="E252" s="15" t="s">
        <v>792</v>
      </c>
      <c r="F252" s="16">
        <v>788</v>
      </c>
      <c r="G252" s="16" t="s">
        <v>57</v>
      </c>
      <c r="J252" s="16" t="s">
        <v>139</v>
      </c>
      <c r="K252" s="16" t="s">
        <v>255</v>
      </c>
    </row>
    <row r="253" spans="1:11">
      <c r="A253" s="47">
        <v>253</v>
      </c>
      <c r="B253" s="47" t="s">
        <v>793</v>
      </c>
      <c r="C253" s="15" t="s">
        <v>793</v>
      </c>
      <c r="D253" s="15" t="s">
        <v>793</v>
      </c>
      <c r="E253" s="15" t="s">
        <v>794</v>
      </c>
      <c r="F253" s="16">
        <v>598</v>
      </c>
      <c r="G253" s="16" t="s">
        <v>57</v>
      </c>
      <c r="J253" s="16" t="s">
        <v>139</v>
      </c>
      <c r="K253" s="16" t="s">
        <v>144</v>
      </c>
    </row>
    <row r="254" spans="1:11">
      <c r="A254" s="47">
        <v>254</v>
      </c>
      <c r="B254" s="47" t="s">
        <v>796</v>
      </c>
      <c r="C254" s="15" t="s">
        <v>796</v>
      </c>
      <c r="D254" s="15" t="s">
        <v>796</v>
      </c>
      <c r="E254" s="15" t="s">
        <v>797</v>
      </c>
      <c r="F254" s="16">
        <v>19490</v>
      </c>
      <c r="G254" s="16" t="s">
        <v>57</v>
      </c>
      <c r="J254" s="16" t="s">
        <v>60</v>
      </c>
      <c r="K254" s="16" t="s">
        <v>750</v>
      </c>
    </row>
    <row r="255" spans="1:11">
      <c r="A255" s="47">
        <v>255</v>
      </c>
      <c r="B255" s="47" t="s">
        <v>798</v>
      </c>
      <c r="C255" s="15" t="s">
        <v>798</v>
      </c>
      <c r="D255" s="15" t="s">
        <v>798</v>
      </c>
      <c r="E255" s="15" t="s">
        <v>799</v>
      </c>
      <c r="F255" s="16">
        <v>498</v>
      </c>
      <c r="G255" s="16" t="s">
        <v>57</v>
      </c>
      <c r="J255" s="16" t="s">
        <v>139</v>
      </c>
      <c r="K255" s="16" t="s">
        <v>721</v>
      </c>
    </row>
    <row r="256" spans="1:11">
      <c r="A256" s="47">
        <v>256</v>
      </c>
      <c r="B256" s="47" t="s">
        <v>801</v>
      </c>
      <c r="C256" s="15" t="s">
        <v>801</v>
      </c>
      <c r="D256" s="15" t="s">
        <v>801</v>
      </c>
      <c r="E256" s="15" t="s">
        <v>896</v>
      </c>
      <c r="F256" s="16">
        <v>3800</v>
      </c>
      <c r="G256" s="16" t="s">
        <v>95</v>
      </c>
      <c r="J256" s="16" t="s">
        <v>60</v>
      </c>
      <c r="K256" s="16" t="s">
        <v>750</v>
      </c>
    </row>
    <row r="257" spans="1:11">
      <c r="A257" s="47">
        <v>257</v>
      </c>
      <c r="B257" s="47" t="s">
        <v>802</v>
      </c>
      <c r="C257" s="15" t="s">
        <v>802</v>
      </c>
      <c r="D257" s="15" t="s">
        <v>802</v>
      </c>
      <c r="E257" s="15" t="s">
        <v>897</v>
      </c>
      <c r="F257" s="16">
        <v>4600</v>
      </c>
      <c r="G257" s="16" t="s">
        <v>95</v>
      </c>
      <c r="J257" s="16" t="s">
        <v>60</v>
      </c>
      <c r="K257" s="16" t="s">
        <v>750</v>
      </c>
    </row>
    <row r="258" spans="1:11">
      <c r="A258" s="47">
        <v>258</v>
      </c>
      <c r="B258" s="47" t="s">
        <v>803</v>
      </c>
      <c r="C258" s="15" t="s">
        <v>803</v>
      </c>
      <c r="D258" s="15" t="s">
        <v>803</v>
      </c>
      <c r="E258" s="15" t="s">
        <v>898</v>
      </c>
      <c r="F258" s="16">
        <v>5200</v>
      </c>
      <c r="G258" s="16" t="s">
        <v>95</v>
      </c>
      <c r="J258" s="16" t="s">
        <v>60</v>
      </c>
      <c r="K258" s="16" t="s">
        <v>750</v>
      </c>
    </row>
    <row r="259" spans="1:11">
      <c r="A259" s="47">
        <v>259</v>
      </c>
      <c r="B259" s="47" t="s">
        <v>804</v>
      </c>
      <c r="C259" s="15" t="s">
        <v>804</v>
      </c>
      <c r="D259" s="15" t="s">
        <v>804</v>
      </c>
      <c r="E259" s="15" t="s">
        <v>899</v>
      </c>
      <c r="F259" s="16">
        <v>6600</v>
      </c>
      <c r="G259" s="16" t="s">
        <v>95</v>
      </c>
      <c r="J259" s="16" t="s">
        <v>60</v>
      </c>
      <c r="K259" s="16" t="s">
        <v>750</v>
      </c>
    </row>
    <row r="260" spans="1:11">
      <c r="A260" s="47">
        <v>260</v>
      </c>
      <c r="B260" s="47" t="s">
        <v>990</v>
      </c>
      <c r="C260" s="15" t="s">
        <v>805</v>
      </c>
      <c r="D260" s="15" t="s">
        <v>805</v>
      </c>
      <c r="E260" s="15" t="s">
        <v>806</v>
      </c>
      <c r="F260" s="16">
        <v>798</v>
      </c>
      <c r="G260" s="16" t="s">
        <v>95</v>
      </c>
      <c r="J260" s="16" t="s">
        <v>139</v>
      </c>
      <c r="K260" s="16" t="s">
        <v>144</v>
      </c>
    </row>
    <row r="261" spans="1:11">
      <c r="A261" s="47">
        <v>261</v>
      </c>
      <c r="B261" s="47" t="s">
        <v>812</v>
      </c>
      <c r="C261" s="15" t="s">
        <v>816</v>
      </c>
      <c r="D261" s="15" t="s">
        <v>815</v>
      </c>
      <c r="E261" s="15" t="s">
        <v>468</v>
      </c>
      <c r="F261" s="16">
        <v>4588</v>
      </c>
      <c r="G261" s="16" t="s">
        <v>57</v>
      </c>
      <c r="J261" s="16" t="s">
        <v>139</v>
      </c>
      <c r="K261" s="16" t="s">
        <v>144</v>
      </c>
    </row>
    <row r="262" spans="1:11">
      <c r="A262" s="47">
        <v>262</v>
      </c>
      <c r="B262" s="15" t="s">
        <v>811</v>
      </c>
      <c r="C262" s="15" t="s">
        <v>809</v>
      </c>
      <c r="D262" s="15" t="s">
        <v>476</v>
      </c>
      <c r="E262" s="15" t="s">
        <v>477</v>
      </c>
      <c r="F262" s="16">
        <v>3588</v>
      </c>
      <c r="G262" s="16" t="s">
        <v>57</v>
      </c>
      <c r="J262" s="16" t="s">
        <v>139</v>
      </c>
      <c r="K262" s="16" t="s">
        <v>144</v>
      </c>
    </row>
    <row r="263" spans="1:11">
      <c r="A263" s="47">
        <v>263</v>
      </c>
      <c r="B263" s="47" t="s">
        <v>813</v>
      </c>
      <c r="C263" s="15" t="s">
        <v>810</v>
      </c>
      <c r="D263" s="15" t="s">
        <v>471</v>
      </c>
      <c r="E263" s="15" t="s">
        <v>468</v>
      </c>
      <c r="F263" s="16">
        <v>3188</v>
      </c>
      <c r="G263" s="16" t="s">
        <v>57</v>
      </c>
      <c r="J263" s="16" t="s">
        <v>139</v>
      </c>
      <c r="K263" s="16" t="s">
        <v>144</v>
      </c>
    </row>
    <row r="264" spans="1:11">
      <c r="A264" s="47">
        <v>264</v>
      </c>
      <c r="B264" s="47" t="s">
        <v>814</v>
      </c>
      <c r="C264" s="15" t="s">
        <v>818</v>
      </c>
      <c r="D264" s="15" t="s">
        <v>817</v>
      </c>
      <c r="E264" s="15" t="s">
        <v>468</v>
      </c>
      <c r="F264" s="16">
        <v>4988</v>
      </c>
      <c r="G264" s="16" t="s">
        <v>57</v>
      </c>
      <c r="J264" s="16" t="s">
        <v>139</v>
      </c>
      <c r="K264" s="16" t="s">
        <v>144</v>
      </c>
    </row>
    <row r="265" spans="1:11">
      <c r="A265" s="47">
        <v>265</v>
      </c>
      <c r="B265" s="47" t="s">
        <v>819</v>
      </c>
      <c r="C265" s="15" t="s">
        <v>823</v>
      </c>
      <c r="D265" s="15" t="s">
        <v>819</v>
      </c>
      <c r="E265" s="63" t="s">
        <v>820</v>
      </c>
      <c r="F265" s="16">
        <v>8998</v>
      </c>
      <c r="G265" s="16" t="s">
        <v>57</v>
      </c>
      <c r="J265" s="16" t="s">
        <v>139</v>
      </c>
      <c r="K265" s="16" t="s">
        <v>255</v>
      </c>
    </row>
    <row r="266" spans="1:11">
      <c r="A266" s="47">
        <v>266</v>
      </c>
      <c r="B266" s="47" t="s">
        <v>821</v>
      </c>
      <c r="C266" s="15" t="s">
        <v>821</v>
      </c>
      <c r="D266" s="15" t="s">
        <v>821</v>
      </c>
      <c r="E266" s="15" t="s">
        <v>822</v>
      </c>
      <c r="F266" s="16">
        <v>438</v>
      </c>
      <c r="G266" s="16" t="s">
        <v>95</v>
      </c>
      <c r="J266" s="16" t="s">
        <v>139</v>
      </c>
      <c r="K266" s="16" t="s">
        <v>144</v>
      </c>
    </row>
    <row r="267" spans="1:11">
      <c r="A267" s="47">
        <v>267</v>
      </c>
      <c r="B267" s="47" t="s">
        <v>824</v>
      </c>
      <c r="C267" s="15" t="s">
        <v>824</v>
      </c>
      <c r="D267" s="15" t="s">
        <v>824</v>
      </c>
      <c r="E267" s="15" t="s">
        <v>826</v>
      </c>
      <c r="F267" s="16">
        <v>918</v>
      </c>
      <c r="G267" s="16" t="s">
        <v>95</v>
      </c>
      <c r="J267" s="16" t="s">
        <v>139</v>
      </c>
      <c r="K267" s="16" t="s">
        <v>825</v>
      </c>
    </row>
    <row r="268" spans="1:11">
      <c r="A268" s="47">
        <v>268</v>
      </c>
      <c r="B268" s="47" t="s">
        <v>828</v>
      </c>
      <c r="C268" s="15" t="s">
        <v>828</v>
      </c>
      <c r="D268" s="15" t="s">
        <v>828</v>
      </c>
      <c r="E268" s="15" t="s">
        <v>830</v>
      </c>
      <c r="F268" s="16">
        <v>3480</v>
      </c>
      <c r="G268" s="16" t="s">
        <v>57</v>
      </c>
      <c r="J268" s="16" t="s">
        <v>60</v>
      </c>
      <c r="K268" s="16" t="s">
        <v>829</v>
      </c>
    </row>
    <row r="269" spans="1:11">
      <c r="A269" s="47">
        <v>269</v>
      </c>
      <c r="B269" s="47" t="s">
        <v>831</v>
      </c>
      <c r="C269" s="15" t="s">
        <v>831</v>
      </c>
      <c r="D269" s="15" t="s">
        <v>831</v>
      </c>
      <c r="E269" s="15" t="s">
        <v>833</v>
      </c>
      <c r="F269" s="16">
        <v>1398</v>
      </c>
      <c r="G269" s="16" t="s">
        <v>57</v>
      </c>
      <c r="J269" s="16" t="s">
        <v>139</v>
      </c>
      <c r="K269" s="16" t="s">
        <v>832</v>
      </c>
    </row>
    <row r="270" spans="1:11">
      <c r="A270" s="47">
        <v>270</v>
      </c>
      <c r="B270" s="47" t="s">
        <v>835</v>
      </c>
      <c r="C270" s="15" t="s">
        <v>835</v>
      </c>
      <c r="D270" s="15" t="s">
        <v>835</v>
      </c>
      <c r="E270" s="15" t="s">
        <v>836</v>
      </c>
      <c r="F270" s="16">
        <v>6388</v>
      </c>
      <c r="G270" s="16" t="s">
        <v>57</v>
      </c>
      <c r="J270" s="16" t="s">
        <v>139</v>
      </c>
      <c r="K270" s="16" t="s">
        <v>721</v>
      </c>
    </row>
    <row r="271" spans="1:11">
      <c r="A271" s="47">
        <v>271</v>
      </c>
      <c r="B271" s="47" t="s">
        <v>837</v>
      </c>
      <c r="C271" s="15" t="s">
        <v>837</v>
      </c>
      <c r="D271" s="15" t="s">
        <v>837</v>
      </c>
      <c r="E271" s="15" t="s">
        <v>838</v>
      </c>
      <c r="F271" s="16">
        <v>329</v>
      </c>
      <c r="G271" s="16" t="s">
        <v>671</v>
      </c>
      <c r="J271" s="16" t="s">
        <v>139</v>
      </c>
      <c r="K271" s="16" t="s">
        <v>144</v>
      </c>
    </row>
    <row r="272" spans="1:11">
      <c r="A272" s="47">
        <v>272</v>
      </c>
      <c r="B272" s="47" t="s">
        <v>839</v>
      </c>
      <c r="C272" s="15" t="s">
        <v>839</v>
      </c>
      <c r="D272" s="15" t="s">
        <v>839</v>
      </c>
      <c r="E272" s="15" t="s">
        <v>840</v>
      </c>
      <c r="F272" s="16">
        <v>998</v>
      </c>
      <c r="G272" s="16" t="s">
        <v>671</v>
      </c>
      <c r="J272" s="16" t="s">
        <v>139</v>
      </c>
      <c r="K272" s="16" t="s">
        <v>144</v>
      </c>
    </row>
    <row r="273" spans="1:11">
      <c r="A273" s="47">
        <v>273</v>
      </c>
      <c r="B273" s="47" t="s">
        <v>841</v>
      </c>
      <c r="C273" s="15" t="s">
        <v>841</v>
      </c>
      <c r="D273" s="15" t="s">
        <v>841</v>
      </c>
      <c r="E273" s="15" t="s">
        <v>840</v>
      </c>
      <c r="F273" s="16">
        <v>399</v>
      </c>
      <c r="G273" s="16" t="s">
        <v>842</v>
      </c>
      <c r="J273" s="16" t="s">
        <v>139</v>
      </c>
      <c r="K273" s="16" t="s">
        <v>144</v>
      </c>
    </row>
    <row r="274" spans="1:11">
      <c r="A274" s="47">
        <v>274</v>
      </c>
      <c r="B274" s="47" t="s">
        <v>843</v>
      </c>
      <c r="C274" s="15" t="s">
        <v>843</v>
      </c>
      <c r="D274" s="15" t="s">
        <v>843</v>
      </c>
      <c r="E274" s="15" t="s">
        <v>844</v>
      </c>
      <c r="F274" s="16">
        <v>1688</v>
      </c>
      <c r="G274" s="16" t="s">
        <v>57</v>
      </c>
      <c r="J274" s="16" t="s">
        <v>139</v>
      </c>
      <c r="K274" s="16" t="s">
        <v>144</v>
      </c>
    </row>
    <row r="275" spans="1:11">
      <c r="A275" s="47">
        <v>275</v>
      </c>
      <c r="B275" s="47" t="s">
        <v>850</v>
      </c>
      <c r="C275" s="15" t="s">
        <v>845</v>
      </c>
      <c r="D275" s="15" t="s">
        <v>845</v>
      </c>
      <c r="E275" s="15" t="s">
        <v>846</v>
      </c>
      <c r="F275" s="16">
        <v>5580</v>
      </c>
      <c r="G275" s="16" t="s">
        <v>57</v>
      </c>
      <c r="J275" s="16" t="s">
        <v>60</v>
      </c>
      <c r="K275" s="16" t="s">
        <v>829</v>
      </c>
    </row>
    <row r="276" spans="1:11">
      <c r="A276" s="47">
        <v>276</v>
      </c>
      <c r="B276" s="120" t="s">
        <v>1111</v>
      </c>
      <c r="C276" s="15" t="s">
        <v>847</v>
      </c>
      <c r="D276" s="15" t="s">
        <v>847</v>
      </c>
      <c r="E276" s="15" t="s">
        <v>849</v>
      </c>
      <c r="F276" s="16">
        <v>5480</v>
      </c>
      <c r="G276" s="16" t="s">
        <v>57</v>
      </c>
      <c r="J276" s="16" t="s">
        <v>60</v>
      </c>
      <c r="K276" t="s">
        <v>848</v>
      </c>
    </row>
    <row r="277" spans="1:11">
      <c r="A277" s="47">
        <v>277</v>
      </c>
      <c r="B277" s="120" t="s">
        <v>987</v>
      </c>
      <c r="C277" s="15" t="s">
        <v>934</v>
      </c>
      <c r="D277" s="15" t="s">
        <v>934</v>
      </c>
      <c r="E277" s="15" t="s">
        <v>948</v>
      </c>
      <c r="F277" s="16">
        <v>7280</v>
      </c>
      <c r="G277" s="16" t="s">
        <v>57</v>
      </c>
      <c r="J277" s="16" t="s">
        <v>60</v>
      </c>
      <c r="K277" t="s">
        <v>848</v>
      </c>
    </row>
    <row r="278" spans="1:11">
      <c r="A278" s="47">
        <v>278</v>
      </c>
      <c r="B278" s="47" t="s">
        <v>852</v>
      </c>
      <c r="C278" s="15" t="s">
        <v>852</v>
      </c>
      <c r="D278" s="15" t="s">
        <v>852</v>
      </c>
      <c r="E278" s="15" t="s">
        <v>853</v>
      </c>
      <c r="F278" s="16">
        <v>2088</v>
      </c>
      <c r="G278" s="16" t="s">
        <v>95</v>
      </c>
      <c r="J278" s="16" t="s">
        <v>139</v>
      </c>
      <c r="K278" s="16" t="s">
        <v>144</v>
      </c>
    </row>
    <row r="279" spans="1:11">
      <c r="A279" s="47">
        <v>279</v>
      </c>
      <c r="B279" s="47" t="s">
        <v>855</v>
      </c>
      <c r="C279" s="15" t="s">
        <v>855</v>
      </c>
      <c r="D279" s="15" t="s">
        <v>855</v>
      </c>
      <c r="E279" s="15" t="s">
        <v>856</v>
      </c>
      <c r="F279" s="16">
        <v>2388</v>
      </c>
      <c r="G279" s="16" t="s">
        <v>57</v>
      </c>
      <c r="J279" s="16" t="s">
        <v>139</v>
      </c>
      <c r="K279" s="16" t="s">
        <v>144</v>
      </c>
    </row>
    <row r="280" spans="1:11">
      <c r="A280" s="47">
        <v>280</v>
      </c>
      <c r="B280" s="47" t="s">
        <v>859</v>
      </c>
      <c r="C280" s="15" t="s">
        <v>859</v>
      </c>
      <c r="D280" s="15" t="s">
        <v>859</v>
      </c>
      <c r="E280" s="15" t="s">
        <v>740</v>
      </c>
      <c r="F280" s="16">
        <v>5888</v>
      </c>
      <c r="G280" s="16" t="s">
        <v>57</v>
      </c>
      <c r="J280" s="16" t="s">
        <v>139</v>
      </c>
      <c r="K280" t="s">
        <v>255</v>
      </c>
    </row>
    <row r="281" spans="1:11">
      <c r="A281" s="47">
        <v>281</v>
      </c>
      <c r="B281" s="47" t="s">
        <v>891</v>
      </c>
      <c r="C281" s="15" t="s">
        <v>861</v>
      </c>
      <c r="D281" s="15" t="s">
        <v>861</v>
      </c>
      <c r="E281" s="15" t="s">
        <v>862</v>
      </c>
      <c r="F281" s="16">
        <v>4998</v>
      </c>
      <c r="G281" s="16" t="s">
        <v>57</v>
      </c>
      <c r="J281" s="16" t="s">
        <v>139</v>
      </c>
      <c r="K281" s="16" t="s">
        <v>255</v>
      </c>
    </row>
    <row r="282" spans="1:11">
      <c r="A282" s="47">
        <v>282</v>
      </c>
      <c r="B282" s="47" t="s">
        <v>867</v>
      </c>
      <c r="C282" s="47" t="s">
        <v>866</v>
      </c>
      <c r="D282" s="47" t="s">
        <v>866</v>
      </c>
      <c r="E282" s="15" t="s">
        <v>868</v>
      </c>
      <c r="F282" s="16">
        <v>798</v>
      </c>
      <c r="G282" s="47" t="s">
        <v>693</v>
      </c>
      <c r="J282" s="16" t="s">
        <v>139</v>
      </c>
      <c r="K282" s="16" t="s">
        <v>566</v>
      </c>
    </row>
    <row r="283" spans="1:11">
      <c r="A283" s="47">
        <v>283</v>
      </c>
      <c r="B283" s="47" t="s">
        <v>869</v>
      </c>
      <c r="C283" s="15" t="s">
        <v>869</v>
      </c>
      <c r="D283" s="15" t="s">
        <v>869</v>
      </c>
      <c r="E283" s="15" t="s">
        <v>870</v>
      </c>
      <c r="F283" s="16">
        <v>3690</v>
      </c>
      <c r="G283" s="47" t="s">
        <v>693</v>
      </c>
      <c r="J283" s="16" t="s">
        <v>60</v>
      </c>
      <c r="K283" s="16" t="s">
        <v>848</v>
      </c>
    </row>
    <row r="284" spans="1:11">
      <c r="A284" s="47">
        <v>284</v>
      </c>
      <c r="B284" s="47" t="s">
        <v>874</v>
      </c>
      <c r="C284" s="15" t="s">
        <v>874</v>
      </c>
      <c r="D284" s="15" t="s">
        <v>874</v>
      </c>
      <c r="E284" s="15" t="s">
        <v>876</v>
      </c>
      <c r="F284" s="16">
        <v>1288</v>
      </c>
      <c r="G284" s="16" t="s">
        <v>57</v>
      </c>
      <c r="J284" s="16" t="s">
        <v>139</v>
      </c>
      <c r="K284" s="16" t="s">
        <v>875</v>
      </c>
    </row>
    <row r="285" spans="1:11">
      <c r="A285" s="47">
        <v>285</v>
      </c>
      <c r="B285" s="47" t="s">
        <v>879</v>
      </c>
      <c r="C285" s="15" t="s">
        <v>879</v>
      </c>
      <c r="D285" s="15" t="s">
        <v>879</v>
      </c>
      <c r="E285" s="56" t="s">
        <v>880</v>
      </c>
      <c r="F285" s="16">
        <v>3888</v>
      </c>
      <c r="G285" s="47" t="s">
        <v>693</v>
      </c>
      <c r="J285" s="16" t="s">
        <v>60</v>
      </c>
      <c r="K285" s="16" t="s">
        <v>848</v>
      </c>
    </row>
    <row r="286" spans="1:11">
      <c r="A286" s="47">
        <v>286</v>
      </c>
      <c r="B286" s="47" t="s">
        <v>886</v>
      </c>
      <c r="C286" s="15" t="s">
        <v>886</v>
      </c>
      <c r="D286" s="15" t="s">
        <v>886</v>
      </c>
      <c r="E286" s="15" t="s">
        <v>887</v>
      </c>
      <c r="F286" s="16">
        <v>6280</v>
      </c>
      <c r="G286" s="16" t="s">
        <v>57</v>
      </c>
      <c r="J286" s="16" t="s">
        <v>60</v>
      </c>
      <c r="K286" s="16" t="s">
        <v>829</v>
      </c>
    </row>
    <row r="287" spans="1:11">
      <c r="A287" s="47">
        <v>287</v>
      </c>
      <c r="B287" s="47" t="s">
        <v>889</v>
      </c>
      <c r="C287" s="15" t="s">
        <v>889</v>
      </c>
      <c r="D287" s="15" t="s">
        <v>889</v>
      </c>
      <c r="E287" s="15" t="s">
        <v>888</v>
      </c>
      <c r="F287" s="16">
        <v>398</v>
      </c>
      <c r="G287" s="47" t="s">
        <v>693</v>
      </c>
      <c r="J287" s="16" t="s">
        <v>139</v>
      </c>
      <c r="K287" s="16" t="s">
        <v>721</v>
      </c>
    </row>
    <row r="288" spans="1:11">
      <c r="A288" s="47">
        <v>288</v>
      </c>
      <c r="B288" s="47" t="s">
        <v>900</v>
      </c>
      <c r="C288" s="15" t="s">
        <v>900</v>
      </c>
      <c r="D288" s="15" t="s">
        <v>900</v>
      </c>
      <c r="E288" s="15" t="s">
        <v>901</v>
      </c>
      <c r="F288" s="16">
        <v>458</v>
      </c>
      <c r="G288" s="47" t="s">
        <v>693</v>
      </c>
      <c r="J288" s="16" t="s">
        <v>139</v>
      </c>
      <c r="K288" s="16" t="s">
        <v>144</v>
      </c>
    </row>
    <row r="289" spans="1:11">
      <c r="A289" s="47">
        <v>289</v>
      </c>
      <c r="B289" s="47" t="s">
        <v>902</v>
      </c>
      <c r="C289" s="15" t="s">
        <v>902</v>
      </c>
      <c r="D289" s="15" t="s">
        <v>902</v>
      </c>
      <c r="E289" s="15" t="s">
        <v>903</v>
      </c>
      <c r="F289" s="16">
        <v>1588</v>
      </c>
      <c r="G289" s="47" t="s">
        <v>57</v>
      </c>
      <c r="J289" s="16" t="s">
        <v>139</v>
      </c>
      <c r="K289" s="16" t="s">
        <v>144</v>
      </c>
    </row>
    <row r="290" spans="1:11">
      <c r="A290" s="47">
        <v>290</v>
      </c>
      <c r="B290" s="47" t="s">
        <v>843</v>
      </c>
      <c r="C290" s="47" t="s">
        <v>843</v>
      </c>
      <c r="D290" s="47" t="s">
        <v>843</v>
      </c>
      <c r="E290" s="15" t="s">
        <v>844</v>
      </c>
      <c r="F290" s="16">
        <v>1788</v>
      </c>
      <c r="G290" s="47" t="s">
        <v>57</v>
      </c>
      <c r="J290" s="16" t="s">
        <v>139</v>
      </c>
      <c r="K290" s="16" t="s">
        <v>721</v>
      </c>
    </row>
    <row r="291" spans="1:11">
      <c r="A291" s="47">
        <v>291</v>
      </c>
      <c r="B291" s="47" t="s">
        <v>910</v>
      </c>
      <c r="C291" s="15" t="s">
        <v>910</v>
      </c>
      <c r="D291" s="15" t="s">
        <v>910</v>
      </c>
      <c r="E291" s="15" t="s">
        <v>911</v>
      </c>
      <c r="F291" s="16">
        <v>428</v>
      </c>
      <c r="G291" s="47" t="s">
        <v>57</v>
      </c>
      <c r="J291" s="16" t="s">
        <v>139</v>
      </c>
      <c r="K291" s="16" t="s">
        <v>721</v>
      </c>
    </row>
    <row r="292" spans="1:11">
      <c r="A292" s="47">
        <v>292</v>
      </c>
      <c r="B292" s="47" t="s">
        <v>1099</v>
      </c>
      <c r="C292" s="15" t="s">
        <v>927</v>
      </c>
      <c r="D292" s="15" t="s">
        <v>927</v>
      </c>
      <c r="E292" s="15" t="s">
        <v>1016</v>
      </c>
      <c r="F292" s="16">
        <v>7980</v>
      </c>
      <c r="G292" s="47" t="s">
        <v>57</v>
      </c>
      <c r="J292" s="16" t="s">
        <v>60</v>
      </c>
      <c r="K292" s="16" t="s">
        <v>848</v>
      </c>
    </row>
    <row r="293" spans="1:11">
      <c r="A293" s="47">
        <v>293</v>
      </c>
      <c r="B293" s="47" t="s">
        <v>1318</v>
      </c>
      <c r="C293" s="15" t="s">
        <v>915</v>
      </c>
      <c r="D293" s="15" t="s">
        <v>915</v>
      </c>
      <c r="E293" s="56" t="s">
        <v>916</v>
      </c>
      <c r="F293" s="16">
        <v>8990</v>
      </c>
      <c r="G293" s="47" t="s">
        <v>57</v>
      </c>
      <c r="J293" s="16" t="s">
        <v>60</v>
      </c>
      <c r="K293" s="16" t="s">
        <v>181</v>
      </c>
    </row>
    <row r="294" spans="1:11">
      <c r="A294" s="47">
        <v>294</v>
      </c>
      <c r="B294" s="47" t="s">
        <v>62</v>
      </c>
      <c r="C294" s="15" t="s">
        <v>62</v>
      </c>
      <c r="D294" s="15" t="s">
        <v>62</v>
      </c>
      <c r="E294" s="15" t="s">
        <v>917</v>
      </c>
      <c r="F294" s="16">
        <v>2980</v>
      </c>
      <c r="G294" s="47" t="s">
        <v>95</v>
      </c>
      <c r="J294" s="16" t="s">
        <v>60</v>
      </c>
      <c r="K294" s="16" t="s">
        <v>848</v>
      </c>
    </row>
    <row r="295" spans="1:11">
      <c r="A295" s="47">
        <v>295</v>
      </c>
      <c r="B295" s="120" t="s">
        <v>918</v>
      </c>
      <c r="C295" s="15" t="s">
        <v>918</v>
      </c>
      <c r="D295" s="15" t="s">
        <v>918</v>
      </c>
      <c r="E295" s="15" t="s">
        <v>919</v>
      </c>
      <c r="F295" s="16">
        <v>5180</v>
      </c>
      <c r="G295" s="47" t="s">
        <v>57</v>
      </c>
      <c r="J295" s="16" t="s">
        <v>60</v>
      </c>
      <c r="K295" s="16" t="s">
        <v>920</v>
      </c>
    </row>
    <row r="296" spans="1:11">
      <c r="A296" s="47">
        <v>296</v>
      </c>
      <c r="B296" s="47" t="s">
        <v>952</v>
      </c>
      <c r="C296" s="15" t="s">
        <v>930</v>
      </c>
      <c r="D296" s="15" t="s">
        <v>930</v>
      </c>
      <c r="E296" s="15" t="s">
        <v>954</v>
      </c>
      <c r="G296" s="47"/>
      <c r="J296" s="16" t="s">
        <v>139</v>
      </c>
      <c r="K296" s="16" t="s">
        <v>566</v>
      </c>
    </row>
    <row r="297" spans="1:11">
      <c r="A297" s="47">
        <v>297</v>
      </c>
      <c r="B297" s="47" t="s">
        <v>953</v>
      </c>
      <c r="C297" s="15" t="s">
        <v>931</v>
      </c>
      <c r="D297" s="15" t="s">
        <v>931</v>
      </c>
      <c r="E297" s="15" t="s">
        <v>954</v>
      </c>
      <c r="G297" s="47"/>
      <c r="J297" s="16" t="s">
        <v>139</v>
      </c>
      <c r="K297" s="16" t="s">
        <v>566</v>
      </c>
    </row>
    <row r="298" spans="1:11">
      <c r="A298" s="47">
        <v>298</v>
      </c>
      <c r="B298" s="47" t="s">
        <v>936</v>
      </c>
      <c r="C298" s="47" t="s">
        <v>936</v>
      </c>
      <c r="D298" s="47" t="s">
        <v>936</v>
      </c>
      <c r="E298" s="15" t="s">
        <v>402</v>
      </c>
      <c r="F298" s="16">
        <v>6690</v>
      </c>
      <c r="G298" s="47" t="s">
        <v>57</v>
      </c>
      <c r="J298" s="16" t="s">
        <v>60</v>
      </c>
      <c r="K298" s="16" t="s">
        <v>686</v>
      </c>
    </row>
    <row r="299" spans="1:11">
      <c r="A299" s="47">
        <v>299</v>
      </c>
      <c r="B299" s="47" t="s">
        <v>937</v>
      </c>
      <c r="C299" s="47" t="s">
        <v>937</v>
      </c>
      <c r="D299" s="47" t="s">
        <v>937</v>
      </c>
      <c r="E299" s="15" t="s">
        <v>402</v>
      </c>
      <c r="F299" s="16">
        <v>6690</v>
      </c>
      <c r="G299" s="47" t="s">
        <v>57</v>
      </c>
      <c r="J299" s="16" t="s">
        <v>60</v>
      </c>
      <c r="K299" s="16" t="s">
        <v>686</v>
      </c>
    </row>
    <row r="300" spans="1:11">
      <c r="A300" s="47">
        <v>300</v>
      </c>
      <c r="B300" s="47" t="s">
        <v>938</v>
      </c>
      <c r="C300" s="47" t="s">
        <v>938</v>
      </c>
      <c r="D300" s="47" t="s">
        <v>938</v>
      </c>
      <c r="E300" s="15" t="s">
        <v>940</v>
      </c>
      <c r="F300" s="16">
        <v>8190</v>
      </c>
      <c r="G300" s="47" t="s">
        <v>57</v>
      </c>
      <c r="J300" s="16" t="s">
        <v>60</v>
      </c>
      <c r="K300" s="16" t="s">
        <v>686</v>
      </c>
    </row>
    <row r="301" spans="1:11">
      <c r="A301" s="47">
        <v>301</v>
      </c>
      <c r="B301" s="47" t="s">
        <v>939</v>
      </c>
      <c r="C301" s="47" t="s">
        <v>939</v>
      </c>
      <c r="D301" s="47" t="s">
        <v>939</v>
      </c>
      <c r="E301" s="15" t="s">
        <v>940</v>
      </c>
      <c r="F301" s="16">
        <v>8190</v>
      </c>
      <c r="G301" s="47" t="s">
        <v>57</v>
      </c>
      <c r="J301" s="16" t="s">
        <v>60</v>
      </c>
      <c r="K301" s="16" t="s">
        <v>686</v>
      </c>
    </row>
    <row r="302" spans="1:11">
      <c r="A302" s="47">
        <v>302</v>
      </c>
      <c r="B302" s="47" t="s">
        <v>942</v>
      </c>
      <c r="C302" s="15" t="s">
        <v>942</v>
      </c>
      <c r="D302" s="15" t="s">
        <v>942</v>
      </c>
      <c r="E302" s="15" t="s">
        <v>943</v>
      </c>
      <c r="F302" s="16">
        <v>538</v>
      </c>
      <c r="G302" s="47" t="s">
        <v>57</v>
      </c>
      <c r="J302" s="16" t="s">
        <v>139</v>
      </c>
      <c r="K302" s="16" t="s">
        <v>144</v>
      </c>
    </row>
    <row r="303" spans="1:11">
      <c r="A303" s="47">
        <v>303</v>
      </c>
      <c r="B303" s="47" t="s">
        <v>944</v>
      </c>
      <c r="C303" s="15" t="s">
        <v>944</v>
      </c>
      <c r="D303" s="47" t="s">
        <v>944</v>
      </c>
      <c r="E303" s="15" t="s">
        <v>945</v>
      </c>
      <c r="F303" s="16">
        <v>3580</v>
      </c>
      <c r="G303" s="47" t="s">
        <v>57</v>
      </c>
      <c r="J303" s="16" t="s">
        <v>139</v>
      </c>
      <c r="K303" s="16" t="s">
        <v>255</v>
      </c>
    </row>
    <row r="304" spans="1:11">
      <c r="A304" s="47">
        <v>304</v>
      </c>
      <c r="B304" s="120" t="s">
        <v>1112</v>
      </c>
      <c r="C304" s="15" t="s">
        <v>947</v>
      </c>
      <c r="D304" s="15" t="s">
        <v>947</v>
      </c>
      <c r="E304" s="15" t="s">
        <v>854</v>
      </c>
      <c r="F304" s="16">
        <v>3980</v>
      </c>
      <c r="G304" s="47" t="s">
        <v>693</v>
      </c>
      <c r="J304" s="16" t="s">
        <v>60</v>
      </c>
      <c r="K304" s="16" t="s">
        <v>848</v>
      </c>
    </row>
    <row r="305" spans="1:11">
      <c r="A305" s="47">
        <v>305</v>
      </c>
      <c r="B305" s="47" t="s">
        <v>959</v>
      </c>
      <c r="C305" s="15" t="s">
        <v>959</v>
      </c>
      <c r="D305" s="15" t="s">
        <v>959</v>
      </c>
      <c r="E305" s="15" t="s">
        <v>960</v>
      </c>
      <c r="F305" s="16">
        <v>718</v>
      </c>
      <c r="G305" s="47" t="s">
        <v>57</v>
      </c>
      <c r="J305" s="16" t="s">
        <v>139</v>
      </c>
      <c r="K305" s="16" t="s">
        <v>144</v>
      </c>
    </row>
    <row r="306" spans="1:11">
      <c r="A306" s="47">
        <v>306</v>
      </c>
      <c r="B306" s="120" t="s">
        <v>972</v>
      </c>
      <c r="C306" s="15" t="s">
        <v>961</v>
      </c>
      <c r="D306" s="15" t="s">
        <v>972</v>
      </c>
      <c r="E306" s="15" t="s">
        <v>962</v>
      </c>
      <c r="F306" s="16">
        <v>5480</v>
      </c>
      <c r="G306" s="47" t="s">
        <v>57</v>
      </c>
      <c r="J306" s="16" t="s">
        <v>60</v>
      </c>
      <c r="K306" s="16" t="s">
        <v>848</v>
      </c>
    </row>
    <row r="307" spans="1:11">
      <c r="A307" s="47">
        <v>307</v>
      </c>
      <c r="B307" s="47" t="s">
        <v>963</v>
      </c>
      <c r="C307" s="47" t="s">
        <v>963</v>
      </c>
      <c r="D307" s="47" t="s">
        <v>963</v>
      </c>
      <c r="E307" s="15" t="s">
        <v>964</v>
      </c>
      <c r="F307" s="16">
        <v>14980</v>
      </c>
      <c r="G307" s="47" t="s">
        <v>57</v>
      </c>
      <c r="J307" s="16" t="s">
        <v>60</v>
      </c>
      <c r="K307" s="16" t="s">
        <v>181</v>
      </c>
    </row>
    <row r="308" spans="1:11">
      <c r="A308" s="47">
        <v>308</v>
      </c>
      <c r="B308" s="120" t="s">
        <v>967</v>
      </c>
      <c r="C308" s="15" t="s">
        <v>966</v>
      </c>
      <c r="D308" s="15" t="s">
        <v>966</v>
      </c>
      <c r="E308" s="15" t="s">
        <v>970</v>
      </c>
      <c r="F308" s="16">
        <v>7480</v>
      </c>
      <c r="G308" s="47" t="s">
        <v>57</v>
      </c>
      <c r="J308" s="16" t="s">
        <v>60</v>
      </c>
      <c r="K308" s="16" t="s">
        <v>848</v>
      </c>
    </row>
    <row r="309" spans="1:11">
      <c r="A309" s="47">
        <v>309</v>
      </c>
      <c r="B309" s="120" t="s">
        <v>969</v>
      </c>
      <c r="C309" s="15" t="s">
        <v>968</v>
      </c>
      <c r="D309" s="47" t="s">
        <v>969</v>
      </c>
      <c r="E309" s="15" t="s">
        <v>971</v>
      </c>
      <c r="F309" s="16">
        <v>5880</v>
      </c>
      <c r="G309" s="47" t="s">
        <v>57</v>
      </c>
      <c r="J309" s="16" t="s">
        <v>60</v>
      </c>
      <c r="K309" s="16" t="s">
        <v>848</v>
      </c>
    </row>
    <row r="310" spans="1:11">
      <c r="A310" s="47">
        <v>310</v>
      </c>
      <c r="B310" s="47" t="s">
        <v>981</v>
      </c>
      <c r="C310" s="47" t="s">
        <v>981</v>
      </c>
      <c r="D310" s="47" t="s">
        <v>981</v>
      </c>
      <c r="G310" s="47"/>
      <c r="J310" s="16" t="s">
        <v>60</v>
      </c>
      <c r="K310" s="16" t="s">
        <v>686</v>
      </c>
    </row>
    <row r="311" spans="1:11">
      <c r="A311" s="47">
        <v>311</v>
      </c>
      <c r="B311" s="47" t="s">
        <v>982</v>
      </c>
      <c r="C311" s="47" t="s">
        <v>982</v>
      </c>
      <c r="D311" s="47" t="s">
        <v>982</v>
      </c>
      <c r="G311" s="47"/>
      <c r="J311" s="16" t="s">
        <v>60</v>
      </c>
      <c r="K311" s="16" t="s">
        <v>686</v>
      </c>
    </row>
    <row r="312" spans="1:11">
      <c r="A312" s="47">
        <v>312</v>
      </c>
      <c r="B312" s="47" t="s">
        <v>991</v>
      </c>
      <c r="C312" s="15" t="s">
        <v>991</v>
      </c>
      <c r="D312" s="15" t="s">
        <v>991</v>
      </c>
      <c r="E312" s="15" t="s">
        <v>992</v>
      </c>
      <c r="F312" s="16">
        <v>28800</v>
      </c>
      <c r="G312" s="47" t="s">
        <v>57</v>
      </c>
      <c r="J312" s="16" t="s">
        <v>60</v>
      </c>
      <c r="K312" s="16" t="s">
        <v>725</v>
      </c>
    </row>
    <row r="313" spans="1:11">
      <c r="A313" s="47">
        <v>313</v>
      </c>
      <c r="B313" s="47" t="s">
        <v>996</v>
      </c>
      <c r="C313" s="15" t="s">
        <v>1000</v>
      </c>
      <c r="D313" s="15" t="s">
        <v>996</v>
      </c>
      <c r="E313" s="15" t="s">
        <v>1001</v>
      </c>
      <c r="F313" s="16">
        <v>3780</v>
      </c>
      <c r="G313" s="47" t="s">
        <v>57</v>
      </c>
      <c r="J313" s="16" t="s">
        <v>60</v>
      </c>
      <c r="K313" s="16" t="s">
        <v>848</v>
      </c>
    </row>
    <row r="314" spans="1:11">
      <c r="A314" s="47">
        <v>314</v>
      </c>
      <c r="B314" s="47" t="s">
        <v>997</v>
      </c>
      <c r="C314" s="15" t="s">
        <v>997</v>
      </c>
      <c r="D314" s="15" t="s">
        <v>1002</v>
      </c>
      <c r="E314" s="15" t="s">
        <v>1003</v>
      </c>
      <c r="F314" s="16">
        <v>2880</v>
      </c>
      <c r="G314" s="47" t="s">
        <v>57</v>
      </c>
      <c r="J314" s="16" t="s">
        <v>60</v>
      </c>
      <c r="K314" s="16" t="s">
        <v>848</v>
      </c>
    </row>
    <row r="315" spans="1:11">
      <c r="A315" s="47">
        <v>315</v>
      </c>
      <c r="B315" s="47" t="s">
        <v>1004</v>
      </c>
      <c r="C315" s="15" t="s">
        <v>998</v>
      </c>
      <c r="D315" s="15" t="s">
        <v>1004</v>
      </c>
      <c r="E315" s="15" t="s">
        <v>1005</v>
      </c>
      <c r="F315" s="16">
        <v>3580</v>
      </c>
      <c r="G315" s="47" t="s">
        <v>57</v>
      </c>
      <c r="J315" s="16" t="s">
        <v>60</v>
      </c>
      <c r="K315" s="16" t="s">
        <v>848</v>
      </c>
    </row>
    <row r="316" spans="1:11">
      <c r="A316" s="47">
        <v>316</v>
      </c>
      <c r="B316" s="47" t="s">
        <v>999</v>
      </c>
      <c r="C316" s="15" t="s">
        <v>999</v>
      </c>
      <c r="D316" s="15" t="s">
        <v>1006</v>
      </c>
      <c r="E316" s="15" t="s">
        <v>1005</v>
      </c>
      <c r="F316" s="16">
        <v>3380</v>
      </c>
      <c r="G316" s="47" t="s">
        <v>57</v>
      </c>
      <c r="J316" s="16" t="s">
        <v>60</v>
      </c>
      <c r="K316" s="16" t="s">
        <v>848</v>
      </c>
    </row>
    <row r="317" spans="1:11">
      <c r="A317" s="47">
        <v>317</v>
      </c>
      <c r="B317" s="47" t="s">
        <v>1007</v>
      </c>
      <c r="C317" s="15" t="s">
        <v>1007</v>
      </c>
      <c r="D317" s="15" t="s">
        <v>1007</v>
      </c>
      <c r="E317" s="15" t="s">
        <v>1008</v>
      </c>
      <c r="F317" s="16">
        <v>1180</v>
      </c>
      <c r="G317" s="47" t="s">
        <v>57</v>
      </c>
      <c r="J317" s="16" t="s">
        <v>139</v>
      </c>
      <c r="K317" s="16" t="s">
        <v>725</v>
      </c>
    </row>
    <row r="318" spans="1:11">
      <c r="A318" s="47">
        <v>318</v>
      </c>
      <c r="B318" s="47" t="s">
        <v>1009</v>
      </c>
      <c r="C318" s="15" t="s">
        <v>1009</v>
      </c>
      <c r="D318" s="15" t="s">
        <v>1009</v>
      </c>
      <c r="E318" s="15" t="s">
        <v>1010</v>
      </c>
      <c r="F318" s="16">
        <v>4280</v>
      </c>
      <c r="G318" s="47" t="s">
        <v>57</v>
      </c>
      <c r="J318" s="16" t="s">
        <v>60</v>
      </c>
      <c r="K318" t="s">
        <v>181</v>
      </c>
    </row>
    <row r="319" spans="1:11">
      <c r="A319" s="47">
        <v>319</v>
      </c>
      <c r="B319" s="47" t="s">
        <v>1011</v>
      </c>
      <c r="C319" s="15" t="s">
        <v>1011</v>
      </c>
      <c r="D319" s="15" t="s">
        <v>1011</v>
      </c>
      <c r="E319" s="15" t="s">
        <v>1012</v>
      </c>
      <c r="F319" s="16">
        <v>3980</v>
      </c>
      <c r="G319" s="47" t="s">
        <v>57</v>
      </c>
      <c r="J319" s="16" t="s">
        <v>60</v>
      </c>
      <c r="K319" s="16" t="s">
        <v>848</v>
      </c>
    </row>
    <row r="320" spans="1:11">
      <c r="A320" s="47">
        <v>320</v>
      </c>
      <c r="B320" s="47" t="s">
        <v>1013</v>
      </c>
      <c r="C320" s="15" t="s">
        <v>1013</v>
      </c>
      <c r="D320" s="15" t="s">
        <v>1013</v>
      </c>
      <c r="E320" s="15" t="s">
        <v>1014</v>
      </c>
      <c r="F320" s="16">
        <v>4680</v>
      </c>
      <c r="G320" s="47" t="s">
        <v>57</v>
      </c>
      <c r="J320" s="16" t="s">
        <v>60</v>
      </c>
      <c r="K320" s="16" t="s">
        <v>848</v>
      </c>
    </row>
    <row r="321" spans="1:11">
      <c r="A321" s="47">
        <v>321</v>
      </c>
      <c r="B321" s="47" t="s">
        <v>1098</v>
      </c>
      <c r="C321" s="47" t="s">
        <v>1015</v>
      </c>
      <c r="D321" s="47" t="s">
        <v>1015</v>
      </c>
      <c r="E321" s="15" t="s">
        <v>913</v>
      </c>
      <c r="F321" s="16">
        <v>8280</v>
      </c>
      <c r="G321" s="47" t="s">
        <v>57</v>
      </c>
      <c r="J321" s="16" t="s">
        <v>60</v>
      </c>
      <c r="K321" s="16" t="s">
        <v>848</v>
      </c>
    </row>
    <row r="322" spans="1:11">
      <c r="A322" s="47">
        <v>322</v>
      </c>
      <c r="B322" s="47" t="s">
        <v>1017</v>
      </c>
      <c r="C322" s="15" t="s">
        <v>1017</v>
      </c>
      <c r="D322" s="15" t="s">
        <v>1017</v>
      </c>
      <c r="E322" s="15" t="s">
        <v>1018</v>
      </c>
      <c r="F322" s="16">
        <v>3680</v>
      </c>
      <c r="G322" s="47" t="s">
        <v>57</v>
      </c>
      <c r="J322" s="16" t="s">
        <v>60</v>
      </c>
      <c r="K322" s="16" t="s">
        <v>181</v>
      </c>
    </row>
    <row r="323" spans="1:11">
      <c r="A323" s="47">
        <v>323</v>
      </c>
      <c r="B323" s="47" t="s">
        <v>1100</v>
      </c>
      <c r="C323" s="15" t="s">
        <v>1020</v>
      </c>
      <c r="D323" s="15" t="s">
        <v>1020</v>
      </c>
      <c r="E323" s="15" t="s">
        <v>1125</v>
      </c>
      <c r="F323" s="16">
        <v>3280</v>
      </c>
      <c r="G323" s="47" t="s">
        <v>57</v>
      </c>
      <c r="J323" s="16" t="s">
        <v>139</v>
      </c>
      <c r="K323" s="16" t="s">
        <v>750</v>
      </c>
    </row>
    <row r="324" spans="1:11">
      <c r="A324" s="47">
        <v>324</v>
      </c>
      <c r="B324" s="47" t="s">
        <v>1122</v>
      </c>
      <c r="C324" s="15" t="s">
        <v>1122</v>
      </c>
      <c r="D324" s="15" t="s">
        <v>1122</v>
      </c>
      <c r="E324" s="15" t="s">
        <v>1124</v>
      </c>
      <c r="F324" s="16">
        <v>998</v>
      </c>
      <c r="G324" s="47" t="s">
        <v>57</v>
      </c>
      <c r="J324" s="16" t="s">
        <v>139</v>
      </c>
      <c r="K324" s="16" t="s">
        <v>1123</v>
      </c>
    </row>
    <row r="325" spans="1:11">
      <c r="A325" s="47">
        <v>325</v>
      </c>
      <c r="B325" s="47" t="s">
        <v>1130</v>
      </c>
      <c r="C325" s="47" t="s">
        <v>1130</v>
      </c>
      <c r="D325" s="47" t="s">
        <v>1130</v>
      </c>
      <c r="E325" s="15" t="s">
        <v>1131</v>
      </c>
      <c r="F325" s="16">
        <v>458</v>
      </c>
      <c r="G325" s="47" t="s">
        <v>57</v>
      </c>
      <c r="J325" s="16" t="s">
        <v>139</v>
      </c>
      <c r="K325" s="16" t="s">
        <v>144</v>
      </c>
    </row>
    <row r="326" spans="1:11">
      <c r="A326" s="47">
        <v>326</v>
      </c>
      <c r="B326" s="47" t="s">
        <v>1134</v>
      </c>
      <c r="C326" s="47" t="s">
        <v>1134</v>
      </c>
      <c r="D326" s="47" t="s">
        <v>1134</v>
      </c>
      <c r="E326" s="56" t="s">
        <v>1135</v>
      </c>
      <c r="F326" s="16">
        <v>3380</v>
      </c>
      <c r="G326" s="47" t="s">
        <v>95</v>
      </c>
      <c r="J326" s="16" t="s">
        <v>139</v>
      </c>
      <c r="K326" s="16" t="s">
        <v>750</v>
      </c>
    </row>
    <row r="327" spans="1:11">
      <c r="A327" s="47">
        <v>327</v>
      </c>
      <c r="B327" s="47" t="s">
        <v>1188</v>
      </c>
      <c r="C327" s="15" t="s">
        <v>1190</v>
      </c>
      <c r="D327" s="15" t="s">
        <v>1188</v>
      </c>
      <c r="E327" s="15" t="s">
        <v>1191</v>
      </c>
      <c r="F327" s="16">
        <v>2880</v>
      </c>
      <c r="G327" s="47" t="s">
        <v>95</v>
      </c>
      <c r="J327" s="16" t="s">
        <v>139</v>
      </c>
      <c r="K327" s="16" t="s">
        <v>750</v>
      </c>
    </row>
    <row r="328" spans="1:11">
      <c r="A328" s="47">
        <v>328</v>
      </c>
      <c r="B328" s="47" t="s">
        <v>1189</v>
      </c>
      <c r="C328" s="15" t="s">
        <v>1189</v>
      </c>
      <c r="D328" s="15" t="s">
        <v>1201</v>
      </c>
      <c r="E328" s="15" t="s">
        <v>1192</v>
      </c>
      <c r="F328" s="16">
        <v>3380</v>
      </c>
      <c r="G328" s="47" t="s">
        <v>95</v>
      </c>
      <c r="J328" s="16" t="s">
        <v>139</v>
      </c>
      <c r="K328" s="16" t="s">
        <v>750</v>
      </c>
    </row>
    <row r="329" spans="1:11">
      <c r="A329" s="47">
        <v>329</v>
      </c>
      <c r="B329" s="15" t="s">
        <v>1200</v>
      </c>
      <c r="C329" s="15" t="s">
        <v>1200</v>
      </c>
      <c r="D329" s="15" t="s">
        <v>1200</v>
      </c>
      <c r="E329" s="15" t="s">
        <v>1131</v>
      </c>
      <c r="F329" s="16">
        <v>458</v>
      </c>
      <c r="G329" s="47" t="s">
        <v>57</v>
      </c>
      <c r="J329" s="16" t="s">
        <v>139</v>
      </c>
      <c r="K329" t="s">
        <v>144</v>
      </c>
    </row>
    <row r="330" spans="1:11">
      <c r="A330" s="47">
        <v>330</v>
      </c>
      <c r="B330" s="47" t="s">
        <v>1343</v>
      </c>
      <c r="C330" s="15" t="s">
        <v>1364</v>
      </c>
      <c r="D330" s="15" t="s">
        <v>1363</v>
      </c>
      <c r="E330" s="15" t="s">
        <v>1365</v>
      </c>
      <c r="F330" s="16">
        <v>19980</v>
      </c>
      <c r="G330" s="47" t="s">
        <v>57</v>
      </c>
      <c r="J330" s="16" t="s">
        <v>60</v>
      </c>
      <c r="K330" s="16" t="s">
        <v>181</v>
      </c>
    </row>
    <row r="331" spans="1:11">
      <c r="A331" s="47">
        <v>331</v>
      </c>
      <c r="B331" s="47" t="s">
        <v>1457</v>
      </c>
      <c r="C331" s="47" t="s">
        <v>1455</v>
      </c>
      <c r="D331" s="47" t="s">
        <v>1455</v>
      </c>
      <c r="E331" s="15" t="s">
        <v>1456</v>
      </c>
      <c r="F331" s="16">
        <v>350</v>
      </c>
      <c r="G331" s="47"/>
      <c r="J331" s="16" t="s">
        <v>139</v>
      </c>
      <c r="K331" s="16" t="s">
        <v>144</v>
      </c>
    </row>
    <row r="332" spans="1:11">
      <c r="A332" s="47">
        <v>332</v>
      </c>
      <c r="B332" s="47" t="s">
        <v>1635</v>
      </c>
      <c r="C332" s="47" t="s">
        <v>1635</v>
      </c>
      <c r="D332" s="47" t="s">
        <v>1635</v>
      </c>
      <c r="E332" s="15" t="s">
        <v>1637</v>
      </c>
      <c r="F332" s="16">
        <v>798</v>
      </c>
      <c r="G332" s="47" t="s">
        <v>95</v>
      </c>
      <c r="J332" s="16" t="s">
        <v>139</v>
      </c>
      <c r="K332" s="16" t="s">
        <v>1636</v>
      </c>
    </row>
  </sheetData>
  <phoneticPr fontId="24" type="noConversion"/>
  <conditionalFormatting sqref="B1">
    <cfRule type="duplicateValues" dxfId="12" priority="3"/>
  </conditionalFormatting>
  <conditionalFormatting sqref="B228">
    <cfRule type="duplicateValues" dxfId="11" priority="7"/>
  </conditionalFormatting>
  <conditionalFormatting sqref="B262">
    <cfRule type="duplicateValues" dxfId="10" priority="5"/>
  </conditionalFormatting>
  <conditionalFormatting sqref="B329:B330">
    <cfRule type="duplicateValues" dxfId="9" priority="2"/>
  </conditionalFormatting>
  <conditionalFormatting sqref="C1:C76 C79:C183">
    <cfRule type="duplicateValues" dxfId="8" priority="2607"/>
  </conditionalFormatting>
  <conditionalFormatting sqref="C77">
    <cfRule type="duplicateValues" dxfId="7" priority="10"/>
  </conditionalFormatting>
  <conditionalFormatting sqref="C184:C186">
    <cfRule type="duplicateValues" dxfId="6" priority="12"/>
  </conditionalFormatting>
  <conditionalFormatting sqref="C329:C330 C305:C306 C292:C297 C187:C191 C193:C233 C235:C236 C238 C240:C247 C251:C281 C283:C289 C308:C309 C312:C320 C322:C324 C333:C1048576">
    <cfRule type="duplicateValues" dxfId="5" priority="6671"/>
  </conditionalFormatting>
  <conditionalFormatting sqref="D189:D190">
    <cfRule type="duplicateValues" dxfId="4" priority="9"/>
  </conditionalFormatting>
  <conditionalFormatting sqref="D221">
    <cfRule type="duplicateValues" dxfId="3" priority="8"/>
  </conditionalFormatting>
  <conditionalFormatting sqref="D228">
    <cfRule type="duplicateValues" dxfId="2" priority="6"/>
  </conditionalFormatting>
  <conditionalFormatting sqref="D262">
    <cfRule type="duplicateValues" dxfId="1" priority="4"/>
  </conditionalFormatting>
  <conditionalFormatting sqref="D329:D330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3119-EAA2-4176-B54F-B60D5739E40C}">
  <dimension ref="A2:V78"/>
  <sheetViews>
    <sheetView workbookViewId="0">
      <selection activeCell="P18" sqref="P18"/>
    </sheetView>
  </sheetViews>
  <sheetFormatPr defaultRowHeight="15.75"/>
  <cols>
    <col min="4" max="4" width="26.85546875" bestFit="1" customWidth="1"/>
    <col min="6" max="6" width="11.42578125" customWidth="1"/>
  </cols>
  <sheetData>
    <row r="2" spans="1:22">
      <c r="A2" s="49" t="s">
        <v>2104</v>
      </c>
      <c r="B2" s="49" t="s">
        <v>2128</v>
      </c>
      <c r="C2" s="49" t="s">
        <v>2129</v>
      </c>
      <c r="D2" s="49" t="s">
        <v>2134</v>
      </c>
      <c r="E2" s="49" t="s">
        <v>2105</v>
      </c>
      <c r="F2" s="49" t="s">
        <v>2106</v>
      </c>
      <c r="G2" s="49" t="s">
        <v>2107</v>
      </c>
    </row>
    <row r="3" spans="1:22">
      <c r="A3">
        <v>1</v>
      </c>
      <c r="B3" s="49" t="s">
        <v>2131</v>
      </c>
      <c r="C3" s="49" t="s">
        <v>2132</v>
      </c>
      <c r="D3" s="154" t="s">
        <v>426</v>
      </c>
      <c r="E3" s="154" t="s">
        <v>1244</v>
      </c>
      <c r="F3" s="155">
        <v>1</v>
      </c>
      <c r="G3" s="155">
        <v>720</v>
      </c>
    </row>
    <row r="4" spans="1:22">
      <c r="A4">
        <v>2</v>
      </c>
      <c r="B4" s="49" t="s">
        <v>2131</v>
      </c>
      <c r="C4" s="49" t="s">
        <v>2132</v>
      </c>
      <c r="D4" s="154" t="s">
        <v>448</v>
      </c>
      <c r="E4" s="154" t="s">
        <v>1267</v>
      </c>
      <c r="F4" s="155">
        <v>1</v>
      </c>
      <c r="G4" s="155">
        <v>800</v>
      </c>
    </row>
    <row r="5" spans="1:22" hidden="1">
      <c r="A5">
        <v>3</v>
      </c>
      <c r="B5" s="49" t="s">
        <v>2128</v>
      </c>
      <c r="C5" s="49" t="s">
        <v>2132</v>
      </c>
      <c r="D5" s="49" t="s">
        <v>283</v>
      </c>
      <c r="E5" s="49" t="s">
        <v>1117</v>
      </c>
      <c r="F5">
        <v>16</v>
      </c>
      <c r="G5">
        <v>8000</v>
      </c>
    </row>
    <row r="6" spans="1:22">
      <c r="A6">
        <v>4</v>
      </c>
      <c r="B6" s="49" t="s">
        <v>2130</v>
      </c>
      <c r="C6" s="49" t="s">
        <v>2132</v>
      </c>
      <c r="D6" s="154" t="s">
        <v>247</v>
      </c>
      <c r="E6" s="154" t="s">
        <v>1283</v>
      </c>
      <c r="F6" s="155">
        <v>15</v>
      </c>
      <c r="G6" s="155">
        <v>2831</v>
      </c>
      <c r="K6">
        <v>285</v>
      </c>
      <c r="L6">
        <v>3</v>
      </c>
      <c r="M6">
        <f>K6*L6</f>
        <v>855</v>
      </c>
      <c r="S6" t="s">
        <v>1377</v>
      </c>
      <c r="T6">
        <v>1</v>
      </c>
      <c r="U6">
        <v>720</v>
      </c>
      <c r="V6">
        <f>T6*U6</f>
        <v>720</v>
      </c>
    </row>
    <row r="7" spans="1:22">
      <c r="A7">
        <v>5</v>
      </c>
      <c r="B7" s="49" t="s">
        <v>2130</v>
      </c>
      <c r="C7" s="49" t="s">
        <v>2132</v>
      </c>
      <c r="D7" s="154" t="s">
        <v>456</v>
      </c>
      <c r="E7" s="154" t="s">
        <v>1195</v>
      </c>
      <c r="F7" s="155">
        <v>5</v>
      </c>
      <c r="G7" s="155">
        <v>2376.4899999999998</v>
      </c>
      <c r="K7">
        <f>K6*0.95</f>
        <v>270.75</v>
      </c>
      <c r="L7">
        <v>0</v>
      </c>
      <c r="M7">
        <f>K7*L7</f>
        <v>0</v>
      </c>
      <c r="S7" t="s">
        <v>2043</v>
      </c>
      <c r="T7">
        <v>1</v>
      </c>
      <c r="U7">
        <v>800</v>
      </c>
      <c r="V7">
        <f t="shared" ref="V7:V70" si="0">T7*U7</f>
        <v>800</v>
      </c>
    </row>
    <row r="8" spans="1:22">
      <c r="A8">
        <v>6</v>
      </c>
      <c r="B8" s="49" t="s">
        <v>2130</v>
      </c>
      <c r="C8" s="49" t="s">
        <v>2132</v>
      </c>
      <c r="D8" s="154" t="s">
        <v>461</v>
      </c>
      <c r="E8" s="154" t="s">
        <v>1264</v>
      </c>
      <c r="F8" s="155">
        <v>9</v>
      </c>
      <c r="G8" s="155">
        <v>5280.5</v>
      </c>
      <c r="K8">
        <f>K7*0.95</f>
        <v>257.21249999999998</v>
      </c>
      <c r="L8">
        <v>0</v>
      </c>
      <c r="M8">
        <f>K8*L8</f>
        <v>0</v>
      </c>
      <c r="S8" s="49" t="s">
        <v>1283</v>
      </c>
      <c r="T8">
        <v>13</v>
      </c>
      <c r="U8">
        <v>190</v>
      </c>
      <c r="V8">
        <f t="shared" si="0"/>
        <v>2470</v>
      </c>
    </row>
    <row r="9" spans="1:22">
      <c r="A9">
        <v>7</v>
      </c>
      <c r="B9" s="49" t="s">
        <v>2130</v>
      </c>
      <c r="C9" s="49" t="s">
        <v>2132</v>
      </c>
      <c r="D9" s="154" t="s">
        <v>464</v>
      </c>
      <c r="E9" s="154" t="s">
        <v>1284</v>
      </c>
      <c r="F9" s="155">
        <v>3</v>
      </c>
      <c r="G9" s="155">
        <v>2301</v>
      </c>
      <c r="M9">
        <f>M6+M7+M8</f>
        <v>855</v>
      </c>
      <c r="S9" s="49" t="s">
        <v>1283</v>
      </c>
      <c r="T9">
        <v>2</v>
      </c>
      <c r="U9">
        <v>180.5</v>
      </c>
      <c r="V9">
        <f t="shared" si="0"/>
        <v>361</v>
      </c>
    </row>
    <row r="10" spans="1:22">
      <c r="A10">
        <v>8</v>
      </c>
      <c r="B10" s="49" t="s">
        <v>2130</v>
      </c>
      <c r="C10" s="49" t="s">
        <v>2132</v>
      </c>
      <c r="D10" s="154" t="s">
        <v>273</v>
      </c>
      <c r="E10" s="154" t="s">
        <v>1270</v>
      </c>
      <c r="F10" s="155">
        <v>8</v>
      </c>
      <c r="G10" s="155">
        <v>4553</v>
      </c>
      <c r="S10" s="49" t="s">
        <v>1195</v>
      </c>
      <c r="T10">
        <v>2</v>
      </c>
      <c r="U10">
        <v>490</v>
      </c>
      <c r="V10">
        <f t="shared" si="0"/>
        <v>980</v>
      </c>
    </row>
    <row r="11" spans="1:22" hidden="1">
      <c r="A11">
        <v>9</v>
      </c>
      <c r="B11" s="49" t="s">
        <v>2128</v>
      </c>
      <c r="C11" s="49" t="s">
        <v>2132</v>
      </c>
      <c r="D11" s="49" t="s">
        <v>267</v>
      </c>
      <c r="E11" s="49" t="s">
        <v>1196</v>
      </c>
      <c r="F11">
        <v>14</v>
      </c>
      <c r="G11">
        <v>7000</v>
      </c>
      <c r="V11">
        <f t="shared" si="0"/>
        <v>0</v>
      </c>
    </row>
    <row r="12" spans="1:22">
      <c r="A12">
        <v>10</v>
      </c>
      <c r="B12" s="49" t="s">
        <v>2130</v>
      </c>
      <c r="C12" s="49" t="s">
        <v>2132</v>
      </c>
      <c r="D12" s="154" t="s">
        <v>507</v>
      </c>
      <c r="E12" s="154" t="s">
        <v>1295</v>
      </c>
      <c r="F12" s="155">
        <v>1</v>
      </c>
      <c r="G12" s="155">
        <v>890</v>
      </c>
      <c r="K12">
        <f>2326*16</f>
        <v>37216</v>
      </c>
      <c r="S12" s="49" t="s">
        <v>1195</v>
      </c>
      <c r="T12">
        <v>3</v>
      </c>
      <c r="U12">
        <v>465.5</v>
      </c>
      <c r="V12">
        <f t="shared" si="0"/>
        <v>1396.5</v>
      </c>
    </row>
    <row r="13" spans="1:22" hidden="1">
      <c r="A13">
        <v>11</v>
      </c>
      <c r="B13" s="49" t="s">
        <v>2128</v>
      </c>
      <c r="C13" s="49" t="s">
        <v>2132</v>
      </c>
      <c r="D13" s="49" t="s">
        <v>160</v>
      </c>
      <c r="E13" s="49" t="s">
        <v>1205</v>
      </c>
      <c r="F13">
        <v>2</v>
      </c>
      <c r="G13">
        <v>7176</v>
      </c>
      <c r="V13">
        <f t="shared" si="0"/>
        <v>0</v>
      </c>
    </row>
    <row r="14" spans="1:22">
      <c r="A14">
        <v>12</v>
      </c>
      <c r="B14" s="49" t="s">
        <v>2130</v>
      </c>
      <c r="C14" s="49" t="s">
        <v>2132</v>
      </c>
      <c r="D14" s="154" t="s">
        <v>471</v>
      </c>
      <c r="E14" s="154" t="s">
        <v>1294</v>
      </c>
      <c r="F14" s="155">
        <v>1</v>
      </c>
      <c r="G14" s="155">
        <v>2261</v>
      </c>
      <c r="K14">
        <f>K12+M6</f>
        <v>38071</v>
      </c>
      <c r="S14" s="49" t="s">
        <v>1264</v>
      </c>
      <c r="T14">
        <v>8</v>
      </c>
      <c r="U14">
        <v>590</v>
      </c>
      <c r="V14">
        <f t="shared" si="0"/>
        <v>4720</v>
      </c>
    </row>
    <row r="15" spans="1:22">
      <c r="A15">
        <v>13</v>
      </c>
      <c r="B15" s="49" t="s">
        <v>2130</v>
      </c>
      <c r="C15" s="49" t="s">
        <v>2132</v>
      </c>
      <c r="D15" s="154" t="s">
        <v>165</v>
      </c>
      <c r="E15" s="155">
        <v>7080</v>
      </c>
      <c r="F15" s="155">
        <v>3</v>
      </c>
      <c r="G15" s="155">
        <v>973.5</v>
      </c>
      <c r="S15" s="49" t="s">
        <v>1264</v>
      </c>
      <c r="T15">
        <v>1</v>
      </c>
      <c r="U15">
        <v>560.5</v>
      </c>
      <c r="V15">
        <f t="shared" si="0"/>
        <v>560.5</v>
      </c>
    </row>
    <row r="16" spans="1:22">
      <c r="A16">
        <v>14</v>
      </c>
      <c r="B16" s="49" t="s">
        <v>2130</v>
      </c>
      <c r="C16" s="49" t="s">
        <v>2132</v>
      </c>
      <c r="D16" s="154" t="s">
        <v>698</v>
      </c>
      <c r="E16" s="154" t="s">
        <v>1154</v>
      </c>
      <c r="F16" s="155">
        <v>1</v>
      </c>
      <c r="G16" s="155">
        <v>890</v>
      </c>
      <c r="O16">
        <f>870/3</f>
        <v>290</v>
      </c>
      <c r="S16" s="49" t="s">
        <v>1284</v>
      </c>
      <c r="T16">
        <v>2</v>
      </c>
      <c r="U16">
        <v>780</v>
      </c>
      <c r="V16">
        <f t="shared" si="0"/>
        <v>1560</v>
      </c>
    </row>
    <row r="17" spans="1:22">
      <c r="A17">
        <v>15</v>
      </c>
      <c r="B17" s="49" t="s">
        <v>2130</v>
      </c>
      <c r="C17" s="49" t="s">
        <v>2132</v>
      </c>
      <c r="D17" s="154" t="s">
        <v>707</v>
      </c>
      <c r="E17" s="154" t="s">
        <v>1383</v>
      </c>
      <c r="F17" s="155">
        <v>2</v>
      </c>
      <c r="G17" s="155">
        <v>3861</v>
      </c>
      <c r="M17">
        <f>9690/5</f>
        <v>1938</v>
      </c>
      <c r="S17" s="49" t="s">
        <v>1284</v>
      </c>
      <c r="T17">
        <v>1</v>
      </c>
      <c r="U17">
        <v>741</v>
      </c>
      <c r="V17">
        <f t="shared" si="0"/>
        <v>741</v>
      </c>
    </row>
    <row r="18" spans="1:22">
      <c r="A18">
        <v>16</v>
      </c>
      <c r="B18" s="49" t="s">
        <v>2130</v>
      </c>
      <c r="C18" s="49" t="s">
        <v>2132</v>
      </c>
      <c r="D18" s="154" t="s">
        <v>719</v>
      </c>
      <c r="E18" s="154" t="s">
        <v>1286</v>
      </c>
      <c r="F18" s="155">
        <v>1</v>
      </c>
      <c r="G18" s="155">
        <v>930</v>
      </c>
      <c r="S18" s="49" t="s">
        <v>1270</v>
      </c>
      <c r="T18">
        <v>5</v>
      </c>
      <c r="U18">
        <v>580</v>
      </c>
      <c r="V18">
        <f t="shared" si="0"/>
        <v>2900</v>
      </c>
    </row>
    <row r="19" spans="1:22">
      <c r="A19">
        <v>17</v>
      </c>
      <c r="B19" s="49" t="s">
        <v>2130</v>
      </c>
      <c r="C19" s="49" t="s">
        <v>2132</v>
      </c>
      <c r="D19" s="154" t="s">
        <v>727</v>
      </c>
      <c r="E19" s="154" t="s">
        <v>1379</v>
      </c>
      <c r="F19" s="155">
        <v>1</v>
      </c>
      <c r="G19" s="155">
        <v>3781</v>
      </c>
      <c r="L19">
        <f>69090/29</f>
        <v>2382.4137931034484</v>
      </c>
      <c r="S19" s="49" t="s">
        <v>1270</v>
      </c>
      <c r="T19">
        <v>3</v>
      </c>
      <c r="U19">
        <v>551</v>
      </c>
      <c r="V19">
        <f t="shared" si="0"/>
        <v>1653</v>
      </c>
    </row>
    <row r="20" spans="1:22">
      <c r="A20">
        <v>18</v>
      </c>
      <c r="B20" s="49" t="s">
        <v>2130</v>
      </c>
      <c r="C20" s="49" t="s">
        <v>2132</v>
      </c>
      <c r="D20" s="154" t="s">
        <v>707</v>
      </c>
      <c r="E20" s="154" t="s">
        <v>1383</v>
      </c>
      <c r="F20" s="155">
        <v>2</v>
      </c>
      <c r="G20" s="155">
        <v>3861</v>
      </c>
      <c r="S20" s="49" t="s">
        <v>1295</v>
      </c>
      <c r="T20">
        <v>1</v>
      </c>
      <c r="U20">
        <v>890</v>
      </c>
      <c r="V20">
        <f t="shared" si="0"/>
        <v>890</v>
      </c>
    </row>
    <row r="21" spans="1:22" hidden="1">
      <c r="A21">
        <v>19</v>
      </c>
      <c r="B21" s="49" t="s">
        <v>2128</v>
      </c>
      <c r="C21" s="49" t="s">
        <v>2132</v>
      </c>
      <c r="D21" s="49" t="s">
        <v>729</v>
      </c>
      <c r="E21" s="49" t="s">
        <v>1197</v>
      </c>
      <c r="F21">
        <v>6</v>
      </c>
      <c r="G21">
        <v>9000</v>
      </c>
      <c r="V21">
        <f t="shared" si="0"/>
        <v>0</v>
      </c>
    </row>
    <row r="22" spans="1:22" hidden="1">
      <c r="A22">
        <v>20</v>
      </c>
      <c r="B22" s="49" t="s">
        <v>2128</v>
      </c>
      <c r="C22" s="49" t="s">
        <v>2132</v>
      </c>
      <c r="D22" s="49" t="s">
        <v>570</v>
      </c>
      <c r="E22" s="49" t="s">
        <v>1240</v>
      </c>
      <c r="F22">
        <v>7</v>
      </c>
      <c r="G22">
        <v>10500</v>
      </c>
      <c r="V22">
        <f t="shared" si="0"/>
        <v>0</v>
      </c>
    </row>
    <row r="23" spans="1:22">
      <c r="A23">
        <v>21</v>
      </c>
      <c r="B23" s="49" t="s">
        <v>2130</v>
      </c>
      <c r="C23" s="49" t="s">
        <v>2132</v>
      </c>
      <c r="D23" s="154" t="s">
        <v>798</v>
      </c>
      <c r="E23" s="154" t="s">
        <v>1271</v>
      </c>
      <c r="F23" s="155">
        <v>17</v>
      </c>
      <c r="G23" s="155">
        <v>5880</v>
      </c>
      <c r="S23" s="49" t="s">
        <v>1294</v>
      </c>
      <c r="T23">
        <v>1</v>
      </c>
      <c r="U23">
        <v>2261</v>
      </c>
      <c r="V23">
        <f t="shared" si="0"/>
        <v>2261</v>
      </c>
    </row>
    <row r="24" spans="1:22">
      <c r="A24">
        <v>22</v>
      </c>
      <c r="B24" s="49" t="s">
        <v>2130</v>
      </c>
      <c r="C24" s="49" t="s">
        <v>2132</v>
      </c>
      <c r="D24" s="154" t="s">
        <v>824</v>
      </c>
      <c r="E24" s="154" t="s">
        <v>1273</v>
      </c>
      <c r="F24" s="155">
        <v>6</v>
      </c>
      <c r="G24" s="155">
        <v>4484</v>
      </c>
      <c r="S24">
        <v>7080</v>
      </c>
      <c r="T24">
        <v>2</v>
      </c>
      <c r="U24">
        <v>330</v>
      </c>
      <c r="V24">
        <f t="shared" si="0"/>
        <v>660</v>
      </c>
    </row>
    <row r="25" spans="1:22">
      <c r="A25">
        <v>23</v>
      </c>
      <c r="B25" s="49" t="s">
        <v>2130</v>
      </c>
      <c r="C25" s="49" t="s">
        <v>2132</v>
      </c>
      <c r="D25" s="154" t="s">
        <v>821</v>
      </c>
      <c r="E25" s="154" t="s">
        <v>1243</v>
      </c>
      <c r="F25" s="155">
        <v>11</v>
      </c>
      <c r="G25" s="155">
        <v>3131.95</v>
      </c>
      <c r="S25">
        <v>7080</v>
      </c>
      <c r="T25">
        <v>1</v>
      </c>
      <c r="U25">
        <v>313.5</v>
      </c>
      <c r="V25">
        <f t="shared" si="0"/>
        <v>313.5</v>
      </c>
    </row>
    <row r="26" spans="1:22">
      <c r="A26">
        <v>24</v>
      </c>
      <c r="B26" s="49" t="s">
        <v>2130</v>
      </c>
      <c r="C26" s="49" t="s">
        <v>2132</v>
      </c>
      <c r="D26" s="154" t="s">
        <v>855</v>
      </c>
      <c r="E26" s="154" t="s">
        <v>1381</v>
      </c>
      <c r="F26" s="155">
        <v>1</v>
      </c>
      <c r="G26" s="155">
        <v>1603.6</v>
      </c>
      <c r="S26" s="49" t="s">
        <v>1154</v>
      </c>
      <c r="T26">
        <v>1</v>
      </c>
      <c r="U26">
        <v>890</v>
      </c>
      <c r="V26">
        <f t="shared" si="0"/>
        <v>890</v>
      </c>
    </row>
    <row r="27" spans="1:22">
      <c r="A27">
        <v>25</v>
      </c>
      <c r="B27" s="49" t="s">
        <v>2130</v>
      </c>
      <c r="C27" s="49" t="s">
        <v>2132</v>
      </c>
      <c r="D27" s="154" t="s">
        <v>874</v>
      </c>
      <c r="E27" s="154" t="s">
        <v>1279</v>
      </c>
      <c r="F27" s="155">
        <v>3</v>
      </c>
      <c r="G27" s="155">
        <v>2920.5</v>
      </c>
      <c r="N27">
        <f>3762/2</f>
        <v>1881</v>
      </c>
      <c r="S27" s="49" t="s">
        <v>1383</v>
      </c>
      <c r="T27">
        <v>2</v>
      </c>
      <c r="U27">
        <v>1980</v>
      </c>
      <c r="V27">
        <f t="shared" si="0"/>
        <v>3960</v>
      </c>
    </row>
    <row r="28" spans="1:22">
      <c r="A28">
        <v>26</v>
      </c>
      <c r="B28" s="49" t="s">
        <v>2130</v>
      </c>
      <c r="C28" s="49" t="s">
        <v>2132</v>
      </c>
      <c r="D28" s="154" t="s">
        <v>902</v>
      </c>
      <c r="E28" s="154" t="s">
        <v>1362</v>
      </c>
      <c r="F28" s="155">
        <v>6</v>
      </c>
      <c r="G28" s="155">
        <v>5841</v>
      </c>
      <c r="S28" s="49" t="s">
        <v>1383</v>
      </c>
      <c r="T28">
        <v>2</v>
      </c>
      <c r="U28">
        <v>1881</v>
      </c>
      <c r="V28">
        <f t="shared" si="0"/>
        <v>3762</v>
      </c>
    </row>
    <row r="29" spans="1:22">
      <c r="A29">
        <v>27</v>
      </c>
      <c r="B29" s="49" t="s">
        <v>2130</v>
      </c>
      <c r="C29" s="49" t="s">
        <v>2132</v>
      </c>
      <c r="D29" s="154" t="s">
        <v>910</v>
      </c>
      <c r="E29" s="154" t="s">
        <v>1268</v>
      </c>
      <c r="F29" s="155">
        <v>6</v>
      </c>
      <c r="G29" s="155">
        <v>1520.95</v>
      </c>
      <c r="S29" s="49" t="s">
        <v>1286</v>
      </c>
      <c r="T29">
        <v>1</v>
      </c>
      <c r="U29">
        <v>930</v>
      </c>
      <c r="V29">
        <f t="shared" si="0"/>
        <v>930</v>
      </c>
    </row>
    <row r="30" spans="1:22">
      <c r="A30">
        <v>28</v>
      </c>
      <c r="B30" s="49" t="s">
        <v>2130</v>
      </c>
      <c r="C30" s="49" t="s">
        <v>2132</v>
      </c>
      <c r="D30" s="154" t="s">
        <v>942</v>
      </c>
      <c r="E30" s="154" t="s">
        <v>1285</v>
      </c>
      <c r="F30" s="155">
        <v>7</v>
      </c>
      <c r="G30" s="155">
        <v>2603</v>
      </c>
      <c r="S30" s="49" t="s">
        <v>1379</v>
      </c>
      <c r="T30">
        <v>1</v>
      </c>
      <c r="U30">
        <v>3781</v>
      </c>
      <c r="V30">
        <f t="shared" si="0"/>
        <v>3781</v>
      </c>
    </row>
    <row r="31" spans="1:22">
      <c r="A31">
        <v>29</v>
      </c>
      <c r="B31" s="49" t="s">
        <v>2130</v>
      </c>
      <c r="C31" s="49" t="s">
        <v>2132</v>
      </c>
      <c r="D31" s="154" t="s">
        <v>959</v>
      </c>
      <c r="E31" s="154" t="s">
        <v>1277</v>
      </c>
      <c r="F31" s="155">
        <v>3</v>
      </c>
      <c r="G31" s="155">
        <v>1860</v>
      </c>
      <c r="S31" s="49" t="s">
        <v>1271</v>
      </c>
      <c r="T31">
        <v>13</v>
      </c>
      <c r="U31">
        <v>350</v>
      </c>
      <c r="V31">
        <f t="shared" si="0"/>
        <v>4550</v>
      </c>
    </row>
    <row r="32" spans="1:22" hidden="1">
      <c r="A32">
        <v>30</v>
      </c>
      <c r="B32" s="49" t="s">
        <v>2128</v>
      </c>
      <c r="C32" s="49" t="s">
        <v>2132</v>
      </c>
      <c r="D32" s="49" t="s">
        <v>839</v>
      </c>
      <c r="E32" s="49" t="s">
        <v>1242</v>
      </c>
      <c r="F32">
        <v>21</v>
      </c>
      <c r="G32">
        <v>10500</v>
      </c>
      <c r="V32">
        <f t="shared" si="0"/>
        <v>0</v>
      </c>
    </row>
    <row r="33" spans="1:22" hidden="1">
      <c r="A33">
        <v>31</v>
      </c>
      <c r="B33" s="49" t="s">
        <v>2128</v>
      </c>
      <c r="C33" s="49" t="s">
        <v>2132</v>
      </c>
      <c r="D33" s="49" t="s">
        <v>843</v>
      </c>
      <c r="E33" s="49" t="s">
        <v>1204</v>
      </c>
      <c r="F33">
        <v>82</v>
      </c>
      <c r="G33">
        <v>41000</v>
      </c>
      <c r="V33">
        <f t="shared" si="0"/>
        <v>0</v>
      </c>
    </row>
    <row r="34" spans="1:22" hidden="1">
      <c r="A34">
        <v>32</v>
      </c>
      <c r="B34" s="49" t="s">
        <v>2130</v>
      </c>
      <c r="C34" s="49" t="s">
        <v>2133</v>
      </c>
      <c r="D34" s="49" t="e">
        <v>#N/A</v>
      </c>
      <c r="E34" s="49" t="s">
        <v>2112</v>
      </c>
      <c r="F34">
        <v>22</v>
      </c>
      <c r="G34">
        <v>2155.4</v>
      </c>
      <c r="V34">
        <f t="shared" si="0"/>
        <v>0</v>
      </c>
    </row>
    <row r="35" spans="1:22" hidden="1">
      <c r="A35">
        <v>33</v>
      </c>
      <c r="B35" s="49" t="s">
        <v>2128</v>
      </c>
      <c r="C35" s="49" t="s">
        <v>2133</v>
      </c>
      <c r="D35" s="49" t="s">
        <v>530</v>
      </c>
      <c r="E35" s="49" t="s">
        <v>1206</v>
      </c>
      <c r="F35">
        <v>7</v>
      </c>
      <c r="G35">
        <v>18116</v>
      </c>
      <c r="V35">
        <f t="shared" si="0"/>
        <v>0</v>
      </c>
    </row>
    <row r="36" spans="1:22" hidden="1">
      <c r="A36">
        <v>34</v>
      </c>
      <c r="B36" s="49" t="s">
        <v>2128</v>
      </c>
      <c r="C36" s="49" t="s">
        <v>2133</v>
      </c>
      <c r="D36" s="49" t="s">
        <v>672</v>
      </c>
      <c r="E36" s="49" t="s">
        <v>1207</v>
      </c>
      <c r="F36">
        <v>11</v>
      </c>
      <c r="G36">
        <v>16500</v>
      </c>
      <c r="V36">
        <f t="shared" si="0"/>
        <v>0</v>
      </c>
    </row>
    <row r="37" spans="1:22" hidden="1">
      <c r="A37">
        <v>35</v>
      </c>
      <c r="B37" s="49" t="s">
        <v>2128</v>
      </c>
      <c r="C37" s="49" t="s">
        <v>2133</v>
      </c>
      <c r="D37" s="49" t="s">
        <v>687</v>
      </c>
      <c r="E37" s="49" t="s">
        <v>1199</v>
      </c>
      <c r="F37">
        <v>5</v>
      </c>
      <c r="G37">
        <v>17940</v>
      </c>
      <c r="V37">
        <f t="shared" si="0"/>
        <v>0</v>
      </c>
    </row>
    <row r="38" spans="1:22" hidden="1">
      <c r="A38">
        <v>36</v>
      </c>
      <c r="B38" s="49" t="s">
        <v>2130</v>
      </c>
      <c r="C38" s="49" t="s">
        <v>2133</v>
      </c>
      <c r="D38" s="49" t="s">
        <v>828</v>
      </c>
      <c r="E38" s="49" t="s">
        <v>1386</v>
      </c>
      <c r="F38">
        <v>1</v>
      </c>
      <c r="G38">
        <v>1686</v>
      </c>
      <c r="V38">
        <f t="shared" si="0"/>
        <v>0</v>
      </c>
    </row>
    <row r="39" spans="1:22" hidden="1">
      <c r="A39">
        <v>37</v>
      </c>
      <c r="B39" s="49" t="s">
        <v>2130</v>
      </c>
      <c r="C39" s="49" t="s">
        <v>2133</v>
      </c>
      <c r="D39" s="49" t="s">
        <v>845</v>
      </c>
      <c r="E39" s="49" t="s">
        <v>1495</v>
      </c>
      <c r="F39">
        <v>1</v>
      </c>
      <c r="G39">
        <v>3695.5</v>
      </c>
      <c r="V39">
        <f t="shared" si="0"/>
        <v>0</v>
      </c>
    </row>
    <row r="40" spans="1:22" hidden="1">
      <c r="A40">
        <v>38</v>
      </c>
      <c r="B40" s="49" t="s">
        <v>2130</v>
      </c>
      <c r="C40" s="49" t="s">
        <v>2133</v>
      </c>
      <c r="D40" s="49" t="s">
        <v>879</v>
      </c>
      <c r="E40" s="49" t="s">
        <v>1266</v>
      </c>
      <c r="F40">
        <v>7</v>
      </c>
      <c r="G40">
        <v>23828</v>
      </c>
      <c r="V40">
        <f t="shared" si="0"/>
        <v>0</v>
      </c>
    </row>
    <row r="41" spans="1:22" hidden="1">
      <c r="A41">
        <v>39</v>
      </c>
      <c r="B41" s="49" t="s">
        <v>2130</v>
      </c>
      <c r="C41" s="49" t="s">
        <v>2133</v>
      </c>
      <c r="D41" s="49" t="s">
        <v>918</v>
      </c>
      <c r="E41" s="49" t="s">
        <v>1280</v>
      </c>
      <c r="F41">
        <v>1</v>
      </c>
      <c r="G41">
        <v>2925.9</v>
      </c>
      <c r="V41">
        <f t="shared" si="0"/>
        <v>0</v>
      </c>
    </row>
    <row r="42" spans="1:22" hidden="1">
      <c r="A42">
        <v>40</v>
      </c>
      <c r="B42" s="49" t="s">
        <v>2130</v>
      </c>
      <c r="C42" s="49" t="s">
        <v>2133</v>
      </c>
      <c r="D42" s="49" t="s">
        <v>968</v>
      </c>
      <c r="E42" s="49" t="s">
        <v>969</v>
      </c>
      <c r="F42">
        <v>5</v>
      </c>
      <c r="G42">
        <v>17362.900000000001</v>
      </c>
      <c r="V42">
        <f t="shared" si="0"/>
        <v>0</v>
      </c>
    </row>
    <row r="43" spans="1:22" hidden="1">
      <c r="A43">
        <v>41</v>
      </c>
      <c r="B43" s="49" t="s">
        <v>2128</v>
      </c>
      <c r="C43" s="49" t="s">
        <v>2133</v>
      </c>
      <c r="D43" s="49" t="s">
        <v>232</v>
      </c>
      <c r="E43" s="49" t="s">
        <v>1208</v>
      </c>
      <c r="F43">
        <v>5</v>
      </c>
      <c r="G43">
        <v>14440</v>
      </c>
      <c r="V43">
        <f t="shared" si="0"/>
        <v>0</v>
      </c>
    </row>
    <row r="44" spans="1:22" hidden="1">
      <c r="A44">
        <v>42</v>
      </c>
      <c r="B44" s="49" t="s">
        <v>2130</v>
      </c>
      <c r="C44" s="49" t="s">
        <v>2133</v>
      </c>
      <c r="D44" s="49" t="s">
        <v>1013</v>
      </c>
      <c r="E44" s="49" t="s">
        <v>1831</v>
      </c>
      <c r="F44">
        <v>1</v>
      </c>
      <c r="G44">
        <v>2446</v>
      </c>
      <c r="V44">
        <f t="shared" si="0"/>
        <v>0</v>
      </c>
    </row>
    <row r="45" spans="1:22" hidden="1">
      <c r="A45">
        <v>43</v>
      </c>
      <c r="B45" s="49" t="s">
        <v>2130</v>
      </c>
      <c r="C45" s="49" t="s">
        <v>2133</v>
      </c>
      <c r="D45" s="49" t="s">
        <v>1009</v>
      </c>
      <c r="E45" s="49" t="s">
        <v>1462</v>
      </c>
      <c r="F45">
        <v>3</v>
      </c>
      <c r="G45">
        <v>7723</v>
      </c>
      <c r="V45">
        <f t="shared" si="0"/>
        <v>0</v>
      </c>
    </row>
    <row r="46" spans="1:22" hidden="1">
      <c r="A46">
        <v>44</v>
      </c>
      <c r="B46" s="49" t="s">
        <v>2130</v>
      </c>
      <c r="C46" s="49" t="s">
        <v>2133</v>
      </c>
      <c r="D46" s="49" t="s">
        <v>996</v>
      </c>
      <c r="E46" s="49" t="s">
        <v>1411</v>
      </c>
      <c r="F46">
        <v>3</v>
      </c>
      <c r="G46">
        <v>6212.8</v>
      </c>
      <c r="V46">
        <f t="shared" si="0"/>
        <v>0</v>
      </c>
    </row>
    <row r="47" spans="1:22" hidden="1">
      <c r="A47">
        <v>45</v>
      </c>
      <c r="B47" s="49" t="s">
        <v>2128</v>
      </c>
      <c r="C47" s="49" t="s">
        <v>2133</v>
      </c>
      <c r="D47" s="49" t="s">
        <v>567</v>
      </c>
      <c r="E47" s="49" t="s">
        <v>1202</v>
      </c>
      <c r="F47">
        <v>18</v>
      </c>
      <c r="G47">
        <v>27000</v>
      </c>
      <c r="V47">
        <f t="shared" si="0"/>
        <v>0</v>
      </c>
    </row>
    <row r="48" spans="1:22" hidden="1">
      <c r="A48">
        <v>46</v>
      </c>
      <c r="B48" s="49" t="s">
        <v>2130</v>
      </c>
      <c r="C48" s="49" t="s">
        <v>2133</v>
      </c>
      <c r="D48" s="49" t="s">
        <v>661</v>
      </c>
      <c r="E48" s="49" t="s">
        <v>656</v>
      </c>
      <c r="F48">
        <v>1</v>
      </c>
      <c r="G48">
        <v>3420</v>
      </c>
      <c r="V48">
        <f t="shared" si="0"/>
        <v>0</v>
      </c>
    </row>
    <row r="49" spans="1:22" hidden="1">
      <c r="A49">
        <v>47</v>
      </c>
      <c r="B49" s="49" t="s">
        <v>2130</v>
      </c>
      <c r="C49" s="49" t="s">
        <v>2133</v>
      </c>
      <c r="D49" s="49" t="s">
        <v>639</v>
      </c>
      <c r="E49" s="49" t="s">
        <v>1471</v>
      </c>
      <c r="F49">
        <v>1</v>
      </c>
      <c r="G49">
        <v>6320</v>
      </c>
      <c r="V49">
        <f t="shared" si="0"/>
        <v>0</v>
      </c>
    </row>
    <row r="50" spans="1:22" hidden="1">
      <c r="A50">
        <v>48</v>
      </c>
      <c r="B50" s="49" t="s">
        <v>2128</v>
      </c>
      <c r="C50" s="49" t="s">
        <v>2132</v>
      </c>
      <c r="D50" s="49" t="s">
        <v>349</v>
      </c>
      <c r="E50" s="49" t="s">
        <v>1241</v>
      </c>
      <c r="F50">
        <v>11</v>
      </c>
      <c r="G50">
        <v>16500</v>
      </c>
      <c r="V50">
        <f t="shared" si="0"/>
        <v>0</v>
      </c>
    </row>
    <row r="51" spans="1:22">
      <c r="A51">
        <v>49</v>
      </c>
      <c r="B51" s="49" t="s">
        <v>2130</v>
      </c>
      <c r="C51" s="49" t="s">
        <v>2132</v>
      </c>
      <c r="D51" s="154" t="s">
        <v>175</v>
      </c>
      <c r="E51" s="154" t="s">
        <v>1391</v>
      </c>
      <c r="F51" s="155">
        <v>10</v>
      </c>
      <c r="G51" s="155">
        <v>3555.8</v>
      </c>
      <c r="S51" s="49" t="s">
        <v>1271</v>
      </c>
      <c r="T51">
        <v>4</v>
      </c>
      <c r="U51">
        <v>332.5</v>
      </c>
      <c r="V51">
        <f t="shared" si="0"/>
        <v>1330</v>
      </c>
    </row>
    <row r="52" spans="1:22">
      <c r="A52">
        <v>50</v>
      </c>
      <c r="B52" s="49" t="s">
        <v>2130</v>
      </c>
      <c r="C52" s="49" t="s">
        <v>2132</v>
      </c>
      <c r="D52" s="154" t="s">
        <v>755</v>
      </c>
      <c r="E52" s="154" t="s">
        <v>1453</v>
      </c>
      <c r="F52" s="155">
        <v>7</v>
      </c>
      <c r="G52" s="155">
        <v>3740</v>
      </c>
      <c r="S52" s="49" t="s">
        <v>1273</v>
      </c>
      <c r="T52">
        <v>4</v>
      </c>
      <c r="U52">
        <v>760</v>
      </c>
      <c r="V52">
        <f t="shared" si="0"/>
        <v>3040</v>
      </c>
    </row>
    <row r="53" spans="1:22" hidden="1">
      <c r="A53">
        <v>51</v>
      </c>
      <c r="B53" s="49" t="s">
        <v>2128</v>
      </c>
      <c r="C53" s="49" t="s">
        <v>2133</v>
      </c>
      <c r="D53" s="49" t="s">
        <v>802</v>
      </c>
      <c r="E53" s="49" t="s">
        <v>1248</v>
      </c>
      <c r="F53">
        <v>3</v>
      </c>
      <c r="G53">
        <v>9084</v>
      </c>
      <c r="V53">
        <f t="shared" si="0"/>
        <v>0</v>
      </c>
    </row>
    <row r="54" spans="1:22" hidden="1">
      <c r="A54">
        <v>52</v>
      </c>
      <c r="B54" s="49" t="s">
        <v>2128</v>
      </c>
      <c r="C54" s="49" t="s">
        <v>2133</v>
      </c>
      <c r="D54" s="49" t="s">
        <v>803</v>
      </c>
      <c r="E54" s="49" t="s">
        <v>1256</v>
      </c>
      <c r="F54">
        <v>1</v>
      </c>
      <c r="G54">
        <v>3528</v>
      </c>
      <c r="V54">
        <f t="shared" si="0"/>
        <v>0</v>
      </c>
    </row>
    <row r="55" spans="1:22">
      <c r="A55">
        <v>53</v>
      </c>
      <c r="B55" s="49" t="s">
        <v>2130</v>
      </c>
      <c r="C55" s="49" t="s">
        <v>2132</v>
      </c>
      <c r="D55" s="154" t="s">
        <v>1188</v>
      </c>
      <c r="E55" s="154" t="s">
        <v>1250</v>
      </c>
      <c r="F55" s="155">
        <v>5</v>
      </c>
      <c r="G55" s="155">
        <v>9690</v>
      </c>
      <c r="S55" s="49" t="s">
        <v>1273</v>
      </c>
      <c r="T55">
        <v>2</v>
      </c>
      <c r="U55">
        <v>722</v>
      </c>
      <c r="V55">
        <f t="shared" si="0"/>
        <v>1444</v>
      </c>
    </row>
    <row r="56" spans="1:22">
      <c r="A56">
        <v>54</v>
      </c>
      <c r="B56" s="49" t="s">
        <v>2130</v>
      </c>
      <c r="C56" s="49" t="s">
        <v>2132</v>
      </c>
      <c r="D56" s="154" t="s">
        <v>1134</v>
      </c>
      <c r="E56" s="154" t="s">
        <v>1252</v>
      </c>
      <c r="F56" s="155">
        <v>29</v>
      </c>
      <c r="G56" s="155">
        <v>69090</v>
      </c>
      <c r="S56" s="49" t="s">
        <v>1243</v>
      </c>
      <c r="T56">
        <v>7</v>
      </c>
      <c r="U56">
        <v>290</v>
      </c>
      <c r="V56">
        <f t="shared" si="0"/>
        <v>2030</v>
      </c>
    </row>
    <row r="57" spans="1:22">
      <c r="A57">
        <v>55</v>
      </c>
      <c r="B57" s="49" t="s">
        <v>2130</v>
      </c>
      <c r="C57" s="49" t="s">
        <v>2132</v>
      </c>
      <c r="D57" s="154" t="s">
        <v>349</v>
      </c>
      <c r="E57" s="154" t="s">
        <v>1241</v>
      </c>
      <c r="F57" s="155">
        <v>2</v>
      </c>
      <c r="G57" s="155">
        <v>3762</v>
      </c>
      <c r="S57" s="49" t="s">
        <v>1243</v>
      </c>
      <c r="T57">
        <v>4</v>
      </c>
      <c r="U57">
        <v>275.5</v>
      </c>
      <c r="V57">
        <f t="shared" si="0"/>
        <v>1102</v>
      </c>
    </row>
    <row r="58" spans="1:22">
      <c r="A58">
        <v>56</v>
      </c>
      <c r="B58" s="49" t="s">
        <v>2130</v>
      </c>
      <c r="C58" s="49" t="s">
        <v>2132</v>
      </c>
      <c r="D58" s="154" t="s">
        <v>1455</v>
      </c>
      <c r="E58" s="154" t="s">
        <v>1457</v>
      </c>
      <c r="F58" s="155">
        <v>3</v>
      </c>
      <c r="G58" s="155">
        <v>870</v>
      </c>
      <c r="S58" s="49" t="s">
        <v>1381</v>
      </c>
      <c r="T58">
        <v>1</v>
      </c>
      <c r="U58">
        <v>1603.6</v>
      </c>
      <c r="V58">
        <f t="shared" si="0"/>
        <v>1603.6</v>
      </c>
    </row>
    <row r="59" spans="1:22" hidden="1">
      <c r="A59">
        <v>57</v>
      </c>
      <c r="B59" s="49" t="s">
        <v>2130</v>
      </c>
      <c r="C59" s="49" t="s">
        <v>2133</v>
      </c>
      <c r="D59" s="49" t="s">
        <v>801</v>
      </c>
      <c r="E59" s="49" t="s">
        <v>1771</v>
      </c>
      <c r="F59">
        <v>1</v>
      </c>
      <c r="G59">
        <v>2530</v>
      </c>
      <c r="V59">
        <f t="shared" si="0"/>
        <v>0</v>
      </c>
    </row>
    <row r="60" spans="1:22" hidden="1">
      <c r="A60">
        <v>58</v>
      </c>
      <c r="B60" s="49" t="s">
        <v>2130</v>
      </c>
      <c r="C60" s="49" t="s">
        <v>2133</v>
      </c>
      <c r="D60" s="49" t="s">
        <v>666</v>
      </c>
      <c r="E60" s="49" t="s">
        <v>2127</v>
      </c>
      <c r="F60">
        <v>1</v>
      </c>
      <c r="G60">
        <v>2130</v>
      </c>
      <c r="V60">
        <f t="shared" si="0"/>
        <v>0</v>
      </c>
    </row>
    <row r="61" spans="1:22">
      <c r="S61" s="49" t="s">
        <v>1279</v>
      </c>
      <c r="T61">
        <v>2</v>
      </c>
      <c r="U61">
        <v>990</v>
      </c>
      <c r="V61">
        <f t="shared" si="0"/>
        <v>1980</v>
      </c>
    </row>
    <row r="62" spans="1:22">
      <c r="S62" s="49" t="s">
        <v>1279</v>
      </c>
      <c r="T62">
        <v>1</v>
      </c>
      <c r="U62">
        <v>940.5</v>
      </c>
      <c r="V62">
        <f t="shared" si="0"/>
        <v>940.5</v>
      </c>
    </row>
    <row r="63" spans="1:22">
      <c r="S63" s="49" t="s">
        <v>1362</v>
      </c>
      <c r="T63">
        <v>4</v>
      </c>
      <c r="U63">
        <v>990</v>
      </c>
      <c r="V63">
        <f t="shared" si="0"/>
        <v>3960</v>
      </c>
    </row>
    <row r="64" spans="1:22">
      <c r="S64" s="49" t="s">
        <v>1362</v>
      </c>
      <c r="T64">
        <v>2</v>
      </c>
      <c r="U64">
        <v>940.5</v>
      </c>
      <c r="V64">
        <f t="shared" si="0"/>
        <v>1881</v>
      </c>
    </row>
    <row r="65" spans="19:22">
      <c r="S65" s="49" t="s">
        <v>1268</v>
      </c>
      <c r="T65">
        <v>3</v>
      </c>
      <c r="U65">
        <v>260</v>
      </c>
      <c r="V65">
        <f t="shared" si="0"/>
        <v>780</v>
      </c>
    </row>
    <row r="66" spans="19:22">
      <c r="S66" s="49" t="s">
        <v>1268</v>
      </c>
      <c r="T66">
        <v>3</v>
      </c>
      <c r="U66">
        <v>247</v>
      </c>
      <c r="V66">
        <f t="shared" si="0"/>
        <v>741</v>
      </c>
    </row>
    <row r="67" spans="19:22">
      <c r="S67" s="49" t="s">
        <v>1285</v>
      </c>
      <c r="T67">
        <v>4</v>
      </c>
      <c r="U67">
        <v>380</v>
      </c>
      <c r="V67">
        <f t="shared" si="0"/>
        <v>1520</v>
      </c>
    </row>
    <row r="68" spans="19:22">
      <c r="S68" s="49" t="s">
        <v>1285</v>
      </c>
      <c r="T68">
        <v>3</v>
      </c>
      <c r="U68">
        <v>361</v>
      </c>
      <c r="V68">
        <f t="shared" si="0"/>
        <v>1083</v>
      </c>
    </row>
    <row r="69" spans="19:22">
      <c r="S69" s="49" t="s">
        <v>1277</v>
      </c>
      <c r="T69">
        <v>3</v>
      </c>
      <c r="U69">
        <v>620</v>
      </c>
      <c r="V69">
        <f t="shared" si="0"/>
        <v>1860</v>
      </c>
    </row>
    <row r="70" spans="19:22">
      <c r="S70" s="49" t="s">
        <v>1391</v>
      </c>
      <c r="T70">
        <v>2</v>
      </c>
      <c r="U70">
        <v>370.5</v>
      </c>
      <c r="V70">
        <f t="shared" si="0"/>
        <v>741</v>
      </c>
    </row>
    <row r="71" spans="19:22">
      <c r="S71" s="49" t="s">
        <v>1391</v>
      </c>
      <c r="T71">
        <v>8</v>
      </c>
      <c r="U71">
        <v>351</v>
      </c>
      <c r="V71">
        <f t="shared" ref="V71:V78" si="1">T71*U71</f>
        <v>2808</v>
      </c>
    </row>
    <row r="72" spans="19:22">
      <c r="S72" s="49" t="s">
        <v>1453</v>
      </c>
      <c r="T72">
        <v>3</v>
      </c>
      <c r="U72">
        <v>550</v>
      </c>
      <c r="V72">
        <f t="shared" si="1"/>
        <v>1650</v>
      </c>
    </row>
    <row r="73" spans="19:22">
      <c r="S73" s="49" t="s">
        <v>1453</v>
      </c>
      <c r="T73">
        <v>4</v>
      </c>
      <c r="U73">
        <v>522.5</v>
      </c>
      <c r="V73">
        <f t="shared" si="1"/>
        <v>2090</v>
      </c>
    </row>
    <row r="74" spans="19:22">
      <c r="S74" s="49" t="s">
        <v>1250</v>
      </c>
      <c r="T74">
        <v>5</v>
      </c>
      <c r="U74">
        <v>1938</v>
      </c>
      <c r="V74">
        <f t="shared" si="1"/>
        <v>9690</v>
      </c>
    </row>
    <row r="75" spans="19:22">
      <c r="S75" s="49" t="s">
        <v>1252</v>
      </c>
      <c r="T75">
        <v>13</v>
      </c>
      <c r="U75">
        <v>2451</v>
      </c>
      <c r="V75">
        <f t="shared" si="1"/>
        <v>31863</v>
      </c>
    </row>
    <row r="76" spans="19:22">
      <c r="S76" s="49" t="s">
        <v>1252</v>
      </c>
      <c r="T76">
        <v>16</v>
      </c>
      <c r="U76">
        <v>2326</v>
      </c>
      <c r="V76">
        <f t="shared" si="1"/>
        <v>37216</v>
      </c>
    </row>
    <row r="77" spans="19:22">
      <c r="S77" s="49" t="s">
        <v>1241</v>
      </c>
      <c r="T77">
        <v>2</v>
      </c>
      <c r="U77">
        <v>1881</v>
      </c>
      <c r="V77">
        <f t="shared" si="1"/>
        <v>3762</v>
      </c>
    </row>
    <row r="78" spans="19:22">
      <c r="S78" s="49" t="s">
        <v>1457</v>
      </c>
      <c r="T78">
        <v>3</v>
      </c>
      <c r="U78">
        <v>290</v>
      </c>
      <c r="V78">
        <f t="shared" si="1"/>
        <v>870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87B6-ADDB-40B7-A538-A355682C8DAB}">
  <dimension ref="A1:X120"/>
  <sheetViews>
    <sheetView workbookViewId="0">
      <selection activeCell="R12" sqref="R12"/>
    </sheetView>
  </sheetViews>
  <sheetFormatPr defaultRowHeight="15.75"/>
  <cols>
    <col min="1" max="1" width="29.28515625" bestFit="1" customWidth="1"/>
    <col min="2" max="2" width="14.140625" bestFit="1" customWidth="1"/>
    <col min="3" max="3" width="23.140625" bestFit="1" customWidth="1"/>
    <col min="7" max="7" width="26.85546875" bestFit="1" customWidth="1"/>
    <col min="13" max="13" width="24" bestFit="1" customWidth="1"/>
    <col min="18" max="18" width="7.42578125" customWidth="1"/>
    <col min="19" max="19" width="13.42578125" customWidth="1"/>
    <col min="22" max="22" width="14" customWidth="1"/>
  </cols>
  <sheetData>
    <row r="1" spans="1:24">
      <c r="A1" s="131" t="s">
        <v>10</v>
      </c>
      <c r="B1" t="s">
        <v>2159</v>
      </c>
    </row>
    <row r="2" spans="1:24">
      <c r="G2" s="49" t="s">
        <v>2135</v>
      </c>
    </row>
    <row r="3" spans="1:24">
      <c r="A3" s="131" t="s">
        <v>633</v>
      </c>
      <c r="B3" t="s">
        <v>1371</v>
      </c>
      <c r="C3" t="s">
        <v>1128</v>
      </c>
      <c r="S3">
        <v>-455581.8</v>
      </c>
      <c r="T3">
        <v>-405</v>
      </c>
      <c r="V3" s="156" t="s">
        <v>567</v>
      </c>
      <c r="W3" s="156">
        <v>6</v>
      </c>
      <c r="X3" s="156">
        <v>18000</v>
      </c>
    </row>
    <row r="4" spans="1:24">
      <c r="A4" s="1" t="s">
        <v>1013</v>
      </c>
      <c r="B4">
        <v>3</v>
      </c>
      <c r="C4">
        <v>7806</v>
      </c>
      <c r="G4" t="s">
        <v>567</v>
      </c>
      <c r="H4">
        <v>12</v>
      </c>
      <c r="I4">
        <v>18000</v>
      </c>
      <c r="J4">
        <f>O4-H4</f>
        <v>6</v>
      </c>
      <c r="M4" t="s">
        <v>567</v>
      </c>
      <c r="N4" t="s">
        <v>1967</v>
      </c>
      <c r="O4">
        <v>18</v>
      </c>
      <c r="P4">
        <v>27000</v>
      </c>
      <c r="R4" s="49" t="s">
        <v>2136</v>
      </c>
      <c r="S4">
        <v>216284</v>
      </c>
      <c r="T4">
        <v>209</v>
      </c>
      <c r="V4" s="156" t="s">
        <v>672</v>
      </c>
      <c r="W4" s="156">
        <v>7</v>
      </c>
      <c r="X4" s="156">
        <v>6000</v>
      </c>
    </row>
    <row r="5" spans="1:24">
      <c r="A5" s="1" t="s">
        <v>567</v>
      </c>
      <c r="B5">
        <v>18</v>
      </c>
      <c r="C5" s="156">
        <v>27000</v>
      </c>
      <c r="G5" t="s">
        <v>802</v>
      </c>
      <c r="H5" s="156">
        <v>3</v>
      </c>
      <c r="I5" s="156">
        <v>10764</v>
      </c>
      <c r="J5" s="156">
        <f t="shared" ref="J5:J18" si="0">O5-H5</f>
        <v>0</v>
      </c>
      <c r="M5" t="s">
        <v>802</v>
      </c>
      <c r="N5" t="s">
        <v>2083</v>
      </c>
      <c r="O5">
        <v>3</v>
      </c>
      <c r="P5">
        <v>9084</v>
      </c>
      <c r="R5" s="49" t="s">
        <v>2137</v>
      </c>
      <c r="S5">
        <v>82111</v>
      </c>
      <c r="T5">
        <v>26</v>
      </c>
      <c r="V5" s="156" t="s">
        <v>232</v>
      </c>
      <c r="W5" s="156">
        <v>3</v>
      </c>
      <c r="X5" s="156">
        <v>5776</v>
      </c>
    </row>
    <row r="6" spans="1:24">
      <c r="A6" s="1" t="s">
        <v>998</v>
      </c>
      <c r="B6">
        <v>8</v>
      </c>
      <c r="C6">
        <v>16540</v>
      </c>
      <c r="G6" t="s">
        <v>803</v>
      </c>
      <c r="H6" s="156">
        <v>2</v>
      </c>
      <c r="I6" s="156">
        <v>8176</v>
      </c>
      <c r="J6" s="156">
        <f t="shared" si="0"/>
        <v>-1</v>
      </c>
      <c r="M6" t="s">
        <v>803</v>
      </c>
      <c r="N6" t="s">
        <v>2124</v>
      </c>
      <c r="O6">
        <v>1</v>
      </c>
      <c r="P6">
        <v>3528</v>
      </c>
      <c r="S6">
        <v>156844</v>
      </c>
      <c r="T6">
        <v>170</v>
      </c>
      <c r="V6" s="156" t="s">
        <v>839</v>
      </c>
      <c r="W6" s="156">
        <v>8</v>
      </c>
      <c r="X6" s="156">
        <v>6500</v>
      </c>
    </row>
    <row r="7" spans="1:24">
      <c r="A7" s="1" t="s">
        <v>996</v>
      </c>
      <c r="B7">
        <v>11</v>
      </c>
      <c r="C7">
        <v>24604</v>
      </c>
      <c r="G7" t="s">
        <v>570</v>
      </c>
      <c r="H7" s="156">
        <v>8</v>
      </c>
      <c r="I7" s="156">
        <v>12000</v>
      </c>
      <c r="J7" s="156">
        <f t="shared" si="0"/>
        <v>-1</v>
      </c>
      <c r="M7" t="s">
        <v>570</v>
      </c>
      <c r="N7" t="s">
        <v>1239</v>
      </c>
      <c r="O7">
        <v>7</v>
      </c>
      <c r="P7">
        <v>10500</v>
      </c>
      <c r="V7" s="156" t="s">
        <v>267</v>
      </c>
      <c r="W7" s="156">
        <v>2</v>
      </c>
      <c r="X7" s="156">
        <v>6000</v>
      </c>
    </row>
    <row r="8" spans="1:24">
      <c r="A8" s="1" t="s">
        <v>879</v>
      </c>
      <c r="B8">
        <v>9</v>
      </c>
      <c r="C8">
        <v>31283</v>
      </c>
      <c r="G8" t="s">
        <v>160</v>
      </c>
      <c r="H8" s="156">
        <v>2</v>
      </c>
      <c r="I8" s="156">
        <v>7176</v>
      </c>
      <c r="J8" s="156">
        <f t="shared" si="0"/>
        <v>0</v>
      </c>
      <c r="M8" t="s">
        <v>160</v>
      </c>
      <c r="N8" t="s">
        <v>2109</v>
      </c>
      <c r="O8">
        <v>2</v>
      </c>
      <c r="P8">
        <v>7176</v>
      </c>
      <c r="V8" s="156" t="s">
        <v>283</v>
      </c>
      <c r="W8" s="156">
        <v>6</v>
      </c>
      <c r="X8" s="156">
        <v>5000</v>
      </c>
    </row>
    <row r="9" spans="1:24">
      <c r="A9" s="1" t="s">
        <v>1455</v>
      </c>
      <c r="B9">
        <v>3</v>
      </c>
      <c r="C9">
        <v>870</v>
      </c>
      <c r="E9">
        <f>6498-162</f>
        <v>6336</v>
      </c>
      <c r="G9" t="s">
        <v>672</v>
      </c>
      <c r="H9">
        <v>4</v>
      </c>
      <c r="I9">
        <v>6000</v>
      </c>
      <c r="J9">
        <f t="shared" si="0"/>
        <v>7</v>
      </c>
      <c r="M9" t="s">
        <v>672</v>
      </c>
      <c r="N9" t="s">
        <v>2113</v>
      </c>
      <c r="O9">
        <v>11</v>
      </c>
      <c r="P9">
        <v>16500</v>
      </c>
      <c r="V9" t="s">
        <v>843</v>
      </c>
      <c r="W9">
        <v>18</v>
      </c>
      <c r="X9">
        <v>32000</v>
      </c>
    </row>
    <row r="10" spans="1:24">
      <c r="A10" s="1" t="s">
        <v>666</v>
      </c>
      <c r="B10">
        <v>3</v>
      </c>
      <c r="C10">
        <v>6806</v>
      </c>
      <c r="E10">
        <f>E9/3</f>
        <v>2112</v>
      </c>
      <c r="G10" t="s">
        <v>232</v>
      </c>
      <c r="H10">
        <v>2</v>
      </c>
      <c r="I10">
        <v>5776</v>
      </c>
      <c r="J10">
        <f t="shared" si="0"/>
        <v>3</v>
      </c>
      <c r="M10" t="s">
        <v>232</v>
      </c>
      <c r="N10" t="s">
        <v>2118</v>
      </c>
      <c r="O10">
        <v>5</v>
      </c>
      <c r="P10">
        <v>14440</v>
      </c>
      <c r="V10" s="156" t="s">
        <v>530</v>
      </c>
      <c r="W10" s="156">
        <v>4</v>
      </c>
      <c r="X10" s="156">
        <v>8364</v>
      </c>
    </row>
    <row r="11" spans="1:24">
      <c r="A11" s="1" t="s">
        <v>801</v>
      </c>
      <c r="B11">
        <v>5</v>
      </c>
      <c r="C11">
        <v>13130</v>
      </c>
      <c r="G11" t="s">
        <v>839</v>
      </c>
      <c r="H11">
        <v>13</v>
      </c>
      <c r="I11">
        <v>6500</v>
      </c>
      <c r="J11">
        <f t="shared" si="0"/>
        <v>8</v>
      </c>
      <c r="M11" t="s">
        <v>839</v>
      </c>
      <c r="N11" t="s">
        <v>2081</v>
      </c>
      <c r="O11">
        <v>21</v>
      </c>
      <c r="P11">
        <v>10500</v>
      </c>
      <c r="V11" s="156" t="s">
        <v>729</v>
      </c>
      <c r="W11" s="156">
        <v>3</v>
      </c>
      <c r="X11" s="156">
        <v>4500</v>
      </c>
    </row>
    <row r="12" spans="1:24">
      <c r="A12" s="1" t="s">
        <v>802</v>
      </c>
      <c r="B12">
        <v>6</v>
      </c>
      <c r="C12" s="156">
        <v>19704</v>
      </c>
      <c r="G12" t="s">
        <v>267</v>
      </c>
      <c r="H12">
        <v>12</v>
      </c>
      <c r="I12">
        <v>6000</v>
      </c>
      <c r="J12">
        <f t="shared" si="0"/>
        <v>2</v>
      </c>
      <c r="M12" t="s">
        <v>267</v>
      </c>
      <c r="N12" t="s">
        <v>2108</v>
      </c>
      <c r="O12">
        <v>14</v>
      </c>
      <c r="P12">
        <v>7000</v>
      </c>
    </row>
    <row r="13" spans="1:24">
      <c r="A13" s="1" t="s">
        <v>803</v>
      </c>
      <c r="B13">
        <v>1</v>
      </c>
      <c r="C13" s="156">
        <v>3528</v>
      </c>
      <c r="G13" t="s">
        <v>283</v>
      </c>
      <c r="H13">
        <v>10</v>
      </c>
      <c r="I13">
        <v>5000</v>
      </c>
      <c r="J13">
        <f t="shared" si="0"/>
        <v>6</v>
      </c>
      <c r="M13" t="s">
        <v>283</v>
      </c>
      <c r="N13" t="s">
        <v>2031</v>
      </c>
      <c r="O13">
        <v>16</v>
      </c>
      <c r="P13">
        <v>8000</v>
      </c>
    </row>
    <row r="14" spans="1:24">
      <c r="A14" s="1" t="s">
        <v>804</v>
      </c>
      <c r="B14">
        <v>1</v>
      </c>
      <c r="C14">
        <v>4880</v>
      </c>
      <c r="E14">
        <f>5418/2</f>
        <v>2709</v>
      </c>
      <c r="G14" t="s">
        <v>349</v>
      </c>
      <c r="H14" s="156">
        <v>11</v>
      </c>
      <c r="I14" s="156">
        <v>16500</v>
      </c>
      <c r="J14" s="156">
        <f t="shared" si="0"/>
        <v>0</v>
      </c>
      <c r="M14" t="s">
        <v>349</v>
      </c>
      <c r="N14" t="s">
        <v>2123</v>
      </c>
      <c r="O14">
        <v>11</v>
      </c>
      <c r="P14">
        <v>16500</v>
      </c>
    </row>
    <row r="15" spans="1:24">
      <c r="A15" s="1" t="s">
        <v>774</v>
      </c>
      <c r="B15">
        <v>12</v>
      </c>
      <c r="C15">
        <v>43008</v>
      </c>
      <c r="G15" t="s">
        <v>843</v>
      </c>
      <c r="H15">
        <v>64</v>
      </c>
      <c r="I15">
        <v>32000</v>
      </c>
      <c r="J15">
        <f t="shared" si="0"/>
        <v>18</v>
      </c>
      <c r="M15" t="s">
        <v>843</v>
      </c>
      <c r="N15" t="s">
        <v>1238</v>
      </c>
      <c r="O15">
        <v>82</v>
      </c>
      <c r="P15">
        <v>41000</v>
      </c>
    </row>
    <row r="16" spans="1:24">
      <c r="A16" s="1" t="s">
        <v>570</v>
      </c>
      <c r="B16">
        <v>10</v>
      </c>
      <c r="C16" s="156">
        <v>17490</v>
      </c>
      <c r="G16" t="s">
        <v>530</v>
      </c>
      <c r="H16">
        <v>3</v>
      </c>
      <c r="I16">
        <v>8364</v>
      </c>
      <c r="J16">
        <f t="shared" si="0"/>
        <v>4</v>
      </c>
      <c r="M16" t="s">
        <v>530</v>
      </c>
      <c r="N16" t="s">
        <v>2114</v>
      </c>
      <c r="O16">
        <v>7</v>
      </c>
      <c r="P16">
        <v>18116</v>
      </c>
    </row>
    <row r="17" spans="1:23">
      <c r="A17" s="1" t="s">
        <v>991</v>
      </c>
      <c r="B17">
        <v>5</v>
      </c>
      <c r="C17">
        <v>68650</v>
      </c>
      <c r="G17" t="s">
        <v>687</v>
      </c>
      <c r="H17" s="156">
        <v>7</v>
      </c>
      <c r="I17" s="156">
        <v>25028</v>
      </c>
      <c r="J17" s="156">
        <f t="shared" si="0"/>
        <v>-2</v>
      </c>
      <c r="M17" t="s">
        <v>687</v>
      </c>
      <c r="N17" t="s">
        <v>2115</v>
      </c>
      <c r="O17">
        <v>5</v>
      </c>
      <c r="P17">
        <v>17940</v>
      </c>
    </row>
    <row r="18" spans="1:23">
      <c r="A18" s="1" t="s">
        <v>859</v>
      </c>
      <c r="B18">
        <v>4</v>
      </c>
      <c r="C18">
        <v>14649</v>
      </c>
      <c r="G18" t="s">
        <v>729</v>
      </c>
      <c r="H18">
        <v>3</v>
      </c>
      <c r="I18">
        <v>4500</v>
      </c>
      <c r="J18">
        <f t="shared" si="0"/>
        <v>3</v>
      </c>
      <c r="M18" t="s">
        <v>729</v>
      </c>
      <c r="N18" t="s">
        <v>2110</v>
      </c>
      <c r="O18">
        <v>6</v>
      </c>
      <c r="P18">
        <v>9000</v>
      </c>
    </row>
    <row r="19" spans="1:23">
      <c r="A19" s="1" t="s">
        <v>160</v>
      </c>
      <c r="B19">
        <v>4</v>
      </c>
      <c r="C19" s="156">
        <v>18936</v>
      </c>
    </row>
    <row r="20" spans="1:23">
      <c r="A20" s="1" t="s">
        <v>819</v>
      </c>
      <c r="B20">
        <v>3</v>
      </c>
      <c r="C20">
        <v>19198</v>
      </c>
    </row>
    <row r="21" spans="1:23">
      <c r="A21" s="1" t="s">
        <v>165</v>
      </c>
      <c r="B21">
        <v>13</v>
      </c>
      <c r="C21">
        <v>4653.5</v>
      </c>
      <c r="G21" t="s">
        <v>879</v>
      </c>
      <c r="H21">
        <v>7</v>
      </c>
      <c r="I21">
        <v>24523</v>
      </c>
      <c r="M21" t="s">
        <v>1013</v>
      </c>
      <c r="N21" t="s">
        <v>2119</v>
      </c>
      <c r="O21">
        <v>1</v>
      </c>
      <c r="P21">
        <v>2446</v>
      </c>
      <c r="T21">
        <f>17940/5</f>
        <v>3588</v>
      </c>
    </row>
    <row r="22" spans="1:23">
      <c r="A22" s="1" t="s">
        <v>746</v>
      </c>
      <c r="B22">
        <v>7</v>
      </c>
      <c r="C22">
        <v>4035</v>
      </c>
      <c r="G22" t="s">
        <v>996</v>
      </c>
      <c r="H22">
        <v>4</v>
      </c>
      <c r="I22">
        <v>9044</v>
      </c>
      <c r="M22" t="s">
        <v>996</v>
      </c>
      <c r="N22" t="s">
        <v>2120</v>
      </c>
      <c r="O22">
        <v>3</v>
      </c>
      <c r="P22">
        <v>6212.8</v>
      </c>
      <c r="W22">
        <f>9084/3</f>
        <v>3028</v>
      </c>
    </row>
    <row r="23" spans="1:23">
      <c r="A23" s="1" t="s">
        <v>755</v>
      </c>
      <c r="B23">
        <v>7</v>
      </c>
      <c r="C23">
        <v>3740</v>
      </c>
      <c r="G23" t="s">
        <v>801</v>
      </c>
      <c r="H23">
        <v>1</v>
      </c>
      <c r="I23">
        <v>2530</v>
      </c>
      <c r="M23" t="s">
        <v>879</v>
      </c>
      <c r="N23" t="s">
        <v>2116</v>
      </c>
      <c r="O23">
        <v>7</v>
      </c>
      <c r="P23">
        <v>23828</v>
      </c>
    </row>
    <row r="24" spans="1:23">
      <c r="A24" s="1" t="s">
        <v>930</v>
      </c>
      <c r="B24">
        <v>1</v>
      </c>
      <c r="C24">
        <v>158</v>
      </c>
      <c r="G24" t="s">
        <v>828</v>
      </c>
      <c r="H24">
        <v>1</v>
      </c>
      <c r="I24">
        <v>1786</v>
      </c>
      <c r="M24" t="s">
        <v>666</v>
      </c>
      <c r="N24" t="s">
        <v>2126</v>
      </c>
      <c r="O24">
        <v>1</v>
      </c>
      <c r="P24">
        <v>2130</v>
      </c>
    </row>
    <row r="25" spans="1:23">
      <c r="A25" s="1" t="s">
        <v>931</v>
      </c>
      <c r="B25">
        <v>1</v>
      </c>
      <c r="C25">
        <v>698</v>
      </c>
      <c r="G25" t="s">
        <v>1009</v>
      </c>
      <c r="H25">
        <v>3</v>
      </c>
      <c r="I25">
        <v>7923</v>
      </c>
      <c r="M25" t="s">
        <v>801</v>
      </c>
      <c r="N25" t="s">
        <v>2125</v>
      </c>
      <c r="O25">
        <v>1</v>
      </c>
      <c r="P25">
        <v>2530</v>
      </c>
    </row>
    <row r="26" spans="1:23">
      <c r="A26" s="1" t="s">
        <v>175</v>
      </c>
      <c r="B26">
        <v>10</v>
      </c>
      <c r="C26">
        <v>3549</v>
      </c>
      <c r="D26">
        <v>2446</v>
      </c>
      <c r="G26" t="s">
        <v>661</v>
      </c>
      <c r="H26">
        <v>1</v>
      </c>
      <c r="I26">
        <v>3880</v>
      </c>
      <c r="M26" t="s">
        <v>828</v>
      </c>
      <c r="N26" t="s">
        <v>2032</v>
      </c>
      <c r="O26">
        <v>1</v>
      </c>
      <c r="P26">
        <v>1686</v>
      </c>
    </row>
    <row r="27" spans="1:23">
      <c r="A27" s="1" t="s">
        <v>672</v>
      </c>
      <c r="B27">
        <v>11</v>
      </c>
      <c r="C27" s="156">
        <v>16500</v>
      </c>
      <c r="D27">
        <v>2130</v>
      </c>
      <c r="G27" t="s">
        <v>639</v>
      </c>
      <c r="H27">
        <v>1</v>
      </c>
      <c r="I27">
        <v>6980</v>
      </c>
      <c r="M27" t="s">
        <v>845</v>
      </c>
      <c r="N27" t="s">
        <v>2088</v>
      </c>
      <c r="O27">
        <v>1</v>
      </c>
      <c r="P27">
        <v>3695.5</v>
      </c>
    </row>
    <row r="28" spans="1:23">
      <c r="A28" s="1" t="s">
        <v>200</v>
      </c>
      <c r="B28">
        <v>2</v>
      </c>
      <c r="C28">
        <v>3020</v>
      </c>
      <c r="G28" t="s">
        <v>918</v>
      </c>
      <c r="H28">
        <v>1</v>
      </c>
      <c r="I28">
        <v>3021</v>
      </c>
      <c r="M28" t="s">
        <v>1009</v>
      </c>
      <c r="N28" t="s">
        <v>2029</v>
      </c>
      <c r="O28">
        <v>3</v>
      </c>
      <c r="P28">
        <v>7723</v>
      </c>
    </row>
    <row r="29" spans="1:23">
      <c r="A29" s="1" t="s">
        <v>642</v>
      </c>
      <c r="B29">
        <v>4</v>
      </c>
      <c r="C29">
        <v>5920</v>
      </c>
      <c r="G29" t="s">
        <v>968</v>
      </c>
      <c r="H29">
        <v>5</v>
      </c>
      <c r="I29">
        <v>17848</v>
      </c>
      <c r="M29" t="s">
        <v>661</v>
      </c>
      <c r="N29" t="s">
        <v>2121</v>
      </c>
      <c r="O29">
        <v>1</v>
      </c>
      <c r="P29">
        <v>3420</v>
      </c>
    </row>
    <row r="30" spans="1:23">
      <c r="A30" s="1" t="s">
        <v>828</v>
      </c>
      <c r="B30">
        <v>15</v>
      </c>
      <c r="C30">
        <v>29406</v>
      </c>
      <c r="G30" s="155" t="s">
        <v>1013</v>
      </c>
      <c r="H30" s="155">
        <v>1</v>
      </c>
      <c r="I30" s="155">
        <v>2446</v>
      </c>
      <c r="M30" t="s">
        <v>639</v>
      </c>
      <c r="N30" t="s">
        <v>2122</v>
      </c>
      <c r="O30">
        <v>1</v>
      </c>
      <c r="P30">
        <v>6320</v>
      </c>
    </row>
    <row r="31" spans="1:23">
      <c r="A31" s="1" t="s">
        <v>226</v>
      </c>
      <c r="B31">
        <v>12</v>
      </c>
      <c r="C31">
        <v>43960</v>
      </c>
      <c r="G31" s="155" t="s">
        <v>666</v>
      </c>
      <c r="H31" s="155">
        <v>1</v>
      </c>
      <c r="I31" s="155">
        <v>2130</v>
      </c>
      <c r="M31" t="s">
        <v>918</v>
      </c>
      <c r="N31" t="s">
        <v>2117</v>
      </c>
      <c r="O31">
        <v>1</v>
      </c>
      <c r="P31">
        <v>2925.9</v>
      </c>
    </row>
    <row r="32" spans="1:23">
      <c r="A32" s="1" t="s">
        <v>886</v>
      </c>
      <c r="B32">
        <v>1</v>
      </c>
      <c r="C32">
        <v>4300</v>
      </c>
      <c r="M32" t="s">
        <v>968</v>
      </c>
      <c r="N32" t="s">
        <v>2036</v>
      </c>
      <c r="O32">
        <v>5</v>
      </c>
      <c r="P32">
        <v>17362.900000000001</v>
      </c>
    </row>
    <row r="33" spans="1:16">
      <c r="A33" s="1" t="s">
        <v>845</v>
      </c>
      <c r="B33">
        <v>5</v>
      </c>
      <c r="C33">
        <v>17589</v>
      </c>
      <c r="M33" t="e">
        <v>#N/A</v>
      </c>
      <c r="N33" t="s">
        <v>2111</v>
      </c>
      <c r="O33">
        <v>22</v>
      </c>
      <c r="P33">
        <v>2155.4</v>
      </c>
    </row>
    <row r="34" spans="1:16">
      <c r="A34" s="1" t="s">
        <v>915</v>
      </c>
      <c r="B34">
        <v>2</v>
      </c>
      <c r="C34">
        <v>12260</v>
      </c>
      <c r="F34">
        <v>5580</v>
      </c>
    </row>
    <row r="35" spans="1:16">
      <c r="A35" s="1" t="s">
        <v>963</v>
      </c>
      <c r="B35">
        <v>14</v>
      </c>
      <c r="C35">
        <v>151288</v>
      </c>
      <c r="I35">
        <v>82615</v>
      </c>
    </row>
    <row r="36" spans="1:16">
      <c r="A36" s="1" t="s">
        <v>789</v>
      </c>
      <c r="B36">
        <v>3</v>
      </c>
      <c r="C36">
        <v>28368</v>
      </c>
      <c r="I36">
        <v>79565</v>
      </c>
    </row>
    <row r="37" spans="1:16">
      <c r="A37" s="1" t="s">
        <v>1017</v>
      </c>
      <c r="B37">
        <v>2</v>
      </c>
      <c r="C37">
        <v>3810</v>
      </c>
      <c r="I37">
        <f>I35-I36</f>
        <v>3050</v>
      </c>
    </row>
    <row r="38" spans="1:16">
      <c r="A38" s="1" t="s">
        <v>1009</v>
      </c>
      <c r="B38">
        <v>20</v>
      </c>
      <c r="C38">
        <v>54783</v>
      </c>
    </row>
    <row r="39" spans="1:16">
      <c r="A39" s="1" t="s">
        <v>232</v>
      </c>
      <c r="B39">
        <v>5</v>
      </c>
      <c r="C39" s="156">
        <v>14440</v>
      </c>
    </row>
    <row r="40" spans="1:16">
      <c r="A40" s="1" t="s">
        <v>821</v>
      </c>
      <c r="B40">
        <v>11</v>
      </c>
      <c r="C40">
        <v>3132</v>
      </c>
    </row>
    <row r="41" spans="1:16">
      <c r="A41" s="1" t="s">
        <v>839</v>
      </c>
      <c r="B41">
        <v>21</v>
      </c>
      <c r="C41" s="156">
        <v>10500</v>
      </c>
      <c r="M41" t="s">
        <v>1377</v>
      </c>
      <c r="N41">
        <v>1</v>
      </c>
      <c r="O41">
        <v>720</v>
      </c>
      <c r="P41">
        <v>720</v>
      </c>
    </row>
    <row r="42" spans="1:16">
      <c r="A42" s="1" t="s">
        <v>559</v>
      </c>
      <c r="B42">
        <v>5</v>
      </c>
      <c r="C42">
        <v>2568</v>
      </c>
      <c r="M42" t="s">
        <v>2043</v>
      </c>
      <c r="N42">
        <v>1</v>
      </c>
      <c r="O42">
        <v>800</v>
      </c>
      <c r="P42">
        <v>800</v>
      </c>
    </row>
    <row r="43" spans="1:16">
      <c r="A43" s="1" t="s">
        <v>910</v>
      </c>
      <c r="B43">
        <v>10</v>
      </c>
      <c r="C43">
        <v>2713</v>
      </c>
      <c r="M43" t="s">
        <v>2030</v>
      </c>
      <c r="N43">
        <v>13</v>
      </c>
      <c r="O43">
        <v>190</v>
      </c>
      <c r="P43">
        <v>2470</v>
      </c>
    </row>
    <row r="44" spans="1:16">
      <c r="A44" s="1" t="s">
        <v>2481</v>
      </c>
      <c r="B44">
        <v>2</v>
      </c>
      <c r="C44">
        <v>596</v>
      </c>
      <c r="M44" t="s">
        <v>2030</v>
      </c>
      <c r="N44">
        <v>2</v>
      </c>
      <c r="O44">
        <v>180.5</v>
      </c>
      <c r="P44">
        <v>361</v>
      </c>
    </row>
    <row r="45" spans="1:16">
      <c r="A45" s="1" t="s">
        <v>239</v>
      </c>
      <c r="B45">
        <v>2</v>
      </c>
      <c r="C45">
        <v>666</v>
      </c>
      <c r="M45" t="s">
        <v>2046</v>
      </c>
      <c r="N45">
        <v>2</v>
      </c>
      <c r="O45">
        <v>490</v>
      </c>
      <c r="P45">
        <v>980</v>
      </c>
    </row>
    <row r="46" spans="1:16">
      <c r="A46" s="1" t="s">
        <v>793</v>
      </c>
      <c r="B46">
        <v>9</v>
      </c>
      <c r="C46">
        <v>3202</v>
      </c>
      <c r="M46" t="s">
        <v>2046</v>
      </c>
      <c r="N46">
        <v>3</v>
      </c>
      <c r="O46">
        <v>465.5</v>
      </c>
      <c r="P46">
        <v>1396.5</v>
      </c>
    </row>
    <row r="47" spans="1:16">
      <c r="A47" s="1" t="s">
        <v>798</v>
      </c>
      <c r="B47">
        <v>32</v>
      </c>
      <c r="C47">
        <v>11700</v>
      </c>
      <c r="M47" t="s">
        <v>2037</v>
      </c>
      <c r="N47">
        <v>8</v>
      </c>
      <c r="O47">
        <v>590</v>
      </c>
      <c r="P47">
        <v>4720</v>
      </c>
    </row>
    <row r="48" spans="1:16">
      <c r="A48" s="1" t="s">
        <v>244</v>
      </c>
      <c r="B48">
        <v>1</v>
      </c>
      <c r="C48">
        <v>288</v>
      </c>
      <c r="M48" t="s">
        <v>2037</v>
      </c>
      <c r="N48">
        <v>1</v>
      </c>
      <c r="O48">
        <v>560.5</v>
      </c>
      <c r="P48">
        <v>560.5</v>
      </c>
    </row>
    <row r="49" spans="1:16">
      <c r="A49" s="1" t="s">
        <v>247</v>
      </c>
      <c r="B49">
        <v>31</v>
      </c>
      <c r="C49">
        <v>6299</v>
      </c>
      <c r="M49" t="s">
        <v>2057</v>
      </c>
      <c r="N49">
        <v>2</v>
      </c>
      <c r="O49">
        <v>780</v>
      </c>
      <c r="P49">
        <v>1560</v>
      </c>
    </row>
    <row r="50" spans="1:16">
      <c r="A50" s="1" t="s">
        <v>824</v>
      </c>
      <c r="B50">
        <v>14</v>
      </c>
      <c r="C50">
        <v>10008</v>
      </c>
      <c r="M50" t="s">
        <v>2057</v>
      </c>
      <c r="N50">
        <v>1</v>
      </c>
      <c r="O50">
        <v>741</v>
      </c>
      <c r="P50">
        <v>741</v>
      </c>
    </row>
    <row r="51" spans="1:16">
      <c r="A51" s="1" t="s">
        <v>791</v>
      </c>
      <c r="B51">
        <v>22</v>
      </c>
      <c r="C51">
        <v>13876</v>
      </c>
      <c r="M51" t="s">
        <v>1375</v>
      </c>
      <c r="N51">
        <v>5</v>
      </c>
      <c r="O51">
        <v>580</v>
      </c>
      <c r="P51">
        <v>2900</v>
      </c>
    </row>
    <row r="52" spans="1:16">
      <c r="A52" s="1" t="s">
        <v>733</v>
      </c>
      <c r="B52">
        <v>2</v>
      </c>
      <c r="C52">
        <v>1216</v>
      </c>
      <c r="M52" t="s">
        <v>1375</v>
      </c>
      <c r="N52">
        <v>3</v>
      </c>
      <c r="O52">
        <v>551</v>
      </c>
      <c r="P52">
        <v>1653</v>
      </c>
    </row>
    <row r="53" spans="1:16">
      <c r="A53" s="1" t="s">
        <v>2158</v>
      </c>
      <c r="C53">
        <v>0</v>
      </c>
      <c r="M53" t="s">
        <v>2238</v>
      </c>
      <c r="N53">
        <v>1</v>
      </c>
      <c r="O53">
        <v>890</v>
      </c>
      <c r="P53">
        <v>890</v>
      </c>
    </row>
    <row r="54" spans="1:16">
      <c r="A54" s="1" t="s">
        <v>707</v>
      </c>
      <c r="B54">
        <v>8</v>
      </c>
      <c r="C54">
        <v>15972</v>
      </c>
      <c r="M54" t="s">
        <v>2087</v>
      </c>
      <c r="N54">
        <v>1</v>
      </c>
      <c r="O54">
        <v>2261</v>
      </c>
      <c r="P54">
        <v>2261</v>
      </c>
    </row>
    <row r="55" spans="1:16">
      <c r="A55" s="1" t="s">
        <v>727</v>
      </c>
      <c r="B55">
        <v>4</v>
      </c>
      <c r="C55">
        <v>14251</v>
      </c>
      <c r="M55">
        <v>7080</v>
      </c>
      <c r="N55">
        <v>2</v>
      </c>
      <c r="O55">
        <v>330</v>
      </c>
      <c r="P55">
        <v>660</v>
      </c>
    </row>
    <row r="56" spans="1:16">
      <c r="A56" s="1" t="s">
        <v>1007</v>
      </c>
      <c r="B56">
        <v>1</v>
      </c>
      <c r="C56">
        <v>918</v>
      </c>
      <c r="M56">
        <v>7080</v>
      </c>
      <c r="N56">
        <v>1</v>
      </c>
      <c r="O56">
        <v>313.5</v>
      </c>
      <c r="P56">
        <v>313.5</v>
      </c>
    </row>
    <row r="57" spans="1:16">
      <c r="A57" s="1" t="s">
        <v>261</v>
      </c>
      <c r="B57">
        <v>1</v>
      </c>
      <c r="C57">
        <v>798</v>
      </c>
      <c r="M57" t="s">
        <v>2239</v>
      </c>
      <c r="N57">
        <v>1</v>
      </c>
      <c r="O57">
        <v>890</v>
      </c>
      <c r="P57">
        <v>890</v>
      </c>
    </row>
    <row r="58" spans="1:16">
      <c r="A58" s="1" t="s">
        <v>267</v>
      </c>
      <c r="B58">
        <v>15</v>
      </c>
      <c r="C58" s="156">
        <v>7679</v>
      </c>
      <c r="M58" t="s">
        <v>2171</v>
      </c>
      <c r="N58">
        <v>2</v>
      </c>
      <c r="O58">
        <v>1980</v>
      </c>
      <c r="P58">
        <v>3960</v>
      </c>
    </row>
    <row r="59" spans="1:16">
      <c r="A59" s="1" t="s">
        <v>1122</v>
      </c>
      <c r="B59">
        <v>1</v>
      </c>
      <c r="C59">
        <v>718</v>
      </c>
      <c r="M59" t="s">
        <v>2171</v>
      </c>
      <c r="N59">
        <v>2</v>
      </c>
      <c r="O59">
        <v>1881</v>
      </c>
      <c r="P59">
        <v>3762</v>
      </c>
    </row>
    <row r="60" spans="1:16">
      <c r="A60" s="1" t="s">
        <v>724</v>
      </c>
      <c r="B60">
        <v>9</v>
      </c>
      <c r="C60">
        <v>11578</v>
      </c>
      <c r="M60" t="s">
        <v>2240</v>
      </c>
      <c r="N60">
        <v>1</v>
      </c>
      <c r="O60">
        <v>930</v>
      </c>
      <c r="P60">
        <v>930</v>
      </c>
    </row>
    <row r="61" spans="1:16">
      <c r="A61" s="1" t="s">
        <v>270</v>
      </c>
      <c r="B61">
        <v>5</v>
      </c>
      <c r="C61">
        <v>3490</v>
      </c>
      <c r="M61" t="s">
        <v>2241</v>
      </c>
      <c r="N61">
        <v>1</v>
      </c>
      <c r="O61">
        <v>3781</v>
      </c>
      <c r="P61">
        <v>3781</v>
      </c>
    </row>
    <row r="62" spans="1:16">
      <c r="A62" s="1" t="s">
        <v>273</v>
      </c>
      <c r="B62">
        <v>12</v>
      </c>
      <c r="C62">
        <v>6869</v>
      </c>
      <c r="M62" t="s">
        <v>2035</v>
      </c>
      <c r="N62">
        <v>13</v>
      </c>
      <c r="O62">
        <v>350</v>
      </c>
      <c r="P62">
        <v>4550</v>
      </c>
    </row>
    <row r="63" spans="1:16">
      <c r="A63" s="1" t="s">
        <v>276</v>
      </c>
      <c r="B63">
        <v>3</v>
      </c>
      <c r="C63">
        <v>7740</v>
      </c>
      <c r="M63" t="s">
        <v>2035</v>
      </c>
      <c r="N63">
        <v>4</v>
      </c>
      <c r="O63">
        <v>332.5</v>
      </c>
      <c r="P63">
        <v>1330</v>
      </c>
    </row>
    <row r="64" spans="1:16">
      <c r="A64" s="1" t="s">
        <v>861</v>
      </c>
      <c r="B64">
        <v>27</v>
      </c>
      <c r="C64">
        <v>90568</v>
      </c>
      <c r="M64" t="s">
        <v>2242</v>
      </c>
      <c r="N64">
        <v>4</v>
      </c>
      <c r="O64">
        <v>760</v>
      </c>
      <c r="P64">
        <v>3040</v>
      </c>
    </row>
    <row r="65" spans="1:16">
      <c r="A65" s="1" t="s">
        <v>944</v>
      </c>
      <c r="B65">
        <v>27</v>
      </c>
      <c r="C65">
        <v>64880</v>
      </c>
      <c r="M65" t="s">
        <v>2242</v>
      </c>
      <c r="N65">
        <v>2</v>
      </c>
      <c r="O65">
        <v>722</v>
      </c>
      <c r="P65">
        <v>1444</v>
      </c>
    </row>
    <row r="66" spans="1:16">
      <c r="A66" s="1" t="s">
        <v>698</v>
      </c>
      <c r="B66">
        <v>4</v>
      </c>
      <c r="C66">
        <v>3304</v>
      </c>
      <c r="M66" t="s">
        <v>2243</v>
      </c>
      <c r="N66">
        <v>7</v>
      </c>
      <c r="O66">
        <v>290</v>
      </c>
      <c r="P66">
        <v>2030</v>
      </c>
    </row>
    <row r="67" spans="1:16">
      <c r="A67" s="1" t="s">
        <v>281</v>
      </c>
      <c r="B67">
        <v>2</v>
      </c>
      <c r="C67">
        <v>978</v>
      </c>
      <c r="M67" t="s">
        <v>2243</v>
      </c>
      <c r="N67">
        <v>4</v>
      </c>
      <c r="O67">
        <v>275.5</v>
      </c>
      <c r="P67">
        <v>1102</v>
      </c>
    </row>
    <row r="68" spans="1:16">
      <c r="A68" s="1" t="s">
        <v>283</v>
      </c>
      <c r="B68">
        <v>21</v>
      </c>
      <c r="C68" s="156">
        <v>10945</v>
      </c>
      <c r="M68" t="s">
        <v>2244</v>
      </c>
      <c r="N68">
        <v>1</v>
      </c>
      <c r="O68">
        <v>1603.6</v>
      </c>
      <c r="P68">
        <v>1603.6</v>
      </c>
    </row>
    <row r="69" spans="1:16">
      <c r="A69" s="1" t="s">
        <v>587</v>
      </c>
      <c r="B69">
        <v>6</v>
      </c>
      <c r="C69">
        <v>18875</v>
      </c>
      <c r="M69" t="s">
        <v>1956</v>
      </c>
      <c r="N69">
        <v>2</v>
      </c>
      <c r="O69">
        <v>990</v>
      </c>
      <c r="P69">
        <v>1980</v>
      </c>
    </row>
    <row r="70" spans="1:16">
      <c r="A70" s="1" t="s">
        <v>636</v>
      </c>
      <c r="B70">
        <v>1</v>
      </c>
      <c r="C70">
        <v>4590</v>
      </c>
      <c r="M70" t="s">
        <v>1956</v>
      </c>
      <c r="N70">
        <v>1</v>
      </c>
      <c r="O70">
        <v>940.5</v>
      </c>
      <c r="P70">
        <v>940.5</v>
      </c>
    </row>
    <row r="71" spans="1:16">
      <c r="A71" s="1" t="s">
        <v>661</v>
      </c>
      <c r="B71">
        <v>2</v>
      </c>
      <c r="C71">
        <v>8470</v>
      </c>
      <c r="M71" t="s">
        <v>2085</v>
      </c>
      <c r="N71">
        <v>4</v>
      </c>
      <c r="O71">
        <v>990</v>
      </c>
      <c r="P71">
        <v>3960</v>
      </c>
    </row>
    <row r="72" spans="1:16">
      <c r="A72" s="1" t="s">
        <v>582</v>
      </c>
      <c r="B72">
        <v>1</v>
      </c>
      <c r="C72">
        <v>4080</v>
      </c>
      <c r="M72" t="s">
        <v>2085</v>
      </c>
      <c r="N72">
        <v>2</v>
      </c>
      <c r="O72">
        <v>940.5</v>
      </c>
      <c r="P72">
        <v>1881</v>
      </c>
    </row>
    <row r="73" spans="1:16">
      <c r="A73" s="1" t="s">
        <v>647</v>
      </c>
      <c r="B73">
        <v>2</v>
      </c>
      <c r="C73">
        <v>9034</v>
      </c>
      <c r="M73" t="s">
        <v>2053</v>
      </c>
      <c r="N73">
        <v>3</v>
      </c>
      <c r="O73">
        <v>260</v>
      </c>
      <c r="P73">
        <v>780</v>
      </c>
    </row>
    <row r="74" spans="1:16">
      <c r="A74" s="1" t="s">
        <v>644</v>
      </c>
      <c r="B74">
        <v>2</v>
      </c>
      <c r="C74">
        <v>10960</v>
      </c>
      <c r="M74" t="s">
        <v>2053</v>
      </c>
      <c r="N74">
        <v>3</v>
      </c>
      <c r="O74">
        <v>247</v>
      </c>
      <c r="P74">
        <v>741</v>
      </c>
    </row>
    <row r="75" spans="1:16">
      <c r="A75" s="1" t="s">
        <v>639</v>
      </c>
      <c r="B75">
        <v>3</v>
      </c>
      <c r="C75">
        <v>19259</v>
      </c>
      <c r="M75" t="s">
        <v>2048</v>
      </c>
      <c r="N75">
        <v>4</v>
      </c>
      <c r="O75">
        <v>380</v>
      </c>
      <c r="P75">
        <v>1520</v>
      </c>
    </row>
    <row r="76" spans="1:16">
      <c r="A76" s="1" t="s">
        <v>1188</v>
      </c>
      <c r="B76">
        <v>7</v>
      </c>
      <c r="C76">
        <v>13510</v>
      </c>
      <c r="M76" t="s">
        <v>2048</v>
      </c>
      <c r="N76">
        <v>3</v>
      </c>
      <c r="O76">
        <v>361</v>
      </c>
      <c r="P76">
        <v>1083</v>
      </c>
    </row>
    <row r="77" spans="1:16">
      <c r="A77" s="1" t="s">
        <v>1134</v>
      </c>
      <c r="B77">
        <v>89</v>
      </c>
      <c r="C77">
        <v>201001</v>
      </c>
      <c r="M77" t="s">
        <v>2245</v>
      </c>
      <c r="N77">
        <v>3</v>
      </c>
      <c r="O77">
        <v>620</v>
      </c>
      <c r="P77">
        <v>1860</v>
      </c>
    </row>
    <row r="78" spans="1:16">
      <c r="A78" s="1" t="s">
        <v>748</v>
      </c>
      <c r="B78">
        <v>5</v>
      </c>
      <c r="C78">
        <v>17900</v>
      </c>
      <c r="M78" t="s">
        <v>2052</v>
      </c>
      <c r="N78">
        <v>2</v>
      </c>
      <c r="O78">
        <v>370.5</v>
      </c>
      <c r="P78">
        <v>741</v>
      </c>
    </row>
    <row r="79" spans="1:16">
      <c r="A79" s="1" t="s">
        <v>349</v>
      </c>
      <c r="B79">
        <v>16</v>
      </c>
      <c r="C79" s="156">
        <v>25726</v>
      </c>
      <c r="M79" t="s">
        <v>2052</v>
      </c>
      <c r="N79">
        <v>8</v>
      </c>
      <c r="O79">
        <v>351</v>
      </c>
      <c r="P79">
        <v>2808</v>
      </c>
    </row>
    <row r="80" spans="1:16">
      <c r="A80" s="1" t="s">
        <v>874</v>
      </c>
      <c r="B80">
        <v>17</v>
      </c>
      <c r="C80">
        <v>17270.5</v>
      </c>
      <c r="M80" t="s">
        <v>2246</v>
      </c>
      <c r="N80">
        <v>3</v>
      </c>
      <c r="O80">
        <v>550</v>
      </c>
      <c r="P80">
        <v>1650</v>
      </c>
    </row>
    <row r="81" spans="1:16">
      <c r="A81" s="1" t="s">
        <v>852</v>
      </c>
      <c r="B81">
        <v>2</v>
      </c>
      <c r="C81">
        <v>3236</v>
      </c>
      <c r="M81" t="s">
        <v>2246</v>
      </c>
      <c r="N81">
        <v>4</v>
      </c>
      <c r="O81">
        <v>522.5</v>
      </c>
      <c r="P81">
        <v>2090</v>
      </c>
    </row>
    <row r="82" spans="1:16">
      <c r="A82" s="1" t="s">
        <v>414</v>
      </c>
      <c r="B82">
        <v>4</v>
      </c>
      <c r="C82">
        <v>2160</v>
      </c>
      <c r="M82" t="s">
        <v>2039</v>
      </c>
      <c r="N82">
        <v>5</v>
      </c>
      <c r="O82">
        <v>1938</v>
      </c>
      <c r="P82">
        <v>9690</v>
      </c>
    </row>
    <row r="83" spans="1:16">
      <c r="A83" s="1" t="s">
        <v>416</v>
      </c>
      <c r="B83">
        <v>6</v>
      </c>
      <c r="C83">
        <v>4940</v>
      </c>
      <c r="M83" t="s">
        <v>1761</v>
      </c>
      <c r="N83">
        <v>13</v>
      </c>
      <c r="O83">
        <v>2451</v>
      </c>
      <c r="P83">
        <v>31863</v>
      </c>
    </row>
    <row r="84" spans="1:16">
      <c r="A84" s="1" t="s">
        <v>719</v>
      </c>
      <c r="B84">
        <v>9</v>
      </c>
      <c r="C84">
        <v>8565</v>
      </c>
      <c r="M84" t="s">
        <v>1761</v>
      </c>
      <c r="N84">
        <v>16</v>
      </c>
      <c r="O84">
        <v>2326</v>
      </c>
      <c r="P84">
        <v>37216</v>
      </c>
    </row>
    <row r="85" spans="1:16">
      <c r="A85" s="1" t="s">
        <v>426</v>
      </c>
      <c r="B85">
        <v>16</v>
      </c>
      <c r="C85">
        <v>11524</v>
      </c>
      <c r="M85" t="s">
        <v>2123</v>
      </c>
      <c r="N85">
        <v>2</v>
      </c>
      <c r="O85">
        <v>1881</v>
      </c>
      <c r="P85">
        <v>3762</v>
      </c>
    </row>
    <row r="86" spans="1:16">
      <c r="A86" s="1" t="s">
        <v>855</v>
      </c>
      <c r="B86">
        <v>4</v>
      </c>
      <c r="C86">
        <v>7447.6</v>
      </c>
      <c r="M86" t="s">
        <v>2247</v>
      </c>
      <c r="N86">
        <v>3</v>
      </c>
      <c r="O86">
        <v>290</v>
      </c>
      <c r="P86">
        <v>870</v>
      </c>
    </row>
    <row r="87" spans="1:16">
      <c r="A87" s="1" t="s">
        <v>843</v>
      </c>
      <c r="B87">
        <v>82</v>
      </c>
      <c r="C87" s="156">
        <v>41000</v>
      </c>
    </row>
    <row r="88" spans="1:16">
      <c r="A88" s="1" t="s">
        <v>902</v>
      </c>
      <c r="B88">
        <v>9</v>
      </c>
      <c r="C88">
        <v>8811</v>
      </c>
    </row>
    <row r="89" spans="1:16">
      <c r="A89" s="1" t="s">
        <v>435</v>
      </c>
      <c r="B89">
        <v>1</v>
      </c>
      <c r="C89">
        <v>619</v>
      </c>
    </row>
    <row r="90" spans="1:16">
      <c r="A90" s="1" t="s">
        <v>440</v>
      </c>
      <c r="B90">
        <v>2</v>
      </c>
      <c r="C90">
        <v>1986</v>
      </c>
    </row>
    <row r="91" spans="1:16">
      <c r="A91" s="1" t="s">
        <v>900</v>
      </c>
      <c r="B91">
        <v>4</v>
      </c>
      <c r="C91">
        <v>1552</v>
      </c>
    </row>
    <row r="92" spans="1:16">
      <c r="A92" s="1" t="s">
        <v>448</v>
      </c>
      <c r="B92">
        <v>20</v>
      </c>
      <c r="C92">
        <v>16037</v>
      </c>
    </row>
    <row r="93" spans="1:16">
      <c r="A93" s="1" t="s">
        <v>456</v>
      </c>
      <c r="B93">
        <v>6</v>
      </c>
      <c r="C93">
        <v>2933.5</v>
      </c>
    </row>
    <row r="94" spans="1:16">
      <c r="A94" s="1" t="s">
        <v>461</v>
      </c>
      <c r="B94">
        <v>15</v>
      </c>
      <c r="C94">
        <v>8663.5</v>
      </c>
    </row>
    <row r="95" spans="1:16">
      <c r="A95" s="1" t="s">
        <v>831</v>
      </c>
      <c r="B95">
        <v>6</v>
      </c>
      <c r="C95">
        <v>5628</v>
      </c>
    </row>
    <row r="96" spans="1:16">
      <c r="A96" s="1" t="s">
        <v>464</v>
      </c>
      <c r="B96">
        <v>16</v>
      </c>
      <c r="C96">
        <v>13179</v>
      </c>
    </row>
    <row r="97" spans="1:3">
      <c r="A97" s="1" t="s">
        <v>2279</v>
      </c>
      <c r="B97">
        <v>1</v>
      </c>
      <c r="C97">
        <v>2380</v>
      </c>
    </row>
    <row r="98" spans="1:3">
      <c r="A98" s="1" t="s">
        <v>471</v>
      </c>
      <c r="B98">
        <v>7</v>
      </c>
      <c r="C98">
        <v>16241</v>
      </c>
    </row>
    <row r="99" spans="1:3">
      <c r="A99" s="1" t="s">
        <v>476</v>
      </c>
      <c r="B99">
        <v>4</v>
      </c>
      <c r="C99">
        <v>10860</v>
      </c>
    </row>
    <row r="100" spans="1:3">
      <c r="A100" s="1" t="s">
        <v>815</v>
      </c>
      <c r="B100">
        <v>3</v>
      </c>
      <c r="C100">
        <v>8610</v>
      </c>
    </row>
    <row r="101" spans="1:3">
      <c r="A101" s="1" t="s">
        <v>478</v>
      </c>
      <c r="B101">
        <v>7</v>
      </c>
      <c r="C101">
        <v>21402</v>
      </c>
    </row>
    <row r="102" spans="1:3">
      <c r="A102" s="1" t="s">
        <v>817</v>
      </c>
      <c r="B102">
        <v>3</v>
      </c>
      <c r="C102">
        <v>10170</v>
      </c>
    </row>
    <row r="103" spans="1:3">
      <c r="A103" s="1" t="s">
        <v>482</v>
      </c>
      <c r="B103">
        <v>1</v>
      </c>
      <c r="C103">
        <v>3490</v>
      </c>
    </row>
    <row r="104" spans="1:3">
      <c r="A104" s="1" t="s">
        <v>493</v>
      </c>
      <c r="B104">
        <v>4</v>
      </c>
      <c r="C104">
        <v>13120</v>
      </c>
    </row>
    <row r="105" spans="1:3">
      <c r="A105" s="1" t="s">
        <v>507</v>
      </c>
      <c r="B105">
        <v>6</v>
      </c>
      <c r="C105">
        <v>5330</v>
      </c>
    </row>
    <row r="106" spans="1:3">
      <c r="A106" s="1" t="s">
        <v>942</v>
      </c>
      <c r="B106">
        <v>10</v>
      </c>
      <c r="C106">
        <v>3797</v>
      </c>
    </row>
    <row r="107" spans="1:3">
      <c r="A107" s="1" t="s">
        <v>959</v>
      </c>
      <c r="B107">
        <v>10</v>
      </c>
      <c r="C107">
        <v>6082</v>
      </c>
    </row>
    <row r="108" spans="1:3">
      <c r="A108" s="1" t="s">
        <v>524</v>
      </c>
      <c r="B108">
        <v>2</v>
      </c>
      <c r="C108">
        <v>6760</v>
      </c>
    </row>
    <row r="109" spans="1:3">
      <c r="A109" s="1" t="s">
        <v>527</v>
      </c>
      <c r="B109">
        <v>1</v>
      </c>
      <c r="C109">
        <v>2889</v>
      </c>
    </row>
    <row r="110" spans="1:3">
      <c r="A110" s="1" t="s">
        <v>530</v>
      </c>
      <c r="B110">
        <v>7</v>
      </c>
      <c r="C110" s="156">
        <v>18116</v>
      </c>
    </row>
    <row r="111" spans="1:3">
      <c r="A111" s="1" t="s">
        <v>687</v>
      </c>
      <c r="B111">
        <v>11</v>
      </c>
      <c r="C111" s="156">
        <v>41045</v>
      </c>
    </row>
    <row r="112" spans="1:3">
      <c r="A112" s="1" t="s">
        <v>934</v>
      </c>
      <c r="B112">
        <v>3</v>
      </c>
      <c r="C112">
        <v>12578</v>
      </c>
    </row>
    <row r="113" spans="1:3">
      <c r="A113" s="1" t="s">
        <v>966</v>
      </c>
      <c r="B113">
        <v>4</v>
      </c>
      <c r="C113">
        <v>19320</v>
      </c>
    </row>
    <row r="114" spans="1:3">
      <c r="A114" s="1" t="s">
        <v>1015</v>
      </c>
      <c r="B114">
        <v>2</v>
      </c>
      <c r="C114">
        <v>11960</v>
      </c>
    </row>
    <row r="115" spans="1:3">
      <c r="A115" s="1" t="s">
        <v>729</v>
      </c>
      <c r="B115">
        <v>6</v>
      </c>
      <c r="C115" s="156">
        <v>9000</v>
      </c>
    </row>
    <row r="116" spans="1:3">
      <c r="A116" s="1" t="s">
        <v>783</v>
      </c>
      <c r="B116">
        <v>2</v>
      </c>
      <c r="C116">
        <v>5736</v>
      </c>
    </row>
    <row r="117" spans="1:3">
      <c r="A117" s="1" t="s">
        <v>918</v>
      </c>
      <c r="B117">
        <v>9</v>
      </c>
      <c r="C117">
        <v>27810</v>
      </c>
    </row>
    <row r="118" spans="1:3">
      <c r="A118" s="1" t="s">
        <v>968</v>
      </c>
      <c r="B118">
        <v>10</v>
      </c>
      <c r="C118">
        <v>36158</v>
      </c>
    </row>
    <row r="119" spans="1:3">
      <c r="A119" s="1" t="s">
        <v>551</v>
      </c>
      <c r="B119">
        <v>1</v>
      </c>
      <c r="C119">
        <v>1798</v>
      </c>
    </row>
    <row r="120" spans="1:3">
      <c r="A120" s="1" t="s">
        <v>634</v>
      </c>
      <c r="B120">
        <v>1010</v>
      </c>
      <c r="C120">
        <v>1831620.6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1D29-6723-49FF-A01D-B33194C794BA}">
  <dimension ref="A1:F130"/>
  <sheetViews>
    <sheetView topLeftCell="A22" workbookViewId="0">
      <selection activeCell="M35" sqref="M35"/>
    </sheetView>
  </sheetViews>
  <sheetFormatPr defaultRowHeight="15.75"/>
  <cols>
    <col min="2" max="2" width="9.85546875" style="12" bestFit="1" customWidth="1"/>
    <col min="5" max="5" width="12.7109375" customWidth="1"/>
  </cols>
  <sheetData>
    <row r="1" spans="1:6">
      <c r="D1">
        <f>SUBTOTAL(9,表格5[Qty])</f>
        <v>170</v>
      </c>
      <c r="E1">
        <f>SUBTOTAL(9,表格5[Unit price])</f>
        <v>114893.6</v>
      </c>
      <c r="F1">
        <f>SUBTOTAL(9,表格5[欄1])</f>
        <v>156844.6</v>
      </c>
    </row>
    <row r="2" spans="1:6">
      <c r="A2" s="49" t="s">
        <v>2248</v>
      </c>
      <c r="B2" s="157" t="s">
        <v>2249</v>
      </c>
      <c r="C2" s="49" t="s">
        <v>2105</v>
      </c>
      <c r="D2" s="49" t="s">
        <v>2106</v>
      </c>
      <c r="E2" s="49" t="s">
        <v>2250</v>
      </c>
      <c r="F2" s="49" t="s">
        <v>2251</v>
      </c>
    </row>
    <row r="3" spans="1:6">
      <c r="A3">
        <v>1</v>
      </c>
      <c r="B3" s="12">
        <v>46082</v>
      </c>
      <c r="C3" t="s">
        <v>2057</v>
      </c>
      <c r="D3">
        <v>1</v>
      </c>
      <c r="E3">
        <v>780</v>
      </c>
      <c r="F3">
        <f>表格5[[#This Row],[Qty]]*表格5[[#This Row],[Unit price]]</f>
        <v>780</v>
      </c>
    </row>
    <row r="4" spans="1:6">
      <c r="A4">
        <v>2</v>
      </c>
      <c r="B4" s="12">
        <v>46082</v>
      </c>
      <c r="C4" t="s">
        <v>1375</v>
      </c>
      <c r="D4">
        <v>1</v>
      </c>
      <c r="E4">
        <v>580</v>
      </c>
      <c r="F4">
        <f>表格5[[#This Row],[Qty]]*表格5[[#This Row],[Unit price]]</f>
        <v>580</v>
      </c>
    </row>
    <row r="5" spans="1:6">
      <c r="A5">
        <v>3</v>
      </c>
      <c r="B5" s="12">
        <v>46082</v>
      </c>
      <c r="C5" t="s">
        <v>2035</v>
      </c>
      <c r="D5">
        <v>1</v>
      </c>
      <c r="E5">
        <v>350</v>
      </c>
      <c r="F5">
        <f>表格5[[#This Row],[Qty]]*表格5[[#This Row],[Unit price]]</f>
        <v>350</v>
      </c>
    </row>
    <row r="6" spans="1:6">
      <c r="A6">
        <v>4</v>
      </c>
      <c r="B6" s="12">
        <v>46082</v>
      </c>
      <c r="C6" t="s">
        <v>2242</v>
      </c>
      <c r="D6">
        <v>1</v>
      </c>
      <c r="E6">
        <v>760</v>
      </c>
      <c r="F6">
        <f>表格5[[#This Row],[Qty]]*表格5[[#This Row],[Unit price]]</f>
        <v>760</v>
      </c>
    </row>
    <row r="7" spans="1:6">
      <c r="A7">
        <v>5</v>
      </c>
      <c r="B7" s="12">
        <v>46082</v>
      </c>
      <c r="C7" t="s">
        <v>2053</v>
      </c>
      <c r="D7">
        <v>1</v>
      </c>
      <c r="E7">
        <v>260</v>
      </c>
      <c r="F7">
        <f>表格5[[#This Row],[Qty]]*表格5[[#This Row],[Unit price]]</f>
        <v>260</v>
      </c>
    </row>
    <row r="8" spans="1:6">
      <c r="A8">
        <v>6</v>
      </c>
      <c r="B8" s="12">
        <v>46082</v>
      </c>
      <c r="C8" t="s">
        <v>2245</v>
      </c>
      <c r="D8">
        <v>1</v>
      </c>
      <c r="E8">
        <v>620</v>
      </c>
      <c r="F8">
        <f>表格5[[#This Row],[Qty]]*表格5[[#This Row],[Unit price]]</f>
        <v>620</v>
      </c>
    </row>
    <row r="9" spans="1:6">
      <c r="A9">
        <v>7</v>
      </c>
      <c r="B9" s="12">
        <v>46082</v>
      </c>
      <c r="C9" t="s">
        <v>1761</v>
      </c>
      <c r="D9">
        <v>3</v>
      </c>
      <c r="E9">
        <v>2451</v>
      </c>
      <c r="F9">
        <f>表格5[[#This Row],[Qty]]*表格5[[#This Row],[Unit price]]</f>
        <v>7353</v>
      </c>
    </row>
    <row r="10" spans="1:6">
      <c r="A10">
        <v>8</v>
      </c>
      <c r="B10" s="12">
        <v>46083</v>
      </c>
      <c r="C10" t="s">
        <v>1375</v>
      </c>
      <c r="D10">
        <v>2</v>
      </c>
      <c r="E10">
        <v>551</v>
      </c>
      <c r="F10">
        <f>表格5[[#This Row],[Qty]]*表格5[[#This Row],[Unit price]]</f>
        <v>1102</v>
      </c>
    </row>
    <row r="11" spans="1:6">
      <c r="A11">
        <v>9</v>
      </c>
      <c r="B11" s="12">
        <v>46083</v>
      </c>
      <c r="C11">
        <v>7080</v>
      </c>
      <c r="D11">
        <v>1</v>
      </c>
      <c r="E11">
        <v>313.5</v>
      </c>
      <c r="F11">
        <f>表格5[[#This Row],[Qty]]*表格5[[#This Row],[Unit price]]</f>
        <v>313.5</v>
      </c>
    </row>
    <row r="12" spans="1:6">
      <c r="A12">
        <v>10</v>
      </c>
      <c r="B12" s="12">
        <v>46083</v>
      </c>
      <c r="C12" t="s">
        <v>2242</v>
      </c>
      <c r="D12">
        <v>1</v>
      </c>
      <c r="E12">
        <v>722</v>
      </c>
      <c r="F12">
        <f>表格5[[#This Row],[Qty]]*表格5[[#This Row],[Unit price]]</f>
        <v>722</v>
      </c>
    </row>
    <row r="13" spans="1:6">
      <c r="A13">
        <v>11</v>
      </c>
      <c r="B13" s="12">
        <v>46083</v>
      </c>
      <c r="C13" t="s">
        <v>2085</v>
      </c>
      <c r="D13">
        <v>1</v>
      </c>
      <c r="E13">
        <v>940.5</v>
      </c>
      <c r="F13">
        <f>表格5[[#This Row],[Qty]]*表格5[[#This Row],[Unit price]]</f>
        <v>940.5</v>
      </c>
    </row>
    <row r="14" spans="1:6">
      <c r="A14">
        <v>12</v>
      </c>
      <c r="B14" s="12">
        <v>46083</v>
      </c>
      <c r="C14" t="s">
        <v>2053</v>
      </c>
      <c r="D14">
        <v>2</v>
      </c>
      <c r="E14">
        <v>247</v>
      </c>
      <c r="F14">
        <f>表格5[[#This Row],[Qty]]*表格5[[#This Row],[Unit price]]</f>
        <v>494</v>
      </c>
    </row>
    <row r="15" spans="1:6">
      <c r="A15">
        <v>13</v>
      </c>
      <c r="B15" s="12">
        <v>46083</v>
      </c>
      <c r="C15" t="s">
        <v>1761</v>
      </c>
      <c r="D15">
        <v>1</v>
      </c>
      <c r="E15">
        <v>2451</v>
      </c>
      <c r="F15">
        <f>表格5[[#This Row],[Qty]]*表格5[[#This Row],[Unit price]]</f>
        <v>2451</v>
      </c>
    </row>
    <row r="16" spans="1:6">
      <c r="A16">
        <v>14</v>
      </c>
      <c r="B16" s="12">
        <v>46084</v>
      </c>
      <c r="C16" t="s">
        <v>2043</v>
      </c>
      <c r="D16">
        <v>1</v>
      </c>
      <c r="E16">
        <v>800</v>
      </c>
      <c r="F16">
        <f>表格5[[#This Row],[Qty]]*表格5[[#This Row],[Unit price]]</f>
        <v>800</v>
      </c>
    </row>
    <row r="17" spans="1:6">
      <c r="A17">
        <v>15</v>
      </c>
      <c r="B17" s="12">
        <v>46084</v>
      </c>
      <c r="C17" t="s">
        <v>2030</v>
      </c>
      <c r="D17">
        <v>2</v>
      </c>
      <c r="E17">
        <v>190</v>
      </c>
      <c r="F17">
        <f>表格5[[#This Row],[Qty]]*表格5[[#This Row],[Unit price]]</f>
        <v>380</v>
      </c>
    </row>
    <row r="18" spans="1:6">
      <c r="A18">
        <v>16</v>
      </c>
      <c r="B18" s="12">
        <v>46084</v>
      </c>
      <c r="C18" t="s">
        <v>2171</v>
      </c>
      <c r="D18">
        <v>1</v>
      </c>
      <c r="E18">
        <v>1881</v>
      </c>
      <c r="F18">
        <f>表格5[[#This Row],[Qty]]*表格5[[#This Row],[Unit price]]</f>
        <v>1881</v>
      </c>
    </row>
    <row r="19" spans="1:6">
      <c r="A19">
        <v>17</v>
      </c>
      <c r="B19" s="12">
        <v>46084</v>
      </c>
      <c r="C19" t="s">
        <v>2035</v>
      </c>
      <c r="D19">
        <v>1</v>
      </c>
      <c r="E19">
        <v>350</v>
      </c>
      <c r="F19">
        <f>表格5[[#This Row],[Qty]]*表格5[[#This Row],[Unit price]]</f>
        <v>350</v>
      </c>
    </row>
    <row r="20" spans="1:6">
      <c r="A20">
        <v>18</v>
      </c>
      <c r="B20" s="12">
        <v>46084</v>
      </c>
      <c r="C20" t="s">
        <v>2048</v>
      </c>
      <c r="D20">
        <v>2</v>
      </c>
      <c r="E20">
        <v>380</v>
      </c>
      <c r="F20">
        <f>表格5[[#This Row],[Qty]]*表格5[[#This Row],[Unit price]]</f>
        <v>760</v>
      </c>
    </row>
    <row r="21" spans="1:6">
      <c r="A21">
        <v>19</v>
      </c>
      <c r="B21" s="12">
        <v>46084</v>
      </c>
      <c r="C21" t="s">
        <v>1761</v>
      </c>
      <c r="D21">
        <v>1</v>
      </c>
      <c r="E21">
        <v>2451</v>
      </c>
      <c r="F21">
        <f>表格5[[#This Row],[Qty]]*表格5[[#This Row],[Unit price]]</f>
        <v>2451</v>
      </c>
    </row>
    <row r="22" spans="1:6">
      <c r="A22">
        <v>20</v>
      </c>
      <c r="B22" s="12">
        <v>46086</v>
      </c>
      <c r="C22" t="s">
        <v>2030</v>
      </c>
      <c r="D22">
        <v>3</v>
      </c>
      <c r="E22">
        <v>190</v>
      </c>
      <c r="F22">
        <f>表格5[[#This Row],[Qty]]*表格5[[#This Row],[Unit price]]</f>
        <v>570</v>
      </c>
    </row>
    <row r="23" spans="1:6">
      <c r="A23">
        <v>21</v>
      </c>
      <c r="B23" s="12">
        <v>46086</v>
      </c>
      <c r="C23" t="s">
        <v>1375</v>
      </c>
      <c r="D23">
        <v>1</v>
      </c>
      <c r="E23">
        <v>580</v>
      </c>
      <c r="F23">
        <f>表格5[[#This Row],[Qty]]*表格5[[#This Row],[Unit price]]</f>
        <v>580</v>
      </c>
    </row>
    <row r="24" spans="1:6">
      <c r="A24">
        <v>22</v>
      </c>
      <c r="B24" s="12">
        <v>46086</v>
      </c>
      <c r="C24" t="s">
        <v>2171</v>
      </c>
      <c r="D24">
        <v>1</v>
      </c>
      <c r="E24">
        <v>1980</v>
      </c>
      <c r="F24">
        <f>表格5[[#This Row],[Qty]]*表格5[[#This Row],[Unit price]]</f>
        <v>1980</v>
      </c>
    </row>
    <row r="25" spans="1:6">
      <c r="A25">
        <v>23</v>
      </c>
      <c r="B25" s="12">
        <v>46086</v>
      </c>
      <c r="C25" t="s">
        <v>1761</v>
      </c>
      <c r="D25">
        <v>1</v>
      </c>
      <c r="E25">
        <v>2451</v>
      </c>
      <c r="F25">
        <f>表格5[[#This Row],[Qty]]*表格5[[#This Row],[Unit price]]</f>
        <v>2451</v>
      </c>
    </row>
    <row r="26" spans="1:6">
      <c r="A26">
        <v>24</v>
      </c>
      <c r="B26" s="12">
        <v>46087</v>
      </c>
      <c r="C26" t="s">
        <v>2030</v>
      </c>
      <c r="D26">
        <v>1</v>
      </c>
      <c r="E26">
        <v>190</v>
      </c>
      <c r="F26">
        <f>表格5[[#This Row],[Qty]]*表格5[[#This Row],[Unit price]]</f>
        <v>190</v>
      </c>
    </row>
    <row r="27" spans="1:6">
      <c r="A27">
        <v>25</v>
      </c>
      <c r="B27" s="12">
        <v>46087</v>
      </c>
      <c r="C27" t="s">
        <v>2037</v>
      </c>
      <c r="D27">
        <v>1</v>
      </c>
      <c r="E27">
        <v>590</v>
      </c>
      <c r="F27">
        <f>表格5[[#This Row],[Qty]]*表格5[[#This Row],[Unit price]]</f>
        <v>590</v>
      </c>
    </row>
    <row r="28" spans="1:6">
      <c r="A28">
        <v>26</v>
      </c>
      <c r="B28" s="12">
        <v>46087</v>
      </c>
      <c r="C28" t="s">
        <v>2241</v>
      </c>
      <c r="D28">
        <v>1</v>
      </c>
      <c r="E28">
        <v>3781</v>
      </c>
      <c r="F28">
        <f>表格5[[#This Row],[Qty]]*表格5[[#This Row],[Unit price]]</f>
        <v>3781</v>
      </c>
    </row>
    <row r="29" spans="1:6">
      <c r="A29">
        <v>27</v>
      </c>
      <c r="B29" s="12">
        <v>46087</v>
      </c>
      <c r="C29" t="s">
        <v>2048</v>
      </c>
      <c r="D29">
        <v>1</v>
      </c>
      <c r="E29">
        <v>380</v>
      </c>
      <c r="F29">
        <f>表格5[[#This Row],[Qty]]*表格5[[#This Row],[Unit price]]</f>
        <v>380</v>
      </c>
    </row>
    <row r="30" spans="1:6">
      <c r="A30">
        <v>28</v>
      </c>
      <c r="B30" s="12">
        <v>46087</v>
      </c>
      <c r="C30" t="s">
        <v>1761</v>
      </c>
      <c r="D30">
        <v>1</v>
      </c>
      <c r="E30">
        <v>2451</v>
      </c>
      <c r="F30">
        <f>表格5[[#This Row],[Qty]]*表格5[[#This Row],[Unit price]]</f>
        <v>2451</v>
      </c>
    </row>
    <row r="31" spans="1:6">
      <c r="A31">
        <v>29</v>
      </c>
      <c r="B31" s="12">
        <v>46088</v>
      </c>
      <c r="C31" t="s">
        <v>2037</v>
      </c>
      <c r="D31">
        <v>2</v>
      </c>
      <c r="E31">
        <v>590</v>
      </c>
      <c r="F31">
        <f>表格5[[#This Row],[Qty]]*表格5[[#This Row],[Unit price]]</f>
        <v>1180</v>
      </c>
    </row>
    <row r="32" spans="1:6">
      <c r="A32">
        <v>30</v>
      </c>
      <c r="B32" s="12">
        <v>46088</v>
      </c>
      <c r="C32" t="s">
        <v>1375</v>
      </c>
      <c r="D32">
        <v>1</v>
      </c>
      <c r="E32">
        <v>580</v>
      </c>
      <c r="F32">
        <f>表格5[[#This Row],[Qty]]*表格5[[#This Row],[Unit price]]</f>
        <v>580</v>
      </c>
    </row>
    <row r="33" spans="1:6">
      <c r="A33">
        <v>31</v>
      </c>
      <c r="B33" s="12">
        <v>46088</v>
      </c>
      <c r="C33" t="s">
        <v>2238</v>
      </c>
      <c r="D33">
        <v>1</v>
      </c>
      <c r="E33">
        <v>890</v>
      </c>
      <c r="F33">
        <f>表格5[[#This Row],[Qty]]*表格5[[#This Row],[Unit price]]</f>
        <v>890</v>
      </c>
    </row>
    <row r="34" spans="1:6">
      <c r="A34">
        <v>32</v>
      </c>
      <c r="B34" s="12">
        <v>46088</v>
      </c>
      <c r="C34" t="s">
        <v>2035</v>
      </c>
      <c r="D34">
        <v>1</v>
      </c>
      <c r="E34">
        <v>350</v>
      </c>
      <c r="F34">
        <f>表格5[[#This Row],[Qty]]*表格5[[#This Row],[Unit price]]</f>
        <v>350</v>
      </c>
    </row>
    <row r="35" spans="1:6">
      <c r="A35">
        <v>33</v>
      </c>
      <c r="B35" s="12">
        <v>46088</v>
      </c>
      <c r="C35" t="s">
        <v>1761</v>
      </c>
      <c r="D35">
        <v>2</v>
      </c>
      <c r="E35">
        <v>2451</v>
      </c>
      <c r="F35">
        <f>表格5[[#This Row],[Qty]]*表格5[[#This Row],[Unit price]]</f>
        <v>4902</v>
      </c>
    </row>
    <row r="36" spans="1:6">
      <c r="A36">
        <v>34</v>
      </c>
      <c r="B36" s="12">
        <v>46089</v>
      </c>
      <c r="C36" t="s">
        <v>2030</v>
      </c>
      <c r="D36">
        <v>2</v>
      </c>
      <c r="E36">
        <v>190</v>
      </c>
      <c r="F36">
        <f>表格5[[#This Row],[Qty]]*表格5[[#This Row],[Unit price]]</f>
        <v>380</v>
      </c>
    </row>
    <row r="37" spans="1:6">
      <c r="A37">
        <v>35</v>
      </c>
      <c r="B37" s="12">
        <v>46089</v>
      </c>
      <c r="C37" t="s">
        <v>2046</v>
      </c>
      <c r="D37">
        <v>1</v>
      </c>
      <c r="E37">
        <v>465.5</v>
      </c>
      <c r="F37">
        <f>表格5[[#This Row],[Qty]]*表格5[[#This Row],[Unit price]]</f>
        <v>465.5</v>
      </c>
    </row>
    <row r="38" spans="1:6">
      <c r="A38">
        <v>36</v>
      </c>
      <c r="B38" s="12">
        <v>46089</v>
      </c>
      <c r="C38" t="s">
        <v>2035</v>
      </c>
      <c r="D38">
        <v>1</v>
      </c>
      <c r="E38">
        <v>350</v>
      </c>
      <c r="F38">
        <f>表格5[[#This Row],[Qty]]*表格5[[#This Row],[Unit price]]</f>
        <v>350</v>
      </c>
    </row>
    <row r="39" spans="1:6">
      <c r="A39">
        <v>37</v>
      </c>
      <c r="B39" s="12">
        <v>46089</v>
      </c>
      <c r="C39" t="s">
        <v>2243</v>
      </c>
      <c r="D39">
        <v>2</v>
      </c>
      <c r="E39">
        <v>290</v>
      </c>
      <c r="F39">
        <f>表格5[[#This Row],[Qty]]*表格5[[#This Row],[Unit price]]</f>
        <v>580</v>
      </c>
    </row>
    <row r="40" spans="1:6">
      <c r="A40">
        <v>38</v>
      </c>
      <c r="B40" s="12">
        <v>46089</v>
      </c>
      <c r="C40" t="s">
        <v>1761</v>
      </c>
      <c r="D40">
        <v>3</v>
      </c>
      <c r="E40">
        <v>2451</v>
      </c>
      <c r="F40">
        <f>表格5[[#This Row],[Qty]]*表格5[[#This Row],[Unit price]]</f>
        <v>7353</v>
      </c>
    </row>
    <row r="41" spans="1:6">
      <c r="A41">
        <v>39</v>
      </c>
      <c r="B41" s="12">
        <v>46091</v>
      </c>
      <c r="C41" t="s">
        <v>2046</v>
      </c>
      <c r="D41">
        <v>1</v>
      </c>
      <c r="E41">
        <v>490</v>
      </c>
      <c r="F41">
        <f>表格5[[#This Row],[Qty]]*表格5[[#This Row],[Unit price]]</f>
        <v>490</v>
      </c>
    </row>
    <row r="42" spans="1:6">
      <c r="A42">
        <v>40</v>
      </c>
      <c r="B42" s="12">
        <v>46091</v>
      </c>
      <c r="C42">
        <v>7080</v>
      </c>
      <c r="D42">
        <v>1</v>
      </c>
      <c r="E42">
        <v>330</v>
      </c>
      <c r="F42">
        <f>表格5[[#This Row],[Qty]]*表格5[[#This Row],[Unit price]]</f>
        <v>330</v>
      </c>
    </row>
    <row r="43" spans="1:6">
      <c r="A43">
        <v>41</v>
      </c>
      <c r="B43" s="12">
        <v>46091</v>
      </c>
      <c r="C43" t="s">
        <v>2246</v>
      </c>
      <c r="D43">
        <v>1</v>
      </c>
      <c r="E43">
        <v>550</v>
      </c>
      <c r="F43">
        <f>表格5[[#This Row],[Qty]]*表格5[[#This Row],[Unit price]]</f>
        <v>550</v>
      </c>
    </row>
    <row r="44" spans="1:6">
      <c r="A44">
        <v>42</v>
      </c>
      <c r="B44" s="12">
        <v>46091</v>
      </c>
      <c r="C44" t="s">
        <v>1761</v>
      </c>
      <c r="D44">
        <v>1</v>
      </c>
      <c r="E44">
        <v>2451</v>
      </c>
      <c r="F44">
        <f>表格5[[#This Row],[Qty]]*表格5[[#This Row],[Unit price]]</f>
        <v>2451</v>
      </c>
    </row>
    <row r="45" spans="1:6">
      <c r="A45">
        <v>43</v>
      </c>
      <c r="B45" s="12">
        <v>46092</v>
      </c>
      <c r="C45" t="s">
        <v>2057</v>
      </c>
      <c r="D45">
        <v>1</v>
      </c>
      <c r="E45">
        <v>780</v>
      </c>
      <c r="F45">
        <f>表格5[[#This Row],[Qty]]*表格5[[#This Row],[Unit price]]</f>
        <v>780</v>
      </c>
    </row>
    <row r="46" spans="1:6">
      <c r="A46">
        <v>44</v>
      </c>
      <c r="B46" s="12">
        <v>46092</v>
      </c>
      <c r="C46" t="s">
        <v>2242</v>
      </c>
      <c r="D46">
        <v>1</v>
      </c>
      <c r="E46">
        <v>760</v>
      </c>
      <c r="F46">
        <f>表格5[[#This Row],[Qty]]*表格5[[#This Row],[Unit price]]</f>
        <v>760</v>
      </c>
    </row>
    <row r="47" spans="1:6">
      <c r="A47">
        <v>45</v>
      </c>
      <c r="B47" s="12">
        <v>46092</v>
      </c>
      <c r="C47" t="s">
        <v>1956</v>
      </c>
      <c r="D47">
        <v>1</v>
      </c>
      <c r="E47">
        <v>940.5</v>
      </c>
      <c r="F47">
        <f>表格5[[#This Row],[Qty]]*表格5[[#This Row],[Unit price]]</f>
        <v>940.5</v>
      </c>
    </row>
    <row r="48" spans="1:6">
      <c r="A48">
        <v>46</v>
      </c>
      <c r="B48" s="12">
        <v>46093</v>
      </c>
      <c r="C48" t="s">
        <v>2037</v>
      </c>
      <c r="D48">
        <v>1</v>
      </c>
      <c r="E48">
        <v>590</v>
      </c>
      <c r="F48">
        <f>表格5[[#This Row],[Qty]]*表格5[[#This Row],[Unit price]]</f>
        <v>590</v>
      </c>
    </row>
    <row r="49" spans="1:6">
      <c r="A49">
        <v>47</v>
      </c>
      <c r="B49" s="12">
        <v>46093</v>
      </c>
      <c r="C49" t="s">
        <v>2247</v>
      </c>
      <c r="D49">
        <v>1</v>
      </c>
      <c r="E49">
        <v>290</v>
      </c>
      <c r="F49">
        <f>表格5[[#This Row],[Qty]]*表格5[[#This Row],[Unit price]]</f>
        <v>290</v>
      </c>
    </row>
    <row r="50" spans="1:6">
      <c r="A50">
        <v>48</v>
      </c>
      <c r="B50" s="12">
        <v>46093</v>
      </c>
      <c r="C50" t="s">
        <v>2085</v>
      </c>
      <c r="D50">
        <v>1</v>
      </c>
      <c r="E50">
        <v>990</v>
      </c>
      <c r="F50">
        <f>表格5[[#This Row],[Qty]]*表格5[[#This Row],[Unit price]]</f>
        <v>990</v>
      </c>
    </row>
    <row r="51" spans="1:6">
      <c r="A51">
        <v>49</v>
      </c>
      <c r="B51" s="12">
        <v>46094</v>
      </c>
      <c r="C51" t="s">
        <v>2030</v>
      </c>
      <c r="D51">
        <v>2</v>
      </c>
      <c r="E51">
        <v>190</v>
      </c>
      <c r="F51">
        <f>表格5[[#This Row],[Qty]]*表格5[[#This Row],[Unit price]]</f>
        <v>380</v>
      </c>
    </row>
    <row r="52" spans="1:6">
      <c r="A52">
        <v>50</v>
      </c>
      <c r="B52" s="12">
        <v>46094</v>
      </c>
      <c r="C52" t="s">
        <v>2046</v>
      </c>
      <c r="D52">
        <v>1</v>
      </c>
      <c r="E52">
        <v>490</v>
      </c>
      <c r="F52">
        <f>表格5[[#This Row],[Qty]]*表格5[[#This Row],[Unit price]]</f>
        <v>490</v>
      </c>
    </row>
    <row r="53" spans="1:6">
      <c r="A53">
        <v>51</v>
      </c>
      <c r="B53" s="12">
        <v>46094</v>
      </c>
      <c r="C53" t="s">
        <v>2048</v>
      </c>
      <c r="D53">
        <v>1</v>
      </c>
      <c r="E53">
        <v>380</v>
      </c>
      <c r="F53">
        <f>表格5[[#This Row],[Qty]]*表格5[[#This Row],[Unit price]]</f>
        <v>380</v>
      </c>
    </row>
    <row r="54" spans="1:6">
      <c r="A54">
        <v>52</v>
      </c>
      <c r="B54" s="12">
        <v>46094</v>
      </c>
      <c r="C54" t="s">
        <v>2052</v>
      </c>
      <c r="D54">
        <v>1</v>
      </c>
      <c r="E54">
        <v>370.5</v>
      </c>
      <c r="F54">
        <f>表格5[[#This Row],[Qty]]*表格5[[#This Row],[Unit price]]</f>
        <v>370.5</v>
      </c>
    </row>
    <row r="55" spans="1:6">
      <c r="A55">
        <v>53</v>
      </c>
      <c r="B55" s="12">
        <v>46096</v>
      </c>
      <c r="C55" t="s">
        <v>1377</v>
      </c>
      <c r="D55">
        <v>1</v>
      </c>
      <c r="E55">
        <v>720</v>
      </c>
      <c r="F55">
        <f>表格5[[#This Row],[Qty]]*表格5[[#This Row],[Unit price]]</f>
        <v>720</v>
      </c>
    </row>
    <row r="56" spans="1:6">
      <c r="A56">
        <v>54</v>
      </c>
      <c r="B56" s="12">
        <v>46096</v>
      </c>
      <c r="C56" t="s">
        <v>2037</v>
      </c>
      <c r="D56">
        <v>1</v>
      </c>
      <c r="E56">
        <v>590</v>
      </c>
      <c r="F56">
        <f>表格5[[#This Row],[Qty]]*表格5[[#This Row],[Unit price]]</f>
        <v>590</v>
      </c>
    </row>
    <row r="57" spans="1:6">
      <c r="A57">
        <v>55</v>
      </c>
      <c r="B57" s="12">
        <v>46096</v>
      </c>
      <c r="C57" t="s">
        <v>2035</v>
      </c>
      <c r="D57">
        <v>1</v>
      </c>
      <c r="E57">
        <v>350</v>
      </c>
      <c r="F57">
        <f>表格5[[#This Row],[Qty]]*表格5[[#This Row],[Unit price]]</f>
        <v>350</v>
      </c>
    </row>
    <row r="58" spans="1:6">
      <c r="A58">
        <v>56</v>
      </c>
      <c r="B58" s="12">
        <v>46096</v>
      </c>
      <c r="C58" t="s">
        <v>2243</v>
      </c>
      <c r="D58">
        <v>1</v>
      </c>
      <c r="E58">
        <v>290</v>
      </c>
      <c r="F58">
        <f>表格5[[#This Row],[Qty]]*表格5[[#This Row],[Unit price]]</f>
        <v>290</v>
      </c>
    </row>
    <row r="59" spans="1:6">
      <c r="A59">
        <v>57</v>
      </c>
      <c r="B59" s="12">
        <v>46096</v>
      </c>
      <c r="C59" t="s">
        <v>2085</v>
      </c>
      <c r="D59">
        <v>1</v>
      </c>
      <c r="E59">
        <v>990</v>
      </c>
      <c r="F59">
        <f>表格5[[#This Row],[Qty]]*表格5[[#This Row],[Unit price]]</f>
        <v>990</v>
      </c>
    </row>
    <row r="60" spans="1:6">
      <c r="A60">
        <v>58</v>
      </c>
      <c r="B60" s="12">
        <v>46096</v>
      </c>
      <c r="C60" t="s">
        <v>2246</v>
      </c>
      <c r="D60">
        <v>1</v>
      </c>
      <c r="E60">
        <v>550</v>
      </c>
      <c r="F60">
        <f>表格5[[#This Row],[Qty]]*表格5[[#This Row],[Unit price]]</f>
        <v>550</v>
      </c>
    </row>
    <row r="61" spans="1:6">
      <c r="A61">
        <v>59</v>
      </c>
      <c r="B61" s="12">
        <v>46096</v>
      </c>
      <c r="C61" t="s">
        <v>1761</v>
      </c>
      <c r="D61">
        <v>3</v>
      </c>
      <c r="E61">
        <v>2326</v>
      </c>
      <c r="F61">
        <f>表格5[[#This Row],[Qty]]*表格5[[#This Row],[Unit price]]</f>
        <v>6978</v>
      </c>
    </row>
    <row r="62" spans="1:6">
      <c r="A62">
        <v>60</v>
      </c>
      <c r="B62" s="12">
        <v>46097</v>
      </c>
      <c r="C62" t="s">
        <v>1375</v>
      </c>
      <c r="D62">
        <v>1</v>
      </c>
      <c r="E62">
        <v>580</v>
      </c>
      <c r="F62">
        <f>表格5[[#This Row],[Qty]]*表格5[[#This Row],[Unit price]]</f>
        <v>580</v>
      </c>
    </row>
    <row r="63" spans="1:6">
      <c r="A63">
        <v>61</v>
      </c>
      <c r="B63" s="12">
        <v>46097</v>
      </c>
      <c r="C63" t="s">
        <v>2242</v>
      </c>
      <c r="D63">
        <v>1</v>
      </c>
      <c r="E63">
        <v>760</v>
      </c>
      <c r="F63">
        <f>表格5[[#This Row],[Qty]]*表格5[[#This Row],[Unit price]]</f>
        <v>760</v>
      </c>
    </row>
    <row r="64" spans="1:6">
      <c r="A64">
        <v>62</v>
      </c>
      <c r="B64" s="12">
        <v>46097</v>
      </c>
      <c r="C64" t="s">
        <v>2247</v>
      </c>
      <c r="D64">
        <v>1</v>
      </c>
      <c r="E64">
        <v>290</v>
      </c>
      <c r="F64">
        <f>表格5[[#This Row],[Qty]]*表格5[[#This Row],[Unit price]]</f>
        <v>290</v>
      </c>
    </row>
    <row r="65" spans="1:6">
      <c r="A65">
        <v>63</v>
      </c>
      <c r="B65" s="12">
        <v>46097</v>
      </c>
      <c r="C65" t="s">
        <v>2053</v>
      </c>
      <c r="D65">
        <v>1</v>
      </c>
      <c r="E65">
        <v>260</v>
      </c>
      <c r="F65">
        <f>表格5[[#This Row],[Qty]]*表格5[[#This Row],[Unit price]]</f>
        <v>260</v>
      </c>
    </row>
    <row r="66" spans="1:6">
      <c r="A66">
        <v>64</v>
      </c>
      <c r="B66" s="12">
        <v>46097</v>
      </c>
      <c r="C66" t="s">
        <v>2245</v>
      </c>
      <c r="D66">
        <v>1</v>
      </c>
      <c r="E66">
        <v>620</v>
      </c>
      <c r="F66">
        <f>表格5[[#This Row],[Qty]]*表格5[[#This Row],[Unit price]]</f>
        <v>620</v>
      </c>
    </row>
    <row r="67" spans="1:6">
      <c r="A67">
        <v>65</v>
      </c>
      <c r="B67" s="12">
        <v>46097</v>
      </c>
      <c r="C67" t="s">
        <v>2052</v>
      </c>
      <c r="D67">
        <v>1</v>
      </c>
      <c r="E67">
        <v>370.5</v>
      </c>
      <c r="F67">
        <f>表格5[[#This Row],[Qty]]*表格5[[#This Row],[Unit price]]</f>
        <v>370.5</v>
      </c>
    </row>
    <row r="68" spans="1:6">
      <c r="A68">
        <v>66</v>
      </c>
      <c r="B68" s="12">
        <v>46097</v>
      </c>
      <c r="C68" t="s">
        <v>2039</v>
      </c>
      <c r="D68">
        <v>1</v>
      </c>
      <c r="E68">
        <v>1938</v>
      </c>
      <c r="F68">
        <f>表格5[[#This Row],[Qty]]*表格5[[#This Row],[Unit price]]</f>
        <v>1938</v>
      </c>
    </row>
    <row r="69" spans="1:6">
      <c r="A69">
        <v>67</v>
      </c>
      <c r="B69" s="12">
        <v>46098</v>
      </c>
      <c r="C69" t="s">
        <v>1375</v>
      </c>
      <c r="D69">
        <v>1</v>
      </c>
      <c r="E69">
        <v>580</v>
      </c>
      <c r="F69">
        <f>表格5[[#This Row],[Qty]]*表格5[[#This Row],[Unit price]]</f>
        <v>580</v>
      </c>
    </row>
    <row r="70" spans="1:6">
      <c r="A70">
        <v>68</v>
      </c>
      <c r="B70" s="12">
        <v>46098</v>
      </c>
      <c r="C70" t="s">
        <v>2035</v>
      </c>
      <c r="D70">
        <v>1</v>
      </c>
      <c r="E70">
        <v>350</v>
      </c>
      <c r="F70">
        <f>表格5[[#This Row],[Qty]]*表格5[[#This Row],[Unit price]]</f>
        <v>350</v>
      </c>
    </row>
    <row r="71" spans="1:6">
      <c r="A71">
        <v>69</v>
      </c>
      <c r="B71" s="12">
        <v>46098</v>
      </c>
      <c r="C71" t="s">
        <v>2123</v>
      </c>
      <c r="D71">
        <v>1</v>
      </c>
      <c r="E71">
        <v>1881</v>
      </c>
      <c r="F71">
        <f>表格5[[#This Row],[Qty]]*表格5[[#This Row],[Unit price]]</f>
        <v>1881</v>
      </c>
    </row>
    <row r="72" spans="1:6">
      <c r="A72">
        <v>70</v>
      </c>
      <c r="B72" s="12">
        <v>46098</v>
      </c>
      <c r="C72" t="s">
        <v>1956</v>
      </c>
      <c r="D72">
        <v>1</v>
      </c>
      <c r="E72">
        <v>990</v>
      </c>
      <c r="F72">
        <f>表格5[[#This Row],[Qty]]*表格5[[#This Row],[Unit price]]</f>
        <v>990</v>
      </c>
    </row>
    <row r="73" spans="1:6">
      <c r="A73">
        <v>71</v>
      </c>
      <c r="B73" s="12">
        <v>46098</v>
      </c>
      <c r="C73" t="s">
        <v>2085</v>
      </c>
      <c r="D73">
        <v>1</v>
      </c>
      <c r="E73">
        <v>990</v>
      </c>
      <c r="F73">
        <f>表格5[[#This Row],[Qty]]*表格5[[#This Row],[Unit price]]</f>
        <v>990</v>
      </c>
    </row>
    <row r="74" spans="1:6">
      <c r="A74">
        <v>72</v>
      </c>
      <c r="B74" s="12">
        <v>46098</v>
      </c>
      <c r="C74" t="s">
        <v>2246</v>
      </c>
      <c r="D74">
        <v>1</v>
      </c>
      <c r="E74">
        <v>550</v>
      </c>
      <c r="F74">
        <f>表格5[[#This Row],[Qty]]*表格5[[#This Row],[Unit price]]</f>
        <v>550</v>
      </c>
    </row>
    <row r="75" spans="1:6">
      <c r="A75">
        <v>73</v>
      </c>
      <c r="B75" s="12">
        <v>46101</v>
      </c>
      <c r="C75" t="s">
        <v>2030</v>
      </c>
      <c r="D75">
        <v>2</v>
      </c>
      <c r="E75">
        <v>180.5</v>
      </c>
      <c r="F75">
        <f>表格5[[#This Row],[Qty]]*表格5[[#This Row],[Unit price]]</f>
        <v>361</v>
      </c>
    </row>
    <row r="76" spans="1:6">
      <c r="A76">
        <v>74</v>
      </c>
      <c r="B76" s="12">
        <v>46101</v>
      </c>
      <c r="C76" t="s">
        <v>2037</v>
      </c>
      <c r="D76">
        <v>1</v>
      </c>
      <c r="E76">
        <v>590</v>
      </c>
      <c r="F76">
        <f>表格5[[#This Row],[Qty]]*表格5[[#This Row],[Unit price]]</f>
        <v>590</v>
      </c>
    </row>
    <row r="77" spans="1:6">
      <c r="A77">
        <v>75</v>
      </c>
      <c r="B77" s="12">
        <v>46101</v>
      </c>
      <c r="C77" t="s">
        <v>1375</v>
      </c>
      <c r="D77">
        <v>1</v>
      </c>
      <c r="E77">
        <v>551</v>
      </c>
      <c r="F77">
        <f>表格5[[#This Row],[Qty]]*表格5[[#This Row],[Unit price]]</f>
        <v>551</v>
      </c>
    </row>
    <row r="78" spans="1:6">
      <c r="A78">
        <v>76</v>
      </c>
      <c r="B78" s="12">
        <v>46101</v>
      </c>
      <c r="C78" t="s">
        <v>2171</v>
      </c>
      <c r="D78">
        <v>1</v>
      </c>
      <c r="E78">
        <v>1881</v>
      </c>
      <c r="F78">
        <f>表格5[[#This Row],[Qty]]*表格5[[#This Row],[Unit price]]</f>
        <v>1881</v>
      </c>
    </row>
    <row r="79" spans="1:6">
      <c r="A79">
        <v>77</v>
      </c>
      <c r="B79" s="12">
        <v>46101</v>
      </c>
      <c r="C79" t="s">
        <v>2035</v>
      </c>
      <c r="D79">
        <v>2</v>
      </c>
      <c r="E79">
        <v>332.5</v>
      </c>
      <c r="F79">
        <f>表格5[[#This Row],[Qty]]*表格5[[#This Row],[Unit price]]</f>
        <v>665</v>
      </c>
    </row>
    <row r="80" spans="1:6">
      <c r="A80">
        <v>78</v>
      </c>
      <c r="B80" s="12">
        <v>46101</v>
      </c>
      <c r="C80" t="s">
        <v>2244</v>
      </c>
      <c r="D80">
        <v>1</v>
      </c>
      <c r="E80">
        <v>1603.6</v>
      </c>
      <c r="F80">
        <f>表格5[[#This Row],[Qty]]*表格5[[#This Row],[Unit price]]</f>
        <v>1603.6</v>
      </c>
    </row>
    <row r="81" spans="1:6">
      <c r="A81">
        <v>79</v>
      </c>
      <c r="B81" s="12">
        <v>46101</v>
      </c>
      <c r="C81" t="s">
        <v>2053</v>
      </c>
      <c r="D81">
        <v>1</v>
      </c>
      <c r="E81">
        <v>247</v>
      </c>
      <c r="F81">
        <f>表格5[[#This Row],[Qty]]*表格5[[#This Row],[Unit price]]</f>
        <v>247</v>
      </c>
    </row>
    <row r="82" spans="1:6">
      <c r="A82">
        <v>80</v>
      </c>
      <c r="B82" s="12">
        <v>46101</v>
      </c>
      <c r="C82" t="s">
        <v>1761</v>
      </c>
      <c r="D82">
        <v>3</v>
      </c>
      <c r="E82">
        <v>2326</v>
      </c>
      <c r="F82">
        <f>表格5[[#This Row],[Qty]]*表格5[[#This Row],[Unit price]]</f>
        <v>6978</v>
      </c>
    </row>
    <row r="83" spans="1:6">
      <c r="A83">
        <v>81</v>
      </c>
      <c r="B83" s="12">
        <v>46102</v>
      </c>
      <c r="C83" t="s">
        <v>2046</v>
      </c>
      <c r="D83">
        <v>2</v>
      </c>
      <c r="E83">
        <v>465.5</v>
      </c>
      <c r="F83">
        <f>表格5[[#This Row],[Qty]]*表格5[[#This Row],[Unit price]]</f>
        <v>931</v>
      </c>
    </row>
    <row r="84" spans="1:6">
      <c r="A84">
        <v>82</v>
      </c>
      <c r="B84" s="12">
        <v>46102</v>
      </c>
      <c r="C84" t="s">
        <v>2240</v>
      </c>
      <c r="D84">
        <v>1</v>
      </c>
      <c r="E84">
        <v>930</v>
      </c>
      <c r="F84">
        <f>表格5[[#This Row],[Qty]]*表格5[[#This Row],[Unit price]]</f>
        <v>930</v>
      </c>
    </row>
    <row r="85" spans="1:6">
      <c r="A85">
        <v>83</v>
      </c>
      <c r="B85" s="12">
        <v>46102</v>
      </c>
      <c r="C85" t="s">
        <v>2035</v>
      </c>
      <c r="D85">
        <v>2</v>
      </c>
      <c r="E85">
        <v>332.5</v>
      </c>
      <c r="F85">
        <f>表格5[[#This Row],[Qty]]*表格5[[#This Row],[Unit price]]</f>
        <v>665</v>
      </c>
    </row>
    <row r="86" spans="1:6">
      <c r="A86">
        <v>84</v>
      </c>
      <c r="B86" s="12">
        <v>46102</v>
      </c>
      <c r="C86" t="s">
        <v>2242</v>
      </c>
      <c r="D86">
        <v>1</v>
      </c>
      <c r="E86">
        <v>722</v>
      </c>
      <c r="F86">
        <f>表格5[[#This Row],[Qty]]*表格5[[#This Row],[Unit price]]</f>
        <v>722</v>
      </c>
    </row>
    <row r="87" spans="1:6">
      <c r="A87">
        <v>85</v>
      </c>
      <c r="B87" s="12">
        <v>46102</v>
      </c>
      <c r="C87" t="s">
        <v>2243</v>
      </c>
      <c r="D87">
        <v>2</v>
      </c>
      <c r="E87">
        <v>275.5</v>
      </c>
      <c r="F87">
        <f>表格5[[#This Row],[Qty]]*表格5[[#This Row],[Unit price]]</f>
        <v>551</v>
      </c>
    </row>
    <row r="88" spans="1:6">
      <c r="A88">
        <v>86</v>
      </c>
      <c r="B88" s="12">
        <v>46102</v>
      </c>
      <c r="C88" t="s">
        <v>2085</v>
      </c>
      <c r="D88">
        <v>1</v>
      </c>
      <c r="E88">
        <v>940.5</v>
      </c>
      <c r="F88">
        <f>表格5[[#This Row],[Qty]]*表格5[[#This Row],[Unit price]]</f>
        <v>940.5</v>
      </c>
    </row>
    <row r="89" spans="1:6">
      <c r="A89">
        <v>87</v>
      </c>
      <c r="B89" s="12">
        <v>46102</v>
      </c>
      <c r="C89" t="s">
        <v>2048</v>
      </c>
      <c r="D89">
        <v>2</v>
      </c>
      <c r="E89">
        <v>361</v>
      </c>
      <c r="F89">
        <f>表格5[[#This Row],[Qty]]*表格5[[#This Row],[Unit price]]</f>
        <v>722</v>
      </c>
    </row>
    <row r="90" spans="1:6">
      <c r="A90">
        <v>88</v>
      </c>
      <c r="B90" s="12">
        <v>46102</v>
      </c>
      <c r="C90" t="s">
        <v>1761</v>
      </c>
      <c r="D90">
        <v>2</v>
      </c>
      <c r="E90">
        <v>2326</v>
      </c>
      <c r="F90">
        <f>表格5[[#This Row],[Qty]]*表格5[[#This Row],[Unit price]]</f>
        <v>4652</v>
      </c>
    </row>
    <row r="91" spans="1:6">
      <c r="A91">
        <v>89</v>
      </c>
      <c r="B91" s="12">
        <v>46103</v>
      </c>
      <c r="C91" t="s">
        <v>2037</v>
      </c>
      <c r="D91">
        <v>1</v>
      </c>
      <c r="E91">
        <v>560.5</v>
      </c>
      <c r="F91">
        <f>表格5[[#This Row],[Qty]]*表格5[[#This Row],[Unit price]]</f>
        <v>560.5</v>
      </c>
    </row>
    <row r="92" spans="1:6">
      <c r="A92">
        <v>90</v>
      </c>
      <c r="B92" s="12">
        <v>46103</v>
      </c>
      <c r="C92" t="s">
        <v>2035</v>
      </c>
      <c r="D92">
        <v>2</v>
      </c>
      <c r="E92">
        <v>350</v>
      </c>
      <c r="F92">
        <f>表格5[[#This Row],[Qty]]*表格5[[#This Row],[Unit price]]</f>
        <v>700</v>
      </c>
    </row>
    <row r="93" spans="1:6">
      <c r="A93">
        <v>91</v>
      </c>
      <c r="B93" s="12">
        <v>46103</v>
      </c>
      <c r="C93" t="s">
        <v>2123</v>
      </c>
      <c r="D93">
        <v>1</v>
      </c>
      <c r="E93">
        <v>1881</v>
      </c>
      <c r="F93">
        <f>表格5[[#This Row],[Qty]]*表格5[[#This Row],[Unit price]]</f>
        <v>1881</v>
      </c>
    </row>
    <row r="94" spans="1:6">
      <c r="A94">
        <v>92</v>
      </c>
      <c r="B94" s="12">
        <v>46103</v>
      </c>
      <c r="C94" t="s">
        <v>2039</v>
      </c>
      <c r="D94">
        <v>2</v>
      </c>
      <c r="E94">
        <v>1938</v>
      </c>
      <c r="F94">
        <f>表格5[[#This Row],[Qty]]*表格5[[#This Row],[Unit price]]</f>
        <v>3876</v>
      </c>
    </row>
    <row r="95" spans="1:6">
      <c r="A95">
        <v>93</v>
      </c>
      <c r="B95" s="12">
        <v>46103</v>
      </c>
      <c r="C95" t="s">
        <v>1761</v>
      </c>
      <c r="D95">
        <v>2</v>
      </c>
      <c r="E95">
        <v>2326</v>
      </c>
      <c r="F95">
        <f>表格5[[#This Row],[Qty]]*表格5[[#This Row],[Unit price]]</f>
        <v>4652</v>
      </c>
    </row>
    <row r="96" spans="1:6">
      <c r="A96">
        <v>94</v>
      </c>
      <c r="B96" s="12">
        <v>46104</v>
      </c>
      <c r="C96" t="s">
        <v>2087</v>
      </c>
      <c r="D96">
        <v>1</v>
      </c>
      <c r="E96">
        <v>2261</v>
      </c>
      <c r="F96">
        <f>表格5[[#This Row],[Qty]]*表格5[[#This Row],[Unit price]]</f>
        <v>2261</v>
      </c>
    </row>
    <row r="97" spans="1:6">
      <c r="A97">
        <v>95</v>
      </c>
      <c r="B97" s="12">
        <v>46104</v>
      </c>
      <c r="C97" t="s">
        <v>2035</v>
      </c>
      <c r="D97">
        <v>1</v>
      </c>
      <c r="E97">
        <v>350</v>
      </c>
      <c r="F97">
        <f>表格5[[#This Row],[Qty]]*表格5[[#This Row],[Unit price]]</f>
        <v>350</v>
      </c>
    </row>
    <row r="98" spans="1:6">
      <c r="A98">
        <v>96</v>
      </c>
      <c r="B98" s="12">
        <v>46104</v>
      </c>
      <c r="C98" t="s">
        <v>2243</v>
      </c>
      <c r="D98">
        <v>2</v>
      </c>
      <c r="E98">
        <v>275.5</v>
      </c>
      <c r="F98">
        <f>表格5[[#This Row],[Qty]]*表格5[[#This Row],[Unit price]]</f>
        <v>551</v>
      </c>
    </row>
    <row r="99" spans="1:6">
      <c r="A99">
        <v>97</v>
      </c>
      <c r="B99" s="12">
        <v>46104</v>
      </c>
      <c r="C99" t="s">
        <v>2245</v>
      </c>
      <c r="D99">
        <v>1</v>
      </c>
      <c r="E99">
        <v>620</v>
      </c>
      <c r="F99">
        <f>表格5[[#This Row],[Qty]]*表格5[[#This Row],[Unit price]]</f>
        <v>620</v>
      </c>
    </row>
    <row r="100" spans="1:6">
      <c r="A100">
        <v>98</v>
      </c>
      <c r="B100" s="12">
        <v>46104</v>
      </c>
      <c r="C100" t="s">
        <v>1761</v>
      </c>
      <c r="D100">
        <v>1</v>
      </c>
      <c r="E100">
        <v>2326</v>
      </c>
      <c r="F100">
        <f>表格5[[#This Row],[Qty]]*表格5[[#This Row],[Unit price]]</f>
        <v>2326</v>
      </c>
    </row>
    <row r="101" spans="1:6">
      <c r="A101">
        <v>99</v>
      </c>
      <c r="B101" s="12">
        <v>46107</v>
      </c>
      <c r="C101">
        <v>7080</v>
      </c>
      <c r="D101">
        <v>1</v>
      </c>
      <c r="E101">
        <v>330</v>
      </c>
      <c r="F101">
        <f>表格5[[#This Row],[Qty]]*表格5[[#This Row],[Unit price]]</f>
        <v>330</v>
      </c>
    </row>
    <row r="102" spans="1:6">
      <c r="A102">
        <v>100</v>
      </c>
      <c r="B102" s="12">
        <v>46107</v>
      </c>
      <c r="C102" t="s">
        <v>2035</v>
      </c>
      <c r="D102">
        <v>2</v>
      </c>
      <c r="E102">
        <v>350</v>
      </c>
      <c r="F102">
        <f>表格5[[#This Row],[Qty]]*表格5[[#This Row],[Unit price]]</f>
        <v>700</v>
      </c>
    </row>
    <row r="103" spans="1:6">
      <c r="A103">
        <v>101</v>
      </c>
      <c r="B103" s="12">
        <v>46107</v>
      </c>
      <c r="C103" t="s">
        <v>2242</v>
      </c>
      <c r="D103">
        <v>1</v>
      </c>
      <c r="E103">
        <v>760</v>
      </c>
      <c r="F103">
        <f>表格5[[#This Row],[Qty]]*表格5[[#This Row],[Unit price]]</f>
        <v>760</v>
      </c>
    </row>
    <row r="104" spans="1:6">
      <c r="A104">
        <v>102</v>
      </c>
      <c r="B104" s="12">
        <v>46107</v>
      </c>
      <c r="C104" t="s">
        <v>2085</v>
      </c>
      <c r="D104">
        <v>1</v>
      </c>
      <c r="E104">
        <v>990</v>
      </c>
      <c r="F104">
        <f>表格5[[#This Row],[Qty]]*表格5[[#This Row],[Unit price]]</f>
        <v>990</v>
      </c>
    </row>
    <row r="105" spans="1:6">
      <c r="A105">
        <v>103</v>
      </c>
      <c r="B105" s="12">
        <v>46107</v>
      </c>
      <c r="C105" t="s">
        <v>2053</v>
      </c>
      <c r="D105">
        <v>1</v>
      </c>
      <c r="E105">
        <v>260</v>
      </c>
      <c r="F105">
        <f>表格5[[#This Row],[Qty]]*表格5[[#This Row],[Unit price]]</f>
        <v>260</v>
      </c>
    </row>
    <row r="106" spans="1:6">
      <c r="A106">
        <v>104</v>
      </c>
      <c r="B106" s="12">
        <v>46107</v>
      </c>
      <c r="C106" t="s">
        <v>2052</v>
      </c>
      <c r="D106">
        <v>3</v>
      </c>
      <c r="E106">
        <v>351</v>
      </c>
      <c r="F106">
        <f>表格5[[#This Row],[Qty]]*表格5[[#This Row],[Unit price]]</f>
        <v>1053</v>
      </c>
    </row>
    <row r="107" spans="1:6">
      <c r="A107">
        <v>105</v>
      </c>
      <c r="B107" s="12">
        <v>46107</v>
      </c>
      <c r="C107" t="s">
        <v>2246</v>
      </c>
      <c r="D107">
        <v>2</v>
      </c>
      <c r="E107">
        <v>522.5</v>
      </c>
      <c r="F107">
        <f>表格5[[#This Row],[Qty]]*表格5[[#This Row],[Unit price]]</f>
        <v>1045</v>
      </c>
    </row>
    <row r="108" spans="1:6">
      <c r="A108">
        <v>106</v>
      </c>
      <c r="B108" s="12">
        <v>46108</v>
      </c>
      <c r="C108" t="s">
        <v>2239</v>
      </c>
      <c r="D108">
        <v>1</v>
      </c>
      <c r="E108">
        <v>890</v>
      </c>
      <c r="F108">
        <f>表格5[[#This Row],[Qty]]*表格5[[#This Row],[Unit price]]</f>
        <v>890</v>
      </c>
    </row>
    <row r="109" spans="1:6">
      <c r="A109">
        <v>107</v>
      </c>
      <c r="B109" s="12">
        <v>46108</v>
      </c>
      <c r="C109" t="s">
        <v>2035</v>
      </c>
      <c r="D109">
        <v>1</v>
      </c>
      <c r="E109">
        <v>350</v>
      </c>
      <c r="F109">
        <f>表格5[[#This Row],[Qty]]*表格5[[#This Row],[Unit price]]</f>
        <v>350</v>
      </c>
    </row>
    <row r="110" spans="1:6">
      <c r="A110">
        <v>108</v>
      </c>
      <c r="B110" s="12">
        <v>46108</v>
      </c>
      <c r="C110" t="s">
        <v>2247</v>
      </c>
      <c r="D110">
        <v>1</v>
      </c>
      <c r="E110">
        <v>290</v>
      </c>
      <c r="F110">
        <f>表格5[[#This Row],[Qty]]*表格5[[#This Row],[Unit price]]</f>
        <v>290</v>
      </c>
    </row>
    <row r="111" spans="1:6">
      <c r="A111">
        <v>109</v>
      </c>
      <c r="B111" s="12">
        <v>46108</v>
      </c>
      <c r="C111" t="s">
        <v>2052</v>
      </c>
      <c r="D111">
        <v>1</v>
      </c>
      <c r="E111">
        <v>351</v>
      </c>
      <c r="F111">
        <f>表格5[[#This Row],[Qty]]*表格5[[#This Row],[Unit price]]</f>
        <v>351</v>
      </c>
    </row>
    <row r="112" spans="1:6">
      <c r="A112">
        <v>110</v>
      </c>
      <c r="B112" s="12">
        <v>46108</v>
      </c>
      <c r="C112" t="s">
        <v>2246</v>
      </c>
      <c r="D112">
        <v>2</v>
      </c>
      <c r="E112">
        <v>522.5</v>
      </c>
      <c r="F112">
        <f>表格5[[#This Row],[Qty]]*表格5[[#This Row],[Unit price]]</f>
        <v>1045</v>
      </c>
    </row>
    <row r="113" spans="1:6">
      <c r="A113">
        <v>111</v>
      </c>
      <c r="B113" s="12">
        <v>46108</v>
      </c>
      <c r="C113" t="s">
        <v>1761</v>
      </c>
      <c r="D113">
        <v>2</v>
      </c>
      <c r="E113">
        <v>2326</v>
      </c>
      <c r="F113">
        <f>表格5[[#This Row],[Qty]]*表格5[[#This Row],[Unit price]]</f>
        <v>4652</v>
      </c>
    </row>
    <row r="114" spans="1:6">
      <c r="A114">
        <v>112</v>
      </c>
      <c r="B114" s="12">
        <v>46109</v>
      </c>
      <c r="C114" t="s">
        <v>2030</v>
      </c>
      <c r="D114">
        <v>2</v>
      </c>
      <c r="E114">
        <v>190</v>
      </c>
      <c r="F114">
        <f>表格5[[#This Row],[Qty]]*表格5[[#This Row],[Unit price]]</f>
        <v>380</v>
      </c>
    </row>
    <row r="115" spans="1:6">
      <c r="A115">
        <v>113</v>
      </c>
      <c r="B115" s="12">
        <v>46109</v>
      </c>
      <c r="C115" t="s">
        <v>2037</v>
      </c>
      <c r="D115">
        <v>1</v>
      </c>
      <c r="E115">
        <v>590</v>
      </c>
      <c r="F115">
        <f>表格5[[#This Row],[Qty]]*表格5[[#This Row],[Unit price]]</f>
        <v>590</v>
      </c>
    </row>
    <row r="116" spans="1:6">
      <c r="A116">
        <v>114</v>
      </c>
      <c r="B116" s="12">
        <v>46109</v>
      </c>
      <c r="C116" t="s">
        <v>2057</v>
      </c>
      <c r="D116">
        <v>1</v>
      </c>
      <c r="E116">
        <v>741</v>
      </c>
      <c r="F116">
        <f>表格5[[#This Row],[Qty]]*表格5[[#This Row],[Unit price]]</f>
        <v>741</v>
      </c>
    </row>
    <row r="117" spans="1:6">
      <c r="A117">
        <v>115</v>
      </c>
      <c r="B117" s="12">
        <v>46109</v>
      </c>
      <c r="C117" t="s">
        <v>2171</v>
      </c>
      <c r="D117">
        <v>1</v>
      </c>
      <c r="E117">
        <v>1980</v>
      </c>
      <c r="F117">
        <f>表格5[[#This Row],[Qty]]*表格5[[#This Row],[Unit price]]</f>
        <v>1980</v>
      </c>
    </row>
    <row r="118" spans="1:6">
      <c r="A118">
        <v>116</v>
      </c>
      <c r="B118" s="12">
        <v>46109</v>
      </c>
      <c r="C118" t="s">
        <v>2243</v>
      </c>
      <c r="D118">
        <v>2</v>
      </c>
      <c r="E118">
        <v>290</v>
      </c>
      <c r="F118">
        <f>表格5[[#This Row],[Qty]]*表格5[[#This Row],[Unit price]]</f>
        <v>580</v>
      </c>
    </row>
    <row r="119" spans="1:6">
      <c r="A119">
        <v>117</v>
      </c>
      <c r="B119" s="12">
        <v>46109</v>
      </c>
      <c r="C119" t="s">
        <v>2048</v>
      </c>
      <c r="D119">
        <v>1</v>
      </c>
      <c r="E119">
        <v>361</v>
      </c>
      <c r="F119">
        <f>表格5[[#This Row],[Qty]]*表格5[[#This Row],[Unit price]]</f>
        <v>361</v>
      </c>
    </row>
    <row r="120" spans="1:6">
      <c r="A120">
        <v>118</v>
      </c>
      <c r="B120" s="12">
        <v>46109</v>
      </c>
      <c r="C120" t="s">
        <v>2052</v>
      </c>
      <c r="D120">
        <v>2</v>
      </c>
      <c r="E120">
        <v>351</v>
      </c>
      <c r="F120">
        <f>表格5[[#This Row],[Qty]]*表格5[[#This Row],[Unit price]]</f>
        <v>702</v>
      </c>
    </row>
    <row r="121" spans="1:6">
      <c r="A121">
        <v>119</v>
      </c>
      <c r="B121" s="12">
        <v>46109</v>
      </c>
      <c r="C121" t="s">
        <v>2039</v>
      </c>
      <c r="D121">
        <v>1</v>
      </c>
      <c r="E121">
        <v>1938</v>
      </c>
      <c r="F121">
        <f>表格5[[#This Row],[Qty]]*表格5[[#This Row],[Unit price]]</f>
        <v>1938</v>
      </c>
    </row>
    <row r="122" spans="1:6">
      <c r="A122">
        <v>120</v>
      </c>
      <c r="B122" s="12">
        <v>46109</v>
      </c>
      <c r="C122" t="s">
        <v>1761</v>
      </c>
      <c r="D122">
        <v>2</v>
      </c>
      <c r="E122">
        <v>2326</v>
      </c>
      <c r="F122">
        <f>表格5[[#This Row],[Qty]]*表格5[[#This Row],[Unit price]]</f>
        <v>4652</v>
      </c>
    </row>
    <row r="123" spans="1:6">
      <c r="A123">
        <v>121</v>
      </c>
      <c r="B123" s="12">
        <v>46110</v>
      </c>
      <c r="C123" t="s">
        <v>2030</v>
      </c>
      <c r="D123">
        <v>1</v>
      </c>
      <c r="E123">
        <v>190</v>
      </c>
      <c r="F123">
        <f>表格5[[#This Row],[Qty]]*表格5[[#This Row],[Unit price]]</f>
        <v>190</v>
      </c>
    </row>
    <row r="124" spans="1:6">
      <c r="A124">
        <v>122</v>
      </c>
      <c r="B124" s="12">
        <v>46110</v>
      </c>
      <c r="C124" t="s">
        <v>2037</v>
      </c>
      <c r="D124">
        <v>1</v>
      </c>
      <c r="E124">
        <v>590</v>
      </c>
      <c r="F124">
        <f>表格5[[#This Row],[Qty]]*表格5[[#This Row],[Unit price]]</f>
        <v>590</v>
      </c>
    </row>
    <row r="125" spans="1:6">
      <c r="A125">
        <v>123</v>
      </c>
      <c r="B125" s="12">
        <v>46110</v>
      </c>
      <c r="C125" t="s">
        <v>2035</v>
      </c>
      <c r="D125">
        <v>1</v>
      </c>
      <c r="E125">
        <v>350</v>
      </c>
      <c r="F125">
        <f>表格5[[#This Row],[Qty]]*表格5[[#This Row],[Unit price]]</f>
        <v>350</v>
      </c>
    </row>
    <row r="126" spans="1:6">
      <c r="A126">
        <v>124</v>
      </c>
      <c r="B126" s="12">
        <v>46110</v>
      </c>
      <c r="C126" t="s">
        <v>2243</v>
      </c>
      <c r="D126">
        <v>2</v>
      </c>
      <c r="E126">
        <v>290</v>
      </c>
      <c r="F126">
        <f>表格5[[#This Row],[Qty]]*表格5[[#This Row],[Unit price]]</f>
        <v>580</v>
      </c>
    </row>
    <row r="127" spans="1:6">
      <c r="A127">
        <v>125</v>
      </c>
      <c r="B127" s="12">
        <v>46110</v>
      </c>
      <c r="C127" t="s">
        <v>1956</v>
      </c>
      <c r="D127">
        <v>1</v>
      </c>
      <c r="E127">
        <v>990</v>
      </c>
      <c r="F127">
        <f>表格5[[#This Row],[Qty]]*表格5[[#This Row],[Unit price]]</f>
        <v>990</v>
      </c>
    </row>
    <row r="128" spans="1:6">
      <c r="A128">
        <v>126</v>
      </c>
      <c r="B128" s="12">
        <v>46110</v>
      </c>
      <c r="C128" t="s">
        <v>2052</v>
      </c>
      <c r="D128">
        <v>2</v>
      </c>
      <c r="E128">
        <v>351</v>
      </c>
      <c r="F128">
        <f>表格5[[#This Row],[Qty]]*表格5[[#This Row],[Unit price]]</f>
        <v>702</v>
      </c>
    </row>
    <row r="129" spans="1:6">
      <c r="A129">
        <v>127</v>
      </c>
      <c r="B129" s="12">
        <v>46110</v>
      </c>
      <c r="C129" t="s">
        <v>2039</v>
      </c>
      <c r="D129">
        <v>1</v>
      </c>
      <c r="E129">
        <v>1938</v>
      </c>
      <c r="F129">
        <f>表格5[[#This Row],[Qty]]*表格5[[#This Row],[Unit price]]</f>
        <v>1938</v>
      </c>
    </row>
    <row r="130" spans="1:6">
      <c r="A130">
        <v>128</v>
      </c>
      <c r="B130" s="12">
        <v>46110</v>
      </c>
      <c r="C130" t="s">
        <v>1761</v>
      </c>
      <c r="D130">
        <v>1</v>
      </c>
      <c r="E130">
        <v>2326</v>
      </c>
      <c r="F130">
        <f>表格5[[#This Row],[Qty]]*表格5[[#This Row],[Unit price]]</f>
        <v>2326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840E-19E9-4435-A136-AFAD146C8478}">
  <dimension ref="A2:R92"/>
  <sheetViews>
    <sheetView topLeftCell="A52" workbookViewId="0">
      <selection activeCell="A59" sqref="A59"/>
    </sheetView>
  </sheetViews>
  <sheetFormatPr defaultRowHeight="15.75"/>
  <cols>
    <col min="1" max="1" width="19.7109375" bestFit="1" customWidth="1"/>
    <col min="2" max="3" width="23.140625" bestFit="1" customWidth="1"/>
    <col min="7" max="7" width="21.28515625" bestFit="1" customWidth="1"/>
    <col min="8" max="8" width="24" bestFit="1" customWidth="1"/>
    <col min="9" max="9" width="13.5703125" bestFit="1" customWidth="1"/>
    <col min="10" max="10" width="23.140625" bestFit="1" customWidth="1"/>
    <col min="12" max="12" width="17.140625" bestFit="1" customWidth="1"/>
    <col min="13" max="13" width="13.5703125" bestFit="1" customWidth="1"/>
    <col min="14" max="14" width="13.5703125" customWidth="1"/>
    <col min="16" max="16" width="13.5703125" customWidth="1"/>
    <col min="17" max="17" width="15.5703125" bestFit="1" customWidth="1"/>
    <col min="18" max="18" width="13.5703125" bestFit="1" customWidth="1"/>
  </cols>
  <sheetData>
    <row r="2" spans="1:18">
      <c r="G2" s="49" t="s">
        <v>1370</v>
      </c>
      <c r="K2" s="49" t="s">
        <v>1362</v>
      </c>
      <c r="P2" s="49"/>
    </row>
    <row r="3" spans="1:18">
      <c r="A3" s="131" t="s">
        <v>633</v>
      </c>
      <c r="B3" t="s">
        <v>1128</v>
      </c>
      <c r="G3" s="131" t="s">
        <v>10</v>
      </c>
      <c r="H3" s="131" t="s">
        <v>13</v>
      </c>
      <c r="I3" t="s">
        <v>1371</v>
      </c>
      <c r="K3" s="131" t="s">
        <v>10</v>
      </c>
      <c r="L3" s="131" t="s">
        <v>13</v>
      </c>
      <c r="M3" t="s">
        <v>1371</v>
      </c>
      <c r="P3" s="131" t="s">
        <v>10</v>
      </c>
      <c r="Q3" s="131" t="s">
        <v>13</v>
      </c>
      <c r="R3" t="s">
        <v>1371</v>
      </c>
    </row>
    <row r="4" spans="1:18">
      <c r="A4" s="1" t="s">
        <v>1213</v>
      </c>
      <c r="B4">
        <v>82154</v>
      </c>
      <c r="G4" t="s">
        <v>1051</v>
      </c>
      <c r="H4" t="s">
        <v>886</v>
      </c>
      <c r="I4">
        <v>1</v>
      </c>
      <c r="K4" t="s">
        <v>1905</v>
      </c>
      <c r="L4" t="s">
        <v>902</v>
      </c>
      <c r="M4">
        <v>2</v>
      </c>
      <c r="P4" t="s">
        <v>1213</v>
      </c>
      <c r="Q4" t="s">
        <v>1189</v>
      </c>
      <c r="R4">
        <v>24</v>
      </c>
    </row>
    <row r="5" spans="1:18">
      <c r="A5" s="1" t="s">
        <v>1214</v>
      </c>
      <c r="B5">
        <v>95604</v>
      </c>
      <c r="G5" t="s">
        <v>973</v>
      </c>
      <c r="H5" t="s">
        <v>886</v>
      </c>
      <c r="I5">
        <v>1</v>
      </c>
      <c r="K5" t="s">
        <v>864</v>
      </c>
      <c r="L5" t="s">
        <v>902</v>
      </c>
      <c r="M5">
        <v>4</v>
      </c>
      <c r="P5" t="s">
        <v>1214</v>
      </c>
      <c r="Q5" t="s">
        <v>1188</v>
      </c>
      <c r="R5">
        <v>1</v>
      </c>
    </row>
    <row r="6" spans="1:18">
      <c r="A6" s="1" t="s">
        <v>1904</v>
      </c>
      <c r="B6">
        <v>5694</v>
      </c>
      <c r="G6" t="s">
        <v>923</v>
      </c>
      <c r="H6" t="s">
        <v>886</v>
      </c>
      <c r="I6">
        <v>1</v>
      </c>
      <c r="K6" t="s">
        <v>1051</v>
      </c>
      <c r="L6" t="s">
        <v>902</v>
      </c>
      <c r="M6">
        <v>1</v>
      </c>
      <c r="P6" t="s">
        <v>1905</v>
      </c>
      <c r="Q6" t="s">
        <v>1134</v>
      </c>
      <c r="R6">
        <v>2</v>
      </c>
    </row>
    <row r="7" spans="1:18">
      <c r="A7" s="1" t="s">
        <v>1905</v>
      </c>
      <c r="B7">
        <v>64285</v>
      </c>
      <c r="G7" t="s">
        <v>946</v>
      </c>
      <c r="H7" t="s">
        <v>886</v>
      </c>
      <c r="I7">
        <v>2</v>
      </c>
      <c r="K7" t="s">
        <v>973</v>
      </c>
      <c r="L7" t="s">
        <v>902</v>
      </c>
      <c r="M7">
        <v>2</v>
      </c>
      <c r="P7" t="s">
        <v>949</v>
      </c>
      <c r="Q7" t="s">
        <v>1134</v>
      </c>
      <c r="R7">
        <v>28</v>
      </c>
    </row>
    <row r="8" spans="1:18">
      <c r="A8" s="1" t="s">
        <v>949</v>
      </c>
      <c r="B8">
        <v>229262</v>
      </c>
      <c r="G8" t="s">
        <v>1968</v>
      </c>
      <c r="H8" t="s">
        <v>886</v>
      </c>
      <c r="I8">
        <v>1</v>
      </c>
      <c r="K8" t="s">
        <v>946</v>
      </c>
      <c r="L8" t="s">
        <v>902</v>
      </c>
      <c r="M8">
        <v>1</v>
      </c>
      <c r="Q8" t="s">
        <v>1188</v>
      </c>
      <c r="R8">
        <v>1</v>
      </c>
    </row>
    <row r="9" spans="1:18">
      <c r="A9" s="1" t="s">
        <v>965</v>
      </c>
      <c r="B9">
        <v>102671</v>
      </c>
      <c r="G9" t="s">
        <v>872</v>
      </c>
      <c r="H9" t="s">
        <v>886</v>
      </c>
      <c r="I9">
        <v>1</v>
      </c>
      <c r="K9" t="s">
        <v>921</v>
      </c>
      <c r="L9" t="s">
        <v>902</v>
      </c>
      <c r="M9">
        <v>2</v>
      </c>
      <c r="P9" t="s">
        <v>864</v>
      </c>
      <c r="Q9" t="s">
        <v>1134</v>
      </c>
      <c r="R9">
        <v>14</v>
      </c>
    </row>
    <row r="10" spans="1:18">
      <c r="A10" s="1" t="s">
        <v>864</v>
      </c>
      <c r="B10">
        <v>335290</v>
      </c>
      <c r="G10" t="s">
        <v>976</v>
      </c>
      <c r="H10" t="s">
        <v>886</v>
      </c>
      <c r="I10">
        <v>1</v>
      </c>
      <c r="K10" t="s">
        <v>771</v>
      </c>
      <c r="L10" t="s">
        <v>902</v>
      </c>
      <c r="M10">
        <v>1</v>
      </c>
      <c r="Q10" t="s">
        <v>1188</v>
      </c>
      <c r="R10">
        <v>1</v>
      </c>
    </row>
    <row r="11" spans="1:18">
      <c r="A11" s="1" t="s">
        <v>1049</v>
      </c>
      <c r="B11">
        <v>15785</v>
      </c>
      <c r="G11" t="s">
        <v>865</v>
      </c>
      <c r="H11" t="s">
        <v>886</v>
      </c>
      <c r="I11">
        <v>2</v>
      </c>
      <c r="K11" t="s">
        <v>1415</v>
      </c>
      <c r="L11" t="s">
        <v>902</v>
      </c>
      <c r="M11">
        <v>1</v>
      </c>
      <c r="P11" t="s">
        <v>1049</v>
      </c>
      <c r="Q11" t="s">
        <v>1188</v>
      </c>
      <c r="R11">
        <v>1</v>
      </c>
    </row>
    <row r="12" spans="1:18">
      <c r="A12" s="1" t="s">
        <v>1215</v>
      </c>
      <c r="B12">
        <v>67587</v>
      </c>
      <c r="G12" t="s">
        <v>1857</v>
      </c>
      <c r="H12" t="s">
        <v>886</v>
      </c>
      <c r="I12">
        <v>1</v>
      </c>
      <c r="K12" t="s">
        <v>976</v>
      </c>
      <c r="L12" t="s">
        <v>902</v>
      </c>
      <c r="M12">
        <v>1</v>
      </c>
      <c r="P12" t="s">
        <v>1215</v>
      </c>
      <c r="Q12" t="s">
        <v>1189</v>
      </c>
      <c r="R12">
        <v>2</v>
      </c>
    </row>
    <row r="13" spans="1:18">
      <c r="A13" s="1" t="s">
        <v>2094</v>
      </c>
      <c r="B13">
        <v>3718</v>
      </c>
      <c r="G13" t="s">
        <v>871</v>
      </c>
      <c r="H13" t="s">
        <v>886</v>
      </c>
      <c r="I13">
        <v>5</v>
      </c>
      <c r="K13" t="s">
        <v>1969</v>
      </c>
      <c r="L13" t="s">
        <v>902</v>
      </c>
      <c r="M13">
        <v>1</v>
      </c>
      <c r="P13" t="s">
        <v>1051</v>
      </c>
      <c r="Q13" t="s">
        <v>1134</v>
      </c>
      <c r="R13">
        <v>2</v>
      </c>
    </row>
    <row r="14" spans="1:18">
      <c r="A14" s="1" t="s">
        <v>1051</v>
      </c>
      <c r="B14">
        <v>175117</v>
      </c>
      <c r="G14" t="s">
        <v>1506</v>
      </c>
      <c r="H14" t="s">
        <v>886</v>
      </c>
      <c r="I14">
        <v>1</v>
      </c>
      <c r="K14" t="s">
        <v>974</v>
      </c>
      <c r="L14" t="s">
        <v>902</v>
      </c>
      <c r="M14">
        <v>2</v>
      </c>
      <c r="P14" t="s">
        <v>973</v>
      </c>
      <c r="Q14" t="s">
        <v>1134</v>
      </c>
      <c r="R14">
        <v>1</v>
      </c>
    </row>
    <row r="15" spans="1:18">
      <c r="A15" s="1" t="s">
        <v>973</v>
      </c>
      <c r="B15">
        <v>470313</v>
      </c>
      <c r="G15" t="s">
        <v>873</v>
      </c>
      <c r="H15" t="s">
        <v>886</v>
      </c>
      <c r="I15">
        <v>1</v>
      </c>
      <c r="K15" t="s">
        <v>1223</v>
      </c>
      <c r="L15" t="s">
        <v>902</v>
      </c>
      <c r="M15">
        <v>1</v>
      </c>
      <c r="Q15" t="s">
        <v>1189</v>
      </c>
      <c r="R15">
        <v>48</v>
      </c>
    </row>
    <row r="16" spans="1:18">
      <c r="A16" s="1" t="s">
        <v>1129</v>
      </c>
      <c r="B16">
        <v>49436</v>
      </c>
      <c r="G16" t="s">
        <v>2078</v>
      </c>
      <c r="H16" t="s">
        <v>886</v>
      </c>
      <c r="I16">
        <v>1</v>
      </c>
      <c r="K16" t="s">
        <v>1072</v>
      </c>
      <c r="L16" t="s">
        <v>902</v>
      </c>
      <c r="M16">
        <v>2</v>
      </c>
      <c r="P16" t="s">
        <v>1129</v>
      </c>
      <c r="Q16" t="s">
        <v>1134</v>
      </c>
      <c r="R16">
        <v>5</v>
      </c>
    </row>
    <row r="17" spans="1:18">
      <c r="A17" s="1" t="s">
        <v>1463</v>
      </c>
      <c r="B17">
        <v>102356</v>
      </c>
      <c r="G17" t="s">
        <v>1907</v>
      </c>
      <c r="H17" t="s">
        <v>886</v>
      </c>
      <c r="I17">
        <v>5</v>
      </c>
      <c r="K17" t="s">
        <v>5</v>
      </c>
      <c r="L17" t="s">
        <v>902</v>
      </c>
      <c r="M17">
        <v>6</v>
      </c>
      <c r="Q17" t="s">
        <v>1188</v>
      </c>
      <c r="R17">
        <v>1</v>
      </c>
    </row>
    <row r="18" spans="1:18">
      <c r="A18" s="1" t="s">
        <v>1464</v>
      </c>
      <c r="B18">
        <v>8948</v>
      </c>
      <c r="G18" t="s">
        <v>851</v>
      </c>
      <c r="H18" t="s">
        <v>886</v>
      </c>
      <c r="I18">
        <v>1</v>
      </c>
      <c r="K18" t="s">
        <v>1506</v>
      </c>
      <c r="L18" t="s">
        <v>902</v>
      </c>
      <c r="M18">
        <v>5</v>
      </c>
      <c r="P18" t="s">
        <v>1465</v>
      </c>
      <c r="Q18" t="s">
        <v>1134</v>
      </c>
      <c r="R18">
        <v>5</v>
      </c>
    </row>
    <row r="19" spans="1:18">
      <c r="A19" s="1" t="s">
        <v>1465</v>
      </c>
      <c r="B19">
        <v>75226</v>
      </c>
      <c r="G19" t="s">
        <v>634</v>
      </c>
      <c r="I19">
        <v>25</v>
      </c>
      <c r="K19" t="s">
        <v>2237</v>
      </c>
      <c r="L19" t="s">
        <v>902</v>
      </c>
      <c r="M19">
        <v>1</v>
      </c>
      <c r="P19" t="s">
        <v>1466</v>
      </c>
      <c r="Q19" t="s">
        <v>1134</v>
      </c>
      <c r="R19">
        <v>1</v>
      </c>
    </row>
    <row r="20" spans="1:18">
      <c r="A20" s="1" t="s">
        <v>1466</v>
      </c>
      <c r="B20">
        <v>31095</v>
      </c>
      <c r="K20" t="s">
        <v>2078</v>
      </c>
      <c r="L20" t="s">
        <v>902</v>
      </c>
      <c r="M20">
        <v>8</v>
      </c>
      <c r="Q20" t="s">
        <v>1188</v>
      </c>
      <c r="R20">
        <v>2</v>
      </c>
    </row>
    <row r="21" spans="1:18">
      <c r="A21" s="1" t="s">
        <v>923</v>
      </c>
      <c r="B21">
        <v>287121</v>
      </c>
      <c r="K21" t="s">
        <v>1140</v>
      </c>
      <c r="L21" t="s">
        <v>902</v>
      </c>
      <c r="M21">
        <v>4</v>
      </c>
      <c r="P21" t="s">
        <v>923</v>
      </c>
      <c r="Q21" t="s">
        <v>1134</v>
      </c>
      <c r="R21">
        <v>29</v>
      </c>
    </row>
    <row r="22" spans="1:18">
      <c r="A22" s="1" t="s">
        <v>2482</v>
      </c>
      <c r="B22">
        <v>77019</v>
      </c>
      <c r="K22" t="s">
        <v>1907</v>
      </c>
      <c r="L22" t="s">
        <v>902</v>
      </c>
      <c r="M22">
        <v>5</v>
      </c>
      <c r="Q22" t="s">
        <v>1188</v>
      </c>
      <c r="R22">
        <v>2</v>
      </c>
    </row>
    <row r="23" spans="1:18">
      <c r="A23" s="1" t="s">
        <v>1211</v>
      </c>
      <c r="B23">
        <v>242326</v>
      </c>
      <c r="K23" t="s">
        <v>1087</v>
      </c>
      <c r="L23" t="s">
        <v>902</v>
      </c>
      <c r="M23">
        <v>3</v>
      </c>
      <c r="P23" t="s">
        <v>2482</v>
      </c>
      <c r="Q23" t="s">
        <v>1134</v>
      </c>
      <c r="R23">
        <v>1</v>
      </c>
    </row>
    <row r="24" spans="1:18">
      <c r="A24" s="1" t="s">
        <v>1212</v>
      </c>
      <c r="B24">
        <v>83810</v>
      </c>
      <c r="K24" t="s">
        <v>1217</v>
      </c>
      <c r="L24" t="s">
        <v>902</v>
      </c>
      <c r="M24">
        <v>5</v>
      </c>
      <c r="P24" t="s">
        <v>1211</v>
      </c>
      <c r="Q24" t="s">
        <v>1134</v>
      </c>
      <c r="R24">
        <v>10</v>
      </c>
    </row>
    <row r="25" spans="1:18">
      <c r="A25" s="1" t="s">
        <v>946</v>
      </c>
      <c r="B25">
        <v>321257</v>
      </c>
      <c r="K25" t="s">
        <v>634</v>
      </c>
      <c r="M25">
        <v>58</v>
      </c>
      <c r="P25" t="s">
        <v>1212</v>
      </c>
      <c r="Q25" t="s">
        <v>1134</v>
      </c>
      <c r="R25">
        <v>5</v>
      </c>
    </row>
    <row r="26" spans="1:18">
      <c r="A26" s="1" t="s">
        <v>1968</v>
      </c>
      <c r="B26">
        <v>50848</v>
      </c>
      <c r="P26" t="s">
        <v>946</v>
      </c>
      <c r="Q26" t="s">
        <v>1134</v>
      </c>
      <c r="R26">
        <v>16</v>
      </c>
    </row>
    <row r="27" spans="1:18">
      <c r="A27" s="1" t="s">
        <v>921</v>
      </c>
      <c r="B27">
        <v>340382.30000000005</v>
      </c>
      <c r="Q27" t="s">
        <v>748</v>
      </c>
      <c r="R27">
        <v>1</v>
      </c>
    </row>
    <row r="28" spans="1:18">
      <c r="A28" s="1" t="s">
        <v>2099</v>
      </c>
      <c r="B28">
        <v>78702.899999999994</v>
      </c>
      <c r="P28" t="s">
        <v>921</v>
      </c>
      <c r="Q28" t="s">
        <v>1134</v>
      </c>
      <c r="R28">
        <v>4</v>
      </c>
    </row>
    <row r="29" spans="1:18">
      <c r="A29" s="1" t="s">
        <v>872</v>
      </c>
      <c r="B29">
        <v>165639</v>
      </c>
      <c r="Q29" t="s">
        <v>1188</v>
      </c>
      <c r="R29">
        <v>5</v>
      </c>
    </row>
    <row r="30" spans="1:18">
      <c r="A30" s="1" t="s">
        <v>771</v>
      </c>
      <c r="B30">
        <v>487590</v>
      </c>
      <c r="P30" t="s">
        <v>2099</v>
      </c>
      <c r="Q30" t="s">
        <v>1134</v>
      </c>
      <c r="R30">
        <v>1</v>
      </c>
    </row>
    <row r="31" spans="1:18">
      <c r="A31" s="1" t="s">
        <v>1415</v>
      </c>
      <c r="B31">
        <v>20004</v>
      </c>
      <c r="Q31" t="s">
        <v>1188</v>
      </c>
      <c r="R31">
        <v>1</v>
      </c>
    </row>
    <row r="32" spans="1:18">
      <c r="A32" s="1" t="s">
        <v>1416</v>
      </c>
      <c r="B32">
        <v>8550</v>
      </c>
      <c r="P32" t="s">
        <v>872</v>
      </c>
      <c r="Q32" t="s">
        <v>1134</v>
      </c>
      <c r="R32">
        <v>6</v>
      </c>
    </row>
    <row r="33" spans="1:18">
      <c r="A33" s="1" t="s">
        <v>1757</v>
      </c>
      <c r="B33">
        <v>7911</v>
      </c>
      <c r="Q33" t="s">
        <v>748</v>
      </c>
      <c r="R33">
        <v>2</v>
      </c>
    </row>
    <row r="34" spans="1:18">
      <c r="A34" s="1" t="s">
        <v>976</v>
      </c>
      <c r="B34">
        <v>232224</v>
      </c>
      <c r="P34" t="s">
        <v>771</v>
      </c>
      <c r="Q34" t="s">
        <v>1134</v>
      </c>
      <c r="R34">
        <v>43</v>
      </c>
    </row>
    <row r="35" spans="1:18">
      <c r="A35" s="1" t="s">
        <v>1755</v>
      </c>
      <c r="B35">
        <v>2180</v>
      </c>
      <c r="Q35" t="s">
        <v>748</v>
      </c>
      <c r="R35">
        <v>1</v>
      </c>
    </row>
    <row r="36" spans="1:18">
      <c r="A36" s="1" t="s">
        <v>865</v>
      </c>
      <c r="B36">
        <v>231222</v>
      </c>
      <c r="P36" t="s">
        <v>1415</v>
      </c>
      <c r="Q36" t="s">
        <v>1134</v>
      </c>
      <c r="R36">
        <v>1</v>
      </c>
    </row>
    <row r="37" spans="1:18">
      <c r="A37" s="1" t="s">
        <v>1857</v>
      </c>
      <c r="B37">
        <v>63356</v>
      </c>
      <c r="P37" t="s">
        <v>1416</v>
      </c>
      <c r="Q37" t="s">
        <v>1188</v>
      </c>
      <c r="R37">
        <v>1</v>
      </c>
    </row>
    <row r="38" spans="1:18">
      <c r="A38" s="1" t="s">
        <v>955</v>
      </c>
      <c r="B38">
        <v>144882.5</v>
      </c>
      <c r="P38" t="s">
        <v>976</v>
      </c>
      <c r="Q38" t="s">
        <v>1134</v>
      </c>
      <c r="R38">
        <v>10</v>
      </c>
    </row>
    <row r="39" spans="1:18">
      <c r="A39" s="1" t="s">
        <v>1969</v>
      </c>
      <c r="B39">
        <v>83753</v>
      </c>
      <c r="Q39" t="s">
        <v>1188</v>
      </c>
      <c r="R39">
        <v>1</v>
      </c>
    </row>
    <row r="40" spans="1:18">
      <c r="A40" s="1" t="s">
        <v>974</v>
      </c>
      <c r="B40">
        <v>147089.4</v>
      </c>
      <c r="P40" t="s">
        <v>1755</v>
      </c>
      <c r="Q40" t="s">
        <v>1134</v>
      </c>
      <c r="R40">
        <v>1</v>
      </c>
    </row>
    <row r="41" spans="1:18">
      <c r="A41" s="1" t="s">
        <v>1372</v>
      </c>
      <c r="B41">
        <v>6718</v>
      </c>
      <c r="P41" t="s">
        <v>865</v>
      </c>
      <c r="Q41" t="s">
        <v>1134</v>
      </c>
      <c r="R41">
        <v>11</v>
      </c>
    </row>
    <row r="42" spans="1:18">
      <c r="A42" s="1" t="s">
        <v>1222</v>
      </c>
      <c r="B42">
        <v>88772</v>
      </c>
      <c r="P42" t="s">
        <v>1857</v>
      </c>
      <c r="Q42" t="s">
        <v>1134</v>
      </c>
      <c r="R42">
        <v>7</v>
      </c>
    </row>
    <row r="43" spans="1:18">
      <c r="A43" s="1" t="s">
        <v>1223</v>
      </c>
      <c r="B43">
        <v>71785</v>
      </c>
      <c r="P43" t="s">
        <v>955</v>
      </c>
      <c r="Q43" t="s">
        <v>1188</v>
      </c>
      <c r="R43">
        <v>2</v>
      </c>
    </row>
    <row r="44" spans="1:18">
      <c r="A44" s="1" t="s">
        <v>1072</v>
      </c>
      <c r="B44">
        <v>123292</v>
      </c>
      <c r="P44" t="s">
        <v>1969</v>
      </c>
      <c r="Q44" t="s">
        <v>1134</v>
      </c>
      <c r="R44">
        <v>1</v>
      </c>
    </row>
    <row r="45" spans="1:18">
      <c r="A45" s="1" t="s">
        <v>950</v>
      </c>
      <c r="B45">
        <v>4664</v>
      </c>
      <c r="P45" t="s">
        <v>974</v>
      </c>
      <c r="Q45" t="s">
        <v>1134</v>
      </c>
      <c r="R45">
        <v>13</v>
      </c>
    </row>
    <row r="46" spans="1:18">
      <c r="A46" s="1" t="s">
        <v>5</v>
      </c>
      <c r="B46">
        <v>443851.6</v>
      </c>
      <c r="Q46" t="s">
        <v>1188</v>
      </c>
      <c r="R46">
        <v>12</v>
      </c>
    </row>
    <row r="47" spans="1:18">
      <c r="A47" s="1" t="s">
        <v>2157</v>
      </c>
      <c r="B47">
        <v>11388</v>
      </c>
      <c r="P47" t="s">
        <v>1222</v>
      </c>
      <c r="Q47" t="s">
        <v>1134</v>
      </c>
      <c r="R47">
        <v>1</v>
      </c>
    </row>
    <row r="48" spans="1:18">
      <c r="A48" s="1" t="s">
        <v>912</v>
      </c>
      <c r="B48">
        <v>287112</v>
      </c>
      <c r="Q48" t="s">
        <v>1188</v>
      </c>
      <c r="R48">
        <v>1</v>
      </c>
    </row>
    <row r="49" spans="1:18">
      <c r="A49" s="1" t="s">
        <v>871</v>
      </c>
      <c r="B49">
        <v>368798</v>
      </c>
      <c r="P49" t="s">
        <v>1223</v>
      </c>
      <c r="Q49" t="s">
        <v>1134</v>
      </c>
      <c r="R49">
        <v>1</v>
      </c>
    </row>
    <row r="50" spans="1:18">
      <c r="A50" s="1" t="s">
        <v>1858</v>
      </c>
      <c r="B50">
        <v>74060</v>
      </c>
      <c r="P50" t="s">
        <v>1072</v>
      </c>
      <c r="Q50" t="s">
        <v>1134</v>
      </c>
      <c r="R50">
        <v>1</v>
      </c>
    </row>
    <row r="51" spans="1:18">
      <c r="A51" s="1" t="s">
        <v>1506</v>
      </c>
      <c r="B51">
        <v>182017</v>
      </c>
      <c r="Q51" t="s">
        <v>1188</v>
      </c>
      <c r="R51">
        <v>3</v>
      </c>
    </row>
    <row r="52" spans="1:18">
      <c r="A52" s="1" t="s">
        <v>2237</v>
      </c>
      <c r="B52">
        <v>5006</v>
      </c>
      <c r="P52" t="s">
        <v>5</v>
      </c>
      <c r="Q52" t="s">
        <v>1134</v>
      </c>
      <c r="R52">
        <v>29</v>
      </c>
    </row>
    <row r="53" spans="1:18">
      <c r="A53" s="1" t="s">
        <v>1224</v>
      </c>
      <c r="B53">
        <v>17304</v>
      </c>
      <c r="Q53" t="s">
        <v>1188</v>
      </c>
      <c r="R53">
        <v>5</v>
      </c>
    </row>
    <row r="54" spans="1:18">
      <c r="A54" s="1" t="s">
        <v>873</v>
      </c>
      <c r="B54">
        <v>102938.6</v>
      </c>
      <c r="P54" t="s">
        <v>871</v>
      </c>
      <c r="Q54" t="s">
        <v>1134</v>
      </c>
      <c r="R54">
        <v>3</v>
      </c>
    </row>
    <row r="55" spans="1:18">
      <c r="A55" s="1" t="s">
        <v>1859</v>
      </c>
      <c r="B55">
        <v>16264</v>
      </c>
      <c r="P55" t="s">
        <v>1858</v>
      </c>
      <c r="Q55" t="s">
        <v>1134</v>
      </c>
      <c r="R55">
        <v>1</v>
      </c>
    </row>
    <row r="56" spans="1:18">
      <c r="A56" s="1" t="s">
        <v>1114</v>
      </c>
      <c r="B56">
        <v>10588</v>
      </c>
      <c r="Q56" t="s">
        <v>748</v>
      </c>
      <c r="R56">
        <v>1</v>
      </c>
    </row>
    <row r="57" spans="1:18">
      <c r="A57" s="1" t="s">
        <v>1068</v>
      </c>
      <c r="B57">
        <v>172594</v>
      </c>
      <c r="P57" t="s">
        <v>1506</v>
      </c>
      <c r="Q57" t="s">
        <v>1134</v>
      </c>
      <c r="R57">
        <v>4</v>
      </c>
    </row>
    <row r="58" spans="1:18">
      <c r="A58" s="152">
        <v>46082</v>
      </c>
      <c r="B58">
        <v>24420</v>
      </c>
      <c r="P58" t="s">
        <v>873</v>
      </c>
      <c r="Q58" t="s">
        <v>1134</v>
      </c>
      <c r="R58">
        <v>6</v>
      </c>
    </row>
    <row r="59" spans="1:18">
      <c r="A59" s="152">
        <v>46083</v>
      </c>
      <c r="B59">
        <v>11650</v>
      </c>
      <c r="D59" s="133">
        <v>0.01</v>
      </c>
      <c r="E59">
        <v>64285</v>
      </c>
      <c r="F59">
        <f>D59*E59</f>
        <v>642.85</v>
      </c>
      <c r="Q59" t="s">
        <v>1188</v>
      </c>
      <c r="R59">
        <v>12</v>
      </c>
    </row>
    <row r="60" spans="1:18">
      <c r="A60" s="152">
        <v>46084</v>
      </c>
      <c r="B60">
        <v>12384</v>
      </c>
      <c r="D60" s="133">
        <v>0.02</v>
      </c>
      <c r="E60">
        <v>122738</v>
      </c>
      <c r="F60">
        <f>D60*E60</f>
        <v>2454.7600000000002</v>
      </c>
      <c r="P60" t="s">
        <v>1132</v>
      </c>
      <c r="Q60" t="s">
        <v>1134</v>
      </c>
      <c r="R60">
        <v>10</v>
      </c>
    </row>
    <row r="61" spans="1:18">
      <c r="A61" s="152">
        <v>46085</v>
      </c>
      <c r="B61">
        <v>6988</v>
      </c>
      <c r="Q61" t="s">
        <v>748</v>
      </c>
      <c r="R61">
        <v>2</v>
      </c>
    </row>
    <row r="62" spans="1:18">
      <c r="A62" s="152">
        <v>46086</v>
      </c>
      <c r="B62">
        <v>15240</v>
      </c>
      <c r="P62" t="s">
        <v>2255</v>
      </c>
      <c r="Q62" t="s">
        <v>1134</v>
      </c>
      <c r="R62">
        <v>2</v>
      </c>
    </row>
    <row r="63" spans="1:18">
      <c r="A63" s="152">
        <v>46087</v>
      </c>
      <c r="B63">
        <v>14656</v>
      </c>
      <c r="P63" t="s">
        <v>2079</v>
      </c>
      <c r="Q63" t="s">
        <v>1134</v>
      </c>
      <c r="R63">
        <v>15</v>
      </c>
    </row>
    <row r="64" spans="1:18">
      <c r="A64" s="152">
        <v>46088</v>
      </c>
      <c r="B64">
        <v>26736</v>
      </c>
      <c r="Q64" t="s">
        <v>1188</v>
      </c>
      <c r="R64">
        <v>6</v>
      </c>
    </row>
    <row r="65" spans="1:18">
      <c r="A65" s="152">
        <v>46089</v>
      </c>
      <c r="B65">
        <v>26120</v>
      </c>
      <c r="P65" t="s">
        <v>2078</v>
      </c>
      <c r="Q65" t="s">
        <v>1134</v>
      </c>
      <c r="R65">
        <v>4</v>
      </c>
    </row>
    <row r="66" spans="1:18">
      <c r="A66" s="152">
        <v>46090</v>
      </c>
      <c r="B66">
        <v>34400</v>
      </c>
      <c r="Q66" t="s">
        <v>1188</v>
      </c>
      <c r="R66">
        <v>1</v>
      </c>
    </row>
    <row r="67" spans="1:18">
      <c r="A67" s="1" t="s">
        <v>1132</v>
      </c>
      <c r="B67">
        <v>321080</v>
      </c>
      <c r="P67" t="s">
        <v>1140</v>
      </c>
      <c r="Q67" t="s">
        <v>1188</v>
      </c>
      <c r="R67">
        <v>4</v>
      </c>
    </row>
    <row r="68" spans="1:18">
      <c r="A68" s="1" t="s">
        <v>2255</v>
      </c>
      <c r="B68">
        <v>39414</v>
      </c>
      <c r="P68" t="s">
        <v>1907</v>
      </c>
      <c r="Q68" t="s">
        <v>1134</v>
      </c>
      <c r="R68">
        <v>6</v>
      </c>
    </row>
    <row r="69" spans="1:18">
      <c r="A69" s="1" t="s">
        <v>2079</v>
      </c>
      <c r="B69">
        <v>134544</v>
      </c>
      <c r="P69" t="s">
        <v>1087</v>
      </c>
      <c r="Q69" t="s">
        <v>1134</v>
      </c>
      <c r="R69">
        <v>18</v>
      </c>
    </row>
    <row r="70" spans="1:18">
      <c r="A70" s="1" t="s">
        <v>2078</v>
      </c>
      <c r="B70">
        <v>151474.6</v>
      </c>
      <c r="Q70" t="s">
        <v>748</v>
      </c>
      <c r="R70">
        <v>3</v>
      </c>
    </row>
    <row r="71" spans="1:18">
      <c r="A71" s="1" t="s">
        <v>1070</v>
      </c>
      <c r="B71">
        <v>10016</v>
      </c>
      <c r="P71" t="s">
        <v>1908</v>
      </c>
      <c r="Q71" t="s">
        <v>1188</v>
      </c>
      <c r="R71">
        <v>3</v>
      </c>
    </row>
    <row r="72" spans="1:18">
      <c r="A72" s="1" t="s">
        <v>1140</v>
      </c>
      <c r="B72">
        <v>47199</v>
      </c>
      <c r="P72" t="s">
        <v>851</v>
      </c>
      <c r="Q72" t="s">
        <v>1134</v>
      </c>
      <c r="R72">
        <v>14</v>
      </c>
    </row>
    <row r="73" spans="1:18">
      <c r="A73" s="1" t="s">
        <v>1906</v>
      </c>
      <c r="B73">
        <v>11043</v>
      </c>
      <c r="Q73" t="s">
        <v>748</v>
      </c>
      <c r="R73">
        <v>3</v>
      </c>
    </row>
    <row r="74" spans="1:18">
      <c r="A74" s="1" t="s">
        <v>1907</v>
      </c>
      <c r="B74">
        <v>542192</v>
      </c>
      <c r="P74" t="s">
        <v>1756</v>
      </c>
      <c r="Q74" t="s">
        <v>1134</v>
      </c>
      <c r="R74">
        <v>4</v>
      </c>
    </row>
    <row r="75" spans="1:18">
      <c r="A75" s="1" t="s">
        <v>1087</v>
      </c>
      <c r="B75">
        <v>376482</v>
      </c>
      <c r="P75" t="s">
        <v>1216</v>
      </c>
      <c r="Q75" t="s">
        <v>1134</v>
      </c>
      <c r="R75">
        <v>3</v>
      </c>
    </row>
    <row r="76" spans="1:18">
      <c r="A76" s="1" t="s">
        <v>1218</v>
      </c>
      <c r="B76">
        <v>5686</v>
      </c>
      <c r="Q76" t="s">
        <v>1188</v>
      </c>
      <c r="R76">
        <v>1</v>
      </c>
    </row>
    <row r="77" spans="1:18">
      <c r="A77" s="1" t="s">
        <v>1219</v>
      </c>
      <c r="B77">
        <v>32952</v>
      </c>
      <c r="P77" t="s">
        <v>1217</v>
      </c>
      <c r="Q77" t="s">
        <v>1134</v>
      </c>
      <c r="R77">
        <v>3</v>
      </c>
    </row>
    <row r="78" spans="1:18">
      <c r="A78" s="1" t="s">
        <v>1220</v>
      </c>
      <c r="B78">
        <v>6265</v>
      </c>
      <c r="Q78" t="s">
        <v>1188</v>
      </c>
      <c r="R78">
        <v>1</v>
      </c>
    </row>
    <row r="79" spans="1:18">
      <c r="A79" s="1" t="s">
        <v>1908</v>
      </c>
      <c r="B79">
        <v>17628</v>
      </c>
      <c r="P79" t="s">
        <v>2073</v>
      </c>
      <c r="Q79" t="s">
        <v>1134</v>
      </c>
      <c r="R79">
        <v>3</v>
      </c>
    </row>
    <row r="80" spans="1:18">
      <c r="A80" s="1" t="s">
        <v>851</v>
      </c>
      <c r="B80">
        <v>464098</v>
      </c>
      <c r="P80" t="s">
        <v>975</v>
      </c>
      <c r="Q80" t="s">
        <v>1134</v>
      </c>
      <c r="R80">
        <v>2</v>
      </c>
    </row>
    <row r="81" spans="1:18">
      <c r="A81" s="1" t="s">
        <v>1756</v>
      </c>
      <c r="B81">
        <v>39067</v>
      </c>
      <c r="Q81" t="s">
        <v>1188</v>
      </c>
      <c r="R81">
        <v>4</v>
      </c>
    </row>
    <row r="82" spans="1:18">
      <c r="A82" s="1" t="s">
        <v>1082</v>
      </c>
      <c r="B82">
        <v>79014</v>
      </c>
      <c r="P82" t="s">
        <v>634</v>
      </c>
      <c r="R82">
        <v>506</v>
      </c>
    </row>
    <row r="83" spans="1:18">
      <c r="A83" s="1" t="s">
        <v>1216</v>
      </c>
      <c r="B83">
        <v>28203</v>
      </c>
    </row>
    <row r="84" spans="1:18">
      <c r="A84" s="1" t="s">
        <v>1217</v>
      </c>
      <c r="B84">
        <v>79845</v>
      </c>
    </row>
    <row r="85" spans="1:18">
      <c r="A85" s="1" t="s">
        <v>2073</v>
      </c>
      <c r="B85">
        <v>31320</v>
      </c>
    </row>
    <row r="86" spans="1:18">
      <c r="A86" s="152">
        <v>46082</v>
      </c>
      <c r="B86">
        <v>6656</v>
      </c>
    </row>
    <row r="87" spans="1:18">
      <c r="A87" s="152">
        <v>46088</v>
      </c>
      <c r="B87">
        <v>10528</v>
      </c>
    </row>
    <row r="88" spans="1:18">
      <c r="A88" s="152">
        <v>46089</v>
      </c>
      <c r="B88">
        <v>14136</v>
      </c>
    </row>
    <row r="89" spans="1:18">
      <c r="A89" s="1" t="s">
        <v>1085</v>
      </c>
      <c r="B89">
        <v>66360</v>
      </c>
    </row>
    <row r="90" spans="1:18">
      <c r="A90" s="1" t="s">
        <v>975</v>
      </c>
      <c r="B90">
        <v>125760</v>
      </c>
    </row>
    <row r="91" spans="1:18">
      <c r="A91" s="1" t="s">
        <v>1115</v>
      </c>
      <c r="B91">
        <v>0</v>
      </c>
    </row>
    <row r="92" spans="1:18">
      <c r="A92" s="1" t="s">
        <v>634</v>
      </c>
      <c r="B92">
        <v>9587202.8999999985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FB9C-0836-4061-9A67-586280671F28}">
  <dimension ref="C1:U79"/>
  <sheetViews>
    <sheetView topLeftCell="G54" workbookViewId="0">
      <selection activeCell="U2" sqref="U2:U79"/>
    </sheetView>
  </sheetViews>
  <sheetFormatPr defaultRowHeight="15.75"/>
  <cols>
    <col min="2" max="3" width="20" bestFit="1" customWidth="1"/>
    <col min="4" max="4" width="20" customWidth="1"/>
    <col min="10" max="11" width="20" bestFit="1" customWidth="1"/>
    <col min="16" max="16" width="21.28515625" bestFit="1" customWidth="1"/>
    <col min="18" max="18" width="21.28515625" bestFit="1" customWidth="1"/>
    <col min="20" max="20" width="18.5703125" bestFit="1" customWidth="1"/>
    <col min="21" max="21" width="20.28515625" bestFit="1" customWidth="1"/>
  </cols>
  <sheetData>
    <row r="1" spans="3:21">
      <c r="C1" s="49"/>
      <c r="D1" s="49"/>
      <c r="I1" t="s">
        <v>2280</v>
      </c>
      <c r="J1" t="s">
        <v>2281</v>
      </c>
      <c r="K1" t="s">
        <v>2282</v>
      </c>
      <c r="L1" t="s">
        <v>2283</v>
      </c>
      <c r="M1" t="s">
        <v>2284</v>
      </c>
      <c r="N1" t="s">
        <v>2285</v>
      </c>
      <c r="O1" t="s">
        <v>2286</v>
      </c>
      <c r="P1" t="s">
        <v>2287</v>
      </c>
      <c r="Q1" t="s">
        <v>2288</v>
      </c>
      <c r="R1" t="s">
        <v>2289</v>
      </c>
      <c r="S1" t="s">
        <v>2290</v>
      </c>
      <c r="T1" t="s">
        <v>2291</v>
      </c>
      <c r="U1" t="s">
        <v>2292</v>
      </c>
    </row>
    <row r="2" spans="3:21">
      <c r="C2" s="12"/>
      <c r="I2" t="s">
        <v>2293</v>
      </c>
      <c r="J2" t="s">
        <v>2294</v>
      </c>
      <c r="K2" s="12">
        <v>46082</v>
      </c>
      <c r="L2" t="s">
        <v>2295</v>
      </c>
      <c r="M2" t="s">
        <v>2296</v>
      </c>
      <c r="N2" t="s">
        <v>2297</v>
      </c>
      <c r="O2" t="s">
        <v>2298</v>
      </c>
      <c r="P2" t="s">
        <v>2299</v>
      </c>
      <c r="Q2" t="s">
        <v>566</v>
      </c>
      <c r="R2" t="s">
        <v>570</v>
      </c>
      <c r="S2">
        <v>1</v>
      </c>
      <c r="T2">
        <v>2230</v>
      </c>
      <c r="U2" t="s">
        <v>2300</v>
      </c>
    </row>
    <row r="3" spans="3:21">
      <c r="C3" s="12"/>
      <c r="I3" t="s">
        <v>2293</v>
      </c>
      <c r="J3" t="s">
        <v>2311</v>
      </c>
      <c r="K3" s="12">
        <v>46082</v>
      </c>
      <c r="L3" t="s">
        <v>2295</v>
      </c>
      <c r="M3" t="s">
        <v>2296</v>
      </c>
      <c r="N3" t="s">
        <v>2297</v>
      </c>
      <c r="O3" t="s">
        <v>2298</v>
      </c>
      <c r="P3" t="s">
        <v>2299</v>
      </c>
      <c r="Q3" t="s">
        <v>144</v>
      </c>
      <c r="R3" t="s">
        <v>815</v>
      </c>
      <c r="S3">
        <v>1</v>
      </c>
      <c r="T3">
        <v>2870</v>
      </c>
      <c r="U3" t="s">
        <v>2312</v>
      </c>
    </row>
    <row r="4" spans="3:21">
      <c r="C4" s="12"/>
      <c r="I4" t="s">
        <v>2293</v>
      </c>
      <c r="J4" t="s">
        <v>2313</v>
      </c>
      <c r="K4" s="12">
        <v>46082</v>
      </c>
      <c r="L4" t="s">
        <v>2295</v>
      </c>
      <c r="M4" t="s">
        <v>2296</v>
      </c>
      <c r="N4" t="s">
        <v>2297</v>
      </c>
      <c r="O4" t="s">
        <v>2298</v>
      </c>
      <c r="P4" t="s">
        <v>2299</v>
      </c>
      <c r="Q4" t="s">
        <v>144</v>
      </c>
      <c r="R4" t="s">
        <v>698</v>
      </c>
      <c r="S4">
        <v>1</v>
      </c>
      <c r="T4">
        <v>788</v>
      </c>
      <c r="U4" t="s">
        <v>2314</v>
      </c>
    </row>
    <row r="5" spans="3:21">
      <c r="C5" s="12"/>
      <c r="I5" t="s">
        <v>2293</v>
      </c>
      <c r="J5" t="s">
        <v>2315</v>
      </c>
      <c r="K5" s="12">
        <v>46082</v>
      </c>
      <c r="L5" t="s">
        <v>2295</v>
      </c>
      <c r="M5" t="s">
        <v>2296</v>
      </c>
      <c r="N5" t="s">
        <v>2297</v>
      </c>
      <c r="O5" t="s">
        <v>2298</v>
      </c>
      <c r="P5" t="s">
        <v>2299</v>
      </c>
      <c r="Q5" t="s">
        <v>144</v>
      </c>
      <c r="R5" t="s">
        <v>910</v>
      </c>
      <c r="S5">
        <v>1</v>
      </c>
      <c r="T5">
        <v>308</v>
      </c>
      <c r="U5" t="s">
        <v>2312</v>
      </c>
    </row>
    <row r="6" spans="3:21">
      <c r="C6" s="12"/>
      <c r="I6" t="s">
        <v>2293</v>
      </c>
      <c r="J6" t="s">
        <v>2316</v>
      </c>
      <c r="K6" s="12">
        <v>46082</v>
      </c>
      <c r="L6" t="s">
        <v>2295</v>
      </c>
      <c r="M6" t="s">
        <v>2296</v>
      </c>
      <c r="N6" t="s">
        <v>2297</v>
      </c>
      <c r="O6" t="s">
        <v>2298</v>
      </c>
      <c r="P6" t="s">
        <v>2299</v>
      </c>
      <c r="Q6" t="s">
        <v>144</v>
      </c>
      <c r="R6" t="s">
        <v>815</v>
      </c>
      <c r="S6">
        <v>1</v>
      </c>
      <c r="T6">
        <v>2870</v>
      </c>
      <c r="U6" t="s">
        <v>2317</v>
      </c>
    </row>
    <row r="7" spans="3:21">
      <c r="C7" s="12"/>
      <c r="I7" t="s">
        <v>2293</v>
      </c>
      <c r="J7" t="s">
        <v>2316</v>
      </c>
      <c r="K7" s="12">
        <v>46082</v>
      </c>
      <c r="L7" t="s">
        <v>2295</v>
      </c>
      <c r="M7" t="s">
        <v>2296</v>
      </c>
      <c r="N7" t="s">
        <v>2297</v>
      </c>
      <c r="O7" t="s">
        <v>2298</v>
      </c>
      <c r="P7" t="s">
        <v>2299</v>
      </c>
      <c r="Q7" t="s">
        <v>144</v>
      </c>
      <c r="R7" t="s">
        <v>817</v>
      </c>
      <c r="S7">
        <v>1</v>
      </c>
      <c r="T7">
        <v>3190</v>
      </c>
      <c r="U7" t="s">
        <v>2317</v>
      </c>
    </row>
    <row r="8" spans="3:21">
      <c r="C8" s="12"/>
      <c r="I8" t="s">
        <v>2293</v>
      </c>
      <c r="J8" t="s">
        <v>2366</v>
      </c>
      <c r="K8" s="12">
        <v>46082</v>
      </c>
      <c r="L8" t="s">
        <v>2295</v>
      </c>
      <c r="M8" t="s">
        <v>2296</v>
      </c>
      <c r="N8" t="s">
        <v>2297</v>
      </c>
      <c r="O8" t="s">
        <v>2298</v>
      </c>
      <c r="P8" t="s">
        <v>2299</v>
      </c>
      <c r="Q8" t="s">
        <v>1636</v>
      </c>
      <c r="R8" t="s">
        <v>861</v>
      </c>
      <c r="S8">
        <v>1</v>
      </c>
      <c r="T8">
        <v>3278</v>
      </c>
      <c r="U8" t="s">
        <v>2367</v>
      </c>
    </row>
    <row r="9" spans="3:21">
      <c r="C9" s="12"/>
      <c r="I9" t="s">
        <v>2293</v>
      </c>
      <c r="J9" t="s">
        <v>2368</v>
      </c>
      <c r="K9" s="12">
        <v>46082</v>
      </c>
      <c r="L9" t="s">
        <v>2295</v>
      </c>
      <c r="M9" t="s">
        <v>2296</v>
      </c>
      <c r="N9" t="s">
        <v>2297</v>
      </c>
      <c r="O9" t="s">
        <v>2298</v>
      </c>
      <c r="P9" t="s">
        <v>2299</v>
      </c>
      <c r="Q9" t="s">
        <v>1636</v>
      </c>
      <c r="R9" t="s">
        <v>861</v>
      </c>
      <c r="S9">
        <v>1</v>
      </c>
      <c r="T9">
        <v>3278</v>
      </c>
      <c r="U9" t="s">
        <v>2369</v>
      </c>
    </row>
    <row r="10" spans="3:21">
      <c r="C10" s="12"/>
      <c r="I10" t="s">
        <v>2293</v>
      </c>
      <c r="J10" t="s">
        <v>2370</v>
      </c>
      <c r="K10" s="12">
        <v>46082</v>
      </c>
      <c r="L10" t="s">
        <v>2295</v>
      </c>
      <c r="M10" t="s">
        <v>2296</v>
      </c>
      <c r="N10" t="s">
        <v>2297</v>
      </c>
      <c r="O10" t="s">
        <v>2298</v>
      </c>
      <c r="P10" t="s">
        <v>2299</v>
      </c>
      <c r="Q10" t="s">
        <v>1636</v>
      </c>
      <c r="R10" t="s">
        <v>861</v>
      </c>
      <c r="S10">
        <v>1</v>
      </c>
      <c r="T10">
        <v>3278</v>
      </c>
      <c r="U10" t="s">
        <v>2371</v>
      </c>
    </row>
    <row r="11" spans="3:21">
      <c r="C11" s="12"/>
      <c r="I11" t="s">
        <v>2293</v>
      </c>
      <c r="J11" t="s">
        <v>2405</v>
      </c>
      <c r="K11" s="12">
        <v>46082</v>
      </c>
      <c r="L11" t="s">
        <v>2295</v>
      </c>
      <c r="M11" t="s">
        <v>2296</v>
      </c>
      <c r="N11" t="s">
        <v>2297</v>
      </c>
      <c r="O11" t="s">
        <v>2298</v>
      </c>
      <c r="P11" t="s">
        <v>2299</v>
      </c>
      <c r="Q11" t="s">
        <v>1636</v>
      </c>
      <c r="R11" t="s">
        <v>944</v>
      </c>
      <c r="S11">
        <v>1</v>
      </c>
      <c r="T11">
        <v>2330</v>
      </c>
      <c r="U11" t="s">
        <v>2406</v>
      </c>
    </row>
    <row r="12" spans="3:21">
      <c r="C12" s="12"/>
      <c r="I12" t="s">
        <v>2293</v>
      </c>
      <c r="J12" t="s">
        <v>2308</v>
      </c>
      <c r="K12" s="12">
        <v>46083</v>
      </c>
      <c r="L12" t="s">
        <v>2295</v>
      </c>
      <c r="M12" t="s">
        <v>2296</v>
      </c>
      <c r="N12" t="s">
        <v>2309</v>
      </c>
      <c r="O12" t="s">
        <v>2302</v>
      </c>
      <c r="P12" t="s">
        <v>2299</v>
      </c>
      <c r="Q12" t="s">
        <v>1636</v>
      </c>
      <c r="R12" t="s">
        <v>819</v>
      </c>
      <c r="S12">
        <v>1</v>
      </c>
      <c r="T12">
        <v>6200</v>
      </c>
      <c r="U12" t="s">
        <v>2310</v>
      </c>
    </row>
    <row r="13" spans="3:21">
      <c r="C13" s="12"/>
      <c r="I13" t="s">
        <v>2293</v>
      </c>
      <c r="J13" t="s">
        <v>2318</v>
      </c>
      <c r="K13" s="12">
        <v>46083</v>
      </c>
      <c r="L13" t="s">
        <v>2295</v>
      </c>
      <c r="M13" t="s">
        <v>2296</v>
      </c>
      <c r="N13" t="s">
        <v>2309</v>
      </c>
      <c r="O13" t="s">
        <v>2302</v>
      </c>
      <c r="P13" t="s">
        <v>2299</v>
      </c>
      <c r="Q13" t="s">
        <v>144</v>
      </c>
      <c r="R13" t="s">
        <v>798</v>
      </c>
      <c r="S13">
        <v>1</v>
      </c>
      <c r="T13">
        <v>388</v>
      </c>
      <c r="U13" t="s">
        <v>2319</v>
      </c>
    </row>
    <row r="14" spans="3:21">
      <c r="C14" s="12"/>
      <c r="I14" t="s">
        <v>2293</v>
      </c>
      <c r="J14" t="s">
        <v>2320</v>
      </c>
      <c r="K14" s="12">
        <v>46083</v>
      </c>
      <c r="L14" t="s">
        <v>2295</v>
      </c>
      <c r="M14" t="s">
        <v>2296</v>
      </c>
      <c r="N14" t="s">
        <v>2309</v>
      </c>
      <c r="O14" t="s">
        <v>2302</v>
      </c>
      <c r="P14" t="s">
        <v>2299</v>
      </c>
      <c r="Q14" t="s">
        <v>1636</v>
      </c>
      <c r="R14" t="s">
        <v>824</v>
      </c>
      <c r="S14">
        <v>1</v>
      </c>
      <c r="T14">
        <v>698</v>
      </c>
      <c r="U14" t="s">
        <v>2321</v>
      </c>
    </row>
    <row r="15" spans="3:21">
      <c r="C15" s="12"/>
      <c r="I15" t="s">
        <v>2293</v>
      </c>
      <c r="J15" t="s">
        <v>2322</v>
      </c>
      <c r="K15" s="12">
        <v>46083</v>
      </c>
      <c r="L15" t="s">
        <v>2295</v>
      </c>
      <c r="M15" t="s">
        <v>2296</v>
      </c>
      <c r="N15" t="s">
        <v>2309</v>
      </c>
      <c r="O15" t="s">
        <v>2302</v>
      </c>
      <c r="P15" t="s">
        <v>2299</v>
      </c>
      <c r="Q15" t="s">
        <v>1636</v>
      </c>
      <c r="R15" t="s">
        <v>824</v>
      </c>
      <c r="S15">
        <v>1</v>
      </c>
      <c r="T15">
        <v>698</v>
      </c>
      <c r="U15" t="s">
        <v>2323</v>
      </c>
    </row>
    <row r="16" spans="3:21">
      <c r="C16" s="12"/>
      <c r="I16" t="s">
        <v>2293</v>
      </c>
      <c r="J16" t="s">
        <v>2364</v>
      </c>
      <c r="K16" s="12">
        <v>46083</v>
      </c>
      <c r="L16" t="s">
        <v>2295</v>
      </c>
      <c r="M16" t="s">
        <v>2296</v>
      </c>
      <c r="N16" t="s">
        <v>2309</v>
      </c>
      <c r="O16" t="s">
        <v>2302</v>
      </c>
      <c r="P16" t="s">
        <v>2299</v>
      </c>
      <c r="Q16" t="s">
        <v>1636</v>
      </c>
      <c r="R16" t="s">
        <v>861</v>
      </c>
      <c r="S16">
        <v>1</v>
      </c>
      <c r="T16">
        <v>3278</v>
      </c>
      <c r="U16" t="s">
        <v>2365</v>
      </c>
    </row>
    <row r="17" spans="3:21">
      <c r="C17" s="12"/>
      <c r="I17" t="s">
        <v>2293</v>
      </c>
      <c r="J17" t="s">
        <v>2407</v>
      </c>
      <c r="K17" s="12">
        <v>46083</v>
      </c>
      <c r="L17" t="s">
        <v>2295</v>
      </c>
      <c r="M17" t="s">
        <v>2296</v>
      </c>
      <c r="N17" t="s">
        <v>2309</v>
      </c>
      <c r="O17" t="s">
        <v>2302</v>
      </c>
      <c r="P17" t="s">
        <v>2299</v>
      </c>
      <c r="Q17" t="s">
        <v>144</v>
      </c>
      <c r="R17" t="s">
        <v>798</v>
      </c>
      <c r="S17">
        <v>1</v>
      </c>
      <c r="T17">
        <v>388</v>
      </c>
      <c r="U17" t="s">
        <v>2408</v>
      </c>
    </row>
    <row r="18" spans="3:21">
      <c r="C18" s="12"/>
      <c r="I18" t="s">
        <v>2293</v>
      </c>
      <c r="J18" t="s">
        <v>2401</v>
      </c>
      <c r="K18" s="12">
        <v>46084</v>
      </c>
      <c r="L18" t="s">
        <v>2295</v>
      </c>
      <c r="M18" t="s">
        <v>2296</v>
      </c>
      <c r="N18" t="s">
        <v>2296</v>
      </c>
      <c r="O18" t="s">
        <v>2302</v>
      </c>
      <c r="P18" t="s">
        <v>2299</v>
      </c>
      <c r="Q18" t="s">
        <v>1636</v>
      </c>
      <c r="R18" t="s">
        <v>944</v>
      </c>
      <c r="S18">
        <v>1</v>
      </c>
      <c r="T18">
        <v>2330</v>
      </c>
      <c r="U18" t="s">
        <v>2402</v>
      </c>
    </row>
    <row r="19" spans="3:21">
      <c r="C19" s="12"/>
      <c r="I19" t="s">
        <v>2293</v>
      </c>
      <c r="J19" t="s">
        <v>2403</v>
      </c>
      <c r="K19" s="12">
        <v>46084</v>
      </c>
      <c r="L19" t="s">
        <v>2295</v>
      </c>
      <c r="M19" t="s">
        <v>2296</v>
      </c>
      <c r="N19" t="s">
        <v>2296</v>
      </c>
      <c r="O19" t="s">
        <v>2302</v>
      </c>
      <c r="P19" t="s">
        <v>2299</v>
      </c>
      <c r="Q19" t="s">
        <v>1636</v>
      </c>
      <c r="R19" t="s">
        <v>944</v>
      </c>
      <c r="S19">
        <v>1</v>
      </c>
      <c r="T19">
        <v>2330</v>
      </c>
      <c r="U19" t="s">
        <v>2404</v>
      </c>
    </row>
    <row r="20" spans="3:21">
      <c r="C20" s="12"/>
      <c r="I20" t="s">
        <v>2293</v>
      </c>
      <c r="J20" t="s">
        <v>2409</v>
      </c>
      <c r="K20" s="12">
        <v>46084</v>
      </c>
      <c r="L20" t="s">
        <v>2295</v>
      </c>
      <c r="M20" t="s">
        <v>2296</v>
      </c>
      <c r="N20" t="s">
        <v>2296</v>
      </c>
      <c r="O20" t="s">
        <v>2302</v>
      </c>
      <c r="P20" t="s">
        <v>2299</v>
      </c>
      <c r="Q20" t="s">
        <v>144</v>
      </c>
      <c r="R20" t="s">
        <v>476</v>
      </c>
      <c r="S20">
        <v>1</v>
      </c>
      <c r="T20">
        <v>2630</v>
      </c>
      <c r="U20" t="s">
        <v>2410</v>
      </c>
    </row>
    <row r="21" spans="3:21">
      <c r="C21" s="12"/>
      <c r="I21" t="s">
        <v>2293</v>
      </c>
      <c r="J21" t="s">
        <v>2411</v>
      </c>
      <c r="K21" s="12">
        <v>46084</v>
      </c>
      <c r="L21" t="s">
        <v>2295</v>
      </c>
      <c r="M21" t="s">
        <v>2296</v>
      </c>
      <c r="N21" t="s">
        <v>2296</v>
      </c>
      <c r="O21" t="s">
        <v>2302</v>
      </c>
      <c r="P21" t="s">
        <v>2299</v>
      </c>
      <c r="Q21" t="s">
        <v>144</v>
      </c>
      <c r="R21" t="s">
        <v>448</v>
      </c>
      <c r="S21">
        <v>1</v>
      </c>
      <c r="T21">
        <v>798</v>
      </c>
      <c r="U21" t="s">
        <v>2412</v>
      </c>
    </row>
    <row r="22" spans="3:21">
      <c r="C22" s="12"/>
      <c r="I22" t="s">
        <v>2293</v>
      </c>
      <c r="J22" t="s">
        <v>2413</v>
      </c>
      <c r="K22" s="12">
        <v>46084</v>
      </c>
      <c r="L22" t="s">
        <v>2295</v>
      </c>
      <c r="M22" t="s">
        <v>2296</v>
      </c>
      <c r="N22" t="s">
        <v>2296</v>
      </c>
      <c r="O22" t="s">
        <v>2302</v>
      </c>
      <c r="P22" t="s">
        <v>2299</v>
      </c>
      <c r="Q22" t="s">
        <v>144</v>
      </c>
      <c r="R22" t="s">
        <v>461</v>
      </c>
      <c r="S22">
        <v>1</v>
      </c>
      <c r="T22">
        <v>548</v>
      </c>
      <c r="U22" t="s">
        <v>2414</v>
      </c>
    </row>
    <row r="23" spans="3:21">
      <c r="C23" s="12"/>
      <c r="I23" t="s">
        <v>2293</v>
      </c>
      <c r="J23" t="s">
        <v>2415</v>
      </c>
      <c r="K23" s="12">
        <v>46084</v>
      </c>
      <c r="L23" t="s">
        <v>2295</v>
      </c>
      <c r="M23" t="s">
        <v>2296</v>
      </c>
      <c r="N23" t="s">
        <v>2296</v>
      </c>
      <c r="O23" t="s">
        <v>2302</v>
      </c>
      <c r="P23" t="s">
        <v>2299</v>
      </c>
      <c r="Q23" t="s">
        <v>144</v>
      </c>
      <c r="R23" t="s">
        <v>719</v>
      </c>
      <c r="S23">
        <v>1</v>
      </c>
      <c r="T23">
        <v>898</v>
      </c>
      <c r="U23" t="s">
        <v>2416</v>
      </c>
    </row>
    <row r="24" spans="3:21">
      <c r="C24" s="12"/>
      <c r="I24" t="s">
        <v>2293</v>
      </c>
      <c r="J24" t="s">
        <v>2455</v>
      </c>
      <c r="K24" s="12">
        <v>46084</v>
      </c>
      <c r="L24" t="s">
        <v>2295</v>
      </c>
      <c r="M24" t="s">
        <v>2296</v>
      </c>
      <c r="N24" t="s">
        <v>2296</v>
      </c>
      <c r="O24" t="s">
        <v>2302</v>
      </c>
      <c r="P24" t="s">
        <v>2299</v>
      </c>
      <c r="Q24" t="s">
        <v>566</v>
      </c>
      <c r="R24" t="s">
        <v>783</v>
      </c>
      <c r="S24">
        <v>1</v>
      </c>
      <c r="T24">
        <v>2850</v>
      </c>
      <c r="U24" t="s">
        <v>2456</v>
      </c>
    </row>
    <row r="25" spans="3:21">
      <c r="C25" s="12"/>
      <c r="I25" t="s">
        <v>2293</v>
      </c>
      <c r="J25" t="s">
        <v>2305</v>
      </c>
      <c r="K25" s="12">
        <v>46085</v>
      </c>
      <c r="L25" t="s">
        <v>2295</v>
      </c>
      <c r="M25" t="s">
        <v>2296</v>
      </c>
      <c r="N25" t="s">
        <v>2306</v>
      </c>
      <c r="O25" t="s">
        <v>2302</v>
      </c>
      <c r="P25" t="s">
        <v>2299</v>
      </c>
      <c r="Q25" t="s">
        <v>1636</v>
      </c>
      <c r="R25" t="s">
        <v>819</v>
      </c>
      <c r="S25">
        <v>1</v>
      </c>
      <c r="T25">
        <v>6200</v>
      </c>
      <c r="U25" t="s">
        <v>2307</v>
      </c>
    </row>
    <row r="26" spans="3:21">
      <c r="C26" s="12"/>
      <c r="I26" t="s">
        <v>2293</v>
      </c>
      <c r="J26" t="s">
        <v>2417</v>
      </c>
      <c r="K26" s="12">
        <v>46085</v>
      </c>
      <c r="L26" t="s">
        <v>2295</v>
      </c>
      <c r="M26" t="s">
        <v>2296</v>
      </c>
      <c r="N26" t="s">
        <v>2306</v>
      </c>
      <c r="O26" t="s">
        <v>2302</v>
      </c>
      <c r="P26" t="s">
        <v>2299</v>
      </c>
      <c r="Q26" t="s">
        <v>144</v>
      </c>
      <c r="R26" t="s">
        <v>464</v>
      </c>
      <c r="S26">
        <v>1</v>
      </c>
      <c r="T26">
        <v>788</v>
      </c>
      <c r="U26" t="s">
        <v>2418</v>
      </c>
    </row>
    <row r="27" spans="3:21">
      <c r="C27" s="12"/>
      <c r="I27" t="s">
        <v>2293</v>
      </c>
      <c r="J27" t="s">
        <v>2327</v>
      </c>
      <c r="K27" s="12">
        <v>46086</v>
      </c>
      <c r="L27" t="s">
        <v>2295</v>
      </c>
      <c r="M27" t="s">
        <v>2296</v>
      </c>
      <c r="N27" t="s">
        <v>2328</v>
      </c>
      <c r="O27" t="s">
        <v>2302</v>
      </c>
      <c r="P27" t="s">
        <v>2299</v>
      </c>
      <c r="Q27" t="s">
        <v>1636</v>
      </c>
      <c r="R27" t="s">
        <v>733</v>
      </c>
      <c r="S27">
        <v>1</v>
      </c>
      <c r="T27">
        <v>598</v>
      </c>
      <c r="U27" t="s">
        <v>2329</v>
      </c>
    </row>
    <row r="28" spans="3:21">
      <c r="C28" s="12"/>
      <c r="I28" t="s">
        <v>2293</v>
      </c>
      <c r="J28" t="s">
        <v>2337</v>
      </c>
      <c r="K28" s="12">
        <v>46086</v>
      </c>
      <c r="L28" t="s">
        <v>2295</v>
      </c>
      <c r="M28" t="s">
        <v>2296</v>
      </c>
      <c r="N28" t="s">
        <v>2328</v>
      </c>
      <c r="O28" t="s">
        <v>2302</v>
      </c>
      <c r="P28" t="s">
        <v>2299</v>
      </c>
      <c r="Q28" t="s">
        <v>1636</v>
      </c>
      <c r="R28" t="s">
        <v>727</v>
      </c>
      <c r="S28">
        <v>1</v>
      </c>
      <c r="T28">
        <v>3490</v>
      </c>
      <c r="U28" t="s">
        <v>2338</v>
      </c>
    </row>
    <row r="29" spans="3:21">
      <c r="C29" s="12"/>
      <c r="I29" t="s">
        <v>2293</v>
      </c>
      <c r="J29" t="s">
        <v>2362</v>
      </c>
      <c r="K29" s="12">
        <v>46086</v>
      </c>
      <c r="L29" t="s">
        <v>2295</v>
      </c>
      <c r="M29" t="s">
        <v>2296</v>
      </c>
      <c r="N29" t="s">
        <v>2328</v>
      </c>
      <c r="O29" t="s">
        <v>2302</v>
      </c>
      <c r="P29" t="s">
        <v>2299</v>
      </c>
      <c r="Q29" t="s">
        <v>1636</v>
      </c>
      <c r="R29" t="s">
        <v>861</v>
      </c>
      <c r="S29">
        <v>1</v>
      </c>
      <c r="T29">
        <v>3278</v>
      </c>
      <c r="U29" t="s">
        <v>2363</v>
      </c>
    </row>
    <row r="30" spans="3:21">
      <c r="C30" s="12"/>
      <c r="I30" t="s">
        <v>2293</v>
      </c>
      <c r="J30" t="s">
        <v>2399</v>
      </c>
      <c r="K30" s="12">
        <v>46086</v>
      </c>
      <c r="L30" t="s">
        <v>2295</v>
      </c>
      <c r="M30" t="s">
        <v>2296</v>
      </c>
      <c r="N30" t="s">
        <v>2328</v>
      </c>
      <c r="O30" t="s">
        <v>2302</v>
      </c>
      <c r="P30" t="s">
        <v>2299</v>
      </c>
      <c r="Q30" t="s">
        <v>1636</v>
      </c>
      <c r="R30" t="s">
        <v>944</v>
      </c>
      <c r="S30">
        <v>1</v>
      </c>
      <c r="T30">
        <v>2330</v>
      </c>
      <c r="U30" t="s">
        <v>2400</v>
      </c>
    </row>
    <row r="31" spans="3:21">
      <c r="C31" s="12"/>
      <c r="I31" t="s">
        <v>2293</v>
      </c>
      <c r="J31" t="s">
        <v>2419</v>
      </c>
      <c r="K31" s="12">
        <v>46086</v>
      </c>
      <c r="L31" t="s">
        <v>2295</v>
      </c>
      <c r="M31" t="s">
        <v>2296</v>
      </c>
      <c r="N31" t="s">
        <v>2328</v>
      </c>
      <c r="O31" t="s">
        <v>2302</v>
      </c>
      <c r="P31" t="s">
        <v>2299</v>
      </c>
      <c r="Q31" t="s">
        <v>144</v>
      </c>
      <c r="R31" t="s">
        <v>476</v>
      </c>
      <c r="S31">
        <v>1</v>
      </c>
      <c r="T31">
        <v>2630</v>
      </c>
      <c r="U31" t="s">
        <v>2420</v>
      </c>
    </row>
    <row r="32" spans="3:21">
      <c r="C32" s="12"/>
      <c r="I32" t="s">
        <v>2293</v>
      </c>
      <c r="J32" t="s">
        <v>2421</v>
      </c>
      <c r="K32" s="12">
        <v>46086</v>
      </c>
      <c r="L32" t="s">
        <v>2295</v>
      </c>
      <c r="M32" t="s">
        <v>2296</v>
      </c>
      <c r="N32" t="s">
        <v>2328</v>
      </c>
      <c r="O32" t="s">
        <v>2302</v>
      </c>
      <c r="P32" t="s">
        <v>2299</v>
      </c>
      <c r="Q32" t="s">
        <v>144</v>
      </c>
      <c r="R32" t="s">
        <v>855</v>
      </c>
      <c r="S32">
        <v>1</v>
      </c>
      <c r="T32">
        <v>1818</v>
      </c>
      <c r="U32" t="s">
        <v>2422</v>
      </c>
    </row>
    <row r="33" spans="3:21">
      <c r="C33" s="12"/>
      <c r="I33" t="s">
        <v>2293</v>
      </c>
      <c r="J33" t="s">
        <v>2423</v>
      </c>
      <c r="K33" s="12">
        <v>46086</v>
      </c>
      <c r="L33" t="s">
        <v>2295</v>
      </c>
      <c r="M33" t="s">
        <v>2296</v>
      </c>
      <c r="N33" t="s">
        <v>2328</v>
      </c>
      <c r="O33" t="s">
        <v>2302</v>
      </c>
      <c r="P33" t="s">
        <v>2299</v>
      </c>
      <c r="Q33" t="s">
        <v>144</v>
      </c>
      <c r="R33" t="s">
        <v>461</v>
      </c>
      <c r="S33">
        <v>1</v>
      </c>
      <c r="T33">
        <v>548</v>
      </c>
      <c r="U33" t="s">
        <v>2424</v>
      </c>
    </row>
    <row r="34" spans="3:21">
      <c r="C34" s="12"/>
      <c r="I34" t="s">
        <v>2293</v>
      </c>
      <c r="J34" t="s">
        <v>2425</v>
      </c>
      <c r="K34" s="12">
        <v>46086</v>
      </c>
      <c r="L34" t="s">
        <v>2295</v>
      </c>
      <c r="M34" t="s">
        <v>2296</v>
      </c>
      <c r="N34" t="s">
        <v>2328</v>
      </c>
      <c r="O34" t="s">
        <v>2302</v>
      </c>
      <c r="P34" t="s">
        <v>2299</v>
      </c>
      <c r="Q34" t="s">
        <v>144</v>
      </c>
      <c r="R34" t="s">
        <v>461</v>
      </c>
      <c r="S34">
        <v>1</v>
      </c>
      <c r="T34">
        <v>548</v>
      </c>
      <c r="U34" t="s">
        <v>2426</v>
      </c>
    </row>
    <row r="35" spans="3:21">
      <c r="C35" s="12"/>
      <c r="I35" t="s">
        <v>2293</v>
      </c>
      <c r="J35" t="s">
        <v>2334</v>
      </c>
      <c r="K35" s="12">
        <v>46087</v>
      </c>
      <c r="L35" t="s">
        <v>2295</v>
      </c>
      <c r="M35" t="s">
        <v>2296</v>
      </c>
      <c r="N35" t="s">
        <v>2335</v>
      </c>
      <c r="O35" t="s">
        <v>2302</v>
      </c>
      <c r="P35" t="s">
        <v>2299</v>
      </c>
      <c r="Q35" t="s">
        <v>1636</v>
      </c>
      <c r="R35" t="s">
        <v>727</v>
      </c>
      <c r="S35">
        <v>1</v>
      </c>
      <c r="T35">
        <v>3490</v>
      </c>
      <c r="U35" t="s">
        <v>2336</v>
      </c>
    </row>
    <row r="36" spans="3:21">
      <c r="C36" s="12"/>
      <c r="I36" t="s">
        <v>2293</v>
      </c>
      <c r="J36" t="s">
        <v>2360</v>
      </c>
      <c r="K36" s="12">
        <v>46087</v>
      </c>
      <c r="L36" t="s">
        <v>2295</v>
      </c>
      <c r="M36" t="s">
        <v>2296</v>
      </c>
      <c r="N36" t="s">
        <v>2335</v>
      </c>
      <c r="O36" t="s">
        <v>2302</v>
      </c>
      <c r="P36" t="s">
        <v>2299</v>
      </c>
      <c r="Q36" t="s">
        <v>1636</v>
      </c>
      <c r="R36" t="s">
        <v>861</v>
      </c>
      <c r="S36">
        <v>1</v>
      </c>
      <c r="T36">
        <v>3278</v>
      </c>
      <c r="U36" t="s">
        <v>2361</v>
      </c>
    </row>
    <row r="37" spans="3:21">
      <c r="C37" s="12"/>
      <c r="I37" t="s">
        <v>2293</v>
      </c>
      <c r="J37" t="s">
        <v>2393</v>
      </c>
      <c r="K37" s="12">
        <v>46087</v>
      </c>
      <c r="L37" t="s">
        <v>2295</v>
      </c>
      <c r="M37" t="s">
        <v>2296</v>
      </c>
      <c r="N37" t="s">
        <v>2335</v>
      </c>
      <c r="O37" t="s">
        <v>2302</v>
      </c>
      <c r="P37" t="s">
        <v>2299</v>
      </c>
      <c r="Q37" t="s">
        <v>1636</v>
      </c>
      <c r="R37" t="s">
        <v>944</v>
      </c>
      <c r="S37">
        <v>1</v>
      </c>
      <c r="T37">
        <v>2330</v>
      </c>
      <c r="U37" t="s">
        <v>2394</v>
      </c>
    </row>
    <row r="38" spans="3:21">
      <c r="C38" s="12"/>
      <c r="I38" t="s">
        <v>2293</v>
      </c>
      <c r="J38" t="s">
        <v>2395</v>
      </c>
      <c r="K38" s="12">
        <v>46087</v>
      </c>
      <c r="L38" t="s">
        <v>2295</v>
      </c>
      <c r="M38" t="s">
        <v>2296</v>
      </c>
      <c r="N38" t="s">
        <v>2335</v>
      </c>
      <c r="O38" t="s">
        <v>2302</v>
      </c>
      <c r="P38" t="s">
        <v>2299</v>
      </c>
      <c r="Q38" t="s">
        <v>1636</v>
      </c>
      <c r="R38" t="s">
        <v>944</v>
      </c>
      <c r="S38">
        <v>1</v>
      </c>
      <c r="T38">
        <v>2330</v>
      </c>
      <c r="U38" t="s">
        <v>2396</v>
      </c>
    </row>
    <row r="39" spans="3:21">
      <c r="C39" s="12"/>
      <c r="I39" t="s">
        <v>2293</v>
      </c>
      <c r="J39" t="s">
        <v>2397</v>
      </c>
      <c r="K39" s="12">
        <v>46087</v>
      </c>
      <c r="L39" t="s">
        <v>2295</v>
      </c>
      <c r="M39" t="s">
        <v>2296</v>
      </c>
      <c r="N39" t="s">
        <v>2335</v>
      </c>
      <c r="O39" t="s">
        <v>2302</v>
      </c>
      <c r="P39" t="s">
        <v>2299</v>
      </c>
      <c r="Q39" t="s">
        <v>1636</v>
      </c>
      <c r="R39" t="s">
        <v>944</v>
      </c>
      <c r="S39">
        <v>1</v>
      </c>
      <c r="T39">
        <v>2330</v>
      </c>
      <c r="U39" t="s">
        <v>2398</v>
      </c>
    </row>
    <row r="40" spans="3:21">
      <c r="C40" s="12"/>
      <c r="I40" t="s">
        <v>2293</v>
      </c>
      <c r="J40" t="s">
        <v>2427</v>
      </c>
      <c r="K40" s="12">
        <v>46087</v>
      </c>
      <c r="L40" t="s">
        <v>2295</v>
      </c>
      <c r="M40" t="s">
        <v>2296</v>
      </c>
      <c r="N40" t="s">
        <v>2335</v>
      </c>
      <c r="O40" t="s">
        <v>2302</v>
      </c>
      <c r="P40" t="s">
        <v>2299</v>
      </c>
      <c r="Q40" t="s">
        <v>144</v>
      </c>
      <c r="R40" t="s">
        <v>719</v>
      </c>
      <c r="S40">
        <v>1</v>
      </c>
      <c r="T40">
        <v>898</v>
      </c>
      <c r="U40" t="s">
        <v>2428</v>
      </c>
    </row>
    <row r="41" spans="3:21">
      <c r="C41" s="12"/>
      <c r="I41" t="s">
        <v>2293</v>
      </c>
      <c r="J41" t="s">
        <v>2324</v>
      </c>
      <c r="K41" s="12">
        <v>46088</v>
      </c>
      <c r="L41" t="s">
        <v>2295</v>
      </c>
      <c r="M41" t="s">
        <v>2296</v>
      </c>
      <c r="N41" t="s">
        <v>2325</v>
      </c>
      <c r="O41" t="s">
        <v>2302</v>
      </c>
      <c r="P41" t="s">
        <v>2299</v>
      </c>
      <c r="Q41" t="s">
        <v>1636</v>
      </c>
      <c r="R41" t="s">
        <v>791</v>
      </c>
      <c r="S41">
        <v>1</v>
      </c>
      <c r="T41">
        <v>598</v>
      </c>
      <c r="U41" t="s">
        <v>2326</v>
      </c>
    </row>
    <row r="42" spans="3:21">
      <c r="C42" s="12"/>
      <c r="I42" t="s">
        <v>2293</v>
      </c>
      <c r="J42" t="s">
        <v>2343</v>
      </c>
      <c r="K42" s="12">
        <v>46088</v>
      </c>
      <c r="L42" t="s">
        <v>2295</v>
      </c>
      <c r="M42" t="s">
        <v>2296</v>
      </c>
      <c r="N42" t="s">
        <v>2325</v>
      </c>
      <c r="O42" t="s">
        <v>2302</v>
      </c>
      <c r="P42" t="s">
        <v>2299</v>
      </c>
      <c r="Q42" t="s">
        <v>1636</v>
      </c>
      <c r="R42" t="s">
        <v>724</v>
      </c>
      <c r="S42">
        <v>1</v>
      </c>
      <c r="T42">
        <v>1288</v>
      </c>
      <c r="U42" t="s">
        <v>2344</v>
      </c>
    </row>
    <row r="43" spans="3:21">
      <c r="C43" s="12"/>
      <c r="I43" t="s">
        <v>2293</v>
      </c>
      <c r="J43" t="s">
        <v>2354</v>
      </c>
      <c r="K43" s="12">
        <v>46088</v>
      </c>
      <c r="L43" t="s">
        <v>2295</v>
      </c>
      <c r="M43" t="s">
        <v>2296</v>
      </c>
      <c r="N43" t="s">
        <v>2325</v>
      </c>
      <c r="O43" t="s">
        <v>2302</v>
      </c>
      <c r="P43" t="s">
        <v>2299</v>
      </c>
      <c r="Q43" t="s">
        <v>1636</v>
      </c>
      <c r="R43" t="s">
        <v>861</v>
      </c>
      <c r="S43">
        <v>1</v>
      </c>
      <c r="T43">
        <v>3278</v>
      </c>
      <c r="U43" t="s">
        <v>2355</v>
      </c>
    </row>
    <row r="44" spans="3:21">
      <c r="C44" s="12"/>
      <c r="I44" t="s">
        <v>2293</v>
      </c>
      <c r="J44" t="s">
        <v>2356</v>
      </c>
      <c r="K44" s="12">
        <v>46088</v>
      </c>
      <c r="L44" t="s">
        <v>2295</v>
      </c>
      <c r="M44" t="s">
        <v>2296</v>
      </c>
      <c r="N44" t="s">
        <v>2325</v>
      </c>
      <c r="O44" t="s">
        <v>2302</v>
      </c>
      <c r="P44" t="s">
        <v>2299</v>
      </c>
      <c r="Q44" t="s">
        <v>1636</v>
      </c>
      <c r="R44" t="s">
        <v>861</v>
      </c>
      <c r="S44">
        <v>1</v>
      </c>
      <c r="T44">
        <v>3278</v>
      </c>
      <c r="U44" t="s">
        <v>2357</v>
      </c>
    </row>
    <row r="45" spans="3:21">
      <c r="C45" s="12"/>
      <c r="I45" t="s">
        <v>2293</v>
      </c>
      <c r="J45" t="s">
        <v>2358</v>
      </c>
      <c r="K45" s="12">
        <v>46088</v>
      </c>
      <c r="L45" t="s">
        <v>2295</v>
      </c>
      <c r="M45" t="s">
        <v>2296</v>
      </c>
      <c r="N45" t="s">
        <v>2325</v>
      </c>
      <c r="O45" t="s">
        <v>2302</v>
      </c>
      <c r="P45" t="s">
        <v>2299</v>
      </c>
      <c r="Q45" t="s">
        <v>1636</v>
      </c>
      <c r="R45" t="s">
        <v>861</v>
      </c>
      <c r="S45">
        <v>1</v>
      </c>
      <c r="T45">
        <v>3278</v>
      </c>
      <c r="U45" t="s">
        <v>2359</v>
      </c>
    </row>
    <row r="46" spans="3:21">
      <c r="C46" s="12"/>
      <c r="I46" t="s">
        <v>2293</v>
      </c>
      <c r="J46" t="s">
        <v>2387</v>
      </c>
      <c r="K46" s="12">
        <v>46088</v>
      </c>
      <c r="L46" t="s">
        <v>2295</v>
      </c>
      <c r="M46" t="s">
        <v>2296</v>
      </c>
      <c r="N46" t="s">
        <v>2325</v>
      </c>
      <c r="O46" t="s">
        <v>2302</v>
      </c>
      <c r="P46" t="s">
        <v>2299</v>
      </c>
      <c r="Q46" t="s">
        <v>1636</v>
      </c>
      <c r="R46" t="s">
        <v>944</v>
      </c>
      <c r="S46">
        <v>1</v>
      </c>
      <c r="T46">
        <v>2330</v>
      </c>
      <c r="U46" t="s">
        <v>2389</v>
      </c>
    </row>
    <row r="47" spans="3:21">
      <c r="C47" s="12"/>
      <c r="I47" t="s">
        <v>2293</v>
      </c>
      <c r="J47" t="s">
        <v>2388</v>
      </c>
      <c r="K47" s="12">
        <v>46088</v>
      </c>
      <c r="L47" t="s">
        <v>2295</v>
      </c>
      <c r="M47" t="s">
        <v>2296</v>
      </c>
      <c r="N47" t="s">
        <v>2325</v>
      </c>
      <c r="O47" t="s">
        <v>2302</v>
      </c>
      <c r="P47" t="s">
        <v>2299</v>
      </c>
      <c r="Q47" t="s">
        <v>1636</v>
      </c>
      <c r="R47" t="s">
        <v>944</v>
      </c>
      <c r="S47">
        <v>1</v>
      </c>
      <c r="T47">
        <v>2330</v>
      </c>
      <c r="U47" t="s">
        <v>2391</v>
      </c>
    </row>
    <row r="48" spans="3:21">
      <c r="C48" s="12"/>
      <c r="I48" t="s">
        <v>2293</v>
      </c>
      <c r="J48" t="s">
        <v>2390</v>
      </c>
      <c r="K48" s="12">
        <v>46088</v>
      </c>
      <c r="L48" t="s">
        <v>2295</v>
      </c>
      <c r="M48" t="s">
        <v>2296</v>
      </c>
      <c r="N48" t="s">
        <v>2325</v>
      </c>
      <c r="O48" t="s">
        <v>2302</v>
      </c>
      <c r="P48" t="s">
        <v>2299</v>
      </c>
      <c r="Q48" t="s">
        <v>1636</v>
      </c>
      <c r="R48" t="s">
        <v>944</v>
      </c>
      <c r="S48">
        <v>1</v>
      </c>
      <c r="T48">
        <v>2330</v>
      </c>
      <c r="U48" t="s">
        <v>2392</v>
      </c>
    </row>
    <row r="49" spans="3:21">
      <c r="C49" s="12"/>
      <c r="I49" t="s">
        <v>2293</v>
      </c>
      <c r="J49" t="s">
        <v>2429</v>
      </c>
      <c r="K49" s="12">
        <v>46088</v>
      </c>
      <c r="L49" t="s">
        <v>2295</v>
      </c>
      <c r="M49" t="s">
        <v>2296</v>
      </c>
      <c r="N49" t="s">
        <v>2325</v>
      </c>
      <c r="O49" t="s">
        <v>2302</v>
      </c>
      <c r="P49" t="s">
        <v>2299</v>
      </c>
      <c r="Q49" t="s">
        <v>144</v>
      </c>
      <c r="R49" t="s">
        <v>793</v>
      </c>
      <c r="S49">
        <v>1</v>
      </c>
      <c r="T49">
        <v>388</v>
      </c>
      <c r="U49" t="s">
        <v>2430</v>
      </c>
    </row>
    <row r="50" spans="3:21">
      <c r="C50" s="12"/>
      <c r="I50" t="s">
        <v>2293</v>
      </c>
      <c r="J50" t="s">
        <v>2431</v>
      </c>
      <c r="K50" s="12">
        <v>46088</v>
      </c>
      <c r="L50" t="s">
        <v>2295</v>
      </c>
      <c r="M50" t="s">
        <v>2296</v>
      </c>
      <c r="N50" t="s">
        <v>2325</v>
      </c>
      <c r="O50" t="s">
        <v>2302</v>
      </c>
      <c r="P50" t="s">
        <v>2299</v>
      </c>
      <c r="Q50" t="s">
        <v>144</v>
      </c>
      <c r="R50" t="s">
        <v>910</v>
      </c>
      <c r="S50">
        <v>1</v>
      </c>
      <c r="T50">
        <v>308</v>
      </c>
      <c r="U50" t="s">
        <v>2432</v>
      </c>
    </row>
    <row r="51" spans="3:21">
      <c r="C51" s="12"/>
      <c r="I51" t="s">
        <v>2293</v>
      </c>
      <c r="J51" t="s">
        <v>2433</v>
      </c>
      <c r="K51" s="12">
        <v>46088</v>
      </c>
      <c r="L51" t="s">
        <v>2295</v>
      </c>
      <c r="M51" t="s">
        <v>2296</v>
      </c>
      <c r="N51" t="s">
        <v>2325</v>
      </c>
      <c r="O51" t="s">
        <v>2302</v>
      </c>
      <c r="P51" t="s">
        <v>2299</v>
      </c>
      <c r="Q51" t="s">
        <v>144</v>
      </c>
      <c r="R51" t="s">
        <v>471</v>
      </c>
      <c r="S51">
        <v>1</v>
      </c>
      <c r="T51">
        <v>2230</v>
      </c>
      <c r="U51" t="s">
        <v>2434</v>
      </c>
    </row>
    <row r="52" spans="3:21">
      <c r="C52" s="12"/>
      <c r="I52" t="s">
        <v>2293</v>
      </c>
      <c r="J52" t="s">
        <v>2435</v>
      </c>
      <c r="K52" s="12">
        <v>46088</v>
      </c>
      <c r="L52" t="s">
        <v>2295</v>
      </c>
      <c r="M52" t="s">
        <v>2296</v>
      </c>
      <c r="N52" t="s">
        <v>2325</v>
      </c>
      <c r="O52" t="s">
        <v>2302</v>
      </c>
      <c r="P52" t="s">
        <v>2299</v>
      </c>
      <c r="Q52" t="s">
        <v>144</v>
      </c>
      <c r="R52" t="s">
        <v>471</v>
      </c>
      <c r="S52">
        <v>1</v>
      </c>
      <c r="T52">
        <v>2230</v>
      </c>
      <c r="U52" t="s">
        <v>2436</v>
      </c>
    </row>
    <row r="53" spans="3:21">
      <c r="C53" s="12"/>
      <c r="I53" t="s">
        <v>2293</v>
      </c>
      <c r="J53" t="s">
        <v>2437</v>
      </c>
      <c r="K53" s="12">
        <v>46088</v>
      </c>
      <c r="L53" t="s">
        <v>2295</v>
      </c>
      <c r="M53" t="s">
        <v>2296</v>
      </c>
      <c r="N53" t="s">
        <v>2325</v>
      </c>
      <c r="O53" t="s">
        <v>2302</v>
      </c>
      <c r="P53" t="s">
        <v>2299</v>
      </c>
      <c r="Q53" t="s">
        <v>144</v>
      </c>
      <c r="R53" t="s">
        <v>815</v>
      </c>
      <c r="S53">
        <v>1</v>
      </c>
      <c r="T53">
        <v>2870</v>
      </c>
      <c r="U53" t="s">
        <v>2438</v>
      </c>
    </row>
    <row r="54" spans="3:21">
      <c r="C54" s="12"/>
      <c r="I54" t="s">
        <v>2293</v>
      </c>
      <c r="J54" t="s">
        <v>2332</v>
      </c>
      <c r="K54" s="12">
        <v>46089</v>
      </c>
      <c r="L54" t="s">
        <v>2295</v>
      </c>
      <c r="M54" t="s">
        <v>2296</v>
      </c>
      <c r="N54" t="s">
        <v>2298</v>
      </c>
      <c r="O54" t="s">
        <v>2302</v>
      </c>
      <c r="P54" t="s">
        <v>2299</v>
      </c>
      <c r="Q54" t="s">
        <v>1636</v>
      </c>
      <c r="R54" t="s">
        <v>727</v>
      </c>
      <c r="S54">
        <v>1</v>
      </c>
      <c r="T54">
        <v>3490</v>
      </c>
      <c r="U54" t="s">
        <v>2333</v>
      </c>
    </row>
    <row r="55" spans="3:21">
      <c r="C55" s="12"/>
      <c r="I55" t="s">
        <v>2293</v>
      </c>
      <c r="J55" t="s">
        <v>2339</v>
      </c>
      <c r="K55" s="12">
        <v>46089</v>
      </c>
      <c r="L55" t="s">
        <v>2295</v>
      </c>
      <c r="M55" t="s">
        <v>2296</v>
      </c>
      <c r="N55" t="s">
        <v>2298</v>
      </c>
      <c r="O55" t="s">
        <v>2302</v>
      </c>
      <c r="P55" t="s">
        <v>2299</v>
      </c>
      <c r="Q55" t="s">
        <v>1636</v>
      </c>
      <c r="R55" t="s">
        <v>1007</v>
      </c>
      <c r="S55">
        <v>1</v>
      </c>
      <c r="T55">
        <v>918</v>
      </c>
      <c r="U55" t="s">
        <v>2340</v>
      </c>
    </row>
    <row r="56" spans="3:21">
      <c r="I56" t="s">
        <v>2293</v>
      </c>
      <c r="J56" t="s">
        <v>2349</v>
      </c>
      <c r="K56" s="12">
        <v>46089</v>
      </c>
      <c r="L56" t="s">
        <v>2295</v>
      </c>
      <c r="M56" t="s">
        <v>2296</v>
      </c>
      <c r="N56" t="s">
        <v>2298</v>
      </c>
      <c r="O56" t="s">
        <v>2302</v>
      </c>
      <c r="P56" t="s">
        <v>2299</v>
      </c>
      <c r="Q56" t="s">
        <v>1636</v>
      </c>
      <c r="R56" t="s">
        <v>861</v>
      </c>
      <c r="S56">
        <v>1</v>
      </c>
      <c r="T56">
        <v>3278</v>
      </c>
      <c r="U56" t="s">
        <v>2351</v>
      </c>
    </row>
    <row r="57" spans="3:21">
      <c r="I57" t="s">
        <v>2293</v>
      </c>
      <c r="J57" t="s">
        <v>2350</v>
      </c>
      <c r="K57" s="12">
        <v>46089</v>
      </c>
      <c r="L57" t="s">
        <v>2295</v>
      </c>
      <c r="M57" t="s">
        <v>2296</v>
      </c>
      <c r="N57" t="s">
        <v>2298</v>
      </c>
      <c r="O57" t="s">
        <v>2302</v>
      </c>
      <c r="P57" t="s">
        <v>2299</v>
      </c>
      <c r="Q57" t="s">
        <v>1636</v>
      </c>
      <c r="R57" t="s">
        <v>861</v>
      </c>
      <c r="S57">
        <v>1</v>
      </c>
      <c r="T57">
        <v>3278</v>
      </c>
      <c r="U57" t="s">
        <v>2353</v>
      </c>
    </row>
    <row r="58" spans="3:21">
      <c r="I58" t="s">
        <v>2293</v>
      </c>
      <c r="J58" t="s">
        <v>2352</v>
      </c>
      <c r="K58" s="12">
        <v>46089</v>
      </c>
      <c r="L58" t="s">
        <v>2295</v>
      </c>
      <c r="M58" t="s">
        <v>2296</v>
      </c>
      <c r="N58" t="s">
        <v>2298</v>
      </c>
      <c r="O58" t="s">
        <v>2302</v>
      </c>
      <c r="P58" t="s">
        <v>2299</v>
      </c>
      <c r="Q58" t="s">
        <v>1636</v>
      </c>
      <c r="R58" t="s">
        <v>944</v>
      </c>
      <c r="S58">
        <v>1</v>
      </c>
      <c r="T58">
        <v>2330</v>
      </c>
      <c r="U58" t="s">
        <v>2381</v>
      </c>
    </row>
    <row r="59" spans="3:21">
      <c r="I59" t="s">
        <v>2293</v>
      </c>
      <c r="J59" t="s">
        <v>2380</v>
      </c>
      <c r="K59" s="12">
        <v>46089</v>
      </c>
      <c r="L59" t="s">
        <v>2295</v>
      </c>
      <c r="M59" t="s">
        <v>2296</v>
      </c>
      <c r="N59" t="s">
        <v>2298</v>
      </c>
      <c r="O59" t="s">
        <v>2302</v>
      </c>
      <c r="P59" t="s">
        <v>2299</v>
      </c>
      <c r="Q59" t="s">
        <v>1636</v>
      </c>
      <c r="R59" t="s">
        <v>944</v>
      </c>
      <c r="S59">
        <v>1</v>
      </c>
      <c r="T59">
        <v>2330</v>
      </c>
      <c r="U59" t="s">
        <v>2382</v>
      </c>
    </row>
    <row r="60" spans="3:21">
      <c r="I60" t="s">
        <v>2293</v>
      </c>
      <c r="J60" t="s">
        <v>2383</v>
      </c>
      <c r="K60" s="12">
        <v>46089</v>
      </c>
      <c r="L60" t="s">
        <v>2295</v>
      </c>
      <c r="M60" t="s">
        <v>2296</v>
      </c>
      <c r="N60" t="s">
        <v>2298</v>
      </c>
      <c r="O60" t="s">
        <v>2302</v>
      </c>
      <c r="P60" t="s">
        <v>2299</v>
      </c>
      <c r="Q60" t="s">
        <v>1636</v>
      </c>
      <c r="R60" t="s">
        <v>944</v>
      </c>
      <c r="S60">
        <v>1</v>
      </c>
      <c r="T60">
        <v>2330</v>
      </c>
      <c r="U60" t="s">
        <v>2385</v>
      </c>
    </row>
    <row r="61" spans="3:21">
      <c r="I61" t="s">
        <v>2293</v>
      </c>
      <c r="J61" t="s">
        <v>2384</v>
      </c>
      <c r="K61" s="12">
        <v>46089</v>
      </c>
      <c r="L61" t="s">
        <v>2295</v>
      </c>
      <c r="M61" t="s">
        <v>2296</v>
      </c>
      <c r="N61" t="s">
        <v>2298</v>
      </c>
      <c r="O61" t="s">
        <v>2302</v>
      </c>
      <c r="P61" t="s">
        <v>2299</v>
      </c>
      <c r="Q61" t="s">
        <v>1636</v>
      </c>
      <c r="R61" t="s">
        <v>944</v>
      </c>
      <c r="S61">
        <v>1</v>
      </c>
      <c r="T61">
        <v>2330</v>
      </c>
      <c r="U61" t="s">
        <v>2386</v>
      </c>
    </row>
    <row r="62" spans="3:21">
      <c r="I62" t="s">
        <v>2293</v>
      </c>
      <c r="J62" t="s">
        <v>2439</v>
      </c>
      <c r="K62" s="12">
        <v>46089</v>
      </c>
      <c r="L62" t="s">
        <v>2295</v>
      </c>
      <c r="M62" t="s">
        <v>2296</v>
      </c>
      <c r="N62" t="s">
        <v>2298</v>
      </c>
      <c r="O62" t="s">
        <v>2302</v>
      </c>
      <c r="P62" t="s">
        <v>2299</v>
      </c>
      <c r="Q62" t="s">
        <v>144</v>
      </c>
      <c r="R62" t="s">
        <v>698</v>
      </c>
      <c r="S62">
        <v>1</v>
      </c>
      <c r="T62">
        <v>788</v>
      </c>
      <c r="U62" t="s">
        <v>2440</v>
      </c>
    </row>
    <row r="63" spans="3:21">
      <c r="I63" t="s">
        <v>2293</v>
      </c>
      <c r="J63" t="s">
        <v>2441</v>
      </c>
      <c r="K63" s="12">
        <v>46089</v>
      </c>
      <c r="L63" t="s">
        <v>2295</v>
      </c>
      <c r="M63" t="s">
        <v>2296</v>
      </c>
      <c r="N63" t="s">
        <v>2298</v>
      </c>
      <c r="O63" t="s">
        <v>2302</v>
      </c>
      <c r="P63" t="s">
        <v>2299</v>
      </c>
      <c r="Q63" t="s">
        <v>144</v>
      </c>
      <c r="R63" t="s">
        <v>448</v>
      </c>
      <c r="S63">
        <v>1</v>
      </c>
      <c r="T63">
        <v>798</v>
      </c>
      <c r="U63" t="s">
        <v>2442</v>
      </c>
    </row>
    <row r="64" spans="3:21">
      <c r="I64" t="s">
        <v>2293</v>
      </c>
      <c r="J64" t="s">
        <v>2443</v>
      </c>
      <c r="K64" s="12">
        <v>46089</v>
      </c>
      <c r="L64" t="s">
        <v>2295</v>
      </c>
      <c r="M64" t="s">
        <v>2296</v>
      </c>
      <c r="N64" t="s">
        <v>2298</v>
      </c>
      <c r="O64" t="s">
        <v>2302</v>
      </c>
      <c r="P64" t="s">
        <v>2299</v>
      </c>
      <c r="Q64" t="s">
        <v>144</v>
      </c>
      <c r="R64" t="s">
        <v>852</v>
      </c>
      <c r="S64">
        <v>1</v>
      </c>
      <c r="T64">
        <v>1618</v>
      </c>
      <c r="U64" t="s">
        <v>2444</v>
      </c>
    </row>
    <row r="65" spans="9:21">
      <c r="I65" t="s">
        <v>2293</v>
      </c>
      <c r="J65" t="s">
        <v>2445</v>
      </c>
      <c r="K65" s="12">
        <v>46089</v>
      </c>
      <c r="L65" t="s">
        <v>2295</v>
      </c>
      <c r="M65" t="s">
        <v>2296</v>
      </c>
      <c r="N65" t="s">
        <v>2298</v>
      </c>
      <c r="O65" t="s">
        <v>2302</v>
      </c>
      <c r="P65" t="s">
        <v>2299</v>
      </c>
      <c r="Q65" t="s">
        <v>144</v>
      </c>
      <c r="R65" t="s">
        <v>461</v>
      </c>
      <c r="S65">
        <v>1</v>
      </c>
      <c r="T65">
        <v>548</v>
      </c>
      <c r="U65" t="s">
        <v>2446</v>
      </c>
    </row>
    <row r="66" spans="9:21">
      <c r="I66" t="s">
        <v>2293</v>
      </c>
      <c r="J66" t="s">
        <v>2447</v>
      </c>
      <c r="K66" s="12">
        <v>46089</v>
      </c>
      <c r="L66" t="s">
        <v>2295</v>
      </c>
      <c r="M66" t="s">
        <v>2296</v>
      </c>
      <c r="N66" t="s">
        <v>2298</v>
      </c>
      <c r="O66" t="s">
        <v>2302</v>
      </c>
      <c r="P66" t="s">
        <v>2299</v>
      </c>
      <c r="Q66" t="s">
        <v>144</v>
      </c>
      <c r="R66" t="s">
        <v>910</v>
      </c>
      <c r="S66">
        <v>1</v>
      </c>
      <c r="T66">
        <v>308</v>
      </c>
      <c r="U66" t="s">
        <v>2448</v>
      </c>
    </row>
    <row r="67" spans="9:21">
      <c r="I67" t="s">
        <v>2293</v>
      </c>
      <c r="J67" t="s">
        <v>2339</v>
      </c>
      <c r="K67" s="12">
        <v>46089</v>
      </c>
      <c r="L67" t="s">
        <v>2295</v>
      </c>
      <c r="M67" t="s">
        <v>2296</v>
      </c>
      <c r="N67" t="s">
        <v>2298</v>
      </c>
      <c r="O67" t="s">
        <v>2302</v>
      </c>
      <c r="P67" t="s">
        <v>2299</v>
      </c>
      <c r="Q67" t="s">
        <v>1636</v>
      </c>
      <c r="R67" t="s">
        <v>507</v>
      </c>
      <c r="S67">
        <v>1</v>
      </c>
      <c r="T67">
        <v>888</v>
      </c>
      <c r="U67" t="s">
        <v>2340</v>
      </c>
    </row>
    <row r="68" spans="9:21">
      <c r="I68" t="s">
        <v>2293</v>
      </c>
      <c r="J68" t="s">
        <v>2453</v>
      </c>
      <c r="K68" s="12">
        <v>46089</v>
      </c>
      <c r="L68" t="s">
        <v>2295</v>
      </c>
      <c r="M68" t="s">
        <v>2296</v>
      </c>
      <c r="N68" t="s">
        <v>2298</v>
      </c>
      <c r="O68" t="s">
        <v>2302</v>
      </c>
      <c r="P68" t="s">
        <v>2299</v>
      </c>
      <c r="Q68" t="s">
        <v>1636</v>
      </c>
      <c r="R68" t="s">
        <v>507</v>
      </c>
      <c r="S68">
        <v>1</v>
      </c>
      <c r="T68">
        <v>888</v>
      </c>
      <c r="U68" t="s">
        <v>2454</v>
      </c>
    </row>
    <row r="69" spans="9:21">
      <c r="I69" t="s">
        <v>2293</v>
      </c>
      <c r="J69" t="s">
        <v>2301</v>
      </c>
      <c r="K69" s="12">
        <v>46090</v>
      </c>
      <c r="L69" t="s">
        <v>2295</v>
      </c>
      <c r="M69" t="s">
        <v>2296</v>
      </c>
      <c r="N69" t="s">
        <v>2302</v>
      </c>
      <c r="O69" t="s">
        <v>2303</v>
      </c>
      <c r="P69" t="s">
        <v>2299</v>
      </c>
      <c r="Q69" t="s">
        <v>1636</v>
      </c>
      <c r="R69" t="s">
        <v>991</v>
      </c>
      <c r="S69">
        <v>1</v>
      </c>
      <c r="T69">
        <v>13450</v>
      </c>
      <c r="U69" t="s">
        <v>2304</v>
      </c>
    </row>
    <row r="70" spans="9:21">
      <c r="I70" t="s">
        <v>2293</v>
      </c>
      <c r="J70" t="s">
        <v>2330</v>
      </c>
      <c r="K70" s="12">
        <v>46090</v>
      </c>
      <c r="L70" t="s">
        <v>2295</v>
      </c>
      <c r="M70" t="s">
        <v>2296</v>
      </c>
      <c r="N70" t="s">
        <v>2302</v>
      </c>
      <c r="O70" t="s">
        <v>2303</v>
      </c>
      <c r="P70" t="s">
        <v>2299</v>
      </c>
      <c r="Q70" t="s">
        <v>1636</v>
      </c>
      <c r="R70" t="s">
        <v>707</v>
      </c>
      <c r="S70">
        <v>1</v>
      </c>
      <c r="T70">
        <v>1950</v>
      </c>
      <c r="U70" t="s">
        <v>2331</v>
      </c>
    </row>
    <row r="71" spans="9:21">
      <c r="I71" t="s">
        <v>2293</v>
      </c>
      <c r="J71" t="s">
        <v>2341</v>
      </c>
      <c r="K71" s="12">
        <v>46090</v>
      </c>
      <c r="L71" t="s">
        <v>2295</v>
      </c>
      <c r="M71" t="s">
        <v>2296</v>
      </c>
      <c r="N71" t="s">
        <v>2302</v>
      </c>
      <c r="O71" t="s">
        <v>2303</v>
      </c>
      <c r="P71" t="s">
        <v>2299</v>
      </c>
      <c r="Q71" t="s">
        <v>1636</v>
      </c>
      <c r="R71" t="s">
        <v>1122</v>
      </c>
      <c r="S71">
        <v>1</v>
      </c>
      <c r="T71">
        <v>718</v>
      </c>
      <c r="U71" t="s">
        <v>2342</v>
      </c>
    </row>
    <row r="72" spans="9:21">
      <c r="I72" t="s">
        <v>2293</v>
      </c>
      <c r="J72" t="s">
        <v>2345</v>
      </c>
      <c r="K72" s="12">
        <v>46090</v>
      </c>
      <c r="L72" t="s">
        <v>2295</v>
      </c>
      <c r="M72" t="s">
        <v>2296</v>
      </c>
      <c r="N72" t="s">
        <v>2302</v>
      </c>
      <c r="O72" t="s">
        <v>2303</v>
      </c>
      <c r="P72" t="s">
        <v>2299</v>
      </c>
      <c r="Q72" t="s">
        <v>1636</v>
      </c>
      <c r="R72" t="s">
        <v>861</v>
      </c>
      <c r="S72">
        <v>1</v>
      </c>
      <c r="T72">
        <v>3278</v>
      </c>
      <c r="U72" t="s">
        <v>2346</v>
      </c>
    </row>
    <row r="73" spans="9:21">
      <c r="I73" t="s">
        <v>2293</v>
      </c>
      <c r="J73" t="s">
        <v>2347</v>
      </c>
      <c r="K73" s="12">
        <v>46090</v>
      </c>
      <c r="L73" t="s">
        <v>2295</v>
      </c>
      <c r="M73" t="s">
        <v>2296</v>
      </c>
      <c r="N73" t="s">
        <v>2302</v>
      </c>
      <c r="O73" t="s">
        <v>2303</v>
      </c>
      <c r="P73" t="s">
        <v>2299</v>
      </c>
      <c r="Q73" t="s">
        <v>1636</v>
      </c>
      <c r="R73" t="s">
        <v>861</v>
      </c>
      <c r="S73">
        <v>1</v>
      </c>
      <c r="T73">
        <v>3278</v>
      </c>
      <c r="U73" t="s">
        <v>2348</v>
      </c>
    </row>
    <row r="74" spans="9:21">
      <c r="I74" t="s">
        <v>2293</v>
      </c>
      <c r="J74" t="s">
        <v>2372</v>
      </c>
      <c r="K74" s="12">
        <v>46090</v>
      </c>
      <c r="L74" t="s">
        <v>2295</v>
      </c>
      <c r="M74" t="s">
        <v>2296</v>
      </c>
      <c r="N74" t="s">
        <v>2302</v>
      </c>
      <c r="O74" t="s">
        <v>2303</v>
      </c>
      <c r="P74" t="s">
        <v>2299</v>
      </c>
      <c r="Q74" t="s">
        <v>1636</v>
      </c>
      <c r="R74" t="s">
        <v>944</v>
      </c>
      <c r="S74">
        <v>1</v>
      </c>
      <c r="T74">
        <v>2330</v>
      </c>
      <c r="U74" t="s">
        <v>2373</v>
      </c>
    </row>
    <row r="75" spans="9:21">
      <c r="I75" t="s">
        <v>2293</v>
      </c>
      <c r="J75" t="s">
        <v>2374</v>
      </c>
      <c r="K75" s="12">
        <v>46090</v>
      </c>
      <c r="L75" t="s">
        <v>2295</v>
      </c>
      <c r="M75" t="s">
        <v>2296</v>
      </c>
      <c r="N75" t="s">
        <v>2302</v>
      </c>
      <c r="O75" t="s">
        <v>2303</v>
      </c>
      <c r="P75" t="s">
        <v>2299</v>
      </c>
      <c r="Q75" t="s">
        <v>1636</v>
      </c>
      <c r="R75" t="s">
        <v>944</v>
      </c>
      <c r="S75">
        <v>1</v>
      </c>
      <c r="T75">
        <v>2330</v>
      </c>
      <c r="U75" t="s">
        <v>2375</v>
      </c>
    </row>
    <row r="76" spans="9:21">
      <c r="I76" t="s">
        <v>2293</v>
      </c>
      <c r="J76" t="s">
        <v>2376</v>
      </c>
      <c r="K76" s="12">
        <v>46090</v>
      </c>
      <c r="L76" t="s">
        <v>2295</v>
      </c>
      <c r="M76" t="s">
        <v>2296</v>
      </c>
      <c r="N76" t="s">
        <v>2302</v>
      </c>
      <c r="O76" t="s">
        <v>2303</v>
      </c>
      <c r="P76" t="s">
        <v>2299</v>
      </c>
      <c r="Q76" t="s">
        <v>1636</v>
      </c>
      <c r="R76" t="s">
        <v>944</v>
      </c>
      <c r="S76">
        <v>1</v>
      </c>
      <c r="T76">
        <v>2330</v>
      </c>
      <c r="U76" t="s">
        <v>2377</v>
      </c>
    </row>
    <row r="77" spans="9:21">
      <c r="I77" t="s">
        <v>2293</v>
      </c>
      <c r="J77" t="s">
        <v>2378</v>
      </c>
      <c r="K77" s="12">
        <v>46090</v>
      </c>
      <c r="L77" t="s">
        <v>2295</v>
      </c>
      <c r="M77" t="s">
        <v>2296</v>
      </c>
      <c r="N77" t="s">
        <v>2302</v>
      </c>
      <c r="O77" t="s">
        <v>2303</v>
      </c>
      <c r="P77" t="s">
        <v>2299</v>
      </c>
      <c r="Q77" t="s">
        <v>1636</v>
      </c>
      <c r="R77" t="s">
        <v>944</v>
      </c>
      <c r="S77">
        <v>1</v>
      </c>
      <c r="T77">
        <v>2330</v>
      </c>
      <c r="U77" t="s">
        <v>2379</v>
      </c>
    </row>
    <row r="78" spans="9:21">
      <c r="I78" t="s">
        <v>2293</v>
      </c>
      <c r="J78" t="s">
        <v>2449</v>
      </c>
      <c r="K78" s="12">
        <v>46090</v>
      </c>
      <c r="L78" t="s">
        <v>2295</v>
      </c>
      <c r="M78" t="s">
        <v>2296</v>
      </c>
      <c r="N78" t="s">
        <v>2302</v>
      </c>
      <c r="O78" t="s">
        <v>2303</v>
      </c>
      <c r="P78" t="s">
        <v>2299</v>
      </c>
      <c r="Q78" t="s">
        <v>144</v>
      </c>
      <c r="R78" t="s">
        <v>464</v>
      </c>
      <c r="S78">
        <v>1</v>
      </c>
      <c r="T78">
        <v>788</v>
      </c>
      <c r="U78" t="s">
        <v>2450</v>
      </c>
    </row>
    <row r="79" spans="9:21">
      <c r="I79" t="s">
        <v>2293</v>
      </c>
      <c r="J79" t="s">
        <v>2451</v>
      </c>
      <c r="K79" s="12">
        <v>46090</v>
      </c>
      <c r="L79" t="s">
        <v>2295</v>
      </c>
      <c r="M79" t="s">
        <v>2296</v>
      </c>
      <c r="N79" t="s">
        <v>2302</v>
      </c>
      <c r="O79" t="s">
        <v>2303</v>
      </c>
      <c r="P79" t="s">
        <v>2299</v>
      </c>
      <c r="Q79" t="s">
        <v>144</v>
      </c>
      <c r="R79" t="s">
        <v>852</v>
      </c>
      <c r="S79">
        <v>1</v>
      </c>
      <c r="T79">
        <v>1618</v>
      </c>
      <c r="U79" t="s">
        <v>2452</v>
      </c>
    </row>
  </sheetData>
  <autoFilter ref="I1:U79" xr:uid="{1904FB9C-0836-4061-9A67-586280671F28}">
    <sortState xmlns:xlrd2="http://schemas.microsoft.com/office/spreadsheetml/2017/richdata2" ref="I2:U79">
      <sortCondition ref="K1:K79"/>
    </sortState>
  </autoFilter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"/>
  <dimension ref="A1:I12"/>
  <sheetViews>
    <sheetView workbookViewId="0"/>
  </sheetViews>
  <sheetFormatPr defaultColWidth="9" defaultRowHeight="15.75"/>
  <cols>
    <col min="1" max="2" width="7.85546875" customWidth="1"/>
    <col min="3" max="3" width="13.140625" customWidth="1"/>
    <col min="4" max="4" width="9.42578125" customWidth="1"/>
    <col min="5" max="6" width="13" style="12" customWidth="1"/>
    <col min="7" max="7" width="22.85546875" customWidth="1"/>
    <col min="8" max="8" width="13" customWidth="1"/>
    <col min="9" max="9" width="7.42578125" customWidth="1"/>
  </cols>
  <sheetData>
    <row r="1" spans="1:9">
      <c r="A1" s="2" t="s">
        <v>8</v>
      </c>
      <c r="B1" s="2" t="s">
        <v>9</v>
      </c>
      <c r="C1" s="2" t="s">
        <v>602</v>
      </c>
      <c r="D1" s="2" t="s">
        <v>11</v>
      </c>
      <c r="E1" s="5" t="s">
        <v>12</v>
      </c>
      <c r="F1" s="5" t="s">
        <v>14</v>
      </c>
      <c r="G1" s="2" t="s">
        <v>603</v>
      </c>
      <c r="H1" s="2" t="s">
        <v>604</v>
      </c>
      <c r="I1" s="2" t="s">
        <v>601</v>
      </c>
    </row>
    <row r="2" spans="1:9">
      <c r="A2" s="2" t="s">
        <v>605</v>
      </c>
      <c r="B2" s="2" t="s">
        <v>606</v>
      </c>
      <c r="C2" s="2" t="s">
        <v>607</v>
      </c>
      <c r="D2" s="2">
        <f>MONTH(E2)</f>
        <v>7</v>
      </c>
      <c r="E2" s="3">
        <v>44013</v>
      </c>
      <c r="F2" s="5" t="e">
        <f>VLOOKUP(G2&amp;"*",#REF!,2,0)</f>
        <v>#REF!</v>
      </c>
      <c r="G2" s="2" t="s">
        <v>252</v>
      </c>
      <c r="H2" s="2">
        <v>1</v>
      </c>
      <c r="I2" s="2">
        <v>2358</v>
      </c>
    </row>
    <row r="3" spans="1:9">
      <c r="A3" s="2" t="s">
        <v>605</v>
      </c>
      <c r="B3" s="2" t="s">
        <v>606</v>
      </c>
      <c r="C3" s="2" t="s">
        <v>607</v>
      </c>
      <c r="D3" s="2">
        <f>MONTH(E3)</f>
        <v>7</v>
      </c>
      <c r="E3" s="3">
        <v>44013</v>
      </c>
      <c r="F3" s="5" t="e">
        <f>VLOOKUP(G3&amp;"*",#REF!,2,0)</f>
        <v>#REF!</v>
      </c>
      <c r="G3" s="2" t="s">
        <v>608</v>
      </c>
      <c r="H3" s="2">
        <v>1</v>
      </c>
      <c r="I3" s="2">
        <v>871</v>
      </c>
    </row>
    <row r="4" spans="1:9">
      <c r="A4" s="2" t="s">
        <v>605</v>
      </c>
      <c r="B4" s="2" t="s">
        <v>606</v>
      </c>
      <c r="C4" s="2" t="s">
        <v>607</v>
      </c>
      <c r="D4" s="2">
        <f>MONTH(E4)</f>
        <v>7</v>
      </c>
      <c r="E4" s="3">
        <v>44013</v>
      </c>
      <c r="F4" s="5" t="e">
        <f>VLOOKUP(G4&amp;"*",#REF!,2,0)</f>
        <v>#REF!</v>
      </c>
      <c r="G4" s="2" t="s">
        <v>49</v>
      </c>
      <c r="H4" s="2">
        <v>1</v>
      </c>
      <c r="I4" s="2">
        <v>3211</v>
      </c>
    </row>
    <row r="5" spans="1:9">
      <c r="A5" s="2" t="s">
        <v>605</v>
      </c>
      <c r="B5" s="2" t="s">
        <v>606</v>
      </c>
      <c r="C5" s="2" t="s">
        <v>607</v>
      </c>
      <c r="D5" s="2">
        <f>MONTH(E5)</f>
        <v>7</v>
      </c>
      <c r="E5" s="3">
        <v>44013</v>
      </c>
      <c r="F5" s="5" t="e">
        <f>VLOOKUP(G5&amp;"*",#REF!,2,0)</f>
        <v>#REF!</v>
      </c>
      <c r="G5" s="2" t="s">
        <v>252</v>
      </c>
      <c r="H5" s="2">
        <v>1</v>
      </c>
      <c r="I5" s="2">
        <v>2358</v>
      </c>
    </row>
    <row r="6" spans="1:9">
      <c r="A6" s="2" t="s">
        <v>605</v>
      </c>
      <c r="B6" s="2" t="s">
        <v>606</v>
      </c>
      <c r="C6" s="2" t="s">
        <v>607</v>
      </c>
      <c r="D6" s="2">
        <f t="shared" ref="D6:D12" si="0">MONTH(E6)</f>
        <v>7</v>
      </c>
      <c r="E6" s="3">
        <v>44015</v>
      </c>
      <c r="F6" s="5" t="e">
        <f>VLOOKUP(G6&amp;"*",#REF!,2,0)</f>
        <v>#REF!</v>
      </c>
      <c r="G6" s="2" t="s">
        <v>252</v>
      </c>
      <c r="H6" s="2">
        <v>1</v>
      </c>
      <c r="I6" s="2">
        <v>2358</v>
      </c>
    </row>
    <row r="7" spans="1:9">
      <c r="A7" s="2" t="s">
        <v>605</v>
      </c>
      <c r="B7" s="2" t="s">
        <v>606</v>
      </c>
      <c r="C7" s="2" t="s">
        <v>607</v>
      </c>
      <c r="D7" s="2">
        <f t="shared" si="0"/>
        <v>7</v>
      </c>
      <c r="E7" s="3">
        <v>44015</v>
      </c>
      <c r="F7" s="5" t="e">
        <f>VLOOKUP(G7&amp;"*",#REF!,2,0)</f>
        <v>#REF!</v>
      </c>
      <c r="G7" s="2" t="s">
        <v>252</v>
      </c>
      <c r="H7" s="2">
        <v>1</v>
      </c>
      <c r="I7" s="2">
        <v>2358</v>
      </c>
    </row>
    <row r="8" spans="1:9">
      <c r="A8" s="2" t="s">
        <v>605</v>
      </c>
      <c r="B8" s="2" t="s">
        <v>606</v>
      </c>
      <c r="C8" s="2" t="s">
        <v>607</v>
      </c>
      <c r="D8" s="2">
        <f t="shared" si="0"/>
        <v>7</v>
      </c>
      <c r="E8" s="3">
        <v>44016</v>
      </c>
      <c r="F8" s="5" t="e">
        <f>VLOOKUP(G8&amp;"*",#REF!,2,0)</f>
        <v>#REF!</v>
      </c>
      <c r="G8" s="2" t="s">
        <v>252</v>
      </c>
      <c r="H8" s="2">
        <v>1</v>
      </c>
      <c r="I8" s="2">
        <v>2358</v>
      </c>
    </row>
    <row r="9" spans="1:9">
      <c r="A9" s="2" t="s">
        <v>605</v>
      </c>
      <c r="B9" s="2" t="s">
        <v>606</v>
      </c>
      <c r="C9" s="2" t="s">
        <v>607</v>
      </c>
      <c r="D9" s="2">
        <f t="shared" si="0"/>
        <v>7</v>
      </c>
      <c r="E9" s="3">
        <v>44017</v>
      </c>
      <c r="F9" s="5" t="e">
        <f>VLOOKUP(G9&amp;"*",#REF!,2,0)</f>
        <v>#REF!</v>
      </c>
      <c r="G9" s="2" t="s">
        <v>252</v>
      </c>
      <c r="H9" s="2">
        <v>1</v>
      </c>
      <c r="I9" s="2">
        <v>2358</v>
      </c>
    </row>
    <row r="10" spans="1:9">
      <c r="A10" s="2" t="s">
        <v>605</v>
      </c>
      <c r="B10" s="2" t="s">
        <v>606</v>
      </c>
      <c r="C10" s="2" t="s">
        <v>607</v>
      </c>
      <c r="D10" s="2">
        <f t="shared" si="0"/>
        <v>7</v>
      </c>
      <c r="E10" s="3">
        <v>44017</v>
      </c>
      <c r="F10" s="5" t="e">
        <f>VLOOKUP(G10&amp;"*",#REF!,2,0)</f>
        <v>#REF!</v>
      </c>
      <c r="G10" s="2" t="s">
        <v>609</v>
      </c>
      <c r="H10" s="2">
        <v>1</v>
      </c>
      <c r="I10" s="2">
        <v>698</v>
      </c>
    </row>
    <row r="11" spans="1:9">
      <c r="A11" s="2" t="s">
        <v>605</v>
      </c>
      <c r="B11" s="2" t="s">
        <v>606</v>
      </c>
      <c r="C11" s="2" t="s">
        <v>607</v>
      </c>
      <c r="D11" s="2">
        <f t="shared" si="0"/>
        <v>7</v>
      </c>
      <c r="E11" s="3">
        <v>44017</v>
      </c>
      <c r="F11" s="5" t="e">
        <f>VLOOKUP(G11&amp;"*",#REF!,2,0)</f>
        <v>#REF!</v>
      </c>
      <c r="G11" s="2" t="s">
        <v>252</v>
      </c>
      <c r="H11" s="2">
        <v>1</v>
      </c>
      <c r="I11" s="2">
        <v>2358</v>
      </c>
    </row>
    <row r="12" spans="1:9">
      <c r="A12" s="2" t="s">
        <v>605</v>
      </c>
      <c r="B12" s="2" t="s">
        <v>606</v>
      </c>
      <c r="C12" s="2" t="s">
        <v>607</v>
      </c>
      <c r="D12" s="2">
        <f t="shared" si="0"/>
        <v>7</v>
      </c>
      <c r="E12" s="3">
        <v>44017</v>
      </c>
      <c r="F12" s="5" t="e">
        <f>VLOOKUP(G12&amp;"*",#REF!,2,0)</f>
        <v>#REF!</v>
      </c>
      <c r="G12" s="2" t="s">
        <v>252</v>
      </c>
      <c r="H12" s="2">
        <v>1</v>
      </c>
      <c r="I12" s="2">
        <v>2358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3"/>
  <dimension ref="A1:I92"/>
  <sheetViews>
    <sheetView workbookViewId="0"/>
  </sheetViews>
  <sheetFormatPr defaultColWidth="7.42578125" defaultRowHeight="15"/>
  <cols>
    <col min="1" max="1" width="10.42578125" style="7" customWidth="1"/>
    <col min="2" max="2" width="12" style="7" customWidth="1"/>
    <col min="3" max="3" width="13.140625" style="7" customWidth="1"/>
    <col min="4" max="4" width="9.42578125" style="7" customWidth="1"/>
    <col min="5" max="5" width="8.42578125" style="11" customWidth="1"/>
    <col min="6" max="6" width="19.42578125" style="11" customWidth="1"/>
    <col min="7" max="7" width="19.140625" style="7" customWidth="1"/>
    <col min="8" max="8" width="11.42578125" style="7" customWidth="1"/>
    <col min="9" max="9" width="7.42578125" style="7" customWidth="1"/>
    <col min="10" max="16384" width="7.42578125" style="7"/>
  </cols>
  <sheetData>
    <row r="1" spans="1:9" ht="15.75">
      <c r="A1" s="2" t="s">
        <v>8</v>
      </c>
      <c r="B1" s="2" t="s">
        <v>9</v>
      </c>
      <c r="C1" s="2" t="s">
        <v>602</v>
      </c>
      <c r="D1" s="2" t="s">
        <v>11</v>
      </c>
      <c r="E1" s="5" t="s">
        <v>12</v>
      </c>
      <c r="F1" s="5" t="s">
        <v>14</v>
      </c>
      <c r="G1" s="2" t="s">
        <v>603</v>
      </c>
      <c r="H1" s="2" t="s">
        <v>604</v>
      </c>
      <c r="I1" s="2" t="s">
        <v>601</v>
      </c>
    </row>
    <row r="2" spans="1:9" ht="15.75">
      <c r="A2" s="7" t="s">
        <v>25</v>
      </c>
      <c r="B2" s="7" t="s">
        <v>37</v>
      </c>
      <c r="C2" s="7" t="s">
        <v>6</v>
      </c>
      <c r="D2" s="7">
        <f>MONTH(E2)</f>
        <v>7</v>
      </c>
      <c r="E2" s="11">
        <v>44015</v>
      </c>
      <c r="F2" s="5" t="e">
        <f>VLOOKUP(G2&amp;"*",#REF!,2,0)</f>
        <v>#REF!</v>
      </c>
      <c r="G2" s="7" t="s">
        <v>313</v>
      </c>
      <c r="H2" s="7">
        <v>1</v>
      </c>
      <c r="I2" s="7">
        <v>2498</v>
      </c>
    </row>
    <row r="3" spans="1:9" ht="15.75">
      <c r="A3" s="7" t="s">
        <v>25</v>
      </c>
      <c r="B3" s="7" t="s">
        <v>37</v>
      </c>
      <c r="C3" s="7" t="s">
        <v>6</v>
      </c>
      <c r="D3" s="7">
        <f t="shared" ref="D3:D39" si="0">MONTH(E3)</f>
        <v>7</v>
      </c>
      <c r="E3" s="11">
        <v>44015</v>
      </c>
      <c r="F3" s="5" t="e">
        <f>VLOOKUP(G3&amp;"*",#REF!,2,0)</f>
        <v>#REF!</v>
      </c>
      <c r="G3" s="7" t="s">
        <v>320</v>
      </c>
      <c r="H3" s="7">
        <v>1</v>
      </c>
      <c r="I3" s="7">
        <v>3199</v>
      </c>
    </row>
    <row r="4" spans="1:9" ht="15.75">
      <c r="A4" s="7" t="s">
        <v>25</v>
      </c>
      <c r="B4" s="7" t="s">
        <v>37</v>
      </c>
      <c r="C4" s="7" t="s">
        <v>6</v>
      </c>
      <c r="D4" s="7">
        <f t="shared" si="0"/>
        <v>7</v>
      </c>
      <c r="E4" s="11">
        <v>44015</v>
      </c>
      <c r="F4" s="5" t="e">
        <f>VLOOKUP(G4&amp;"*",#REF!,2,0)</f>
        <v>#REF!</v>
      </c>
      <c r="G4" s="7" t="s">
        <v>335</v>
      </c>
      <c r="H4" s="7">
        <v>1</v>
      </c>
      <c r="I4" s="7">
        <v>4780</v>
      </c>
    </row>
    <row r="5" spans="1:9" ht="15.75">
      <c r="A5" s="7" t="s">
        <v>25</v>
      </c>
      <c r="B5" s="7" t="s">
        <v>37</v>
      </c>
      <c r="C5" s="7" t="s">
        <v>6</v>
      </c>
      <c r="D5" s="7">
        <f t="shared" si="0"/>
        <v>7</v>
      </c>
      <c r="E5" s="11">
        <v>44015</v>
      </c>
      <c r="F5" s="5" t="e">
        <f>VLOOKUP(G5&amp;"*",#REF!,2,0)</f>
        <v>#REF!</v>
      </c>
      <c r="G5" s="7" t="s">
        <v>320</v>
      </c>
      <c r="H5" s="7">
        <v>1</v>
      </c>
      <c r="I5" s="7">
        <v>3199</v>
      </c>
    </row>
    <row r="6" spans="1:9" ht="15.75">
      <c r="A6" s="7" t="s">
        <v>25</v>
      </c>
      <c r="B6" s="7" t="s">
        <v>37</v>
      </c>
      <c r="C6" s="7" t="s">
        <v>6</v>
      </c>
      <c r="D6" s="7">
        <f t="shared" si="0"/>
        <v>7</v>
      </c>
      <c r="E6" s="11">
        <v>44016</v>
      </c>
      <c r="F6" s="5" t="e">
        <f>VLOOKUP(G6&amp;"*",#REF!,2,0)</f>
        <v>#REF!</v>
      </c>
      <c r="G6" s="7" t="s">
        <v>247</v>
      </c>
      <c r="H6" s="7">
        <v>1</v>
      </c>
      <c r="I6" s="7">
        <v>295</v>
      </c>
    </row>
    <row r="7" spans="1:9" ht="15.75">
      <c r="A7" s="7" t="s">
        <v>25</v>
      </c>
      <c r="B7" s="7" t="s">
        <v>37</v>
      </c>
      <c r="C7" s="7" t="s">
        <v>6</v>
      </c>
      <c r="D7" s="7">
        <f t="shared" si="0"/>
        <v>7</v>
      </c>
      <c r="E7" s="11">
        <v>44016</v>
      </c>
      <c r="F7" s="5" t="e">
        <f>VLOOKUP(G7&amp;"*",#REF!,2,0)</f>
        <v>#REF!</v>
      </c>
      <c r="G7" s="7" t="s">
        <v>610</v>
      </c>
      <c r="H7" s="7">
        <v>1</v>
      </c>
      <c r="I7" s="7">
        <v>2180</v>
      </c>
    </row>
    <row r="8" spans="1:9" ht="15.75">
      <c r="A8" s="7" t="s">
        <v>25</v>
      </c>
      <c r="B8" s="7" t="s">
        <v>37</v>
      </c>
      <c r="C8" s="7" t="s">
        <v>6</v>
      </c>
      <c r="D8" s="7">
        <f t="shared" si="0"/>
        <v>7</v>
      </c>
      <c r="E8" s="11">
        <v>44016</v>
      </c>
      <c r="F8" s="5" t="e">
        <f>VLOOKUP(G8&amp;"*",#REF!,2,0)</f>
        <v>#REF!</v>
      </c>
      <c r="G8" s="7" t="s">
        <v>611</v>
      </c>
      <c r="H8" s="7">
        <v>1</v>
      </c>
      <c r="I8" s="7">
        <v>1880</v>
      </c>
    </row>
    <row r="9" spans="1:9" ht="15.75">
      <c r="A9" s="7" t="s">
        <v>25</v>
      </c>
      <c r="B9" s="7" t="s">
        <v>37</v>
      </c>
      <c r="C9" s="7" t="s">
        <v>6</v>
      </c>
      <c r="D9" s="7">
        <f t="shared" si="0"/>
        <v>7</v>
      </c>
      <c r="E9" s="11">
        <v>44016</v>
      </c>
      <c r="F9" s="5" t="e">
        <f>VLOOKUP(G9&amp;"*",#REF!,2,0)</f>
        <v>#REF!</v>
      </c>
      <c r="G9" s="7" t="s">
        <v>611</v>
      </c>
      <c r="H9" s="7">
        <v>1</v>
      </c>
      <c r="I9" s="7">
        <v>2000</v>
      </c>
    </row>
    <row r="10" spans="1:9" ht="15.75">
      <c r="A10" s="7" t="s">
        <v>25</v>
      </c>
      <c r="B10" s="7" t="s">
        <v>37</v>
      </c>
      <c r="C10" s="7" t="s">
        <v>6</v>
      </c>
      <c r="D10" s="7">
        <f t="shared" si="0"/>
        <v>7</v>
      </c>
      <c r="E10" s="11">
        <v>44016</v>
      </c>
      <c r="F10" s="5" t="e">
        <f>VLOOKUP(G10&amp;"*",#REF!,2,0)</f>
        <v>#REF!</v>
      </c>
      <c r="G10" s="7" t="s">
        <v>612</v>
      </c>
      <c r="H10" s="7">
        <v>1</v>
      </c>
      <c r="I10" s="7">
        <v>2980</v>
      </c>
    </row>
    <row r="11" spans="1:9" ht="15.75">
      <c r="A11" s="7" t="s">
        <v>25</v>
      </c>
      <c r="B11" s="7" t="s">
        <v>37</v>
      </c>
      <c r="C11" s="7" t="s">
        <v>6</v>
      </c>
      <c r="D11" s="7">
        <f t="shared" si="0"/>
        <v>7</v>
      </c>
      <c r="E11" s="11">
        <v>44016</v>
      </c>
      <c r="F11" s="5" t="e">
        <f>VLOOKUP(G11&amp;"*",#REF!,2,0)</f>
        <v>#REF!</v>
      </c>
      <c r="G11" s="7" t="s">
        <v>51</v>
      </c>
      <c r="H11" s="7">
        <v>1</v>
      </c>
      <c r="I11" s="7">
        <v>2380</v>
      </c>
    </row>
    <row r="12" spans="1:9" ht="15.75">
      <c r="A12" s="7" t="s">
        <v>25</v>
      </c>
      <c r="B12" s="7" t="s">
        <v>37</v>
      </c>
      <c r="C12" s="7" t="s">
        <v>6</v>
      </c>
      <c r="D12" s="7">
        <f t="shared" si="0"/>
        <v>7</v>
      </c>
      <c r="E12" s="11">
        <v>44017</v>
      </c>
      <c r="F12" s="5" t="e">
        <f>VLOOKUP(G12&amp;"*",#REF!,2,0)</f>
        <v>#REF!</v>
      </c>
      <c r="G12" s="7" t="s">
        <v>613</v>
      </c>
      <c r="H12" s="7">
        <v>1</v>
      </c>
      <c r="I12" s="7">
        <v>780</v>
      </c>
    </row>
    <row r="13" spans="1:9" ht="15.75">
      <c r="A13" s="7" t="s">
        <v>25</v>
      </c>
      <c r="B13" s="7" t="s">
        <v>37</v>
      </c>
      <c r="C13" s="7" t="s">
        <v>6</v>
      </c>
      <c r="D13" s="7">
        <f t="shared" si="0"/>
        <v>7</v>
      </c>
      <c r="E13" s="11">
        <v>44017</v>
      </c>
      <c r="F13" s="5" t="e">
        <f>VLOOKUP(G13&amp;"*",#REF!,2,0)</f>
        <v>#REF!</v>
      </c>
      <c r="G13" s="7" t="s">
        <v>613</v>
      </c>
      <c r="H13" s="7">
        <v>1</v>
      </c>
      <c r="I13" s="7">
        <v>780</v>
      </c>
    </row>
    <row r="14" spans="1:9" ht="15.75">
      <c r="A14" s="7" t="s">
        <v>25</v>
      </c>
      <c r="B14" s="7" t="s">
        <v>37</v>
      </c>
      <c r="C14" s="7" t="s">
        <v>6</v>
      </c>
      <c r="D14" s="7">
        <f t="shared" si="0"/>
        <v>7</v>
      </c>
      <c r="E14" s="11">
        <v>44017</v>
      </c>
      <c r="F14" s="5" t="e">
        <f>VLOOKUP(G14&amp;"*",#REF!,2,0)</f>
        <v>#REF!</v>
      </c>
      <c r="G14" s="7" t="s">
        <v>610</v>
      </c>
      <c r="H14" s="7">
        <v>1</v>
      </c>
      <c r="I14" s="7">
        <v>2180</v>
      </c>
    </row>
    <row r="15" spans="1:9" ht="15.75">
      <c r="A15" s="7" t="s">
        <v>25</v>
      </c>
      <c r="B15" s="7" t="s">
        <v>37</v>
      </c>
      <c r="C15" s="7" t="s">
        <v>6</v>
      </c>
      <c r="D15" s="7">
        <f t="shared" si="0"/>
        <v>7</v>
      </c>
      <c r="E15" s="11">
        <v>44017</v>
      </c>
      <c r="F15" s="5" t="e">
        <f>VLOOKUP(G15&amp;"*",#REF!,2,0)</f>
        <v>#REF!</v>
      </c>
      <c r="G15" s="7" t="s">
        <v>50</v>
      </c>
      <c r="H15" s="7">
        <v>1</v>
      </c>
      <c r="I15" s="7">
        <v>3890</v>
      </c>
    </row>
    <row r="16" spans="1:9" ht="15.75">
      <c r="A16" s="7" t="s">
        <v>25</v>
      </c>
      <c r="B16" s="7" t="s">
        <v>37</v>
      </c>
      <c r="C16" s="7" t="s">
        <v>6</v>
      </c>
      <c r="D16" s="7">
        <f t="shared" si="0"/>
        <v>7</v>
      </c>
      <c r="E16" s="11">
        <v>44017</v>
      </c>
      <c r="F16" s="5" t="e">
        <f>VLOOKUP(G16&amp;"*",#REF!,2,0)</f>
        <v>#REF!</v>
      </c>
      <c r="G16" s="7" t="s">
        <v>247</v>
      </c>
      <c r="H16" s="7">
        <v>1</v>
      </c>
      <c r="I16" s="7">
        <v>295</v>
      </c>
    </row>
    <row r="17" spans="1:9" ht="15.75">
      <c r="A17" s="7" t="s">
        <v>25</v>
      </c>
      <c r="B17" s="7" t="s">
        <v>37</v>
      </c>
      <c r="C17" s="7" t="s">
        <v>6</v>
      </c>
      <c r="D17" s="7">
        <f t="shared" si="0"/>
        <v>7</v>
      </c>
      <c r="E17" s="11">
        <v>44017</v>
      </c>
      <c r="F17" s="5" t="e">
        <f>VLOOKUP(G17&amp;"*",#REF!,2,0)</f>
        <v>#REF!</v>
      </c>
      <c r="G17" s="7" t="s">
        <v>611</v>
      </c>
      <c r="H17" s="7">
        <v>1</v>
      </c>
      <c r="I17" s="7">
        <v>2210</v>
      </c>
    </row>
    <row r="18" spans="1:9" ht="15.75">
      <c r="A18" s="7" t="s">
        <v>25</v>
      </c>
      <c r="B18" s="7" t="s">
        <v>37</v>
      </c>
      <c r="C18" s="7" t="s">
        <v>6</v>
      </c>
      <c r="D18" s="7">
        <f t="shared" si="0"/>
        <v>7</v>
      </c>
      <c r="E18" s="11">
        <v>44017</v>
      </c>
      <c r="F18" s="5" t="e">
        <f>VLOOKUP(G18&amp;"*",#REF!,2,0)</f>
        <v>#REF!</v>
      </c>
      <c r="G18" s="7" t="s">
        <v>611</v>
      </c>
      <c r="H18" s="7">
        <v>1</v>
      </c>
      <c r="I18" s="7">
        <v>2210</v>
      </c>
    </row>
    <row r="19" spans="1:9" ht="15.75">
      <c r="A19" s="7" t="s">
        <v>25</v>
      </c>
      <c r="B19" s="7" t="s">
        <v>37</v>
      </c>
      <c r="C19" s="7" t="s">
        <v>6</v>
      </c>
      <c r="D19" s="7">
        <f t="shared" si="0"/>
        <v>7</v>
      </c>
      <c r="E19" s="11">
        <v>44017</v>
      </c>
      <c r="F19" s="5" t="e">
        <f>VLOOKUP(G19&amp;"*",#REF!,2,0)</f>
        <v>#REF!</v>
      </c>
      <c r="G19" s="7" t="s">
        <v>614</v>
      </c>
      <c r="H19" s="7">
        <v>1</v>
      </c>
      <c r="I19" s="7">
        <v>638</v>
      </c>
    </row>
    <row r="20" spans="1:9" ht="15.75">
      <c r="A20" s="7" t="s">
        <v>25</v>
      </c>
      <c r="B20" s="7" t="s">
        <v>615</v>
      </c>
      <c r="C20" s="7" t="s">
        <v>616</v>
      </c>
      <c r="D20" s="7">
        <f t="shared" si="0"/>
        <v>7</v>
      </c>
      <c r="E20" s="11">
        <v>44015</v>
      </c>
      <c r="F20" s="5" t="e">
        <f>VLOOKUP(G20&amp;"*",#REF!,2,0)</f>
        <v>#REF!</v>
      </c>
      <c r="G20" s="7" t="s">
        <v>464</v>
      </c>
      <c r="H20" s="7">
        <v>1</v>
      </c>
      <c r="I20" s="7">
        <v>1040</v>
      </c>
    </row>
    <row r="21" spans="1:9" ht="15.75">
      <c r="A21" s="7" t="s">
        <v>25</v>
      </c>
      <c r="B21" s="7" t="s">
        <v>615</v>
      </c>
      <c r="C21" s="7" t="s">
        <v>616</v>
      </c>
      <c r="D21" s="7">
        <f t="shared" si="0"/>
        <v>7</v>
      </c>
      <c r="E21" s="11">
        <v>44015</v>
      </c>
      <c r="F21" s="5" t="e">
        <f>VLOOKUP(G21&amp;"*",#REF!,2,0)</f>
        <v>#REF!</v>
      </c>
      <c r="G21" s="7" t="s">
        <v>414</v>
      </c>
      <c r="H21" s="7">
        <v>1</v>
      </c>
      <c r="I21" s="7">
        <v>718</v>
      </c>
    </row>
    <row r="22" spans="1:9" ht="15.75">
      <c r="A22" s="7" t="s">
        <v>25</v>
      </c>
      <c r="B22" s="7" t="s">
        <v>615</v>
      </c>
      <c r="C22" s="7" t="s">
        <v>616</v>
      </c>
      <c r="D22" s="7">
        <f t="shared" si="0"/>
        <v>7</v>
      </c>
      <c r="E22" s="11">
        <v>44015</v>
      </c>
      <c r="F22" s="5" t="e">
        <f>VLOOKUP(G22&amp;"*",#REF!,2,0)</f>
        <v>#REF!</v>
      </c>
      <c r="G22" s="7" t="s">
        <v>611</v>
      </c>
      <c r="H22" s="7">
        <v>1</v>
      </c>
      <c r="I22" s="7">
        <v>2360</v>
      </c>
    </row>
    <row r="23" spans="1:9" ht="15.75">
      <c r="A23" s="7" t="s">
        <v>25</v>
      </c>
      <c r="B23" s="7" t="s">
        <v>615</v>
      </c>
      <c r="C23" s="7" t="s">
        <v>616</v>
      </c>
      <c r="D23" s="7">
        <f t="shared" si="0"/>
        <v>7</v>
      </c>
      <c r="E23" s="11">
        <v>44015</v>
      </c>
      <c r="F23" s="5" t="e">
        <f>VLOOKUP(G23&amp;"*",#REF!,2,0)</f>
        <v>#REF!</v>
      </c>
      <c r="G23" s="7" t="s">
        <v>614</v>
      </c>
      <c r="H23" s="7">
        <v>1</v>
      </c>
      <c r="I23" s="7">
        <v>540</v>
      </c>
    </row>
    <row r="24" spans="1:9" ht="15.75">
      <c r="A24" s="7" t="s">
        <v>25</v>
      </c>
      <c r="B24" s="7" t="s">
        <v>615</v>
      </c>
      <c r="C24" s="7" t="s">
        <v>616</v>
      </c>
      <c r="D24" s="7">
        <f t="shared" si="0"/>
        <v>7</v>
      </c>
      <c r="E24" s="11">
        <v>44015</v>
      </c>
      <c r="F24" s="5" t="e">
        <f>VLOOKUP(G24&amp;"*",#REF!,2,0)</f>
        <v>#REF!</v>
      </c>
      <c r="G24" s="7" t="s">
        <v>617</v>
      </c>
      <c r="H24" s="7">
        <v>1</v>
      </c>
      <c r="I24" s="7">
        <v>557</v>
      </c>
    </row>
    <row r="25" spans="1:9" ht="15.75">
      <c r="A25" s="7" t="s">
        <v>25</v>
      </c>
      <c r="B25" s="7" t="s">
        <v>615</v>
      </c>
      <c r="C25" s="7" t="s">
        <v>616</v>
      </c>
      <c r="D25" s="7">
        <f t="shared" si="0"/>
        <v>7</v>
      </c>
      <c r="E25" s="11">
        <v>44016</v>
      </c>
      <c r="F25" s="5" t="e">
        <f>VLOOKUP(G25&amp;"*",#REF!,2,0)</f>
        <v>#REF!</v>
      </c>
      <c r="G25" s="7" t="s">
        <v>611</v>
      </c>
      <c r="H25" s="7">
        <v>1</v>
      </c>
      <c r="I25" s="7">
        <v>2410</v>
      </c>
    </row>
    <row r="26" spans="1:9" ht="15.75">
      <c r="A26" s="7" t="s">
        <v>25</v>
      </c>
      <c r="B26" s="7" t="s">
        <v>615</v>
      </c>
      <c r="C26" s="7" t="s">
        <v>616</v>
      </c>
      <c r="D26" s="7">
        <f t="shared" si="0"/>
        <v>7</v>
      </c>
      <c r="E26" s="11">
        <v>44016</v>
      </c>
      <c r="F26" s="5" t="e">
        <f>VLOOKUP(G26&amp;"*",#REF!,2,0)</f>
        <v>#REF!</v>
      </c>
      <c r="G26" s="7" t="s">
        <v>612</v>
      </c>
      <c r="H26" s="7">
        <v>1</v>
      </c>
      <c r="I26" s="7">
        <v>3180</v>
      </c>
    </row>
    <row r="27" spans="1:9" ht="15.75">
      <c r="A27" s="7" t="s">
        <v>25</v>
      </c>
      <c r="B27" s="7" t="s">
        <v>615</v>
      </c>
      <c r="C27" s="7" t="s">
        <v>616</v>
      </c>
      <c r="D27" s="7">
        <f t="shared" si="0"/>
        <v>7</v>
      </c>
      <c r="E27" s="11">
        <v>44016</v>
      </c>
      <c r="F27" s="5" t="e">
        <f>VLOOKUP(G27&amp;"*",#REF!,2,0)</f>
        <v>#REF!</v>
      </c>
      <c r="G27" s="7" t="s">
        <v>618</v>
      </c>
      <c r="H27" s="7">
        <v>1</v>
      </c>
      <c r="I27" s="7">
        <v>652</v>
      </c>
    </row>
    <row r="28" spans="1:9" ht="15.75">
      <c r="A28" s="7" t="s">
        <v>25</v>
      </c>
      <c r="B28" s="7" t="s">
        <v>615</v>
      </c>
      <c r="C28" s="7" t="s">
        <v>616</v>
      </c>
      <c r="D28" s="7">
        <f t="shared" si="0"/>
        <v>7</v>
      </c>
      <c r="E28" s="11">
        <v>44016</v>
      </c>
      <c r="F28" s="5" t="e">
        <f>VLOOKUP(G28&amp;"*",#REF!,2,0)</f>
        <v>#REF!</v>
      </c>
      <c r="G28" s="7" t="s">
        <v>611</v>
      </c>
      <c r="H28" s="7">
        <v>1</v>
      </c>
      <c r="I28" s="7">
        <v>2410</v>
      </c>
    </row>
    <row r="29" spans="1:9" ht="15.75">
      <c r="A29" s="7" t="s">
        <v>25</v>
      </c>
      <c r="B29" s="7" t="s">
        <v>615</v>
      </c>
      <c r="C29" s="7" t="s">
        <v>616</v>
      </c>
      <c r="D29" s="7">
        <f t="shared" si="0"/>
        <v>7</v>
      </c>
      <c r="E29" s="11">
        <v>44016</v>
      </c>
      <c r="F29" s="5" t="e">
        <f>VLOOKUP(G29&amp;"*",#REF!,2,0)</f>
        <v>#REF!</v>
      </c>
      <c r="G29" s="7" t="s">
        <v>464</v>
      </c>
      <c r="H29" s="7">
        <v>1</v>
      </c>
      <c r="I29" s="7">
        <v>1040</v>
      </c>
    </row>
    <row r="30" spans="1:9" ht="15.75">
      <c r="A30" s="7" t="s">
        <v>25</v>
      </c>
      <c r="B30" s="7" t="s">
        <v>615</v>
      </c>
      <c r="C30" s="7" t="s">
        <v>616</v>
      </c>
      <c r="D30" s="7">
        <f t="shared" si="0"/>
        <v>7</v>
      </c>
      <c r="E30" s="11">
        <v>44016</v>
      </c>
      <c r="F30" s="5" t="e">
        <f>VLOOKUP(G30&amp;"*",#REF!,2,0)</f>
        <v>#REF!</v>
      </c>
      <c r="G30" s="7" t="s">
        <v>614</v>
      </c>
      <c r="H30" s="7">
        <v>1</v>
      </c>
      <c r="I30" s="7">
        <v>540</v>
      </c>
    </row>
    <row r="31" spans="1:9" ht="15.75">
      <c r="A31" s="7" t="s">
        <v>25</v>
      </c>
      <c r="B31" s="7" t="s">
        <v>615</v>
      </c>
      <c r="C31" s="7" t="s">
        <v>616</v>
      </c>
      <c r="D31" s="7">
        <f t="shared" si="0"/>
        <v>7</v>
      </c>
      <c r="E31" s="11">
        <v>44017</v>
      </c>
      <c r="F31" s="5" t="e">
        <f>VLOOKUP(G31&amp;"*",#REF!,2,0)</f>
        <v>#REF!</v>
      </c>
      <c r="G31" s="7" t="s">
        <v>316</v>
      </c>
      <c r="H31" s="7">
        <v>1</v>
      </c>
      <c r="I31" s="7">
        <v>3020</v>
      </c>
    </row>
    <row r="32" spans="1:9" ht="15.75">
      <c r="A32" s="7" t="s">
        <v>25</v>
      </c>
      <c r="B32" s="7" t="s">
        <v>615</v>
      </c>
      <c r="C32" s="7" t="s">
        <v>616</v>
      </c>
      <c r="D32" s="7">
        <f t="shared" si="0"/>
        <v>7</v>
      </c>
      <c r="E32" s="11">
        <v>44017</v>
      </c>
      <c r="F32" s="5" t="e">
        <f>VLOOKUP(G32&amp;"*",#REF!,2,0)</f>
        <v>#REF!</v>
      </c>
      <c r="G32" s="7" t="s">
        <v>611</v>
      </c>
      <c r="H32" s="7">
        <v>1</v>
      </c>
      <c r="I32" s="7">
        <v>2410</v>
      </c>
    </row>
    <row r="33" spans="1:9" ht="15.75">
      <c r="A33" s="7" t="s">
        <v>25</v>
      </c>
      <c r="B33" s="7" t="s">
        <v>615</v>
      </c>
      <c r="C33" s="7" t="s">
        <v>616</v>
      </c>
      <c r="D33" s="7">
        <f t="shared" si="0"/>
        <v>7</v>
      </c>
      <c r="E33" s="11">
        <v>44017</v>
      </c>
      <c r="F33" s="5" t="e">
        <f>VLOOKUP(G33&amp;"*",#REF!,2,0)</f>
        <v>#REF!</v>
      </c>
      <c r="G33" s="7" t="s">
        <v>320</v>
      </c>
      <c r="H33" s="7">
        <v>1</v>
      </c>
      <c r="I33" s="7">
        <v>3200</v>
      </c>
    </row>
    <row r="34" spans="1:9" ht="15.75">
      <c r="A34" s="7" t="s">
        <v>25</v>
      </c>
      <c r="B34" s="7" t="s">
        <v>615</v>
      </c>
      <c r="C34" s="7" t="s">
        <v>616</v>
      </c>
      <c r="D34" s="7">
        <f t="shared" si="0"/>
        <v>7</v>
      </c>
      <c r="E34" s="11">
        <v>44017</v>
      </c>
      <c r="F34" s="5" t="e">
        <f>VLOOKUP(G34&amp;"*",#REF!,2,0)</f>
        <v>#REF!</v>
      </c>
      <c r="G34" s="7" t="s">
        <v>619</v>
      </c>
      <c r="H34" s="7">
        <v>1</v>
      </c>
      <c r="I34" s="7">
        <v>790</v>
      </c>
    </row>
    <row r="35" spans="1:9" ht="15.75">
      <c r="A35" s="7" t="s">
        <v>25</v>
      </c>
      <c r="B35" s="7" t="s">
        <v>615</v>
      </c>
      <c r="C35" s="7" t="s">
        <v>616</v>
      </c>
      <c r="D35" s="7">
        <f t="shared" si="0"/>
        <v>7</v>
      </c>
      <c r="E35" s="11">
        <v>44017</v>
      </c>
      <c r="F35" s="5" t="e">
        <f>VLOOKUP(G35&amp;"*",#REF!,2,0)</f>
        <v>#REF!</v>
      </c>
      <c r="G35" s="7" t="s">
        <v>464</v>
      </c>
      <c r="H35" s="7">
        <v>1</v>
      </c>
      <c r="I35" s="7">
        <v>1040</v>
      </c>
    </row>
    <row r="36" spans="1:9" ht="15.75">
      <c r="A36" s="7" t="s">
        <v>25</v>
      </c>
      <c r="B36" s="7" t="s">
        <v>615</v>
      </c>
      <c r="C36" s="7" t="s">
        <v>616</v>
      </c>
      <c r="D36" s="7">
        <f t="shared" si="0"/>
        <v>7</v>
      </c>
      <c r="E36" s="11">
        <v>44017</v>
      </c>
      <c r="F36" s="5" t="e">
        <f>VLOOKUP(G36&amp;"*",#REF!,2,0)</f>
        <v>#REF!</v>
      </c>
      <c r="G36" s="7" t="s">
        <v>330</v>
      </c>
      <c r="H36" s="7">
        <v>1</v>
      </c>
      <c r="I36" s="7">
        <v>4690</v>
      </c>
    </row>
    <row r="37" spans="1:9" ht="15.75">
      <c r="A37" s="7" t="s">
        <v>25</v>
      </c>
      <c r="B37" s="7" t="s">
        <v>615</v>
      </c>
      <c r="C37" s="7" t="s">
        <v>616</v>
      </c>
      <c r="D37" s="7">
        <f t="shared" si="0"/>
        <v>7</v>
      </c>
      <c r="E37" s="11">
        <v>44017</v>
      </c>
      <c r="F37" s="5" t="e">
        <f>VLOOKUP(G37&amp;"*",#REF!,2,0)</f>
        <v>#REF!</v>
      </c>
      <c r="G37" s="7" t="s">
        <v>49</v>
      </c>
      <c r="H37" s="7">
        <v>1</v>
      </c>
      <c r="I37" s="7">
        <v>3160</v>
      </c>
    </row>
    <row r="38" spans="1:9" ht="15.75">
      <c r="A38" s="7" t="s">
        <v>25</v>
      </c>
      <c r="B38" s="7" t="s">
        <v>615</v>
      </c>
      <c r="C38" s="7" t="s">
        <v>616</v>
      </c>
      <c r="D38" s="7">
        <f t="shared" si="0"/>
        <v>7</v>
      </c>
      <c r="E38" s="11">
        <v>44017</v>
      </c>
      <c r="F38" s="5" t="e">
        <f>VLOOKUP(G38&amp;"*",#REF!,2,0)</f>
        <v>#REF!</v>
      </c>
      <c r="G38" s="7" t="s">
        <v>51</v>
      </c>
      <c r="H38" s="7">
        <v>1</v>
      </c>
      <c r="I38" s="7">
        <v>2380</v>
      </c>
    </row>
    <row r="39" spans="1:9" ht="15.75">
      <c r="A39" s="7" t="s">
        <v>25</v>
      </c>
      <c r="B39" s="7" t="s">
        <v>620</v>
      </c>
      <c r="C39" s="7" t="s">
        <v>621</v>
      </c>
      <c r="D39" s="7">
        <f t="shared" si="0"/>
        <v>7</v>
      </c>
      <c r="E39" s="11">
        <v>44015</v>
      </c>
      <c r="F39" s="5" t="e">
        <f>VLOOKUP(G39&amp;"*",#REF!,2,0)</f>
        <v>#REF!</v>
      </c>
      <c r="G39" s="7" t="s">
        <v>247</v>
      </c>
      <c r="H39" s="7">
        <v>1</v>
      </c>
      <c r="I39" s="7">
        <v>298</v>
      </c>
    </row>
    <row r="40" spans="1:9" ht="15.75">
      <c r="A40" s="7" t="s">
        <v>25</v>
      </c>
      <c r="B40" s="7" t="s">
        <v>620</v>
      </c>
      <c r="C40" s="7" t="s">
        <v>621</v>
      </c>
      <c r="D40" s="7">
        <f t="shared" ref="D40:D56" si="1">MONTH(E40)</f>
        <v>7</v>
      </c>
      <c r="E40" s="11">
        <v>44015</v>
      </c>
      <c r="F40" s="5" t="e">
        <f>VLOOKUP(G40&amp;"*",#REF!,2,0)</f>
        <v>#REF!</v>
      </c>
      <c r="G40" s="7" t="s">
        <v>608</v>
      </c>
      <c r="H40" s="7">
        <v>1</v>
      </c>
      <c r="I40" s="7">
        <v>770</v>
      </c>
    </row>
    <row r="41" spans="1:9" ht="15.75">
      <c r="A41" s="7" t="s">
        <v>25</v>
      </c>
      <c r="B41" s="7" t="s">
        <v>620</v>
      </c>
      <c r="C41" s="7" t="s">
        <v>621</v>
      </c>
      <c r="D41" s="7">
        <f t="shared" si="1"/>
        <v>7</v>
      </c>
      <c r="E41" s="11">
        <v>44015</v>
      </c>
      <c r="F41" s="5" t="e">
        <f>VLOOKUP(G41&amp;"*",#REF!,2,0)</f>
        <v>#REF!</v>
      </c>
      <c r="G41" s="7" t="s">
        <v>338</v>
      </c>
      <c r="H41" s="7">
        <v>1</v>
      </c>
      <c r="I41" s="7">
        <v>5465</v>
      </c>
    </row>
    <row r="42" spans="1:9" ht="15.75">
      <c r="A42" s="7" t="s">
        <v>25</v>
      </c>
      <c r="B42" s="7" t="s">
        <v>620</v>
      </c>
      <c r="C42" s="7" t="s">
        <v>621</v>
      </c>
      <c r="D42" s="7">
        <f t="shared" si="1"/>
        <v>7</v>
      </c>
      <c r="E42" s="11">
        <v>44015</v>
      </c>
      <c r="F42" s="5" t="e">
        <f>VLOOKUP(G42&amp;"*",#REF!,2,0)</f>
        <v>#REF!</v>
      </c>
      <c r="G42" s="7" t="s">
        <v>612</v>
      </c>
      <c r="H42" s="7">
        <v>1</v>
      </c>
      <c r="I42" s="7">
        <v>2980</v>
      </c>
    </row>
    <row r="43" spans="1:9" ht="15.75">
      <c r="A43" s="7" t="s">
        <v>25</v>
      </c>
      <c r="B43" s="7" t="s">
        <v>620</v>
      </c>
      <c r="C43" s="7" t="s">
        <v>621</v>
      </c>
      <c r="D43" s="7">
        <f t="shared" si="1"/>
        <v>7</v>
      </c>
      <c r="E43" s="11">
        <v>44016</v>
      </c>
      <c r="F43" s="5" t="e">
        <f>VLOOKUP(G43&amp;"*",#REF!,2,0)</f>
        <v>#REF!</v>
      </c>
      <c r="G43" s="7" t="s">
        <v>611</v>
      </c>
      <c r="H43" s="7">
        <v>1</v>
      </c>
      <c r="I43" s="7">
        <v>2410</v>
      </c>
    </row>
    <row r="44" spans="1:9" ht="15.75">
      <c r="A44" s="7" t="s">
        <v>25</v>
      </c>
      <c r="B44" s="7" t="s">
        <v>620</v>
      </c>
      <c r="C44" s="7" t="s">
        <v>621</v>
      </c>
      <c r="D44" s="7">
        <f t="shared" si="1"/>
        <v>7</v>
      </c>
      <c r="E44" s="11">
        <v>44017</v>
      </c>
      <c r="F44" s="5" t="e">
        <f>VLOOKUP(G44&amp;"*",#REF!,2,0)</f>
        <v>#REF!</v>
      </c>
      <c r="G44" s="7" t="s">
        <v>610</v>
      </c>
      <c r="H44" s="7">
        <v>1</v>
      </c>
      <c r="I44" s="7">
        <v>2180</v>
      </c>
    </row>
    <row r="45" spans="1:9" ht="15.75">
      <c r="A45" s="7" t="s">
        <v>25</v>
      </c>
      <c r="B45" s="7" t="s">
        <v>620</v>
      </c>
      <c r="C45" s="7" t="s">
        <v>621</v>
      </c>
      <c r="D45" s="7">
        <f t="shared" si="1"/>
        <v>7</v>
      </c>
      <c r="E45" s="11">
        <v>44017</v>
      </c>
      <c r="F45" s="5" t="e">
        <f>VLOOKUP(G45&amp;"*",#REF!,2,0)</f>
        <v>#REF!</v>
      </c>
      <c r="G45" s="7" t="s">
        <v>435</v>
      </c>
      <c r="H45" s="7">
        <v>1</v>
      </c>
      <c r="I45" s="7">
        <v>728</v>
      </c>
    </row>
    <row r="46" spans="1:9" ht="15.75">
      <c r="A46" s="7" t="s">
        <v>25</v>
      </c>
      <c r="B46" s="7" t="s">
        <v>620</v>
      </c>
      <c r="C46" s="7" t="s">
        <v>621</v>
      </c>
      <c r="D46" s="7">
        <f t="shared" si="1"/>
        <v>7</v>
      </c>
      <c r="E46" s="11">
        <v>44017</v>
      </c>
      <c r="F46" s="5" t="e">
        <f>VLOOKUP(G46&amp;"*",#REF!,2,0)</f>
        <v>#REF!</v>
      </c>
      <c r="G46" s="7" t="s">
        <v>247</v>
      </c>
      <c r="H46" s="7">
        <v>1</v>
      </c>
      <c r="I46" s="7">
        <v>298</v>
      </c>
    </row>
    <row r="47" spans="1:9" ht="15.75">
      <c r="A47" s="7" t="s">
        <v>25</v>
      </c>
      <c r="B47" s="7" t="s">
        <v>620</v>
      </c>
      <c r="C47" s="7" t="s">
        <v>621</v>
      </c>
      <c r="D47" s="7">
        <f t="shared" si="1"/>
        <v>7</v>
      </c>
      <c r="E47" s="11">
        <v>44017</v>
      </c>
      <c r="F47" s="5" t="e">
        <f>VLOOKUP(G47&amp;"*",#REF!,2,0)</f>
        <v>#REF!</v>
      </c>
      <c r="G47" s="7" t="s">
        <v>611</v>
      </c>
      <c r="H47" s="7">
        <v>1</v>
      </c>
      <c r="I47" s="7">
        <v>2410</v>
      </c>
    </row>
    <row r="48" spans="1:9" ht="15.75">
      <c r="A48" s="7" t="s">
        <v>25</v>
      </c>
      <c r="B48" s="7" t="s">
        <v>620</v>
      </c>
      <c r="C48" s="7" t="s">
        <v>621</v>
      </c>
      <c r="D48" s="7">
        <f t="shared" si="1"/>
        <v>7</v>
      </c>
      <c r="E48" s="11">
        <v>44017</v>
      </c>
      <c r="F48" s="5" t="e">
        <f>VLOOKUP(G48&amp;"*",#REF!,2,0)</f>
        <v>#REF!</v>
      </c>
      <c r="G48" s="7" t="s">
        <v>313</v>
      </c>
      <c r="H48" s="7">
        <v>1</v>
      </c>
      <c r="I48" s="7">
        <v>2498</v>
      </c>
    </row>
    <row r="49" spans="1:9" ht="15.75">
      <c r="A49" s="7" t="s">
        <v>39</v>
      </c>
      <c r="B49" s="7" t="s">
        <v>622</v>
      </c>
      <c r="C49" s="7" t="s">
        <v>623</v>
      </c>
      <c r="D49" s="7">
        <f t="shared" si="1"/>
        <v>7</v>
      </c>
      <c r="E49" s="11">
        <v>44015</v>
      </c>
      <c r="F49" s="5" t="e">
        <f>VLOOKUP(G49&amp;"*",#REF!,2,0)</f>
        <v>#REF!</v>
      </c>
      <c r="G49" s="7" t="s">
        <v>624</v>
      </c>
      <c r="H49" s="7">
        <v>1</v>
      </c>
      <c r="I49" s="7">
        <v>478</v>
      </c>
    </row>
    <row r="50" spans="1:9" ht="15.75">
      <c r="A50" s="7" t="s">
        <v>39</v>
      </c>
      <c r="B50" s="7" t="s">
        <v>622</v>
      </c>
      <c r="C50" s="7" t="s">
        <v>623</v>
      </c>
      <c r="D50" s="7">
        <f t="shared" si="1"/>
        <v>7</v>
      </c>
      <c r="E50" s="11">
        <v>44015</v>
      </c>
      <c r="F50" s="5" t="e">
        <f>VLOOKUP(G50&amp;"*",#REF!,2,0)</f>
        <v>#REF!</v>
      </c>
      <c r="G50" s="7" t="s">
        <v>624</v>
      </c>
      <c r="H50" s="7">
        <v>1</v>
      </c>
      <c r="I50" s="7">
        <v>478</v>
      </c>
    </row>
    <row r="51" spans="1:9" ht="15.75">
      <c r="A51" s="7" t="s">
        <v>39</v>
      </c>
      <c r="B51" s="7" t="s">
        <v>622</v>
      </c>
      <c r="C51" s="7" t="s">
        <v>623</v>
      </c>
      <c r="D51" s="7">
        <f t="shared" si="1"/>
        <v>7</v>
      </c>
      <c r="E51" s="11">
        <v>44015</v>
      </c>
      <c r="F51" s="5" t="e">
        <f>VLOOKUP(G51&amp;"*",#REF!,2,0)</f>
        <v>#REF!</v>
      </c>
      <c r="G51" s="7" t="s">
        <v>247</v>
      </c>
      <c r="H51" s="7">
        <v>1</v>
      </c>
      <c r="I51" s="7">
        <v>796</v>
      </c>
    </row>
    <row r="52" spans="1:9" ht="15.75">
      <c r="A52" s="7" t="s">
        <v>39</v>
      </c>
      <c r="B52" s="7" t="s">
        <v>622</v>
      </c>
      <c r="C52" s="7" t="s">
        <v>623</v>
      </c>
      <c r="D52" s="7">
        <f t="shared" si="1"/>
        <v>7</v>
      </c>
      <c r="E52" s="11">
        <v>44016</v>
      </c>
      <c r="F52" s="5" t="e">
        <f>VLOOKUP(G52&amp;"*",#REF!,2,0)</f>
        <v>#REF!</v>
      </c>
      <c r="G52" s="7" t="s">
        <v>608</v>
      </c>
      <c r="H52" s="7">
        <v>1</v>
      </c>
      <c r="I52" s="7">
        <v>871</v>
      </c>
    </row>
    <row r="53" spans="1:9" ht="15.75">
      <c r="A53" s="7" t="s">
        <v>39</v>
      </c>
      <c r="B53" s="7" t="s">
        <v>622</v>
      </c>
      <c r="C53" s="7" t="s">
        <v>623</v>
      </c>
      <c r="D53" s="7">
        <f t="shared" si="1"/>
        <v>7</v>
      </c>
      <c r="E53" s="11">
        <v>44016</v>
      </c>
      <c r="F53" s="5" t="e">
        <f>VLOOKUP(G53&amp;"*",#REF!,2,0)</f>
        <v>#REF!</v>
      </c>
      <c r="G53" s="7" t="s">
        <v>617</v>
      </c>
      <c r="H53" s="7">
        <v>1</v>
      </c>
      <c r="I53" s="7">
        <v>556</v>
      </c>
    </row>
    <row r="54" spans="1:9" ht="15.75">
      <c r="A54" s="7" t="s">
        <v>39</v>
      </c>
      <c r="B54" s="7" t="s">
        <v>622</v>
      </c>
      <c r="C54" s="7" t="s">
        <v>623</v>
      </c>
      <c r="D54" s="7">
        <f t="shared" si="1"/>
        <v>7</v>
      </c>
      <c r="E54" s="11">
        <v>44016</v>
      </c>
      <c r="F54" s="5" t="e">
        <f>VLOOKUP(G54&amp;"*",#REF!,2,0)</f>
        <v>#REF!</v>
      </c>
      <c r="G54" s="7" t="s">
        <v>247</v>
      </c>
      <c r="H54" s="7">
        <v>1</v>
      </c>
      <c r="I54" s="7">
        <v>296</v>
      </c>
    </row>
    <row r="55" spans="1:9" ht="15.75">
      <c r="A55" s="7" t="s">
        <v>39</v>
      </c>
      <c r="B55" s="7" t="s">
        <v>622</v>
      </c>
      <c r="C55" s="7" t="s">
        <v>623</v>
      </c>
      <c r="D55" s="7">
        <f t="shared" si="1"/>
        <v>7</v>
      </c>
      <c r="E55" s="11">
        <v>44016</v>
      </c>
      <c r="F55" s="5" t="e">
        <f>VLOOKUP(G55&amp;"*",#REF!,2,0)</f>
        <v>#REF!</v>
      </c>
      <c r="G55" s="7" t="s">
        <v>247</v>
      </c>
      <c r="H55" s="7">
        <v>1</v>
      </c>
      <c r="I55" s="7">
        <v>296</v>
      </c>
    </row>
    <row r="56" spans="1:9" ht="15.75">
      <c r="A56" s="7" t="s">
        <v>39</v>
      </c>
      <c r="B56" s="7" t="s">
        <v>622</v>
      </c>
      <c r="C56" s="7" t="s">
        <v>623</v>
      </c>
      <c r="D56" s="7">
        <f t="shared" si="1"/>
        <v>7</v>
      </c>
      <c r="E56" s="11">
        <v>44017</v>
      </c>
      <c r="F56" s="5" t="e">
        <f>VLOOKUP(G56&amp;"*",#REF!,2,0)</f>
        <v>#REF!</v>
      </c>
      <c r="G56" s="7" t="s">
        <v>443</v>
      </c>
      <c r="H56" s="7">
        <v>1</v>
      </c>
      <c r="I56" s="7">
        <v>330</v>
      </c>
    </row>
    <row r="57" spans="1:9" ht="15.75">
      <c r="A57" s="7" t="s">
        <v>39</v>
      </c>
      <c r="B57" s="7" t="s">
        <v>622</v>
      </c>
      <c r="C57" s="7" t="s">
        <v>623</v>
      </c>
      <c r="D57" s="7">
        <f t="shared" ref="D57:D65" si="2">MONTH(E57)</f>
        <v>7</v>
      </c>
      <c r="E57" s="11">
        <v>44017</v>
      </c>
      <c r="F57" s="5" t="e">
        <f>VLOOKUP(G57&amp;"*",#REF!,2,0)</f>
        <v>#REF!</v>
      </c>
      <c r="G57" s="7" t="s">
        <v>242</v>
      </c>
      <c r="H57" s="7">
        <v>1</v>
      </c>
      <c r="I57" s="7">
        <v>423</v>
      </c>
    </row>
    <row r="58" spans="1:9" ht="15.75">
      <c r="A58" s="7" t="s">
        <v>39</v>
      </c>
      <c r="B58" s="7" t="s">
        <v>622</v>
      </c>
      <c r="C58" s="7" t="s">
        <v>623</v>
      </c>
      <c r="D58" s="7">
        <f t="shared" si="2"/>
        <v>7</v>
      </c>
      <c r="E58" s="11">
        <v>44017</v>
      </c>
      <c r="F58" s="5" t="e">
        <f>VLOOKUP(G58&amp;"*",#REF!,2,0)</f>
        <v>#REF!</v>
      </c>
      <c r="G58" s="7" t="s">
        <v>624</v>
      </c>
      <c r="H58" s="7">
        <v>1</v>
      </c>
      <c r="I58" s="7">
        <v>478</v>
      </c>
    </row>
    <row r="59" spans="1:9" ht="15.75">
      <c r="A59" s="7" t="s">
        <v>39</v>
      </c>
      <c r="B59" s="7" t="s">
        <v>622</v>
      </c>
      <c r="C59" s="7" t="s">
        <v>623</v>
      </c>
      <c r="D59" s="7">
        <f t="shared" si="2"/>
        <v>7</v>
      </c>
      <c r="E59" s="11">
        <v>44017</v>
      </c>
      <c r="F59" s="5" t="e">
        <f>VLOOKUP(G59&amp;"*",#REF!,2,0)</f>
        <v>#REF!</v>
      </c>
      <c r="G59" s="7" t="s">
        <v>618</v>
      </c>
      <c r="H59" s="7">
        <v>1</v>
      </c>
      <c r="I59" s="7">
        <v>691</v>
      </c>
    </row>
    <row r="60" spans="1:9" ht="15.75">
      <c r="A60" s="7" t="s">
        <v>39</v>
      </c>
      <c r="B60" s="7" t="s">
        <v>622</v>
      </c>
      <c r="C60" s="7" t="s">
        <v>623</v>
      </c>
      <c r="D60" s="7">
        <f t="shared" si="2"/>
        <v>7</v>
      </c>
      <c r="E60" s="11">
        <v>44017</v>
      </c>
      <c r="F60" s="5" t="e">
        <f>VLOOKUP(G60&amp;"*",#REF!,2,0)</f>
        <v>#REF!</v>
      </c>
      <c r="G60" s="7" t="s">
        <v>614</v>
      </c>
      <c r="H60" s="7">
        <v>1</v>
      </c>
      <c r="I60" s="7">
        <v>542</v>
      </c>
    </row>
    <row r="61" spans="1:9" ht="15.75">
      <c r="A61" s="7" t="s">
        <v>39</v>
      </c>
      <c r="B61" s="7" t="s">
        <v>622</v>
      </c>
      <c r="C61" s="7" t="s">
        <v>623</v>
      </c>
      <c r="D61" s="7">
        <f t="shared" si="2"/>
        <v>7</v>
      </c>
      <c r="E61" s="11">
        <v>44017</v>
      </c>
      <c r="F61" s="5" t="e">
        <f>VLOOKUP(G61&amp;"*",#REF!,2,0)</f>
        <v>#REF!</v>
      </c>
      <c r="G61" s="7" t="s">
        <v>613</v>
      </c>
      <c r="H61" s="7">
        <v>1</v>
      </c>
      <c r="I61" s="7">
        <v>781</v>
      </c>
    </row>
    <row r="62" spans="1:9" ht="15.75">
      <c r="A62" s="7" t="s">
        <v>39</v>
      </c>
      <c r="B62" s="7" t="s">
        <v>622</v>
      </c>
      <c r="C62" s="7" t="s">
        <v>623</v>
      </c>
      <c r="D62" s="7">
        <f t="shared" si="2"/>
        <v>7</v>
      </c>
      <c r="E62" s="11">
        <v>44017</v>
      </c>
      <c r="F62" s="5" t="e">
        <f>VLOOKUP(G62&amp;"*",#REF!,2,0)</f>
        <v>#REF!</v>
      </c>
      <c r="G62" s="7" t="s">
        <v>608</v>
      </c>
      <c r="H62" s="7">
        <v>1</v>
      </c>
      <c r="I62" s="7">
        <v>871</v>
      </c>
    </row>
    <row r="63" spans="1:9" ht="15.75">
      <c r="A63" s="7" t="s">
        <v>39</v>
      </c>
      <c r="B63" s="7" t="s">
        <v>622</v>
      </c>
      <c r="C63" s="7" t="s">
        <v>623</v>
      </c>
      <c r="D63" s="7">
        <f t="shared" si="2"/>
        <v>7</v>
      </c>
      <c r="E63" s="11">
        <v>44017</v>
      </c>
      <c r="F63" s="5" t="e">
        <f>VLOOKUP(G63&amp;"*",#REF!,2,0)</f>
        <v>#REF!</v>
      </c>
      <c r="G63" s="7" t="s">
        <v>242</v>
      </c>
      <c r="H63" s="7">
        <v>1</v>
      </c>
      <c r="I63" s="7">
        <v>423</v>
      </c>
    </row>
    <row r="64" spans="1:9" ht="15.75">
      <c r="A64" s="7" t="s">
        <v>39</v>
      </c>
      <c r="B64" s="7" t="s">
        <v>622</v>
      </c>
      <c r="C64" s="7" t="s">
        <v>623</v>
      </c>
      <c r="D64" s="7">
        <f t="shared" si="2"/>
        <v>7</v>
      </c>
      <c r="E64" s="11">
        <v>44017</v>
      </c>
      <c r="F64" s="5" t="e">
        <f>VLOOKUP(G64&amp;"*",#REF!,2,0)</f>
        <v>#REF!</v>
      </c>
      <c r="G64" s="7" t="s">
        <v>418</v>
      </c>
      <c r="H64" s="7">
        <v>1</v>
      </c>
      <c r="I64" s="7">
        <v>279</v>
      </c>
    </row>
    <row r="65" spans="1:9" ht="15.75">
      <c r="A65" s="7" t="s">
        <v>39</v>
      </c>
      <c r="B65" s="7" t="s">
        <v>606</v>
      </c>
      <c r="C65" s="7" t="s">
        <v>625</v>
      </c>
      <c r="D65" s="7">
        <f t="shared" si="2"/>
        <v>7</v>
      </c>
      <c r="E65" s="11">
        <v>44015</v>
      </c>
      <c r="F65" s="5" t="e">
        <f>VLOOKUP(G65&amp;"*",#REF!,2,0)</f>
        <v>#REF!</v>
      </c>
      <c r="G65" s="7" t="s">
        <v>608</v>
      </c>
      <c r="H65" s="7">
        <v>1</v>
      </c>
      <c r="I65" s="7">
        <v>871</v>
      </c>
    </row>
    <row r="66" spans="1:9" ht="15.75">
      <c r="A66" s="7" t="s">
        <v>39</v>
      </c>
      <c r="B66" s="7" t="s">
        <v>606</v>
      </c>
      <c r="C66" s="7" t="s">
        <v>625</v>
      </c>
      <c r="D66" s="7">
        <f t="shared" ref="D66:D71" si="3">MONTH(E66)</f>
        <v>7</v>
      </c>
      <c r="E66" s="11">
        <v>44015</v>
      </c>
      <c r="F66" s="5" t="e">
        <f>VLOOKUP(G66&amp;"*",#REF!,2,0)</f>
        <v>#REF!</v>
      </c>
      <c r="G66" s="7" t="s">
        <v>613</v>
      </c>
      <c r="H66" s="7">
        <v>1</v>
      </c>
      <c r="I66" s="7">
        <v>781</v>
      </c>
    </row>
    <row r="67" spans="1:9" ht="15.75">
      <c r="A67" s="7" t="s">
        <v>39</v>
      </c>
      <c r="B67" s="7" t="s">
        <v>606</v>
      </c>
      <c r="C67" s="7" t="s">
        <v>625</v>
      </c>
      <c r="D67" s="7">
        <f t="shared" si="3"/>
        <v>7</v>
      </c>
      <c r="E67" s="11">
        <v>44015</v>
      </c>
      <c r="F67" s="5" t="e">
        <f>VLOOKUP(G67&amp;"*",#REF!,2,0)</f>
        <v>#REF!</v>
      </c>
      <c r="G67" s="7" t="s">
        <v>617</v>
      </c>
      <c r="H67" s="7">
        <v>1</v>
      </c>
      <c r="I67" s="7">
        <v>556</v>
      </c>
    </row>
    <row r="68" spans="1:9" ht="15.75">
      <c r="A68" s="7" t="s">
        <v>39</v>
      </c>
      <c r="B68" s="7" t="s">
        <v>606</v>
      </c>
      <c r="C68" s="7" t="s">
        <v>625</v>
      </c>
      <c r="D68" s="7">
        <f t="shared" si="3"/>
        <v>7</v>
      </c>
      <c r="E68" s="11">
        <v>44015</v>
      </c>
      <c r="F68" s="5" t="e">
        <f>VLOOKUP(G68&amp;"*",#REF!,2,0)</f>
        <v>#REF!</v>
      </c>
      <c r="G68" s="7" t="s">
        <v>624</v>
      </c>
      <c r="H68" s="7">
        <v>1</v>
      </c>
      <c r="I68" s="7">
        <v>478</v>
      </c>
    </row>
    <row r="69" spans="1:9" ht="15.75">
      <c r="A69" s="7" t="s">
        <v>39</v>
      </c>
      <c r="B69" s="7" t="s">
        <v>606</v>
      </c>
      <c r="C69" s="7" t="s">
        <v>625</v>
      </c>
      <c r="D69" s="7">
        <f t="shared" si="3"/>
        <v>7</v>
      </c>
      <c r="E69" s="11">
        <v>44015</v>
      </c>
      <c r="F69" s="5" t="e">
        <f>VLOOKUP(G69&amp;"*",#REF!,2,0)</f>
        <v>#REF!</v>
      </c>
      <c r="G69" s="7" t="s">
        <v>624</v>
      </c>
      <c r="H69" s="7">
        <v>1</v>
      </c>
      <c r="I69" s="7">
        <v>478</v>
      </c>
    </row>
    <row r="70" spans="1:9" ht="15.75">
      <c r="A70" s="7" t="s">
        <v>39</v>
      </c>
      <c r="B70" s="7" t="s">
        <v>606</v>
      </c>
      <c r="C70" s="7" t="s">
        <v>625</v>
      </c>
      <c r="D70" s="7">
        <f t="shared" si="3"/>
        <v>7</v>
      </c>
      <c r="E70" s="11">
        <v>44015</v>
      </c>
      <c r="F70" s="5" t="e">
        <f>VLOOKUP(G70&amp;"*",#REF!,2,0)</f>
        <v>#REF!</v>
      </c>
      <c r="G70" s="7" t="s">
        <v>626</v>
      </c>
      <c r="H70" s="7">
        <v>1</v>
      </c>
      <c r="I70" s="7">
        <v>1429</v>
      </c>
    </row>
    <row r="71" spans="1:9" ht="15.75">
      <c r="A71" s="7" t="s">
        <v>39</v>
      </c>
      <c r="B71" s="7" t="s">
        <v>606</v>
      </c>
      <c r="C71" s="7" t="s">
        <v>625</v>
      </c>
      <c r="D71" s="7">
        <f t="shared" si="3"/>
        <v>7</v>
      </c>
      <c r="E71" s="11">
        <v>44016</v>
      </c>
      <c r="F71" s="5" t="e">
        <f>VLOOKUP(G71&amp;"*",#REF!,2,0)</f>
        <v>#REF!</v>
      </c>
      <c r="G71" s="7" t="s">
        <v>464</v>
      </c>
      <c r="H71" s="7">
        <v>1</v>
      </c>
      <c r="I71" s="7">
        <v>998</v>
      </c>
    </row>
    <row r="72" spans="1:9" ht="15.75">
      <c r="A72" s="7" t="s">
        <v>39</v>
      </c>
      <c r="B72" s="7" t="s">
        <v>606</v>
      </c>
      <c r="C72" s="7" t="s">
        <v>625</v>
      </c>
      <c r="D72" s="7">
        <f t="shared" ref="D72:D78" si="4">MONTH(E72)</f>
        <v>7</v>
      </c>
      <c r="E72" s="11">
        <v>44016</v>
      </c>
      <c r="F72" s="5" t="e">
        <f>VLOOKUP(G72&amp;"*",#REF!,2,0)</f>
        <v>#REF!</v>
      </c>
      <c r="G72" s="7" t="s">
        <v>608</v>
      </c>
      <c r="H72" s="7">
        <v>1</v>
      </c>
      <c r="I72" s="7">
        <v>871</v>
      </c>
    </row>
    <row r="73" spans="1:9" ht="15.75">
      <c r="A73" s="7" t="s">
        <v>39</v>
      </c>
      <c r="B73" s="7" t="s">
        <v>606</v>
      </c>
      <c r="C73" s="7" t="s">
        <v>625</v>
      </c>
      <c r="D73" s="7">
        <f t="shared" si="4"/>
        <v>7</v>
      </c>
      <c r="E73" s="11">
        <v>44016</v>
      </c>
      <c r="F73" s="5" t="e">
        <f>VLOOKUP(G73&amp;"*",#REF!,2,0)</f>
        <v>#REF!</v>
      </c>
      <c r="G73" s="7" t="s">
        <v>414</v>
      </c>
      <c r="H73" s="7">
        <v>1</v>
      </c>
      <c r="I73" s="7">
        <v>638</v>
      </c>
    </row>
    <row r="74" spans="1:9" ht="15.75">
      <c r="A74" s="7" t="s">
        <v>39</v>
      </c>
      <c r="B74" s="7" t="s">
        <v>606</v>
      </c>
      <c r="C74" s="7" t="s">
        <v>625</v>
      </c>
      <c r="D74" s="7">
        <f t="shared" si="4"/>
        <v>7</v>
      </c>
      <c r="E74" s="11">
        <v>44016</v>
      </c>
      <c r="F74" s="5" t="e">
        <f>VLOOKUP(G74&amp;"*",#REF!,2,0)</f>
        <v>#REF!</v>
      </c>
      <c r="G74" s="7" t="s">
        <v>624</v>
      </c>
      <c r="H74" s="7">
        <v>1</v>
      </c>
      <c r="I74" s="7">
        <v>478</v>
      </c>
    </row>
    <row r="75" spans="1:9" ht="15.75">
      <c r="A75" s="7" t="s">
        <v>39</v>
      </c>
      <c r="B75" s="7" t="s">
        <v>606</v>
      </c>
      <c r="C75" s="7" t="s">
        <v>625</v>
      </c>
      <c r="D75" s="7">
        <f t="shared" si="4"/>
        <v>7</v>
      </c>
      <c r="E75" s="11">
        <v>44016</v>
      </c>
      <c r="F75" s="5" t="e">
        <f>VLOOKUP(G75&amp;"*",#REF!,2,0)</f>
        <v>#REF!</v>
      </c>
      <c r="G75" s="7" t="s">
        <v>414</v>
      </c>
      <c r="H75" s="7">
        <v>1</v>
      </c>
      <c r="I75" s="7">
        <v>638</v>
      </c>
    </row>
    <row r="76" spans="1:9" ht="15.75">
      <c r="A76" s="7" t="s">
        <v>39</v>
      </c>
      <c r="B76" s="7" t="s">
        <v>606</v>
      </c>
      <c r="C76" s="7" t="s">
        <v>625</v>
      </c>
      <c r="D76" s="7">
        <f t="shared" si="4"/>
        <v>7</v>
      </c>
      <c r="E76" s="11">
        <v>44016</v>
      </c>
      <c r="F76" s="5" t="e">
        <f>VLOOKUP(G76&amp;"*",#REF!,2,0)</f>
        <v>#REF!</v>
      </c>
      <c r="G76" s="7" t="s">
        <v>608</v>
      </c>
      <c r="H76" s="7">
        <v>1</v>
      </c>
      <c r="I76" s="7">
        <v>871</v>
      </c>
    </row>
    <row r="77" spans="1:9" ht="15.75">
      <c r="A77" s="7" t="s">
        <v>39</v>
      </c>
      <c r="B77" s="7" t="s">
        <v>606</v>
      </c>
      <c r="C77" s="7" t="s">
        <v>625</v>
      </c>
      <c r="D77" s="7">
        <f t="shared" si="4"/>
        <v>7</v>
      </c>
      <c r="E77" s="11">
        <v>44016</v>
      </c>
      <c r="F77" s="5" t="e">
        <f>VLOOKUP(G77&amp;"*",#REF!,2,0)</f>
        <v>#REF!</v>
      </c>
      <c r="G77" s="7" t="s">
        <v>617</v>
      </c>
      <c r="H77" s="7">
        <v>1</v>
      </c>
      <c r="I77" s="7">
        <v>556</v>
      </c>
    </row>
    <row r="78" spans="1:9" ht="15.75">
      <c r="A78" s="7" t="s">
        <v>39</v>
      </c>
      <c r="B78" s="7" t="s">
        <v>606</v>
      </c>
      <c r="C78" s="7" t="s">
        <v>625</v>
      </c>
      <c r="D78" s="7">
        <f t="shared" si="4"/>
        <v>7</v>
      </c>
      <c r="E78" s="11">
        <v>44017</v>
      </c>
      <c r="F78" s="5" t="e">
        <f>VLOOKUP(G78&amp;"*",#REF!,2,0)</f>
        <v>#REF!</v>
      </c>
      <c r="G78" s="7" t="s">
        <v>435</v>
      </c>
      <c r="H78" s="7">
        <v>1</v>
      </c>
      <c r="I78" s="7">
        <v>718</v>
      </c>
    </row>
    <row r="79" spans="1:9" ht="15.75">
      <c r="A79" s="7" t="s">
        <v>39</v>
      </c>
      <c r="B79" s="7" t="s">
        <v>606</v>
      </c>
      <c r="C79" s="7" t="s">
        <v>625</v>
      </c>
      <c r="D79" s="7">
        <f t="shared" ref="D79:D86" si="5">MONTH(E79)</f>
        <v>7</v>
      </c>
      <c r="E79" s="11">
        <v>44017</v>
      </c>
      <c r="F79" s="5" t="e">
        <f>VLOOKUP(G79&amp;"*",#REF!,2,0)</f>
        <v>#REF!</v>
      </c>
      <c r="G79" s="7" t="s">
        <v>608</v>
      </c>
      <c r="H79" s="7">
        <v>1</v>
      </c>
      <c r="I79" s="7">
        <v>871</v>
      </c>
    </row>
    <row r="80" spans="1:9" ht="15.75">
      <c r="A80" s="7" t="s">
        <v>39</v>
      </c>
      <c r="B80" s="7" t="s">
        <v>606</v>
      </c>
      <c r="C80" s="7" t="s">
        <v>625</v>
      </c>
      <c r="D80" s="7">
        <f t="shared" si="5"/>
        <v>7</v>
      </c>
      <c r="E80" s="11">
        <v>44017</v>
      </c>
      <c r="F80" s="5" t="e">
        <f>VLOOKUP(G80&amp;"*",#REF!,2,0)</f>
        <v>#REF!</v>
      </c>
      <c r="G80" s="7" t="s">
        <v>624</v>
      </c>
      <c r="H80" s="7">
        <v>1</v>
      </c>
      <c r="I80" s="7">
        <v>478</v>
      </c>
    </row>
    <row r="81" spans="1:9" ht="15.75">
      <c r="A81" s="7" t="s">
        <v>39</v>
      </c>
      <c r="B81" s="7" t="s">
        <v>606</v>
      </c>
      <c r="C81" s="7" t="s">
        <v>625</v>
      </c>
      <c r="D81" s="7">
        <f t="shared" si="5"/>
        <v>7</v>
      </c>
      <c r="E81" s="11">
        <v>44017</v>
      </c>
      <c r="F81" s="5" t="e">
        <f>VLOOKUP(G81&amp;"*",#REF!,2,0)</f>
        <v>#REF!</v>
      </c>
      <c r="G81" s="7" t="s">
        <v>624</v>
      </c>
      <c r="H81" s="7">
        <v>1</v>
      </c>
      <c r="I81" s="7">
        <v>478</v>
      </c>
    </row>
    <row r="82" spans="1:9" ht="15.75">
      <c r="A82" s="7" t="s">
        <v>39</v>
      </c>
      <c r="B82" s="7" t="s">
        <v>606</v>
      </c>
      <c r="C82" s="7" t="s">
        <v>625</v>
      </c>
      <c r="D82" s="7">
        <f t="shared" si="5"/>
        <v>7</v>
      </c>
      <c r="E82" s="11">
        <v>44017</v>
      </c>
      <c r="F82" s="5" t="e">
        <f>VLOOKUP(G82&amp;"*",#REF!,2,0)</f>
        <v>#REF!</v>
      </c>
      <c r="G82" s="7" t="s">
        <v>613</v>
      </c>
      <c r="H82" s="7">
        <v>1</v>
      </c>
      <c r="I82" s="7">
        <v>781</v>
      </c>
    </row>
    <row r="83" spans="1:9" ht="15.75">
      <c r="A83" s="7" t="s">
        <v>39</v>
      </c>
      <c r="B83" s="7" t="s">
        <v>606</v>
      </c>
      <c r="C83" s="7" t="s">
        <v>625</v>
      </c>
      <c r="D83" s="7">
        <f t="shared" si="5"/>
        <v>7</v>
      </c>
      <c r="E83" s="11">
        <v>44017</v>
      </c>
      <c r="F83" s="5" t="e">
        <f>VLOOKUP(G83&amp;"*",#REF!,2,0)</f>
        <v>#REF!</v>
      </c>
      <c r="G83" s="7" t="s">
        <v>624</v>
      </c>
      <c r="H83" s="7">
        <v>1</v>
      </c>
      <c r="I83" s="7">
        <v>478</v>
      </c>
    </row>
    <row r="84" spans="1:9" ht="15.75">
      <c r="A84" s="7" t="s">
        <v>39</v>
      </c>
      <c r="B84" s="7" t="s">
        <v>606</v>
      </c>
      <c r="C84" s="7" t="s">
        <v>625</v>
      </c>
      <c r="D84" s="7">
        <f t="shared" si="5"/>
        <v>7</v>
      </c>
      <c r="E84" s="11">
        <v>44017</v>
      </c>
      <c r="F84" s="5" t="e">
        <f>VLOOKUP(G84&amp;"*",#REF!,2,0)</f>
        <v>#REF!</v>
      </c>
      <c r="G84" s="7" t="s">
        <v>414</v>
      </c>
      <c r="H84" s="7">
        <v>1</v>
      </c>
      <c r="I84" s="7">
        <v>638</v>
      </c>
    </row>
    <row r="85" spans="1:9" ht="15.75">
      <c r="A85" s="7" t="s">
        <v>39</v>
      </c>
      <c r="B85" s="7" t="s">
        <v>606</v>
      </c>
      <c r="C85" s="7" t="s">
        <v>625</v>
      </c>
      <c r="D85" s="7">
        <f t="shared" si="5"/>
        <v>7</v>
      </c>
      <c r="E85" s="11">
        <v>44017</v>
      </c>
      <c r="F85" s="5" t="e">
        <f>VLOOKUP(G85&amp;"*",#REF!,2,0)</f>
        <v>#REF!</v>
      </c>
      <c r="G85" s="7" t="s">
        <v>614</v>
      </c>
      <c r="H85" s="7">
        <v>1</v>
      </c>
      <c r="I85" s="7">
        <v>542</v>
      </c>
    </row>
    <row r="86" spans="1:9" ht="15.75">
      <c r="A86" s="7" t="s">
        <v>39</v>
      </c>
      <c r="B86" s="7" t="s">
        <v>606</v>
      </c>
      <c r="C86" s="7" t="s">
        <v>625</v>
      </c>
      <c r="D86" s="7">
        <f t="shared" si="5"/>
        <v>7</v>
      </c>
      <c r="E86" s="11">
        <v>44017</v>
      </c>
      <c r="F86" s="5" t="e">
        <f>VLOOKUP(G86&amp;"*",#REF!,2,0)</f>
        <v>#REF!</v>
      </c>
      <c r="G86" s="7" t="s">
        <v>617</v>
      </c>
      <c r="H86" s="7">
        <v>1</v>
      </c>
      <c r="I86" s="7">
        <v>556</v>
      </c>
    </row>
    <row r="87" spans="1:9" ht="15.75">
      <c r="F87" s="5"/>
    </row>
    <row r="88" spans="1:9" ht="15.75">
      <c r="F88" s="5"/>
    </row>
    <row r="89" spans="1:9" ht="15.75">
      <c r="F89" s="5"/>
    </row>
    <row r="90" spans="1:9" ht="15.75">
      <c r="F90" s="5"/>
    </row>
    <row r="91" spans="1:9" ht="15.75">
      <c r="F91" s="5"/>
    </row>
    <row r="92" spans="1:9" ht="15.75">
      <c r="F92" s="5"/>
    </row>
  </sheetData>
  <autoFilter ref="A1:I86" xr:uid="{00000000-0009-0000-0000-000009000000}"/>
  <phoneticPr fontId="2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4"/>
  <dimension ref="A1:AC54"/>
  <sheetViews>
    <sheetView workbookViewId="0"/>
  </sheetViews>
  <sheetFormatPr defaultColWidth="9" defaultRowHeight="15.75"/>
  <cols>
    <col min="1" max="1" width="18.42578125" style="2" customWidth="1"/>
    <col min="2" max="2" width="11.42578125" style="2" customWidth="1"/>
    <col min="3" max="3" width="13.140625" style="2" customWidth="1"/>
    <col min="4" max="4" width="9.42578125" style="2" customWidth="1"/>
    <col min="5" max="6" width="14.42578125" style="3" customWidth="1"/>
    <col min="7" max="7" width="19.42578125" style="2" customWidth="1"/>
    <col min="8" max="8" width="11.42578125" style="4" customWidth="1"/>
    <col min="9" max="9" width="9.140625" style="2" customWidth="1"/>
    <col min="10" max="11" width="9" style="2"/>
    <col min="12" max="12" width="19.42578125" style="2" customWidth="1"/>
    <col min="13" max="13" width="21.42578125" style="2" customWidth="1"/>
    <col min="14" max="14" width="16.42578125" style="2" customWidth="1"/>
    <col min="15" max="15" width="12.85546875" style="2" customWidth="1"/>
    <col min="16" max="16" width="6.42578125" style="2" customWidth="1"/>
    <col min="17" max="17" width="21.42578125" style="2" customWidth="1"/>
    <col min="18" max="18" width="25.42578125" style="2" customWidth="1"/>
    <col min="19" max="19" width="16.42578125" style="2" customWidth="1"/>
    <col min="20" max="20" width="20.42578125" style="2" customWidth="1"/>
    <col min="21" max="21" width="16.42578125" style="2" customWidth="1"/>
    <col min="22" max="22" width="20.42578125" style="2" customWidth="1"/>
    <col min="23" max="23" width="16.42578125" style="2" customWidth="1"/>
    <col min="24" max="24" width="20.42578125" style="2" customWidth="1"/>
    <col min="25" max="25" width="16.42578125" style="2" customWidth="1"/>
    <col min="26" max="26" width="20.42578125" style="2" customWidth="1"/>
    <col min="27" max="27" width="21.42578125" style="2" customWidth="1"/>
    <col min="28" max="28" width="25.42578125" style="2" customWidth="1"/>
    <col min="29" max="29" width="16.42578125" style="2" customWidth="1"/>
    <col min="30" max="30" width="20.42578125" style="2" customWidth="1"/>
    <col min="31" max="31" width="28.42578125" style="2" customWidth="1"/>
    <col min="32" max="32" width="32.42578125" style="2" customWidth="1"/>
    <col min="33" max="33" width="16.42578125" style="2" customWidth="1"/>
    <col min="34" max="34" width="20.42578125" style="2" customWidth="1"/>
    <col min="35" max="35" width="31.140625" style="2" customWidth="1"/>
    <col min="36" max="36" width="35.42578125" style="2" customWidth="1"/>
    <col min="37" max="37" width="16.42578125" style="2" customWidth="1"/>
    <col min="38" max="38" width="20.42578125" style="2" customWidth="1"/>
    <col min="39" max="39" width="31.140625" style="2" customWidth="1"/>
    <col min="40" max="40" width="35.42578125" style="2" customWidth="1"/>
    <col min="41" max="41" width="21.42578125" style="2" customWidth="1"/>
    <col min="42" max="42" width="25.42578125" style="2" customWidth="1"/>
    <col min="43" max="16384" width="9" style="2"/>
  </cols>
  <sheetData>
    <row r="1" spans="1:29">
      <c r="A1" s="2" t="s">
        <v>8</v>
      </c>
      <c r="B1" s="2" t="s">
        <v>9</v>
      </c>
      <c r="C1" s="2" t="s">
        <v>602</v>
      </c>
      <c r="D1" s="2" t="s">
        <v>11</v>
      </c>
      <c r="E1" s="5" t="s">
        <v>12</v>
      </c>
      <c r="F1" s="5" t="s">
        <v>14</v>
      </c>
      <c r="G1" s="2" t="s">
        <v>603</v>
      </c>
      <c r="H1" s="4" t="s">
        <v>604</v>
      </c>
      <c r="I1" s="2" t="s">
        <v>601</v>
      </c>
      <c r="L1"/>
      <c r="M1"/>
    </row>
    <row r="2" spans="1:29">
      <c r="A2" s="2" t="s">
        <v>38</v>
      </c>
      <c r="B2" s="2" t="s">
        <v>606</v>
      </c>
      <c r="C2" s="2" t="s">
        <v>627</v>
      </c>
      <c r="D2" s="2">
        <f>MONTH(E2)</f>
        <v>6</v>
      </c>
      <c r="E2" s="3">
        <v>44011</v>
      </c>
      <c r="F2" s="5" t="e">
        <f>VLOOKUP(G2&amp;"*",#REF!,2,0)</f>
        <v>#REF!</v>
      </c>
      <c r="G2" s="2" t="s">
        <v>338</v>
      </c>
      <c r="H2" s="4">
        <v>1</v>
      </c>
      <c r="I2" s="2">
        <v>6450</v>
      </c>
      <c r="L2"/>
      <c r="M2"/>
    </row>
    <row r="3" spans="1:29">
      <c r="A3" s="2" t="s">
        <v>38</v>
      </c>
      <c r="B3" s="2" t="s">
        <v>606</v>
      </c>
      <c r="C3" s="2" t="s">
        <v>627</v>
      </c>
      <c r="D3" s="2">
        <f t="shared" ref="D3:D30" si="0">MONTH(E3)</f>
        <v>6</v>
      </c>
      <c r="E3" s="3">
        <v>44011</v>
      </c>
      <c r="F3" s="5" t="e">
        <f>VLOOKUP(G3&amp;"*",#REF!,2,0)</f>
        <v>#REF!</v>
      </c>
      <c r="G3" s="2" t="s">
        <v>327</v>
      </c>
      <c r="H3" s="4">
        <v>1</v>
      </c>
      <c r="I3" s="2">
        <v>4830</v>
      </c>
      <c r="L3"/>
      <c r="M3"/>
    </row>
    <row r="4" spans="1:29">
      <c r="A4" s="2" t="s">
        <v>38</v>
      </c>
      <c r="B4" s="2" t="s">
        <v>606</v>
      </c>
      <c r="C4" s="2" t="s">
        <v>627</v>
      </c>
      <c r="D4" s="2">
        <f t="shared" si="0"/>
        <v>6</v>
      </c>
      <c r="E4" s="3">
        <v>44011</v>
      </c>
      <c r="F4" s="5" t="e">
        <f>VLOOKUP(G4&amp;"*",#REF!,2,0)</f>
        <v>#REF!</v>
      </c>
      <c r="G4" s="2" t="s">
        <v>608</v>
      </c>
      <c r="H4" s="4">
        <v>1</v>
      </c>
      <c r="I4" s="2">
        <v>828</v>
      </c>
    </row>
    <row r="5" spans="1:29">
      <c r="A5" s="2" t="s">
        <v>38</v>
      </c>
      <c r="B5" s="2" t="s">
        <v>606</v>
      </c>
      <c r="C5" s="2" t="s">
        <v>627</v>
      </c>
      <c r="D5" s="2">
        <f t="shared" si="0"/>
        <v>6</v>
      </c>
      <c r="E5" s="3">
        <v>44011</v>
      </c>
      <c r="F5" s="5" t="e">
        <f>VLOOKUP(G5&amp;"*",#REF!,2,0)</f>
        <v>#REF!</v>
      </c>
      <c r="G5" s="2" t="s">
        <v>136</v>
      </c>
      <c r="H5" s="4">
        <v>1</v>
      </c>
      <c r="I5" s="2">
        <v>2150</v>
      </c>
      <c r="L5" s="7"/>
      <c r="M5" s="7"/>
      <c r="N5" s="7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>
      <c r="A6" s="2" t="s">
        <v>38</v>
      </c>
      <c r="B6" s="2" t="s">
        <v>606</v>
      </c>
      <c r="C6" s="2" t="s">
        <v>627</v>
      </c>
      <c r="D6" s="2">
        <f t="shared" si="0"/>
        <v>6</v>
      </c>
      <c r="E6" s="3">
        <v>44012</v>
      </c>
      <c r="F6" s="5" t="e">
        <f>VLOOKUP(G6&amp;"*",#REF!,2,0)</f>
        <v>#REF!</v>
      </c>
      <c r="G6" s="2" t="s">
        <v>316</v>
      </c>
      <c r="H6" s="4">
        <v>1</v>
      </c>
      <c r="I6" s="2">
        <v>3560</v>
      </c>
      <c r="L6" s="8"/>
      <c r="M6" s="7"/>
      <c r="N6" s="7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>
      <c r="A7" s="2" t="s">
        <v>38</v>
      </c>
      <c r="B7" s="2" t="s">
        <v>606</v>
      </c>
      <c r="C7" s="2" t="s">
        <v>627</v>
      </c>
      <c r="D7" s="2">
        <f t="shared" si="0"/>
        <v>6</v>
      </c>
      <c r="E7" s="3">
        <v>44012</v>
      </c>
      <c r="F7" s="5" t="e">
        <f>VLOOKUP(G7&amp;"*",#REF!,2,0)</f>
        <v>#REF!</v>
      </c>
      <c r="G7" s="2" t="s">
        <v>320</v>
      </c>
      <c r="H7" s="4">
        <v>1</v>
      </c>
      <c r="I7" s="2">
        <v>3730</v>
      </c>
      <c r="L7" s="9"/>
      <c r="M7" s="7"/>
      <c r="N7" s="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>
      <c r="A8" s="2" t="s">
        <v>38</v>
      </c>
      <c r="B8" s="2" t="s">
        <v>606</v>
      </c>
      <c r="C8" s="2" t="s">
        <v>627</v>
      </c>
      <c r="D8" s="2">
        <f t="shared" si="0"/>
        <v>6</v>
      </c>
      <c r="E8" s="3">
        <v>44012</v>
      </c>
      <c r="F8" s="5" t="e">
        <f>VLOOKUP(G8&amp;"*",#REF!,2,0)</f>
        <v>#REF!</v>
      </c>
      <c r="G8" s="2" t="s">
        <v>338</v>
      </c>
      <c r="H8" s="4">
        <v>1</v>
      </c>
      <c r="I8" s="2">
        <v>6450</v>
      </c>
      <c r="L8" s="8"/>
      <c r="M8" s="7"/>
      <c r="N8" s="7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9">
      <c r="A9" s="2" t="s">
        <v>38</v>
      </c>
      <c r="B9" s="2" t="s">
        <v>606</v>
      </c>
      <c r="C9" s="2" t="s">
        <v>627</v>
      </c>
      <c r="D9" s="2">
        <f t="shared" si="0"/>
        <v>6</v>
      </c>
      <c r="E9" s="3">
        <v>44012</v>
      </c>
      <c r="F9" s="5" t="e">
        <f>VLOOKUP(G9&amp;"*",#REF!,2,0)</f>
        <v>#REF!</v>
      </c>
      <c r="G9" s="2" t="s">
        <v>352</v>
      </c>
      <c r="H9" s="4">
        <v>3</v>
      </c>
      <c r="I9" s="2">
        <v>8040</v>
      </c>
      <c r="L9" s="9"/>
      <c r="M9" s="7"/>
      <c r="N9" s="7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9">
      <c r="A10" s="2" t="s">
        <v>38</v>
      </c>
      <c r="B10" s="2" t="s">
        <v>606</v>
      </c>
      <c r="C10" s="2" t="s">
        <v>627</v>
      </c>
      <c r="D10" s="2">
        <f t="shared" si="0"/>
        <v>7</v>
      </c>
      <c r="E10" s="3">
        <v>44013</v>
      </c>
      <c r="F10" s="5" t="e">
        <f>VLOOKUP(G10&amp;"*",#REF!,2,0)</f>
        <v>#REF!</v>
      </c>
      <c r="G10" s="2" t="s">
        <v>320</v>
      </c>
      <c r="H10" s="4">
        <v>2</v>
      </c>
      <c r="I10" s="2">
        <v>7460</v>
      </c>
      <c r="L10" s="8"/>
      <c r="M10" s="7"/>
      <c r="N10" s="7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9">
      <c r="A11" s="2" t="s">
        <v>38</v>
      </c>
      <c r="B11" s="2" t="s">
        <v>606</v>
      </c>
      <c r="C11" s="2" t="s">
        <v>627</v>
      </c>
      <c r="D11" s="2">
        <f t="shared" si="0"/>
        <v>7</v>
      </c>
      <c r="E11" s="3">
        <v>44013</v>
      </c>
      <c r="F11" s="5" t="e">
        <f>VLOOKUP(G11&amp;"*",#REF!,2,0)</f>
        <v>#REF!</v>
      </c>
      <c r="G11" s="2" t="s">
        <v>313</v>
      </c>
      <c r="H11" s="4">
        <v>2</v>
      </c>
      <c r="I11" s="2">
        <v>5920</v>
      </c>
      <c r="L11" s="9"/>
      <c r="M11" s="7"/>
      <c r="N11" s="7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9">
      <c r="A12" s="2" t="s">
        <v>38</v>
      </c>
      <c r="B12" s="2" t="s">
        <v>606</v>
      </c>
      <c r="C12" s="2" t="s">
        <v>627</v>
      </c>
      <c r="D12" s="2">
        <f t="shared" si="0"/>
        <v>7</v>
      </c>
      <c r="E12" s="3">
        <v>44013</v>
      </c>
      <c r="F12" s="5" t="e">
        <f>VLOOKUP(G12&amp;"*",#REF!,2,0)</f>
        <v>#REF!</v>
      </c>
      <c r="G12" s="2" t="s">
        <v>628</v>
      </c>
      <c r="H12" s="4">
        <v>1</v>
      </c>
      <c r="I12" s="2">
        <v>7200</v>
      </c>
      <c r="L12" s="9"/>
      <c r="M12" s="7"/>
      <c r="N12" s="7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9">
      <c r="A13" s="2" t="s">
        <v>38</v>
      </c>
      <c r="B13" s="2" t="s">
        <v>606</v>
      </c>
      <c r="C13" s="2" t="s">
        <v>627</v>
      </c>
      <c r="D13" s="2">
        <f t="shared" si="0"/>
        <v>7</v>
      </c>
      <c r="E13" s="3">
        <v>44013</v>
      </c>
      <c r="F13" s="5" t="e">
        <f>VLOOKUP(G13&amp;"*",#REF!,2,0)</f>
        <v>#REF!</v>
      </c>
      <c r="G13" s="2" t="s">
        <v>613</v>
      </c>
      <c r="H13" s="4">
        <v>1</v>
      </c>
      <c r="I13" s="2">
        <v>738</v>
      </c>
      <c r="L13" s="8"/>
      <c r="M13" s="7"/>
      <c r="N13" s="7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9">
      <c r="A14" s="2" t="s">
        <v>38</v>
      </c>
      <c r="B14" s="2" t="s">
        <v>606</v>
      </c>
      <c r="C14" s="2" t="s">
        <v>627</v>
      </c>
      <c r="D14" s="2">
        <f t="shared" si="0"/>
        <v>7</v>
      </c>
      <c r="E14" s="3">
        <v>44014</v>
      </c>
      <c r="F14" s="5" t="e">
        <f>VLOOKUP(G14&amp;"*",#REF!,2,0)</f>
        <v>#REF!</v>
      </c>
      <c r="G14" s="2" t="s">
        <v>178</v>
      </c>
      <c r="H14" s="4">
        <v>1</v>
      </c>
      <c r="I14" s="2">
        <v>2680</v>
      </c>
      <c r="L14" s="9"/>
      <c r="M14" s="7"/>
      <c r="N14" s="7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9">
      <c r="A15" s="2" t="s">
        <v>38</v>
      </c>
      <c r="B15" s="2" t="s">
        <v>606</v>
      </c>
      <c r="C15" s="2" t="s">
        <v>627</v>
      </c>
      <c r="D15" s="2">
        <f t="shared" si="0"/>
        <v>7</v>
      </c>
      <c r="E15" s="3">
        <v>44014</v>
      </c>
      <c r="F15" s="5" t="e">
        <f>VLOOKUP(G15&amp;"*",#REF!,2,0)</f>
        <v>#REF!</v>
      </c>
      <c r="G15" s="2" t="s">
        <v>313</v>
      </c>
      <c r="H15" s="4">
        <v>1</v>
      </c>
      <c r="I15" s="2">
        <v>2960</v>
      </c>
      <c r="L15" s="9"/>
      <c r="M15" s="7"/>
      <c r="N15" s="7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9">
      <c r="A16" s="2" t="s">
        <v>38</v>
      </c>
      <c r="B16" s="2" t="s">
        <v>606</v>
      </c>
      <c r="C16" s="2" t="s">
        <v>627</v>
      </c>
      <c r="D16" s="2">
        <f t="shared" si="0"/>
        <v>7</v>
      </c>
      <c r="E16" s="3">
        <v>44016</v>
      </c>
      <c r="F16" s="5" t="e">
        <f>VLOOKUP(G16&amp;"*",#REF!,2,0)</f>
        <v>#REF!</v>
      </c>
      <c r="G16" s="2" t="s">
        <v>323</v>
      </c>
      <c r="H16" s="4">
        <v>1</v>
      </c>
      <c r="I16" s="2">
        <v>4320</v>
      </c>
      <c r="L16" s="10"/>
      <c r="M16" s="7"/>
      <c r="N16" s="7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>
      <c r="A17" s="2" t="s">
        <v>38</v>
      </c>
      <c r="B17" s="2" t="s">
        <v>606</v>
      </c>
      <c r="C17" s="2" t="s">
        <v>627</v>
      </c>
      <c r="D17" s="2">
        <f t="shared" si="0"/>
        <v>7</v>
      </c>
      <c r="E17" s="3">
        <v>44016</v>
      </c>
      <c r="F17" s="5" t="e">
        <f>VLOOKUP(G17&amp;"*",#REF!,2,0)</f>
        <v>#REF!</v>
      </c>
      <c r="G17" s="2" t="s">
        <v>327</v>
      </c>
      <c r="H17" s="4">
        <v>1</v>
      </c>
      <c r="I17" s="2">
        <v>4830</v>
      </c>
      <c r="L17" s="9"/>
      <c r="M17" s="7"/>
      <c r="N17" s="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>
      <c r="A18" s="2" t="s">
        <v>38</v>
      </c>
      <c r="B18" s="2" t="s">
        <v>606</v>
      </c>
      <c r="C18" s="2" t="s">
        <v>627</v>
      </c>
      <c r="D18" s="2">
        <f t="shared" si="0"/>
        <v>7</v>
      </c>
      <c r="E18" s="3">
        <v>44016</v>
      </c>
      <c r="F18" s="5" t="e">
        <f>VLOOKUP(G18&amp;"*",#REF!,2,0)</f>
        <v>#REF!</v>
      </c>
      <c r="G18" s="2" t="s">
        <v>320</v>
      </c>
      <c r="H18" s="4">
        <v>1</v>
      </c>
      <c r="I18" s="2">
        <v>3730</v>
      </c>
      <c r="L18" s="9"/>
      <c r="M18" s="7"/>
      <c r="N18" s="7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>
      <c r="A19" s="2" t="s">
        <v>38</v>
      </c>
      <c r="B19" s="2" t="s">
        <v>606</v>
      </c>
      <c r="C19" s="2" t="s">
        <v>627</v>
      </c>
      <c r="D19" s="2">
        <f t="shared" si="0"/>
        <v>7</v>
      </c>
      <c r="E19" s="3">
        <v>44016</v>
      </c>
      <c r="F19" s="5" t="e">
        <f>VLOOKUP(G19&amp;"*",#REF!,2,0)</f>
        <v>#REF!</v>
      </c>
      <c r="G19" s="2" t="s">
        <v>202</v>
      </c>
      <c r="H19" s="4">
        <v>1</v>
      </c>
      <c r="I19" s="2">
        <v>1690</v>
      </c>
      <c r="L19" s="9"/>
      <c r="M19" s="7"/>
      <c r="N19" s="7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>
      <c r="A20" s="2" t="s">
        <v>38</v>
      </c>
      <c r="B20" s="2" t="s">
        <v>606</v>
      </c>
      <c r="C20" s="2" t="s">
        <v>627</v>
      </c>
      <c r="D20" s="2">
        <f t="shared" si="0"/>
        <v>7</v>
      </c>
      <c r="E20" s="3">
        <v>44016</v>
      </c>
      <c r="F20" s="5" t="e">
        <f>VLOOKUP(G20&amp;"*",#REF!,2,0)</f>
        <v>#REF!</v>
      </c>
      <c r="G20" s="2" t="s">
        <v>49</v>
      </c>
      <c r="H20" s="4">
        <v>1</v>
      </c>
      <c r="I20" s="2">
        <v>2980</v>
      </c>
      <c r="L20" s="8"/>
      <c r="M20" s="7"/>
      <c r="N20" s="7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>
      <c r="A21" s="2" t="s">
        <v>38</v>
      </c>
      <c r="B21" s="2" t="s">
        <v>606</v>
      </c>
      <c r="C21" s="2" t="s">
        <v>627</v>
      </c>
      <c r="D21" s="2">
        <f t="shared" si="0"/>
        <v>7</v>
      </c>
      <c r="E21" s="3">
        <v>44016</v>
      </c>
      <c r="F21" s="5" t="e">
        <f>VLOOKUP(G21&amp;"*",#REF!,2,0)</f>
        <v>#REF!</v>
      </c>
      <c r="G21" s="2" t="s">
        <v>628</v>
      </c>
      <c r="H21" s="4">
        <v>1</v>
      </c>
      <c r="I21" s="2">
        <v>7200</v>
      </c>
      <c r="L21" s="9"/>
      <c r="M21" s="7"/>
      <c r="N21" s="7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>
      <c r="A22" s="2" t="s">
        <v>38</v>
      </c>
      <c r="B22" s="2" t="s">
        <v>606</v>
      </c>
      <c r="C22" s="2" t="s">
        <v>627</v>
      </c>
      <c r="D22" s="2">
        <f t="shared" si="0"/>
        <v>7</v>
      </c>
      <c r="E22" s="3">
        <v>44017</v>
      </c>
      <c r="F22" s="5" t="e">
        <f>VLOOKUP(G22&amp;"*",#REF!,2,0)</f>
        <v>#REF!</v>
      </c>
      <c r="G22" s="2" t="s">
        <v>629</v>
      </c>
      <c r="H22" s="4">
        <v>1</v>
      </c>
      <c r="I22" s="2">
        <v>6990</v>
      </c>
      <c r="L22" s="8"/>
      <c r="M22" s="7"/>
      <c r="N22" s="7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>
      <c r="A23" s="2" t="s">
        <v>38</v>
      </c>
      <c r="B23" s="2" t="s">
        <v>606</v>
      </c>
      <c r="C23" s="2" t="s">
        <v>627</v>
      </c>
      <c r="D23" s="2">
        <f t="shared" si="0"/>
        <v>7</v>
      </c>
      <c r="E23" s="3">
        <v>44017</v>
      </c>
      <c r="F23" s="5" t="e">
        <f>VLOOKUP(G23&amp;"*",#REF!,2,0)</f>
        <v>#REF!</v>
      </c>
      <c r="G23" s="2" t="s">
        <v>320</v>
      </c>
      <c r="H23" s="4">
        <v>1</v>
      </c>
      <c r="I23" s="2">
        <v>3730</v>
      </c>
      <c r="L23" s="9"/>
      <c r="M23" s="7"/>
      <c r="N23" s="7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>
      <c r="A24" s="2" t="s">
        <v>38</v>
      </c>
      <c r="B24" s="2" t="s">
        <v>606</v>
      </c>
      <c r="C24" s="2" t="s">
        <v>627</v>
      </c>
      <c r="D24" s="2">
        <f t="shared" si="0"/>
        <v>7</v>
      </c>
      <c r="E24" s="3">
        <v>44017</v>
      </c>
      <c r="F24" s="5" t="e">
        <f>VLOOKUP(G24&amp;"*",#REF!,2,0)</f>
        <v>#REF!</v>
      </c>
      <c r="G24" s="2" t="s">
        <v>608</v>
      </c>
      <c r="H24" s="4">
        <v>1</v>
      </c>
      <c r="I24" s="2">
        <v>828</v>
      </c>
      <c r="L24" s="8"/>
      <c r="M24" s="7"/>
      <c r="N24" s="7"/>
    </row>
    <row r="25" spans="1:28">
      <c r="A25" s="2" t="s">
        <v>38</v>
      </c>
      <c r="B25" s="2" t="s">
        <v>606</v>
      </c>
      <c r="C25" s="2" t="s">
        <v>627</v>
      </c>
      <c r="D25" s="2">
        <f t="shared" si="0"/>
        <v>6</v>
      </c>
      <c r="E25" s="6">
        <v>44011</v>
      </c>
      <c r="F25" s="5" t="e">
        <f>VLOOKUP(G25&amp;"*",#REF!,2,0)</f>
        <v>#REF!</v>
      </c>
      <c r="G25" s="2" t="s">
        <v>352</v>
      </c>
      <c r="H25" s="4">
        <v>2</v>
      </c>
      <c r="I25" s="2">
        <v>5360</v>
      </c>
      <c r="L25" s="9"/>
      <c r="M25" s="7"/>
      <c r="N25" s="7"/>
    </row>
    <row r="26" spans="1:28">
      <c r="A26" s="2" t="s">
        <v>38</v>
      </c>
      <c r="B26" s="2" t="s">
        <v>606</v>
      </c>
      <c r="C26" s="2" t="s">
        <v>627</v>
      </c>
      <c r="D26" s="2">
        <f t="shared" si="0"/>
        <v>7</v>
      </c>
      <c r="E26" s="3">
        <v>44015</v>
      </c>
      <c r="F26" s="5" t="e">
        <f>VLOOKUP(G26&amp;"*",#REF!,2,0)</f>
        <v>#REF!</v>
      </c>
      <c r="G26" s="2" t="s">
        <v>612</v>
      </c>
      <c r="H26" s="4">
        <v>1</v>
      </c>
      <c r="I26" s="2">
        <v>3100</v>
      </c>
      <c r="L26" s="9"/>
      <c r="M26" s="7"/>
      <c r="N26" s="7"/>
    </row>
    <row r="27" spans="1:28">
      <c r="A27" s="2" t="s">
        <v>38</v>
      </c>
      <c r="B27" s="2" t="s">
        <v>606</v>
      </c>
      <c r="C27" s="2" t="s">
        <v>627</v>
      </c>
      <c r="D27" s="2">
        <f t="shared" si="0"/>
        <v>7</v>
      </c>
      <c r="E27" s="3">
        <v>44015</v>
      </c>
      <c r="F27" s="5" t="e">
        <f>VLOOKUP(G27&amp;"*",#REF!,2,0)</f>
        <v>#REF!</v>
      </c>
      <c r="G27" s="2" t="s">
        <v>628</v>
      </c>
      <c r="H27" s="4">
        <v>1</v>
      </c>
      <c r="I27" s="2">
        <v>7200</v>
      </c>
      <c r="L27" s="9"/>
      <c r="M27" s="7"/>
      <c r="N27" s="7"/>
    </row>
    <row r="28" spans="1:28">
      <c r="A28" s="2" t="s">
        <v>38</v>
      </c>
      <c r="B28" s="2" t="s">
        <v>606</v>
      </c>
      <c r="C28" s="2" t="s">
        <v>627</v>
      </c>
      <c r="D28" s="2">
        <f t="shared" si="0"/>
        <v>7</v>
      </c>
      <c r="E28" s="3">
        <v>44015</v>
      </c>
      <c r="F28" s="5" t="e">
        <f>VLOOKUP(G28&amp;"*",#REF!,2,0)</f>
        <v>#REF!</v>
      </c>
      <c r="G28" s="2" t="s">
        <v>313</v>
      </c>
      <c r="H28" s="4">
        <v>1</v>
      </c>
      <c r="I28" s="2">
        <v>2960</v>
      </c>
      <c r="L28" s="9"/>
      <c r="M28" s="7"/>
      <c r="N28" s="7"/>
    </row>
    <row r="29" spans="1:28">
      <c r="A29" s="2" t="s">
        <v>38</v>
      </c>
      <c r="B29" s="2" t="s">
        <v>606</v>
      </c>
      <c r="C29" s="2" t="s">
        <v>627</v>
      </c>
      <c r="D29" s="2">
        <f t="shared" si="0"/>
        <v>7</v>
      </c>
      <c r="E29" s="3">
        <v>44015</v>
      </c>
      <c r="F29" s="5" t="e">
        <f>VLOOKUP(G29&amp;"*",#REF!,2,0)</f>
        <v>#REF!</v>
      </c>
      <c r="G29" s="2" t="s">
        <v>608</v>
      </c>
      <c r="H29" s="4">
        <v>1</v>
      </c>
      <c r="I29" s="2">
        <v>828</v>
      </c>
      <c r="L29" s="8"/>
      <c r="M29" s="7"/>
      <c r="N29" s="7"/>
    </row>
    <row r="30" spans="1:28">
      <c r="A30" s="2" t="s">
        <v>38</v>
      </c>
      <c r="B30" s="2" t="s">
        <v>606</v>
      </c>
      <c r="C30" s="2" t="s">
        <v>627</v>
      </c>
      <c r="D30" s="2">
        <f t="shared" si="0"/>
        <v>7</v>
      </c>
      <c r="E30" s="3">
        <v>44018</v>
      </c>
      <c r="F30" s="5" t="e">
        <f>VLOOKUP(G30&amp;"*",#REF!,2,0)</f>
        <v>#REF!</v>
      </c>
      <c r="G30" s="2" t="s">
        <v>630</v>
      </c>
      <c r="H30" s="4">
        <v>1</v>
      </c>
      <c r="I30" s="2">
        <v>13190</v>
      </c>
      <c r="L30" s="9"/>
      <c r="M30" s="7"/>
      <c r="N30" s="7"/>
    </row>
    <row r="31" spans="1:28">
      <c r="A31" s="2" t="s">
        <v>38</v>
      </c>
      <c r="B31" s="2" t="s">
        <v>606</v>
      </c>
      <c r="C31" s="2" t="s">
        <v>627</v>
      </c>
      <c r="D31" s="2">
        <f t="shared" ref="D31:D38" si="1">MONTH(E31)</f>
        <v>7</v>
      </c>
      <c r="E31" s="3">
        <v>44018</v>
      </c>
      <c r="F31" s="5" t="e">
        <f>VLOOKUP(G31&amp;"*",#REF!,2,0)</f>
        <v>#REF!</v>
      </c>
      <c r="G31" s="2" t="s">
        <v>631</v>
      </c>
      <c r="H31" s="4">
        <v>1</v>
      </c>
      <c r="I31" s="2">
        <v>5490</v>
      </c>
      <c r="L31" s="9"/>
      <c r="M31" s="7"/>
      <c r="N31" s="7"/>
    </row>
    <row r="32" spans="1:28">
      <c r="A32" s="2" t="s">
        <v>38</v>
      </c>
      <c r="B32" s="2" t="s">
        <v>606</v>
      </c>
      <c r="C32" s="2" t="s">
        <v>627</v>
      </c>
      <c r="D32" s="2">
        <f t="shared" si="1"/>
        <v>7</v>
      </c>
      <c r="E32" s="3">
        <v>44018</v>
      </c>
      <c r="F32" s="5" t="e">
        <f>VLOOKUP(G32&amp;"*",#REF!,2,0)</f>
        <v>#REF!</v>
      </c>
      <c r="G32" s="2" t="s">
        <v>313</v>
      </c>
      <c r="H32" s="4">
        <v>2</v>
      </c>
      <c r="I32" s="2">
        <v>5920</v>
      </c>
      <c r="L32" s="8"/>
      <c r="M32" s="7"/>
      <c r="N32" s="7"/>
    </row>
    <row r="33" spans="1:14">
      <c r="A33" s="2" t="s">
        <v>38</v>
      </c>
      <c r="B33" s="2" t="s">
        <v>606</v>
      </c>
      <c r="C33" s="2" t="s">
        <v>627</v>
      </c>
      <c r="D33" s="2">
        <f t="shared" si="1"/>
        <v>7</v>
      </c>
      <c r="E33" s="3">
        <v>44018</v>
      </c>
      <c r="F33" s="5" t="e">
        <f>VLOOKUP(G33&amp;"*",#REF!,2,0)</f>
        <v>#REF!</v>
      </c>
      <c r="G33" s="2" t="s">
        <v>320</v>
      </c>
      <c r="H33" s="4">
        <v>2</v>
      </c>
      <c r="I33" s="2">
        <v>7460</v>
      </c>
      <c r="L33" s="9"/>
      <c r="M33" s="7"/>
      <c r="N33" s="7"/>
    </row>
    <row r="34" spans="1:14">
      <c r="A34" s="2" t="s">
        <v>38</v>
      </c>
      <c r="B34" s="2" t="s">
        <v>606</v>
      </c>
      <c r="C34" s="2" t="s">
        <v>627</v>
      </c>
      <c r="D34" s="2">
        <f t="shared" si="1"/>
        <v>7</v>
      </c>
      <c r="E34" s="3">
        <v>44018</v>
      </c>
      <c r="F34" s="5" t="e">
        <f>VLOOKUP(G34&amp;"*",#REF!,2,0)</f>
        <v>#REF!</v>
      </c>
      <c r="G34" s="2" t="s">
        <v>252</v>
      </c>
      <c r="H34" s="4">
        <v>1</v>
      </c>
      <c r="I34" s="2">
        <v>2400</v>
      </c>
      <c r="L34" s="9"/>
      <c r="M34" s="7"/>
      <c r="N34" s="7"/>
    </row>
    <row r="35" spans="1:14">
      <c r="A35" s="2" t="s">
        <v>38</v>
      </c>
      <c r="B35" s="2" t="s">
        <v>606</v>
      </c>
      <c r="C35" s="2" t="s">
        <v>627</v>
      </c>
      <c r="D35" s="2">
        <f t="shared" si="1"/>
        <v>7</v>
      </c>
      <c r="E35" s="3">
        <v>44019</v>
      </c>
      <c r="F35" s="5" t="e">
        <f>VLOOKUP(G35&amp;"*",#REF!,2,0)</f>
        <v>#REF!</v>
      </c>
      <c r="G35" s="2" t="s">
        <v>632</v>
      </c>
      <c r="H35" s="4">
        <v>2</v>
      </c>
      <c r="I35" s="2">
        <v>1080</v>
      </c>
      <c r="L35" s="9"/>
      <c r="M35" s="7"/>
      <c r="N35" s="7"/>
    </row>
    <row r="36" spans="1:14">
      <c r="A36" s="2" t="s">
        <v>38</v>
      </c>
      <c r="B36" s="2" t="s">
        <v>606</v>
      </c>
      <c r="C36" s="2" t="s">
        <v>627</v>
      </c>
      <c r="D36" s="2">
        <f t="shared" si="1"/>
        <v>7</v>
      </c>
      <c r="E36" s="3">
        <v>44019</v>
      </c>
      <c r="F36" s="5" t="e">
        <f>VLOOKUP(G36&amp;"*",#REF!,2,0)</f>
        <v>#REF!</v>
      </c>
      <c r="G36" s="2" t="s">
        <v>352</v>
      </c>
      <c r="H36" s="4">
        <v>1</v>
      </c>
      <c r="I36" s="2">
        <v>2680</v>
      </c>
      <c r="L36" s="8"/>
      <c r="M36" s="7"/>
      <c r="N36" s="7"/>
    </row>
    <row r="37" spans="1:14">
      <c r="A37" s="2" t="s">
        <v>38</v>
      </c>
      <c r="B37" s="2" t="s">
        <v>606</v>
      </c>
      <c r="C37" s="2" t="s">
        <v>627</v>
      </c>
      <c r="D37" s="2">
        <f t="shared" si="1"/>
        <v>7</v>
      </c>
      <c r="E37" s="3">
        <v>44019</v>
      </c>
      <c r="F37" s="5" t="e">
        <f>VLOOKUP(G37&amp;"*",#REF!,2,0)</f>
        <v>#REF!</v>
      </c>
      <c r="G37" s="2" t="s">
        <v>320</v>
      </c>
      <c r="H37" s="4">
        <v>1</v>
      </c>
      <c r="I37" s="2">
        <v>3730</v>
      </c>
      <c r="L37" s="9"/>
      <c r="M37" s="7"/>
      <c r="N37" s="7"/>
    </row>
    <row r="38" spans="1:14">
      <c r="A38" s="2" t="s">
        <v>38</v>
      </c>
      <c r="B38" s="2" t="s">
        <v>606</v>
      </c>
      <c r="C38" s="2" t="s">
        <v>627</v>
      </c>
      <c r="D38" s="2">
        <f t="shared" si="1"/>
        <v>7</v>
      </c>
      <c r="E38" s="3">
        <v>44019</v>
      </c>
      <c r="F38" s="5" t="e">
        <f>VLOOKUP(G38&amp;"*",#REF!,2,0)</f>
        <v>#REF!</v>
      </c>
      <c r="G38" s="2" t="s">
        <v>608</v>
      </c>
      <c r="H38" s="4">
        <v>1</v>
      </c>
      <c r="I38" s="2">
        <v>828</v>
      </c>
      <c r="L38" s="9"/>
      <c r="M38" s="7"/>
      <c r="N38" s="7"/>
    </row>
    <row r="39" spans="1:14">
      <c r="L39" s="9"/>
      <c r="M39" s="7"/>
      <c r="N39" s="7"/>
    </row>
    <row r="40" spans="1:14">
      <c r="L40" s="8"/>
      <c r="M40" s="7"/>
      <c r="N40" s="7"/>
    </row>
    <row r="41" spans="1:14">
      <c r="L41" s="9"/>
      <c r="M41" s="7"/>
      <c r="N41" s="7"/>
    </row>
    <row r="42" spans="1:14">
      <c r="L42" s="8"/>
      <c r="M42" s="7"/>
      <c r="N42" s="7"/>
    </row>
    <row r="43" spans="1:14">
      <c r="L43" s="9"/>
      <c r="M43" s="7"/>
      <c r="N43" s="7"/>
    </row>
    <row r="44" spans="1:14">
      <c r="L44" s="8"/>
      <c r="M44" s="7"/>
      <c r="N44" s="7"/>
    </row>
    <row r="45" spans="1:14">
      <c r="L45" s="9"/>
      <c r="M45" s="7"/>
      <c r="N45" s="7"/>
    </row>
    <row r="46" spans="1:14">
      <c r="L46" s="8"/>
      <c r="M46" s="7"/>
      <c r="N46" s="7"/>
    </row>
    <row r="47" spans="1:14">
      <c r="L47" s="9"/>
      <c r="M47" s="7"/>
      <c r="N47" s="7"/>
    </row>
    <row r="48" spans="1:14">
      <c r="L48" s="8"/>
      <c r="M48" s="7"/>
      <c r="N48" s="7"/>
    </row>
    <row r="49" spans="12:14">
      <c r="L49" s="9"/>
      <c r="M49" s="7"/>
      <c r="N49" s="7"/>
    </row>
    <row r="50" spans="12:14">
      <c r="L50" s="8"/>
      <c r="M50" s="7"/>
      <c r="N50" s="7"/>
    </row>
    <row r="51" spans="12:14">
      <c r="L51" s="9"/>
      <c r="M51" s="7"/>
      <c r="N51" s="7"/>
    </row>
    <row r="52" spans="12:14">
      <c r="L52" s="8"/>
      <c r="M52" s="7"/>
      <c r="N52" s="7"/>
    </row>
    <row r="53" spans="12:14">
      <c r="L53"/>
      <c r="M53"/>
    </row>
    <row r="54" spans="12:14">
      <c r="L54"/>
      <c r="M54"/>
    </row>
  </sheetData>
  <autoFilter ref="A1:I38" xr:uid="{00000000-0009-0000-0000-00000A000000}"/>
  <phoneticPr fontId="2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3:B8"/>
  <sheetViews>
    <sheetView workbookViewId="0"/>
  </sheetViews>
  <sheetFormatPr defaultColWidth="9" defaultRowHeight="15.75"/>
  <cols>
    <col min="1" max="1" width="11.42578125" customWidth="1"/>
    <col min="2" max="2" width="12.140625" customWidth="1"/>
    <col min="3" max="3" width="9.42578125" customWidth="1"/>
    <col min="4" max="5" width="7.42578125" customWidth="1"/>
    <col min="6" max="6" width="6.140625" customWidth="1"/>
    <col min="7" max="7" width="13.42578125" customWidth="1"/>
    <col min="8" max="8" width="10.42578125" customWidth="1"/>
    <col min="9" max="9" width="4.85546875" customWidth="1"/>
    <col min="10" max="10" width="6" customWidth="1"/>
  </cols>
  <sheetData>
    <row r="3" spans="1:2">
      <c r="A3" t="s">
        <v>633</v>
      </c>
      <c r="B3" t="s">
        <v>600</v>
      </c>
    </row>
    <row r="4" spans="1:2">
      <c r="A4" s="1" t="s">
        <v>38</v>
      </c>
      <c r="B4">
        <v>3142634</v>
      </c>
    </row>
    <row r="5" spans="1:2">
      <c r="A5" s="1" t="s">
        <v>25</v>
      </c>
      <c r="B5">
        <v>1703406</v>
      </c>
    </row>
    <row r="6" spans="1:2">
      <c r="A6" s="1" t="s">
        <v>605</v>
      </c>
      <c r="B6">
        <v>507898</v>
      </c>
    </row>
    <row r="7" spans="1:2">
      <c r="A7" s="1" t="s">
        <v>39</v>
      </c>
      <c r="B7">
        <v>982519</v>
      </c>
    </row>
    <row r="8" spans="1:2">
      <c r="A8" s="1" t="s">
        <v>634</v>
      </c>
      <c r="B8">
        <v>6336457</v>
      </c>
    </row>
  </sheetData>
  <phoneticPr fontId="24" type="noConversion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E6DE1B-1FE6-46D5-AE76-AFC5C3DD44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Roster</vt:lpstr>
      <vt:lpstr>editable-sales-form</vt:lpstr>
      <vt:lpstr>Apps import</vt:lpstr>
      <vt:lpstr>Remarks</vt:lpstr>
      <vt:lpstr>三國演義</vt:lpstr>
      <vt:lpstr>3月Target</vt:lpstr>
      <vt:lpstr>Name</vt:lpstr>
      <vt:lpstr>Ref-List</vt:lpstr>
      <vt:lpstr>Aeon KH</vt:lpstr>
      <vt:lpstr>工作表3</vt:lpstr>
      <vt:lpstr>工作表1</vt:lpstr>
      <vt:lpstr>工作表2</vt:lpstr>
      <vt:lpstr>Broadway S17 Demo</vt:lpstr>
      <vt:lpstr>Yata</vt:lpstr>
      <vt:lpstr>Suning</vt:lpstr>
      <vt:lpstr>Broadway</vt:lpstr>
      <vt:lpstr>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e35140</cp:lastModifiedBy>
  <cp:lastPrinted>2026-04-10T05:48:02Z</cp:lastPrinted>
  <dcterms:created xsi:type="dcterms:W3CDTF">2015-06-05T18:17:00Z</dcterms:created>
  <dcterms:modified xsi:type="dcterms:W3CDTF">2026-04-16T09:43:08Z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EC6AD011CE4F4D2DA170070B8417A4E5</vt:lpwstr>
  </property>
  <property fmtid="{D5CDD505-2E9C-101B-9397-08002B2CF9AE}" pid="3" name="KSOProductBuildVer">
    <vt:lpwstr>1033-11.2.0.11516</vt:lpwstr>
  </property>
</Properties>
</file>